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drawings/drawing10.xml" ContentType="application/vnd.openxmlformats-officedocument.drawing+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1" firstSheet="12" activeTab="2" autoFilterDateGrouping="1"/>
  </bookViews>
  <sheets>
    <sheet xmlns:r="http://schemas.openxmlformats.org/officeDocument/2006/relationships" name="Dados Base" sheetId="1" state="visible" r:id="rId1"/>
    <sheet xmlns:r="http://schemas.openxmlformats.org/officeDocument/2006/relationships" name="EAP" sheetId="2" state="visible" r:id="rId2"/>
    <sheet xmlns:r="http://schemas.openxmlformats.org/officeDocument/2006/relationships" name="EPCs" sheetId="3" state="visible" r:id="rId3"/>
    <sheet xmlns:r="http://schemas.openxmlformats.org/officeDocument/2006/relationships" name="Ger_Executivo_Manual" sheetId="4" state="hidden" r:id="rId4"/>
    <sheet xmlns:r="http://schemas.openxmlformats.org/officeDocument/2006/relationships" name="Orçamento" sheetId="5" state="hidden" r:id="rId5"/>
    <sheet xmlns:r="http://schemas.openxmlformats.org/officeDocument/2006/relationships" name="Composições" sheetId="6" state="hidden" r:id="rId6"/>
    <sheet xmlns:r="http://schemas.openxmlformats.org/officeDocument/2006/relationships" name="Insumos (2)" sheetId="7" state="hidden" r:id="rId7"/>
    <sheet xmlns:r="http://schemas.openxmlformats.org/officeDocument/2006/relationships" name="PROJETOS" sheetId="8" state="hidden" r:id="rId8"/>
    <sheet xmlns:r="http://schemas.openxmlformats.org/officeDocument/2006/relationships" name="Ger_Tec e Adm" sheetId="9" state="hidden" r:id="rId9"/>
    <sheet xmlns:r="http://schemas.openxmlformats.org/officeDocument/2006/relationships" name="Ger_Executivo_Cartesian" sheetId="10" state="hidden" r:id="rId10"/>
    <sheet xmlns:r="http://schemas.openxmlformats.org/officeDocument/2006/relationships" name="CPU" sheetId="11" state="hidden" r:id="rId11"/>
    <sheet xmlns:r="http://schemas.openxmlformats.org/officeDocument/2006/relationships" name="Insumos" sheetId="12" state="hidden" r:id="rId12"/>
  </sheets>
  <definedNames>
    <definedName name="\0">#REF!</definedName>
    <definedName name="\1">#REF!</definedName>
    <definedName name="\a">#REF!</definedName>
    <definedName name="\b">#REF!</definedName>
    <definedName name="\c">#REF!</definedName>
    <definedName name="\d">#REF!</definedName>
    <definedName name="\e">#REF!</definedName>
    <definedName name="\i">#REF!</definedName>
    <definedName name="\J">#REF!</definedName>
    <definedName name="\k">#REF!</definedName>
    <definedName name="\l">#N/A</definedName>
    <definedName name="\m">#REF!</definedName>
    <definedName name="\o">#REF!</definedName>
    <definedName name="\p">#REF!</definedName>
    <definedName name="\r">#REF!</definedName>
    <definedName name="\T">#REF!</definedName>
    <definedName name="\xasd" hidden="1">{#N/A,#N/A,FALSE,"Plan1";#N/A,#N/A,FALSE,"Plan2"}</definedName>
    <definedName name="\z">#REF!</definedName>
    <definedName name="_">#REF!</definedName>
    <definedName name="_\0">#REF!</definedName>
    <definedName name="_\1">#REF!</definedName>
    <definedName name="_\a">#REF!</definedName>
    <definedName name="_\b">#REF!</definedName>
    <definedName name="_\c">#REF!</definedName>
    <definedName name="_\d">#REF!</definedName>
    <definedName name="_\e">#REF!</definedName>
    <definedName name="_\i">#REF!</definedName>
    <definedName name="_\J">#REF!</definedName>
    <definedName name="_\k">#REF!</definedName>
    <definedName name="_\l">#N/A</definedName>
    <definedName name="_\m">#REF!</definedName>
    <definedName name="_\o">#REF!</definedName>
    <definedName name="_\p">#REF!</definedName>
    <definedName name="_\r">#REF!</definedName>
    <definedName name="_\T">#REF!</definedName>
    <definedName name="_\xasd" hidden="1">{#N/A,#N/A,FALSE,"Plan1";#N/A,#N/A,FALSE,"Plan2"}</definedName>
    <definedName name="_\z">#REF!</definedName>
    <definedName name="__">#REF!</definedName>
    <definedName name="________________r1">{#N/A,#N/A,FALSE,"GERAL";#N/A,#N/A,FALSE,"012-96";#N/A,#N/A,FALSE,"018-96";#N/A,#N/A,FALSE,"027-96";#N/A,#N/A,FALSE,"059-96";#N/A,#N/A,FALSE,"076-96";#N/A,#N/A,FALSE,"019-97";#N/A,#N/A,FALSE,"021-97";#N/A,#N/A,FALSE,"022-97";#N/A,#N/A,FALSE,"028-97"}</definedName>
    <definedName name="______________r1">{#N/A,#N/A,FALSE,"GERAL";#N/A,#N/A,FALSE,"012-96";#N/A,#N/A,FALSE,"018-96";#N/A,#N/A,FALSE,"027-96";#N/A,#N/A,FALSE,"059-96";#N/A,#N/A,FALSE,"076-96";#N/A,#N/A,FALSE,"019-97";#N/A,#N/A,FALSE,"021-97";#N/A,#N/A,FALSE,"022-97";#N/A,#N/A,FALSE,"028-97"}</definedName>
    <definedName name="_____________r1">{#N/A,#N/A,FALSE,"GERAL";#N/A,#N/A,FALSE,"012-96";#N/A,#N/A,FALSE,"018-96";#N/A,#N/A,FALSE,"027-96";#N/A,#N/A,FALSE,"059-96";#N/A,#N/A,FALSE,"076-96";#N/A,#N/A,FALSE,"019-97";#N/A,#N/A,FALSE,"021-97";#N/A,#N/A,FALSE,"022-97";#N/A,#N/A,FALSE,"028-97"}</definedName>
    <definedName name="____________r1">{#N/A,#N/A,FALSE,"GERAL";#N/A,#N/A,FALSE,"012-96";#N/A,#N/A,FALSE,"018-96";#N/A,#N/A,FALSE,"027-96";#N/A,#N/A,FALSE,"059-96";#N/A,#N/A,FALSE,"076-96";#N/A,#N/A,FALSE,"019-97";#N/A,#N/A,FALSE,"021-97";#N/A,#N/A,FALSE,"022-97";#N/A,#N/A,FALSE,"028-97"}</definedName>
    <definedName name="___________r1">{#N/A,#N/A,FALSE,"GERAL";#N/A,#N/A,FALSE,"012-96";#N/A,#N/A,FALSE,"018-96";#N/A,#N/A,FALSE,"027-96";#N/A,#N/A,FALSE,"059-96";#N/A,#N/A,FALSE,"076-96";#N/A,#N/A,FALSE,"019-97";#N/A,#N/A,FALSE,"021-97";#N/A,#N/A,FALSE,"022-97";#N/A,#N/A,FALSE,"028-97"}</definedName>
    <definedName name="_________r1">{#N/A,#N/A,FALSE,"GERAL";#N/A,#N/A,FALSE,"012-96";#N/A,#N/A,FALSE,"018-96";#N/A,#N/A,FALSE,"027-96";#N/A,#N/A,FALSE,"059-96";#N/A,#N/A,FALSE,"076-96";#N/A,#N/A,FALSE,"019-97";#N/A,#N/A,FALSE,"021-97";#N/A,#N/A,FALSE,"022-97";#N/A,#N/A,FALSE,"028-97"}</definedName>
    <definedName name="________r1">{#N/A,#N/A,FALSE,"GERAL";#N/A,#N/A,FALSE,"012-96";#N/A,#N/A,FALSE,"018-96";#N/A,#N/A,FALSE,"027-96";#N/A,#N/A,FALSE,"059-96";#N/A,#N/A,FALSE,"076-96";#N/A,#N/A,FALSE,"019-97";#N/A,#N/A,FALSE,"021-97";#N/A,#N/A,FALSE,"022-97";#N/A,#N/A,FALSE,"028-97"}</definedName>
    <definedName name="_______r1">{#N/A,#N/A,FALSE,"GERAL";#N/A,#N/A,FALSE,"012-96";#N/A,#N/A,FALSE,"018-96";#N/A,#N/A,FALSE,"027-96";#N/A,#N/A,FALSE,"059-96";#N/A,#N/A,FALSE,"076-96";#N/A,#N/A,FALSE,"019-97";#N/A,#N/A,FALSE,"021-97";#N/A,#N/A,FALSE,"022-97";#N/A,#N/A,FALSE,"028-97"}</definedName>
    <definedName name="______ACR10">#REF!</definedName>
    <definedName name="______ACR15">#REF!</definedName>
    <definedName name="______acr20">#REF!</definedName>
    <definedName name="______acr5">#REF!</definedName>
    <definedName name="______ARQ1">#REF!</definedName>
    <definedName name="______QT100">#REF!</definedName>
    <definedName name="______QT2">#REF!</definedName>
    <definedName name="______QT3">#REF!</definedName>
    <definedName name="______QT4">#REF!</definedName>
    <definedName name="______QT50">#REF!</definedName>
    <definedName name="______QT75">#REF!</definedName>
    <definedName name="______r1">{#N/A,#N/A,FALSE,"GERAL";#N/A,#N/A,FALSE,"012-96";#N/A,#N/A,FALSE,"018-96";#N/A,#N/A,FALSE,"027-96";#N/A,#N/A,FALSE,"059-96";#N/A,#N/A,FALSE,"076-96";#N/A,#N/A,FALSE,"019-97";#N/A,#N/A,FALSE,"021-97";#N/A,#N/A,FALSE,"022-97";#N/A,#N/A,FALSE,"028-97"}</definedName>
    <definedName name="_____ACR10">#REF!</definedName>
    <definedName name="_____ACR15">#REF!</definedName>
    <definedName name="_____acr20">#REF!</definedName>
    <definedName name="_____acr5">#REF!</definedName>
    <definedName name="_____ARQ1">#REF!</definedName>
    <definedName name="_____key2">#REF!</definedName>
    <definedName name="_____QT100">#REF!</definedName>
    <definedName name="_____QT2">#REF!</definedName>
    <definedName name="_____QT3">#REF!</definedName>
    <definedName name="_____QT4">#REF!</definedName>
    <definedName name="_____QT50">#REF!</definedName>
    <definedName name="_____QT75">#REF!</definedName>
    <definedName name="_____r1">{#N/A,#N/A,FALSE,"GERAL";#N/A,#N/A,FALSE,"012-96";#N/A,#N/A,FALSE,"018-96";#N/A,#N/A,FALSE,"027-96";#N/A,#N/A,FALSE,"059-96";#N/A,#N/A,FALSE,"076-96";#N/A,#N/A,FALSE,"019-97";#N/A,#N/A,FALSE,"021-97";#N/A,#N/A,FALSE,"022-97";#N/A,#N/A,FALSE,"028-97"}</definedName>
    <definedName name="____key2">#REF!</definedName>
    <definedName name="____la29">#REF!</definedName>
    <definedName name="____la3">#REF!</definedName>
    <definedName name="____la31">#REF!</definedName>
    <definedName name="____la32">#REF!</definedName>
    <definedName name="____la4">#REF!</definedName>
    <definedName name="____la5">#REF!</definedName>
    <definedName name="____la6">#REF!</definedName>
    <definedName name="____la7">#REF!</definedName>
    <definedName name="____la8">#REF!</definedName>
    <definedName name="____la9">#REF!</definedName>
    <definedName name="____lb1">#REF!</definedName>
    <definedName name="____lb10">#REF!</definedName>
    <definedName name="____lb11">#REF!</definedName>
    <definedName name="____lb12">#REF!</definedName>
    <definedName name="____lb13">#REF!</definedName>
    <definedName name="____lb14">#REF!</definedName>
    <definedName name="____lb15">#REF!</definedName>
    <definedName name="____lb16">#REF!</definedName>
    <definedName name="____lb17">#REF!</definedName>
    <definedName name="____lb18">#REF!</definedName>
    <definedName name="____lb19">#REF!</definedName>
    <definedName name="____lb2">#REF!</definedName>
    <definedName name="____lb20">#REF!</definedName>
    <definedName name="____lb21">#REF!</definedName>
    <definedName name="____lb22">#REF!</definedName>
    <definedName name="____lb23">#REF!</definedName>
    <definedName name="____lb24">#REF!</definedName>
    <definedName name="____lb25">#REF!</definedName>
    <definedName name="____lb27">#REF!</definedName>
    <definedName name="____lb28">#REF!</definedName>
    <definedName name="____lb29">#REF!</definedName>
    <definedName name="____lb3">#REF!</definedName>
    <definedName name="____lb30">#REF!</definedName>
    <definedName name="____lb31">#REF!</definedName>
    <definedName name="____lb32">#REF!</definedName>
    <definedName name="____lb4">#REF!</definedName>
    <definedName name="____lb5">#REF!</definedName>
    <definedName name="____lb6">#REF!</definedName>
    <definedName name="____lb7">#REF!</definedName>
    <definedName name="____lb8">#REF!</definedName>
    <definedName name="____lb9">#REF!</definedName>
    <definedName name="____lbc1">#REF!</definedName>
    <definedName name="____lbc10">#REF!</definedName>
    <definedName name="____lbc11">#REF!</definedName>
    <definedName name="____lbc12">#REF!</definedName>
    <definedName name="____lbc13">#REF!</definedName>
    <definedName name="____lbc14">#REF!</definedName>
    <definedName name="____lbc15">#REF!</definedName>
    <definedName name="____lbc16">#REF!</definedName>
    <definedName name="____lbc17">#REF!</definedName>
    <definedName name="____lbc18">#REF!</definedName>
    <definedName name="____lbc19">#REF!</definedName>
    <definedName name="____lbc2">#REF!</definedName>
    <definedName name="____lbc20">#REF!</definedName>
    <definedName name="____lbc21">#REF!</definedName>
    <definedName name="____lbc22">#REF!</definedName>
    <definedName name="____lbc23">#REF!</definedName>
    <definedName name="____lbc24">#REF!</definedName>
    <definedName name="____lbc25">#REF!</definedName>
    <definedName name="____lbc26">#REF!</definedName>
    <definedName name="____lbc27">#REF!</definedName>
    <definedName name="____lbc28">#REF!</definedName>
    <definedName name="____lbc29">#REF!</definedName>
    <definedName name="____lbc3">#REF!</definedName>
    <definedName name="____lbc31">#REF!</definedName>
    <definedName name="____lbc32">#REF!</definedName>
    <definedName name="____lbc4">#REF!</definedName>
    <definedName name="____lbc5">#REF!</definedName>
    <definedName name="____lbc6">#REF!</definedName>
    <definedName name="____lbc7">#REF!</definedName>
    <definedName name="____lbc8">#REF!</definedName>
    <definedName name="____lbc9">#REF!</definedName>
    <definedName name="____ld26">#REF!</definedName>
    <definedName name="____ld31">#REF!</definedName>
    <definedName name="____le31">#REF!</definedName>
    <definedName name="____lf31">#REF!</definedName>
    <definedName name="____PK2">{"'장비'!$A$3:$M$12"}</definedName>
    <definedName name="____PKG3">{"'장비'!$A$3:$M$12"}</definedName>
    <definedName name="____qqq222">{"'장비'!$A$3:$M$12"}</definedName>
    <definedName name="____r1">{#N/A,#N/A,FALSE,"GERAL";#N/A,#N/A,FALSE,"012-96";#N/A,#N/A,FALSE,"018-96";#N/A,#N/A,FALSE,"027-96";#N/A,#N/A,FALSE,"059-96";#N/A,#N/A,FALSE,"076-96";#N/A,#N/A,FALSE,"019-97";#N/A,#N/A,FALSE,"021-97";#N/A,#N/A,FALSE,"022-97";#N/A,#N/A,FALSE,"028-97"}</definedName>
    <definedName name="____x10">#REF!</definedName>
    <definedName name="____x11">#REF!</definedName>
    <definedName name="____x12">#REF!</definedName>
    <definedName name="____x13">#REF!</definedName>
    <definedName name="____x14">#REF!</definedName>
    <definedName name="____x15">#REF!</definedName>
    <definedName name="____x16">#REF!</definedName>
    <definedName name="____x17">#REF!</definedName>
    <definedName name="____x18">#REF!</definedName>
    <definedName name="____x19">#REF!</definedName>
    <definedName name="____x20">#REF!</definedName>
    <definedName name="____x21">#REF!</definedName>
    <definedName name="____x22">#REF!</definedName>
    <definedName name="____x23">#REF!</definedName>
    <definedName name="____x24">#REF!</definedName>
    <definedName name="____x25">#REF!</definedName>
    <definedName name="____x28">#REF!</definedName>
    <definedName name="____x29">#REF!</definedName>
    <definedName name="____x32">#REF!</definedName>
    <definedName name="____x4">#REF!</definedName>
    <definedName name="____x5">#REF!</definedName>
    <definedName name="____x6">#REF!</definedName>
    <definedName name="____x7">#REF!</definedName>
    <definedName name="____x8">#REF!</definedName>
    <definedName name="____x9">#REF!</definedName>
    <definedName name="___ACR10">#REF!</definedName>
    <definedName name="___ACR15">#REF!</definedName>
    <definedName name="___acr20">#REF!</definedName>
    <definedName name="___acr5">#REF!</definedName>
    <definedName name="___ARQ1">#REF!</definedName>
    <definedName name="___CO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ECS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key2">#REF!</definedName>
    <definedName name="___la29">#REF!</definedName>
    <definedName name="___la3">#REF!</definedName>
    <definedName name="___la31">#REF!</definedName>
    <definedName name="___la32">#REF!</definedName>
    <definedName name="___la4">#REF!</definedName>
    <definedName name="___la5">#REF!</definedName>
    <definedName name="___la6">#REF!</definedName>
    <definedName name="___la7">#REF!</definedName>
    <definedName name="___la8">#REF!</definedName>
    <definedName name="___la9">#REF!</definedName>
    <definedName name="___lb1">#REF!</definedName>
    <definedName name="___lb10">#REF!</definedName>
    <definedName name="___lb11">#REF!</definedName>
    <definedName name="___lb12">#REF!</definedName>
    <definedName name="___lb13">#REF!</definedName>
    <definedName name="___lb14">#REF!</definedName>
    <definedName name="___lb15">#REF!</definedName>
    <definedName name="___lb16">#REF!</definedName>
    <definedName name="___lb17">#REF!</definedName>
    <definedName name="___lb18">#REF!</definedName>
    <definedName name="___lb19">#REF!</definedName>
    <definedName name="___lb2">#REF!</definedName>
    <definedName name="___lb20">#REF!</definedName>
    <definedName name="___lb21">#REF!</definedName>
    <definedName name="___lb22">#REF!</definedName>
    <definedName name="___lb23">#REF!</definedName>
    <definedName name="___lb24">#REF!</definedName>
    <definedName name="___lb25">#REF!</definedName>
    <definedName name="___lb27">#REF!</definedName>
    <definedName name="___lb28">#REF!</definedName>
    <definedName name="___lb29">#REF!</definedName>
    <definedName name="___lb3">#REF!</definedName>
    <definedName name="___lb30">#REF!</definedName>
    <definedName name="___lb31">#REF!</definedName>
    <definedName name="___lb32">#REF!</definedName>
    <definedName name="___lb4">#REF!</definedName>
    <definedName name="___lb5">#REF!</definedName>
    <definedName name="___lb6">#REF!</definedName>
    <definedName name="___lb7">#REF!</definedName>
    <definedName name="___lb8">#REF!</definedName>
    <definedName name="___lb9">#REF!</definedName>
    <definedName name="___lbc1">#REF!</definedName>
    <definedName name="___lbc10">#REF!</definedName>
    <definedName name="___lbc11">#REF!</definedName>
    <definedName name="___lbc12">#REF!</definedName>
    <definedName name="___lbc13">#REF!</definedName>
    <definedName name="___lbc14">#REF!</definedName>
    <definedName name="___lbc15">#REF!</definedName>
    <definedName name="___lbc16">#REF!</definedName>
    <definedName name="___lbc17">#REF!</definedName>
    <definedName name="___lbc18">#REF!</definedName>
    <definedName name="___lbc19">#REF!</definedName>
    <definedName name="___lbc2">#REF!</definedName>
    <definedName name="___lbc20">#REF!</definedName>
    <definedName name="___lbc21">#REF!</definedName>
    <definedName name="___lbc22">#REF!</definedName>
    <definedName name="___lbc23">#REF!</definedName>
    <definedName name="___lbc24">#REF!</definedName>
    <definedName name="___lbc25">#REF!</definedName>
    <definedName name="___lbc26">#REF!</definedName>
    <definedName name="___lbc27">#REF!</definedName>
    <definedName name="___lbc28">#REF!</definedName>
    <definedName name="___lbc29">#REF!</definedName>
    <definedName name="___lbc3">#REF!</definedName>
    <definedName name="___lbc31">#REF!</definedName>
    <definedName name="___lbc32">#REF!</definedName>
    <definedName name="___lbc4">#REF!</definedName>
    <definedName name="___lbc5">#REF!</definedName>
    <definedName name="___lbc6">#REF!</definedName>
    <definedName name="___lbc7">#REF!</definedName>
    <definedName name="___lbc8">#REF!</definedName>
    <definedName name="___lbc9">#REF!</definedName>
    <definedName name="___ld26">#REF!</definedName>
    <definedName name="___ld31">#REF!</definedName>
    <definedName name="___le31">#REF!</definedName>
    <definedName name="___lf31">#REF!</definedName>
    <definedName name="___PK2">{"'장비'!$A$3:$M$12"}</definedName>
    <definedName name="___PKG3">{"'장비'!$A$3:$M$12"}</definedName>
    <definedName name="___qqq222">{"'장비'!$A$3:$M$12"}</definedName>
    <definedName name="___QT100">#REF!</definedName>
    <definedName name="___QT2">#REF!</definedName>
    <definedName name="___QT3">#REF!</definedName>
    <definedName name="___QT4">#REF!</definedName>
    <definedName name="___QT50">#REF!</definedName>
    <definedName name="___QT75">#REF!</definedName>
    <definedName name="___r1">{#N/A,#N/A,FALSE,"GERAL";#N/A,#N/A,FALSE,"012-96";#N/A,#N/A,FALSE,"018-96";#N/A,#N/A,FALSE,"027-96";#N/A,#N/A,FALSE,"059-96";#N/A,#N/A,FALSE,"076-96";#N/A,#N/A,FALSE,"019-97";#N/A,#N/A,FALSE,"021-97";#N/A,#N/A,FALSE,"022-97";#N/A,#N/A,FALSE,"028-97"}</definedName>
    <definedName name="___x10">#REF!</definedName>
    <definedName name="___x11">#REF!</definedName>
    <definedName name="___x12">#REF!</definedName>
    <definedName name="___x13">#REF!</definedName>
    <definedName name="___x14">#REF!</definedName>
    <definedName name="___x15">#REF!</definedName>
    <definedName name="___x16">#REF!</definedName>
    <definedName name="___x17">#REF!</definedName>
    <definedName name="___x18">#REF!</definedName>
    <definedName name="___x19">#REF!</definedName>
    <definedName name="___x20">#REF!</definedName>
    <definedName name="___x21">#REF!</definedName>
    <definedName name="___x22">#REF!</definedName>
    <definedName name="___x23">#REF!</definedName>
    <definedName name="___x24">#REF!</definedName>
    <definedName name="___x25">#REF!</definedName>
    <definedName name="___x28">#REF!</definedName>
    <definedName name="___x29">#REF!</definedName>
    <definedName name="___x32">#REF!</definedName>
    <definedName name="___x4">#REF!</definedName>
    <definedName name="___x5">#REF!</definedName>
    <definedName name="___x6">#REF!</definedName>
    <definedName name="___x7">#REF!</definedName>
    <definedName name="___x8">#REF!</definedName>
    <definedName name="___x9">#REF!</definedName>
    <definedName name="__123Graph_A">#REF!</definedName>
    <definedName name="__123Graph_AChart1">#REF!</definedName>
    <definedName name="__123Graph_ACurrent">#REF!</definedName>
    <definedName name="__123Graph_ACUSTO">#REF!</definedName>
    <definedName name="__123Graph_AFAT">#REF!</definedName>
    <definedName name="__123Graph_AGRA1">#REF!</definedName>
    <definedName name="__123Graph_ARES">#REF!</definedName>
    <definedName name="__123Graph_B">#REF!</definedName>
    <definedName name="__123Graph_BChart1">#REF!</definedName>
    <definedName name="__123Graph_BCurrent">#REF!</definedName>
    <definedName name="__123Graph_BCUSTO">#REF!</definedName>
    <definedName name="__123Graph_BFAT">#REF!</definedName>
    <definedName name="__123Graph_BPERFORMANCE">#REF!</definedName>
    <definedName name="__123Graph_BRES">#REF!</definedName>
    <definedName name="__123Graph_C">#REF!</definedName>
    <definedName name="__123Graph_D">#REF!</definedName>
    <definedName name="__123Graph_E">#REF!</definedName>
    <definedName name="__123Graph_F">#REF!</definedName>
    <definedName name="__123Graph_LBL_A">#REF!</definedName>
    <definedName name="__123Graph_LBL_B">#REF!</definedName>
    <definedName name="__123Graph_X">#REF!</definedName>
    <definedName name="__123Graph_XChart1">#REF!</definedName>
    <definedName name="__123Graph_XCurrent">#REF!</definedName>
    <definedName name="__123Graph_XCUSTO">#REF!</definedName>
    <definedName name="__123Graph_XFAT">#REF!</definedName>
    <definedName name="__123Graph_XGRA1">#REF!</definedName>
    <definedName name="__123Graph_XRES">#REF!</definedName>
    <definedName name="__ACR10">#REF!</definedName>
    <definedName name="__ACR15">#REF!</definedName>
    <definedName name="__acr20">#REF!</definedName>
    <definedName name="__acr5">#REF!</definedName>
    <definedName name="__ARQ1">#REF!</definedName>
    <definedName name="__Axe3">#REF!</definedName>
    <definedName name="__Axe4">#REF!</definedName>
    <definedName name="__CO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CS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htm2">#REF!</definedName>
    <definedName name="__htn2">#REF!</definedName>
    <definedName name="__iss2">#REF!</definedName>
    <definedName name="__key2">#REF!</definedName>
    <definedName name="__la29">#REF!</definedName>
    <definedName name="__la3">#REF!</definedName>
    <definedName name="__la31">#REF!</definedName>
    <definedName name="__la32">#REF!</definedName>
    <definedName name="__la4">#REF!</definedName>
    <definedName name="__la5">#REF!</definedName>
    <definedName name="__la6">#REF!</definedName>
    <definedName name="__la7">#REF!</definedName>
    <definedName name="__la8">#REF!</definedName>
    <definedName name="__la9">#REF!</definedName>
    <definedName name="__lb1">#REF!</definedName>
    <definedName name="__lb10">#REF!</definedName>
    <definedName name="__lb11">#REF!</definedName>
    <definedName name="__lb12">#REF!</definedName>
    <definedName name="__lb13">#REF!</definedName>
    <definedName name="__lb14">#REF!</definedName>
    <definedName name="__lb15">#REF!</definedName>
    <definedName name="__lb16">#REF!</definedName>
    <definedName name="__lb17">#REF!</definedName>
    <definedName name="__lb18">#REF!</definedName>
    <definedName name="__lb19">#REF!</definedName>
    <definedName name="__lb2">#REF!</definedName>
    <definedName name="__lb20">#REF!</definedName>
    <definedName name="__lb21">#REF!</definedName>
    <definedName name="__lb22">#REF!</definedName>
    <definedName name="__lb23">#REF!</definedName>
    <definedName name="__lb24">#REF!</definedName>
    <definedName name="__lb25">#REF!</definedName>
    <definedName name="__lb27">#REF!</definedName>
    <definedName name="__lb28">#REF!</definedName>
    <definedName name="__lb29">#REF!</definedName>
    <definedName name="__lb3">#REF!</definedName>
    <definedName name="__lb30">#REF!</definedName>
    <definedName name="__lb31">#REF!</definedName>
    <definedName name="__lb32">#REF!</definedName>
    <definedName name="__lb4">#REF!</definedName>
    <definedName name="__lb5">#REF!</definedName>
    <definedName name="__lb6">#REF!</definedName>
    <definedName name="__lb7">#REF!</definedName>
    <definedName name="__lb8">#REF!</definedName>
    <definedName name="__lb9">#REF!</definedName>
    <definedName name="__lbc1">#REF!</definedName>
    <definedName name="__lbc10">#REF!</definedName>
    <definedName name="__lbc11">#REF!</definedName>
    <definedName name="__lbc12">#REF!</definedName>
    <definedName name="__lbc13">#REF!</definedName>
    <definedName name="__lbc14">#REF!</definedName>
    <definedName name="__lbc15">#REF!</definedName>
    <definedName name="__lbc16">#REF!</definedName>
    <definedName name="__lbc17">#REF!</definedName>
    <definedName name="__lbc18">#REF!</definedName>
    <definedName name="__lbc19">#REF!</definedName>
    <definedName name="__lbc2">#REF!</definedName>
    <definedName name="__lbc20">#REF!</definedName>
    <definedName name="__lbc21">#REF!</definedName>
    <definedName name="__lbc22">#REF!</definedName>
    <definedName name="__lbc23">#REF!</definedName>
    <definedName name="__lbc24">#REF!</definedName>
    <definedName name="__lbc25">#REF!</definedName>
    <definedName name="__lbc26">#REF!</definedName>
    <definedName name="__lbc27">#REF!</definedName>
    <definedName name="__lbc28">#REF!</definedName>
    <definedName name="__lbc29">#REF!</definedName>
    <definedName name="__lbc3">#REF!</definedName>
    <definedName name="__lbc31">#REF!</definedName>
    <definedName name="__lbc32">#REF!</definedName>
    <definedName name="__lbc4">#REF!</definedName>
    <definedName name="__lbc5">#REF!</definedName>
    <definedName name="__lbc6">#REF!</definedName>
    <definedName name="__lbc7">#REF!</definedName>
    <definedName name="__lbc8">#REF!</definedName>
    <definedName name="__lbc9">#REF!</definedName>
    <definedName name="__ld26">#REF!</definedName>
    <definedName name="__ld31">#REF!</definedName>
    <definedName name="__le31">#REF!</definedName>
    <definedName name="__lf31">#REF!</definedName>
    <definedName name="__PK2">{"'장비'!$A$3:$M$12"}</definedName>
    <definedName name="__PKG3">{"'장비'!$A$3:$M$12"}</definedName>
    <definedName name="__qqq222">{"'장비'!$A$3:$M$12"}</definedName>
    <definedName name="__QT100">#REF!</definedName>
    <definedName name="__QT2">#REF!</definedName>
    <definedName name="__QT3">#REF!</definedName>
    <definedName name="__QT4">#REF!</definedName>
    <definedName name="__QT50">#REF!</definedName>
    <definedName name="__QT75">#REF!</definedName>
    <definedName name="__r1">{#N/A,#N/A,FALSE,"GERAL";#N/A,#N/A,FALSE,"012-96";#N/A,#N/A,FALSE,"018-96";#N/A,#N/A,FALSE,"027-96";#N/A,#N/A,FALSE,"059-96";#N/A,#N/A,FALSE,"076-96";#N/A,#N/A,FALSE,"019-97";#N/A,#N/A,FALSE,"021-97";#N/A,#N/A,FALSE,"022-97";#N/A,#N/A,FALSE,"028-97"}</definedName>
    <definedName name="__r2">{#N/A,#N/A,FALSE,"GERAL";#N/A,#N/A,FALSE,"012-96";#N/A,#N/A,FALSE,"018-96";#N/A,#N/A,FALSE,"027-96";#N/A,#N/A,FALSE,"059-96";#N/A,#N/A,FALSE,"076-96";#N/A,#N/A,FALSE,"019-97";#N/A,#N/A,FALSE,"021-97";#N/A,#N/A,FALSE,"022-97";#N/A,#N/A,FALSE,"028-97"}</definedName>
    <definedName name="__x10">#REF!</definedName>
    <definedName name="__x11">#REF!</definedName>
    <definedName name="__x12">#REF!</definedName>
    <definedName name="__x13">#REF!</definedName>
    <definedName name="__x14">#REF!</definedName>
    <definedName name="__x15">#REF!</definedName>
    <definedName name="__x16">#REF!</definedName>
    <definedName name="__x17">#REF!</definedName>
    <definedName name="__x18">#REF!</definedName>
    <definedName name="__x19">#REF!</definedName>
    <definedName name="__x20">#REF!</definedName>
    <definedName name="__x21">#REF!</definedName>
    <definedName name="__x22">#REF!</definedName>
    <definedName name="__x23">#REF!</definedName>
    <definedName name="__x24">#REF!</definedName>
    <definedName name="__x25">#REF!</definedName>
    <definedName name="__x28">#REF!</definedName>
    <definedName name="__x29">#REF!</definedName>
    <definedName name="__x32">#REF!</definedName>
    <definedName name="__x4">#REF!</definedName>
    <definedName name="__x5">#REF!</definedName>
    <definedName name="__x6">#REF!</definedName>
    <definedName name="__x7">#REF!</definedName>
    <definedName name="__x8">#REF!</definedName>
    <definedName name="__x9">#REF!</definedName>
    <definedName name="_0.CURVA_OBRA">#REF!</definedName>
    <definedName name="_00.VAR._GASTO">#REF!</definedName>
    <definedName name="_000.CURVA_FINA">#REF!</definedName>
    <definedName name="_1">#REF!</definedName>
    <definedName name="_1__123Graph_ACHART_1">#REF!</definedName>
    <definedName name="_10__123Graph_CCHART_1">#REF!</definedName>
    <definedName name="_11.SERV.TECNIC">#REF!</definedName>
    <definedName name="_11__123Graph_DCHART_1">#REF!</definedName>
    <definedName name="_12.GAST_GERAIS">#REF!</definedName>
    <definedName name="_12__123Graph_XChart_1A">#REF!</definedName>
    <definedName name="_13.P._PERMAN.">#REF!</definedName>
    <definedName name="_15.IMPL._CANT">#REF!</definedName>
    <definedName name="_16.EQUIPAM.">#REF!</definedName>
    <definedName name="_17.OPER._CANT.">#REF!</definedName>
    <definedName name="_19.TRANC_LIMP.">#REF!</definedName>
    <definedName name="_1Dist_Val">#REF!</definedName>
    <definedName name="_2">#REF!</definedName>
    <definedName name="_2__123Graph_BCHART_1">#REF!</definedName>
    <definedName name="_25.PREP.TERREN">#REF!</definedName>
    <definedName name="_27.FUND._ESCOR">#REF!</definedName>
    <definedName name="_2F">#REF!</definedName>
    <definedName name="_3__123Graph_XCHART_1">#REF!</definedName>
    <definedName name="_31_32_33.C_A">#REF!</definedName>
    <definedName name="_41.ALVENARIA">#REF!</definedName>
    <definedName name="_47.IMP._ISOLA.">#REF!</definedName>
    <definedName name="_5__123Graph_ACHART_1">#REF!</definedName>
    <definedName name="_51.REV.ARGAMAS">#REF!</definedName>
    <definedName name="_52.REV.CERAM.I">#REF!</definedName>
    <definedName name="_53.REV.CERAM.E">#REF!</definedName>
    <definedName name="_54.TACOS_E_ASS">#REF!</definedName>
    <definedName name="_55.MARM._E_GRA">#REF!</definedName>
    <definedName name="_56.MARMORITE">#REF!</definedName>
    <definedName name="_59.OUTRS_REVES">#REF!</definedName>
    <definedName name="_6__123Graph_AChart_1A">#REF!</definedName>
    <definedName name="_61.ESQUAD._MAD">#REF!</definedName>
    <definedName name="_63.ESQUAD._ALU">#REF!</definedName>
    <definedName name="_65.ESQUAD._FER">#REF!</definedName>
    <definedName name="_67.VIDROS">#REF!</definedName>
    <definedName name="_7__123Graph_ACHART_2">#REF!</definedName>
    <definedName name="_71_73.I.ELET_H">#REF!</definedName>
    <definedName name="_77.OUTRAS_INST.">#REF!</definedName>
    <definedName name="_78.ELEVADORES">#REF!</definedName>
    <definedName name="_8__123Graph_BChart_1A">#REF!</definedName>
    <definedName name="_81.APAR._SANIT">#REF!</definedName>
    <definedName name="_83_85.PINT_LIM">#REF!</definedName>
    <definedName name="_9__123Graph_BCHART_2">#REF!</definedName>
    <definedName name="_ACR10">#REF!</definedName>
    <definedName name="_ACR15">#REF!</definedName>
    <definedName name="_acr20">#REF!</definedName>
    <definedName name="_acr5">#REF!</definedName>
    <definedName name="_akhnsdkjsdb">#REF!</definedName>
    <definedName name="_AMO_UniqueIdentifier">"'54256040-62ff-475a-9348-dbdfce08df30'"</definedName>
    <definedName name="_ARQ1">#REF!</definedName>
    <definedName name="_AtRisk_SimSetting_AutomaticallyGenerateReports">FALSE</definedName>
    <definedName name="_AtRisk_SimSetting_AutomaticResultsDisplayMode">0</definedName>
    <definedName name="_AtRisk_SimSetting_ConvergenceConfidenceLevel">0.95</definedName>
    <definedName name="_AtRisk_SimSetting_ConvergencePercentileToTest">0.9</definedName>
    <definedName name="_AtRisk_SimSetting_ConvergencePerformMeanTest">TRUE</definedName>
    <definedName name="_AtRisk_SimSetting_ConvergencePerformPercentileTest">FALSE</definedName>
    <definedName name="_AtRisk_SimSetting_ConvergencePerformStdDeviationTest">FALSE</definedName>
    <definedName name="_AtRisk_SimSetting_ConvergenceTestAllOutputs">TRUE</definedName>
    <definedName name="_AtRisk_SimSetting_ConvergenceTestingPeriod">100</definedName>
    <definedName name="_AtRisk_SimSetting_ConvergenceTolerance">0.03</definedName>
    <definedName name="_AtRisk_SimSetting_LiveUpdate">TRUE</definedName>
    <definedName name="_AtRisk_SimSetting_LiveUpdatePeriod">-1</definedName>
    <definedName name="_AtRisk_SimSetting_RandomNumberGenerator">7</definedName>
    <definedName name="_AtRisk_SimSetting_ReportsList">0</definedName>
    <definedName name="_AtRisk_SimSetting_SimNameCount">0</definedName>
    <definedName name="_AtRisk_SimSetting_SmartSensitivityAnalysisEnabled">TRUE</definedName>
    <definedName name="_AtRisk_SimSetting_StatisticFunctionUpdating">1</definedName>
    <definedName name="_AtRisk_SimSetting_StdRecalcBehavior">0</definedName>
    <definedName name="_AtRisk_SimSetting_StdRecalcWithoutRiskStatic">0</definedName>
    <definedName name="_AtRisk_SimSetting_StdRecalcWithoutRiskStaticPercentile">0.5</definedName>
    <definedName name="_Axe3">#REF!</definedName>
    <definedName name="_Axe4">#REF!</definedName>
    <definedName name="_Builtin13">#REF!</definedName>
    <definedName name="_CAB1">#REF!</definedName>
    <definedName name="_CAB2">#REF!</definedName>
    <definedName name="_CO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Dist_Bin">#REF!</definedName>
    <definedName name="_Dist_Values">#REF!</definedName>
    <definedName name="_ECS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Fill">#REF!</definedName>
    <definedName name="_fill1">#REF!</definedName>
    <definedName name="_FiltrarBancoDados2">#REF!</definedName>
    <definedName name="_htm2">#REF!</definedName>
    <definedName name="_htn2">#REF!</definedName>
    <definedName name="_IA0542">{#N/A,#N/A,FALSE,"Plan1";#N/A,#N/A,FALSE,"Plan2"}</definedName>
    <definedName name="_iss2">#REF!</definedName>
    <definedName name="_IV65617">#REF!</definedName>
    <definedName name="_IV65999">#REF!</definedName>
    <definedName name="_IV66000">#REF!</definedName>
    <definedName name="_IV67021">#REF!</definedName>
    <definedName name="_IV67022">#REF!</definedName>
    <definedName name="_Key1">#REF!</definedName>
    <definedName name="_Key2">#REF!</definedName>
    <definedName name="_KEY3">#REF!</definedName>
    <definedName name="_key4">#REF!</definedName>
    <definedName name="_l">#REF!</definedName>
    <definedName name="_la29">#REF!</definedName>
    <definedName name="_la3">#REF!</definedName>
    <definedName name="_la31">#REF!</definedName>
    <definedName name="_la32">#REF!</definedName>
    <definedName name="_la4">#REF!</definedName>
    <definedName name="_la5">#REF!</definedName>
    <definedName name="_la6">#REF!</definedName>
    <definedName name="_la7">#REF!</definedName>
    <definedName name="_la8">#REF!</definedName>
    <definedName name="_la9">#REF!</definedName>
    <definedName name="_lb1">#REF!</definedName>
    <definedName name="_lb10">#REF!</definedName>
    <definedName name="_lb11">#REF!</definedName>
    <definedName name="_lb12">#REF!</definedName>
    <definedName name="_lb13">#REF!</definedName>
    <definedName name="_lb14">#REF!</definedName>
    <definedName name="_lb15">#REF!</definedName>
    <definedName name="_lb16">#REF!</definedName>
    <definedName name="_lb17">#REF!</definedName>
    <definedName name="_lb18">#REF!</definedName>
    <definedName name="_lb19">#REF!</definedName>
    <definedName name="_lb2">#REF!</definedName>
    <definedName name="_lb20">#REF!</definedName>
    <definedName name="_lb21">#REF!</definedName>
    <definedName name="_lb22">#REF!</definedName>
    <definedName name="_lb23">#REF!</definedName>
    <definedName name="_lb24">#REF!</definedName>
    <definedName name="_lb25">#REF!</definedName>
    <definedName name="_lb27">#REF!</definedName>
    <definedName name="_lb28">#REF!</definedName>
    <definedName name="_lb29">#REF!</definedName>
    <definedName name="_lb3">#REF!</definedName>
    <definedName name="_lb30">#REF!</definedName>
    <definedName name="_lb31">#REF!</definedName>
    <definedName name="_lb32">#REF!</definedName>
    <definedName name="_lb4">#REF!</definedName>
    <definedName name="_lb5">#REF!</definedName>
    <definedName name="_lb6">#REF!</definedName>
    <definedName name="_lb7">#REF!</definedName>
    <definedName name="_lb8">#REF!</definedName>
    <definedName name="_lb9">#REF!</definedName>
    <definedName name="_lbc1">#REF!</definedName>
    <definedName name="_lbc10">#REF!</definedName>
    <definedName name="_lbc11">#REF!</definedName>
    <definedName name="_lbc12">#REF!</definedName>
    <definedName name="_lbc13">#REF!</definedName>
    <definedName name="_lbc14">#REF!</definedName>
    <definedName name="_lbc15">#REF!</definedName>
    <definedName name="_lbc16">#REF!</definedName>
    <definedName name="_lbc17">#REF!</definedName>
    <definedName name="_lbc18">#REF!</definedName>
    <definedName name="_lbc19">#REF!</definedName>
    <definedName name="_lbc2">#REF!</definedName>
    <definedName name="_lbc20">#REF!</definedName>
    <definedName name="_lbc21">#REF!</definedName>
    <definedName name="_lbc22">#REF!</definedName>
    <definedName name="_lbc23">#REF!</definedName>
    <definedName name="_lbc24">#REF!</definedName>
    <definedName name="_lbc25">#REF!</definedName>
    <definedName name="_lbc26">#REF!</definedName>
    <definedName name="_lbc27">#REF!</definedName>
    <definedName name="_lbc28">#REF!</definedName>
    <definedName name="_lbc29">#REF!</definedName>
    <definedName name="_lbc3">#REF!</definedName>
    <definedName name="_lbc31">#REF!</definedName>
    <definedName name="_lbc32">#REF!</definedName>
    <definedName name="_lbc4">#REF!</definedName>
    <definedName name="_lbc5">#REF!</definedName>
    <definedName name="_lbc6">#REF!</definedName>
    <definedName name="_lbc7">#REF!</definedName>
    <definedName name="_lbc8">#REF!</definedName>
    <definedName name="_lbc9">#REF!</definedName>
    <definedName name="_ld26">#REF!</definedName>
    <definedName name="_ld31">#REF!</definedName>
    <definedName name="_le31">#REF!</definedName>
    <definedName name="_lf31">#REF!</definedName>
    <definedName name="_MatInverse_In">#REF!</definedName>
    <definedName name="_MatMult_A">#REF!</definedName>
    <definedName name="_MatMult_AxB">#REF!</definedName>
    <definedName name="_MatMult_B">#REF!</definedName>
    <definedName name="_new11">{#N/A,#N/A,FALSE,"Global by BU";#N/A,#N/A,FALSE,"U.S. by BU";#N/A,#N/A,FALSE,"Canada by BU";#N/A,#N/A,FALSE,"Europe by BU";#N/A,#N/A,FALSE,"Asia by BU";#N/A,#N/A,FALSE,"Cala by BU"}</definedName>
    <definedName name="_Order1">0</definedName>
    <definedName name="_Order2">255</definedName>
    <definedName name="_Parse_Out">#REF!</definedName>
    <definedName name="_PAV01">#REF!</definedName>
    <definedName name="_PAV02">#REF!</definedName>
    <definedName name="_PAV03">#REF!</definedName>
    <definedName name="_PAV04">#REF!</definedName>
    <definedName name="_PAV05">#REF!</definedName>
    <definedName name="_PAV06">#REF!</definedName>
    <definedName name="_PAV07">#REF!</definedName>
    <definedName name="_PAV08">#REF!</definedName>
    <definedName name="_PAV09">#REF!</definedName>
    <definedName name="_PAV10">#REF!</definedName>
    <definedName name="_PAV11">#REF!</definedName>
    <definedName name="_PK2">{"'장비'!$A$3:$M$12"}</definedName>
    <definedName name="_PKG3">{"'장비'!$A$3:$M$12"}</definedName>
    <definedName name="_qqq222">{"'장비'!$A$3:$M$12"}</definedName>
    <definedName name="_QT100">#REF!</definedName>
    <definedName name="_QT2">#REF!</definedName>
    <definedName name="_QT3">#REF!</definedName>
    <definedName name="_QT4">#REF!</definedName>
    <definedName name="_QT50">#REF!</definedName>
    <definedName name="_QT75">#REF!</definedName>
    <definedName name="_r1">{#N/A,#N/A,FALSE,"GERAL";#N/A,#N/A,FALSE,"012-96";#N/A,#N/A,FALSE,"018-96";#N/A,#N/A,FALSE,"027-96";#N/A,#N/A,FALSE,"059-96";#N/A,#N/A,FALSE,"076-96";#N/A,#N/A,FALSE,"019-97";#N/A,#N/A,FALSE,"021-97";#N/A,#N/A,FALSE,"022-97";#N/A,#N/A,FALSE,"028-97"}</definedName>
    <definedName name="_R2">{#N/A,#N/A,FALSE,"GERAL";#N/A,#N/A,FALSE,"012-96";#N/A,#N/A,FALSE,"018-96";#N/A,#N/A,FALSE,"027-96";#N/A,#N/A,FALSE,"059-96";#N/A,#N/A,FALSE,"076-96";#N/A,#N/A,FALSE,"019-97";#N/A,#N/A,FALSE,"021-97";#N/A,#N/A,FALSE,"022-97";#N/A,#N/A,FALSE,"028-97"}</definedName>
    <definedName name="_Regression_Int">1</definedName>
    <definedName name="_Regression_Out">#REF!</definedName>
    <definedName name="_Regression_X">#REF!</definedName>
    <definedName name="_Regression_Y">#REF!</definedName>
    <definedName name="_sfe5">{TRUE,TRUE,-1.25,-15.5,604.5,366.75,FALSE,FALSE,TRUE,TRUE,0,1,#N/A,1,#N/A,9.0125,24.4117647058824,1,FALSE,FALSE,3,TRUE,1,FALSE,100,"Swvu.PLANILHA2.","ACwvu.PLANILHA2.",#N/A,FALSE,FALSE,0.787401575,0.34,0.46,0.5,1,"","",FALSE,FALSE,FALSE,FALSE,1,#N/A,1,1,FALSE,FALSE,#N/A,#N/A,FALSE,FALSE,FALSE,9,65532,65532,FALSE,FALSE,TRUE,TRUE,TRUE}</definedName>
    <definedName name="_Sort">#REF!</definedName>
    <definedName name="_T">#REF!</definedName>
    <definedName name="_Table1_In1">#REF!</definedName>
    <definedName name="_Table1_Out">#REF!</definedName>
    <definedName name="_wer3">{#N/A,#N/A,FALSE,"Plan1";#N/A,#N/A,FALSE,"Plan2"}</definedName>
    <definedName name="_wrn.pendencias">{#N/A,#N/A,FALSE,"GERAL";#N/A,#N/A,FALSE,"012-96";#N/A,#N/A,FALSE,"018-96";#N/A,#N/A,FALSE,"027-96";#N/A,#N/A,FALSE,"059-96";#N/A,#N/A,FALSE,"076-96";#N/A,#N/A,FALSE,"019-97";#N/A,#N/A,FALSE,"021-97";#N/A,#N/A,FALSE,"022-97";#N/A,#N/A,FALSE,"028-97"}</definedName>
    <definedName name="_x10">#REF!</definedName>
    <definedName name="_x11">#REF!</definedName>
    <definedName name="_x12">#REF!</definedName>
    <definedName name="_x13">#REF!</definedName>
    <definedName name="_x14">#REF!</definedName>
    <definedName name="_x15">#REF!</definedName>
    <definedName name="_x16">#REF!</definedName>
    <definedName name="_x17">#REF!</definedName>
    <definedName name="_x18">#REF!</definedName>
    <definedName name="_x19">#REF!</definedName>
    <definedName name="_x20">#REF!</definedName>
    <definedName name="_x21">#REF!</definedName>
    <definedName name="_x22">#REF!</definedName>
    <definedName name="_x23">#REF!</definedName>
    <definedName name="_x24">#REF!</definedName>
    <definedName name="_x25">#REF!</definedName>
    <definedName name="_x28">#REF!</definedName>
    <definedName name="_x29">#REF!</definedName>
    <definedName name="_x32">#REF!</definedName>
    <definedName name="_x4">#REF!</definedName>
    <definedName name="_x5">#REF!</definedName>
    <definedName name="_x6">#REF!</definedName>
    <definedName name="_x7">#REF!</definedName>
    <definedName name="_x8">#REF!</definedName>
    <definedName name="_x9">#REF!</definedName>
    <definedName name="_xlcn.WorksheetConnection_2018_03ResumoRGOObrasRJ.xlsbTabela1">#REF!</definedName>
    <definedName name="_xlcn.WorksheetConnection_ProjetocontrolefisicoefinanceiroRJ.xlsxTabela31">#REF!</definedName>
    <definedName name="´cAE°eE¹" hidden="1">#REF!</definedName>
    <definedName name="￠￥cAE¡ÆeEⓒo" hidden="1">#REF!</definedName>
    <definedName name="a">#REF!</definedName>
    <definedName name="a\sgt" hidden="1">{#N/A,#N/A,FALSE,"Plan1";#N/A,#N/A,FALSE,"Plan2"}</definedName>
    <definedName name="aa">#REF!</definedName>
    <definedName name="aaa">#REF!</definedName>
    <definedName name="AAAA">{TRUE,TRUE,-1.25,-15.5,604.5,366.75,FALSE,FALSE,TRUE,TRUE,0,1,#N/A,1,#N/A,9.0125,24.4117647058824,1,FALSE,FALSE,3,TRUE,1,FALSE,100,"Swvu.PLANILHA2.","ACwvu.PLANILHA2.",#N/A,FALSE,FALSE,0.787401575,0.34,0.46,0.5,1,"","",FALSE,FALSE,FALSE,FALSE,1,#N/A,1,1,FALSE,FALSE,#N/A,#N/A,FALSE,FALSE,FALSE,9,65532,65532,FALSE,FALSE,TRUE,TRUE,TRUE}</definedName>
    <definedName name="aaaaaaaaa">{TRUE,TRUE,-1.25,-15.5,604.5,366.75,FALSE,FALSE,TRUE,TRUE,0,1,#N/A,1,#N/A,9.0125,24.4117647058824,1,FALSE,FALSE,3,TRUE,1,FALSE,100,"Swvu.PLANILHA2.","ACwvu.PLANILHA2.",#N/A,FALSE,FALSE,0.787401575,0.34,0.46,0.5,1,"","",FALSE,FALSE,FALSE,FALSE,1,#N/A,1,1,FALSE,FALSE,#N/A,#N/A,FALSE,FALSE,FALSE,9,65532,65532,FALSE,FALSE,TRUE,TRUE,TRUE}</definedName>
    <definedName name="aaaadc">#REF!</definedName>
    <definedName name="aaacccc">{#N/A,#N/A,FALSE,"Plan1";#N/A,#N/A,FALSE,"Plan2"}</definedName>
    <definedName name="aaas">#REF!</definedName>
    <definedName name="AB">#REF!</definedName>
    <definedName name="Abat_ISS">#REF!</definedName>
    <definedName name="abc">{#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BCD">#REF!</definedName>
    <definedName name="abebqt">#REF!</definedName>
    <definedName name="abr17RJ">#REF!</definedName>
    <definedName name="ABRIL">#REF!</definedName>
    <definedName name="ABRIL2001">#REF!</definedName>
    <definedName name="ac">#REF!</definedName>
    <definedName name="Acabam.">#REF!</definedName>
    <definedName name="ACADUC">#REF!</definedName>
    <definedName name="ACBEB">#REF!</definedName>
    <definedName name="ACBOMB">#REF!</definedName>
    <definedName name="AccessDatabase">"C:\posec\DATABASE\vlv_list\vlvlist1.mdb"</definedName>
    <definedName name="ACCHAF">#REF!</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db">#REF!</definedName>
    <definedName name="ACDER">#REF!</definedName>
    <definedName name="ACDIV">#REF!</definedName>
    <definedName name="ACDS">#REF!</definedName>
    <definedName name="ACEQP">#REF!</definedName>
    <definedName name="ACHAFQT">#REF!</definedName>
    <definedName name="achar18">#REF!</definedName>
    <definedName name="achar19">#REF!</definedName>
    <definedName name="achart1">#REF!</definedName>
    <definedName name="achart10">#REF!</definedName>
    <definedName name="achart11">#REF!</definedName>
    <definedName name="achart12">#REF!</definedName>
    <definedName name="achart13">#REF!</definedName>
    <definedName name="achart14">#REF!</definedName>
    <definedName name="achart15">#REF!</definedName>
    <definedName name="achart16">#REF!</definedName>
    <definedName name="achart17">#REF!</definedName>
    <definedName name="achart2">#REF!</definedName>
    <definedName name="achart20">#REF!</definedName>
    <definedName name="achart21">#REF!</definedName>
    <definedName name="achart22">#REF!</definedName>
    <definedName name="achart23">#REF!</definedName>
    <definedName name="achart24">#REF!</definedName>
    <definedName name="achart25">#REF!</definedName>
    <definedName name="achart26">#REF!</definedName>
    <definedName name="achart27">#REF!</definedName>
    <definedName name="achart28">#REF!</definedName>
    <definedName name="achart29">#REF!</definedName>
    <definedName name="achart3">#REF!</definedName>
    <definedName name="achart30">#REF!</definedName>
    <definedName name="achart31">#REF!</definedName>
    <definedName name="achart32">#REF!</definedName>
    <definedName name="achart4">#REF!</definedName>
    <definedName name="achart5">#REF!</definedName>
    <definedName name="achart6">#REF!</definedName>
    <definedName name="achart7">#REF!</definedName>
    <definedName name="achart8">#REF!</definedName>
    <definedName name="achart9">#REF!</definedName>
    <definedName name="ACMUR">#REF!</definedName>
    <definedName name="açoeeer">{#N/A,#N/A,FALSE,"Plan1";#N/A,#N/A,FALSE,"Plan2"}</definedName>
    <definedName name="ACOMP">#REF!</definedName>
    <definedName name="ACONT2">#REF!</definedName>
    <definedName name="ACPIPA">#REF!</definedName>
    <definedName name="ACTRANSP">#REF!</definedName>
    <definedName name="ACwvu.Características.">#REF!</definedName>
    <definedName name="ACwvu.Ciclos.">#REF!</definedName>
    <definedName name="ACwvu.Custos.">#REF!</definedName>
    <definedName name="ACwvu.PLANILHA2.">#REF!</definedName>
    <definedName name="ACwvu.Recursos.">#REF!</definedName>
    <definedName name="ad">{#N/A,#N/A,FALSE,"Plan1";#N/A,#N/A,FALSE,"Plan2"}</definedName>
    <definedName name="adads">{#N/A,#N/A,FALSE,"Plan1";#N/A,#N/A,FALSE,"Plan2"}</definedName>
    <definedName name="adads2">{#N/A,#N/A,FALSE,"Plan1";#N/A,#N/A,FALSE,"Plan2"}</definedName>
    <definedName name="adced">{#N/A,#N/A,FALSE,"Plan1";#N/A,#N/A,FALSE,"Plan2"}</definedName>
    <definedName name="adced2">{#N/A,#N/A,FALSE,"Plan1";#N/A,#N/A,FALSE,"Plan2"}</definedName>
    <definedName name="ader">{#N/A,#N/A,FALSE,"Plan1";#N/A,#N/A,FALSE,"Plan2"}</definedName>
    <definedName name="ader2">{#N/A,#N/A,FALSE,"Plan1";#N/A,#N/A,FALSE,"Plan2"}</definedName>
    <definedName name="adesr">{#N/A,#N/A,FALSE,"Plan1";#N/A,#N/A,FALSE,"Plan2"}</definedName>
    <definedName name="adew">"3ORZTPXRHBU97C8AJ5UM8CAVA"</definedName>
    <definedName name="adewr">{#N/A,#N/A,FALSE,"Plan1";#N/A,#N/A,FALSE,"Plan2"}</definedName>
    <definedName name="adf">{#N/A,#N/A,FALSE,"Plan1";#N/A,#N/A,FALSE,"Plan2"}</definedName>
    <definedName name="ADITIVO_BRUTO">#REF!</definedName>
    <definedName name="ADITIVO_LIQUIDO">#REF!</definedName>
    <definedName name="ADM.EXTERNA">#REF!</definedName>
    <definedName name="adsfr">{#N/A,#N/A,FALSE,"Plan1";#N/A,#N/A,FALSE,"Plan2"}</definedName>
    <definedName name="adssrgtg">{#N/A,#N/A,FALSE,"Plan1";#N/A,#N/A,FALSE,"Plan2"}</definedName>
    <definedName name="adtsetrr6t">{#N/A,#N/A,FALSE,"Plan1";#N/A,#N/A,FALSE,"Plan2"}</definedName>
    <definedName name="ADUCQT">#REF!</definedName>
    <definedName name="adwr">{#N/A,#N/A,FALSE,"Plan1";#N/A,#N/A,FALSE,"Plan2"}</definedName>
    <definedName name="aeiresft">{#N/A,#N/A,FALSE,"Plan1";#N/A,#N/A,FALSE,"Plan2"}</definedName>
    <definedName name="aEL3QE">{#N/A,#N/A,FALSE,"Plan1";#N/A,#N/A,FALSE,"Plan2"}</definedName>
    <definedName name="afeasfre">{#N/A,#N/A,FALSE,"Plan1";#N/A,#N/A,FALSE,"Plan2"}</definedName>
    <definedName name="agdsf">#REF!</definedName>
    <definedName name="ago17RJ">#REF!</definedName>
    <definedName name="AGOSTO">#REF!</definedName>
    <definedName name="agua">{#N/A,#N/A,FALSE,"GERAL";#N/A,#N/A,FALSE,"012-96";#N/A,#N/A,FALSE,"018-96";#N/A,#N/A,FALSE,"027-96";#N/A,#N/A,FALSE,"059-96";#N/A,#N/A,FALSE,"076-96";#N/A,#N/A,FALSE,"019-97";#N/A,#N/A,FALSE,"021-97";#N/A,#N/A,FALSE,"022-97";#N/A,#N/A,FALSE,"028-97"}</definedName>
    <definedName name="AH">{#N/A,#N/A,FALSE,"CCTV"}</definedName>
    <definedName name="AITEM">#REF!</definedName>
    <definedName name="Ajudante_Geral">#REF!</definedName>
    <definedName name="ajudante_mes">#REF!</definedName>
    <definedName name="AL">#REF!</definedName>
    <definedName name="ALTADUC">#REF!</definedName>
    <definedName name="ALTBOMB">#REF!</definedName>
    <definedName name="ALTCAP">#REF!</definedName>
    <definedName name="ALTDER">#REF!</definedName>
    <definedName name="ALTEQUIP">#REF!</definedName>
    <definedName name="ALTIEQP">#REF!</definedName>
    <definedName name="ALTMUR">#REF!</definedName>
    <definedName name="ALTRES10">#REF!</definedName>
    <definedName name="ALTRES15">#REF!</definedName>
    <definedName name="ALTRES20">#REF!</definedName>
    <definedName name="ALTTRANS">#REF!</definedName>
    <definedName name="ALUMÍNIO_2">#REF!</definedName>
    <definedName name="angelo">#REF!</definedName>
    <definedName name="anscount">3</definedName>
    <definedName name="AQE">{"'장비'!$A$3:$M$12"}</definedName>
    <definedName name="AQTEMP1">#REF!</definedName>
    <definedName name="AQTEMP2">#REF!</definedName>
    <definedName name="ArComprimido">{"'Estimativa de Lançamento-JAN'!$A$1:$AI$85"}</definedName>
    <definedName name="area">{#N/A,#N/A,FALSE,"Plan1";#N/A,#N/A,FALSE,"Plan2"}</definedName>
    <definedName name="área">#REF!</definedName>
    <definedName name="Área_Construída">#REF!</definedName>
    <definedName name="Área_impressão_IM">#REF!</definedName>
    <definedName name="Área_Privativa">#REF!</definedName>
    <definedName name="Área_Terreno">#REF!</definedName>
    <definedName name="area1">#REF!</definedName>
    <definedName name="Areaimpresso">#REF!</definedName>
    <definedName name="ARM">#REF!</definedName>
    <definedName name="ARMABLOCOS">#REF!</definedName>
    <definedName name="ARMAÇÃO">#REF!</definedName>
    <definedName name="ARQ">#REF!</definedName>
    <definedName name="ARQERR">#REF!</definedName>
    <definedName name="ARQPLAN">#REF!</definedName>
    <definedName name="ARQT">#REF!</definedName>
    <definedName name="ARQTEMP">#REF!</definedName>
    <definedName name="ARQTXT">#REF!</definedName>
    <definedName name="ARTEMP">#REF!</definedName>
    <definedName name="AS">#REF!</definedName>
    <definedName name="AS2DocOpenMode">"AS2DocumentBrowse"</definedName>
    <definedName name="asawe3">{#N/A,#N/A,FALSE,"Plan1";#N/A,#N/A,FALSE,"Plan2"}</definedName>
    <definedName name="ASD">17</definedName>
    <definedName name="ASDA">{#N/A,#N/A,FALSE,"Plan1";#N/A,#N/A,FALSE,"Plan2"}</definedName>
    <definedName name="asdade">{#N/A,#N/A,FALSE,"Plan1";#N/A,#N/A,FALSE,"Plan2"}</definedName>
    <definedName name="asdas">{#N/A,#N/A,FALSE,"Plan1";#N/A,#N/A,FALSE,"Plan2"}</definedName>
    <definedName name="asdawed">{#N/A,#N/A,FALSE,"Plan1";#N/A,#N/A,FALSE,"Plan2"}</definedName>
    <definedName name="ASDER">{#N/A,#N/A,FALSE,"Plan1";#N/A,#N/A,FALSE,"Plan2"}</definedName>
    <definedName name="asderr">{#N/A,#N/A,FALSE,"Plan1";#N/A,#N/A,FALSE,"Plan2"}</definedName>
    <definedName name="asdesre">{#N/A,#N/A,FALSE,"Plan1";#N/A,#N/A,FALSE,"Plan2"}</definedName>
    <definedName name="asdewr">{#N/A,#N/A,FALSE,"Plan1";#N/A,#N/A,FALSE,"Plan2"}</definedName>
    <definedName name="ASDFASDFA">{#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ASDFADF">{#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rrtr">{TRUE,TRUE,-1.25,-15.5,604.5,366.75,FALSE,FALSE,TRUE,TRUE,0,1,#N/A,1,#N/A,9.0125,24.4117647058824,1,FALSE,FALSE,3,TRUE,1,FALSE,100,"Swvu.PLANILHA2.","ACwvu.PLANILHA2.",#N/A,FALSE,FALSE,0.787401575,0.34,0.46,0.5,1,"","",FALSE,FALSE,FALSE,FALSE,1,#N/A,1,1,FALSE,FALSE,#N/A,#N/A,FALSE,FALSE,FALSE,9,65532,65532,FALSE,FALSE,TRUE,TRUE,TRUE}</definedName>
    <definedName name="asdfs">{#N/A,#N/A,FALSE,"Plan1";#N/A,#N/A,FALSE,"Plan2"}</definedName>
    <definedName name="asdg">{#N/A,#N/A,FALSE,"Plan1";#N/A,#N/A,FALSE,"Plan2"}</definedName>
    <definedName name="asdjksej">#REF!</definedName>
    <definedName name="asdked">{TRUE,TRUE,-1.25,-15.5,604.5,366.75,FALSE,FALSE,TRUE,TRUE,0,1,#N/A,1,#N/A,9.0125,24.4117647058824,1,FALSE,FALSE,3,TRUE,1,FALSE,100,"Swvu.PLANILHA2.","ACwvu.PLANILHA2.",#N/A,FALSE,FALSE,0.787401575,0.34,0.46,0.5,1,"","",FALSE,FALSE,FALSE,FALSE,1,#N/A,1,1,FALSE,FALSE,#N/A,#N/A,FALSE,FALSE,FALSE,9,65532,65532,FALSE,FALSE,TRUE,TRUE,TRUE}</definedName>
    <definedName name="asdlas">{#N/A,#N/A,FALSE,"Plan1";#N/A,#N/A,FALSE,"Plan2"}</definedName>
    <definedName name="asdqwe">{#N/A,#N/A,FALSE,"Plan1";#N/A,#N/A,FALSE,"Plan2"}</definedName>
    <definedName name="asdsa">{#N/A,#N/A,FALSE,"Plan1";#N/A,#N/A,FALSE,"Plan2"}</definedName>
    <definedName name="asdser">{#N/A,#N/A,FALSE,"Plan1";#N/A,#N/A,FALSE,"Plan2"}</definedName>
    <definedName name="asdwef">{#N/A,#N/A,FALSE,"Plan1";#N/A,#N/A,FALSE,"Plan2"}</definedName>
    <definedName name="aseiuw">#REF!</definedName>
    <definedName name="ASET">{#N/A,#N/A,FALSE,"Plan1";#N/A,#N/A,FALSE,"Plan2"}</definedName>
    <definedName name="asfDSF">{#N/A,#N/A,FALSE,"Plan1";#N/A,#N/A,FALSE,"Plan2"}</definedName>
    <definedName name="ASFERTE">{#N/A,#N/A,FALSE,"Plan1";#N/A,#N/A,FALSE,"Plan2"}</definedName>
    <definedName name="asfl">{#N/A,#N/A,FALSE,"Plan1";#N/A,#N/A,FALSE,"Plan2"}</definedName>
    <definedName name="asfsz">{#N/A,#N/A,FALSE,"Plan1";#N/A,#N/A,FALSE,"Plan2"}</definedName>
    <definedName name="askserf">{#N/A,#N/A,FALSE,"Plan1";#N/A,#N/A,FALSE,"Plan2"}</definedName>
    <definedName name="ASSFSDF">{#N/A,#N/A,FALSE,"Plan1";#N/A,#N/A,FALSE,"Plan2"}</definedName>
    <definedName name="asw">{#N/A,#N/A,FALSE,"Plan1";#N/A,#N/A,FALSE,"Plan2"}</definedName>
    <definedName name="Até_Chaves">#REF!</definedName>
    <definedName name="ATIVOS">{#N/A,#N/A,FALSE,"F-01"}</definedName>
    <definedName name="Ato">#REF!</definedName>
    <definedName name="ATUAL">#REF!</definedName>
    <definedName name="aux">#REF!</definedName>
    <definedName name="AUXILIO">#REF!</definedName>
    <definedName name="avulsos">#REF!</definedName>
    <definedName name="awdjw">{#N/A,#N/A,FALSE,"Plan1";#N/A,#N/A,FALSE,"Plan2"}</definedName>
    <definedName name="aweqw4">{#N/A,#N/A,FALSE,"Plan1";#N/A,#N/A,FALSE,"Plan2"}</definedName>
    <definedName name="awssdwaer">{#N/A,#N/A,FALSE,"Plan1";#N/A,#N/A,FALSE,"Plan2"}</definedName>
    <definedName name="AZ">#REF!</definedName>
    <definedName name="B">#REF!</definedName>
    <definedName name="BA">#REF!</definedName>
    <definedName name="balão1">"AutoForma 17"</definedName>
    <definedName name="BANCO">#REF!</definedName>
    <definedName name="Banco_dados_IM">#REF!</definedName>
    <definedName name="_xlnm.Database">#REF!</definedName>
    <definedName name="BANCO1">#REF!</definedName>
    <definedName name="BANCO2">#REF!</definedName>
    <definedName name="BANCO3">#REF!</definedName>
    <definedName name="BANCO4">#REF!</definedName>
    <definedName name="BASE">OFFSET(#REF!,0,0,COUNTA(#REF!)+1,5)</definedName>
    <definedName name="BASE_DE_DADOS_FLUXO_DE_CAIXA">OFFSET(#REF!,0,0,COUNTA(#REF!),COUNTA(#REF!))</definedName>
    <definedName name="BASE_FL_CX_3S">OFFSET(#REF!,0,0,COUNTA(#REF!),COUNTA(#REF!))</definedName>
    <definedName name="BASE_FLUXO_CAIXA_2017">OFFSET(#REF!,0,0,COUNTA(#REF!),COUNTA(#REF!))</definedName>
    <definedName name="bb">#REF!</definedName>
    <definedName name="bbb">#REF!</definedName>
    <definedName name="bbbbbbbbbbbbbbb">{"'Edit'!$A$1:$V$2277"}</definedName>
    <definedName name="bchar10">#REF!</definedName>
    <definedName name="bchart1">#REF!</definedName>
    <definedName name="bchart11">#REF!</definedName>
    <definedName name="bchart12">#REF!</definedName>
    <definedName name="bchart13">#REF!</definedName>
    <definedName name="bchart14">#REF!</definedName>
    <definedName name="bchart15">#REF!</definedName>
    <definedName name="bchart16">#REF!</definedName>
    <definedName name="bchart17">#REF!</definedName>
    <definedName name="bchart18">#REF!</definedName>
    <definedName name="bchart19">#REF!</definedName>
    <definedName name="bchart2">#REF!</definedName>
    <definedName name="bchart20">#REF!</definedName>
    <definedName name="bchart21">#REF!</definedName>
    <definedName name="bchart22">#REF!</definedName>
    <definedName name="bchart23">#REF!</definedName>
    <definedName name="bchart24">#REF!</definedName>
    <definedName name="bchart25">#REF!</definedName>
    <definedName name="bchart26">#REF!</definedName>
    <definedName name="bchart27">#REF!</definedName>
    <definedName name="bchart28">#REF!</definedName>
    <definedName name="bchart29">#REF!</definedName>
    <definedName name="bchart3">#REF!</definedName>
    <definedName name="bchart30">#REF!</definedName>
    <definedName name="bchart31">#REF!</definedName>
    <definedName name="bchart32">#REF!</definedName>
    <definedName name="bchart4">#REF!</definedName>
    <definedName name="bchart5">#REF!</definedName>
    <definedName name="bchart6">#REF!</definedName>
    <definedName name="bchart7">#REF!</definedName>
    <definedName name="bchart8">#REF!</definedName>
    <definedName name="bchart9">#REF!</definedName>
    <definedName name="BD">#REF!</definedName>
    <definedName name="BDA">#REF!</definedName>
    <definedName name="bdfjghf">{#N/A,#N/A,FALSE,"Plan1";#N/A,#N/A,FALSE,"Plan2"}</definedName>
    <definedName name="BDI">#REF!</definedName>
    <definedName name="bdzbfbdr">{#N/A,#N/A,FALSE,"Plan1";#N/A,#N/A,FALSE,"Plan2"}</definedName>
    <definedName name="be">#REF!</definedName>
    <definedName name="bebqt">#REF!</definedName>
    <definedName name="bela_cdi">#REF!</definedName>
    <definedName name="bela_hist">#REF!</definedName>
    <definedName name="bela_uss">#REF!</definedName>
    <definedName name="bg">#REF!</definedName>
    <definedName name="BGG">{#N/A,#N/A,FALSE,"Plan1";#N/A,#N/A,FALSE,"Plan2"}</definedName>
    <definedName name="bhjgfhfhg">{TRUE,TRUE,-1.25,-15.5,604.5,366.75,FALSE,FALSE,TRUE,TRUE,0,1,#N/A,1,#N/A,9.0125,24.4117647058824,1,FALSE,FALSE,3,TRUE,1,FALSE,100,"Swvu.PLANILHA2.","ACwvu.PLANILHA2.",#N/A,FALSE,FALSE,0.787401575,0.34,0.46,0.5,1,"","",FALSE,FALSE,FALSE,FALSE,1,#N/A,1,1,FALSE,FALSE,#N/A,#N/A,FALSE,FALSE,FALSE,9,65532,65532,FALSE,FALSE,TRUE,TRUE,TRUE}</definedName>
    <definedName name="BJGO">{TRUE,TRUE,-1.25,-15.5,604.5,366.75,FALSE,FALSE,TRUE,TRUE,0,1,#N/A,1,#N/A,9.0125,24.4117647058824,1,FALSE,FALSE,3,TRUE,1,FALSE,100,"Swvu.PLANILHA2.","ACwvu.PLANILHA2.",#N/A,FALSE,FALSE,0.787401575,0.34,0.46,0.5,1,"","",FALSE,FALSE,FALSE,FALSE,1,#N/A,1,1,FALSE,FALSE,#N/A,#N/A,FALSE,FALSE,FALSE,9,65532,65532,FALSE,FALSE,TRUE,TRUE,TRUE}</definedName>
    <definedName name="BJSDKHFE">{#N/A,#N/A,FALSE,"Plan1";#N/A,#N/A,FALSE,"Plan2"}</definedName>
    <definedName name="bloco">#REF!</definedName>
    <definedName name="BLPH1">#REF!</definedName>
    <definedName name="BLPH100">#REF!</definedName>
    <definedName name="BLPH101">#REF!</definedName>
    <definedName name="BLPH102">#REF!</definedName>
    <definedName name="BLPH103">#REF!</definedName>
    <definedName name="BLPH104">#REF!</definedName>
    <definedName name="BLPH107">#REF!</definedName>
    <definedName name="BLPH2">#REF!</definedName>
    <definedName name="BLPH3">#REF!</definedName>
    <definedName name="BLPH4">#REF!</definedName>
    <definedName name="BLPH5">#REF!</definedName>
    <definedName name="BLPH6">#REF!</definedName>
    <definedName name="BLPH7">#REF!</definedName>
    <definedName name="BLPH8">#REF!</definedName>
    <definedName name="BLPH96">#REF!</definedName>
    <definedName name="BLPH97">#REF!</definedName>
    <definedName name="BLPH98">#REF!</definedName>
    <definedName name="BLPH99">#REF!</definedName>
    <definedName name="bmdgghrtfde">{#N/A,#N/A,FALSE,"Plan1";#N/A,#N/A,FALSE,"Plan2"}</definedName>
    <definedName name="bnkjhjhdfxgt">{#N/A,#N/A,FALSE,"Plan1";#N/A,#N/A,FALSE,"Plan2"}</definedName>
    <definedName name="BORBA2">#REF!</definedName>
    <definedName name="BORDA1">#REF!</definedName>
    <definedName name="BuiltIn_Print_Area">#REF!</definedName>
    <definedName name="BuiltIn_Print_Area___0">#REF!</definedName>
    <definedName name="BuiltIn_Print_Titles">#REF!</definedName>
    <definedName name="BuiltIn_Print_Titles___0">#REF!</definedName>
    <definedName name="BV">#REF!</definedName>
    <definedName name="bxnzfmkzxbhdf">{#N/A,#N/A,FALSE,"Plan1";#N/A,#N/A,FALSE,"Plan2"}</definedName>
    <definedName name="ca">#REF!</definedName>
    <definedName name="CAB">#REF!</definedName>
    <definedName name="CAFS">"Carlos Antonio Fernandes da Silva"</definedName>
    <definedName name="CAGR">#REF!</definedName>
    <definedName name="caixa">#REF!</definedName>
    <definedName name="caixas">{#N/A,#N/A,FALSE,"GERAL";#N/A,#N/A,FALSE,"012-96";#N/A,#N/A,FALSE,"018-96";#N/A,#N/A,FALSE,"027-96";#N/A,#N/A,FALSE,"059-96";#N/A,#N/A,FALSE,"076-96";#N/A,#N/A,FALSE,"019-97";#N/A,#N/A,FALSE,"021-97";#N/A,#N/A,FALSE,"022-97";#N/A,#N/A,FALSE,"028-97"}</definedName>
    <definedName name="Cambio">#REF!</definedName>
    <definedName name="CAMP">#REF!</definedName>
    <definedName name="CAMPOS">#REF!</definedName>
    <definedName name="çaos\ewapo" hidden="1">{#N/A,#N/A,FALSE,"Plan1";#N/A,#N/A,FALSE,"Plan2"}</definedName>
    <definedName name="Capa">#REF!</definedName>
    <definedName name="CAPA2">#REF!</definedName>
    <definedName name="CAPA55">#REF!</definedName>
    <definedName name="CAPA55A">#REF!</definedName>
    <definedName name="CAPELA">#REF!</definedName>
    <definedName name="CARLA">#REF!</definedName>
    <definedName name="CARLOS1">#REF!</definedName>
    <definedName name="CARTÃO4">#REF!</definedName>
    <definedName name="CAT6_IP">{#N/A,#N/A,FALSE,"F-01"}</definedName>
    <definedName name="categori45">#REF!</definedName>
    <definedName name="CATEGORIA1">#REF!</definedName>
    <definedName name="CATEGORIA10">#REF!</definedName>
    <definedName name="CATEGORIA11">#REF!</definedName>
    <definedName name="CATEGORIA12">#REF!</definedName>
    <definedName name="CATEGORIA13">#REF!</definedName>
    <definedName name="CATEGORIA14">#REF!</definedName>
    <definedName name="CATEGORIA15">#REF!</definedName>
    <definedName name="CATEGORIA16">#REF!</definedName>
    <definedName name="CATEGORIA17">#REF!</definedName>
    <definedName name="CATEGORIA18">#REF!</definedName>
    <definedName name="CATEGORIA19">#REF!</definedName>
    <definedName name="CATEGORIA2">#REF!</definedName>
    <definedName name="CATEGORIA20">#REF!</definedName>
    <definedName name="CATEGORIA21">#REF!</definedName>
    <definedName name="CATEGORIA22">#REF!</definedName>
    <definedName name="CATEGORIA3">#REF!</definedName>
    <definedName name="CATEGORIA4">#REF!</definedName>
    <definedName name="CATEGORIA5">#REF!</definedName>
    <definedName name="CATEGORIA6">#REF!</definedName>
    <definedName name="CATEGORIA7">#REF!</definedName>
    <definedName name="CATEGORIA8">#REF!</definedName>
    <definedName name="CATEGORIA9">#REF!</definedName>
    <definedName name="CATORZE">#REF!</definedName>
    <definedName name="CAUX2">OFFSET(#REF!,0,0,COUNTA(#REF!)+1,1)</definedName>
    <definedName name="CAUX3">OFFSET(#REF!,0,0,COUNTA(#REF!)+1,1)</definedName>
    <definedName name="CCC">#REF!</definedName>
    <definedName name="ççç">{#N/A,#N/A,FALSE,"Plan1";#N/A,#N/A,FALSE,"Plan2"}</definedName>
    <definedName name="cccc">{#N/A,#N/A,FALSE,"Plan1";#N/A,#N/A,FALSE,"Plan2"}</definedName>
    <definedName name="ççççççç">{TRUE,TRUE,-1.25,-15.5,604.5,366.75,FALSE,FALSE,TRUE,TRUE,0,1,#N/A,1,#N/A,9.0125,24.4117647058824,1,FALSE,FALSE,3,TRUE,1,FALSE,100,"Swvu.PLANILHA2.","ACwvu.PLANILHA2.",#N/A,FALSE,FALSE,0.787401575,0.34,0.46,0.5,1,"","",FALSE,FALSE,FALSE,FALSE,1,#N/A,1,1,FALSE,FALSE,#N/A,#N/A,FALSE,FALSE,FALSE,9,65532,65532,FALSE,FALSE,TRUE,TRUE,TRUE}</definedName>
    <definedName name="cccccccc">{TRUE,TRUE,-1.25,-15.5,604.5,366.75,FALSE,FALSE,TRUE,TRUE,0,1,#N/A,1,#N/A,9.0125,24.4117647058824,1,FALSE,FALSE,3,TRUE,1,FALSE,100,"Swvu.PLANILHA2.","ACwvu.PLANILHA2.",#N/A,FALSE,FALSE,0.787401575,0.34,0.46,0.5,1,"","",FALSE,FALSE,FALSE,FALSE,1,#N/A,1,1,FALSE,FALSE,#N/A,#N/A,FALSE,FALSE,FALSE,9,65532,65532,FALSE,FALSE,TRUE,TRUE,TRUE}</definedName>
    <definedName name="cccccccccccccccc">{"HW",#N/A,FALSE,"1998"}</definedName>
    <definedName name="cchart1">#REF!</definedName>
    <definedName name="cchart10">#REF!</definedName>
    <definedName name="cchart11">#REF!</definedName>
    <definedName name="cchart12">#REF!</definedName>
    <definedName name="cchart13">#REF!</definedName>
    <definedName name="cchart14">#REF!</definedName>
    <definedName name="cchart15">#REF!</definedName>
    <definedName name="cchart16">#REF!</definedName>
    <definedName name="cchart17">#REF!</definedName>
    <definedName name="cchart18">#REF!</definedName>
    <definedName name="cchart19">#REF!</definedName>
    <definedName name="cchart2">#REF!</definedName>
    <definedName name="cchart20">#REF!</definedName>
    <definedName name="cchart21">#REF!</definedName>
    <definedName name="cchart22">#REF!</definedName>
    <definedName name="cchart23">#REF!</definedName>
    <definedName name="cchart24">#REF!</definedName>
    <definedName name="cchart25">#REF!</definedName>
    <definedName name="cchart26">#REF!</definedName>
    <definedName name="cchart27">#REF!</definedName>
    <definedName name="cchart28">#REF!</definedName>
    <definedName name="cchart29">#REF!</definedName>
    <definedName name="cchart3">#REF!</definedName>
    <definedName name="cchart31">#REF!</definedName>
    <definedName name="cchart32">#REF!</definedName>
    <definedName name="cchart4">#REF!</definedName>
    <definedName name="cchart5">#REF!</definedName>
    <definedName name="cchart6">#REF!</definedName>
    <definedName name="cchart7">#REF!</definedName>
    <definedName name="cchart8">#REF!</definedName>
    <definedName name="cchart9">#REF!</definedName>
    <definedName name="çcklfjk">{TRUE,TRUE,-1.25,-15.5,604.5,366.75,FALSE,FALSE,TRUE,TRUE,0,1,#N/A,1,#N/A,9.0125,24.4117647058824,1,FALSE,FALSE,3,TRUE,1,FALSE,100,"Swvu.PLANILHA2.","ACwvu.PLANILHA2.",#N/A,FALSE,FALSE,0.787401575,0.34,0.46,0.5,1,"","",FALSE,FALSE,FALSE,FALSE,1,#N/A,1,1,FALSE,FALSE,#N/A,#N/A,FALSE,FALSE,FALSE,9,65532,65532,FALSE,FALSE,TRUE,TRUE,TRUE}</definedName>
    <definedName name="CD">#REF!</definedName>
    <definedName name="çdfmerf">{#N/A,#N/A,FALSE,"Plan1";#N/A,#N/A,FALSE,"Plan2"}</definedName>
    <definedName name="CDSGHE">{#N/A,#N/A,FALSE,"Plan1";#N/A,#N/A,FALSE,"Plan2"}</definedName>
    <definedName name="cdvthd">#REF!</definedName>
    <definedName name="Cel_Constr">#REF!</definedName>
    <definedName name="CestaExcel">#REF!</definedName>
    <definedName name="CevaG">#REF!</definedName>
    <definedName name="CevaGS">#REF!</definedName>
    <definedName name="çfhjglkjhkljyhj">{TRUE,TRUE,-1.25,-15.5,604.5,366.75,FALSE,FALSE,TRUE,TRUE,0,1,#N/A,1,#N/A,9.0125,24.4117647058824,1,FALSE,FALSE,3,TRUE,1,FALSE,100,"Swvu.PLANILHA2.","ACwvu.PLANILHA2.",#N/A,FALSE,FALSE,0.787401575,0.34,0.46,0.5,1,"","",FALSE,FALSE,FALSE,FALSE,1,#N/A,1,1,FALSE,FALSE,#N/A,#N/A,FALSE,FALSE,FALSE,9,65532,65532,FALSE,FALSE,TRUE,TRUE,TRUE}</definedName>
    <definedName name="çflçf">{#N/A,#N/A,FALSE,"Plan1";#N/A,#N/A,FALSE,"Plan2"}</definedName>
    <definedName name="CHAFQT">#REF!</definedName>
    <definedName name="Chaves">#REF!</definedName>
    <definedName name="chfch">{#N/A,#N/A,FALSE,"Plan1";#N/A,#N/A,FALSE,"Plan2"}</definedName>
    <definedName name="CI">#REF!</definedName>
    <definedName name="cidades">#REF!</definedName>
    <definedName name="CIFIXA">#REF!</definedName>
    <definedName name="CINCO">#REF!</definedName>
    <definedName name="CITOTAL">#REF!</definedName>
    <definedName name="CIVAR">#REF!</definedName>
    <definedName name="ÇJKRÇLFS">{"Econ Consolidado",#N/A,FALSE,"Econ Consol";"Fluxo de Caixa",#N/A,FALSE,"Fluxo Caixa";"Investimentos",#N/A,FALSE,"Investimentos"}</definedName>
    <definedName name="ÇJsrejtçe">{#N/A,#N/A,FALSE,"Plan1";#N/A,#N/A,FALSE,"Plan2"}</definedName>
    <definedName name="çkaçekow">{#N/A,#N/A,FALSE,"Plan1";#N/A,#N/A,FALSE,"Plan2"}</definedName>
    <definedName name="ÇKSDOEKR">{#N/A,#N/A,FALSE,"Plan1";#N/A,#N/A,FALSE,"Plan2"}</definedName>
    <definedName name="çl">{#N/A,#N/A,FALSE,"Plan1";#N/A,#N/A,FALSE,"Plan2"}</definedName>
    <definedName name="çlassde">{#N/A,#N/A,FALSE,"Plan1";#N/A,#N/A,FALSE,"Plan2"}</definedName>
    <definedName name="Classificação">#REF!</definedName>
    <definedName name="çlçlç">{#N/A,#N/A,FALSE,"Plan1";#N/A,#N/A,FALSE,"Plan2"}</definedName>
    <definedName name="çld">{#N/A,#N/A,FALSE,"Plan1";#N/A,#N/A,FALSE,"Plan2"}</definedName>
    <definedName name="çlererr">{#N/A,#N/A,FALSE,"Plan1";#N/A,#N/A,FALSE,"Plan2"}</definedName>
    <definedName name="çlertert">{#N/A,#N/A,FALSE,"Plan1";#N/A,#N/A,FALSE,"Plan2"}</definedName>
    <definedName name="çlkdflçkrlr">#REF!</definedName>
    <definedName name="çll">{#N/A,#N/A,FALSE,"Plan1";#N/A,#N/A,FALSE,"Plan2"}</definedName>
    <definedName name="CMC">{#N/A,#N/A,FALSE,"GERAL";#N/A,#N/A,FALSE,"012-96";#N/A,#N/A,FALSE,"018-96";#N/A,#N/A,FALSE,"027-96";#N/A,#N/A,FALSE,"059-96";#N/A,#N/A,FALSE,"076-96";#N/A,#N/A,FALSE,"019-97";#N/A,#N/A,FALSE,"021-97";#N/A,#N/A,FALSE,"022-97";#N/A,#N/A,FALSE,"028-97"}</definedName>
    <definedName name="COBRANÇA">#REF!</definedName>
    <definedName name="Cod_Esquadrias">#REF!</definedName>
    <definedName name="CÓDG">OFFSET(#REF!,0,0,COUNTA(#REF!),1)</definedName>
    <definedName name="codigo2">#REF!</definedName>
    <definedName name="codigo3">#REF!</definedName>
    <definedName name="CÓDT">OFFSET(#REF!,0,0,COUNTA(#REF!)+1,1)</definedName>
    <definedName name="COFINS">#REF!</definedName>
    <definedName name="cofins2">#REF!</definedName>
    <definedName name="COGS">#REF!</definedName>
    <definedName name="COLSUB">#REF!</definedName>
    <definedName name="COMISSOES">#REF!</definedName>
    <definedName name="COMPOSICAO">#REF!</definedName>
    <definedName name="composição">#REF!</definedName>
    <definedName name="COMPR">#REF!</definedName>
    <definedName name="COMPRIMENTO">#REF!</definedName>
    <definedName name="COMPROMETIDO">#REF!</definedName>
    <definedName name="CONFIRMAR">{#N/A,#N/A,TRUE,"Quinzena 01 à 15-04-98 "}</definedName>
    <definedName name="cont">{#N/A,#N/A,FALSE,"Plan1";#N/A,#N/A,FALSE,"Plan2"}</definedName>
    <definedName name="CONT1">#REF!</definedName>
    <definedName name="CONT2">#REF!</definedName>
    <definedName name="CONT3">#REF!</definedName>
    <definedName name="CONTAIT">#REF!</definedName>
    <definedName name="CONTREC">#REF!</definedName>
    <definedName name="CONTRES">#REF!</definedName>
    <definedName name="CONTROLE">#REF!</definedName>
    <definedName name="Controle_Tecnologico">{#N/A,#N/A,FALSE,"Plan1";#N/A,#N/A,FALSE,"Plan2"}</definedName>
    <definedName name="Controle_tecnologico1">#REF!</definedName>
    <definedName name="CONVERSÃO">#REF!</definedName>
    <definedName name="cpmf">#REF!</definedName>
    <definedName name="Credor_Rel_Sienge">#REF!</definedName>
    <definedName name="_xlnm.Criteria">#REF!</definedName>
    <definedName name="CRONG">#REF!</definedName>
    <definedName name="cronograma">#REF!</definedName>
    <definedName name="CRONOGRAMA_FÍSICO_FINANCEIRO">#REF!</definedName>
    <definedName name="CS">#REF!</definedName>
    <definedName name="cs_diferida">#REF!</definedName>
    <definedName name="ÇSAÇDFW">{TRUE,TRUE,-1.25,-15.5,604.5,366.75,FALSE,FALSE,TRUE,TRUE,0,1,#N/A,1,#N/A,9.0125,24.4117647058824,1,FALSE,FALSE,3,TRUE,1,FALSE,100,"Swvu.PLANILHA2.","ACwvu.PLANILHA2.",#N/A,FALSE,FALSE,0.787401575,0.34,0.46,0.5,1,"","",FALSE,FALSE,FALSE,FALSE,1,#N/A,1,1,FALSE,FALSE,#N/A,#N/A,FALSE,FALSE,FALSE,9,65532,65532,FALSE,FALSE,TRUE,TRUE,TRUE}</definedName>
    <definedName name="çsdkfçdrkt">#REF!</definedName>
    <definedName name="CSER">{TRUE,TRUE,-1.25,-15.5,604.5,366.75,FALSE,FALSE,TRUE,TRUE,0,1,#N/A,1,#N/A,9.0125,24.4117647058824,1,FALSE,FALSE,3,TRUE,1,FALSE,100,"Swvu.PLANILHA2.","ACwvu.PLANILHA2.",#N/A,FALSE,FALSE,0.787401575,0.34,0.46,0.5,1,"","",FALSE,FALSE,FALSE,FALSE,1,#N/A,1,1,FALSE,FALSE,#N/A,#N/A,FALSE,FALSE,FALSE,9,65532,65532,FALSE,FALSE,TRUE,TRUE,TRUE}</definedName>
    <definedName name="ÇSLÇDLFKD">{#N/A,#N/A,FALSE,"Plan1";#N/A,#N/A,FALSE,"Plan2"}</definedName>
    <definedName name="CTH">{#N/A,#N/A,FALSE,"GERAL";#N/A,#N/A,FALSE,"012-96";#N/A,#N/A,FALSE,"018-96";#N/A,#N/A,FALSE,"027-96";#N/A,#N/A,FALSE,"059-96";#N/A,#N/A,FALSE,"076-96";#N/A,#N/A,FALSE,"019-97";#N/A,#N/A,FALSE,"021-97";#N/A,#N/A,FALSE,"022-97";#N/A,#N/A,FALSE,"028-97"}</definedName>
    <definedName name="CUST_DIR_IND">#REF!</definedName>
    <definedName name="CUSTINDIRETO">#REF!</definedName>
    <definedName name="CUSTO_DIR_IND">#REF!</definedName>
    <definedName name="Custo_Direto_de_Obras_Civis_e_Instalações_...........................................">#REF!</definedName>
    <definedName name="Custo_Direto_em_geral">#REF!</definedName>
    <definedName name="custo_financing">#REF!</definedName>
    <definedName name="CUSTO_OUTROS">#REF!</definedName>
    <definedName name="Custo_Outros1">#REF!</definedName>
    <definedName name="CUSTODIRETO">#REF!</definedName>
    <definedName name="CUSTODIRETO_R">#REF!</definedName>
    <definedName name="CUSTODIRETO_U">#REF!</definedName>
    <definedName name="CUSTODIRETO1">#REF!</definedName>
    <definedName name="CUSTOFIN">#REF!</definedName>
    <definedName name="D">#REF!</definedName>
    <definedName name="da">#REF!</definedName>
    <definedName name="dalmo">{#N/A,#N/A,FALSE,"GERAL";#N/A,#N/A,FALSE,"012-96";#N/A,#N/A,FALSE,"018-96";#N/A,#N/A,FALSE,"027-96";#N/A,#N/A,FALSE,"059-96";#N/A,#N/A,FALSE,"076-96";#N/A,#N/A,FALSE,"019-97";#N/A,#N/A,FALSE,"021-97";#N/A,#N/A,FALSE,"022-97";#N/A,#N/A,FALSE,"028-97"}</definedName>
    <definedName name="dasfrt">{#N/A,#N/A,FALSE,"Plan1";#N/A,#N/A,FALSE,"Plan2"}</definedName>
    <definedName name="DATA">#REF!</definedName>
    <definedName name="Data_base">#REF!</definedName>
    <definedName name="data_base_VL">#REF!</definedName>
    <definedName name="DATA_COTAÇÃO">#REF!</definedName>
    <definedName name="DATA_ENTREGA">#REF!</definedName>
    <definedName name="DATA_FECHA">#REF!</definedName>
    <definedName name="Data_Inicio">#REF!</definedName>
    <definedName name="Data_Lançado_Sienge">#REF!</definedName>
    <definedName name="Data_Pagamento_Sienge">#REF!</definedName>
    <definedName name="Data_Previsão_Medição_Fin_Medição">#REF!</definedName>
    <definedName name="Data_Tendência_Recebimento_Fin_Medições">#REF!</definedName>
    <definedName name="DATA1">#REF!</definedName>
    <definedName name="DATA3">#REF!</definedName>
    <definedName name="DATA4">#REF!</definedName>
    <definedName name="DATA6">#REF!</definedName>
    <definedName name="Database">#REF!</definedName>
    <definedName name="DataChaves_MAP">#REF!</definedName>
    <definedName name="DatasOut13AteDez20">#REF!</definedName>
    <definedName name="DÇDL">{#N/A,#N/A,FALSE,"Plan1";#N/A,#N/A,FALSE,"Plan2"}</definedName>
    <definedName name="dchart26">#REF!</definedName>
    <definedName name="dchart31">#REF!</definedName>
    <definedName name="dcnsfgdjkgb">{#N/A,#N/A,FALSE,"Plan1";#N/A,#N/A,FALSE,"Plan2"}</definedName>
    <definedName name="DÇWK">{#N/A,#N/A,FALSE,"Plan1";#N/A,#N/A,FALSE,"Plan2"}</definedName>
    <definedName name="DD">{#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DD">#REF!</definedName>
    <definedName name="ddddd">{#N/A,#N/A,FALSE,"Plan1";#N/A,#N/A,FALSE,"Plan2"}</definedName>
    <definedName name="ddddddddddd">#REF!</definedName>
    <definedName name="dddddddddddddddddddddddddd">#REF!</definedName>
    <definedName name="dddddddddddddppppppppp">#REF!</definedName>
    <definedName name="dde">{#N/A,#N/A,FALSE,"Plan1";#N/A,#N/A,FALSE,"Plan2"}</definedName>
    <definedName name="ddfs">#REF!</definedName>
    <definedName name="ddgfdvgdg">{TRUE,TRUE,-1.25,-15.5,604.5,366.75,FALSE,FALSE,TRUE,TRUE,0,1,#N/A,1,#N/A,9.0125,24.4117647058824,1,FALSE,FALSE,3,TRUE,1,FALSE,100,"Swvu.PLANILHA2.","ACwvu.PLANILHA2.",#N/A,FALSE,FALSE,0.787401575,0.34,0.46,0.5,1,"","",FALSE,FALSE,FALSE,FALSE,1,#N/A,1,1,FALSE,FALSE,#N/A,#N/A,FALSE,FALSE,FALSE,9,65532,65532,FALSE,FALSE,TRUE,TRUE,TRUE}</definedName>
    <definedName name="DDGSFG">{#N/A,#N/A,FALSE,"Plan1";#N/A,#N/A,FALSE,"Plan2"}</definedName>
    <definedName name="dede">{#N/A,#N/A,FALSE,"Plan1";#N/A,#N/A,FALSE,"Plan2"}</definedName>
    <definedName name="defasagem">OFFSET(INDEX(#REF!,MATCH(#REF!,#REF!,0)),1,0,COUNTA(#REF!)-1)</definedName>
    <definedName name="depara">#REF!</definedName>
    <definedName name="DERIVQT">#REF!</definedName>
    <definedName name="des">{#N/A,#N/A,FALSE,"Plan1";#N/A,#N/A,FALSE,"Plan2"}</definedName>
    <definedName name="desc">{#N/A,#N/A,FALSE,"Plan1";#N/A,#N/A,FALSE,"Plan2"}</definedName>
    <definedName name="DESCONTO">#REF!</definedName>
    <definedName name="DESCRIÇÃO_OBRA">#REF!</definedName>
    <definedName name="DespFatur">#REF!</definedName>
    <definedName name="DEZ">#REF!</definedName>
    <definedName name="dez17RJ">#REF!</definedName>
    <definedName name="DEZEMBRO">#REF!</definedName>
    <definedName name="DEZENOVE">#REF!</definedName>
    <definedName name="DEZESSEIS">#REF!</definedName>
    <definedName name="DEZESSETE">#REF!</definedName>
    <definedName name="DEZOITO">#REF!</definedName>
    <definedName name="df">{TRUE,TRUE,-1.25,-15.5,604.5,366.75,FALSE,FALSE,TRUE,TRUE,0,1,#N/A,1,#N/A,9.0125,24.4117647058824,1,FALSE,FALSE,3,TRUE,1,FALSE,100,"Swvu.PLANILHA2.","ACwvu.PLANILHA2.",#N/A,FALSE,FALSE,0.787401575,0.34,0.46,0.5,1,"","",FALSE,FALSE,FALSE,FALSE,1,#N/A,1,1,FALSE,FALSE,#N/A,#N/A,FALSE,FALSE,FALSE,9,65532,65532,FALSE,FALSE,TRUE,TRUE,TRUE}</definedName>
    <definedName name="DFD">{#N/A,#N/A,FALSE,"명세표"}</definedName>
    <definedName name="dfdftyr">{TRUE,TRUE,-1.25,-15.5,604.5,366.75,FALSE,FALSE,TRUE,TRUE,0,1,#N/A,1,#N/A,9.0125,24.4117647058824,1,FALSE,FALSE,3,TRUE,1,FALSE,100,"Swvu.PLANILHA2.","ACwvu.PLANILHA2.",#N/A,FALSE,FALSE,0.787401575,0.34,0.46,0.5,1,"","",FALSE,FALSE,FALSE,FALSE,1,#N/A,1,1,FALSE,FALSE,#N/A,#N/A,FALSE,FALSE,FALSE,9,65532,65532,FALSE,FALSE,TRUE,TRUE,TRUE}</definedName>
    <definedName name="dfdjgfdfgdf">{#N/A,#N/A,FALSE,"Plan1";#N/A,#N/A,FALSE,"Plan2"}</definedName>
    <definedName name="dfdrtrr">{#N/A,#N/A,FALSE,"Plan1";#N/A,#N/A,FALSE,"Plan2"}</definedName>
    <definedName name="DFDSG">{#N/A,#N/A,FALSE,"Plan1";#N/A,#N/A,FALSE,"Plan2"}</definedName>
    <definedName name="dfer">{#N/A,#N/A,FALSE,"Plan1";#N/A,#N/A,FALSE,"Plan2"}</definedName>
    <definedName name="dffbty">{#N/A,#N/A,FALSE,"Plan1";#N/A,#N/A,FALSE,"Plan2"}</definedName>
    <definedName name="dffgk">{TRUE,TRUE,-1.25,-15.5,604.5,366.75,FALSE,FALSE,TRUE,TRUE,0,1,#N/A,1,#N/A,9.0125,24.4117647058824,1,FALSE,FALSE,3,TRUE,1,FALSE,100,"Swvu.PLANILHA2.","ACwvu.PLANILHA2.",#N/A,FALSE,FALSE,0.787401575,0.34,0.46,0.5,1,"","",FALSE,FALSE,FALSE,FALSE,1,#N/A,1,1,FALSE,FALSE,#N/A,#N/A,FALSE,FALSE,FALSE,9,65532,65532,FALSE,FALSE,TRUE,TRUE,TRUE}</definedName>
    <definedName name="dffhg">{#N/A,#N/A,FALSE,"Plan1";#N/A,#N/A,FALSE,"Plan2"}</definedName>
    <definedName name="dfg">{#N/A,#N/A,FALSE,"Plan1";#N/A,#N/A,FALSE,"Plan2"}</definedName>
    <definedName name="dfgdf">{#N/A,#N/A,FALSE,"Plan1";#N/A,#N/A,FALSE,"Plan2"}</definedName>
    <definedName name="dfgdytygr">{#N/A,#N/A,FALSE,"Plan1";#N/A,#N/A,FALSE,"Plan2"}</definedName>
    <definedName name="dfgftrrdt5">{#N/A,#N/A,FALSE,"Plan1";#N/A,#N/A,FALSE,"Plan2"}</definedName>
    <definedName name="dfgh">#REF!</definedName>
    <definedName name="dfghjfhsg">{#N/A,#N/A,FALSE,"Plan1";#N/A,#N/A,FALSE,"Plan2"}</definedName>
    <definedName name="dfgj">{#N/A,#N/A,FALSE,"Plan1";#N/A,#N/A,FALSE,"Plan2"}</definedName>
    <definedName name="dfgjfttyd">{#N/A,#N/A,FALSE,"Plan1";#N/A,#N/A,FALSE,"Plan2"}</definedName>
    <definedName name="dfgjjtdrtg">{#N/A,#N/A,FALSE,"Plan1";#N/A,#N/A,FALSE,"Plan2"}</definedName>
    <definedName name="dfgt">{#N/A,#N/A,FALSE,"Plan1";#N/A,#N/A,FALSE,"Plan2"}</definedName>
    <definedName name="dfgtrkjhk">{#N/A,#N/A,FALSE,"Plan1";#N/A,#N/A,FALSE,"Plan2"}</definedName>
    <definedName name="dfgty">{#N/A,#N/A,FALSE,"Plan1";#N/A,#N/A,FALSE,"Plan2"}</definedName>
    <definedName name="dfhdgfdgf">{#N/A,#N/A,FALSE,"Plan1";#N/A,#N/A,FALSE,"Plan2"}</definedName>
    <definedName name="DFHDJGJFHJGF">{#N/A,#N/A,FALSE,"Plan1";#N/A,#N/A,FALSE,"Plan2"}</definedName>
    <definedName name="dfhdyg">{#N/A,#N/A,FALSE,"Plan1";#N/A,#N/A,FALSE,"Plan2"}</definedName>
    <definedName name="DFHGDHUR">{#N/A,#N/A,FALSE,"Plan1";#N/A,#N/A,FALSE,"Plan2"}</definedName>
    <definedName name="dfhgjfgdhfjdrf">{#N/A,#N/A,FALSE,"Plan1";#N/A,#N/A,FALSE,"Plan2"}</definedName>
    <definedName name="dfhgkhfut">{#N/A,#N/A,FALSE,"Plan1";#N/A,#N/A,FALSE,"Plan2"}</definedName>
    <definedName name="dfhgkjdhkjghjd">#REF!</definedName>
    <definedName name="dfhguitrhfg">{#N/A,#N/A,FALSE,"Plan1";#N/A,#N/A,FALSE,"Plan2"}</definedName>
    <definedName name="DFHKHDGKJHDKS">{#N/A,#N/A,FALSE,"Plan1";#N/A,#N/A,FALSE,"Plan2"}</definedName>
    <definedName name="dfijvnqienvvnjv">#REF!</definedName>
    <definedName name="dfjgjfhykjt">{TRUE,TRUE,-1.25,-15.5,604.5,366.75,FALSE,FALSE,TRUE,TRUE,0,1,#N/A,1,#N/A,9.0125,24.4117647058824,1,FALSE,FALSE,3,TRUE,1,FALSE,100,"Swvu.PLANILHA2.","ACwvu.PLANILHA2.",#N/A,FALSE,FALSE,0.787401575,0.34,0.46,0.5,1,"","",FALSE,FALSE,FALSE,FALSE,1,#N/A,1,1,FALSE,FALSE,#N/A,#N/A,FALSE,FALSE,FALSE,9,65532,65532,FALSE,FALSE,TRUE,TRUE,TRUE}</definedName>
    <definedName name="dfjkgtdftr">{#N/A,#N/A,FALSE,"Plan1";#N/A,#N/A,FALSE,"Plan2"}</definedName>
    <definedName name="dfkhgfgf">{TRUE,TRUE,-1.25,-15.5,604.5,366.75,FALSE,FALSE,TRUE,TRUE,0,1,#N/A,1,#N/A,9.0125,24.4117647058824,1,FALSE,FALSE,3,TRUE,1,FALSE,100,"Swvu.PLANILHA2.","ACwvu.PLANILHA2.",#N/A,FALSE,FALSE,0.787401575,0.34,0.46,0.5,1,"","",FALSE,FALSE,FALSE,FALSE,1,#N/A,1,1,FALSE,FALSE,#N/A,#N/A,FALSE,FALSE,FALSE,9,65532,65532,FALSE,FALSE,TRUE,TRUE,TRUE}</definedName>
    <definedName name="dfkj">{TRUE,TRUE,-1.25,-15.5,604.5,366.75,FALSE,FALSE,TRUE,TRUE,0,1,#N/A,1,#N/A,9.0125,24.4117647058824,1,FALSE,FALSE,3,TRUE,1,FALSE,100,"Swvu.PLANILHA2.","ACwvu.PLANILHA2.",#N/A,FALSE,FALSE,0.787401575,0.34,0.46,0.5,1,"","",FALSE,FALSE,FALSE,FALSE,1,#N/A,1,1,FALSE,FALSE,#N/A,#N/A,FALSE,FALSE,FALSE,9,65532,65532,FALSE,FALSE,TRUE,TRUE,TRUE}</definedName>
    <definedName name="dfknfhkdrj">{#N/A,#N/A,FALSE,"Plan1";#N/A,#N/A,FALSE,"Plan2"}</definedName>
    <definedName name="dfnert">{#N/A,#N/A,FALSE,"Plan1";#N/A,#N/A,FALSE,"Plan2"}</definedName>
    <definedName name="dfrt">{#N/A,#N/A,FALSE,"Plan1";#N/A,#N/A,FALSE,"Plan2"}</definedName>
    <definedName name="dfsdr5tt">{#N/A,#N/A,FALSE,"Plan1";#N/A,#N/A,FALSE,"Plan2"}</definedName>
    <definedName name="dfsds">#REF!</definedName>
    <definedName name="dfsdt">{TRUE,TRUE,-1.25,-15.5,604.5,366.75,FALSE,FALSE,TRUE,TRUE,0,1,#N/A,1,#N/A,9.0125,24.4117647058824,1,FALSE,FALSE,3,TRUE,1,FALSE,100,"Swvu.PLANILHA2.","ACwvu.PLANILHA2.",#N/A,FALSE,FALSE,0.787401575,0.34,0.46,0.5,1,"","",FALSE,FALSE,FALSE,FALSE,1,#N/A,1,1,FALSE,FALSE,#N/A,#N/A,FALSE,FALSE,FALSE,9,65532,65532,FALSE,FALSE,TRUE,TRUE,TRUE}</definedName>
    <definedName name="dfsdtr">{#N/A,#N/A,FALSE,"Plan1";#N/A,#N/A,FALSE,"Plan2"}</definedName>
    <definedName name="dfsf">{#N/A,#N/A,FALSE,"Plan1";#N/A,#N/A,FALSE,"Plan2"}</definedName>
    <definedName name="DFT">{#N/A,#N/A,FALSE,"Plan1";#N/A,#N/A,FALSE,"Plan2"}</definedName>
    <definedName name="DFTRTTY">{#N/A,#N/A,FALSE,"Plan1";#N/A,#N/A,FALSE,"Plan2"}</definedName>
    <definedName name="dfurghifdjyhits">{#N/A,#N/A,FALSE,"Plan1";#N/A,#N/A,FALSE,"Plan2"}</definedName>
    <definedName name="dfxgdrged">{#N/A,#N/A,FALSE,"Plan1";#N/A,#N/A,FALSE,"Plan2"}</definedName>
    <definedName name="dgfrtyt">{#N/A,#N/A,FALSE,"Plan1";#N/A,#N/A,FALSE,"Plan2"}</definedName>
    <definedName name="dggfdg">{#N/A,#N/A,FALSE,"Plan1";#N/A,#N/A,FALSE,"Plan2"}</definedName>
    <definedName name="dgldfhgkljslh">{#N/A,#N/A,FALSE,"Plan1";#N/A,#N/A,FALSE,"Plan2"}</definedName>
    <definedName name="dhfgdhrehrwe">{#N/A,#N/A,FALSE,"Plan1";#N/A,#N/A,FALSE,"Plan2"}</definedName>
    <definedName name="dhgfdgrfgdfgd">{#N/A,#N/A,FALSE,"Plan1";#N/A,#N/A,FALSE,"Plan2"}</definedName>
    <definedName name="dhkjfhdhfjdh">{#N/A,#N/A,FALSE,"Plan1";#N/A,#N/A,FALSE,"Plan2"}</definedName>
    <definedName name="DHTJRT">{#N/A,#N/A,FALSE,"Plan1";#N/A,#N/A,FALSE,"Plan2"}</definedName>
    <definedName name="DI">#REF!</definedName>
    <definedName name="dia3estac">#REF!</definedName>
    <definedName name="diaestaca">#REF!</definedName>
    <definedName name="diambase">#REF!</definedName>
    <definedName name="DIFQT">#REF!</definedName>
    <definedName name="dijghdhks">{#N/A,#N/A,FALSE,"Plan1";#N/A,#N/A,FALSE,"Plan2"}</definedName>
    <definedName name="DIMENSÕES">#REF!</definedName>
    <definedName name="DIR_OPER">#REF!</definedName>
    <definedName name="DIR_TECNICO">#REF!</definedName>
    <definedName name="direto">#REF!</definedName>
    <definedName name="DIRETORIA">#REF!</definedName>
    <definedName name="diretorias">#REF!</definedName>
    <definedName name="Discrim">#REF!</definedName>
    <definedName name="DISCRIMINAÇÃO">#REF!</definedName>
    <definedName name="Discriminação_Controladoria">#REF!</definedName>
    <definedName name="DistCidade">#REF!</definedName>
    <definedName name="distratos">#REF!</definedName>
    <definedName name="div">#REF!</definedName>
    <definedName name="djasdrjas">{#N/A,#N/A,FALSE,"Plan1";#N/A,#N/A,FALSE,"Plan2"}</definedName>
    <definedName name="djf">{TRUE,TRUE,-1.25,-15.5,604.5,366.75,FALSE,FALSE,TRUE,TRUE,0,1,#N/A,1,#N/A,9.0125,24.4117647058824,1,FALSE,FALSE,3,TRUE,1,FALSE,100,"Swvu.PLANILHA2.","ACwvu.PLANILHA2.",#N/A,FALSE,FALSE,0.787401575,0.34,0.46,0.5,1,"","",FALSE,FALSE,FALSE,FALSE,1,#N/A,1,1,FALSE,FALSE,#N/A,#N/A,FALSE,FALSE,FALSE,9,65532,65532,FALSE,FALSE,TRUE,TRUE,TRUE}</definedName>
    <definedName name="djfkhjhfgrgdfh">{#N/A,#N/A,FALSE,"Plan1";#N/A,#N/A,FALSE,"Plan2"}</definedName>
    <definedName name="djfkhsdkjhf">{#N/A,#N/A,FALSE,"Plan1";#N/A,#N/A,FALSE,"Plan2"}</definedName>
    <definedName name="djfldjsgljslkjtg">{#N/A,#N/A,FALSE,"Plan1";#N/A,#N/A,FALSE,"Plan2"}</definedName>
    <definedName name="djflkdjgdth">{#N/A,#N/A,FALSE,"Plan1";#N/A,#N/A,FALSE,"Plan2"}</definedName>
    <definedName name="DJFLKDJGKTJYJT">{#N/A,#N/A,FALSE,"Plan1";#N/A,#N/A,FALSE,"Plan2"}</definedName>
    <definedName name="djgkfjgtiyty">{#N/A,#N/A,FALSE,"Plan1";#N/A,#N/A,FALSE,"Plan2"}</definedName>
    <definedName name="djrkehrjfhng">{#N/A,#N/A,FALSE,"Plan1";#N/A,#N/A,FALSE,"Plan2"}</definedName>
    <definedName name="djswfr">#REF!</definedName>
    <definedName name="djtkjldfr">{#N/A,#N/A,FALSE,"Plan1";#N/A,#N/A,FALSE,"Plan2"}</definedName>
    <definedName name="DJXDLFGDFG">{#N/A,#N/A,FALSE,"Plan1";#N/A,#N/A,FALSE,"Plan2"}</definedName>
    <definedName name="dkdkdkdkd">{#N/A,#N/A,FALSE,"명세표"}</definedName>
    <definedName name="dkfhskgf">{#N/A,#N/A,FALSE,"Plan1";#N/A,#N/A,FALSE,"Plan2"}</definedName>
    <definedName name="dkjfk">{#N/A,#N/A,FALSE,"Plan1";#N/A,#N/A,FALSE,"Plan2"}</definedName>
    <definedName name="DKLD">{#N/A,#N/A,FALSE,"Plan1";#N/A,#N/A,FALSE,"Plan2"}</definedName>
    <definedName name="DKLFJDKFD">{#N/A,#N/A,FALSE,"Plan1";#N/A,#N/A,FALSE,"Plan2"}</definedName>
    <definedName name="dklfjgirtgid">{#N/A,#N/A,FALSE,"Plan1";#N/A,#N/A,FALSE,"Plan2"}</definedName>
    <definedName name="dklfm">{TRUE,TRUE,-1.25,-15.5,604.5,366.75,FALSE,FALSE,TRUE,TRUE,0,1,#N/A,1,#N/A,9.0125,24.4117647058824,1,FALSE,FALSE,3,TRUE,1,FALSE,100,"Swvu.PLANILHA2.","ACwvu.PLANILHA2.",#N/A,FALSE,FALSE,0.787401575,0.34,0.46,0.5,1,"","",FALSE,FALSE,FALSE,FALSE,1,#N/A,1,1,FALSE,FALSE,#N/A,#N/A,FALSE,FALSE,FALSE,9,65532,65532,FALSE,FALSE,TRUE,TRUE,TRUE}</definedName>
    <definedName name="dmbfmndbmtrhed">{#N/A,#N/A,FALSE,"Plan1";#N/A,#N/A,FALSE,"Plan2"}</definedName>
    <definedName name="DNFJKDHTKRE">{#N/A,#N/A,FALSE,"Plan1";#N/A,#N/A,FALSE,"Plan2"}</definedName>
    <definedName name="dng">{#N/A,#N/A,FALSE,"GERAL";#N/A,#N/A,FALSE,"012-96";#N/A,#N/A,FALSE,"018-96";#N/A,#N/A,FALSE,"027-96";#N/A,#N/A,FALSE,"059-96";#N/A,#N/A,FALSE,"076-96";#N/A,#N/A,FALSE,"019-97";#N/A,#N/A,FALSE,"021-97";#N/A,#N/A,FALSE,"022-97";#N/A,#N/A,FALSE,"028-97"}</definedName>
    <definedName name="DOCUMENT">#REF!</definedName>
    <definedName name="DOIS">#REF!</definedName>
    <definedName name="dolar">#REF!</definedName>
    <definedName name="dolar_dez">#REF!</definedName>
    <definedName name="dolar_nov">#REF!</definedName>
    <definedName name="dolar_out">#REF!</definedName>
    <definedName name="dolar2">#REF!</definedName>
    <definedName name="dolarabr">#REF!</definedName>
    <definedName name="dolarabr02">#REF!</definedName>
    <definedName name="DolarAgo">#REF!</definedName>
    <definedName name="dolarago02">#REF!</definedName>
    <definedName name="dolardez">#REF!</definedName>
    <definedName name="dolarfev">#REF!</definedName>
    <definedName name="dolarfev02">#REF!</definedName>
    <definedName name="dolarfimdez">#REF!</definedName>
    <definedName name="dolarFimJun">#REF!</definedName>
    <definedName name="dolarfindez">#REF!</definedName>
    <definedName name="dolarfinmar">#REF!</definedName>
    <definedName name="DolarFinSet">#REF!</definedName>
    <definedName name="dolarjan">#REF!</definedName>
    <definedName name="dolarjan02">#REF!</definedName>
    <definedName name="DolarJul">#REF!</definedName>
    <definedName name="dolarjul02">#REF!</definedName>
    <definedName name="dolarjun">#REF!</definedName>
    <definedName name="dolarjun02">#REF!</definedName>
    <definedName name="dolarmai">#REF!</definedName>
    <definedName name="dolarmai02">#REF!</definedName>
    <definedName name="dolarmar">#REF!</definedName>
    <definedName name="dolarmar02">#REF!</definedName>
    <definedName name="dolarnov">#REF!</definedName>
    <definedName name="dolarout">#REF!</definedName>
    <definedName name="DolarSet">#REF!</definedName>
    <definedName name="dolarset02">#REF!</definedName>
    <definedName name="DOZE">#REF!</definedName>
    <definedName name="DRE">#REF!</definedName>
    <definedName name="drewr">{#N/A,#N/A,FALSE,"Plan1";#N/A,#N/A,FALSE,"Plan2"}</definedName>
    <definedName name="DRRJR">{#N/A,#N/A,FALSE,"Plan1";#N/A,#N/A,FALSE,"Plan2"}</definedName>
    <definedName name="drtr">#REF!</definedName>
    <definedName name="drtrt">{"'Estimativa de Lançamento-JAN'!$A$1:$AI$85"}</definedName>
    <definedName name="dsdrf">{#N/A,#N/A,FALSE,"Plan1";#N/A,#N/A,FALSE,"Plan2"}</definedName>
    <definedName name="dsfdf">{#N/A,#N/A,FALSE,"Plan1";#N/A,#N/A,FALSE,"Plan2"}</definedName>
    <definedName name="dsfg">{#N/A,#N/A,FALSE,"Plan1";#N/A,#N/A,FALSE,"Plan2"}</definedName>
    <definedName name="DSFKDSKH">{#N/A,#N/A,FALSE,"Plan1";#N/A,#N/A,FALSE,"Plan2"}</definedName>
    <definedName name="DSFRT">{TRUE,TRUE,-1.25,-15.5,604.5,366.75,FALSE,FALSE,TRUE,TRUE,0,1,#N/A,1,#N/A,9.0125,24.4117647058824,1,FALSE,FALSE,3,TRUE,1,FALSE,100,"Swvu.PLANILHA2.","ACwvu.PLANILHA2.",#N/A,FALSE,FALSE,0.787401575,0.34,0.46,0.5,1,"","",FALSE,FALSE,FALSE,FALSE,1,#N/A,1,1,FALSE,FALSE,#N/A,#N/A,FALSE,FALSE,FALSE,9,65532,65532,FALSE,FALSE,TRUE,TRUE,TRUE}</definedName>
    <definedName name="dsfrtyy">{#N/A,#N/A,FALSE,"Plan1";#N/A,#N/A,FALSE,"Plan2"}</definedName>
    <definedName name="DSFSAD">{#N/A,#N/A,FALSE,"Plan1";#N/A,#N/A,FALSE,"Plan2"}</definedName>
    <definedName name="dsfsdf">{#N/A,#N/A,FALSE,"Plan1";#N/A,#N/A,FALSE,"Plan2"}</definedName>
    <definedName name="dsfsdgfb">{#N/A,#N/A,FALSE,"Plan1";#N/A,#N/A,FALSE,"Plan2"}</definedName>
    <definedName name="dsgfr">{#N/A,#N/A,FALSE,"Plan1";#N/A,#N/A,FALSE,"Plan2"}</definedName>
    <definedName name="dshfkhkrhesru">{#N/A,#N/A,FALSE,"Plan1";#N/A,#N/A,FALSE,"Plan2"}</definedName>
    <definedName name="dsjkthkr">{#N/A,#N/A,FALSE,"Plan1";#N/A,#N/A,FALSE,"Plan2"}</definedName>
    <definedName name="dskfdhksdfh">4</definedName>
    <definedName name="DSLFJSLFJ">{#N/A,#N/A,FALSE,"Plan1";#N/A,#N/A,FALSE,"Plan2"}</definedName>
    <definedName name="dslfkf">4</definedName>
    <definedName name="dsrffg">{TRUE,TRUE,-1.25,-15.5,604.5,366.75,FALSE,FALSE,TRUE,TRUE,0,1,#N/A,1,#N/A,9.0125,24.4117647058824,1,FALSE,FALSE,3,TRUE,1,FALSE,100,"Swvu.PLANILHA2.","ACwvu.PLANILHA2.",#N/A,FALSE,FALSE,0.787401575,0.34,0.46,0.5,1,"","",FALSE,FALSE,FALSE,FALSE,1,#N/A,1,1,FALSE,FALSE,#N/A,#N/A,FALSE,FALSE,FALSE,9,65532,65532,FALSE,FALSE,TRUE,TRUE,TRUE}</definedName>
    <definedName name="dsrgdergdrg">{#N/A,#N/A,FALSE,"GERAL";#N/A,#N/A,FALSE,"012-96";#N/A,#N/A,FALSE,"018-96";#N/A,#N/A,FALSE,"027-96";#N/A,#N/A,FALSE,"059-96";#N/A,#N/A,FALSE,"076-96";#N/A,#N/A,FALSE,"019-97";#N/A,#N/A,FALSE,"021-97";#N/A,#N/A,FALSE,"022-97";#N/A,#N/A,FALSE,"028-97"}</definedName>
    <definedName name="dss">{#N/A,#N/A,FALSE,"Plan1";#N/A,#N/A,FALSE,"Plan2"}</definedName>
    <definedName name="dtgsrytt">{#N/A,#N/A,FALSE,"Plan1";#N/A,#N/A,FALSE,"Plan2"}</definedName>
    <definedName name="dtrjkhtrgkfh">{#N/A,#N/A,FALSE,"Plan1";#N/A,#N/A,FALSE,"Plan2"}</definedName>
    <definedName name="dttjuk">{#N/A,#N/A,FALSE,"Plan1";#N/A,#N/A,FALSE,"Plan2"}</definedName>
    <definedName name="dvtry">{TRUE,TRUE,-1.25,-15.5,604.5,366.75,FALSE,FALSE,TRUE,TRUE,0,1,#N/A,1,#N/A,9.0125,24.4117647058824,1,FALSE,FALSE,3,TRUE,1,FALSE,100,"Swvu.PLANILHA2.","ACwvu.PLANILHA2.",#N/A,FALSE,FALSE,0.787401575,0.34,0.46,0.5,1,"","",FALSE,FALSE,FALSE,FALSE,1,#N/A,1,1,FALSE,FALSE,#N/A,#N/A,FALSE,FALSE,FALSE,9,65532,65532,FALSE,FALSE,TRUE,TRUE,TRUE}</definedName>
    <definedName name="dwetrt">{#N/A,#N/A,FALSE,"Plan1";#N/A,#N/A,FALSE,"Plan2"}</definedName>
    <definedName name="dwqhdjwqgdwq">#REF!</definedName>
    <definedName name="DY">{#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YHYGJDHZKGF">{#N/A,#N/A,FALSE,"Plan1";#N/A,#N/A,FALSE,"Plan2"}</definedName>
    <definedName name="dzdfr">{#N/A,#N/A,FALSE,"Plan1";#N/A,#N/A,FALSE,"Plan2"}</definedName>
    <definedName name="e">{TRUE,TRUE,-1.25,-15.5,604.5,366.75,FALSE,FALSE,TRUE,TRUE,0,1,#N/A,1,#N/A,9.0125,24.4117647058824,1,FALSE,FALSE,3,TRUE,1,FALSE,100,"Swvu.PLANILHA2.","ACwvu.PLANILHA2.",#N/A,FALSE,FALSE,0.787401575,0.34,0.46,0.5,1,"","",FALSE,FALSE,FALSE,FALSE,1,#N/A,1,1,FALSE,FALSE,#N/A,#N/A,FALSE,FALSE,FALSE,9,65532,65532,FALSE,FALSE,TRUE,TRUE,TRUE}</definedName>
    <definedName name="ea">#REF!</definedName>
    <definedName name="EC">{#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EW">{#N/A,#N/A,FALSE,"F-01"}</definedName>
    <definedName name="ECEW_1">{#N/A,#N/A,FALSE,"F-01"}</definedName>
    <definedName name="echart31">#REF!</definedName>
    <definedName name="EcoPark">#REF!</definedName>
    <definedName name="ECS">{#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E">{#N/A,#N/A,FALSE,"Plan1";#N/A,#N/A,FALSE,"Plan2"}</definedName>
    <definedName name="ee">#REF!</definedName>
    <definedName name="eee">{#N/A,#N/A,FALSE,"ET-CAPA";#N/A,#N/A,FALSE,"ET-PAG1";#N/A,#N/A,FALSE,"ET-PAG2";#N/A,#N/A,FALSE,"ET-PAG3";#N/A,#N/A,FALSE,"ET-PAG4";#N/A,#N/A,FALSE,"ET-PAG5"}</definedName>
    <definedName name="EF">#REF!</definedName>
    <definedName name="efestfr">{#N/A,#N/A,FALSE,"Plan1";#N/A,#N/A,FALSE,"Plan2"}</definedName>
    <definedName name="EFICIÊNCIA">#REF!</definedName>
    <definedName name="Eficiência1">#REF!</definedName>
    <definedName name="efrdrt">{#N/A,#N/A,FALSE,"Plan1";#N/A,#N/A,FALSE,"Plan2"}</definedName>
    <definedName name="efrg">{#N/A,#N/A,FALSE,"Plan1";#N/A,#N/A,FALSE,"Plan2"}</definedName>
    <definedName name="efsgfr">{#N/A,#N/A,FALSE,"Plan1";#N/A,#N/A,FALSE,"Plan2"}</definedName>
    <definedName name="eixo_x_fluxo_graf1">IFERROR(OFFSET(INDEX(#REF!,MATCH((INDEX(#REF!,MATCH(1,#REF!,0))),#REF!,0)),0,0,1,COUNTIF(#REF!,"&gt;=0")+COUNTIF(#REF!,"&lt;0")),0)</definedName>
    <definedName name="eixo_x_graf2">IFERROR(OFFSET(INDEX(#REF!,MATCH((INDEX(#REF!,MATCH(1,#REF!,0))),#REF!,0)),0,0,1,COUNTIF(#REF!,"&gt;=0")+COUNTIF(#REF!,"&lt;0")),0)</definedName>
    <definedName name="eixo_x_graf3_distratos">#REF!</definedName>
    <definedName name="eixo_x_graf3_vendas">#REF!</definedName>
    <definedName name="eixo_y_cury_graf2">IFERROR(OFFSET(INDEX(#REF!,MATCH((INDEX(#REF!,MATCH(1,#REF!,0))),#REF!,0)),0,0,1,COUNTIF(#REF!,"&gt;=0")+COUNTIF(#REF!,"&lt;0")),0)</definedName>
    <definedName name="eixo_y_fluxo_graf1">IFERROR(IF(#REF!="Nominal", OFFSET(INDEX(#REF!,MATCH((INDEX(#REF!,MATCH(1,#REF!,0))),#REF!,0)),0,0,1,COUNTIF(#REF!,"&gt;=0")+COUNTIF(#REF!,"&lt;0")), OFFSET(INDEX(#REF!,MATCH((INDEX(#REF!,MATCH(1,#REF!,0))),#REF!,0)),0,0,1,COUNTIF(#REF!,"&gt;=0")+COUNTIF(#REF!,"&lt;0"))),0)</definedName>
    <definedName name="eixo_y_forecast_graf1">IFERROR(IF(#REF!="Nominal", OFFSET(INDEX(#REF!,MATCH((INDEX(#REF!,MATCH(1,#REF!,0))),#REF!,0)),0,0,1,COUNTIF(#REF!,"&gt;=0")+COUNTIF(#REF!,"&lt;0")), OFFSET(INDEX(#REF!,MATCH((INDEX(#REF!,MATCH(1,#REF!,0))),#REF!,0)),0,0,1,COUNTIF(#REF!,"&gt;=0")+COUNTIF(#REF!,"&lt;0"))),0)</definedName>
    <definedName name="eixo_y_graf1_obrareal">IFERROR(IF(#REF!="Nominal", OFFSET(INDEX(#REF!,MATCH((INDEX(#REF!,MATCH(1,#REF!,0))),#REF!,0)),0,0,1,COUNTIF(#REF!,"&gt;=0")+COUNTIF(#REF!,"&lt;0")), OFFSET(INDEX(#REF!,MATCH((INDEX(#REF!,MATCH(1,#REF!,0))),#REF!,0)),0,0,1,COUNTIF(#REF!,"&gt;=0")+COUNTIF(#REF!,"&lt;0"))),0)</definedName>
    <definedName name="eixo_y_graf1_obraVL">IFERROR(IF(#REF!="Nominal", OFFSET(INDEX(#REF!,MATCH((INDEX(#REF!,MATCH(1,#REF!,0))),#REF!,0)),0,0,1,COUNTIF(#REF!,"&gt;=0")+COUNTIF(#REF!,"&lt;0")), OFFSET(INDEX(#REF!,MATCH((INDEX(#REF!,MATCH(1,#REF!,0))),#REF!,0)),0,0,1,COUNTIF(#REF!,"&gt;=0")+COUNTIF(#REF!,"&lt;0"))),0)</definedName>
    <definedName name="eixo_y_graf3">#REF!</definedName>
    <definedName name="eixo_y_socio_graf2">IFERROR(OFFSET(INDEX(#REF!,MATCH((INDEX(#REF!,MATCH(1,#REF!,0))),#REF!,0)),0,0,1,COUNTIF(#REF!,"&gt;=0")+COUNTIF(#REF!,"&lt;0")),0)</definedName>
    <definedName name="eixo_y_viab_graf1">IFERROR(IF(#REF!="Nominal", OFFSET(INDEX(#REF!,MATCH((INDEX(#REF!,MATCH(1,#REF!,0))),#REF!,0)),0,0,1,COUNTIF(#REF!,"&gt;=0")+COUNTIF(#REF!,"&lt;0")), OFFSET(INDEX(#REF!,MATCH((INDEX(#REF!,MATCH(1,#REF!,0))),#REF!,0)),0,0,1,COUNTIF(#REF!,"&gt;=0")+COUNTIF(#REF!,"&lt;0"))),0)</definedName>
    <definedName name="EM">#REF!</definedName>
    <definedName name="Empreend">#REF!</definedName>
    <definedName name="Empreendimentos">#REF!</definedName>
    <definedName name="empresas">#REF!</definedName>
    <definedName name="encanador">#REF!</definedName>
    <definedName name="EPI">#REF!</definedName>
    <definedName name="EQUIP">#REF!</definedName>
    <definedName name="equipamento">#REF!</definedName>
    <definedName name="ER">{#N/A,#N/A,FALSE,"GERAL";#N/A,#N/A,FALSE,"012-96";#N/A,#N/A,FALSE,"018-96";#N/A,#N/A,FALSE,"027-96";#N/A,#N/A,FALSE,"059-96";#N/A,#N/A,FALSE,"076-96";#N/A,#N/A,FALSE,"019-97";#N/A,#N/A,FALSE,"021-97";#N/A,#N/A,FALSE,"022-97";#N/A,#N/A,FALSE,"028-97"}</definedName>
    <definedName name="ergerger">{TRUE,TRUE,-1.25,-15.5,604.5,366.75,FALSE,FALSE,TRUE,TRUE,0,1,#N/A,1,#N/A,9.0125,24.4117647058824,1,FALSE,FALSE,3,TRUE,1,FALSE,100,"Swvu.PLANILHA2.","ACwvu.PLANILHA2.",#N/A,FALSE,FALSE,0.787401575,0.34,0.46,0.5,1,"","",FALSE,FALSE,FALSE,FALSE,1,#N/A,1,1,FALSE,FALSE,#N/A,#N/A,FALSE,FALSE,FALSE,9,65532,65532,FALSE,FALSE,TRUE,TRUE,TRUE}</definedName>
    <definedName name="ergfhyu">{#N/A,#N/A,FALSE,"Plan1";#N/A,#N/A,FALSE,"Plan2"}</definedName>
    <definedName name="erne_cdi">#REF!</definedName>
    <definedName name="erne_hist">#REF!</definedName>
    <definedName name="erne_uss">#REF!</definedName>
    <definedName name="erte">#REF!</definedName>
    <definedName name="ESGFDSFD">{#N/A,#N/A,FALSE,"Plan1";#N/A,#N/A,FALSE,"Plan2"}</definedName>
    <definedName name="esp">#REF!</definedName>
    <definedName name="ESPESSURA">#REF!</definedName>
    <definedName name="estaca">#REF!</definedName>
    <definedName name="estaca3">#REF!</definedName>
    <definedName name="ESTADO">#REF!</definedName>
    <definedName name="estados">#REF!</definedName>
    <definedName name="estagiário">#REF!</definedName>
    <definedName name="ESTOQUE">#REF!</definedName>
    <definedName name="Etq_final">#REF!</definedName>
    <definedName name="EU">{#N/A,#N/A,FALSE,"Plan1";#N/A,#N/A,FALSE,"Plan2"}</definedName>
    <definedName name="EV__LASTREFTIME__">39965.7223611111</definedName>
    <definedName name="EVL">{"Econ Consolidado",#N/A,FALSE,"Econ Consol";"Fluxo de Caixa",#N/A,FALSE,"Fluxo Caixa";"Investimentos",#N/A,FALSE,"Investimentos"}</definedName>
    <definedName name="Evol.">{"Econ Consolidado",#N/A,FALSE,"Econ Consol";"Fluxo de Caixa",#N/A,FALSE,"Fluxo Caixa";"Investimentos",#N/A,FALSE,"Investimentos"}</definedName>
    <definedName name="ewfr">{#N/A,#N/A,FALSE,"Plan1";#N/A,#N/A,FALSE,"Plan2"}</definedName>
    <definedName name="exce_cdi">#REF!</definedName>
    <definedName name="exce_hist">#REF!</definedName>
    <definedName name="exce_uss">#REF!</definedName>
    <definedName name="Excel_BuiltIn__FilterDatabase_1">#REF!</definedName>
    <definedName name="Excel_BuiltIn__FilterDatabase_1_1">#REF!</definedName>
    <definedName name="Excel_BuiltIn__FilterDatabase_6">#REF!</definedName>
    <definedName name="Excel_BuiltIn_Print_Area_0">#REF!</definedName>
    <definedName name="Excel_BuiltIn_Print_Area_1_1">#REF!</definedName>
    <definedName name="Excel_BuiltIn_Print_Titles_1_1_1">#REF!</definedName>
    <definedName name="Excel_BuiltIn_Print_Titles_1_1_4">#REF!</definedName>
    <definedName name="Excel_BuiltIn_Print_Titles_1_1_5">#REF!</definedName>
    <definedName name="Exrate">#REF!</definedName>
    <definedName name="eyruieyteta">{#N/A,#N/A,FALSE,"Plan1";#N/A,#N/A,FALSE,"Plan2"}</definedName>
    <definedName name="f">#REF!</definedName>
    <definedName name="FACULDADE">#REF!</definedName>
    <definedName name="FAL">#REF!</definedName>
    <definedName name="farialima">#REF!</definedName>
    <definedName name="FAS">{"'Total'!$A$1","'Total'!$A$3"}</definedName>
    <definedName name="fasfasf">{#N/A,#N/A,TRUE,"Quinzena 01 à 15-04-98 "}</definedName>
    <definedName name="FATOR_K">#REF!</definedName>
    <definedName name="FATORK">#REF!</definedName>
    <definedName name="FBancaria">#REF!</definedName>
    <definedName name="fchart31">#REF!</definedName>
    <definedName name="fddhght">{#N/A,#N/A,FALSE,"Plan1";#N/A,#N/A,FALSE,"Plan2"}</definedName>
    <definedName name="fdfgd">{#N/A,#N/A,FALSE,"Plan1";#N/A,#N/A,FALSE,"Plan2"}</definedName>
    <definedName name="fdfng">{#N/A,#N/A,FALSE,"GERAL";#N/A,#N/A,FALSE,"012-96";#N/A,#N/A,FALSE,"018-96";#N/A,#N/A,FALSE,"027-96";#N/A,#N/A,FALSE,"059-96";#N/A,#N/A,FALSE,"076-96";#N/A,#N/A,FALSE,"019-97";#N/A,#N/A,FALSE,"021-97";#N/A,#N/A,FALSE,"022-97";#N/A,#N/A,FALSE,"028-97"}</definedName>
    <definedName name="fdgaf">{#N/A,#N/A,FALSE,"Plan1";#N/A,#N/A,FALSE,"Plan2"}</definedName>
    <definedName name="fdgdfg">{TRUE,TRUE,-1.25,-15.5,604.5,366.75,FALSE,FALSE,TRUE,TRUE,0,1,#N/A,1,#N/A,9.0125,24.4117647058824,1,FALSE,FALSE,3,TRUE,1,FALSE,100,"Swvu.PLANILHA2.","ACwvu.PLANILHA2.",#N/A,FALSE,FALSE,0.787401575,0.34,0.46,0.5,1,"","",FALSE,FALSE,FALSE,FALSE,1,#N/A,1,1,FALSE,FALSE,#N/A,#N/A,FALSE,FALSE,FALSE,9,65532,65532,FALSE,FALSE,TRUE,TRUE,TRUE}</definedName>
    <definedName name="FDGFDJHGZEDR">{#N/A,#N/A,FALSE,"Plan1";#N/A,#N/A,FALSE,"Plan2"}</definedName>
    <definedName name="fdgfyhygfuj">{#N/A,#N/A,FALSE,"Plan1";#N/A,#N/A,FALSE,"Plan2"}</definedName>
    <definedName name="fdhgfdf">{#N/A,#N/A,FALSE,"Plan1";#N/A,#N/A,FALSE,"Plan2"}</definedName>
    <definedName name="fdjfgdfjg">{#N/A,#N/A,FALSE,"Plan1";#N/A,#N/A,FALSE,"Plan2"}</definedName>
    <definedName name="fdjghkshtygt">{#N/A,#N/A,FALSE,"Plan1";#N/A,#N/A,FALSE,"Plan2"}</definedName>
    <definedName name="fdnhgf">{"'Estimativa de Lançamento-JAN'!$A$1:$AI$85"}</definedName>
    <definedName name="fdsf">{#N/A,#N/A,FALSE,"Plan1";#N/A,#N/A,FALSE,"Plan2"}</definedName>
    <definedName name="FE">#REF!</definedName>
    <definedName name="fefefefe">#REF!</definedName>
    <definedName name="FER">#REF!</definedName>
    <definedName name="fev17RJ">#REF!</definedName>
    <definedName name="FEVEREIRO2001">#REF!</definedName>
    <definedName name="ff">#REF!</definedName>
    <definedName name="fffefes">#REF!</definedName>
    <definedName name="fffff">{#N/A,#N/A,FALSE,"Plan1";#N/A,#N/A,FALSE,"Plan2"}</definedName>
    <definedName name="FFFFFFF">#REF!</definedName>
    <definedName name="FFTY">{#N/A,#N/A,FALSE,"GERAL";#N/A,#N/A,FALSE,"012-96";#N/A,#N/A,FALSE,"018-96";#N/A,#N/A,FALSE,"027-96";#N/A,#N/A,FALSE,"059-96";#N/A,#N/A,FALSE,"076-96";#N/A,#N/A,FALSE,"019-97";#N/A,#N/A,FALSE,"021-97";#N/A,#N/A,FALSE,"022-97";#N/A,#N/A,FALSE,"028-97"}</definedName>
    <definedName name="fg">{#N/A,#N/A,FALSE,"Plan1";#N/A,#N/A,FALSE,"Plan2"}</definedName>
    <definedName name="fgg">{"'장비'!$A$3:$M$12"}</definedName>
    <definedName name="fghfh">{"'Estimativa de Lançamento-JAN'!$A$1:$AI$85"}</definedName>
    <definedName name="fghgfh">{#N/A,#N/A,FALSE,"Plan1";#N/A,#N/A,FALSE,"Plan2"}</definedName>
    <definedName name="FGJHFGK">{#N/A,#N/A,FALSE,"Plan1";#N/A,#N/A,FALSE,"Plan2"}</definedName>
    <definedName name="fgktyhdft">{TRUE,TRUE,-1.25,-15.5,604.5,366.75,FALSE,FALSE,TRUE,TRUE,0,1,#N/A,1,#N/A,9.0125,24.4117647058824,1,FALSE,FALSE,3,TRUE,1,FALSE,100,"Swvu.PLANILHA2.","ACwvu.PLANILHA2.",#N/A,FALSE,FALSE,0.787401575,0.34,0.46,0.5,1,"","",FALSE,FALSE,FALSE,FALSE,1,#N/A,1,1,FALSE,FALSE,#N/A,#N/A,FALSE,FALSE,FALSE,9,65532,65532,FALSE,FALSE,TRUE,TRUE,TRUE}</definedName>
    <definedName name="fgtrgty">{#N/A,#N/A,FALSE,"Plan1";#N/A,#N/A,FALSE,"Plan2"}</definedName>
    <definedName name="fgty">#REF!</definedName>
    <definedName name="fhgjfgyt">{#N/A,#N/A,FALSE,"Plan1";#N/A,#N/A,FALSE,"Plan2"}</definedName>
    <definedName name="fhgjkhtrfg">{#N/A,#N/A,FALSE,"Plan1";#N/A,#N/A,FALSE,"Plan2"}</definedName>
    <definedName name="FHGTGSRSG">{#N/A,#N/A,FALSE,"Plan1";#N/A,#N/A,FALSE,"Plan2"}</definedName>
    <definedName name="FIELD">{#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ILTRO">{#N/A,#N/A,TRUE,"Quinzena 01 à 15-04-98 "}</definedName>
    <definedName name="Filtro_Rel_Sienge">#REF!</definedName>
    <definedName name="Firs_hist">#REF!</definedName>
    <definedName name="First_cdi">#REF!</definedName>
    <definedName name="First_uss">#REF!</definedName>
    <definedName name="fjdhfgjdhtgu">{#N/A,#N/A,FALSE,"Plan1";#N/A,#N/A,FALSE,"Plan2"}</definedName>
    <definedName name="fjfjg">{#N/A,#N/A,FALSE,"명세표"}</definedName>
    <definedName name="FJGHJ">{TRUE,TRUE,-1.25,-15.5,604.5,366.75,FALSE,FALSE,TRUE,TRUE,0,1,#N/A,1,#N/A,9.0125,24.4117647058824,1,FALSE,FALSE,3,TRUE,1,FALSE,100,"Swvu.PLANILHA2.","ACwvu.PLANILHA2.",#N/A,FALSE,FALSE,0.787401575,0.34,0.46,0.5,1,"","",FALSE,FALSE,FALSE,FALSE,1,#N/A,1,1,FALSE,FALSE,#N/A,#N/A,FALSE,FALSE,FALSE,9,65532,65532,FALSE,FALSE,TRUE,TRUE,TRUE}</definedName>
    <definedName name="FJHJHG">{#N/A,#N/A,FALSE,"Plan1";#N/A,#N/A,FALSE,"Plan2"}</definedName>
    <definedName name="fjtgfhf">{TRUE,TRUE,-1.25,-15.5,604.5,366.75,FALSE,FALSE,TRUE,TRUE,0,1,#N/A,1,#N/A,9.0125,24.4117647058824,1,FALSE,FALSE,3,TRUE,1,FALSE,100,"Swvu.PLANILHA2.","ACwvu.PLANILHA2.",#N/A,FALSE,FALSE,0.787401575,0.34,0.46,0.5,1,"","",FALSE,FALSE,FALSE,FALSE,1,#N/A,1,1,FALSE,FALSE,#N/A,#N/A,FALSE,FALSE,FALSE,9,65532,65532,FALSE,FALSE,TRUE,TRUE,TRUE}</definedName>
    <definedName name="FKF">{#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kfw">{#N/A,#N/A,FALSE,"Plan1";#N/A,#N/A,FALSE,"Plan2"}</definedName>
    <definedName name="fl">#REF!</definedName>
    <definedName name="FL_1">#REF!</definedName>
    <definedName name="FL_2">#REF!</definedName>
    <definedName name="FL_3">#REF!</definedName>
    <definedName name="Fluxo_captação">#REF!</definedName>
    <definedName name="FOLHA2">#REF!</definedName>
    <definedName name="Format">#REF!</definedName>
    <definedName name="Formato_da_Loja">#REF!</definedName>
    <definedName name="FORMULA">#REF!</definedName>
    <definedName name="FORNECEDOR">OFFSET(#REF!,6,0,COUNTA(#REF!))</definedName>
    <definedName name="FORNECEDOR_2">OFFSET(#REF!,6,0,COUNTA(#REF!))</definedName>
    <definedName name="FORNECEDOR_3">OFFSET(#REF!,6,0,COUNTA(#REF!))</definedName>
    <definedName name="FORNECEDOR_4">OFFSET(#REF!,6,0,COUNTA(#REF!))</definedName>
    <definedName name="FORNECEDOR_5">OFFSET(#REF!,6,0,COUNTA(#REF!))</definedName>
    <definedName name="FORNECEDOR_7">OFFSET(#REF!,6,0,COUNTA(#REF!))</definedName>
    <definedName name="FORNECEDOR_8">OFFSET(#REF!,6,0,COUNTA(#REF!))</definedName>
    <definedName name="frçt4r">{#N/A,#N/A,FALSE,"Plan1";#N/A,#N/A,FALSE,"Plan2"}</definedName>
    <definedName name="frdtty">{#N/A,#N/A,FALSE,"Plan1";#N/A,#N/A,FALSE,"Plan2"}</definedName>
    <definedName name="fsdfsf">{#N/A,#N/A,FALSE,"GERAL";#N/A,#N/A,FALSE,"012-96";#N/A,#N/A,FALSE,"018-96";#N/A,#N/A,FALSE,"027-96";#N/A,#N/A,FALSE,"059-96";#N/A,#N/A,FALSE,"076-96";#N/A,#N/A,FALSE,"019-97";#N/A,#N/A,FALSE,"021-97";#N/A,#N/A,FALSE,"022-97";#N/A,#N/A,FALSE,"028-97"}</definedName>
    <definedName name="fuihgjk">{#N/A,#N/A,FALSE,"Plan1";#N/A,#N/A,FALSE,"Plan2"}</definedName>
    <definedName name="fuste">#REF!</definedName>
    <definedName name="fxjghkfg">{#N/A,#N/A,FALSE,"Plan1";#N/A,#N/A,FALSE,"Plan2"}</definedName>
    <definedName name="g_10">#REF!</definedName>
    <definedName name="g_11">#REF!</definedName>
    <definedName name="g_12">#REF!</definedName>
    <definedName name="g_13">#REF!</definedName>
    <definedName name="g_15">#REF!</definedName>
    <definedName name="g_16">#REF!</definedName>
    <definedName name="g_17">#REF!</definedName>
    <definedName name="g_19">#REF!</definedName>
    <definedName name="g_21">#REF!</definedName>
    <definedName name="g_25">#REF!</definedName>
    <definedName name="g_27">#REF!</definedName>
    <definedName name="g_31">#REF!</definedName>
    <definedName name="g_32">#REF!</definedName>
    <definedName name="g_33">#REF!</definedName>
    <definedName name="g_34">#REF!</definedName>
    <definedName name="G_35">#REF!</definedName>
    <definedName name="g_37">#REF!</definedName>
    <definedName name="g_41">#REF!</definedName>
    <definedName name="g_42">#REF!</definedName>
    <definedName name="g_45">#REF!</definedName>
    <definedName name="g_47">#REF!</definedName>
    <definedName name="g_51">#REF!</definedName>
    <definedName name="g_52">#REF!</definedName>
    <definedName name="g_53">#REF!</definedName>
    <definedName name="G_54">#REF!</definedName>
    <definedName name="G_55">#REF!</definedName>
    <definedName name="G_56">#REF!</definedName>
    <definedName name="G_57">#REF!</definedName>
    <definedName name="G_58">#REF!</definedName>
    <definedName name="G_59">#REF!</definedName>
    <definedName name="G_61">#REF!</definedName>
    <definedName name="G_63">#REF!</definedName>
    <definedName name="G_65">#REF!</definedName>
    <definedName name="G_67">#REF!</definedName>
    <definedName name="g_68">#REF!</definedName>
    <definedName name="g_69">#REF!</definedName>
    <definedName name="G_71">#REF!</definedName>
    <definedName name="G_73">#REF!</definedName>
    <definedName name="G_75">#REF!</definedName>
    <definedName name="G_77">#REF!</definedName>
    <definedName name="G_78">#REF!</definedName>
    <definedName name="G_81">#REF!</definedName>
    <definedName name="G_83">#REF!</definedName>
    <definedName name="G_85">#REF!</definedName>
    <definedName name="G_87">#REF!</definedName>
    <definedName name="G_90">#REF!</definedName>
    <definedName name="G_91">#REF!</definedName>
    <definedName name="G_92">#REF!</definedName>
    <definedName name="G_94">#REF!</definedName>
    <definedName name="G_95">#REF!</definedName>
    <definedName name="G_96">#REF!</definedName>
    <definedName name="galo">{#N/A,#N/A,FALSE,"GERAL";#N/A,#N/A,FALSE,"012-96";#N/A,#N/A,FALSE,"018-96";#N/A,#N/A,FALSE,"027-96";#N/A,#N/A,FALSE,"059-96";#N/A,#N/A,FALSE,"076-96";#N/A,#N/A,FALSE,"019-97";#N/A,#N/A,FALSE,"021-97";#N/A,#N/A,FALSE,"022-97";#N/A,#N/A,FALSE,"028-97"}</definedName>
    <definedName name="GARAGEM">#REF!</definedName>
    <definedName name="garcia">#REF!</definedName>
    <definedName name="GASTOS_JULHO">#REF!</definedName>
    <definedName name="gbdjkvhgd">{#N/A,#N/A,FALSE,"Plan1";#N/A,#N/A,FALSE,"Plan2"}</definedName>
    <definedName name="gbdsjgsjfdgj">{#N/A,#N/A,FALSE,"Plan1";#N/A,#N/A,FALSE,"Plan2"}</definedName>
    <definedName name="gdfdhgfjgj">{#N/A,#N/A,FALSE,"Plan1";#N/A,#N/A,FALSE,"Plan2"}</definedName>
    <definedName name="gdfgdstggt">{#N/A,#N/A,FALSE,"Plan1";#N/A,#N/A,FALSE,"Plan2"}</definedName>
    <definedName name="GDFHGRJGFJDRF">{"Econ Consolidado",#N/A,FALSE,"Econ Consol";"Fluxo de Caixa",#N/A,FALSE,"Fluxo Caixa";"Investimentos",#N/A,FALSE,"Investimentos"}</definedName>
    <definedName name="gdfigfhuyuy">{#N/A,#N/A,FALSE,"Plan1";#N/A,#N/A,FALSE,"Plan2"}</definedName>
    <definedName name="gdfsgfew">{#N/A,#N/A,FALSE,"Plan1";#N/A,#N/A,FALSE,"Plan2"}</definedName>
    <definedName name="gdhfgdhfgf">{#N/A,#N/A,FALSE,"Plan1";#N/A,#N/A,FALSE,"Plan2"}</definedName>
    <definedName name="gdsfhefrwrw">{#N/A,#N/A,FALSE,"Plan1";#N/A,#N/A,FALSE,"Plan2"}</definedName>
    <definedName name="GER_TECNICO">#REF!</definedName>
    <definedName name="Gerentes">#REF!</definedName>
    <definedName name="geshrjhed">{#N/A,#N/A,FALSE,"Plan1";#N/A,#N/A,FALSE,"Plan2"}</definedName>
    <definedName name="gestao">OFFSET(INDEX(#REF!,MATCH(#REF!,#REF!,0)),1,0,COUNTA(#REF!)-1)</definedName>
    <definedName name="gfdcgnkf">{#N/A,#N/A,FALSE,"Plan1";#N/A,#N/A,FALSE,"Plan2"}</definedName>
    <definedName name="gfdjtgur">{#N/A,#N/A,FALSE,"Plan1";#N/A,#N/A,FALSE,"Plan2"}</definedName>
    <definedName name="gfdrtg">#REF!</definedName>
    <definedName name="gfgdhxgfdhf">{#N/A,#N/A,FALSE,"Plan1";#N/A,#N/A,FALSE,"Plan2"}</definedName>
    <definedName name="gfhfdtgjb">{#N/A,#N/A,FALSE,"Plan1";#N/A,#N/A,FALSE,"Plan2"}</definedName>
    <definedName name="gfjdshrtjhtged">{#N/A,#N/A,FALSE,"Plan1";#N/A,#N/A,FALSE,"Plan2"}</definedName>
    <definedName name="gfjgkddgfd">{#N/A,#N/A,FALSE,"Plan1";#N/A,#N/A,FALSE,"Plan2"}</definedName>
    <definedName name="gfsghjdgygr">{#N/A,#N/A,FALSE,"Plan1";#N/A,#N/A,FALSE,"Plan2"}</definedName>
    <definedName name="gftfy">{#N/A,#N/A,FALSE,"Plan1";#N/A,#N/A,FALSE,"Plan2"}</definedName>
    <definedName name="gfty">{#N/A,#N/A,FALSE,"Plan1";#N/A,#N/A,FALSE,"Plan2"}</definedName>
    <definedName name="GFUJU9">{#N/A,#N/A,FALSE,"Plan1";#N/A,#N/A,FALSE,"Plan2"}</definedName>
    <definedName name="ggg">{#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GGGG">{#N/A,#N/A,FALSE,"Plan1";#N/A,#N/A,FALSE,"Plan2"}</definedName>
    <definedName name="gggggggggg">{TRUE,TRUE,-1.25,-15.5,604.5,366.75,FALSE,FALSE,TRUE,TRUE,0,1,#N/A,1,#N/A,9.0125,24.4117647058824,1,FALSE,FALSE,3,TRUE,1,FALSE,100,"Swvu.PLANILHA2.","ACwvu.PLANILHA2.",#N/A,FALSE,FALSE,0.787401575,0.34,0.46,0.5,1,"","",FALSE,FALSE,FALSE,FALSE,1,#N/A,1,1,FALSE,FALSE,#N/A,#N/A,FALSE,FALSE,FALSE,9,65532,65532,FALSE,FALSE,TRUE,TRUE,TRUE}</definedName>
    <definedName name="gh">{"'장비'!$A$3:$M$12"}</definedName>
    <definedName name="ghfgdfrtert">{#N/A,#N/A,FALSE,"Plan1";#N/A,#N/A,FALSE,"Plan2"}</definedName>
    <definedName name="ghfhghft">{#N/A,#N/A,FALSE,"Plan1";#N/A,#N/A,FALSE,"Plan2"}</definedName>
    <definedName name="ghjg">{"'Estimativa de Lançamento-JAN'!$A$1:$AI$85"}</definedName>
    <definedName name="ghkfhgh">{#N/A,#N/A,FALSE,"Plan1";#N/A,#N/A,FALSE,"Plan2"}</definedName>
    <definedName name="ghkjh">{#N/A,#N/A,FALSE,"ENG'G(보호계전기)"}</definedName>
    <definedName name="GJ">{#N/A,#N/A,FALSE,"GERAL";#N/A,#N/A,FALSE,"012-96";#N/A,#N/A,FALSE,"018-96";#N/A,#N/A,FALSE,"027-96";#N/A,#N/A,FALSE,"059-96";#N/A,#N/A,FALSE,"076-96";#N/A,#N/A,FALSE,"019-97";#N/A,#N/A,FALSE,"021-97";#N/A,#N/A,FALSE,"022-97";#N/A,#N/A,FALSE,"028-97"}</definedName>
    <definedName name="gjfhjktgcf">{#N/A,#N/A,FALSE,"Plan1";#N/A,#N/A,FALSE,"Plan2"}</definedName>
    <definedName name="GJG">{TRUE,TRUE,-1.25,-15.5,604.5,366.75,FALSE,FALSE,TRUE,TRUE,0,1,#N/A,1,#N/A,9.0125,24.4117647058824,1,FALSE,FALSE,3,TRUE,1,FALSE,100,"Swvu.PLANILHA2.","ACwvu.PLANILHA2.",#N/A,FALSE,FALSE,0.787401575,0.34,0.46,0.5,1,"","",FALSE,FALSE,FALSE,FALSE,1,#N/A,1,1,FALSE,FALSE,#N/A,#N/A,FALSE,FALSE,FALSE,9,65532,65532,FALSE,FALSE,TRUE,TRUE,TRUE}</definedName>
    <definedName name="gjgh">{#N/A,#N/A,FALSE,"GERAL";#N/A,#N/A,FALSE,"012-96";#N/A,#N/A,FALSE,"018-96";#N/A,#N/A,FALSE,"027-96";#N/A,#N/A,FALSE,"059-96";#N/A,#N/A,FALSE,"076-96";#N/A,#N/A,FALSE,"019-97";#N/A,#N/A,FALSE,"021-97";#N/A,#N/A,FALSE,"022-97";#N/A,#N/A,FALSE,"028-97"}</definedName>
    <definedName name="GJK">{#N/A,#N/A,FALSE,"GERAL";#N/A,#N/A,FALSE,"012-96";#N/A,#N/A,FALSE,"018-96";#N/A,#N/A,FALSE,"027-96";#N/A,#N/A,FALSE,"059-96";#N/A,#N/A,FALSE,"076-96";#N/A,#N/A,FALSE,"019-97";#N/A,#N/A,FALSE,"021-97";#N/A,#N/A,FALSE,"022-97";#N/A,#N/A,FALSE,"028-97"}</definedName>
    <definedName name="gjkhgjhjfggfjhfg">{#N/A,#N/A,FALSE,"Plan1";#N/A,#N/A,FALSE,"Plan2"}</definedName>
    <definedName name="glgl">{#N/A,#N/A,FALSE,"Plan1";#N/A,#N/A,FALSE,"Plan2"}</definedName>
    <definedName name="GLOBAL">#REF!</definedName>
    <definedName name="gnfrth">{TRUE,TRUE,-1.25,-15.5,604.5,366.75,FALSE,FALSE,TRUE,TRUE,0,1,#N/A,1,#N/A,9.0125,24.4117647058824,1,FALSE,FALSE,3,TRUE,1,FALSE,100,"Swvu.PLANILHA2.","ACwvu.PLANILHA2.",#N/A,FALSE,FALSE,0.787401575,0.34,0.46,0.5,1,"","",FALSE,FALSE,FALSE,FALSE,1,#N/A,1,1,FALSE,FALSE,#N/A,#N/A,FALSE,FALSE,FALSE,9,65532,65532,FALSE,FALSE,TRUE,TRUE,TRUE}</definedName>
    <definedName name="grec_cdi">#REF!</definedName>
    <definedName name="grec_hist">#REF!</definedName>
    <definedName name="grec_uss">#REF!</definedName>
    <definedName name="grua">#REF!</definedName>
    <definedName name="GSDWJSTGE">{TRUE,TRUE,-1.25,-15.5,604.5,366.75,FALSE,FALSE,TRUE,TRUE,0,1,#N/A,1,#N/A,9.0125,24.4117647058824,1,FALSE,FALSE,3,TRUE,1,FALSE,100,"Swvu.PLANILHA2.","ACwvu.PLANILHA2.",#N/A,FALSE,FALSE,0.787401575,0.34,0.46,0.5,1,"","",FALSE,FALSE,FALSE,FALSE,1,#N/A,1,1,FALSE,FALSE,#N/A,#N/A,FALSE,FALSE,FALSE,9,65532,65532,FALSE,FALSE,TRUE,TRUE,TRUE}</definedName>
    <definedName name="gtuigsdyugsdf">{#N/A,#N/A,FALSE,"Plan1";#N/A,#N/A,FALSE,"Plan2"}</definedName>
    <definedName name="GUI">{#N/A,#N/A,FALSE,"GERAL";#N/A,#N/A,FALSE,"012-96";#N/A,#N/A,FALSE,"018-96";#N/A,#N/A,FALSE,"027-96";#N/A,#N/A,FALSE,"059-96";#N/A,#N/A,FALSE,"076-96";#N/A,#N/A,FALSE,"019-97";#N/A,#N/A,FALSE,"021-97";#N/A,#N/A,FALSE,"022-97";#N/A,#N/A,FALSE,"028-97"}</definedName>
    <definedName name="GV">{#N/A,#N/A,FALSE,"CCTV"}</definedName>
    <definedName name="h">#REF!</definedName>
    <definedName name="hbjgjuae">#REF!</definedName>
    <definedName name="hcjfkhdghfktg">{#N/A,#N/A,FALSE,"Plan1";#N/A,#N/A,FALSE,"Plan2"}</definedName>
    <definedName name="hckhjfdkgfdg">#REF!</definedName>
    <definedName name="hddfndgdfgf">{TRUE,TRUE,-1.25,-15.5,604.5,366.75,FALSE,FALSE,TRUE,TRUE,0,1,#N/A,1,#N/A,9.0125,24.4117647058824,1,FALSE,FALSE,3,TRUE,1,FALSE,100,"Swvu.PLANILHA2.","ACwvu.PLANILHA2.",#N/A,FALSE,FALSE,0.787401575,0.34,0.46,0.5,1,"","",FALSE,FALSE,FALSE,FALSE,1,#N/A,1,1,FALSE,FALSE,#N/A,#N/A,FALSE,FALSE,FALSE,9,65532,65532,FALSE,FALSE,TRUE,TRUE,TRUE}</definedName>
    <definedName name="HDFGHGST">{#N/A,#N/A,FALSE,"Plan1";#N/A,#N/A,FALSE,"Plan2"}</definedName>
    <definedName name="HDFGJKHKFDHTY">{#N/A,#N/A,FALSE,"Plan1";#N/A,#N/A,FALSE,"Plan2"}</definedName>
    <definedName name="hdfhdhrtgd">{#N/A,#N/A,FALSE,"Plan1";#N/A,#N/A,FALSE,"Plan2"}</definedName>
    <definedName name="hdfhftde">{#N/A,#N/A,FALSE,"Plan1";#N/A,#N/A,FALSE,"Plan2"}</definedName>
    <definedName name="hdfhgkdhgtrf">{#N/A,#N/A,FALSE,"Plan1";#N/A,#N/A,FALSE,"Plan2"}</definedName>
    <definedName name="hdfjhdkzhgdr">{#N/A,#N/A,FALSE,"Plan1";#N/A,#N/A,FALSE,"Plan2"}</definedName>
    <definedName name="hdfjkgvjgtd">{#N/A,#N/A,FALSE,"Plan1";#N/A,#N/A,FALSE,"Plan2"}</definedName>
    <definedName name="hdfjkhdhrute">{#N/A,#N/A,FALSE,"Plan1";#N/A,#N/A,FALSE,"Plan2"}</definedName>
    <definedName name="HDFKGVF">{#N/A,#N/A,FALSE,"Plan1";#N/A,#N/A,FALSE,"Plan2"}</definedName>
    <definedName name="hdgfhdgtdrt">{#N/A,#N/A,FALSE,"Plan1";#N/A,#N/A,FALSE,"Plan2"}</definedName>
    <definedName name="hdghgtgtrgd">{#N/A,#N/A,FALSE,"Plan1";#N/A,#N/A,FALSE,"Plan2"}</definedName>
    <definedName name="HDHDGHTUHDTG">{#N/A,#N/A,FALSE,"Plan1";#N/A,#N/A,FALSE,"Plan2"}</definedName>
    <definedName name="hdhghfthrrhy">{#N/A,#N/A,FALSE,"Plan1";#N/A,#N/A,FALSE,"Plan2"}</definedName>
    <definedName name="hdkfjhydjh">{#N/A,#N/A,FALSE,"Plan1";#N/A,#N/A,FALSE,"Plan2"}</definedName>
    <definedName name="hdsgfgrrdgr">{#N/A,#N/A,FALSE,"Plan1";#N/A,#N/A,FALSE,"Plan2"}</definedName>
    <definedName name="hdtertkkdsa">{#N/A,#N/A,FALSE,"Plan1";#N/A,#N/A,FALSE,"Plan2"}</definedName>
    <definedName name="Header">#REF!</definedName>
    <definedName name="HEDHA">{#N/A,#N/A,FALSE,"Plan1";#N/A,#N/A,FALSE,"Plan2"}</definedName>
    <definedName name="heife">{TRUE,TRUE,-1.25,-15.5,604.5,366.75,FALSE,FALSE,TRUE,TRUE,0,1,#N/A,1,#N/A,9.0125,24.4117647058824,1,FALSE,FALSE,3,TRUE,1,FALSE,100,"Swvu.PLANILHA2.","ACwvu.PLANILHA2.",#N/A,FALSE,FALSE,0.787401575,0.34,0.46,0.5,1,"","",FALSE,FALSE,FALSE,FALSE,1,#N/A,1,1,FALSE,FALSE,#N/A,#N/A,FALSE,FALSE,FALSE,9,65532,65532,FALSE,FALSE,TRUE,TRUE,TRUE}</definedName>
    <definedName name="HELP">#REF!</definedName>
    <definedName name="herkfdshfker">{#N/A,#N/A,FALSE,"Plan1";#N/A,#N/A,FALSE,"Plan2"}</definedName>
    <definedName name="hersdtretyt">{#N/A,#N/A,FALSE,"Plan1";#N/A,#N/A,FALSE,"Plan2"}</definedName>
    <definedName name="HFDJTHTRS">{TRUE,TRUE,-1.25,-15.5,604.5,366.75,FALSE,FALSE,TRUE,TRUE,0,1,#N/A,1,#N/A,9.0125,24.4117647058824,1,FALSE,FALSE,3,TRUE,1,FALSE,100,"Swvu.PLANILHA2.","ACwvu.PLANILHA2.",#N/A,FALSE,FALSE,0.787401575,0.34,0.46,0.5,1,"","",FALSE,FALSE,FALSE,FALSE,1,#N/A,1,1,FALSE,FALSE,#N/A,#N/A,FALSE,FALSE,FALSE,9,65532,65532,FALSE,FALSE,TRUE,TRUE,TRUE}</definedName>
    <definedName name="HFDKHGFR">{#N/A,#N/A,FALSE,"Plan1";#N/A,#N/A,FALSE,"Plan2"}</definedName>
    <definedName name="hfdkhgkfdhtj">{#N/A,#N/A,FALSE,"Plan1";#N/A,#N/A,FALSE,"Plan2"}</definedName>
    <definedName name="hfgfktgkhyt">{#N/A,#N/A,FALSE,"Plan1";#N/A,#N/A,FALSE,"Plan2"}</definedName>
    <definedName name="hfghdkhrgkjg">{#N/A,#N/A,FALSE,"Plan1";#N/A,#N/A,FALSE,"Plan2"}</definedName>
    <definedName name="hfighfth">{#N/A,#N/A,FALSE,"Plan1";#N/A,#N/A,FALSE,"Plan2"}</definedName>
    <definedName name="hfjghtfuyrf">{#N/A,#N/A,FALSE,"Plan1";#N/A,#N/A,FALSE,"Plan2"}</definedName>
    <definedName name="HFKJHDJGHFJ">{#N/A,#N/A,FALSE,"Plan1";#N/A,#N/A,FALSE,"Plan2"}</definedName>
    <definedName name="hgdesgfgsj">{#N/A,#N/A,FALSE,"Plan1";#N/A,#N/A,FALSE,"Plan2"}</definedName>
    <definedName name="hgdgfd">{#N/A,#N/A,FALSE,"Plan1";#N/A,#N/A,FALSE,"Plan2"}</definedName>
    <definedName name="hgfhjkdfhj">{#N/A,#N/A,FALSE,"Plan1";#N/A,#N/A,FALSE,"Plan2"}</definedName>
    <definedName name="hgg">{#N/A,#N/A,FALSE,"Plan1";#N/A,#N/A,FALSE,"Plan2"}</definedName>
    <definedName name="hgjdfgghg">{#N/A,#N/A,FALSE,"Plan1";#N/A,#N/A,FALSE,"Plan2"}</definedName>
    <definedName name="hgjkfdhg">{#N/A,#N/A,FALSE,"Plan1";#N/A,#N/A,FALSE,"Plan2"}</definedName>
    <definedName name="hgkdfhkfk">{#N/A,#N/A,FALSE,"Plan1";#N/A,#N/A,FALSE,"Plan2"}</definedName>
    <definedName name="hgkjhdfhtrdyt">{#N/A,#N/A,FALSE,"Plan1";#N/A,#N/A,FALSE,"Plan2"}</definedName>
    <definedName name="hgkjhdfkhgtfhg">{#N/A,#N/A,FALSE,"Plan1";#N/A,#N/A,FALSE,"Plan2"}</definedName>
    <definedName name="hgkjhkfhsdkdhgk">{#N/A,#N/A,FALSE,"Plan1";#N/A,#N/A,FALSE,"Plan2"}</definedName>
    <definedName name="hgsufgdhghd">{#N/A,#N/A,FALSE,"Plan1";#N/A,#N/A,FALSE,"Plan2"}</definedName>
    <definedName name="HHGFHTYUT">{#N/A,#N/A,FALSE,"Plan1";#N/A,#N/A,FALSE,"Plan2"}</definedName>
    <definedName name="hhh">{"'Total'!$A$1","'Total'!$A$3"}</definedName>
    <definedName name="HHIHLK">#REF!</definedName>
    <definedName name="hik">{#N/A,#N/A,FALSE,"TABLE"}</definedName>
    <definedName name="hist">#REF!</definedName>
    <definedName name="HIST1">#REF!</definedName>
    <definedName name="HISTEQ">#REF!</definedName>
    <definedName name="HISTOGRAMA">#REF!</definedName>
    <definedName name="hjdgtjdjxrfg">{#N/A,#N/A,FALSE,"Plan1";#N/A,#N/A,FALSE,"Plan2"}</definedName>
    <definedName name="HJFDGD">{#N/A,#N/A,FALSE,"Plan1";#N/A,#N/A,FALSE,"Plan2"}</definedName>
    <definedName name="HJGASD">{#N/A,#N/A,FALSE,"Plan1";#N/A,#N/A,FALSE,"Plan2"}</definedName>
    <definedName name="HJGFGTFDG">{#N/A,#N/A,FALSE,"Plan1";#N/A,#N/A,FALSE,"Plan2"}</definedName>
    <definedName name="hjgfhdsgfhsd">{#N/A,#N/A,FALSE,"Plan1";#N/A,#N/A,FALSE,"Plan2"}</definedName>
    <definedName name="hjgxfjgdjyftr">{#N/A,#N/A,FALSE,"Plan1";#N/A,#N/A,FALSE,"Plan2"}</definedName>
    <definedName name="hjgyugasd">{#N/A,#N/A,FALSE,"Plan1";#N/A,#N/A,FALSE,"Plan2"}</definedName>
    <definedName name="hjjfyfy">{#N/A,#N/A,FALSE,"Plan1";#N/A,#N/A,FALSE,"Plan2"}</definedName>
    <definedName name="hjkchkvjhdjkgh">{#N/A,#N/A,FALSE,"Plan1";#N/A,#N/A,FALSE,"Plan2"}</definedName>
    <definedName name="hjkfjdyht">{#N/A,#N/A,FALSE,"Plan1";#N/A,#N/A,FALSE,"Plan2"}</definedName>
    <definedName name="hjsdffe">{TRUE,TRUE,-1.25,-15.5,604.5,366.75,FALSE,FALSE,TRUE,TRUE,0,1,#N/A,1,#N/A,9.0125,24.4117647058824,1,FALSE,FALSE,3,TRUE,1,FALSE,100,"Swvu.PLANILHA2.","ACwvu.PLANILHA2.",#N/A,FALSE,FALSE,0.787401575,0.34,0.46,0.5,1,"","",FALSE,FALSE,FALSE,FALSE,1,#N/A,1,1,FALSE,FALSE,#N/A,#N/A,FALSE,FALSE,FALSE,9,65532,65532,FALSE,FALSE,TRUE,TRUE,TRUE}</definedName>
    <definedName name="hjsdkhk">{#N/A,#N/A,FALSE,"Plan1";#N/A,#N/A,FALSE,"Plan2"}</definedName>
    <definedName name="hjsdsdrjfrh">2</definedName>
    <definedName name="hjsrdfre">{"Econ Consolidado",#N/A,FALSE,"Econ Consol";"Fluxo de Caixa",#N/A,FALSE,"Fluxo Caixa";"Investimentos",#N/A,FALSE,"Investimentos"}</definedName>
    <definedName name="HKewewsr">{#N/A,#N/A,FALSE,"Plan1";#N/A,#N/A,FALSE,"Plan2"}</definedName>
    <definedName name="hkhdskacd">{#N/A,#N/A,FALSE,"Plan1";#N/A,#N/A,FALSE,"Plan2"}</definedName>
    <definedName name="hkjfgfhgfh">{#N/A,#N/A,FALSE,"Plan1";#N/A,#N/A,FALSE,"Plan2"}</definedName>
    <definedName name="hkjfhgjkfhghfg">{#N/A,#N/A,FALSE,"Plan1";#N/A,#N/A,FALSE,"Plan2"}</definedName>
    <definedName name="HKLZHFRH">{#N/A,#N/A,FALSE,"Plan1";#N/A,#N/A,FALSE,"Plan2"}</definedName>
    <definedName name="ho">{#N/A,#N/A,FALSE,"TABLE"}</definedName>
    <definedName name="HOJE">#REF!</definedName>
    <definedName name="HONORARIOS">#REF!</definedName>
    <definedName name="HOSPEDES">#REF!</definedName>
    <definedName name="HOTEL">#REF!</definedName>
    <definedName name="hrterte">{#N/A,#N/A,FALSE,"Plan1";#N/A,#N/A,FALSE,"Plan2"}</definedName>
    <definedName name="hsdf">{#N/A,#N/A,FALSE,"Plan1";#N/A,#N/A,FALSE,"Plan2"}</definedName>
    <definedName name="hsdfgdgudrt">{#N/A,#N/A,FALSE,"Plan1";#N/A,#N/A,FALSE,"Plan2"}</definedName>
    <definedName name="hsdfjkdhur">{#N/A,#N/A,FALSE,"Plan1";#N/A,#N/A,FALSE,"Plan2"}</definedName>
    <definedName name="hsdgftdhtr">{TRUE,TRUE,-1.25,-15.5,604.5,366.75,FALSE,FALSE,TRUE,TRUE,0,1,#N/A,1,#N/A,9.0125,24.4117647058824,1,FALSE,FALSE,3,TRUE,1,FALSE,100,"Swvu.PLANILHA2.","ACwvu.PLANILHA2.",#N/A,FALSE,FALSE,0.787401575,0.34,0.46,0.5,1,"","",FALSE,FALSE,FALSE,FALSE,1,#N/A,1,1,FALSE,FALSE,#N/A,#N/A,FALSE,FALSE,FALSE,9,65532,65532,FALSE,FALSE,TRUE,TRUE,TRUE}</definedName>
    <definedName name="hsdjffd">{#N/A,#N/A,FALSE,"Plan1";#N/A,#N/A,FALSE,"Plan2"}</definedName>
    <definedName name="hsdjffe">{#N/A,#N/A,FALSE,"Plan1";#N/A,#N/A,FALSE,"Plan2"}</definedName>
    <definedName name="HSFIHDTR">{"Econ Consolidado",#N/A,FALSE,"Econ Consol";"Fluxo de Caixa",#N/A,FALSE,"Fluxo Caixa";"Investimentos",#N/A,FALSE,"Investimentos"}</definedName>
    <definedName name="hsfjkdshrgf">{#N/A,#N/A,FALSE,"Plan1";#N/A,#N/A,FALSE,"Plan2"}</definedName>
    <definedName name="hthhrtetdre">{#N/A,#N/A,FALSE,"Plan1";#N/A,#N/A,FALSE,"Plan2"}</definedName>
    <definedName name="HTM">#REF!</definedName>
    <definedName name="HTML_CodePage">949</definedName>
    <definedName name="HTML_Control">{"'장비'!$A$3:$M$12"}</definedName>
    <definedName name="HTML_Description">""</definedName>
    <definedName name="HTML_Email">""</definedName>
    <definedName name="HTML_Header">"장비"</definedName>
    <definedName name="HTML_LastUpdate">"97-08-05"</definedName>
    <definedName name="HTML_LineAfter">FALSE</definedName>
    <definedName name="HTML_LineBefore">FALSE</definedName>
    <definedName name="HTML_Name">"이진화"</definedName>
    <definedName name="HTML_OBDlg2">TRUE</definedName>
    <definedName name="HTML_OBDlg4">TRUE</definedName>
    <definedName name="HTML_OS">0</definedName>
    <definedName name="HTML_PathFile">"C:\My Documents\MyHTML.htm"</definedName>
    <definedName name="HTML_Title">"가산동미라보"</definedName>
    <definedName name="HTML2_CONTROL">{"'Estimativa de Lançamento-JAN'!$A$1:$AI$85"}</definedName>
    <definedName name="HTML3_CONTROL">{"'Estimativa de Lançamento-JAN'!$A$1:$AI$85"}</definedName>
    <definedName name="HTMLControl">{"'Edit'!$A$1:$V$2277"}</definedName>
    <definedName name="HTN">#REF!</definedName>
    <definedName name="HVJKHGKFXHFD">{#N/A,#N/A,FALSE,"Plan1";#N/A,#N/A,FALSE,"Plan2"}</definedName>
    <definedName name="hwekjhekhf">{#N/A,#N/A,FALSE,"Plan1";#N/A,#N/A,FALSE,"Plan2"}</definedName>
    <definedName name="HXFRE">{#N/A,#N/A,FALSE,"Plan1";#N/A,#N/A,FALSE,"Plan2"}</definedName>
    <definedName name="HXKJFGDKHG">{#N/A,#N/A,FALSE,"Plan1";#N/A,#N/A,FALSE,"Plan2"}</definedName>
    <definedName name="I">#REF!</definedName>
    <definedName name="ibir_cdi">#REF!</definedName>
    <definedName name="ibir_hist">#REF!</definedName>
    <definedName name="ibir_uss">#REF!</definedName>
    <definedName name="IC">#REF!</definedName>
    <definedName name="icoa_cdi">#REF!</definedName>
    <definedName name="icoa_hist">#REF!</definedName>
    <definedName name="icoa_uss">#REF!</definedName>
    <definedName name="Identificação">#REF!</definedName>
    <definedName name="idfhgkjhfkthy">{#N/A,#N/A,FALSE,"Plan1";#N/A,#N/A,FALSE,"Plan2"}</definedName>
    <definedName name="ieroweft">{#N/A,#N/A,FALSE,"Plan1";#N/A,#N/A,FALSE,"Plan2"}</definedName>
    <definedName name="iewpotqi5poejy">{#N/A,#N/A,FALSE,"Plan1";#N/A,#N/A,FALSE,"Plan2"}</definedName>
    <definedName name="ihdfifguhgfuiyh">{TRUE,TRUE,-1.25,-15.5,604.5,366.75,FALSE,FALSE,TRUE,TRUE,0,1,#N/A,1,#N/A,9.0125,24.4117647058824,1,FALSE,FALSE,3,TRUE,1,FALSE,100,"Swvu.PLANILHA2.","ACwvu.PLANILHA2.",#N/A,FALSE,FALSE,0.787401575,0.34,0.46,0.5,1,"","",FALSE,FALSE,FALSE,FALSE,1,#N/A,1,1,FALSE,FALSE,#N/A,#N/A,FALSE,FALSE,FALSE,9,65532,65532,FALSE,FALSE,TRUE,TRUE,TRUE}</definedName>
    <definedName name="ihdsitrrt">{TRUE,TRUE,-1.25,-15.5,604.5,366.75,FALSE,FALSE,TRUE,TRUE,0,1,#N/A,1,#N/A,9.0125,24.4117647058824,1,FALSE,FALSE,3,TRUE,1,FALSE,100,"Swvu.PLANILHA2.","ACwvu.PLANILHA2.",#N/A,FALSE,FALSE,0.787401575,0.34,0.46,0.5,1,"","",FALSE,FALSE,FALSE,FALSE,1,#N/A,1,1,FALSE,FALSE,#N/A,#N/A,FALSE,FALSE,FALSE,9,65532,65532,FALSE,FALSE,TRUE,TRUE,TRUE}</definedName>
    <definedName name="iheidhgufr">#REF!</definedName>
    <definedName name="ihfdkjhktgrd">{#N/A,#N/A,FALSE,"Plan1";#N/A,#N/A,FALSE,"Plan2"}</definedName>
    <definedName name="ihrtetw4r">{#N/A,#N/A,FALSE,"Plan1";#N/A,#N/A,FALSE,"Plan2"}</definedName>
    <definedName name="II">#REF!</definedName>
    <definedName name="IIASDSAWE">{"Econ Consolidado",#N/A,FALSE,"Econ Consol";"Fluxo de Caixa",#N/A,FALSE,"Fluxo Caixa";"Investimentos",#N/A,FALSE,"Investimentos"}</definedName>
    <definedName name="III">#REF!</definedName>
    <definedName name="iinstalações">{#N/A,#N/A,FALSE,"GERAL";#N/A,#N/A,FALSE,"012-96";#N/A,#N/A,FALSE,"018-96";#N/A,#N/A,FALSE,"027-96";#N/A,#N/A,FALSE,"059-96";#N/A,#N/A,FALSE,"076-96";#N/A,#N/A,FALSE,"019-97";#N/A,#N/A,FALSE,"021-97";#N/A,#N/A,FALSE,"022-97";#N/A,#N/A,FALSE,"028-97"}</definedName>
    <definedName name="ilhweilrji4e">{#N/A,#N/A,FALSE,"Plan1";#N/A,#N/A,FALSE,"Plan2"}</definedName>
    <definedName name="ilsdr4wfr">{TRUE,TRUE,-1.25,-15.5,604.5,366.75,FALSE,FALSE,TRUE,TRUE,0,1,#N/A,1,#N/A,9.0125,24.4117647058824,1,FALSE,FALSE,3,TRUE,1,FALSE,100,"Swvu.PLANILHA2.","ACwvu.PLANILHA2.",#N/A,FALSE,FALSE,0.787401575,0.34,0.46,0.5,1,"","",FALSE,FALSE,FALSE,FALSE,1,#N/A,1,1,FALSE,FALSE,#N/A,#N/A,FALSE,FALSE,FALSE,9,65532,65532,FALSE,FALSE,TRUE,TRUE,TRUE}</definedName>
    <definedName name="IM">#REF!</definedName>
    <definedName name="IMP">#REF!</definedName>
    <definedName name="IMPERMEABILIZ.">#REF!</definedName>
    <definedName name="IMPF">#REF!</definedName>
    <definedName name="IMPI">#REF!</definedName>
    <definedName name="IMPOSTO">#REF!</definedName>
    <definedName name="INCC">#REF!</definedName>
    <definedName name="Incorido_Aplicado_X_Físico">#REF!</definedName>
    <definedName name="INCORPORAÇÃO">#REF!</definedName>
    <definedName name="Index">#REF!</definedName>
    <definedName name="Indice">#REF!</definedName>
    <definedName name="indice_correcao_proj">#REF!</definedName>
    <definedName name="infra">#REF!</definedName>
    <definedName name="Infra_OBra_Sienge">#REF!</definedName>
    <definedName name="Infra_Projetos_Sienge">#REF!</definedName>
    <definedName name="INFRA2">#REF!</definedName>
    <definedName name="Insatalações">{#N/A,#N/A,FALSE,"GERAL";#N/A,#N/A,FALSE,"012-96";#N/A,#N/A,FALSE,"018-96";#N/A,#N/A,FALSE,"027-96";#N/A,#N/A,FALSE,"059-96";#N/A,#N/A,FALSE,"076-96";#N/A,#N/A,FALSE,"019-97";#N/A,#N/A,FALSE,"021-97";#N/A,#N/A,FALSE,"022-97";#N/A,#N/A,FALSE,"028-97"}</definedName>
    <definedName name="INSS_Bloqueado_Fin_Medição">#REF!</definedName>
    <definedName name="Inss_Bloqueado_Previsão_Fin_Medições">#REF!</definedName>
    <definedName name="instalaçoes2">{#N/A,#N/A,FALSE,"GERAL";#N/A,#N/A,FALSE,"012-96";#N/A,#N/A,FALSE,"018-96";#N/A,#N/A,FALSE,"027-96";#N/A,#N/A,FALSE,"059-96";#N/A,#N/A,FALSE,"076-96";#N/A,#N/A,FALSE,"019-97";#N/A,#N/A,FALSE,"021-97";#N/A,#N/A,FALSE,"022-97";#N/A,#N/A,FALSE,"028-97"}</definedName>
    <definedName name="INSU">OFFSET(#REF!,0,0,COUNTA(#REF!),1)</definedName>
    <definedName name="INSUMOS">#REF!</definedName>
    <definedName name="INT.FILTRO.NBASE">#REF!</definedName>
    <definedName name="INTEGRA">{"'Edit'!$A$1:$V$2277"}</definedName>
    <definedName name="IO">196.003</definedName>
    <definedName name="ioeriotyt">{#N/A,#N/A,FALSE,"Plan1";#N/A,#N/A,FALSE,"Plan2"}</definedName>
    <definedName name="iohudtorh">{#N/A,#N/A,FALSE,"Plan1";#N/A,#N/A,FALSE,"Plan2"}</definedName>
    <definedName name="iojtkheayed">{#N/A,#N/A,FALSE,"Plan1";#N/A,#N/A,FALSE,"Plan2"}</definedName>
    <definedName name="iouweroieuw4">{#N/A,#N/A,FALSE,"Plan1";#N/A,#N/A,FALSE,"Plan2"}</definedName>
    <definedName name="iphifpgh">{#N/A,#N/A,FALSE,"Plan1";#N/A,#N/A,FALSE,"Plan2"}</definedName>
    <definedName name="IPMF">#REF!</definedName>
    <definedName name="ipodsifgpdsr">{TRUE,TRUE,-1.25,-15.5,604.5,366.75,FALSE,FALSE,TRUE,TRUE,0,1,#N/A,1,#N/A,9.0125,24.4117647058824,1,FALSE,FALSE,3,TRUE,1,FALSE,100,"Swvu.PLANILHA2.","ACwvu.PLANILHA2.",#N/A,FALSE,FALSE,0.787401575,0.34,0.46,0.5,1,"","",FALSE,FALSE,FALSE,FALSE,1,#N/A,1,1,FALSE,FALSE,#N/A,#N/A,FALSE,FALSE,FALSE,9,65532,65532,FALSE,FALSE,TRUE,TRUE,TRUE}</definedName>
    <definedName name="ipotjrjketjr">{#N/A,#N/A,FALSE,"Plan1";#N/A,#N/A,FALSE,"Plan2"}</definedName>
    <definedName name="IQ_ADDIN">"AUTO"</definedName>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AMES_REVISION_DATE_">40730.4399768518</definedName>
    <definedName name="IQ_NTM">6000</definedName>
    <definedName name="IQ_TODAY">0</definedName>
    <definedName name="IQ_WEEK">50000</definedName>
    <definedName name="IQ_YTD">3000</definedName>
    <definedName name="IQ_YTDMONTH">130000</definedName>
    <definedName name="IR_diferido">#REF!</definedName>
    <definedName name="ISOPOR">#REF!</definedName>
    <definedName name="ISS">#REF!</definedName>
    <definedName name="ItalieNS">#REF!</definedName>
    <definedName name="ItalieNT">#REF!</definedName>
    <definedName name="itc_cdi">#REF!</definedName>
    <definedName name="itc_hist">#REF!</definedName>
    <definedName name="itc_uss">#REF!</definedName>
    <definedName name="item_1">#REF!</definedName>
    <definedName name="ITEMCONT">#REF!</definedName>
    <definedName name="ITEMDER">#REF!</definedName>
    <definedName name="ITEMIZAÇÃO">#REF!</definedName>
    <definedName name="ITEMIZAÇÃO_2">#REF!</definedName>
    <definedName name="ITEMIZAÇÃO_3">#REF!</definedName>
    <definedName name="ITEMIZAÇÃO_4">#REF!</definedName>
    <definedName name="ITEMIZAÇÃO_5">#REF!</definedName>
    <definedName name="ITEMIZAÇÃO_7">#REF!</definedName>
    <definedName name="ITEMIZAÇÃO_8">#REF!</definedName>
    <definedName name="ITEMR20">#REF!</definedName>
    <definedName name="ITEM별상세업무분장">{#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NS">#REF!</definedName>
    <definedName name="ITENS0">#REF!</definedName>
    <definedName name="ITENS1">#REF!</definedName>
    <definedName name="ITENSP">#REF!</definedName>
    <definedName name="ITENSPMED">#REF!</definedName>
    <definedName name="IUGFGDFUYR">{TRUE,TRUE,-1.25,-15.5,604.5,366.75,FALSE,FALSE,TRUE,TRUE,0,1,#N/A,1,#N/A,9.0125,24.4117647058824,1,FALSE,FALSE,3,TRUE,1,FALSE,100,"Swvu.PLANILHA2.","ACwvu.PLANILHA2.",#N/A,FALSE,FALSE,0.787401575,0.34,0.46,0.5,1,"","",FALSE,FALSE,FALSE,FALSE,1,#N/A,1,1,FALSE,FALSE,#N/A,#N/A,FALSE,FALSE,FALSE,9,65532,65532,FALSE,FALSE,TRUE,TRUE,TRUE}</definedName>
    <definedName name="IV">#REF!</definedName>
    <definedName name="iyguygiyt">{#N/A,#N/A,FALSE,"Plan1";#N/A,#N/A,FALSE,"Plan2"}</definedName>
    <definedName name="iyuyheturtd">{#N/A,#N/A,FALSE,"Plan1";#N/A,#N/A,FALSE,"Plan2"}</definedName>
    <definedName name="j">{TRUE,TRUE,-1.25,-15.5,604.5,366.75,FALSE,FALSE,TRUE,TRUE,0,1,#N/A,1,#N/A,9.0125,24.4117647058824,1,FALSE,FALSE,3,TRUE,1,FALSE,100,"Swvu.PLANILHA2.","ACwvu.PLANILHA2.",#N/A,FALSE,FALSE,0.787401575,0.34,0.46,0.5,1,"","",FALSE,FALSE,FALSE,FALSE,1,#N/A,1,1,FALSE,FALSE,#N/A,#N/A,FALSE,FALSE,FALSE,9,65532,65532,FALSE,FALSE,TRUE,TRUE,TRUE}</definedName>
    <definedName name="jalejdasjf">{#N/A,#N/A,FALSE,"Plan1";#N/A,#N/A,FALSE,"Plan2"}</definedName>
    <definedName name="jan_05">#REF!</definedName>
    <definedName name="jan17RJ">#REF!</definedName>
    <definedName name="JANEIRO2001">#REF!</definedName>
    <definedName name="JASDJS">{#N/A,#N/A,FALSE,"Plan1";#N/A,#N/A,FALSE,"Plan2"}</definedName>
    <definedName name="jaskldjlse">{#N/A,#N/A,FALSE,"Plan1";#N/A,#N/A,FALSE,"Plan2"}</definedName>
    <definedName name="JASLDKLD">{#N/A,#N/A,FALSE,"Plan1";#N/A,#N/A,FALSE,"Plan2"}</definedName>
    <definedName name="jasoe">#REF!</definedName>
    <definedName name="jbzxffcbgdhgft">#REF!</definedName>
    <definedName name="JÇDFHDF">{"Econ Consolidado",#N/A,FALSE,"Econ Consol";"Fluxo de Caixa",#N/A,FALSE,"Fluxo Caixa";"Investimentos",#N/A,FALSE,"Investimentos"}</definedName>
    <definedName name="jdbgftbhr">{#N/A,#N/A,FALSE,"Plan1";#N/A,#N/A,FALSE,"Plan2"}</definedName>
    <definedName name="jdfgkrhgft">#REF!</definedName>
    <definedName name="jdfgldfjgklh">{#N/A,#N/A,FALSE,"Plan1";#N/A,#N/A,FALSE,"Plan2"}</definedName>
    <definedName name="jdfhjkdrhjtkgr">{TRUE,TRUE,-1.25,-15.5,604.5,366.75,FALSE,FALSE,TRUE,TRUE,0,1,#N/A,1,#N/A,9.0125,24.4117647058824,1,FALSE,FALSE,3,TRUE,1,FALSE,100,"Swvu.PLANILHA2.","ACwvu.PLANILHA2.",#N/A,FALSE,FALSE,0.787401575,0.34,0.46,0.5,1,"","",FALSE,FALSE,FALSE,FALSE,1,#N/A,1,1,FALSE,FALSE,#N/A,#N/A,FALSE,FALSE,FALSE,9,65532,65532,FALSE,FALSE,TRUE,TRUE,TRUE}</definedName>
    <definedName name="jdfjdtrgt">{#N/A,#N/A,FALSE,"Plan1";#N/A,#N/A,FALSE,"Plan2"}</definedName>
    <definedName name="JDFJLDJR">{#N/A,#N/A,FALSE,"Plan1";#N/A,#N/A,FALSE,"Plan2"}</definedName>
    <definedName name="jdfkgitfgdrtt">{#N/A,#N/A,FALSE,"Plan1";#N/A,#N/A,FALSE,"Plan2"}</definedName>
    <definedName name="JDFKHFKJ">{#N/A,#N/A,FALSE,"Plan1";#N/A,#N/A,FALSE,"Plan2"}</definedName>
    <definedName name="jdfklgtdtr">{#N/A,#N/A,FALSE,"Plan1";#N/A,#N/A,FALSE,"Plan2"}</definedName>
    <definedName name="JDFKTHRT">{#N/A,#N/A,FALSE,"Plan1";#N/A,#N/A,FALSE,"Plan2"}</definedName>
    <definedName name="JDFLKJDRF">{#N/A,#N/A,FALSE,"Plan1";#N/A,#N/A,FALSE,"Plan2"}</definedName>
    <definedName name="jdfzlkjgfdht">{#N/A,#N/A,FALSE,"Plan1";#N/A,#N/A,FALSE,"Plan2"}</definedName>
    <definedName name="jdglhfghkt">{#N/A,#N/A,FALSE,"Plan1";#N/A,#N/A,FALSE,"Plan2"}</definedName>
    <definedName name="jdhfjdhgfd">{#N/A,#N/A,FALSE,"Plan1";#N/A,#N/A,FALSE,"Plan2"}</definedName>
    <definedName name="jdjdjdjd">{#N/A,#N/A,FALSE,"명세표"}</definedName>
    <definedName name="jdkfhgjhf">{#N/A,#N/A,FALSE,"Plan1";#N/A,#N/A,FALSE,"Plan2"}</definedName>
    <definedName name="jdkfjdtr">{#N/A,#N/A,FALSE,"Plan1";#N/A,#N/A,FALSE,"Plan2"}</definedName>
    <definedName name="jdljgftldjti5r">{#N/A,#N/A,FALSE,"Plan1";#N/A,#N/A,FALSE,"Plan2"}</definedName>
    <definedName name="JDLKJDASGF">{#N/A,#N/A,FALSE,"Plan1";#N/A,#N/A,FALSE,"Plan2"}</definedName>
    <definedName name="jdrfkdjfghrtfjg">{#N/A,#N/A,FALSE,"Plan1";#N/A,#N/A,FALSE,"Plan2"}</definedName>
    <definedName name="jdskfhdk">{#N/A,#N/A,FALSE,"Plan1";#N/A,#N/A,FALSE,"Plan2"}</definedName>
    <definedName name="JDSKLGKDRHGGF">{#N/A,#N/A,FALSE,"Plan1";#N/A,#N/A,FALSE,"Plan2"}</definedName>
    <definedName name="jefsgfr">{#N/A,#N/A,FALSE,"Plan1";#N/A,#N/A,FALSE,"Plan2"}</definedName>
    <definedName name="JERHIEHYURE">{#N/A,#N/A,FALSE,"Plan1";#N/A,#N/A,FALSE,"Plan2"}</definedName>
    <definedName name="jfddlsrtyty">{#N/A,#N/A,FALSE,"Plan1";#N/A,#N/A,FALSE,"Plan2"}</definedName>
    <definedName name="jfdjtgdjghitfyh">{#N/A,#N/A,FALSE,"Plan1";#N/A,#N/A,FALSE,"Plan2"}</definedName>
    <definedName name="jfdkgkftftg">{#N/A,#N/A,FALSE,"Plan1";#N/A,#N/A,FALSE,"Plan2"}</definedName>
    <definedName name="jfghjkfdhtkyru">{TRUE,TRUE,-1.25,-15.5,604.5,366.75,FALSE,FALSE,TRUE,TRUE,0,1,#N/A,1,#N/A,9.0125,24.4117647058824,1,FALSE,FALSE,3,TRUE,1,FALSE,100,"Swvu.PLANILHA2.","ACwvu.PLANILHA2.",#N/A,FALSE,FALSE,0.787401575,0.34,0.46,0.5,1,"","",FALSE,FALSE,FALSE,FALSE,1,#N/A,1,1,FALSE,FALSE,#N/A,#N/A,FALSE,FALSE,FALSE,9,65532,65532,FALSE,FALSE,TRUE,TRUE,TRUE}</definedName>
    <definedName name="JFGJYHTY">{#N/A,#N/A,FALSE,"Plan1";#N/A,#N/A,FALSE,"Plan2"}</definedName>
    <definedName name="jfgkflcnjkglc">{#N/A,#N/A,FALSE,"Plan1";#N/A,#N/A,FALSE,"Plan2"}</definedName>
    <definedName name="JFHRE">{#N/A,#N/A,FALSE,"Plan1";#N/A,#N/A,FALSE,"Plan2"}</definedName>
    <definedName name="jfkdls5jtirjd">{#N/A,#N/A,FALSE,"Plan1";#N/A,#N/A,FALSE,"Plan2"}</definedName>
    <definedName name="jfkljdkfcj">{#N/A,#N/A,FALSE,"Plan1";#N/A,#N/A,FALSE,"Plan2"}</definedName>
    <definedName name="jfkrhdtghdut">{#N/A,#N/A,FALSE,"Plan1";#N/A,#N/A,FALSE,"Plan2"}</definedName>
    <definedName name="JFRESR">{#N/A,#N/A,FALSE,"Plan1";#N/A,#N/A,FALSE,"Plan2"}</definedName>
    <definedName name="jgdfdgfjgdj">{#N/A,#N/A,FALSE,"Plan1";#N/A,#N/A,FALSE,"Plan2"}</definedName>
    <definedName name="jgdfght">{#N/A,#N/A,FALSE,"Plan1";#N/A,#N/A,FALSE,"Plan2"}</definedName>
    <definedName name="jgfgdsgfdhrf">{#N/A,#N/A,FALSE,"Plan1";#N/A,#N/A,FALSE,"Plan2"}</definedName>
    <definedName name="JGFJGTFT">{#N/A,#N/A,FALSE,"Plan1";#N/A,#N/A,FALSE,"Plan2"}</definedName>
    <definedName name="JGJSFJKSDGB">17</definedName>
    <definedName name="jgkjkhjuftgi">{#N/A,#N/A,FALSE,"Plan1";#N/A,#N/A,FALSE,"Plan2"}</definedName>
    <definedName name="jhd">{TRUE,TRUE,-1.25,-15.5,604.5,366.75,FALSE,FALSE,TRUE,TRUE,0,1,#N/A,1,#N/A,9.0125,24.4117647058824,1,FALSE,FALSE,3,TRUE,1,FALSE,100,"Swvu.PLANILHA2.","ACwvu.PLANILHA2.",#N/A,FALSE,FALSE,0.787401575,0.34,0.46,0.5,1,"","",FALSE,FALSE,FALSE,FALSE,1,#N/A,1,1,FALSE,FALSE,#N/A,#N/A,FALSE,FALSE,FALSE,9,65532,65532,FALSE,FALSE,TRUE,TRUE,TRUE}</definedName>
    <definedName name="jhdfjjhirft">{#N/A,#N/A,FALSE,"Plan1";#N/A,#N/A,FALSE,"Plan2"}</definedName>
    <definedName name="jhdfjkhtrdhf">{#N/A,#N/A,FALSE,"Plan1";#N/A,#N/A,FALSE,"Plan2"}</definedName>
    <definedName name="jhdfuthr">{#N/A,#N/A,FALSE,"Plan1";#N/A,#N/A,FALSE,"Plan2"}</definedName>
    <definedName name="JHDFZGRDHF">{"Econ Consolidado",#N/A,FALSE,"Econ Consol";"Fluxo de Caixa",#N/A,FALSE,"Fluxo Caixa";"Investimentos",#N/A,FALSE,"Investimentos"}</definedName>
    <definedName name="JHERKHKFGH">{#N/A,#N/A,FALSE,"Plan1";#N/A,#N/A,FALSE,"Plan2"}</definedName>
    <definedName name="jhfhhztfhe">#REF!</definedName>
    <definedName name="JHGKJFJFJGL">{#N/A,#N/A,FALSE,"Plan1";#N/A,#N/A,FALSE,"Plan2"}</definedName>
    <definedName name="jhsdjkhfuks">{#N/A,#N/A,FALSE,"Plan1";#N/A,#N/A,FALSE,"Plan2"}</definedName>
    <definedName name="jisdrkje">{#N/A,#N/A,FALSE,"Plan1";#N/A,#N/A,FALSE,"Plan2"}</definedName>
    <definedName name="jishfrieyhtau">{#N/A,#N/A,FALSE,"Plan1";#N/A,#N/A,FALSE,"Plan2"}</definedName>
    <definedName name="jiu">{TRUE,TRUE,-1.25,-15.5,604.5,366.75,FALSE,FALSE,TRUE,TRUE,0,1,#N/A,1,#N/A,9.0125,24.4117647058824,1,FALSE,FALSE,3,TRUE,1,FALSE,100,"Swvu.PLANILHA2.","ACwvu.PLANILHA2.",#N/A,FALSE,FALSE,0.787401575,0.34,0.46,0.5,1,"","",FALSE,FALSE,FALSE,FALSE,1,#N/A,1,1,FALSE,FALSE,#N/A,#N/A,FALSE,FALSE,FALSE,9,65532,65532,FALSE,FALSE,TRUE,TRUE,TRUE}</definedName>
    <definedName name="jj">{"'Apr-00'!$B$4:$AD$44"}</definedName>
    <definedName name="jjfdsktyhhy">{#N/A,#N/A,FALSE,"Plan1";#N/A,#N/A,FALSE,"Plan2"}</definedName>
    <definedName name="jjjjjjjjjjjjjjjjjjjj">#REF!</definedName>
    <definedName name="jjkjkjk">{#N/A,#N/A,FALSE,"Plan1";#N/A,#N/A,FALSE,"Plan2"}</definedName>
    <definedName name="JKDCK">{#N/A,#N/A,FALSE,"Plan1";#N/A,#N/A,FALSE,"Plan2"}</definedName>
    <definedName name="JKDFHKHFR">{#N/A,#N/A,FALSE,"Plan1";#N/A,#N/A,FALSE,"Plan2"}</definedName>
    <definedName name="JKDFTRDRJ">{#N/A,#N/A,FALSE,"Plan1";#N/A,#N/A,FALSE,"Plan2"}</definedName>
    <definedName name="jkdhfukhddf">{#N/A,#N/A,FALSE,"Plan1";#N/A,#N/A,FALSE,"Plan2"}</definedName>
    <definedName name="JKDRKGJHTDRF">{TRUE,TRUE,-1.25,-15.5,604.5,366.75,FALSE,FALSE,TRUE,TRUE,0,1,#N/A,1,#N/A,9.0125,24.4117647058824,1,FALSE,FALSE,3,TRUE,1,FALSE,100,"Swvu.PLANILHA2.","ACwvu.PLANILHA2.",#N/A,FALSE,FALSE,0.787401575,0.34,0.46,0.5,1,"","",FALSE,FALSE,FALSE,FALSE,1,#N/A,1,1,FALSE,FALSE,#N/A,#N/A,FALSE,FALSE,FALSE,9,65532,65532,FALSE,FALSE,TRUE,TRUE,TRUE}</definedName>
    <definedName name="jkelsjreja">{#N/A,#N/A,FALSE,"Plan1";#N/A,#N/A,FALSE,"Plan2"}</definedName>
    <definedName name="jkfhjgkfhghh">{#N/A,#N/A,FALSE,"Plan1";#N/A,#N/A,FALSE,"Plan2"}</definedName>
    <definedName name="jkhderjkhes">{#N/A,#N/A,FALSE,"Plan1";#N/A,#N/A,FALSE,"Plan2"}</definedName>
    <definedName name="jkhdfhfd">{#N/A,#N/A,FALSE,"Plan1";#N/A,#N/A,FALSE,"Plan2"}</definedName>
    <definedName name="jkhfhestr">{TRUE,TRUE,-1.25,-15.5,604.5,366.75,FALSE,FALSE,TRUE,TRUE,0,1,#N/A,1,#N/A,9.0125,24.4117647058824,1,FALSE,FALSE,3,TRUE,1,FALSE,100,"Swvu.PLANILHA2.","ACwvu.PLANILHA2.",#N/A,FALSE,FALSE,0.787401575,0.34,0.46,0.5,1,"","",FALSE,FALSE,FALSE,FALSE,1,#N/A,1,1,FALSE,FALSE,#N/A,#N/A,FALSE,FALSE,FALSE,9,65532,65532,FALSE,FALSE,TRUE,TRUE,TRUE}</definedName>
    <definedName name="JKHFKJHGKFTHUDET">{#N/A,#N/A,FALSE,"Plan1";#N/A,#N/A,FALSE,"Plan2"}</definedName>
    <definedName name="JKHGDHFUHTG">{#N/A,#N/A,FALSE,"Plan1";#N/A,#N/A,FALSE,"Plan2"}</definedName>
    <definedName name="jkhsdzjkfyiu">{#N/A,#N/A,FALSE,"Plan1";#N/A,#N/A,FALSE,"Plan2"}</definedName>
    <definedName name="jkjsdkhfdhrf">{#N/A,#N/A,FALSE,"Plan1";#N/A,#N/A,FALSE,"Plan2"}</definedName>
    <definedName name="jklgfsjgtjtg">{#N/A,#N/A,FALSE,"Plan1";#N/A,#N/A,FALSE,"Plan2"}</definedName>
    <definedName name="jksldfjsdhf">{#N/A,#N/A,FALSE,"Plan1";#N/A,#N/A,FALSE,"Plan2"}</definedName>
    <definedName name="jkxhcjkhfr">{#N/A,#N/A,FALSE,"Plan1";#N/A,#N/A,FALSE,"Plan2"}</definedName>
    <definedName name="JNGCKFKJFGH">{#N/A,#N/A,FALSE,"Plan1";#N/A,#N/A,FALSE,"Plan2"}</definedName>
    <definedName name="JOALDO">#REF!</definedName>
    <definedName name="joao_cdi">#REF!</definedName>
    <definedName name="joao_hist">#REF!</definedName>
    <definedName name="joao_uss">#REF!</definedName>
    <definedName name="JREJRW">{#N/A,#N/A,FALSE,"Plan1";#N/A,#N/A,FALSE,"Plan2"}</definedName>
    <definedName name="JSADKAH">{"Econ Consolidado",#N/A,FALSE,"Econ Consol";"Fluxo de Caixa",#N/A,FALSE,"Fluxo Caixa";"Investimentos",#N/A,FALSE,"Investimentos"}</definedName>
    <definedName name="JSDAJRE">{#N/A,#N/A,FALSE,"Plan1";#N/A,#N/A,FALSE,"Plan2"}</definedName>
    <definedName name="jsdffsed">{TRUE,TRUE,-1.25,-15.5,604.5,366.75,FALSE,FALSE,TRUE,TRUE,0,1,#N/A,1,#N/A,9.0125,24.4117647058824,1,FALSE,FALSE,3,TRUE,1,FALSE,100,"Swvu.PLANILHA2.","ACwvu.PLANILHA2.",#N/A,FALSE,FALSE,0.787401575,0.34,0.46,0.5,1,"","",FALSE,FALSE,FALSE,FALSE,1,#N/A,1,1,FALSE,FALSE,#N/A,#N/A,FALSE,FALSE,FALSE,9,65532,65532,FALSE,FALSE,TRUE,TRUE,TRUE}</definedName>
    <definedName name="jsdfjgx">{#N/A,#N/A,FALSE,"Plan1";#N/A,#N/A,FALSE,"Plan2"}</definedName>
    <definedName name="jsdfkgnfr">#REF!</definedName>
    <definedName name="jsdfsdfd">{#N/A,#N/A,FALSE,"Plan1";#N/A,#N/A,FALSE,"Plan2"}</definedName>
    <definedName name="jsdljficd">{#N/A,#N/A,FALSE,"Plan1";#N/A,#N/A,FALSE,"Plan2"}</definedName>
    <definedName name="JSDTLFJDRG">{#N/A,#N/A,FALSE,"Plan1";#N/A,#N/A,FALSE,"Plan2"}</definedName>
    <definedName name="jsfjsjferwea">{#N/A,#N/A,FALSE,"Plan1";#N/A,#N/A,FALSE,"Plan2"}</definedName>
    <definedName name="jslrjer">{#N/A,#N/A,FALSE,"Plan1";#N/A,#N/A,FALSE,"Plan2"}</definedName>
    <definedName name="juklhkhdf">{#N/A,#N/A,FALSE,"Plan1";#N/A,#N/A,FALSE,"Plan2"}</definedName>
    <definedName name="jul17RJ">#REF!</definedName>
    <definedName name="JULHO">#REF!</definedName>
    <definedName name="JULHO2001">#REF!</definedName>
    <definedName name="JULHO99">{#N/A,#N/A,TRUE,"Quinzena 01 à 15-04-98 "}</definedName>
    <definedName name="jun17RJ">#REF!</definedName>
    <definedName name="JUNHO">#REF!</definedName>
    <definedName name="JUNHO2001">#REF!</definedName>
    <definedName name="JurosTpMes">#REF!</definedName>
    <definedName name="jwekljd">{#N/A,#N/A,FALSE,"Plan1";#N/A,#N/A,FALSE,"Plan2"}</definedName>
    <definedName name="JWEOITORU5Y">{#N/A,#N/A,FALSE,"Plan1";#N/A,#N/A,FALSE,"Plan2"}</definedName>
    <definedName name="jxdfjsrf">{#N/A,#N/A,FALSE,"Plan1";#N/A,#N/A,FALSE,"Plan2"}</definedName>
    <definedName name="jxdklfjv">{TRUE,TRUE,-1.25,-15.5,604.5,366.75,FALSE,FALSE,TRUE,TRUE,0,1,#N/A,1,#N/A,9.0125,24.4117647058824,1,FALSE,FALSE,3,TRUE,1,FALSE,100,"Swvu.PLANILHA2.","ACwvu.PLANILHA2.",#N/A,FALSE,FALSE,0.787401575,0.34,0.46,0.5,1,"","",FALSE,FALSE,FALSE,FALSE,1,#N/A,1,1,FALSE,FALSE,#N/A,#N/A,FALSE,FALSE,FALSE,9,65532,65532,FALSE,FALSE,TRUE,TRUE,TRUE}</definedName>
    <definedName name="JY">#REF!</definedName>
    <definedName name="jzsdjkszl">{#N/A,#N/A,FALSE,"Plan1";#N/A,#N/A,FALSE,"Plan2"}</definedName>
    <definedName name="JZXFKLJLDJF">{#N/A,#N/A,FALSE,"Plan1";#N/A,#N/A,FALSE,"Plan2"}</definedName>
    <definedName name="jzxklfdlvgfg">{#N/A,#N/A,FALSE,"Plan1";#N/A,#N/A,FALSE,"Plan2"}</definedName>
    <definedName name="k">{#N/A,#N/A,FALSE,"Plan1";#N/A,#N/A,FALSE,"Plan2"}</definedName>
    <definedName name="K_1">#REF!</definedName>
    <definedName name="kaedkroswr">{"Econ Consolidado",#N/A,FALSE,"Econ Consol";"Fluxo de Caixa",#N/A,FALSE,"Fluxo Caixa";"Investimentos",#N/A,FALSE,"Investimentos"}</definedName>
    <definedName name="kapa">#REF!</definedName>
    <definedName name="kç\lKçaksdçaqew" hidden="1">{#N/A,#N/A,FALSE,"Plan1";#N/A,#N/A,FALSE,"Plan2"}</definedName>
    <definedName name="kçdasekr">{#N/A,#N/A,FALSE,"Plan1";#N/A,#N/A,FALSE,"Plan2"}</definedName>
    <definedName name="kçfdljtredr">{#N/A,#N/A,FALSE,"Plan1";#N/A,#N/A,FALSE,"Plan2"}</definedName>
    <definedName name="KCIVIL">#REF!</definedName>
    <definedName name="kclçkglf">{#N/A,#N/A,FALSE,"Plan1";#N/A,#N/A,FALSE,"Plan2"}</definedName>
    <definedName name="kçlkasçkere">{#N/A,#N/A,FALSE,"Plan1";#N/A,#N/A,FALSE,"Plan2"}</definedName>
    <definedName name="kdfbngtjkbf">{#N/A,#N/A,FALSE,"Plan1";#N/A,#N/A,FALSE,"Plan2"}</definedName>
    <definedName name="kdfhkghkrh">{#N/A,#N/A,FALSE,"Plan1";#N/A,#N/A,FALSE,"Plan2"}</definedName>
    <definedName name="kdfierer">{TRUE,TRUE,-1.25,-15.5,604.5,366.75,FALSE,FALSE,TRUE,TRUE,0,1,#N/A,1,#N/A,9.0125,24.4117647058824,1,FALSE,FALSE,3,TRUE,1,FALSE,100,"Swvu.PLANILHA2.","ACwvu.PLANILHA2.",#N/A,FALSE,FALSE,0.787401575,0.34,0.46,0.5,1,"","",FALSE,FALSE,FALSE,FALSE,1,#N/A,1,1,FALSE,FALSE,#N/A,#N/A,FALSE,FALSE,FALSE,9,65532,65532,FALSE,FALSE,TRUE,TRUE,TRUE}</definedName>
    <definedName name="kdfkçrkf">{#N/A,#N/A,FALSE,"Plan1";#N/A,#N/A,FALSE,"Plan2"}</definedName>
    <definedName name="kdfljlfr">{#N/A,#N/A,FALSE,"Plan1";#N/A,#N/A,FALSE,"Plan2"}</definedName>
    <definedName name="kdhfgkdfhytgu">{#N/A,#N/A,FALSE,"Plan1";#N/A,#N/A,FALSE,"Plan2"}</definedName>
    <definedName name="kdhgftfg">{#N/A,#N/A,FALSE,"Plan1";#N/A,#N/A,FALSE,"Plan2"}</definedName>
    <definedName name="KDHKFGKKHGF">{#N/A,#N/A,FALSE,"Plan1";#N/A,#N/A,FALSE,"Plan2"}</definedName>
    <definedName name="kdjfdr">#REF!</definedName>
    <definedName name="kdjgkfjgd">{#N/A,#N/A,FALSE,"Plan1";#N/A,#N/A,FALSE,"Plan2"}</definedName>
    <definedName name="kdjglkdlgjd">{#N/A,#N/A,FALSE,"Plan1";#N/A,#N/A,FALSE,"Plan2"}</definedName>
    <definedName name="kdjsfkldjgkty">{#N/A,#N/A,FALSE,"Plan1";#N/A,#N/A,FALSE,"Plan2"}</definedName>
    <definedName name="KDJU">{"'장비'!$A$3:$M$12"}</definedName>
    <definedName name="kdkjhgdkfhjk">{#N/A,#N/A,FALSE,"Plan1";#N/A,#N/A,FALSE,"Plan2"}</definedName>
    <definedName name="kdsf">{#N/A,#N/A,FALSE,"Plan1";#N/A,#N/A,FALSE,"Plan2"}</definedName>
    <definedName name="kdsr">{#N/A,#N/A,FALSE,"Plan1";#N/A,#N/A,FALSE,"Plan2"}</definedName>
    <definedName name="kergtfdstr">{#N/A,#N/A,FALSE,"Plan1";#N/A,#N/A,FALSE,"Plan2"}</definedName>
    <definedName name="kesp">#REF!</definedName>
    <definedName name="KFDKTHGT">{#N/A,#N/A,FALSE,"Plan1";#N/A,#N/A,FALSE,"Plan2"}</definedName>
    <definedName name="kfdxlfdzs">{"Econ Consolidado",#N/A,FALSE,"Econ Consol";"Fluxo de Caixa",#N/A,FALSE,"Fluxo Caixa";"Investimentos",#N/A,FALSE,"Investimentos"}</definedName>
    <definedName name="kfgkhjkjhy">{#N/A,#N/A,FALSE,"Plan1";#N/A,#N/A,FALSE,"Plan2"}</definedName>
    <definedName name="KFJFDSDF">{#N/A,#N/A,FALSE,"Plan1";#N/A,#N/A,FALSE,"Plan2"}</definedName>
    <definedName name="kfnkeasd">{#N/A,#N/A,FALSE,"Plan1";#N/A,#N/A,FALSE,"Plan2"}</definedName>
    <definedName name="khdjkfkjhtg">{#N/A,#N/A,FALSE,"Plan1";#N/A,#N/A,FALSE,"Plan2"}</definedName>
    <definedName name="khdkfjhhfsdg">{#N/A,#N/A,FALSE,"Plan1";#N/A,#N/A,FALSE,"Plan2"}</definedName>
    <definedName name="khdkjfhgudytu">{#N/A,#N/A,FALSE,"Plan1";#N/A,#N/A,FALSE,"Plan2"}</definedName>
    <definedName name="khfdghhhgd">{#N/A,#N/A,FALSE,"Plan1";#N/A,#N/A,FALSE,"Plan2"}</definedName>
    <definedName name="khfdkjhsdjf">{#N/A,#N/A,FALSE,"Plan1";#N/A,#N/A,FALSE,"Plan2"}</definedName>
    <definedName name="khgdkftfy">{#N/A,#N/A,FALSE,"Plan1";#N/A,#N/A,FALSE,"Plan2"}</definedName>
    <definedName name="khgfhhtuhf">{#N/A,#N/A,FALSE,"Plan1";#N/A,#N/A,FALSE,"Plan2"}</definedName>
    <definedName name="khjkh">{TRUE,TRUE,-1.25,-15.5,604.5,366.75,FALSE,FALSE,TRUE,TRUE,0,1,#N/A,1,#N/A,9.0125,24.4117647058824,1,FALSE,FALSE,3,TRUE,1,FALSE,100,"Swvu.PLANILHA2.","ACwvu.PLANILHA2.",#N/A,FALSE,FALSE,0.787401575,0.34,0.46,0.5,1,"","",FALSE,FALSE,FALSE,FALSE,1,#N/A,1,1,FALSE,FALSE,#N/A,#N/A,FALSE,FALSE,FALSE,9,65532,65532,FALSE,FALSE,TRUE,TRUE,TRUE}</definedName>
    <definedName name="KHJKLSDF">{#N/A,#N/A,FALSE,"Plan1";#N/A,#N/A,FALSE,"Plan2"}</definedName>
    <definedName name="kieret">{#N/A,#N/A,FALSE,"Plan1";#N/A,#N/A,FALSE,"Plan2"}</definedName>
    <definedName name="kiweokwr">#REF!</definedName>
    <definedName name="kjchkfhsezk">{#N/A,#N/A,FALSE,"Plan1";#N/A,#N/A,FALSE,"Plan2"}</definedName>
    <definedName name="kjdghksef">{#N/A,#N/A,FALSE,"Plan1";#N/A,#N/A,FALSE,"Plan2"}</definedName>
    <definedName name="kjdkftyhtert">{#N/A,#N/A,FALSE,"Plan1";#N/A,#N/A,FALSE,"Plan2"}</definedName>
    <definedName name="kjdlfkjds">{#N/A,#N/A,FALSE,"Plan1";#N/A,#N/A,FALSE,"Plan2"}</definedName>
    <definedName name="kjdzhfytrfy">{#N/A,#N/A,FALSE,"Plan1";#N/A,#N/A,FALSE,"Plan2"}</definedName>
    <definedName name="kjhdfgjthdft">{#N/A,#N/A,FALSE,"Plan1";#N/A,#N/A,FALSE,"Plan2"}</definedName>
    <definedName name="kjhsdfk">{TRUE,TRUE,-1.25,-15.5,604.5,366.75,FALSE,FALSE,TRUE,TRUE,0,1,#N/A,1,#N/A,9.0125,24.4117647058824,1,FALSE,FALSE,3,TRUE,1,FALSE,100,"Swvu.PLANILHA2.","ACwvu.PLANILHA2.",#N/A,FALSE,FALSE,0.787401575,0.34,0.46,0.5,1,"","",FALSE,FALSE,FALSE,FALSE,1,#N/A,1,1,FALSE,FALSE,#N/A,#N/A,FALSE,FALSE,FALSE,9,65532,65532,FALSE,FALSE,TRUE,TRUE,TRUE}</definedName>
    <definedName name="kjhsiorf">{#N/A,#N/A,FALSE,"Plan1";#N/A,#N/A,FALSE,"Plan2"}</definedName>
    <definedName name="KJJ">{TRUE,TRUE,-1.25,-15.5,604.5,366.75,FALSE,FALSE,TRUE,TRUE,0,1,#N/A,1,#N/A,9.0125,24.4117647058824,1,FALSE,FALSE,3,TRUE,1,FALSE,100,"Swvu.PLANILHA2.","ACwvu.PLANILHA2.",#N/A,FALSE,FALSE,0.787401575,0.34,0.46,0.5,1,"","",FALSE,FALSE,FALSE,FALSE,1,#N/A,1,1,FALSE,FALSE,#N/A,#N/A,FALSE,FALSE,FALSE,9,65532,65532,FALSE,FALSE,TRUE,TRUE,TRUE}</definedName>
    <definedName name="kjjwww">{#N/A,#N/A,FALSE,"Plan1";#N/A,#N/A,FALSE,"Plan2"}</definedName>
    <definedName name="kjl">{#N/A,#N/A,FALSE,"ENG'G(보호계전기)"}</definedName>
    <definedName name="KJOI">{#N/A,#N/A,FALSE,"Plan1";#N/A,#N/A,FALSE,"Plan2"}</definedName>
    <definedName name="kjqwerw">{#N/A,#N/A,FALSE,"Plan1";#N/A,#N/A,FALSE,"Plan2"}</definedName>
    <definedName name="kjsfert">{#N/A,#N/A,FALSE,"Plan1";#N/A,#N/A,FALSE,"Plan2"}</definedName>
    <definedName name="KJXCFKR">{#N/A,#N/A,FALSE,"Plan1";#N/A,#N/A,FALSE,"Plan2"}</definedName>
    <definedName name="KJXDFD">{#N/A,#N/A,FALSE,"Plan1";#N/A,#N/A,FALSE,"Plan2"}</definedName>
    <definedName name="kjydhfkjghkjfh">#REF!</definedName>
    <definedName name="kk">#REF!</definedName>
    <definedName name="kkf">{TRUE,TRUE,-1.25,-15.5,604.5,366.75,FALSE,FALSE,TRUE,TRUE,0,1,#N/A,1,#N/A,9.0125,24.4117647058824,1,FALSE,FALSE,3,TRUE,1,FALSE,100,"Swvu.PLANILHA2.","ACwvu.PLANILHA2.",#N/A,FALSE,FALSE,0.787401575,0.34,0.46,0.5,1,"","",FALSE,FALSE,FALSE,FALSE,1,#N/A,1,1,FALSE,FALSE,#N/A,#N/A,FALSE,FALSE,FALSE,9,65532,65532,FALSE,FALSE,TRUE,TRUE,TRUE}</definedName>
    <definedName name="kkk">{#N/A,#N/A,FALSE,"Plan1";#N/A,#N/A,FALSE,"Plan2"}</definedName>
    <definedName name="kkkkk">{#N/A,#N/A,FALSE,"Plan1";#N/A,#N/A,FALSE,"Plan2"}</definedName>
    <definedName name="kkkkkk">{#N/A,#N/A,FALSE,"Plan1";#N/A,#N/A,FALSE,"Plan2"}</definedName>
    <definedName name="kko">{TRUE,TRUE,-1.25,-15.5,604.5,366.75,FALSE,FALSE,TRUE,TRUE,0,1,#N/A,1,#N/A,9.0125,24.4117647058824,1,FALSE,FALSE,3,TRUE,1,FALSE,100,"Swvu.PLANILHA2.","ACwvu.PLANILHA2.",#N/A,FALSE,FALSE,0.787401575,0.34,0.46,0.5,1,"","",FALSE,FALSE,FALSE,FALSE,1,#N/A,1,1,FALSE,FALSE,#N/A,#N/A,FALSE,FALSE,FALSE,9,65532,65532,FALSE,FALSE,TRUE,TRUE,TRUE}</definedName>
    <definedName name="kksaklçer">{#N/A,#N/A,FALSE,"Plan1";#N/A,#N/A,FALSE,"Plan2"}</definedName>
    <definedName name="kksarde">{#N/A,#N/A,FALSE,"Plan1";#N/A,#N/A,FALSE,"Plan2"}</definedName>
    <definedName name="klaskldjsw">{#N/A,#N/A,FALSE,"Plan1";#N/A,#N/A,FALSE,"Plan2"}</definedName>
    <definedName name="klçkop">{#N/A,#N/A,FALSE,"Plan1";#N/A,#N/A,FALSE,"Plan2"}</definedName>
    <definedName name="KLDFNTRDT">{#N/A,#N/A,FALSE,"Plan1";#N/A,#N/A,FALSE,"Plan2"}</definedName>
    <definedName name="klhjsdklhdf">{#N/A,#N/A,FALSE,"Plan1";#N/A,#N/A,FALSE,"Plan2"}</definedName>
    <definedName name="KLHSKLRHWE">{#N/A,#N/A,FALSE,"Plan1";#N/A,#N/A,FALSE,"Plan2"}</definedName>
    <definedName name="KLJASKJD">{#N/A,#N/A,FALSE,"Plan1";#N/A,#N/A,FALSE,"Plan2"}</definedName>
    <definedName name="KLJDXLG">{TRUE,TRUE,-1.25,-15.5,604.5,366.75,FALSE,FALSE,TRUE,TRUE,0,1,#N/A,1,#N/A,9.0125,24.4117647058824,1,FALSE,FALSE,3,TRUE,1,FALSE,100,"Swvu.PLANILHA2.","ACwvu.PLANILHA2.",#N/A,FALSE,FALSE,0.787401575,0.34,0.46,0.5,1,"","",FALSE,FALSE,FALSE,FALSE,1,#N/A,1,1,FALSE,FALSE,#N/A,#N/A,FALSE,FALSE,FALSE,9,65532,65532,FALSE,FALSE,TRUE,TRUE,TRUE}</definedName>
    <definedName name="kljeflwr">{#N/A,#N/A,FALSE,"Plan1";#N/A,#N/A,FALSE,"Plan2"}</definedName>
    <definedName name="kljflgjrf">{#N/A,#N/A,FALSE,"Plan1";#N/A,#N/A,FALSE,"Plan2"}</definedName>
    <definedName name="kljgfdfr">{#N/A,#N/A,FALSE,"Plan1";#N/A,#N/A,FALSE,"Plan2"}</definedName>
    <definedName name="kljgfjrt">{#N/A,#N/A,FALSE,"Plan1";#N/A,#N/A,FALSE,"Plan2"}</definedName>
    <definedName name="kljlkdfj">{#N/A,#N/A,FALSE,"Plan1";#N/A,#N/A,FALSE,"Plan2"}</definedName>
    <definedName name="kljsakjfr">{#N/A,#N/A,FALSE,"Plan1";#N/A,#N/A,FALSE,"Plan2"}</definedName>
    <definedName name="kljsdje">{#N/A,#N/A,FALSE,"Plan1";#N/A,#N/A,FALSE,"Plan2"}</definedName>
    <definedName name="kljsfwe">{#N/A,#N/A,FALSE,"Plan1";#N/A,#N/A,FALSE,"Plan2"}</definedName>
    <definedName name="klk">{#N/A,#N/A,FALSE,"Plan1";#N/A,#N/A,FALSE,"Plan2"}</definedName>
    <definedName name="KLKKLKÇJÇ">{#N/A,#N/A,FALSE,"Plan1";#N/A,#N/A,FALSE,"Plan2"}</definedName>
    <definedName name="KLSDFT">{#N/A,#N/A,FALSE,"Plan1";#N/A,#N/A,FALSE,"Plan2"}</definedName>
    <definedName name="KLSDHSJKHF">{#N/A,#N/A,FALSE,"Plan1";#N/A,#N/A,FALSE,"Plan2"}</definedName>
    <definedName name="klsdkre">{#N/A,#N/A,FALSE,"Plan1";#N/A,#N/A,FALSE,"Plan2"}</definedName>
    <definedName name="KLSIDJE">{#N/A,#N/A,FALSE,"Plan1";#N/A,#N/A,FALSE,"Plan2"}</definedName>
    <definedName name="klsjarsf">{#N/A,#N/A,FALSE,"Plan1";#N/A,#N/A,FALSE,"Plan2"}</definedName>
    <definedName name="klsjdwe">#REF!</definedName>
    <definedName name="klxhjfdkhser">{#N/A,#N/A,FALSE,"Plan1";#N/A,#N/A,FALSE,"Plan2"}</definedName>
    <definedName name="kopipnsdfne">{#N/A,#N/A,FALSE,"Plan1";#N/A,#N/A,FALSE,"Plan2"}</definedName>
    <definedName name="kp">{TRUE,TRUE,-1.25,-15.5,604.5,366.75,FALSE,FALSE,TRUE,TRUE,0,1,#N/A,1,#N/A,9.0125,24.4117647058824,1,FALSE,FALSE,3,TRUE,1,FALSE,100,"Swvu.PLANILHA2.","ACwvu.PLANILHA2.",#N/A,FALSE,FALSE,0.787401575,0.34,0.46,0.5,1,"","",FALSE,FALSE,FALSE,FALSE,1,#N/A,1,1,FALSE,FALSE,#N/A,#N/A,FALSE,FALSE,FALSE,9,65532,65532,FALSE,FALSE,TRUE,TRUE,TRUE}</definedName>
    <definedName name="KSDLÇKSÇF">{TRUE,TRUE,-1.25,-15.5,604.5,366.75,FALSE,FALSE,TRUE,TRUE,0,1,#N/A,1,#N/A,9.0125,24.4117647058824,1,FALSE,FALSE,3,TRUE,1,FALSE,100,"Swvu.PLANILHA2.","ACwvu.PLANILHA2.",#N/A,FALSE,FALSE,0.787401575,0.34,0.46,0.5,1,"","",FALSE,FALSE,FALSE,FALSE,1,#N/A,1,1,FALSE,FALSE,#N/A,#N/A,FALSE,FALSE,FALSE,9,65532,65532,FALSE,FALSE,TRUE,TRUE,TRUE}</definedName>
    <definedName name="KSDLDF">{#N/A,#N/A,FALSE,"Plan1";#N/A,#N/A,FALSE,"Plan2"}</definedName>
    <definedName name="ksdlkfsçzd">{#N/A,#N/A,FALSE,"Plan1";#N/A,#N/A,FALSE,"Plan2"}</definedName>
    <definedName name="KSDNFK">#REF!</definedName>
    <definedName name="ksdoçierfe">{#N/A,#N/A,FALSE,"Plan1";#N/A,#N/A,FALSE,"Plan2"}</definedName>
    <definedName name="ksdtrdrkf">{#N/A,#N/A,FALSE,"Plan1";#N/A,#N/A,FALSE,"Plan2"}</definedName>
    <definedName name="KSFÇJDFJL">{#N/A,#N/A,FALSE,"Plan1";#N/A,#N/A,FALSE,"Plan2"}</definedName>
    <definedName name="ksfhse">{#N/A,#N/A,FALSE,"Plan1";#N/A,#N/A,FALSE,"Plan2"}</definedName>
    <definedName name="KSRKOE">{#N/A,#N/A,FALSE,"Plan1";#N/A,#N/A,FALSE,"Plan2"}</definedName>
    <definedName name="KSWKE">{#N/A,#N/A,FALSE,"Plan1";#N/A,#N/A,FALSE,"Plan2"}</definedName>
    <definedName name="kubus">#REF!</definedName>
    <definedName name="kubus1">#REF!</definedName>
    <definedName name="kysdusf">{#N/A,#N/A,FALSE,"Plan1";#N/A,#N/A,FALSE,"Plan2"}</definedName>
    <definedName name="kzslçdkçle">{#N/A,#N/A,FALSE,"Plan1";#N/A,#N/A,FALSE,"Plan2"}</definedName>
    <definedName name="L_">#REF!</definedName>
    <definedName name="LAEKWRK">{#N/A,#N/A,FALSE,"Plan1";#N/A,#N/A,FALSE,"Plan2"}</definedName>
    <definedName name="laeqwep">#REF!</definedName>
    <definedName name="LAKDEWRF">{#N/A,#N/A,FALSE,"Plan1";#N/A,#N/A,FALSE,"Plan2"}</definedName>
    <definedName name="Lancamentos">#REF!</definedName>
    <definedName name="LARGURA">#REF!</definedName>
    <definedName name="LASÇDSRLF">{#N/A,#N/A,FALSE,"Plan1";#N/A,#N/A,FALSE,"Plan2"}</definedName>
    <definedName name="LASDAKWE">25</definedName>
    <definedName name="lasrlswer">{#N/A,#N/A,FALSE,"Plan1";#N/A,#N/A,FALSE,"Plan2"}</definedName>
    <definedName name="LAZER">#REF!</definedName>
    <definedName name="lbla1">#REF!</definedName>
    <definedName name="lbla10">#REF!</definedName>
    <definedName name="lbla11">#REF!</definedName>
    <definedName name="lbla12">#REF!</definedName>
    <definedName name="lbla13">#REF!</definedName>
    <definedName name="lbla14">#REF!</definedName>
    <definedName name="lbla15">#REF!</definedName>
    <definedName name="lbla16">#REF!</definedName>
    <definedName name="lbla17">#REF!</definedName>
    <definedName name="lbla18">#REF!</definedName>
    <definedName name="lbla19">#REF!</definedName>
    <definedName name="lbla2">#REF!</definedName>
    <definedName name="lbla20">#REF!</definedName>
    <definedName name="lbla21">#REF!</definedName>
    <definedName name="lbla22">#REF!</definedName>
    <definedName name="lbla23">#REF!</definedName>
    <definedName name="lbla24">#REF!</definedName>
    <definedName name="lbla25">#REF!</definedName>
    <definedName name="lbla27">#REF!</definedName>
    <definedName name="lbla28">#REF!</definedName>
    <definedName name="lçadple4r">{#N/A,#N/A,FALSE,"Plan1";#N/A,#N/A,FALSE,"Plan2"}</definedName>
    <definedName name="lçasser">{#N/A,#N/A,FALSE,"Plan1";#N/A,#N/A,FALSE,"Plan2"}</definedName>
    <definedName name="lcdgjtklfrn">{#N/A,#N/A,FALSE,"Plan1";#N/A,#N/A,FALSE,"Plan2"}</definedName>
    <definedName name="lçfklsdkçaer">{#N/A,#N/A,FALSE,"Plan1";#N/A,#N/A,FALSE,"Plan2"}</definedName>
    <definedName name="lçjkgf">{#N/A,#N/A,FALSE,"Plan1";#N/A,#N/A,FALSE,"Plan2"}</definedName>
    <definedName name="LÇJSLDFJ">{#N/A,#N/A,FALSE,"Plan1";#N/A,#N/A,FALSE,"Plan2"}</definedName>
    <definedName name="LÇKÇSDRLK">{#N/A,#N/A,FALSE,"Plan1";#N/A,#N/A,FALSE,"Plan2"}</definedName>
    <definedName name="lçkdfkdstkre">25</definedName>
    <definedName name="lçkl">{TRUE,TRUE,-1.25,-15.5,604.5,366.75,FALSE,FALSE,TRUE,TRUE,0,1,#N/A,1,#N/A,9.0125,24.4117647058824,1,FALSE,FALSE,3,TRUE,1,FALSE,100,"Swvu.PLANILHA2.","ACwvu.PLANILHA2.",#N/A,FALSE,FALSE,0.787401575,0.34,0.46,0.5,1,"","",FALSE,FALSE,FALSE,FALSE,1,#N/A,1,1,FALSE,FALSE,#N/A,#N/A,FALSE,FALSE,FALSE,9,65532,65532,FALSE,FALSE,TRUE,TRUE,TRUE}</definedName>
    <definedName name="lçl">{TRUE,TRUE,-1.25,-15.5,604.5,366.75,FALSE,FALSE,TRUE,TRUE,0,1,#N/A,1,#N/A,9.0125,24.4117647058824,1,FALSE,FALSE,3,TRUE,1,FALSE,100,"Swvu.PLANILHA2.","ACwvu.PLANILHA2.",#N/A,FALSE,FALSE,0.787401575,0.34,0.46,0.5,1,"","",FALSE,FALSE,FALSE,FALSE,1,#N/A,1,1,FALSE,FALSE,#N/A,#N/A,FALSE,FALSE,FALSE,9,65532,65532,FALSE,FALSE,TRUE,TRUE,TRUE}</definedName>
    <definedName name="lçlfklçdglfdgt">{#N/A,#N/A,FALSE,"Plan1";#N/A,#N/A,FALSE,"Plan2"}</definedName>
    <definedName name="lçslrr4r">{#N/A,#N/A,FALSE,"Plan1";#N/A,#N/A,FALSE,"Plan2"}</definedName>
    <definedName name="ldfjgry">{#N/A,#N/A,FALSE,"Plan1";#N/A,#N/A,FALSE,"Plan2"}</definedName>
    <definedName name="ldfjgtilrf">{#N/A,#N/A,FALSE,"Plan1";#N/A,#N/A,FALSE,"Plan2"}</definedName>
    <definedName name="ldk">{#N/A,#N/A,FALSE,"Plan1";#N/A,#N/A,FALSE,"Plan2"}</definedName>
    <definedName name="ldkgkdfjgkh">{#N/A,#N/A,FALSE,"Plan1";#N/A,#N/A,FALSE,"Plan2"}</definedName>
    <definedName name="LDTJGR">{#N/A,#N/A,FALSE,"Plan1";#N/A,#N/A,FALSE,"Plan2"}</definedName>
    <definedName name="Leg">#REF!</definedName>
    <definedName name="legr_cdi">#REF!</definedName>
    <definedName name="legr_hist">#REF!</definedName>
    <definedName name="legr_uss">#REF!</definedName>
    <definedName name="LEKGF">{TRUE,TRUE,-1.25,-15.5,604.5,366.75,FALSE,FALSE,TRUE,TRUE,0,1,#N/A,1,#N/A,9.0125,24.4117647058824,1,FALSE,FALSE,3,TRUE,1,FALSE,100,"Swvu.PLANILHA2.","ACwvu.PLANILHA2.",#N/A,FALSE,FALSE,0.787401575,0.34,0.46,0.5,1,"","",FALSE,FALSE,FALSE,FALSE,1,#N/A,1,1,FALSE,FALSE,#N/A,#N/A,FALSE,FALSE,FALSE,9,65532,65532,FALSE,FALSE,TRUE,TRUE,TRUE}</definedName>
    <definedName name="LEVANTAMENTO">#REF!</definedName>
    <definedName name="lfjdjrt">{#N/A,#N/A,FALSE,"Plan1";#N/A,#N/A,FALSE,"Plan2"}</definedName>
    <definedName name="LI">#REF!</definedName>
    <definedName name="LIDER_OPER">#REF!</definedName>
    <definedName name="lidfjgklruf">{#N/A,#N/A,FALSE,"Plan1";#N/A,#N/A,FALSE,"Plan2"}</definedName>
    <definedName name="LII">#REF!</definedName>
    <definedName name="LIII">#REF!</definedName>
    <definedName name="LIMBO">#REF!</definedName>
    <definedName name="limcount">3</definedName>
    <definedName name="LIN">#REF!</definedName>
    <definedName name="list">{#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A">#REF!</definedName>
    <definedName name="LISTA_CONTAS">#REF!</definedName>
    <definedName name="lista_empresa">OFFSET(INDEX(#REF!,MATCH(#REF!,#REF!,0)),1,0,COUNTA(#REF!)-1)</definedName>
    <definedName name="LISTA_FORNECEDORES">#REF!</definedName>
    <definedName name="LISTSEL">#REF!</definedName>
    <definedName name="listt">{#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V">#REF!</definedName>
    <definedName name="LIX">#REF!</definedName>
    <definedName name="ljdfkgyt">{#N/A,#N/A,FALSE,"Plan1";#N/A,#N/A,FALSE,"Plan2"}</definedName>
    <definedName name="LJDFLJRL">{#N/A,#N/A,FALSE,"Plan1";#N/A,#N/A,FALSE,"Plan2"}</definedName>
    <definedName name="ljsdfrd">{#N/A,#N/A,FALSE,"Plan1";#N/A,#N/A,FALSE,"Plan2"}</definedName>
    <definedName name="LJSFLDJDLKFJG">#REF!</definedName>
    <definedName name="LK">{#N/A,#N/A,TRUE,"Quinzena 01 à 15-04-98 "}</definedName>
    <definedName name="lkasdkeo">{#N/A,#N/A,FALSE,"Plan1";#N/A,#N/A,FALSE,"Plan2"}</definedName>
    <definedName name="lkdeasr">{TRUE,TRUE,-1.25,-15.5,604.5,366.75,FALSE,FALSE,TRUE,TRUE,0,1,#N/A,1,#N/A,9.0125,24.4117647058824,1,FALSE,FALSE,3,TRUE,1,FALSE,100,"Swvu.PLANILHA2.","ACwvu.PLANILHA2.",#N/A,FALSE,FALSE,0.787401575,0.34,0.46,0.5,1,"","",FALSE,FALSE,FALSE,FALSE,1,#N/A,1,1,FALSE,FALSE,#N/A,#N/A,FALSE,FALSE,FALSE,9,65532,65532,FALSE,FALSE,TRUE,TRUE,TRUE}</definedName>
    <definedName name="lkdzxfsdrf">{#N/A,#N/A,FALSE,"Plan1";#N/A,#N/A,FALSE,"Plan2"}</definedName>
    <definedName name="lkfdkçtktr">{#N/A,#N/A,FALSE,"Plan1";#N/A,#N/A,FALSE,"Plan2"}</definedName>
    <definedName name="lkjr4">17</definedName>
    <definedName name="LKSSDKÇ\E" hidden="1">{#N/A,#N/A,FALSE,"Plan1";#N/A,#N/A,FALSE,"Plan2"}</definedName>
    <definedName name="lkt">{#N/A,#N/A,FALSE,"Plan1";#N/A,#N/A,FALSE,"Plan2"}</definedName>
    <definedName name="lktlyklt">{#N/A,#N/A,FALSE,"Plan1";#N/A,#N/A,FALSE,"Plan2"}</definedName>
    <definedName name="LKTTYT">{#N/A,#N/A,FALSE,"Plan1";#N/A,#N/A,FALSE,"Plan2"}</definedName>
    <definedName name="llgg">{#N/A,#N/A,FALSE,"Plan1";#N/A,#N/A,FALSE,"Plan2"}</definedName>
    <definedName name="LLL">{#N/A,#N/A,FALSE,"Plan1";#N/A,#N/A,FALSE,"Plan2"}</definedName>
    <definedName name="LM_AR">{#N/A,#N/A,FALSE,"F-01"}</definedName>
    <definedName name="LM_AT">{#N/A,#N/A,FALSE,"F-01"}</definedName>
    <definedName name="LM_INC">{#N/A,#N/A,FALSE,"F-01"}</definedName>
    <definedName name="LMPASD">{TRUE,TRUE,-1.25,-15.5,604.5,366.75,FALSE,FALSE,TRUE,TRUE,0,1,#N/A,1,#N/A,9.0125,24.4117647058824,1,FALSE,FALSE,3,TRUE,1,FALSE,100,"Swvu.PLANILHA2.","ACwvu.PLANILHA2.",#N/A,FALSE,FALSE,0.787401575,0.34,0.46,0.5,1,"","",FALSE,FALSE,FALSE,FALSE,1,#N/A,1,1,FALSE,FALSE,#N/A,#N/A,FALSE,FALSE,FALSE,9,65532,65532,FALSE,FALSE,TRUE,TRUE,TRUE}</definedName>
    <definedName name="LO">{TRUE,TRUE,-1.25,-15.5,604.5,366.75,FALSE,FALSE,TRUE,TRUE,0,1,#N/A,1,#N/A,9.0125,24.4117647058824,1,FALSE,FALSE,3,TRUE,1,FALSE,100,"Swvu.PLANILHA2.","ACwvu.PLANILHA2.",#N/A,FALSE,FALSE,0.787401575,0.34,0.46,0.5,1,"","",FALSE,FALSE,FALSE,FALSE,1,#N/A,1,1,FALSE,FALSE,#N/A,#N/A,FALSE,FALSE,FALSE,9,65532,65532,FALSE,FALSE,TRUE,TRUE,TRUE}</definedName>
    <definedName name="LOCALMENU">#REF!</definedName>
    <definedName name="LOCALOBRA">#REF!</definedName>
    <definedName name="LS">#REF!</definedName>
    <definedName name="LSDFKLDKFTR">{#N/A,#N/A,FALSE,"Plan1";#N/A,#N/A,FALSE,"Plan2"}</definedName>
    <definedName name="lsdjser">{TRUE,TRUE,-1.25,-15.5,604.5,366.75,FALSE,FALSE,TRUE,TRUE,0,1,#N/A,1,#N/A,9.0125,24.4117647058824,1,FALSE,FALSE,3,TRUE,1,FALSE,100,"Swvu.PLANILHA2.","ACwvu.PLANILHA2.",#N/A,FALSE,FALSE,0.787401575,0.34,0.46,0.5,1,"","",FALSE,FALSE,FALSE,FALSE,1,#N/A,1,1,FALSE,FALSE,#N/A,#N/A,FALSE,FALSE,FALSE,9,65532,65532,FALSE,FALSE,TRUE,TRUE,TRUE}</definedName>
    <definedName name="lsdkljfkg">{#N/A,#N/A,FALSE,"Plan1";#N/A,#N/A,FALSE,"Plan2"}</definedName>
    <definedName name="lsdsder">{#N/A,#N/A,FALSE,"Plan1";#N/A,#N/A,FALSE,"Plan2"}</definedName>
    <definedName name="ltj6ljyhdjhngças">{#N/A,#N/A,FALSE,"Plan1";#N/A,#N/A,FALSE,"Plan2"}</definedName>
    <definedName name="LUCRO">#REF!</definedName>
    <definedName name="luis_cdi">#REF!</definedName>
    <definedName name="luis_hist">#REF!</definedName>
    <definedName name="luis_uss">#REF!</definedName>
    <definedName name="LV">#REF!</definedName>
    <definedName name="LVI">#REF!</definedName>
    <definedName name="LVII">#REF!</definedName>
    <definedName name="LVIII">#REF!</definedName>
    <definedName name="lwaeddew">#REF!</definedName>
    <definedName name="LXX">#REF!</definedName>
    <definedName name="LXXI">#REF!</definedName>
    <definedName name="LXXII">#REF!</definedName>
    <definedName name="LXXIII">#REF!</definedName>
    <definedName name="LXXIV">#REF!</definedName>
    <definedName name="LXXIX">#REF!</definedName>
    <definedName name="LXXV">#REF!</definedName>
    <definedName name="LXXVI">#REF!</definedName>
    <definedName name="LXXVII">#REF!</definedName>
    <definedName name="LXXVIII">#REF!</definedName>
    <definedName name="LXXX">#REF!</definedName>
    <definedName name="LXXXI">#REF!</definedName>
    <definedName name="LXXXII">#REF!</definedName>
    <definedName name="LXXXIII">#REF!</definedName>
    <definedName name="LXXXIV">#REF!</definedName>
    <definedName name="LXXXV">#REF!</definedName>
    <definedName name="m">{TRUE,TRUE,-1.25,-15.5,604.5,366.75,FALSE,FALSE,TRUE,TRUE,0,1,#N/A,1,#N/A,9.0125,24.4117647058824,1,FALSE,FALSE,3,TRUE,1,FALSE,100,"Swvu.PLANILHA2.","ACwvu.PLANILHA2.",#N/A,FALSE,FALSE,0.787401575,0.34,0.46,0.5,1,"","",FALSE,FALSE,FALSE,FALSE,1,#N/A,1,1,FALSE,FALSE,#N/A,#N/A,FALSE,FALSE,FALSE,9,65532,65532,FALSE,FALSE,TRUE,TRUE,TRUE}</definedName>
    <definedName name="MADRI">#REF!</definedName>
    <definedName name="mai17RJ">#REF!</definedName>
    <definedName name="MAIO">#REF!</definedName>
    <definedName name="MAIO2001">#REF!</definedName>
    <definedName name="MAISAP">{#N/A,#N/A,FALSE,"Plan1";#N/A,#N/A,FALSE,"Plan2"}</definedName>
    <definedName name="MANTO">{#N/A,#N/A,FALSE,"GERAL";#N/A,#N/A,FALSE,"012-96";#N/A,#N/A,FALSE,"018-96";#N/A,#N/A,FALSE,"027-96";#N/A,#N/A,FALSE,"059-96";#N/A,#N/A,FALSE,"076-96";#N/A,#N/A,FALSE,"019-97";#N/A,#N/A,FALSE,"021-97";#N/A,#N/A,FALSE,"022-97";#N/A,#N/A,FALSE,"028-97"}</definedName>
    <definedName name="MAO_DE_OBRA">#REF!</definedName>
    <definedName name="mar17RJ">#REF!</definedName>
    <definedName name="MARCAX">#REF!</definedName>
    <definedName name="MARÇO">#REF!</definedName>
    <definedName name="MARÇO2001">#REF!</definedName>
    <definedName name="martha">#REF!</definedName>
    <definedName name="MASTER">{#N/A,#N/A,FALSE,"GERAL";#N/A,#N/A,FALSE,"012-96";#N/A,#N/A,FALSE,"018-96";#N/A,#N/A,FALSE,"027-96";#N/A,#N/A,FALSE,"059-96";#N/A,#N/A,FALSE,"076-96";#N/A,#N/A,FALSE,"019-97";#N/A,#N/A,FALSE,"021-97";#N/A,#N/A,FALSE,"022-97";#N/A,#N/A,FALSE,"028-97"}</definedName>
    <definedName name="MATERIAL">#REF!</definedName>
    <definedName name="mattubcust">{#N/A,#N/A,FALSE,"GERAL";#N/A,#N/A,FALSE,"012-96";#N/A,#N/A,FALSE,"018-96";#N/A,#N/A,FALSE,"027-96";#N/A,#N/A,FALSE,"059-96";#N/A,#N/A,FALSE,"076-96";#N/A,#N/A,FALSE,"019-97";#N/A,#N/A,FALSE,"021-97";#N/A,#N/A,FALSE,"022-97";#N/A,#N/A,FALSE,"028-97"}</definedName>
    <definedName name="MAURILIO">{#N/A,#N/A,FALSE,"Plan1";#N/A,#N/A,FALSE,"Plan2"}</definedName>
    <definedName name="MC">{#N/A,#N/A,FALSE,"GERAL";#N/A,#N/A,FALSE,"012-96";#N/A,#N/A,FALSE,"018-96";#N/A,#N/A,FALSE,"027-96";#N/A,#N/A,FALSE,"059-96";#N/A,#N/A,FALSE,"076-96";#N/A,#N/A,FALSE,"019-97";#N/A,#N/A,FALSE,"021-97";#N/A,#N/A,FALSE,"022-97";#N/A,#N/A,FALSE,"028-97"}</definedName>
    <definedName name="MCM">{#N/A,#N/A,FALSE,"GERAL";#N/A,#N/A,FALSE,"012-96";#N/A,#N/A,FALSE,"018-96";#N/A,#N/A,FALSE,"027-96";#N/A,#N/A,FALSE,"059-96";#N/A,#N/A,FALSE,"076-96";#N/A,#N/A,FALSE,"019-97";#N/A,#N/A,FALSE,"021-97";#N/A,#N/A,FALSE,"022-97";#N/A,#N/A,FALSE,"028-97"}</definedName>
    <definedName name="MCMV">#REF!</definedName>
    <definedName name="mdfgtr">{#N/A,#N/A,FALSE,"Plan1";#N/A,#N/A,FALSE,"Plan2"}</definedName>
    <definedName name="MDSÇLFJKJSD">{#N/A,#N/A,FALSE,"Plan1";#N/A,#N/A,FALSE,"Plan2"}</definedName>
    <definedName name="ME">{"HW",#N/A,FALSE,"1998"}</definedName>
    <definedName name="Medido_Fin_Medições">#REF!</definedName>
    <definedName name="melo_cdi">#REF!</definedName>
    <definedName name="melo_hist">#REF!</definedName>
    <definedName name="melo_uss">#REF!</definedName>
    <definedName name="MEMÓRIA">#REF!</definedName>
    <definedName name="memória2">#REF!</definedName>
    <definedName name="mensal">#REF!</definedName>
    <definedName name="MENU">#REF!</definedName>
    <definedName name="MENU1">#REF!</definedName>
    <definedName name="MENU2">#REF!</definedName>
    <definedName name="MENU3">#REF!</definedName>
    <definedName name="MENU4">#REF!</definedName>
    <definedName name="MENU5">#REF!</definedName>
    <definedName name="MENU6">#REF!</definedName>
    <definedName name="MENUBOM">#REF!</definedName>
    <definedName name="MENUEQP">#REF!</definedName>
    <definedName name="MENUFIM">#REF!</definedName>
    <definedName name="MENUMED">#REF!</definedName>
    <definedName name="MENUOBRA">#REF!</definedName>
    <definedName name="MENUOUT">#REF!</definedName>
    <definedName name="MENUOUTRO">#REF!</definedName>
    <definedName name="menures">#REF!</definedName>
    <definedName name="Mês_data_base">#REF!</definedName>
    <definedName name="Mês_Medição_Fin_Medições">#REF!</definedName>
    <definedName name="mes_relatorio">#REF!</definedName>
    <definedName name="Meses">#REF!</definedName>
    <definedName name="MESTRE">{#N/A,#N/A,FALSE,"GERAL";#N/A,#N/A,FALSE,"012-96";#N/A,#N/A,FALSE,"018-96";#N/A,#N/A,FALSE,"027-96";#N/A,#N/A,FALSE,"059-96";#N/A,#N/A,FALSE,"076-96";#N/A,#N/A,FALSE,"019-97";#N/A,#N/A,FALSE,"021-97";#N/A,#N/A,FALSE,"022-97";#N/A,#N/A,FALSE,"028-97"}</definedName>
    <definedName name="meta_venda">#REF!</definedName>
    <definedName name="MetaBP">#REF!</definedName>
    <definedName name="MILENA">#REF!</definedName>
    <definedName name="Minha_Casa_Minha_Vida">#REF!</definedName>
    <definedName name="MLMÇLKJKI">{#N/A,#N/A,FALSE,"Plan1";#N/A,#N/A,FALSE,"Plan2"}</definedName>
    <definedName name="MM">{TRUE,TRUE,-1.25,-15.5,604.5,366.75,FALSE,FALSE,TRUE,TRUE,0,1,#N/A,1,#N/A,9.0125,24.4117647058824,1,FALSE,FALSE,3,TRUE,1,FALSE,100,"Swvu.PLANILHA2.","ACwvu.PLANILHA2.",#N/A,FALSE,FALSE,0.787401575,0.34,0.46,0.5,1,"","",FALSE,FALSE,FALSE,FALSE,1,#N/A,1,1,FALSE,FALSE,#N/A,#N/A,FALSE,FALSE,FALSE,9,65532,65532,FALSE,FALSE,TRUE,TRUE,TRUE}</definedName>
    <definedName name="mmmmm">{"tabela",#N/A,FALSE,"Tabela";"decoração",#N/A,FALSE,"Decor.";"Informações",#N/A,FALSE,"Inform."}</definedName>
    <definedName name="mmmmmmm">{TRUE,TRUE,-1.25,-15.5,604.5,366.75,FALSE,FALSE,TRUE,TRUE,0,1,#N/A,1,#N/A,9.0125,24.4117647058824,1,FALSE,FALSE,3,TRUE,1,FALSE,100,"Swvu.PLANILHA2.","ACwvu.PLANILHA2.",#N/A,FALSE,FALSE,0.787401575,0.34,0.46,0.5,1,"","",FALSE,FALSE,FALSE,FALSE,1,#N/A,1,1,FALSE,FALSE,#N/A,#N/A,FALSE,FALSE,FALSE,9,65532,65532,FALSE,FALSE,TRUE,TRUE,TRUE}</definedName>
    <definedName name="MNBXFKGS">{#N/A,#N/A,FALSE,"Plan1";#N/A,#N/A,FALSE,"Plan2"}</definedName>
    <definedName name="mncvbgcvmc">{#N/A,#N/A,FALSE,"Plan1";#N/A,#N/A,FALSE,"Plan2"}</definedName>
    <definedName name="MNDKZSFNCEA">{#N/A,#N/A,FALSE,"Plan1";#N/A,#N/A,FALSE,"Plan2"}</definedName>
    <definedName name="mnhdshfgfhd">{#N/A,#N/A,FALSE,"Plan1";#N/A,#N/A,FALSE,"Plan2"}</definedName>
    <definedName name="mo">#REF!</definedName>
    <definedName name="mobra">{#N/A,#N/A,FALSE,"GERAL";#N/A,#N/A,FALSE,"012-96";#N/A,#N/A,FALSE,"018-96";#N/A,#N/A,FALSE,"027-96";#N/A,#N/A,FALSE,"059-96";#N/A,#N/A,FALSE,"076-96";#N/A,#N/A,FALSE,"019-97";#N/A,#N/A,FALSE,"021-97";#N/A,#N/A,FALSE,"022-97";#N/A,#N/A,FALSE,"028-97"}</definedName>
    <definedName name="Modelo1">{#N/A,#N/A,FALSE,"cdi";#N/A,#N/A,FALSE,"debent";#N/A,#N/A,FALSE,"fdos";#N/A,#N/A,FALSE,"resumo"}</definedName>
    <definedName name="Modelo1a">{#N/A,#N/A,FALSE,"cdi";#N/A,#N/A,FALSE,"debent";#N/A,#N/A,FALSE,"fdos";#N/A,#N/A,FALSE,"resumo"}</definedName>
    <definedName name="Modelo2">{#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módulo">#REF!</definedName>
    <definedName name="mond_cdi">#REF!</definedName>
    <definedName name="mond_hist">#REF!</definedName>
    <definedName name="mond_uss">#REF!</definedName>
    <definedName name="MP">{#N/A,#N/A,FALSE,"CCTV"}</definedName>
    <definedName name="MSDFJKDT">25</definedName>
    <definedName name="MSDRFSWER">{"Econ Consolidado",#N/A,FALSE,"Econ Consol";"Fluxo de Caixa",#N/A,FALSE,"Fluxo Caixa";"Investimentos",#N/A,FALSE,"Investimentos"}</definedName>
    <definedName name="MURBOMB">#REF!</definedName>
    <definedName name="mzshdjshjs">{#N/A,#N/A,FALSE,"Plan1";#N/A,#N/A,FALSE,"Plan2"}</definedName>
    <definedName name="na">{#N/A,#N/A,FALSE,"$170M Cash";#N/A,#N/A,FALSE,"$250M Cash";#N/A,#N/A,FALSE,"$325M Cash"}</definedName>
    <definedName name="ncdgrdhrtg">{#N/A,#N/A,FALSE,"Plan1";#N/A,#N/A,FALSE,"Plan2"}</definedName>
    <definedName name="nchngdfhgdh">{#N/A,#N/A,FALSE,"Plan1";#N/A,#N/A,FALSE,"Plan2"}</definedName>
    <definedName name="NCJFKNGJHF">{#N/A,#N/A,FALSE,"Plan1";#N/A,#N/A,FALSE,"Plan2"}</definedName>
    <definedName name="NDATA">#REF!</definedName>
    <definedName name="ndcxhgdhf">{#N/A,#N/A,FALSE,"Plan1";#N/A,#N/A,FALSE,"Plan2"}</definedName>
    <definedName name="ndfjnjkrhdgt">{#N/A,#N/A,FALSE,"Plan1";#N/A,#N/A,FALSE,"Plan2"}</definedName>
    <definedName name="ndfkghkjthfyst">{#N/A,#N/A,FALSE,"Plan1";#N/A,#N/A,FALSE,"Plan2"}</definedName>
    <definedName name="ndfldslvjnvberugberqubquierbv">#REF!</definedName>
    <definedName name="NDJGKFKGHUFG">{#N/A,#N/A,FALSE,"Plan1";#N/A,#N/A,FALSE,"Plan2"}</definedName>
    <definedName name="ndrjkt">{#N/A,#N/A,FALSE,"Plan1";#N/A,#N/A,FALSE,"Plan2"}</definedName>
    <definedName name="new">{#N/A,#N/A,FALSE,"Global by BU";#N/A,#N/A,FALSE,"U.S. by BU";#N/A,#N/A,FALSE,"Canada by BU";#N/A,#N/A,FALSE,"Europe by BU";#N/A,#N/A,FALSE,"Asia by BU";#N/A,#N/A,FALSE,"Cala by BU"}</definedName>
    <definedName name="NEWNAME">{#N/A,#N/A,FALSE,"CCTV"}</definedName>
    <definedName name="nfgjkhvhfghnf">{TRUE,TRUE,-1.25,-15.5,604.5,366.75,FALSE,FALSE,TRUE,TRUE,0,1,#N/A,1,#N/A,9.0125,24.4117647058824,1,FALSE,FALSE,3,TRUE,1,FALSE,100,"Swvu.PLANILHA2.","ACwvu.PLANILHA2.",#N/A,FALSE,FALSE,0.787401575,0.34,0.46,0.5,1,"","",FALSE,FALSE,FALSE,FALSE,1,#N/A,1,1,FALSE,FALSE,#N/A,#N/A,FALSE,FALSE,FALSE,9,65532,65532,FALSE,FALSE,TRUE,TRUE,TRUE}</definedName>
    <definedName name="nfkhdjkthde">{#N/A,#N/A,FALSE,"Plan1";#N/A,#N/A,FALSE,"Plan2"}</definedName>
    <definedName name="nhj">{TRUE,TRUE,-1.25,-15.5,604.5,366.75,FALSE,FALSE,TRUE,TRUE,0,1,#N/A,1,#N/A,9.0125,24.4117647058824,1,FALSE,FALSE,3,TRUE,1,FALSE,100,"Swvu.PLANILHA2.","ACwvu.PLANILHA2.",#N/A,FALSE,FALSE,0.787401575,0.34,0.46,0.5,1,"","",FALSE,FALSE,FALSE,FALSE,1,#N/A,1,1,FALSE,FALSE,#N/A,#N/A,FALSE,FALSE,FALSE,9,65532,65532,FALSE,FALSE,TRUE,TRUE,TRUE}</definedName>
    <definedName name="NHJHFDSHF">{#N/A,#N/A,FALSE,"Plan1";#N/A,#N/A,FALSE,"Plan2"}</definedName>
    <definedName name="NJSDFHERTG">{#N/A,#N/A,FALSE,"Plan1";#N/A,#N/A,FALSE,"Plan2"}</definedName>
    <definedName name="nkfnsskdn">{#N/A,#N/A,FALSE,"Plan1";#N/A,#N/A,FALSE,"Plan2"}</definedName>
    <definedName name="NKJL">{TRUE,TRUE,-1.25,-15.5,604.5,366.75,FALSE,FALSE,TRUE,TRUE,0,1,#N/A,1,#N/A,9.0125,24.4117647058824,1,FALSE,FALSE,3,TRUE,1,FALSE,100,"Swvu.PLANILHA2.","ACwvu.PLANILHA2.",#N/A,FALSE,FALSE,0.787401575,0.34,0.46,0.5,1,"","",FALSE,FALSE,FALSE,FALSE,1,#N/A,1,1,FALSE,FALSE,#N/A,#N/A,FALSE,FALSE,FALSE,9,65532,65532,FALSE,FALSE,TRUE,TRUE,TRUE}</definedName>
    <definedName name="nl">#REF!</definedName>
    <definedName name="nlaksjdwe">{#N/A,#N/A,FALSE,"Plan1";#N/A,#N/A,FALSE,"Plan2"}</definedName>
    <definedName name="nljsdfljfdsfr">{#N/A,#N/A,FALSE,"Plan1";#N/A,#N/A,FALSE,"Plan2"}</definedName>
    <definedName name="nm_k1">#REF!</definedName>
    <definedName name="nm_k2">#REF!</definedName>
    <definedName name="nm_k3">#REF!</definedName>
    <definedName name="nmjdfhxj">{#N/A,#N/A,FALSE,"Plan1";#N/A,#N/A,FALSE,"Plan2"}</definedName>
    <definedName name="nnmn">{#N/A,#N/A,FALSE,"Plan1";#N/A,#N/A,FALSE,"Plan2"}</definedName>
    <definedName name="nnn">{#N/A,#N/A,FALSE,"Plan1";#N/A,#N/A,FALSE,"Plan2"}</definedName>
    <definedName name="nnnnnnnnnnn">{"HW",#N/A,FALSE,"1998"}</definedName>
    <definedName name="NNNNNNNNNNNNNNN">{#N/A,#N/A,FALSE,"Plan1";#N/A,#N/A,FALSE,"Plan2"}</definedName>
    <definedName name="nnnnnnnnnnnnnnnnnnnn">{#N/A,#N/A,FALSE,"Plan1";#N/A,#N/A,FALSE,"Plan2"}</definedName>
    <definedName name="NNXFT">{#N/A,#N/A,FALSE,"Plan1";#N/A,#N/A,FALSE,"Plan2"}</definedName>
    <definedName name="no">#REF!</definedName>
    <definedName name="NOME">#REF!</definedName>
    <definedName name="nome2">#REF!</definedName>
    <definedName name="NOMEITEM">#REF!</definedName>
    <definedName name="NOMEOBRA">#REF!</definedName>
    <definedName name="nov17RJ">#REF!</definedName>
    <definedName name="NOVE">#REF!</definedName>
    <definedName name="NOVEMBRO">#REF!</definedName>
    <definedName name="nsdkfndgfdnatf">{#N/A,#N/A,FALSE,"Plan1";#N/A,#N/A,FALSE,"Plan2"}</definedName>
    <definedName name="nsfljdiljrf">{#N/A,#N/A,FALSE,"Plan1";#N/A,#N/A,FALSE,"Plan2"}</definedName>
    <definedName name="NUCOPIAS">#REF!</definedName>
    <definedName name="NUMOBRA">#REF!</definedName>
    <definedName name="NutN">#REF!</definedName>
    <definedName name="nzxcnnjkd">{#N/A,#N/A,FALSE,"Plan1";#N/A,#N/A,FALSE,"Plan2"}</definedName>
    <definedName name="OAE">#REF!</definedName>
    <definedName name="OBRA">#REF!</definedName>
    <definedName name="Obra_Fin_Medição">#REF!</definedName>
    <definedName name="OBRA_PROJETADO">#REF!</definedName>
    <definedName name="Obra_Rel_Controladoria">#REF!</definedName>
    <definedName name="Obra_Sienge">#REF!</definedName>
    <definedName name="Obra2_Fin_Medição">#REF!</definedName>
    <definedName name="OBRALOC">#REF!</definedName>
    <definedName name="OBRAS">#REF!</definedName>
    <definedName name="Obras_Apoio_Rel_Controladoria">#REF!</definedName>
    <definedName name="OBRAS_REALIZADO">#REF!</definedName>
    <definedName name="OBRASEL">#REF!</definedName>
    <definedName name="odflgj">25</definedName>
    <definedName name="odfuudor">{#N/A,#N/A,FALSE,"Plan1";#N/A,#N/A,FALSE,"Plan2"}</definedName>
    <definedName name="ODH">#REF!</definedName>
    <definedName name="oficial_mes">#REF!</definedName>
    <definedName name="oficial2_mes">#REF!</definedName>
    <definedName name="oiditrot">{#N/A,#N/A,FALSE,"Plan1";#N/A,#N/A,FALSE,"Plan2"}</definedName>
    <definedName name="oio">{#N/A,#N/A,FALSE,"Plan1";#N/A,#N/A,FALSE,"Plan2"}</definedName>
    <definedName name="OITO">#REF!</definedName>
    <definedName name="oiufioorif">#REF!</definedName>
    <definedName name="OJÇLJ">{#N/A,#N/A,FALSE,"Plan1";#N/A,#N/A,FALSE,"Plan2"}</definedName>
    <definedName name="ojkdfit">{#N/A,#N/A,FALSE,"Plan1";#N/A,#N/A,FALSE,"Plan2"}</definedName>
    <definedName name="oMISSOS">#REF!</definedName>
    <definedName name="ONZE">#REF!</definedName>
    <definedName name="ooo">{#N/A,#N/A,FALSE,"Plan1";#N/A,#N/A,FALSE,"Plan2"}</definedName>
    <definedName name="OPASEDWED">{"Econ Consolidado",#N/A,FALSE,"Econ Consol";"Fluxo de Caixa",#N/A,FALSE,"Fluxo Caixa";"Investimentos",#N/A,FALSE,"Investimentos"}</definedName>
    <definedName name="opcao_taxa_desconto">#REF!</definedName>
    <definedName name="opções">#REF!</definedName>
    <definedName name="opiwre">{#N/A,#N/A,FALSE,"Plan1";#N/A,#N/A,FALSE,"Plan2"}</definedName>
    <definedName name="ORCAMEN">#REF!</definedName>
    <definedName name="Orcamentistas">#REF!</definedName>
    <definedName name="origem_recebiveis">#REF!</definedName>
    <definedName name="origem_unidades">#REF!</definedName>
    <definedName name="Origem2_Recebimento_Fin_Medições">#REF!</definedName>
    <definedName name="os">{#N/A,#N/A,FALSE,"TABLE"}</definedName>
    <definedName name="osca_cdi">#REF!</definedName>
    <definedName name="osca_hist">#REF!</definedName>
    <definedName name="osca_uss">#REF!</definedName>
    <definedName name="otodgkrjglsrd">{#N/A,#N/A,FALSE,"Plan1";#N/A,#N/A,FALSE,"Plan2"}</definedName>
    <definedName name="OUERWRSR">{#N/A,#N/A,FALSE,"Plan1";#N/A,#N/A,FALSE,"Plan2"}</definedName>
    <definedName name="out17RJ">#REF!</definedName>
    <definedName name="outro">#REF!</definedName>
    <definedName name="OUTROS">#REF!</definedName>
    <definedName name="OUTROS_CCUSTO">#REF!</definedName>
    <definedName name="Outros_Pisos">#REF!</definedName>
    <definedName name="Outros1">#REF!</definedName>
    <definedName name="OUTUBRO">#REF!</definedName>
    <definedName name="overhaul">{#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oxfo_cdi">#REF!</definedName>
    <definedName name="oxfo_hist">#REF!</definedName>
    <definedName name="oxfo_uss">#REF!</definedName>
    <definedName name="P">#REF!</definedName>
    <definedName name="PA">#REF!</definedName>
    <definedName name="Padrao_A">#REF!</definedName>
    <definedName name="Padrao_B">#REF!</definedName>
    <definedName name="Padrao_C">#REF!</definedName>
    <definedName name="Padrao_D">#REF!</definedName>
    <definedName name="Padrao_E">#REF!</definedName>
    <definedName name="Padrao_F">#REF!</definedName>
    <definedName name="Pagamento_Num">ROW()-Linha_Cabeçalho</definedName>
    <definedName name="Pago_Até_2015_Controladoria">#REF!</definedName>
    <definedName name="Pal_Workbook_GUID">"3HURD34M2XKWJ5V6M4BWCR5Q"</definedName>
    <definedName name="PAP">#REF!</definedName>
    <definedName name="PARAM_FIS_1">#REF!</definedName>
    <definedName name="PARAM_FIS_2">#REF!</definedName>
    <definedName name="ParamValues1">#REF!</definedName>
    <definedName name="ParamValues2">#REF!</definedName>
    <definedName name="Parao_E">#REF!</definedName>
    <definedName name="Parede1">#REF!</definedName>
    <definedName name="Parede2">#REF!</definedName>
    <definedName name="PAREDES">#REF!</definedName>
    <definedName name="PAV">#REF!</definedName>
    <definedName name="PAVILHAO">#REF!</definedName>
    <definedName name="PAVT">#REF!</definedName>
    <definedName name="pçgktr">#REF!</definedName>
    <definedName name="PDER">#REF!</definedName>
    <definedName name="PDIVERS">#REF!</definedName>
    <definedName name="PE">#REF!</definedName>
    <definedName name="PEMD">#REF!</definedName>
    <definedName name="Pendencias">{#N/A,#N/A,FALSE,"GERAL";#N/A,#N/A,FALSE,"012-96";#N/A,#N/A,FALSE,"018-96";#N/A,#N/A,FALSE,"027-96";#N/A,#N/A,FALSE,"059-96";#N/A,#N/A,FALSE,"076-96";#N/A,#N/A,FALSE,"019-97";#N/A,#N/A,FALSE,"021-97";#N/A,#N/A,FALSE,"022-97";#N/A,#N/A,FALSE,"028-97"}</definedName>
    <definedName name="pendencias2">{#N/A,#N/A,FALSE,"GERAL";#N/A,#N/A,FALSE,"012-96";#N/A,#N/A,FALSE,"018-96";#N/A,#N/A,FALSE,"027-96";#N/A,#N/A,FALSE,"059-96";#N/A,#N/A,FALSE,"076-96";#N/A,#N/A,FALSE,"019-97";#N/A,#N/A,FALSE,"021-97";#N/A,#N/A,FALSE,"022-97";#N/A,#N/A,FALSE,"028-97"}</definedName>
    <definedName name="pendencias3">{#N/A,#N/A,FALSE,"GERAL";#N/A,#N/A,FALSE,"012-96";#N/A,#N/A,FALSE,"018-96";#N/A,#N/A,FALSE,"027-96";#N/A,#N/A,FALSE,"059-96";#N/A,#N/A,FALSE,"076-96";#N/A,#N/A,FALSE,"019-97";#N/A,#N/A,FALSE,"021-97";#N/A,#N/A,FALSE,"022-97";#N/A,#N/A,FALSE,"028-97"}</definedName>
    <definedName name="perfura">#REF!</definedName>
    <definedName name="Perímetro_lajão">#REF!</definedName>
    <definedName name="Perímetro_Terreno">#REF!</definedName>
    <definedName name="Perímetro_torre">#REF!</definedName>
    <definedName name="pessoal">#REF!</definedName>
    <definedName name="petro2">#REF!</definedName>
    <definedName name="PhyG">#REF!</definedName>
    <definedName name="PhyGS">#REF!</definedName>
    <definedName name="PI">#REF!</definedName>
    <definedName name="piaz">{TRUE,TRUE,-1.25,-15.5,604.5,366.75,FALSE,FALSE,TRUE,TRUE,0,1,#N/A,1,#N/A,9.0125,24.4117647058824,1,FALSE,FALSE,3,TRUE,1,FALSE,100,"Swvu.PLANILHA2.","ACwvu.PLANILHA2.",#N/A,FALSE,FALSE,0.787401575,0.34,0.46,0.5,1,"","",FALSE,FALSE,FALSE,FALSE,1,#N/A,1,1,FALSE,FALSE,#N/A,#N/A,FALSE,FALSE,FALSE,9,65532,65532,FALSE,FALSE,TRUE,TRUE,TRUE}</definedName>
    <definedName name="PIEQUIP">#REF!</definedName>
    <definedName name="Pintura">#REF!</definedName>
    <definedName name="PIS_COFINS">#REF!</definedName>
    <definedName name="PisCofins">#REF!</definedName>
    <definedName name="Piso1">#REF!</definedName>
    <definedName name="Piso2">#REF!</definedName>
    <definedName name="PISOS">#REF!</definedName>
    <definedName name="PL">#REF!</definedName>
    <definedName name="PLACAS">{#N/A,#N/A,TRUE,"Quinzena 01 à 15-04-98 "}</definedName>
    <definedName name="Placas_Areas">{#N/A,#N/A,TRUE,"Quinzena 01 à 15-04-98 "}</definedName>
    <definedName name="PLAN">#REF!</definedName>
    <definedName name="plan2">{TRUE,TRUE,-1.25,-15.5,604.5,366.75,FALSE,FALSE,TRUE,TRUE,0,1,#N/A,1,#N/A,9.0125,24.4117647058824,1,FALSE,FALSE,3,TRUE,1,FALSE,100,"Swvu.PLANILHA2.","ACwvu.PLANILHA2.",#N/A,FALSE,FALSE,0.787401575,0.34,0.46,0.5,1,"","",FALSE,FALSE,FALSE,FALSE,1,#N/A,1,1,FALSE,FALSE,#N/A,#N/A,FALSE,FALSE,FALSE,9,65532,65532,FALSE,FALSE,TRUE,TRUE,TRUE}</definedName>
    <definedName name="PLANILHA">#REF!</definedName>
    <definedName name="Planilha2">#REF!</definedName>
    <definedName name="plasçdeaw">{#N/A,#N/A,FALSE,"Plan1";#N/A,#N/A,FALSE,"Plan2"}</definedName>
    <definedName name="plaslrswe">{#N/A,#N/A,FALSE,"Plan1";#N/A,#N/A,FALSE,"Plan2"}</definedName>
    <definedName name="pls">#REF!</definedName>
    <definedName name="plsearpef">{#N/A,#N/A,FALSE,"Plan1";#N/A,#N/A,FALSE,"Plan2"}</definedName>
    <definedName name="plss">{#N/A,#N/A,FALSE,"Plan1";#N/A,#N/A,FALSE,"Plan2"}</definedName>
    <definedName name="PMUR">#REF!</definedName>
    <definedName name="PN2건축">{#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onderações">#REF!</definedName>
    <definedName name="Pós_Chaves">#REF!</definedName>
    <definedName name="pr">#REF!</definedName>
    <definedName name="PRAZO">#REF!</definedName>
    <definedName name="Prazo_da_Estrutura">#REF!</definedName>
    <definedName name="PRAZO_EDITAL">#REF!</definedName>
    <definedName name="Prazo_Obra">#REF!</definedName>
    <definedName name="PRAZO_ORC">#REF!</definedName>
    <definedName name="prazo2">#REF!</definedName>
    <definedName name="PRE">#REF!</definedName>
    <definedName name="PREÇ">OFFSET(#REF!,0,0,COUNTA(#REF!),1)</definedName>
    <definedName name="Preço">ROW()-Linha_Cabeçalho</definedName>
    <definedName name="Previsão_Inicial_abr_16">#REF!</definedName>
    <definedName name="Previsão_Inicial_ago_16">#REF!</definedName>
    <definedName name="Previsão_Inicial_dez_16">#REF!</definedName>
    <definedName name="Previsão_Inicial_fev_16">#REF!</definedName>
    <definedName name="Previsão_Inicial_jan_16">#REF!</definedName>
    <definedName name="Previsão_Inicial_jul_16">#REF!</definedName>
    <definedName name="Previsão_Inicial_jun_16">#REF!</definedName>
    <definedName name="Previsão_Inicial_mai_16">#REF!</definedName>
    <definedName name="Previsão_Inicial_mar_16">#REF!</definedName>
    <definedName name="Previsão_Inicial_nov_16">#REF!</definedName>
    <definedName name="Previsão_Inicial_out_16">#REF!</definedName>
    <definedName name="Previsão_Inicial_set_16">#REF!</definedName>
    <definedName name="Previsão_Vento1">#REF!</definedName>
    <definedName name="Previsto_a_medir_Fin_Medições">#REF!</definedName>
    <definedName name="print">{#N/A,#N/A,FALSE,"$170M Cash";#N/A,#N/A,FALSE,"$250M Cash";#N/A,#N/A,FALSE,"$325M Cash"}</definedName>
    <definedName name="_xlnm.Print_Area">#REF!</definedName>
    <definedName name="Print_Area_MI">#REF!</definedName>
    <definedName name="_xlnm.Print_Titles">#REF!</definedName>
    <definedName name="PRINT_TITLES_MI">#REF!</definedName>
    <definedName name="programa">#REF!</definedName>
    <definedName name="Programaa">#REF!</definedName>
    <definedName name="Projeção_torre">#REF!</definedName>
    <definedName name="projeto_nome_com">IF((COUNTA(#REF!)-2)&gt;1,"TERRENO "&amp;VLOOKUP(#REF!,#REF!,8,0),VLOOKUP(#REF!,#REF!,3,0))</definedName>
    <definedName name="PROPAGANDA">#REF!</definedName>
    <definedName name="ptirigyiotut">{#N/A,#N/A,FALSE,"Plan1";#N/A,#N/A,FALSE,"Plan2"}</definedName>
    <definedName name="PWER3">{#N/A,#N/A,FALSE,"Plan1";#N/A,#N/A,FALSE,"Plan2"}</definedName>
    <definedName name="q">#REF!</definedName>
    <definedName name="QCLIENTE_PCLIENTE">#REF!</definedName>
    <definedName name="QCliente_PCliente1">#REF!</definedName>
    <definedName name="qe">#REF!</definedName>
    <definedName name="qee">#REF!</definedName>
    <definedName name="qkqh1">{#N/A,#N/A,FALSE,"명세표"}</definedName>
    <definedName name="QOAS_POAS">#REF!</definedName>
    <definedName name="QQ">{#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QQQ">#REF!:#REF!</definedName>
    <definedName name="QQQQQQQQ">#REF!</definedName>
    <definedName name="QREAL_PCLIENTE">#REF!</definedName>
    <definedName name="QReal_PCliente1">#REF!</definedName>
    <definedName name="QSQWSE">{#N/A,#N/A,FALSE,"Plan1";#N/A,#N/A,FALSE,"Plan2"}</definedName>
    <definedName name="qtd_mensal">#REF!</definedName>
    <definedName name="qtd3esta">#REF!</definedName>
    <definedName name="qtdbase">#REF!</definedName>
    <definedName name="qtdbltub">#REF!</definedName>
    <definedName name="qtdestac">#REF!</definedName>
    <definedName name="qtdsap">#REF!</definedName>
    <definedName name="qtdtub">#REF!</definedName>
    <definedName name="QTNULO">#REF!</definedName>
    <definedName name="QTPADRAO">#REF!</definedName>
    <definedName name="QTRES">#REF!</definedName>
    <definedName name="QuadraE">#REF!</definedName>
    <definedName name="quadrocompar.">#REF!</definedName>
    <definedName name="QUANT">#REF!</definedName>
    <definedName name="Quant_Aptos">#REF!</definedName>
    <definedName name="Quant_Cremalheira">#REF!</definedName>
    <definedName name="Quant_grua">#REF!</definedName>
    <definedName name="Quant_pav_lajão">#REF!</definedName>
    <definedName name="Quant_tipo">#REF!</definedName>
    <definedName name="Quant_torres">#REF!</definedName>
    <definedName name="Quantidade_Elevadores">#REF!</definedName>
    <definedName name="QUANTP">#REF!</definedName>
    <definedName name="QUATRO">#REF!</definedName>
    <definedName name="QUINZE">#REF!</definedName>
    <definedName name="qwdqw">{#N/A,#N/A,FALSE,"Plan1";#N/A,#N/A,FALSE,"Plan2"}</definedName>
    <definedName name="qweqwe">{#N/A,#N/A,FALSE,"Plan1";#N/A,#N/A,FALSE,"Plan2"}</definedName>
    <definedName name="qweqwe4">{TRUE,TRUE,-1.25,-15.5,604.5,366.75,FALSE,FALSE,TRUE,TRUE,0,1,#N/A,1,#N/A,9.0125,24.4117647058824,1,FALSE,FALSE,3,TRUE,1,FALSE,100,"Swvu.PLANILHA2.","ACwvu.PLANILHA2.",#N/A,FALSE,FALSE,0.787401575,0.34,0.46,0.5,1,"","",FALSE,FALSE,FALSE,FALSE,1,#N/A,1,1,FALSE,FALSE,#N/A,#N/A,FALSE,FALSE,FALSE,9,65532,65532,FALSE,FALSE,TRUE,TRUE,TRUE}</definedName>
    <definedName name="qwewqe">#REF!</definedName>
    <definedName name="qwqw">#REF!</definedName>
    <definedName name="R.imobAtualiz">#REF!</definedName>
    <definedName name="R_CorretAtualiz">#REF!</definedName>
    <definedName name="R_G.Cobr.Atualiz">#REF!</definedName>
    <definedName name="R_PmaisJAtualiz">#REF!</definedName>
    <definedName name="R_Prev.PerdaAtualiz">#REF!</definedName>
    <definedName name="RADIO">{"HW",#N/A,FALSE,"1998"}</definedName>
    <definedName name="RANGE">#REF!</definedName>
    <definedName name="RANGE1">#REF!</definedName>
    <definedName name="RANGE2">#REF!</definedName>
    <definedName name="RARQIMP">#REF!</definedName>
    <definedName name="RawData">#REF!</definedName>
    <definedName name="RE">#REF!</definedName>
    <definedName name="RECADUC">#REF!</definedName>
    <definedName name="Recebido_Acumulado_2015_Controladoria">#REF!</definedName>
    <definedName name="REF">{TRUE,TRUE,-1.25,-15.5,604.5,366.75,FALSE,FALSE,TRUE,TRUE,0,1,#N/A,1,#N/A,9.0125,24.4117647058824,1,FALSE,FALSE,3,TRUE,1,FALSE,100,"Swvu.PLANILHA2.","ACwvu.PLANILHA2.",#N/A,FALSE,FALSE,0.787401575,0.34,0.46,0.5,1,"","",FALSE,FALSE,FALSE,FALSE,1,#N/A,1,1,FALSE,FALSE,#N/A,#N/A,FALSE,FALSE,FALSE,9,65532,65532,FALSE,FALSE,TRUE,TRUE,TRUE}</definedName>
    <definedName name="reforsu">#REF!</definedName>
    <definedName name="REL_RJ">#REF!</definedName>
    <definedName name="REL_SP">#REF!</definedName>
    <definedName name="relat3">#REF!</definedName>
    <definedName name="ren">#REF!</definedName>
    <definedName name="REPETIÇÃO">#REF!</definedName>
    <definedName name="ReqC">#REF!</definedName>
    <definedName name="Responsável_Rel_Controladoria">#REF!</definedName>
    <definedName name="resum">{"'Ethernet Hubs'!$A$1:$F$14","'Licences'!$A$1:$F$16","'Ports and Converters'!$A$1:$F$46","'Standard Routers'!$A$1:$F$28","'Ports and Converters'!$A$1:$G$46","'Router Chassis'!$A$1:$F$21","'Cables and Connectors'!$A$1:$F$41","'Support, Training and Docs'!$A$1:$F$6","'Management'!$A$1:$F$8"}</definedName>
    <definedName name="RESUMO">#REF!</definedName>
    <definedName name="RESUMO2">{#N/A,#N/A,TRUE,"Quinzena 01 à 15-04-98 "}</definedName>
    <definedName name="REV">#REF!</definedName>
    <definedName name="RF">{#N/A,#N/A,FALSE,"CCTV"}</definedName>
    <definedName name="rgedrfrgfdg">{#N/A,#N/A,FALSE,"Plan1";#N/A,#N/A,FALSE,"Plan2"}</definedName>
    <definedName name="rhdrmq">{#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I">#REF!</definedName>
    <definedName name="ridbeb">#REF!</definedName>
    <definedName name="RIDCHAF">#REF!</definedName>
    <definedName name="ridres05">#REF!</definedName>
    <definedName name="RIDRES10">#REF!</definedName>
    <definedName name="RIDRES15">#REF!</definedName>
    <definedName name="RiskAfterRecalcMacro">""</definedName>
    <definedName name="RiskAfterSimMacro">""</definedName>
    <definedName name="RiskBeforeRecalcMacro">""</definedName>
    <definedName name="RiskBeforeSimMacro">""</definedName>
    <definedName name="RiskCollectDistributionSamples">2</definedName>
    <definedName name="RiskFixedSeed">1</definedName>
    <definedName name="RiskHasSettings">5</definedName>
    <definedName name="RiskMinimizeOnStart">FALSE</definedName>
    <definedName name="RiskMonitorConvergence">FALSE</definedName>
    <definedName name="RiskMultipleCPUSupportEnabled">TRUE</definedName>
    <definedName name="RiskNumIterations">1000</definedName>
    <definedName name="RiskNumSimulations">1</definedName>
    <definedName name="RiskPauseOnError">FALSE</definedName>
    <definedName name="RiskRunAfterRecalcMacro">FALSE</definedName>
    <definedName name="RiskRunAfterSimMacro">FALSE</definedName>
    <definedName name="RiskRunBeforeRecalcMacro">FALSE</definedName>
    <definedName name="RiskRunBeforeSimMacro">FALSE</definedName>
    <definedName name="RiskSamplingType">2</definedName>
    <definedName name="RiskStandardRecalc">1</definedName>
    <definedName name="RiskSwapState">"True"</definedName>
    <definedName name="RiskUpdateDisplay">FALSE</definedName>
    <definedName name="RiskUseDifferentSeedForEachSim">FALSE</definedName>
    <definedName name="RiskUseFixedSeed">FALSE</definedName>
    <definedName name="RiskUseMultipleCPUs">TRUE</definedName>
    <definedName name="RO">#REF!</definedName>
    <definedName name="Rodapé">#REF!</definedName>
    <definedName name="RODAPÉS">#REF!</definedName>
    <definedName name="ROMANO">#REF!</definedName>
    <definedName name="ROTCOMP">#REF!</definedName>
    <definedName name="ROTIMP">#REF!</definedName>
    <definedName name="ROTRES">#REF!</definedName>
    <definedName name="RQTADUC">#REF!</definedName>
    <definedName name="rqtbeb">#REF!</definedName>
    <definedName name="RQTCHAF">#REF!</definedName>
    <definedName name="RQTDERV">#REF!</definedName>
    <definedName name="rres05">#REF!</definedName>
    <definedName name="RRES10">#REF!</definedName>
    <definedName name="RRES15">#REF!</definedName>
    <definedName name="RRES20">#REF!</definedName>
    <definedName name="RRR">#REF!</definedName>
    <definedName name="rrrrr">{"'장비'!$A$3:$M$12"}</definedName>
    <definedName name="rrrrrrrr">{"'장비'!$A$3:$M$12"}</definedName>
    <definedName name="rrrrrrrrrrr">{#N/A,#N/A,TRUE,"Quinzena 01 à 15-04-98 "}</definedName>
    <definedName name="RSEQ">#REF!</definedName>
    <definedName name="RSUBTOT">#REF!</definedName>
    <definedName name="rtitbeb">#REF!</definedName>
    <definedName name="RTITCHAF">#REF!</definedName>
    <definedName name="rtubos">#REF!</definedName>
    <definedName name="RTYE">{"'장비'!$A$3:$M$12"}</definedName>
    <definedName name="s">#REF!</definedName>
    <definedName name="sa">{#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aa">{#N/A,#N/A,FALSE,"GERAL";#N/A,#N/A,FALSE,"012-96";#N/A,#N/A,FALSE,"018-96";#N/A,#N/A,FALSE,"027-96";#N/A,#N/A,FALSE,"059-96";#N/A,#N/A,FALSE,"076-96";#N/A,#N/A,FALSE,"019-97";#N/A,#N/A,FALSE,"021-97";#N/A,#N/A,FALSE,"022-97";#N/A,#N/A,FALSE,"028-97"}</definedName>
    <definedName name="sad">{TRUE,TRUE,-1.25,-15.5,604.5,366.75,FALSE,FALSE,TRUE,TRUE,0,1,#N/A,1,#N/A,9.0125,24.4117647058824,1,FALSE,FALSE,3,TRUE,1,FALSE,100,"Swvu.PLANILHA2.","ACwvu.PLANILHA2.",#N/A,FALSE,FALSE,0.787401575,0.34,0.46,0.5,1,"","",FALSE,FALSE,FALSE,FALSE,1,#N/A,1,1,FALSE,FALSE,#N/A,#N/A,FALSE,FALSE,FALSE,9,65532,65532,FALSE,FALSE,TRUE,TRUE,TRUE}</definedName>
    <definedName name="sadasd">{#N/A,#N/A,FALSE,"Plan1";#N/A,#N/A,FALSE,"Plan2"}</definedName>
    <definedName name="sadked">{TRUE,TRUE,-1.25,-15.5,604.5,366.75,FALSE,FALSE,TRUE,TRUE,0,1,#N/A,1,#N/A,9.0125,24.4117647058824,1,FALSE,FALSE,3,TRUE,1,FALSE,100,"Swvu.PLANILHA2.","ACwvu.PLANILHA2.",#N/A,FALSE,FALSE,0.787401575,0.34,0.46,0.5,1,"","",FALSE,FALSE,FALSE,FALSE,1,#N/A,1,1,FALSE,FALSE,#N/A,#N/A,FALSE,FALSE,FALSE,9,65532,65532,FALSE,FALSE,TRUE,TRUE,TRUE}</definedName>
    <definedName name="sadkrjkedft">{#N/A,#N/A,FALSE,"Plan1";#N/A,#N/A,FALSE,"Plan2"}</definedName>
    <definedName name="SADSRTR">{#N/A,#N/A,FALSE,"Plan1";#N/A,#N/A,FALSE,"Plan2"}</definedName>
    <definedName name="sadwde">{#N/A,#N/A,FALSE,"Plan1";#N/A,#N/A,FALSE,"Plan2"}</definedName>
    <definedName name="Salas">#REF!</definedName>
    <definedName name="sanjay">{#N/A,#N/A,FALSE,"TABLE"}</definedName>
    <definedName name="sapata">#REF!</definedName>
    <definedName name="SAPBEXrevision">14</definedName>
    <definedName name="SAPBEXsysID">"BW3"</definedName>
    <definedName name="SAPBEXwbID">"3SO04G3IWYENSZLK6QOKKYLB2"</definedName>
    <definedName name="SAS">{#N/A,#N/A,FALSE,"Plan1";#N/A,#N/A,FALSE,"Plan2"}</definedName>
    <definedName name="sasads">{#N/A,#N/A,FALSE,"Plan1";#N/A,#N/A,FALSE,"Plan2"}</definedName>
    <definedName name="SC">#REF!</definedName>
    <definedName name="sçadldfsfd">25</definedName>
    <definedName name="sda">#REF!</definedName>
    <definedName name="sdaer">{TRUE,TRUE,-1.25,-15.5,604.5,366.75,FALSE,FALSE,TRUE,TRUE,0,1,#N/A,1,#N/A,9.0125,24.4117647058824,1,FALSE,FALSE,3,TRUE,1,FALSE,100,"Swvu.PLANILHA2.","ACwvu.PLANILHA2.",#N/A,FALSE,FALSE,0.787401575,0.34,0.46,0.5,1,"","",FALSE,FALSE,FALSE,FALSE,1,#N/A,1,1,FALSE,FALSE,#N/A,#N/A,FALSE,FALSE,FALSE,9,65532,65532,FALSE,FALSE,TRUE,TRUE,TRUE}</definedName>
    <definedName name="SDAOTGFR">{#N/A,#N/A,FALSE,"Plan1";#N/A,#N/A,FALSE,"Plan2"}</definedName>
    <definedName name="sdckd">{#N/A,#N/A,FALSE,"Plan1";#N/A,#N/A,FALSE,"Plan2"}</definedName>
    <definedName name="SDDFKSEDE">{#N/A,#N/A,FALSE,"Plan1";#N/A,#N/A,FALSE,"Plan2"}</definedName>
    <definedName name="sddkslker">{#N/A,#N/A,FALSE,"Plan1";#N/A,#N/A,FALSE,"Plan2"}</definedName>
    <definedName name="sdefrr">{TRUE,TRUE,-1.25,-15.5,604.5,366.75,FALSE,FALSE,TRUE,TRUE,0,1,#N/A,1,#N/A,9.0125,24.4117647058824,1,FALSE,FALSE,3,TRUE,1,FALSE,100,"Swvu.PLANILHA2.","ACwvu.PLANILHA2.",#N/A,FALSE,FALSE,0.787401575,0.34,0.46,0.5,1,"","",FALSE,FALSE,FALSE,FALSE,1,#N/A,1,1,FALSE,FALSE,#N/A,#N/A,FALSE,FALSE,FALSE,9,65532,65532,FALSE,FALSE,TRUE,TRUE,TRUE}</definedName>
    <definedName name="sderj">{TRUE,TRUE,-1.25,-15.5,604.5,366.75,FALSE,FALSE,TRUE,TRUE,0,1,#N/A,1,#N/A,9.0125,24.4117647058824,1,FALSE,FALSE,3,TRUE,1,FALSE,100,"Swvu.PLANILHA2.","ACwvu.PLANILHA2.",#N/A,FALSE,FALSE,0.787401575,0.34,0.46,0.5,1,"","",FALSE,FALSE,FALSE,FALSE,1,#N/A,1,1,FALSE,FALSE,#N/A,#N/A,FALSE,FALSE,FALSE,9,65532,65532,FALSE,FALSE,TRUE,TRUE,TRUE}</definedName>
    <definedName name="sdert">#REF!</definedName>
    <definedName name="sdfd">{TRUE,TRUE,-1.25,-15.5,604.5,366.75,FALSE,FALSE,TRUE,TRUE,0,1,#N/A,1,#N/A,9.0125,24.4117647058824,1,FALSE,FALSE,3,TRUE,1,FALSE,100,"Swvu.PLANILHA2.","ACwvu.PLANILHA2.",#N/A,FALSE,FALSE,0.787401575,0.34,0.46,0.5,1,"","",FALSE,FALSE,FALSE,FALSE,1,#N/A,1,1,FALSE,FALSE,#N/A,#N/A,FALSE,FALSE,FALSE,9,65532,65532,FALSE,FALSE,TRUE,TRUE,TRUE}</definedName>
    <definedName name="sdfdds">{#N/A,#N/A,FALSE,"Plan1";#N/A,#N/A,FALSE,"Plan2"}</definedName>
    <definedName name="sdfdfc">{#N/A,#N/A,FALSE,"Plan1";#N/A,#N/A,FALSE,"Plan2"}</definedName>
    <definedName name="sdfdfr">{TRUE,TRUE,-1.25,-15.5,604.5,366.75,FALSE,FALSE,TRUE,TRUE,0,1,#N/A,1,#N/A,9.0125,24.4117647058824,1,FALSE,FALSE,3,TRUE,1,FALSE,100,"Swvu.PLANILHA2.","ACwvu.PLANILHA2.",#N/A,FALSE,FALSE,0.787401575,0.34,0.46,0.5,1,"","",FALSE,FALSE,FALSE,FALSE,1,#N/A,1,1,FALSE,FALSE,#N/A,#N/A,FALSE,FALSE,FALSE,9,65532,65532,FALSE,FALSE,TRUE,TRUE,TRUE}</definedName>
    <definedName name="sdfdgft">{#N/A,#N/A,FALSE,"Plan1";#N/A,#N/A,FALSE,"Plan2"}</definedName>
    <definedName name="sdfdsf">{#N/A,#N/A,FALSE,"Plan1";#N/A,#N/A,FALSE,"Plan2"}</definedName>
    <definedName name="sdfdsf\da" hidden="1">{#N/A,#N/A,FALSE,"Plan1";#N/A,#N/A,FALSE,"Plan2"}</definedName>
    <definedName name="SDFEDRT">{#N/A,#N/A,FALSE,"Plan1";#N/A,#N/A,FALSE,"Plan2"}</definedName>
    <definedName name="sdfer">{#N/A,#N/A,FALSE,"Plan1";#N/A,#N/A,FALSE,"Plan2"}</definedName>
    <definedName name="sdferr">{#N/A,#N/A,FALSE,"Plan1";#N/A,#N/A,FALSE,"Plan2"}</definedName>
    <definedName name="sdfet">{TRUE,TRUE,-1.25,-15.5,604.5,366.75,FALSE,FALSE,TRUE,TRUE,0,1,#N/A,1,#N/A,9.0125,24.4117647058824,1,FALSE,FALSE,3,TRUE,1,FALSE,100,"Swvu.PLANILHA2.","ACwvu.PLANILHA2.",#N/A,FALSE,FALSE,0.787401575,0.34,0.46,0.5,1,"","",FALSE,FALSE,FALSE,FALSE,1,#N/A,1,1,FALSE,FALSE,#N/A,#N/A,FALSE,FALSE,FALSE,9,65532,65532,FALSE,FALSE,TRUE,TRUE,TRUE}</definedName>
    <definedName name="SDFGJFSRF">{#N/A,#N/A,FALSE,"Plan1";#N/A,#N/A,FALSE,"Plan2"}</definedName>
    <definedName name="sdfgtr">{#N/A,#N/A,FALSE,"Plan1";#N/A,#N/A,FALSE,"Plan2"}</definedName>
    <definedName name="sdfjdetrt">{#N/A,#N/A,FALSE,"Plan1";#N/A,#N/A,FALSE,"Plan2"}</definedName>
    <definedName name="SDFJDRTJEIDR">{#N/A,#N/A,FALSE,"Plan1";#N/A,#N/A,FALSE,"Plan2"}</definedName>
    <definedName name="sdfjergtij">{#N/A,#N/A,FALSE,"Plan1";#N/A,#N/A,FALSE,"Plan2"}</definedName>
    <definedName name="SDFOPJKWE">{#N/A,#N/A,FALSE,"Plan1";#N/A,#N/A,FALSE,"Plan2"}</definedName>
    <definedName name="sdfrdt5">{TRUE,TRUE,-1.25,-15.5,604.5,366.75,FALSE,FALSE,TRUE,TRUE,0,1,#N/A,1,#N/A,9.0125,24.4117647058824,1,FALSE,FALSE,3,TRUE,1,FALSE,100,"Swvu.PLANILHA2.","ACwvu.PLANILHA2.",#N/A,FALSE,FALSE,0.787401575,0.34,0.46,0.5,1,"","",FALSE,FALSE,FALSE,FALSE,1,#N/A,1,1,FALSE,FALSE,#N/A,#N/A,FALSE,FALSE,FALSE,9,65532,65532,FALSE,FALSE,TRUE,TRUE,TRUE}</definedName>
    <definedName name="sdfrt">{#N/A,#N/A,FALSE,"Plan1";#N/A,#N/A,FALSE,"Plan2"}</definedName>
    <definedName name="SDFRTKK">{#N/A,#N/A,FALSE,"Plan1";#N/A,#N/A,FALSE,"Plan2"}</definedName>
    <definedName name="SDFRTR">{#N/A,#N/A,FALSE,"Plan1";#N/A,#N/A,FALSE,"Plan2"}</definedName>
    <definedName name="sdfry6">{#N/A,#N/A,FALSE,"Plan1";#N/A,#N/A,FALSE,"Plan2"}</definedName>
    <definedName name="sdfsaf">{#N/A,#N/A,FALSE,"Plan1";#N/A,#N/A,FALSE,"Plan2"}</definedName>
    <definedName name="sdfsd">{"'Estimativa de Lançamento-JAN'!$A$1:$AI$85"}</definedName>
    <definedName name="sdfsdfg">{#N/A,#N/A,FALSE,"Plan1";#N/A,#N/A,FALSE,"Plan2"}</definedName>
    <definedName name="SDFSDFK">{#N/A,#N/A,FALSE,"Plan1";#N/A,#N/A,FALSE,"Plan2"}</definedName>
    <definedName name="sdfsdgftret">{#N/A,#N/A,FALSE,"Plan1";#N/A,#N/A,FALSE,"Plan2"}</definedName>
    <definedName name="sdfsdr">1</definedName>
    <definedName name="sdfsf">{#N/A,#N/A,FALSE,"Plan1";#N/A,#N/A,FALSE,"Plan2"}</definedName>
    <definedName name="SDFSFRT">{"Econ Consolidado",#N/A,FALSE,"Econ Consol";"Fluxo de Caixa",#N/A,FALSE,"Fluxo Caixa";"Investimentos",#N/A,FALSE,"Investimentos"}</definedName>
    <definedName name="sdfsr">{#N/A,#N/A,FALSE,"Plan1";#N/A,#N/A,FALSE,"Plan2"}</definedName>
    <definedName name="sdfty">{#N/A,#N/A,FALSE,"Plan1";#N/A,#N/A,FALSE,"Plan2"}</definedName>
    <definedName name="sdgdf">{#N/A,#N/A,FALSE,"Plan1";#N/A,#N/A,FALSE,"Plan2"}</definedName>
    <definedName name="sdgfrt">{#N/A,#N/A,FALSE,"Plan1";#N/A,#N/A,FALSE,"Plan2"}</definedName>
    <definedName name="sdgft">{#N/A,#N/A,FALSE,"Plan1";#N/A,#N/A,FALSE,"Plan2"}</definedName>
    <definedName name="sdgt">{#N/A,#N/A,FALSE,"Plan1";#N/A,#N/A,FALSE,"Plan2"}</definedName>
    <definedName name="sdgtry">#REF!</definedName>
    <definedName name="sdhfghdsfg">{#N/A,#N/A,FALSE,"Plan1";#N/A,#N/A,FALSE,"Plan2"}</definedName>
    <definedName name="SDHFJKHDFJRE">{#N/A,#N/A,FALSE,"Plan1";#N/A,#N/A,FALSE,"Plan2"}</definedName>
    <definedName name="SDHKFDRKGTR">{#N/A,#N/A,FALSE,"Plan1";#N/A,#N/A,FALSE,"Plan2"}</definedName>
    <definedName name="sdjdswger">{#N/A,#N/A,FALSE,"Plan1";#N/A,#N/A,FALSE,"Plan2"}</definedName>
    <definedName name="sdjfdf">{#N/A,#N/A,FALSE,"Plan1";#N/A,#N/A,FALSE,"Plan2"}</definedName>
    <definedName name="sdjfhdjk">{#N/A,#N/A,FALSE,"Plan1";#N/A,#N/A,FALSE,"Plan2"}</definedName>
    <definedName name="SDJFJDER">{#N/A,#N/A,FALSE,"Plan1";#N/A,#N/A,FALSE,"Plan2"}</definedName>
    <definedName name="sdjflsdjfl">{#N/A,#N/A,FALSE,"Plan1";#N/A,#N/A,FALSE,"Plan2"}</definedName>
    <definedName name="SDJHF">{#N/A,#N/A,FALSE,"Plan1";#N/A,#N/A,FALSE,"Plan2"}</definedName>
    <definedName name="sdjrderertrr">{#N/A,#N/A,FALSE,"Plan1";#N/A,#N/A,FALSE,"Plan2"}</definedName>
    <definedName name="sdkdjk">{#N/A,#N/A,FALSE,"Plan1";#N/A,#N/A,FALSE,"Plan2"}</definedName>
    <definedName name="sdkfjhkdgfhk">{TRUE,TRUE,-1.25,-15.5,604.5,366.75,FALSE,FALSE,TRUE,TRUE,0,1,#N/A,1,#N/A,9.0125,24.4117647058824,1,FALSE,FALSE,3,TRUE,1,FALSE,100,"Swvu.PLANILHA2.","ACwvu.PLANILHA2.",#N/A,FALSE,FALSE,0.787401575,0.34,0.46,0.5,1,"","",FALSE,FALSE,FALSE,FALSE,1,#N/A,1,1,FALSE,FALSE,#N/A,#N/A,FALSE,FALSE,FALSE,9,65532,65532,FALSE,FALSE,TRUE,TRUE,TRUE}</definedName>
    <definedName name="sdkfnjd">{#N/A,#N/A,FALSE,"Plan1";#N/A,#N/A,FALSE,"Plan2"}</definedName>
    <definedName name="sdkk">{#N/A,#N/A,FALSE,"Plan1";#N/A,#N/A,FALSE,"Plan2"}</definedName>
    <definedName name="sdlfsdflj">{#N/A,#N/A,FALSE,"Plan1";#N/A,#N/A,FALSE,"Plan2"}</definedName>
    <definedName name="sdmfmdfsgfd">{#N/A,#N/A,FALSE,"Plan1";#N/A,#N/A,FALSE,"Plan2"}</definedName>
    <definedName name="sdr">{TRUE,TRUE,-1.25,-15.5,604.5,366.75,FALSE,FALSE,TRUE,TRUE,0,1,#N/A,1,#N/A,9.0125,24.4117647058824,1,FALSE,FALSE,3,TRUE,1,FALSE,100,"Swvu.PLANILHA2.","ACwvu.PLANILHA2.",#N/A,FALSE,FALSE,0.787401575,0.34,0.46,0.5,1,"","",FALSE,FALSE,FALSE,FALSE,1,#N/A,1,1,FALSE,FALSE,#N/A,#N/A,FALSE,FALSE,FALSE,9,65532,65532,FALSE,FALSE,TRUE,TRUE,TRUE}</definedName>
    <definedName name="sdrfgt">{#N/A,#N/A,FALSE,"Plan1";#N/A,#N/A,FALSE,"Plan2"}</definedName>
    <definedName name="sdsd">{#N/A,#N/A,FALSE,"Plan1";#N/A,#N/A,FALSE,"Plan2"}</definedName>
    <definedName name="sdser">{#N/A,#N/A,FALSE,"Plan1";#N/A,#N/A,FALSE,"Plan2"}</definedName>
    <definedName name="sdsre">{#N/A,#N/A,FALSE,"Plan1";#N/A,#N/A,FALSE,"Plan2"}</definedName>
    <definedName name="sdss">{#N/A,#N/A,FALSE,"Plan1";#N/A,#N/A,FALSE,"Plan2"}</definedName>
    <definedName name="sdtrtg">#REF!</definedName>
    <definedName name="sdusi">{TRUE,TRUE,-1.25,-15.5,604.5,366.75,FALSE,FALSE,TRUE,TRUE,0,1,#N/A,1,#N/A,9.0125,24.4117647058824,1,FALSE,FALSE,3,TRUE,1,FALSE,100,"Swvu.PLANILHA2.","ACwvu.PLANILHA2.",#N/A,FALSE,FALSE,0.787401575,0.34,0.46,0.5,1,"","",FALSE,FALSE,FALSE,FALSE,1,#N/A,1,1,FALSE,FALSE,#N/A,#N/A,FALSE,FALSE,FALSE,9,65532,65532,FALSE,FALSE,TRUE,TRUE,TRUE}</definedName>
    <definedName name="SDWER">{"Econ Consolidado",#N/A,FALSE,"Econ Consol";"Fluxo de Caixa",#N/A,FALSE,"Fluxo Caixa";"Investimentos",#N/A,FALSE,"Investimentos"}</definedName>
    <definedName name="sdxfrt">{#N/A,#N/A,FALSE,"Plan1";#N/A,#N/A,FALSE,"Plan2"}</definedName>
    <definedName name="SDZFERF">{#N/A,#N/A,FALSE,"Plan1";#N/A,#N/A,FALSE,"Plan2"}</definedName>
    <definedName name="se">#REF!</definedName>
    <definedName name="SEDE">#REF!</definedName>
    <definedName name="sefret4rt">{TRUE,TRUE,-1.25,-15.5,604.5,366.75,FALSE,FALSE,TRUE,TRUE,0,1,#N/A,1,#N/A,9.0125,24.4117647058824,1,FALSE,FALSE,3,TRUE,1,FALSE,100,"Swvu.PLANILHA2.","ACwvu.PLANILHA2.",#N/A,FALSE,FALSE,0.787401575,0.34,0.46,0.5,1,"","",FALSE,FALSE,FALSE,FALSE,1,#N/A,1,1,FALSE,FALSE,#N/A,#N/A,FALSE,FALSE,FALSE,9,65532,65532,FALSE,FALSE,TRUE,TRUE,TRUE}</definedName>
    <definedName name="SEG">#REF!</definedName>
    <definedName name="segftru">{#N/A,#N/A,FALSE,"Plan1";#N/A,#N/A,FALSE,"Plan2"}</definedName>
    <definedName name="SegmentaçãodeDados_UF1">""</definedName>
    <definedName name="SegmentaçãodeDados_UF11">""</definedName>
    <definedName name="SegmentaçãodeDados_UF12">""</definedName>
    <definedName name="SEIS">#REF!</definedName>
    <definedName name="sencount">3</definedName>
    <definedName name="SEQUENCIA">#REF!</definedName>
    <definedName name="SEREWRSWE">{"tabela",#N/A,FALSE,"Tabela";"decoração",#N/A,FALSE,"Decor.";"Informações",#N/A,FALSE,"Inform."}</definedName>
    <definedName name="Set_17">#REF!</definedName>
    <definedName name="SETE">#REF!</definedName>
    <definedName name="SETEMBRO">#REF!</definedName>
    <definedName name="setRJ17">#REF!</definedName>
    <definedName name="severo">#REF!</definedName>
    <definedName name="sf">{#N/A,#N/A,FALSE,"Plan1";#N/A,#N/A,FALSE,"Plan2"}</definedName>
    <definedName name="sfcrert">{TRUE,TRUE,-1.25,-15.5,604.5,366.75,FALSE,FALSE,TRUE,TRUE,0,1,#N/A,1,#N/A,9.0125,24.4117647058824,1,FALSE,FALSE,3,TRUE,1,FALSE,100,"Swvu.PLANILHA2.","ACwvu.PLANILHA2.",#N/A,FALSE,FALSE,0.787401575,0.34,0.46,0.5,1,"","",FALSE,FALSE,FALSE,FALSE,1,#N/A,1,1,FALSE,FALSE,#N/A,#N/A,FALSE,FALSE,FALSE,9,65532,65532,FALSE,FALSE,TRUE,TRUE,TRUE}</definedName>
    <definedName name="sfddfd">{#N/A,#N/A,FALSE,"Plan1";#N/A,#N/A,FALSE,"Plan2"}</definedName>
    <definedName name="sfds">{#N/A,#N/A,FALSE,"Plan1";#N/A,#N/A,FALSE,"Plan2"}</definedName>
    <definedName name="sfdsd">{#N/A,#N/A,FALSE,"Plan1";#N/A,#N/A,FALSE,"Plan2"}</definedName>
    <definedName name="SFDSF">34</definedName>
    <definedName name="sfrsdrgt">{#N/A,#N/A,FALSE,"Plan1";#N/A,#N/A,FALSE,"Plan2"}</definedName>
    <definedName name="SFRT">{#N/A,#N/A,FALSE,"Plan1";#N/A,#N/A,FALSE,"Plan2"}</definedName>
    <definedName name="sfsdferf">{#N/A,#N/A,FALSE,"Plan1";#N/A,#N/A,FALSE,"Plan2"}</definedName>
    <definedName name="sfsdfs">34</definedName>
    <definedName name="SFSDS">{#N/A,#N/A,FALSE,"Plan1";#N/A,#N/A,FALSE,"Plan2"}</definedName>
    <definedName name="SGarantia">#REF!</definedName>
    <definedName name="sgtghty">{#N/A,#N/A,FALSE,"Plan1";#N/A,#N/A,FALSE,"Plan2"}</definedName>
    <definedName name="SH">{#N/A,#N/A,FALSE,"GERAL";#N/A,#N/A,FALSE,"012-96";#N/A,#N/A,FALSE,"018-96";#N/A,#N/A,FALSE,"027-96";#N/A,#N/A,FALSE,"059-96";#N/A,#N/A,FALSE,"076-96";#N/A,#N/A,FALSE,"019-97";#N/A,#N/A,FALSE,"021-97";#N/A,#N/A,FALSE,"022-97";#N/A,#N/A,FALSE,"028-97"}</definedName>
    <definedName name="SHARED_FORMULA_0">#REF!</definedName>
    <definedName name="SHARED_FORMULA_1">#REF!</definedName>
    <definedName name="SHARED_FORMULA_10">#REF!</definedName>
    <definedName name="SHARED_FORMULA_11">#REF!</definedName>
    <definedName name="SHARED_FORMULA_12">#REF!</definedName>
    <definedName name="SHARED_FORMULA_13">#REF!</definedName>
    <definedName name="SHARED_FORMULA_14">#REF!</definedName>
    <definedName name="SHARED_FORMULA_15">#REF!</definedName>
    <definedName name="SHARED_FORMULA_16">#REF!</definedName>
    <definedName name="SHARED_FORMULA_17">#REF!</definedName>
    <definedName name="SHARED_FORMULA_18">#REF!</definedName>
    <definedName name="SHARED_FORMULA_19">#REF!</definedName>
    <definedName name="SHARED_FORMULA_2">#REF!</definedName>
    <definedName name="SHARED_FORMULA_20">#REF!</definedName>
    <definedName name="SHARED_FORMULA_21">#REF!</definedName>
    <definedName name="SHARED_FORMULA_22">#REF!</definedName>
    <definedName name="SHARED_FORMULA_23">#REF!</definedName>
    <definedName name="SHARED_FORMULA_24">#REF!</definedName>
    <definedName name="SHARED_FORMULA_25">#REF!</definedName>
    <definedName name="SHARED_FORMULA_26">#REF!</definedName>
    <definedName name="SHARED_FORMULA_27">#REF!</definedName>
    <definedName name="SHARED_FORMULA_28">#REF!</definedName>
    <definedName name="SHARED_FORMULA_29">#REF!</definedName>
    <definedName name="SHARED_FORMULA_3">#REF!</definedName>
    <definedName name="SHARED_FORMULA_30">#REF!</definedName>
    <definedName name="SHARED_FORMULA_31">#REF!</definedName>
    <definedName name="SHARED_FORMULA_32">#REF!</definedName>
    <definedName name="SHARED_FORMULA_33">#REF!</definedName>
    <definedName name="SHARED_FORMULA_34">#REF!</definedName>
    <definedName name="SHARED_FORMULA_35">#REF!</definedName>
    <definedName name="SHARED_FORMULA_36">#REF!</definedName>
    <definedName name="SHARED_FORMULA_37">#REF!</definedName>
    <definedName name="SHARED_FORMULA_38">#REF!</definedName>
    <definedName name="SHARED_FORMULA_39">#REF!</definedName>
    <definedName name="SHARED_FORMULA_4">#REF!</definedName>
    <definedName name="SHARED_FORMULA_40">#REF!</definedName>
    <definedName name="SHARED_FORMULA_41">#REF!</definedName>
    <definedName name="SHARED_FORMULA_42">#REF!</definedName>
    <definedName name="SHARED_FORMULA_43">#REF!</definedName>
    <definedName name="SHARED_FORMULA_44">#REF!</definedName>
    <definedName name="SHARED_FORMULA_45">#REF!</definedName>
    <definedName name="SHARED_FORMULA_46">#REF!</definedName>
    <definedName name="SHARED_FORMULA_47">#REF!</definedName>
    <definedName name="SHARED_FORMULA_48">#REF!</definedName>
    <definedName name="SHARED_FORMULA_49">#REF!</definedName>
    <definedName name="SHARED_FORMULA_5">#REF!</definedName>
    <definedName name="SHARED_FORMULA_50">#REF!</definedName>
    <definedName name="SHARED_FORMULA_51">#REF!</definedName>
    <definedName name="SHARED_FORMULA_52">#REF!</definedName>
    <definedName name="SHARED_FORMULA_53">#REF!</definedName>
    <definedName name="SHARED_FORMULA_54">#REF!</definedName>
    <definedName name="SHARED_FORMULA_55">#REF!</definedName>
    <definedName name="SHARED_FORMULA_56">#REF!</definedName>
    <definedName name="SHARED_FORMULA_57">#REF!</definedName>
    <definedName name="SHARED_FORMULA_58">#REF!</definedName>
    <definedName name="SHARED_FORMULA_59">#REF!</definedName>
    <definedName name="SHARED_FORMULA_6">#REF!</definedName>
    <definedName name="SHARED_FORMULA_60">#REF!</definedName>
    <definedName name="SHARED_FORMULA_61">#REF!</definedName>
    <definedName name="SHARED_FORMULA_62">#REF!</definedName>
    <definedName name="SHARED_FORMULA_7">#REF!</definedName>
    <definedName name="SHARED_FORMULA_8">#REF!</definedName>
    <definedName name="SHARED_FORMULA_9">#REF!</definedName>
    <definedName name="SIH">#REF!</definedName>
    <definedName name="SISTEM1">#REF!</definedName>
    <definedName name="SISTEM2">#REF!</definedName>
    <definedName name="SIV">#REF!</definedName>
    <definedName name="sjawe">{#N/A,#N/A,FALSE,"Plan1";#N/A,#N/A,FALSE,"Plan2"}</definedName>
    <definedName name="sjdffd">{#N/A,#N/A,FALSE,"Plan1";#N/A,#N/A,FALSE,"Plan2"}</definedName>
    <definedName name="SJDFHDJSF">{TRUE,TRUE,-1.25,-15.5,604.5,366.75,FALSE,FALSE,TRUE,TRUE,0,1,#N/A,1,#N/A,9.0125,24.4117647058824,1,FALSE,FALSE,3,TRUE,1,FALSE,100,"Swvu.PLANILHA2.","ACwvu.PLANILHA2.",#N/A,FALSE,FALSE,0.787401575,0.34,0.46,0.5,1,"","",FALSE,FALSE,FALSE,FALSE,1,#N/A,1,1,FALSE,FALSE,#N/A,#N/A,FALSE,FALSE,FALSE,9,65532,65532,FALSE,FALSE,TRUE,TRUE,TRUE}</definedName>
    <definedName name="SJDHFHRE">{#N/A,#N/A,FALSE,"Plan1";#N/A,#N/A,FALSE,"Plan2"}</definedName>
    <definedName name="SJDKJDE">{"Econ Consolidado",#N/A,FALSE,"Econ Consol";"Fluxo de Caixa",#N/A,FALSE,"Fluxo Caixa";"Investimentos",#N/A,FALSE,"Investimentos"}</definedName>
    <definedName name="sjekwjri">{#N/A,#N/A,FALSE,"Plan1";#N/A,#N/A,FALSE,"Plan2"}</definedName>
    <definedName name="sjfkdhsfds">{#N/A,#N/A,FALSE,"Plan1";#N/A,#N/A,FALSE,"Plan2"}</definedName>
    <definedName name="sjkdljslkrje">{#N/A,#N/A,FALSE,"Plan1";#N/A,#N/A,FALSE,"Plan2"}</definedName>
    <definedName name="skadadaszs">{#N/A,#N/A,FALSE,"Plan1";#N/A,#N/A,FALSE,"Plan2"}</definedName>
    <definedName name="SKASH">{#N/A,#N/A,FALSE,"Plan1";#N/A,#N/A,FALSE,"Plan2"}</definedName>
    <definedName name="skldfrde">{#N/A,#N/A,FALSE,"Plan1";#N/A,#N/A,FALSE,"Plan2"}</definedName>
    <definedName name="skosroer">{#N/A,#N/A,FALSE,"Plan1";#N/A,#N/A,FALSE,"Plan2"}</definedName>
    <definedName name="SO">#REF!</definedName>
    <definedName name="solver_lin">0</definedName>
    <definedName name="solver_num">0</definedName>
    <definedName name="solver_rel1">3</definedName>
    <definedName name="solver_rhs1">0</definedName>
    <definedName name="solver_tmp">0</definedName>
    <definedName name="solver_typ">1</definedName>
    <definedName name="solver_val">0</definedName>
    <definedName name="soma">#REF!</definedName>
    <definedName name="sp">{#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ARE">{#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QEWWE">{#N/A,#N/A,FALSE,"Plan1";#N/A,#N/A,FALSE,"Plan2"}</definedName>
    <definedName name="SR">#REF!</definedName>
    <definedName name="SRH">{#N/A,#N/A,FALSE,"GERAL";#N/A,#N/A,FALSE,"012-96";#N/A,#N/A,FALSE,"018-96";#N/A,#N/A,FALSE,"027-96";#N/A,#N/A,FALSE,"059-96";#N/A,#N/A,FALSE,"076-96";#N/A,#N/A,FALSE,"019-97";#N/A,#N/A,FALSE,"021-97";#N/A,#N/A,FALSE,"022-97";#N/A,#N/A,FALSE,"028-97"}</definedName>
    <definedName name="SRTSRT">{#N/A,#N/A,FALSE,"GERAL";#N/A,#N/A,FALSE,"012-96";#N/A,#N/A,FALSE,"018-96";#N/A,#N/A,FALSE,"027-96";#N/A,#N/A,FALSE,"059-96";#N/A,#N/A,FALSE,"076-96";#N/A,#N/A,FALSE,"019-97";#N/A,#N/A,FALSE,"021-97";#N/A,#N/A,FALSE,"022-97";#N/A,#N/A,FALSE,"028-97"}</definedName>
    <definedName name="SRTST">{#N/A,#N/A,FALSE,"GERAL";#N/A,#N/A,FALSE,"012-96";#N/A,#N/A,FALSE,"018-96";#N/A,#N/A,FALSE,"027-96";#N/A,#N/A,FALSE,"059-96";#N/A,#N/A,FALSE,"076-96";#N/A,#N/A,FALSE,"019-97";#N/A,#N/A,FALSE,"021-97";#N/A,#N/A,FALSE,"022-97";#N/A,#N/A,FALSE,"028-97"}</definedName>
    <definedName name="SS">#REF!</definedName>
    <definedName name="sssss">#REF!</definedName>
    <definedName name="stake_cury">#REF!</definedName>
    <definedName name="status_projeto">OFFSET(INDEX(#REF!,MATCH(#REF!,#REF!,0)),1,0,COUNTA(#REF!)-1)</definedName>
    <definedName name="SUB_TOTAL_1">#REF!</definedName>
    <definedName name="SUBDER">#REF!</definedName>
    <definedName name="SUBDIV">#REF!</definedName>
    <definedName name="SUBEQP">#REF!</definedName>
    <definedName name="SUBMUR">#REF!</definedName>
    <definedName name="summ">#REF!</definedName>
    <definedName name="susref">#REF!</definedName>
    <definedName name="Swvu.Características.">#REF!</definedName>
    <definedName name="Swvu.Ciclos.">#REF!</definedName>
    <definedName name="Swvu.Custos.">#REF!</definedName>
    <definedName name="Swvu.PLANILHA2.">#REF!</definedName>
    <definedName name="Swvu.Recursos.">#REF!</definedName>
    <definedName name="T_actual">#REF!</definedName>
    <definedName name="t_cc">#REF!</definedName>
    <definedName name="t_KSB1_Transport">#REF!</definedName>
    <definedName name="tab">{TRUE,TRUE,-1.25,-15.5,604.5,366.75,FALSE,FALSE,TRUE,TRUE,0,1,#N/A,1,#N/A,9.0125,24.4117647058824,1,FALSE,FALSE,3,TRUE,1,FALSE,100,"Swvu.PLANILHA2.","ACwvu.PLANILHA2.",#N/A,FALSE,FALSE,0.787401575,0.34,0.46,0.5,1,"","",FALSE,FALSE,FALSE,FALSE,1,#N/A,1,1,FALSE,FALSE,#N/A,#N/A,FALSE,FALSE,FALSE,9,65532,65532,FALSE,FALSE,TRUE,TRUE,TRUE}</definedName>
    <definedName name="TAB_GASTOS">#REF!</definedName>
    <definedName name="TABACABAMENTOS">#REF!</definedName>
    <definedName name="tabela">#REF!</definedName>
    <definedName name="Tabela_Atribuição">#REF!</definedName>
    <definedName name="TABELA_DE_REVESTIMENTOS">#REF!</definedName>
    <definedName name="Tabela_Recursos">#REF!</definedName>
    <definedName name="Tabela_Tarefas">#REF!</definedName>
    <definedName name="Tabela1">#REF!</definedName>
    <definedName name="Tabela2">#REF!</definedName>
    <definedName name="tabela3">#REF!</definedName>
    <definedName name="TABREF">#REF!</definedName>
    <definedName name="tania">#REF!</definedName>
    <definedName name="TAUX2">OFFSET(#REF!,0,0,COUNTA(#REF!)+1,1)</definedName>
    <definedName name="TAUX3">OFFSET(#REF!,0,0,COUNTA(#REF!)+1,1)</definedName>
    <definedName name="TAXA_VENTO">#REF!</definedName>
    <definedName name="TAXAS">#REF!</definedName>
    <definedName name="TbDin">OFFSET(#REF!,0,0,COUNTA(#REF!),13)</definedName>
    <definedName name="tc">#REF!</definedName>
    <definedName name="TE">#REF!</definedName>
    <definedName name="TECLA">#REF!</definedName>
    <definedName name="Tendência_Obra_Controladoria">#REF!</definedName>
    <definedName name="TERRENO">#REF!</definedName>
    <definedName name="Test">{"'Edit'!$A$1:$V$2277"}</definedName>
    <definedName name="TESTANDO">{#N/A,#N/A,TRUE,"Quinzena 01 à 15-04-98 "}</definedName>
    <definedName name="teste">#REF!</definedName>
    <definedName name="teste1">{#N/A,#N/A,FALSE,"GERAL";#N/A,#N/A,FALSE,"012-96";#N/A,#N/A,FALSE,"018-96";#N/A,#N/A,FALSE,"027-96";#N/A,#N/A,FALSE,"059-96";#N/A,#N/A,FALSE,"076-96";#N/A,#N/A,FALSE,"019-97";#N/A,#N/A,FALSE,"021-97";#N/A,#N/A,FALSE,"022-97";#N/A,#N/A,FALSE,"028-97"}</definedName>
    <definedName name="teste3">#REF!</definedName>
    <definedName name="TESTHKEY">#REF!</definedName>
    <definedName name="teto1">#REF!</definedName>
    <definedName name="Teto2">#REF!</definedName>
    <definedName name="tetuytw">#REF!</definedName>
    <definedName name="TextRefCopyRangeCount">1</definedName>
    <definedName name="thjgsergsr">{#N/A,#N/A,FALSE,"Plan1";#N/A,#N/A,FALSE,"Plan2"}</definedName>
    <definedName name="THYJ">{#N/A,#N/A,FALSE,"Plan1";#N/A,#N/A,FALSE,"Plan2"}</definedName>
    <definedName name="tihjgih">{#N/A,#N/A,FALSE,"Plan1";#N/A,#N/A,FALSE,"Plan2"}</definedName>
    <definedName name="TIPO_CTT">#REF!</definedName>
    <definedName name="Tipo_de_Diretoria">#REF!</definedName>
    <definedName name="Tipo_de_Gestao">#REF!</definedName>
    <definedName name="Tipo_de_Padrao">#REF!</definedName>
    <definedName name="Tipo_de_Regiao">#REF!</definedName>
    <definedName name="Tipo_de_Segmento">#REF!</definedName>
    <definedName name="Tipo_de_Status">#REF!</definedName>
    <definedName name="Tipo_de_UF">#REF!</definedName>
    <definedName name="Tipo_de_Unidade_de_Negocio">#REF!</definedName>
    <definedName name="Tipo_do_cliente">#REF!</definedName>
    <definedName name="tipo_subtotal">#REF!</definedName>
    <definedName name="tipobloco">#REF!</definedName>
    <definedName name="titbeb">#REF!</definedName>
    <definedName name="TITCHAF">#REF!</definedName>
    <definedName name="TituloMkt">#REF!</definedName>
    <definedName name="titulos">#REF!</definedName>
    <definedName name="Títulos_impressão_IM">#REF!</definedName>
    <definedName name="TMO">#REF!</definedName>
    <definedName name="TOLTAL2">#REF!</definedName>
    <definedName name="TOT">#REF!</definedName>
    <definedName name="tot3estac">#REF!</definedName>
    <definedName name="TOTAIS">#REF!</definedName>
    <definedName name="Total">#REF!</definedName>
    <definedName name="Total_2016_Rel_Controladoria">#REF!</definedName>
    <definedName name="Total_Parcelas_MAP">#REF!</definedName>
    <definedName name="total_unid">#REF!</definedName>
    <definedName name="TOTAL1">#REF!</definedName>
    <definedName name="TOTAL10">#REF!</definedName>
    <definedName name="TOTAL11">#REF!</definedName>
    <definedName name="TOTAL12">#REF!</definedName>
    <definedName name="TOTAL13">#REF!</definedName>
    <definedName name="TOTAL14">#REF!</definedName>
    <definedName name="TOTAL15">#REF!</definedName>
    <definedName name="TOTAL16">#REF!</definedName>
    <definedName name="TOTAL2">#REF!</definedName>
    <definedName name="TOTAL3">#REF!</definedName>
    <definedName name="TOTAL4">#REF!</definedName>
    <definedName name="TOTAL5">#REF!</definedName>
    <definedName name="TOTAL6">#REF!</definedName>
    <definedName name="TOTAL7">#REF!</definedName>
    <definedName name="TOTAL8">#REF!</definedName>
    <definedName name="TOTAL9">#REF!</definedName>
    <definedName name="TOTALITEM">#REF!</definedName>
    <definedName name="totbase">#REF!</definedName>
    <definedName name="totestaca">#REF!</definedName>
    <definedName name="TOTG">OFFSET(#REF!,0,0,COUNTA(#REF!),1)</definedName>
    <definedName name="totperfura">#REF!</definedName>
    <definedName name="TOTQTS">#REF!</definedName>
    <definedName name="TOTT">OFFSET(#REF!,0,0,COUNTA(#REF!)+1,1)</definedName>
    <definedName name="TR">#REF!</definedName>
    <definedName name="Transferencia1">#REF!</definedName>
    <definedName name="TRES">#REF!</definedName>
    <definedName name="TREZE">#REF!</definedName>
    <definedName name="tri">#REF!</definedName>
    <definedName name="Trimestre_data_base">#REF!</definedName>
    <definedName name="trjyidih">{#N/A,#N/A,FALSE,"Plan1";#N/A,#N/A,FALSE,"Plan2"}</definedName>
    <definedName name="TRP">#REF!</definedName>
    <definedName name="TTT">#REF!</definedName>
    <definedName name="TURNO">#REF!</definedName>
    <definedName name="tuyedjsksj">{#N/A,#N/A,FALSE,"Plan1";#N/A,#N/A,FALSE,"Plan2"}</definedName>
    <definedName name="TX_ADM">#REF!</definedName>
    <definedName name="tx_desconto_real">#REF!</definedName>
    <definedName name="TxAplicMes">#REF!</definedName>
    <definedName name="TxCdiMes">#REF!</definedName>
    <definedName name="TxDescMes">#REF!</definedName>
    <definedName name="TxSecuritizacaoMes">#REF!</definedName>
    <definedName name="TxSfhEco">#REF!</definedName>
    <definedName name="TxSfhMap">#REF!</definedName>
    <definedName name="TXTEQUIP">#REF!</definedName>
    <definedName name="TXTMARCA">#REF!</definedName>
    <definedName name="TXTMOD">#REF!</definedName>
    <definedName name="TXTPOT">#REF!</definedName>
    <definedName name="TYHGFHFHG">{#N/A,#N/A,FALSE,"Plan1";#N/A,#N/A,FALSE,"Plan2"}</definedName>
    <definedName name="u">{#N/A,#N/A,FALSE,"ET-CAPA";#N/A,#N/A,FALSE,"ET-PAG1";#N/A,#N/A,FALSE,"ET-PAG2";#N/A,#N/A,FALSE,"ET-PAG3";#N/A,#N/A,FALSE,"ET-PAG4";#N/A,#N/A,FALSE,"ET-PAG5"}</definedName>
    <definedName name="udhgfhfg">{#N/A,#N/A,FALSE,"Plan1";#N/A,#N/A,FALSE,"Plan2"}</definedName>
    <definedName name="ueiutriuef">{#N/A,#N/A,FALSE,"Plan1";#N/A,#N/A,FALSE,"Plan2"}</definedName>
    <definedName name="UENSIT">#REF!</definedName>
    <definedName name="UENSITS">#REF!</definedName>
    <definedName name="UHGSDUS">{#N/A,#N/A,FALSE,"Plan1";#N/A,#N/A,FALSE,"Plan2"}</definedName>
    <definedName name="UI">#REF!</definedName>
    <definedName name="UIHWER45R">{#N/A,#N/A,FALSE,"Plan1";#N/A,#N/A,FALSE,"Plan2"}</definedName>
    <definedName name="uiosderuiu">{#N/A,#N/A,FALSE,"Plan1";#N/A,#N/A,FALSE,"Plan2"}</definedName>
    <definedName name="UIOURET">{#N/A,#N/A,FALSE,"Plan1";#N/A,#N/A,FALSE,"Plan2"}</definedName>
    <definedName name="uiwuer">{#N/A,#N/A,FALSE,"Plan1";#N/A,#N/A,FALSE,"Plan2"}</definedName>
    <definedName name="UKHDFDSGUDFKD">{#N/A,#N/A,FALSE,"Plan1";#N/A,#N/A,FALSE,"Plan2"}</definedName>
    <definedName name="UM">#REF!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D">OFFSET(#REF!,0,0,COUNTA(#REF!),1)</definedName>
    <definedName name="unit">{#N/A,#N/A,FALSE,"GERAL";#N/A,#N/A,FALSE,"012-96";#N/A,#N/A,FALSE,"018-96";#N/A,#N/A,FALSE,"027-96";#N/A,#N/A,FALSE,"059-96";#N/A,#N/A,FALSE,"076-96";#N/A,#N/A,FALSE,"019-97";#N/A,#N/A,FALSE,"021-97";#N/A,#N/A,FALSE,"022-97";#N/A,#N/A,FALSE,"028-97"}</definedName>
    <definedName name="univ_cdi">#REF!</definedName>
    <definedName name="univ_hist">#REF!</definedName>
    <definedName name="univ_uss">#REF!</definedName>
    <definedName name="UPS">{#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uryrtyt">{#N/A,#N/A,FALSE,"Plan1";#N/A,#N/A,FALSE,"Plan2"}</definedName>
    <definedName name="V">#REF!</definedName>
    <definedName name="VALIDADE_EXECUÇÃO">#REF!</definedName>
    <definedName name="Valor_PLS_Controladoria">#REF!</definedName>
    <definedName name="Valor_Previsto_Fin_Medições">#REF!</definedName>
    <definedName name="VALOR_REAIS">#REF!</definedName>
    <definedName name="Valor_Recebido_Fin_Medições">#REF!</definedName>
    <definedName name="Valor_Sienge">#REF!</definedName>
    <definedName name="VALOR_VENDA">#REF!</definedName>
    <definedName name="valores_diferidos">#REF!</definedName>
    <definedName name="valve">{#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VAOS">#REF!</definedName>
    <definedName name="vdsgfrhgfr">{#N/A,#N/A,FALSE,"Plan1";#N/A,#N/A,FALSE,"Plan2"}</definedName>
    <definedName name="Veiculos">#REF!</definedName>
    <definedName name="VENDA_ADOTADA">#REF!</definedName>
    <definedName name="VENDAFINAL_R">#REF!</definedName>
    <definedName name="VENDAFINAL_U">#REF!</definedName>
    <definedName name="Vendas">#REF!</definedName>
    <definedName name="vendas_">#REF!</definedName>
    <definedName name="VERIFICAR">{#N/A,#N/A,TRUE,"Quinzena 01 à 15-04-98 "}</definedName>
    <definedName name="versao_estudo">#REF!</definedName>
    <definedName name="vfbg">#REF!</definedName>
    <definedName name="vfnijfd">{TRUE,TRUE,-1.25,-15.5,604.5,366.75,FALSE,FALSE,TRUE,TRUE,0,1,#N/A,1,#N/A,9.0125,24.4117647058824,1,FALSE,FALSE,3,TRUE,1,FALSE,100,"Swvu.PLANILHA2.","ACwvu.PLANILHA2.",#N/A,FALSE,FALSE,0.787401575,0.34,0.46,0.5,1,"","",FALSE,FALSE,FALSE,FALSE,1,#N/A,1,1,FALSE,FALSE,#N/A,#N/A,FALSE,FALSE,FALSE,9,65532,65532,FALSE,FALSE,TRUE,TRUE,TRUE}</definedName>
    <definedName name="VFV">{#N/A,#N/A,FALSE,"Plan1";#N/A,#N/A,FALSE,"Plan2"}</definedName>
    <definedName name="VI">#REF!</definedName>
    <definedName name="VINTE">#REF!</definedName>
    <definedName name="visao_cashflow">#REF!</definedName>
    <definedName name="visao_VL">#REF!</definedName>
    <definedName name="vl_cd">#REF!</definedName>
    <definedName name="vl_k1">#REF!</definedName>
    <definedName name="vl_k2">#REF!</definedName>
    <definedName name="vl_k3">#REF!</definedName>
    <definedName name="vld_classificacao">IF(#REF!="Ativa",OFFSET(INDEX(rng_list_classificacao,MATCH(#REF!,rng_list_classificacao,0)),1,0,COUNTA(rng_list_classificacao)-1),#REF!)</definedName>
    <definedName name="vld_regional">OFFSET(INDEX(rng_list_regional,MATCH(#REF!,rng_list_regional,0)),1,0,COUNTA(rng_list_regional)-1)</definedName>
    <definedName name="vld_segmento">IF(#REF!="Ativa",OFFSET(INDEX(rng_list_segmento,MATCH(#REF!,rng_list_segmento,0)),1,0,COUNTA(rng_list_segmento)-1),#REF!)</definedName>
    <definedName name="vld_sociedade">OFFSET(INDEX(rng_list_sociedade,MATCH(#REF!,rng_list_sociedade,0)),1,0,COUNTA(rng_list_sociedade)-1)</definedName>
    <definedName name="vld_status_empresa">OFFSET(INDEX(rng_list_status_empresa,MATCH(#REF!,rng_list_status_empresa,0)),1,0,COUNTA(rng_list_status_empresa)-1)</definedName>
    <definedName name="vld_status_lancamento">IF(#REF!="Ativa",OFFSET(INDEX(rng_list_status_lancamento,MATCH(#REF!,rng_list_status_lancamento,0)),1,0,COUNTA(rng_list_status_lancamento)-1),#REF!)</definedName>
    <definedName name="vld_status_projeto">IF(#REF!="Ativa",OFFSET(INDEX(rng_list_status_projeto,MATCH(#REF!,rng_list_status_projeto,0)),1,0,COUNTA(rng_list_status_projeto)-1),#REF!)</definedName>
    <definedName name="vld_status_viabilidade">OFFSET(INDEX(rng_list_status_viabilidade,MATCH(#REF!,rng_list_status_viabilidade,0)),1,0,COUNTA(rng_list_status_viabilidade)-1)</definedName>
    <definedName name="VOLUME1">#REF!</definedName>
    <definedName name="VOLUME2">#REF!</definedName>
    <definedName name="VOLUME3">#REF!</definedName>
    <definedName name="VSDHFGDFGR">{#N/A,#N/A,FALSE,"Plan1";#N/A,#N/A,FALSE,"Plan2"}</definedName>
    <definedName name="vvbb">{"tabela",#N/A,FALSE,"Tabela";"decoração",#N/A,FALSE,"Decor.";"Informações",#N/A,FALSE,"Inform."}</definedName>
    <definedName name="vvcbnb">{#N/A,#N/A,FALSE,"Plan1";#N/A,#N/A,FALSE,"Plan2"}</definedName>
    <definedName name="vvvvv">{"Econ Consolidado",#N/A,FALSE,"Econ Consol";"Fluxo de Caixa",#N/A,FALSE,"Fluxo Caixa";"Investimentos",#N/A,FALSE,"Investimentos"}</definedName>
    <definedName name="vvvvvv">{#N/A,#N/A,FALSE,"Plan1";#N/A,#N/A,FALSE,"Plan2"}</definedName>
    <definedName name="vvvvvvvvvvvvvvvvv">{"HW",#N/A,FALSE,"1998"}</definedName>
    <definedName name="VX">#REF!</definedName>
    <definedName name="w">#REF!</definedName>
    <definedName name="wacc">#REF!</definedName>
    <definedName name="wadalrdjlaev">{TRUE,TRUE,-1.25,-15.5,604.5,366.75,FALSE,FALSE,TRUE,TRUE,0,1,#N/A,1,#N/A,9.0125,24.4117647058824,1,FALSE,FALSE,3,TRUE,1,FALSE,100,"Swvu.PLANILHA2.","ACwvu.PLANILHA2.",#N/A,FALSE,FALSE,0.787401575,0.34,0.46,0.5,1,"","",FALSE,FALSE,FALSE,FALSE,1,#N/A,1,1,FALSE,FALSE,#N/A,#N/A,FALSE,FALSE,FALSE,9,65532,65532,FALSE,FALSE,TRUE,TRUE,TRUE}</definedName>
    <definedName name="water">{#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dewr">#REF!</definedName>
    <definedName name="WE">#REF!</definedName>
    <definedName name="weki_9701.xls">#REF!</definedName>
    <definedName name="wekir9701.xls">#REF!</definedName>
    <definedName name="werw4tr">{#N/A,#N/A,FALSE,"Plan1";#N/A,#N/A,FALSE,"Plan2"}</definedName>
    <definedName name="wetoedjtkdr">{#N/A,#N/A,FALSE,"Plan1";#N/A,#N/A,FALSE,"Plan2"}</definedName>
    <definedName name="WHATS">{"'Edit'!$A$1:$V$2277"}</definedName>
    <definedName name="win.VESSEL">{#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TENS">#REF!</definedName>
    <definedName name="WKJHIR">{#N/A,#N/A,FALSE,"Plan1";#N/A,#N/A,FALSE,"Plan2"}</definedName>
    <definedName name="WLQ">{#N/A,#N/A,FALSE,"명세표"}</definedName>
    <definedName name="WNMLOCAL">#REF!</definedName>
    <definedName name="WNMMUN">#REF!</definedName>
    <definedName name="WNMSERV">#REF!</definedName>
    <definedName name="worl_cdi">#REF!</definedName>
    <definedName name="worl_hist">#REF!</definedName>
    <definedName name="worl_uss">#REF!</definedName>
    <definedName name="WRITE">{#N/A,#N/A,FALSE,"CCTV"}</definedName>
    <definedName name="wrn.BM.">{#N/A,#N/A,FALSE,"CCTV"}</definedName>
    <definedName name="wrn.Brita98.xls.">{#N/A,#N/A,TRUE,"Quinzena 01 à 15-04-98 "}</definedName>
    <definedName name="wrn.Completo.">{"EconCons (Econômico - Consolidado)",#N/A,FALSE,"Econômico - Consolidado";"CaixaCons",#N/A,FALSE,"Caixa - Consolidado";"Rio Branco",#N/A,FALSE,"Rio Branco";"Itajaí",#N/A,FALSE,"Itajaí";"Esteio",#N/A,FALSE,"Esteio";"P. Machado",#N/A,FALSE,"P. Machado";"InvestCons (Invest Consolidado)",#N/A,FALSE,"Invest Consolidado"}</definedName>
    <definedName name="wrn.Cons.">{"EconCons",#N/A,TRUE,"Econômico - Consolidado";"CaixaCons",#N/A,TRUE,"Caixa - Consolidado";"InvestCons",#N/A,TRUE,"Invest Consolidado"}</definedName>
    <definedName name="wrn.Consolidado.">{"Econ Consolidado",#N/A,FALSE,"Econ Consol";"Fluxo de Caixa",#N/A,FALSE,"Fluxo Caixa";"Investimentos",#N/A,FALSE,"Investimentos"}</definedName>
    <definedName name="wrn.GERAL.">{#N/A,#N/A,FALSE,"ET-CAPA";#N/A,#N/A,FALSE,"ET-PAG1";#N/A,#N/A,FALSE,"ET-PAG2";#N/A,#N/A,FALSE,"ET-PAG3";#N/A,#N/A,FALSE,"ET-PAG4";#N/A,#N/A,FALSE,"ET-PAG5"}</definedName>
    <definedName name="wrn.HAGE.">{#N/A,#N/A,FALSE,"cdi";#N/A,#N/A,FALSE,"debent";#N/A,#N/A,FALSE,"fdos";#N/A,#N/A,FALSE,"resumo"}</definedName>
    <definedName name="wrn.HAGE01">{#N/A,#N/A,FALSE,"cdi";#N/A,#N/A,FALSE,"debent";#N/A,#N/A,FALSE,"fdos";#N/A,#N/A,FALSE,"resumo"}</definedName>
    <definedName name="wrn.HW.">{"HW",#N/A,FALSE,"1998"}</definedName>
    <definedName name="wrn.imp_flx.">{#N/A,#N/A,FALSE,"CONSOLID";#N/A,#N/A,FALSE,"CIMENTO";#N/A,#N/A,FALSE,"METALURGIA";#N/A,#N/A,FALSE,"PAPEL";#N/A,#N/A,FALSE,"QUÍMICA";#N/A,#N/A,FALSE,"AGROINDL";#N/A,#N/A,FALSE,"OUTROS";#N/A,#N/A,FALSE,"REAL_ORCADO"}</definedName>
    <definedName name="wrn.IMPRESSO.">{#N/A,#N/A,FALSE,"Plan1";#N/A,#N/A,FALSE,"Plan2"}</definedName>
    <definedName name="wrn.Imprimir.">{"tabela",#N/A,FALSE,"Tabela";"decoração",#N/A,FALSE,"Decor.";"Informações",#N/A,FALSE,"Inform."}</definedName>
    <definedName name="wrn.LPU._.MG.">{"MG-2002-F1",#N/A,FALSE,"PPU-Telemig";"MG-2002-F2",#N/A,FALSE,"PPU-Telemig";"MG-2002-F3",#N/A,FALSE,"PPU-Telemig";"MG-2002-F4",#N/A,FALSE,"PPU-Telemig";"MG-2003-F1",#N/A,FALSE,"PPU-Telemig";"MG-2004-F1",#N/A,FALSE,"PPU-Telemig"}</definedName>
    <definedName name="wrn.MGM機器リスト.">{#N/A,#N/A,TRUE,"表紙";#N/A,#N/A,TRUE,"DMC合成";#N/A,#N/A,TRUE,"DMC回収･精製";#N/A,#N/A,TRUE,"MPC工程";#N/A,#N/A,TRUE,"DPC工程";#N/A,#N/A,TRUE,"ANI工程";#N/A,#N/A,TRUE,"PHOｰ触媒工程";#N/A,#N/A,TRUE,"用役"}</definedName>
    <definedName name="wrn.mode_lev.xls.">{#N/A,#N/A,FALSE,"ALVENARIA";#N/A,#N/A,FALSE,"BLOCOS";#N/A,#N/A,FALSE,"CINTAS";#N/A,#N/A,FALSE,"CORTINA";#N/A,#N/A,FALSE,"LAJES";#N/A,#N/A,FALSE,"PILARES";#N/A,#N/A,FALSE,"VIGAS"}</definedName>
    <definedName name="wrn.Month._.Report._.Package.">{#N/A,#N/A,FALSE,"Global Wls Trend";#N/A,#N/A,FALSE,"Region Trend";#N/A,#N/A,FALSE,"PBU Trend"}</definedName>
    <definedName name="wrn.Monthly._.Report._.Package.">{#N/A,#N/A,FALSE,"Global by BU";#N/A,#N/A,FALSE,"U.S. by BU";#N/A,#N/A,FALSE,"Canada by BU";#N/A,#N/A,FALSE,"Europe by BU";#N/A,#N/A,FALSE,"Asia by BU";#N/A,#N/A,FALSE,"Cala by BU"}</definedName>
    <definedName name="wrn.PENDENCIAS.">{#N/A,#N/A,FALSE,"GERAL";#N/A,#N/A,FALSE,"012-96";#N/A,#N/A,FALSE,"018-96";#N/A,#N/A,FALSE,"027-96";#N/A,#N/A,FALSE,"059-96";#N/A,#N/A,FALSE,"076-96";#N/A,#N/A,FALSE,"019-97";#N/A,#N/A,FALSE,"021-97";#N/A,#N/A,FALSE,"022-97";#N/A,#N/A,FALSE,"028-97"}</definedName>
    <definedName name="wrn.Planiha._.de._.Medição._.F._.01.">{#N/A,#N/A,FALSE,"F-01"}</definedName>
    <definedName name="wrn.Planiha._.de._.Medição._.F._.01._1">{#N/A,#N/A,FALSE,"F-01"}</definedName>
    <definedName name="wrn.Planilha_de_Medição_F_02">{#N/A,#N/A,FALSE,"F-01"}</definedName>
    <definedName name="wrn.print._.all.">{#N/A,#N/A,FALSE,"$170M Cash";#N/A,#N/A,FALSE,"$250M Cash";#N/A,#N/A,FALSE,"$325M Cash"}</definedName>
    <definedName name="wrn.PrintAll.">{#N/A,#N/A,FALSE,"Sheet1";#N/A,#N/A,FALSE,"Sheet2";#N/A,#N/A,FALSE,"Sheet3";#N/A,#N/A,FALSE,"Sheet4";#N/A,#N/A,FALSE,"Sheet5";#N/A,#N/A,FALSE,"Sheet6";#N/A,#N/A,FALSE,"Sheet7";#N/A,#N/A,FALSE,"Sheet8";#N/A,#N/A,FALSE,"Sheet9"}</definedName>
    <definedName name="wrn.PrintCurr.">{#N/A,#N/A,FALSE,"Sheet1";#N/A,#N/A,FALSE,"Sheet2";#N/A,#N/A,FALSE,"Sheet3"}</definedName>
    <definedName name="wrn.PrintPrev1.">{#N/A,#N/A,FALSE,"Sheet4";#N/A,#N/A,FALSE,"Sheet5";#N/A,#N/A,FALSE,"Sheet6"}</definedName>
    <definedName name="wrn.PrintPrev2.">{#N/A,#N/A,FALSE,"Sheet7";#N/A,#N/A,FALSE,"Sheet8";#N/A,#N/A,FALSE,"Sheet9"}</definedName>
    <definedName name="wrn.Quadros._.relatório.">{#N/A,#N/A,FALSE,"QD_F1 Invest Detalhado";#N/A,#N/A,FALSE,"QD_F3 Invest_Comparado";#N/A,#N/A,FALSE,"QD_B Trafego";#N/A,#N/A,FALSE,"QD_D0 Custos Operacionais";#N/A,#N/A,FALSE,"QD_C Receita";#N/A,#N/A,FALSE,"QD_D Custos";#N/A,#N/A,FALSE,"QD_E Resultado";#N/A,#N/A,FALSE,"QD_G Fluxo Caixa"}</definedName>
    <definedName name="wrn.REPORT.">{#N/A,#N/A,FALSE,"표지";#N/A,#N/A,FALSE,"목차";#N/A,#N/A,FALSE,"내용1";#N/A,#N/A,FALSE,"내용2";#N/A,#N/A,FALSE,"결론";#N/A,#N/A,FALSE,"첨부";#N/A,#N/A,FALSE,"진공도달시간";#N/A,#N/A,FALSE,"배가스속도"}</definedName>
    <definedName name="wrn.STAFFS.">{#N/A,#N/A,FALSE,"TABLE"}</definedName>
    <definedName name="wrn.TERCEIRO.">{#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RCEIRO0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st1.">{#N/A,#N/A,FALSE,"명세표"}</definedName>
    <definedName name="wrn.Unidades.">{"Rio Branco",#N/A,FALSE,"Rio Branco";"Itajaí",#N/A,FALSE,"Itajaí";"Pinheiro Machado",#N/A,FALSE,"PMachado";"Esteio",#N/A,FALSE,"Esteio"}</definedName>
    <definedName name="wrn.VESSEL및N2._.구입사양서.">{#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견적.">{#N/A,#N/A,FALSE,"Sheet1";#N/A,#N/A,FALSE,"Sheet2";#N/A,#N/A,FALSE,"TAB96-1"}</definedName>
    <definedName name="wrn.보호계전기.">{#N/A,#N/A,FALSE,"ENG'G(보호계전기)"}</definedName>
    <definedName name="wrn.현장._.NCR._.분석.">{#N/A,#N/A,FALSE,"현장 NCR 분석";#N/A,#N/A,FALSE,"현장품질감사";#N/A,#N/A,FALSE,"현장품질감사"}</definedName>
    <definedName name="wrn1.Cons.">{"EconCons",#N/A,TRUE,"Econômico - Consolidado";"CaixaCons",#N/A,TRUE,"Caixa - Consolidado";"InvestCons",#N/A,TRUE,"Invest Consolidado"}</definedName>
    <definedName name="wrn1.print._.all.">{#N/A,#N/A,FALSE,"$170M Cash";#N/A,#N/A,FALSE,"$250M Cash";#N/A,#N/A,FALSE,"$325M Cash"}</definedName>
    <definedName name="WRS">{"'장비'!$A$3:$M$12"}</definedName>
    <definedName name="wrt">{#N/A,#N/A,FALSE,"$170M Cash";#N/A,#N/A,FALSE,"$250M Cash";#N/A,#N/A,FALSE,"$325M Cash"}</definedName>
    <definedName name="wvu.PLANILHA2.">{TRUE,TRUE,-1.25,-15.5,604.5,366.75,FALSE,FALSE,TRUE,TRUE,0,1,#N/A,1,#N/A,9.0125,24.4117647058824,1,FALSE,FALSE,3,TRUE,1,FALSE,100,"Swvu.PLANILHA2.","ACwvu.PLANILHA2.",#N/A,FALSE,FALSE,0.787401575,0.34,0.46,0.5,1,"","",FALSE,FALSE,FALSE,FALSE,1,#N/A,1,1,FALSE,FALSE,#N/A,#N/A,FALSE,FALSE,FALSE,9,65532,65532,FALSE,FALSE,TRUE,TRUE,TRUE}</definedName>
    <definedName name="ww">{#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wwwwwwwww">{"'Ethernet Hubs'!$A$1:$F$14","'Licences'!$A$1:$F$16","'Ports and Converters'!$A$1:$F$46","'Standard Routers'!$A$1:$F$28","'Ports and Converters'!$A$1:$G$46","'Router Chassis'!$A$1:$F$21","'Cables and Connectors'!$A$1:$F$41","'Support, Training and Docs'!$A$1:$F$6","'Management'!$A$1:$F$8"}</definedName>
    <definedName name="X">#REF!</definedName>
    <definedName name="XALFA">#REF!</definedName>
    <definedName name="XC">#REF!</definedName>
    <definedName name="xcfrt">{#N/A,#N/A,FALSE,"Plan1";#N/A,#N/A,FALSE,"Plan2"}</definedName>
    <definedName name="xcgjkfghf">{#N/A,#N/A,FALSE,"Plan1";#N/A,#N/A,FALSE,"Plan2"}</definedName>
    <definedName name="XCGJKVHFDG">{#N/A,#N/A,FALSE,"Plan1";#N/A,#N/A,FALSE,"Plan2"}</definedName>
    <definedName name="xcgtrty">{TRUE,TRUE,-1.25,-15.5,604.5,366.75,FALSE,FALSE,TRUE,TRUE,0,1,#N/A,1,#N/A,9.0125,24.4117647058824,1,FALSE,FALSE,3,TRUE,1,FALSE,100,"Swvu.PLANILHA2.","ACwvu.PLANILHA2.",#N/A,FALSE,FALSE,0.787401575,0.34,0.46,0.5,1,"","",FALSE,FALSE,FALSE,FALSE,1,#N/A,1,1,FALSE,FALSE,#N/A,#N/A,FALSE,FALSE,FALSE,9,65532,65532,FALSE,FALSE,TRUE,TRUE,TRUE}</definedName>
    <definedName name="XCGVRT">{TRUE,TRUE,-1.25,-15.5,604.5,366.75,FALSE,FALSE,TRUE,TRUE,0,1,#N/A,1,#N/A,9.0125,24.4117647058824,1,FALSE,FALSE,3,TRUE,1,FALSE,100,"Swvu.PLANILHA2.","ACwvu.PLANILHA2.",#N/A,FALSE,FALSE,0.787401575,0.34,0.46,0.5,1,"","",FALSE,FALSE,FALSE,FALSE,1,#N/A,1,1,FALSE,FALSE,#N/A,#N/A,FALSE,FALSE,FALSE,9,65532,65532,FALSE,FALSE,TRUE,TRUE,TRUE}</definedName>
    <definedName name="XCI">#REF!</definedName>
    <definedName name="XCII">#REF!</definedName>
    <definedName name="XCIII">#REF!</definedName>
    <definedName name="XCIV">#REF!</definedName>
    <definedName name="XCIX">#REF!</definedName>
    <definedName name="xçl">{#N/A,#N/A,FALSE,"Plan1";#N/A,#N/A,FALSE,"Plan2"}</definedName>
    <definedName name="xcndj">{#N/A,#N/A,FALSE,"Plan1";#N/A,#N/A,FALSE,"Plan2"}</definedName>
    <definedName name="XCV">#REF!</definedName>
    <definedName name="XCVGGT">{#N/A,#N/A,FALSE,"Plan1";#N/A,#N/A,FALSE,"Plan2"}</definedName>
    <definedName name="XCVI">#REF!</definedName>
    <definedName name="XCVII">#REF!</definedName>
    <definedName name="XCVIII">#REF!</definedName>
    <definedName name="xcvrg">{#N/A,#N/A,FALSE,"Plan1";#N/A,#N/A,FALSE,"Plan2"}</definedName>
    <definedName name="XDATA">#REF!</definedName>
    <definedName name="xdfeft">{TRUE,TRUE,-1.25,-15.5,604.5,366.75,FALSE,FALSE,TRUE,TRUE,0,1,#N/A,1,#N/A,9.0125,24.4117647058824,1,FALSE,FALSE,3,TRUE,1,FALSE,100,"Swvu.PLANILHA2.","ACwvu.PLANILHA2.",#N/A,FALSE,FALSE,0.787401575,0.34,0.46,0.5,1,"","",FALSE,FALSE,FALSE,FALSE,1,#N/A,1,1,FALSE,FALSE,#N/A,#N/A,FALSE,FALSE,FALSE,9,65532,65532,FALSE,FALSE,TRUE,TRUE,TRUE}</definedName>
    <definedName name="xdgtyhyt">{#N/A,#N/A,FALSE,"Plan1";#N/A,#N/A,FALSE,"Plan2"}</definedName>
    <definedName name="xfdlfj">{#N/A,#N/A,FALSE,"Plan1";#N/A,#N/A,FALSE,"Plan2"}</definedName>
    <definedName name="xfdxfdf">{#N/A,#N/A,FALSE,"Plan1";#N/A,#N/A,FALSE,"Plan2"}</definedName>
    <definedName name="XFJKLDJKLGJ">{TRUE,TRUE,-1.25,-15.5,604.5,366.75,FALSE,FALSE,TRUE,TRUE,0,1,#N/A,1,#N/A,9.0125,24.4117647058824,1,FALSE,FALSE,3,TRUE,1,FALSE,100,"Swvu.PLANILHA2.","ACwvu.PLANILHA2.",#N/A,FALSE,FALSE,0.787401575,0.34,0.46,0.5,1,"","",FALSE,FALSE,FALSE,FALSE,1,#N/A,1,1,FALSE,FALSE,#N/A,#N/A,FALSE,FALSE,FALSE,9,65532,65532,FALSE,FALSE,TRUE,TRUE,TRUE}</definedName>
    <definedName name="xfrty">{#N/A,#N/A,FALSE,"Plan1";#N/A,#N/A,FALSE,"Plan2"}</definedName>
    <definedName name="XFT">{TRUE,TRUE,-1.25,-15.5,604.5,366.75,FALSE,FALSE,TRUE,TRUE,0,1,#N/A,1,#N/A,9.0125,24.4117647058824,1,FALSE,FALSE,3,TRUE,1,FALSE,100,"Swvu.PLANILHA2.","ACwvu.PLANILHA2.",#N/A,FALSE,FALSE,0.787401575,0.34,0.46,0.5,1,"","",FALSE,FALSE,FALSE,FALSE,1,#N/A,1,1,FALSE,FALSE,#N/A,#N/A,FALSE,FALSE,FALSE,9,65532,65532,FALSE,FALSE,TRUE,TRUE,TRUE}</definedName>
    <definedName name="xfvchdhhd">{"Econ Consolidado",#N/A,FALSE,"Econ Consol";"Fluxo de Caixa",#N/A,FALSE,"Fluxo Caixa";"Investimentos",#N/A,FALSE,"Investimentos"}</definedName>
    <definedName name="xfvgcfgt">{#N/A,#N/A,FALSE,"Plan1";#N/A,#N/A,FALSE,"Plan2"}</definedName>
    <definedName name="xgrg">{#N/A,#N/A,FALSE,"Plan1";#N/A,#N/A,FALSE,"Plan2"}</definedName>
    <definedName name="XI">#REF!</definedName>
    <definedName name="XII">#REF!</definedName>
    <definedName name="XIII">#REF!</definedName>
    <definedName name="XITEM">#REF!</definedName>
    <definedName name="XIV">#REF!</definedName>
    <definedName name="XLOC">#REF!</definedName>
    <definedName name="xmght">{#N/A,#N/A,FALSE,"Plan1";#N/A,#N/A,FALSE,"Plan2"}</definedName>
    <definedName name="xnInforme_quantos_bebedouros____bebqt__if_bebqt__0__xlQt.bebedouros_invalida___ENTER_p_reinformar__xresp__branch_rqtderv">#REF!</definedName>
    <definedName name="XNUCOPIAS">#REF!</definedName>
    <definedName name="xo">{#N/A,#N/A,FALSE,"Global by BU";#N/A,#N/A,FALSE,"U.S. by BU";#N/A,#N/A,FALSE,"Canada by BU";#N/A,#N/A,FALSE,"Europe by BU";#N/A,#N/A,FALSE,"Asia by BU";#N/A,#N/A,FALSE,"Cala by BU"}</definedName>
    <definedName name="XREF_COLUMN_1">#REF!</definedName>
    <definedName name="XREF_COLUMN_2">#REF!</definedName>
    <definedName name="XREF_COLUMN_3">#REF!</definedName>
    <definedName name="XREF_COLUMN_4">#REF!</definedName>
    <definedName name="XRefColumnsCount">1</definedName>
    <definedName name="XRefCopy2">#REF!</definedName>
    <definedName name="XRefCopy3Row">#REF!</definedName>
    <definedName name="XRefCopy4Row">#REF!</definedName>
    <definedName name="XRefCopy6">#REF!</definedName>
    <definedName name="XRefCopyRangeCount">1</definedName>
    <definedName name="XRefPaste2">#REF!</definedName>
    <definedName name="XRefPaste4">#REF!</definedName>
    <definedName name="XRefPaste5">#REF!</definedName>
    <definedName name="XRefPaste6">#REF!</definedName>
    <definedName name="XRefPaste7Row">#REF!</definedName>
    <definedName name="XRefPasteRangeCount">1</definedName>
    <definedName name="XRESP">#REF!</definedName>
    <definedName name="XTITRES">#REF!</definedName>
    <definedName name="XV">#REF!</definedName>
    <definedName name="XX">#REF!</definedName>
    <definedName name="XXI">#REF!</definedName>
    <definedName name="XXII">#REF!</definedName>
    <definedName name="XXIII">#REF!</definedName>
    <definedName name="XXIV">#REF!</definedName>
    <definedName name="XXV">#REF!</definedName>
    <definedName name="XXX">#REF!</definedName>
    <definedName name="XXXI">#REF!</definedName>
    <definedName name="XXXII">#REF!</definedName>
    <definedName name="XXXIII">#REF!</definedName>
    <definedName name="XXXIV">#REF!</definedName>
    <definedName name="XXXIX">#REF!</definedName>
    <definedName name="XXXV">#REF!</definedName>
    <definedName name="XXXVI">#REF!</definedName>
    <definedName name="XXXVII">#REF!</definedName>
    <definedName name="XXXVIII">#REF!</definedName>
    <definedName name="xxxx">{TRUE,TRUE,-1.25,-15.5,604.5,366.75,FALSE,FALSE,TRUE,TRUE,0,1,#N/A,1,#N/A,9.0125,24.4117647058824,1,FALSE,FALSE,3,TRUE,1,FALSE,100,"Swvu.PLANILHA2.","ACwvu.PLANILHA2.",#N/A,FALSE,FALSE,0.787401575,0.34,0.46,0.5,1,"","",FALSE,FALSE,FALSE,FALSE,1,#N/A,1,1,FALSE,FALSE,#N/A,#N/A,FALSE,FALSE,FALSE,9,65532,65532,FALSE,FALSE,TRUE,TRUE,TRUE}</definedName>
    <definedName name="XXXXX">{#N/A,#N/A,FALSE,"GERAL";#N/A,#N/A,FALSE,"012-96";#N/A,#N/A,FALSE,"018-96";#N/A,#N/A,FALSE,"027-96";#N/A,#N/A,FALSE,"059-96";#N/A,#N/A,FALSE,"076-96";#N/A,#N/A,FALSE,"019-97";#N/A,#N/A,FALSE,"021-97";#N/A,#N/A,FALSE,"022-97";#N/A,#N/A,FALSE,"028-97"}</definedName>
    <definedName name="xxxxxxxxxxxx">#REF!</definedName>
    <definedName name="xxxxxxxxxxxxxx">{#N/A,#N/A,FALSE,"Plan1";#N/A,#N/A,FALSE,"Plan2"}</definedName>
    <definedName name="xzfrt">{#N/A,#N/A,FALSE,"Plan1";#N/A,#N/A,FALSE,"Plan2"}</definedName>
    <definedName name="yeitrtged">{#N/A,#N/A,FALSE,"Plan1";#N/A,#N/A,FALSE,"Plan2"}</definedName>
    <definedName name="yhdfiuygrui">{#N/A,#N/A,FALSE,"Plan1";#N/A,#N/A,FALSE,"Plan2"}</definedName>
    <definedName name="YRGUYDRIY">{"Econ Consolidado",#N/A,FALSE,"Econ Consol";"Fluxo de Caixa",#N/A,FALSE,"Fluxo Caixa";"Investimentos",#N/A,FALSE,"Investimentos"}</definedName>
    <definedName name="ytdju">#REF!</definedName>
    <definedName name="yuegursdmksf">{#N/A,#N/A,FALSE,"Plan1";#N/A,#N/A,FALSE,"Plan2"}</definedName>
    <definedName name="yuekl4fr">{#N/A,#N/A,FALSE,"Plan1";#N/A,#N/A,FALSE,"Plan2"}</definedName>
    <definedName name="yureytuyrea">{#N/A,#N/A,FALSE,"Plan1";#N/A,#N/A,FALSE,"Plan2"}</definedName>
    <definedName name="z">{"'Estimativa de Lançamento-JAN'!$A$1:$AI$85"}</definedName>
    <definedName name="z\djs" hidden="1">{TRUE,TRUE,-1.25,-15.5,604.5,366.75,FALSE,FALSE,TRUE,TRUE,0,1,#N/A,1,#N/A,9.0125,24.4117647058824,1,FALSE,FALSE,3,TRUE,1,FALSE,100,"Swvu.PLANILHA2.","ACwvu.PLANILHA2.",#N/A,FALSE,FALSE,0.787401575,0.34,0.46,0.5,1,"","",FALSE,FALSE,FALSE,FALSE,1,#N/A,1,1,FALSE,FALSE,#N/A,#N/A,FALSE,FALSE,FALSE,9,65532,65532,FALSE,FALSE,TRUE,TRUE,TRUE}</definedName>
    <definedName name="Z_022B7420_7F94_427F_B370_84030F9B3342_.wvu.FilterData" hidden="1">#REF!</definedName>
    <definedName name="Z_04BC043C_175B_412D_8093_6F29CD74FBAE_.wvu.FilterData" hidden="1">#REF!</definedName>
    <definedName name="Z_058B9256_CB4D_4C39_834D_D693FEEB491F_.wvu.FilterData" hidden="1">#REF!</definedName>
    <definedName name="Z_05D1A71D_3B7B_4FB7_8DF3_B8E29CA3927A_.wvu.FilterData" hidden="1">#REF!</definedName>
    <definedName name="Z_07C2CF55_E6DF_411A_AB00_7E155615468C_.wvu.FilterData" hidden="1">#REF!</definedName>
    <definedName name="Z_0B1003A7_69DB_4D5B_966D_57B9E8AF76FB_.wvu.FilterData" hidden="1">#REF!</definedName>
    <definedName name="Z_0C3EE359_64F6_4049_9576_8EACA8563EA4_.wvu.FilterData" hidden="1">#REF!</definedName>
    <definedName name="Z_0D05AC4E_32D3_4985_8208_9776E00AC749_.wvu.FilterData" hidden="1">#REF!</definedName>
    <definedName name="Z_0DB407A0_1449_11D8_ADD1_0060083A646F_.wvu.PrintArea">#REF!</definedName>
    <definedName name="Z_0DC459DE_F68C_4E33_8D1E_F1663ABAC944_.wvu.FilterData" hidden="1">#REF!</definedName>
    <definedName name="Z_0FACBA89_1203_4ED8_87E5_EC1D45B051B7_.wvu.FilterData" hidden="1">#REF!</definedName>
    <definedName name="Z_0FEA3536_5108_4591_BECF_C3181387F85F_.wvu.FilterData" hidden="1">#REF!</definedName>
    <definedName name="Z_0FEFDB42_ECBC_4500_A6C8_FEE3D368790B_.wvu.FilterData" hidden="1">#REF!</definedName>
    <definedName name="Z_110A0651_47C7_408E_B3BF_0C80D30B95FC_.wvu.FilterData" hidden="1">#REF!</definedName>
    <definedName name="Z_128E64DD_BE84_40EE_A6D2_C9B0EB25CBBD_.wvu.FilterData" hidden="1">#REF!</definedName>
    <definedName name="Z_12F2973E_0018_407B_98AD_CD9C5D1F65FA_.wvu.FilterData" hidden="1">#REF!</definedName>
    <definedName name="Z_137DAE61_8A8D_4219_A4CC_0EEC18A94882_.wvu.FilterData" hidden="1">#REF!</definedName>
    <definedName name="Z_13E06FB5_D019_406D_B278_1B53AD2F6386_.wvu.FilterData" hidden="1">#REF!</definedName>
    <definedName name="Z_14D375AC_5615_46DE_8EE3_95915B2A8B54_.wvu.FilterData" hidden="1">#REF!</definedName>
    <definedName name="Z_15697660_066E_11D5_AF15_00010242ED40_.wvu.PrintArea">#REF!</definedName>
    <definedName name="Z_15697660_066E_11D5_AF15_00010242ED40_.wvu.PrintTitles">#REF!</definedName>
    <definedName name="Z_15697660_066E_11D5_AF15_00010242ED40_.wvu.Rows">#REF!</definedName>
    <definedName name="Z_15B5DC78_B02F_4AC6_8572_015040A55619_.wvu.FilterData" hidden="1">#REF!</definedName>
    <definedName name="Z_166D6F0F_4D44_46E7_8C36_48FD4848B5AA_.wvu.FilterData" hidden="1">#REF!</definedName>
    <definedName name="Z_16FAB836_2255_4D4C_90E4_6B46255F3759_.wvu.FilterData" hidden="1">#REF!</definedName>
    <definedName name="Z_198D391C_95CB_49F5_8924_5FEA3CE5C98A_.wvu.FilterData" hidden="1">#REF!</definedName>
    <definedName name="Z_1D9C37CC_3E33_4D4D_B7CD_819F75C83D65_.wvu.FilterData" hidden="1">#REF!</definedName>
    <definedName name="Z_1DF9838C_880D_4C4E_BFFE_89B5894EC40F_.wvu.FilterData" hidden="1">#REF!</definedName>
    <definedName name="Z_1EF42BFC_874B_4E01_B67D_1607E823ACD0_.wvu.FilterData" hidden="1">#REF!</definedName>
    <definedName name="Z_1F94C6E7_3CCA_4599_AF6F_4D6291B2AD93_.wvu.FilterData" hidden="1">#REF!</definedName>
    <definedName name="Z_20A9AA17_0DEB_4190_8DAD_FC60D0D33A52_.wvu.FilterData" hidden="1">#REF!</definedName>
    <definedName name="Z_2103F656_ECB2_4F99_BE9B_56F4D7A5CEE2_.wvu.FilterData" hidden="1">#REF!</definedName>
    <definedName name="Z_2158A2BC_8DB5_455D_AFDE_914B22949288_.wvu.FilterData" hidden="1">#REF!</definedName>
    <definedName name="Z_21A967FF_561E_495F_AEB9_4DD3BEDA53BC_.wvu.FilterData" hidden="1">#REF!</definedName>
    <definedName name="Z_227E7522_DC52_4EA7_A11A_0741FF23CC42_.wvu.FilterData" hidden="1">#REF!</definedName>
    <definedName name="Z_23BA0C23_280B_4568_A53C_1C6D2E85772A_.wvu.FilterData" hidden="1">#REF!</definedName>
    <definedName name="Z_244346C6_3866_4160_9E2E_C77913F25398_.wvu.FilterData" hidden="1">#REF!</definedName>
    <definedName name="Z_25117F67_F0EE_43EF_8FF9_79F533CE10B0_.wvu.FilterData" hidden="1">#REF!</definedName>
    <definedName name="Z_259E2DDE_5459_4510_B7A2_66F49964C56E_.wvu.FilterData" hidden="1">#REF!</definedName>
    <definedName name="Z_25C7DFCF_BE54_4A41_B957_DE39B9B2A5B5_.wvu.FilterData" hidden="1">#REF!</definedName>
    <definedName name="Z_272E0E4D_901D_11D7_B59C_0050DAB35C7B_.wvu.FilterData" hidden="1">#REF!</definedName>
    <definedName name="Z_27D9353E_5A5F_49BF_8724_FA312A4073FF_.wvu.FilterData" hidden="1">#REF!</definedName>
    <definedName name="Z_299BE965_B904_49FA_A79D_B9538F94936F_.wvu.FilterData" hidden="1">#REF!</definedName>
    <definedName name="Z_29D37CE9_76D1_4D09_99A0_55ABA6929929_.wvu.FilterData" hidden="1">#REF!</definedName>
    <definedName name="Z_2C05BC27_731C_41F4_980F_CD81E4A7A662_.wvu.FilterData" hidden="1">#REF!</definedName>
    <definedName name="Z_2C0BDCBF_705B_4E5A_9659_05D99EC56641_.wvu.FilterData" hidden="1">#REF!</definedName>
    <definedName name="Z_2CD580B5_D99D_45ED_AC1E_45F8CBBBB9F1_.wvu.FilterData" hidden="1">#REF!</definedName>
    <definedName name="Z_2D98D706_A306_4353_8B3D_DA92F9EAEC9A_.wvu.FilterData" hidden="1">#REF!</definedName>
    <definedName name="Z_2F8736FC_F07E_49E8_9C13_8E0A0F5EFE5F_.wvu.FilterData" hidden="1">#REF!</definedName>
    <definedName name="Z_304C2F7A_D3A6_4DBA_A568_C3E56D7C6E2F_.wvu.FilterData" hidden="1">#REF!</definedName>
    <definedName name="Z_30E0ACE8_B29A_44E9_B542_E8C1CA3FD802_.wvu.FilterData" hidden="1">#REF!</definedName>
    <definedName name="Z_31A27EA2_D574_43B8_A671_7419A12151C9_.wvu.FilterData" hidden="1">#REF!</definedName>
    <definedName name="Z_32D1B352_62AB_4105_8DFC_EAA2DF743365_.wvu.FilterData" hidden="1">#REF!</definedName>
    <definedName name="Z_330DF436_5BED_40AF_AC51_73D268BD9DF4_.wvu.FilterData" hidden="1">#REF!</definedName>
    <definedName name="Z_33B8EF57_2FB1_4600_9590_B0A2F2FE409B_.wvu.FilterData" hidden="1">#REF!</definedName>
    <definedName name="Z_3404588C_6CE7_4C97_A62C_D19D9EE290D3_.wvu.FilterData" hidden="1">#REF!</definedName>
    <definedName name="Z_34E71878_8D1A_4343_91A1_3FE085136D2B_.wvu.FilterData" hidden="1">#REF!</definedName>
    <definedName name="Z_37611AA0_E86A_42C8_8705_108B25E060A1_.wvu.FilterData" hidden="1">#REF!</definedName>
    <definedName name="Z_38FE6CED_4C19_4332_9788_ACC902B20A46_.wvu.FilterData" hidden="1">#REF!</definedName>
    <definedName name="Z_394E75CB_4F7F_4C88_A08F_29E48E587341_.wvu.FilterData" hidden="1">#REF!</definedName>
    <definedName name="Z_3C200595_20A3_4A0C_B071_705F4AD5DAD3_.wvu.FilterData" hidden="1">#REF!</definedName>
    <definedName name="Z_3E93FF4A_0B7F_475C_A63C_54FBDB9DB4C5_.wvu.FilterData" hidden="1">#REF!</definedName>
    <definedName name="Z_3FF05DC4_CA9E_470D_A193_91785ACE00EF_.wvu.FilterData" hidden="1">#REF!</definedName>
    <definedName name="Z_43791B95_57D7_42F4_8815_D1B7E488543E_.wvu.FilterData" hidden="1">#REF!</definedName>
    <definedName name="Z_445AA90F_6D9B_40F5_8E1D_CE1EF57CF450_.wvu.FilterData" hidden="1">#REF!</definedName>
    <definedName name="Z_454E0C40_F84F_42A3_A371_6F23C1F38595_.wvu.FilterData" hidden="1">#REF!</definedName>
    <definedName name="Z_4608FCB3_3552_4D58_B6CE_B8F34D78221E_.wvu.FilterData" hidden="1">#REF!</definedName>
    <definedName name="Z_46E47F7C_9185_4E39_BED5_B4A69FF64CC1_.wvu.FilterData" hidden="1">#REF!</definedName>
    <definedName name="Z_48202D5D_77CB_41DE_8C59_9325C98D7C97_.wvu.FilterData" hidden="1">#REF!</definedName>
    <definedName name="Z_48824DFE_B714_4D0B_9E95_F01C5BAD5D1F_.wvu.FilterData" hidden="1">#REF!</definedName>
    <definedName name="Z_4C45D885_33EE_4DA9_BF96_6B10CFBA5596_.wvu.FilterData" hidden="1">#REF!</definedName>
    <definedName name="Z_4CA4BF7C_65C1_4E25_8563_22DF58586D2C_.wvu.PrintArea">#REF!</definedName>
    <definedName name="Z_4CA4BF7C_65C1_4E25_8563_22DF58586D2C_.wvu.PrintTitles">#REF!</definedName>
    <definedName name="Z_4CA4BF7C_65C1_4E25_8563_22DF58586D2C_.wvu.Rows">#REF!</definedName>
    <definedName name="Z_4D344757_9064_4D2F_A3A5_69132D23B7B9_.wvu.FilterData" hidden="1">#REF!</definedName>
    <definedName name="Z_4E773EE1_0A5B_43A9_9C28_FFB0A27D19C3_.wvu.FilterData" hidden="1">#REF!</definedName>
    <definedName name="Z_5122F04C_91B2_4031_BAE2_43203D520992_.wvu.FilterData" hidden="1">#REF!</definedName>
    <definedName name="Z_52B8D0B0_5872_4367_8D38_9AA5A4B975B3_.wvu.FilterData" hidden="1">#REF!</definedName>
    <definedName name="Z_532423B2_94C7_44C1_9A2A_9712DAE92CE9_.wvu.FilterData" hidden="1">#REF!</definedName>
    <definedName name="Z_53F31130_5EA7_42BA_93EB_88A7CB743782_.wvu.FilterData" hidden="1">#REF!</definedName>
    <definedName name="Z_55213581_1831_4A94_AB4D_23E4F8BC8085_.wvu.FilterData" hidden="1">#REF!</definedName>
    <definedName name="Z_552B9204_1C85_45BC_B148_AF3E206BDAA2_.wvu.FilterData" hidden="1">#REF!</definedName>
    <definedName name="Z_566671FC_5910_47FD_B961_1065A17D262D_.wvu.FilterData" hidden="1">#REF!</definedName>
    <definedName name="Z_569D17FA_30FE_42CA_8D65_E126C1C01EC2_.wvu.FilterData" hidden="1">#REF!</definedName>
    <definedName name="Z_573E904E_5C2F_4CA2_AFCF_918B916322E4_.wvu.FilterData" hidden="1">#REF!</definedName>
    <definedName name="Z_58DA6172_DC47_4A5F_B420_207BB6987764_.wvu.FilterData" hidden="1">#REF!</definedName>
    <definedName name="Z_58FCB891_F6F4_46F2_BF6B_861E585C9231_.wvu.FilterData" hidden="1">#REF!</definedName>
    <definedName name="Z_59A87EBA_E018_40E8_A580_AB2176E95D7E_.wvu.FilterData" hidden="1">#REF!</definedName>
    <definedName name="Z_5A3E740D_87C0_4F85_AB6D_B402AD860D04_.wvu.FilterData" hidden="1">#REF!</definedName>
    <definedName name="Z_5B42E6B5_40AA_4D3F_B932_EF1583491CDE_.wvu.FilterData" hidden="1">#REF!</definedName>
    <definedName name="Z_5B7B4951_7310_4C66_B906_4D046076272E_.wvu.FilterData" hidden="1">#REF!</definedName>
    <definedName name="Z_5D41F4B9_83DF_4509_9C07_453BA5A62846_.wvu.FilterData" hidden="1">#REF!</definedName>
    <definedName name="Z_5DB05E9F_8F3B_4886_A6CB_2CC53331BA7A_.wvu.FilterData" hidden="1">#REF!</definedName>
    <definedName name="Z_5F096896_2CB8_4B96_A0FE_9AB50EEEEFAB_.wvu.FilterData" hidden="1">#REF!</definedName>
    <definedName name="Z_60DF8B29_1C1F_4B50_BDA8_B8E0C7DD04C3_.wvu.Cols">#REF!,#REF!</definedName>
    <definedName name="Z_60DF8B29_1C1F_4B50_BDA8_B8E0C7DD04C3_.wvu.FilterData" hidden="1">#REF!</definedName>
    <definedName name="Z_615F4A4D_D5AB_4A04_81F5_F436484247A5_.wvu.FilterData" hidden="1">#REF!</definedName>
    <definedName name="Z_616443B5_6F0D_4082_9223_F71B54305366_.wvu.FilterData" hidden="1">#REF!</definedName>
    <definedName name="Z_631F0312_B404_409F_AF2B_39FB2D25040B_.wvu.FilterData" hidden="1">#REF!</definedName>
    <definedName name="Z_632CF316_8294_4588_87E1_2B69E184A62B_.wvu.FilterData" hidden="1">#REF!</definedName>
    <definedName name="Z_66D1BA5F_F4AE_443C_8583_CE89D6674A73_.wvu.FilterData" hidden="1">#REF!</definedName>
    <definedName name="Z_66DD4806_8039_438A_B1CE_46CC5B464050_.wvu.FilterData" hidden="1">#REF!</definedName>
    <definedName name="Z_67B65FDF_FF67_490E_B8E5_92DC66C9FC9D_.wvu.FilterData" hidden="1">#REF!</definedName>
    <definedName name="Z_68B709DF_9429_4090_9106_386C5F16C4D7_.wvu.FilterData" hidden="1">#REF!</definedName>
    <definedName name="Z_690BC25F_5AA3_4B4B_9507_8C197E768E98_.wvu.FilterData" hidden="1">#REF!</definedName>
    <definedName name="Z_6A66B8A7_491B_4A29_94A1_39F4FDA32C48_.wvu.FilterData" hidden="1">#REF!</definedName>
    <definedName name="Z_6A6F36C8_24A1_4147_9C63_27B7978935DD_.wvu.FilterData" hidden="1">#REF!</definedName>
    <definedName name="Z_6C2050D3_ABE5_4B48_B2A7_DDDD21669987_.wvu.FilterData" hidden="1">#REF!</definedName>
    <definedName name="Z_6CD84A0B_C00D_4BC8_A655_6383CCA4B296_.wvu.FilterData" hidden="1">#REF!</definedName>
    <definedName name="Z_6D5E5F42_E924_48A0_A50F_5BB481AFD1D5_.wvu.FilterData" hidden="1">#REF!</definedName>
    <definedName name="Z_6D789842_F56B_40C4_8907_F36C02855F76_.wvu.FilterData" hidden="1">#REF!</definedName>
    <definedName name="Z_6E345713_0818_471C_B54B_D890B987A0BC_.wvu.FilterData" hidden="1">#REF!</definedName>
    <definedName name="Z_701DEAE4_9CF1_491A_A54B_A6AE3235639D_.wvu.FilterData" hidden="1">#REF!</definedName>
    <definedName name="Z_7319B1DA_C8AE_4D1D_AB4C_B14141921483_.wvu.FilterData" hidden="1">#REF!</definedName>
    <definedName name="Z_75A1B66F_9EE1_4406_8264_C9BF12113183_.wvu.FilterData" hidden="1">#REF!</definedName>
    <definedName name="Z_7651BD63_D75B_41A5_B133_06AE6A84AE8F_.wvu.FilterData" hidden="1">#REF!</definedName>
    <definedName name="Z_767B7DB4_B657_4E6E_831B_84CA933FFCBE_.wvu.FilterData" hidden="1">#REF!</definedName>
    <definedName name="Z_76FA93EF_40A9_4929_9B4A_2213742C1620_.wvu.FilterData" hidden="1">#REF!</definedName>
    <definedName name="Z_78A33412_D032_45F7_9C2D_D4A31DB937D9_.wvu.FilterData" hidden="1">#REF!</definedName>
    <definedName name="Z_796E4E5E_16C3_474D_B1D5_F6D39CD34051_.wvu.FilterData" hidden="1">#REF!</definedName>
    <definedName name="Z_7BFA9C41_C881_48A8_90C2_F93F8E16E599_.wvu.FilterData" hidden="1">#REF!</definedName>
    <definedName name="Z_7BFBCE1E_B6C5_4BAC_AD95_2B50D2ED28AB_.wvu.FilterData" hidden="1">#REF!</definedName>
    <definedName name="Z_7C6FEBF3_4382_4282_BBB0_E0269BEE42DE_.wvu.FilterData" hidden="1">#REF!</definedName>
    <definedName name="Z_7D057642_92FA_4DD6_84C5_B10B17893E1F_.wvu.FilterData" hidden="1">#REF!</definedName>
    <definedName name="Z_7ED5F3D1_B838_492E_9467_7E7CE6B348ED_.wvu.FilterData" hidden="1">#REF!</definedName>
    <definedName name="Z_8090FD3B_94DF_4ACF_9708_D5B9ADEFD29C_.wvu.FilterData" hidden="1">#REF!</definedName>
    <definedName name="Z_8149A5A7_8307_4FA6_B457_A66B8A6DFABD_.wvu.FilterData" hidden="1">#REF!</definedName>
    <definedName name="Z_819A0FD3_B678_47E8_9DFB_641B3990B590_.wvu.FilterData" hidden="1">#REF!</definedName>
    <definedName name="Z_82999604_BD48_4054_BDCB_CB8B074A34A3_.wvu.FilterData" hidden="1">#REF!</definedName>
    <definedName name="Z_8473B3F0_0740_4E9F_9BAE_9113E5077DE8_.wvu.FilterData" hidden="1">#REF!</definedName>
    <definedName name="Z_85A83A94_71B4_44C8_8B5A_68CAA2461241_.wvu.FilterData" hidden="1">#REF!</definedName>
    <definedName name="Z_86E0C273_91AF_11D7_9C1E_0004231B06E7_.wvu.FilterData" hidden="1">#REF!</definedName>
    <definedName name="Z_87F04A72_68BF_497D_8569_47D1A3B89590_.wvu.FilterData" hidden="1">#REF!</definedName>
    <definedName name="Z_893CBEFD_F317_41F0_BA87_CC1860E1F73B_.wvu.FilterData" hidden="1">#REF!</definedName>
    <definedName name="Z_89D83FA2_2F4F_4275_9074_3A6247C2CDA6_.wvu.FilterData" hidden="1">#REF!</definedName>
    <definedName name="Z_8B2E8E84_1A68_4B75_A867_04E8EAC8E685_.wvu.FilterData" hidden="1">#REF!</definedName>
    <definedName name="Z_8B5FADF8_BAFC_44E0_9D1D_DE21657D83CA_.wvu.FilterData" hidden="1">#REF!</definedName>
    <definedName name="Z_8CBA7976_3F45_4926_8F5C_251343B1DCDB_.wvu.FilterData" hidden="1">#REF!</definedName>
    <definedName name="Z_8D213052_8AFD_4E06_B410_DCB431062572_.wvu.FilterData" hidden="1">#REF!</definedName>
    <definedName name="Z_8EA755F4_0515_4AA0_970C_55F473C7FD9B_.wvu.FilterData" hidden="1">#REF!</definedName>
    <definedName name="Z_8F33F4E3_A14E_4DD4_ADD4_B19023A45B10_.wvu.FilterData" hidden="1">#REF!</definedName>
    <definedName name="Z_901BF8EA_CA8A_411C_8FD3_BCB793FCF48A_.wvu.FilterData" hidden="1">#REF!</definedName>
    <definedName name="Z_9066F505_4944_4582_AAF9_B40B49D59413_.wvu.PrintArea">#REF!</definedName>
    <definedName name="Z_9066F505_4944_4582_AAF9_B40B49D59413_.wvu.PrintTitles">#REF!</definedName>
    <definedName name="Z_9066F505_4944_4582_AAF9_B40B49D59413_.wvu.Rows">#REF!</definedName>
    <definedName name="Z_91488B6D_F045_4050_BA1B_41C2E3B3B10A_.wvu.FilterData" hidden="1">#REF!</definedName>
    <definedName name="Z_92919032_3A1D_4E0A_A8D8_FD23494D13A8_.wvu.FilterData" hidden="1">#REF!</definedName>
    <definedName name="Z_9587B38A_B060_410B_8598_4B23623A371C_.wvu.FilterData" hidden="1">#REF!</definedName>
    <definedName name="Z_96EB0306_BB94_45E8_9D0D_4C07A6623010_.wvu.FilterData" hidden="1">#REF!</definedName>
    <definedName name="Z_97666733_8666_4F9D_9588_AF9B6CF9224C_.wvu.FilterData" hidden="1">#REF!</definedName>
    <definedName name="Z_98599B4F_1D05_4040_9183_E1D7A1DDEB9C_.wvu.FilterData" hidden="1">#REF!</definedName>
    <definedName name="Z_98C8BF36_C172_45C3_8EFB_521E6ACCA0D3_.wvu.FilterData" hidden="1">#REF!</definedName>
    <definedName name="Z_9A372634_7C2D_4502_BF44_0C63FD1FB6D2_.wvu.FilterData" hidden="1">#REF!</definedName>
    <definedName name="Z_9A5CC0D4_28E7_4461_BE2E_802002496535_.wvu.FilterData" hidden="1">#REF!</definedName>
    <definedName name="Z_9C86BF25_210A_4B5C_9F2A_856CA801294A_.wvu.FilterData" hidden="1">#REF!</definedName>
    <definedName name="Z_9C8AF864_7E20_415C_848E_C2849E8CBF0C_.wvu.FilterData" hidden="1">#REF!</definedName>
    <definedName name="Z_9E7B61E2_2701_4257_A261_86548A6D7D7C_.wvu.FilterData" hidden="1">#REF!</definedName>
    <definedName name="Z_A0276843_5A14_4A7A_AD1C_583475FE9ED2_.wvu.FilterData" hidden="1">#REF!</definedName>
    <definedName name="Z_A2CB926C_E33A_4E38_9626_682814771DB1_.wvu.FilterData" hidden="1">#REF!</definedName>
    <definedName name="Z_A320C8A7_8D87_4204_85D4_AE25493D1363_.wvu.FilterData" hidden="1">#REF!</definedName>
    <definedName name="Z_A5F4C2AC_640B_40D9_88C9_69B3215DBE96_.wvu.FilterData" hidden="1">#REF!</definedName>
    <definedName name="Z_A686C168_1672_48B1_ADFD_481A1276CC81_.wvu.FilterData" hidden="1">#REF!</definedName>
    <definedName name="Z_A933351F_4BD3_4901_98D5_53D192BD61DC_.wvu.FilterData" hidden="1">#REF!</definedName>
    <definedName name="Z_AA0BD2F5_1513_40DB_B224_CC27CA57E181_.wvu.FilterData" hidden="1">#REF!</definedName>
    <definedName name="Z_AA329A38_94E6_4014_8D54_EFB48C7FA433_.wvu.FilterData" hidden="1">#REF!</definedName>
    <definedName name="Z_AC5679A6_5A24_441C_BBA3_F0C9D8E8E441_.wvu.FilterData" hidden="1">#REF!</definedName>
    <definedName name="Z_ACE528A7_3516_429C_8E77_FA07F86ED2D8_.wvu.Cols">#REF!</definedName>
    <definedName name="Z_AE302359_F16A_4874_8921_3865B0ECD878_.wvu.FilterData" hidden="1">#REF!</definedName>
    <definedName name="Z_AF0BF736_181F_4A59_8FB9_D3BCA8E591F7_.wvu.FilterData" hidden="1">#REF!</definedName>
    <definedName name="Z_AF12B415_1D2E_4088_9C86_BB0173951217_.wvu.FilterData" hidden="1">#REF!</definedName>
    <definedName name="Z_AF537E87_E5DE_4792_8C82_FFA1FC35463A_.wvu.FilterData" hidden="1">#REF!</definedName>
    <definedName name="Z_B1269BAB_A618_45E5_8379_9ECE98405A14_.wvu.FilterData" hidden="1">#REF!</definedName>
    <definedName name="Z_B20EEB3D_E9E6_496E_8678_B417DDC74718_.wvu.FilterData" hidden="1">#REF!</definedName>
    <definedName name="Z_B3255642_8A6B_11D5_916F_005004920FCB_.wvu.PrintTitles">#REF!</definedName>
    <definedName name="Z_B4864B96_AD18_4114_8AFA_A8BAA8915737_.wvu.FilterData" hidden="1">#REF!</definedName>
    <definedName name="Z_B645C4A8_1830_42C7_9DBF_0F519499A6CE_.wvu.FilterData" hidden="1">#REF!</definedName>
    <definedName name="Z_B7475313_60A1_440E_A07B_6B97978B34F2_.wvu.FilterData" hidden="1">#REF!</definedName>
    <definedName name="Z_B891B51F_1CA2_435F_A819_8A494B08D3EE_.wvu.FilterData" hidden="1">#REF!</definedName>
    <definedName name="Z_B8CE2FA5_D3F2_48A0_8603_A3FBA2808CB4_.wvu.FilterData" hidden="1">#REF!</definedName>
    <definedName name="Z_B9837360_94DA_11D7_9C1E_0004231B06E7_.wvu.FilterData" hidden="1">#REF!</definedName>
    <definedName name="Z_BBE1AFA0_C6F6_4019_9D53_075DA4654337_.wvu.FilterData" hidden="1">#REF!</definedName>
    <definedName name="Z_BC0EED6A_3F15_49FF_A48F_B40AC74B528A_.wvu.FilterData" hidden="1">#REF!</definedName>
    <definedName name="Z_BC4212E8_2D54_48E9_A2B4_66875F86EBEF_.wvu.FilterData" hidden="1">#REF!</definedName>
    <definedName name="Z_BE48B5BF_102F_4FB8_8807_DA126440E01B_.wvu.FilterData" hidden="1">#REF!</definedName>
    <definedName name="Z_BE949522_4A35_4352_9A91_0CE0E28D3461_.wvu.FilterData" hidden="1">#REF!</definedName>
    <definedName name="Z_C1310828_8567_4952_A9D3_7183F1221321_.wvu.FilterData" hidden="1">#REF!</definedName>
    <definedName name="Z_C581774C_2FCD_4906_B930_CCB3F9F9A50B_.wvu.FilterData" hidden="1">#REF!</definedName>
    <definedName name="Z_C67C9A44_7556_4756_AC39_E00F137116ED_.wvu.FilterData" hidden="1">#REF!</definedName>
    <definedName name="Z_C908089F_9A5A_11D7_9C1E_0004231B06E7_.wvu.FilterData" hidden="1">#REF!</definedName>
    <definedName name="Z_C942EE3A_8DBF_41D7_ADAF_F43C01F31E23_.wvu.FilterData" hidden="1">#REF!</definedName>
    <definedName name="Z_CB8FB7EE_B771_11D7_9C1E_0004231B06E7_.wvu.FilterData" hidden="1">#REF!</definedName>
    <definedName name="Z_CB8FB7F1_B771_11D7_9C1E_0004231B06E7_.wvu.FilterData" hidden="1">#REF!</definedName>
    <definedName name="Z_CD48E0DF_E307_492A_9CFD_ADF6DE6ECCFB_.wvu.FilterData" hidden="1">#REF!</definedName>
    <definedName name="Z_CDAD3BC7_95B1_4949_91B3_EAB234D2A550_.wvu.FilterData" hidden="1">#REF!</definedName>
    <definedName name="Z_CE1A6073_4007_44EE_88D3_3C79CF746C78_.wvu.FilterData" hidden="1">#REF!</definedName>
    <definedName name="Z_D0500033_B90B_46E5_BD62_60D0DA033A55_.wvu.FilterData" hidden="1">#REF!</definedName>
    <definedName name="Z_D11C04A2_606C_4EF4_9AD3_4865E5EFAE70_.wvu.FilterData" hidden="1">#REF!</definedName>
    <definedName name="Z_D1371C66_ADFD_11D7_9C1E_0004231B06E7_.wvu.FilterData" hidden="1">#REF!</definedName>
    <definedName name="Z_D1371C82_ADFD_11D7_9C1E_0004231B06E7_.wvu.FilterData" hidden="1">#REF!</definedName>
    <definedName name="Z_D1371C98_ADFD_11D7_9C1E_0004231B06E7_.wvu.FilterData" hidden="1">#REF!</definedName>
    <definedName name="Z_D15727E9_9BC2_420E_AC98_E8E9B60BD754_.wvu.FilterData" hidden="1">#REF!</definedName>
    <definedName name="Z_D371D622_5497_46A4_826D_01F2F492E39D_.wvu.FilterData" hidden="1">#REF!</definedName>
    <definedName name="Z_D3FF2053_BD11_4CA8_9648_A06F387C0C79_.wvu.FilterData" hidden="1">#REF!</definedName>
    <definedName name="Z_D4D6DC3A_302F_4BF4_8221_EFB7EA05B30F_.wvu.FilterData" hidden="1">#REF!</definedName>
    <definedName name="Z_D4FF4BA0_F9BE_4CEE_B334_FBD19DA86BF4_.wvu.FilterData" hidden="1">#REF!</definedName>
    <definedName name="Z_D5810466_54E3_455B_B341_3E7B86FB72D3_.wvu.FilterData" hidden="1">#REF!</definedName>
    <definedName name="Z_D60B1DF7_D653_4F01_B5AD_6A66E578C24F_.wvu.FilterData" hidden="1">#REF!</definedName>
    <definedName name="Z_D684BA0E_B94B_4BF7_8F27_4E3A1924425C_.wvu.FilterData" hidden="1">#REF!</definedName>
    <definedName name="Z_D9443332_B48E_4E65_8F23_AC96FB75A5A9_.wvu.FilterData" hidden="1">#REF!</definedName>
    <definedName name="Z_DAA35AF8_874B_4671_A195_994D9700CFB0_.wvu.FilterData" hidden="1">#REF!</definedName>
    <definedName name="Z_DB31579F_8662_40C5_BB19_660F0F7B70E5_.wvu.FilterData" hidden="1">#REF!</definedName>
    <definedName name="Z_DB349C77_BBCF_4BF0_8906_770DC9CEB279_.wvu.FilterData" hidden="1">#REF!</definedName>
    <definedName name="Z_DBA9A16F_C863_43D6_BEF6_4907AD7FF11A_.wvu.FilterData" hidden="1">#REF!</definedName>
    <definedName name="Z_DC39DC03_5BF1_41DE_A26D_8DA774859990_.wvu.FilterData" hidden="1">#REF!</definedName>
    <definedName name="Z_DC4BE57B_E9B6_4823_AAB5_0B4AD0A1C9F8_.wvu.FilterData" hidden="1">#REF!</definedName>
    <definedName name="Z_DD40B456_B833_4D7B_A3C9_47AA2D6A0830_.wvu.FilterData" hidden="1">#REF!</definedName>
    <definedName name="Z_DDC9046D_2716_4CA3_9471_7091058B3C12_.wvu.FilterData" hidden="1">#REF!</definedName>
    <definedName name="Z_DF3B204A_F509_4DA0_BCB7_F89536B5FEBF_.wvu.FilterData" hidden="1">#REF!</definedName>
    <definedName name="Z_E3FFE9E0_6C4F_4FB4_A56E_FBE96871B5C8_.wvu.Cols">#REF!,#REF!</definedName>
    <definedName name="Z_E3FFE9E0_6C4F_4FB4_A56E_FBE96871B5C8_.wvu.FilterData" hidden="1">#REF!</definedName>
    <definedName name="Z_E42D429F_E4E8_41D2_9176_83C726BAF8E3_.wvu.FilterData" hidden="1">#REF!</definedName>
    <definedName name="Z_E491B72F_902A_11D7_9C1E_0004231B06E7_.wvu.FilterData" hidden="1">#REF!</definedName>
    <definedName name="Z_E491B77E_902A_11D7_9C1E_0004231B06E7_.wvu.FilterData" hidden="1">#REF!</definedName>
    <definedName name="Z_E4A534A8_CD89_4423_9F3F_8134353F3CAC_.wvu.FilterData" hidden="1">#REF!</definedName>
    <definedName name="Z_E4E1532E_DC25_47E7_8CAC_8E70342889F1_.wvu.FilterData" hidden="1">#REF!</definedName>
    <definedName name="Z_E74731A0_5CEF_4B97_AFDD_B1DCA3953478_.wvu.FilterData" hidden="1">#REF!</definedName>
    <definedName name="Z_E7582842_0D7F_4174_A223_2AB1DD8C9047_.wvu.FilterData" hidden="1">#REF!</definedName>
    <definedName name="Z_E7E3B215_0D2B_424B_B9A9_091ABF42A9B2_.wvu.FilterData" hidden="1">#REF!</definedName>
    <definedName name="Z_E833D806_B408_4951_8EA0_84873DD98CC6_.wvu.FilterData" hidden="1">#REF!</definedName>
    <definedName name="Z_E84FA520_D8B7_472A_9913_1B62E15D532D_.wvu.FilterData" hidden="1">#REF!</definedName>
    <definedName name="Z_E856A7FB_F0DE_4CE8_85BE_FBD78193AF0B_.wvu.FilterData" hidden="1">#REF!</definedName>
    <definedName name="Z_E8B81FC8_C17A_451A_B505_641DE5886245_.wvu.FilterData" hidden="1">#REF!</definedName>
    <definedName name="Z_EA900FC6_5EC3_4E18_9ED9_37FAC8862A4C_.wvu.FilterData" hidden="1">#REF!</definedName>
    <definedName name="Z_EC12F0CE_807C_4CF2_B52D_1E5945238C05_.wvu.FilterData" hidden="1">#REF!</definedName>
    <definedName name="Z_EC74CDC8_4C91_4C55_BE9F_24DF0A9793FF_.wvu.FilterData" hidden="1">#REF!</definedName>
    <definedName name="Z_ED3E33DB_FBFA_4FDE_929F_AD12074101A3_.wvu.FilterData" hidden="1">#REF!</definedName>
    <definedName name="Z_EE21DFC7_81AA_40DA_B313_9BC83DA41DD6_.wvu.FilterData" hidden="1">#REF!</definedName>
    <definedName name="Z_EE5311D7_3149_40F1_82F5_7EEC6ACB6C85_.wvu.FilterData" hidden="1">#REF!</definedName>
    <definedName name="Z_EEE8CD21_C3A5_4786_B8BE_B9E68F0A5347_.wvu.FilterData" hidden="1">#REF!</definedName>
    <definedName name="Z_F0522591_4E2E_4AD6_B99B_B69551272A68_.wvu.FilterData" hidden="1">#REF!</definedName>
    <definedName name="Z_F1326E0B_5376_4D6E_9BC8_214AA525DE83_.wvu.FilterData" hidden="1">#REF!</definedName>
    <definedName name="Z_F2145668_4090_4220_8C3C_9C4DCC7A01D1_.wvu.Cols">#REF!</definedName>
    <definedName name="Z_F2145668_4090_4220_8C3C_9C4DCC7A01D1_.wvu.FilterData" hidden="1">#REF!</definedName>
    <definedName name="Z_F300E2D5_C458_4E4B_AB71_FF06367EF684_.wvu.FilterData" hidden="1">#REF!</definedName>
    <definedName name="Z_F3F443DB_8EE1_48F9_9BF4_EAF21EDD719F_.wvu.FilterData" hidden="1">#REF!</definedName>
    <definedName name="Z_F6923408_DB58_4A59_8717_D0133A922204_.wvu.FilterData" hidden="1">#REF!</definedName>
    <definedName name="Z_F9CB3A99_6D24_412C_93C4_575819594890_.wvu.FilterData" hidden="1">#REF!</definedName>
    <definedName name="Z_FA40CB26_17FE_4901_96A4_2176E8FA5EEE_.wvu.FilterData" hidden="1">#REF!</definedName>
    <definedName name="Z_FC4D1412_4B52_4393_A184_1BAD70B9C231_.wvu.FilterData" hidden="1">#REF!</definedName>
    <definedName name="Z_FD259A29_AD61_4284_9BC7_5C3B20DD002B_.wvu.FilterData" hidden="1">#REF!</definedName>
    <definedName name="Z_FDFF93A6_D487_497C_8FA1_B8636451E74C_.wvu.FilterData" hidden="1">#REF!</definedName>
    <definedName name="Z_FE37516D_56E4_424C_8DE6_6B2719F76EF4_.wvu.FilterData" hidden="1">#REF!</definedName>
    <definedName name="Z_FEBB3479_FB57_4CDC_BCCD_5D8B83257FC7_.wvu.FilterData" hidden="1">#REF!</definedName>
    <definedName name="zcdçskld">{#N/A,#N/A,FALSE,"Plan1";#N/A,#N/A,FALSE,"Plan2"}</definedName>
    <definedName name="zcsdrfrt">{#N/A,#N/A,FALSE,"Plan1";#N/A,#N/A,FALSE,"Plan2"}</definedName>
    <definedName name="ZDRE">{#N/A,#N/A,FALSE,"Plan1";#N/A,#N/A,FALSE,"Plan2"}</definedName>
    <definedName name="ZEZE">#REF!</definedName>
    <definedName name="ZIN">#REF!</definedName>
    <definedName name="ZINS">#REF!</definedName>
    <definedName name="ZSADF">{#N/A,#N/A,FALSE,"Plan1";#N/A,#N/A,FALSE,"Plan2"}</definedName>
    <definedName name="zsads">{#N/A,#N/A,FALSE,"Plan1";#N/A,#N/A,FALSE,"Plan2"}</definedName>
    <definedName name="ZSDFSETR">#REF!</definedName>
    <definedName name="zsdsf">{TRUE,TRUE,-1.25,-15.5,604.5,366.75,FALSE,FALSE,TRUE,TRUE,0,1,#N/A,1,#N/A,9.0125,24.4117647058824,1,FALSE,FALSE,3,TRUE,1,FALSE,100,"Swvu.PLANILHA2.","ACwvu.PLANILHA2.",#N/A,FALSE,FALSE,0.787401575,0.34,0.46,0.5,1,"","",FALSE,FALSE,FALSE,FALSE,1,#N/A,1,1,FALSE,FALSE,#N/A,#N/A,FALSE,FALSE,FALSE,9,65532,65532,FALSE,FALSE,TRUE,TRUE,TRUE}</definedName>
    <definedName name="zsdwer">{TRUE,TRUE,-1.25,-15.5,604.5,366.75,FALSE,FALSE,TRUE,TRUE,0,1,#N/A,1,#N/A,9.0125,24.4117647058824,1,FALSE,FALSE,3,TRUE,1,FALSE,100,"Swvu.PLANILHA2.","ACwvu.PLANILHA2.",#N/A,FALSE,FALSE,0.787401575,0.34,0.46,0.5,1,"","",FALSE,FALSE,FALSE,FALSE,1,#N/A,1,1,FALSE,FALSE,#N/A,#N/A,FALSE,FALSE,FALSE,9,65532,65532,FALSE,FALSE,TRUE,TRUE,TRUE}</definedName>
    <definedName name="zxccdf">{#N/A,#N/A,FALSE,"Plan1";#N/A,#N/A,FALSE,"Plan2"}</definedName>
    <definedName name="zxcdsf">#REF!</definedName>
    <definedName name="zxcfdstrrt">{#N/A,#N/A,FALSE,"Plan1";#N/A,#N/A,FALSE,"Plan2"}</definedName>
    <definedName name="zxcx">{#N/A,#N/A,FALSE,"Plan1";#N/A,#N/A,FALSE,"Plan2"}</definedName>
    <definedName name="ZXFCRF">{TRUE,TRUE,-1.25,-15.5,604.5,366.75,FALSE,FALSE,TRUE,TRUE,0,1,#N/A,1,#N/A,9.0125,24.4117647058824,1,FALSE,FALSE,3,TRUE,1,FALSE,100,"Swvu.PLANILHA2.","ACwvu.PLANILHA2.",#N/A,FALSE,FALSE,0.787401575,0.34,0.46,0.5,1,"","",FALSE,FALSE,FALSE,FALSE,1,#N/A,1,1,FALSE,FALSE,#N/A,#N/A,FALSE,FALSE,FALSE,9,65532,65532,FALSE,FALSE,TRUE,TRUE,TRUE}</definedName>
    <definedName name="ZXFHDFRHDF">{#N/A,#N/A,FALSE,"Plan1";#N/A,#N/A,FALSE,"Plan2"}</definedName>
    <definedName name="ZZ">#REF!</definedName>
    <definedName name="zzdftr">{#N/A,#N/A,FALSE,"Plan1";#N/A,#N/A,FALSE,"Plan2"}</definedName>
    <definedName name="zzz">#REF!</definedName>
    <definedName name="ㄱ">{#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ㄱㄷㄱㄱㅎㄺㄷ">{"'장비'!$A$3:$M$12"}</definedName>
    <definedName name="가나다">#REF!</definedName>
    <definedName name="검증">{#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가">{#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조건">#REF!</definedName>
    <definedName name="계약고햔황2">#REF!</definedName>
    <definedName name="계약고현황2">#REF!</definedName>
    <definedName name="고문">{#N/A,#N/A,FALSE,"현장 NCR 분석";#N/A,#N/A,FALSE,"현장품질감사";#N/A,#N/A,FALSE,"현장품질감사"}</definedName>
    <definedName name="고문2">{#N/A,#N/A,FALSE,"현장 NCR 분석";#N/A,#N/A,FALSE,"현장품질감사";#N/A,#N/A,FALSE,"현장품질감사"}</definedName>
    <definedName name="공공공표">{#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구분표_수정">{#N/A,#N/A,FALSE,"ENG'G(보호계전기)"}</definedName>
    <definedName name="공급표표">{#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진도율적용">{#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표">{#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양1소결합리화">{#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름">{#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분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두성">{#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ㄴㄴ">#REF!</definedName>
    <definedName name="내역">{#N/A,#N/A,FALSE,"CCTV"}</definedName>
    <definedName name="ㄷㄳ">{"'장비'!$A$3:$M$12"}</definedName>
    <definedName name="ㄷㄷㄷㄷ">{"'장비'!$A$3:$M$12"}</definedName>
    <definedName name="ㄷㅈㅂㄷ">{"'장비'!$A$3:$M$12"}</definedName>
    <definedName name="당초계획">#REF!</definedName>
    <definedName name="도면외주">#REF!</definedName>
    <definedName name="도면용역비">#REF!</definedName>
    <definedName name="ㄹㄹ">{"'장비'!$A$3:$M$12"}</definedName>
    <definedName name="ㄹㄹㄹ">#REF!</definedName>
    <definedName name="랄">{#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러러">{#N/A,#N/A,FALSE,"현장 NCR 분석";#N/A,#N/A,FALSE,"현장품질감사";#N/A,#N/A,FALSE,"현장품질감사"}</definedName>
    <definedName name="ㅁ">{#N/A,#N/A,FALSE,"명세표"}</definedName>
    <definedName name="ㅁㄱ해ㅜ5">#REF!</definedName>
    <definedName name="ㅁㄴ">{#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ㄹ">{#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ㄻㄴㅇㄻㄴㅇ">{#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ㅁ">{#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ㅁ">{#N/A,#N/A,FALSE,"명세표"}</definedName>
    <definedName name="ㅁㅁㅁ">#REF!</definedName>
    <definedName name="ㅁㅁㅁㅁㅁㅁㅁㅁㅁㅁㅁㅁ">{#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ㅇㄻㄴ">{#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머">{#N/A,#N/A,FALSE,"명세표"}</definedName>
    <definedName name="ㅂㅂㅂㅂ">{#N/A,#N/A,FALSE,"명세표"}</definedName>
    <definedName name="ㅂㅂㅂㅂㅂㅂㅂ">{#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ㅈㄱㅂㅈㄷㄱ">{"'장비'!$A$3:$M$12"}</definedName>
    <definedName name="ㅂㅈㄷ">{"'장비'!$A$3:$M$12"}</definedName>
    <definedName name="ㅂㅈㄷㄷㅂㅈㅈㅂ">{"'장비'!$A$3:$M$12"}</definedName>
    <definedName name="ㅂㅈㄷㅂㅈ">{"'장비'!$A$3:$M$12"}</definedName>
    <definedName name="ㅂㅈㄷㅂㅈㅈㅂㄷ">{"'장비'!$A$3:$M$12"}</definedName>
    <definedName name="ㅂㅈㄷㅈㅂㄷ">{"'장비'!$A$3:$M$12"}</definedName>
    <definedName name="보">{#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보충">#REF!</definedName>
    <definedName name="보호">{#N/A,#N/A,FALSE,"ENG'G(보호계전기)"}</definedName>
    <definedName name="본공사공정표">{#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부대공사">#REF!</definedName>
    <definedName name="부손익">{#N/A,#N/A,FALSE,"현장 NCR 분석";#N/A,#N/A,FALSE,"현장품질감사";#N/A,#N/A,FALSE,"현장품질감사"}</definedName>
    <definedName name="분야">{#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ㅅㄱㄱㄷ">{"'장비'!$A$3:$M$12"}</definedName>
    <definedName name="ㅅㅅㅅㅅㅅ">{"'장비'!$A$3:$M$12"}</definedName>
    <definedName name="사업">{#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계획수정">#REF!</definedName>
    <definedName name="사업관리">{#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부양식2">#REF!</definedName>
    <definedName name="산출">#REF!</definedName>
    <definedName name="새안">{#N/A,#N/A,FALSE,"TABLE"}</definedName>
    <definedName name="석항">{#N/A,#N/A,FALSE,"명세표"}</definedName>
    <definedName name="설계현황">{#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손익계산서">#REF!</definedName>
    <definedName name="쇼ㅗㅎ로">{"'장비'!$A$3:$M$12"}</definedName>
    <definedName name="수">#REF!</definedName>
    <definedName name="수당">#REF!</definedName>
    <definedName name="신설">{#N/A,#N/A,FALSE,"명세표"}</definedName>
    <definedName name="실적총괄1">#REF!</definedName>
    <definedName name="실총">#REF!</definedName>
    <definedName name="ㅇㄹㄹ">#REF!</definedName>
    <definedName name="ㅇㅇ">{#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ㅇㅇㅇㅇ">#REF!</definedName>
    <definedName name="양식변경12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적용">{#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구조건참조">{#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이">{#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월">#REF!</definedName>
    <definedName name="이이">{#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ㅈ">{#N/A,#N/A,FALSE,"명세표"}</definedName>
    <definedName name="ㅈㅈㅈㅈ">{#N/A,#N/A,FALSE,"명세표"}</definedName>
    <definedName name="자미">{#N/A,#N/A,FALSE,"명세표"}</definedName>
    <definedName name="자운">#REF!</definedName>
    <definedName name="자재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계장금액">#REF!</definedName>
    <definedName name="전기사양_SAMPLE">{#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상세공정">{#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선조장">#REF!</definedName>
    <definedName name="조직표현장">#REF!</definedName>
    <definedName name="종합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설계현황">{#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중량비교검토">{#N/A,#N/A,FALSE,"ENG'G(보호계전기)"}</definedName>
    <definedName name="집계">{#N/A,#N/A,FALSE,"명세표"}</definedName>
    <definedName name="철골공정">{#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ㅋㅁ">{#N/A,#N/A,FALSE,"명세표"}</definedName>
    <definedName name="ㅋㅋㅋ">{#N/A,#N/A,FALSE,"명세표"}</definedName>
    <definedName name="ㅌㅌ">{#N/A,#N/A,FALSE,"명세표"}</definedName>
    <definedName name="토">{#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토목">{#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ㅎㅎ">{"'장비'!$A$3:$M$12"}</definedName>
    <definedName name="하하하">{#N/A,#N/A,FALSE,"명세표"}</definedName>
    <definedName name="한국">{#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장계기류">{#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호호호">{#N/A,#N/A,FALSE,"명세표"}</definedName>
    <definedName name="ㅏㅏㅏ">{#N/A,#N/A,FALSE,"명세표"}</definedName>
    <definedName name="ㅔㅔ">{#N/A,#N/A,FALSE,"명세표"}</definedName>
    <definedName name="ㅔㅔㅔㅔㅔ">{#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홓ㅎ로">{"'장비'!$A$3:$M$12"}</definedName>
    <definedName name="ㅗㅗ">{#N/A,#N/A,FALSE,"명세표"}</definedName>
    <definedName name="ㅗㅗㅗㅗㅗ">{"'장비'!$A$3:$M$12"}</definedName>
    <definedName name="ㅛ">{"'장비'!$A$3:$M$12"}</definedName>
    <definedName name="ㅛㅕㅛㅕㅛ">{#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ㅛㅛㅛ">{"'장비'!$A$3:$M$12"}</definedName>
    <definedName name="ㅜ">{#N/A,#N/A,FALSE,"명세표"}</definedName>
    <definedName name="ㅠㅠ">{#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ㅡㅡ">{#N/A,#N/A,FALSE,"명세표"}</definedName>
    <definedName name="\0" localSheetId="0">#REF!</definedName>
    <definedName name="\a" localSheetId="0">#REF!</definedName>
    <definedName name="\m" localSheetId="0">#REF!</definedName>
    <definedName name="\xasd" localSheetId="0" hidden="1">{#N/A,#N/A,FALSE,"Plan1";#N/A,#N/A,FALSE,"Plan2"}</definedName>
    <definedName name="_" localSheetId="0" hidden="1">#REF!</definedName>
    <definedName name="_\m" localSheetId="0">#REF!</definedName>
    <definedName name="_\xasd" localSheetId="0" hidden="1">{#N/A,#N/A,FALSE,"Plan1";#N/A,#N/A,FALSE,"Plan2"}</definedName>
    <definedName name="_\z" localSheetId="0">#REF!</definedName>
    <definedName name="__" localSheetId="0" hidden="1">#REF!</definedName>
    <definedName name="________________r1" localSheetId="0" hidden="1">{#N/A,#N/A,FALSE,"GERAL";#N/A,#N/A,FALSE,"012-96";#N/A,#N/A,FALSE,"018-96";#N/A,#N/A,FALSE,"027-96";#N/A,#N/A,FALSE,"059-96";#N/A,#N/A,FALSE,"076-96";#N/A,#N/A,FALSE,"019-97";#N/A,#N/A,FALSE,"021-97";#N/A,#N/A,FALSE,"022-97";#N/A,#N/A,FALSE,"028-97"}</definedName>
    <definedName name="______________r1" localSheetId="0" hidden="1">{#N/A,#N/A,FALSE,"GERAL";#N/A,#N/A,FALSE,"012-96";#N/A,#N/A,FALSE,"018-96";#N/A,#N/A,FALSE,"027-96";#N/A,#N/A,FALSE,"059-96";#N/A,#N/A,FALSE,"076-96";#N/A,#N/A,FALSE,"019-97";#N/A,#N/A,FALSE,"021-97";#N/A,#N/A,FALSE,"022-97";#N/A,#N/A,FALSE,"028-97"}</definedName>
    <definedName name="_____________r1" localSheetId="0" hidden="1">{#N/A,#N/A,FALSE,"GERAL";#N/A,#N/A,FALSE,"012-96";#N/A,#N/A,FALSE,"018-96";#N/A,#N/A,FALSE,"027-96";#N/A,#N/A,FALSE,"059-96";#N/A,#N/A,FALSE,"076-96";#N/A,#N/A,FALSE,"019-97";#N/A,#N/A,FALSE,"021-97";#N/A,#N/A,FALSE,"022-97";#N/A,#N/A,FALSE,"028-97"}</definedName>
    <definedName name="____________r1" localSheetId="0" hidden="1">{#N/A,#N/A,FALSE,"GERAL";#N/A,#N/A,FALSE,"012-96";#N/A,#N/A,FALSE,"018-96";#N/A,#N/A,FALSE,"027-96";#N/A,#N/A,FALSE,"059-96";#N/A,#N/A,FALSE,"076-96";#N/A,#N/A,FALSE,"019-97";#N/A,#N/A,FALSE,"021-97";#N/A,#N/A,FALSE,"022-97";#N/A,#N/A,FALSE,"028-97"}</definedName>
    <definedName name="___________r1" localSheetId="0" hidden="1">{#N/A,#N/A,FALSE,"GERAL";#N/A,#N/A,FALSE,"012-96";#N/A,#N/A,FALSE,"018-96";#N/A,#N/A,FALSE,"027-96";#N/A,#N/A,FALSE,"059-96";#N/A,#N/A,FALSE,"076-96";#N/A,#N/A,FALSE,"019-97";#N/A,#N/A,FALSE,"021-97";#N/A,#N/A,FALSE,"022-97";#N/A,#N/A,FALSE,"028-97"}</definedName>
    <definedName name="_________r1" localSheetId="0" hidden="1">{#N/A,#N/A,FALSE,"GERAL";#N/A,#N/A,FALSE,"012-96";#N/A,#N/A,FALSE,"018-96";#N/A,#N/A,FALSE,"027-96";#N/A,#N/A,FALSE,"059-96";#N/A,#N/A,FALSE,"076-96";#N/A,#N/A,FALSE,"019-97";#N/A,#N/A,FALSE,"021-97";#N/A,#N/A,FALSE,"022-97";#N/A,#N/A,FALSE,"028-97"}</definedName>
    <definedName name="________r1" localSheetId="0" hidden="1">{#N/A,#N/A,FALSE,"GERAL";#N/A,#N/A,FALSE,"012-96";#N/A,#N/A,FALSE,"018-96";#N/A,#N/A,FALSE,"027-96";#N/A,#N/A,FALSE,"059-96";#N/A,#N/A,FALSE,"076-96";#N/A,#N/A,FALSE,"019-97";#N/A,#N/A,FALSE,"021-97";#N/A,#N/A,FALSE,"022-97";#N/A,#N/A,FALSE,"028-97"}</definedName>
    <definedName name="_______r1" localSheetId="0" hidden="1">{#N/A,#N/A,FALSE,"GERAL";#N/A,#N/A,FALSE,"012-96";#N/A,#N/A,FALSE,"018-96";#N/A,#N/A,FALSE,"027-96";#N/A,#N/A,FALSE,"059-96";#N/A,#N/A,FALSE,"076-96";#N/A,#N/A,FALSE,"019-97";#N/A,#N/A,FALSE,"021-97";#N/A,#N/A,FALSE,"022-97";#N/A,#N/A,FALSE,"028-97"}</definedName>
    <definedName name="______r1" localSheetId="0" hidden="1">{#N/A,#N/A,FALSE,"GERAL";#N/A,#N/A,FALSE,"012-96";#N/A,#N/A,FALSE,"018-96";#N/A,#N/A,FALSE,"027-96";#N/A,#N/A,FALSE,"059-96";#N/A,#N/A,FALSE,"076-96";#N/A,#N/A,FALSE,"019-97";#N/A,#N/A,FALSE,"021-97";#N/A,#N/A,FALSE,"022-97";#N/A,#N/A,FALSE,"028-97"}</definedName>
    <definedName name="_____key2" localSheetId="0" hidden="1">#REF!</definedName>
    <definedName name="_____r1" localSheetId="0" hidden="1">{#N/A,#N/A,FALSE,"GERAL";#N/A,#N/A,FALSE,"012-96";#N/A,#N/A,FALSE,"018-96";#N/A,#N/A,FALSE,"027-96";#N/A,#N/A,FALSE,"059-96";#N/A,#N/A,FALSE,"076-96";#N/A,#N/A,FALSE,"019-97";#N/A,#N/A,FALSE,"021-97";#N/A,#N/A,FALSE,"022-97";#N/A,#N/A,FALSE,"028-97"}</definedName>
    <definedName name="____key2" localSheetId="0" hidden="1">#REF!</definedName>
    <definedName name="____la29" localSheetId="0" hidden="1">#REF!</definedName>
    <definedName name="____la3" localSheetId="0" hidden="1">#REF!</definedName>
    <definedName name="____PK2" localSheetId="0" hidden="1">{"'장비'!$A$3:$M$12"}</definedName>
    <definedName name="____PKG3" localSheetId="0" hidden="1">{"'장비'!$A$3:$M$12"}</definedName>
    <definedName name="____qqq222" localSheetId="0" hidden="1">{"'장비'!$A$3:$M$12"}</definedName>
    <definedName name="____r1" localSheetId="0" hidden="1">{#N/A,#N/A,FALSE,"GERAL";#N/A,#N/A,FALSE,"012-96";#N/A,#N/A,FALSE,"018-96";#N/A,#N/A,FALSE,"027-96";#N/A,#N/A,FALSE,"059-96";#N/A,#N/A,FALSE,"076-96";#N/A,#N/A,FALSE,"019-97";#N/A,#N/A,FALSE,"021-97";#N/A,#N/A,FALSE,"022-97";#N/A,#N/A,FALSE,"028-97"}</definedName>
    <definedName name="___CO2"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ECS1"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key2" localSheetId="0" hidden="1">#REF!</definedName>
    <definedName name="___la29" localSheetId="0" hidden="1">#REF!</definedName>
    <definedName name="___la3" localSheetId="0" hidden="1">#REF!</definedName>
    <definedName name="___PK2" localSheetId="0" hidden="1">{"'장비'!$A$3:$M$12"}</definedName>
    <definedName name="___PKG3" localSheetId="0" hidden="1">{"'장비'!$A$3:$M$12"}</definedName>
    <definedName name="___qqq222" localSheetId="0" hidden="1">{"'장비'!$A$3:$M$12"}</definedName>
    <definedName name="___r1" localSheetId="0" hidden="1">{#N/A,#N/A,FALSE,"GERAL";#N/A,#N/A,FALSE,"012-96";#N/A,#N/A,FALSE,"018-96";#N/A,#N/A,FALSE,"027-96";#N/A,#N/A,FALSE,"059-96";#N/A,#N/A,FALSE,"076-96";#N/A,#N/A,FALSE,"019-97";#N/A,#N/A,FALSE,"021-97";#N/A,#N/A,FALSE,"022-97";#N/A,#N/A,FALSE,"028-97"}</definedName>
    <definedName name="__123Graph_AChart1" localSheetId="0" hidden="1">#REF!</definedName>
    <definedName name="__123Graph_AGRA1" localSheetId="0" hidden="1">#REF!</definedName>
    <definedName name="__123Graph_ARES" localSheetId="0" hidden="1">#REF!</definedName>
    <definedName name="__123Graph_B" localSheetId="0" hidden="1">#REF!</definedName>
    <definedName name="__123Graph_BChart1" localSheetId="0" hidden="1">#REF!</definedName>
    <definedName name="__123Graph_C" localSheetId="0" hidden="1">#REF!</definedName>
    <definedName name="__123Graph_D" localSheetId="0" hidden="1">#REF!</definedName>
    <definedName name="__123Graph_X" localSheetId="0" hidden="1">#REF!</definedName>
    <definedName name="__123Graph_XChart1" localSheetId="0" hidden="1">#REF!</definedName>
    <definedName name="__123Graph_XGRA1" localSheetId="0" hidden="1">#REF!</definedName>
    <definedName name="__123Graph_XRES" localSheetId="0" hidden="1">#REF!</definedName>
    <definedName name="__CO2"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CS1"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key2" localSheetId="0" hidden="1">#REF!</definedName>
    <definedName name="__la29" localSheetId="0" hidden="1">#REF!</definedName>
    <definedName name="__la3" localSheetId="0" hidden="1">#REF!</definedName>
    <definedName name="__PK2" localSheetId="0" hidden="1">{"'장비'!$A$3:$M$12"}</definedName>
    <definedName name="__PKG3" localSheetId="0" hidden="1">{"'장비'!$A$3:$M$12"}</definedName>
    <definedName name="__qqq222" localSheetId="0" hidden="1">{"'장비'!$A$3:$M$12"}</definedName>
    <definedName name="__r1" localSheetId="0" hidden="1">{#N/A,#N/A,FALSE,"GERAL";#N/A,#N/A,FALSE,"012-96";#N/A,#N/A,FALSE,"018-96";#N/A,#N/A,FALSE,"027-96";#N/A,#N/A,FALSE,"059-96";#N/A,#N/A,FALSE,"076-96";#N/A,#N/A,FALSE,"019-97";#N/A,#N/A,FALSE,"021-97";#N/A,#N/A,FALSE,"022-97";#N/A,#N/A,FALSE,"028-97"}</definedName>
    <definedName name="__r2" localSheetId="0" hidden="1">{#N/A,#N/A,FALSE,"GERAL";#N/A,#N/A,FALSE,"012-96";#N/A,#N/A,FALSE,"018-96";#N/A,#N/A,FALSE,"027-96";#N/A,#N/A,FALSE,"059-96";#N/A,#N/A,FALSE,"076-96";#N/A,#N/A,FALSE,"019-97";#N/A,#N/A,FALSE,"021-97";#N/A,#N/A,FALSE,"022-97";#N/A,#N/A,FALSE,"028-97"}</definedName>
    <definedName name="_1__123Graph_ACHART_1" localSheetId="0" hidden="1">#REF!</definedName>
    <definedName name="_10__123Graph_CCHART_1" localSheetId="0" hidden="1">#REF!</definedName>
    <definedName name="_11__123Graph_DCHART_1" localSheetId="0" hidden="1">#REF!</definedName>
    <definedName name="_2__123Graph_BCHART_1" localSheetId="0" hidden="1">#REF!</definedName>
    <definedName name="_3__123Graph_XCHART_1" localSheetId="0" hidden="1">#REF!</definedName>
    <definedName name="_5__123Graph_ACHART_1" localSheetId="0" hidden="1">#REF!</definedName>
    <definedName name="_7__123Graph_ACHART_2" localSheetId="0" hidden="1">#REF!</definedName>
    <definedName name="_9__123Graph_BCHART_2" localSheetId="0" hidden="1">#REF!</definedName>
    <definedName name="_Builtin13" localSheetId="0" hidden="1">#REF!</definedName>
    <definedName name="_CO2"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Dist_Bin" localSheetId="0" hidden="1">#REF!</definedName>
    <definedName name="_Dist_Values" localSheetId="0" hidden="1">#REF!</definedName>
    <definedName name="_ECS1"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Fill" localSheetId="0" hidden="1">#REF!</definedName>
    <definedName name="_fill1" localSheetId="0" hidden="1">#REF!</definedName>
    <definedName name="_IA0542" localSheetId="0" hidden="1">{#N/A,#N/A,FALSE,"Plan1";#N/A,#N/A,FALSE,"Plan2"}</definedName>
    <definedName name="_Key1" localSheetId="0" hidden="1">#REF!</definedName>
    <definedName name="_Key2" localSheetId="0" hidden="1">#REF!</definedName>
    <definedName name="_la29" localSheetId="0" hidden="1">#REF!</definedName>
    <definedName name="_la3" localSheetId="0" hidden="1">#REF!</definedName>
    <definedName name="_MatMult_A" localSheetId="0" hidden="1">#REF!</definedName>
    <definedName name="_new11" localSheetId="0" hidden="1">{#N/A,#N/A,FALSE,"Global by BU";#N/A,#N/A,FALSE,"U.S. by BU";#N/A,#N/A,FALSE,"Canada by BU";#N/A,#N/A,FALSE,"Europe by BU";#N/A,#N/A,FALSE,"Asia by BU";#N/A,#N/A,FALSE,"Cala by BU"}</definedName>
    <definedName name="_Order2" localSheetId="0" hidden="1">255</definedName>
    <definedName name="_Parse_Out" localSheetId="0" hidden="1">#REF!</definedName>
    <definedName name="_PK2" localSheetId="0" hidden="1">{"'장비'!$A$3:$M$12"}</definedName>
    <definedName name="_PKG3" localSheetId="0" hidden="1">{"'장비'!$A$3:$M$12"}</definedName>
    <definedName name="_qqq222" localSheetId="0" hidden="1">{"'장비'!$A$3:$M$12"}</definedName>
    <definedName name="_r1" localSheetId="0" hidden="1">{#N/A,#N/A,FALSE,"GERAL";#N/A,#N/A,FALSE,"012-96";#N/A,#N/A,FALSE,"018-96";#N/A,#N/A,FALSE,"027-96";#N/A,#N/A,FALSE,"059-96";#N/A,#N/A,FALSE,"076-96";#N/A,#N/A,FALSE,"019-97";#N/A,#N/A,FALSE,"021-97";#N/A,#N/A,FALSE,"022-97";#N/A,#N/A,FALSE,"028-97"}</definedName>
    <definedName name="_R2" localSheetId="0" hidden="1">{#N/A,#N/A,FALSE,"GERAL";#N/A,#N/A,FALSE,"012-96";#N/A,#N/A,FALSE,"018-96";#N/A,#N/A,FALSE,"027-96";#N/A,#N/A,FALSE,"059-96";#N/A,#N/A,FALSE,"076-96";#N/A,#N/A,FALSE,"019-97";#N/A,#N/A,FALSE,"021-97";#N/A,#N/A,FALSE,"022-97";#N/A,#N/A,FALSE,"028-97"}</definedName>
    <definedName name="_Regression_Out" localSheetId="0" hidden="1">#REF!</definedName>
    <definedName name="_Regression_X" localSheetId="0" hidden="1">#REF!</definedName>
    <definedName name="_Regression_Y" localSheetId="0" hidden="1">#REF!</definedName>
    <definedName name="_sfe5"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_Sort" localSheetId="0" hidden="1">#REF!</definedName>
    <definedName name="_Table1_In1" localSheetId="0" hidden="1">#REF!</definedName>
    <definedName name="_wer3" localSheetId="0" hidden="1">{#N/A,#N/A,FALSE,"Plan1";#N/A,#N/A,FALSE,"Plan2"}</definedName>
    <definedName name="_wrn.pendencias" localSheetId="0" hidden="1">{#N/A,#N/A,FALSE,"GERAL";#N/A,#N/A,FALSE,"012-96";#N/A,#N/A,FALSE,"018-96";#N/A,#N/A,FALSE,"027-96";#N/A,#N/A,FALSE,"059-96";#N/A,#N/A,FALSE,"076-96";#N/A,#N/A,FALSE,"019-97";#N/A,#N/A,FALSE,"021-97";#N/A,#N/A,FALSE,"022-97";#N/A,#N/A,FALSE,"028-97"}</definedName>
    <definedName name="_x10" localSheetId="0" hidden="1">#REF!</definedName>
    <definedName name="_x11" localSheetId="0" hidden="1">#REF!</definedName>
    <definedName name="_x12" localSheetId="0" hidden="1">#REF!</definedName>
    <definedName name="_xlcn.WorksheetConnection_2018_03ResumoRGOObrasRJ.xlsbTabela1" localSheetId="0" hidden="1">#REF!</definedName>
    <definedName name="_xlcn.WorksheetConnection_ProjetocontrolefisicoefinanceiroRJ.xlsxTabela31" localSheetId="0" hidden="1">#REF!</definedName>
    <definedName name="´cAE°eE¹" localSheetId="0" hidden="1">#REF!</definedName>
    <definedName name="a" localSheetId="0" hidden="1">#REF!</definedName>
    <definedName name="a\sgt" localSheetId="0" hidden="1">{#N/A,#N/A,FALSE,"Plan1";#N/A,#N/A,FALSE,"Plan2"}</definedName>
    <definedName name="aa" localSheetId="0">#REF!</definedName>
    <definedName name="AAAA"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aaaaaaaaa"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aaacccc" localSheetId="0" hidden="1">{#N/A,#N/A,FALSE,"Plan1";#N/A,#N/A,FALSE,"Plan2"}</definedName>
    <definedName name="AB"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bc"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BCD" localSheetId="0" hidden="1">#REF!</definedName>
    <definedName name="ac" localSheetId="0" hidden="1">#REF!</definedName>
    <definedName name="acdb" localSheetId="0" hidden="1">#REF!</definedName>
    <definedName name="ACDS" localSheetId="0" hidden="1">#REF!</definedName>
    <definedName name="achar18" localSheetId="0" hidden="1">#REF!</definedName>
    <definedName name="açoeeer" localSheetId="0" hidden="1">{#N/A,#N/A,FALSE,"Plan1";#N/A,#N/A,FALSE,"Plan2"}</definedName>
    <definedName name="ACwvu.Características." localSheetId="0" hidden="1">#REF!</definedName>
    <definedName name="ACwvu.Ciclos." localSheetId="0" hidden="1">#REF!</definedName>
    <definedName name="ACwvu.Custos." localSheetId="0" hidden="1">#REF!</definedName>
    <definedName name="ACwvu.PLANILHA2." localSheetId="0" hidden="1">#REF!</definedName>
    <definedName name="ad" localSheetId="0" hidden="1">{#N/A,#N/A,FALSE,"Plan1";#N/A,#N/A,FALSE,"Plan2"}</definedName>
    <definedName name="adads" localSheetId="0" hidden="1">{#N/A,#N/A,FALSE,"Plan1";#N/A,#N/A,FALSE,"Plan2"}</definedName>
    <definedName name="adads2" localSheetId="0" hidden="1">{#N/A,#N/A,FALSE,"Plan1";#N/A,#N/A,FALSE,"Plan2"}</definedName>
    <definedName name="adced" localSheetId="0" hidden="1">{#N/A,#N/A,FALSE,"Plan1";#N/A,#N/A,FALSE,"Plan2"}</definedName>
    <definedName name="adced2" localSheetId="0" hidden="1">{#N/A,#N/A,FALSE,"Plan1";#N/A,#N/A,FALSE,"Plan2"}</definedName>
    <definedName name="ader" localSheetId="0" hidden="1">{#N/A,#N/A,FALSE,"Plan1";#N/A,#N/A,FALSE,"Plan2"}</definedName>
    <definedName name="ader2" localSheetId="0" hidden="1">{#N/A,#N/A,FALSE,"Plan1";#N/A,#N/A,FALSE,"Plan2"}</definedName>
    <definedName name="adesr" localSheetId="0" hidden="1">{#N/A,#N/A,FALSE,"Plan1";#N/A,#N/A,FALSE,"Plan2"}</definedName>
    <definedName name="adewr" localSheetId="0" hidden="1">{#N/A,#N/A,FALSE,"Plan1";#N/A,#N/A,FALSE,"Plan2"}</definedName>
    <definedName name="adf" localSheetId="0" hidden="1">{#N/A,#N/A,FALSE,"Plan1";#N/A,#N/A,FALSE,"Plan2"}</definedName>
    <definedName name="adsfr" localSheetId="0" hidden="1">{#N/A,#N/A,FALSE,"Plan1";#N/A,#N/A,FALSE,"Plan2"}</definedName>
    <definedName name="adssrgtg" localSheetId="0" hidden="1">{#N/A,#N/A,FALSE,"Plan1";#N/A,#N/A,FALSE,"Plan2"}</definedName>
    <definedName name="adtsetrr6t" localSheetId="0" hidden="1">{#N/A,#N/A,FALSE,"Plan1";#N/A,#N/A,FALSE,"Plan2"}</definedName>
    <definedName name="adwr" localSheetId="0" hidden="1">{#N/A,#N/A,FALSE,"Plan1";#N/A,#N/A,FALSE,"Plan2"}</definedName>
    <definedName name="aeiresft" localSheetId="0" hidden="1">{#N/A,#N/A,FALSE,"Plan1";#N/A,#N/A,FALSE,"Plan2"}</definedName>
    <definedName name="aEL3QE" localSheetId="0" hidden="1">{#N/A,#N/A,FALSE,"Plan1";#N/A,#N/A,FALSE,"Plan2"}</definedName>
    <definedName name="afeasfre" localSheetId="0" hidden="1">{#N/A,#N/A,FALSE,"Plan1";#N/A,#N/A,FALSE,"Plan2"}</definedName>
    <definedName name="agdsf" localSheetId="0" hidden="1">#REF!</definedName>
    <definedName name="agua" localSheetId="0" hidden="1">{#N/A,#N/A,FALSE,"GERAL";#N/A,#N/A,FALSE,"012-96";#N/A,#N/A,FALSE,"018-96";#N/A,#N/A,FALSE,"027-96";#N/A,#N/A,FALSE,"059-96";#N/A,#N/A,FALSE,"076-96";#N/A,#N/A,FALSE,"019-97";#N/A,#N/A,FALSE,"021-97";#N/A,#N/A,FALSE,"022-97";#N/A,#N/A,FALSE,"028-97"}</definedName>
    <definedName name="AH" localSheetId="0" hidden="1">{#N/A,#N/A,FALSE,"CCTV"}</definedName>
    <definedName name="angelo" localSheetId="0">#REF!</definedName>
    <definedName name="anscount" localSheetId="0" hidden="1">3</definedName>
    <definedName name="AQE" localSheetId="0" hidden="1">{"'장비'!$A$3:$M$12"}</definedName>
    <definedName name="ArComprimido" localSheetId="0" hidden="1">{"'Estimativa de Lançamento-JAN'!$A$1:$AI$85"}</definedName>
    <definedName name="area" localSheetId="0" hidden="1">{#N/A,#N/A,FALSE,"Plan1";#N/A,#N/A,FALSE,"Plan2"}</definedName>
    <definedName name="Área_Construída" localSheetId="0">#REF!</definedName>
    <definedName name="Área_Privativa" localSheetId="0">#REF!</definedName>
    <definedName name="Área_Terreno" localSheetId="0">#REF!</definedName>
    <definedName name="Areaimpresso" localSheetId="0">#REF!</definedName>
    <definedName name="asawe3" localSheetId="0" hidden="1">{#N/A,#N/A,FALSE,"Plan1";#N/A,#N/A,FALSE,"Plan2"}</definedName>
    <definedName name="ASD" localSheetId="0" hidden="1">17</definedName>
    <definedName name="ASDA" localSheetId="0" hidden="1">{#N/A,#N/A,FALSE,"Plan1";#N/A,#N/A,FALSE,"Plan2"}</definedName>
    <definedName name="asdade" localSheetId="0" hidden="1">{#N/A,#N/A,FALSE,"Plan1";#N/A,#N/A,FALSE,"Plan2"}</definedName>
    <definedName name="asdas" localSheetId="0" hidden="1">{#N/A,#N/A,FALSE,"Plan1";#N/A,#N/A,FALSE,"Plan2"}</definedName>
    <definedName name="asdawed" localSheetId="0" hidden="1">{#N/A,#N/A,FALSE,"Plan1";#N/A,#N/A,FALSE,"Plan2"}</definedName>
    <definedName name="ASDER" localSheetId="0" hidden="1">{#N/A,#N/A,FALSE,"Plan1";#N/A,#N/A,FALSE,"Plan2"}</definedName>
    <definedName name="asderr" localSheetId="0" hidden="1">{#N/A,#N/A,FALSE,"Plan1";#N/A,#N/A,FALSE,"Plan2"}</definedName>
    <definedName name="asdesre" localSheetId="0" hidden="1">{#N/A,#N/A,FALSE,"Plan1";#N/A,#N/A,FALSE,"Plan2"}</definedName>
    <definedName name="asdewr" localSheetId="0" hidden="1">{#N/A,#N/A,FALSE,"Plan1";#N/A,#N/A,FALSE,"Plan2"}</definedName>
    <definedName name="ASDFASDFA"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ASDFADF"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rrt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asdfs" localSheetId="0" hidden="1">{#N/A,#N/A,FALSE,"Plan1";#N/A,#N/A,FALSE,"Plan2"}</definedName>
    <definedName name="asdg" localSheetId="0" hidden="1">{#N/A,#N/A,FALSE,"Plan1";#N/A,#N/A,FALSE,"Plan2"}</definedName>
    <definedName name="asdjksej" localSheetId="0" hidden="1">#REF!</definedName>
    <definedName name="asdked"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asdlas" localSheetId="0" hidden="1">{#N/A,#N/A,FALSE,"Plan1";#N/A,#N/A,FALSE,"Plan2"}</definedName>
    <definedName name="asdqwe" localSheetId="0" hidden="1">{#N/A,#N/A,FALSE,"Plan1";#N/A,#N/A,FALSE,"Plan2"}</definedName>
    <definedName name="asdsa" localSheetId="0" hidden="1">{#N/A,#N/A,FALSE,"Plan1";#N/A,#N/A,FALSE,"Plan2"}</definedName>
    <definedName name="asdser" localSheetId="0" hidden="1">{#N/A,#N/A,FALSE,"Plan1";#N/A,#N/A,FALSE,"Plan2"}</definedName>
    <definedName name="asdwef" localSheetId="0" hidden="1">{#N/A,#N/A,FALSE,"Plan1";#N/A,#N/A,FALSE,"Plan2"}</definedName>
    <definedName name="aseiuw" localSheetId="0" hidden="1">#REF!</definedName>
    <definedName name="ASET" localSheetId="0" hidden="1">{#N/A,#N/A,FALSE,"Plan1";#N/A,#N/A,FALSE,"Plan2"}</definedName>
    <definedName name="asfDSF" localSheetId="0" hidden="1">{#N/A,#N/A,FALSE,"Plan1";#N/A,#N/A,FALSE,"Plan2"}</definedName>
    <definedName name="ASFERTE" localSheetId="0" hidden="1">{#N/A,#N/A,FALSE,"Plan1";#N/A,#N/A,FALSE,"Plan2"}</definedName>
    <definedName name="asfl" localSheetId="0" hidden="1">{#N/A,#N/A,FALSE,"Plan1";#N/A,#N/A,FALSE,"Plan2"}</definedName>
    <definedName name="asfsz" localSheetId="0" hidden="1">{#N/A,#N/A,FALSE,"Plan1";#N/A,#N/A,FALSE,"Plan2"}</definedName>
    <definedName name="askserf" localSheetId="0" hidden="1">{#N/A,#N/A,FALSE,"Plan1";#N/A,#N/A,FALSE,"Plan2"}</definedName>
    <definedName name="ASSFSDF" localSheetId="0" hidden="1">{#N/A,#N/A,FALSE,"Plan1";#N/A,#N/A,FALSE,"Plan2"}</definedName>
    <definedName name="asw" localSheetId="0" hidden="1">{#N/A,#N/A,FALSE,"Plan1";#N/A,#N/A,FALSE,"Plan2"}</definedName>
    <definedName name="ATIVOS" localSheetId="0" hidden="1">{#N/A,#N/A,FALSE,"F-01"}</definedName>
    <definedName name="aux" localSheetId="0">#REF!</definedName>
    <definedName name="awdjw" localSheetId="0" hidden="1">{#N/A,#N/A,FALSE,"Plan1";#N/A,#N/A,FALSE,"Plan2"}</definedName>
    <definedName name="aweqw4" localSheetId="0" hidden="1">{#N/A,#N/A,FALSE,"Plan1";#N/A,#N/A,FALSE,"Plan2"}</definedName>
    <definedName name="awssdwaer" localSheetId="0" hidden="1">{#N/A,#N/A,FALSE,"Plan1";#N/A,#N/A,FALSE,"Plan2"}</definedName>
    <definedName name="AZ" localSheetId="0" hidden="1">#REF!</definedName>
    <definedName name="b" localSheetId="0" hidden="1">{#N/A,#N/A,FALSE,"Plan1";#N/A,#N/A,FALSE,"Plan2"}</definedName>
    <definedName name="bbbbbbbbbbbbbbb" localSheetId="0" hidden="1">{"'Edit'!$A$1:$V$2277"}</definedName>
    <definedName name="BDA" localSheetId="0">#REF!</definedName>
    <definedName name="bdfjghf" localSheetId="0" hidden="1">{#N/A,#N/A,FALSE,"Plan1";#N/A,#N/A,FALSE,"Plan2"}</definedName>
    <definedName name="BDI" localSheetId="0">#REF!</definedName>
    <definedName name="bdzbfbdr" localSheetId="0" hidden="1">{#N/A,#N/A,FALSE,"Plan1";#N/A,#N/A,FALSE,"Plan2"}</definedName>
    <definedName name="bg" localSheetId="0" hidden="1">#REF!</definedName>
    <definedName name="BGG" localSheetId="0" hidden="1">{#N/A,#N/A,FALSE,"Plan1";#N/A,#N/A,FALSE,"Plan2"}</definedName>
    <definedName name="bhjgfhfhg"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BJGO"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BJSDKHFE" localSheetId="0" hidden="1">{#N/A,#N/A,FALSE,"Plan1";#N/A,#N/A,FALSE,"Plan2"}</definedName>
    <definedName name="BLPH1" localSheetId="0" hidden="1">#REF!</definedName>
    <definedName name="BLPH100" localSheetId="0" hidden="1">#REF!</definedName>
    <definedName name="BLPH101" localSheetId="0" hidden="1">#REF!</definedName>
    <definedName name="BLPH102" localSheetId="0" hidden="1">#REF!</definedName>
    <definedName name="BLPH103" localSheetId="0" hidden="1">#REF!</definedName>
    <definedName name="BLPH104" localSheetId="0" hidden="1">#REF!</definedName>
    <definedName name="BLPH96" localSheetId="0" hidden="1">#REF!</definedName>
    <definedName name="BLPH97" localSheetId="0" hidden="1">#REF!</definedName>
    <definedName name="BLPH98" localSheetId="0" hidden="1">#REF!</definedName>
    <definedName name="BLPH99" localSheetId="0" hidden="1">#REF!</definedName>
    <definedName name="bmdgghrtfde" localSheetId="0" hidden="1">{#N/A,#N/A,FALSE,"Plan1";#N/A,#N/A,FALSE,"Plan2"}</definedName>
    <definedName name="bnkjhjhdfxgt" localSheetId="0" hidden="1">{#N/A,#N/A,FALSE,"Plan1";#N/A,#N/A,FALSE,"Plan2"}</definedName>
    <definedName name="BORDA1" localSheetId="0">#N/A</definedName>
    <definedName name="BV" localSheetId="0" hidden="1">#REF!</definedName>
    <definedName name="bxnzfmkzxbhdf" localSheetId="0" hidden="1">{#N/A,#N/A,FALSE,"Plan1";#N/A,#N/A,FALSE,"Plan2"}</definedName>
    <definedName name="ca" localSheetId="0">#REF!</definedName>
    <definedName name="CAB" localSheetId="0">#N/A</definedName>
    <definedName name="caixas" localSheetId="0" hidden="1">{#N/A,#N/A,FALSE,"GERAL";#N/A,#N/A,FALSE,"012-96";#N/A,#N/A,FALSE,"018-96";#N/A,#N/A,FALSE,"027-96";#N/A,#N/A,FALSE,"059-96";#N/A,#N/A,FALSE,"076-96";#N/A,#N/A,FALSE,"019-97";#N/A,#N/A,FALSE,"021-97";#N/A,#N/A,FALSE,"022-97";#N/A,#N/A,FALSE,"028-97"}</definedName>
    <definedName name="çaos\ewapo" localSheetId="0" hidden="1">{#N/A,#N/A,FALSE,"Plan1";#N/A,#N/A,FALSE,"Plan2"}</definedName>
    <definedName name="Capa" localSheetId="0">#REF!</definedName>
    <definedName name="CAT6_IP" localSheetId="0" hidden="1">{#N/A,#N/A,FALSE,"F-01"}</definedName>
    <definedName name="ççç" localSheetId="0" hidden="1">{#N/A,#N/A,FALSE,"Plan1";#N/A,#N/A,FALSE,"Plan2"}</definedName>
    <definedName name="cccc" localSheetId="0" hidden="1">{#N/A,#N/A,FALSE,"Plan1";#N/A,#N/A,FALSE,"Plan2"}</definedName>
    <definedName name="ççççççç"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cccccccc"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cccccccccccccccc" localSheetId="0" hidden="1">{"HW",#N/A,FALSE,"1998"}</definedName>
    <definedName name="cchart1" localSheetId="0" hidden="1">#REF!</definedName>
    <definedName name="cchart10" localSheetId="0" hidden="1">#REF!</definedName>
    <definedName name="cchart11" localSheetId="0" hidden="1">#REF!</definedName>
    <definedName name="çcklfjk"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çdfmerf" localSheetId="0" hidden="1">{#N/A,#N/A,FALSE,"Plan1";#N/A,#N/A,FALSE,"Plan2"}</definedName>
    <definedName name="CDSGHE" localSheetId="0" hidden="1">{#N/A,#N/A,FALSE,"Plan1";#N/A,#N/A,FALSE,"Plan2"}</definedName>
    <definedName name="çfhjglkjhkljyhj"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çflçf" localSheetId="0" hidden="1">{#N/A,#N/A,FALSE,"Plan1";#N/A,#N/A,FALSE,"Plan2"}</definedName>
    <definedName name="chfch" localSheetId="0" hidden="1">{#N/A,#N/A,FALSE,"Plan1";#N/A,#N/A,FALSE,"Plan2"}</definedName>
    <definedName name="ÇJKRÇLFS" localSheetId="0" hidden="1">{"Econ Consolidado",#N/A,FALSE,"Econ Consol";"Fluxo de Caixa",#N/A,FALSE,"Fluxo Caixa";"Investimentos",#N/A,FALSE,"Investimentos"}</definedName>
    <definedName name="ÇJsrejtçe" localSheetId="0" hidden="1">{#N/A,#N/A,FALSE,"Plan1";#N/A,#N/A,FALSE,"Plan2"}</definedName>
    <definedName name="çkaçekow" localSheetId="0" hidden="1">{#N/A,#N/A,FALSE,"Plan1";#N/A,#N/A,FALSE,"Plan2"}</definedName>
    <definedName name="ÇKSDOEKR" localSheetId="0" hidden="1">{#N/A,#N/A,FALSE,"Plan1";#N/A,#N/A,FALSE,"Plan2"}</definedName>
    <definedName name="çl" localSheetId="0" hidden="1">{#N/A,#N/A,FALSE,"Plan1";#N/A,#N/A,FALSE,"Plan2"}</definedName>
    <definedName name="çlassde" localSheetId="0" hidden="1">{#N/A,#N/A,FALSE,"Plan1";#N/A,#N/A,FALSE,"Plan2"}</definedName>
    <definedName name="çlçlç" localSheetId="0" hidden="1">{#N/A,#N/A,FALSE,"Plan1";#N/A,#N/A,FALSE,"Plan2"}</definedName>
    <definedName name="çld" localSheetId="0" hidden="1">{#N/A,#N/A,FALSE,"Plan1";#N/A,#N/A,FALSE,"Plan2"}</definedName>
    <definedName name="çlererr" localSheetId="0" hidden="1">{#N/A,#N/A,FALSE,"Plan1";#N/A,#N/A,FALSE,"Plan2"}</definedName>
    <definedName name="çlertert" localSheetId="0" hidden="1">{#N/A,#N/A,FALSE,"Plan1";#N/A,#N/A,FALSE,"Plan2"}</definedName>
    <definedName name="çlkdflçkrlr" localSheetId="0" hidden="1">#REF!</definedName>
    <definedName name="çll" localSheetId="0" hidden="1">{#N/A,#N/A,FALSE,"Plan1";#N/A,#N/A,FALSE,"Plan2"}</definedName>
    <definedName name="CMC" localSheetId="0" hidden="1">{#N/A,#N/A,FALSE,"GERAL";#N/A,#N/A,FALSE,"012-96";#N/A,#N/A,FALSE,"018-96";#N/A,#N/A,FALSE,"027-96";#N/A,#N/A,FALSE,"059-96";#N/A,#N/A,FALSE,"076-96";#N/A,#N/A,FALSE,"019-97";#N/A,#N/A,FALSE,"021-97";#N/A,#N/A,FALSE,"022-97";#N/A,#N/A,FALSE,"028-97"}</definedName>
    <definedName name="CONFIRMAR" localSheetId="0" hidden="1">{#N/A,#N/A,TRUE,"Quinzena 01 à 15-04-98 "}</definedName>
    <definedName name="cont" localSheetId="0" hidden="1">{#N/A,#N/A,FALSE,"Plan1";#N/A,#N/A,FALSE,"Plan2"}</definedName>
    <definedName name="Controle_Tecnologico" localSheetId="0" hidden="1">{#N/A,#N/A,FALSE,"Plan1";#N/A,#N/A,FALSE,"Plan2"}</definedName>
    <definedName name="Controle_tecnologico1" localSheetId="0" hidden="1">#REF!</definedName>
    <definedName name="cronograma" localSheetId="0">#REF!</definedName>
    <definedName name="ÇSAÇDFW"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çsdkfçdrkt" localSheetId="0" hidden="1">#REF!</definedName>
    <definedName name="CSE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ÇSLÇDLFKD" localSheetId="0" hidden="1">{#N/A,#N/A,FALSE,"Plan1";#N/A,#N/A,FALSE,"Plan2"}</definedName>
    <definedName name="CTH" localSheetId="0" hidden="1">{#N/A,#N/A,FALSE,"GERAL";#N/A,#N/A,FALSE,"012-96";#N/A,#N/A,FALSE,"018-96";#N/A,#N/A,FALSE,"027-96";#N/A,#N/A,FALSE,"059-96";#N/A,#N/A,FALSE,"076-96";#N/A,#N/A,FALSE,"019-97";#N/A,#N/A,FALSE,"021-97";#N/A,#N/A,FALSE,"022-97";#N/A,#N/A,FALSE,"028-97"}</definedName>
    <definedName name="D" localSheetId="0">#REF!</definedName>
    <definedName name="dalmo" localSheetId="0" hidden="1">{#N/A,#N/A,FALSE,"GERAL";#N/A,#N/A,FALSE,"012-96";#N/A,#N/A,FALSE,"018-96";#N/A,#N/A,FALSE,"027-96";#N/A,#N/A,FALSE,"059-96";#N/A,#N/A,FALSE,"076-96";#N/A,#N/A,FALSE,"019-97";#N/A,#N/A,FALSE,"021-97";#N/A,#N/A,FALSE,"022-97";#N/A,#N/A,FALSE,"028-97"}</definedName>
    <definedName name="dasfrt" localSheetId="0" hidden="1">{#N/A,#N/A,FALSE,"Plan1";#N/A,#N/A,FALSE,"Plan2"}</definedName>
    <definedName name="DÇDL" localSheetId="0" hidden="1">{#N/A,#N/A,FALSE,"Plan1";#N/A,#N/A,FALSE,"Plan2"}</definedName>
    <definedName name="dchart26" localSheetId="0" hidden="1">#REF!</definedName>
    <definedName name="dchart31" localSheetId="0" hidden="1">#REF!</definedName>
    <definedName name="dcnsfgdjkgb" localSheetId="0" hidden="1">{#N/A,#N/A,FALSE,"Plan1";#N/A,#N/A,FALSE,"Plan2"}</definedName>
    <definedName name="DÇWK" localSheetId="0" hidden="1">{#N/A,#N/A,FALSE,"Plan1";#N/A,#N/A,FALSE,"Plan2"}</definedName>
    <definedName name="DD"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dd" localSheetId="0" hidden="1">{"'장비'!$A$3:$M$12"}</definedName>
    <definedName name="ddddd" localSheetId="0" hidden="1">{#N/A,#N/A,FALSE,"Plan1";#N/A,#N/A,FALSE,"Plan2"}</definedName>
    <definedName name="dde" localSheetId="0" hidden="1">{#N/A,#N/A,FALSE,"Plan1";#N/A,#N/A,FALSE,"Plan2"}</definedName>
    <definedName name="ddfs" localSheetId="0" hidden="1">#REF!</definedName>
    <definedName name="ddgfdvgdg"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DGSFG" localSheetId="0" hidden="1">{#N/A,#N/A,FALSE,"Plan1";#N/A,#N/A,FALSE,"Plan2"}</definedName>
    <definedName name="dede" localSheetId="0" hidden="1">{#N/A,#N/A,FALSE,"Plan1";#N/A,#N/A,FALSE,"Plan2"}</definedName>
    <definedName name="des" localSheetId="0" hidden="1">{#N/A,#N/A,FALSE,"Plan1";#N/A,#N/A,FALSE,"Plan2"}</definedName>
    <definedName name="desc" localSheetId="0" hidden="1">{#N/A,#N/A,FALSE,"Plan1";#N/A,#N/A,FALSE,"Plan2"}</definedName>
    <definedName name="d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FD" localSheetId="0" hidden="1">{#N/A,#N/A,FALSE,"명세표"}</definedName>
    <definedName name="dfdfty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fdjgfdfgdf" localSheetId="0" hidden="1">{#N/A,#N/A,FALSE,"Plan1";#N/A,#N/A,FALSE,"Plan2"}</definedName>
    <definedName name="dfdrtrr" localSheetId="0" hidden="1">{#N/A,#N/A,FALSE,"Plan1";#N/A,#N/A,FALSE,"Plan2"}</definedName>
    <definedName name="DFDSG" localSheetId="0" hidden="1">{#N/A,#N/A,FALSE,"Plan1";#N/A,#N/A,FALSE,"Plan2"}</definedName>
    <definedName name="dfer" localSheetId="0" hidden="1">{#N/A,#N/A,FALSE,"Plan1";#N/A,#N/A,FALSE,"Plan2"}</definedName>
    <definedName name="dffbty" localSheetId="0" hidden="1">{#N/A,#N/A,FALSE,"Plan1";#N/A,#N/A,FALSE,"Plan2"}</definedName>
    <definedName name="dffgk"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ffhg" localSheetId="0" hidden="1">{#N/A,#N/A,FALSE,"Plan1";#N/A,#N/A,FALSE,"Plan2"}</definedName>
    <definedName name="dfg" localSheetId="0" hidden="1">{#N/A,#N/A,FALSE,"Plan1";#N/A,#N/A,FALSE,"Plan2"}</definedName>
    <definedName name="dfgdf" localSheetId="0" hidden="1">{#N/A,#N/A,FALSE,"Plan1";#N/A,#N/A,FALSE,"Plan2"}</definedName>
    <definedName name="dfgdytygr" localSheetId="0" hidden="1">{#N/A,#N/A,FALSE,"Plan1";#N/A,#N/A,FALSE,"Plan2"}</definedName>
    <definedName name="dfgftrrdt5" localSheetId="0" hidden="1">{#N/A,#N/A,FALSE,"Plan1";#N/A,#N/A,FALSE,"Plan2"}</definedName>
    <definedName name="dfghjfhsg" localSheetId="0" hidden="1">{#N/A,#N/A,FALSE,"Plan1";#N/A,#N/A,FALSE,"Plan2"}</definedName>
    <definedName name="dfgj" localSheetId="0" hidden="1">{#N/A,#N/A,FALSE,"Plan1";#N/A,#N/A,FALSE,"Plan2"}</definedName>
    <definedName name="dfgjfttyd" localSheetId="0" hidden="1">{#N/A,#N/A,FALSE,"Plan1";#N/A,#N/A,FALSE,"Plan2"}</definedName>
    <definedName name="dfgjjtdrtg" localSheetId="0" hidden="1">{#N/A,#N/A,FALSE,"Plan1";#N/A,#N/A,FALSE,"Plan2"}</definedName>
    <definedName name="dfgt" localSheetId="0" hidden="1">{#N/A,#N/A,FALSE,"Plan1";#N/A,#N/A,FALSE,"Plan2"}</definedName>
    <definedName name="dfgtrkjhk" localSheetId="0" hidden="1">{#N/A,#N/A,FALSE,"Plan1";#N/A,#N/A,FALSE,"Plan2"}</definedName>
    <definedName name="dfgty" localSheetId="0" hidden="1">{#N/A,#N/A,FALSE,"Plan1";#N/A,#N/A,FALSE,"Plan2"}</definedName>
    <definedName name="dfhdgfdgf" localSheetId="0" hidden="1">{#N/A,#N/A,FALSE,"Plan1";#N/A,#N/A,FALSE,"Plan2"}</definedName>
    <definedName name="DFHDJGJFHJGF" localSheetId="0" hidden="1">{#N/A,#N/A,FALSE,"Plan1";#N/A,#N/A,FALSE,"Plan2"}</definedName>
    <definedName name="dfhdyg" localSheetId="0" hidden="1">{#N/A,#N/A,FALSE,"Plan1";#N/A,#N/A,FALSE,"Plan2"}</definedName>
    <definedName name="DFHGDHUR" localSheetId="0" hidden="1">{#N/A,#N/A,FALSE,"Plan1";#N/A,#N/A,FALSE,"Plan2"}</definedName>
    <definedName name="dfhgjfgdhfjdrf" localSheetId="0" hidden="1">{#N/A,#N/A,FALSE,"Plan1";#N/A,#N/A,FALSE,"Plan2"}</definedName>
    <definedName name="dfhgkhfut" localSheetId="0" hidden="1">{#N/A,#N/A,FALSE,"Plan1";#N/A,#N/A,FALSE,"Plan2"}</definedName>
    <definedName name="dfhgkjdhkjghjd" localSheetId="0" hidden="1">#REF!</definedName>
    <definedName name="dfhguitrhfg" localSheetId="0" hidden="1">{#N/A,#N/A,FALSE,"Plan1";#N/A,#N/A,FALSE,"Plan2"}</definedName>
    <definedName name="DFHKHDGKJHDKS" localSheetId="0" hidden="1">{#N/A,#N/A,FALSE,"Plan1";#N/A,#N/A,FALSE,"Plan2"}</definedName>
    <definedName name="dfjgjfhykj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fjkgtdftr" localSheetId="0" hidden="1">{#N/A,#N/A,FALSE,"Plan1";#N/A,#N/A,FALSE,"Plan2"}</definedName>
    <definedName name="dfkhgfg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fkj"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fknfhkdrj" localSheetId="0" hidden="1">{#N/A,#N/A,FALSE,"Plan1";#N/A,#N/A,FALSE,"Plan2"}</definedName>
    <definedName name="dfnert" localSheetId="0" hidden="1">{#N/A,#N/A,FALSE,"Plan1";#N/A,#N/A,FALSE,"Plan2"}</definedName>
    <definedName name="dfrt" localSheetId="0" hidden="1">{#N/A,#N/A,FALSE,"Plan1";#N/A,#N/A,FALSE,"Plan2"}</definedName>
    <definedName name="dfsdr5tt" localSheetId="0" hidden="1">{#N/A,#N/A,FALSE,"Plan1";#N/A,#N/A,FALSE,"Plan2"}</definedName>
    <definedName name="dfsds" localSheetId="0" hidden="1">#REF!</definedName>
    <definedName name="dfsd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fsdtr" localSheetId="0" hidden="1">{#N/A,#N/A,FALSE,"Plan1";#N/A,#N/A,FALSE,"Plan2"}</definedName>
    <definedName name="dfsf" localSheetId="0" hidden="1">{#N/A,#N/A,FALSE,"Plan1";#N/A,#N/A,FALSE,"Plan2"}</definedName>
    <definedName name="DFT" localSheetId="0" hidden="1">{#N/A,#N/A,FALSE,"Plan1";#N/A,#N/A,FALSE,"Plan2"}</definedName>
    <definedName name="DFTRTTY" localSheetId="0" hidden="1">{#N/A,#N/A,FALSE,"Plan1";#N/A,#N/A,FALSE,"Plan2"}</definedName>
    <definedName name="dfurghifdjyhits" localSheetId="0" hidden="1">{#N/A,#N/A,FALSE,"Plan1";#N/A,#N/A,FALSE,"Plan2"}</definedName>
    <definedName name="dfxgdrged" localSheetId="0" hidden="1">{#N/A,#N/A,FALSE,"Plan1";#N/A,#N/A,FALSE,"Plan2"}</definedName>
    <definedName name="dgfrtyt" localSheetId="0" hidden="1">{#N/A,#N/A,FALSE,"Plan1";#N/A,#N/A,FALSE,"Plan2"}</definedName>
    <definedName name="dggfdg" localSheetId="0" hidden="1">{#N/A,#N/A,FALSE,"Plan1";#N/A,#N/A,FALSE,"Plan2"}</definedName>
    <definedName name="dgldfhgkljslh" localSheetId="0" hidden="1">{#N/A,#N/A,FALSE,"Plan1";#N/A,#N/A,FALSE,"Plan2"}</definedName>
    <definedName name="dhfgdhrehrwe" localSheetId="0" hidden="1">{#N/A,#N/A,FALSE,"Plan1";#N/A,#N/A,FALSE,"Plan2"}</definedName>
    <definedName name="dhgfdgrfgdfgd" localSheetId="0" hidden="1">{#N/A,#N/A,FALSE,"Plan1";#N/A,#N/A,FALSE,"Plan2"}</definedName>
    <definedName name="dhkjfhdhfjdh" localSheetId="0" hidden="1">{#N/A,#N/A,FALSE,"Plan1";#N/A,#N/A,FALSE,"Plan2"}</definedName>
    <definedName name="DHTJRT" localSheetId="0" hidden="1">{#N/A,#N/A,FALSE,"Plan1";#N/A,#N/A,FALSE,"Plan2"}</definedName>
    <definedName name="dijghdhks" localSheetId="0" hidden="1">{#N/A,#N/A,FALSE,"Plan1";#N/A,#N/A,FALSE,"Plan2"}</definedName>
    <definedName name="direto" localSheetId="0">#REF!</definedName>
    <definedName name="djasdrjas" localSheetId="0" hidden="1">{#N/A,#N/A,FALSE,"Plan1";#N/A,#N/A,FALSE,"Plan2"}</definedName>
    <definedName name="dj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jfkhjhfgrgdfh" localSheetId="0" hidden="1">{#N/A,#N/A,FALSE,"Plan1";#N/A,#N/A,FALSE,"Plan2"}</definedName>
    <definedName name="djfkhsdkjhf" localSheetId="0" hidden="1">{#N/A,#N/A,FALSE,"Plan1";#N/A,#N/A,FALSE,"Plan2"}</definedName>
    <definedName name="djfldjsgljslkjtg" localSheetId="0" hidden="1">{#N/A,#N/A,FALSE,"Plan1";#N/A,#N/A,FALSE,"Plan2"}</definedName>
    <definedName name="djflkdjgdth" localSheetId="0" hidden="1">{#N/A,#N/A,FALSE,"Plan1";#N/A,#N/A,FALSE,"Plan2"}</definedName>
    <definedName name="DJFLKDJGKTJYJT" localSheetId="0" hidden="1">{#N/A,#N/A,FALSE,"Plan1";#N/A,#N/A,FALSE,"Plan2"}</definedName>
    <definedName name="djgkfjgtiyty" localSheetId="0" hidden="1">{#N/A,#N/A,FALSE,"Plan1";#N/A,#N/A,FALSE,"Plan2"}</definedName>
    <definedName name="djrkehrjfhng" localSheetId="0" hidden="1">{#N/A,#N/A,FALSE,"Plan1";#N/A,#N/A,FALSE,"Plan2"}</definedName>
    <definedName name="djswfr" localSheetId="0" hidden="1">#REF!</definedName>
    <definedName name="djtkjldfr" localSheetId="0" hidden="1">{#N/A,#N/A,FALSE,"Plan1";#N/A,#N/A,FALSE,"Plan2"}</definedName>
    <definedName name="DJXDLFGDFG" localSheetId="0" hidden="1">{#N/A,#N/A,FALSE,"Plan1";#N/A,#N/A,FALSE,"Plan2"}</definedName>
    <definedName name="dkdkdkdkd" localSheetId="0" hidden="1">{#N/A,#N/A,FALSE,"명세표"}</definedName>
    <definedName name="dkfhskgf" localSheetId="0" hidden="1">{#N/A,#N/A,FALSE,"Plan1";#N/A,#N/A,FALSE,"Plan2"}</definedName>
    <definedName name="dkjfk" localSheetId="0" hidden="1">{#N/A,#N/A,FALSE,"Plan1";#N/A,#N/A,FALSE,"Plan2"}</definedName>
    <definedName name="DKLD" localSheetId="0" hidden="1">{#N/A,#N/A,FALSE,"Plan1";#N/A,#N/A,FALSE,"Plan2"}</definedName>
    <definedName name="DKLFJDKFD" localSheetId="0" hidden="1">{#N/A,#N/A,FALSE,"Plan1";#N/A,#N/A,FALSE,"Plan2"}</definedName>
    <definedName name="dklfjgirtgid" localSheetId="0" hidden="1">{#N/A,#N/A,FALSE,"Plan1";#N/A,#N/A,FALSE,"Plan2"}</definedName>
    <definedName name="dklfm"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mbfmndbmtrhed" localSheetId="0" hidden="1">{#N/A,#N/A,FALSE,"Plan1";#N/A,#N/A,FALSE,"Plan2"}</definedName>
    <definedName name="DNFJKDHTKRE" localSheetId="0" hidden="1">{#N/A,#N/A,FALSE,"Plan1";#N/A,#N/A,FALSE,"Plan2"}</definedName>
    <definedName name="dng" localSheetId="0" hidden="1">{#N/A,#N/A,FALSE,"GERAL";#N/A,#N/A,FALSE,"012-96";#N/A,#N/A,FALSE,"018-96";#N/A,#N/A,FALSE,"027-96";#N/A,#N/A,FALSE,"059-96";#N/A,#N/A,FALSE,"076-96";#N/A,#N/A,FALSE,"019-97";#N/A,#N/A,FALSE,"021-97";#N/A,#N/A,FALSE,"022-97";#N/A,#N/A,FALSE,"028-97"}</definedName>
    <definedName name="DRE" localSheetId="0">#REF!</definedName>
    <definedName name="drewr" localSheetId="0" hidden="1">{#N/A,#N/A,FALSE,"Plan1";#N/A,#N/A,FALSE,"Plan2"}</definedName>
    <definedName name="DRRJR" localSheetId="0" hidden="1">{#N/A,#N/A,FALSE,"Plan1";#N/A,#N/A,FALSE,"Plan2"}</definedName>
    <definedName name="drtr" localSheetId="0" hidden="1">#REF!</definedName>
    <definedName name="drtrt" localSheetId="0" hidden="1">{"'Estimativa de Lançamento-JAN'!$A$1:$AI$85"}</definedName>
    <definedName name="dsdrf" localSheetId="0" hidden="1">{#N/A,#N/A,FALSE,"Plan1";#N/A,#N/A,FALSE,"Plan2"}</definedName>
    <definedName name="dsfdf" localSheetId="0" hidden="1">{#N/A,#N/A,FALSE,"Plan1";#N/A,#N/A,FALSE,"Plan2"}</definedName>
    <definedName name="dsfg" localSheetId="0" hidden="1">{#N/A,#N/A,FALSE,"Plan1";#N/A,#N/A,FALSE,"Plan2"}</definedName>
    <definedName name="DSFKDSKH" localSheetId="0" hidden="1">{#N/A,#N/A,FALSE,"Plan1";#N/A,#N/A,FALSE,"Plan2"}</definedName>
    <definedName name="DSFR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sfrtyy" localSheetId="0" hidden="1">{#N/A,#N/A,FALSE,"Plan1";#N/A,#N/A,FALSE,"Plan2"}</definedName>
    <definedName name="DSFSAD" localSheetId="0" hidden="1">{#N/A,#N/A,FALSE,"Plan1";#N/A,#N/A,FALSE,"Plan2"}</definedName>
    <definedName name="dsfsdf" localSheetId="0" hidden="1">{#N/A,#N/A,FALSE,"Plan1";#N/A,#N/A,FALSE,"Plan2"}</definedName>
    <definedName name="dsfsdgfb" localSheetId="0" hidden="1">{#N/A,#N/A,FALSE,"Plan1";#N/A,#N/A,FALSE,"Plan2"}</definedName>
    <definedName name="dsgfr" localSheetId="0" hidden="1">{#N/A,#N/A,FALSE,"Plan1";#N/A,#N/A,FALSE,"Plan2"}</definedName>
    <definedName name="dshfkhkrhesru" localSheetId="0" hidden="1">{#N/A,#N/A,FALSE,"Plan1";#N/A,#N/A,FALSE,"Plan2"}</definedName>
    <definedName name="dsjkthkr" localSheetId="0" hidden="1">{#N/A,#N/A,FALSE,"Plan1";#N/A,#N/A,FALSE,"Plan2"}</definedName>
    <definedName name="DSLFJSLFJ" localSheetId="0" hidden="1">{#N/A,#N/A,FALSE,"Plan1";#N/A,#N/A,FALSE,"Plan2"}</definedName>
    <definedName name="dsrffg"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srgdergdrg" localSheetId="0" hidden="1">{#N/A,#N/A,FALSE,"GERAL";#N/A,#N/A,FALSE,"012-96";#N/A,#N/A,FALSE,"018-96";#N/A,#N/A,FALSE,"027-96";#N/A,#N/A,FALSE,"059-96";#N/A,#N/A,FALSE,"076-96";#N/A,#N/A,FALSE,"019-97";#N/A,#N/A,FALSE,"021-97";#N/A,#N/A,FALSE,"022-97";#N/A,#N/A,FALSE,"028-97"}</definedName>
    <definedName name="dss" localSheetId="0" hidden="1">{#N/A,#N/A,FALSE,"Plan1";#N/A,#N/A,FALSE,"Plan2"}</definedName>
    <definedName name="dtgsrytt" localSheetId="0" hidden="1">{#N/A,#N/A,FALSE,"Plan1";#N/A,#N/A,FALSE,"Plan2"}</definedName>
    <definedName name="dtrjkhtrgkfh" localSheetId="0" hidden="1">{#N/A,#N/A,FALSE,"Plan1";#N/A,#N/A,FALSE,"Plan2"}</definedName>
    <definedName name="dttjuk" localSheetId="0" hidden="1">{#N/A,#N/A,FALSE,"Plan1";#N/A,#N/A,FALSE,"Plan2"}</definedName>
    <definedName name="dvtry"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dwetrt" localSheetId="0" hidden="1">{#N/A,#N/A,FALSE,"Plan1";#N/A,#N/A,FALSE,"Plan2"}</definedName>
    <definedName name="DY"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YHYGJDHZKGF" localSheetId="0" hidden="1">{#N/A,#N/A,FALSE,"Plan1";#N/A,#N/A,FALSE,"Plan2"}</definedName>
    <definedName name="dzdfr" localSheetId="0" hidden="1">{#N/A,#N/A,FALSE,"Plan1";#N/A,#N/A,FALSE,"Plan2"}</definedName>
    <definedName name="e"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ea" localSheetId="0">#REF!</definedName>
    <definedName name="EC"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EW" localSheetId="0" hidden="1">{#N/A,#N/A,FALSE,"F-01"}</definedName>
    <definedName name="ECEW_1" localSheetId="0" hidden="1">{#N/A,#N/A,FALSE,"F-01"}</definedName>
    <definedName name="echart31" localSheetId="0" hidden="1">#REF!</definedName>
    <definedName name="ECS"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E" localSheetId="0" hidden="1">{#N/A,#N/A,FALSE,"Plan1";#N/A,#N/A,FALSE,"Plan2"}</definedName>
    <definedName name="eee" localSheetId="0" hidden="1">{#N/A,#N/A,FALSE,"ET-CAPA";#N/A,#N/A,FALSE,"ET-PAG1";#N/A,#N/A,FALSE,"ET-PAG2";#N/A,#N/A,FALSE,"ET-PAG3";#N/A,#N/A,FALSE,"ET-PAG4";#N/A,#N/A,FALSE,"ET-PAG5"}</definedName>
    <definedName name="efestfr" localSheetId="0" hidden="1">{#N/A,#N/A,FALSE,"Plan1";#N/A,#N/A,FALSE,"Plan2"}</definedName>
    <definedName name="efrdrt" localSheetId="0" hidden="1">{#N/A,#N/A,FALSE,"Plan1";#N/A,#N/A,FALSE,"Plan2"}</definedName>
    <definedName name="efrg" localSheetId="0" hidden="1">{#N/A,#N/A,FALSE,"Plan1";#N/A,#N/A,FALSE,"Plan2"}</definedName>
    <definedName name="efsgfr" localSheetId="0" hidden="1">{#N/A,#N/A,FALSE,"Plan1";#N/A,#N/A,FALSE,"Plan2"}</definedName>
    <definedName name="ER" localSheetId="0" hidden="1">{#N/A,#N/A,FALSE,"GERAL";#N/A,#N/A,FALSE,"012-96";#N/A,#N/A,FALSE,"018-96";#N/A,#N/A,FALSE,"027-96";#N/A,#N/A,FALSE,"059-96";#N/A,#N/A,FALSE,"076-96";#N/A,#N/A,FALSE,"019-97";#N/A,#N/A,FALSE,"021-97";#N/A,#N/A,FALSE,"022-97";#N/A,#N/A,FALSE,"028-97"}</definedName>
    <definedName name="ergerge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ergfhyu" localSheetId="0" hidden="1">{#N/A,#N/A,FALSE,"Plan1";#N/A,#N/A,FALSE,"Plan2"}</definedName>
    <definedName name="erte" localSheetId="0" hidden="1">#REF!</definedName>
    <definedName name="ESGFDSFD" localSheetId="0" hidden="1">{#N/A,#N/A,FALSE,"Plan1";#N/A,#N/A,FALSE,"Plan2"}</definedName>
    <definedName name="EU" localSheetId="0" hidden="1">{#N/A,#N/A,FALSE,"Plan1";#N/A,#N/A,FALSE,"Plan2"}</definedName>
    <definedName name="EVL" localSheetId="0" hidden="1">{"Econ Consolidado",#N/A,FALSE,"Econ Consol";"Fluxo de Caixa",#N/A,FALSE,"Fluxo Caixa";"Investimentos",#N/A,FALSE,"Investimentos"}</definedName>
    <definedName name="Evol." localSheetId="0" hidden="1">{"Econ Consolidado",#N/A,FALSE,"Econ Consol";"Fluxo de Caixa",#N/A,FALSE,"Fluxo Caixa";"Investimentos",#N/A,FALSE,"Investimentos"}</definedName>
    <definedName name="ewfr" localSheetId="0" hidden="1">{#N/A,#N/A,FALSE,"Plan1";#N/A,#N/A,FALSE,"Plan2"}</definedName>
    <definedName name="eyruieyteta" localSheetId="0" hidden="1">{#N/A,#N/A,FALSE,"Plan1";#N/A,#N/A,FALSE,"Plan2"}</definedName>
    <definedName name="f" localSheetId="0" hidden="1">{#N/A,#N/A,FALSE,"Plan1";#N/A,#N/A,FALSE,"Plan2"}</definedName>
    <definedName name="FAS" localSheetId="0" hidden="1">{"'Total'!$A$1","'Total'!$A$3"}</definedName>
    <definedName name="fasfasf" localSheetId="0" hidden="1">{#N/A,#N/A,TRUE,"Quinzena 01 à 15-04-98 "}</definedName>
    <definedName name="fchart31" localSheetId="0" hidden="1">#REF!</definedName>
    <definedName name="fddhght" localSheetId="0" hidden="1">{#N/A,#N/A,FALSE,"Plan1";#N/A,#N/A,FALSE,"Plan2"}</definedName>
    <definedName name="fdfgd" localSheetId="0" hidden="1">{#N/A,#N/A,FALSE,"Plan1";#N/A,#N/A,FALSE,"Plan2"}</definedName>
    <definedName name="fdfng" localSheetId="0" hidden="1">{#N/A,#N/A,FALSE,"GERAL";#N/A,#N/A,FALSE,"012-96";#N/A,#N/A,FALSE,"018-96";#N/A,#N/A,FALSE,"027-96";#N/A,#N/A,FALSE,"059-96";#N/A,#N/A,FALSE,"076-96";#N/A,#N/A,FALSE,"019-97";#N/A,#N/A,FALSE,"021-97";#N/A,#N/A,FALSE,"022-97";#N/A,#N/A,FALSE,"028-97"}</definedName>
    <definedName name="fdgaf" localSheetId="0" hidden="1">{#N/A,#N/A,FALSE,"Plan1";#N/A,#N/A,FALSE,"Plan2"}</definedName>
    <definedName name="fdgdfg"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FDGFDJHGZEDR" localSheetId="0" hidden="1">{#N/A,#N/A,FALSE,"Plan1";#N/A,#N/A,FALSE,"Plan2"}</definedName>
    <definedName name="fdgfyhygfuj" localSheetId="0" hidden="1">{#N/A,#N/A,FALSE,"Plan1";#N/A,#N/A,FALSE,"Plan2"}</definedName>
    <definedName name="fdhgfdf" localSheetId="0" hidden="1">{#N/A,#N/A,FALSE,"Plan1";#N/A,#N/A,FALSE,"Plan2"}</definedName>
    <definedName name="fdjfgdfjg" localSheetId="0" hidden="1">{#N/A,#N/A,FALSE,"Plan1";#N/A,#N/A,FALSE,"Plan2"}</definedName>
    <definedName name="fdjghkshtygt" localSheetId="0" hidden="1">{#N/A,#N/A,FALSE,"Plan1";#N/A,#N/A,FALSE,"Plan2"}</definedName>
    <definedName name="fdnhgf" localSheetId="0" hidden="1">{"'Estimativa de Lançamento-JAN'!$A$1:$AI$85"}</definedName>
    <definedName name="fdsf" localSheetId="0" hidden="1">{#N/A,#N/A,FALSE,"Plan1";#N/A,#N/A,FALSE,"Plan2"}</definedName>
    <definedName name="FER" localSheetId="0" hidden="1">#REF!</definedName>
    <definedName name="fffff" localSheetId="0" hidden="1">{#N/A,#N/A,FALSE,"Plan1";#N/A,#N/A,FALSE,"Plan2"}</definedName>
    <definedName name="FFFFFFF" localSheetId="0">#REF!</definedName>
    <definedName name="FFTY" localSheetId="0" hidden="1">{#N/A,#N/A,FALSE,"GERAL";#N/A,#N/A,FALSE,"012-96";#N/A,#N/A,FALSE,"018-96";#N/A,#N/A,FALSE,"027-96";#N/A,#N/A,FALSE,"059-96";#N/A,#N/A,FALSE,"076-96";#N/A,#N/A,FALSE,"019-97";#N/A,#N/A,FALSE,"021-97";#N/A,#N/A,FALSE,"022-97";#N/A,#N/A,FALSE,"028-97"}</definedName>
    <definedName name="fg" localSheetId="0" hidden="1">{#N/A,#N/A,FALSE,"Plan1";#N/A,#N/A,FALSE,"Plan2"}</definedName>
    <definedName name="fgg" localSheetId="0" hidden="1">{"'장비'!$A$3:$M$12"}</definedName>
    <definedName name="fghfh" localSheetId="0" hidden="1">{"'Estimativa de Lançamento-JAN'!$A$1:$AI$85"}</definedName>
    <definedName name="fghgfh" localSheetId="0" hidden="1">{#N/A,#N/A,FALSE,"Plan1";#N/A,#N/A,FALSE,"Plan2"}</definedName>
    <definedName name="FGJHFGK" localSheetId="0" hidden="1">{#N/A,#N/A,FALSE,"Plan1";#N/A,#N/A,FALSE,"Plan2"}</definedName>
    <definedName name="fgktyhdf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fgtrgty" localSheetId="0" hidden="1">{#N/A,#N/A,FALSE,"Plan1";#N/A,#N/A,FALSE,"Plan2"}</definedName>
    <definedName name="fgty" localSheetId="0" hidden="1">#REF!</definedName>
    <definedName name="fhgjfgyt" localSheetId="0" hidden="1">{#N/A,#N/A,FALSE,"Plan1";#N/A,#N/A,FALSE,"Plan2"}</definedName>
    <definedName name="fhgjkhtrfg" localSheetId="0" hidden="1">{#N/A,#N/A,FALSE,"Plan1";#N/A,#N/A,FALSE,"Plan2"}</definedName>
    <definedName name="FHGTGSRSG" localSheetId="0" hidden="1">{#N/A,#N/A,FALSE,"Plan1";#N/A,#N/A,FALSE,"Plan2"}</definedName>
    <definedName name="FIELD"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ILTRO" localSheetId="0" hidden="1">{#N/A,#N/A,TRUE,"Quinzena 01 à 15-04-98 "}</definedName>
    <definedName name="fjdhfgjdhtgu" localSheetId="0" hidden="1">{#N/A,#N/A,FALSE,"Plan1";#N/A,#N/A,FALSE,"Plan2"}</definedName>
    <definedName name="fjfjg" localSheetId="0" hidden="1">{#N/A,#N/A,FALSE,"명세표"}</definedName>
    <definedName name="FJGHJ"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FJHJHG" localSheetId="0" hidden="1">{#N/A,#N/A,FALSE,"Plan1";#N/A,#N/A,FALSE,"Plan2"}</definedName>
    <definedName name="fjtgfh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FKF"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kfw" localSheetId="0" hidden="1">{#N/A,#N/A,FALSE,"Plan1";#N/A,#N/A,FALSE,"Plan2"}</definedName>
    <definedName name="fl"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rçt4r" localSheetId="0" hidden="1">{#N/A,#N/A,FALSE,"Plan1";#N/A,#N/A,FALSE,"Plan2"}</definedName>
    <definedName name="frdtty" localSheetId="0" hidden="1">{#N/A,#N/A,FALSE,"Plan1";#N/A,#N/A,FALSE,"Plan2"}</definedName>
    <definedName name="fsdfsf" localSheetId="0" hidden="1">{#N/A,#N/A,FALSE,"GERAL";#N/A,#N/A,FALSE,"012-96";#N/A,#N/A,FALSE,"018-96";#N/A,#N/A,FALSE,"027-96";#N/A,#N/A,FALSE,"059-96";#N/A,#N/A,FALSE,"076-96";#N/A,#N/A,FALSE,"019-97";#N/A,#N/A,FALSE,"021-97";#N/A,#N/A,FALSE,"022-97";#N/A,#N/A,FALSE,"028-97"}</definedName>
    <definedName name="fuihgjk" localSheetId="0" hidden="1">{#N/A,#N/A,FALSE,"Plan1";#N/A,#N/A,FALSE,"Plan2"}</definedName>
    <definedName name="fxjghkfg" localSheetId="0" hidden="1">{#N/A,#N/A,FALSE,"Plan1";#N/A,#N/A,FALSE,"Plan2"}</definedName>
    <definedName name="galo" localSheetId="0" hidden="1">{#N/A,#N/A,FALSE,"GERAL";#N/A,#N/A,FALSE,"012-96";#N/A,#N/A,FALSE,"018-96";#N/A,#N/A,FALSE,"027-96";#N/A,#N/A,FALSE,"059-96";#N/A,#N/A,FALSE,"076-96";#N/A,#N/A,FALSE,"019-97";#N/A,#N/A,FALSE,"021-97";#N/A,#N/A,FALSE,"022-97";#N/A,#N/A,FALSE,"028-97"}</definedName>
    <definedName name="gbdjkvhgd" localSheetId="0" hidden="1">{#N/A,#N/A,FALSE,"Plan1";#N/A,#N/A,FALSE,"Plan2"}</definedName>
    <definedName name="gbdsjgsjfdgj" localSheetId="0" hidden="1">{#N/A,#N/A,FALSE,"Plan1";#N/A,#N/A,FALSE,"Plan2"}</definedName>
    <definedName name="gdfdhgfjgj" localSheetId="0" hidden="1">{#N/A,#N/A,FALSE,"Plan1";#N/A,#N/A,FALSE,"Plan2"}</definedName>
    <definedName name="gdfgdstggt" localSheetId="0" hidden="1">{#N/A,#N/A,FALSE,"Plan1";#N/A,#N/A,FALSE,"Plan2"}</definedName>
    <definedName name="GDFHGRJGFJDRF" localSheetId="0" hidden="1">{"Econ Consolidado",#N/A,FALSE,"Econ Consol";"Fluxo de Caixa",#N/A,FALSE,"Fluxo Caixa";"Investimentos",#N/A,FALSE,"Investimentos"}</definedName>
    <definedName name="gdfigfhuyuy" localSheetId="0" hidden="1">{#N/A,#N/A,FALSE,"Plan1";#N/A,#N/A,FALSE,"Plan2"}</definedName>
    <definedName name="gdfsgfew" localSheetId="0" hidden="1">{#N/A,#N/A,FALSE,"Plan1";#N/A,#N/A,FALSE,"Plan2"}</definedName>
    <definedName name="gdhfgdhfgf" localSheetId="0" hidden="1">{#N/A,#N/A,FALSE,"Plan1";#N/A,#N/A,FALSE,"Plan2"}</definedName>
    <definedName name="gdsfhefrwrw" localSheetId="0" hidden="1">{#N/A,#N/A,FALSE,"Plan1";#N/A,#N/A,FALSE,"Plan2"}</definedName>
    <definedName name="geshrjhed" localSheetId="0" hidden="1">{#N/A,#N/A,FALSE,"Plan1";#N/A,#N/A,FALSE,"Plan2"}</definedName>
    <definedName name="gestao" localSheetId="0" hidden="1">OFFSET(INDEX(#REF!,MATCH(#REF!,#REF!,0)),1,0,COUNTA(#REF!)-1)</definedName>
    <definedName name="gfdcgnkf" localSheetId="0" hidden="1">{#N/A,#N/A,FALSE,"Plan1";#N/A,#N/A,FALSE,"Plan2"}</definedName>
    <definedName name="gfdjtgur" localSheetId="0" hidden="1">{#N/A,#N/A,FALSE,"Plan1";#N/A,#N/A,FALSE,"Plan2"}</definedName>
    <definedName name="gfdrtg" localSheetId="0" hidden="1">#REF!</definedName>
    <definedName name="gfgdhxgfdhf" localSheetId="0" hidden="1">{#N/A,#N/A,FALSE,"Plan1";#N/A,#N/A,FALSE,"Plan2"}</definedName>
    <definedName name="gfhfdtgjb" localSheetId="0" hidden="1">{#N/A,#N/A,FALSE,"Plan1";#N/A,#N/A,FALSE,"Plan2"}</definedName>
    <definedName name="gfjdshrtjhtged" localSheetId="0" hidden="1">{#N/A,#N/A,FALSE,"Plan1";#N/A,#N/A,FALSE,"Plan2"}</definedName>
    <definedName name="gfjgkddgfd" localSheetId="0" hidden="1">{#N/A,#N/A,FALSE,"Plan1";#N/A,#N/A,FALSE,"Plan2"}</definedName>
    <definedName name="gfsghjdgygr" localSheetId="0" hidden="1">{#N/A,#N/A,FALSE,"Plan1";#N/A,#N/A,FALSE,"Plan2"}</definedName>
    <definedName name="gftfy" localSheetId="0" hidden="1">{#N/A,#N/A,FALSE,"Plan1";#N/A,#N/A,FALSE,"Plan2"}</definedName>
    <definedName name="gfty" localSheetId="0" hidden="1">{#N/A,#N/A,FALSE,"Plan1";#N/A,#N/A,FALSE,"Plan2"}</definedName>
    <definedName name="GFUJU9" localSheetId="0" hidden="1">{#N/A,#N/A,FALSE,"Plan1";#N/A,#N/A,FALSE,"Plan2"}</definedName>
    <definedName name="ggg"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GGGG" localSheetId="0" hidden="1">{#N/A,#N/A,FALSE,"Plan1";#N/A,#N/A,FALSE,"Plan2"}</definedName>
    <definedName name="gggggggggg"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gh" localSheetId="0" hidden="1">{"'장비'!$A$3:$M$12"}</definedName>
    <definedName name="ghfgdfrtert" localSheetId="0" hidden="1">{#N/A,#N/A,FALSE,"Plan1";#N/A,#N/A,FALSE,"Plan2"}</definedName>
    <definedName name="ghfhghft" localSheetId="0" hidden="1">{#N/A,#N/A,FALSE,"Plan1";#N/A,#N/A,FALSE,"Plan2"}</definedName>
    <definedName name="ghjg" localSheetId="0" hidden="1">{"'Estimativa de Lançamento-JAN'!$A$1:$AI$85"}</definedName>
    <definedName name="ghkfhgh" localSheetId="0" hidden="1">{#N/A,#N/A,FALSE,"Plan1";#N/A,#N/A,FALSE,"Plan2"}</definedName>
    <definedName name="ghkjh" localSheetId="0" hidden="1">{#N/A,#N/A,FALSE,"ENG'G(보호계전기)"}</definedName>
    <definedName name="GJ" localSheetId="0" hidden="1">{#N/A,#N/A,FALSE,"GERAL";#N/A,#N/A,FALSE,"012-96";#N/A,#N/A,FALSE,"018-96";#N/A,#N/A,FALSE,"027-96";#N/A,#N/A,FALSE,"059-96";#N/A,#N/A,FALSE,"076-96";#N/A,#N/A,FALSE,"019-97";#N/A,#N/A,FALSE,"021-97";#N/A,#N/A,FALSE,"022-97";#N/A,#N/A,FALSE,"028-97"}</definedName>
    <definedName name="gjfhjktgcf" localSheetId="0" hidden="1">{#N/A,#N/A,FALSE,"Plan1";#N/A,#N/A,FALSE,"Plan2"}</definedName>
    <definedName name="GJG"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gjgh" localSheetId="0" hidden="1">{#N/A,#N/A,FALSE,"GERAL";#N/A,#N/A,FALSE,"012-96";#N/A,#N/A,FALSE,"018-96";#N/A,#N/A,FALSE,"027-96";#N/A,#N/A,FALSE,"059-96";#N/A,#N/A,FALSE,"076-96";#N/A,#N/A,FALSE,"019-97";#N/A,#N/A,FALSE,"021-97";#N/A,#N/A,FALSE,"022-97";#N/A,#N/A,FALSE,"028-97"}</definedName>
    <definedName name="GJK" localSheetId="0" hidden="1">{#N/A,#N/A,FALSE,"GERAL";#N/A,#N/A,FALSE,"012-96";#N/A,#N/A,FALSE,"018-96";#N/A,#N/A,FALSE,"027-96";#N/A,#N/A,FALSE,"059-96";#N/A,#N/A,FALSE,"076-96";#N/A,#N/A,FALSE,"019-97";#N/A,#N/A,FALSE,"021-97";#N/A,#N/A,FALSE,"022-97";#N/A,#N/A,FALSE,"028-97"}</definedName>
    <definedName name="gjkhgjhjfggfjhfg" localSheetId="0" hidden="1">{#N/A,#N/A,FALSE,"Plan1";#N/A,#N/A,FALSE,"Plan2"}</definedName>
    <definedName name="glgl" localSheetId="0" hidden="1">{#N/A,#N/A,FALSE,"Plan1";#N/A,#N/A,FALSE,"Plan2"}</definedName>
    <definedName name="global" localSheetId="0" hidden="1">{"'Estimativa de Lançamento-JAN'!$A$1:$AI$85"}</definedName>
    <definedName name="gnfrth"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GSDWJSTGE"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gtuigsdyugsdf" localSheetId="0" hidden="1">{#N/A,#N/A,FALSE,"Plan1";#N/A,#N/A,FALSE,"Plan2"}</definedName>
    <definedName name="GUI" localSheetId="0" hidden="1">{#N/A,#N/A,FALSE,"GERAL";#N/A,#N/A,FALSE,"012-96";#N/A,#N/A,FALSE,"018-96";#N/A,#N/A,FALSE,"027-96";#N/A,#N/A,FALSE,"059-96";#N/A,#N/A,FALSE,"076-96";#N/A,#N/A,FALSE,"019-97";#N/A,#N/A,FALSE,"021-97";#N/A,#N/A,FALSE,"022-97";#N/A,#N/A,FALSE,"028-97"}</definedName>
    <definedName name="GV" localSheetId="0" hidden="1">{#N/A,#N/A,FALSE,"CCTV"}</definedName>
    <definedName name="hcjfkhdghfktg" localSheetId="0" hidden="1">{#N/A,#N/A,FALSE,"Plan1";#N/A,#N/A,FALSE,"Plan2"}</definedName>
    <definedName name="hckhjfdkgfdg" localSheetId="0" hidden="1">#REF!</definedName>
    <definedName name="hddfndgdfg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HDFGHGST" localSheetId="0" hidden="1">{#N/A,#N/A,FALSE,"Plan1";#N/A,#N/A,FALSE,"Plan2"}</definedName>
    <definedName name="HDFGJKHKFDHTY" localSheetId="0" hidden="1">{#N/A,#N/A,FALSE,"Plan1";#N/A,#N/A,FALSE,"Plan2"}</definedName>
    <definedName name="hdfhdhrtgd" localSheetId="0" hidden="1">{#N/A,#N/A,FALSE,"Plan1";#N/A,#N/A,FALSE,"Plan2"}</definedName>
    <definedName name="hdfhftde" localSheetId="0" hidden="1">{#N/A,#N/A,FALSE,"Plan1";#N/A,#N/A,FALSE,"Plan2"}</definedName>
    <definedName name="hdfhgkdhgtrf" localSheetId="0" hidden="1">{#N/A,#N/A,FALSE,"Plan1";#N/A,#N/A,FALSE,"Plan2"}</definedName>
    <definedName name="hdfjhdkzhgdr" localSheetId="0" hidden="1">{#N/A,#N/A,FALSE,"Plan1";#N/A,#N/A,FALSE,"Plan2"}</definedName>
    <definedName name="hdfjkgvjgtd" localSheetId="0" hidden="1">{#N/A,#N/A,FALSE,"Plan1";#N/A,#N/A,FALSE,"Plan2"}</definedName>
    <definedName name="hdfjkhdhrute" localSheetId="0" hidden="1">{#N/A,#N/A,FALSE,"Plan1";#N/A,#N/A,FALSE,"Plan2"}</definedName>
    <definedName name="HDFKGVF" localSheetId="0" hidden="1">{#N/A,#N/A,FALSE,"Plan1";#N/A,#N/A,FALSE,"Plan2"}</definedName>
    <definedName name="hdgfhdgtdrt" localSheetId="0" hidden="1">{#N/A,#N/A,FALSE,"Plan1";#N/A,#N/A,FALSE,"Plan2"}</definedName>
    <definedName name="hdghgtgtrgd" localSheetId="0" hidden="1">{#N/A,#N/A,FALSE,"Plan1";#N/A,#N/A,FALSE,"Plan2"}</definedName>
    <definedName name="HDHDGHTUHDTG" localSheetId="0" hidden="1">{#N/A,#N/A,FALSE,"Plan1";#N/A,#N/A,FALSE,"Plan2"}</definedName>
    <definedName name="hdhghfthrrhy" localSheetId="0" hidden="1">{#N/A,#N/A,FALSE,"Plan1";#N/A,#N/A,FALSE,"Plan2"}</definedName>
    <definedName name="hdkfjhydjh" localSheetId="0" hidden="1">{#N/A,#N/A,FALSE,"Plan1";#N/A,#N/A,FALSE,"Plan2"}</definedName>
    <definedName name="hdsgfgrrdgr" localSheetId="0" hidden="1">{#N/A,#N/A,FALSE,"Plan1";#N/A,#N/A,FALSE,"Plan2"}</definedName>
    <definedName name="hdtertkkdsa" localSheetId="0" hidden="1">{#N/A,#N/A,FALSE,"Plan1";#N/A,#N/A,FALSE,"Plan2"}</definedName>
    <definedName name="HEDHA" localSheetId="0" hidden="1">{#N/A,#N/A,FALSE,"Plan1";#N/A,#N/A,FALSE,"Plan2"}</definedName>
    <definedName name="heife"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herkfdshfker" localSheetId="0" hidden="1">{#N/A,#N/A,FALSE,"Plan1";#N/A,#N/A,FALSE,"Plan2"}</definedName>
    <definedName name="hersdtretyt" localSheetId="0" hidden="1">{#N/A,#N/A,FALSE,"Plan1";#N/A,#N/A,FALSE,"Plan2"}</definedName>
    <definedName name="HFDJTHTRS"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HFDKHGFR" localSheetId="0" hidden="1">{#N/A,#N/A,FALSE,"Plan1";#N/A,#N/A,FALSE,"Plan2"}</definedName>
    <definedName name="hfdkhgkfdhtj" localSheetId="0" hidden="1">{#N/A,#N/A,FALSE,"Plan1";#N/A,#N/A,FALSE,"Plan2"}</definedName>
    <definedName name="hfgfktgkhyt" localSheetId="0" hidden="1">{#N/A,#N/A,FALSE,"Plan1";#N/A,#N/A,FALSE,"Plan2"}</definedName>
    <definedName name="hfghdkhrgkjg" localSheetId="0" hidden="1">{#N/A,#N/A,FALSE,"Plan1";#N/A,#N/A,FALSE,"Plan2"}</definedName>
    <definedName name="hfighfth" localSheetId="0" hidden="1">{#N/A,#N/A,FALSE,"Plan1";#N/A,#N/A,FALSE,"Plan2"}</definedName>
    <definedName name="hfjghtfuyrf" localSheetId="0" hidden="1">{#N/A,#N/A,FALSE,"Plan1";#N/A,#N/A,FALSE,"Plan2"}</definedName>
    <definedName name="HFKJHDJGHFJ" localSheetId="0" hidden="1">{#N/A,#N/A,FALSE,"Plan1";#N/A,#N/A,FALSE,"Plan2"}</definedName>
    <definedName name="hgdesgfgsj" localSheetId="0" hidden="1">{#N/A,#N/A,FALSE,"Plan1";#N/A,#N/A,FALSE,"Plan2"}</definedName>
    <definedName name="hgdgfd" localSheetId="0" hidden="1">{#N/A,#N/A,FALSE,"Plan1";#N/A,#N/A,FALSE,"Plan2"}</definedName>
    <definedName name="hgfhjkdfhj" localSheetId="0" hidden="1">{#N/A,#N/A,FALSE,"Plan1";#N/A,#N/A,FALSE,"Plan2"}</definedName>
    <definedName name="hgg" localSheetId="0" hidden="1">{#N/A,#N/A,FALSE,"Plan1";#N/A,#N/A,FALSE,"Plan2"}</definedName>
    <definedName name="hgjdfgghg" localSheetId="0" hidden="1">{#N/A,#N/A,FALSE,"Plan1";#N/A,#N/A,FALSE,"Plan2"}</definedName>
    <definedName name="hgjkfdhg" localSheetId="0" hidden="1">{#N/A,#N/A,FALSE,"Plan1";#N/A,#N/A,FALSE,"Plan2"}</definedName>
    <definedName name="hgkdfhkfk" localSheetId="0" hidden="1">{#N/A,#N/A,FALSE,"Plan1";#N/A,#N/A,FALSE,"Plan2"}</definedName>
    <definedName name="hgkjhdfhtrdyt" localSheetId="0" hidden="1">{#N/A,#N/A,FALSE,"Plan1";#N/A,#N/A,FALSE,"Plan2"}</definedName>
    <definedName name="hgkjhdfkhgtfhg" localSheetId="0" hidden="1">{#N/A,#N/A,FALSE,"Plan1";#N/A,#N/A,FALSE,"Plan2"}</definedName>
    <definedName name="hgkjhkfhsdkdhgk" localSheetId="0" hidden="1">{#N/A,#N/A,FALSE,"Plan1";#N/A,#N/A,FALSE,"Plan2"}</definedName>
    <definedName name="hgsufgdhghd" localSheetId="0" hidden="1">{#N/A,#N/A,FALSE,"Plan1";#N/A,#N/A,FALSE,"Plan2"}</definedName>
    <definedName name="HHGFHTYUT" localSheetId="0" hidden="1">{#N/A,#N/A,FALSE,"Plan1";#N/A,#N/A,FALSE,"Plan2"}</definedName>
    <definedName name="hhh" localSheetId="0" hidden="1">{"'Total'!$A$1","'Total'!$A$3"}</definedName>
    <definedName name="HHIHLK" localSheetId="0" hidden="1">#REF!</definedName>
    <definedName name="hik" localSheetId="0" hidden="1">{#N/A,#N/A,FALSE,"TABLE"}</definedName>
    <definedName name="hjdgtjdjxrfg" localSheetId="0" hidden="1">{#N/A,#N/A,FALSE,"Plan1";#N/A,#N/A,FALSE,"Plan2"}</definedName>
    <definedName name="HJFDGD" localSheetId="0" hidden="1">{#N/A,#N/A,FALSE,"Plan1";#N/A,#N/A,FALSE,"Plan2"}</definedName>
    <definedName name="HJGASD" localSheetId="0" hidden="1">{#N/A,#N/A,FALSE,"Plan1";#N/A,#N/A,FALSE,"Plan2"}</definedName>
    <definedName name="HJGFGTFDG" localSheetId="0" hidden="1">{#N/A,#N/A,FALSE,"Plan1";#N/A,#N/A,FALSE,"Plan2"}</definedName>
    <definedName name="hjgfhdsgfhsd" localSheetId="0" hidden="1">{#N/A,#N/A,FALSE,"Plan1";#N/A,#N/A,FALSE,"Plan2"}</definedName>
    <definedName name="hjgxfjgdjyftr" localSheetId="0" hidden="1">{#N/A,#N/A,FALSE,"Plan1";#N/A,#N/A,FALSE,"Plan2"}</definedName>
    <definedName name="hjgyugasd" localSheetId="0" hidden="1">{#N/A,#N/A,FALSE,"Plan1";#N/A,#N/A,FALSE,"Plan2"}</definedName>
    <definedName name="hjjfyfy" localSheetId="0" hidden="1">{#N/A,#N/A,FALSE,"Plan1";#N/A,#N/A,FALSE,"Plan2"}</definedName>
    <definedName name="hjkchkvjhdjkgh" localSheetId="0" hidden="1">{#N/A,#N/A,FALSE,"Plan1";#N/A,#N/A,FALSE,"Plan2"}</definedName>
    <definedName name="hjkfjdyht" localSheetId="0" hidden="1">{#N/A,#N/A,FALSE,"Plan1";#N/A,#N/A,FALSE,"Plan2"}</definedName>
    <definedName name="hjsdffe"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hjsdkhk" localSheetId="0" hidden="1">{#N/A,#N/A,FALSE,"Plan1";#N/A,#N/A,FALSE,"Plan2"}</definedName>
    <definedName name="hjsrdfre" localSheetId="0" hidden="1">{"Econ Consolidado",#N/A,FALSE,"Econ Consol";"Fluxo de Caixa",#N/A,FALSE,"Fluxo Caixa";"Investimentos",#N/A,FALSE,"Investimentos"}</definedName>
    <definedName name="HKewewsr" localSheetId="0" hidden="1">{#N/A,#N/A,FALSE,"Plan1";#N/A,#N/A,FALSE,"Plan2"}</definedName>
    <definedName name="hkhdskacd" localSheetId="0" hidden="1">{#N/A,#N/A,FALSE,"Plan1";#N/A,#N/A,FALSE,"Plan2"}</definedName>
    <definedName name="hkjfgfhgfh" localSheetId="0" hidden="1">{#N/A,#N/A,FALSE,"Plan1";#N/A,#N/A,FALSE,"Plan2"}</definedName>
    <definedName name="hkjfhgjkfhghfg" localSheetId="0" hidden="1">{#N/A,#N/A,FALSE,"Plan1";#N/A,#N/A,FALSE,"Plan2"}</definedName>
    <definedName name="HKLZHFRH" localSheetId="0" hidden="1">{#N/A,#N/A,FALSE,"Plan1";#N/A,#N/A,FALSE,"Plan2"}</definedName>
    <definedName name="ho" localSheetId="0" hidden="1">{#N/A,#N/A,FALSE,"TABLE"}</definedName>
    <definedName name="hrterte" localSheetId="0" hidden="1">{#N/A,#N/A,FALSE,"Plan1";#N/A,#N/A,FALSE,"Plan2"}</definedName>
    <definedName name="hsdf" localSheetId="0" hidden="1">{#N/A,#N/A,FALSE,"Plan1";#N/A,#N/A,FALSE,"Plan2"}</definedName>
    <definedName name="hsdfgdgudrt" localSheetId="0" hidden="1">{#N/A,#N/A,FALSE,"Plan1";#N/A,#N/A,FALSE,"Plan2"}</definedName>
    <definedName name="hsdfjkdhur" localSheetId="0" hidden="1">{#N/A,#N/A,FALSE,"Plan1";#N/A,#N/A,FALSE,"Plan2"}</definedName>
    <definedName name="hsdgftdht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hsdjffd" localSheetId="0" hidden="1">{#N/A,#N/A,FALSE,"Plan1";#N/A,#N/A,FALSE,"Plan2"}</definedName>
    <definedName name="hsdjffe" localSheetId="0" hidden="1">{#N/A,#N/A,FALSE,"Plan1";#N/A,#N/A,FALSE,"Plan2"}</definedName>
    <definedName name="HSFIHDTR" localSheetId="0" hidden="1">{"Econ Consolidado",#N/A,FALSE,"Econ Consol";"Fluxo de Caixa",#N/A,FALSE,"Fluxo Caixa";"Investimentos",#N/A,FALSE,"Investimentos"}</definedName>
    <definedName name="hsfjkdshrgf" localSheetId="0" hidden="1">{#N/A,#N/A,FALSE,"Plan1";#N/A,#N/A,FALSE,"Plan2"}</definedName>
    <definedName name="hthhrtetdre" localSheetId="0" hidden="1">{#N/A,#N/A,FALSE,"Plan1";#N/A,#N/A,FALSE,"Plan2"}</definedName>
    <definedName name="HTML_Control" localSheetId="0" hidden="1">{"'장비'!$A$3:$M$12"}</definedName>
    <definedName name="HTML2_CONTROL" localSheetId="0" hidden="1">{"'Estimativa de Lançamento-JAN'!$A$1:$AI$85"}</definedName>
    <definedName name="HTML3_CONTROL" localSheetId="0" hidden="1">{"'Estimativa de Lançamento-JAN'!$A$1:$AI$85"}</definedName>
    <definedName name="HTMLControl" localSheetId="0" hidden="1">{"'Edit'!$A$1:$V$2277"}</definedName>
    <definedName name="HVJKHGKFXHFD" localSheetId="0" hidden="1">{#N/A,#N/A,FALSE,"Plan1";#N/A,#N/A,FALSE,"Plan2"}</definedName>
    <definedName name="hwekjhekhf" localSheetId="0" hidden="1">{#N/A,#N/A,FALSE,"Plan1";#N/A,#N/A,FALSE,"Plan2"}</definedName>
    <definedName name="HXFRE" localSheetId="0" hidden="1">{#N/A,#N/A,FALSE,"Plan1";#N/A,#N/A,FALSE,"Plan2"}</definedName>
    <definedName name="HXKJFGDKHG" localSheetId="0" hidden="1">{#N/A,#N/A,FALSE,"Plan1";#N/A,#N/A,FALSE,"Plan2"}</definedName>
    <definedName name="IC" localSheetId="0" hidden="1">#REF!</definedName>
    <definedName name="idfhgkjhfkthy" localSheetId="0" hidden="1">{#N/A,#N/A,FALSE,"Plan1";#N/A,#N/A,FALSE,"Plan2"}</definedName>
    <definedName name="ieroweft" localSheetId="0" hidden="1">{#N/A,#N/A,FALSE,"Plan1";#N/A,#N/A,FALSE,"Plan2"}</definedName>
    <definedName name="iewpotqi5poejy" localSheetId="0" hidden="1">{#N/A,#N/A,FALSE,"Plan1";#N/A,#N/A,FALSE,"Plan2"}</definedName>
    <definedName name="ihdfifguhgfuiyh"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ihdsitrr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iheidhgufr" localSheetId="0" hidden="1">#REF!</definedName>
    <definedName name="ihfdkjhktgrd" localSheetId="0" hidden="1">{#N/A,#N/A,FALSE,"Plan1";#N/A,#N/A,FALSE,"Plan2"}</definedName>
    <definedName name="ihrtetw4r" localSheetId="0" hidden="1">{#N/A,#N/A,FALSE,"Plan1";#N/A,#N/A,FALSE,"Plan2"}</definedName>
    <definedName name="IIASDSAWE" localSheetId="0" hidden="1">{"Econ Consolidado",#N/A,FALSE,"Econ Consol";"Fluxo de Caixa",#N/A,FALSE,"Fluxo Caixa";"Investimentos",#N/A,FALSE,"Investimentos"}</definedName>
    <definedName name="iinstalações" localSheetId="0" hidden="1">{#N/A,#N/A,FALSE,"GERAL";#N/A,#N/A,FALSE,"012-96";#N/A,#N/A,FALSE,"018-96";#N/A,#N/A,FALSE,"027-96";#N/A,#N/A,FALSE,"059-96";#N/A,#N/A,FALSE,"076-96";#N/A,#N/A,FALSE,"019-97";#N/A,#N/A,FALSE,"021-97";#N/A,#N/A,FALSE,"022-97";#N/A,#N/A,FALSE,"028-97"}</definedName>
    <definedName name="ilhweilrji4e" localSheetId="0" hidden="1">{#N/A,#N/A,FALSE,"Plan1";#N/A,#N/A,FALSE,"Plan2"}</definedName>
    <definedName name="ilsdr4wf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IMP" localSheetId="0" hidden="1">#REF!</definedName>
    <definedName name="Index" localSheetId="0" hidden="1">#REF!</definedName>
    <definedName name="Insatalações" localSheetId="0" hidden="1">{#N/A,#N/A,FALSE,"GERAL";#N/A,#N/A,FALSE,"012-96";#N/A,#N/A,FALSE,"018-96";#N/A,#N/A,FALSE,"027-96";#N/A,#N/A,FALSE,"059-96";#N/A,#N/A,FALSE,"076-96";#N/A,#N/A,FALSE,"019-97";#N/A,#N/A,FALSE,"021-97";#N/A,#N/A,FALSE,"022-97";#N/A,#N/A,FALSE,"028-97"}</definedName>
    <definedName name="instalaçoes2" localSheetId="0" hidden="1">{#N/A,#N/A,FALSE,"GERAL";#N/A,#N/A,FALSE,"012-96";#N/A,#N/A,FALSE,"018-96";#N/A,#N/A,FALSE,"027-96";#N/A,#N/A,FALSE,"059-96";#N/A,#N/A,FALSE,"076-96";#N/A,#N/A,FALSE,"019-97";#N/A,#N/A,FALSE,"021-97";#N/A,#N/A,FALSE,"022-97";#N/A,#N/A,FALSE,"028-97"}</definedName>
    <definedName name="INTEGRA" localSheetId="0" hidden="1">{"'Edit'!$A$1:$V$2277"}</definedName>
    <definedName name="ioeriotyt" localSheetId="0" hidden="1">{#N/A,#N/A,FALSE,"Plan1";#N/A,#N/A,FALSE,"Plan2"}</definedName>
    <definedName name="iohudtorh" localSheetId="0" hidden="1">{#N/A,#N/A,FALSE,"Plan1";#N/A,#N/A,FALSE,"Plan2"}</definedName>
    <definedName name="iojtkheayed" localSheetId="0" hidden="1">{#N/A,#N/A,FALSE,"Plan1";#N/A,#N/A,FALSE,"Plan2"}</definedName>
    <definedName name="iouweroieuw4" localSheetId="0" hidden="1">{#N/A,#N/A,FALSE,"Plan1";#N/A,#N/A,FALSE,"Plan2"}</definedName>
    <definedName name="iphifpgh" localSheetId="0" hidden="1">{#N/A,#N/A,FALSE,"Plan1";#N/A,#N/A,FALSE,"Plan2"}</definedName>
    <definedName name="ipodsifgpds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ipotjrjketjr" localSheetId="0" hidden="1">{#N/A,#N/A,FALSE,"Plan1";#N/A,#N/A,FALSE,"Plan2"}</definedName>
    <definedName name="item_1" localSheetId="0">#REF!</definedName>
    <definedName name="ITEM별상세업무분장"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UGFGDFUY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iyguygiyt" localSheetId="0" hidden="1">{#N/A,#N/A,FALSE,"Plan1";#N/A,#N/A,FALSE,"Plan2"}</definedName>
    <definedName name="iyuyheturtd" localSheetId="0" hidden="1">{#N/A,#N/A,FALSE,"Plan1";#N/A,#N/A,FALSE,"Plan2"}</definedName>
    <definedName name="j"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jalejdasjf" localSheetId="0" hidden="1">{#N/A,#N/A,FALSE,"Plan1";#N/A,#N/A,FALSE,"Plan2"}</definedName>
    <definedName name="JASDJS" localSheetId="0" hidden="1">{#N/A,#N/A,FALSE,"Plan1";#N/A,#N/A,FALSE,"Plan2"}</definedName>
    <definedName name="jaskldjlse" localSheetId="0" hidden="1">{#N/A,#N/A,FALSE,"Plan1";#N/A,#N/A,FALSE,"Plan2"}</definedName>
    <definedName name="JASLDKLD" localSheetId="0" hidden="1">{#N/A,#N/A,FALSE,"Plan1";#N/A,#N/A,FALSE,"Plan2"}</definedName>
    <definedName name="jasoe" localSheetId="0" hidden="1">#REF!</definedName>
    <definedName name="jbzxffcbgdhgft" localSheetId="0" hidden="1">#REF!</definedName>
    <definedName name="JÇDFHDF" localSheetId="0" hidden="1">{"Econ Consolidado",#N/A,FALSE,"Econ Consol";"Fluxo de Caixa",#N/A,FALSE,"Fluxo Caixa";"Investimentos",#N/A,FALSE,"Investimentos"}</definedName>
    <definedName name="jdbgftbhr" localSheetId="0" hidden="1">{#N/A,#N/A,FALSE,"Plan1";#N/A,#N/A,FALSE,"Plan2"}</definedName>
    <definedName name="jdfgkrhgft" localSheetId="0" hidden="1">#REF!</definedName>
    <definedName name="jdfgldfjgklh" localSheetId="0" hidden="1">{#N/A,#N/A,FALSE,"Plan1";#N/A,#N/A,FALSE,"Plan2"}</definedName>
    <definedName name="jdfhjkdrhjtkg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jdfjdtrgt" localSheetId="0" hidden="1">{#N/A,#N/A,FALSE,"Plan1";#N/A,#N/A,FALSE,"Plan2"}</definedName>
    <definedName name="JDFJLDJR" localSheetId="0" hidden="1">{#N/A,#N/A,FALSE,"Plan1";#N/A,#N/A,FALSE,"Plan2"}</definedName>
    <definedName name="jdfkgitfgdrtt" localSheetId="0" hidden="1">{#N/A,#N/A,FALSE,"Plan1";#N/A,#N/A,FALSE,"Plan2"}</definedName>
    <definedName name="JDFKHFKJ" localSheetId="0" hidden="1">{#N/A,#N/A,FALSE,"Plan1";#N/A,#N/A,FALSE,"Plan2"}</definedName>
    <definedName name="jdfklgtdtr" localSheetId="0" hidden="1">{#N/A,#N/A,FALSE,"Plan1";#N/A,#N/A,FALSE,"Plan2"}</definedName>
    <definedName name="JDFKTHRT" localSheetId="0" hidden="1">{#N/A,#N/A,FALSE,"Plan1";#N/A,#N/A,FALSE,"Plan2"}</definedName>
    <definedName name="JDFLKJDRF" localSheetId="0" hidden="1">{#N/A,#N/A,FALSE,"Plan1";#N/A,#N/A,FALSE,"Plan2"}</definedName>
    <definedName name="jdfzlkjgfdht" localSheetId="0" hidden="1">{#N/A,#N/A,FALSE,"Plan1";#N/A,#N/A,FALSE,"Plan2"}</definedName>
    <definedName name="jdglhfghkt" localSheetId="0" hidden="1">{#N/A,#N/A,FALSE,"Plan1";#N/A,#N/A,FALSE,"Plan2"}</definedName>
    <definedName name="jdhfjdhgfd" localSheetId="0" hidden="1">{#N/A,#N/A,FALSE,"Plan1";#N/A,#N/A,FALSE,"Plan2"}</definedName>
    <definedName name="jdjdjdjd" localSheetId="0" hidden="1">{#N/A,#N/A,FALSE,"명세표"}</definedName>
    <definedName name="jdkfhgjhf" localSheetId="0" hidden="1">{#N/A,#N/A,FALSE,"Plan1";#N/A,#N/A,FALSE,"Plan2"}</definedName>
    <definedName name="jdkfjdtr" localSheetId="0" hidden="1">{#N/A,#N/A,FALSE,"Plan1";#N/A,#N/A,FALSE,"Plan2"}</definedName>
    <definedName name="jdljgftldjti5r" localSheetId="0" hidden="1">{#N/A,#N/A,FALSE,"Plan1";#N/A,#N/A,FALSE,"Plan2"}</definedName>
    <definedName name="JDLKJDASGF" localSheetId="0" hidden="1">{#N/A,#N/A,FALSE,"Plan1";#N/A,#N/A,FALSE,"Plan2"}</definedName>
    <definedName name="jdrfkdjfghrtfjg" localSheetId="0" hidden="1">{#N/A,#N/A,FALSE,"Plan1";#N/A,#N/A,FALSE,"Plan2"}</definedName>
    <definedName name="jdskfhdk" localSheetId="0" hidden="1">{#N/A,#N/A,FALSE,"Plan1";#N/A,#N/A,FALSE,"Plan2"}</definedName>
    <definedName name="JDSKLGKDRHGGF" localSheetId="0" hidden="1">{#N/A,#N/A,FALSE,"Plan1";#N/A,#N/A,FALSE,"Plan2"}</definedName>
    <definedName name="jefsgfr" localSheetId="0" hidden="1">{#N/A,#N/A,FALSE,"Plan1";#N/A,#N/A,FALSE,"Plan2"}</definedName>
    <definedName name="JERHIEHYURE" localSheetId="0" hidden="1">{#N/A,#N/A,FALSE,"Plan1";#N/A,#N/A,FALSE,"Plan2"}</definedName>
    <definedName name="jfddlsrtyty" localSheetId="0" hidden="1">{#N/A,#N/A,FALSE,"Plan1";#N/A,#N/A,FALSE,"Plan2"}</definedName>
    <definedName name="jfdjtgdjghitfyh" localSheetId="0" hidden="1">{#N/A,#N/A,FALSE,"Plan1";#N/A,#N/A,FALSE,"Plan2"}</definedName>
    <definedName name="jfdkgkftftg" localSheetId="0" hidden="1">{#N/A,#N/A,FALSE,"Plan1";#N/A,#N/A,FALSE,"Plan2"}</definedName>
    <definedName name="jfghjkfdhtkyru"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JFGJYHTY" localSheetId="0" hidden="1">{#N/A,#N/A,FALSE,"Plan1";#N/A,#N/A,FALSE,"Plan2"}</definedName>
    <definedName name="jfgkflcnjkglc" localSheetId="0" hidden="1">{#N/A,#N/A,FALSE,"Plan1";#N/A,#N/A,FALSE,"Plan2"}</definedName>
    <definedName name="JFHRE" localSheetId="0" hidden="1">{#N/A,#N/A,FALSE,"Plan1";#N/A,#N/A,FALSE,"Plan2"}</definedName>
    <definedName name="jfkdls5jtirjd" localSheetId="0" hidden="1">{#N/A,#N/A,FALSE,"Plan1";#N/A,#N/A,FALSE,"Plan2"}</definedName>
    <definedName name="jfkljdkfcj" localSheetId="0" hidden="1">{#N/A,#N/A,FALSE,"Plan1";#N/A,#N/A,FALSE,"Plan2"}</definedName>
    <definedName name="jfkrhdtghdut" localSheetId="0" hidden="1">{#N/A,#N/A,FALSE,"Plan1";#N/A,#N/A,FALSE,"Plan2"}</definedName>
    <definedName name="JFRESR" localSheetId="0" hidden="1">{#N/A,#N/A,FALSE,"Plan1";#N/A,#N/A,FALSE,"Plan2"}</definedName>
    <definedName name="jgdfdgfjgdj" localSheetId="0" hidden="1">{#N/A,#N/A,FALSE,"Plan1";#N/A,#N/A,FALSE,"Plan2"}</definedName>
    <definedName name="jgdfght" localSheetId="0" hidden="1">{#N/A,#N/A,FALSE,"Plan1";#N/A,#N/A,FALSE,"Plan2"}</definedName>
    <definedName name="jgfgdsgfdhrf" localSheetId="0" hidden="1">{#N/A,#N/A,FALSE,"Plan1";#N/A,#N/A,FALSE,"Plan2"}</definedName>
    <definedName name="JGFJGTFT" localSheetId="0" hidden="1">{#N/A,#N/A,FALSE,"Plan1";#N/A,#N/A,FALSE,"Plan2"}</definedName>
    <definedName name="jgkjkhjuftgi" localSheetId="0" hidden="1">{#N/A,#N/A,FALSE,"Plan1";#N/A,#N/A,FALSE,"Plan2"}</definedName>
    <definedName name="jhd"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jhdfjjhirft" localSheetId="0" hidden="1">{#N/A,#N/A,FALSE,"Plan1";#N/A,#N/A,FALSE,"Plan2"}</definedName>
    <definedName name="jhdfjkhtrdhf" localSheetId="0" hidden="1">{#N/A,#N/A,FALSE,"Plan1";#N/A,#N/A,FALSE,"Plan2"}</definedName>
    <definedName name="jhdfuthr" localSheetId="0" hidden="1">{#N/A,#N/A,FALSE,"Plan1";#N/A,#N/A,FALSE,"Plan2"}</definedName>
    <definedName name="JHDFZGRDHF" localSheetId="0" hidden="1">{"Econ Consolidado",#N/A,FALSE,"Econ Consol";"Fluxo de Caixa",#N/A,FALSE,"Fluxo Caixa";"Investimentos",#N/A,FALSE,"Investimentos"}</definedName>
    <definedName name="JHERKHKFGH" localSheetId="0" hidden="1">{#N/A,#N/A,FALSE,"Plan1";#N/A,#N/A,FALSE,"Plan2"}</definedName>
    <definedName name="jhfhhztfhe" localSheetId="0" hidden="1">#REF!</definedName>
    <definedName name="JHGKJFJFJGL" localSheetId="0" hidden="1">{#N/A,#N/A,FALSE,"Plan1";#N/A,#N/A,FALSE,"Plan2"}</definedName>
    <definedName name="jhsdjkhfuks" localSheetId="0" hidden="1">{#N/A,#N/A,FALSE,"Plan1";#N/A,#N/A,FALSE,"Plan2"}</definedName>
    <definedName name="jisdrkje" localSheetId="0" hidden="1">{#N/A,#N/A,FALSE,"Plan1";#N/A,#N/A,FALSE,"Plan2"}</definedName>
    <definedName name="jishfrieyhtau" localSheetId="0" hidden="1">{#N/A,#N/A,FALSE,"Plan1";#N/A,#N/A,FALSE,"Plan2"}</definedName>
    <definedName name="jiu"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jj" localSheetId="0" hidden="1">{"'Apr-00'!$B$4:$AD$44"}</definedName>
    <definedName name="jjfdsktyhhy" localSheetId="0" hidden="1">{#N/A,#N/A,FALSE,"Plan1";#N/A,#N/A,FALSE,"Plan2"}</definedName>
    <definedName name="jjkjkjk" localSheetId="0" hidden="1">{#N/A,#N/A,FALSE,"Plan1";#N/A,#N/A,FALSE,"Plan2"}</definedName>
    <definedName name="JKDCK" localSheetId="0" hidden="1">{#N/A,#N/A,FALSE,"Plan1";#N/A,#N/A,FALSE,"Plan2"}</definedName>
    <definedName name="JKDFHKHFR" localSheetId="0" hidden="1">{#N/A,#N/A,FALSE,"Plan1";#N/A,#N/A,FALSE,"Plan2"}</definedName>
    <definedName name="JKDFTRDRJ" localSheetId="0" hidden="1">{#N/A,#N/A,FALSE,"Plan1";#N/A,#N/A,FALSE,"Plan2"}</definedName>
    <definedName name="jkdhfukhddf" localSheetId="0" hidden="1">{#N/A,#N/A,FALSE,"Plan1";#N/A,#N/A,FALSE,"Plan2"}</definedName>
    <definedName name="JKDRKGJHTDR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jkelsjreja" localSheetId="0" hidden="1">{#N/A,#N/A,FALSE,"Plan1";#N/A,#N/A,FALSE,"Plan2"}</definedName>
    <definedName name="jkfhjgkfhghh" localSheetId="0" hidden="1">{#N/A,#N/A,FALSE,"Plan1";#N/A,#N/A,FALSE,"Plan2"}</definedName>
    <definedName name="jkhderjkhes" localSheetId="0" hidden="1">{#N/A,#N/A,FALSE,"Plan1";#N/A,#N/A,FALSE,"Plan2"}</definedName>
    <definedName name="jkhdfhfd" localSheetId="0" hidden="1">{#N/A,#N/A,FALSE,"Plan1";#N/A,#N/A,FALSE,"Plan2"}</definedName>
    <definedName name="jkhfhest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JKHFKJHGKFTHUDET" localSheetId="0" hidden="1">{#N/A,#N/A,FALSE,"Plan1";#N/A,#N/A,FALSE,"Plan2"}</definedName>
    <definedName name="JKHGDHFUHTG" localSheetId="0" hidden="1">{#N/A,#N/A,FALSE,"Plan1";#N/A,#N/A,FALSE,"Plan2"}</definedName>
    <definedName name="jkhsdzjkfyiu" localSheetId="0" hidden="1">{#N/A,#N/A,FALSE,"Plan1";#N/A,#N/A,FALSE,"Plan2"}</definedName>
    <definedName name="jkjsdkhfdhrf" localSheetId="0" hidden="1">{#N/A,#N/A,FALSE,"Plan1";#N/A,#N/A,FALSE,"Plan2"}</definedName>
    <definedName name="jklgfsjgtjtg" localSheetId="0" hidden="1">{#N/A,#N/A,FALSE,"Plan1";#N/A,#N/A,FALSE,"Plan2"}</definedName>
    <definedName name="jksldfjsdhf" localSheetId="0" hidden="1">{#N/A,#N/A,FALSE,"Plan1";#N/A,#N/A,FALSE,"Plan2"}</definedName>
    <definedName name="jkxhcjkhfr" localSheetId="0" hidden="1">{#N/A,#N/A,FALSE,"Plan1";#N/A,#N/A,FALSE,"Plan2"}</definedName>
    <definedName name="JNGCKFKJFGH" localSheetId="0" hidden="1">{#N/A,#N/A,FALSE,"Plan1";#N/A,#N/A,FALSE,"Plan2"}</definedName>
    <definedName name="JREJRW" localSheetId="0" hidden="1">{#N/A,#N/A,FALSE,"Plan1";#N/A,#N/A,FALSE,"Plan2"}</definedName>
    <definedName name="JSADKAH" localSheetId="0" hidden="1">{"Econ Consolidado",#N/A,FALSE,"Econ Consol";"Fluxo de Caixa",#N/A,FALSE,"Fluxo Caixa";"Investimentos",#N/A,FALSE,"Investimentos"}</definedName>
    <definedName name="JSDAJRE" localSheetId="0" hidden="1">{#N/A,#N/A,FALSE,"Plan1";#N/A,#N/A,FALSE,"Plan2"}</definedName>
    <definedName name="jsdffsed"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jsdfjgx" localSheetId="0" hidden="1">{#N/A,#N/A,FALSE,"Plan1";#N/A,#N/A,FALSE,"Plan2"}</definedName>
    <definedName name="jsdfkgnfr" localSheetId="0" hidden="1">#REF!</definedName>
    <definedName name="jsdfsdfd" localSheetId="0" hidden="1">{#N/A,#N/A,FALSE,"Plan1";#N/A,#N/A,FALSE,"Plan2"}</definedName>
    <definedName name="jsdljficd" localSheetId="0" hidden="1">{#N/A,#N/A,FALSE,"Plan1";#N/A,#N/A,FALSE,"Plan2"}</definedName>
    <definedName name="JSDTLFJDRG" localSheetId="0" hidden="1">{#N/A,#N/A,FALSE,"Plan1";#N/A,#N/A,FALSE,"Plan2"}</definedName>
    <definedName name="jsfjsjferwea" localSheetId="0" hidden="1">{#N/A,#N/A,FALSE,"Plan1";#N/A,#N/A,FALSE,"Plan2"}</definedName>
    <definedName name="jslrjer" localSheetId="0" hidden="1">{#N/A,#N/A,FALSE,"Plan1";#N/A,#N/A,FALSE,"Plan2"}</definedName>
    <definedName name="juklhkhdf" localSheetId="0" hidden="1">{#N/A,#N/A,FALSE,"Plan1";#N/A,#N/A,FALSE,"Plan2"}</definedName>
    <definedName name="JULHO99" localSheetId="0" hidden="1">{#N/A,#N/A,TRUE,"Quinzena 01 à 15-04-98 "}</definedName>
    <definedName name="jwekljd" localSheetId="0" hidden="1">{#N/A,#N/A,FALSE,"Plan1";#N/A,#N/A,FALSE,"Plan2"}</definedName>
    <definedName name="JWEOITORU5Y" localSheetId="0" hidden="1">{#N/A,#N/A,FALSE,"Plan1";#N/A,#N/A,FALSE,"Plan2"}</definedName>
    <definedName name="jxdfjsrf" localSheetId="0" hidden="1">{#N/A,#N/A,FALSE,"Plan1";#N/A,#N/A,FALSE,"Plan2"}</definedName>
    <definedName name="jxdklfjv"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JY" localSheetId="0" hidden="1">#REF!</definedName>
    <definedName name="jzsdjkszl" localSheetId="0" hidden="1">{#N/A,#N/A,FALSE,"Plan1";#N/A,#N/A,FALSE,"Plan2"}</definedName>
    <definedName name="JZXFKLJLDJF" localSheetId="0" hidden="1">{#N/A,#N/A,FALSE,"Plan1";#N/A,#N/A,FALSE,"Plan2"}</definedName>
    <definedName name="jzxklfdlvgfg" localSheetId="0" hidden="1">{#N/A,#N/A,FALSE,"Plan1";#N/A,#N/A,FALSE,"Plan2"}</definedName>
    <definedName name="k" localSheetId="0" hidden="1">{#N/A,#N/A,FALSE,"Plan1";#N/A,#N/A,FALSE,"Plan2"}</definedName>
    <definedName name="kaedkroswr" localSheetId="0" hidden="1">{"Econ Consolidado",#N/A,FALSE,"Econ Consol";"Fluxo de Caixa",#N/A,FALSE,"Fluxo Caixa";"Investimentos",#N/A,FALSE,"Investimentos"}</definedName>
    <definedName name="kç\lKçaksdçaqew" localSheetId="0" hidden="1">{#N/A,#N/A,FALSE,"Plan1";#N/A,#N/A,FALSE,"Plan2"}</definedName>
    <definedName name="kçdasekr" localSheetId="0" hidden="1">{#N/A,#N/A,FALSE,"Plan1";#N/A,#N/A,FALSE,"Plan2"}</definedName>
    <definedName name="kçfdljtredr" localSheetId="0" hidden="1">{#N/A,#N/A,FALSE,"Plan1";#N/A,#N/A,FALSE,"Plan2"}</definedName>
    <definedName name="kclçkglf" localSheetId="0" hidden="1">{#N/A,#N/A,FALSE,"Plan1";#N/A,#N/A,FALSE,"Plan2"}</definedName>
    <definedName name="kçlkasçkere" localSheetId="0" hidden="1">{#N/A,#N/A,FALSE,"Plan1";#N/A,#N/A,FALSE,"Plan2"}</definedName>
    <definedName name="kdfbngtjkbf" localSheetId="0" hidden="1">{#N/A,#N/A,FALSE,"Plan1";#N/A,#N/A,FALSE,"Plan2"}</definedName>
    <definedName name="kdfhkghkrh" localSheetId="0" hidden="1">{#N/A,#N/A,FALSE,"Plan1";#N/A,#N/A,FALSE,"Plan2"}</definedName>
    <definedName name="kdfiere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kdfkçrkf" localSheetId="0" hidden="1">{#N/A,#N/A,FALSE,"Plan1";#N/A,#N/A,FALSE,"Plan2"}</definedName>
    <definedName name="kdfljlfr" localSheetId="0" hidden="1">{#N/A,#N/A,FALSE,"Plan1";#N/A,#N/A,FALSE,"Plan2"}</definedName>
    <definedName name="kdhfgkdfhytgu" localSheetId="0" hidden="1">{#N/A,#N/A,FALSE,"Plan1";#N/A,#N/A,FALSE,"Plan2"}</definedName>
    <definedName name="kdhgftfg" localSheetId="0" hidden="1">{#N/A,#N/A,FALSE,"Plan1";#N/A,#N/A,FALSE,"Plan2"}</definedName>
    <definedName name="KDHKFGKKHGF" localSheetId="0" hidden="1">{#N/A,#N/A,FALSE,"Plan1";#N/A,#N/A,FALSE,"Plan2"}</definedName>
    <definedName name="kdjfdr" localSheetId="0" hidden="1">#REF!</definedName>
    <definedName name="kdjgkfjgd" localSheetId="0" hidden="1">{#N/A,#N/A,FALSE,"Plan1";#N/A,#N/A,FALSE,"Plan2"}</definedName>
    <definedName name="kdjglkdlgjd" localSheetId="0" hidden="1">{#N/A,#N/A,FALSE,"Plan1";#N/A,#N/A,FALSE,"Plan2"}</definedName>
    <definedName name="kdjsfkldjgkty" localSheetId="0" hidden="1">{#N/A,#N/A,FALSE,"Plan1";#N/A,#N/A,FALSE,"Plan2"}</definedName>
    <definedName name="KDJU" localSheetId="0" hidden="1">{"'장비'!$A$3:$M$12"}</definedName>
    <definedName name="kdkjhgdkfhjk" localSheetId="0" hidden="1">{#N/A,#N/A,FALSE,"Plan1";#N/A,#N/A,FALSE,"Plan2"}</definedName>
    <definedName name="kdsf" localSheetId="0" hidden="1">{#N/A,#N/A,FALSE,"Plan1";#N/A,#N/A,FALSE,"Plan2"}</definedName>
    <definedName name="kdsr" localSheetId="0" hidden="1">{#N/A,#N/A,FALSE,"Plan1";#N/A,#N/A,FALSE,"Plan2"}</definedName>
    <definedName name="kergtfdstr" localSheetId="0" hidden="1">{#N/A,#N/A,FALSE,"Plan1";#N/A,#N/A,FALSE,"Plan2"}</definedName>
    <definedName name="KFDKTHGT" localSheetId="0" hidden="1">{#N/A,#N/A,FALSE,"Plan1";#N/A,#N/A,FALSE,"Plan2"}</definedName>
    <definedName name="kfdxlfdzs" localSheetId="0" hidden="1">{"Econ Consolidado",#N/A,FALSE,"Econ Consol";"Fluxo de Caixa",#N/A,FALSE,"Fluxo Caixa";"Investimentos",#N/A,FALSE,"Investimentos"}</definedName>
    <definedName name="kfgkhjkjhy" localSheetId="0" hidden="1">{#N/A,#N/A,FALSE,"Plan1";#N/A,#N/A,FALSE,"Plan2"}</definedName>
    <definedName name="KFJFDSDF" localSheetId="0" hidden="1">{#N/A,#N/A,FALSE,"Plan1";#N/A,#N/A,FALSE,"Plan2"}</definedName>
    <definedName name="kfnkeasd" localSheetId="0" hidden="1">{#N/A,#N/A,FALSE,"Plan1";#N/A,#N/A,FALSE,"Plan2"}</definedName>
    <definedName name="khdjkfkjhtg" localSheetId="0" hidden="1">{#N/A,#N/A,FALSE,"Plan1";#N/A,#N/A,FALSE,"Plan2"}</definedName>
    <definedName name="khdkfjhhfsdg" localSheetId="0" hidden="1">{#N/A,#N/A,FALSE,"Plan1";#N/A,#N/A,FALSE,"Plan2"}</definedName>
    <definedName name="khdkjfhgudytu" localSheetId="0" hidden="1">{#N/A,#N/A,FALSE,"Plan1";#N/A,#N/A,FALSE,"Plan2"}</definedName>
    <definedName name="khfdghhhgd" localSheetId="0" hidden="1">{#N/A,#N/A,FALSE,"Plan1";#N/A,#N/A,FALSE,"Plan2"}</definedName>
    <definedName name="khfdkjhsdjf" localSheetId="0" hidden="1">{#N/A,#N/A,FALSE,"Plan1";#N/A,#N/A,FALSE,"Plan2"}</definedName>
    <definedName name="khgdkftfy" localSheetId="0" hidden="1">{#N/A,#N/A,FALSE,"Plan1";#N/A,#N/A,FALSE,"Plan2"}</definedName>
    <definedName name="khgfhhtuhf" localSheetId="0" hidden="1">{#N/A,#N/A,FALSE,"Plan1";#N/A,#N/A,FALSE,"Plan2"}</definedName>
    <definedName name="khjkh"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KHJKLSDF" localSheetId="0" hidden="1">{#N/A,#N/A,FALSE,"Plan1";#N/A,#N/A,FALSE,"Plan2"}</definedName>
    <definedName name="kieret" localSheetId="0" hidden="1">{#N/A,#N/A,FALSE,"Plan1";#N/A,#N/A,FALSE,"Plan2"}</definedName>
    <definedName name="kiweokwr" localSheetId="0" hidden="1">#REF!</definedName>
    <definedName name="kjchkfhsezk" localSheetId="0" hidden="1">{#N/A,#N/A,FALSE,"Plan1";#N/A,#N/A,FALSE,"Plan2"}</definedName>
    <definedName name="kjdghksef" localSheetId="0" hidden="1">{#N/A,#N/A,FALSE,"Plan1";#N/A,#N/A,FALSE,"Plan2"}</definedName>
    <definedName name="kjdkftyhtert" localSheetId="0" hidden="1">{#N/A,#N/A,FALSE,"Plan1";#N/A,#N/A,FALSE,"Plan2"}</definedName>
    <definedName name="kjdlfkjds" localSheetId="0" hidden="1">{#N/A,#N/A,FALSE,"Plan1";#N/A,#N/A,FALSE,"Plan2"}</definedName>
    <definedName name="kjdzhfytrfy" localSheetId="0" hidden="1">{#N/A,#N/A,FALSE,"Plan1";#N/A,#N/A,FALSE,"Plan2"}</definedName>
    <definedName name="kjhdfgjthdft" localSheetId="0" hidden="1">{#N/A,#N/A,FALSE,"Plan1";#N/A,#N/A,FALSE,"Plan2"}</definedName>
    <definedName name="kjhsdfk"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kjhsiorf" localSheetId="0" hidden="1">{#N/A,#N/A,FALSE,"Plan1";#N/A,#N/A,FALSE,"Plan2"}</definedName>
    <definedName name="KJJ"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kjjwww" localSheetId="0" hidden="1">{#N/A,#N/A,FALSE,"Plan1";#N/A,#N/A,FALSE,"Plan2"}</definedName>
    <definedName name="kjl" localSheetId="0" hidden="1">{#N/A,#N/A,FALSE,"ENG'G(보호계전기)"}</definedName>
    <definedName name="KJOI" localSheetId="0" hidden="1">{#N/A,#N/A,FALSE,"Plan1";#N/A,#N/A,FALSE,"Plan2"}</definedName>
    <definedName name="kjqwerw" localSheetId="0" hidden="1">{#N/A,#N/A,FALSE,"Plan1";#N/A,#N/A,FALSE,"Plan2"}</definedName>
    <definedName name="kjsfert" localSheetId="0" hidden="1">{#N/A,#N/A,FALSE,"Plan1";#N/A,#N/A,FALSE,"Plan2"}</definedName>
    <definedName name="KJXCFKR" localSheetId="0" hidden="1">{#N/A,#N/A,FALSE,"Plan1";#N/A,#N/A,FALSE,"Plan2"}</definedName>
    <definedName name="KJXDFD" localSheetId="0" hidden="1">{#N/A,#N/A,FALSE,"Plan1";#N/A,#N/A,FALSE,"Plan2"}</definedName>
    <definedName name="kjydhfkjghkjfh" localSheetId="0" hidden="1">#REF!</definedName>
    <definedName name="kk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kkk" localSheetId="0" hidden="1">{#N/A,#N/A,FALSE,"Plan1";#N/A,#N/A,FALSE,"Plan2"}</definedName>
    <definedName name="kkkkk" localSheetId="0" hidden="1">{#N/A,#N/A,FALSE,"Plan1";#N/A,#N/A,FALSE,"Plan2"}</definedName>
    <definedName name="kkkkkk" localSheetId="0" hidden="1">{#N/A,#N/A,FALSE,"Plan1";#N/A,#N/A,FALSE,"Plan2"}</definedName>
    <definedName name="kko"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kksaklçer" localSheetId="0" hidden="1">{#N/A,#N/A,FALSE,"Plan1";#N/A,#N/A,FALSE,"Plan2"}</definedName>
    <definedName name="kksarde" localSheetId="0" hidden="1">{#N/A,#N/A,FALSE,"Plan1";#N/A,#N/A,FALSE,"Plan2"}</definedName>
    <definedName name="klaskldjsw" localSheetId="0" hidden="1">{#N/A,#N/A,FALSE,"Plan1";#N/A,#N/A,FALSE,"Plan2"}</definedName>
    <definedName name="klçkop" localSheetId="0" hidden="1">{#N/A,#N/A,FALSE,"Plan1";#N/A,#N/A,FALSE,"Plan2"}</definedName>
    <definedName name="KLDFNTRDT" localSheetId="0" hidden="1">{#N/A,#N/A,FALSE,"Plan1";#N/A,#N/A,FALSE,"Plan2"}</definedName>
    <definedName name="klhjsdklhdf" localSheetId="0" hidden="1">{#N/A,#N/A,FALSE,"Plan1";#N/A,#N/A,FALSE,"Plan2"}</definedName>
    <definedName name="KLHSKLRHWE" localSheetId="0" hidden="1">{#N/A,#N/A,FALSE,"Plan1";#N/A,#N/A,FALSE,"Plan2"}</definedName>
    <definedName name="KLJASKJD" localSheetId="0" hidden="1">{#N/A,#N/A,FALSE,"Plan1";#N/A,#N/A,FALSE,"Plan2"}</definedName>
    <definedName name="KLJDXLG"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kljeflwr" localSheetId="0" hidden="1">{#N/A,#N/A,FALSE,"Plan1";#N/A,#N/A,FALSE,"Plan2"}</definedName>
    <definedName name="kljflgjrf" localSheetId="0" hidden="1">{#N/A,#N/A,FALSE,"Plan1";#N/A,#N/A,FALSE,"Plan2"}</definedName>
    <definedName name="kljgfdfr" localSheetId="0" hidden="1">{#N/A,#N/A,FALSE,"Plan1";#N/A,#N/A,FALSE,"Plan2"}</definedName>
    <definedName name="kljgfjrt" localSheetId="0" hidden="1">{#N/A,#N/A,FALSE,"Plan1";#N/A,#N/A,FALSE,"Plan2"}</definedName>
    <definedName name="kljlkdfj" localSheetId="0" hidden="1">{#N/A,#N/A,FALSE,"Plan1";#N/A,#N/A,FALSE,"Plan2"}</definedName>
    <definedName name="kljsakjfr" localSheetId="0" hidden="1">{#N/A,#N/A,FALSE,"Plan1";#N/A,#N/A,FALSE,"Plan2"}</definedName>
    <definedName name="kljsdje" localSheetId="0" hidden="1">{#N/A,#N/A,FALSE,"Plan1";#N/A,#N/A,FALSE,"Plan2"}</definedName>
    <definedName name="kljsfwe" localSheetId="0" hidden="1">{#N/A,#N/A,FALSE,"Plan1";#N/A,#N/A,FALSE,"Plan2"}</definedName>
    <definedName name="klk" localSheetId="0" hidden="1">{#N/A,#N/A,FALSE,"Plan1";#N/A,#N/A,FALSE,"Plan2"}</definedName>
    <definedName name="KLKKLKÇJÇ" localSheetId="0" hidden="1">{#N/A,#N/A,FALSE,"Plan1";#N/A,#N/A,FALSE,"Plan2"}</definedName>
    <definedName name="KLSDFT" localSheetId="0" hidden="1">{#N/A,#N/A,FALSE,"Plan1";#N/A,#N/A,FALSE,"Plan2"}</definedName>
    <definedName name="KLSDHSJKHF" localSheetId="0" hidden="1">{#N/A,#N/A,FALSE,"Plan1";#N/A,#N/A,FALSE,"Plan2"}</definedName>
    <definedName name="klsdkre" localSheetId="0" hidden="1">{#N/A,#N/A,FALSE,"Plan1";#N/A,#N/A,FALSE,"Plan2"}</definedName>
    <definedName name="KLSIDJE" localSheetId="0" hidden="1">{#N/A,#N/A,FALSE,"Plan1";#N/A,#N/A,FALSE,"Plan2"}</definedName>
    <definedName name="klsjarsf" localSheetId="0" hidden="1">{#N/A,#N/A,FALSE,"Plan1";#N/A,#N/A,FALSE,"Plan2"}</definedName>
    <definedName name="klsjdwe" localSheetId="0" hidden="1">#REF!</definedName>
    <definedName name="klxhjfdkhser" localSheetId="0" hidden="1">{#N/A,#N/A,FALSE,"Plan1";#N/A,#N/A,FALSE,"Plan2"}</definedName>
    <definedName name="kopipnsdfne" localSheetId="0" hidden="1">{#N/A,#N/A,FALSE,"Plan1";#N/A,#N/A,FALSE,"Plan2"}</definedName>
    <definedName name="kp"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KSDLÇKSÇ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KSDLDF" localSheetId="0" hidden="1">{#N/A,#N/A,FALSE,"Plan1";#N/A,#N/A,FALSE,"Plan2"}</definedName>
    <definedName name="ksdlkfsçzd" localSheetId="0" hidden="1">{#N/A,#N/A,FALSE,"Plan1";#N/A,#N/A,FALSE,"Plan2"}</definedName>
    <definedName name="ksdoçierfe" localSheetId="0" hidden="1">{#N/A,#N/A,FALSE,"Plan1";#N/A,#N/A,FALSE,"Plan2"}</definedName>
    <definedName name="ksdtrdrkf" localSheetId="0" hidden="1">{#N/A,#N/A,FALSE,"Plan1";#N/A,#N/A,FALSE,"Plan2"}</definedName>
    <definedName name="KSFÇJDFJL" localSheetId="0" hidden="1">{#N/A,#N/A,FALSE,"Plan1";#N/A,#N/A,FALSE,"Plan2"}</definedName>
    <definedName name="ksfhse" localSheetId="0" hidden="1">{#N/A,#N/A,FALSE,"Plan1";#N/A,#N/A,FALSE,"Plan2"}</definedName>
    <definedName name="KSRKOE" localSheetId="0" hidden="1">{#N/A,#N/A,FALSE,"Plan1";#N/A,#N/A,FALSE,"Plan2"}</definedName>
    <definedName name="KSWKE" localSheetId="0" hidden="1">{#N/A,#N/A,FALSE,"Plan1";#N/A,#N/A,FALSE,"Plan2"}</definedName>
    <definedName name="kysdusf" localSheetId="0" hidden="1">{#N/A,#N/A,FALSE,"Plan1";#N/A,#N/A,FALSE,"Plan2"}</definedName>
    <definedName name="kzslçdkçle" localSheetId="0" hidden="1">{#N/A,#N/A,FALSE,"Plan1";#N/A,#N/A,FALSE,"Plan2"}</definedName>
    <definedName name="LAEKWRK" localSheetId="0" hidden="1">{#N/A,#N/A,FALSE,"Plan1";#N/A,#N/A,FALSE,"Plan2"}</definedName>
    <definedName name="laeqwep" localSheetId="0" hidden="1">#REF!</definedName>
    <definedName name="LAKDEWRF" localSheetId="0" hidden="1">{#N/A,#N/A,FALSE,"Plan1";#N/A,#N/A,FALSE,"Plan2"}</definedName>
    <definedName name="LASÇDSRLF" localSheetId="0" hidden="1">{#N/A,#N/A,FALSE,"Plan1";#N/A,#N/A,FALSE,"Plan2"}</definedName>
    <definedName name="lasrlswer" localSheetId="0" hidden="1">{#N/A,#N/A,FALSE,"Plan1";#N/A,#N/A,FALSE,"Plan2"}</definedName>
    <definedName name="lçadple4r" localSheetId="0" hidden="1">{#N/A,#N/A,FALSE,"Plan1";#N/A,#N/A,FALSE,"Plan2"}</definedName>
    <definedName name="lçasser" localSheetId="0" hidden="1">{#N/A,#N/A,FALSE,"Plan1";#N/A,#N/A,FALSE,"Plan2"}</definedName>
    <definedName name="lcdgjtklfrn" localSheetId="0" hidden="1">{#N/A,#N/A,FALSE,"Plan1";#N/A,#N/A,FALSE,"Plan2"}</definedName>
    <definedName name="lçfklsdkçaer" localSheetId="0" hidden="1">{#N/A,#N/A,FALSE,"Plan1";#N/A,#N/A,FALSE,"Plan2"}</definedName>
    <definedName name="lçjkgf" localSheetId="0" hidden="1">{#N/A,#N/A,FALSE,"Plan1";#N/A,#N/A,FALSE,"Plan2"}</definedName>
    <definedName name="LÇJSLDFJ" localSheetId="0" hidden="1">{#N/A,#N/A,FALSE,"Plan1";#N/A,#N/A,FALSE,"Plan2"}</definedName>
    <definedName name="LÇKÇSDRLK" localSheetId="0" hidden="1">{#N/A,#N/A,FALSE,"Plan1";#N/A,#N/A,FALSE,"Plan2"}</definedName>
    <definedName name="lçkl"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lçl"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lçlfklçdglfdgt" localSheetId="0" hidden="1">{#N/A,#N/A,FALSE,"Plan1";#N/A,#N/A,FALSE,"Plan2"}</definedName>
    <definedName name="lçslrr4r" localSheetId="0" hidden="1">{#N/A,#N/A,FALSE,"Plan1";#N/A,#N/A,FALSE,"Plan2"}</definedName>
    <definedName name="ldfjgry" localSheetId="0" hidden="1">{#N/A,#N/A,FALSE,"Plan1";#N/A,#N/A,FALSE,"Plan2"}</definedName>
    <definedName name="ldfjgtilrf" localSheetId="0" hidden="1">{#N/A,#N/A,FALSE,"Plan1";#N/A,#N/A,FALSE,"Plan2"}</definedName>
    <definedName name="ldk" localSheetId="0" hidden="1">{#N/A,#N/A,FALSE,"Plan1";#N/A,#N/A,FALSE,"Plan2"}</definedName>
    <definedName name="ldkgkdfjgkh" localSheetId="0" hidden="1">{#N/A,#N/A,FALSE,"Plan1";#N/A,#N/A,FALSE,"Plan2"}</definedName>
    <definedName name="LDTJGR" localSheetId="0" hidden="1">{#N/A,#N/A,FALSE,"Plan1";#N/A,#N/A,FALSE,"Plan2"}</definedName>
    <definedName name="Leg" localSheetId="0" hidden="1">#REF!</definedName>
    <definedName name="LEKG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lfjdjrt" localSheetId="0" hidden="1">{#N/A,#N/A,FALSE,"Plan1";#N/A,#N/A,FALSE,"Plan2"}</definedName>
    <definedName name="lidfjgklruf" localSheetId="0" hidden="1">{#N/A,#N/A,FALSE,"Plan1";#N/A,#N/A,FALSE,"Plan2"}</definedName>
    <definedName name="list"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t"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dfkgyt" localSheetId="0" hidden="1">{#N/A,#N/A,FALSE,"Plan1";#N/A,#N/A,FALSE,"Plan2"}</definedName>
    <definedName name="LJDFLJRL" localSheetId="0" hidden="1">{#N/A,#N/A,FALSE,"Plan1";#N/A,#N/A,FALSE,"Plan2"}</definedName>
    <definedName name="ljsdfrd" localSheetId="0" hidden="1">{#N/A,#N/A,FALSE,"Plan1";#N/A,#N/A,FALSE,"Plan2"}</definedName>
    <definedName name="LJSFLDJDLKFJG" localSheetId="0" hidden="1">#REF!</definedName>
    <definedName name="LK" localSheetId="0" hidden="1">{#N/A,#N/A,TRUE,"Quinzena 01 à 15-04-98 "}</definedName>
    <definedName name="lkasdkeo" localSheetId="0" hidden="1">{#N/A,#N/A,FALSE,"Plan1";#N/A,#N/A,FALSE,"Plan2"}</definedName>
    <definedName name="lkdeas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lkdzxfsdrf" localSheetId="0" hidden="1">{#N/A,#N/A,FALSE,"Plan1";#N/A,#N/A,FALSE,"Plan2"}</definedName>
    <definedName name="lkfdkçtktr" localSheetId="0" hidden="1">{#N/A,#N/A,FALSE,"Plan1";#N/A,#N/A,FALSE,"Plan2"}</definedName>
    <definedName name="LKSSDKÇ\E" localSheetId="0" hidden="1">{#N/A,#N/A,FALSE,"Plan1";#N/A,#N/A,FALSE,"Plan2"}</definedName>
    <definedName name="lkt" localSheetId="0" hidden="1">{#N/A,#N/A,FALSE,"Plan1";#N/A,#N/A,FALSE,"Plan2"}</definedName>
    <definedName name="lktlyklt" localSheetId="0" hidden="1">{#N/A,#N/A,FALSE,"Plan1";#N/A,#N/A,FALSE,"Plan2"}</definedName>
    <definedName name="LKTTYT" localSheetId="0" hidden="1">{#N/A,#N/A,FALSE,"Plan1";#N/A,#N/A,FALSE,"Plan2"}</definedName>
    <definedName name="llgg" localSheetId="0" hidden="1">{#N/A,#N/A,FALSE,"Plan1";#N/A,#N/A,FALSE,"Plan2"}</definedName>
    <definedName name="LLL" localSheetId="0" hidden="1">{#N/A,#N/A,FALSE,"Plan1";#N/A,#N/A,FALSE,"Plan2"}</definedName>
    <definedName name="LM_AR" localSheetId="0" hidden="1">{#N/A,#N/A,FALSE,"F-01"}</definedName>
    <definedName name="LM_AT" localSheetId="0" hidden="1">{#N/A,#N/A,FALSE,"F-01"}</definedName>
    <definedName name="LM_INC" localSheetId="0" hidden="1">{#N/A,#N/A,FALSE,"F-01"}</definedName>
    <definedName name="LMPASD"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LO"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LS" localSheetId="0">#REF!</definedName>
    <definedName name="LSDFKLDKFTR" localSheetId="0" hidden="1">{#N/A,#N/A,FALSE,"Plan1";#N/A,#N/A,FALSE,"Plan2"}</definedName>
    <definedName name="lsdjse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lsdkljfkg" localSheetId="0" hidden="1">{#N/A,#N/A,FALSE,"Plan1";#N/A,#N/A,FALSE,"Plan2"}</definedName>
    <definedName name="lsdsder" localSheetId="0" hidden="1">{#N/A,#N/A,FALSE,"Plan1";#N/A,#N/A,FALSE,"Plan2"}</definedName>
    <definedName name="ltj6ljyhdjhngças" localSheetId="0" hidden="1">{#N/A,#N/A,FALSE,"Plan1";#N/A,#N/A,FALSE,"Plan2"}</definedName>
    <definedName name="lwaeddew" localSheetId="0" hidden="1">#REF!</definedName>
    <definedName name="m"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MAISAP" localSheetId="0" hidden="1">{#N/A,#N/A,FALSE,"Plan1";#N/A,#N/A,FALSE,"Plan2"}</definedName>
    <definedName name="MANTO" localSheetId="0" hidden="1">{#N/A,#N/A,FALSE,"GERAL";#N/A,#N/A,FALSE,"012-96";#N/A,#N/A,FALSE,"018-96";#N/A,#N/A,FALSE,"027-96";#N/A,#N/A,FALSE,"059-96";#N/A,#N/A,FALSE,"076-96";#N/A,#N/A,FALSE,"019-97";#N/A,#N/A,FALSE,"021-97";#N/A,#N/A,FALSE,"022-97";#N/A,#N/A,FALSE,"028-97"}</definedName>
    <definedName name="MASTER" localSheetId="0" hidden="1">{#N/A,#N/A,FALSE,"GERAL";#N/A,#N/A,FALSE,"012-96";#N/A,#N/A,FALSE,"018-96";#N/A,#N/A,FALSE,"027-96";#N/A,#N/A,FALSE,"059-96";#N/A,#N/A,FALSE,"076-96";#N/A,#N/A,FALSE,"019-97";#N/A,#N/A,FALSE,"021-97";#N/A,#N/A,FALSE,"022-97";#N/A,#N/A,FALSE,"028-97"}</definedName>
    <definedName name="mattubcust" localSheetId="0" hidden="1">{#N/A,#N/A,FALSE,"GERAL";#N/A,#N/A,FALSE,"012-96";#N/A,#N/A,FALSE,"018-96";#N/A,#N/A,FALSE,"027-96";#N/A,#N/A,FALSE,"059-96";#N/A,#N/A,FALSE,"076-96";#N/A,#N/A,FALSE,"019-97";#N/A,#N/A,FALSE,"021-97";#N/A,#N/A,FALSE,"022-97";#N/A,#N/A,FALSE,"028-97"}</definedName>
    <definedName name="MAURILIO" localSheetId="0" hidden="1">{#N/A,#N/A,FALSE,"Plan1";#N/A,#N/A,FALSE,"Plan2"}</definedName>
    <definedName name="MC" localSheetId="0" hidden="1">{#N/A,#N/A,FALSE,"GERAL";#N/A,#N/A,FALSE,"012-96";#N/A,#N/A,FALSE,"018-96";#N/A,#N/A,FALSE,"027-96";#N/A,#N/A,FALSE,"059-96";#N/A,#N/A,FALSE,"076-96";#N/A,#N/A,FALSE,"019-97";#N/A,#N/A,FALSE,"021-97";#N/A,#N/A,FALSE,"022-97";#N/A,#N/A,FALSE,"028-97"}</definedName>
    <definedName name="MCM" localSheetId="0" hidden="1">{#N/A,#N/A,FALSE,"GERAL";#N/A,#N/A,FALSE,"012-96";#N/A,#N/A,FALSE,"018-96";#N/A,#N/A,FALSE,"027-96";#N/A,#N/A,FALSE,"059-96";#N/A,#N/A,FALSE,"076-96";#N/A,#N/A,FALSE,"019-97";#N/A,#N/A,FALSE,"021-97";#N/A,#N/A,FALSE,"022-97";#N/A,#N/A,FALSE,"028-97"}</definedName>
    <definedName name="mdfgtr" localSheetId="0" hidden="1">{#N/A,#N/A,FALSE,"Plan1";#N/A,#N/A,FALSE,"Plan2"}</definedName>
    <definedName name="MDSÇLFJKJSD" localSheetId="0" hidden="1">{#N/A,#N/A,FALSE,"Plan1";#N/A,#N/A,FALSE,"Plan2"}</definedName>
    <definedName name="ME" localSheetId="0" hidden="1">{"HW",#N/A,FALSE,"1998"}</definedName>
    <definedName name="MENU" localSheetId="0">#REF!</definedName>
    <definedName name="MENU1" localSheetId="0">#REF!</definedName>
    <definedName name="MENU2" localSheetId="0">#REF!</definedName>
    <definedName name="MENU3" localSheetId="0">#REF!</definedName>
    <definedName name="MENU4" localSheetId="0">#REF!</definedName>
    <definedName name="MENU5" localSheetId="0">#REF!</definedName>
    <definedName name="MENU6" localSheetId="0">#REF!</definedName>
    <definedName name="MESTRE" localSheetId="0" hidden="1">{#N/A,#N/A,FALSE,"GERAL";#N/A,#N/A,FALSE,"012-96";#N/A,#N/A,FALSE,"018-96";#N/A,#N/A,FALSE,"027-96";#N/A,#N/A,FALSE,"059-96";#N/A,#N/A,FALSE,"076-96";#N/A,#N/A,FALSE,"019-97";#N/A,#N/A,FALSE,"021-97";#N/A,#N/A,FALSE,"022-97";#N/A,#N/A,FALSE,"028-97"}</definedName>
    <definedName name="MILENA" localSheetId="0" hidden="1">#REF!</definedName>
    <definedName name="MLMÇLKJKI" localSheetId="0" hidden="1">{#N/A,#N/A,FALSE,"Plan1";#N/A,#N/A,FALSE,"Plan2"}</definedName>
    <definedName name="MM"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mmmmm" localSheetId="0" hidden="1">{"tabela",#N/A,FALSE,"Tabela";"decoração",#N/A,FALSE,"Decor.";"Informações",#N/A,FALSE,"Inform."}</definedName>
    <definedName name="mmmmmmm"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MNBXFKGS" localSheetId="0" hidden="1">{#N/A,#N/A,FALSE,"Plan1";#N/A,#N/A,FALSE,"Plan2"}</definedName>
    <definedName name="mncvbgcvmc" localSheetId="0" hidden="1">{#N/A,#N/A,FALSE,"Plan1";#N/A,#N/A,FALSE,"Plan2"}</definedName>
    <definedName name="MNDKZSFNCEA" localSheetId="0" hidden="1">{#N/A,#N/A,FALSE,"Plan1";#N/A,#N/A,FALSE,"Plan2"}</definedName>
    <definedName name="mnhdshfgfhd" localSheetId="0" hidden="1">{#N/A,#N/A,FALSE,"Plan1";#N/A,#N/A,FALSE,"Plan2"}</definedName>
    <definedName name="mo" localSheetId="0">#REF!</definedName>
    <definedName name="mobra" localSheetId="0" hidden="1">{#N/A,#N/A,FALSE,"GERAL";#N/A,#N/A,FALSE,"012-96";#N/A,#N/A,FALSE,"018-96";#N/A,#N/A,FALSE,"027-96";#N/A,#N/A,FALSE,"059-96";#N/A,#N/A,FALSE,"076-96";#N/A,#N/A,FALSE,"019-97";#N/A,#N/A,FALSE,"021-97";#N/A,#N/A,FALSE,"022-97";#N/A,#N/A,FALSE,"028-97"}</definedName>
    <definedName name="Modelo1" localSheetId="0" hidden="1">{#N/A,#N/A,FALSE,"cdi";#N/A,#N/A,FALSE,"debent";#N/A,#N/A,FALSE,"fdos";#N/A,#N/A,FALSE,"resumo"}</definedName>
    <definedName name="Modelo1a" localSheetId="0" hidden="1">{#N/A,#N/A,FALSE,"cdi";#N/A,#N/A,FALSE,"debent";#N/A,#N/A,FALSE,"fdos";#N/A,#N/A,FALSE,"resumo"}</definedName>
    <definedName name="Modelo2" localSheetId="0" hidden="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MP" localSheetId="0" hidden="1">{#N/A,#N/A,FALSE,"CCTV"}</definedName>
    <definedName name="MSDRFSWER" localSheetId="0" hidden="1">{"Econ Consolidado",#N/A,FALSE,"Econ Consol";"Fluxo de Caixa",#N/A,FALSE,"Fluxo Caixa";"Investimentos",#N/A,FALSE,"Investimentos"}</definedName>
    <definedName name="mzshdjshjs" localSheetId="0" hidden="1">{#N/A,#N/A,FALSE,"Plan1";#N/A,#N/A,FALSE,"Plan2"}</definedName>
    <definedName name="na" localSheetId="0" hidden="1">{#N/A,#N/A,FALSE,"$170M Cash";#N/A,#N/A,FALSE,"$250M Cash";#N/A,#N/A,FALSE,"$325M Cash"}</definedName>
    <definedName name="ncdgrdhrtg" localSheetId="0" hidden="1">{#N/A,#N/A,FALSE,"Plan1";#N/A,#N/A,FALSE,"Plan2"}</definedName>
    <definedName name="nchngdfhgdh" localSheetId="0" hidden="1">{#N/A,#N/A,FALSE,"Plan1";#N/A,#N/A,FALSE,"Plan2"}</definedName>
    <definedName name="NCJFKNGJHF" localSheetId="0" hidden="1">{#N/A,#N/A,FALSE,"Plan1";#N/A,#N/A,FALSE,"Plan2"}</definedName>
    <definedName name="ndcxhgdhf" localSheetId="0" hidden="1">{#N/A,#N/A,FALSE,"Plan1";#N/A,#N/A,FALSE,"Plan2"}</definedName>
    <definedName name="ndfjnjkrhdgt" localSheetId="0" hidden="1">{#N/A,#N/A,FALSE,"Plan1";#N/A,#N/A,FALSE,"Plan2"}</definedName>
    <definedName name="ndfkghkjthfyst" localSheetId="0" hidden="1">{#N/A,#N/A,FALSE,"Plan1";#N/A,#N/A,FALSE,"Plan2"}</definedName>
    <definedName name="NDJGKFKGHUFG" localSheetId="0" hidden="1">{#N/A,#N/A,FALSE,"Plan1";#N/A,#N/A,FALSE,"Plan2"}</definedName>
    <definedName name="ndrjkt" localSheetId="0" hidden="1">{#N/A,#N/A,FALSE,"Plan1";#N/A,#N/A,FALSE,"Plan2"}</definedName>
    <definedName name="new" localSheetId="0" hidden="1">{#N/A,#N/A,FALSE,"Global by BU";#N/A,#N/A,FALSE,"U.S. by BU";#N/A,#N/A,FALSE,"Canada by BU";#N/A,#N/A,FALSE,"Europe by BU";#N/A,#N/A,FALSE,"Asia by BU";#N/A,#N/A,FALSE,"Cala by BU"}</definedName>
    <definedName name="NEWNAME" localSheetId="0" hidden="1">{#N/A,#N/A,FALSE,"CCTV"}</definedName>
    <definedName name="nfgjkhvhfghn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nfkhdjkthde" localSheetId="0" hidden="1">{#N/A,#N/A,FALSE,"Plan1";#N/A,#N/A,FALSE,"Plan2"}</definedName>
    <definedName name="nhj"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NHJHFDSHF" localSheetId="0" hidden="1">{#N/A,#N/A,FALSE,"Plan1";#N/A,#N/A,FALSE,"Plan2"}</definedName>
    <definedName name="NJSDFHERTG" localSheetId="0" hidden="1">{#N/A,#N/A,FALSE,"Plan1";#N/A,#N/A,FALSE,"Plan2"}</definedName>
    <definedName name="nkfnsskdn" localSheetId="0" hidden="1">{#N/A,#N/A,FALSE,"Plan1";#N/A,#N/A,FALSE,"Plan2"}</definedName>
    <definedName name="NKJL"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nlaksjdwe" localSheetId="0" hidden="1">{#N/A,#N/A,FALSE,"Plan1";#N/A,#N/A,FALSE,"Plan2"}</definedName>
    <definedName name="nljsdfljfdsfr" localSheetId="0" hidden="1">{#N/A,#N/A,FALSE,"Plan1";#N/A,#N/A,FALSE,"Plan2"}</definedName>
    <definedName name="nmjdfhxj" localSheetId="0" hidden="1">{#N/A,#N/A,FALSE,"Plan1";#N/A,#N/A,FALSE,"Plan2"}</definedName>
    <definedName name="nnmn" localSheetId="0" hidden="1">{#N/A,#N/A,FALSE,"Plan1";#N/A,#N/A,FALSE,"Plan2"}</definedName>
    <definedName name="nnn" localSheetId="0" hidden="1">{#N/A,#N/A,FALSE,"Plan1";#N/A,#N/A,FALSE,"Plan2"}</definedName>
    <definedName name="nnnnnnnnnnn" localSheetId="0" hidden="1">{"HW",#N/A,FALSE,"1998"}</definedName>
    <definedName name="NNNNNNNNNNNNNNN" localSheetId="0" hidden="1">{#N/A,#N/A,FALSE,"Plan1";#N/A,#N/A,FALSE,"Plan2"}</definedName>
    <definedName name="nnnnnnnnnnnnnnnnnnnn" localSheetId="0" hidden="1">{#N/A,#N/A,FALSE,"Plan1";#N/A,#N/A,FALSE,"Plan2"}</definedName>
    <definedName name="NNXFT" localSheetId="0" hidden="1">{#N/A,#N/A,FALSE,"Plan1";#N/A,#N/A,FALSE,"Plan2"}</definedName>
    <definedName name="nsdkfndgfdnatf" localSheetId="0" hidden="1">{#N/A,#N/A,FALSE,"Plan1";#N/A,#N/A,FALSE,"Plan2"}</definedName>
    <definedName name="nsfljdiljrf" localSheetId="0" hidden="1">{#N/A,#N/A,FALSE,"Plan1";#N/A,#N/A,FALSE,"Plan2"}</definedName>
    <definedName name="nzxcnnjkd" localSheetId="0" hidden="1">{#N/A,#N/A,FALSE,"Plan1";#N/A,#N/A,FALSE,"Plan2"}</definedName>
    <definedName name="OAE" localSheetId="0">#REF!</definedName>
    <definedName name="odfuudor" localSheetId="0" hidden="1">{#N/A,#N/A,FALSE,"Plan1";#N/A,#N/A,FALSE,"Plan2"}</definedName>
    <definedName name="ODH" localSheetId="0" hidden="1">#REF!</definedName>
    <definedName name="oiditrot" localSheetId="0" hidden="1">{#N/A,#N/A,FALSE,"Plan1";#N/A,#N/A,FALSE,"Plan2"}</definedName>
    <definedName name="oio" localSheetId="0" hidden="1">{#N/A,#N/A,FALSE,"Plan1";#N/A,#N/A,FALSE,"Plan2"}</definedName>
    <definedName name="oiufioorif" localSheetId="0" hidden="1">#REF!</definedName>
    <definedName name="OJÇLJ" localSheetId="0" hidden="1">{#N/A,#N/A,FALSE,"Plan1";#N/A,#N/A,FALSE,"Plan2"}</definedName>
    <definedName name="ojkdfit" localSheetId="0" hidden="1">{#N/A,#N/A,FALSE,"Plan1";#N/A,#N/A,FALSE,"Plan2"}</definedName>
    <definedName name="oMISSOS" localSheetId="0" hidden="1">#REF!</definedName>
    <definedName name="ooo" localSheetId="0" hidden="1">{#N/A,#N/A,FALSE,"Plan1";#N/A,#N/A,FALSE,"Plan2"}</definedName>
    <definedName name="OPASEDWED" localSheetId="0" hidden="1">{"Econ Consolidado",#N/A,FALSE,"Econ Consol";"Fluxo de Caixa",#N/A,FALSE,"Fluxo Caixa";"Investimentos",#N/A,FALSE,"Investimentos"}</definedName>
    <definedName name="opiwre" localSheetId="0" hidden="1">{#N/A,#N/A,FALSE,"Plan1";#N/A,#N/A,FALSE,"Plan2"}</definedName>
    <definedName name="os" localSheetId="0" hidden="1">{#N/A,#N/A,FALSE,"TABLE"}</definedName>
    <definedName name="otodgkrjglsrd" localSheetId="0" hidden="1">{#N/A,#N/A,FALSE,"Plan1";#N/A,#N/A,FALSE,"Plan2"}</definedName>
    <definedName name="OUERWRSR" localSheetId="0" hidden="1">{#N/A,#N/A,FALSE,"Plan1";#N/A,#N/A,FALSE,"Plan2"}</definedName>
    <definedName name="outro" localSheetId="0" hidden="1">#REF!</definedName>
    <definedName name="overhaul"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agamento_Num" localSheetId="0">ROW()-Linha_Cabeçalho</definedName>
    <definedName name="ParamValues1" localSheetId="0">#REF!</definedName>
    <definedName name="PAV" localSheetId="0">#REF!</definedName>
    <definedName name="Pendencias" localSheetId="0" hidden="1">{#N/A,#N/A,FALSE,"GERAL";#N/A,#N/A,FALSE,"012-96";#N/A,#N/A,FALSE,"018-96";#N/A,#N/A,FALSE,"027-96";#N/A,#N/A,FALSE,"059-96";#N/A,#N/A,FALSE,"076-96";#N/A,#N/A,FALSE,"019-97";#N/A,#N/A,FALSE,"021-97";#N/A,#N/A,FALSE,"022-97";#N/A,#N/A,FALSE,"028-97"}</definedName>
    <definedName name="pendencias2" localSheetId="0" hidden="1">{#N/A,#N/A,FALSE,"GERAL";#N/A,#N/A,FALSE,"012-96";#N/A,#N/A,FALSE,"018-96";#N/A,#N/A,FALSE,"027-96";#N/A,#N/A,FALSE,"059-96";#N/A,#N/A,FALSE,"076-96";#N/A,#N/A,FALSE,"019-97";#N/A,#N/A,FALSE,"021-97";#N/A,#N/A,FALSE,"022-97";#N/A,#N/A,FALSE,"028-97"}</definedName>
    <definedName name="pendencias3" localSheetId="0" hidden="1">{#N/A,#N/A,FALSE,"GERAL";#N/A,#N/A,FALSE,"012-96";#N/A,#N/A,FALSE,"018-96";#N/A,#N/A,FALSE,"027-96";#N/A,#N/A,FALSE,"059-96";#N/A,#N/A,FALSE,"076-96";#N/A,#N/A,FALSE,"019-97";#N/A,#N/A,FALSE,"021-97";#N/A,#N/A,FALSE,"022-97";#N/A,#N/A,FALSE,"028-97"}</definedName>
    <definedName name="Perímetro_lajão" localSheetId="0">#REF!</definedName>
    <definedName name="Perímetro_Terreno" localSheetId="0">#REF!</definedName>
    <definedName name="Perímetro_torre" localSheetId="0">#REF!</definedName>
    <definedName name="piaz"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PLACAS" localSheetId="0" hidden="1">{#N/A,#N/A,TRUE,"Quinzena 01 à 15-04-98 "}</definedName>
    <definedName name="Placas_Areas" localSheetId="0" hidden="1">{#N/A,#N/A,TRUE,"Quinzena 01 à 15-04-98 "}</definedName>
    <definedName name="plan" localSheetId="0" hidden="1">#REF!</definedName>
    <definedName name="plan2"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plasçdeaw" localSheetId="0" hidden="1">{#N/A,#N/A,FALSE,"Plan1";#N/A,#N/A,FALSE,"Plan2"}</definedName>
    <definedName name="plaslrswe" localSheetId="0" hidden="1">{#N/A,#N/A,FALSE,"Plan1";#N/A,#N/A,FALSE,"Plan2"}</definedName>
    <definedName name="pls" localSheetId="0" hidden="1">#REF!</definedName>
    <definedName name="plsearpef" localSheetId="0" hidden="1">{#N/A,#N/A,FALSE,"Plan1";#N/A,#N/A,FALSE,"Plan2"}</definedName>
    <definedName name="plss" localSheetId="0" hidden="1">{#N/A,#N/A,FALSE,"Plan1";#N/A,#N/A,FALSE,"Plan2"}</definedName>
    <definedName name="PN2건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r" localSheetId="0">#REF!</definedName>
    <definedName name="Prazo_da_Estrutura" localSheetId="0">#REF!</definedName>
    <definedName name="Prazo_Obra" localSheetId="0">#REF!</definedName>
    <definedName name="PRE" localSheetId="0">#REF!</definedName>
    <definedName name="print" localSheetId="0" hidden="1">{#N/A,#N/A,FALSE,"$170M Cash";#N/A,#N/A,FALSE,"$250M Cash";#N/A,#N/A,FALSE,"$325M Cash"}</definedName>
    <definedName name="Print_Area_MI" localSheetId="0">#REF!</definedName>
    <definedName name="Projeção_torre" localSheetId="0">#REF!</definedName>
    <definedName name="ptirigyiotut" localSheetId="0" hidden="1">{#N/A,#N/A,FALSE,"Plan1";#N/A,#N/A,FALSE,"Plan2"}</definedName>
    <definedName name="PWER3" localSheetId="0" hidden="1">{#N/A,#N/A,FALSE,"Plan1";#N/A,#N/A,FALSE,"Plan2"}</definedName>
    <definedName name="q" localSheetId="0" hidden="1">#REF!</definedName>
    <definedName name="qe" localSheetId="0">#REF!</definedName>
    <definedName name="qee" localSheetId="0">#REF!</definedName>
    <definedName name="qkqh1" localSheetId="0" hidden="1">{#N/A,#N/A,FALSE,"명세표"}</definedName>
    <definedName name="QQ"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QQQQQQQQ" localSheetId="0" hidden="1">#REF!</definedName>
    <definedName name="QSQWSE" localSheetId="0" hidden="1">{#N/A,#N/A,FALSE,"Plan1";#N/A,#N/A,FALSE,"Plan2"}</definedName>
    <definedName name="Quant_Aptos" localSheetId="0">#REF!</definedName>
    <definedName name="Quant_Cremalheira" localSheetId="0">#REF!</definedName>
    <definedName name="Quant_grua" localSheetId="0">#REF!</definedName>
    <definedName name="Quant_pav_lajão" localSheetId="0">#REF!</definedName>
    <definedName name="Quant_tipo" localSheetId="0">#REF!</definedName>
    <definedName name="Quant_torres" localSheetId="0">#REF!</definedName>
    <definedName name="Quantidade_Elevadores" localSheetId="0">#REF!</definedName>
    <definedName name="qwdqw" localSheetId="0" hidden="1">{#N/A,#N/A,FALSE,"Plan1";#N/A,#N/A,FALSE,"Plan2"}</definedName>
    <definedName name="qweqwe" localSheetId="0" hidden="1">{#N/A,#N/A,FALSE,"Plan1";#N/A,#N/A,FALSE,"Plan2"}</definedName>
    <definedName name="qweqwe4"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qwewqe" localSheetId="0" hidden="1">#REF!</definedName>
    <definedName name="qwqw" localSheetId="0" hidden="1">#REF!</definedName>
    <definedName name="RADIO" localSheetId="0" hidden="1">{"HW",#N/A,FALSE,"1998"}</definedName>
    <definedName name="RE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reforsu" localSheetId="0">#REF!</definedName>
    <definedName name="ren" localSheetId="0">#REF!</definedName>
    <definedName name="resum" localSheetId="0" hidden="1">{"'Ethernet Hubs'!$A$1:$F$14","'Licences'!$A$1:$F$16","'Ports and Converters'!$A$1:$F$46","'Standard Routers'!$A$1:$F$28","'Ports and Converters'!$A$1:$G$46","'Router Chassis'!$A$1:$F$21","'Cables and Connectors'!$A$1:$F$41","'Support, Training and Docs'!$A$1:$F$6","'Management'!$A$1:$F$8"}</definedName>
    <definedName name="RESUMO2" localSheetId="0" hidden="1">{#N/A,#N/A,TRUE,"Quinzena 01 à 15-04-98 "}</definedName>
    <definedName name="REV" localSheetId="0">#REF!</definedName>
    <definedName name="RF" localSheetId="0" hidden="1">{#N/A,#N/A,FALSE,"CCTV"}</definedName>
    <definedName name="rgedrfrgfdg" localSheetId="0" hidden="1">{#N/A,#N/A,FALSE,"Plan1";#N/A,#N/A,FALSE,"Plan2"}</definedName>
    <definedName name="rhdrmq"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RR" localSheetId="0" hidden="1">#REF!</definedName>
    <definedName name="rrrrr" localSheetId="0" hidden="1">{"'장비'!$A$3:$M$12"}</definedName>
    <definedName name="rrrrrrrr" localSheetId="0" hidden="1">{"'장비'!$A$3:$M$12"}</definedName>
    <definedName name="rrrrrrrrrrr" localSheetId="0" hidden="1">{#N/A,#N/A,TRUE,"Quinzena 01 à 15-04-98 "}</definedName>
    <definedName name="RTYE" localSheetId="0" hidden="1">{"'장비'!$A$3:$M$12"}</definedName>
    <definedName name="sa"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aa" localSheetId="0" hidden="1">{#N/A,#N/A,FALSE,"GERAL";#N/A,#N/A,FALSE,"012-96";#N/A,#N/A,FALSE,"018-96";#N/A,#N/A,FALSE,"027-96";#N/A,#N/A,FALSE,"059-96";#N/A,#N/A,FALSE,"076-96";#N/A,#N/A,FALSE,"019-97";#N/A,#N/A,FALSE,"021-97";#N/A,#N/A,FALSE,"022-97";#N/A,#N/A,FALSE,"028-97"}</definedName>
    <definedName name="sad"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adasd" localSheetId="0" hidden="1">{#N/A,#N/A,FALSE,"Plan1";#N/A,#N/A,FALSE,"Plan2"}</definedName>
    <definedName name="sadked"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adkrjkedft" localSheetId="0" hidden="1">{#N/A,#N/A,FALSE,"Plan1";#N/A,#N/A,FALSE,"Plan2"}</definedName>
    <definedName name="SADSRTR" localSheetId="0" hidden="1">{#N/A,#N/A,FALSE,"Plan1";#N/A,#N/A,FALSE,"Plan2"}</definedName>
    <definedName name="sadwde" localSheetId="0" hidden="1">{#N/A,#N/A,FALSE,"Plan1";#N/A,#N/A,FALSE,"Plan2"}</definedName>
    <definedName name="sanjay" localSheetId="0" hidden="1">{#N/A,#N/A,FALSE,"TABLE"}</definedName>
    <definedName name="SAS" localSheetId="0" hidden="1">{#N/A,#N/A,FALSE,"Plan1";#N/A,#N/A,FALSE,"Plan2"}</definedName>
    <definedName name="sasads" localSheetId="0" hidden="1">{#N/A,#N/A,FALSE,"Plan1";#N/A,#N/A,FALSE,"Plan2"}</definedName>
    <definedName name="SC" localSheetId="0" hidden="1">#REF!</definedName>
    <definedName name="sdae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DAOTGFR" localSheetId="0" hidden="1">{#N/A,#N/A,FALSE,"Plan1";#N/A,#N/A,FALSE,"Plan2"}</definedName>
    <definedName name="sdckd" localSheetId="0" hidden="1">{#N/A,#N/A,FALSE,"Plan1";#N/A,#N/A,FALSE,"Plan2"}</definedName>
    <definedName name="SDDFKSEDE" localSheetId="0" hidden="1">{#N/A,#N/A,FALSE,"Plan1";#N/A,#N/A,FALSE,"Plan2"}</definedName>
    <definedName name="sddkslker" localSheetId="0" hidden="1">{#N/A,#N/A,FALSE,"Plan1";#N/A,#N/A,FALSE,"Plan2"}</definedName>
    <definedName name="sdefr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derj"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dert" localSheetId="0" hidden="1">#REF!</definedName>
    <definedName name="sdfd"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dfdds" localSheetId="0" hidden="1">{#N/A,#N/A,FALSE,"Plan1";#N/A,#N/A,FALSE,"Plan2"}</definedName>
    <definedName name="sdfdfc" localSheetId="0" hidden="1">{#N/A,#N/A,FALSE,"Plan1";#N/A,#N/A,FALSE,"Plan2"}</definedName>
    <definedName name="sdfdf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dfdgft" localSheetId="0" hidden="1">{#N/A,#N/A,FALSE,"Plan1";#N/A,#N/A,FALSE,"Plan2"}</definedName>
    <definedName name="sdfdsf" localSheetId="0" hidden="1">{#N/A,#N/A,FALSE,"Plan1";#N/A,#N/A,FALSE,"Plan2"}</definedName>
    <definedName name="sdfdsf\da" localSheetId="0" hidden="1">{#N/A,#N/A,FALSE,"Plan1";#N/A,#N/A,FALSE,"Plan2"}</definedName>
    <definedName name="SDFEDRT" localSheetId="0" hidden="1">{#N/A,#N/A,FALSE,"Plan1";#N/A,#N/A,FALSE,"Plan2"}</definedName>
    <definedName name="sdfer" localSheetId="0" hidden="1">{#N/A,#N/A,FALSE,"Plan1";#N/A,#N/A,FALSE,"Plan2"}</definedName>
    <definedName name="sdferr" localSheetId="0" hidden="1">{#N/A,#N/A,FALSE,"Plan1";#N/A,#N/A,FALSE,"Plan2"}</definedName>
    <definedName name="sdfe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DFGJFSRF" localSheetId="0" hidden="1">{#N/A,#N/A,FALSE,"Plan1";#N/A,#N/A,FALSE,"Plan2"}</definedName>
    <definedName name="sdfgtr" localSheetId="0" hidden="1">{#N/A,#N/A,FALSE,"Plan1";#N/A,#N/A,FALSE,"Plan2"}</definedName>
    <definedName name="sdfjdetrt" localSheetId="0" hidden="1">{#N/A,#N/A,FALSE,"Plan1";#N/A,#N/A,FALSE,"Plan2"}</definedName>
    <definedName name="SDFJDRTJEIDR" localSheetId="0" hidden="1">{#N/A,#N/A,FALSE,"Plan1";#N/A,#N/A,FALSE,"Plan2"}</definedName>
    <definedName name="sdfjergtij" localSheetId="0" hidden="1">{#N/A,#N/A,FALSE,"Plan1";#N/A,#N/A,FALSE,"Plan2"}</definedName>
    <definedName name="SDFOPJKWE" localSheetId="0" hidden="1">{#N/A,#N/A,FALSE,"Plan1";#N/A,#N/A,FALSE,"Plan2"}</definedName>
    <definedName name="sdfrdt5"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dfrt" localSheetId="0" hidden="1">{#N/A,#N/A,FALSE,"Plan1";#N/A,#N/A,FALSE,"Plan2"}</definedName>
    <definedName name="SDFRTKK" localSheetId="0" hidden="1">{#N/A,#N/A,FALSE,"Plan1";#N/A,#N/A,FALSE,"Plan2"}</definedName>
    <definedName name="SDFRTR" localSheetId="0" hidden="1">{#N/A,#N/A,FALSE,"Plan1";#N/A,#N/A,FALSE,"Plan2"}</definedName>
    <definedName name="sdfry6" localSheetId="0" hidden="1">{#N/A,#N/A,FALSE,"Plan1";#N/A,#N/A,FALSE,"Plan2"}</definedName>
    <definedName name="sdfsaf" localSheetId="0" hidden="1">{#N/A,#N/A,FALSE,"Plan1";#N/A,#N/A,FALSE,"Plan2"}</definedName>
    <definedName name="sdfsd" localSheetId="0" hidden="1">{"'Estimativa de Lançamento-JAN'!$A$1:$AI$85"}</definedName>
    <definedName name="sdfsdfg" localSheetId="0" hidden="1">{#N/A,#N/A,FALSE,"Plan1";#N/A,#N/A,FALSE,"Plan2"}</definedName>
    <definedName name="SDFSDFK" localSheetId="0" hidden="1">{#N/A,#N/A,FALSE,"Plan1";#N/A,#N/A,FALSE,"Plan2"}</definedName>
    <definedName name="sdfsdgftret" localSheetId="0" hidden="1">{#N/A,#N/A,FALSE,"Plan1";#N/A,#N/A,FALSE,"Plan2"}</definedName>
    <definedName name="sdfsf" localSheetId="0" hidden="1">{#N/A,#N/A,FALSE,"Plan1";#N/A,#N/A,FALSE,"Plan2"}</definedName>
    <definedName name="SDFSFRT" localSheetId="0" hidden="1">{"Econ Consolidado",#N/A,FALSE,"Econ Consol";"Fluxo de Caixa",#N/A,FALSE,"Fluxo Caixa";"Investimentos",#N/A,FALSE,"Investimentos"}</definedName>
    <definedName name="sdfsr" localSheetId="0" hidden="1">{#N/A,#N/A,FALSE,"Plan1";#N/A,#N/A,FALSE,"Plan2"}</definedName>
    <definedName name="sdfty" localSheetId="0" hidden="1">{#N/A,#N/A,FALSE,"Plan1";#N/A,#N/A,FALSE,"Plan2"}</definedName>
    <definedName name="sdgdf" localSheetId="0" hidden="1">{#N/A,#N/A,FALSE,"Plan1";#N/A,#N/A,FALSE,"Plan2"}</definedName>
    <definedName name="sdgfrt" localSheetId="0" hidden="1">{#N/A,#N/A,FALSE,"Plan1";#N/A,#N/A,FALSE,"Plan2"}</definedName>
    <definedName name="sdgft" localSheetId="0" hidden="1">{#N/A,#N/A,FALSE,"Plan1";#N/A,#N/A,FALSE,"Plan2"}</definedName>
    <definedName name="sdgt" localSheetId="0" hidden="1">{#N/A,#N/A,FALSE,"Plan1";#N/A,#N/A,FALSE,"Plan2"}</definedName>
    <definedName name="sdgtry" localSheetId="0" hidden="1">#REF!</definedName>
    <definedName name="sdhfghdsfg" localSheetId="0" hidden="1">{#N/A,#N/A,FALSE,"Plan1";#N/A,#N/A,FALSE,"Plan2"}</definedName>
    <definedName name="SDHFJKHDFJRE" localSheetId="0" hidden="1">{#N/A,#N/A,FALSE,"Plan1";#N/A,#N/A,FALSE,"Plan2"}</definedName>
    <definedName name="SDHKFDRKGTR" localSheetId="0" hidden="1">{#N/A,#N/A,FALSE,"Plan1";#N/A,#N/A,FALSE,"Plan2"}</definedName>
    <definedName name="sdjdswger" localSheetId="0" hidden="1">{#N/A,#N/A,FALSE,"Plan1";#N/A,#N/A,FALSE,"Plan2"}</definedName>
    <definedName name="sdjfdf" localSheetId="0" hidden="1">{#N/A,#N/A,FALSE,"Plan1";#N/A,#N/A,FALSE,"Plan2"}</definedName>
    <definedName name="sdjfhdjk" localSheetId="0" hidden="1">{#N/A,#N/A,FALSE,"Plan1";#N/A,#N/A,FALSE,"Plan2"}</definedName>
    <definedName name="SDJFJDER" localSheetId="0" hidden="1">{#N/A,#N/A,FALSE,"Plan1";#N/A,#N/A,FALSE,"Plan2"}</definedName>
    <definedName name="sdjflsdjfl" localSheetId="0" hidden="1">{#N/A,#N/A,FALSE,"Plan1";#N/A,#N/A,FALSE,"Plan2"}</definedName>
    <definedName name="SDJHF" localSheetId="0" hidden="1">{#N/A,#N/A,FALSE,"Plan1";#N/A,#N/A,FALSE,"Plan2"}</definedName>
    <definedName name="sdjrderertrr" localSheetId="0" hidden="1">{#N/A,#N/A,FALSE,"Plan1";#N/A,#N/A,FALSE,"Plan2"}</definedName>
    <definedName name="sdkdjk" localSheetId="0" hidden="1">{#N/A,#N/A,FALSE,"Plan1";#N/A,#N/A,FALSE,"Plan2"}</definedName>
    <definedName name="sdkfjhkdgfhk"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dkfnjd" localSheetId="0" hidden="1">{#N/A,#N/A,FALSE,"Plan1";#N/A,#N/A,FALSE,"Plan2"}</definedName>
    <definedName name="sdkk" localSheetId="0" hidden="1">{#N/A,#N/A,FALSE,"Plan1";#N/A,#N/A,FALSE,"Plan2"}</definedName>
    <definedName name="sdlfsdflj" localSheetId="0" hidden="1">{#N/A,#N/A,FALSE,"Plan1";#N/A,#N/A,FALSE,"Plan2"}</definedName>
    <definedName name="sdmfmdfsgfd" localSheetId="0" hidden="1">{#N/A,#N/A,FALSE,"Plan1";#N/A,#N/A,FALSE,"Plan2"}</definedName>
    <definedName name="sd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drfgt" localSheetId="0" hidden="1">{#N/A,#N/A,FALSE,"Plan1";#N/A,#N/A,FALSE,"Plan2"}</definedName>
    <definedName name="sdsd" localSheetId="0" hidden="1">{#N/A,#N/A,FALSE,"Plan1";#N/A,#N/A,FALSE,"Plan2"}</definedName>
    <definedName name="sdser" localSheetId="0" hidden="1">{#N/A,#N/A,FALSE,"Plan1";#N/A,#N/A,FALSE,"Plan2"}</definedName>
    <definedName name="sdsre" localSheetId="0" hidden="1">{#N/A,#N/A,FALSE,"Plan1";#N/A,#N/A,FALSE,"Plan2"}</definedName>
    <definedName name="sdss" localSheetId="0" hidden="1">{#N/A,#N/A,FALSE,"Plan1";#N/A,#N/A,FALSE,"Plan2"}</definedName>
    <definedName name="sdtrtg" localSheetId="0" hidden="1">#REF!</definedName>
    <definedName name="sdusi"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DWER" localSheetId="0" hidden="1">{"Econ Consolidado",#N/A,FALSE,"Econ Consol";"Fluxo de Caixa",#N/A,FALSE,"Fluxo Caixa";"Investimentos",#N/A,FALSE,"Investimentos"}</definedName>
    <definedName name="sdxfrt" localSheetId="0" hidden="1">{#N/A,#N/A,FALSE,"Plan1";#N/A,#N/A,FALSE,"Plan2"}</definedName>
    <definedName name="SDZFERF" localSheetId="0" hidden="1">{#N/A,#N/A,FALSE,"Plan1";#N/A,#N/A,FALSE,"Plan2"}</definedName>
    <definedName name="sefret4r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EG" localSheetId="0">#REF!</definedName>
    <definedName name="segftru" localSheetId="0" hidden="1">{#N/A,#N/A,FALSE,"Plan1";#N/A,#N/A,FALSE,"Plan2"}</definedName>
    <definedName name="sencount" localSheetId="0" hidden="1">3</definedName>
    <definedName name="SEREWRSWE" localSheetId="0" hidden="1">{"tabela",#N/A,FALSE,"Tabela";"decoração",#N/A,FALSE,"Decor.";"Informações",#N/A,FALSE,"Inform."}</definedName>
    <definedName name="sf" localSheetId="0" hidden="1">{#N/A,#N/A,FALSE,"Plan1";#N/A,#N/A,FALSE,"Plan2"}</definedName>
    <definedName name="sfcrer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fddfd" localSheetId="0" hidden="1">{#N/A,#N/A,FALSE,"Plan1";#N/A,#N/A,FALSE,"Plan2"}</definedName>
    <definedName name="sfds" localSheetId="0" hidden="1">{#N/A,#N/A,FALSE,"Plan1";#N/A,#N/A,FALSE,"Plan2"}</definedName>
    <definedName name="sfdsd" localSheetId="0" hidden="1">{#N/A,#N/A,FALSE,"Plan1";#N/A,#N/A,FALSE,"Plan2"}</definedName>
    <definedName name="sfrsdrgt" localSheetId="0" hidden="1">{#N/A,#N/A,FALSE,"Plan1";#N/A,#N/A,FALSE,"Plan2"}</definedName>
    <definedName name="SFRT" localSheetId="0" hidden="1">{#N/A,#N/A,FALSE,"Plan1";#N/A,#N/A,FALSE,"Plan2"}</definedName>
    <definedName name="sfsdferf" localSheetId="0" hidden="1">{#N/A,#N/A,FALSE,"Plan1";#N/A,#N/A,FALSE,"Plan2"}</definedName>
    <definedName name="SFSDS" localSheetId="0" hidden="1">{#N/A,#N/A,FALSE,"Plan1";#N/A,#N/A,FALSE,"Plan2"}</definedName>
    <definedName name="sgtghty" localSheetId="0" hidden="1">{#N/A,#N/A,FALSE,"Plan1";#N/A,#N/A,FALSE,"Plan2"}</definedName>
    <definedName name="SH" localSheetId="0" hidden="1">{#N/A,#N/A,FALSE,"GERAL";#N/A,#N/A,FALSE,"012-96";#N/A,#N/A,FALSE,"018-96";#N/A,#N/A,FALSE,"027-96";#N/A,#N/A,FALSE,"059-96";#N/A,#N/A,FALSE,"076-96";#N/A,#N/A,FALSE,"019-97";#N/A,#N/A,FALSE,"021-97";#N/A,#N/A,FALSE,"022-97";#N/A,#N/A,FALSE,"028-97"}</definedName>
    <definedName name="SHARED_FORMULA_0" localSheetId="0">#N/A</definedName>
    <definedName name="SHARED_FORMULA_1" localSheetId="0">#N/A</definedName>
    <definedName name="SHARED_FORMULA_10" localSheetId="0">#N/A</definedName>
    <definedName name="SHARED_FORMULA_11" localSheetId="0">#N/A</definedName>
    <definedName name="SHARED_FORMULA_12" localSheetId="0">#N/A</definedName>
    <definedName name="SHARED_FORMULA_13" localSheetId="0">#N/A</definedName>
    <definedName name="SHARED_FORMULA_14" localSheetId="0">#N/A</definedName>
    <definedName name="SHARED_FORMULA_15" localSheetId="0">#N/A</definedName>
    <definedName name="SHARED_FORMULA_16" localSheetId="0">#N/A</definedName>
    <definedName name="SHARED_FORMULA_17" localSheetId="0">#N/A</definedName>
    <definedName name="SHARED_FORMULA_18" localSheetId="0">#N/A</definedName>
    <definedName name="SHARED_FORMULA_19" localSheetId="0">#N/A</definedName>
    <definedName name="SHARED_FORMULA_2" localSheetId="0">#N/A</definedName>
    <definedName name="SHARED_FORMULA_20" localSheetId="0">#N/A</definedName>
    <definedName name="SHARED_FORMULA_21" localSheetId="0">#N/A</definedName>
    <definedName name="SHARED_FORMULA_22" localSheetId="0">#N/A</definedName>
    <definedName name="SHARED_FORMULA_23" localSheetId="0">#N/A</definedName>
    <definedName name="SHARED_FORMULA_24" localSheetId="0">#N/A</definedName>
    <definedName name="SHARED_FORMULA_25" localSheetId="0">#N/A</definedName>
    <definedName name="SHARED_FORMULA_26" localSheetId="0">#N/A</definedName>
    <definedName name="SHARED_FORMULA_27" localSheetId="0">#N/A</definedName>
    <definedName name="SHARED_FORMULA_28" localSheetId="0">#N/A</definedName>
    <definedName name="SHARED_FORMULA_29" localSheetId="0">#N/A</definedName>
    <definedName name="SHARED_FORMULA_3" localSheetId="0">#N/A</definedName>
    <definedName name="SHARED_FORMULA_30" localSheetId="0">#N/A</definedName>
    <definedName name="SHARED_FORMULA_31" localSheetId="0">#N/A</definedName>
    <definedName name="SHARED_FORMULA_32" localSheetId="0">#N/A</definedName>
    <definedName name="SHARED_FORMULA_33" localSheetId="0">#N/A</definedName>
    <definedName name="SHARED_FORMULA_34" localSheetId="0">#N/A</definedName>
    <definedName name="SHARED_FORMULA_35" localSheetId="0">#N/A</definedName>
    <definedName name="SHARED_FORMULA_36" localSheetId="0">#N/A</definedName>
    <definedName name="SHARED_FORMULA_37" localSheetId="0">#N/A</definedName>
    <definedName name="SHARED_FORMULA_38" localSheetId="0">#N/A</definedName>
    <definedName name="SHARED_FORMULA_39" localSheetId="0">#N/A</definedName>
    <definedName name="SHARED_FORMULA_4" localSheetId="0">#N/A</definedName>
    <definedName name="SHARED_FORMULA_40" localSheetId="0">#N/A</definedName>
    <definedName name="SHARED_FORMULA_41" localSheetId="0">#N/A</definedName>
    <definedName name="SHARED_FORMULA_42" localSheetId="0">#N/A</definedName>
    <definedName name="SHARED_FORMULA_43" localSheetId="0">#N/A</definedName>
    <definedName name="SHARED_FORMULA_44" localSheetId="0">#N/A</definedName>
    <definedName name="SHARED_FORMULA_45" localSheetId="0">#N/A</definedName>
    <definedName name="SHARED_FORMULA_46" localSheetId="0">#N/A</definedName>
    <definedName name="SHARED_FORMULA_47" localSheetId="0">#N/A</definedName>
    <definedName name="SHARED_FORMULA_48" localSheetId="0">#N/A</definedName>
    <definedName name="SHARED_FORMULA_49" localSheetId="0">#N/A</definedName>
    <definedName name="SHARED_FORMULA_5" localSheetId="0">#N/A</definedName>
    <definedName name="SHARED_FORMULA_50" localSheetId="0">#N/A</definedName>
    <definedName name="SHARED_FORMULA_51" localSheetId="0">#N/A</definedName>
    <definedName name="SHARED_FORMULA_52" localSheetId="0">#N/A</definedName>
    <definedName name="SHARED_FORMULA_53" localSheetId="0">#N/A</definedName>
    <definedName name="SHARED_FORMULA_54" localSheetId="0">#N/A</definedName>
    <definedName name="SHARED_FORMULA_55" localSheetId="0">#N/A</definedName>
    <definedName name="SHARED_FORMULA_56" localSheetId="0">#N/A</definedName>
    <definedName name="SHARED_FORMULA_57" localSheetId="0">#N/A</definedName>
    <definedName name="SHARED_FORMULA_58" localSheetId="0">#N/A</definedName>
    <definedName name="SHARED_FORMULA_59" localSheetId="0">#N/A</definedName>
    <definedName name="SHARED_FORMULA_6" localSheetId="0">#N/A</definedName>
    <definedName name="SHARED_FORMULA_60" localSheetId="0">#N/A</definedName>
    <definedName name="SHARED_FORMULA_61" localSheetId="0">#N/A</definedName>
    <definedName name="SHARED_FORMULA_62" localSheetId="0">#N/A</definedName>
    <definedName name="SHARED_FORMULA_7" localSheetId="0">#N/A</definedName>
    <definedName name="SHARED_FORMULA_8" localSheetId="0">#N/A</definedName>
    <definedName name="SHARED_FORMULA_9" localSheetId="0">#N/A</definedName>
    <definedName name="SIH" localSheetId="0">#REF!</definedName>
    <definedName name="SIV" localSheetId="0">#REF!</definedName>
    <definedName name="sjawe" localSheetId="0" hidden="1">{#N/A,#N/A,FALSE,"Plan1";#N/A,#N/A,FALSE,"Plan2"}</definedName>
    <definedName name="sjdffd" localSheetId="0" hidden="1">{#N/A,#N/A,FALSE,"Plan1";#N/A,#N/A,FALSE,"Plan2"}</definedName>
    <definedName name="SJDFHDJS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SJDHFHRE" localSheetId="0" hidden="1">{#N/A,#N/A,FALSE,"Plan1";#N/A,#N/A,FALSE,"Plan2"}</definedName>
    <definedName name="SJDKJDE" localSheetId="0" hidden="1">{"Econ Consolidado",#N/A,FALSE,"Econ Consol";"Fluxo de Caixa",#N/A,FALSE,"Fluxo Caixa";"Investimentos",#N/A,FALSE,"Investimentos"}</definedName>
    <definedName name="sjekwjri" localSheetId="0" hidden="1">{#N/A,#N/A,FALSE,"Plan1";#N/A,#N/A,FALSE,"Plan2"}</definedName>
    <definedName name="sjfkdhsfds" localSheetId="0" hidden="1">{#N/A,#N/A,FALSE,"Plan1";#N/A,#N/A,FALSE,"Plan2"}</definedName>
    <definedName name="sjkdljslkrje" localSheetId="0" hidden="1">{#N/A,#N/A,FALSE,"Plan1";#N/A,#N/A,FALSE,"Plan2"}</definedName>
    <definedName name="skadadaszs" localSheetId="0" hidden="1">{#N/A,#N/A,FALSE,"Plan1";#N/A,#N/A,FALSE,"Plan2"}</definedName>
    <definedName name="SKASH" localSheetId="0" hidden="1">{#N/A,#N/A,FALSE,"Plan1";#N/A,#N/A,FALSE,"Plan2"}</definedName>
    <definedName name="skldfrde" localSheetId="0" hidden="1">{#N/A,#N/A,FALSE,"Plan1";#N/A,#N/A,FALSE,"Plan2"}</definedName>
    <definedName name="skosroer" localSheetId="0" hidden="1">{#N/A,#N/A,FALSE,"Plan1";#N/A,#N/A,FALSE,"Plan2"}</definedName>
    <definedName name="sp"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ARE"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QEWWE" localSheetId="0" hidden="1">{#N/A,#N/A,FALSE,"Plan1";#N/A,#N/A,FALSE,"Plan2"}</definedName>
    <definedName name="SR" localSheetId="0" hidden="1">#REF!</definedName>
    <definedName name="SRH" localSheetId="0" hidden="1">{#N/A,#N/A,FALSE,"GERAL";#N/A,#N/A,FALSE,"012-96";#N/A,#N/A,FALSE,"018-96";#N/A,#N/A,FALSE,"027-96";#N/A,#N/A,FALSE,"059-96";#N/A,#N/A,FALSE,"076-96";#N/A,#N/A,FALSE,"019-97";#N/A,#N/A,FALSE,"021-97";#N/A,#N/A,FALSE,"022-97";#N/A,#N/A,FALSE,"028-97"}</definedName>
    <definedName name="SRTSRT" localSheetId="0" hidden="1">{#N/A,#N/A,FALSE,"GERAL";#N/A,#N/A,FALSE,"012-96";#N/A,#N/A,FALSE,"018-96";#N/A,#N/A,FALSE,"027-96";#N/A,#N/A,FALSE,"059-96";#N/A,#N/A,FALSE,"076-96";#N/A,#N/A,FALSE,"019-97";#N/A,#N/A,FALSE,"021-97";#N/A,#N/A,FALSE,"022-97";#N/A,#N/A,FALSE,"028-97"}</definedName>
    <definedName name="SRTST" localSheetId="0" hidden="1">{#N/A,#N/A,FALSE,"GERAL";#N/A,#N/A,FALSE,"012-96";#N/A,#N/A,FALSE,"018-96";#N/A,#N/A,FALSE,"027-96";#N/A,#N/A,FALSE,"059-96";#N/A,#N/A,FALSE,"076-96";#N/A,#N/A,FALSE,"019-97";#N/A,#N/A,FALSE,"021-97";#N/A,#N/A,FALSE,"022-97";#N/A,#N/A,FALSE,"028-97"}</definedName>
    <definedName name="sssss" localSheetId="0" hidden="1">#REF!</definedName>
    <definedName name="status_projeto" localSheetId="0" hidden="1">OFFSET(INDEX(#REF!,MATCH(#REF!,#REF!,0)),1,0,COUNTA(#REF!)-1)</definedName>
    <definedName name="summ" localSheetId="0" hidden="1">#REF!</definedName>
    <definedName name="susref" localSheetId="0">#REF!</definedName>
    <definedName name="tab"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tania" localSheetId="0">#REF!</definedName>
    <definedName name="tc" localSheetId="0">#REF!</definedName>
    <definedName name="Test" localSheetId="0" hidden="1">{"'Edit'!$A$1:$V$2277"}</definedName>
    <definedName name="TESTANDO" localSheetId="0" hidden="1">{#N/A,#N/A,TRUE,"Quinzena 01 à 15-04-98 "}</definedName>
    <definedName name="teste" localSheetId="0">#REF!</definedName>
    <definedName name="teste1" localSheetId="0" hidden="1">{#N/A,#N/A,FALSE,"GERAL";#N/A,#N/A,FALSE,"012-96";#N/A,#N/A,FALSE,"018-96";#N/A,#N/A,FALSE,"027-96";#N/A,#N/A,FALSE,"059-96";#N/A,#N/A,FALSE,"076-96";#N/A,#N/A,FALSE,"019-97";#N/A,#N/A,FALSE,"021-97";#N/A,#N/A,FALSE,"022-97";#N/A,#N/A,FALSE,"028-97"}</definedName>
    <definedName name="thjgsergsr" localSheetId="0" hidden="1">{#N/A,#N/A,FALSE,"Plan1";#N/A,#N/A,FALSE,"Plan2"}</definedName>
    <definedName name="THYJ" localSheetId="0" hidden="1">{#N/A,#N/A,FALSE,"Plan1";#N/A,#N/A,FALSE,"Plan2"}</definedName>
    <definedName name="tihjgih" localSheetId="0" hidden="1">{#N/A,#N/A,FALSE,"Plan1";#N/A,#N/A,FALSE,"Plan2"}</definedName>
    <definedName name="titulos" localSheetId="0">#REF!</definedName>
    <definedName name="TOT" localSheetId="0">#REF!</definedName>
    <definedName name="Total" localSheetId="0">#REF!</definedName>
    <definedName name="trjyidih" localSheetId="0" hidden="1">{#N/A,#N/A,FALSE,"Plan1";#N/A,#N/A,FALSE,"Plan2"}</definedName>
    <definedName name="TRP" localSheetId="0">#REF!</definedName>
    <definedName name="tuyedjsksj" localSheetId="0" hidden="1">{#N/A,#N/A,FALSE,"Plan1";#N/A,#N/A,FALSE,"Plan2"}</definedName>
    <definedName name="TYHGFHFHG" localSheetId="0" hidden="1">{#N/A,#N/A,FALSE,"Plan1";#N/A,#N/A,FALSE,"Plan2"}</definedName>
    <definedName name="u" localSheetId="0" hidden="1">{#N/A,#N/A,FALSE,"ET-CAPA";#N/A,#N/A,FALSE,"ET-PAG1";#N/A,#N/A,FALSE,"ET-PAG2";#N/A,#N/A,FALSE,"ET-PAG3";#N/A,#N/A,FALSE,"ET-PAG4";#N/A,#N/A,FALSE,"ET-PAG5"}</definedName>
    <definedName name="udhgfhfg" localSheetId="0" hidden="1">{#N/A,#N/A,FALSE,"Plan1";#N/A,#N/A,FALSE,"Plan2"}</definedName>
    <definedName name="ueiutriuef" localSheetId="0" hidden="1">{#N/A,#N/A,FALSE,"Plan1";#N/A,#N/A,FALSE,"Plan2"}</definedName>
    <definedName name="UHGSDUS" localSheetId="0" hidden="1">{#N/A,#N/A,FALSE,"Plan1";#N/A,#N/A,FALSE,"Plan2"}</definedName>
    <definedName name="UI" localSheetId="0" hidden="1">#REF!</definedName>
    <definedName name="UIHWER45R" localSheetId="0" hidden="1">{#N/A,#N/A,FALSE,"Plan1";#N/A,#N/A,FALSE,"Plan2"}</definedName>
    <definedName name="uiosderuiu" localSheetId="0" hidden="1">{#N/A,#N/A,FALSE,"Plan1";#N/A,#N/A,FALSE,"Plan2"}</definedName>
    <definedName name="UIOURET" localSheetId="0" hidden="1">{#N/A,#N/A,FALSE,"Plan1";#N/A,#N/A,FALSE,"Plan2"}</definedName>
    <definedName name="uiwuer" localSheetId="0" hidden="1">{#N/A,#N/A,FALSE,"Plan1";#N/A,#N/A,FALSE,"Plan2"}</definedName>
    <definedName name="UKHDFDSGUDFKD" localSheetId="0" hidden="1">{#N/A,#N/A,FALSE,"Plan1";#N/A,#N/A,FALSE,"Plan2"}</definedName>
    <definedName name="um" localSheetId="0" hidden="1">0</definedName>
    <definedName name="unit" localSheetId="0" hidden="1">{#N/A,#N/A,FALSE,"GERAL";#N/A,#N/A,FALSE,"012-96";#N/A,#N/A,FALSE,"018-96";#N/A,#N/A,FALSE,"027-96";#N/A,#N/A,FALSE,"059-96";#N/A,#N/A,FALSE,"076-96";#N/A,#N/A,FALSE,"019-97";#N/A,#N/A,FALSE,"021-97";#N/A,#N/A,FALSE,"022-97";#N/A,#N/A,FALSE,"028-97"}</definedName>
    <definedName name="UPS"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uryrtyt" localSheetId="0" hidden="1">{#N/A,#N/A,FALSE,"Plan1";#N/A,#N/A,FALSE,"Plan2"}</definedName>
    <definedName name="valve"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vdsgfrhgfr" localSheetId="0" hidden="1">{#N/A,#N/A,FALSE,"Plan1";#N/A,#N/A,FALSE,"Plan2"}</definedName>
    <definedName name="VERIFICAR" localSheetId="0" hidden="1">{#N/A,#N/A,TRUE,"Quinzena 01 à 15-04-98 "}</definedName>
    <definedName name="vfnijfd"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VFV" localSheetId="0" hidden="1">{#N/A,#N/A,FALSE,"Plan1";#N/A,#N/A,FALSE,"Plan2"}</definedName>
    <definedName name="vld_classificacao" localSheetId="0" hidden="1">IF(#REF!="Ativa",OFFSET(INDEX(rng_list_classificacao,MATCH(#REF!,rng_list_classificacao,0)),1,0,COUNTA(rng_list_classificacao)-1),#REF!)</definedName>
    <definedName name="vld_regional" localSheetId="0" hidden="1">OFFSET(INDEX(rng_list_regional,MATCH(#REF!,rng_list_regional,0)),1,0,COUNTA(rng_list_regional)-1)</definedName>
    <definedName name="vld_segmento" localSheetId="0" hidden="1">IF(#REF!="Ativa",OFFSET(INDEX(rng_list_segmento,MATCH(#REF!,rng_list_segmento,0)),1,0,COUNTA(rng_list_segmento)-1),#REF!)</definedName>
    <definedName name="vld_sociedade" localSheetId="0" hidden="1">OFFSET(INDEX(rng_list_sociedade,MATCH(#REF!,rng_list_sociedade,0)),1,0,COUNTA(rng_list_sociedade)-1)</definedName>
    <definedName name="vld_status_empresa" localSheetId="0" hidden="1">OFFSET(INDEX(rng_list_status_empresa,MATCH(#REF!,rng_list_status_empresa,0)),1,0,COUNTA(rng_list_status_empresa)-1)</definedName>
    <definedName name="vld_status_lancamento" localSheetId="0" hidden="1">IF(#REF!="Ativa",OFFSET(INDEX(rng_list_status_lancamento,MATCH(#REF!,rng_list_status_lancamento,0)),1,0,COUNTA(rng_list_status_lancamento)-1),#REF!)</definedName>
    <definedName name="vld_status_projeto" localSheetId="0" hidden="1">IF(#REF!="Ativa",OFFSET(INDEX(rng_list_status_projeto,MATCH(#REF!,rng_list_status_projeto,0)),1,0,COUNTA(rng_list_status_projeto)-1),#REF!)</definedName>
    <definedName name="vld_status_viabilidade" localSheetId="0" hidden="1">OFFSET(INDEX(rng_list_status_viabilidade,MATCH(#REF!,rng_list_status_viabilidade,0)),1,0,COUNTA(rng_list_status_viabilidade)-1)</definedName>
    <definedName name="VSDHFGDFGR" localSheetId="0" hidden="1">{#N/A,#N/A,FALSE,"Plan1";#N/A,#N/A,FALSE,"Plan2"}</definedName>
    <definedName name="vvbb" localSheetId="0" hidden="1">{"tabela",#N/A,FALSE,"Tabela";"decoração",#N/A,FALSE,"Decor.";"Informações",#N/A,FALSE,"Inform."}</definedName>
    <definedName name="vvcbnb" localSheetId="0" hidden="1">{#N/A,#N/A,FALSE,"Plan1";#N/A,#N/A,FALSE,"Plan2"}</definedName>
    <definedName name="vvvvv" localSheetId="0" hidden="1">{"Econ Consolidado",#N/A,FALSE,"Econ Consol";"Fluxo de Caixa",#N/A,FALSE,"Fluxo Caixa";"Investimentos",#N/A,FALSE,"Investimentos"}</definedName>
    <definedName name="vvvvvv" localSheetId="0" hidden="1">{#N/A,#N/A,FALSE,"Plan1";#N/A,#N/A,FALSE,"Plan2"}</definedName>
    <definedName name="vvvvvvvvvvvvvvvvv" localSheetId="0" hidden="1">{"HW",#N/A,FALSE,"1998"}</definedName>
    <definedName name="VX" localSheetId="0" hidden="1">#REF!</definedName>
    <definedName name="w"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dalrdjlaev"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water"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dewr" localSheetId="0" hidden="1">#REF!</definedName>
    <definedName name="WE" localSheetId="0" hidden="1">#REF!</definedName>
    <definedName name="werw4tr" localSheetId="0" hidden="1">{#N/A,#N/A,FALSE,"Plan1";#N/A,#N/A,FALSE,"Plan2"}</definedName>
    <definedName name="wetoedjtkdr" localSheetId="0" hidden="1">{#N/A,#N/A,FALSE,"Plan1";#N/A,#N/A,FALSE,"Plan2"}</definedName>
    <definedName name="WHATS" localSheetId="0" hidden="1">{"'Edit'!$A$1:$V$2277"}</definedName>
    <definedName name="win.VESSEL"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KJHIR" localSheetId="0" hidden="1">{#N/A,#N/A,FALSE,"Plan1";#N/A,#N/A,FALSE,"Plan2"}</definedName>
    <definedName name="WLQ" localSheetId="0" hidden="1">{#N/A,#N/A,FALSE,"명세표"}</definedName>
    <definedName name="WRITE" localSheetId="0" hidden="1">{#N/A,#N/A,FALSE,"CCTV"}</definedName>
    <definedName name="wrn.BM." localSheetId="0" hidden="1">{#N/A,#N/A,FALSE,"CCTV"}</definedName>
    <definedName name="wrn.Brita98.xls." localSheetId="0" hidden="1">{#N/A,#N/A,TRUE,"Quinzena 01 à 15-04-98 "}</definedName>
    <definedName name="wrn.Completo." localSheetId="0" hidden="1">{"EconCons (Econômico - Consolidado)",#N/A,FALSE,"Econômico - Consolidado";"CaixaCons",#N/A,FALSE,"Caixa - Consolidado";"Rio Branco",#N/A,FALSE,"Rio Branco";"Itajaí",#N/A,FALSE,"Itajaí";"Esteio",#N/A,FALSE,"Esteio";"P. Machado",#N/A,FALSE,"P. Machado";"InvestCons (Invest Consolidado)",#N/A,FALSE,"Invest Consolidado"}</definedName>
    <definedName name="wrn.Cons." localSheetId="0" hidden="1">{"EconCons",#N/A,TRUE,"Econômico - Consolidado";"CaixaCons",#N/A,TRUE,"Caixa - Consolidado";"InvestCons",#N/A,TRUE,"Invest Consolidado"}</definedName>
    <definedName name="wrn.Consolidado." localSheetId="0" hidden="1">{"Econ Consolidado",#N/A,FALSE,"Econ Consol";"Fluxo de Caixa",#N/A,FALSE,"Fluxo Caixa";"Investimentos",#N/A,FALSE,"Investimentos"}</definedName>
    <definedName name="wrn.GERAL." localSheetId="0" hidden="1">{#N/A,#N/A,FALSE,"ET-CAPA";#N/A,#N/A,FALSE,"ET-PAG1";#N/A,#N/A,FALSE,"ET-PAG2";#N/A,#N/A,FALSE,"ET-PAG3";#N/A,#N/A,FALSE,"ET-PAG4";#N/A,#N/A,FALSE,"ET-PAG5"}</definedName>
    <definedName name="wrn.HAGE." localSheetId="0" hidden="1">{#N/A,#N/A,FALSE,"cdi";#N/A,#N/A,FALSE,"debent";#N/A,#N/A,FALSE,"fdos";#N/A,#N/A,FALSE,"resumo"}</definedName>
    <definedName name="wrn.HAGE01" localSheetId="0" hidden="1">{#N/A,#N/A,FALSE,"cdi";#N/A,#N/A,FALSE,"debent";#N/A,#N/A,FALSE,"fdos";#N/A,#N/A,FALSE,"resumo"}</definedName>
    <definedName name="wrn.HW." localSheetId="0" hidden="1">{"HW",#N/A,FALSE,"1998"}</definedName>
    <definedName name="wrn.imp_flx." localSheetId="0" hidden="1">{#N/A,#N/A,FALSE,"CONSOLID";#N/A,#N/A,FALSE,"CIMENTO";#N/A,#N/A,FALSE,"METALURGIA";#N/A,#N/A,FALSE,"PAPEL";#N/A,#N/A,FALSE,"QUÍMICA";#N/A,#N/A,FALSE,"AGROINDL";#N/A,#N/A,FALSE,"OUTROS";#N/A,#N/A,FALSE,"REAL_ORCADO"}</definedName>
    <definedName name="wrn.IMPRESSO." localSheetId="0" hidden="1">{#N/A,#N/A,FALSE,"Plan1";#N/A,#N/A,FALSE,"Plan2"}</definedName>
    <definedName name="wrn.Imprimir." localSheetId="0" hidden="1">{"tabela",#N/A,FALSE,"Tabela";"decoração",#N/A,FALSE,"Decor.";"Informações",#N/A,FALSE,"Inform."}</definedName>
    <definedName name="wrn.LPU._.MG." localSheetId="0" hidden="1">{"MG-2002-F1",#N/A,FALSE,"PPU-Telemig";"MG-2002-F2",#N/A,FALSE,"PPU-Telemig";"MG-2002-F3",#N/A,FALSE,"PPU-Telemig";"MG-2002-F4",#N/A,FALSE,"PPU-Telemig";"MG-2003-F1",#N/A,FALSE,"PPU-Telemig";"MG-2004-F1",#N/A,FALSE,"PPU-Telemig"}</definedName>
    <definedName name="wrn.MGM機器リスト." localSheetId="0" hidden="1">{#N/A,#N/A,TRUE,"表紙";#N/A,#N/A,TRUE,"DMC合成";#N/A,#N/A,TRUE,"DMC回収･精製";#N/A,#N/A,TRUE,"MPC工程";#N/A,#N/A,TRUE,"DPC工程";#N/A,#N/A,TRUE,"ANI工程";#N/A,#N/A,TRUE,"PHOｰ触媒工程";#N/A,#N/A,TRUE,"用役"}</definedName>
    <definedName name="wrn.mode_lev.xls." localSheetId="0" hidden="1">{#N/A,#N/A,FALSE,"ALVENARIA";#N/A,#N/A,FALSE,"BLOCOS";#N/A,#N/A,FALSE,"CINTAS";#N/A,#N/A,FALSE,"CORTINA";#N/A,#N/A,FALSE,"LAJES";#N/A,#N/A,FALSE,"PILARES";#N/A,#N/A,FALSE,"VIGAS"}</definedName>
    <definedName name="wrn.Month._.Report._.Package." localSheetId="0" hidden="1">{#N/A,#N/A,FALSE,"Global Wls Trend";#N/A,#N/A,FALSE,"Region Trend";#N/A,#N/A,FALSE,"PBU Trend"}</definedName>
    <definedName name="wrn.Monthly._.Report._.Package." localSheetId="0" hidden="1">{#N/A,#N/A,FALSE,"Global by BU";#N/A,#N/A,FALSE,"U.S. by BU";#N/A,#N/A,FALSE,"Canada by BU";#N/A,#N/A,FALSE,"Europe by BU";#N/A,#N/A,FALSE,"Asia by BU";#N/A,#N/A,FALSE,"Cala by BU"}</definedName>
    <definedName name="wrn.PENDENCIAS." localSheetId="0" hidden="1">{#N/A,#N/A,FALSE,"GERAL";#N/A,#N/A,FALSE,"012-96";#N/A,#N/A,FALSE,"018-96";#N/A,#N/A,FALSE,"027-96";#N/A,#N/A,FALSE,"059-96";#N/A,#N/A,FALSE,"076-96";#N/A,#N/A,FALSE,"019-97";#N/A,#N/A,FALSE,"021-97";#N/A,#N/A,FALSE,"022-97";#N/A,#N/A,FALSE,"028-97"}</definedName>
    <definedName name="wrn.Planiha._.de._.Medição._.F._.01." localSheetId="0" hidden="1">{#N/A,#N/A,FALSE,"F-01"}</definedName>
    <definedName name="wrn.Planiha._.de._.Medição._.F._.01._1" localSheetId="0" hidden="1">{#N/A,#N/A,FALSE,"F-01"}</definedName>
    <definedName name="wrn.Planilha_de_Medição_F_02" localSheetId="0" hidden="1">{#N/A,#N/A,FALSE,"F-01"}</definedName>
    <definedName name="wrn.print._.all." localSheetId="0" hidden="1">{#N/A,#N/A,FALSE,"$170M Cash";#N/A,#N/A,FALSE,"$250M Cash";#N/A,#N/A,FALSE,"$325M Cash"}</definedName>
    <definedName name="wrn.PrintAll." localSheetId="0" hidden="1">{#N/A,#N/A,FALSE,"Sheet1";#N/A,#N/A,FALSE,"Sheet2";#N/A,#N/A,FALSE,"Sheet3";#N/A,#N/A,FALSE,"Sheet4";#N/A,#N/A,FALSE,"Sheet5";#N/A,#N/A,FALSE,"Sheet6";#N/A,#N/A,FALSE,"Sheet7";#N/A,#N/A,FALSE,"Sheet8";#N/A,#N/A,FALSE,"Sheet9"}</definedName>
    <definedName name="wrn.PrintCurr." localSheetId="0" hidden="1">{#N/A,#N/A,FALSE,"Sheet1";#N/A,#N/A,FALSE,"Sheet2";#N/A,#N/A,FALSE,"Sheet3"}</definedName>
    <definedName name="wrn.PrintPrev1." localSheetId="0" hidden="1">{#N/A,#N/A,FALSE,"Sheet4";#N/A,#N/A,FALSE,"Sheet5";#N/A,#N/A,FALSE,"Sheet6"}</definedName>
    <definedName name="wrn.PrintPrev2." localSheetId="0" hidden="1">{#N/A,#N/A,FALSE,"Sheet7";#N/A,#N/A,FALSE,"Sheet8";#N/A,#N/A,FALSE,"Sheet9"}</definedName>
    <definedName name="wrn.Quadros._.relatório." localSheetId="0" hidden="1">{#N/A,#N/A,FALSE,"QD_F1 Invest Detalhado";#N/A,#N/A,FALSE,"QD_F3 Invest_Comparado";#N/A,#N/A,FALSE,"QD_B Trafego";#N/A,#N/A,FALSE,"QD_D0 Custos Operacionais";#N/A,#N/A,FALSE,"QD_C Receita";#N/A,#N/A,FALSE,"QD_D Custos";#N/A,#N/A,FALSE,"QD_E Resultado";#N/A,#N/A,FALSE,"QD_G Fluxo Caixa"}</definedName>
    <definedName name="wrn.REPORT." localSheetId="0" hidden="1">{#N/A,#N/A,FALSE,"표지";#N/A,#N/A,FALSE,"목차";#N/A,#N/A,FALSE,"내용1";#N/A,#N/A,FALSE,"내용2";#N/A,#N/A,FALSE,"결론";#N/A,#N/A,FALSE,"첨부";#N/A,#N/A,FALSE,"진공도달시간";#N/A,#N/A,FALSE,"배가스속도"}</definedName>
    <definedName name="wrn.STAFFS." localSheetId="0" hidden="1">{#N/A,#N/A,FALSE,"TABLE"}</definedName>
    <definedName name="wrn.TERCEIRO." localSheetId="0" hidden="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RCEIRO01" localSheetId="0" hidden="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st1." localSheetId="0" hidden="1">{#N/A,#N/A,FALSE,"명세표"}</definedName>
    <definedName name="wrn.Unidades." localSheetId="0" hidden="1">{"Rio Branco",#N/A,FALSE,"Rio Branco";"Itajaí",#N/A,FALSE,"Itajaí";"Pinheiro Machado",#N/A,FALSE,"PMachado";"Esteio",#N/A,FALSE,"Esteio"}</definedName>
    <definedName name="wrn.VESSEL및N2._.구입사양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견적." localSheetId="0" hidden="1">{#N/A,#N/A,FALSE,"Sheet1";#N/A,#N/A,FALSE,"Sheet2";#N/A,#N/A,FALSE,"TAB96-1"}</definedName>
    <definedName name="wrn.보호계전기." localSheetId="0" hidden="1">{#N/A,#N/A,FALSE,"ENG'G(보호계전기)"}</definedName>
    <definedName name="wrn.현장._.NCR._.분석." localSheetId="0" hidden="1">{#N/A,#N/A,FALSE,"현장 NCR 분석";#N/A,#N/A,FALSE,"현장품질감사";#N/A,#N/A,FALSE,"현장품질감사"}</definedName>
    <definedName name="wrn1.Cons." localSheetId="0" hidden="1">{"EconCons",#N/A,TRUE,"Econômico - Consolidado";"CaixaCons",#N/A,TRUE,"Caixa - Consolidado";"InvestCons",#N/A,TRUE,"Invest Consolidado"}</definedName>
    <definedName name="wrn1.print._.all." localSheetId="0" hidden="1">{#N/A,#N/A,FALSE,"$170M Cash";#N/A,#N/A,FALSE,"$250M Cash";#N/A,#N/A,FALSE,"$325M Cash"}</definedName>
    <definedName name="WRS" localSheetId="0" hidden="1">{"'장비'!$A$3:$M$12"}</definedName>
    <definedName name="wrt" localSheetId="0" hidden="1">{#N/A,#N/A,FALSE,"$170M Cash";#N/A,#N/A,FALSE,"$250M Cash";#N/A,#N/A,FALSE,"$325M Cash"}</definedName>
    <definedName name="wvu.PLANILHA2."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ww"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wwwwwwwww" localSheetId="0" hidden="1">{"'Ethernet Hubs'!$A$1:$F$14","'Licences'!$A$1:$F$16","'Ports and Converters'!$A$1:$F$46","'Standard Routers'!$A$1:$F$28","'Ports and Converters'!$A$1:$G$46","'Router Chassis'!$A$1:$F$21","'Cables and Connectors'!$A$1:$F$41","'Support, Training and Docs'!$A$1:$F$6","'Management'!$A$1:$F$8"}</definedName>
    <definedName name="xcfrt" localSheetId="0" hidden="1">{#N/A,#N/A,FALSE,"Plan1";#N/A,#N/A,FALSE,"Plan2"}</definedName>
    <definedName name="xcgjkfghf" localSheetId="0" hidden="1">{#N/A,#N/A,FALSE,"Plan1";#N/A,#N/A,FALSE,"Plan2"}</definedName>
    <definedName name="XCGJKVHFDG" localSheetId="0" hidden="1">{#N/A,#N/A,FALSE,"Plan1";#N/A,#N/A,FALSE,"Plan2"}</definedName>
    <definedName name="xcgtrty"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XCGVR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xçl" localSheetId="0" hidden="1">{#N/A,#N/A,FALSE,"Plan1";#N/A,#N/A,FALSE,"Plan2"}</definedName>
    <definedName name="xcndj" localSheetId="0" hidden="1">{#N/A,#N/A,FALSE,"Plan1";#N/A,#N/A,FALSE,"Plan2"}</definedName>
    <definedName name="XCVGGT" localSheetId="0" hidden="1">{#N/A,#N/A,FALSE,"Plan1";#N/A,#N/A,FALSE,"Plan2"}</definedName>
    <definedName name="xcvrg" localSheetId="0" hidden="1">{#N/A,#N/A,FALSE,"Plan1";#N/A,#N/A,FALSE,"Plan2"}</definedName>
    <definedName name="xdfef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xdgtyhyt" localSheetId="0" hidden="1">{#N/A,#N/A,FALSE,"Plan1";#N/A,#N/A,FALSE,"Plan2"}</definedName>
    <definedName name="xfdlfj" localSheetId="0" hidden="1">{#N/A,#N/A,FALSE,"Plan1";#N/A,#N/A,FALSE,"Plan2"}</definedName>
    <definedName name="xfdxfdf" localSheetId="0" hidden="1">{#N/A,#N/A,FALSE,"Plan1";#N/A,#N/A,FALSE,"Plan2"}</definedName>
    <definedName name="XFJKLDJKLGJ"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xfrty" localSheetId="0" hidden="1">{#N/A,#N/A,FALSE,"Plan1";#N/A,#N/A,FALSE,"Plan2"}</definedName>
    <definedName name="XFT"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xfvchdhhd" localSheetId="0" hidden="1">{"Econ Consolidado",#N/A,FALSE,"Econ Consol";"Fluxo de Caixa",#N/A,FALSE,"Fluxo Caixa";"Investimentos",#N/A,FALSE,"Investimentos"}</definedName>
    <definedName name="xfvgcfgt" localSheetId="0" hidden="1">{#N/A,#N/A,FALSE,"Plan1";#N/A,#N/A,FALSE,"Plan2"}</definedName>
    <definedName name="xgrg" localSheetId="0" hidden="1">{#N/A,#N/A,FALSE,"Plan1";#N/A,#N/A,FALSE,"Plan2"}</definedName>
    <definedName name="xmght" localSheetId="0" hidden="1">{#N/A,#N/A,FALSE,"Plan1";#N/A,#N/A,FALSE,"Plan2"}</definedName>
    <definedName name="xo" localSheetId="0" hidden="1">{#N/A,#N/A,FALSE,"Global by BU";#N/A,#N/A,FALSE,"U.S. by BU";#N/A,#N/A,FALSE,"Canada by BU";#N/A,#N/A,FALSE,"Europe by BU";#N/A,#N/A,FALSE,"Asia by BU";#N/A,#N/A,FALSE,"Cala by BU"}</definedName>
    <definedName name="XREF_COLUMN_1" localSheetId="0" hidden="1">#REF!</definedName>
    <definedName name="XREF_COLUMN_2" localSheetId="0" hidden="1">#REF!</definedName>
    <definedName name="XRefCopy3Row" localSheetId="0" hidden="1">#REF!</definedName>
    <definedName name="xx" localSheetId="0" hidden="1">#REF!</definedName>
    <definedName name="xxx" localSheetId="0" hidden="1">{#N/A,#N/A,FALSE,"GERAL";#N/A,#N/A,FALSE,"012-96";#N/A,#N/A,FALSE,"018-96";#N/A,#N/A,FALSE,"027-96";#N/A,#N/A,FALSE,"059-96";#N/A,#N/A,FALSE,"076-96";#N/A,#N/A,FALSE,"019-97";#N/A,#N/A,FALSE,"021-97";#N/A,#N/A,FALSE,"022-97";#N/A,#N/A,FALSE,"028-97"}</definedName>
    <definedName name="xxxx"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XXXXX" localSheetId="0" hidden="1">{#N/A,#N/A,FALSE,"GERAL";#N/A,#N/A,FALSE,"012-96";#N/A,#N/A,FALSE,"018-96";#N/A,#N/A,FALSE,"027-96";#N/A,#N/A,FALSE,"059-96";#N/A,#N/A,FALSE,"076-96";#N/A,#N/A,FALSE,"019-97";#N/A,#N/A,FALSE,"021-97";#N/A,#N/A,FALSE,"022-97";#N/A,#N/A,FALSE,"028-97"}</definedName>
    <definedName name="xxxxxxxxxxxx" localSheetId="0" hidden="1">{"'Edit'!$A$1:$V$2277"}</definedName>
    <definedName name="xxxxxxxxxxxxxx" localSheetId="0" hidden="1">{#N/A,#N/A,FALSE,"Plan1";#N/A,#N/A,FALSE,"Plan2"}</definedName>
    <definedName name="xzfrt" localSheetId="0" hidden="1">{#N/A,#N/A,FALSE,"Plan1";#N/A,#N/A,FALSE,"Plan2"}</definedName>
    <definedName name="yeitrtged" localSheetId="0" hidden="1">{#N/A,#N/A,FALSE,"Plan1";#N/A,#N/A,FALSE,"Plan2"}</definedName>
    <definedName name="yhdfiuygrui" localSheetId="0" hidden="1">{#N/A,#N/A,FALSE,"Plan1";#N/A,#N/A,FALSE,"Plan2"}</definedName>
    <definedName name="YRGUYDRIY" localSheetId="0" hidden="1">{"Econ Consolidado",#N/A,FALSE,"Econ Consol";"Fluxo de Caixa",#N/A,FALSE,"Fluxo Caixa";"Investimentos",#N/A,FALSE,"Investimentos"}</definedName>
    <definedName name="yuegursdmksf" localSheetId="0" hidden="1">{#N/A,#N/A,FALSE,"Plan1";#N/A,#N/A,FALSE,"Plan2"}</definedName>
    <definedName name="yuekl4fr" localSheetId="0" hidden="1">{#N/A,#N/A,FALSE,"Plan1";#N/A,#N/A,FALSE,"Plan2"}</definedName>
    <definedName name="yureytuyrea" localSheetId="0" hidden="1">{#N/A,#N/A,FALSE,"Plan1";#N/A,#N/A,FALSE,"Plan2"}</definedName>
    <definedName name="z" localSheetId="0" hidden="1">{"'Estimativa de Lançamento-JAN'!$A$1:$AI$85"}</definedName>
    <definedName name="z\djs"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Z_022B7420_7F94_427F_B370_84030F9B3342_.wvu.FilterData" localSheetId="0" hidden="1">#REF!</definedName>
    <definedName name="Z_04BC043C_175B_412D_8093_6F29CD74FBAE_.wvu.FilterData" localSheetId="0" hidden="1">#REF!</definedName>
    <definedName name="Z_058B9256_CB4D_4C39_834D_D693FEEB491F_.wvu.FilterData" localSheetId="0" hidden="1">#REF!</definedName>
    <definedName name="Z_14D375AC_5615_46DE_8EE3_95915B2A8B54_.wvu.FilterData" localSheetId="0" hidden="1">#REF!</definedName>
    <definedName name="Z_15697660_066E_11D5_AF15_00010242ED40_.wvu.PrintArea" localSheetId="0" hidden="1">#REF!</definedName>
    <definedName name="Z_60DF8B29_1C1F_4B50_BDA8_B8E0C7DD04C3_.wvu.Cols" localSheetId="0" hidden="1">#REF!,#REF!</definedName>
    <definedName name="Z_60DF8B29_1C1F_4B50_BDA8_B8E0C7DD04C3_.wvu.FilterData" localSheetId="0" hidden="1">#REF!</definedName>
    <definedName name="Z_615F4A4D_D5AB_4A04_81F5_F436484247A5_.wvu.FilterData" localSheetId="0" hidden="1">#REF!</definedName>
    <definedName name="Z_616443B5_6F0D_4082_9223_F71B54305366_.wvu.FilterData" localSheetId="0" hidden="1">#REF!</definedName>
    <definedName name="Z_E3FFE9E0_6C4F_4FB4_A56E_FBE96871B5C8_.wvu.Cols" localSheetId="0" hidden="1">#REF!,#REF!</definedName>
    <definedName name="Z_E3FFE9E0_6C4F_4FB4_A56E_FBE96871B5C8_.wvu.FilterData" localSheetId="0" hidden="1">#REF!</definedName>
    <definedName name="Z_E42D429F_E4E8_41D2_9176_83C726BAF8E3_.wvu.FilterData" localSheetId="0" hidden="1">#REF!</definedName>
    <definedName name="Z_E491B72F_902A_11D7_9C1E_0004231B06E7_.wvu.FilterData" localSheetId="0" hidden="1">#REF!</definedName>
    <definedName name="Z_F9CB3A99_6D24_412C_93C4_575819594890_.wvu.FilterData" localSheetId="0" hidden="1">#REF!</definedName>
    <definedName name="zcdçskld" localSheetId="0" hidden="1">{#N/A,#N/A,FALSE,"Plan1";#N/A,#N/A,FALSE,"Plan2"}</definedName>
    <definedName name="zcsdrfrt" localSheetId="0" hidden="1">{#N/A,#N/A,FALSE,"Plan1";#N/A,#N/A,FALSE,"Plan2"}</definedName>
    <definedName name="ZDRE" localSheetId="0" hidden="1">{#N/A,#N/A,FALSE,"Plan1";#N/A,#N/A,FALSE,"Plan2"}</definedName>
    <definedName name="ZSADF" localSheetId="0" hidden="1">{#N/A,#N/A,FALSE,"Plan1";#N/A,#N/A,FALSE,"Plan2"}</definedName>
    <definedName name="zsads" localSheetId="0" hidden="1">{#N/A,#N/A,FALSE,"Plan1";#N/A,#N/A,FALSE,"Plan2"}</definedName>
    <definedName name="ZSDFSETR" localSheetId="0" hidden="1">#REF!</definedName>
    <definedName name="zsds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zsdwer"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zxccdf" localSheetId="0" hidden="1">{#N/A,#N/A,FALSE,"Plan1";#N/A,#N/A,FALSE,"Plan2"}</definedName>
    <definedName name="zxcdsf" localSheetId="0" hidden="1">#REF!</definedName>
    <definedName name="zxcfdstrrt" localSheetId="0" hidden="1">{#N/A,#N/A,FALSE,"Plan1";#N/A,#N/A,FALSE,"Plan2"}</definedName>
    <definedName name="zxcx" localSheetId="0" hidden="1">{#N/A,#N/A,FALSE,"Plan1";#N/A,#N/A,FALSE,"Plan2"}</definedName>
    <definedName name="ZXFCRF" localSheetId="0" hidden="1">{TRUE,TRUE,-1.25,-15.5,604.5,366.75,FALSE,FALSE,TRUE,TRUE,0,1,#N/A,1,#N/A,9.0125,24.4117647058824,1,FALSE,FALSE,3,TRUE,1,FALSE,100,"Swvu.PLANILHA2.","ACwvu.PLANILHA2.",#N/A,FALSE,FALSE,0.787401575,0.34,0.46,0.5,1,"","",FALSE,FALSE,FALSE,FALSE,1,#N/A,1,1,FALSE,FALSE,#N/A,#N/A,FALSE,FALSE,FALSE,9,65532,65532,FALSE,FALSE,TRUE,TRUE,TRUE}</definedName>
    <definedName name="ZXFHDFRHDF" localSheetId="0" hidden="1">{#N/A,#N/A,FALSE,"Plan1";#N/A,#N/A,FALSE,"Plan2"}</definedName>
    <definedName name="zzdftr" localSheetId="0" hidden="1">{#N/A,#N/A,FALSE,"Plan1";#N/A,#N/A,FALSE,"Plan2"}</definedName>
    <definedName name="zzz" localSheetId="0" hidden="1">{#N/A,#N/A,FALSE,"QD_F1 Invest Detalhado";#N/A,#N/A,FALSE,"QD_F3 Invest_Comparado";#N/A,#N/A,FALSE,"QD_B Trafego";#N/A,#N/A,FALSE,"QD_D0 Custos Operacionais";#N/A,#N/A,FALSE,"QD_C Receita";#N/A,#N/A,FALSE,"QD_D Custos";#N/A,#N/A,FALSE,"QD_E Resultado";#N/A,#N/A,FALSE,"QD_G Fluxo Caixa"}</definedName>
    <definedName name="ㄱ"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ㄱㄷㄱㄱㅎㄺㄷ" localSheetId="0" hidden="1">{"'장비'!$A$3:$M$12"}</definedName>
    <definedName name="검증"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가"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조건" localSheetId="0" hidden="1">#REF!</definedName>
    <definedName name="계약고햔황2" localSheetId="0" hidden="1">#REF!</definedName>
    <definedName name="계약고현황2" localSheetId="0" hidden="1">#REF!</definedName>
    <definedName name="고문" localSheetId="0" hidden="1">{#N/A,#N/A,FALSE,"현장 NCR 분석";#N/A,#N/A,FALSE,"현장품질감사";#N/A,#N/A,FALSE,"현장품질감사"}</definedName>
    <definedName name="고문2" localSheetId="0" hidden="1">{#N/A,#N/A,FALSE,"현장 NCR 분석";#N/A,#N/A,FALSE,"현장품질감사";#N/A,#N/A,FALSE,"현장품질감사"}</definedName>
    <definedName name="공공공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구분표_수정" localSheetId="0" hidden="1">{#N/A,#N/A,FALSE,"ENG'G(보호계전기)"}</definedName>
    <definedName name="공급표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진도율적용"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양1소결합리화"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분2"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3"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3"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두성"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ㄴㄴ" localSheetId="0" hidden="1">#REF!</definedName>
    <definedName name="내역" localSheetId="0" hidden="1">{#N/A,#N/A,FALSE,"CCTV"}</definedName>
    <definedName name="ㄷㄳ" localSheetId="0" hidden="1">{"'장비'!$A$3:$M$12"}</definedName>
    <definedName name="ㄷㄷㄷㄷ" localSheetId="0" hidden="1">{"'장비'!$A$3:$M$12"}</definedName>
    <definedName name="ㄷㅈㅂㄷ" localSheetId="0" hidden="1">{"'장비'!$A$3:$M$12"}</definedName>
    <definedName name="ㄹㄹ" localSheetId="0" hidden="1">{"'장비'!$A$3:$M$12"}</definedName>
    <definedName name="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러러" localSheetId="0" hidden="1">{#N/A,#N/A,FALSE,"현장 NCR 분석";#N/A,#N/A,FALSE,"현장품질감사";#N/A,#N/A,FALSE,"현장품질감사"}</definedName>
    <definedName name="ㅁ" localSheetId="0" hidden="1">{#N/A,#N/A,FALSE,"명세표"}</definedName>
    <definedName name="ㅁㄱ해ㅜ5" localSheetId="0" hidden="1">#REF!</definedName>
    <definedName name="ㅁ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ㄹ"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ㄻㄴㅇㄻㄴㅇ"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ㅁ"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ㅁ" localSheetId="0" hidden="1">{#N/A,#N/A,FALSE,"명세표"}</definedName>
    <definedName name="ㅁㅁㅁ" localSheetId="0" hidden="1">#REF!</definedName>
    <definedName name="ㅁㅁㅁㅁㅁㅁㅁㅁㅁㅁㅁㅁ"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ㅇㄻ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머" localSheetId="0" hidden="1">{#N/A,#N/A,FALSE,"명세표"}</definedName>
    <definedName name="ㅂㅂㅂㅂ" localSheetId="0" hidden="1">{#N/A,#N/A,FALSE,"명세표"}</definedName>
    <definedName name="ㅂㅂㅂㅂㅂㅂㅂ"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ㅈㄱㅂㅈㄷㄱ" localSheetId="0" hidden="1">{"'장비'!$A$3:$M$12"}</definedName>
    <definedName name="ㅂㅈㄷ" localSheetId="0" hidden="1">{"'장비'!$A$3:$M$12"}</definedName>
    <definedName name="ㅂㅈㄷㄷㅂㅈㅈㅂ" localSheetId="0" hidden="1">{"'장비'!$A$3:$M$12"}</definedName>
    <definedName name="ㅂㅈㄷㅂㅈ" localSheetId="0" hidden="1">{"'장비'!$A$3:$M$12"}</definedName>
    <definedName name="ㅂㅈㄷㅂㅈㅈㅂㄷ" localSheetId="0" hidden="1">{"'장비'!$A$3:$M$12"}</definedName>
    <definedName name="ㅂㅈㄷㅈㅂㄷ" localSheetId="0" hidden="1">{"'장비'!$A$3:$M$12"}</definedName>
    <definedName name="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보충" localSheetId="0" hidden="1">#REF!</definedName>
    <definedName name="보호" localSheetId="0" hidden="1">{#N/A,#N/A,FALSE,"ENG'G(보호계전기)"}</definedName>
    <definedName name="본공사공정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부대공사" localSheetId="0" hidden="1">#REF!</definedName>
    <definedName name="부손익" localSheetId="0" hidden="1">{#N/A,#N/A,FALSE,"현장 NCR 분석";#N/A,#N/A,FALSE,"현장품질감사";#N/A,#N/A,FALSE,"현장품질감사"}</definedName>
    <definedName name="분야"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ㅅㄱㄱㄷ" localSheetId="0" hidden="1">{"'장비'!$A$3:$M$12"}</definedName>
    <definedName name="ㅅㅅㅅㅅㅅ" localSheetId="0" hidden="1">{"'장비'!$A$3:$M$12"}</definedName>
    <definedName name="사업"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계획수정" localSheetId="0" hidden="1">#REF!</definedName>
    <definedName name="사업관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부양식2" localSheetId="0" hidden="1">#REF!</definedName>
    <definedName name="산출" localSheetId="0" hidden="1">#REF!</definedName>
    <definedName name="새안" localSheetId="0" hidden="1">{#N/A,#N/A,FALSE,"TABLE"}</definedName>
    <definedName name="석항" localSheetId="0" hidden="1">{#N/A,#N/A,FALSE,"명세표"}</definedName>
    <definedName name="설계현황"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손익계산서" localSheetId="0" hidden="1">#REF!</definedName>
    <definedName name="쇼ㅗㅎ로" localSheetId="0" hidden="1">{"'장비'!$A$3:$M$12"}</definedName>
    <definedName name="수당" localSheetId="0" hidden="1">#N/A</definedName>
    <definedName name="신설" localSheetId="0" hidden="1">{#N/A,#N/A,FALSE,"명세표"}</definedName>
    <definedName name="실적총괄1" localSheetId="0" hidden="1">#REF!</definedName>
    <definedName name="실총" localSheetId="0" hidden="1">#REF!</definedName>
    <definedName name="ㅇㄹㄹ" localSheetId="0" hidden="1">#REF!</definedName>
    <definedName name="ㅇㅇ"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ㅇㅇㅇㅇ" localSheetId="0" hidden="1">#REF!</definedName>
    <definedName name="양식변경123"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적용"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구조건참조"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월" localSheetId="0" hidden="1">#REF!</definedName>
    <definedName name="이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ㅈ" localSheetId="0" hidden="1">{#N/A,#N/A,FALSE,"명세표"}</definedName>
    <definedName name="ㅈㅈㅈㅈ" localSheetId="0" hidden="1">{#N/A,#N/A,FALSE,"명세표"}</definedName>
    <definedName name="자미" localSheetId="0" hidden="1">{#N/A,#N/A,FALSE,"명세표"}</definedName>
    <definedName name="자운" localSheetId="0" hidden="1">#REF!</definedName>
    <definedName name="자재3"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계장금액" localSheetId="0" hidden="1">#REF!</definedName>
    <definedName name="전기사양_SAMPLE"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상세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선조장" localSheetId="0" hidden="1">#REF!</definedName>
    <definedName name="조직표현장" localSheetId="0" hidden="1">#REF!</definedName>
    <definedName name="종합1"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설계현황"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중량비교검토" localSheetId="0" hidden="1">{#N/A,#N/A,FALSE,"ENG'G(보호계전기)"}</definedName>
    <definedName name="집계" localSheetId="0" hidden="1">{#N/A,#N/A,FALSE,"명세표"}</definedName>
    <definedName name="철골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2"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ㅋㅁ" localSheetId="0" hidden="1">{#N/A,#N/A,FALSE,"명세표"}</definedName>
    <definedName name="ㅋㅋㅋ" localSheetId="0" hidden="1">{#N/A,#N/A,FALSE,"명세표"}</definedName>
    <definedName name="ㅌㅌ" localSheetId="0" hidden="1">{#N/A,#N/A,FALSE,"명세표"}</definedName>
    <definedName name="토"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토목"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ㅎㅎ" localSheetId="0" hidden="1">{"'장비'!$A$3:$M$12"}</definedName>
    <definedName name="하하하" localSheetId="0" hidden="1">{#N/A,#N/A,FALSE,"명세표"}</definedName>
    <definedName name="한국"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장계기류"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1"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호호호" localSheetId="0" hidden="1">{#N/A,#N/A,FALSE,"명세표"}</definedName>
    <definedName name="ㅏㅏㅏ" localSheetId="0" hidden="1">{#N/A,#N/A,FALSE,"명세표"}</definedName>
    <definedName name="ㅔㅔ" localSheetId="0" hidden="1">{#N/A,#N/A,FALSE,"명세표"}</definedName>
    <definedName name="ㅔㅔㅔㅔㅔ"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홓ㅎ로" localSheetId="0" hidden="1">{"'장비'!$A$3:$M$12"}</definedName>
    <definedName name="ㅗㅗ" localSheetId="0" hidden="1">{#N/A,#N/A,FALSE,"명세표"}</definedName>
    <definedName name="ㅗㅗㅗㅗㅗ" localSheetId="0" hidden="1">{"'장비'!$A$3:$M$12"}</definedName>
    <definedName name="ㅛ" localSheetId="0" hidden="1">{"'장비'!$A$3:$M$12"}</definedName>
    <definedName name="ㅛㅕㅛㅕㅛ"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ㅛㅛㅛ" localSheetId="0" hidden="1">{"'장비'!$A$3:$M$12"}</definedName>
    <definedName name="ㅜ" localSheetId="0" hidden="1">{#N/A,#N/A,FALSE,"명세표"}</definedName>
    <definedName name="ㅠㅠ"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ㅡㅡ" localSheetId="0" hidden="1">{#N/A,#N/A,FALSE,"명세표"}</definedName>
    <definedName name="_xlnm.Print_Area" localSheetId="0">'Dados Base'!$A$1:$M$117</definedName>
    <definedName name="\xasd" localSheetId="1" hidden="1">{#N/A,#N/A,FALSE,"Plan1";#N/A,#N/A,FALSE,"Plan2"}</definedName>
    <definedName name="_\xasd" localSheetId="1" hidden="1">{#N/A,#N/A,FALSE,"Plan1";#N/A,#N/A,FALSE,"Plan2"}</definedName>
    <definedName name="________________r1" localSheetId="1" hidden="1">{#N/A,#N/A,FALSE,"GERAL";#N/A,#N/A,FALSE,"012-96";#N/A,#N/A,FALSE,"018-96";#N/A,#N/A,FALSE,"027-96";#N/A,#N/A,FALSE,"059-96";#N/A,#N/A,FALSE,"076-96";#N/A,#N/A,FALSE,"019-97";#N/A,#N/A,FALSE,"021-97";#N/A,#N/A,FALSE,"022-97";#N/A,#N/A,FALSE,"028-97"}</definedName>
    <definedName name="______________r1" localSheetId="1" hidden="1">{#N/A,#N/A,FALSE,"GERAL";#N/A,#N/A,FALSE,"012-96";#N/A,#N/A,FALSE,"018-96";#N/A,#N/A,FALSE,"027-96";#N/A,#N/A,FALSE,"059-96";#N/A,#N/A,FALSE,"076-96";#N/A,#N/A,FALSE,"019-97";#N/A,#N/A,FALSE,"021-97";#N/A,#N/A,FALSE,"022-97";#N/A,#N/A,FALSE,"028-97"}</definedName>
    <definedName name="_____________r1" localSheetId="1" hidden="1">{#N/A,#N/A,FALSE,"GERAL";#N/A,#N/A,FALSE,"012-96";#N/A,#N/A,FALSE,"018-96";#N/A,#N/A,FALSE,"027-96";#N/A,#N/A,FALSE,"059-96";#N/A,#N/A,FALSE,"076-96";#N/A,#N/A,FALSE,"019-97";#N/A,#N/A,FALSE,"021-97";#N/A,#N/A,FALSE,"022-97";#N/A,#N/A,FALSE,"028-97"}</definedName>
    <definedName name="____________r1" localSheetId="1" hidden="1">{#N/A,#N/A,FALSE,"GERAL";#N/A,#N/A,FALSE,"012-96";#N/A,#N/A,FALSE,"018-96";#N/A,#N/A,FALSE,"027-96";#N/A,#N/A,FALSE,"059-96";#N/A,#N/A,FALSE,"076-96";#N/A,#N/A,FALSE,"019-97";#N/A,#N/A,FALSE,"021-97";#N/A,#N/A,FALSE,"022-97";#N/A,#N/A,FALSE,"028-97"}</definedName>
    <definedName name="___________r1" localSheetId="1" hidden="1">{#N/A,#N/A,FALSE,"GERAL";#N/A,#N/A,FALSE,"012-96";#N/A,#N/A,FALSE,"018-96";#N/A,#N/A,FALSE,"027-96";#N/A,#N/A,FALSE,"059-96";#N/A,#N/A,FALSE,"076-96";#N/A,#N/A,FALSE,"019-97";#N/A,#N/A,FALSE,"021-97";#N/A,#N/A,FALSE,"022-97";#N/A,#N/A,FALSE,"028-97"}</definedName>
    <definedName name="_________r1" localSheetId="1" hidden="1">{#N/A,#N/A,FALSE,"GERAL";#N/A,#N/A,FALSE,"012-96";#N/A,#N/A,FALSE,"018-96";#N/A,#N/A,FALSE,"027-96";#N/A,#N/A,FALSE,"059-96";#N/A,#N/A,FALSE,"076-96";#N/A,#N/A,FALSE,"019-97";#N/A,#N/A,FALSE,"021-97";#N/A,#N/A,FALSE,"022-97";#N/A,#N/A,FALSE,"028-97"}</definedName>
    <definedName name="________r1" localSheetId="1" hidden="1">{#N/A,#N/A,FALSE,"GERAL";#N/A,#N/A,FALSE,"012-96";#N/A,#N/A,FALSE,"018-96";#N/A,#N/A,FALSE,"027-96";#N/A,#N/A,FALSE,"059-96";#N/A,#N/A,FALSE,"076-96";#N/A,#N/A,FALSE,"019-97";#N/A,#N/A,FALSE,"021-97";#N/A,#N/A,FALSE,"022-97";#N/A,#N/A,FALSE,"028-97"}</definedName>
    <definedName name="_______r1" localSheetId="1" hidden="1">{#N/A,#N/A,FALSE,"GERAL";#N/A,#N/A,FALSE,"012-96";#N/A,#N/A,FALSE,"018-96";#N/A,#N/A,FALSE,"027-96";#N/A,#N/A,FALSE,"059-96";#N/A,#N/A,FALSE,"076-96";#N/A,#N/A,FALSE,"019-97";#N/A,#N/A,FALSE,"021-97";#N/A,#N/A,FALSE,"022-97";#N/A,#N/A,FALSE,"028-97"}</definedName>
    <definedName name="______r1" localSheetId="1" hidden="1">{#N/A,#N/A,FALSE,"GERAL";#N/A,#N/A,FALSE,"012-96";#N/A,#N/A,FALSE,"018-96";#N/A,#N/A,FALSE,"027-96";#N/A,#N/A,FALSE,"059-96";#N/A,#N/A,FALSE,"076-96";#N/A,#N/A,FALSE,"019-97";#N/A,#N/A,FALSE,"021-97";#N/A,#N/A,FALSE,"022-97";#N/A,#N/A,FALSE,"028-97"}</definedName>
    <definedName name="_____r1" localSheetId="1" hidden="1">{#N/A,#N/A,FALSE,"GERAL";#N/A,#N/A,FALSE,"012-96";#N/A,#N/A,FALSE,"018-96";#N/A,#N/A,FALSE,"027-96";#N/A,#N/A,FALSE,"059-96";#N/A,#N/A,FALSE,"076-96";#N/A,#N/A,FALSE,"019-97";#N/A,#N/A,FALSE,"021-97";#N/A,#N/A,FALSE,"022-97";#N/A,#N/A,FALSE,"028-97"}</definedName>
    <definedName name="____PK2" localSheetId="1" hidden="1">{"'장비'!$A$3:$M$12"}</definedName>
    <definedName name="____PKG3" localSheetId="1" hidden="1">{"'장비'!$A$3:$M$12"}</definedName>
    <definedName name="____qqq222" localSheetId="1" hidden="1">{"'장비'!$A$3:$M$12"}</definedName>
    <definedName name="____r1" localSheetId="1" hidden="1">{#N/A,#N/A,FALSE,"GERAL";#N/A,#N/A,FALSE,"012-96";#N/A,#N/A,FALSE,"018-96";#N/A,#N/A,FALSE,"027-96";#N/A,#N/A,FALSE,"059-96";#N/A,#N/A,FALSE,"076-96";#N/A,#N/A,FALSE,"019-97";#N/A,#N/A,FALSE,"021-97";#N/A,#N/A,FALSE,"022-97";#N/A,#N/A,FALSE,"028-97"}</definedName>
    <definedName name="___CO2"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ECS1"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PK2" localSheetId="1" hidden="1">{"'장비'!$A$3:$M$12"}</definedName>
    <definedName name="___PKG3" localSheetId="1" hidden="1">{"'장비'!$A$3:$M$12"}</definedName>
    <definedName name="___qqq222" localSheetId="1" hidden="1">{"'장비'!$A$3:$M$12"}</definedName>
    <definedName name="___r1" localSheetId="1" hidden="1">{#N/A,#N/A,FALSE,"GERAL";#N/A,#N/A,FALSE,"012-96";#N/A,#N/A,FALSE,"018-96";#N/A,#N/A,FALSE,"027-96";#N/A,#N/A,FALSE,"059-96";#N/A,#N/A,FALSE,"076-96";#N/A,#N/A,FALSE,"019-97";#N/A,#N/A,FALSE,"021-97";#N/A,#N/A,FALSE,"022-97";#N/A,#N/A,FALSE,"028-97"}</definedName>
    <definedName name="__CO2"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CS1"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PK2" localSheetId="1" hidden="1">{"'장비'!$A$3:$M$12"}</definedName>
    <definedName name="__PKG3" localSheetId="1" hidden="1">{"'장비'!$A$3:$M$12"}</definedName>
    <definedName name="__qqq222" localSheetId="1" hidden="1">{"'장비'!$A$3:$M$12"}</definedName>
    <definedName name="__r1" localSheetId="1" hidden="1">{#N/A,#N/A,FALSE,"GERAL";#N/A,#N/A,FALSE,"012-96";#N/A,#N/A,FALSE,"018-96";#N/A,#N/A,FALSE,"027-96";#N/A,#N/A,FALSE,"059-96";#N/A,#N/A,FALSE,"076-96";#N/A,#N/A,FALSE,"019-97";#N/A,#N/A,FALSE,"021-97";#N/A,#N/A,FALSE,"022-97";#N/A,#N/A,FALSE,"028-97"}</definedName>
    <definedName name="__r2" localSheetId="1" hidden="1">{#N/A,#N/A,FALSE,"GERAL";#N/A,#N/A,FALSE,"012-96";#N/A,#N/A,FALSE,"018-96";#N/A,#N/A,FALSE,"027-96";#N/A,#N/A,FALSE,"059-96";#N/A,#N/A,FALSE,"076-96";#N/A,#N/A,FALSE,"019-97";#N/A,#N/A,FALSE,"021-97";#N/A,#N/A,FALSE,"022-97";#N/A,#N/A,FALSE,"028-97"}</definedName>
    <definedName name="_CO2"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ECS1"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IA0542" localSheetId="1" hidden="1">{#N/A,#N/A,FALSE,"Plan1";#N/A,#N/A,FALSE,"Plan2"}</definedName>
    <definedName name="_new11" localSheetId="1" hidden="1">{#N/A,#N/A,FALSE,"Global by BU";#N/A,#N/A,FALSE,"U.S. by BU";#N/A,#N/A,FALSE,"Canada by BU";#N/A,#N/A,FALSE,"Europe by BU";#N/A,#N/A,FALSE,"Asia by BU";#N/A,#N/A,FALSE,"Cala by BU"}</definedName>
    <definedName name="_Order2" localSheetId="1" hidden="1">0</definedName>
    <definedName name="_PK2" localSheetId="1" hidden="1">{"'장비'!$A$3:$M$12"}</definedName>
    <definedName name="_PKG3" localSheetId="1" hidden="1">{"'장비'!$A$3:$M$12"}</definedName>
    <definedName name="_qqq222" localSheetId="1" hidden="1">{"'장비'!$A$3:$M$12"}</definedName>
    <definedName name="_r1" localSheetId="1" hidden="1">{#N/A,#N/A,FALSE,"GERAL";#N/A,#N/A,FALSE,"012-96";#N/A,#N/A,FALSE,"018-96";#N/A,#N/A,FALSE,"027-96";#N/A,#N/A,FALSE,"059-96";#N/A,#N/A,FALSE,"076-96";#N/A,#N/A,FALSE,"019-97";#N/A,#N/A,FALSE,"021-97";#N/A,#N/A,FALSE,"022-97";#N/A,#N/A,FALSE,"028-97"}</definedName>
    <definedName name="_R2" localSheetId="1" hidden="1">{#N/A,#N/A,FALSE,"GERAL";#N/A,#N/A,FALSE,"012-96";#N/A,#N/A,FALSE,"018-96";#N/A,#N/A,FALSE,"027-96";#N/A,#N/A,FALSE,"059-96";#N/A,#N/A,FALSE,"076-96";#N/A,#N/A,FALSE,"019-97";#N/A,#N/A,FALSE,"021-97";#N/A,#N/A,FALSE,"022-97";#N/A,#N/A,FALSE,"028-97"}</definedName>
    <definedName name="_sfe5"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_wer3" localSheetId="1" hidden="1">{#N/A,#N/A,FALSE,"Plan1";#N/A,#N/A,FALSE,"Plan2"}</definedName>
    <definedName name="_wrn.pendencias" localSheetId="1" hidden="1">{#N/A,#N/A,FALSE,"GERAL";#N/A,#N/A,FALSE,"012-96";#N/A,#N/A,FALSE,"018-96";#N/A,#N/A,FALSE,"027-96";#N/A,#N/A,FALSE,"059-96";#N/A,#N/A,FALSE,"076-96";#N/A,#N/A,FALSE,"019-97";#N/A,#N/A,FALSE,"021-97";#N/A,#N/A,FALSE,"022-97";#N/A,#N/A,FALSE,"028-97"}</definedName>
    <definedName name="a\sgt" localSheetId="1" hidden="1">{#N/A,#N/A,FALSE,"Plan1";#N/A,#N/A,FALSE,"Plan2"}</definedName>
    <definedName name="aaaa" localSheetId="1">#REF!</definedName>
    <definedName name="aaaaaaaaa"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aaacccc" localSheetId="1" hidden="1">{#N/A,#N/A,FALSE,"Plan1";#N/A,#N/A,FALSE,"Plan2"}</definedName>
    <definedName name="AB"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bc"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çoeeer" localSheetId="1" hidden="1">{#N/A,#N/A,FALSE,"Plan1";#N/A,#N/A,FALSE,"Plan2"}</definedName>
    <definedName name="ad" localSheetId="1" hidden="1">{#N/A,#N/A,FALSE,"Plan1";#N/A,#N/A,FALSE,"Plan2"}</definedName>
    <definedName name="adads" localSheetId="1" hidden="1">{#N/A,#N/A,FALSE,"Plan1";#N/A,#N/A,FALSE,"Plan2"}</definedName>
    <definedName name="adads2" localSheetId="1" hidden="1">{#N/A,#N/A,FALSE,"Plan1";#N/A,#N/A,FALSE,"Plan2"}</definedName>
    <definedName name="adced" localSheetId="1" hidden="1">{#N/A,#N/A,FALSE,"Plan1";#N/A,#N/A,FALSE,"Plan2"}</definedName>
    <definedName name="adced2" localSheetId="1" hidden="1">{#N/A,#N/A,FALSE,"Plan1";#N/A,#N/A,FALSE,"Plan2"}</definedName>
    <definedName name="ader" localSheetId="1" hidden="1">{#N/A,#N/A,FALSE,"Plan1";#N/A,#N/A,FALSE,"Plan2"}</definedName>
    <definedName name="ader2" localSheetId="1" hidden="1">{#N/A,#N/A,FALSE,"Plan1";#N/A,#N/A,FALSE,"Plan2"}</definedName>
    <definedName name="adesr" localSheetId="1" hidden="1">{#N/A,#N/A,FALSE,"Plan1";#N/A,#N/A,FALSE,"Plan2"}</definedName>
    <definedName name="adewr" localSheetId="1" hidden="1">{#N/A,#N/A,FALSE,"Plan1";#N/A,#N/A,FALSE,"Plan2"}</definedName>
    <definedName name="adf" localSheetId="1" hidden="1">{#N/A,#N/A,FALSE,"Plan1";#N/A,#N/A,FALSE,"Plan2"}</definedName>
    <definedName name="adsfr" localSheetId="1" hidden="1">{#N/A,#N/A,FALSE,"Plan1";#N/A,#N/A,FALSE,"Plan2"}</definedName>
    <definedName name="adssrgtg" localSheetId="1" hidden="1">{#N/A,#N/A,FALSE,"Plan1";#N/A,#N/A,FALSE,"Plan2"}</definedName>
    <definedName name="adtsetrr6t" localSheetId="1" hidden="1">{#N/A,#N/A,FALSE,"Plan1";#N/A,#N/A,FALSE,"Plan2"}</definedName>
    <definedName name="adwr" localSheetId="1" hidden="1">{#N/A,#N/A,FALSE,"Plan1";#N/A,#N/A,FALSE,"Plan2"}</definedName>
    <definedName name="aeiresft" localSheetId="1" hidden="1">{#N/A,#N/A,FALSE,"Plan1";#N/A,#N/A,FALSE,"Plan2"}</definedName>
    <definedName name="aEL3QE" localSheetId="1" hidden="1">{#N/A,#N/A,FALSE,"Plan1";#N/A,#N/A,FALSE,"Plan2"}</definedName>
    <definedName name="afeasfre" localSheetId="1" hidden="1">{#N/A,#N/A,FALSE,"Plan1";#N/A,#N/A,FALSE,"Plan2"}</definedName>
    <definedName name="agua" localSheetId="1" hidden="1">{#N/A,#N/A,FALSE,"GERAL";#N/A,#N/A,FALSE,"012-96";#N/A,#N/A,FALSE,"018-96";#N/A,#N/A,FALSE,"027-96";#N/A,#N/A,FALSE,"059-96";#N/A,#N/A,FALSE,"076-96";#N/A,#N/A,FALSE,"019-97";#N/A,#N/A,FALSE,"021-97";#N/A,#N/A,FALSE,"022-97";#N/A,#N/A,FALSE,"028-97"}</definedName>
    <definedName name="AH" localSheetId="1" hidden="1">{#N/A,#N/A,FALSE,"CCTV"}</definedName>
    <definedName name="angelo" localSheetId="1">#REF!</definedName>
    <definedName name="anscount" localSheetId="1" hidden="1">1</definedName>
    <definedName name="AQE" localSheetId="1" hidden="1">{"'장비'!$A$3:$M$12"}</definedName>
    <definedName name="ArComprimido" localSheetId="1" hidden="1">{"'Estimativa de Lançamento-JAN'!$A$1:$AI$85"}</definedName>
    <definedName name="area" localSheetId="1" hidden="1">{#N/A,#N/A,FALSE,"Plan1";#N/A,#N/A,FALSE,"Plan2"}</definedName>
    <definedName name="asawe3" localSheetId="1" hidden="1">{#N/A,#N/A,FALSE,"Plan1";#N/A,#N/A,FALSE,"Plan2"}</definedName>
    <definedName name="asd"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A" localSheetId="1" hidden="1">{#N/A,#N/A,FALSE,"Plan1";#N/A,#N/A,FALSE,"Plan2"}</definedName>
    <definedName name="asdade" localSheetId="1" hidden="1">{#N/A,#N/A,FALSE,"Plan1";#N/A,#N/A,FALSE,"Plan2"}</definedName>
    <definedName name="asdas" localSheetId="1" hidden="1">{#N/A,#N/A,FALSE,"Plan1";#N/A,#N/A,FALSE,"Plan2"}</definedName>
    <definedName name="asdawed" localSheetId="1" hidden="1">{#N/A,#N/A,FALSE,"Plan1";#N/A,#N/A,FALSE,"Plan2"}</definedName>
    <definedName name="ASDER" localSheetId="1" hidden="1">{#N/A,#N/A,FALSE,"Plan1";#N/A,#N/A,FALSE,"Plan2"}</definedName>
    <definedName name="asderr" localSheetId="1" hidden="1">{#N/A,#N/A,FALSE,"Plan1";#N/A,#N/A,FALSE,"Plan2"}</definedName>
    <definedName name="asdesre" localSheetId="1" hidden="1">{#N/A,#N/A,FALSE,"Plan1";#N/A,#N/A,FALSE,"Plan2"}</definedName>
    <definedName name="asdewr" localSheetId="1" hidden="1">{#N/A,#N/A,FALSE,"Plan1";#N/A,#N/A,FALSE,"Plan2"}</definedName>
    <definedName name="ASDFASDFA"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ASDFADF"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rrt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asdfs" localSheetId="1" hidden="1">{#N/A,#N/A,FALSE,"Plan1";#N/A,#N/A,FALSE,"Plan2"}</definedName>
    <definedName name="asdg" localSheetId="1" hidden="1">{#N/A,#N/A,FALSE,"Plan1";#N/A,#N/A,FALSE,"Plan2"}</definedName>
    <definedName name="asdked"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asdlas" localSheetId="1" hidden="1">{#N/A,#N/A,FALSE,"Plan1";#N/A,#N/A,FALSE,"Plan2"}</definedName>
    <definedName name="asdqwe" localSheetId="1" hidden="1">{#N/A,#N/A,FALSE,"Plan1";#N/A,#N/A,FALSE,"Plan2"}</definedName>
    <definedName name="asdsa" localSheetId="1" hidden="1">{#N/A,#N/A,FALSE,"Plan1";#N/A,#N/A,FALSE,"Plan2"}</definedName>
    <definedName name="asdser" localSheetId="1" hidden="1">{#N/A,#N/A,FALSE,"Plan1";#N/A,#N/A,FALSE,"Plan2"}</definedName>
    <definedName name="asdwef" localSheetId="1" hidden="1">{#N/A,#N/A,FALSE,"Plan1";#N/A,#N/A,FALSE,"Plan2"}</definedName>
    <definedName name="ASET" localSheetId="1" hidden="1">{#N/A,#N/A,FALSE,"Plan1";#N/A,#N/A,FALSE,"Plan2"}</definedName>
    <definedName name="asfDSF" localSheetId="1" hidden="1">{#N/A,#N/A,FALSE,"Plan1";#N/A,#N/A,FALSE,"Plan2"}</definedName>
    <definedName name="ASFERTE" localSheetId="1" hidden="1">{#N/A,#N/A,FALSE,"Plan1";#N/A,#N/A,FALSE,"Plan2"}</definedName>
    <definedName name="asfl" localSheetId="1" hidden="1">{#N/A,#N/A,FALSE,"Plan1";#N/A,#N/A,FALSE,"Plan2"}</definedName>
    <definedName name="asfsz" localSheetId="1" hidden="1">{#N/A,#N/A,FALSE,"Plan1";#N/A,#N/A,FALSE,"Plan2"}</definedName>
    <definedName name="askserf" localSheetId="1" hidden="1">{#N/A,#N/A,FALSE,"Plan1";#N/A,#N/A,FALSE,"Plan2"}</definedName>
    <definedName name="ASSFSDF" localSheetId="1" hidden="1">{#N/A,#N/A,FALSE,"Plan1";#N/A,#N/A,FALSE,"Plan2"}</definedName>
    <definedName name="asw" localSheetId="1" hidden="1">{#N/A,#N/A,FALSE,"Plan1";#N/A,#N/A,FALSE,"Plan2"}</definedName>
    <definedName name="ATIVOS" localSheetId="1" hidden="1">{#N/A,#N/A,FALSE,"F-01"}</definedName>
    <definedName name="awdjw" localSheetId="1" hidden="1">{#N/A,#N/A,FALSE,"Plan1";#N/A,#N/A,FALSE,"Plan2"}</definedName>
    <definedName name="aweqw4" localSheetId="1" hidden="1">{#N/A,#N/A,FALSE,"Plan1";#N/A,#N/A,FALSE,"Plan2"}</definedName>
    <definedName name="awssdwaer" localSheetId="1" hidden="1">{#N/A,#N/A,FALSE,"Plan1";#N/A,#N/A,FALSE,"Plan2"}</definedName>
    <definedName name="b" localSheetId="1" hidden="1">{#N/A,#N/A,FALSE,"Plan1";#N/A,#N/A,FALSE,"Plan2"}</definedName>
    <definedName name="bbbbbbbbbbbbbbb" localSheetId="1" hidden="1">{"'Edit'!$A$1:$V$2277"}</definedName>
    <definedName name="bdfjghf" localSheetId="1" hidden="1">{#N/A,#N/A,FALSE,"Plan1";#N/A,#N/A,FALSE,"Plan2"}</definedName>
    <definedName name="bdzbfbdr" localSheetId="1" hidden="1">{#N/A,#N/A,FALSE,"Plan1";#N/A,#N/A,FALSE,"Plan2"}</definedName>
    <definedName name="BGG" localSheetId="1" hidden="1">{#N/A,#N/A,FALSE,"Plan1";#N/A,#N/A,FALSE,"Plan2"}</definedName>
    <definedName name="bhjgfhfhg"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BJGO"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BJSDKHFE" localSheetId="1" hidden="1">{#N/A,#N/A,FALSE,"Plan1";#N/A,#N/A,FALSE,"Plan2"}</definedName>
    <definedName name="bmdgghrtfde" localSheetId="1" hidden="1">{#N/A,#N/A,FALSE,"Plan1";#N/A,#N/A,FALSE,"Plan2"}</definedName>
    <definedName name="bnkjhjhdfxgt" localSheetId="1" hidden="1">{#N/A,#N/A,FALSE,"Plan1";#N/A,#N/A,FALSE,"Plan2"}</definedName>
    <definedName name="bxnzfmkzxbhdf" localSheetId="1" hidden="1">{#N/A,#N/A,FALSE,"Plan1";#N/A,#N/A,FALSE,"Plan2"}</definedName>
    <definedName name="caixas" localSheetId="1" hidden="1">{#N/A,#N/A,FALSE,"GERAL";#N/A,#N/A,FALSE,"012-96";#N/A,#N/A,FALSE,"018-96";#N/A,#N/A,FALSE,"027-96";#N/A,#N/A,FALSE,"059-96";#N/A,#N/A,FALSE,"076-96";#N/A,#N/A,FALSE,"019-97";#N/A,#N/A,FALSE,"021-97";#N/A,#N/A,FALSE,"022-97";#N/A,#N/A,FALSE,"028-97"}</definedName>
    <definedName name="çaos\ewapo" localSheetId="1" hidden="1">{#N/A,#N/A,FALSE,"Plan1";#N/A,#N/A,FALSE,"Plan2"}</definedName>
    <definedName name="CAT6_IP" localSheetId="1" hidden="1">{#N/A,#N/A,FALSE,"F-01"}</definedName>
    <definedName name="ççç" localSheetId="1" hidden="1">{#N/A,#N/A,FALSE,"Plan1";#N/A,#N/A,FALSE,"Plan2"}</definedName>
    <definedName name="cccc" localSheetId="1" hidden="1">{#N/A,#N/A,FALSE,"Plan1";#N/A,#N/A,FALSE,"Plan2"}</definedName>
    <definedName name="ççççççç"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cccccccc"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cccccccccccccccc" localSheetId="1" hidden="1">{"HW",#N/A,FALSE,"1998"}</definedName>
    <definedName name="çcklfjk"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çdfmerf" localSheetId="1" hidden="1">{#N/A,#N/A,FALSE,"Plan1";#N/A,#N/A,FALSE,"Plan2"}</definedName>
    <definedName name="CDSGHE" localSheetId="1" hidden="1">{#N/A,#N/A,FALSE,"Plan1";#N/A,#N/A,FALSE,"Plan2"}</definedName>
    <definedName name="çfhjglkjhkljyhj"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çflçf" localSheetId="1" hidden="1">{#N/A,#N/A,FALSE,"Plan1";#N/A,#N/A,FALSE,"Plan2"}</definedName>
    <definedName name="chfch" localSheetId="1" hidden="1">{#N/A,#N/A,FALSE,"Plan1";#N/A,#N/A,FALSE,"Plan2"}</definedName>
    <definedName name="ÇJKRÇLFS" localSheetId="1" hidden="1">{"Econ Consolidado",#N/A,FALSE,"Econ Consol";"Fluxo de Caixa",#N/A,FALSE,"Fluxo Caixa";"Investimentos",#N/A,FALSE,"Investimentos"}</definedName>
    <definedName name="ÇJsrejtçe" localSheetId="1" hidden="1">{#N/A,#N/A,FALSE,"Plan1";#N/A,#N/A,FALSE,"Plan2"}</definedName>
    <definedName name="çkaçekow" localSheetId="1" hidden="1">{#N/A,#N/A,FALSE,"Plan1";#N/A,#N/A,FALSE,"Plan2"}</definedName>
    <definedName name="ÇKSDOEKR" localSheetId="1" hidden="1">{#N/A,#N/A,FALSE,"Plan1";#N/A,#N/A,FALSE,"Plan2"}</definedName>
    <definedName name="çl" localSheetId="1" hidden="1">{#N/A,#N/A,FALSE,"Plan1";#N/A,#N/A,FALSE,"Plan2"}</definedName>
    <definedName name="çlassde" localSheetId="1" hidden="1">{#N/A,#N/A,FALSE,"Plan1";#N/A,#N/A,FALSE,"Plan2"}</definedName>
    <definedName name="çlçlç" localSheetId="1" hidden="1">{#N/A,#N/A,FALSE,"Plan1";#N/A,#N/A,FALSE,"Plan2"}</definedName>
    <definedName name="çld" localSheetId="1" hidden="1">{#N/A,#N/A,FALSE,"Plan1";#N/A,#N/A,FALSE,"Plan2"}</definedName>
    <definedName name="çlererr" localSheetId="1" hidden="1">{#N/A,#N/A,FALSE,"Plan1";#N/A,#N/A,FALSE,"Plan2"}</definedName>
    <definedName name="çlertert" localSheetId="1" hidden="1">{#N/A,#N/A,FALSE,"Plan1";#N/A,#N/A,FALSE,"Plan2"}</definedName>
    <definedName name="çll" localSheetId="1" hidden="1">{#N/A,#N/A,FALSE,"Plan1";#N/A,#N/A,FALSE,"Plan2"}</definedName>
    <definedName name="CMC" localSheetId="1" hidden="1">{#N/A,#N/A,FALSE,"GERAL";#N/A,#N/A,FALSE,"012-96";#N/A,#N/A,FALSE,"018-96";#N/A,#N/A,FALSE,"027-96";#N/A,#N/A,FALSE,"059-96";#N/A,#N/A,FALSE,"076-96";#N/A,#N/A,FALSE,"019-97";#N/A,#N/A,FALSE,"021-97";#N/A,#N/A,FALSE,"022-97";#N/A,#N/A,FALSE,"028-97"}</definedName>
    <definedName name="CONFIRMAR" localSheetId="1" hidden="1">{#N/A,#N/A,TRUE,"Quinzena 01 à 15-04-98 "}</definedName>
    <definedName name="cont" localSheetId="1" hidden="1">{#N/A,#N/A,FALSE,"Plan1";#N/A,#N/A,FALSE,"Plan2"}</definedName>
    <definedName name="Controle_Tecnologico" localSheetId="1">{#N/A,#N/A,FALSE,"Plan1";#N/A,#N/A,FALSE,"Plan2"}</definedName>
    <definedName name="ÇSAÇDFW"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CSE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ÇSLÇDLFKD" localSheetId="1" hidden="1">{#N/A,#N/A,FALSE,"Plan1";#N/A,#N/A,FALSE,"Plan2"}</definedName>
    <definedName name="CTH" localSheetId="1" hidden="1">{#N/A,#N/A,FALSE,"GERAL";#N/A,#N/A,FALSE,"012-96";#N/A,#N/A,FALSE,"018-96";#N/A,#N/A,FALSE,"027-96";#N/A,#N/A,FALSE,"059-96";#N/A,#N/A,FALSE,"076-96";#N/A,#N/A,FALSE,"019-97";#N/A,#N/A,FALSE,"021-97";#N/A,#N/A,FALSE,"022-97";#N/A,#N/A,FALSE,"028-97"}</definedName>
    <definedName name="D"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almo" localSheetId="1" hidden="1">{#N/A,#N/A,FALSE,"GERAL";#N/A,#N/A,FALSE,"012-96";#N/A,#N/A,FALSE,"018-96";#N/A,#N/A,FALSE,"027-96";#N/A,#N/A,FALSE,"059-96";#N/A,#N/A,FALSE,"076-96";#N/A,#N/A,FALSE,"019-97";#N/A,#N/A,FALSE,"021-97";#N/A,#N/A,FALSE,"022-97";#N/A,#N/A,FALSE,"028-97"}</definedName>
    <definedName name="dasfrt" localSheetId="1" hidden="1">{#N/A,#N/A,FALSE,"Plan1";#N/A,#N/A,FALSE,"Plan2"}</definedName>
    <definedName name="DÇDL" localSheetId="1" hidden="1">{#N/A,#N/A,FALSE,"Plan1";#N/A,#N/A,FALSE,"Plan2"}</definedName>
    <definedName name="dcnsfgdjkgb" localSheetId="1" hidden="1">{#N/A,#N/A,FALSE,"Plan1";#N/A,#N/A,FALSE,"Plan2"}</definedName>
    <definedName name="DÇWK" localSheetId="1" hidden="1">{#N/A,#N/A,FALSE,"Plan1";#N/A,#N/A,FALSE,"Plan2"}</definedName>
    <definedName name="DD"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dd" localSheetId="1" hidden="1">{"'장비'!$A$3:$M$12"}</definedName>
    <definedName name="ddddd" localSheetId="1" hidden="1">{#N/A,#N/A,FALSE,"Plan1";#N/A,#N/A,FALSE,"Plan2"}</definedName>
    <definedName name="dde" localSheetId="1" hidden="1">{#N/A,#N/A,FALSE,"Plan1";#N/A,#N/A,FALSE,"Plan2"}</definedName>
    <definedName name="ddgfdvgdg"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DGSFG" localSheetId="1" hidden="1">{#N/A,#N/A,FALSE,"Plan1";#N/A,#N/A,FALSE,"Plan2"}</definedName>
    <definedName name="dede" localSheetId="1" hidden="1">{#N/A,#N/A,FALSE,"Plan1";#N/A,#N/A,FALSE,"Plan2"}</definedName>
    <definedName name="des" localSheetId="1" hidden="1">{#N/A,#N/A,FALSE,"Plan1";#N/A,#N/A,FALSE,"Plan2"}</definedName>
    <definedName name="desc" localSheetId="1" hidden="1">{#N/A,#N/A,FALSE,"Plan1";#N/A,#N/A,FALSE,"Plan2"}</definedName>
    <definedName name="d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FD" localSheetId="1" hidden="1">{#N/A,#N/A,FALSE,"명세표"}</definedName>
    <definedName name="dfdfty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fdjgfdfgdf" localSheetId="1" hidden="1">{#N/A,#N/A,FALSE,"Plan1";#N/A,#N/A,FALSE,"Plan2"}</definedName>
    <definedName name="dfdrtrr" localSheetId="1" hidden="1">{#N/A,#N/A,FALSE,"Plan1";#N/A,#N/A,FALSE,"Plan2"}</definedName>
    <definedName name="DFDSG" localSheetId="1" hidden="1">{#N/A,#N/A,FALSE,"Plan1";#N/A,#N/A,FALSE,"Plan2"}</definedName>
    <definedName name="dfer" localSheetId="1" hidden="1">{#N/A,#N/A,FALSE,"Plan1";#N/A,#N/A,FALSE,"Plan2"}</definedName>
    <definedName name="dffbty" localSheetId="1" hidden="1">{#N/A,#N/A,FALSE,"Plan1";#N/A,#N/A,FALSE,"Plan2"}</definedName>
    <definedName name="dffgk"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ffhg" localSheetId="1" hidden="1">{#N/A,#N/A,FALSE,"Plan1";#N/A,#N/A,FALSE,"Plan2"}</definedName>
    <definedName name="dfg" localSheetId="1" hidden="1">{#N/A,#N/A,FALSE,"Plan1";#N/A,#N/A,FALSE,"Plan2"}</definedName>
    <definedName name="dfgdf" localSheetId="1" hidden="1">{#N/A,#N/A,FALSE,"Plan1";#N/A,#N/A,FALSE,"Plan2"}</definedName>
    <definedName name="dfgdytygr" localSheetId="1" hidden="1">{#N/A,#N/A,FALSE,"Plan1";#N/A,#N/A,FALSE,"Plan2"}</definedName>
    <definedName name="dfgftrrdt5" localSheetId="1" hidden="1">{#N/A,#N/A,FALSE,"Plan1";#N/A,#N/A,FALSE,"Plan2"}</definedName>
    <definedName name="dfghjfhsg" localSheetId="1" hidden="1">{#N/A,#N/A,FALSE,"Plan1";#N/A,#N/A,FALSE,"Plan2"}</definedName>
    <definedName name="dfgj" localSheetId="1" hidden="1">{#N/A,#N/A,FALSE,"Plan1";#N/A,#N/A,FALSE,"Plan2"}</definedName>
    <definedName name="dfgjfttyd" localSheetId="1" hidden="1">{#N/A,#N/A,FALSE,"Plan1";#N/A,#N/A,FALSE,"Plan2"}</definedName>
    <definedName name="dfgjjtdrtg" localSheetId="1" hidden="1">{#N/A,#N/A,FALSE,"Plan1";#N/A,#N/A,FALSE,"Plan2"}</definedName>
    <definedName name="dfgt" localSheetId="1" hidden="1">{#N/A,#N/A,FALSE,"Plan1";#N/A,#N/A,FALSE,"Plan2"}</definedName>
    <definedName name="dfgtrkjhk" localSheetId="1" hidden="1">{#N/A,#N/A,FALSE,"Plan1";#N/A,#N/A,FALSE,"Plan2"}</definedName>
    <definedName name="dfgty" localSheetId="1" hidden="1">{#N/A,#N/A,FALSE,"Plan1";#N/A,#N/A,FALSE,"Plan2"}</definedName>
    <definedName name="dfhdgfdgf" localSheetId="1" hidden="1">{#N/A,#N/A,FALSE,"Plan1";#N/A,#N/A,FALSE,"Plan2"}</definedName>
    <definedName name="DFHDJGJFHJGF" localSheetId="1" hidden="1">{#N/A,#N/A,FALSE,"Plan1";#N/A,#N/A,FALSE,"Plan2"}</definedName>
    <definedName name="dfhdyg" localSheetId="1" hidden="1">{#N/A,#N/A,FALSE,"Plan1";#N/A,#N/A,FALSE,"Plan2"}</definedName>
    <definedName name="DFHGDHUR" localSheetId="1" hidden="1">{#N/A,#N/A,FALSE,"Plan1";#N/A,#N/A,FALSE,"Plan2"}</definedName>
    <definedName name="dfhgjfgdhfjdrf" localSheetId="1" hidden="1">{#N/A,#N/A,FALSE,"Plan1";#N/A,#N/A,FALSE,"Plan2"}</definedName>
    <definedName name="dfhgkhfut" localSheetId="1" hidden="1">{#N/A,#N/A,FALSE,"Plan1";#N/A,#N/A,FALSE,"Plan2"}</definedName>
    <definedName name="dfhguitrhfg" localSheetId="1" hidden="1">{#N/A,#N/A,FALSE,"Plan1";#N/A,#N/A,FALSE,"Plan2"}</definedName>
    <definedName name="DFHKHDGKJHDKS" localSheetId="1" hidden="1">{#N/A,#N/A,FALSE,"Plan1";#N/A,#N/A,FALSE,"Plan2"}</definedName>
    <definedName name="dfjgjfhykj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fjkgtdftr" localSheetId="1" hidden="1">{#N/A,#N/A,FALSE,"Plan1";#N/A,#N/A,FALSE,"Plan2"}</definedName>
    <definedName name="dfkhgfg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fkj"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fknfhkdrj" localSheetId="1" hidden="1">{#N/A,#N/A,FALSE,"Plan1";#N/A,#N/A,FALSE,"Plan2"}</definedName>
    <definedName name="dfnert" localSheetId="1" hidden="1">{#N/A,#N/A,FALSE,"Plan1";#N/A,#N/A,FALSE,"Plan2"}</definedName>
    <definedName name="dfrt" localSheetId="1" hidden="1">{#N/A,#N/A,FALSE,"Plan1";#N/A,#N/A,FALSE,"Plan2"}</definedName>
    <definedName name="dfsdr5tt" localSheetId="1" hidden="1">{#N/A,#N/A,FALSE,"Plan1";#N/A,#N/A,FALSE,"Plan2"}</definedName>
    <definedName name="dfsd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fsdtr" localSheetId="1" hidden="1">{#N/A,#N/A,FALSE,"Plan1";#N/A,#N/A,FALSE,"Plan2"}</definedName>
    <definedName name="dfsf" localSheetId="1" hidden="1">{#N/A,#N/A,FALSE,"Plan1";#N/A,#N/A,FALSE,"Plan2"}</definedName>
    <definedName name="DFT" localSheetId="1" hidden="1">{#N/A,#N/A,FALSE,"Plan1";#N/A,#N/A,FALSE,"Plan2"}</definedName>
    <definedName name="DFTRTTY" localSheetId="1" hidden="1">{#N/A,#N/A,FALSE,"Plan1";#N/A,#N/A,FALSE,"Plan2"}</definedName>
    <definedName name="dfurghifdjyhits" localSheetId="1" hidden="1">{#N/A,#N/A,FALSE,"Plan1";#N/A,#N/A,FALSE,"Plan2"}</definedName>
    <definedName name="dfxgdrged" localSheetId="1" hidden="1">{#N/A,#N/A,FALSE,"Plan1";#N/A,#N/A,FALSE,"Plan2"}</definedName>
    <definedName name="dgfrtyt" localSheetId="1" hidden="1">{#N/A,#N/A,FALSE,"Plan1";#N/A,#N/A,FALSE,"Plan2"}</definedName>
    <definedName name="dggfdg" localSheetId="1" hidden="1">{#N/A,#N/A,FALSE,"Plan1";#N/A,#N/A,FALSE,"Plan2"}</definedName>
    <definedName name="dgldfhgkljslh" localSheetId="1" hidden="1">{#N/A,#N/A,FALSE,"Plan1";#N/A,#N/A,FALSE,"Plan2"}</definedName>
    <definedName name="dhfgdhrehrwe" localSheetId="1" hidden="1">{#N/A,#N/A,FALSE,"Plan1";#N/A,#N/A,FALSE,"Plan2"}</definedName>
    <definedName name="dhgfdgrfgdfgd" localSheetId="1" hidden="1">{#N/A,#N/A,FALSE,"Plan1";#N/A,#N/A,FALSE,"Plan2"}</definedName>
    <definedName name="dhkjfhdhfjdh" localSheetId="1" hidden="1">{#N/A,#N/A,FALSE,"Plan1";#N/A,#N/A,FALSE,"Plan2"}</definedName>
    <definedName name="DHTJRT" localSheetId="1" hidden="1">{#N/A,#N/A,FALSE,"Plan1";#N/A,#N/A,FALSE,"Plan2"}</definedName>
    <definedName name="dijghdhks" localSheetId="1" hidden="1">{#N/A,#N/A,FALSE,"Plan1";#N/A,#N/A,FALSE,"Plan2"}</definedName>
    <definedName name="djasdrjas" localSheetId="1" hidden="1">{#N/A,#N/A,FALSE,"Plan1";#N/A,#N/A,FALSE,"Plan2"}</definedName>
    <definedName name="dj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jfkhjhfgrgdfh" localSheetId="1" hidden="1">{#N/A,#N/A,FALSE,"Plan1";#N/A,#N/A,FALSE,"Plan2"}</definedName>
    <definedName name="djfkhsdkjhf" localSheetId="1" hidden="1">{#N/A,#N/A,FALSE,"Plan1";#N/A,#N/A,FALSE,"Plan2"}</definedName>
    <definedName name="djfldjsgljslkjtg" localSheetId="1" hidden="1">{#N/A,#N/A,FALSE,"Plan1";#N/A,#N/A,FALSE,"Plan2"}</definedName>
    <definedName name="djflkdjgdth" localSheetId="1" hidden="1">{#N/A,#N/A,FALSE,"Plan1";#N/A,#N/A,FALSE,"Plan2"}</definedName>
    <definedName name="DJFLKDJGKTJYJT" localSheetId="1" hidden="1">{#N/A,#N/A,FALSE,"Plan1";#N/A,#N/A,FALSE,"Plan2"}</definedName>
    <definedName name="djgkfjgtiyty" localSheetId="1" hidden="1">{#N/A,#N/A,FALSE,"Plan1";#N/A,#N/A,FALSE,"Plan2"}</definedName>
    <definedName name="djrkehrjfhng" localSheetId="1" hidden="1">{#N/A,#N/A,FALSE,"Plan1";#N/A,#N/A,FALSE,"Plan2"}</definedName>
    <definedName name="djtkjldfr" localSheetId="1" hidden="1">{#N/A,#N/A,FALSE,"Plan1";#N/A,#N/A,FALSE,"Plan2"}</definedName>
    <definedName name="DJXDLFGDFG" localSheetId="1" hidden="1">{#N/A,#N/A,FALSE,"Plan1";#N/A,#N/A,FALSE,"Plan2"}</definedName>
    <definedName name="dkdkdkdkd" localSheetId="1" hidden="1">{#N/A,#N/A,FALSE,"명세표"}</definedName>
    <definedName name="dkfhskgf" localSheetId="1" hidden="1">{#N/A,#N/A,FALSE,"Plan1";#N/A,#N/A,FALSE,"Plan2"}</definedName>
    <definedName name="dkjfk" localSheetId="1" hidden="1">{#N/A,#N/A,FALSE,"Plan1";#N/A,#N/A,FALSE,"Plan2"}</definedName>
    <definedName name="DKLD" localSheetId="1" hidden="1">{#N/A,#N/A,FALSE,"Plan1";#N/A,#N/A,FALSE,"Plan2"}</definedName>
    <definedName name="DKLFJDKFD" localSheetId="1" hidden="1">{#N/A,#N/A,FALSE,"Plan1";#N/A,#N/A,FALSE,"Plan2"}</definedName>
    <definedName name="dklfjgirtgid" localSheetId="1" hidden="1">{#N/A,#N/A,FALSE,"Plan1";#N/A,#N/A,FALSE,"Plan2"}</definedName>
    <definedName name="dklfm"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mbfmndbmtrhed" localSheetId="1" hidden="1">{#N/A,#N/A,FALSE,"Plan1";#N/A,#N/A,FALSE,"Plan2"}</definedName>
    <definedName name="DNFJKDHTKRE" localSheetId="1" hidden="1">{#N/A,#N/A,FALSE,"Plan1";#N/A,#N/A,FALSE,"Plan2"}</definedName>
    <definedName name="dng" localSheetId="1" hidden="1">{#N/A,#N/A,FALSE,"GERAL";#N/A,#N/A,FALSE,"012-96";#N/A,#N/A,FALSE,"018-96";#N/A,#N/A,FALSE,"027-96";#N/A,#N/A,FALSE,"059-96";#N/A,#N/A,FALSE,"076-96";#N/A,#N/A,FALSE,"019-97";#N/A,#N/A,FALSE,"021-97";#N/A,#N/A,FALSE,"022-97";#N/A,#N/A,FALSE,"028-97"}</definedName>
    <definedName name="drewr" localSheetId="1" hidden="1">{#N/A,#N/A,FALSE,"Plan1";#N/A,#N/A,FALSE,"Plan2"}</definedName>
    <definedName name="DRRJR" localSheetId="1" hidden="1">{#N/A,#N/A,FALSE,"Plan1";#N/A,#N/A,FALSE,"Plan2"}</definedName>
    <definedName name="drtrt" localSheetId="1" hidden="1">{"'Estimativa de Lançamento-JAN'!$A$1:$AI$85"}</definedName>
    <definedName name="dsdrf" localSheetId="1" hidden="1">{#N/A,#N/A,FALSE,"Plan1";#N/A,#N/A,FALSE,"Plan2"}</definedName>
    <definedName name="dsfdf" localSheetId="1" hidden="1">{#N/A,#N/A,FALSE,"Plan1";#N/A,#N/A,FALSE,"Plan2"}</definedName>
    <definedName name="dsfg" localSheetId="1" hidden="1">{#N/A,#N/A,FALSE,"Plan1";#N/A,#N/A,FALSE,"Plan2"}</definedName>
    <definedName name="DSFKDSKH" localSheetId="1" hidden="1">{#N/A,#N/A,FALSE,"Plan1";#N/A,#N/A,FALSE,"Plan2"}</definedName>
    <definedName name="DSFR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sfrtyy" localSheetId="1" hidden="1">{#N/A,#N/A,FALSE,"Plan1";#N/A,#N/A,FALSE,"Plan2"}</definedName>
    <definedName name="DSFSAD" localSheetId="1" hidden="1">{#N/A,#N/A,FALSE,"Plan1";#N/A,#N/A,FALSE,"Plan2"}</definedName>
    <definedName name="dsfsdf" localSheetId="1" hidden="1">{#N/A,#N/A,FALSE,"Plan1";#N/A,#N/A,FALSE,"Plan2"}</definedName>
    <definedName name="dsfsdgfb" localSheetId="1" hidden="1">{#N/A,#N/A,FALSE,"Plan1";#N/A,#N/A,FALSE,"Plan2"}</definedName>
    <definedName name="dsgfr" localSheetId="1" hidden="1">{#N/A,#N/A,FALSE,"Plan1";#N/A,#N/A,FALSE,"Plan2"}</definedName>
    <definedName name="dshfkhkrhesru" localSheetId="1" hidden="1">{#N/A,#N/A,FALSE,"Plan1";#N/A,#N/A,FALSE,"Plan2"}</definedName>
    <definedName name="dsjkthkr" localSheetId="1" hidden="1">{#N/A,#N/A,FALSE,"Plan1";#N/A,#N/A,FALSE,"Plan2"}</definedName>
    <definedName name="DSLFJSLFJ" localSheetId="1" hidden="1">{#N/A,#N/A,FALSE,"Plan1";#N/A,#N/A,FALSE,"Plan2"}</definedName>
    <definedName name="dsrffg"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srgdergdrg" localSheetId="1" hidden="1">{#N/A,#N/A,FALSE,"GERAL";#N/A,#N/A,FALSE,"012-96";#N/A,#N/A,FALSE,"018-96";#N/A,#N/A,FALSE,"027-96";#N/A,#N/A,FALSE,"059-96";#N/A,#N/A,FALSE,"076-96";#N/A,#N/A,FALSE,"019-97";#N/A,#N/A,FALSE,"021-97";#N/A,#N/A,FALSE,"022-97";#N/A,#N/A,FALSE,"028-97"}</definedName>
    <definedName name="dss" localSheetId="1" hidden="1">{#N/A,#N/A,FALSE,"Plan1";#N/A,#N/A,FALSE,"Plan2"}</definedName>
    <definedName name="dtgsrytt" localSheetId="1" hidden="1">{#N/A,#N/A,FALSE,"Plan1";#N/A,#N/A,FALSE,"Plan2"}</definedName>
    <definedName name="dtrjkhtrgkfh" localSheetId="1" hidden="1">{#N/A,#N/A,FALSE,"Plan1";#N/A,#N/A,FALSE,"Plan2"}</definedName>
    <definedName name="dttjuk" localSheetId="1" hidden="1">{#N/A,#N/A,FALSE,"Plan1";#N/A,#N/A,FALSE,"Plan2"}</definedName>
    <definedName name="dvtry"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dwetrt" localSheetId="1" hidden="1">{#N/A,#N/A,FALSE,"Plan1";#N/A,#N/A,FALSE,"Plan2"}</definedName>
    <definedName name="DY"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YHYGJDHZKGF" localSheetId="1" hidden="1">{#N/A,#N/A,FALSE,"Plan1";#N/A,#N/A,FALSE,"Plan2"}</definedName>
    <definedName name="dzdfr" localSheetId="1" hidden="1">{#N/A,#N/A,FALSE,"Plan1";#N/A,#N/A,FALSE,"Plan2"}</definedName>
    <definedName name="e"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EC"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EW" localSheetId="1" hidden="1">{#N/A,#N/A,FALSE,"F-01"}</definedName>
    <definedName name="ECEW_1" localSheetId="1" hidden="1">{#N/A,#N/A,FALSE,"F-01"}</definedName>
    <definedName name="ECS"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E" localSheetId="1" hidden="1">{#N/A,#N/A,FALSE,"Plan1";#N/A,#N/A,FALSE,"Plan2"}</definedName>
    <definedName name="eee" localSheetId="1" hidden="1">{#N/A,#N/A,FALSE,"ET-CAPA";#N/A,#N/A,FALSE,"ET-PAG1";#N/A,#N/A,FALSE,"ET-PAG2";#N/A,#N/A,FALSE,"ET-PAG3";#N/A,#N/A,FALSE,"ET-PAG4";#N/A,#N/A,FALSE,"ET-PAG5"}</definedName>
    <definedName name="efestfr" localSheetId="1" hidden="1">{#N/A,#N/A,FALSE,"Plan1";#N/A,#N/A,FALSE,"Plan2"}</definedName>
    <definedName name="efrdrt" localSheetId="1" hidden="1">{#N/A,#N/A,FALSE,"Plan1";#N/A,#N/A,FALSE,"Plan2"}</definedName>
    <definedName name="efrg" localSheetId="1" hidden="1">{#N/A,#N/A,FALSE,"Plan1";#N/A,#N/A,FALSE,"Plan2"}</definedName>
    <definedName name="efsgfr" localSheetId="1" hidden="1">{#N/A,#N/A,FALSE,"Plan1";#N/A,#N/A,FALSE,"Plan2"}</definedName>
    <definedName name="ER" localSheetId="1" hidden="1">{#N/A,#N/A,FALSE,"GERAL";#N/A,#N/A,FALSE,"012-96";#N/A,#N/A,FALSE,"018-96";#N/A,#N/A,FALSE,"027-96";#N/A,#N/A,FALSE,"059-96";#N/A,#N/A,FALSE,"076-96";#N/A,#N/A,FALSE,"019-97";#N/A,#N/A,FALSE,"021-97";#N/A,#N/A,FALSE,"022-97";#N/A,#N/A,FALSE,"028-97"}</definedName>
    <definedName name="ergerge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ergfhyu" localSheetId="1" hidden="1">{#N/A,#N/A,FALSE,"Plan1";#N/A,#N/A,FALSE,"Plan2"}</definedName>
    <definedName name="ESGFDSFD" localSheetId="1" hidden="1">{#N/A,#N/A,FALSE,"Plan1";#N/A,#N/A,FALSE,"Plan2"}</definedName>
    <definedName name="EU" localSheetId="1" hidden="1">{#N/A,#N/A,FALSE,"Plan1";#N/A,#N/A,FALSE,"Plan2"}</definedName>
    <definedName name="EVL" localSheetId="1" hidden="1">{"Econ Consolidado",#N/A,FALSE,"Econ Consol";"Fluxo de Caixa",#N/A,FALSE,"Fluxo Caixa";"Investimentos",#N/A,FALSE,"Investimentos"}</definedName>
    <definedName name="Evol." localSheetId="1" hidden="1">{"Econ Consolidado",#N/A,FALSE,"Econ Consol";"Fluxo de Caixa",#N/A,FALSE,"Fluxo Caixa";"Investimentos",#N/A,FALSE,"Investimentos"}</definedName>
    <definedName name="ewfr" localSheetId="1" hidden="1">{#N/A,#N/A,FALSE,"Plan1";#N/A,#N/A,FALSE,"Plan2"}</definedName>
    <definedName name="eyruieyteta" localSheetId="1" hidden="1">{#N/A,#N/A,FALSE,"Plan1";#N/A,#N/A,FALSE,"Plan2"}</definedName>
    <definedName name="f" localSheetId="1" hidden="1">{#N/A,#N/A,FALSE,"Plan1";#N/A,#N/A,FALSE,"Plan2"}</definedName>
    <definedName name="FAS" localSheetId="1" hidden="1">{"'Total'!$A$1","'Total'!$A$3"}</definedName>
    <definedName name="fasfasf" localSheetId="1" hidden="1">{#N/A,#N/A,TRUE,"Quinzena 01 à 15-04-98 "}</definedName>
    <definedName name="fddhght" localSheetId="1" hidden="1">{#N/A,#N/A,FALSE,"Plan1";#N/A,#N/A,FALSE,"Plan2"}</definedName>
    <definedName name="fdfgd" localSheetId="1" hidden="1">{#N/A,#N/A,FALSE,"Plan1";#N/A,#N/A,FALSE,"Plan2"}</definedName>
    <definedName name="fdfng" localSheetId="1" hidden="1">{#N/A,#N/A,FALSE,"GERAL";#N/A,#N/A,FALSE,"012-96";#N/A,#N/A,FALSE,"018-96";#N/A,#N/A,FALSE,"027-96";#N/A,#N/A,FALSE,"059-96";#N/A,#N/A,FALSE,"076-96";#N/A,#N/A,FALSE,"019-97";#N/A,#N/A,FALSE,"021-97";#N/A,#N/A,FALSE,"022-97";#N/A,#N/A,FALSE,"028-97"}</definedName>
    <definedName name="fdgaf" localSheetId="1" hidden="1">{#N/A,#N/A,FALSE,"Plan1";#N/A,#N/A,FALSE,"Plan2"}</definedName>
    <definedName name="fdgdfg"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FDGFDJHGZEDR" localSheetId="1" hidden="1">{#N/A,#N/A,FALSE,"Plan1";#N/A,#N/A,FALSE,"Plan2"}</definedName>
    <definedName name="fdgfyhygfuj" localSheetId="1" hidden="1">{#N/A,#N/A,FALSE,"Plan1";#N/A,#N/A,FALSE,"Plan2"}</definedName>
    <definedName name="fdhgfdf" localSheetId="1" hidden="1">{#N/A,#N/A,FALSE,"Plan1";#N/A,#N/A,FALSE,"Plan2"}</definedName>
    <definedName name="fdjfgdfjg" localSheetId="1" hidden="1">{#N/A,#N/A,FALSE,"Plan1";#N/A,#N/A,FALSE,"Plan2"}</definedName>
    <definedName name="fdjghkshtygt" localSheetId="1" hidden="1">{#N/A,#N/A,FALSE,"Plan1";#N/A,#N/A,FALSE,"Plan2"}</definedName>
    <definedName name="fdnhgf" localSheetId="1" hidden="1">{"'Estimativa de Lançamento-JAN'!$A$1:$AI$85"}</definedName>
    <definedName name="fdsf" localSheetId="1" hidden="1">{#N/A,#N/A,FALSE,"Plan1";#N/A,#N/A,FALSE,"Plan2"}</definedName>
    <definedName name="fffff" localSheetId="1" hidden="1">{#N/A,#N/A,FALSE,"Plan1";#N/A,#N/A,FALSE,"Plan2"}</definedName>
    <definedName name="FFTY" localSheetId="1" hidden="1">{#N/A,#N/A,FALSE,"GERAL";#N/A,#N/A,FALSE,"012-96";#N/A,#N/A,FALSE,"018-96";#N/A,#N/A,FALSE,"027-96";#N/A,#N/A,FALSE,"059-96";#N/A,#N/A,FALSE,"076-96";#N/A,#N/A,FALSE,"019-97";#N/A,#N/A,FALSE,"021-97";#N/A,#N/A,FALSE,"022-97";#N/A,#N/A,FALSE,"028-97"}</definedName>
    <definedName name="fg" localSheetId="1" hidden="1">{#N/A,#N/A,FALSE,"Plan1";#N/A,#N/A,FALSE,"Plan2"}</definedName>
    <definedName name="fgg" localSheetId="1" hidden="1">{"'장비'!$A$3:$M$12"}</definedName>
    <definedName name="fghfh" localSheetId="1" hidden="1">{"'Estimativa de Lançamento-JAN'!$A$1:$AI$85"}</definedName>
    <definedName name="fghgfh" localSheetId="1" hidden="1">{#N/A,#N/A,FALSE,"Plan1";#N/A,#N/A,FALSE,"Plan2"}</definedName>
    <definedName name="FGJHFGK" localSheetId="1" hidden="1">{#N/A,#N/A,FALSE,"Plan1";#N/A,#N/A,FALSE,"Plan2"}</definedName>
    <definedName name="fgktyhdf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fgtrgty" localSheetId="1" hidden="1">{#N/A,#N/A,FALSE,"Plan1";#N/A,#N/A,FALSE,"Plan2"}</definedName>
    <definedName name="fhgjfgyt" localSheetId="1" hidden="1">{#N/A,#N/A,FALSE,"Plan1";#N/A,#N/A,FALSE,"Plan2"}</definedName>
    <definedName name="fhgjkhtrfg" localSheetId="1" hidden="1">{#N/A,#N/A,FALSE,"Plan1";#N/A,#N/A,FALSE,"Plan2"}</definedName>
    <definedName name="FHGTGSRSG" localSheetId="1" hidden="1">{#N/A,#N/A,FALSE,"Plan1";#N/A,#N/A,FALSE,"Plan2"}</definedName>
    <definedName name="FIELD"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ILTRO" localSheetId="1" hidden="1">{#N/A,#N/A,TRUE,"Quinzena 01 à 15-04-98 "}</definedName>
    <definedName name="fjdhfgjdhtgu" localSheetId="1" hidden="1">{#N/A,#N/A,FALSE,"Plan1";#N/A,#N/A,FALSE,"Plan2"}</definedName>
    <definedName name="fjfjg" localSheetId="1" hidden="1">{#N/A,#N/A,FALSE,"명세표"}</definedName>
    <definedName name="FJGHJ"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FJHJHG" localSheetId="1" hidden="1">{#N/A,#N/A,FALSE,"Plan1";#N/A,#N/A,FALSE,"Plan2"}</definedName>
    <definedName name="fjtgfh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FKF"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kfw" localSheetId="1" hidden="1">{#N/A,#N/A,FALSE,"Plan1";#N/A,#N/A,FALSE,"Plan2"}</definedName>
    <definedName name="fl"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rçt4r" localSheetId="1" hidden="1">{#N/A,#N/A,FALSE,"Plan1";#N/A,#N/A,FALSE,"Plan2"}</definedName>
    <definedName name="frdtty" localSheetId="1" hidden="1">{#N/A,#N/A,FALSE,"Plan1";#N/A,#N/A,FALSE,"Plan2"}</definedName>
    <definedName name="fsdfsf" localSheetId="1" hidden="1">{#N/A,#N/A,FALSE,"GERAL";#N/A,#N/A,FALSE,"012-96";#N/A,#N/A,FALSE,"018-96";#N/A,#N/A,FALSE,"027-96";#N/A,#N/A,FALSE,"059-96";#N/A,#N/A,FALSE,"076-96";#N/A,#N/A,FALSE,"019-97";#N/A,#N/A,FALSE,"021-97";#N/A,#N/A,FALSE,"022-97";#N/A,#N/A,FALSE,"028-97"}</definedName>
    <definedName name="fuihgjk" localSheetId="1" hidden="1">{#N/A,#N/A,FALSE,"Plan1";#N/A,#N/A,FALSE,"Plan2"}</definedName>
    <definedName name="fxjghkfg" localSheetId="1" hidden="1">{#N/A,#N/A,FALSE,"Plan1";#N/A,#N/A,FALSE,"Plan2"}</definedName>
    <definedName name="galo" localSheetId="1" hidden="1">{#N/A,#N/A,FALSE,"GERAL";#N/A,#N/A,FALSE,"012-96";#N/A,#N/A,FALSE,"018-96";#N/A,#N/A,FALSE,"027-96";#N/A,#N/A,FALSE,"059-96";#N/A,#N/A,FALSE,"076-96";#N/A,#N/A,FALSE,"019-97";#N/A,#N/A,FALSE,"021-97";#N/A,#N/A,FALSE,"022-97";#N/A,#N/A,FALSE,"028-97"}</definedName>
    <definedName name="gbdjkvhgd" localSheetId="1" hidden="1">{#N/A,#N/A,FALSE,"Plan1";#N/A,#N/A,FALSE,"Plan2"}</definedName>
    <definedName name="gbdsjgsjfdgj" localSheetId="1" hidden="1">{#N/A,#N/A,FALSE,"Plan1";#N/A,#N/A,FALSE,"Plan2"}</definedName>
    <definedName name="gdfdhgfjgj" localSheetId="1" hidden="1">{#N/A,#N/A,FALSE,"Plan1";#N/A,#N/A,FALSE,"Plan2"}</definedName>
    <definedName name="gdfgdstggt" localSheetId="1" hidden="1">{#N/A,#N/A,FALSE,"Plan1";#N/A,#N/A,FALSE,"Plan2"}</definedName>
    <definedName name="GDFHGRJGFJDRF" localSheetId="1" hidden="1">{"Econ Consolidado",#N/A,FALSE,"Econ Consol";"Fluxo de Caixa",#N/A,FALSE,"Fluxo Caixa";"Investimentos",#N/A,FALSE,"Investimentos"}</definedName>
    <definedName name="gdfigfhuyuy" localSheetId="1" hidden="1">{#N/A,#N/A,FALSE,"Plan1";#N/A,#N/A,FALSE,"Plan2"}</definedName>
    <definedName name="gdfsgfew" localSheetId="1" hidden="1">{#N/A,#N/A,FALSE,"Plan1";#N/A,#N/A,FALSE,"Plan2"}</definedName>
    <definedName name="gdhfgdhfgf" localSheetId="1" hidden="1">{#N/A,#N/A,FALSE,"Plan1";#N/A,#N/A,FALSE,"Plan2"}</definedName>
    <definedName name="gdsfhefrwrw" localSheetId="1" hidden="1">{#N/A,#N/A,FALSE,"Plan1";#N/A,#N/A,FALSE,"Plan2"}</definedName>
    <definedName name="geshrjhed" localSheetId="1" hidden="1">{#N/A,#N/A,FALSE,"Plan1";#N/A,#N/A,FALSE,"Plan2"}</definedName>
    <definedName name="gfdcgnkf" localSheetId="1" hidden="1">{#N/A,#N/A,FALSE,"Plan1";#N/A,#N/A,FALSE,"Plan2"}</definedName>
    <definedName name="gfdjtgur" localSheetId="1" hidden="1">{#N/A,#N/A,FALSE,"Plan1";#N/A,#N/A,FALSE,"Plan2"}</definedName>
    <definedName name="gfgdhxgfdhf" localSheetId="1" hidden="1">{#N/A,#N/A,FALSE,"Plan1";#N/A,#N/A,FALSE,"Plan2"}</definedName>
    <definedName name="gfhfdtgjb" localSheetId="1" hidden="1">{#N/A,#N/A,FALSE,"Plan1";#N/A,#N/A,FALSE,"Plan2"}</definedName>
    <definedName name="gfjdshrtjhtged" localSheetId="1" hidden="1">{#N/A,#N/A,FALSE,"Plan1";#N/A,#N/A,FALSE,"Plan2"}</definedName>
    <definedName name="gfjgkddgfd" localSheetId="1" hidden="1">{#N/A,#N/A,FALSE,"Plan1";#N/A,#N/A,FALSE,"Plan2"}</definedName>
    <definedName name="gfsghjdgygr" localSheetId="1" hidden="1">{#N/A,#N/A,FALSE,"Plan1";#N/A,#N/A,FALSE,"Plan2"}</definedName>
    <definedName name="gftfy" localSheetId="1" hidden="1">{#N/A,#N/A,FALSE,"Plan1";#N/A,#N/A,FALSE,"Plan2"}</definedName>
    <definedName name="gfty" localSheetId="1" hidden="1">{#N/A,#N/A,FALSE,"Plan1";#N/A,#N/A,FALSE,"Plan2"}</definedName>
    <definedName name="GFUJU9" localSheetId="1" hidden="1">{#N/A,#N/A,FALSE,"Plan1";#N/A,#N/A,FALSE,"Plan2"}</definedName>
    <definedName name="ggg"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gggg" localSheetId="1" hidden="1">{"'장비'!$A$3:$M$12"}</definedName>
    <definedName name="gggggggggg"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gh" localSheetId="1" hidden="1">{"'장비'!$A$3:$M$12"}</definedName>
    <definedName name="ghfgdfrtert" localSheetId="1" hidden="1">{#N/A,#N/A,FALSE,"Plan1";#N/A,#N/A,FALSE,"Plan2"}</definedName>
    <definedName name="ghfhghft" localSheetId="1" hidden="1">{#N/A,#N/A,FALSE,"Plan1";#N/A,#N/A,FALSE,"Plan2"}</definedName>
    <definedName name="ghjg" localSheetId="1" hidden="1">{"'Estimativa de Lançamento-JAN'!$A$1:$AI$85"}</definedName>
    <definedName name="ghkfhgh" localSheetId="1" hidden="1">{#N/A,#N/A,FALSE,"Plan1";#N/A,#N/A,FALSE,"Plan2"}</definedName>
    <definedName name="ghkjh" localSheetId="1" hidden="1">{#N/A,#N/A,FALSE,"ENG'G(보호계전기)"}</definedName>
    <definedName name="GJ" localSheetId="1" hidden="1">{#N/A,#N/A,FALSE,"GERAL";#N/A,#N/A,FALSE,"012-96";#N/A,#N/A,FALSE,"018-96";#N/A,#N/A,FALSE,"027-96";#N/A,#N/A,FALSE,"059-96";#N/A,#N/A,FALSE,"076-96";#N/A,#N/A,FALSE,"019-97";#N/A,#N/A,FALSE,"021-97";#N/A,#N/A,FALSE,"022-97";#N/A,#N/A,FALSE,"028-97"}</definedName>
    <definedName name="gjfhjktgcf" localSheetId="1" hidden="1">{#N/A,#N/A,FALSE,"Plan1";#N/A,#N/A,FALSE,"Plan2"}</definedName>
    <definedName name="GJG"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gjgh" localSheetId="1" hidden="1">{#N/A,#N/A,FALSE,"GERAL";#N/A,#N/A,FALSE,"012-96";#N/A,#N/A,FALSE,"018-96";#N/A,#N/A,FALSE,"027-96";#N/A,#N/A,FALSE,"059-96";#N/A,#N/A,FALSE,"076-96";#N/A,#N/A,FALSE,"019-97";#N/A,#N/A,FALSE,"021-97";#N/A,#N/A,FALSE,"022-97";#N/A,#N/A,FALSE,"028-97"}</definedName>
    <definedName name="GJK" localSheetId="1" hidden="1">{#N/A,#N/A,FALSE,"GERAL";#N/A,#N/A,FALSE,"012-96";#N/A,#N/A,FALSE,"018-96";#N/A,#N/A,FALSE,"027-96";#N/A,#N/A,FALSE,"059-96";#N/A,#N/A,FALSE,"076-96";#N/A,#N/A,FALSE,"019-97";#N/A,#N/A,FALSE,"021-97";#N/A,#N/A,FALSE,"022-97";#N/A,#N/A,FALSE,"028-97"}</definedName>
    <definedName name="gjkhgjhjfggfjhfg" localSheetId="1" hidden="1">{#N/A,#N/A,FALSE,"Plan1";#N/A,#N/A,FALSE,"Plan2"}</definedName>
    <definedName name="glgl" localSheetId="1" hidden="1">{#N/A,#N/A,FALSE,"Plan1";#N/A,#N/A,FALSE,"Plan2"}</definedName>
    <definedName name="global" localSheetId="1" hidden="1">{"'Estimativa de Lançamento-JAN'!$A$1:$AI$85"}</definedName>
    <definedName name="gnfrth"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GSDWJSTGE"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gtuigsdyugsdf" localSheetId="1" hidden="1">{#N/A,#N/A,FALSE,"Plan1";#N/A,#N/A,FALSE,"Plan2"}</definedName>
    <definedName name="GUI" localSheetId="1" hidden="1">{#N/A,#N/A,FALSE,"GERAL";#N/A,#N/A,FALSE,"012-96";#N/A,#N/A,FALSE,"018-96";#N/A,#N/A,FALSE,"027-96";#N/A,#N/A,FALSE,"059-96";#N/A,#N/A,FALSE,"076-96";#N/A,#N/A,FALSE,"019-97";#N/A,#N/A,FALSE,"021-97";#N/A,#N/A,FALSE,"022-97";#N/A,#N/A,FALSE,"028-97"}</definedName>
    <definedName name="GV" localSheetId="1" hidden="1">{#N/A,#N/A,FALSE,"CCTV"}</definedName>
    <definedName name="hcjfkhdghfktg" localSheetId="1" hidden="1">{#N/A,#N/A,FALSE,"Plan1";#N/A,#N/A,FALSE,"Plan2"}</definedName>
    <definedName name="hddfndgdfg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HDFGHGST" localSheetId="1" hidden="1">{#N/A,#N/A,FALSE,"Plan1";#N/A,#N/A,FALSE,"Plan2"}</definedName>
    <definedName name="HDFGJKHKFDHTY" localSheetId="1" hidden="1">{#N/A,#N/A,FALSE,"Plan1";#N/A,#N/A,FALSE,"Plan2"}</definedName>
    <definedName name="hdfhdhrtgd" localSheetId="1" hidden="1">{#N/A,#N/A,FALSE,"Plan1";#N/A,#N/A,FALSE,"Plan2"}</definedName>
    <definedName name="hdfhftde" localSheetId="1" hidden="1">{#N/A,#N/A,FALSE,"Plan1";#N/A,#N/A,FALSE,"Plan2"}</definedName>
    <definedName name="hdfhgkdhgtrf" localSheetId="1" hidden="1">{#N/A,#N/A,FALSE,"Plan1";#N/A,#N/A,FALSE,"Plan2"}</definedName>
    <definedName name="hdfjhdkzhgdr" localSheetId="1" hidden="1">{#N/A,#N/A,FALSE,"Plan1";#N/A,#N/A,FALSE,"Plan2"}</definedName>
    <definedName name="hdfjkgvjgtd" localSheetId="1" hidden="1">{#N/A,#N/A,FALSE,"Plan1";#N/A,#N/A,FALSE,"Plan2"}</definedName>
    <definedName name="hdfjkhdhrute" localSheetId="1" hidden="1">{#N/A,#N/A,FALSE,"Plan1";#N/A,#N/A,FALSE,"Plan2"}</definedName>
    <definedName name="HDFKGVF" localSheetId="1" hidden="1">{#N/A,#N/A,FALSE,"Plan1";#N/A,#N/A,FALSE,"Plan2"}</definedName>
    <definedName name="hdgfhdgtdrt" localSheetId="1" hidden="1">{#N/A,#N/A,FALSE,"Plan1";#N/A,#N/A,FALSE,"Plan2"}</definedName>
    <definedName name="hdghgtgtrgd" localSheetId="1" hidden="1">{#N/A,#N/A,FALSE,"Plan1";#N/A,#N/A,FALSE,"Plan2"}</definedName>
    <definedName name="HDHDGHTUHDTG" localSheetId="1" hidden="1">{#N/A,#N/A,FALSE,"Plan1";#N/A,#N/A,FALSE,"Plan2"}</definedName>
    <definedName name="hdhghfthrrhy" localSheetId="1" hidden="1">{#N/A,#N/A,FALSE,"Plan1";#N/A,#N/A,FALSE,"Plan2"}</definedName>
    <definedName name="hdkfjhydjh" localSheetId="1" hidden="1">{#N/A,#N/A,FALSE,"Plan1";#N/A,#N/A,FALSE,"Plan2"}</definedName>
    <definedName name="hdsgfgrrdgr" localSheetId="1" hidden="1">{#N/A,#N/A,FALSE,"Plan1";#N/A,#N/A,FALSE,"Plan2"}</definedName>
    <definedName name="hdtertkkdsa" localSheetId="1" hidden="1">{#N/A,#N/A,FALSE,"Plan1";#N/A,#N/A,FALSE,"Plan2"}</definedName>
    <definedName name="HEDHA" localSheetId="1" hidden="1">{#N/A,#N/A,FALSE,"Plan1";#N/A,#N/A,FALSE,"Plan2"}</definedName>
    <definedName name="heife"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herkfdshfker" localSheetId="1" hidden="1">{#N/A,#N/A,FALSE,"Plan1";#N/A,#N/A,FALSE,"Plan2"}</definedName>
    <definedName name="hersdtretyt" localSheetId="1" hidden="1">{#N/A,#N/A,FALSE,"Plan1";#N/A,#N/A,FALSE,"Plan2"}</definedName>
    <definedName name="HFDJTHTRS"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HFDKHGFR" localSheetId="1" hidden="1">{#N/A,#N/A,FALSE,"Plan1";#N/A,#N/A,FALSE,"Plan2"}</definedName>
    <definedName name="hfdkhgkfdhtj" localSheetId="1" hidden="1">{#N/A,#N/A,FALSE,"Plan1";#N/A,#N/A,FALSE,"Plan2"}</definedName>
    <definedName name="hfgfktgkhyt" localSheetId="1" hidden="1">{#N/A,#N/A,FALSE,"Plan1";#N/A,#N/A,FALSE,"Plan2"}</definedName>
    <definedName name="hfghdkhrgkjg" localSheetId="1" hidden="1">{#N/A,#N/A,FALSE,"Plan1";#N/A,#N/A,FALSE,"Plan2"}</definedName>
    <definedName name="hfighfth" localSheetId="1" hidden="1">{#N/A,#N/A,FALSE,"Plan1";#N/A,#N/A,FALSE,"Plan2"}</definedName>
    <definedName name="hfjghtfuyrf" localSheetId="1" hidden="1">{#N/A,#N/A,FALSE,"Plan1";#N/A,#N/A,FALSE,"Plan2"}</definedName>
    <definedName name="HFKJHDJGHFJ" localSheetId="1" hidden="1">{#N/A,#N/A,FALSE,"Plan1";#N/A,#N/A,FALSE,"Plan2"}</definedName>
    <definedName name="hgdesgfgsj" localSheetId="1" hidden="1">{#N/A,#N/A,FALSE,"Plan1";#N/A,#N/A,FALSE,"Plan2"}</definedName>
    <definedName name="hgdgfd" localSheetId="1" hidden="1">{#N/A,#N/A,FALSE,"Plan1";#N/A,#N/A,FALSE,"Plan2"}</definedName>
    <definedName name="hgfhjkdfhj" localSheetId="1" hidden="1">{#N/A,#N/A,FALSE,"Plan1";#N/A,#N/A,FALSE,"Plan2"}</definedName>
    <definedName name="hgg" localSheetId="1" hidden="1">{#N/A,#N/A,FALSE,"Plan1";#N/A,#N/A,FALSE,"Plan2"}</definedName>
    <definedName name="hgjdfgghg" localSheetId="1" hidden="1">{#N/A,#N/A,FALSE,"Plan1";#N/A,#N/A,FALSE,"Plan2"}</definedName>
    <definedName name="hgjkfdhg" localSheetId="1" hidden="1">{#N/A,#N/A,FALSE,"Plan1";#N/A,#N/A,FALSE,"Plan2"}</definedName>
    <definedName name="hgkdfhkfk" localSheetId="1" hidden="1">{#N/A,#N/A,FALSE,"Plan1";#N/A,#N/A,FALSE,"Plan2"}</definedName>
    <definedName name="hgkjhdfhtrdyt" localSheetId="1" hidden="1">{#N/A,#N/A,FALSE,"Plan1";#N/A,#N/A,FALSE,"Plan2"}</definedName>
    <definedName name="hgkjhdfkhgtfhg" localSheetId="1" hidden="1">{#N/A,#N/A,FALSE,"Plan1";#N/A,#N/A,FALSE,"Plan2"}</definedName>
    <definedName name="hgkjhkfhsdkdhgk" localSheetId="1" hidden="1">{#N/A,#N/A,FALSE,"Plan1";#N/A,#N/A,FALSE,"Plan2"}</definedName>
    <definedName name="hgsufgdhghd" localSheetId="1" hidden="1">{#N/A,#N/A,FALSE,"Plan1";#N/A,#N/A,FALSE,"Plan2"}</definedName>
    <definedName name="HHGFHTYUT" localSheetId="1" hidden="1">{#N/A,#N/A,FALSE,"Plan1";#N/A,#N/A,FALSE,"Plan2"}</definedName>
    <definedName name="hhh" localSheetId="1" hidden="1">{"'Total'!$A$1","'Total'!$A$3"}</definedName>
    <definedName name="hik" localSheetId="1" hidden="1">{#N/A,#N/A,FALSE,"TABLE"}</definedName>
    <definedName name="hjdgtjdjxrfg" localSheetId="1" hidden="1">{#N/A,#N/A,FALSE,"Plan1";#N/A,#N/A,FALSE,"Plan2"}</definedName>
    <definedName name="HJFDGD" localSheetId="1" hidden="1">{#N/A,#N/A,FALSE,"Plan1";#N/A,#N/A,FALSE,"Plan2"}</definedName>
    <definedName name="HJGASD" localSheetId="1" hidden="1">{#N/A,#N/A,FALSE,"Plan1";#N/A,#N/A,FALSE,"Plan2"}</definedName>
    <definedName name="HJGFGTFDG" localSheetId="1" hidden="1">{#N/A,#N/A,FALSE,"Plan1";#N/A,#N/A,FALSE,"Plan2"}</definedName>
    <definedName name="hjgfhdsgfhsd" localSheetId="1" hidden="1">{#N/A,#N/A,FALSE,"Plan1";#N/A,#N/A,FALSE,"Plan2"}</definedName>
    <definedName name="hjgxfjgdjyftr" localSheetId="1" hidden="1">{#N/A,#N/A,FALSE,"Plan1";#N/A,#N/A,FALSE,"Plan2"}</definedName>
    <definedName name="hjgyugasd" localSheetId="1" hidden="1">{#N/A,#N/A,FALSE,"Plan1";#N/A,#N/A,FALSE,"Plan2"}</definedName>
    <definedName name="hjjfyfy" localSheetId="1" hidden="1">{#N/A,#N/A,FALSE,"Plan1";#N/A,#N/A,FALSE,"Plan2"}</definedName>
    <definedName name="hjkchkvjhdjkgh" localSheetId="1" hidden="1">{#N/A,#N/A,FALSE,"Plan1";#N/A,#N/A,FALSE,"Plan2"}</definedName>
    <definedName name="hjkfjdyht" localSheetId="1" hidden="1">{#N/A,#N/A,FALSE,"Plan1";#N/A,#N/A,FALSE,"Plan2"}</definedName>
    <definedName name="hjsdffe"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hjsdkhk" localSheetId="1" hidden="1">{#N/A,#N/A,FALSE,"Plan1";#N/A,#N/A,FALSE,"Plan2"}</definedName>
    <definedName name="hjsrdfre" localSheetId="1" hidden="1">{"Econ Consolidado",#N/A,FALSE,"Econ Consol";"Fluxo de Caixa",#N/A,FALSE,"Fluxo Caixa";"Investimentos",#N/A,FALSE,"Investimentos"}</definedName>
    <definedName name="HKewewsr" localSheetId="1" hidden="1">{#N/A,#N/A,FALSE,"Plan1";#N/A,#N/A,FALSE,"Plan2"}</definedName>
    <definedName name="hkhdskacd" localSheetId="1" hidden="1">{#N/A,#N/A,FALSE,"Plan1";#N/A,#N/A,FALSE,"Plan2"}</definedName>
    <definedName name="hkjfgfhgfh" localSheetId="1" hidden="1">{#N/A,#N/A,FALSE,"Plan1";#N/A,#N/A,FALSE,"Plan2"}</definedName>
    <definedName name="hkjfhgjkfhghfg" localSheetId="1" hidden="1">{#N/A,#N/A,FALSE,"Plan1";#N/A,#N/A,FALSE,"Plan2"}</definedName>
    <definedName name="HKLZHFRH" localSheetId="1" hidden="1">{#N/A,#N/A,FALSE,"Plan1";#N/A,#N/A,FALSE,"Plan2"}</definedName>
    <definedName name="ho" localSheetId="1" hidden="1">{#N/A,#N/A,FALSE,"TABLE"}</definedName>
    <definedName name="hrterte" localSheetId="1" hidden="1">{#N/A,#N/A,FALSE,"Plan1";#N/A,#N/A,FALSE,"Plan2"}</definedName>
    <definedName name="hsdf" localSheetId="1" hidden="1">{#N/A,#N/A,FALSE,"Plan1";#N/A,#N/A,FALSE,"Plan2"}</definedName>
    <definedName name="hsdfgdgudrt" localSheetId="1" hidden="1">{#N/A,#N/A,FALSE,"Plan1";#N/A,#N/A,FALSE,"Plan2"}</definedName>
    <definedName name="hsdfjkdhur" localSheetId="1" hidden="1">{#N/A,#N/A,FALSE,"Plan1";#N/A,#N/A,FALSE,"Plan2"}</definedName>
    <definedName name="hsdgftdht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hsdjffd" localSheetId="1" hidden="1">{#N/A,#N/A,FALSE,"Plan1";#N/A,#N/A,FALSE,"Plan2"}</definedName>
    <definedName name="hsdjffe" localSheetId="1" hidden="1">{#N/A,#N/A,FALSE,"Plan1";#N/A,#N/A,FALSE,"Plan2"}</definedName>
    <definedName name="HSFIHDTR" localSheetId="1" hidden="1">{"Econ Consolidado",#N/A,FALSE,"Econ Consol";"Fluxo de Caixa",#N/A,FALSE,"Fluxo Caixa";"Investimentos",#N/A,FALSE,"Investimentos"}</definedName>
    <definedName name="hsfjkdshrgf" localSheetId="1" hidden="1">{#N/A,#N/A,FALSE,"Plan1";#N/A,#N/A,FALSE,"Plan2"}</definedName>
    <definedName name="hthhrtetdre" localSheetId="1" hidden="1">{#N/A,#N/A,FALSE,"Plan1";#N/A,#N/A,FALSE,"Plan2"}</definedName>
    <definedName name="HTML_Control" localSheetId="1" hidden="1">{"'장비'!$A$3:$M$12"}</definedName>
    <definedName name="HTML2_CONTROL" localSheetId="1" hidden="1">{"'Estimativa de Lançamento-JAN'!$A$1:$AI$85"}</definedName>
    <definedName name="HTML3_CONTROL" localSheetId="1" hidden="1">{"'Estimativa de Lançamento-JAN'!$A$1:$AI$85"}</definedName>
    <definedName name="HTMLControl" localSheetId="1" hidden="1">{"'Edit'!$A$1:$V$2277"}</definedName>
    <definedName name="HVJKHGKFXHFD" localSheetId="1" hidden="1">{#N/A,#N/A,FALSE,"Plan1";#N/A,#N/A,FALSE,"Plan2"}</definedName>
    <definedName name="hwekjhekhf" localSheetId="1" hidden="1">{#N/A,#N/A,FALSE,"Plan1";#N/A,#N/A,FALSE,"Plan2"}</definedName>
    <definedName name="HXFRE" localSheetId="1" hidden="1">{#N/A,#N/A,FALSE,"Plan1";#N/A,#N/A,FALSE,"Plan2"}</definedName>
    <definedName name="HXKJFGDKHG" localSheetId="1" hidden="1">{#N/A,#N/A,FALSE,"Plan1";#N/A,#N/A,FALSE,"Plan2"}</definedName>
    <definedName name="idfhgkjhfkthy" localSheetId="1" hidden="1">{#N/A,#N/A,FALSE,"Plan1";#N/A,#N/A,FALSE,"Plan2"}</definedName>
    <definedName name="ieroweft" localSheetId="1" hidden="1">{#N/A,#N/A,FALSE,"Plan1";#N/A,#N/A,FALSE,"Plan2"}</definedName>
    <definedName name="iewpotqi5poejy" localSheetId="1" hidden="1">{#N/A,#N/A,FALSE,"Plan1";#N/A,#N/A,FALSE,"Plan2"}</definedName>
    <definedName name="ihdfifguhgfuiyh"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ihdsitrr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ihfdkjhktgrd" localSheetId="1" hidden="1">{#N/A,#N/A,FALSE,"Plan1";#N/A,#N/A,FALSE,"Plan2"}</definedName>
    <definedName name="ihrtetw4r" localSheetId="1" hidden="1">{#N/A,#N/A,FALSE,"Plan1";#N/A,#N/A,FALSE,"Plan2"}</definedName>
    <definedName name="IIASDSAWE" localSheetId="1" hidden="1">{"Econ Consolidado",#N/A,FALSE,"Econ Consol";"Fluxo de Caixa",#N/A,FALSE,"Fluxo Caixa";"Investimentos",#N/A,FALSE,"Investimentos"}</definedName>
    <definedName name="iinstalações" localSheetId="1" hidden="1">{#N/A,#N/A,FALSE,"GERAL";#N/A,#N/A,FALSE,"012-96";#N/A,#N/A,FALSE,"018-96";#N/A,#N/A,FALSE,"027-96";#N/A,#N/A,FALSE,"059-96";#N/A,#N/A,FALSE,"076-96";#N/A,#N/A,FALSE,"019-97";#N/A,#N/A,FALSE,"021-97";#N/A,#N/A,FALSE,"022-97";#N/A,#N/A,FALSE,"028-97"}</definedName>
    <definedName name="ilhweilrji4e" localSheetId="1" hidden="1">{#N/A,#N/A,FALSE,"Plan1";#N/A,#N/A,FALSE,"Plan2"}</definedName>
    <definedName name="ilsdr4wf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Insatalações" localSheetId="1" hidden="1">{#N/A,#N/A,FALSE,"GERAL";#N/A,#N/A,FALSE,"012-96";#N/A,#N/A,FALSE,"018-96";#N/A,#N/A,FALSE,"027-96";#N/A,#N/A,FALSE,"059-96";#N/A,#N/A,FALSE,"076-96";#N/A,#N/A,FALSE,"019-97";#N/A,#N/A,FALSE,"021-97";#N/A,#N/A,FALSE,"022-97";#N/A,#N/A,FALSE,"028-97"}</definedName>
    <definedName name="instalaçoes2" localSheetId="1" hidden="1">{#N/A,#N/A,FALSE,"GERAL";#N/A,#N/A,FALSE,"012-96";#N/A,#N/A,FALSE,"018-96";#N/A,#N/A,FALSE,"027-96";#N/A,#N/A,FALSE,"059-96";#N/A,#N/A,FALSE,"076-96";#N/A,#N/A,FALSE,"019-97";#N/A,#N/A,FALSE,"021-97";#N/A,#N/A,FALSE,"022-97";#N/A,#N/A,FALSE,"028-97"}</definedName>
    <definedName name="INTEGRA" localSheetId="1" hidden="1">{"'Edit'!$A$1:$V$2277"}</definedName>
    <definedName name="ioeriotyt" localSheetId="1" hidden="1">{#N/A,#N/A,FALSE,"Plan1";#N/A,#N/A,FALSE,"Plan2"}</definedName>
    <definedName name="iohudtorh" localSheetId="1" hidden="1">{#N/A,#N/A,FALSE,"Plan1";#N/A,#N/A,FALSE,"Plan2"}</definedName>
    <definedName name="iojtkheayed" localSheetId="1" hidden="1">{#N/A,#N/A,FALSE,"Plan1";#N/A,#N/A,FALSE,"Plan2"}</definedName>
    <definedName name="iouweroieuw4" localSheetId="1" hidden="1">{#N/A,#N/A,FALSE,"Plan1";#N/A,#N/A,FALSE,"Plan2"}</definedName>
    <definedName name="iphifpgh" localSheetId="1" hidden="1">{#N/A,#N/A,FALSE,"Plan1";#N/A,#N/A,FALSE,"Plan2"}</definedName>
    <definedName name="ipodsifgpds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ipotjrjketjr" localSheetId="1" hidden="1">{#N/A,#N/A,FALSE,"Plan1";#N/A,#N/A,FALSE,"Plan2"}</definedName>
    <definedName name="ITEM별상세업무분장"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UGFGDFUY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iyguygiyt" localSheetId="1" hidden="1">{#N/A,#N/A,FALSE,"Plan1";#N/A,#N/A,FALSE,"Plan2"}</definedName>
    <definedName name="iyuyheturtd" localSheetId="1" hidden="1">{#N/A,#N/A,FALSE,"Plan1";#N/A,#N/A,FALSE,"Plan2"}</definedName>
    <definedName name="j"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jalejdasjf" localSheetId="1" hidden="1">{#N/A,#N/A,FALSE,"Plan1";#N/A,#N/A,FALSE,"Plan2"}</definedName>
    <definedName name="JASDJS" localSheetId="1" hidden="1">{#N/A,#N/A,FALSE,"Plan1";#N/A,#N/A,FALSE,"Plan2"}</definedName>
    <definedName name="jaskldjlse" localSheetId="1" hidden="1">{#N/A,#N/A,FALSE,"Plan1";#N/A,#N/A,FALSE,"Plan2"}</definedName>
    <definedName name="JASLDKLD" localSheetId="1" hidden="1">{#N/A,#N/A,FALSE,"Plan1";#N/A,#N/A,FALSE,"Plan2"}</definedName>
    <definedName name="JÇDFHDF" localSheetId="1" hidden="1">{"Econ Consolidado",#N/A,FALSE,"Econ Consol";"Fluxo de Caixa",#N/A,FALSE,"Fluxo Caixa";"Investimentos",#N/A,FALSE,"Investimentos"}</definedName>
    <definedName name="jdbgftbhr" localSheetId="1" hidden="1">{#N/A,#N/A,FALSE,"Plan1";#N/A,#N/A,FALSE,"Plan2"}</definedName>
    <definedName name="jdfgldfjgklh" localSheetId="1" hidden="1">{#N/A,#N/A,FALSE,"Plan1";#N/A,#N/A,FALSE,"Plan2"}</definedName>
    <definedName name="jdfhjkdrhjtkg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jdfjdtrgt" localSheetId="1" hidden="1">{#N/A,#N/A,FALSE,"Plan1";#N/A,#N/A,FALSE,"Plan2"}</definedName>
    <definedName name="JDFJLDJR" localSheetId="1" hidden="1">{#N/A,#N/A,FALSE,"Plan1";#N/A,#N/A,FALSE,"Plan2"}</definedName>
    <definedName name="jdfkgitfgdrtt" localSheetId="1" hidden="1">{#N/A,#N/A,FALSE,"Plan1";#N/A,#N/A,FALSE,"Plan2"}</definedName>
    <definedName name="JDFKHFKJ" localSheetId="1" hidden="1">{#N/A,#N/A,FALSE,"Plan1";#N/A,#N/A,FALSE,"Plan2"}</definedName>
    <definedName name="jdfklgtdtr" localSheetId="1" hidden="1">{#N/A,#N/A,FALSE,"Plan1";#N/A,#N/A,FALSE,"Plan2"}</definedName>
    <definedName name="JDFKTHRT" localSheetId="1" hidden="1">{#N/A,#N/A,FALSE,"Plan1";#N/A,#N/A,FALSE,"Plan2"}</definedName>
    <definedName name="JDFLKJDRF" localSheetId="1" hidden="1">{#N/A,#N/A,FALSE,"Plan1";#N/A,#N/A,FALSE,"Plan2"}</definedName>
    <definedName name="jdfzlkjgfdht" localSheetId="1" hidden="1">{#N/A,#N/A,FALSE,"Plan1";#N/A,#N/A,FALSE,"Plan2"}</definedName>
    <definedName name="jdglhfghkt" localSheetId="1" hidden="1">{#N/A,#N/A,FALSE,"Plan1";#N/A,#N/A,FALSE,"Plan2"}</definedName>
    <definedName name="jdhfjdhgfd" localSheetId="1" hidden="1">{#N/A,#N/A,FALSE,"Plan1";#N/A,#N/A,FALSE,"Plan2"}</definedName>
    <definedName name="jdjdjdjd" localSheetId="1" hidden="1">{#N/A,#N/A,FALSE,"명세표"}</definedName>
    <definedName name="jdkfhgjhf" localSheetId="1" hidden="1">{#N/A,#N/A,FALSE,"Plan1";#N/A,#N/A,FALSE,"Plan2"}</definedName>
    <definedName name="jdkfjdtr" localSheetId="1" hidden="1">{#N/A,#N/A,FALSE,"Plan1";#N/A,#N/A,FALSE,"Plan2"}</definedName>
    <definedName name="jdljgftldjti5r" localSheetId="1" hidden="1">{#N/A,#N/A,FALSE,"Plan1";#N/A,#N/A,FALSE,"Plan2"}</definedName>
    <definedName name="JDLKJDASGF" localSheetId="1" hidden="1">{#N/A,#N/A,FALSE,"Plan1";#N/A,#N/A,FALSE,"Plan2"}</definedName>
    <definedName name="jdrfkdjfghrtfjg" localSheetId="1" hidden="1">{#N/A,#N/A,FALSE,"Plan1";#N/A,#N/A,FALSE,"Plan2"}</definedName>
    <definedName name="jdskfhdk" localSheetId="1" hidden="1">{#N/A,#N/A,FALSE,"Plan1";#N/A,#N/A,FALSE,"Plan2"}</definedName>
    <definedName name="JDSKLGKDRHGGF" localSheetId="1" hidden="1">{#N/A,#N/A,FALSE,"Plan1";#N/A,#N/A,FALSE,"Plan2"}</definedName>
    <definedName name="jefsgfr" localSheetId="1" hidden="1">{#N/A,#N/A,FALSE,"Plan1";#N/A,#N/A,FALSE,"Plan2"}</definedName>
    <definedName name="JERHIEHYURE" localSheetId="1" hidden="1">{#N/A,#N/A,FALSE,"Plan1";#N/A,#N/A,FALSE,"Plan2"}</definedName>
    <definedName name="jfddlsrtyty" localSheetId="1" hidden="1">{#N/A,#N/A,FALSE,"Plan1";#N/A,#N/A,FALSE,"Plan2"}</definedName>
    <definedName name="jfdjtgdjghitfyh" localSheetId="1" hidden="1">{#N/A,#N/A,FALSE,"Plan1";#N/A,#N/A,FALSE,"Plan2"}</definedName>
    <definedName name="jfdkgkftftg" localSheetId="1" hidden="1">{#N/A,#N/A,FALSE,"Plan1";#N/A,#N/A,FALSE,"Plan2"}</definedName>
    <definedName name="jfghjkfdhtkyru"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JFGJYHTY" localSheetId="1" hidden="1">{#N/A,#N/A,FALSE,"Plan1";#N/A,#N/A,FALSE,"Plan2"}</definedName>
    <definedName name="jfgkflcnjkglc" localSheetId="1" hidden="1">{#N/A,#N/A,FALSE,"Plan1";#N/A,#N/A,FALSE,"Plan2"}</definedName>
    <definedName name="JFHRE" localSheetId="1" hidden="1">{#N/A,#N/A,FALSE,"Plan1";#N/A,#N/A,FALSE,"Plan2"}</definedName>
    <definedName name="jfkdls5jtirjd" localSheetId="1" hidden="1">{#N/A,#N/A,FALSE,"Plan1";#N/A,#N/A,FALSE,"Plan2"}</definedName>
    <definedName name="jfkljdkfcj" localSheetId="1" hidden="1">{#N/A,#N/A,FALSE,"Plan1";#N/A,#N/A,FALSE,"Plan2"}</definedName>
    <definedName name="jfkrhdtghdut" localSheetId="1" hidden="1">{#N/A,#N/A,FALSE,"Plan1";#N/A,#N/A,FALSE,"Plan2"}</definedName>
    <definedName name="JFRESR" localSheetId="1" hidden="1">{#N/A,#N/A,FALSE,"Plan1";#N/A,#N/A,FALSE,"Plan2"}</definedName>
    <definedName name="jgdfdgfjgdj" localSheetId="1" hidden="1">{#N/A,#N/A,FALSE,"Plan1";#N/A,#N/A,FALSE,"Plan2"}</definedName>
    <definedName name="jgdfght" localSheetId="1" hidden="1">{#N/A,#N/A,FALSE,"Plan1";#N/A,#N/A,FALSE,"Plan2"}</definedName>
    <definedName name="jgfgdsgfdhrf" localSheetId="1" hidden="1">{#N/A,#N/A,FALSE,"Plan1";#N/A,#N/A,FALSE,"Plan2"}</definedName>
    <definedName name="JGFJGTFT" localSheetId="1" hidden="1">{#N/A,#N/A,FALSE,"Plan1";#N/A,#N/A,FALSE,"Plan2"}</definedName>
    <definedName name="jgkjkhjuftgi" localSheetId="1" hidden="1">{#N/A,#N/A,FALSE,"Plan1";#N/A,#N/A,FALSE,"Plan2"}</definedName>
    <definedName name="jhd"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jhdfjjhirft" localSheetId="1" hidden="1">{#N/A,#N/A,FALSE,"Plan1";#N/A,#N/A,FALSE,"Plan2"}</definedName>
    <definedName name="jhdfjkhtrdhf" localSheetId="1" hidden="1">{#N/A,#N/A,FALSE,"Plan1";#N/A,#N/A,FALSE,"Plan2"}</definedName>
    <definedName name="jhdfuthr" localSheetId="1" hidden="1">{#N/A,#N/A,FALSE,"Plan1";#N/A,#N/A,FALSE,"Plan2"}</definedName>
    <definedName name="JHDFZGRDHF" localSheetId="1" hidden="1">{"Econ Consolidado",#N/A,FALSE,"Econ Consol";"Fluxo de Caixa",#N/A,FALSE,"Fluxo Caixa";"Investimentos",#N/A,FALSE,"Investimentos"}</definedName>
    <definedName name="JHERKHKFGH" localSheetId="1" hidden="1">{#N/A,#N/A,FALSE,"Plan1";#N/A,#N/A,FALSE,"Plan2"}</definedName>
    <definedName name="JHGKJFJFJGL" localSheetId="1" hidden="1">{#N/A,#N/A,FALSE,"Plan1";#N/A,#N/A,FALSE,"Plan2"}</definedName>
    <definedName name="jhsdjkhfuks" localSheetId="1" hidden="1">{#N/A,#N/A,FALSE,"Plan1";#N/A,#N/A,FALSE,"Plan2"}</definedName>
    <definedName name="jisdrkje" localSheetId="1" hidden="1">{#N/A,#N/A,FALSE,"Plan1";#N/A,#N/A,FALSE,"Plan2"}</definedName>
    <definedName name="jishfrieyhtau" localSheetId="1" hidden="1">{#N/A,#N/A,FALSE,"Plan1";#N/A,#N/A,FALSE,"Plan2"}</definedName>
    <definedName name="jiu"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jj" localSheetId="1" hidden="1">{"'Apr-00'!$B$4:$AD$44"}</definedName>
    <definedName name="jjfdsktyhhy" localSheetId="1" hidden="1">{#N/A,#N/A,FALSE,"Plan1";#N/A,#N/A,FALSE,"Plan2"}</definedName>
    <definedName name="jjkjkjk" localSheetId="1" hidden="1">{#N/A,#N/A,FALSE,"Plan1";#N/A,#N/A,FALSE,"Plan2"}</definedName>
    <definedName name="JKDCK" localSheetId="1" hidden="1">{#N/A,#N/A,FALSE,"Plan1";#N/A,#N/A,FALSE,"Plan2"}</definedName>
    <definedName name="JKDFHKHFR" localSheetId="1" hidden="1">{#N/A,#N/A,FALSE,"Plan1";#N/A,#N/A,FALSE,"Plan2"}</definedName>
    <definedName name="JKDFTRDRJ" localSheetId="1" hidden="1">{#N/A,#N/A,FALSE,"Plan1";#N/A,#N/A,FALSE,"Plan2"}</definedName>
    <definedName name="jkdhfukhddf" localSheetId="1" hidden="1">{#N/A,#N/A,FALSE,"Plan1";#N/A,#N/A,FALSE,"Plan2"}</definedName>
    <definedName name="JKDRKGJHTDR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jkelsjreja" localSheetId="1" hidden="1">{#N/A,#N/A,FALSE,"Plan1";#N/A,#N/A,FALSE,"Plan2"}</definedName>
    <definedName name="jkfhjgkfhghh" localSheetId="1" hidden="1">{#N/A,#N/A,FALSE,"Plan1";#N/A,#N/A,FALSE,"Plan2"}</definedName>
    <definedName name="jkhderjkhes" localSheetId="1" hidden="1">{#N/A,#N/A,FALSE,"Plan1";#N/A,#N/A,FALSE,"Plan2"}</definedName>
    <definedName name="jkhdfhfd" localSheetId="1" hidden="1">{#N/A,#N/A,FALSE,"Plan1";#N/A,#N/A,FALSE,"Plan2"}</definedName>
    <definedName name="jkhfhest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JKHFKJHGKFTHUDET" localSheetId="1" hidden="1">{#N/A,#N/A,FALSE,"Plan1";#N/A,#N/A,FALSE,"Plan2"}</definedName>
    <definedName name="JKHGDHFUHTG" localSheetId="1" hidden="1">{#N/A,#N/A,FALSE,"Plan1";#N/A,#N/A,FALSE,"Plan2"}</definedName>
    <definedName name="jkhsdzjkfyiu" localSheetId="1" hidden="1">{#N/A,#N/A,FALSE,"Plan1";#N/A,#N/A,FALSE,"Plan2"}</definedName>
    <definedName name="jkjsdkhfdhrf" localSheetId="1" hidden="1">{#N/A,#N/A,FALSE,"Plan1";#N/A,#N/A,FALSE,"Plan2"}</definedName>
    <definedName name="jklgfsjgtjtg" localSheetId="1" hidden="1">{#N/A,#N/A,FALSE,"Plan1";#N/A,#N/A,FALSE,"Plan2"}</definedName>
    <definedName name="jksldfjsdhf" localSheetId="1" hidden="1">{#N/A,#N/A,FALSE,"Plan1";#N/A,#N/A,FALSE,"Plan2"}</definedName>
    <definedName name="jkxhcjkhfr" localSheetId="1" hidden="1">{#N/A,#N/A,FALSE,"Plan1";#N/A,#N/A,FALSE,"Plan2"}</definedName>
    <definedName name="JNGCKFKJFGH" localSheetId="1" hidden="1">{#N/A,#N/A,FALSE,"Plan1";#N/A,#N/A,FALSE,"Plan2"}</definedName>
    <definedName name="JREJRW" localSheetId="1" hidden="1">{#N/A,#N/A,FALSE,"Plan1";#N/A,#N/A,FALSE,"Plan2"}</definedName>
    <definedName name="JSADKAH" localSheetId="1" hidden="1">{"Econ Consolidado",#N/A,FALSE,"Econ Consol";"Fluxo de Caixa",#N/A,FALSE,"Fluxo Caixa";"Investimentos",#N/A,FALSE,"Investimentos"}</definedName>
    <definedName name="JSDAJRE" localSheetId="1" hidden="1">{#N/A,#N/A,FALSE,"Plan1";#N/A,#N/A,FALSE,"Plan2"}</definedName>
    <definedName name="jsdffsed"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jsdfjgx" localSheetId="1" hidden="1">{#N/A,#N/A,FALSE,"Plan1";#N/A,#N/A,FALSE,"Plan2"}</definedName>
    <definedName name="jsdfsdfd" localSheetId="1" hidden="1">{#N/A,#N/A,FALSE,"Plan1";#N/A,#N/A,FALSE,"Plan2"}</definedName>
    <definedName name="jsdljficd" localSheetId="1" hidden="1">{#N/A,#N/A,FALSE,"Plan1";#N/A,#N/A,FALSE,"Plan2"}</definedName>
    <definedName name="JSDTLFJDRG" localSheetId="1" hidden="1">{#N/A,#N/A,FALSE,"Plan1";#N/A,#N/A,FALSE,"Plan2"}</definedName>
    <definedName name="jsfjsjferwea" localSheetId="1" hidden="1">{#N/A,#N/A,FALSE,"Plan1";#N/A,#N/A,FALSE,"Plan2"}</definedName>
    <definedName name="jslrjer" localSheetId="1" hidden="1">{#N/A,#N/A,FALSE,"Plan1";#N/A,#N/A,FALSE,"Plan2"}</definedName>
    <definedName name="juklhkhdf" localSheetId="1" hidden="1">{#N/A,#N/A,FALSE,"Plan1";#N/A,#N/A,FALSE,"Plan2"}</definedName>
    <definedName name="JULHO99" localSheetId="1" hidden="1">{#N/A,#N/A,TRUE,"Quinzena 01 à 15-04-98 "}</definedName>
    <definedName name="jwekljd" localSheetId="1" hidden="1">{#N/A,#N/A,FALSE,"Plan1";#N/A,#N/A,FALSE,"Plan2"}</definedName>
    <definedName name="JWEOITORU5Y" localSheetId="1" hidden="1">{#N/A,#N/A,FALSE,"Plan1";#N/A,#N/A,FALSE,"Plan2"}</definedName>
    <definedName name="jxdfjsrf" localSheetId="1" hidden="1">{#N/A,#N/A,FALSE,"Plan1";#N/A,#N/A,FALSE,"Plan2"}</definedName>
    <definedName name="jxdklfjv"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jzsdjkszl" localSheetId="1" hidden="1">{#N/A,#N/A,FALSE,"Plan1";#N/A,#N/A,FALSE,"Plan2"}</definedName>
    <definedName name="JZXFKLJLDJF" localSheetId="1" hidden="1">{#N/A,#N/A,FALSE,"Plan1";#N/A,#N/A,FALSE,"Plan2"}</definedName>
    <definedName name="jzxklfdlvgfg" localSheetId="1" hidden="1">{#N/A,#N/A,FALSE,"Plan1";#N/A,#N/A,FALSE,"Plan2"}</definedName>
    <definedName name="k" localSheetId="1">{#N/A,#N/A,FALSE,"Plan1";#N/A,#N/A,FALSE,"Plan2"}</definedName>
    <definedName name="kaedkroswr" localSheetId="1" hidden="1">{"Econ Consolidado",#N/A,FALSE,"Econ Consol";"Fluxo de Caixa",#N/A,FALSE,"Fluxo Caixa";"Investimentos",#N/A,FALSE,"Investimentos"}</definedName>
    <definedName name="kç\lKçaksdçaqew" localSheetId="1" hidden="1">{#N/A,#N/A,FALSE,"Plan1";#N/A,#N/A,FALSE,"Plan2"}</definedName>
    <definedName name="kçdasekr" localSheetId="1" hidden="1">{#N/A,#N/A,FALSE,"Plan1";#N/A,#N/A,FALSE,"Plan2"}</definedName>
    <definedName name="kçfdljtredr" localSheetId="1" hidden="1">{#N/A,#N/A,FALSE,"Plan1";#N/A,#N/A,FALSE,"Plan2"}</definedName>
    <definedName name="kclçkglf" localSheetId="1" hidden="1">{#N/A,#N/A,FALSE,"Plan1";#N/A,#N/A,FALSE,"Plan2"}</definedName>
    <definedName name="kçlkasçkere" localSheetId="1" hidden="1">{#N/A,#N/A,FALSE,"Plan1";#N/A,#N/A,FALSE,"Plan2"}</definedName>
    <definedName name="kdfbngtjkbf" localSheetId="1" hidden="1">{#N/A,#N/A,FALSE,"Plan1";#N/A,#N/A,FALSE,"Plan2"}</definedName>
    <definedName name="kdfhkghkrh" localSheetId="1" hidden="1">{#N/A,#N/A,FALSE,"Plan1";#N/A,#N/A,FALSE,"Plan2"}</definedName>
    <definedName name="kdfiere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kdfkçrkf" localSheetId="1" hidden="1">{#N/A,#N/A,FALSE,"Plan1";#N/A,#N/A,FALSE,"Plan2"}</definedName>
    <definedName name="kdfljlfr" localSheetId="1" hidden="1">{#N/A,#N/A,FALSE,"Plan1";#N/A,#N/A,FALSE,"Plan2"}</definedName>
    <definedName name="kdhfgkdfhytgu" localSheetId="1" hidden="1">{#N/A,#N/A,FALSE,"Plan1";#N/A,#N/A,FALSE,"Plan2"}</definedName>
    <definedName name="kdhgftfg" localSheetId="1" hidden="1">{#N/A,#N/A,FALSE,"Plan1";#N/A,#N/A,FALSE,"Plan2"}</definedName>
    <definedName name="KDHKFGKKHGF" localSheetId="1" hidden="1">{#N/A,#N/A,FALSE,"Plan1";#N/A,#N/A,FALSE,"Plan2"}</definedName>
    <definedName name="kdjgkfjgd" localSheetId="1" hidden="1">{#N/A,#N/A,FALSE,"Plan1";#N/A,#N/A,FALSE,"Plan2"}</definedName>
    <definedName name="kdjglkdlgjd" localSheetId="1" hidden="1">{#N/A,#N/A,FALSE,"Plan1";#N/A,#N/A,FALSE,"Plan2"}</definedName>
    <definedName name="kdjsfkldjgkty" localSheetId="1" hidden="1">{#N/A,#N/A,FALSE,"Plan1";#N/A,#N/A,FALSE,"Plan2"}</definedName>
    <definedName name="KDJU" localSheetId="1" hidden="1">{"'장비'!$A$3:$M$12"}</definedName>
    <definedName name="kdkjhgdkfhjk" localSheetId="1" hidden="1">{#N/A,#N/A,FALSE,"Plan1";#N/A,#N/A,FALSE,"Plan2"}</definedName>
    <definedName name="kdsf" localSheetId="1" hidden="1">{#N/A,#N/A,FALSE,"Plan1";#N/A,#N/A,FALSE,"Plan2"}</definedName>
    <definedName name="kdsr" localSheetId="1" hidden="1">{#N/A,#N/A,FALSE,"Plan1";#N/A,#N/A,FALSE,"Plan2"}</definedName>
    <definedName name="kergtfdstr" localSheetId="1" hidden="1">{#N/A,#N/A,FALSE,"Plan1";#N/A,#N/A,FALSE,"Plan2"}</definedName>
    <definedName name="KFDKTHGT" localSheetId="1" hidden="1">{#N/A,#N/A,FALSE,"Plan1";#N/A,#N/A,FALSE,"Plan2"}</definedName>
    <definedName name="kfdxlfdzs" localSheetId="1" hidden="1">{"Econ Consolidado",#N/A,FALSE,"Econ Consol";"Fluxo de Caixa",#N/A,FALSE,"Fluxo Caixa";"Investimentos",#N/A,FALSE,"Investimentos"}</definedName>
    <definedName name="kfgkhjkjhy" localSheetId="1" hidden="1">{#N/A,#N/A,FALSE,"Plan1";#N/A,#N/A,FALSE,"Plan2"}</definedName>
    <definedName name="KFJFDSDF" localSheetId="1" hidden="1">{#N/A,#N/A,FALSE,"Plan1";#N/A,#N/A,FALSE,"Plan2"}</definedName>
    <definedName name="kfnkeasd" localSheetId="1" hidden="1">{#N/A,#N/A,FALSE,"Plan1";#N/A,#N/A,FALSE,"Plan2"}</definedName>
    <definedName name="khdjkfkjhtg" localSheetId="1" hidden="1">{#N/A,#N/A,FALSE,"Plan1";#N/A,#N/A,FALSE,"Plan2"}</definedName>
    <definedName name="khdkfjhhfsdg" localSheetId="1" hidden="1">{#N/A,#N/A,FALSE,"Plan1";#N/A,#N/A,FALSE,"Plan2"}</definedName>
    <definedName name="khdkjfhgudytu" localSheetId="1" hidden="1">{#N/A,#N/A,FALSE,"Plan1";#N/A,#N/A,FALSE,"Plan2"}</definedName>
    <definedName name="khfdghhhgd" localSheetId="1" hidden="1">{#N/A,#N/A,FALSE,"Plan1";#N/A,#N/A,FALSE,"Plan2"}</definedName>
    <definedName name="khfdkjhsdjf" localSheetId="1" hidden="1">{#N/A,#N/A,FALSE,"Plan1";#N/A,#N/A,FALSE,"Plan2"}</definedName>
    <definedName name="khgdkftfy" localSheetId="1" hidden="1">{#N/A,#N/A,FALSE,"Plan1";#N/A,#N/A,FALSE,"Plan2"}</definedName>
    <definedName name="khgfhhtuhf" localSheetId="1" hidden="1">{#N/A,#N/A,FALSE,"Plan1";#N/A,#N/A,FALSE,"Plan2"}</definedName>
    <definedName name="khjkh"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KHJKLSDF" localSheetId="1" hidden="1">{#N/A,#N/A,FALSE,"Plan1";#N/A,#N/A,FALSE,"Plan2"}</definedName>
    <definedName name="kieret" localSheetId="1" hidden="1">{#N/A,#N/A,FALSE,"Plan1";#N/A,#N/A,FALSE,"Plan2"}</definedName>
    <definedName name="kjchkfhsezk" localSheetId="1" hidden="1">{#N/A,#N/A,FALSE,"Plan1";#N/A,#N/A,FALSE,"Plan2"}</definedName>
    <definedName name="kjdghksef" localSheetId="1" hidden="1">{#N/A,#N/A,FALSE,"Plan1";#N/A,#N/A,FALSE,"Plan2"}</definedName>
    <definedName name="kjdkftyhtert" localSheetId="1" hidden="1">{#N/A,#N/A,FALSE,"Plan1";#N/A,#N/A,FALSE,"Plan2"}</definedName>
    <definedName name="kjdlfkjds" localSheetId="1" hidden="1">{#N/A,#N/A,FALSE,"Plan1";#N/A,#N/A,FALSE,"Plan2"}</definedName>
    <definedName name="kjdzhfytrfy" localSheetId="1" hidden="1">{#N/A,#N/A,FALSE,"Plan1";#N/A,#N/A,FALSE,"Plan2"}</definedName>
    <definedName name="kjhdfgjthdft" localSheetId="1" hidden="1">{#N/A,#N/A,FALSE,"Plan1";#N/A,#N/A,FALSE,"Plan2"}</definedName>
    <definedName name="kjhsdfk"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kjhsiorf" localSheetId="1" hidden="1">{#N/A,#N/A,FALSE,"Plan1";#N/A,#N/A,FALSE,"Plan2"}</definedName>
    <definedName name="KJJ"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kjjwww" localSheetId="1" hidden="1">{#N/A,#N/A,FALSE,"Plan1";#N/A,#N/A,FALSE,"Plan2"}</definedName>
    <definedName name="kjl" localSheetId="1" hidden="1">{#N/A,#N/A,FALSE,"ENG'G(보호계전기)"}</definedName>
    <definedName name="KJOI" localSheetId="1" hidden="1">{#N/A,#N/A,FALSE,"Plan1";#N/A,#N/A,FALSE,"Plan2"}</definedName>
    <definedName name="kjqwerw" localSheetId="1" hidden="1">{#N/A,#N/A,FALSE,"Plan1";#N/A,#N/A,FALSE,"Plan2"}</definedName>
    <definedName name="kjsfert" localSheetId="1" hidden="1">{#N/A,#N/A,FALSE,"Plan1";#N/A,#N/A,FALSE,"Plan2"}</definedName>
    <definedName name="KJXCFKR" localSheetId="1" hidden="1">{#N/A,#N/A,FALSE,"Plan1";#N/A,#N/A,FALSE,"Plan2"}</definedName>
    <definedName name="KJXDFD" localSheetId="1" hidden="1">{#N/A,#N/A,FALSE,"Plan1";#N/A,#N/A,FALSE,"Plan2"}</definedName>
    <definedName name="kk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kkk" localSheetId="1" hidden="1">{#N/A,#N/A,FALSE,"Plan1";#N/A,#N/A,FALSE,"Plan2"}</definedName>
    <definedName name="kkkkk" localSheetId="1" hidden="1">{#N/A,#N/A,FALSE,"Plan1";#N/A,#N/A,FALSE,"Plan2"}</definedName>
    <definedName name="kkkkkk" localSheetId="1" hidden="1">{#N/A,#N/A,FALSE,"Plan1";#N/A,#N/A,FALSE,"Plan2"}</definedName>
    <definedName name="kko"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kksaklçer" localSheetId="1" hidden="1">{#N/A,#N/A,FALSE,"Plan1";#N/A,#N/A,FALSE,"Plan2"}</definedName>
    <definedName name="kksarde" localSheetId="1" hidden="1">{#N/A,#N/A,FALSE,"Plan1";#N/A,#N/A,FALSE,"Plan2"}</definedName>
    <definedName name="klaskldjsw" localSheetId="1" hidden="1">{#N/A,#N/A,FALSE,"Plan1";#N/A,#N/A,FALSE,"Plan2"}</definedName>
    <definedName name="klçkop" localSheetId="1" hidden="1">{#N/A,#N/A,FALSE,"Plan1";#N/A,#N/A,FALSE,"Plan2"}</definedName>
    <definedName name="KLDFNTRDT" localSheetId="1" hidden="1">{#N/A,#N/A,FALSE,"Plan1";#N/A,#N/A,FALSE,"Plan2"}</definedName>
    <definedName name="klhjsdklhdf" localSheetId="1" hidden="1">{#N/A,#N/A,FALSE,"Plan1";#N/A,#N/A,FALSE,"Plan2"}</definedName>
    <definedName name="KLHSKLRHWE" localSheetId="1" hidden="1">{#N/A,#N/A,FALSE,"Plan1";#N/A,#N/A,FALSE,"Plan2"}</definedName>
    <definedName name="KLJASKJD" localSheetId="1" hidden="1">{#N/A,#N/A,FALSE,"Plan1";#N/A,#N/A,FALSE,"Plan2"}</definedName>
    <definedName name="KLJDXLG"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kljeflwr" localSheetId="1" hidden="1">{#N/A,#N/A,FALSE,"Plan1";#N/A,#N/A,FALSE,"Plan2"}</definedName>
    <definedName name="kljflgjrf" localSheetId="1" hidden="1">{#N/A,#N/A,FALSE,"Plan1";#N/A,#N/A,FALSE,"Plan2"}</definedName>
    <definedName name="kljgfdfr" localSheetId="1" hidden="1">{#N/A,#N/A,FALSE,"Plan1";#N/A,#N/A,FALSE,"Plan2"}</definedName>
    <definedName name="kljgfjrt" localSheetId="1" hidden="1">{#N/A,#N/A,FALSE,"Plan1";#N/A,#N/A,FALSE,"Plan2"}</definedName>
    <definedName name="kljlkdfj" localSheetId="1" hidden="1">{#N/A,#N/A,FALSE,"Plan1";#N/A,#N/A,FALSE,"Plan2"}</definedName>
    <definedName name="kljsakjfr" localSheetId="1" hidden="1">{#N/A,#N/A,FALSE,"Plan1";#N/A,#N/A,FALSE,"Plan2"}</definedName>
    <definedName name="kljsdje" localSheetId="1" hidden="1">{#N/A,#N/A,FALSE,"Plan1";#N/A,#N/A,FALSE,"Plan2"}</definedName>
    <definedName name="kljsfwe" localSheetId="1" hidden="1">{#N/A,#N/A,FALSE,"Plan1";#N/A,#N/A,FALSE,"Plan2"}</definedName>
    <definedName name="klk" localSheetId="1" hidden="1">{#N/A,#N/A,FALSE,"Plan1";#N/A,#N/A,FALSE,"Plan2"}</definedName>
    <definedName name="KLKKLKÇJÇ" localSheetId="1" hidden="1">{#N/A,#N/A,FALSE,"Plan1";#N/A,#N/A,FALSE,"Plan2"}</definedName>
    <definedName name="KLSDFT" localSheetId="1" hidden="1">{#N/A,#N/A,FALSE,"Plan1";#N/A,#N/A,FALSE,"Plan2"}</definedName>
    <definedName name="KLSDHSJKHF" localSheetId="1" hidden="1">{#N/A,#N/A,FALSE,"Plan1";#N/A,#N/A,FALSE,"Plan2"}</definedName>
    <definedName name="klsdkre" localSheetId="1" hidden="1">{#N/A,#N/A,FALSE,"Plan1";#N/A,#N/A,FALSE,"Plan2"}</definedName>
    <definedName name="KLSIDJE" localSheetId="1" hidden="1">{#N/A,#N/A,FALSE,"Plan1";#N/A,#N/A,FALSE,"Plan2"}</definedName>
    <definedName name="klsjarsf" localSheetId="1" hidden="1">{#N/A,#N/A,FALSE,"Plan1";#N/A,#N/A,FALSE,"Plan2"}</definedName>
    <definedName name="klxhjfdkhser" localSheetId="1" hidden="1">{#N/A,#N/A,FALSE,"Plan1";#N/A,#N/A,FALSE,"Plan2"}</definedName>
    <definedName name="kopipnsdfne" localSheetId="1" hidden="1">{#N/A,#N/A,FALSE,"Plan1";#N/A,#N/A,FALSE,"Plan2"}</definedName>
    <definedName name="kp"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KSDLÇKSÇ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KSDLDF" localSheetId="1" hidden="1">{#N/A,#N/A,FALSE,"Plan1";#N/A,#N/A,FALSE,"Plan2"}</definedName>
    <definedName name="ksdlkfsçzd" localSheetId="1" hidden="1">{#N/A,#N/A,FALSE,"Plan1";#N/A,#N/A,FALSE,"Plan2"}</definedName>
    <definedName name="ksdoçierfe" localSheetId="1" hidden="1">{#N/A,#N/A,FALSE,"Plan1";#N/A,#N/A,FALSE,"Plan2"}</definedName>
    <definedName name="ksdtrdrkf" localSheetId="1" hidden="1">{#N/A,#N/A,FALSE,"Plan1";#N/A,#N/A,FALSE,"Plan2"}</definedName>
    <definedName name="KSFÇJDFJL" localSheetId="1" hidden="1">{#N/A,#N/A,FALSE,"Plan1";#N/A,#N/A,FALSE,"Plan2"}</definedName>
    <definedName name="ksfhse" localSheetId="1" hidden="1">{#N/A,#N/A,FALSE,"Plan1";#N/A,#N/A,FALSE,"Plan2"}</definedName>
    <definedName name="KSRKOE" localSheetId="1" hidden="1">{#N/A,#N/A,FALSE,"Plan1";#N/A,#N/A,FALSE,"Plan2"}</definedName>
    <definedName name="KSWKE" localSheetId="1" hidden="1">{#N/A,#N/A,FALSE,"Plan1";#N/A,#N/A,FALSE,"Plan2"}</definedName>
    <definedName name="kysdusf" localSheetId="1" hidden="1">{#N/A,#N/A,FALSE,"Plan1";#N/A,#N/A,FALSE,"Plan2"}</definedName>
    <definedName name="kzslçdkçle" localSheetId="1" hidden="1">{#N/A,#N/A,FALSE,"Plan1";#N/A,#N/A,FALSE,"Plan2"}</definedName>
    <definedName name="LAEKWRK" localSheetId="1" hidden="1">{#N/A,#N/A,FALSE,"Plan1";#N/A,#N/A,FALSE,"Plan2"}</definedName>
    <definedName name="LAKDEWRF" localSheetId="1" hidden="1">{#N/A,#N/A,FALSE,"Plan1";#N/A,#N/A,FALSE,"Plan2"}</definedName>
    <definedName name="LASÇDSRLF" localSheetId="1" hidden="1">{#N/A,#N/A,FALSE,"Plan1";#N/A,#N/A,FALSE,"Plan2"}</definedName>
    <definedName name="lasrlswer" localSheetId="1" hidden="1">{#N/A,#N/A,FALSE,"Plan1";#N/A,#N/A,FALSE,"Plan2"}</definedName>
    <definedName name="lçadple4r" localSheetId="1" hidden="1">{#N/A,#N/A,FALSE,"Plan1";#N/A,#N/A,FALSE,"Plan2"}</definedName>
    <definedName name="lçasser" localSheetId="1" hidden="1">{#N/A,#N/A,FALSE,"Plan1";#N/A,#N/A,FALSE,"Plan2"}</definedName>
    <definedName name="lcdgjtklfrn" localSheetId="1" hidden="1">{#N/A,#N/A,FALSE,"Plan1";#N/A,#N/A,FALSE,"Plan2"}</definedName>
    <definedName name="lçfklsdkçaer" localSheetId="1" hidden="1">{#N/A,#N/A,FALSE,"Plan1";#N/A,#N/A,FALSE,"Plan2"}</definedName>
    <definedName name="lçjkgf" localSheetId="1" hidden="1">{#N/A,#N/A,FALSE,"Plan1";#N/A,#N/A,FALSE,"Plan2"}</definedName>
    <definedName name="LÇJSLDFJ" localSheetId="1" hidden="1">{#N/A,#N/A,FALSE,"Plan1";#N/A,#N/A,FALSE,"Plan2"}</definedName>
    <definedName name="LÇKÇSDRLK" localSheetId="1" hidden="1">{#N/A,#N/A,FALSE,"Plan1";#N/A,#N/A,FALSE,"Plan2"}</definedName>
    <definedName name="lçkl"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lçl"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lçlfklçdglfdgt" localSheetId="1" hidden="1">{#N/A,#N/A,FALSE,"Plan1";#N/A,#N/A,FALSE,"Plan2"}</definedName>
    <definedName name="lçslrr4r" localSheetId="1" hidden="1">{#N/A,#N/A,FALSE,"Plan1";#N/A,#N/A,FALSE,"Plan2"}</definedName>
    <definedName name="ldfjgry" localSheetId="1" hidden="1">{#N/A,#N/A,FALSE,"Plan1";#N/A,#N/A,FALSE,"Plan2"}</definedName>
    <definedName name="ldfjgtilrf" localSheetId="1" hidden="1">{#N/A,#N/A,FALSE,"Plan1";#N/A,#N/A,FALSE,"Plan2"}</definedName>
    <definedName name="ldk" localSheetId="1" hidden="1">{#N/A,#N/A,FALSE,"Plan1";#N/A,#N/A,FALSE,"Plan2"}</definedName>
    <definedName name="ldkgkdfjgkh" localSheetId="1" hidden="1">{#N/A,#N/A,FALSE,"Plan1";#N/A,#N/A,FALSE,"Plan2"}</definedName>
    <definedName name="LDTJGR" localSheetId="1" hidden="1">{#N/A,#N/A,FALSE,"Plan1";#N/A,#N/A,FALSE,"Plan2"}</definedName>
    <definedName name="LEKG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lfjdjrt" localSheetId="1" hidden="1">{#N/A,#N/A,FALSE,"Plan1";#N/A,#N/A,FALSE,"Plan2"}</definedName>
    <definedName name="lidfjgklruf" localSheetId="1" hidden="1">{#N/A,#N/A,FALSE,"Plan1";#N/A,#N/A,FALSE,"Plan2"}</definedName>
    <definedName name="list"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t"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dfkgyt" localSheetId="1" hidden="1">{#N/A,#N/A,FALSE,"Plan1";#N/A,#N/A,FALSE,"Plan2"}</definedName>
    <definedName name="LJDFLJRL" localSheetId="1" hidden="1">{#N/A,#N/A,FALSE,"Plan1";#N/A,#N/A,FALSE,"Plan2"}</definedName>
    <definedName name="ljsdfrd" localSheetId="1" hidden="1">{#N/A,#N/A,FALSE,"Plan1";#N/A,#N/A,FALSE,"Plan2"}</definedName>
    <definedName name="LK" localSheetId="1" hidden="1">{#N/A,#N/A,TRUE,"Quinzena 01 à 15-04-98 "}</definedName>
    <definedName name="lkasdkeo" localSheetId="1" hidden="1">{#N/A,#N/A,FALSE,"Plan1";#N/A,#N/A,FALSE,"Plan2"}</definedName>
    <definedName name="lkdeas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lkdzxfsdrf" localSheetId="1" hidden="1">{#N/A,#N/A,FALSE,"Plan1";#N/A,#N/A,FALSE,"Plan2"}</definedName>
    <definedName name="lkfdkçtktr" localSheetId="1" hidden="1">{#N/A,#N/A,FALSE,"Plan1";#N/A,#N/A,FALSE,"Plan2"}</definedName>
    <definedName name="LKSSDKÇ\E" localSheetId="1" hidden="1">{#N/A,#N/A,FALSE,"Plan1";#N/A,#N/A,FALSE,"Plan2"}</definedName>
    <definedName name="lkt" localSheetId="1" hidden="1">{#N/A,#N/A,FALSE,"Plan1";#N/A,#N/A,FALSE,"Plan2"}</definedName>
    <definedName name="lktlyklt" localSheetId="1" hidden="1">{#N/A,#N/A,FALSE,"Plan1";#N/A,#N/A,FALSE,"Plan2"}</definedName>
    <definedName name="LKTTYT" localSheetId="1" hidden="1">{#N/A,#N/A,FALSE,"Plan1";#N/A,#N/A,FALSE,"Plan2"}</definedName>
    <definedName name="llgg" localSheetId="1" hidden="1">{#N/A,#N/A,FALSE,"Plan1";#N/A,#N/A,FALSE,"Plan2"}</definedName>
    <definedName name="LLL" localSheetId="1" hidden="1">{#N/A,#N/A,FALSE,"Plan1";#N/A,#N/A,FALSE,"Plan2"}</definedName>
    <definedName name="LM_AR" localSheetId="1" hidden="1">{#N/A,#N/A,FALSE,"F-01"}</definedName>
    <definedName name="LM_AT" localSheetId="1" hidden="1">{#N/A,#N/A,FALSE,"F-01"}</definedName>
    <definedName name="LM_INC" localSheetId="1" hidden="1">{#N/A,#N/A,FALSE,"F-01"}</definedName>
    <definedName name="LMPASD"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LO"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LS" localSheetId="1">#REF!</definedName>
    <definedName name="LSDFKLDKFTR" localSheetId="1" hidden="1">{#N/A,#N/A,FALSE,"Plan1";#N/A,#N/A,FALSE,"Plan2"}</definedName>
    <definedName name="lsdjse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lsdkljfkg" localSheetId="1" hidden="1">{#N/A,#N/A,FALSE,"Plan1";#N/A,#N/A,FALSE,"Plan2"}</definedName>
    <definedName name="lsdsder" localSheetId="1" hidden="1">{#N/A,#N/A,FALSE,"Plan1";#N/A,#N/A,FALSE,"Plan2"}</definedName>
    <definedName name="ltj6ljyhdjhngças" localSheetId="1" hidden="1">{#N/A,#N/A,FALSE,"Plan1";#N/A,#N/A,FALSE,"Plan2"}</definedName>
    <definedName name="m"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MAISAP" localSheetId="1" hidden="1">{#N/A,#N/A,FALSE,"Plan1";#N/A,#N/A,FALSE,"Plan2"}</definedName>
    <definedName name="MANTO" localSheetId="1" hidden="1">{#N/A,#N/A,FALSE,"GERAL";#N/A,#N/A,FALSE,"012-96";#N/A,#N/A,FALSE,"018-96";#N/A,#N/A,FALSE,"027-96";#N/A,#N/A,FALSE,"059-96";#N/A,#N/A,FALSE,"076-96";#N/A,#N/A,FALSE,"019-97";#N/A,#N/A,FALSE,"021-97";#N/A,#N/A,FALSE,"022-97";#N/A,#N/A,FALSE,"028-97"}</definedName>
    <definedName name="MASTER" localSheetId="1" hidden="1">{#N/A,#N/A,FALSE,"GERAL";#N/A,#N/A,FALSE,"012-96";#N/A,#N/A,FALSE,"018-96";#N/A,#N/A,FALSE,"027-96";#N/A,#N/A,FALSE,"059-96";#N/A,#N/A,FALSE,"076-96";#N/A,#N/A,FALSE,"019-97";#N/A,#N/A,FALSE,"021-97";#N/A,#N/A,FALSE,"022-97";#N/A,#N/A,FALSE,"028-97"}</definedName>
    <definedName name="mattubcust" localSheetId="1" hidden="1">{#N/A,#N/A,FALSE,"GERAL";#N/A,#N/A,FALSE,"012-96";#N/A,#N/A,FALSE,"018-96";#N/A,#N/A,FALSE,"027-96";#N/A,#N/A,FALSE,"059-96";#N/A,#N/A,FALSE,"076-96";#N/A,#N/A,FALSE,"019-97";#N/A,#N/A,FALSE,"021-97";#N/A,#N/A,FALSE,"022-97";#N/A,#N/A,FALSE,"028-97"}</definedName>
    <definedName name="MAURILIO" localSheetId="1" hidden="1">{#N/A,#N/A,FALSE,"Plan1";#N/A,#N/A,FALSE,"Plan2"}</definedName>
    <definedName name="MC" localSheetId="1" hidden="1">{#N/A,#N/A,FALSE,"GERAL";#N/A,#N/A,FALSE,"012-96";#N/A,#N/A,FALSE,"018-96";#N/A,#N/A,FALSE,"027-96";#N/A,#N/A,FALSE,"059-96";#N/A,#N/A,FALSE,"076-96";#N/A,#N/A,FALSE,"019-97";#N/A,#N/A,FALSE,"021-97";#N/A,#N/A,FALSE,"022-97";#N/A,#N/A,FALSE,"028-97"}</definedName>
    <definedName name="MCM" localSheetId="1" hidden="1">{#N/A,#N/A,FALSE,"GERAL";#N/A,#N/A,FALSE,"012-96";#N/A,#N/A,FALSE,"018-96";#N/A,#N/A,FALSE,"027-96";#N/A,#N/A,FALSE,"059-96";#N/A,#N/A,FALSE,"076-96";#N/A,#N/A,FALSE,"019-97";#N/A,#N/A,FALSE,"021-97";#N/A,#N/A,FALSE,"022-97";#N/A,#N/A,FALSE,"028-97"}</definedName>
    <definedName name="mdfgtr" localSheetId="1" hidden="1">{#N/A,#N/A,FALSE,"Plan1";#N/A,#N/A,FALSE,"Plan2"}</definedName>
    <definedName name="MDSÇLFJKJSD" localSheetId="1" hidden="1">{#N/A,#N/A,FALSE,"Plan1";#N/A,#N/A,FALSE,"Plan2"}</definedName>
    <definedName name="ME" localSheetId="1" hidden="1">{"HW",#N/A,FALSE,"1998"}</definedName>
    <definedName name="MESTRE" localSheetId="1" hidden="1">{#N/A,#N/A,FALSE,"GERAL";#N/A,#N/A,FALSE,"012-96";#N/A,#N/A,FALSE,"018-96";#N/A,#N/A,FALSE,"027-96";#N/A,#N/A,FALSE,"059-96";#N/A,#N/A,FALSE,"076-96";#N/A,#N/A,FALSE,"019-97";#N/A,#N/A,FALSE,"021-97";#N/A,#N/A,FALSE,"022-97";#N/A,#N/A,FALSE,"028-97"}</definedName>
    <definedName name="MLMÇLKJKI" localSheetId="1" hidden="1">{#N/A,#N/A,FALSE,"Plan1";#N/A,#N/A,FALSE,"Plan2"}</definedName>
    <definedName name="MM"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mmmmm" localSheetId="1" hidden="1">{"tabela",#N/A,FALSE,"Tabela";"decoração",#N/A,FALSE,"Decor.";"Informações",#N/A,FALSE,"Inform."}</definedName>
    <definedName name="mmmmmmm" localSheetId="1" hidden="1">{#N/A,#N/A,FALSE,"QD_F1 Invest Detalhado";#N/A,#N/A,FALSE,"QD_F3 Invest_Comparado";#N/A,#N/A,FALSE,"QD_B Trafego";#N/A,#N/A,FALSE,"QD_D0 Custos Operacionais";#N/A,#N/A,FALSE,"QD_C Receita";#N/A,#N/A,FALSE,"QD_D Custos";#N/A,#N/A,FALSE,"QD_E Resultado";#N/A,#N/A,FALSE,"QD_G Fluxo Caixa"}</definedName>
    <definedName name="MNBXFKGS" localSheetId="1" hidden="1">{#N/A,#N/A,FALSE,"Plan1";#N/A,#N/A,FALSE,"Plan2"}</definedName>
    <definedName name="mncvbgcvmc" localSheetId="1" hidden="1">{#N/A,#N/A,FALSE,"Plan1";#N/A,#N/A,FALSE,"Plan2"}</definedName>
    <definedName name="MNDKZSFNCEA" localSheetId="1" hidden="1">{#N/A,#N/A,FALSE,"Plan1";#N/A,#N/A,FALSE,"Plan2"}</definedName>
    <definedName name="mnhdshfgfhd" localSheetId="1" hidden="1">{#N/A,#N/A,FALSE,"Plan1";#N/A,#N/A,FALSE,"Plan2"}</definedName>
    <definedName name="mobra" localSheetId="1" hidden="1">{#N/A,#N/A,FALSE,"GERAL";#N/A,#N/A,FALSE,"012-96";#N/A,#N/A,FALSE,"018-96";#N/A,#N/A,FALSE,"027-96";#N/A,#N/A,FALSE,"059-96";#N/A,#N/A,FALSE,"076-96";#N/A,#N/A,FALSE,"019-97";#N/A,#N/A,FALSE,"021-97";#N/A,#N/A,FALSE,"022-97";#N/A,#N/A,FALSE,"028-97"}</definedName>
    <definedName name="Modelo1" localSheetId="1" hidden="1">{#N/A,#N/A,FALSE,"cdi";#N/A,#N/A,FALSE,"debent";#N/A,#N/A,FALSE,"fdos";#N/A,#N/A,FALSE,"resumo"}</definedName>
    <definedName name="Modelo1a" localSheetId="1" hidden="1">{#N/A,#N/A,FALSE,"cdi";#N/A,#N/A,FALSE,"debent";#N/A,#N/A,FALSE,"fdos";#N/A,#N/A,FALSE,"resumo"}</definedName>
    <definedName name="Modelo2" localSheetId="1" hidden="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MP" localSheetId="1" hidden="1">{#N/A,#N/A,FALSE,"CCTV"}</definedName>
    <definedName name="MSDRFSWER" localSheetId="1" hidden="1">{"Econ Consolidado",#N/A,FALSE,"Econ Consol";"Fluxo de Caixa",#N/A,FALSE,"Fluxo Caixa";"Investimentos",#N/A,FALSE,"Investimentos"}</definedName>
    <definedName name="mzshdjshjs" localSheetId="1" hidden="1">{#N/A,#N/A,FALSE,"Plan1";#N/A,#N/A,FALSE,"Plan2"}</definedName>
    <definedName name="na" localSheetId="1" hidden="1">{#N/A,#N/A,FALSE,"$170M Cash";#N/A,#N/A,FALSE,"$250M Cash";#N/A,#N/A,FALSE,"$325M Cash"}</definedName>
    <definedName name="ncdgrdhrtg" localSheetId="1" hidden="1">{#N/A,#N/A,FALSE,"Plan1";#N/A,#N/A,FALSE,"Plan2"}</definedName>
    <definedName name="nchngdfhgdh" localSheetId="1" hidden="1">{#N/A,#N/A,FALSE,"Plan1";#N/A,#N/A,FALSE,"Plan2"}</definedName>
    <definedName name="NCJFKNGJHF" localSheetId="1" hidden="1">{#N/A,#N/A,FALSE,"Plan1";#N/A,#N/A,FALSE,"Plan2"}</definedName>
    <definedName name="ndcxhgdhf" localSheetId="1" hidden="1">{#N/A,#N/A,FALSE,"Plan1";#N/A,#N/A,FALSE,"Plan2"}</definedName>
    <definedName name="ndfjnjkrhdgt" localSheetId="1" hidden="1">{#N/A,#N/A,FALSE,"Plan1";#N/A,#N/A,FALSE,"Plan2"}</definedName>
    <definedName name="ndfkghkjthfyst" localSheetId="1" hidden="1">{#N/A,#N/A,FALSE,"Plan1";#N/A,#N/A,FALSE,"Plan2"}</definedName>
    <definedName name="NDJGKFKGHUFG" localSheetId="1" hidden="1">{#N/A,#N/A,FALSE,"Plan1";#N/A,#N/A,FALSE,"Plan2"}</definedName>
    <definedName name="ndrjkt" localSheetId="1" hidden="1">{#N/A,#N/A,FALSE,"Plan1";#N/A,#N/A,FALSE,"Plan2"}</definedName>
    <definedName name="new" localSheetId="1" hidden="1">{#N/A,#N/A,FALSE,"Global by BU";#N/A,#N/A,FALSE,"U.S. by BU";#N/A,#N/A,FALSE,"Canada by BU";#N/A,#N/A,FALSE,"Europe by BU";#N/A,#N/A,FALSE,"Asia by BU";#N/A,#N/A,FALSE,"Cala by BU"}</definedName>
    <definedName name="NEWNAME" localSheetId="1" hidden="1">{#N/A,#N/A,FALSE,"CCTV"}</definedName>
    <definedName name="nfgjkhvhfghn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nfkhdjkthde" localSheetId="1" hidden="1">{#N/A,#N/A,FALSE,"Plan1";#N/A,#N/A,FALSE,"Plan2"}</definedName>
    <definedName name="nhj"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NHJHFDSHF" localSheetId="1" hidden="1">{#N/A,#N/A,FALSE,"Plan1";#N/A,#N/A,FALSE,"Plan2"}</definedName>
    <definedName name="NJSDFHERTG" localSheetId="1" hidden="1">{#N/A,#N/A,FALSE,"Plan1";#N/A,#N/A,FALSE,"Plan2"}</definedName>
    <definedName name="nkfnsskdn" localSheetId="1" hidden="1">{#N/A,#N/A,FALSE,"Plan1";#N/A,#N/A,FALSE,"Plan2"}</definedName>
    <definedName name="NKJL"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nlaksjdwe" localSheetId="1" hidden="1">{#N/A,#N/A,FALSE,"Plan1";#N/A,#N/A,FALSE,"Plan2"}</definedName>
    <definedName name="nljsdfljfdsfr" localSheetId="1" hidden="1">{#N/A,#N/A,FALSE,"Plan1";#N/A,#N/A,FALSE,"Plan2"}</definedName>
    <definedName name="nmjdfhxj" localSheetId="1" hidden="1">{#N/A,#N/A,FALSE,"Plan1";#N/A,#N/A,FALSE,"Plan2"}</definedName>
    <definedName name="nnmn" localSheetId="1" hidden="1">{#N/A,#N/A,FALSE,"Plan1";#N/A,#N/A,FALSE,"Plan2"}</definedName>
    <definedName name="nnn" localSheetId="1" hidden="1">{#N/A,#N/A,FALSE,"$170M Cash";#N/A,#N/A,FALSE,"$250M Cash";#N/A,#N/A,FALSE,"$325M Cash"}</definedName>
    <definedName name="nnnnnnnnnnn" localSheetId="1" hidden="1">{"HW",#N/A,FALSE,"1998"}</definedName>
    <definedName name="NNNNNNNNNNNNNNN" localSheetId="1" hidden="1">{#N/A,#N/A,FALSE,"Plan1";#N/A,#N/A,FALSE,"Plan2"}</definedName>
    <definedName name="nnnnnnnnnnnnnnnnnnnn" localSheetId="1" hidden="1">{#N/A,#N/A,FALSE,"Plan1";#N/A,#N/A,FALSE,"Plan2"}</definedName>
    <definedName name="NNXFT" localSheetId="1" hidden="1">{#N/A,#N/A,FALSE,"Plan1";#N/A,#N/A,FALSE,"Plan2"}</definedName>
    <definedName name="nsdkfndgfdnatf" localSheetId="1" hidden="1">{#N/A,#N/A,FALSE,"Plan1";#N/A,#N/A,FALSE,"Plan2"}</definedName>
    <definedName name="nsfljdiljrf" localSheetId="1" hidden="1">{#N/A,#N/A,FALSE,"Plan1";#N/A,#N/A,FALSE,"Plan2"}</definedName>
    <definedName name="nzxcnnjkd" localSheetId="1" hidden="1">{#N/A,#N/A,FALSE,"Plan1";#N/A,#N/A,FALSE,"Plan2"}</definedName>
    <definedName name="odfuudor" localSheetId="1" hidden="1">{#N/A,#N/A,FALSE,"Plan1";#N/A,#N/A,FALSE,"Plan2"}</definedName>
    <definedName name="oiditrot" localSheetId="1" hidden="1">{#N/A,#N/A,FALSE,"Plan1";#N/A,#N/A,FALSE,"Plan2"}</definedName>
    <definedName name="oio" localSheetId="1" hidden="1">{#N/A,#N/A,FALSE,"Plan1";#N/A,#N/A,FALSE,"Plan2"}</definedName>
    <definedName name="OJÇLJ" localSheetId="1" hidden="1">{#N/A,#N/A,FALSE,"Plan1";#N/A,#N/A,FALSE,"Plan2"}</definedName>
    <definedName name="ojkdfit" localSheetId="1" hidden="1">{#N/A,#N/A,FALSE,"Plan1";#N/A,#N/A,FALSE,"Plan2"}</definedName>
    <definedName name="ooo" localSheetId="1" hidden="1">{#N/A,#N/A,FALSE,"Plan1";#N/A,#N/A,FALSE,"Plan2"}</definedName>
    <definedName name="OPASEDWED" localSheetId="1" hidden="1">{"Econ Consolidado",#N/A,FALSE,"Econ Consol";"Fluxo de Caixa",#N/A,FALSE,"Fluxo Caixa";"Investimentos",#N/A,FALSE,"Investimentos"}</definedName>
    <definedName name="opiwre" localSheetId="1" hidden="1">{#N/A,#N/A,FALSE,"Plan1";#N/A,#N/A,FALSE,"Plan2"}</definedName>
    <definedName name="os" localSheetId="1" hidden="1">{#N/A,#N/A,FALSE,"TABLE"}</definedName>
    <definedName name="otodgkrjglsrd" localSheetId="1" hidden="1">{#N/A,#N/A,FALSE,"Plan1";#N/A,#N/A,FALSE,"Plan2"}</definedName>
    <definedName name="OUERWRSR" localSheetId="1" hidden="1">{#N/A,#N/A,FALSE,"Plan1";#N/A,#N/A,FALSE,"Plan2"}</definedName>
    <definedName name="overhaul"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agamento_Num" localSheetId="1">ROW()-Linha_Cabeçalho</definedName>
    <definedName name="Pendencias" localSheetId="1" hidden="1">{#N/A,#N/A,FALSE,"GERAL";#N/A,#N/A,FALSE,"012-96";#N/A,#N/A,FALSE,"018-96";#N/A,#N/A,FALSE,"027-96";#N/A,#N/A,FALSE,"059-96";#N/A,#N/A,FALSE,"076-96";#N/A,#N/A,FALSE,"019-97";#N/A,#N/A,FALSE,"021-97";#N/A,#N/A,FALSE,"022-97";#N/A,#N/A,FALSE,"028-97"}</definedName>
    <definedName name="pendencias2" localSheetId="1" hidden="1">{#N/A,#N/A,FALSE,"GERAL";#N/A,#N/A,FALSE,"012-96";#N/A,#N/A,FALSE,"018-96";#N/A,#N/A,FALSE,"027-96";#N/A,#N/A,FALSE,"059-96";#N/A,#N/A,FALSE,"076-96";#N/A,#N/A,FALSE,"019-97";#N/A,#N/A,FALSE,"021-97";#N/A,#N/A,FALSE,"022-97";#N/A,#N/A,FALSE,"028-97"}</definedName>
    <definedName name="pendencias3" localSheetId="1" hidden="1">{#N/A,#N/A,FALSE,"GERAL";#N/A,#N/A,FALSE,"012-96";#N/A,#N/A,FALSE,"018-96";#N/A,#N/A,FALSE,"027-96";#N/A,#N/A,FALSE,"059-96";#N/A,#N/A,FALSE,"076-96";#N/A,#N/A,FALSE,"019-97";#N/A,#N/A,FALSE,"021-97";#N/A,#N/A,FALSE,"022-97";#N/A,#N/A,FALSE,"028-97"}</definedName>
    <definedName name="piaz"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Pintura" localSheetId="1">#REF!</definedName>
    <definedName name="PLACAS" localSheetId="1" hidden="1">{#N/A,#N/A,TRUE,"Quinzena 01 à 15-04-98 "}</definedName>
    <definedName name="Placas_Areas" localSheetId="1" hidden="1">{#N/A,#N/A,TRUE,"Quinzena 01 à 15-04-98 "}</definedName>
    <definedName name="plan2"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plasçdeaw" localSheetId="1" hidden="1">{#N/A,#N/A,FALSE,"Plan1";#N/A,#N/A,FALSE,"Plan2"}</definedName>
    <definedName name="plaslrswe" localSheetId="1" hidden="1">{#N/A,#N/A,FALSE,"Plan1";#N/A,#N/A,FALSE,"Plan2"}</definedName>
    <definedName name="plsearpef" localSheetId="1" hidden="1">{#N/A,#N/A,FALSE,"Plan1";#N/A,#N/A,FALSE,"Plan2"}</definedName>
    <definedName name="plss" localSheetId="1" hidden="1">{#N/A,#N/A,FALSE,"Plan1";#N/A,#N/A,FALSE,"Plan2"}</definedName>
    <definedName name="PN2건축"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reço" localSheetId="1">ROW()-Linha_Cabeçalho</definedName>
    <definedName name="print" localSheetId="1" hidden="1">{#N/A,#N/A,FALSE,"$170M Cash";#N/A,#N/A,FALSE,"$250M Cash";#N/A,#N/A,FALSE,"$325M Cash"}</definedName>
    <definedName name="ptirigyiotut" localSheetId="1" hidden="1">{#N/A,#N/A,FALSE,"Plan1";#N/A,#N/A,FALSE,"Plan2"}</definedName>
    <definedName name="PWER3" localSheetId="1" hidden="1">{#N/A,#N/A,FALSE,"Plan1";#N/A,#N/A,FALSE,"Plan2"}</definedName>
    <definedName name="qkqh1" localSheetId="1" hidden="1">{#N/A,#N/A,FALSE,"명세표"}</definedName>
    <definedName name="QQ"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QSQWSE" localSheetId="1" hidden="1">{#N/A,#N/A,FALSE,"Plan1";#N/A,#N/A,FALSE,"Plan2"}</definedName>
    <definedName name="qwdqw" localSheetId="1" hidden="1">{#N/A,#N/A,FALSE,"Plan1";#N/A,#N/A,FALSE,"Plan2"}</definedName>
    <definedName name="qweqwe" localSheetId="1" hidden="1">{#N/A,#N/A,FALSE,"Plan1";#N/A,#N/A,FALSE,"Plan2"}</definedName>
    <definedName name="qweqwe4"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RADIO" localSheetId="1" hidden="1">{"HW",#N/A,FALSE,"1998"}</definedName>
    <definedName name="RE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resum" localSheetId="1" hidden="1">{"'Ethernet Hubs'!$A$1:$F$14","'Licences'!$A$1:$F$16","'Ports and Converters'!$A$1:$F$46","'Standard Routers'!$A$1:$F$28","'Ports and Converters'!$A$1:$G$46","'Router Chassis'!$A$1:$F$21","'Cables and Connectors'!$A$1:$F$41","'Support, Training and Docs'!$A$1:$F$6","'Management'!$A$1:$F$8"}</definedName>
    <definedName name="RESUMO2" localSheetId="1" hidden="1">{#N/A,#N/A,TRUE,"Quinzena 01 à 15-04-98 "}</definedName>
    <definedName name="RF" localSheetId="1" hidden="1">{#N/A,#N/A,FALSE,"CCTV"}</definedName>
    <definedName name="rgedrfrgfdg" localSheetId="1" hidden="1">{#N/A,#N/A,FALSE,"Plan1";#N/A,#N/A,FALSE,"Plan2"}</definedName>
    <definedName name="rhdrmq"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rrrr" localSheetId="1" hidden="1">{"'장비'!$A$3:$M$12"}</definedName>
    <definedName name="rrrrrrrr" localSheetId="1" hidden="1">{"'장비'!$A$3:$M$12"}</definedName>
    <definedName name="rrrrrrrrrrr" localSheetId="1" hidden="1">{#N/A,#N/A,TRUE,"Quinzena 01 à 15-04-98 "}</definedName>
    <definedName name="RTYE" localSheetId="1" hidden="1">{"'장비'!$A$3:$M$12"}</definedName>
    <definedName name="sa"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aa" localSheetId="1" hidden="1">{#N/A,#N/A,FALSE,"GERAL";#N/A,#N/A,FALSE,"012-96";#N/A,#N/A,FALSE,"018-96";#N/A,#N/A,FALSE,"027-96";#N/A,#N/A,FALSE,"059-96";#N/A,#N/A,FALSE,"076-96";#N/A,#N/A,FALSE,"019-97";#N/A,#N/A,FALSE,"021-97";#N/A,#N/A,FALSE,"022-97";#N/A,#N/A,FALSE,"028-97"}</definedName>
    <definedName name="sad"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adasd" localSheetId="1" hidden="1">{#N/A,#N/A,FALSE,"Plan1";#N/A,#N/A,FALSE,"Plan2"}</definedName>
    <definedName name="sadked"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adkrjkedft" localSheetId="1" hidden="1">{#N/A,#N/A,FALSE,"Plan1";#N/A,#N/A,FALSE,"Plan2"}</definedName>
    <definedName name="SADSRTR" localSheetId="1" hidden="1">{#N/A,#N/A,FALSE,"Plan1";#N/A,#N/A,FALSE,"Plan2"}</definedName>
    <definedName name="sadwde" localSheetId="1" hidden="1">{#N/A,#N/A,FALSE,"Plan1";#N/A,#N/A,FALSE,"Plan2"}</definedName>
    <definedName name="sanjay" localSheetId="1" hidden="1">{#N/A,#N/A,FALSE,"TABLE"}</definedName>
    <definedName name="SAS" localSheetId="1" hidden="1">{#N/A,#N/A,FALSE,"Plan1";#N/A,#N/A,FALSE,"Plan2"}</definedName>
    <definedName name="sasads" localSheetId="1" hidden="1">{#N/A,#N/A,FALSE,"Plan1";#N/A,#N/A,FALSE,"Plan2"}</definedName>
    <definedName name="sdae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DAOTGFR" localSheetId="1" hidden="1">{#N/A,#N/A,FALSE,"Plan1";#N/A,#N/A,FALSE,"Plan2"}</definedName>
    <definedName name="sdckd" localSheetId="1" hidden="1">{#N/A,#N/A,FALSE,"Plan1";#N/A,#N/A,FALSE,"Plan2"}</definedName>
    <definedName name="SDDFKSEDE" localSheetId="1" hidden="1">{#N/A,#N/A,FALSE,"Plan1";#N/A,#N/A,FALSE,"Plan2"}</definedName>
    <definedName name="sddkslker" localSheetId="1" hidden="1">{#N/A,#N/A,FALSE,"Plan1";#N/A,#N/A,FALSE,"Plan2"}</definedName>
    <definedName name="sdefr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derj"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dfd"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dfdds" localSheetId="1" hidden="1">{#N/A,#N/A,FALSE,"Plan1";#N/A,#N/A,FALSE,"Plan2"}</definedName>
    <definedName name="sdfdfc" localSheetId="1" hidden="1">{#N/A,#N/A,FALSE,"Plan1";#N/A,#N/A,FALSE,"Plan2"}</definedName>
    <definedName name="sdfdf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dfdgft" localSheetId="1" hidden="1">{#N/A,#N/A,FALSE,"Plan1";#N/A,#N/A,FALSE,"Plan2"}</definedName>
    <definedName name="sdfdsf" localSheetId="1" hidden="1">{#N/A,#N/A,FALSE,"Plan1";#N/A,#N/A,FALSE,"Plan2"}</definedName>
    <definedName name="sdfdsf\da" localSheetId="1" hidden="1">{#N/A,#N/A,FALSE,"Plan1";#N/A,#N/A,FALSE,"Plan2"}</definedName>
    <definedName name="SDFEDRT" localSheetId="1" hidden="1">{#N/A,#N/A,FALSE,"Plan1";#N/A,#N/A,FALSE,"Plan2"}</definedName>
    <definedName name="sdfer" localSheetId="1" hidden="1">{#N/A,#N/A,FALSE,"Plan1";#N/A,#N/A,FALSE,"Plan2"}</definedName>
    <definedName name="sdferr" localSheetId="1" hidden="1">{#N/A,#N/A,FALSE,"Plan1";#N/A,#N/A,FALSE,"Plan2"}</definedName>
    <definedName name="sdfe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DFGJFSRF" localSheetId="1" hidden="1">{#N/A,#N/A,FALSE,"Plan1";#N/A,#N/A,FALSE,"Plan2"}</definedName>
    <definedName name="sdfgtr" localSheetId="1" hidden="1">{#N/A,#N/A,FALSE,"Plan1";#N/A,#N/A,FALSE,"Plan2"}</definedName>
    <definedName name="sdfjdetrt" localSheetId="1" hidden="1">{#N/A,#N/A,FALSE,"Plan1";#N/A,#N/A,FALSE,"Plan2"}</definedName>
    <definedName name="SDFJDRTJEIDR" localSheetId="1" hidden="1">{#N/A,#N/A,FALSE,"Plan1";#N/A,#N/A,FALSE,"Plan2"}</definedName>
    <definedName name="sdfjergtij" localSheetId="1" hidden="1">{#N/A,#N/A,FALSE,"Plan1";#N/A,#N/A,FALSE,"Plan2"}</definedName>
    <definedName name="SDFOPJKWE" localSheetId="1" hidden="1">{#N/A,#N/A,FALSE,"Plan1";#N/A,#N/A,FALSE,"Plan2"}</definedName>
    <definedName name="sdfrdt5"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dfrt" localSheetId="1" hidden="1">{#N/A,#N/A,FALSE,"Plan1";#N/A,#N/A,FALSE,"Plan2"}</definedName>
    <definedName name="SDFRTKK" localSheetId="1" hidden="1">{#N/A,#N/A,FALSE,"Plan1";#N/A,#N/A,FALSE,"Plan2"}</definedName>
    <definedName name="SDFRTR" localSheetId="1" hidden="1">{#N/A,#N/A,FALSE,"Plan1";#N/A,#N/A,FALSE,"Plan2"}</definedName>
    <definedName name="sdfry6" localSheetId="1" hidden="1">{#N/A,#N/A,FALSE,"Plan1";#N/A,#N/A,FALSE,"Plan2"}</definedName>
    <definedName name="sdfsaf" localSheetId="1" hidden="1">{#N/A,#N/A,FALSE,"Plan1";#N/A,#N/A,FALSE,"Plan2"}</definedName>
    <definedName name="sdfsd" localSheetId="1" hidden="1">{"'Estimativa de Lançamento-JAN'!$A$1:$AI$85"}</definedName>
    <definedName name="sdfsdfg" localSheetId="1" hidden="1">{#N/A,#N/A,FALSE,"Plan1";#N/A,#N/A,FALSE,"Plan2"}</definedName>
    <definedName name="SDFSDFK" localSheetId="1" hidden="1">{#N/A,#N/A,FALSE,"Plan1";#N/A,#N/A,FALSE,"Plan2"}</definedName>
    <definedName name="sdfsdgftret" localSheetId="1" hidden="1">{#N/A,#N/A,FALSE,"Plan1";#N/A,#N/A,FALSE,"Plan2"}</definedName>
    <definedName name="SDFSF" localSheetId="1" hidden="1">{#N/A,#N/A,FALSE,"GERAL";#N/A,#N/A,FALSE,"012-96";#N/A,#N/A,FALSE,"018-96";#N/A,#N/A,FALSE,"027-96";#N/A,#N/A,FALSE,"059-96";#N/A,#N/A,FALSE,"076-96";#N/A,#N/A,FALSE,"019-97";#N/A,#N/A,FALSE,"021-97";#N/A,#N/A,FALSE,"022-97";#N/A,#N/A,FALSE,"028-97"}</definedName>
    <definedName name="SDFSFRT" localSheetId="1" hidden="1">{"Econ Consolidado",#N/A,FALSE,"Econ Consol";"Fluxo de Caixa",#N/A,FALSE,"Fluxo Caixa";"Investimentos",#N/A,FALSE,"Investimentos"}</definedName>
    <definedName name="sdfsr" localSheetId="1" hidden="1">{#N/A,#N/A,FALSE,"Plan1";#N/A,#N/A,FALSE,"Plan2"}</definedName>
    <definedName name="sdfty" localSheetId="1" hidden="1">{#N/A,#N/A,FALSE,"Plan1";#N/A,#N/A,FALSE,"Plan2"}</definedName>
    <definedName name="sdgdf" localSheetId="1" hidden="1">{#N/A,#N/A,FALSE,"Plan1";#N/A,#N/A,FALSE,"Plan2"}</definedName>
    <definedName name="sdgfrt" localSheetId="1" hidden="1">{#N/A,#N/A,FALSE,"Plan1";#N/A,#N/A,FALSE,"Plan2"}</definedName>
    <definedName name="sdgft" localSheetId="1" hidden="1">{#N/A,#N/A,FALSE,"Plan1";#N/A,#N/A,FALSE,"Plan2"}</definedName>
    <definedName name="sdgt" localSheetId="1" hidden="1">{#N/A,#N/A,FALSE,"Plan1";#N/A,#N/A,FALSE,"Plan2"}</definedName>
    <definedName name="sdhfghdsfg" localSheetId="1" hidden="1">{#N/A,#N/A,FALSE,"Plan1";#N/A,#N/A,FALSE,"Plan2"}</definedName>
    <definedName name="SDHFJKHDFJRE" localSheetId="1" hidden="1">{#N/A,#N/A,FALSE,"Plan1";#N/A,#N/A,FALSE,"Plan2"}</definedName>
    <definedName name="SDHKFDRKGTR" localSheetId="1" hidden="1">{#N/A,#N/A,FALSE,"Plan1";#N/A,#N/A,FALSE,"Plan2"}</definedName>
    <definedName name="sdjdswger" localSheetId="1" hidden="1">{#N/A,#N/A,FALSE,"Plan1";#N/A,#N/A,FALSE,"Plan2"}</definedName>
    <definedName name="sdjfdf" localSheetId="1" hidden="1">{#N/A,#N/A,FALSE,"Plan1";#N/A,#N/A,FALSE,"Plan2"}</definedName>
    <definedName name="sdjfhdjk" localSheetId="1" hidden="1">{#N/A,#N/A,FALSE,"Plan1";#N/A,#N/A,FALSE,"Plan2"}</definedName>
    <definedName name="SDJFJDER" localSheetId="1" hidden="1">{#N/A,#N/A,FALSE,"Plan1";#N/A,#N/A,FALSE,"Plan2"}</definedName>
    <definedName name="sdjflsdjfl" localSheetId="1" hidden="1">{#N/A,#N/A,FALSE,"Plan1";#N/A,#N/A,FALSE,"Plan2"}</definedName>
    <definedName name="SDJHF" localSheetId="1" hidden="1">{#N/A,#N/A,FALSE,"Plan1";#N/A,#N/A,FALSE,"Plan2"}</definedName>
    <definedName name="sdjrderertrr" localSheetId="1" hidden="1">{#N/A,#N/A,FALSE,"Plan1";#N/A,#N/A,FALSE,"Plan2"}</definedName>
    <definedName name="sdkdjk" localSheetId="1" hidden="1">{#N/A,#N/A,FALSE,"Plan1";#N/A,#N/A,FALSE,"Plan2"}</definedName>
    <definedName name="sdkfjhkdgfhk"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dkfnjd" localSheetId="1" hidden="1">{#N/A,#N/A,FALSE,"Plan1";#N/A,#N/A,FALSE,"Plan2"}</definedName>
    <definedName name="sdkk" localSheetId="1" hidden="1">{#N/A,#N/A,FALSE,"Plan1";#N/A,#N/A,FALSE,"Plan2"}</definedName>
    <definedName name="sdlfsdflj" localSheetId="1" hidden="1">{#N/A,#N/A,FALSE,"Plan1";#N/A,#N/A,FALSE,"Plan2"}</definedName>
    <definedName name="sdmfmdfsgfd" localSheetId="1" hidden="1">{#N/A,#N/A,FALSE,"Plan1";#N/A,#N/A,FALSE,"Plan2"}</definedName>
    <definedName name="sd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drfgt" localSheetId="1" hidden="1">{#N/A,#N/A,FALSE,"Plan1";#N/A,#N/A,FALSE,"Plan2"}</definedName>
    <definedName name="sdsd" localSheetId="1" hidden="1">{#N/A,#N/A,FALSE,"Plan1";#N/A,#N/A,FALSE,"Plan2"}</definedName>
    <definedName name="sdser" localSheetId="1" hidden="1">{#N/A,#N/A,FALSE,"Plan1";#N/A,#N/A,FALSE,"Plan2"}</definedName>
    <definedName name="sdsre" localSheetId="1" hidden="1">{#N/A,#N/A,FALSE,"Plan1";#N/A,#N/A,FALSE,"Plan2"}</definedName>
    <definedName name="sdss" localSheetId="1" hidden="1">{#N/A,#N/A,FALSE,"Plan1";#N/A,#N/A,FALSE,"Plan2"}</definedName>
    <definedName name="sdusi"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DWER" localSheetId="1" hidden="1">{"Econ Consolidado",#N/A,FALSE,"Econ Consol";"Fluxo de Caixa",#N/A,FALSE,"Fluxo Caixa";"Investimentos",#N/A,FALSE,"Investimentos"}</definedName>
    <definedName name="sdxfrt" localSheetId="1" hidden="1">{#N/A,#N/A,FALSE,"Plan1";#N/A,#N/A,FALSE,"Plan2"}</definedName>
    <definedName name="SDZFERF" localSheetId="1" hidden="1">{#N/A,#N/A,FALSE,"Plan1";#N/A,#N/A,FALSE,"Plan2"}</definedName>
    <definedName name="sefret4r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egftru" localSheetId="1" hidden="1">{#N/A,#N/A,FALSE,"Plan1";#N/A,#N/A,FALSE,"Plan2"}</definedName>
    <definedName name="sencount" localSheetId="1" hidden="1">1</definedName>
    <definedName name="SEREWRSWE" localSheetId="1" hidden="1">{"tabela",#N/A,FALSE,"Tabela";"decoração",#N/A,FALSE,"Decor.";"Informações",#N/A,FALSE,"Inform."}</definedName>
    <definedName name="sf" localSheetId="1" hidden="1">{#N/A,#N/A,FALSE,"Plan1";#N/A,#N/A,FALSE,"Plan2"}</definedName>
    <definedName name="sfcrer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fddfd" localSheetId="1" hidden="1">{#N/A,#N/A,FALSE,"Plan1";#N/A,#N/A,FALSE,"Plan2"}</definedName>
    <definedName name="sfds" localSheetId="1" hidden="1">{#N/A,#N/A,FALSE,"Plan1";#N/A,#N/A,FALSE,"Plan2"}</definedName>
    <definedName name="sfdsd" localSheetId="1" hidden="1">{#N/A,#N/A,FALSE,"Plan1";#N/A,#N/A,FALSE,"Plan2"}</definedName>
    <definedName name="sfrsdrgt" localSheetId="1" hidden="1">{#N/A,#N/A,FALSE,"Plan1";#N/A,#N/A,FALSE,"Plan2"}</definedName>
    <definedName name="SFRT" localSheetId="1" hidden="1">{#N/A,#N/A,FALSE,"Plan1";#N/A,#N/A,FALSE,"Plan2"}</definedName>
    <definedName name="sfsdferf" localSheetId="1" hidden="1">{#N/A,#N/A,FALSE,"Plan1";#N/A,#N/A,FALSE,"Plan2"}</definedName>
    <definedName name="SFSDS" localSheetId="1" hidden="1">{#N/A,#N/A,FALSE,"Plan1";#N/A,#N/A,FALSE,"Plan2"}</definedName>
    <definedName name="sgtghty" localSheetId="1" hidden="1">{#N/A,#N/A,FALSE,"Plan1";#N/A,#N/A,FALSE,"Plan2"}</definedName>
    <definedName name="SH" localSheetId="1" hidden="1">{#N/A,#N/A,FALSE,"GERAL";#N/A,#N/A,FALSE,"012-96";#N/A,#N/A,FALSE,"018-96";#N/A,#N/A,FALSE,"027-96";#N/A,#N/A,FALSE,"059-96";#N/A,#N/A,FALSE,"076-96";#N/A,#N/A,FALSE,"019-97";#N/A,#N/A,FALSE,"021-97";#N/A,#N/A,FALSE,"022-97";#N/A,#N/A,FALSE,"028-97"}</definedName>
    <definedName name="sjawe" localSheetId="1" hidden="1">{#N/A,#N/A,FALSE,"Plan1";#N/A,#N/A,FALSE,"Plan2"}</definedName>
    <definedName name="sjdffd" localSheetId="1" hidden="1">{#N/A,#N/A,FALSE,"Plan1";#N/A,#N/A,FALSE,"Plan2"}</definedName>
    <definedName name="SJDFHDJS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SJDHFHRE" localSheetId="1" hidden="1">{#N/A,#N/A,FALSE,"Plan1";#N/A,#N/A,FALSE,"Plan2"}</definedName>
    <definedName name="SJDKJDE" localSheetId="1" hidden="1">{"Econ Consolidado",#N/A,FALSE,"Econ Consol";"Fluxo de Caixa",#N/A,FALSE,"Fluxo Caixa";"Investimentos",#N/A,FALSE,"Investimentos"}</definedName>
    <definedName name="sjekwjri" localSheetId="1" hidden="1">{#N/A,#N/A,FALSE,"Plan1";#N/A,#N/A,FALSE,"Plan2"}</definedName>
    <definedName name="sjfkdhsfds" localSheetId="1" hidden="1">{#N/A,#N/A,FALSE,"Plan1";#N/A,#N/A,FALSE,"Plan2"}</definedName>
    <definedName name="sjkdljslkrje" localSheetId="1" hidden="1">{#N/A,#N/A,FALSE,"Plan1";#N/A,#N/A,FALSE,"Plan2"}</definedName>
    <definedName name="skadadaszs" localSheetId="1" hidden="1">{#N/A,#N/A,FALSE,"Plan1";#N/A,#N/A,FALSE,"Plan2"}</definedName>
    <definedName name="SKASH" localSheetId="1" hidden="1">{#N/A,#N/A,FALSE,"Plan1";#N/A,#N/A,FALSE,"Plan2"}</definedName>
    <definedName name="skldfrde" localSheetId="1" hidden="1">{#N/A,#N/A,FALSE,"Plan1";#N/A,#N/A,FALSE,"Plan2"}</definedName>
    <definedName name="skosroer" localSheetId="1" hidden="1">{#N/A,#N/A,FALSE,"Plan1";#N/A,#N/A,FALSE,"Plan2"}</definedName>
    <definedName name="sp"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ARE"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QEWWE" localSheetId="1" hidden="1">{#N/A,#N/A,FALSE,"Plan1";#N/A,#N/A,FALSE,"Plan2"}</definedName>
    <definedName name="SRH" localSheetId="1" hidden="1">{#N/A,#N/A,FALSE,"GERAL";#N/A,#N/A,FALSE,"012-96";#N/A,#N/A,FALSE,"018-96";#N/A,#N/A,FALSE,"027-96";#N/A,#N/A,FALSE,"059-96";#N/A,#N/A,FALSE,"076-96";#N/A,#N/A,FALSE,"019-97";#N/A,#N/A,FALSE,"021-97";#N/A,#N/A,FALSE,"022-97";#N/A,#N/A,FALSE,"028-97"}</definedName>
    <definedName name="SRTSRT" localSheetId="1" hidden="1">{#N/A,#N/A,FALSE,"GERAL";#N/A,#N/A,FALSE,"012-96";#N/A,#N/A,FALSE,"018-96";#N/A,#N/A,FALSE,"027-96";#N/A,#N/A,FALSE,"059-96";#N/A,#N/A,FALSE,"076-96";#N/A,#N/A,FALSE,"019-97";#N/A,#N/A,FALSE,"021-97";#N/A,#N/A,FALSE,"022-97";#N/A,#N/A,FALSE,"028-97"}</definedName>
    <definedName name="SRTST" localSheetId="1" hidden="1">{#N/A,#N/A,FALSE,"GERAL";#N/A,#N/A,FALSE,"012-96";#N/A,#N/A,FALSE,"018-96";#N/A,#N/A,FALSE,"027-96";#N/A,#N/A,FALSE,"059-96";#N/A,#N/A,FALSE,"076-96";#N/A,#N/A,FALSE,"019-97";#N/A,#N/A,FALSE,"021-97";#N/A,#N/A,FALSE,"022-97";#N/A,#N/A,FALSE,"028-97"}</definedName>
    <definedName name="tab"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Test" localSheetId="1" hidden="1">{"'Edit'!$A$1:$V$2277"}</definedName>
    <definedName name="TESTANDO" localSheetId="1" hidden="1">{#N/A,#N/A,TRUE,"Quinzena 01 à 15-04-98 "}</definedName>
    <definedName name="teste1" localSheetId="1" hidden="1">{#N/A,#N/A,FALSE,"GERAL";#N/A,#N/A,FALSE,"012-96";#N/A,#N/A,FALSE,"018-96";#N/A,#N/A,FALSE,"027-96";#N/A,#N/A,FALSE,"059-96";#N/A,#N/A,FALSE,"076-96";#N/A,#N/A,FALSE,"019-97";#N/A,#N/A,FALSE,"021-97";#N/A,#N/A,FALSE,"022-97";#N/A,#N/A,FALSE,"028-97"}</definedName>
    <definedName name="thjgsergsr" localSheetId="1" hidden="1">{#N/A,#N/A,FALSE,"Plan1";#N/A,#N/A,FALSE,"Plan2"}</definedName>
    <definedName name="THYJ" localSheetId="1" hidden="1">{#N/A,#N/A,FALSE,"Plan1";#N/A,#N/A,FALSE,"Plan2"}</definedName>
    <definedName name="tihjgih" localSheetId="1" hidden="1">{#N/A,#N/A,FALSE,"Plan1";#N/A,#N/A,FALSE,"Plan2"}</definedName>
    <definedName name="trjyidih" localSheetId="1" hidden="1">{#N/A,#N/A,FALSE,"Plan1";#N/A,#N/A,FALSE,"Plan2"}</definedName>
    <definedName name="tuyedjsksj" localSheetId="1" hidden="1">{#N/A,#N/A,FALSE,"Plan1";#N/A,#N/A,FALSE,"Plan2"}</definedName>
    <definedName name="TYHGFHFHG" localSheetId="1" hidden="1">{#N/A,#N/A,FALSE,"Plan1";#N/A,#N/A,FALSE,"Plan2"}</definedName>
    <definedName name="u" localSheetId="1" hidden="1">{#N/A,#N/A,FALSE,"ET-CAPA";#N/A,#N/A,FALSE,"ET-PAG1";#N/A,#N/A,FALSE,"ET-PAG2";#N/A,#N/A,FALSE,"ET-PAG3";#N/A,#N/A,FALSE,"ET-PAG4";#N/A,#N/A,FALSE,"ET-PAG5"}</definedName>
    <definedName name="udhgfhfg" localSheetId="1" hidden="1">{#N/A,#N/A,FALSE,"Plan1";#N/A,#N/A,FALSE,"Plan2"}</definedName>
    <definedName name="ueiutriuef" localSheetId="1" hidden="1">{#N/A,#N/A,FALSE,"Plan1";#N/A,#N/A,FALSE,"Plan2"}</definedName>
    <definedName name="UHGSDUS" localSheetId="1" hidden="1">{#N/A,#N/A,FALSE,"Plan1";#N/A,#N/A,FALSE,"Plan2"}</definedName>
    <definedName name="UIHWER45R" localSheetId="1" hidden="1">{#N/A,#N/A,FALSE,"Plan1";#N/A,#N/A,FALSE,"Plan2"}</definedName>
    <definedName name="uiosderuiu" localSheetId="1" hidden="1">{#N/A,#N/A,FALSE,"Plan1";#N/A,#N/A,FALSE,"Plan2"}</definedName>
    <definedName name="UIOURET" localSheetId="1" hidden="1">{#N/A,#N/A,FALSE,"Plan1";#N/A,#N/A,FALSE,"Plan2"}</definedName>
    <definedName name="uiwuer" localSheetId="1" hidden="1">{#N/A,#N/A,FALSE,"Plan1";#N/A,#N/A,FALSE,"Plan2"}</definedName>
    <definedName name="UKHDFDSGUDFKD" localSheetId="1" hidden="1">{#N/A,#N/A,FALSE,"Plan1";#N/A,#N/A,FALSE,"Plan2"}</definedName>
    <definedName name="um" localSheetId="1" hidden="1">0</definedName>
    <definedName name="unit" localSheetId="1" hidden="1">{#N/A,#N/A,FALSE,"GERAL";#N/A,#N/A,FALSE,"012-96";#N/A,#N/A,FALSE,"018-96";#N/A,#N/A,FALSE,"027-96";#N/A,#N/A,FALSE,"059-96";#N/A,#N/A,FALSE,"076-96";#N/A,#N/A,FALSE,"019-97";#N/A,#N/A,FALSE,"021-97";#N/A,#N/A,FALSE,"022-97";#N/A,#N/A,FALSE,"028-97"}</definedName>
    <definedName name="UPS"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uryrtyt" localSheetId="1" hidden="1">{#N/A,#N/A,FALSE,"Plan1";#N/A,#N/A,FALSE,"Plan2"}</definedName>
    <definedName name="valve"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vdsgfrhgfr" localSheetId="1" hidden="1">{#N/A,#N/A,FALSE,"Plan1";#N/A,#N/A,FALSE,"Plan2"}</definedName>
    <definedName name="VERIFICAR" localSheetId="1" hidden="1">{#N/A,#N/A,TRUE,"Quinzena 01 à 15-04-98 "}</definedName>
    <definedName name="vfnijfd"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VFV" localSheetId="1" hidden="1">{#N/A,#N/A,FALSE,"Plan1";#N/A,#N/A,FALSE,"Plan2"}</definedName>
    <definedName name="vld_classificacao" localSheetId="1" hidden="1">IF(#REF!="Ativa",OFFSET(INDEX(rng_list_classificacao,MATCH(#REF!,rng_list_classificacao,0)),1,0,COUNTA(rng_list_classificacao)-1),#REF!)</definedName>
    <definedName name="vld_regional" localSheetId="1" hidden="1">OFFSET(INDEX(rng_list_regional,MATCH(#REF!,rng_list_regional,0)),1,0,COUNTA(rng_list_regional)-1)</definedName>
    <definedName name="vld_segmento" localSheetId="1" hidden="1">IF(#REF!="Ativa",OFFSET(INDEX(rng_list_segmento,MATCH(#REF!,rng_list_segmento,0)),1,0,COUNTA(rng_list_segmento)-1),#REF!)</definedName>
    <definedName name="vld_sociedade" localSheetId="1" hidden="1">OFFSET(INDEX(rng_list_sociedade,MATCH(#REF!,rng_list_sociedade,0)),1,0,COUNTA(rng_list_sociedade)-1)</definedName>
    <definedName name="vld_status_empresa" localSheetId="1" hidden="1">OFFSET(INDEX(rng_list_status_empresa,MATCH(#REF!,rng_list_status_empresa,0)),1,0,COUNTA(rng_list_status_empresa)-1)</definedName>
    <definedName name="vld_status_lancamento" localSheetId="1" hidden="1">IF(#REF!="Ativa",OFFSET(INDEX(rng_list_status_lancamento,MATCH(#REF!,rng_list_status_lancamento,0)),1,0,COUNTA(rng_list_status_lancamento)-1),#REF!)</definedName>
    <definedName name="vld_status_projeto" localSheetId="1" hidden="1">IF(#REF!="Ativa",OFFSET(INDEX(rng_list_status_projeto,MATCH(#REF!,rng_list_status_projeto,0)),1,0,COUNTA(rng_list_status_projeto)-1),#REF!)</definedName>
    <definedName name="vld_status_viabilidade" localSheetId="1" hidden="1">OFFSET(INDEX(rng_list_status_viabilidade,MATCH(#REF!,rng_list_status_viabilidade,0)),1,0,COUNTA(rng_list_status_viabilidade)-1)</definedName>
    <definedName name="VSDHFGDFGR" localSheetId="1" hidden="1">{#N/A,#N/A,FALSE,"Plan1";#N/A,#N/A,FALSE,"Plan2"}</definedName>
    <definedName name="vvbb" localSheetId="1" hidden="1">{"tabela",#N/A,FALSE,"Tabela";"decoração",#N/A,FALSE,"Decor.";"Informações",#N/A,FALSE,"Inform."}</definedName>
    <definedName name="vvcbnb" localSheetId="1" hidden="1">{#N/A,#N/A,FALSE,"Plan1";#N/A,#N/A,FALSE,"Plan2"}</definedName>
    <definedName name="vvvvv" localSheetId="1" hidden="1">{"Econ Consolidado",#N/A,FALSE,"Econ Consol";"Fluxo de Caixa",#N/A,FALSE,"Fluxo Caixa";"Investimentos",#N/A,FALSE,"Investimentos"}</definedName>
    <definedName name="vvvvvv" localSheetId="1" hidden="1">{#N/A,#N/A,FALSE,"Plan1";#N/A,#N/A,FALSE,"Plan2"}</definedName>
    <definedName name="vvvvvvvvvvvvvvvvv" localSheetId="1" hidden="1">{"HW",#N/A,FALSE,"1998"}</definedName>
    <definedName name="w"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dalrdjlaev"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water"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erw4tr" localSheetId="1" hidden="1">{#N/A,#N/A,FALSE,"Plan1";#N/A,#N/A,FALSE,"Plan2"}</definedName>
    <definedName name="wetoedjtkdr" localSheetId="1" hidden="1">{#N/A,#N/A,FALSE,"Plan1";#N/A,#N/A,FALSE,"Plan2"}</definedName>
    <definedName name="WHATS" localSheetId="1" hidden="1">{"'Edit'!$A$1:$V$2277"}</definedName>
    <definedName name="win.VESSEL"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KJHIR" localSheetId="1" hidden="1">{#N/A,#N/A,FALSE,"Plan1";#N/A,#N/A,FALSE,"Plan2"}</definedName>
    <definedName name="WLQ" localSheetId="1" hidden="1">{#N/A,#N/A,FALSE,"명세표"}</definedName>
    <definedName name="WRITE" localSheetId="1" hidden="1">{#N/A,#N/A,FALSE,"CCTV"}</definedName>
    <definedName name="wrn.BM." localSheetId="1" hidden="1">{#N/A,#N/A,FALSE,"CCTV"}</definedName>
    <definedName name="wrn.Brita98.xls." localSheetId="1" hidden="1">{#N/A,#N/A,TRUE,"Quinzena 01 à 15-04-98 "}</definedName>
    <definedName name="wrn.Completo." localSheetId="1" hidden="1">{"EconCons (Econômico - Consolidado)",#N/A,FALSE,"Econômico - Consolidado";"CaixaCons",#N/A,FALSE,"Caixa - Consolidado";"Rio Branco",#N/A,FALSE,"Rio Branco";"Itajaí",#N/A,FALSE,"Itajaí";"Esteio",#N/A,FALSE,"Esteio";"P. Machado",#N/A,FALSE,"P. Machado";"InvestCons (Invest Consolidado)",#N/A,FALSE,"Invest Consolidado"}</definedName>
    <definedName name="wrn.Cons." localSheetId="1" hidden="1">{"EconCons",#N/A,TRUE,"Econômico - Consolidado";"CaixaCons",#N/A,TRUE,"Caixa - Consolidado";"InvestCons",#N/A,TRUE,"Invest Consolidado"}</definedName>
    <definedName name="wrn.Consolidado." localSheetId="1" hidden="1">{"Econ Consolidado",#N/A,FALSE,"Econ Consol";"Fluxo de Caixa",#N/A,FALSE,"Fluxo Caixa";"Investimentos",#N/A,FALSE,"Investimentos"}</definedName>
    <definedName name="wrn.GERAL." localSheetId="1" hidden="1">{#N/A,#N/A,FALSE,"ET-CAPA";#N/A,#N/A,FALSE,"ET-PAG1";#N/A,#N/A,FALSE,"ET-PAG2";#N/A,#N/A,FALSE,"ET-PAG3";#N/A,#N/A,FALSE,"ET-PAG4";#N/A,#N/A,FALSE,"ET-PAG5"}</definedName>
    <definedName name="wrn.HAGE." localSheetId="1" hidden="1">{#N/A,#N/A,FALSE,"cdi";#N/A,#N/A,FALSE,"debent";#N/A,#N/A,FALSE,"fdos";#N/A,#N/A,FALSE,"resumo"}</definedName>
    <definedName name="wrn.HAGE01" localSheetId="1" hidden="1">{#N/A,#N/A,FALSE,"cdi";#N/A,#N/A,FALSE,"debent";#N/A,#N/A,FALSE,"fdos";#N/A,#N/A,FALSE,"resumo"}</definedName>
    <definedName name="wrn.HW." localSheetId="1" hidden="1">{"HW",#N/A,FALSE,"1998"}</definedName>
    <definedName name="wrn.imp_flx." localSheetId="1" hidden="1">{#N/A,#N/A,FALSE,"CONSOLID";#N/A,#N/A,FALSE,"CIMENTO";#N/A,#N/A,FALSE,"METALURGIA";#N/A,#N/A,FALSE,"PAPEL";#N/A,#N/A,FALSE,"QUÍMICA";#N/A,#N/A,FALSE,"AGROINDL";#N/A,#N/A,FALSE,"OUTROS";#N/A,#N/A,FALSE,"REAL_ORCADO"}</definedName>
    <definedName name="wrn.IMPRESSO." localSheetId="1" hidden="1">{#N/A,#N/A,FALSE,"Plan1";#N/A,#N/A,FALSE,"Plan2"}</definedName>
    <definedName name="wrn.Imprimir." localSheetId="1" hidden="1">{"tabela",#N/A,FALSE,"Tabela";"decoração",#N/A,FALSE,"Decor.";"Informações",#N/A,FALSE,"Inform."}</definedName>
    <definedName name="wrn.LPU._.MG." localSheetId="1" hidden="1">{"MG-2002-F1",#N/A,FALSE,"PPU-Telemig";"MG-2002-F2",#N/A,FALSE,"PPU-Telemig";"MG-2002-F3",#N/A,FALSE,"PPU-Telemig";"MG-2002-F4",#N/A,FALSE,"PPU-Telemig";"MG-2003-F1",#N/A,FALSE,"PPU-Telemig";"MG-2004-F1",#N/A,FALSE,"PPU-Telemig"}</definedName>
    <definedName name="wrn.MGM機器リスト." localSheetId="1" hidden="1">{#N/A,#N/A,TRUE,"表紙";#N/A,#N/A,TRUE,"DMC合成";#N/A,#N/A,TRUE,"DMC回収･精製";#N/A,#N/A,TRUE,"MPC工程";#N/A,#N/A,TRUE,"DPC工程";#N/A,#N/A,TRUE,"ANI工程";#N/A,#N/A,TRUE,"PHOｰ触媒工程";#N/A,#N/A,TRUE,"用役"}</definedName>
    <definedName name="wrn.mode_lev.xls." localSheetId="1">{#N/A,#N/A,FALSE,"ALVENARIA";#N/A,#N/A,FALSE,"BLOCOS";#N/A,#N/A,FALSE,"CINTAS";#N/A,#N/A,FALSE,"CORTINA";#N/A,#N/A,FALSE,"LAJES";#N/A,#N/A,FALSE,"PILARES";#N/A,#N/A,FALSE,"VIGAS"}</definedName>
    <definedName name="wrn.Month._.Report._.Package." localSheetId="1" hidden="1">{#N/A,#N/A,FALSE,"Global Wls Trend";#N/A,#N/A,FALSE,"Region Trend";#N/A,#N/A,FALSE,"PBU Trend"}</definedName>
    <definedName name="wrn.Monthly._.Report._.Package." localSheetId="1" hidden="1">{#N/A,#N/A,FALSE,"Global by BU";#N/A,#N/A,FALSE,"U.S. by BU";#N/A,#N/A,FALSE,"Canada by BU";#N/A,#N/A,FALSE,"Europe by BU";#N/A,#N/A,FALSE,"Asia by BU";#N/A,#N/A,FALSE,"Cala by BU"}</definedName>
    <definedName name="wrn.PENDENCIAS." localSheetId="1" hidden="1">{#N/A,#N/A,FALSE,"GERAL";#N/A,#N/A,FALSE,"012-96";#N/A,#N/A,FALSE,"018-96";#N/A,#N/A,FALSE,"027-96";#N/A,#N/A,FALSE,"059-96";#N/A,#N/A,FALSE,"076-96";#N/A,#N/A,FALSE,"019-97";#N/A,#N/A,FALSE,"021-97";#N/A,#N/A,FALSE,"022-97";#N/A,#N/A,FALSE,"028-97"}</definedName>
    <definedName name="wrn.Planiha._.de._.Medição._.F._.01." localSheetId="1" hidden="1">{#N/A,#N/A,FALSE,"F-01"}</definedName>
    <definedName name="wrn.Planiha._.de._.Medição._.F._.01._1" localSheetId="1" hidden="1">{#N/A,#N/A,FALSE,"F-01"}</definedName>
    <definedName name="wrn.Planilha_de_Medição_F_02" localSheetId="1" hidden="1">{#N/A,#N/A,FALSE,"F-01"}</definedName>
    <definedName name="wrn.print._.all." localSheetId="1" hidden="1">{#N/A,#N/A,FALSE,"$170M Cash";#N/A,#N/A,FALSE,"$250M Cash";#N/A,#N/A,FALSE,"$325M Cash"}</definedName>
    <definedName name="wrn.PrintAll." localSheetId="1" hidden="1">{#N/A,#N/A,FALSE,"Sheet1";#N/A,#N/A,FALSE,"Sheet2";#N/A,#N/A,FALSE,"Sheet3";#N/A,#N/A,FALSE,"Sheet4";#N/A,#N/A,FALSE,"Sheet5";#N/A,#N/A,FALSE,"Sheet6";#N/A,#N/A,FALSE,"Sheet7";#N/A,#N/A,FALSE,"Sheet8";#N/A,#N/A,FALSE,"Sheet9"}</definedName>
    <definedName name="wrn.PrintCurr." localSheetId="1" hidden="1">{#N/A,#N/A,FALSE,"Sheet1";#N/A,#N/A,FALSE,"Sheet2";#N/A,#N/A,FALSE,"Sheet3"}</definedName>
    <definedName name="wrn.PrintPrev1." localSheetId="1" hidden="1">{#N/A,#N/A,FALSE,"Sheet4";#N/A,#N/A,FALSE,"Sheet5";#N/A,#N/A,FALSE,"Sheet6"}</definedName>
    <definedName name="wrn.PrintPrev2." localSheetId="1" hidden="1">{#N/A,#N/A,FALSE,"Sheet7";#N/A,#N/A,FALSE,"Sheet8";#N/A,#N/A,FALSE,"Sheet9"}</definedName>
    <definedName name="wrn.Quadros._.relatório." localSheetId="1" hidden="1">{#N/A,#N/A,FALSE,"QD_F1 Invest Detalhado";#N/A,#N/A,FALSE,"QD_F3 Invest_Comparado";#N/A,#N/A,FALSE,"QD_B Trafego";#N/A,#N/A,FALSE,"QD_D0 Custos Operacionais";#N/A,#N/A,FALSE,"QD_C Receita";#N/A,#N/A,FALSE,"QD_D Custos";#N/A,#N/A,FALSE,"QD_E Resultado";#N/A,#N/A,FALSE,"QD_G Fluxo Caixa"}</definedName>
    <definedName name="wrn.REPORT." localSheetId="1" hidden="1">{#N/A,#N/A,FALSE,"표지";#N/A,#N/A,FALSE,"목차";#N/A,#N/A,FALSE,"내용1";#N/A,#N/A,FALSE,"내용2";#N/A,#N/A,FALSE,"결론";#N/A,#N/A,FALSE,"첨부";#N/A,#N/A,FALSE,"진공도달시간";#N/A,#N/A,FALSE,"배가스속도"}</definedName>
    <definedName name="wrn.STAFFS." localSheetId="1" hidden="1">{#N/A,#N/A,FALSE,"TABLE"}</definedName>
    <definedName name="wrn.TERCEIRO." localSheetId="1" hidden="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RCEIRO01" localSheetId="1" hidden="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st1." localSheetId="1" hidden="1">{#N/A,#N/A,FALSE,"명세표"}</definedName>
    <definedName name="wrn.Unidades." localSheetId="1" hidden="1">{"Rio Branco",#N/A,FALSE,"Rio Branco";"Itajaí",#N/A,FALSE,"Itajaí";"Pinheiro Machado",#N/A,FALSE,"PMachado";"Esteio",#N/A,FALSE,"Esteio"}</definedName>
    <definedName name="wrn.VESSEL및N2._.구입사양서."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견적." localSheetId="1" hidden="1">{#N/A,#N/A,FALSE,"Sheet1";#N/A,#N/A,FALSE,"Sheet2";#N/A,#N/A,FALSE,"TAB96-1"}</definedName>
    <definedName name="wrn.보호계전기." localSheetId="1" hidden="1">{#N/A,#N/A,FALSE,"ENG'G(보호계전기)"}</definedName>
    <definedName name="wrn.현장._.NCR._.분석." localSheetId="1" hidden="1">{#N/A,#N/A,FALSE,"현장 NCR 분석";#N/A,#N/A,FALSE,"현장품질감사";#N/A,#N/A,FALSE,"현장품질감사"}</definedName>
    <definedName name="wrn1.Cons." localSheetId="1" hidden="1">{"EconCons",#N/A,TRUE,"Econômico - Consolidado";"CaixaCons",#N/A,TRUE,"Caixa - Consolidado";"InvestCons",#N/A,TRUE,"Invest Consolidado"}</definedName>
    <definedName name="wrn1.print._.all." localSheetId="1" hidden="1">{#N/A,#N/A,FALSE,"$170M Cash";#N/A,#N/A,FALSE,"$250M Cash";#N/A,#N/A,FALSE,"$325M Cash"}</definedName>
    <definedName name="WRS" localSheetId="1" hidden="1">{"'장비'!$A$3:$M$12"}</definedName>
    <definedName name="wrt" localSheetId="1" hidden="1">{#N/A,#N/A,FALSE,"$170M Cash";#N/A,#N/A,FALSE,"$250M Cash";#N/A,#N/A,FALSE,"$325M Cash"}</definedName>
    <definedName name="wvu.PLANILHA2."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ww"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wwwwwwwww" localSheetId="1" hidden="1">{"'Ethernet Hubs'!$A$1:$F$14","'Licences'!$A$1:$F$16","'Ports and Converters'!$A$1:$F$46","'Standard Routers'!$A$1:$F$28","'Ports and Converters'!$A$1:$G$46","'Router Chassis'!$A$1:$F$21","'Cables and Connectors'!$A$1:$F$41","'Support, Training and Docs'!$A$1:$F$6","'Management'!$A$1:$F$8"}</definedName>
    <definedName name="xcfrt" localSheetId="1" hidden="1">{#N/A,#N/A,FALSE,"Plan1";#N/A,#N/A,FALSE,"Plan2"}</definedName>
    <definedName name="xcgjkfghf" localSheetId="1" hidden="1">{#N/A,#N/A,FALSE,"Plan1";#N/A,#N/A,FALSE,"Plan2"}</definedName>
    <definedName name="XCGJKVHFDG" localSheetId="1" hidden="1">{#N/A,#N/A,FALSE,"Plan1";#N/A,#N/A,FALSE,"Plan2"}</definedName>
    <definedName name="xcgtrty"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XCGVR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xçl" localSheetId="1" hidden="1">{#N/A,#N/A,FALSE,"Plan1";#N/A,#N/A,FALSE,"Plan2"}</definedName>
    <definedName name="xcndj" localSheetId="1" hidden="1">{#N/A,#N/A,FALSE,"Plan1";#N/A,#N/A,FALSE,"Plan2"}</definedName>
    <definedName name="XCVGGT" localSheetId="1" hidden="1">{#N/A,#N/A,FALSE,"Plan1";#N/A,#N/A,FALSE,"Plan2"}</definedName>
    <definedName name="xcvrg" localSheetId="1" hidden="1">{#N/A,#N/A,FALSE,"Plan1";#N/A,#N/A,FALSE,"Plan2"}</definedName>
    <definedName name="xdfef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xdgtyhyt" localSheetId="1" hidden="1">{#N/A,#N/A,FALSE,"Plan1";#N/A,#N/A,FALSE,"Plan2"}</definedName>
    <definedName name="xfdlfj" localSheetId="1" hidden="1">{#N/A,#N/A,FALSE,"Plan1";#N/A,#N/A,FALSE,"Plan2"}</definedName>
    <definedName name="xfdxfdf" localSheetId="1" hidden="1">{#N/A,#N/A,FALSE,"Plan1";#N/A,#N/A,FALSE,"Plan2"}</definedName>
    <definedName name="XFJKLDJKLGJ"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xfrty" localSheetId="1" hidden="1">{#N/A,#N/A,FALSE,"Plan1";#N/A,#N/A,FALSE,"Plan2"}</definedName>
    <definedName name="XFT"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xfvchdhhd" localSheetId="1" hidden="1">{"Econ Consolidado",#N/A,FALSE,"Econ Consol";"Fluxo de Caixa",#N/A,FALSE,"Fluxo Caixa";"Investimentos",#N/A,FALSE,"Investimentos"}</definedName>
    <definedName name="xfvgcfgt" localSheetId="1" hidden="1">{#N/A,#N/A,FALSE,"Plan1";#N/A,#N/A,FALSE,"Plan2"}</definedName>
    <definedName name="xgrg" localSheetId="1" hidden="1">{#N/A,#N/A,FALSE,"Plan1";#N/A,#N/A,FALSE,"Plan2"}</definedName>
    <definedName name="xmght" localSheetId="1" hidden="1">{#N/A,#N/A,FALSE,"Plan1";#N/A,#N/A,FALSE,"Plan2"}</definedName>
    <definedName name="xo" localSheetId="1" hidden="1">{#N/A,#N/A,FALSE,"Global by BU";#N/A,#N/A,FALSE,"U.S. by BU";#N/A,#N/A,FALSE,"Canada by BU";#N/A,#N/A,FALSE,"Europe by BU";#N/A,#N/A,FALSE,"Asia by BU";#N/A,#N/A,FALSE,"Cala by BU"}</definedName>
    <definedName name="xxx" localSheetId="1" hidden="1">{#N/A,#N/A,FALSE,"GERAL";#N/A,#N/A,FALSE,"012-96";#N/A,#N/A,FALSE,"018-96";#N/A,#N/A,FALSE,"027-96";#N/A,#N/A,FALSE,"059-96";#N/A,#N/A,FALSE,"076-96";#N/A,#N/A,FALSE,"019-97";#N/A,#N/A,FALSE,"021-97";#N/A,#N/A,FALSE,"022-97";#N/A,#N/A,FALSE,"028-97"}</definedName>
    <definedName name="xxxx"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XXXXX" localSheetId="1" hidden="1">{#N/A,#N/A,FALSE,"GERAL";#N/A,#N/A,FALSE,"012-96";#N/A,#N/A,FALSE,"018-96";#N/A,#N/A,FALSE,"027-96";#N/A,#N/A,FALSE,"059-96";#N/A,#N/A,FALSE,"076-96";#N/A,#N/A,FALSE,"019-97";#N/A,#N/A,FALSE,"021-97";#N/A,#N/A,FALSE,"022-97";#N/A,#N/A,FALSE,"028-97"}</definedName>
    <definedName name="xxxxxxxxxxxx" localSheetId="1" hidden="1">{"'Edit'!$A$1:$V$2277"}</definedName>
    <definedName name="xxxxxxxxxxxxxx" localSheetId="1" hidden="1">{#N/A,#N/A,FALSE,"Plan1";#N/A,#N/A,FALSE,"Plan2"}</definedName>
    <definedName name="xzfrt" localSheetId="1" hidden="1">{#N/A,#N/A,FALSE,"Plan1";#N/A,#N/A,FALSE,"Plan2"}</definedName>
    <definedName name="yeitrtged" localSheetId="1" hidden="1">{#N/A,#N/A,FALSE,"Plan1";#N/A,#N/A,FALSE,"Plan2"}</definedName>
    <definedName name="yhdfiuygrui" localSheetId="1" hidden="1">{#N/A,#N/A,FALSE,"Plan1";#N/A,#N/A,FALSE,"Plan2"}</definedName>
    <definedName name="YRGUYDRIY" localSheetId="1" hidden="1">{"Econ Consolidado",#N/A,FALSE,"Econ Consol";"Fluxo de Caixa",#N/A,FALSE,"Fluxo Caixa";"Investimentos",#N/A,FALSE,"Investimentos"}</definedName>
    <definedName name="yuegursdmksf" localSheetId="1" hidden="1">{#N/A,#N/A,FALSE,"Plan1";#N/A,#N/A,FALSE,"Plan2"}</definedName>
    <definedName name="yuekl4fr" localSheetId="1" hidden="1">{#N/A,#N/A,FALSE,"Plan1";#N/A,#N/A,FALSE,"Plan2"}</definedName>
    <definedName name="yureytuyrea" localSheetId="1" hidden="1">{#N/A,#N/A,FALSE,"Plan1";#N/A,#N/A,FALSE,"Plan2"}</definedName>
    <definedName name="z" localSheetId="1" hidden="1">{"'Estimativa de Lançamento-JAN'!$A$1:$AI$85"}</definedName>
    <definedName name="z\djs"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zcdçskld" localSheetId="1" hidden="1">{#N/A,#N/A,FALSE,"Plan1";#N/A,#N/A,FALSE,"Plan2"}</definedName>
    <definedName name="zcsdrfrt" localSheetId="1" hidden="1">{#N/A,#N/A,FALSE,"Plan1";#N/A,#N/A,FALSE,"Plan2"}</definedName>
    <definedName name="ZDRE" localSheetId="1" hidden="1">{#N/A,#N/A,FALSE,"Plan1";#N/A,#N/A,FALSE,"Plan2"}</definedName>
    <definedName name="ZSADF" localSheetId="1" hidden="1">{#N/A,#N/A,FALSE,"Plan1";#N/A,#N/A,FALSE,"Plan2"}</definedName>
    <definedName name="zsads" localSheetId="1" hidden="1">{#N/A,#N/A,FALSE,"Plan1";#N/A,#N/A,FALSE,"Plan2"}</definedName>
    <definedName name="zsds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zsdwer"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zxccdf" localSheetId="1" hidden="1">{#N/A,#N/A,FALSE,"Plan1";#N/A,#N/A,FALSE,"Plan2"}</definedName>
    <definedName name="zxcfdstrrt" localSheetId="1" hidden="1">{#N/A,#N/A,FALSE,"Plan1";#N/A,#N/A,FALSE,"Plan2"}</definedName>
    <definedName name="zxcx" localSheetId="1" hidden="1">{#N/A,#N/A,FALSE,"Plan1";#N/A,#N/A,FALSE,"Plan2"}</definedName>
    <definedName name="ZXFCRF" localSheetId="1" hidden="1">{TRUE,TRUE,-1.25,-15.5,604.5,366.75,FALSE,FALSE,TRUE,TRUE,0,1,#N/A,1,#N/A,9.0125,24.4117647058824,1,FALSE,FALSE,3,TRUE,1,FALSE,100,"Swvu.PLANILHA2.","ACwvu.PLANILHA2.",#N/A,FALSE,FALSE,0.787401575,0.34,0.46,0.5,1,"","",FALSE,FALSE,FALSE,FALSE,1,#N/A,1,1,FALSE,FALSE,#N/A,#N/A,FALSE,FALSE,FALSE,9,65532,65532,FALSE,FALSE,TRUE,TRUE,TRUE}</definedName>
    <definedName name="ZXFHDFRHDF" localSheetId="1" hidden="1">{#N/A,#N/A,FALSE,"Plan1";#N/A,#N/A,FALSE,"Plan2"}</definedName>
    <definedName name="zzdftr" localSheetId="1" hidden="1">{#N/A,#N/A,FALSE,"Plan1";#N/A,#N/A,FALSE,"Plan2"}</definedName>
    <definedName name="zzz" localSheetId="1" hidden="1">{#N/A,#N/A,FALSE,"QD_F1 Invest Detalhado";#N/A,#N/A,FALSE,"QD_F3 Invest_Comparado";#N/A,#N/A,FALSE,"QD_B Trafego";#N/A,#N/A,FALSE,"QD_D0 Custos Operacionais";#N/A,#N/A,FALSE,"QD_C Receita";#N/A,#N/A,FALSE,"QD_D Custos";#N/A,#N/A,FALSE,"QD_E Resultado";#N/A,#N/A,FALSE,"QD_G Fluxo Caixa"}</definedName>
    <definedName name="ㄱ"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ㄱㄷㄱㄱㅎㄺㄷ" localSheetId="1" hidden="1">{"'장비'!$A$3:$M$12"}</definedName>
    <definedName name="검증"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가"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고문" localSheetId="1" hidden="1">{#N/A,#N/A,FALSE,"현장 NCR 분석";#N/A,#N/A,FALSE,"현장품질감사";#N/A,#N/A,FALSE,"현장품질감사"}</definedName>
    <definedName name="고문2" localSheetId="1" hidden="1">{#N/A,#N/A,FALSE,"현장 NCR 분석";#N/A,#N/A,FALSE,"현장품질감사";#N/A,#N/A,FALSE,"현장품질감사"}</definedName>
    <definedName name="공공공표"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구분표_수정" localSheetId="1" hidden="1">{#N/A,#N/A,FALSE,"ENG'G(보호계전기)"}</definedName>
    <definedName name="공급표표"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진도율적용"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표"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양1소결합리화"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름"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분2"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3"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3"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두성"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내역" localSheetId="1" hidden="1">{#N/A,#N/A,FALSE,"CCTV"}</definedName>
    <definedName name="ㄷㄳ" localSheetId="1" hidden="1">{"'장비'!$A$3:$M$12"}</definedName>
    <definedName name="ㄷㄷㄷㄷ" localSheetId="1" hidden="1">{"'장비'!$A$3:$M$12"}</definedName>
    <definedName name="ㄷㅈㅂㄷ" localSheetId="1" hidden="1">{"'장비'!$A$3:$M$12"}</definedName>
    <definedName name="ㄹㄹ" localSheetId="1" hidden="1">{"'장비'!$A$3:$M$12"}</definedName>
    <definedName name="랄"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러러" localSheetId="1" hidden="1">{#N/A,#N/A,FALSE,"현장 NCR 분석";#N/A,#N/A,FALSE,"현장품질감사";#N/A,#N/A,FALSE,"현장품질감사"}</definedName>
    <definedName name="ㅁ" localSheetId="1" hidden="1">{#N/A,#N/A,FALSE,"명세표"}</definedName>
    <definedName name="ㅁㄴ"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ㄹ"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ㄻㄴㅇㄻㄴㅇ"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ㅁ"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ㅁ" localSheetId="1" hidden="1">{#N/A,#N/A,FALSE,"명세표"}</definedName>
    <definedName name="ㅁㅁㅁㅁㅁㅁㅁㅁㅁㅁㅁㅁ"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ㅇㄻㄴ"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머" localSheetId="1" hidden="1">{#N/A,#N/A,FALSE,"명세표"}</definedName>
    <definedName name="ㅂㅂㅂㅂ" localSheetId="1" hidden="1">{#N/A,#N/A,FALSE,"명세표"}</definedName>
    <definedName name="ㅂㅂㅂㅂㅂㅂㅂ"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ㅈㄱㅂㅈㄷㄱ" localSheetId="1" hidden="1">{"'장비'!$A$3:$M$12"}</definedName>
    <definedName name="ㅂㅈㄷ" localSheetId="1" hidden="1">{"'장비'!$A$3:$M$12"}</definedName>
    <definedName name="ㅂㅈㄷㄷㅂㅈㅈㅂ" localSheetId="1" hidden="1">{"'장비'!$A$3:$M$12"}</definedName>
    <definedName name="ㅂㅈㄷㅂㅈ" localSheetId="1" hidden="1">{"'장비'!$A$3:$M$12"}</definedName>
    <definedName name="ㅂㅈㄷㅂㅈㅈㅂㄷ" localSheetId="1" hidden="1">{"'장비'!$A$3:$M$12"}</definedName>
    <definedName name="ㅂㅈㄷㅈㅂㄷ" localSheetId="1" hidden="1">{"'장비'!$A$3:$M$12"}</definedName>
    <definedName name="보"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보호" localSheetId="1" hidden="1">{#N/A,#N/A,FALSE,"ENG'G(보호계전기)"}</definedName>
    <definedName name="본공사공정표"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부손익" localSheetId="1" hidden="1">{#N/A,#N/A,FALSE,"현장 NCR 분석";#N/A,#N/A,FALSE,"현장품질감사";#N/A,#N/A,FALSE,"현장품질감사"}</definedName>
    <definedName name="분야"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ㅅㄱㄱㄷ" localSheetId="1" hidden="1">{"'장비'!$A$3:$M$12"}</definedName>
    <definedName name="ㅅㅅㅅㅅㅅ" localSheetId="1" hidden="1">{"'장비'!$A$3:$M$12"}</definedName>
    <definedName name="사업"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관리"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새안" localSheetId="1" hidden="1">{#N/A,#N/A,FALSE,"TABLE"}</definedName>
    <definedName name="석항" localSheetId="1" hidden="1">{#N/A,#N/A,FALSE,"명세표"}</definedName>
    <definedName name="설계현황"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쇼ㅗㅎ로" localSheetId="1" hidden="1">{"'장비'!$A$3:$M$12"}</definedName>
    <definedName name="수당" localSheetId="1" hidden="1">#N/A</definedName>
    <definedName name="신설" localSheetId="1" hidden="1">{#N/A,#N/A,FALSE,"명세표"}</definedName>
    <definedName name="ㅇㅇ"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변경123"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적용"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구조건참조"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이"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이"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ㅈ" localSheetId="1" hidden="1">{#N/A,#N/A,FALSE,"명세표"}</definedName>
    <definedName name="ㅈㅈㅈㅈ" localSheetId="1" hidden="1">{#N/A,#N/A,FALSE,"명세표"}</definedName>
    <definedName name="자미" localSheetId="1" hidden="1">{#N/A,#N/A,FALSE,"명세표"}</definedName>
    <definedName name="자재3"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사양_SAMPLE"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상세공정"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1"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설계현황"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중량비교검토" localSheetId="1" hidden="1">{#N/A,#N/A,FALSE,"ENG'G(보호계전기)"}</definedName>
    <definedName name="집계" localSheetId="1" hidden="1">{#N/A,#N/A,FALSE,"명세표"}</definedName>
    <definedName name="철골공정"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2"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ㅋㅁ" localSheetId="1" hidden="1">{#N/A,#N/A,FALSE,"명세표"}</definedName>
    <definedName name="ㅋㅋㅋ" localSheetId="1" hidden="1">{#N/A,#N/A,FALSE,"명세표"}</definedName>
    <definedName name="ㅌㅌ" localSheetId="1" hidden="1">{#N/A,#N/A,FALSE,"명세표"}</definedName>
    <definedName name="토"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토목"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ㅎㅎ" localSheetId="1" hidden="1">{"'장비'!$A$3:$M$12"}</definedName>
    <definedName name="하하하" localSheetId="1" hidden="1">{#N/A,#N/A,FALSE,"명세표"}</definedName>
    <definedName name="한국"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장계기류"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1"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호호호" localSheetId="1" hidden="1">{#N/A,#N/A,FALSE,"명세표"}</definedName>
    <definedName name="ㅏㅏㅏ" localSheetId="1" hidden="1">{#N/A,#N/A,FALSE,"명세표"}</definedName>
    <definedName name="ㅔㅔ" localSheetId="1" hidden="1">{#N/A,#N/A,FALSE,"명세표"}</definedName>
    <definedName name="ㅔㅔㅔㅔㅔ"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홓ㅎ로" localSheetId="1" hidden="1">{"'장비'!$A$3:$M$12"}</definedName>
    <definedName name="ㅗㅗ" localSheetId="1" hidden="1">{#N/A,#N/A,FALSE,"명세표"}</definedName>
    <definedName name="ㅗㅗㅗㅗㅗ" localSheetId="1" hidden="1">{"'장비'!$A$3:$M$12"}</definedName>
    <definedName name="ㅛ" localSheetId="1" hidden="1">{"'장비'!$A$3:$M$12"}</definedName>
    <definedName name="ㅛㅕㅛㅕㅛ"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ㅛㅛㅛ" localSheetId="1" hidden="1">{"'장비'!$A$3:$M$12"}</definedName>
    <definedName name="ㅜ" localSheetId="1" hidden="1">{#N/A,#N/A,FALSE,"명세표"}</definedName>
    <definedName name="ㅠㅠ" localSheetId="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ㅡㅡ" localSheetId="1" hidden="1">{#N/A,#N/A,FALSE,"명세표"}</definedName>
    <definedName name="\xasd" localSheetId="2" hidden="1">{#N/A,#N/A,FALSE,"Plan1";#N/A,#N/A,FALSE,"Plan2"}</definedName>
    <definedName name="_\xasd" localSheetId="2" hidden="1">{#N/A,#N/A,FALSE,"Plan1";#N/A,#N/A,FALSE,"Plan2"}</definedName>
    <definedName name="________________r1" localSheetId="2">{#N/A,#N/A,FALSE,"GERAL";#N/A,#N/A,FALSE,"012-96";#N/A,#N/A,FALSE,"018-96";#N/A,#N/A,FALSE,"027-96";#N/A,#N/A,FALSE,"059-96";#N/A,#N/A,FALSE,"076-96";#N/A,#N/A,FALSE,"019-97";#N/A,#N/A,FALSE,"021-97";#N/A,#N/A,FALSE,"022-97";#N/A,#N/A,FALSE,"028-97"}</definedName>
    <definedName name="______________r1" localSheetId="2">{#N/A,#N/A,FALSE,"GERAL";#N/A,#N/A,FALSE,"012-96";#N/A,#N/A,FALSE,"018-96";#N/A,#N/A,FALSE,"027-96";#N/A,#N/A,FALSE,"059-96";#N/A,#N/A,FALSE,"076-96";#N/A,#N/A,FALSE,"019-97";#N/A,#N/A,FALSE,"021-97";#N/A,#N/A,FALSE,"022-97";#N/A,#N/A,FALSE,"028-97"}</definedName>
    <definedName name="_____________r1" localSheetId="2">{#N/A,#N/A,FALSE,"GERAL";#N/A,#N/A,FALSE,"012-96";#N/A,#N/A,FALSE,"018-96";#N/A,#N/A,FALSE,"027-96";#N/A,#N/A,FALSE,"059-96";#N/A,#N/A,FALSE,"076-96";#N/A,#N/A,FALSE,"019-97";#N/A,#N/A,FALSE,"021-97";#N/A,#N/A,FALSE,"022-97";#N/A,#N/A,FALSE,"028-97"}</definedName>
    <definedName name="____________r1" localSheetId="2">{#N/A,#N/A,FALSE,"GERAL";#N/A,#N/A,FALSE,"012-96";#N/A,#N/A,FALSE,"018-96";#N/A,#N/A,FALSE,"027-96";#N/A,#N/A,FALSE,"059-96";#N/A,#N/A,FALSE,"076-96";#N/A,#N/A,FALSE,"019-97";#N/A,#N/A,FALSE,"021-97";#N/A,#N/A,FALSE,"022-97";#N/A,#N/A,FALSE,"028-97"}</definedName>
    <definedName name="___________r1" localSheetId="2">{#N/A,#N/A,FALSE,"GERAL";#N/A,#N/A,FALSE,"012-96";#N/A,#N/A,FALSE,"018-96";#N/A,#N/A,FALSE,"027-96";#N/A,#N/A,FALSE,"059-96";#N/A,#N/A,FALSE,"076-96";#N/A,#N/A,FALSE,"019-97";#N/A,#N/A,FALSE,"021-97";#N/A,#N/A,FALSE,"022-97";#N/A,#N/A,FALSE,"028-97"}</definedName>
    <definedName name="_________r1" localSheetId="2">{#N/A,#N/A,FALSE,"GERAL";#N/A,#N/A,FALSE,"012-96";#N/A,#N/A,FALSE,"018-96";#N/A,#N/A,FALSE,"027-96";#N/A,#N/A,FALSE,"059-96";#N/A,#N/A,FALSE,"076-96";#N/A,#N/A,FALSE,"019-97";#N/A,#N/A,FALSE,"021-97";#N/A,#N/A,FALSE,"022-97";#N/A,#N/A,FALSE,"028-97"}</definedName>
    <definedName name="________r1" localSheetId="2">{#N/A,#N/A,FALSE,"GERAL";#N/A,#N/A,FALSE,"012-96";#N/A,#N/A,FALSE,"018-96";#N/A,#N/A,FALSE,"027-96";#N/A,#N/A,FALSE,"059-96";#N/A,#N/A,FALSE,"076-96";#N/A,#N/A,FALSE,"019-97";#N/A,#N/A,FALSE,"021-97";#N/A,#N/A,FALSE,"022-97";#N/A,#N/A,FALSE,"028-97"}</definedName>
    <definedName name="_______r1" localSheetId="2">{#N/A,#N/A,FALSE,"GERAL";#N/A,#N/A,FALSE,"012-96";#N/A,#N/A,FALSE,"018-96";#N/A,#N/A,FALSE,"027-96";#N/A,#N/A,FALSE,"059-96";#N/A,#N/A,FALSE,"076-96";#N/A,#N/A,FALSE,"019-97";#N/A,#N/A,FALSE,"021-97";#N/A,#N/A,FALSE,"022-97";#N/A,#N/A,FALSE,"028-97"}</definedName>
    <definedName name="______r1" localSheetId="2">{#N/A,#N/A,FALSE,"GERAL";#N/A,#N/A,FALSE,"012-96";#N/A,#N/A,FALSE,"018-96";#N/A,#N/A,FALSE,"027-96";#N/A,#N/A,FALSE,"059-96";#N/A,#N/A,FALSE,"076-96";#N/A,#N/A,FALSE,"019-97";#N/A,#N/A,FALSE,"021-97";#N/A,#N/A,FALSE,"022-97";#N/A,#N/A,FALSE,"028-97"}</definedName>
    <definedName name="_____r1" localSheetId="2">{#N/A,#N/A,FALSE,"GERAL";#N/A,#N/A,FALSE,"012-96";#N/A,#N/A,FALSE,"018-96";#N/A,#N/A,FALSE,"027-96";#N/A,#N/A,FALSE,"059-96";#N/A,#N/A,FALSE,"076-96";#N/A,#N/A,FALSE,"019-97";#N/A,#N/A,FALSE,"021-97";#N/A,#N/A,FALSE,"022-97";#N/A,#N/A,FALSE,"028-97"}</definedName>
    <definedName name="____PK2" localSheetId="2">{"'장비'!$A$3:$M$12"}</definedName>
    <definedName name="____PKG3" localSheetId="2">{"'장비'!$A$3:$M$12"}</definedName>
    <definedName name="____qqq222" localSheetId="2">{"'장비'!$A$3:$M$12"}</definedName>
    <definedName name="____r1" localSheetId="2">{#N/A,#N/A,FALSE,"GERAL";#N/A,#N/A,FALSE,"012-96";#N/A,#N/A,FALSE,"018-96";#N/A,#N/A,FALSE,"027-96";#N/A,#N/A,FALSE,"059-96";#N/A,#N/A,FALSE,"076-96";#N/A,#N/A,FALSE,"019-97";#N/A,#N/A,FALSE,"021-97";#N/A,#N/A,FALSE,"022-97";#N/A,#N/A,FALSE,"028-97"}</definedName>
    <definedName name="___CO2"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ECS1"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PK2" localSheetId="2">{"'장비'!$A$3:$M$12"}</definedName>
    <definedName name="___PKG3" localSheetId="2">{"'장비'!$A$3:$M$12"}</definedName>
    <definedName name="___qqq222" localSheetId="2">{"'장비'!$A$3:$M$12"}</definedName>
    <definedName name="___r1" localSheetId="2">{#N/A,#N/A,FALSE,"GERAL";#N/A,#N/A,FALSE,"012-96";#N/A,#N/A,FALSE,"018-96";#N/A,#N/A,FALSE,"027-96";#N/A,#N/A,FALSE,"059-96";#N/A,#N/A,FALSE,"076-96";#N/A,#N/A,FALSE,"019-97";#N/A,#N/A,FALSE,"021-97";#N/A,#N/A,FALSE,"022-97";#N/A,#N/A,FALSE,"028-97"}</definedName>
    <definedName name="__CO2"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CS1"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PK2" localSheetId="2">{"'장비'!$A$3:$M$12"}</definedName>
    <definedName name="__PKG3" localSheetId="2">{"'장비'!$A$3:$M$12"}</definedName>
    <definedName name="__qqq222" localSheetId="2">{"'장비'!$A$3:$M$12"}</definedName>
    <definedName name="__r1" localSheetId="2">{#N/A,#N/A,FALSE,"GERAL";#N/A,#N/A,FALSE,"012-96";#N/A,#N/A,FALSE,"018-96";#N/A,#N/A,FALSE,"027-96";#N/A,#N/A,FALSE,"059-96";#N/A,#N/A,FALSE,"076-96";#N/A,#N/A,FALSE,"019-97";#N/A,#N/A,FALSE,"021-97";#N/A,#N/A,FALSE,"022-97";#N/A,#N/A,FALSE,"028-97"}</definedName>
    <definedName name="__r2" localSheetId="2">{#N/A,#N/A,FALSE,"GERAL";#N/A,#N/A,FALSE,"012-96";#N/A,#N/A,FALSE,"018-96";#N/A,#N/A,FALSE,"027-96";#N/A,#N/A,FALSE,"059-96";#N/A,#N/A,FALSE,"076-96";#N/A,#N/A,FALSE,"019-97";#N/A,#N/A,FALSE,"021-97";#N/A,#N/A,FALSE,"022-97";#N/A,#N/A,FALSE,"028-97"}</definedName>
    <definedName name="_CO2"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ECS1"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IA0542" localSheetId="2">{#N/A,#N/A,FALSE,"Plan1";#N/A,#N/A,FALSE,"Plan2"}</definedName>
    <definedName name="_new11" localSheetId="2">{#N/A,#N/A,FALSE,"Global by BU";#N/A,#N/A,FALSE,"U.S. by BU";#N/A,#N/A,FALSE,"Canada by BU";#N/A,#N/A,FALSE,"Europe by BU";#N/A,#N/A,FALSE,"Asia by BU";#N/A,#N/A,FALSE,"Cala by BU"}</definedName>
    <definedName name="_Order2" localSheetId="2">0</definedName>
    <definedName name="_PK2" localSheetId="2">{"'장비'!$A$3:$M$12"}</definedName>
    <definedName name="_PKG3" localSheetId="2">{"'장비'!$A$3:$M$12"}</definedName>
    <definedName name="_qqq222" localSheetId="2">{"'장비'!$A$3:$M$12"}</definedName>
    <definedName name="_r1" localSheetId="2">{#N/A,#N/A,FALSE,"GERAL";#N/A,#N/A,FALSE,"012-96";#N/A,#N/A,FALSE,"018-96";#N/A,#N/A,FALSE,"027-96";#N/A,#N/A,FALSE,"059-96";#N/A,#N/A,FALSE,"076-96";#N/A,#N/A,FALSE,"019-97";#N/A,#N/A,FALSE,"021-97";#N/A,#N/A,FALSE,"022-97";#N/A,#N/A,FALSE,"028-97"}</definedName>
    <definedName name="_R2" localSheetId="2">{#N/A,#N/A,FALSE,"GERAL";#N/A,#N/A,FALSE,"012-96";#N/A,#N/A,FALSE,"018-96";#N/A,#N/A,FALSE,"027-96";#N/A,#N/A,FALSE,"059-96";#N/A,#N/A,FALSE,"076-96";#N/A,#N/A,FALSE,"019-97";#N/A,#N/A,FALSE,"021-97";#N/A,#N/A,FALSE,"022-97";#N/A,#N/A,FALSE,"028-97"}</definedName>
    <definedName name="_sfe5"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_wer3" localSheetId="2">{#N/A,#N/A,FALSE,"Plan1";#N/A,#N/A,FALSE,"Plan2"}</definedName>
    <definedName name="_wrn.pendencias" localSheetId="2">{#N/A,#N/A,FALSE,"GERAL";#N/A,#N/A,FALSE,"012-96";#N/A,#N/A,FALSE,"018-96";#N/A,#N/A,FALSE,"027-96";#N/A,#N/A,FALSE,"059-96";#N/A,#N/A,FALSE,"076-96";#N/A,#N/A,FALSE,"019-97";#N/A,#N/A,FALSE,"021-97";#N/A,#N/A,FALSE,"022-97";#N/A,#N/A,FALSE,"028-97"}</definedName>
    <definedName name="a\sgt" localSheetId="2" hidden="1">{#N/A,#N/A,FALSE,"Plan1";#N/A,#N/A,FALSE,"Plan2"}</definedName>
    <definedName name="aa" localSheetId="2">#REF!</definedName>
    <definedName name="aaaa" localSheetId="2">#REF!</definedName>
    <definedName name="aaaaaaaaa"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aaacccc" localSheetId="2">{#N/A,#N/A,FALSE,"Plan1";#N/A,#N/A,FALSE,"Plan2"}</definedName>
    <definedName name="AB"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bc"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çoeeer" localSheetId="2">{#N/A,#N/A,FALSE,"Plan1";#N/A,#N/A,FALSE,"Plan2"}</definedName>
    <definedName name="ad" localSheetId="2">{#N/A,#N/A,FALSE,"Plan1";#N/A,#N/A,FALSE,"Plan2"}</definedName>
    <definedName name="adads" localSheetId="2">{#N/A,#N/A,FALSE,"Plan1";#N/A,#N/A,FALSE,"Plan2"}</definedName>
    <definedName name="adads2" localSheetId="2">{#N/A,#N/A,FALSE,"Plan1";#N/A,#N/A,FALSE,"Plan2"}</definedName>
    <definedName name="adced" localSheetId="2">{#N/A,#N/A,FALSE,"Plan1";#N/A,#N/A,FALSE,"Plan2"}</definedName>
    <definedName name="adced2" localSheetId="2">{#N/A,#N/A,FALSE,"Plan1";#N/A,#N/A,FALSE,"Plan2"}</definedName>
    <definedName name="ader" localSheetId="2">{#N/A,#N/A,FALSE,"Plan1";#N/A,#N/A,FALSE,"Plan2"}</definedName>
    <definedName name="ader2" localSheetId="2">{#N/A,#N/A,FALSE,"Plan1";#N/A,#N/A,FALSE,"Plan2"}</definedName>
    <definedName name="adesr" localSheetId="2">{#N/A,#N/A,FALSE,"Plan1";#N/A,#N/A,FALSE,"Plan2"}</definedName>
    <definedName name="adewr" localSheetId="2">{#N/A,#N/A,FALSE,"Plan1";#N/A,#N/A,FALSE,"Plan2"}</definedName>
    <definedName name="adf" localSheetId="2">{#N/A,#N/A,FALSE,"Plan1";#N/A,#N/A,FALSE,"Plan2"}</definedName>
    <definedName name="adsfr" localSheetId="2">{#N/A,#N/A,FALSE,"Plan1";#N/A,#N/A,FALSE,"Plan2"}</definedName>
    <definedName name="adssrgtg" localSheetId="2">{#N/A,#N/A,FALSE,"Plan1";#N/A,#N/A,FALSE,"Plan2"}</definedName>
    <definedName name="adtsetrr6t" localSheetId="2">{#N/A,#N/A,FALSE,"Plan1";#N/A,#N/A,FALSE,"Plan2"}</definedName>
    <definedName name="adwr" localSheetId="2">{#N/A,#N/A,FALSE,"Plan1";#N/A,#N/A,FALSE,"Plan2"}</definedName>
    <definedName name="aeiresft" localSheetId="2">{#N/A,#N/A,FALSE,"Plan1";#N/A,#N/A,FALSE,"Plan2"}</definedName>
    <definedName name="aEL3QE" localSheetId="2">{#N/A,#N/A,FALSE,"Plan1";#N/A,#N/A,FALSE,"Plan2"}</definedName>
    <definedName name="afeasfre" localSheetId="2">{#N/A,#N/A,FALSE,"Plan1";#N/A,#N/A,FALSE,"Plan2"}</definedName>
    <definedName name="agua" localSheetId="2">{#N/A,#N/A,FALSE,"GERAL";#N/A,#N/A,FALSE,"012-96";#N/A,#N/A,FALSE,"018-96";#N/A,#N/A,FALSE,"027-96";#N/A,#N/A,FALSE,"059-96";#N/A,#N/A,FALSE,"076-96";#N/A,#N/A,FALSE,"019-97";#N/A,#N/A,FALSE,"021-97";#N/A,#N/A,FALSE,"022-97";#N/A,#N/A,FALSE,"028-97"}</definedName>
    <definedName name="AH" localSheetId="2">{#N/A,#N/A,FALSE,"CCTV"}</definedName>
    <definedName name="angelo" localSheetId="2">#REF!</definedName>
    <definedName name="anscount" localSheetId="2">1</definedName>
    <definedName name="AQE" localSheetId="2">{"'장비'!$A$3:$M$12"}</definedName>
    <definedName name="ArComprimido" localSheetId="2">{"'Estimativa de Lançamento-JAN'!$A$1:$AI$85"}</definedName>
    <definedName name="area" localSheetId="2">#REF!</definedName>
    <definedName name="asawe3" localSheetId="2">{#N/A,#N/A,FALSE,"Plan1";#N/A,#N/A,FALSE,"Plan2"}</definedName>
    <definedName name="asd"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A" localSheetId="2">{#N/A,#N/A,FALSE,"Plan1";#N/A,#N/A,FALSE,"Plan2"}</definedName>
    <definedName name="asdade" localSheetId="2">{#N/A,#N/A,FALSE,"Plan1";#N/A,#N/A,FALSE,"Plan2"}</definedName>
    <definedName name="asdas" localSheetId="2">{#N/A,#N/A,FALSE,"Plan1";#N/A,#N/A,FALSE,"Plan2"}</definedName>
    <definedName name="asdawed" localSheetId="2">{#N/A,#N/A,FALSE,"Plan1";#N/A,#N/A,FALSE,"Plan2"}</definedName>
    <definedName name="ASDER" localSheetId="2">{#N/A,#N/A,FALSE,"Plan1";#N/A,#N/A,FALSE,"Plan2"}</definedName>
    <definedName name="asderr" localSheetId="2">{#N/A,#N/A,FALSE,"Plan1";#N/A,#N/A,FALSE,"Plan2"}</definedName>
    <definedName name="asdesre" localSheetId="2">{#N/A,#N/A,FALSE,"Plan1";#N/A,#N/A,FALSE,"Plan2"}</definedName>
    <definedName name="asdewr" localSheetId="2">{#N/A,#N/A,FALSE,"Plan1";#N/A,#N/A,FALSE,"Plan2"}</definedName>
    <definedName name="ASDFASDFA"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ASDFADF"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rrt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asdfs" localSheetId="2">{#N/A,#N/A,FALSE,"Plan1";#N/A,#N/A,FALSE,"Plan2"}</definedName>
    <definedName name="asdg" localSheetId="2">{#N/A,#N/A,FALSE,"Plan1";#N/A,#N/A,FALSE,"Plan2"}</definedName>
    <definedName name="asdked"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asdlas" localSheetId="2">{#N/A,#N/A,FALSE,"Plan1";#N/A,#N/A,FALSE,"Plan2"}</definedName>
    <definedName name="asdqwe" localSheetId="2">{#N/A,#N/A,FALSE,"Plan1";#N/A,#N/A,FALSE,"Plan2"}</definedName>
    <definedName name="asdsa" localSheetId="2">{#N/A,#N/A,FALSE,"Plan1";#N/A,#N/A,FALSE,"Plan2"}</definedName>
    <definedName name="asdser" localSheetId="2">{#N/A,#N/A,FALSE,"Plan1";#N/A,#N/A,FALSE,"Plan2"}</definedName>
    <definedName name="asdwef" localSheetId="2">{#N/A,#N/A,FALSE,"Plan1";#N/A,#N/A,FALSE,"Plan2"}</definedName>
    <definedName name="ASET" localSheetId="2">{#N/A,#N/A,FALSE,"Plan1";#N/A,#N/A,FALSE,"Plan2"}</definedName>
    <definedName name="asfDSF" localSheetId="2">{#N/A,#N/A,FALSE,"Plan1";#N/A,#N/A,FALSE,"Plan2"}</definedName>
    <definedName name="ASFERTE" localSheetId="2">{#N/A,#N/A,FALSE,"Plan1";#N/A,#N/A,FALSE,"Plan2"}</definedName>
    <definedName name="asfl" localSheetId="2">{#N/A,#N/A,FALSE,"Plan1";#N/A,#N/A,FALSE,"Plan2"}</definedName>
    <definedName name="asfsz" localSheetId="2">{#N/A,#N/A,FALSE,"Plan1";#N/A,#N/A,FALSE,"Plan2"}</definedName>
    <definedName name="askserf" localSheetId="2">{#N/A,#N/A,FALSE,"Plan1";#N/A,#N/A,FALSE,"Plan2"}</definedName>
    <definedName name="ASSFSDF" localSheetId="2">{#N/A,#N/A,FALSE,"Plan1";#N/A,#N/A,FALSE,"Plan2"}</definedName>
    <definedName name="asw" localSheetId="2">{#N/A,#N/A,FALSE,"Plan1";#N/A,#N/A,FALSE,"Plan2"}</definedName>
    <definedName name="ATIVOS" localSheetId="2">{#N/A,#N/A,FALSE,"F-01"}</definedName>
    <definedName name="aux" localSheetId="2">#REF!</definedName>
    <definedName name="awdjw" localSheetId="2">{#N/A,#N/A,FALSE,"Plan1";#N/A,#N/A,FALSE,"Plan2"}</definedName>
    <definedName name="aweqw4" localSheetId="2">{#N/A,#N/A,FALSE,"Plan1";#N/A,#N/A,FALSE,"Plan2"}</definedName>
    <definedName name="awssdwaer" localSheetId="2">{#N/A,#N/A,FALSE,"Plan1";#N/A,#N/A,FALSE,"Plan2"}</definedName>
    <definedName name="b" localSheetId="2">{#N/A,#N/A,FALSE,"Plan1";#N/A,#N/A,FALSE,"Plan2"}</definedName>
    <definedName name="bbbbbbbbbbbbbbb" localSheetId="2">{"'Edit'!$A$1:$V$2277"}</definedName>
    <definedName name="BDA" localSheetId="2">#REF!</definedName>
    <definedName name="bdfjghf" localSheetId="2">{#N/A,#N/A,FALSE,"Plan1";#N/A,#N/A,FALSE,"Plan2"}</definedName>
    <definedName name="BDI" localSheetId="2">#REF!</definedName>
    <definedName name="bdzbfbdr" localSheetId="2">{#N/A,#N/A,FALSE,"Plan1";#N/A,#N/A,FALSE,"Plan2"}</definedName>
    <definedName name="BGG" localSheetId="2">{#N/A,#N/A,FALSE,"Plan1";#N/A,#N/A,FALSE,"Plan2"}</definedName>
    <definedName name="bhjgfhfhg"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BJGO"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BJSDKHFE" localSheetId="2">{#N/A,#N/A,FALSE,"Plan1";#N/A,#N/A,FALSE,"Plan2"}</definedName>
    <definedName name="bmdgghrtfde" localSheetId="2">{#N/A,#N/A,FALSE,"Plan1";#N/A,#N/A,FALSE,"Plan2"}</definedName>
    <definedName name="bnkjhjhdfxgt" localSheetId="2">{#N/A,#N/A,FALSE,"Plan1";#N/A,#N/A,FALSE,"Plan2"}</definedName>
    <definedName name="BORDA1" localSheetId="2">#REF!</definedName>
    <definedName name="bxnzfmkzxbhdf" localSheetId="2">{#N/A,#N/A,FALSE,"Plan1";#N/A,#N/A,FALSE,"Plan2"}</definedName>
    <definedName name="ca" localSheetId="2">#REF!</definedName>
    <definedName name="CAB" localSheetId="2">#REF!</definedName>
    <definedName name="caixas" localSheetId="2">{#N/A,#N/A,FALSE,"GERAL";#N/A,#N/A,FALSE,"012-96";#N/A,#N/A,FALSE,"018-96";#N/A,#N/A,FALSE,"027-96";#N/A,#N/A,FALSE,"059-96";#N/A,#N/A,FALSE,"076-96";#N/A,#N/A,FALSE,"019-97";#N/A,#N/A,FALSE,"021-97";#N/A,#N/A,FALSE,"022-97";#N/A,#N/A,FALSE,"028-97"}</definedName>
    <definedName name="çaos\ewapo" localSheetId="2" hidden="1">{#N/A,#N/A,FALSE,"Plan1";#N/A,#N/A,FALSE,"Plan2"}</definedName>
    <definedName name="Capa" localSheetId="2">#REF!</definedName>
    <definedName name="CAT6_IP" localSheetId="2">{#N/A,#N/A,FALSE,"F-01"}</definedName>
    <definedName name="ççç" localSheetId="2">{#N/A,#N/A,FALSE,"Plan1";#N/A,#N/A,FALSE,"Plan2"}</definedName>
    <definedName name="cccc" localSheetId="2">{#N/A,#N/A,FALSE,"Plan1";#N/A,#N/A,FALSE,"Plan2"}</definedName>
    <definedName name="ççççççç"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cccccccc"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cccccccccccccccc" localSheetId="2">{"HW",#N/A,FALSE,"1998"}</definedName>
    <definedName name="çcklfjk"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çdfmerf" localSheetId="2">{#N/A,#N/A,FALSE,"Plan1";#N/A,#N/A,FALSE,"Plan2"}</definedName>
    <definedName name="CDSGHE" localSheetId="2">{#N/A,#N/A,FALSE,"Plan1";#N/A,#N/A,FALSE,"Plan2"}</definedName>
    <definedName name="çfhjglkjhkljyhj"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çflçf" localSheetId="2">{#N/A,#N/A,FALSE,"Plan1";#N/A,#N/A,FALSE,"Plan2"}</definedName>
    <definedName name="chfch" localSheetId="2">{#N/A,#N/A,FALSE,"Plan1";#N/A,#N/A,FALSE,"Plan2"}</definedName>
    <definedName name="ÇJKRÇLFS" localSheetId="2">{"Econ Consolidado",#N/A,FALSE,"Econ Consol";"Fluxo de Caixa",#N/A,FALSE,"Fluxo Caixa";"Investimentos",#N/A,FALSE,"Investimentos"}</definedName>
    <definedName name="ÇJsrejtçe" localSheetId="2">{#N/A,#N/A,FALSE,"Plan1";#N/A,#N/A,FALSE,"Plan2"}</definedName>
    <definedName name="çkaçekow" localSheetId="2">{#N/A,#N/A,FALSE,"Plan1";#N/A,#N/A,FALSE,"Plan2"}</definedName>
    <definedName name="ÇKSDOEKR" localSheetId="2">{#N/A,#N/A,FALSE,"Plan1";#N/A,#N/A,FALSE,"Plan2"}</definedName>
    <definedName name="çl" localSheetId="2">{#N/A,#N/A,FALSE,"Plan1";#N/A,#N/A,FALSE,"Plan2"}</definedName>
    <definedName name="çlassde" localSheetId="2">{#N/A,#N/A,FALSE,"Plan1";#N/A,#N/A,FALSE,"Plan2"}</definedName>
    <definedName name="çlçlç" localSheetId="2">{#N/A,#N/A,FALSE,"Plan1";#N/A,#N/A,FALSE,"Plan2"}</definedName>
    <definedName name="çld" localSheetId="2">{#N/A,#N/A,FALSE,"Plan1";#N/A,#N/A,FALSE,"Plan2"}</definedName>
    <definedName name="çlererr" localSheetId="2">{#N/A,#N/A,FALSE,"Plan1";#N/A,#N/A,FALSE,"Plan2"}</definedName>
    <definedName name="çlertert" localSheetId="2">{#N/A,#N/A,FALSE,"Plan1";#N/A,#N/A,FALSE,"Plan2"}</definedName>
    <definedName name="çll" localSheetId="2">{#N/A,#N/A,FALSE,"Plan1";#N/A,#N/A,FALSE,"Plan2"}</definedName>
    <definedName name="CMC" localSheetId="2">{#N/A,#N/A,FALSE,"GERAL";#N/A,#N/A,FALSE,"012-96";#N/A,#N/A,FALSE,"018-96";#N/A,#N/A,FALSE,"027-96";#N/A,#N/A,FALSE,"059-96";#N/A,#N/A,FALSE,"076-96";#N/A,#N/A,FALSE,"019-97";#N/A,#N/A,FALSE,"021-97";#N/A,#N/A,FALSE,"022-97";#N/A,#N/A,FALSE,"028-97"}</definedName>
    <definedName name="CONFIRMAR" localSheetId="2">{#N/A,#N/A,TRUE,"Quinzena 01 à 15-04-98 "}</definedName>
    <definedName name="cont" localSheetId="2">{#N/A,#N/A,FALSE,"Plan1";#N/A,#N/A,FALSE,"Plan2"}</definedName>
    <definedName name="Controle_Tecnologico" localSheetId="2" hidden="1">{#N/A,#N/A,FALSE,"Plan1";#N/A,#N/A,FALSE,"Plan2"}</definedName>
    <definedName name="cronograma" localSheetId="2">#REF!</definedName>
    <definedName name="ÇSAÇDFW"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CSE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ÇSLÇDLFKD" localSheetId="2">{#N/A,#N/A,FALSE,"Plan1";#N/A,#N/A,FALSE,"Plan2"}</definedName>
    <definedName name="CTH" localSheetId="2">{#N/A,#N/A,FALSE,"GERAL";#N/A,#N/A,FALSE,"012-96";#N/A,#N/A,FALSE,"018-96";#N/A,#N/A,FALSE,"027-96";#N/A,#N/A,FALSE,"059-96";#N/A,#N/A,FALSE,"076-96";#N/A,#N/A,FALSE,"019-97";#N/A,#N/A,FALSE,"021-97";#N/A,#N/A,FALSE,"022-97";#N/A,#N/A,FALSE,"028-97"}</definedName>
    <definedName name="D" localSheetId="2">#REF!</definedName>
    <definedName name="dalmo" localSheetId="2">{#N/A,#N/A,FALSE,"GERAL";#N/A,#N/A,FALSE,"012-96";#N/A,#N/A,FALSE,"018-96";#N/A,#N/A,FALSE,"027-96";#N/A,#N/A,FALSE,"059-96";#N/A,#N/A,FALSE,"076-96";#N/A,#N/A,FALSE,"019-97";#N/A,#N/A,FALSE,"021-97";#N/A,#N/A,FALSE,"022-97";#N/A,#N/A,FALSE,"028-97"}</definedName>
    <definedName name="dasfrt" localSheetId="2">{#N/A,#N/A,FALSE,"Plan1";#N/A,#N/A,FALSE,"Plan2"}</definedName>
    <definedName name="DÇDL" localSheetId="2">{#N/A,#N/A,FALSE,"Plan1";#N/A,#N/A,FALSE,"Plan2"}</definedName>
    <definedName name="dcnsfgdjkgb" localSheetId="2">{#N/A,#N/A,FALSE,"Plan1";#N/A,#N/A,FALSE,"Plan2"}</definedName>
    <definedName name="DÇWK" localSheetId="2">{#N/A,#N/A,FALSE,"Plan1";#N/A,#N/A,FALSE,"Plan2"}</definedName>
    <definedName name="DD"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dd" localSheetId="2">{"'장비'!$A$3:$M$12"}</definedName>
    <definedName name="ddddd" localSheetId="2">{#N/A,#N/A,FALSE,"Plan1";#N/A,#N/A,FALSE,"Plan2"}</definedName>
    <definedName name="dde" localSheetId="2">{#N/A,#N/A,FALSE,"Plan1";#N/A,#N/A,FALSE,"Plan2"}</definedName>
    <definedName name="ddgfdvgdg"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DGSFG" localSheetId="2">{#N/A,#N/A,FALSE,"Plan1";#N/A,#N/A,FALSE,"Plan2"}</definedName>
    <definedName name="dede" localSheetId="2">{#N/A,#N/A,FALSE,"Plan1";#N/A,#N/A,FALSE,"Plan2"}</definedName>
    <definedName name="des" localSheetId="2">{#N/A,#N/A,FALSE,"Plan1";#N/A,#N/A,FALSE,"Plan2"}</definedName>
    <definedName name="desc" localSheetId="2">{#N/A,#N/A,FALSE,"Plan1";#N/A,#N/A,FALSE,"Plan2"}</definedName>
    <definedName name="d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FD" localSheetId="2">{#N/A,#N/A,FALSE,"명세표"}</definedName>
    <definedName name="dfdfty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fdjgfdfgdf" localSheetId="2">{#N/A,#N/A,FALSE,"Plan1";#N/A,#N/A,FALSE,"Plan2"}</definedName>
    <definedName name="dfdrtrr" localSheetId="2">{#N/A,#N/A,FALSE,"Plan1";#N/A,#N/A,FALSE,"Plan2"}</definedName>
    <definedName name="DFDSG" localSheetId="2">{#N/A,#N/A,FALSE,"Plan1";#N/A,#N/A,FALSE,"Plan2"}</definedName>
    <definedName name="dfer" localSheetId="2">{#N/A,#N/A,FALSE,"Plan1";#N/A,#N/A,FALSE,"Plan2"}</definedName>
    <definedName name="dffbty" localSheetId="2">{#N/A,#N/A,FALSE,"Plan1";#N/A,#N/A,FALSE,"Plan2"}</definedName>
    <definedName name="dffgk"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ffhg" localSheetId="2">{#N/A,#N/A,FALSE,"Plan1";#N/A,#N/A,FALSE,"Plan2"}</definedName>
    <definedName name="dfg" localSheetId="2">{#N/A,#N/A,FALSE,"Plan1";#N/A,#N/A,FALSE,"Plan2"}</definedName>
    <definedName name="dfgdf" localSheetId="2">{#N/A,#N/A,FALSE,"Plan1";#N/A,#N/A,FALSE,"Plan2"}</definedName>
    <definedName name="dfgdytygr" localSheetId="2">{#N/A,#N/A,FALSE,"Plan1";#N/A,#N/A,FALSE,"Plan2"}</definedName>
    <definedName name="dfgftrrdt5" localSheetId="2">{#N/A,#N/A,FALSE,"Plan1";#N/A,#N/A,FALSE,"Plan2"}</definedName>
    <definedName name="dfghjfhsg" localSheetId="2">{#N/A,#N/A,FALSE,"Plan1";#N/A,#N/A,FALSE,"Plan2"}</definedName>
    <definedName name="dfgj" localSheetId="2">{#N/A,#N/A,FALSE,"Plan1";#N/A,#N/A,FALSE,"Plan2"}</definedName>
    <definedName name="dfgjfttyd" localSheetId="2">{#N/A,#N/A,FALSE,"Plan1";#N/A,#N/A,FALSE,"Plan2"}</definedName>
    <definedName name="dfgjjtdrtg" localSheetId="2">{#N/A,#N/A,FALSE,"Plan1";#N/A,#N/A,FALSE,"Plan2"}</definedName>
    <definedName name="dfgt" localSheetId="2">{#N/A,#N/A,FALSE,"Plan1";#N/A,#N/A,FALSE,"Plan2"}</definedName>
    <definedName name="dfgtrkjhk" localSheetId="2">{#N/A,#N/A,FALSE,"Plan1";#N/A,#N/A,FALSE,"Plan2"}</definedName>
    <definedName name="dfgty" localSheetId="2">{#N/A,#N/A,FALSE,"Plan1";#N/A,#N/A,FALSE,"Plan2"}</definedName>
    <definedName name="dfhdgfdgf" localSheetId="2">{#N/A,#N/A,FALSE,"Plan1";#N/A,#N/A,FALSE,"Plan2"}</definedName>
    <definedName name="DFHDJGJFHJGF" localSheetId="2">{#N/A,#N/A,FALSE,"Plan1";#N/A,#N/A,FALSE,"Plan2"}</definedName>
    <definedName name="dfhdyg" localSheetId="2">{#N/A,#N/A,FALSE,"Plan1";#N/A,#N/A,FALSE,"Plan2"}</definedName>
    <definedName name="DFHGDHUR" localSheetId="2">{#N/A,#N/A,FALSE,"Plan1";#N/A,#N/A,FALSE,"Plan2"}</definedName>
    <definedName name="dfhgjfgdhfjdrf" localSheetId="2">{#N/A,#N/A,FALSE,"Plan1";#N/A,#N/A,FALSE,"Plan2"}</definedName>
    <definedName name="dfhgkhfut" localSheetId="2">{#N/A,#N/A,FALSE,"Plan1";#N/A,#N/A,FALSE,"Plan2"}</definedName>
    <definedName name="dfhguitrhfg" localSheetId="2">{#N/A,#N/A,FALSE,"Plan1";#N/A,#N/A,FALSE,"Plan2"}</definedName>
    <definedName name="DFHKHDGKJHDKS" localSheetId="2">{#N/A,#N/A,FALSE,"Plan1";#N/A,#N/A,FALSE,"Plan2"}</definedName>
    <definedName name="dfjgjfhykj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fjkgtdftr" localSheetId="2">{#N/A,#N/A,FALSE,"Plan1";#N/A,#N/A,FALSE,"Plan2"}</definedName>
    <definedName name="dfkhgfg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fkj"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fknfhkdrj" localSheetId="2">{#N/A,#N/A,FALSE,"Plan1";#N/A,#N/A,FALSE,"Plan2"}</definedName>
    <definedName name="dfnert" localSheetId="2">{#N/A,#N/A,FALSE,"Plan1";#N/A,#N/A,FALSE,"Plan2"}</definedName>
    <definedName name="dfrt" localSheetId="2">{#N/A,#N/A,FALSE,"Plan1";#N/A,#N/A,FALSE,"Plan2"}</definedName>
    <definedName name="dfsdr5tt" localSheetId="2">{#N/A,#N/A,FALSE,"Plan1";#N/A,#N/A,FALSE,"Plan2"}</definedName>
    <definedName name="dfsd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fsdtr" localSheetId="2">{#N/A,#N/A,FALSE,"Plan1";#N/A,#N/A,FALSE,"Plan2"}</definedName>
    <definedName name="dfsf" localSheetId="2">{#N/A,#N/A,FALSE,"Plan1";#N/A,#N/A,FALSE,"Plan2"}</definedName>
    <definedName name="DFT" localSheetId="2">{#N/A,#N/A,FALSE,"Plan1";#N/A,#N/A,FALSE,"Plan2"}</definedName>
    <definedName name="DFTRTTY" localSheetId="2">{#N/A,#N/A,FALSE,"Plan1";#N/A,#N/A,FALSE,"Plan2"}</definedName>
    <definedName name="dfurghifdjyhits" localSheetId="2">{#N/A,#N/A,FALSE,"Plan1";#N/A,#N/A,FALSE,"Plan2"}</definedName>
    <definedName name="dfxgdrged" localSheetId="2">{#N/A,#N/A,FALSE,"Plan1";#N/A,#N/A,FALSE,"Plan2"}</definedName>
    <definedName name="dgfrtyt" localSheetId="2">{#N/A,#N/A,FALSE,"Plan1";#N/A,#N/A,FALSE,"Plan2"}</definedName>
    <definedName name="dggfdg" localSheetId="2">{#N/A,#N/A,FALSE,"Plan1";#N/A,#N/A,FALSE,"Plan2"}</definedName>
    <definedName name="dgldfhgkljslh" localSheetId="2">{#N/A,#N/A,FALSE,"Plan1";#N/A,#N/A,FALSE,"Plan2"}</definedName>
    <definedName name="dhfgdhrehrwe" localSheetId="2">{#N/A,#N/A,FALSE,"Plan1";#N/A,#N/A,FALSE,"Plan2"}</definedName>
    <definedName name="dhgfdgrfgdfgd" localSheetId="2">{#N/A,#N/A,FALSE,"Plan1";#N/A,#N/A,FALSE,"Plan2"}</definedName>
    <definedName name="dhkjfhdhfjdh" localSheetId="2">{#N/A,#N/A,FALSE,"Plan1";#N/A,#N/A,FALSE,"Plan2"}</definedName>
    <definedName name="DHTJRT" localSheetId="2">{#N/A,#N/A,FALSE,"Plan1";#N/A,#N/A,FALSE,"Plan2"}</definedName>
    <definedName name="dijghdhks" localSheetId="2">{#N/A,#N/A,FALSE,"Plan1";#N/A,#N/A,FALSE,"Plan2"}</definedName>
    <definedName name="direto" localSheetId="2">#REF!</definedName>
    <definedName name="djasdrjas" localSheetId="2">{#N/A,#N/A,FALSE,"Plan1";#N/A,#N/A,FALSE,"Plan2"}</definedName>
    <definedName name="dj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jfkhjhfgrgdfh" localSheetId="2">{#N/A,#N/A,FALSE,"Plan1";#N/A,#N/A,FALSE,"Plan2"}</definedName>
    <definedName name="djfkhsdkjhf" localSheetId="2">{#N/A,#N/A,FALSE,"Plan1";#N/A,#N/A,FALSE,"Plan2"}</definedName>
    <definedName name="djfldjsgljslkjtg" localSheetId="2">{#N/A,#N/A,FALSE,"Plan1";#N/A,#N/A,FALSE,"Plan2"}</definedName>
    <definedName name="djflkdjgdth" localSheetId="2">{#N/A,#N/A,FALSE,"Plan1";#N/A,#N/A,FALSE,"Plan2"}</definedName>
    <definedName name="DJFLKDJGKTJYJT" localSheetId="2">{#N/A,#N/A,FALSE,"Plan1";#N/A,#N/A,FALSE,"Plan2"}</definedName>
    <definedName name="djgkfjgtiyty" localSheetId="2">{#N/A,#N/A,FALSE,"Plan1";#N/A,#N/A,FALSE,"Plan2"}</definedName>
    <definedName name="djrkehrjfhng" localSheetId="2">{#N/A,#N/A,FALSE,"Plan1";#N/A,#N/A,FALSE,"Plan2"}</definedName>
    <definedName name="djtkjldfr" localSheetId="2">{#N/A,#N/A,FALSE,"Plan1";#N/A,#N/A,FALSE,"Plan2"}</definedName>
    <definedName name="DJXDLFGDFG" localSheetId="2">{#N/A,#N/A,FALSE,"Plan1";#N/A,#N/A,FALSE,"Plan2"}</definedName>
    <definedName name="dkdkdkdkd" localSheetId="2">{#N/A,#N/A,FALSE,"명세표"}</definedName>
    <definedName name="dkfhskgf" localSheetId="2">{#N/A,#N/A,FALSE,"Plan1";#N/A,#N/A,FALSE,"Plan2"}</definedName>
    <definedName name="dkjfk" localSheetId="2">{#N/A,#N/A,FALSE,"Plan1";#N/A,#N/A,FALSE,"Plan2"}</definedName>
    <definedName name="DKLD" localSheetId="2">{#N/A,#N/A,FALSE,"Plan1";#N/A,#N/A,FALSE,"Plan2"}</definedName>
    <definedName name="DKLFJDKFD" localSheetId="2">{#N/A,#N/A,FALSE,"Plan1";#N/A,#N/A,FALSE,"Plan2"}</definedName>
    <definedName name="dklfjgirtgid" localSheetId="2">{#N/A,#N/A,FALSE,"Plan1";#N/A,#N/A,FALSE,"Plan2"}</definedName>
    <definedName name="dklfm"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mbfmndbmtrhed" localSheetId="2">{#N/A,#N/A,FALSE,"Plan1";#N/A,#N/A,FALSE,"Plan2"}</definedName>
    <definedName name="DNFJKDHTKRE" localSheetId="2">{#N/A,#N/A,FALSE,"Plan1";#N/A,#N/A,FALSE,"Plan2"}</definedName>
    <definedName name="dng" localSheetId="2">{#N/A,#N/A,FALSE,"GERAL";#N/A,#N/A,FALSE,"012-96";#N/A,#N/A,FALSE,"018-96";#N/A,#N/A,FALSE,"027-96";#N/A,#N/A,FALSE,"059-96";#N/A,#N/A,FALSE,"076-96";#N/A,#N/A,FALSE,"019-97";#N/A,#N/A,FALSE,"021-97";#N/A,#N/A,FALSE,"022-97";#N/A,#N/A,FALSE,"028-97"}</definedName>
    <definedName name="DRE" localSheetId="2">#REF!</definedName>
    <definedName name="drewr" localSheetId="2">{#N/A,#N/A,FALSE,"Plan1";#N/A,#N/A,FALSE,"Plan2"}</definedName>
    <definedName name="DRRJR" localSheetId="2">{#N/A,#N/A,FALSE,"Plan1";#N/A,#N/A,FALSE,"Plan2"}</definedName>
    <definedName name="drtrt" localSheetId="2">{"'Estimativa de Lançamento-JAN'!$A$1:$AI$85"}</definedName>
    <definedName name="dsdrf" localSheetId="2">{#N/A,#N/A,FALSE,"Plan1";#N/A,#N/A,FALSE,"Plan2"}</definedName>
    <definedName name="dsfdf" localSheetId="2">{#N/A,#N/A,FALSE,"Plan1";#N/A,#N/A,FALSE,"Plan2"}</definedName>
    <definedName name="dsfg" localSheetId="2">{#N/A,#N/A,FALSE,"Plan1";#N/A,#N/A,FALSE,"Plan2"}</definedName>
    <definedName name="DSFKDSKH" localSheetId="2">{#N/A,#N/A,FALSE,"Plan1";#N/A,#N/A,FALSE,"Plan2"}</definedName>
    <definedName name="DSFR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sfrtyy" localSheetId="2">{#N/A,#N/A,FALSE,"Plan1";#N/A,#N/A,FALSE,"Plan2"}</definedName>
    <definedName name="DSFSAD" localSheetId="2">{#N/A,#N/A,FALSE,"Plan1";#N/A,#N/A,FALSE,"Plan2"}</definedName>
    <definedName name="dsfsdf" localSheetId="2">{#N/A,#N/A,FALSE,"Plan1";#N/A,#N/A,FALSE,"Plan2"}</definedName>
    <definedName name="dsfsdgfb" localSheetId="2">{#N/A,#N/A,FALSE,"Plan1";#N/A,#N/A,FALSE,"Plan2"}</definedName>
    <definedName name="dsgfr" localSheetId="2">{#N/A,#N/A,FALSE,"Plan1";#N/A,#N/A,FALSE,"Plan2"}</definedName>
    <definedName name="dshfkhkrhesru" localSheetId="2">{#N/A,#N/A,FALSE,"Plan1";#N/A,#N/A,FALSE,"Plan2"}</definedName>
    <definedName name="dsjkthkr" localSheetId="2">{#N/A,#N/A,FALSE,"Plan1";#N/A,#N/A,FALSE,"Plan2"}</definedName>
    <definedName name="DSLFJSLFJ" localSheetId="2">{#N/A,#N/A,FALSE,"Plan1";#N/A,#N/A,FALSE,"Plan2"}</definedName>
    <definedName name="dsrffg"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srgdergdrg" localSheetId="2">{#N/A,#N/A,FALSE,"GERAL";#N/A,#N/A,FALSE,"012-96";#N/A,#N/A,FALSE,"018-96";#N/A,#N/A,FALSE,"027-96";#N/A,#N/A,FALSE,"059-96";#N/A,#N/A,FALSE,"076-96";#N/A,#N/A,FALSE,"019-97";#N/A,#N/A,FALSE,"021-97";#N/A,#N/A,FALSE,"022-97";#N/A,#N/A,FALSE,"028-97"}</definedName>
    <definedName name="dss" localSheetId="2">{#N/A,#N/A,FALSE,"Plan1";#N/A,#N/A,FALSE,"Plan2"}</definedName>
    <definedName name="dtgsrytt" localSheetId="2">{#N/A,#N/A,FALSE,"Plan1";#N/A,#N/A,FALSE,"Plan2"}</definedName>
    <definedName name="dtrjkhtrgkfh" localSheetId="2">{#N/A,#N/A,FALSE,"Plan1";#N/A,#N/A,FALSE,"Plan2"}</definedName>
    <definedName name="dttjuk" localSheetId="2">{#N/A,#N/A,FALSE,"Plan1";#N/A,#N/A,FALSE,"Plan2"}</definedName>
    <definedName name="dvtry"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dwetrt" localSheetId="2">{#N/A,#N/A,FALSE,"Plan1";#N/A,#N/A,FALSE,"Plan2"}</definedName>
    <definedName name="DY"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YHYGJDHZKGF" localSheetId="2">{#N/A,#N/A,FALSE,"Plan1";#N/A,#N/A,FALSE,"Plan2"}</definedName>
    <definedName name="dzdfr" localSheetId="2">{#N/A,#N/A,FALSE,"Plan1";#N/A,#N/A,FALSE,"Plan2"}</definedName>
    <definedName name="e"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ea" localSheetId="2">#REF!</definedName>
    <definedName name="EC"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EW" localSheetId="2">{#N/A,#N/A,FALSE,"F-01"}</definedName>
    <definedName name="ECEW_1" localSheetId="2">{#N/A,#N/A,FALSE,"F-01"}</definedName>
    <definedName name="ECS"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E" localSheetId="2">{#N/A,#N/A,FALSE,"Plan1";#N/A,#N/A,FALSE,"Plan2"}</definedName>
    <definedName name="eee" localSheetId="2">{#N/A,#N/A,FALSE,"ET-CAPA";#N/A,#N/A,FALSE,"ET-PAG1";#N/A,#N/A,FALSE,"ET-PAG2";#N/A,#N/A,FALSE,"ET-PAG3";#N/A,#N/A,FALSE,"ET-PAG4";#N/A,#N/A,FALSE,"ET-PAG5"}</definedName>
    <definedName name="efestfr" localSheetId="2">{#N/A,#N/A,FALSE,"Plan1";#N/A,#N/A,FALSE,"Plan2"}</definedName>
    <definedName name="efrdrt" localSheetId="2">{#N/A,#N/A,FALSE,"Plan1";#N/A,#N/A,FALSE,"Plan2"}</definedName>
    <definedName name="efrg" localSheetId="2">{#N/A,#N/A,FALSE,"Plan1";#N/A,#N/A,FALSE,"Plan2"}</definedName>
    <definedName name="efsgfr" localSheetId="2">{#N/A,#N/A,FALSE,"Plan1";#N/A,#N/A,FALSE,"Plan2"}</definedName>
    <definedName name="ER" localSheetId="2">{#N/A,#N/A,FALSE,"GERAL";#N/A,#N/A,FALSE,"012-96";#N/A,#N/A,FALSE,"018-96";#N/A,#N/A,FALSE,"027-96";#N/A,#N/A,FALSE,"059-96";#N/A,#N/A,FALSE,"076-96";#N/A,#N/A,FALSE,"019-97";#N/A,#N/A,FALSE,"021-97";#N/A,#N/A,FALSE,"022-97";#N/A,#N/A,FALSE,"028-97"}</definedName>
    <definedName name="ergerge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ergfhyu" localSheetId="2">{#N/A,#N/A,FALSE,"Plan1";#N/A,#N/A,FALSE,"Plan2"}</definedName>
    <definedName name="ESGFDSFD" localSheetId="2">{#N/A,#N/A,FALSE,"Plan1";#N/A,#N/A,FALSE,"Plan2"}</definedName>
    <definedName name="EU" localSheetId="2">{#N/A,#N/A,FALSE,"Plan1";#N/A,#N/A,FALSE,"Plan2"}</definedName>
    <definedName name="EVL" localSheetId="2">{"Econ Consolidado",#N/A,FALSE,"Econ Consol";"Fluxo de Caixa",#N/A,FALSE,"Fluxo Caixa";"Investimentos",#N/A,FALSE,"Investimentos"}</definedName>
    <definedName name="Evol." localSheetId="2">{"Econ Consolidado",#N/A,FALSE,"Econ Consol";"Fluxo de Caixa",#N/A,FALSE,"Fluxo Caixa";"Investimentos",#N/A,FALSE,"Investimentos"}</definedName>
    <definedName name="ewfr" localSheetId="2">{#N/A,#N/A,FALSE,"Plan1";#N/A,#N/A,FALSE,"Plan2"}</definedName>
    <definedName name="eyruieyteta" localSheetId="2">{#N/A,#N/A,FALSE,"Plan1";#N/A,#N/A,FALSE,"Plan2"}</definedName>
    <definedName name="f" localSheetId="2">{#N/A,#N/A,FALSE,"Plan1";#N/A,#N/A,FALSE,"Plan2"}</definedName>
    <definedName name="FAS" localSheetId="2">{"'Total'!$A$1","'Total'!$A$3"}</definedName>
    <definedName name="fasfasf" localSheetId="2">{#N/A,#N/A,TRUE,"Quinzena 01 à 15-04-98 "}</definedName>
    <definedName name="fddhght" localSheetId="2">{#N/A,#N/A,FALSE,"Plan1";#N/A,#N/A,FALSE,"Plan2"}</definedName>
    <definedName name="fdfgd" localSheetId="2">{#N/A,#N/A,FALSE,"Plan1";#N/A,#N/A,FALSE,"Plan2"}</definedName>
    <definedName name="fdfng" localSheetId="2">{#N/A,#N/A,FALSE,"GERAL";#N/A,#N/A,FALSE,"012-96";#N/A,#N/A,FALSE,"018-96";#N/A,#N/A,FALSE,"027-96";#N/A,#N/A,FALSE,"059-96";#N/A,#N/A,FALSE,"076-96";#N/A,#N/A,FALSE,"019-97";#N/A,#N/A,FALSE,"021-97";#N/A,#N/A,FALSE,"022-97";#N/A,#N/A,FALSE,"028-97"}</definedName>
    <definedName name="fdgaf" localSheetId="2">{#N/A,#N/A,FALSE,"Plan1";#N/A,#N/A,FALSE,"Plan2"}</definedName>
    <definedName name="fdgdfg"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FDGFDJHGZEDR" localSheetId="2">{#N/A,#N/A,FALSE,"Plan1";#N/A,#N/A,FALSE,"Plan2"}</definedName>
    <definedName name="fdgfyhygfuj" localSheetId="2">{#N/A,#N/A,FALSE,"Plan1";#N/A,#N/A,FALSE,"Plan2"}</definedName>
    <definedName name="fdhgfdf" localSheetId="2">{#N/A,#N/A,FALSE,"Plan1";#N/A,#N/A,FALSE,"Plan2"}</definedName>
    <definedName name="fdjfgdfjg" localSheetId="2">{#N/A,#N/A,FALSE,"Plan1";#N/A,#N/A,FALSE,"Plan2"}</definedName>
    <definedName name="fdjghkshtygt" localSheetId="2">{#N/A,#N/A,FALSE,"Plan1";#N/A,#N/A,FALSE,"Plan2"}</definedName>
    <definedName name="fdnhgf" localSheetId="2">{"'Estimativa de Lançamento-JAN'!$A$1:$AI$85"}</definedName>
    <definedName name="fdsf" localSheetId="2">{#N/A,#N/A,FALSE,"Plan1";#N/A,#N/A,FALSE,"Plan2"}</definedName>
    <definedName name="fffff" localSheetId="2">{#N/A,#N/A,FALSE,"Plan1";#N/A,#N/A,FALSE,"Plan2"}</definedName>
    <definedName name="FFFFFFF" localSheetId="2">#REF!</definedName>
    <definedName name="FFTY" localSheetId="2">{#N/A,#N/A,FALSE,"GERAL";#N/A,#N/A,FALSE,"012-96";#N/A,#N/A,FALSE,"018-96";#N/A,#N/A,FALSE,"027-96";#N/A,#N/A,FALSE,"059-96";#N/A,#N/A,FALSE,"076-96";#N/A,#N/A,FALSE,"019-97";#N/A,#N/A,FALSE,"021-97";#N/A,#N/A,FALSE,"022-97";#N/A,#N/A,FALSE,"028-97"}</definedName>
    <definedName name="fg" localSheetId="2">{#N/A,#N/A,FALSE,"Plan1";#N/A,#N/A,FALSE,"Plan2"}</definedName>
    <definedName name="fgg" localSheetId="2">{"'장비'!$A$3:$M$12"}</definedName>
    <definedName name="fghfh" localSheetId="2">{"'Estimativa de Lançamento-JAN'!$A$1:$AI$85"}</definedName>
    <definedName name="fghgfh" localSheetId="2">{#N/A,#N/A,FALSE,"Plan1";#N/A,#N/A,FALSE,"Plan2"}</definedName>
    <definedName name="FGJHFGK" localSheetId="2">{#N/A,#N/A,FALSE,"Plan1";#N/A,#N/A,FALSE,"Plan2"}</definedName>
    <definedName name="fgktyhdf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fgtrgty" localSheetId="2">{#N/A,#N/A,FALSE,"Plan1";#N/A,#N/A,FALSE,"Plan2"}</definedName>
    <definedName name="fhgjfgyt" localSheetId="2">{#N/A,#N/A,FALSE,"Plan1";#N/A,#N/A,FALSE,"Plan2"}</definedName>
    <definedName name="fhgjkhtrfg" localSheetId="2">{#N/A,#N/A,FALSE,"Plan1";#N/A,#N/A,FALSE,"Plan2"}</definedName>
    <definedName name="FHGTGSRSG" localSheetId="2">{#N/A,#N/A,FALSE,"Plan1";#N/A,#N/A,FALSE,"Plan2"}</definedName>
    <definedName name="FIELD"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ILTRO" localSheetId="2">{#N/A,#N/A,TRUE,"Quinzena 01 à 15-04-98 "}</definedName>
    <definedName name="fjdhfgjdhtgu" localSheetId="2">{#N/A,#N/A,FALSE,"Plan1";#N/A,#N/A,FALSE,"Plan2"}</definedName>
    <definedName name="fjfjg" localSheetId="2">{#N/A,#N/A,FALSE,"명세표"}</definedName>
    <definedName name="FJGHJ"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FJHJHG" localSheetId="2">{#N/A,#N/A,FALSE,"Plan1";#N/A,#N/A,FALSE,"Plan2"}</definedName>
    <definedName name="fjtgfh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FKF"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kfw" localSheetId="2">{#N/A,#N/A,FALSE,"Plan1";#N/A,#N/A,FALSE,"Plan2"}</definedName>
    <definedName name="fl"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rçt4r" localSheetId="2">{#N/A,#N/A,FALSE,"Plan1";#N/A,#N/A,FALSE,"Plan2"}</definedName>
    <definedName name="frdtty" localSheetId="2">{#N/A,#N/A,FALSE,"Plan1";#N/A,#N/A,FALSE,"Plan2"}</definedName>
    <definedName name="fsdfsf" localSheetId="2">{#N/A,#N/A,FALSE,"GERAL";#N/A,#N/A,FALSE,"012-96";#N/A,#N/A,FALSE,"018-96";#N/A,#N/A,FALSE,"027-96";#N/A,#N/A,FALSE,"059-96";#N/A,#N/A,FALSE,"076-96";#N/A,#N/A,FALSE,"019-97";#N/A,#N/A,FALSE,"021-97";#N/A,#N/A,FALSE,"022-97";#N/A,#N/A,FALSE,"028-97"}</definedName>
    <definedName name="fuihgjk" localSheetId="2">{#N/A,#N/A,FALSE,"Plan1";#N/A,#N/A,FALSE,"Plan2"}</definedName>
    <definedName name="fxjghkfg" localSheetId="2">{#N/A,#N/A,FALSE,"Plan1";#N/A,#N/A,FALSE,"Plan2"}</definedName>
    <definedName name="galo" localSheetId="2">{#N/A,#N/A,FALSE,"GERAL";#N/A,#N/A,FALSE,"012-96";#N/A,#N/A,FALSE,"018-96";#N/A,#N/A,FALSE,"027-96";#N/A,#N/A,FALSE,"059-96";#N/A,#N/A,FALSE,"076-96";#N/A,#N/A,FALSE,"019-97";#N/A,#N/A,FALSE,"021-97";#N/A,#N/A,FALSE,"022-97";#N/A,#N/A,FALSE,"028-97"}</definedName>
    <definedName name="gbdjkvhgd" localSheetId="2">{#N/A,#N/A,FALSE,"Plan1";#N/A,#N/A,FALSE,"Plan2"}</definedName>
    <definedName name="gbdsjgsjfdgj" localSheetId="2">{#N/A,#N/A,FALSE,"Plan1";#N/A,#N/A,FALSE,"Plan2"}</definedName>
    <definedName name="gdfdhgfjgj" localSheetId="2">{#N/A,#N/A,FALSE,"Plan1";#N/A,#N/A,FALSE,"Plan2"}</definedName>
    <definedName name="gdfgdstggt" localSheetId="2">{#N/A,#N/A,FALSE,"Plan1";#N/A,#N/A,FALSE,"Plan2"}</definedName>
    <definedName name="GDFHGRJGFJDRF" localSheetId="2">{"Econ Consolidado",#N/A,FALSE,"Econ Consol";"Fluxo de Caixa",#N/A,FALSE,"Fluxo Caixa";"Investimentos",#N/A,FALSE,"Investimentos"}</definedName>
    <definedName name="gdfigfhuyuy" localSheetId="2">{#N/A,#N/A,FALSE,"Plan1";#N/A,#N/A,FALSE,"Plan2"}</definedName>
    <definedName name="gdfsgfew" localSheetId="2">{#N/A,#N/A,FALSE,"Plan1";#N/A,#N/A,FALSE,"Plan2"}</definedName>
    <definedName name="gdhfgdhfgf" localSheetId="2">{#N/A,#N/A,FALSE,"Plan1";#N/A,#N/A,FALSE,"Plan2"}</definedName>
    <definedName name="gdsfhefrwrw" localSheetId="2">{#N/A,#N/A,FALSE,"Plan1";#N/A,#N/A,FALSE,"Plan2"}</definedName>
    <definedName name="geshrjhed" localSheetId="2">{#N/A,#N/A,FALSE,"Plan1";#N/A,#N/A,FALSE,"Plan2"}</definedName>
    <definedName name="gfdcgnkf" localSheetId="2">{#N/A,#N/A,FALSE,"Plan1";#N/A,#N/A,FALSE,"Plan2"}</definedName>
    <definedName name="gfdjtgur" localSheetId="2">{#N/A,#N/A,FALSE,"Plan1";#N/A,#N/A,FALSE,"Plan2"}</definedName>
    <definedName name="gfgdhxgfdhf" localSheetId="2">{#N/A,#N/A,FALSE,"Plan1";#N/A,#N/A,FALSE,"Plan2"}</definedName>
    <definedName name="gfhfdtgjb" localSheetId="2">{#N/A,#N/A,FALSE,"Plan1";#N/A,#N/A,FALSE,"Plan2"}</definedName>
    <definedName name="gfjdshrtjhtged" localSheetId="2">{#N/A,#N/A,FALSE,"Plan1";#N/A,#N/A,FALSE,"Plan2"}</definedName>
    <definedName name="gfjgkddgfd" localSheetId="2">{#N/A,#N/A,FALSE,"Plan1";#N/A,#N/A,FALSE,"Plan2"}</definedName>
    <definedName name="gfsghjdgygr" localSheetId="2">{#N/A,#N/A,FALSE,"Plan1";#N/A,#N/A,FALSE,"Plan2"}</definedName>
    <definedName name="gftfy" localSheetId="2">{#N/A,#N/A,FALSE,"Plan1";#N/A,#N/A,FALSE,"Plan2"}</definedName>
    <definedName name="gfty" localSheetId="2">{#N/A,#N/A,FALSE,"Plan1";#N/A,#N/A,FALSE,"Plan2"}</definedName>
    <definedName name="GFUJU9" localSheetId="2">{#N/A,#N/A,FALSE,"Plan1";#N/A,#N/A,FALSE,"Plan2"}</definedName>
    <definedName name="ggg"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gggg" localSheetId="2">{"'장비'!$A$3:$M$12"}</definedName>
    <definedName name="gggggggggg"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gh" localSheetId="2">{"'장비'!$A$3:$M$12"}</definedName>
    <definedName name="ghfgdfrtert" localSheetId="2">{#N/A,#N/A,FALSE,"Plan1";#N/A,#N/A,FALSE,"Plan2"}</definedName>
    <definedName name="ghfhghft" localSheetId="2">{#N/A,#N/A,FALSE,"Plan1";#N/A,#N/A,FALSE,"Plan2"}</definedName>
    <definedName name="ghjg" localSheetId="2">{"'Estimativa de Lançamento-JAN'!$A$1:$AI$85"}</definedName>
    <definedName name="ghkfhgh" localSheetId="2">{#N/A,#N/A,FALSE,"Plan1";#N/A,#N/A,FALSE,"Plan2"}</definedName>
    <definedName name="ghkjh" localSheetId="2">{#N/A,#N/A,FALSE,"ENG'G(보호계전기)"}</definedName>
    <definedName name="GJ" localSheetId="2">{#N/A,#N/A,FALSE,"GERAL";#N/A,#N/A,FALSE,"012-96";#N/A,#N/A,FALSE,"018-96";#N/A,#N/A,FALSE,"027-96";#N/A,#N/A,FALSE,"059-96";#N/A,#N/A,FALSE,"076-96";#N/A,#N/A,FALSE,"019-97";#N/A,#N/A,FALSE,"021-97";#N/A,#N/A,FALSE,"022-97";#N/A,#N/A,FALSE,"028-97"}</definedName>
    <definedName name="gjfhjktgcf" localSheetId="2">{#N/A,#N/A,FALSE,"Plan1";#N/A,#N/A,FALSE,"Plan2"}</definedName>
    <definedName name="GJG"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gjgh" localSheetId="2">{#N/A,#N/A,FALSE,"GERAL";#N/A,#N/A,FALSE,"012-96";#N/A,#N/A,FALSE,"018-96";#N/A,#N/A,FALSE,"027-96";#N/A,#N/A,FALSE,"059-96";#N/A,#N/A,FALSE,"076-96";#N/A,#N/A,FALSE,"019-97";#N/A,#N/A,FALSE,"021-97";#N/A,#N/A,FALSE,"022-97";#N/A,#N/A,FALSE,"028-97"}</definedName>
    <definedName name="GJK" localSheetId="2">{#N/A,#N/A,FALSE,"GERAL";#N/A,#N/A,FALSE,"012-96";#N/A,#N/A,FALSE,"018-96";#N/A,#N/A,FALSE,"027-96";#N/A,#N/A,FALSE,"059-96";#N/A,#N/A,FALSE,"076-96";#N/A,#N/A,FALSE,"019-97";#N/A,#N/A,FALSE,"021-97";#N/A,#N/A,FALSE,"022-97";#N/A,#N/A,FALSE,"028-97"}</definedName>
    <definedName name="gjkhgjhjfggfjhfg" localSheetId="2">{#N/A,#N/A,FALSE,"Plan1";#N/A,#N/A,FALSE,"Plan2"}</definedName>
    <definedName name="glgl" localSheetId="2">{#N/A,#N/A,FALSE,"Plan1";#N/A,#N/A,FALSE,"Plan2"}</definedName>
    <definedName name="global" localSheetId="2">{"'Estimativa de Lançamento-JAN'!$A$1:$AI$85"}</definedName>
    <definedName name="gnfrth"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GSDWJSTGE"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gtuigsdyugsdf" localSheetId="2">{#N/A,#N/A,FALSE,"Plan1";#N/A,#N/A,FALSE,"Plan2"}</definedName>
    <definedName name="GUI" localSheetId="2">{#N/A,#N/A,FALSE,"GERAL";#N/A,#N/A,FALSE,"012-96";#N/A,#N/A,FALSE,"018-96";#N/A,#N/A,FALSE,"027-96";#N/A,#N/A,FALSE,"059-96";#N/A,#N/A,FALSE,"076-96";#N/A,#N/A,FALSE,"019-97";#N/A,#N/A,FALSE,"021-97";#N/A,#N/A,FALSE,"022-97";#N/A,#N/A,FALSE,"028-97"}</definedName>
    <definedName name="GV" localSheetId="2">{#N/A,#N/A,FALSE,"CCTV"}</definedName>
    <definedName name="hcjfkhdghfktg" localSheetId="2">{#N/A,#N/A,FALSE,"Plan1";#N/A,#N/A,FALSE,"Plan2"}</definedName>
    <definedName name="hddfndgdfg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HDFGHGST" localSheetId="2">{#N/A,#N/A,FALSE,"Plan1";#N/A,#N/A,FALSE,"Plan2"}</definedName>
    <definedName name="HDFGJKHKFDHTY" localSheetId="2">{#N/A,#N/A,FALSE,"Plan1";#N/A,#N/A,FALSE,"Plan2"}</definedName>
    <definedName name="hdfhdhrtgd" localSheetId="2">{#N/A,#N/A,FALSE,"Plan1";#N/A,#N/A,FALSE,"Plan2"}</definedName>
    <definedName name="hdfhftde" localSheetId="2">{#N/A,#N/A,FALSE,"Plan1";#N/A,#N/A,FALSE,"Plan2"}</definedName>
    <definedName name="hdfhgkdhgtrf" localSheetId="2">{#N/A,#N/A,FALSE,"Plan1";#N/A,#N/A,FALSE,"Plan2"}</definedName>
    <definedName name="hdfjhdkzhgdr" localSheetId="2">{#N/A,#N/A,FALSE,"Plan1";#N/A,#N/A,FALSE,"Plan2"}</definedName>
    <definedName name="hdfjkgvjgtd" localSheetId="2">{#N/A,#N/A,FALSE,"Plan1";#N/A,#N/A,FALSE,"Plan2"}</definedName>
    <definedName name="hdfjkhdhrute" localSheetId="2">{#N/A,#N/A,FALSE,"Plan1";#N/A,#N/A,FALSE,"Plan2"}</definedName>
    <definedName name="HDFKGVF" localSheetId="2">{#N/A,#N/A,FALSE,"Plan1";#N/A,#N/A,FALSE,"Plan2"}</definedName>
    <definedName name="hdgfhdgtdrt" localSheetId="2">{#N/A,#N/A,FALSE,"Plan1";#N/A,#N/A,FALSE,"Plan2"}</definedName>
    <definedName name="hdghgtgtrgd" localSheetId="2">{#N/A,#N/A,FALSE,"Plan1";#N/A,#N/A,FALSE,"Plan2"}</definedName>
    <definedName name="HDHDGHTUHDTG" localSheetId="2">{#N/A,#N/A,FALSE,"Plan1";#N/A,#N/A,FALSE,"Plan2"}</definedName>
    <definedName name="hdhghfthrrhy" localSheetId="2">{#N/A,#N/A,FALSE,"Plan1";#N/A,#N/A,FALSE,"Plan2"}</definedName>
    <definedName name="hdkfjhydjh" localSheetId="2">{#N/A,#N/A,FALSE,"Plan1";#N/A,#N/A,FALSE,"Plan2"}</definedName>
    <definedName name="hdsgfgrrdgr" localSheetId="2">{#N/A,#N/A,FALSE,"Plan1";#N/A,#N/A,FALSE,"Plan2"}</definedName>
    <definedName name="hdtertkkdsa" localSheetId="2">{#N/A,#N/A,FALSE,"Plan1";#N/A,#N/A,FALSE,"Plan2"}</definedName>
    <definedName name="HEDHA" localSheetId="2">{#N/A,#N/A,FALSE,"Plan1";#N/A,#N/A,FALSE,"Plan2"}</definedName>
    <definedName name="heife"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herkfdshfker" localSheetId="2">{#N/A,#N/A,FALSE,"Plan1";#N/A,#N/A,FALSE,"Plan2"}</definedName>
    <definedName name="hersdtretyt" localSheetId="2">{#N/A,#N/A,FALSE,"Plan1";#N/A,#N/A,FALSE,"Plan2"}</definedName>
    <definedName name="HFDJTHTRS"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HFDKHGFR" localSheetId="2">{#N/A,#N/A,FALSE,"Plan1";#N/A,#N/A,FALSE,"Plan2"}</definedName>
    <definedName name="hfdkhgkfdhtj" localSheetId="2">{#N/A,#N/A,FALSE,"Plan1";#N/A,#N/A,FALSE,"Plan2"}</definedName>
    <definedName name="hfgfktgkhyt" localSheetId="2">{#N/A,#N/A,FALSE,"Plan1";#N/A,#N/A,FALSE,"Plan2"}</definedName>
    <definedName name="hfghdkhrgkjg" localSheetId="2">{#N/A,#N/A,FALSE,"Plan1";#N/A,#N/A,FALSE,"Plan2"}</definedName>
    <definedName name="hfighfth" localSheetId="2">{#N/A,#N/A,FALSE,"Plan1";#N/A,#N/A,FALSE,"Plan2"}</definedName>
    <definedName name="hfjghtfuyrf" localSheetId="2">{#N/A,#N/A,FALSE,"Plan1";#N/A,#N/A,FALSE,"Plan2"}</definedName>
    <definedName name="HFKJHDJGHFJ" localSheetId="2">{#N/A,#N/A,FALSE,"Plan1";#N/A,#N/A,FALSE,"Plan2"}</definedName>
    <definedName name="hgdesgfgsj" localSheetId="2">{#N/A,#N/A,FALSE,"Plan1";#N/A,#N/A,FALSE,"Plan2"}</definedName>
    <definedName name="hgdgfd" localSheetId="2">{#N/A,#N/A,FALSE,"Plan1";#N/A,#N/A,FALSE,"Plan2"}</definedName>
    <definedName name="hgfhjkdfhj" localSheetId="2">{#N/A,#N/A,FALSE,"Plan1";#N/A,#N/A,FALSE,"Plan2"}</definedName>
    <definedName name="hgg" localSheetId="2">{#N/A,#N/A,FALSE,"Plan1";#N/A,#N/A,FALSE,"Plan2"}</definedName>
    <definedName name="hgjdfgghg" localSheetId="2">{#N/A,#N/A,FALSE,"Plan1";#N/A,#N/A,FALSE,"Plan2"}</definedName>
    <definedName name="hgjkfdhg" localSheetId="2">{#N/A,#N/A,FALSE,"Plan1";#N/A,#N/A,FALSE,"Plan2"}</definedName>
    <definedName name="hgkdfhkfk" localSheetId="2">{#N/A,#N/A,FALSE,"Plan1";#N/A,#N/A,FALSE,"Plan2"}</definedName>
    <definedName name="hgkjhdfhtrdyt" localSheetId="2">{#N/A,#N/A,FALSE,"Plan1";#N/A,#N/A,FALSE,"Plan2"}</definedName>
    <definedName name="hgkjhdfkhgtfhg" localSheetId="2">{#N/A,#N/A,FALSE,"Plan1";#N/A,#N/A,FALSE,"Plan2"}</definedName>
    <definedName name="hgkjhkfhsdkdhgk" localSheetId="2">{#N/A,#N/A,FALSE,"Plan1";#N/A,#N/A,FALSE,"Plan2"}</definedName>
    <definedName name="hgsufgdhghd" localSheetId="2">{#N/A,#N/A,FALSE,"Plan1";#N/A,#N/A,FALSE,"Plan2"}</definedName>
    <definedName name="HHGFHTYUT" localSheetId="2">{#N/A,#N/A,FALSE,"Plan1";#N/A,#N/A,FALSE,"Plan2"}</definedName>
    <definedName name="hhh" localSheetId="2">{"'Total'!$A$1","'Total'!$A$3"}</definedName>
    <definedName name="hik" localSheetId="2">{#N/A,#N/A,FALSE,"TABLE"}</definedName>
    <definedName name="hjdgtjdjxrfg" localSheetId="2">{#N/A,#N/A,FALSE,"Plan1";#N/A,#N/A,FALSE,"Plan2"}</definedName>
    <definedName name="HJFDGD" localSheetId="2">{#N/A,#N/A,FALSE,"Plan1";#N/A,#N/A,FALSE,"Plan2"}</definedName>
    <definedName name="HJGASD" localSheetId="2">{#N/A,#N/A,FALSE,"Plan1";#N/A,#N/A,FALSE,"Plan2"}</definedName>
    <definedName name="HJGFGTFDG" localSheetId="2">{#N/A,#N/A,FALSE,"Plan1";#N/A,#N/A,FALSE,"Plan2"}</definedName>
    <definedName name="hjgfhdsgfhsd" localSheetId="2">{#N/A,#N/A,FALSE,"Plan1";#N/A,#N/A,FALSE,"Plan2"}</definedName>
    <definedName name="hjgxfjgdjyftr" localSheetId="2">{#N/A,#N/A,FALSE,"Plan1";#N/A,#N/A,FALSE,"Plan2"}</definedName>
    <definedName name="hjgyugasd" localSheetId="2">{#N/A,#N/A,FALSE,"Plan1";#N/A,#N/A,FALSE,"Plan2"}</definedName>
    <definedName name="hjjfyfy" localSheetId="2">{#N/A,#N/A,FALSE,"Plan1";#N/A,#N/A,FALSE,"Plan2"}</definedName>
    <definedName name="hjkchkvjhdjkgh" localSheetId="2">{#N/A,#N/A,FALSE,"Plan1";#N/A,#N/A,FALSE,"Plan2"}</definedName>
    <definedName name="hjkfjdyht" localSheetId="2">{#N/A,#N/A,FALSE,"Plan1";#N/A,#N/A,FALSE,"Plan2"}</definedName>
    <definedName name="hjsdffe"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hjsdkhk" localSheetId="2">{#N/A,#N/A,FALSE,"Plan1";#N/A,#N/A,FALSE,"Plan2"}</definedName>
    <definedName name="hjsrdfre" localSheetId="2">{"Econ Consolidado",#N/A,FALSE,"Econ Consol";"Fluxo de Caixa",#N/A,FALSE,"Fluxo Caixa";"Investimentos",#N/A,FALSE,"Investimentos"}</definedName>
    <definedName name="HKewewsr" localSheetId="2">{#N/A,#N/A,FALSE,"Plan1";#N/A,#N/A,FALSE,"Plan2"}</definedName>
    <definedName name="hkhdskacd" localSheetId="2">{#N/A,#N/A,FALSE,"Plan1";#N/A,#N/A,FALSE,"Plan2"}</definedName>
    <definedName name="hkjfgfhgfh" localSheetId="2">{#N/A,#N/A,FALSE,"Plan1";#N/A,#N/A,FALSE,"Plan2"}</definedName>
    <definedName name="hkjfhgjkfhghfg" localSheetId="2">{#N/A,#N/A,FALSE,"Plan1";#N/A,#N/A,FALSE,"Plan2"}</definedName>
    <definedName name="HKLZHFRH" localSheetId="2">{#N/A,#N/A,FALSE,"Plan1";#N/A,#N/A,FALSE,"Plan2"}</definedName>
    <definedName name="ho" localSheetId="2">{#N/A,#N/A,FALSE,"TABLE"}</definedName>
    <definedName name="hrterte" localSheetId="2">{#N/A,#N/A,FALSE,"Plan1";#N/A,#N/A,FALSE,"Plan2"}</definedName>
    <definedName name="hsdf" localSheetId="2">{#N/A,#N/A,FALSE,"Plan1";#N/A,#N/A,FALSE,"Plan2"}</definedName>
    <definedName name="hsdfgdgudrt" localSheetId="2">{#N/A,#N/A,FALSE,"Plan1";#N/A,#N/A,FALSE,"Plan2"}</definedName>
    <definedName name="hsdfjkdhur" localSheetId="2">{#N/A,#N/A,FALSE,"Plan1";#N/A,#N/A,FALSE,"Plan2"}</definedName>
    <definedName name="hsdgftdht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hsdjffd" localSheetId="2">{#N/A,#N/A,FALSE,"Plan1";#N/A,#N/A,FALSE,"Plan2"}</definedName>
    <definedName name="hsdjffe" localSheetId="2">{#N/A,#N/A,FALSE,"Plan1";#N/A,#N/A,FALSE,"Plan2"}</definedName>
    <definedName name="HSFIHDTR" localSheetId="2">{"Econ Consolidado",#N/A,FALSE,"Econ Consol";"Fluxo de Caixa",#N/A,FALSE,"Fluxo Caixa";"Investimentos",#N/A,FALSE,"Investimentos"}</definedName>
    <definedName name="hsfjkdshrgf" localSheetId="2">{#N/A,#N/A,FALSE,"Plan1";#N/A,#N/A,FALSE,"Plan2"}</definedName>
    <definedName name="hthhrtetdre" localSheetId="2">{#N/A,#N/A,FALSE,"Plan1";#N/A,#N/A,FALSE,"Plan2"}</definedName>
    <definedName name="HTML_Control" localSheetId="2">{"'장비'!$A$3:$M$12"}</definedName>
    <definedName name="HTML2_CONTROL" localSheetId="2">{"'Estimativa de Lançamento-JAN'!$A$1:$AI$85"}</definedName>
    <definedName name="HTML3_CONTROL" localSheetId="2">{"'Estimativa de Lançamento-JAN'!$A$1:$AI$85"}</definedName>
    <definedName name="HTMLControl" localSheetId="2">{"'Edit'!$A$1:$V$2277"}</definedName>
    <definedName name="HVJKHGKFXHFD" localSheetId="2">{#N/A,#N/A,FALSE,"Plan1";#N/A,#N/A,FALSE,"Plan2"}</definedName>
    <definedName name="hwekjhekhf" localSheetId="2">{#N/A,#N/A,FALSE,"Plan1";#N/A,#N/A,FALSE,"Plan2"}</definedName>
    <definedName name="HXFRE" localSheetId="2">{#N/A,#N/A,FALSE,"Plan1";#N/A,#N/A,FALSE,"Plan2"}</definedName>
    <definedName name="HXKJFGDKHG" localSheetId="2">{#N/A,#N/A,FALSE,"Plan1";#N/A,#N/A,FALSE,"Plan2"}</definedName>
    <definedName name="idfhgkjhfkthy" localSheetId="2">{#N/A,#N/A,FALSE,"Plan1";#N/A,#N/A,FALSE,"Plan2"}</definedName>
    <definedName name="ieroweft" localSheetId="2">{#N/A,#N/A,FALSE,"Plan1";#N/A,#N/A,FALSE,"Plan2"}</definedName>
    <definedName name="iewpotqi5poejy" localSheetId="2">{#N/A,#N/A,FALSE,"Plan1";#N/A,#N/A,FALSE,"Plan2"}</definedName>
    <definedName name="ihdfifguhgfuiyh"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ihdsitrr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ihfdkjhktgrd" localSheetId="2">{#N/A,#N/A,FALSE,"Plan1";#N/A,#N/A,FALSE,"Plan2"}</definedName>
    <definedName name="ihrtetw4r" localSheetId="2">{#N/A,#N/A,FALSE,"Plan1";#N/A,#N/A,FALSE,"Plan2"}</definedName>
    <definedName name="IIASDSAWE" localSheetId="2">{"Econ Consolidado",#N/A,FALSE,"Econ Consol";"Fluxo de Caixa",#N/A,FALSE,"Fluxo Caixa";"Investimentos",#N/A,FALSE,"Investimentos"}</definedName>
    <definedName name="iinstalações" localSheetId="2">{#N/A,#N/A,FALSE,"GERAL";#N/A,#N/A,FALSE,"012-96";#N/A,#N/A,FALSE,"018-96";#N/A,#N/A,FALSE,"027-96";#N/A,#N/A,FALSE,"059-96";#N/A,#N/A,FALSE,"076-96";#N/A,#N/A,FALSE,"019-97";#N/A,#N/A,FALSE,"021-97";#N/A,#N/A,FALSE,"022-97";#N/A,#N/A,FALSE,"028-97"}</definedName>
    <definedName name="ilhweilrji4e" localSheetId="2">{#N/A,#N/A,FALSE,"Plan1";#N/A,#N/A,FALSE,"Plan2"}</definedName>
    <definedName name="ilsdr4wf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Insatalações" localSheetId="2">{#N/A,#N/A,FALSE,"GERAL";#N/A,#N/A,FALSE,"012-96";#N/A,#N/A,FALSE,"018-96";#N/A,#N/A,FALSE,"027-96";#N/A,#N/A,FALSE,"059-96";#N/A,#N/A,FALSE,"076-96";#N/A,#N/A,FALSE,"019-97";#N/A,#N/A,FALSE,"021-97";#N/A,#N/A,FALSE,"022-97";#N/A,#N/A,FALSE,"028-97"}</definedName>
    <definedName name="instalaçoes2" localSheetId="2">{#N/A,#N/A,FALSE,"GERAL";#N/A,#N/A,FALSE,"012-96";#N/A,#N/A,FALSE,"018-96";#N/A,#N/A,FALSE,"027-96";#N/A,#N/A,FALSE,"059-96";#N/A,#N/A,FALSE,"076-96";#N/A,#N/A,FALSE,"019-97";#N/A,#N/A,FALSE,"021-97";#N/A,#N/A,FALSE,"022-97";#N/A,#N/A,FALSE,"028-97"}</definedName>
    <definedName name="INTEGRA" localSheetId="2">{"'Edit'!$A$1:$V$2277"}</definedName>
    <definedName name="ioeriotyt" localSheetId="2">{#N/A,#N/A,FALSE,"Plan1";#N/A,#N/A,FALSE,"Plan2"}</definedName>
    <definedName name="iohudtorh" localSheetId="2">{#N/A,#N/A,FALSE,"Plan1";#N/A,#N/A,FALSE,"Plan2"}</definedName>
    <definedName name="iojtkheayed" localSheetId="2">{#N/A,#N/A,FALSE,"Plan1";#N/A,#N/A,FALSE,"Plan2"}</definedName>
    <definedName name="iouweroieuw4" localSheetId="2">{#N/A,#N/A,FALSE,"Plan1";#N/A,#N/A,FALSE,"Plan2"}</definedName>
    <definedName name="iphifpgh" localSheetId="2">{#N/A,#N/A,FALSE,"Plan1";#N/A,#N/A,FALSE,"Plan2"}</definedName>
    <definedName name="ipodsifgpds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ipotjrjketjr" localSheetId="2">{#N/A,#N/A,FALSE,"Plan1";#N/A,#N/A,FALSE,"Plan2"}</definedName>
    <definedName name="item_1" localSheetId="2">#REF!</definedName>
    <definedName name="ITEM별상세업무분장"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UGFGDFUY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iyguygiyt" localSheetId="2">{#N/A,#N/A,FALSE,"Plan1";#N/A,#N/A,FALSE,"Plan2"}</definedName>
    <definedName name="iyuyheturtd" localSheetId="2">{#N/A,#N/A,FALSE,"Plan1";#N/A,#N/A,FALSE,"Plan2"}</definedName>
    <definedName name="j"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jalejdasjf" localSheetId="2">{#N/A,#N/A,FALSE,"Plan1";#N/A,#N/A,FALSE,"Plan2"}</definedName>
    <definedName name="JASDJS" localSheetId="2">{#N/A,#N/A,FALSE,"Plan1";#N/A,#N/A,FALSE,"Plan2"}</definedName>
    <definedName name="jaskldjlse" localSheetId="2">{#N/A,#N/A,FALSE,"Plan1";#N/A,#N/A,FALSE,"Plan2"}</definedName>
    <definedName name="JASLDKLD" localSheetId="2">{#N/A,#N/A,FALSE,"Plan1";#N/A,#N/A,FALSE,"Plan2"}</definedName>
    <definedName name="JÇDFHDF" localSheetId="2">{"Econ Consolidado",#N/A,FALSE,"Econ Consol";"Fluxo de Caixa",#N/A,FALSE,"Fluxo Caixa";"Investimentos",#N/A,FALSE,"Investimentos"}</definedName>
    <definedName name="jdbgftbhr" localSheetId="2">{#N/A,#N/A,FALSE,"Plan1";#N/A,#N/A,FALSE,"Plan2"}</definedName>
    <definedName name="jdfgldfjgklh" localSheetId="2">{#N/A,#N/A,FALSE,"Plan1";#N/A,#N/A,FALSE,"Plan2"}</definedName>
    <definedName name="jdfhjkdrhjtkg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jdfjdtrgt" localSheetId="2">{#N/A,#N/A,FALSE,"Plan1";#N/A,#N/A,FALSE,"Plan2"}</definedName>
    <definedName name="JDFJLDJR" localSheetId="2">{#N/A,#N/A,FALSE,"Plan1";#N/A,#N/A,FALSE,"Plan2"}</definedName>
    <definedName name="jdfkgitfgdrtt" localSheetId="2">{#N/A,#N/A,FALSE,"Plan1";#N/A,#N/A,FALSE,"Plan2"}</definedName>
    <definedName name="JDFKHFKJ" localSheetId="2">{#N/A,#N/A,FALSE,"Plan1";#N/A,#N/A,FALSE,"Plan2"}</definedName>
    <definedName name="jdfklgtdtr" localSheetId="2">{#N/A,#N/A,FALSE,"Plan1";#N/A,#N/A,FALSE,"Plan2"}</definedName>
    <definedName name="JDFKTHRT" localSheetId="2">{#N/A,#N/A,FALSE,"Plan1";#N/A,#N/A,FALSE,"Plan2"}</definedName>
    <definedName name="JDFLKJDRF" localSheetId="2">{#N/A,#N/A,FALSE,"Plan1";#N/A,#N/A,FALSE,"Plan2"}</definedName>
    <definedName name="jdfzlkjgfdht" localSheetId="2">{#N/A,#N/A,FALSE,"Plan1";#N/A,#N/A,FALSE,"Plan2"}</definedName>
    <definedName name="jdglhfghkt" localSheetId="2">{#N/A,#N/A,FALSE,"Plan1";#N/A,#N/A,FALSE,"Plan2"}</definedName>
    <definedName name="jdhfjdhgfd" localSheetId="2">{#N/A,#N/A,FALSE,"Plan1";#N/A,#N/A,FALSE,"Plan2"}</definedName>
    <definedName name="jdjdjdjd" localSheetId="2">{#N/A,#N/A,FALSE,"명세표"}</definedName>
    <definedName name="jdkfhgjhf" localSheetId="2">{#N/A,#N/A,FALSE,"Plan1";#N/A,#N/A,FALSE,"Plan2"}</definedName>
    <definedName name="jdkfjdtr" localSheetId="2">{#N/A,#N/A,FALSE,"Plan1";#N/A,#N/A,FALSE,"Plan2"}</definedName>
    <definedName name="jdljgftldjti5r" localSheetId="2">{#N/A,#N/A,FALSE,"Plan1";#N/A,#N/A,FALSE,"Plan2"}</definedName>
    <definedName name="JDLKJDASGF" localSheetId="2">{#N/A,#N/A,FALSE,"Plan1";#N/A,#N/A,FALSE,"Plan2"}</definedName>
    <definedName name="jdrfkdjfghrtfjg" localSheetId="2">{#N/A,#N/A,FALSE,"Plan1";#N/A,#N/A,FALSE,"Plan2"}</definedName>
    <definedName name="jdskfhdk" localSheetId="2">{#N/A,#N/A,FALSE,"Plan1";#N/A,#N/A,FALSE,"Plan2"}</definedName>
    <definedName name="JDSKLGKDRHGGF" localSheetId="2">{#N/A,#N/A,FALSE,"Plan1";#N/A,#N/A,FALSE,"Plan2"}</definedName>
    <definedName name="jefsgfr" localSheetId="2">{#N/A,#N/A,FALSE,"Plan1";#N/A,#N/A,FALSE,"Plan2"}</definedName>
    <definedName name="JERHIEHYURE" localSheetId="2">{#N/A,#N/A,FALSE,"Plan1";#N/A,#N/A,FALSE,"Plan2"}</definedName>
    <definedName name="jfddlsrtyty" localSheetId="2">{#N/A,#N/A,FALSE,"Plan1";#N/A,#N/A,FALSE,"Plan2"}</definedName>
    <definedName name="jfdjtgdjghitfyh" localSheetId="2">{#N/A,#N/A,FALSE,"Plan1";#N/A,#N/A,FALSE,"Plan2"}</definedName>
    <definedName name="jfdkgkftftg" localSheetId="2">{#N/A,#N/A,FALSE,"Plan1";#N/A,#N/A,FALSE,"Plan2"}</definedName>
    <definedName name="jfghjkfdhtkyru"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JFGJYHTY" localSheetId="2">{#N/A,#N/A,FALSE,"Plan1";#N/A,#N/A,FALSE,"Plan2"}</definedName>
    <definedName name="jfgkflcnjkglc" localSheetId="2">{#N/A,#N/A,FALSE,"Plan1";#N/A,#N/A,FALSE,"Plan2"}</definedName>
    <definedName name="JFHRE" localSheetId="2">{#N/A,#N/A,FALSE,"Plan1";#N/A,#N/A,FALSE,"Plan2"}</definedName>
    <definedName name="jfkdls5jtirjd" localSheetId="2">{#N/A,#N/A,FALSE,"Plan1";#N/A,#N/A,FALSE,"Plan2"}</definedName>
    <definedName name="jfkljdkfcj" localSheetId="2">{#N/A,#N/A,FALSE,"Plan1";#N/A,#N/A,FALSE,"Plan2"}</definedName>
    <definedName name="jfkrhdtghdut" localSheetId="2">{#N/A,#N/A,FALSE,"Plan1";#N/A,#N/A,FALSE,"Plan2"}</definedName>
    <definedName name="JFRESR" localSheetId="2">{#N/A,#N/A,FALSE,"Plan1";#N/A,#N/A,FALSE,"Plan2"}</definedName>
    <definedName name="jgdfdgfjgdj" localSheetId="2">{#N/A,#N/A,FALSE,"Plan1";#N/A,#N/A,FALSE,"Plan2"}</definedName>
    <definedName name="jgdfght" localSheetId="2">{#N/A,#N/A,FALSE,"Plan1";#N/A,#N/A,FALSE,"Plan2"}</definedName>
    <definedName name="jgfgdsgfdhrf" localSheetId="2">{#N/A,#N/A,FALSE,"Plan1";#N/A,#N/A,FALSE,"Plan2"}</definedName>
    <definedName name="JGFJGTFT" localSheetId="2">{#N/A,#N/A,FALSE,"Plan1";#N/A,#N/A,FALSE,"Plan2"}</definedName>
    <definedName name="jgkjkhjuftgi" localSheetId="2">{#N/A,#N/A,FALSE,"Plan1";#N/A,#N/A,FALSE,"Plan2"}</definedName>
    <definedName name="jhd"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jhdfjjhirft" localSheetId="2">{#N/A,#N/A,FALSE,"Plan1";#N/A,#N/A,FALSE,"Plan2"}</definedName>
    <definedName name="jhdfjkhtrdhf" localSheetId="2">{#N/A,#N/A,FALSE,"Plan1";#N/A,#N/A,FALSE,"Plan2"}</definedName>
    <definedName name="jhdfuthr" localSheetId="2">{#N/A,#N/A,FALSE,"Plan1";#N/A,#N/A,FALSE,"Plan2"}</definedName>
    <definedName name="JHDFZGRDHF" localSheetId="2">{"Econ Consolidado",#N/A,FALSE,"Econ Consol";"Fluxo de Caixa",#N/A,FALSE,"Fluxo Caixa";"Investimentos",#N/A,FALSE,"Investimentos"}</definedName>
    <definedName name="JHERKHKFGH" localSheetId="2">{#N/A,#N/A,FALSE,"Plan1";#N/A,#N/A,FALSE,"Plan2"}</definedName>
    <definedName name="JHGKJFJFJGL" localSheetId="2">{#N/A,#N/A,FALSE,"Plan1";#N/A,#N/A,FALSE,"Plan2"}</definedName>
    <definedName name="jhsdjkhfuks" localSheetId="2">{#N/A,#N/A,FALSE,"Plan1";#N/A,#N/A,FALSE,"Plan2"}</definedName>
    <definedName name="jisdrkje" localSheetId="2">{#N/A,#N/A,FALSE,"Plan1";#N/A,#N/A,FALSE,"Plan2"}</definedName>
    <definedName name="jishfrieyhtau" localSheetId="2">{#N/A,#N/A,FALSE,"Plan1";#N/A,#N/A,FALSE,"Plan2"}</definedName>
    <definedName name="jiu"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jj" localSheetId="2">{"'Apr-00'!$B$4:$AD$44"}</definedName>
    <definedName name="jjfdsktyhhy" localSheetId="2">{#N/A,#N/A,FALSE,"Plan1";#N/A,#N/A,FALSE,"Plan2"}</definedName>
    <definedName name="jjkjkjk" localSheetId="2">{#N/A,#N/A,FALSE,"Plan1";#N/A,#N/A,FALSE,"Plan2"}</definedName>
    <definedName name="JKDCK" localSheetId="2">{#N/A,#N/A,FALSE,"Plan1";#N/A,#N/A,FALSE,"Plan2"}</definedName>
    <definedName name="JKDFHKHFR" localSheetId="2">{#N/A,#N/A,FALSE,"Plan1";#N/A,#N/A,FALSE,"Plan2"}</definedName>
    <definedName name="JKDFTRDRJ" localSheetId="2">{#N/A,#N/A,FALSE,"Plan1";#N/A,#N/A,FALSE,"Plan2"}</definedName>
    <definedName name="jkdhfukhddf" localSheetId="2">{#N/A,#N/A,FALSE,"Plan1";#N/A,#N/A,FALSE,"Plan2"}</definedName>
    <definedName name="JKDRKGJHTDR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jkelsjreja" localSheetId="2">{#N/A,#N/A,FALSE,"Plan1";#N/A,#N/A,FALSE,"Plan2"}</definedName>
    <definedName name="jkfhjgkfhghh" localSheetId="2">{#N/A,#N/A,FALSE,"Plan1";#N/A,#N/A,FALSE,"Plan2"}</definedName>
    <definedName name="jkhderjkhes" localSheetId="2">{#N/A,#N/A,FALSE,"Plan1";#N/A,#N/A,FALSE,"Plan2"}</definedName>
    <definedName name="jkhdfhfd" localSheetId="2">{#N/A,#N/A,FALSE,"Plan1";#N/A,#N/A,FALSE,"Plan2"}</definedName>
    <definedName name="jkhfhest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JKHFKJHGKFTHUDET" localSheetId="2">{#N/A,#N/A,FALSE,"Plan1";#N/A,#N/A,FALSE,"Plan2"}</definedName>
    <definedName name="JKHGDHFUHTG" localSheetId="2">{#N/A,#N/A,FALSE,"Plan1";#N/A,#N/A,FALSE,"Plan2"}</definedName>
    <definedName name="jkhsdzjkfyiu" localSheetId="2">{#N/A,#N/A,FALSE,"Plan1";#N/A,#N/A,FALSE,"Plan2"}</definedName>
    <definedName name="jkjsdkhfdhrf" localSheetId="2">{#N/A,#N/A,FALSE,"Plan1";#N/A,#N/A,FALSE,"Plan2"}</definedName>
    <definedName name="jklgfsjgtjtg" localSheetId="2">{#N/A,#N/A,FALSE,"Plan1";#N/A,#N/A,FALSE,"Plan2"}</definedName>
    <definedName name="jksldfjsdhf" localSheetId="2">{#N/A,#N/A,FALSE,"Plan1";#N/A,#N/A,FALSE,"Plan2"}</definedName>
    <definedName name="jkxhcjkhfr" localSheetId="2">{#N/A,#N/A,FALSE,"Plan1";#N/A,#N/A,FALSE,"Plan2"}</definedName>
    <definedName name="JNGCKFKJFGH" localSheetId="2">{#N/A,#N/A,FALSE,"Plan1";#N/A,#N/A,FALSE,"Plan2"}</definedName>
    <definedName name="JREJRW" localSheetId="2">{#N/A,#N/A,FALSE,"Plan1";#N/A,#N/A,FALSE,"Plan2"}</definedName>
    <definedName name="JSADKAH" localSheetId="2">{"Econ Consolidado",#N/A,FALSE,"Econ Consol";"Fluxo de Caixa",#N/A,FALSE,"Fluxo Caixa";"Investimentos",#N/A,FALSE,"Investimentos"}</definedName>
    <definedName name="JSDAJRE" localSheetId="2">{#N/A,#N/A,FALSE,"Plan1";#N/A,#N/A,FALSE,"Plan2"}</definedName>
    <definedName name="jsdffsed"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jsdfjgx" localSheetId="2">{#N/A,#N/A,FALSE,"Plan1";#N/A,#N/A,FALSE,"Plan2"}</definedName>
    <definedName name="jsdfsdfd" localSheetId="2">{#N/A,#N/A,FALSE,"Plan1";#N/A,#N/A,FALSE,"Plan2"}</definedName>
    <definedName name="jsdljficd" localSheetId="2">{#N/A,#N/A,FALSE,"Plan1";#N/A,#N/A,FALSE,"Plan2"}</definedName>
    <definedName name="JSDTLFJDRG" localSheetId="2">{#N/A,#N/A,FALSE,"Plan1";#N/A,#N/A,FALSE,"Plan2"}</definedName>
    <definedName name="jsfjsjferwea" localSheetId="2">{#N/A,#N/A,FALSE,"Plan1";#N/A,#N/A,FALSE,"Plan2"}</definedName>
    <definedName name="jslrjer" localSheetId="2">{#N/A,#N/A,FALSE,"Plan1";#N/A,#N/A,FALSE,"Plan2"}</definedName>
    <definedName name="juklhkhdf" localSheetId="2">{#N/A,#N/A,FALSE,"Plan1";#N/A,#N/A,FALSE,"Plan2"}</definedName>
    <definedName name="JULHO99" localSheetId="2">{#N/A,#N/A,TRUE,"Quinzena 01 à 15-04-98 "}</definedName>
    <definedName name="jwekljd" localSheetId="2">{#N/A,#N/A,FALSE,"Plan1";#N/A,#N/A,FALSE,"Plan2"}</definedName>
    <definedName name="JWEOITORU5Y" localSheetId="2">{#N/A,#N/A,FALSE,"Plan1";#N/A,#N/A,FALSE,"Plan2"}</definedName>
    <definedName name="jxdfjsrf" localSheetId="2">{#N/A,#N/A,FALSE,"Plan1";#N/A,#N/A,FALSE,"Plan2"}</definedName>
    <definedName name="jxdklfjv"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jzsdjkszl" localSheetId="2">{#N/A,#N/A,FALSE,"Plan1";#N/A,#N/A,FALSE,"Plan2"}</definedName>
    <definedName name="JZXFKLJLDJF" localSheetId="2">{#N/A,#N/A,FALSE,"Plan1";#N/A,#N/A,FALSE,"Plan2"}</definedName>
    <definedName name="jzxklfdlvgfg" localSheetId="2">{#N/A,#N/A,FALSE,"Plan1";#N/A,#N/A,FALSE,"Plan2"}</definedName>
    <definedName name="k" localSheetId="2">{#N/A,#N/A,FALSE,"Plan1";#N/A,#N/A,FALSE,"Plan2"}</definedName>
    <definedName name="kaedkroswr" localSheetId="2">{"Econ Consolidado",#N/A,FALSE,"Econ Consol";"Fluxo de Caixa",#N/A,FALSE,"Fluxo Caixa";"Investimentos",#N/A,FALSE,"Investimentos"}</definedName>
    <definedName name="kç\lKçaksdçaqew" localSheetId="2" hidden="1">{#N/A,#N/A,FALSE,"Plan1";#N/A,#N/A,FALSE,"Plan2"}</definedName>
    <definedName name="kçdasekr" localSheetId="2">{#N/A,#N/A,FALSE,"Plan1";#N/A,#N/A,FALSE,"Plan2"}</definedName>
    <definedName name="kçfdljtredr" localSheetId="2">{#N/A,#N/A,FALSE,"Plan1";#N/A,#N/A,FALSE,"Plan2"}</definedName>
    <definedName name="kclçkglf" localSheetId="2">{#N/A,#N/A,FALSE,"Plan1";#N/A,#N/A,FALSE,"Plan2"}</definedName>
    <definedName name="kçlkasçkere" localSheetId="2">{#N/A,#N/A,FALSE,"Plan1";#N/A,#N/A,FALSE,"Plan2"}</definedName>
    <definedName name="kdfbngtjkbf" localSheetId="2">{#N/A,#N/A,FALSE,"Plan1";#N/A,#N/A,FALSE,"Plan2"}</definedName>
    <definedName name="kdfhkghkrh" localSheetId="2">{#N/A,#N/A,FALSE,"Plan1";#N/A,#N/A,FALSE,"Plan2"}</definedName>
    <definedName name="kdfiere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kdfkçrkf" localSheetId="2">{#N/A,#N/A,FALSE,"Plan1";#N/A,#N/A,FALSE,"Plan2"}</definedName>
    <definedName name="kdfljlfr" localSheetId="2">{#N/A,#N/A,FALSE,"Plan1";#N/A,#N/A,FALSE,"Plan2"}</definedName>
    <definedName name="kdhfgkdfhytgu" localSheetId="2">{#N/A,#N/A,FALSE,"Plan1";#N/A,#N/A,FALSE,"Plan2"}</definedName>
    <definedName name="kdhgftfg" localSheetId="2">{#N/A,#N/A,FALSE,"Plan1";#N/A,#N/A,FALSE,"Plan2"}</definedName>
    <definedName name="KDHKFGKKHGF" localSheetId="2">{#N/A,#N/A,FALSE,"Plan1";#N/A,#N/A,FALSE,"Plan2"}</definedName>
    <definedName name="kdjgkfjgd" localSheetId="2">{#N/A,#N/A,FALSE,"Plan1";#N/A,#N/A,FALSE,"Plan2"}</definedName>
    <definedName name="kdjglkdlgjd" localSheetId="2">{#N/A,#N/A,FALSE,"Plan1";#N/A,#N/A,FALSE,"Plan2"}</definedName>
    <definedName name="kdjsfkldjgkty" localSheetId="2">{#N/A,#N/A,FALSE,"Plan1";#N/A,#N/A,FALSE,"Plan2"}</definedName>
    <definedName name="KDJU" localSheetId="2">{"'장비'!$A$3:$M$12"}</definedName>
    <definedName name="kdkjhgdkfhjk" localSheetId="2">{#N/A,#N/A,FALSE,"Plan1";#N/A,#N/A,FALSE,"Plan2"}</definedName>
    <definedName name="kdsf" localSheetId="2">{#N/A,#N/A,FALSE,"Plan1";#N/A,#N/A,FALSE,"Plan2"}</definedName>
    <definedName name="kdsr" localSheetId="2">{#N/A,#N/A,FALSE,"Plan1";#N/A,#N/A,FALSE,"Plan2"}</definedName>
    <definedName name="kergtfdstr" localSheetId="2">{#N/A,#N/A,FALSE,"Plan1";#N/A,#N/A,FALSE,"Plan2"}</definedName>
    <definedName name="KFDKTHGT" localSheetId="2">{#N/A,#N/A,FALSE,"Plan1";#N/A,#N/A,FALSE,"Plan2"}</definedName>
    <definedName name="kfdxlfdzs" localSheetId="2">{"Econ Consolidado",#N/A,FALSE,"Econ Consol";"Fluxo de Caixa",#N/A,FALSE,"Fluxo Caixa";"Investimentos",#N/A,FALSE,"Investimentos"}</definedName>
    <definedName name="kfgkhjkjhy" localSheetId="2">{#N/A,#N/A,FALSE,"Plan1";#N/A,#N/A,FALSE,"Plan2"}</definedName>
    <definedName name="KFJFDSDF" localSheetId="2">{#N/A,#N/A,FALSE,"Plan1";#N/A,#N/A,FALSE,"Plan2"}</definedName>
    <definedName name="kfnkeasd" localSheetId="2">{#N/A,#N/A,FALSE,"Plan1";#N/A,#N/A,FALSE,"Plan2"}</definedName>
    <definedName name="khdjkfkjhtg" localSheetId="2">{#N/A,#N/A,FALSE,"Plan1";#N/A,#N/A,FALSE,"Plan2"}</definedName>
    <definedName name="khdkfjhhfsdg" localSheetId="2">{#N/A,#N/A,FALSE,"Plan1";#N/A,#N/A,FALSE,"Plan2"}</definedName>
    <definedName name="khdkjfhgudytu" localSheetId="2">{#N/A,#N/A,FALSE,"Plan1";#N/A,#N/A,FALSE,"Plan2"}</definedName>
    <definedName name="khfdghhhgd" localSheetId="2">{#N/A,#N/A,FALSE,"Plan1";#N/A,#N/A,FALSE,"Plan2"}</definedName>
    <definedName name="khfdkjhsdjf" localSheetId="2">{#N/A,#N/A,FALSE,"Plan1";#N/A,#N/A,FALSE,"Plan2"}</definedName>
    <definedName name="khgdkftfy" localSheetId="2">{#N/A,#N/A,FALSE,"Plan1";#N/A,#N/A,FALSE,"Plan2"}</definedName>
    <definedName name="khgfhhtuhf" localSheetId="2">{#N/A,#N/A,FALSE,"Plan1";#N/A,#N/A,FALSE,"Plan2"}</definedName>
    <definedName name="khjkh"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KHJKLSDF" localSheetId="2">{#N/A,#N/A,FALSE,"Plan1";#N/A,#N/A,FALSE,"Plan2"}</definedName>
    <definedName name="kieret" localSheetId="2">{#N/A,#N/A,FALSE,"Plan1";#N/A,#N/A,FALSE,"Plan2"}</definedName>
    <definedName name="kjchkfhsezk" localSheetId="2">{#N/A,#N/A,FALSE,"Plan1";#N/A,#N/A,FALSE,"Plan2"}</definedName>
    <definedName name="kjdghksef" localSheetId="2">{#N/A,#N/A,FALSE,"Plan1";#N/A,#N/A,FALSE,"Plan2"}</definedName>
    <definedName name="kjdkftyhtert" localSheetId="2">{#N/A,#N/A,FALSE,"Plan1";#N/A,#N/A,FALSE,"Plan2"}</definedName>
    <definedName name="kjdlfkjds" localSheetId="2">{#N/A,#N/A,FALSE,"Plan1";#N/A,#N/A,FALSE,"Plan2"}</definedName>
    <definedName name="kjdzhfytrfy" localSheetId="2">{#N/A,#N/A,FALSE,"Plan1";#N/A,#N/A,FALSE,"Plan2"}</definedName>
    <definedName name="kjhdfgjthdft" localSheetId="2">{#N/A,#N/A,FALSE,"Plan1";#N/A,#N/A,FALSE,"Plan2"}</definedName>
    <definedName name="kjhsdfk"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kjhsiorf" localSheetId="2">{#N/A,#N/A,FALSE,"Plan1";#N/A,#N/A,FALSE,"Plan2"}</definedName>
    <definedName name="KJJ"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kjjwww" localSheetId="2">{#N/A,#N/A,FALSE,"Plan1";#N/A,#N/A,FALSE,"Plan2"}</definedName>
    <definedName name="kjl" localSheetId="2">{#N/A,#N/A,FALSE,"ENG'G(보호계전기)"}</definedName>
    <definedName name="KJOI" localSheetId="2">{#N/A,#N/A,FALSE,"Plan1";#N/A,#N/A,FALSE,"Plan2"}</definedName>
    <definedName name="kjqwerw" localSheetId="2">{#N/A,#N/A,FALSE,"Plan1";#N/A,#N/A,FALSE,"Plan2"}</definedName>
    <definedName name="kjsfert" localSheetId="2">{#N/A,#N/A,FALSE,"Plan1";#N/A,#N/A,FALSE,"Plan2"}</definedName>
    <definedName name="KJXCFKR" localSheetId="2">{#N/A,#N/A,FALSE,"Plan1";#N/A,#N/A,FALSE,"Plan2"}</definedName>
    <definedName name="KJXDFD" localSheetId="2">{#N/A,#N/A,FALSE,"Plan1";#N/A,#N/A,FALSE,"Plan2"}</definedName>
    <definedName name="kk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kkk" localSheetId="2">{#N/A,#N/A,FALSE,"Plan1";#N/A,#N/A,FALSE,"Plan2"}</definedName>
    <definedName name="kkkkk" localSheetId="2">{#N/A,#N/A,FALSE,"Plan1";#N/A,#N/A,FALSE,"Plan2"}</definedName>
    <definedName name="kkkkkk" localSheetId="2">{#N/A,#N/A,FALSE,"Plan1";#N/A,#N/A,FALSE,"Plan2"}</definedName>
    <definedName name="kko"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kksaklçer" localSheetId="2">{#N/A,#N/A,FALSE,"Plan1";#N/A,#N/A,FALSE,"Plan2"}</definedName>
    <definedName name="kksarde" localSheetId="2">{#N/A,#N/A,FALSE,"Plan1";#N/A,#N/A,FALSE,"Plan2"}</definedName>
    <definedName name="klaskldjsw" localSheetId="2">{#N/A,#N/A,FALSE,"Plan1";#N/A,#N/A,FALSE,"Plan2"}</definedName>
    <definedName name="klçkop" localSheetId="2">{#N/A,#N/A,FALSE,"Plan1";#N/A,#N/A,FALSE,"Plan2"}</definedName>
    <definedName name="KLDFNTRDT" localSheetId="2">{#N/A,#N/A,FALSE,"Plan1";#N/A,#N/A,FALSE,"Plan2"}</definedName>
    <definedName name="klhjsdklhdf" localSheetId="2">{#N/A,#N/A,FALSE,"Plan1";#N/A,#N/A,FALSE,"Plan2"}</definedName>
    <definedName name="KLHSKLRHWE" localSheetId="2">{#N/A,#N/A,FALSE,"Plan1";#N/A,#N/A,FALSE,"Plan2"}</definedName>
    <definedName name="KLJASKJD" localSheetId="2">{#N/A,#N/A,FALSE,"Plan1";#N/A,#N/A,FALSE,"Plan2"}</definedName>
    <definedName name="KLJDXLG"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kljeflwr" localSheetId="2">{#N/A,#N/A,FALSE,"Plan1";#N/A,#N/A,FALSE,"Plan2"}</definedName>
    <definedName name="kljflgjrf" localSheetId="2">{#N/A,#N/A,FALSE,"Plan1";#N/A,#N/A,FALSE,"Plan2"}</definedName>
    <definedName name="kljgfdfr" localSheetId="2">{#N/A,#N/A,FALSE,"Plan1";#N/A,#N/A,FALSE,"Plan2"}</definedName>
    <definedName name="kljgfjrt" localSheetId="2">{#N/A,#N/A,FALSE,"Plan1";#N/A,#N/A,FALSE,"Plan2"}</definedName>
    <definedName name="kljlkdfj" localSheetId="2">{#N/A,#N/A,FALSE,"Plan1";#N/A,#N/A,FALSE,"Plan2"}</definedName>
    <definedName name="kljsakjfr" localSheetId="2">{#N/A,#N/A,FALSE,"Plan1";#N/A,#N/A,FALSE,"Plan2"}</definedName>
    <definedName name="kljsdje" localSheetId="2">{#N/A,#N/A,FALSE,"Plan1";#N/A,#N/A,FALSE,"Plan2"}</definedName>
    <definedName name="kljsfwe" localSheetId="2">{#N/A,#N/A,FALSE,"Plan1";#N/A,#N/A,FALSE,"Plan2"}</definedName>
    <definedName name="klk" localSheetId="2">{#N/A,#N/A,FALSE,"Plan1";#N/A,#N/A,FALSE,"Plan2"}</definedName>
    <definedName name="KLKKLKÇJÇ" localSheetId="2">{#N/A,#N/A,FALSE,"Plan1";#N/A,#N/A,FALSE,"Plan2"}</definedName>
    <definedName name="KLSDFT" localSheetId="2">{#N/A,#N/A,FALSE,"Plan1";#N/A,#N/A,FALSE,"Plan2"}</definedName>
    <definedName name="KLSDHSJKHF" localSheetId="2">{#N/A,#N/A,FALSE,"Plan1";#N/A,#N/A,FALSE,"Plan2"}</definedName>
    <definedName name="klsdkre" localSheetId="2">{#N/A,#N/A,FALSE,"Plan1";#N/A,#N/A,FALSE,"Plan2"}</definedName>
    <definedName name="KLSIDJE" localSheetId="2">{#N/A,#N/A,FALSE,"Plan1";#N/A,#N/A,FALSE,"Plan2"}</definedName>
    <definedName name="klsjarsf" localSheetId="2">{#N/A,#N/A,FALSE,"Plan1";#N/A,#N/A,FALSE,"Plan2"}</definedName>
    <definedName name="klxhjfdkhser" localSheetId="2">{#N/A,#N/A,FALSE,"Plan1";#N/A,#N/A,FALSE,"Plan2"}</definedName>
    <definedName name="kopipnsdfne" localSheetId="2">{#N/A,#N/A,FALSE,"Plan1";#N/A,#N/A,FALSE,"Plan2"}</definedName>
    <definedName name="kp"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KSDLÇKSÇ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KSDLDF" localSheetId="2">{#N/A,#N/A,FALSE,"Plan1";#N/A,#N/A,FALSE,"Plan2"}</definedName>
    <definedName name="ksdlkfsçzd" localSheetId="2">{#N/A,#N/A,FALSE,"Plan1";#N/A,#N/A,FALSE,"Plan2"}</definedName>
    <definedName name="ksdoçierfe" localSheetId="2">{#N/A,#N/A,FALSE,"Plan1";#N/A,#N/A,FALSE,"Plan2"}</definedName>
    <definedName name="ksdtrdrkf" localSheetId="2">{#N/A,#N/A,FALSE,"Plan1";#N/A,#N/A,FALSE,"Plan2"}</definedName>
    <definedName name="KSFÇJDFJL" localSheetId="2">{#N/A,#N/A,FALSE,"Plan1";#N/A,#N/A,FALSE,"Plan2"}</definedName>
    <definedName name="ksfhse" localSheetId="2">{#N/A,#N/A,FALSE,"Plan1";#N/A,#N/A,FALSE,"Plan2"}</definedName>
    <definedName name="KSRKOE" localSheetId="2">{#N/A,#N/A,FALSE,"Plan1";#N/A,#N/A,FALSE,"Plan2"}</definedName>
    <definedName name="KSWKE" localSheetId="2">{#N/A,#N/A,FALSE,"Plan1";#N/A,#N/A,FALSE,"Plan2"}</definedName>
    <definedName name="kysdusf" localSheetId="2">{#N/A,#N/A,FALSE,"Plan1";#N/A,#N/A,FALSE,"Plan2"}</definedName>
    <definedName name="kzslçdkçle" localSheetId="2">{#N/A,#N/A,FALSE,"Plan1";#N/A,#N/A,FALSE,"Plan2"}</definedName>
    <definedName name="LAEKWRK" localSheetId="2">{#N/A,#N/A,FALSE,"Plan1";#N/A,#N/A,FALSE,"Plan2"}</definedName>
    <definedName name="LAKDEWRF" localSheetId="2">{#N/A,#N/A,FALSE,"Plan1";#N/A,#N/A,FALSE,"Plan2"}</definedName>
    <definedName name="LASÇDSRLF" localSheetId="2">{#N/A,#N/A,FALSE,"Plan1";#N/A,#N/A,FALSE,"Plan2"}</definedName>
    <definedName name="lasrlswer" localSheetId="2">{#N/A,#N/A,FALSE,"Plan1";#N/A,#N/A,FALSE,"Plan2"}</definedName>
    <definedName name="lçadple4r" localSheetId="2">{#N/A,#N/A,FALSE,"Plan1";#N/A,#N/A,FALSE,"Plan2"}</definedName>
    <definedName name="lçasser" localSheetId="2">{#N/A,#N/A,FALSE,"Plan1";#N/A,#N/A,FALSE,"Plan2"}</definedName>
    <definedName name="lcdgjtklfrn" localSheetId="2">{#N/A,#N/A,FALSE,"Plan1";#N/A,#N/A,FALSE,"Plan2"}</definedName>
    <definedName name="lçfklsdkçaer" localSheetId="2">{#N/A,#N/A,FALSE,"Plan1";#N/A,#N/A,FALSE,"Plan2"}</definedName>
    <definedName name="lçjkgf" localSheetId="2">{#N/A,#N/A,FALSE,"Plan1";#N/A,#N/A,FALSE,"Plan2"}</definedName>
    <definedName name="LÇJSLDFJ" localSheetId="2">{#N/A,#N/A,FALSE,"Plan1";#N/A,#N/A,FALSE,"Plan2"}</definedName>
    <definedName name="LÇKÇSDRLK" localSheetId="2">{#N/A,#N/A,FALSE,"Plan1";#N/A,#N/A,FALSE,"Plan2"}</definedName>
    <definedName name="lçkl"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lçl"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lçlfklçdglfdgt" localSheetId="2">{#N/A,#N/A,FALSE,"Plan1";#N/A,#N/A,FALSE,"Plan2"}</definedName>
    <definedName name="lçslrr4r" localSheetId="2">{#N/A,#N/A,FALSE,"Plan1";#N/A,#N/A,FALSE,"Plan2"}</definedName>
    <definedName name="ldfjgry" localSheetId="2">{#N/A,#N/A,FALSE,"Plan1";#N/A,#N/A,FALSE,"Plan2"}</definedName>
    <definedName name="ldfjgtilrf" localSheetId="2">{#N/A,#N/A,FALSE,"Plan1";#N/A,#N/A,FALSE,"Plan2"}</definedName>
    <definedName name="ldk" localSheetId="2">{#N/A,#N/A,FALSE,"Plan1";#N/A,#N/A,FALSE,"Plan2"}</definedName>
    <definedName name="ldkgkdfjgkh" localSheetId="2">{#N/A,#N/A,FALSE,"Plan1";#N/A,#N/A,FALSE,"Plan2"}</definedName>
    <definedName name="LDTJGR" localSheetId="2">{#N/A,#N/A,FALSE,"Plan1";#N/A,#N/A,FALSE,"Plan2"}</definedName>
    <definedName name="LEKG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lfjdjrt" localSheetId="2">{#N/A,#N/A,FALSE,"Plan1";#N/A,#N/A,FALSE,"Plan2"}</definedName>
    <definedName name="lidfjgklruf" localSheetId="2">{#N/A,#N/A,FALSE,"Plan1";#N/A,#N/A,FALSE,"Plan2"}</definedName>
    <definedName name="list"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t"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dfkgyt" localSheetId="2">{#N/A,#N/A,FALSE,"Plan1";#N/A,#N/A,FALSE,"Plan2"}</definedName>
    <definedName name="LJDFLJRL" localSheetId="2">{#N/A,#N/A,FALSE,"Plan1";#N/A,#N/A,FALSE,"Plan2"}</definedName>
    <definedName name="ljsdfrd" localSheetId="2">{#N/A,#N/A,FALSE,"Plan1";#N/A,#N/A,FALSE,"Plan2"}</definedName>
    <definedName name="LK" localSheetId="2">{#N/A,#N/A,TRUE,"Quinzena 01 à 15-04-98 "}</definedName>
    <definedName name="lkasdkeo" localSheetId="2">{#N/A,#N/A,FALSE,"Plan1";#N/A,#N/A,FALSE,"Plan2"}</definedName>
    <definedName name="lkdeas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lkdzxfsdrf" localSheetId="2">{#N/A,#N/A,FALSE,"Plan1";#N/A,#N/A,FALSE,"Plan2"}</definedName>
    <definedName name="lkfdkçtktr" localSheetId="2">{#N/A,#N/A,FALSE,"Plan1";#N/A,#N/A,FALSE,"Plan2"}</definedName>
    <definedName name="LKSSDKÇ\E" localSheetId="2" hidden="1">{#N/A,#N/A,FALSE,"Plan1";#N/A,#N/A,FALSE,"Plan2"}</definedName>
    <definedName name="lkt" localSheetId="2">{#N/A,#N/A,FALSE,"Plan1";#N/A,#N/A,FALSE,"Plan2"}</definedName>
    <definedName name="lktlyklt" localSheetId="2">{#N/A,#N/A,FALSE,"Plan1";#N/A,#N/A,FALSE,"Plan2"}</definedName>
    <definedName name="LKTTYT" localSheetId="2">{#N/A,#N/A,FALSE,"Plan1";#N/A,#N/A,FALSE,"Plan2"}</definedName>
    <definedName name="llgg" localSheetId="2">{#N/A,#N/A,FALSE,"Plan1";#N/A,#N/A,FALSE,"Plan2"}</definedName>
    <definedName name="LLL" localSheetId="2">{#N/A,#N/A,FALSE,"Plan1";#N/A,#N/A,FALSE,"Plan2"}</definedName>
    <definedName name="LM_AR" localSheetId="2">{#N/A,#N/A,FALSE,"F-01"}</definedName>
    <definedName name="LM_AT" localSheetId="2">{#N/A,#N/A,FALSE,"F-01"}</definedName>
    <definedName name="LM_INC" localSheetId="2">{#N/A,#N/A,FALSE,"F-01"}</definedName>
    <definedName name="LMPASD"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LO"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LS" localSheetId="2">#REF!</definedName>
    <definedName name="LSDFKLDKFTR" localSheetId="2">{#N/A,#N/A,FALSE,"Plan1";#N/A,#N/A,FALSE,"Plan2"}</definedName>
    <definedName name="lsdjse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lsdkljfkg" localSheetId="2">{#N/A,#N/A,FALSE,"Plan1";#N/A,#N/A,FALSE,"Plan2"}</definedName>
    <definedName name="lsdsder" localSheetId="2">{#N/A,#N/A,FALSE,"Plan1";#N/A,#N/A,FALSE,"Plan2"}</definedName>
    <definedName name="ltj6ljyhdjhngças" localSheetId="2">{#N/A,#N/A,FALSE,"Plan1";#N/A,#N/A,FALSE,"Plan2"}</definedName>
    <definedName name="m"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MAISAP" localSheetId="2">{#N/A,#N/A,FALSE,"Plan1";#N/A,#N/A,FALSE,"Plan2"}</definedName>
    <definedName name="MANTO" localSheetId="2">{#N/A,#N/A,FALSE,"GERAL";#N/A,#N/A,FALSE,"012-96";#N/A,#N/A,FALSE,"018-96";#N/A,#N/A,FALSE,"027-96";#N/A,#N/A,FALSE,"059-96";#N/A,#N/A,FALSE,"076-96";#N/A,#N/A,FALSE,"019-97";#N/A,#N/A,FALSE,"021-97";#N/A,#N/A,FALSE,"022-97";#N/A,#N/A,FALSE,"028-97"}</definedName>
    <definedName name="MASTER" localSheetId="2">{#N/A,#N/A,FALSE,"GERAL";#N/A,#N/A,FALSE,"012-96";#N/A,#N/A,FALSE,"018-96";#N/A,#N/A,FALSE,"027-96";#N/A,#N/A,FALSE,"059-96";#N/A,#N/A,FALSE,"076-96";#N/A,#N/A,FALSE,"019-97";#N/A,#N/A,FALSE,"021-97";#N/A,#N/A,FALSE,"022-97";#N/A,#N/A,FALSE,"028-97"}</definedName>
    <definedName name="mattubcust" localSheetId="2">{#N/A,#N/A,FALSE,"GERAL";#N/A,#N/A,FALSE,"012-96";#N/A,#N/A,FALSE,"018-96";#N/A,#N/A,FALSE,"027-96";#N/A,#N/A,FALSE,"059-96";#N/A,#N/A,FALSE,"076-96";#N/A,#N/A,FALSE,"019-97";#N/A,#N/A,FALSE,"021-97";#N/A,#N/A,FALSE,"022-97";#N/A,#N/A,FALSE,"028-97"}</definedName>
    <definedName name="MAURILIO" localSheetId="2">{#N/A,#N/A,FALSE,"Plan1";#N/A,#N/A,FALSE,"Plan2"}</definedName>
    <definedName name="MC" localSheetId="2">{#N/A,#N/A,FALSE,"GERAL";#N/A,#N/A,FALSE,"012-96";#N/A,#N/A,FALSE,"018-96";#N/A,#N/A,FALSE,"027-96";#N/A,#N/A,FALSE,"059-96";#N/A,#N/A,FALSE,"076-96";#N/A,#N/A,FALSE,"019-97";#N/A,#N/A,FALSE,"021-97";#N/A,#N/A,FALSE,"022-97";#N/A,#N/A,FALSE,"028-97"}</definedName>
    <definedName name="MCM" localSheetId="2">{#N/A,#N/A,FALSE,"GERAL";#N/A,#N/A,FALSE,"012-96";#N/A,#N/A,FALSE,"018-96";#N/A,#N/A,FALSE,"027-96";#N/A,#N/A,FALSE,"059-96";#N/A,#N/A,FALSE,"076-96";#N/A,#N/A,FALSE,"019-97";#N/A,#N/A,FALSE,"021-97";#N/A,#N/A,FALSE,"022-97";#N/A,#N/A,FALSE,"028-97"}</definedName>
    <definedName name="mdfgtr" localSheetId="2">{#N/A,#N/A,FALSE,"Plan1";#N/A,#N/A,FALSE,"Plan2"}</definedName>
    <definedName name="MDSÇLFJKJSD" localSheetId="2">{#N/A,#N/A,FALSE,"Plan1";#N/A,#N/A,FALSE,"Plan2"}</definedName>
    <definedName name="ME" localSheetId="2">{"HW",#N/A,FALSE,"1998"}</definedName>
    <definedName name="MENU" localSheetId="2">#REF!</definedName>
    <definedName name="MENU1" localSheetId="2">#REF!</definedName>
    <definedName name="MENU2" localSheetId="2">#REF!</definedName>
    <definedName name="MENU3" localSheetId="2">#REF!</definedName>
    <definedName name="MENU4" localSheetId="2">#REF!</definedName>
    <definedName name="MENU5" localSheetId="2">#REF!</definedName>
    <definedName name="MENU6" localSheetId="2">#REF!</definedName>
    <definedName name="MESTRE" localSheetId="2">{#N/A,#N/A,FALSE,"GERAL";#N/A,#N/A,FALSE,"012-96";#N/A,#N/A,FALSE,"018-96";#N/A,#N/A,FALSE,"027-96";#N/A,#N/A,FALSE,"059-96";#N/A,#N/A,FALSE,"076-96";#N/A,#N/A,FALSE,"019-97";#N/A,#N/A,FALSE,"021-97";#N/A,#N/A,FALSE,"022-97";#N/A,#N/A,FALSE,"028-97"}</definedName>
    <definedName name="MLMÇLKJKI" localSheetId="2">{#N/A,#N/A,FALSE,"Plan1";#N/A,#N/A,FALSE,"Plan2"}</definedName>
    <definedName name="MM"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mmmmm" localSheetId="2">{"tabela",#N/A,FALSE,"Tabela";"decoração",#N/A,FALSE,"Decor.";"Informações",#N/A,FALSE,"Inform."}</definedName>
    <definedName name="mmmmmmm" localSheetId="2">{#N/A,#N/A,FALSE,"QD_F1 Invest Detalhado";#N/A,#N/A,FALSE,"QD_F3 Invest_Comparado";#N/A,#N/A,FALSE,"QD_B Trafego";#N/A,#N/A,FALSE,"QD_D0 Custos Operacionais";#N/A,#N/A,FALSE,"QD_C Receita";#N/A,#N/A,FALSE,"QD_D Custos";#N/A,#N/A,FALSE,"QD_E Resultado";#N/A,#N/A,FALSE,"QD_G Fluxo Caixa"}</definedName>
    <definedName name="MNBXFKGS" localSheetId="2">{#N/A,#N/A,FALSE,"Plan1";#N/A,#N/A,FALSE,"Plan2"}</definedName>
    <definedName name="mncvbgcvmc" localSheetId="2">{#N/A,#N/A,FALSE,"Plan1";#N/A,#N/A,FALSE,"Plan2"}</definedName>
    <definedName name="MNDKZSFNCEA" localSheetId="2">{#N/A,#N/A,FALSE,"Plan1";#N/A,#N/A,FALSE,"Plan2"}</definedName>
    <definedName name="mnhdshfgfhd" localSheetId="2">{#N/A,#N/A,FALSE,"Plan1";#N/A,#N/A,FALSE,"Plan2"}</definedName>
    <definedName name="mo" localSheetId="2">#REF!</definedName>
    <definedName name="mobra" localSheetId="2">{#N/A,#N/A,FALSE,"GERAL";#N/A,#N/A,FALSE,"012-96";#N/A,#N/A,FALSE,"018-96";#N/A,#N/A,FALSE,"027-96";#N/A,#N/A,FALSE,"059-96";#N/A,#N/A,FALSE,"076-96";#N/A,#N/A,FALSE,"019-97";#N/A,#N/A,FALSE,"021-97";#N/A,#N/A,FALSE,"022-97";#N/A,#N/A,FALSE,"028-97"}</definedName>
    <definedName name="Modelo1" localSheetId="2">{#N/A,#N/A,FALSE,"cdi";#N/A,#N/A,FALSE,"debent";#N/A,#N/A,FALSE,"fdos";#N/A,#N/A,FALSE,"resumo"}</definedName>
    <definedName name="Modelo1a" localSheetId="2">{#N/A,#N/A,FALSE,"cdi";#N/A,#N/A,FALSE,"debent";#N/A,#N/A,FALSE,"fdos";#N/A,#N/A,FALSE,"resumo"}</definedName>
    <definedName name="Modelo2" localSheetId="2">{#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MP" localSheetId="2">{#N/A,#N/A,FALSE,"CCTV"}</definedName>
    <definedName name="MSDRFSWER" localSheetId="2">{"Econ Consolidado",#N/A,FALSE,"Econ Consol";"Fluxo de Caixa",#N/A,FALSE,"Fluxo Caixa";"Investimentos",#N/A,FALSE,"Investimentos"}</definedName>
    <definedName name="mzshdjshjs" localSheetId="2">{#N/A,#N/A,FALSE,"Plan1";#N/A,#N/A,FALSE,"Plan2"}</definedName>
    <definedName name="na" localSheetId="2">{#N/A,#N/A,FALSE,"$170M Cash";#N/A,#N/A,FALSE,"$250M Cash";#N/A,#N/A,FALSE,"$325M Cash"}</definedName>
    <definedName name="ncdgrdhrtg" localSheetId="2">{#N/A,#N/A,FALSE,"Plan1";#N/A,#N/A,FALSE,"Plan2"}</definedName>
    <definedName name="nchngdfhgdh" localSheetId="2">{#N/A,#N/A,FALSE,"Plan1";#N/A,#N/A,FALSE,"Plan2"}</definedName>
    <definedName name="NCJFKNGJHF" localSheetId="2">{#N/A,#N/A,FALSE,"Plan1";#N/A,#N/A,FALSE,"Plan2"}</definedName>
    <definedName name="ndcxhgdhf" localSheetId="2">{#N/A,#N/A,FALSE,"Plan1";#N/A,#N/A,FALSE,"Plan2"}</definedName>
    <definedName name="ndfjnjkrhdgt" localSheetId="2">{#N/A,#N/A,FALSE,"Plan1";#N/A,#N/A,FALSE,"Plan2"}</definedName>
    <definedName name="ndfkghkjthfyst" localSheetId="2">{#N/A,#N/A,FALSE,"Plan1";#N/A,#N/A,FALSE,"Plan2"}</definedName>
    <definedName name="NDJGKFKGHUFG" localSheetId="2">{#N/A,#N/A,FALSE,"Plan1";#N/A,#N/A,FALSE,"Plan2"}</definedName>
    <definedName name="ndrjkt" localSheetId="2">{#N/A,#N/A,FALSE,"Plan1";#N/A,#N/A,FALSE,"Plan2"}</definedName>
    <definedName name="new" localSheetId="2">{#N/A,#N/A,FALSE,"Global by BU";#N/A,#N/A,FALSE,"U.S. by BU";#N/A,#N/A,FALSE,"Canada by BU";#N/A,#N/A,FALSE,"Europe by BU";#N/A,#N/A,FALSE,"Asia by BU";#N/A,#N/A,FALSE,"Cala by BU"}</definedName>
    <definedName name="NEWNAME" localSheetId="2">{#N/A,#N/A,FALSE,"CCTV"}</definedName>
    <definedName name="nfgjkhvhfghn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nfkhdjkthde" localSheetId="2">{#N/A,#N/A,FALSE,"Plan1";#N/A,#N/A,FALSE,"Plan2"}</definedName>
    <definedName name="nhj"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NHJHFDSHF" localSheetId="2">{#N/A,#N/A,FALSE,"Plan1";#N/A,#N/A,FALSE,"Plan2"}</definedName>
    <definedName name="NJSDFHERTG" localSheetId="2">{#N/A,#N/A,FALSE,"Plan1";#N/A,#N/A,FALSE,"Plan2"}</definedName>
    <definedName name="nkfnsskdn" localSheetId="2">{#N/A,#N/A,FALSE,"Plan1";#N/A,#N/A,FALSE,"Plan2"}</definedName>
    <definedName name="NKJL"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nlaksjdwe" localSheetId="2">{#N/A,#N/A,FALSE,"Plan1";#N/A,#N/A,FALSE,"Plan2"}</definedName>
    <definedName name="nljsdfljfdsfr" localSheetId="2">{#N/A,#N/A,FALSE,"Plan1";#N/A,#N/A,FALSE,"Plan2"}</definedName>
    <definedName name="nmjdfhxj" localSheetId="2">{#N/A,#N/A,FALSE,"Plan1";#N/A,#N/A,FALSE,"Plan2"}</definedName>
    <definedName name="nnmn" localSheetId="2">{#N/A,#N/A,FALSE,"Plan1";#N/A,#N/A,FALSE,"Plan2"}</definedName>
    <definedName name="nnn" localSheetId="2">{#N/A,#N/A,FALSE,"$170M Cash";#N/A,#N/A,FALSE,"$250M Cash";#N/A,#N/A,FALSE,"$325M Cash"}</definedName>
    <definedName name="nnnnnnnnnnn" localSheetId="2">{"HW",#N/A,FALSE,"1998"}</definedName>
    <definedName name="NNNNNNNNNNNNNNN" localSheetId="2">{#N/A,#N/A,FALSE,"Plan1";#N/A,#N/A,FALSE,"Plan2"}</definedName>
    <definedName name="nnnnnnnnnnnnnnnnnnnn" localSheetId="2">{#N/A,#N/A,FALSE,"Plan1";#N/A,#N/A,FALSE,"Plan2"}</definedName>
    <definedName name="NNXFT" localSheetId="2">{#N/A,#N/A,FALSE,"Plan1";#N/A,#N/A,FALSE,"Plan2"}</definedName>
    <definedName name="nsdkfndgfdnatf" localSheetId="2">{#N/A,#N/A,FALSE,"Plan1";#N/A,#N/A,FALSE,"Plan2"}</definedName>
    <definedName name="nsfljdiljrf" localSheetId="2">{#N/A,#N/A,FALSE,"Plan1";#N/A,#N/A,FALSE,"Plan2"}</definedName>
    <definedName name="nzxcnnjkd" localSheetId="2">{#N/A,#N/A,FALSE,"Plan1";#N/A,#N/A,FALSE,"Plan2"}</definedName>
    <definedName name="OAE" localSheetId="2">#REF!</definedName>
    <definedName name="odfuudor" localSheetId="2">{#N/A,#N/A,FALSE,"Plan1";#N/A,#N/A,FALSE,"Plan2"}</definedName>
    <definedName name="oiditrot" localSheetId="2">{#N/A,#N/A,FALSE,"Plan1";#N/A,#N/A,FALSE,"Plan2"}</definedName>
    <definedName name="oio" localSheetId="2">{#N/A,#N/A,FALSE,"Plan1";#N/A,#N/A,FALSE,"Plan2"}</definedName>
    <definedName name="OJÇLJ" localSheetId="2">{#N/A,#N/A,FALSE,"Plan1";#N/A,#N/A,FALSE,"Plan2"}</definedName>
    <definedName name="ojkdfit" localSheetId="2">{#N/A,#N/A,FALSE,"Plan1";#N/A,#N/A,FALSE,"Plan2"}</definedName>
    <definedName name="ooo" localSheetId="2">{#N/A,#N/A,FALSE,"Plan1";#N/A,#N/A,FALSE,"Plan2"}</definedName>
    <definedName name="OPASEDWED" localSheetId="2">{"Econ Consolidado",#N/A,FALSE,"Econ Consol";"Fluxo de Caixa",#N/A,FALSE,"Fluxo Caixa";"Investimentos",#N/A,FALSE,"Investimentos"}</definedName>
    <definedName name="opiwre" localSheetId="2">{#N/A,#N/A,FALSE,"Plan1";#N/A,#N/A,FALSE,"Plan2"}</definedName>
    <definedName name="os" localSheetId="2">{#N/A,#N/A,FALSE,"TABLE"}</definedName>
    <definedName name="otodgkrjglsrd" localSheetId="2">{#N/A,#N/A,FALSE,"Plan1";#N/A,#N/A,FALSE,"Plan2"}</definedName>
    <definedName name="OUERWRSR" localSheetId="2">{#N/A,#N/A,FALSE,"Plan1";#N/A,#N/A,FALSE,"Plan2"}</definedName>
    <definedName name="overhaul"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agamento_Num" localSheetId="2">ROW()-Linha_Cabeçalho</definedName>
    <definedName name="ParamValues1" localSheetId="2">#REF!</definedName>
    <definedName name="PAV" localSheetId="2">#REF!</definedName>
    <definedName name="Pendencias" localSheetId="2">{#N/A,#N/A,FALSE,"GERAL";#N/A,#N/A,FALSE,"012-96";#N/A,#N/A,FALSE,"018-96";#N/A,#N/A,FALSE,"027-96";#N/A,#N/A,FALSE,"059-96";#N/A,#N/A,FALSE,"076-96";#N/A,#N/A,FALSE,"019-97";#N/A,#N/A,FALSE,"021-97";#N/A,#N/A,FALSE,"022-97";#N/A,#N/A,FALSE,"028-97"}</definedName>
    <definedName name="pendencias2" localSheetId="2">{#N/A,#N/A,FALSE,"GERAL";#N/A,#N/A,FALSE,"012-96";#N/A,#N/A,FALSE,"018-96";#N/A,#N/A,FALSE,"027-96";#N/A,#N/A,FALSE,"059-96";#N/A,#N/A,FALSE,"076-96";#N/A,#N/A,FALSE,"019-97";#N/A,#N/A,FALSE,"021-97";#N/A,#N/A,FALSE,"022-97";#N/A,#N/A,FALSE,"028-97"}</definedName>
    <definedName name="pendencias3" localSheetId="2">{#N/A,#N/A,FALSE,"GERAL";#N/A,#N/A,FALSE,"012-96";#N/A,#N/A,FALSE,"018-96";#N/A,#N/A,FALSE,"027-96";#N/A,#N/A,FALSE,"059-96";#N/A,#N/A,FALSE,"076-96";#N/A,#N/A,FALSE,"019-97";#N/A,#N/A,FALSE,"021-97";#N/A,#N/A,FALSE,"022-97";#N/A,#N/A,FALSE,"028-97"}</definedName>
    <definedName name="piaz"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PLACAS" localSheetId="2">{#N/A,#N/A,TRUE,"Quinzena 01 à 15-04-98 "}</definedName>
    <definedName name="Placas_Areas" localSheetId="2">{#N/A,#N/A,TRUE,"Quinzena 01 à 15-04-98 "}</definedName>
    <definedName name="plan2"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plasçdeaw" localSheetId="2">{#N/A,#N/A,FALSE,"Plan1";#N/A,#N/A,FALSE,"Plan2"}</definedName>
    <definedName name="plaslrswe" localSheetId="2">{#N/A,#N/A,FALSE,"Plan1";#N/A,#N/A,FALSE,"Plan2"}</definedName>
    <definedName name="plsearpef" localSheetId="2">{#N/A,#N/A,FALSE,"Plan1";#N/A,#N/A,FALSE,"Plan2"}</definedName>
    <definedName name="plss" localSheetId="2">{#N/A,#N/A,FALSE,"Plan1";#N/A,#N/A,FALSE,"Plan2"}</definedName>
    <definedName name="PN2건축"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r" localSheetId="2">#REF!</definedName>
    <definedName name="PRE" localSheetId="2">#REF!</definedName>
    <definedName name="print" localSheetId="2">{#N/A,#N/A,FALSE,"$170M Cash";#N/A,#N/A,FALSE,"$250M Cash";#N/A,#N/A,FALSE,"$325M Cash"}</definedName>
    <definedName name="Print_Area_MI" localSheetId="2">#REF!</definedName>
    <definedName name="ptirigyiotut" localSheetId="2">{#N/A,#N/A,FALSE,"Plan1";#N/A,#N/A,FALSE,"Plan2"}</definedName>
    <definedName name="PWER3" localSheetId="2">{#N/A,#N/A,FALSE,"Plan1";#N/A,#N/A,FALSE,"Plan2"}</definedName>
    <definedName name="qe" localSheetId="2">#REF!</definedName>
    <definedName name="qee" localSheetId="2">#REF!</definedName>
    <definedName name="qkqh1" localSheetId="2">{#N/A,#N/A,FALSE,"명세표"}</definedName>
    <definedName name="QQ"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QSQWSE" localSheetId="2">{#N/A,#N/A,FALSE,"Plan1";#N/A,#N/A,FALSE,"Plan2"}</definedName>
    <definedName name="qwdqw" localSheetId="2">{#N/A,#N/A,FALSE,"Plan1";#N/A,#N/A,FALSE,"Plan2"}</definedName>
    <definedName name="qweqwe" localSheetId="2">{#N/A,#N/A,FALSE,"Plan1";#N/A,#N/A,FALSE,"Plan2"}</definedName>
    <definedName name="qweqwe4"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RADIO" localSheetId="2">{"HW",#N/A,FALSE,"1998"}</definedName>
    <definedName name="RE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reforsu" localSheetId="2">#REF!</definedName>
    <definedName name="ren" localSheetId="2">#REF!</definedName>
    <definedName name="resum" localSheetId="2">{"'Ethernet Hubs'!$A$1:$F$14","'Licences'!$A$1:$F$16","'Ports and Converters'!$A$1:$F$46","'Standard Routers'!$A$1:$F$28","'Ports and Converters'!$A$1:$G$46","'Router Chassis'!$A$1:$F$21","'Cables and Connectors'!$A$1:$F$41","'Support, Training and Docs'!$A$1:$F$6","'Management'!$A$1:$F$8"}</definedName>
    <definedName name="RESUMO2" localSheetId="2">{#N/A,#N/A,TRUE,"Quinzena 01 à 15-04-98 "}</definedName>
    <definedName name="REV" localSheetId="2">#REF!</definedName>
    <definedName name="RF" localSheetId="2">{#N/A,#N/A,FALSE,"CCTV"}</definedName>
    <definedName name="rgedrfrgfdg" localSheetId="2">{#N/A,#N/A,FALSE,"Plan1";#N/A,#N/A,FALSE,"Plan2"}</definedName>
    <definedName name="rhdrmq"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rrrr" localSheetId="2">{"'장비'!$A$3:$M$12"}</definedName>
    <definedName name="rrrrrrrr" localSheetId="2">{"'장비'!$A$3:$M$12"}</definedName>
    <definedName name="rrrrrrrrrrr" localSheetId="2">{#N/A,#N/A,TRUE,"Quinzena 01 à 15-04-98 "}</definedName>
    <definedName name="RTYE" localSheetId="2">{"'장비'!$A$3:$M$12"}</definedName>
    <definedName name="sa" localSheetId="2">#REF!</definedName>
    <definedName name="saa" localSheetId="2">{#N/A,#N/A,FALSE,"GERAL";#N/A,#N/A,FALSE,"012-96";#N/A,#N/A,FALSE,"018-96";#N/A,#N/A,FALSE,"027-96";#N/A,#N/A,FALSE,"059-96";#N/A,#N/A,FALSE,"076-96";#N/A,#N/A,FALSE,"019-97";#N/A,#N/A,FALSE,"021-97";#N/A,#N/A,FALSE,"022-97";#N/A,#N/A,FALSE,"028-97"}</definedName>
    <definedName name="sad"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adasd" localSheetId="2">{#N/A,#N/A,FALSE,"Plan1";#N/A,#N/A,FALSE,"Plan2"}</definedName>
    <definedName name="sadked"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adkrjkedft" localSheetId="2">{#N/A,#N/A,FALSE,"Plan1";#N/A,#N/A,FALSE,"Plan2"}</definedName>
    <definedName name="SADSRTR" localSheetId="2">{#N/A,#N/A,FALSE,"Plan1";#N/A,#N/A,FALSE,"Plan2"}</definedName>
    <definedName name="sadwde" localSheetId="2">{#N/A,#N/A,FALSE,"Plan1";#N/A,#N/A,FALSE,"Plan2"}</definedName>
    <definedName name="sanjay" localSheetId="2">{#N/A,#N/A,FALSE,"TABLE"}</definedName>
    <definedName name="SAS" localSheetId="2">{#N/A,#N/A,FALSE,"Plan1";#N/A,#N/A,FALSE,"Plan2"}</definedName>
    <definedName name="sasads" localSheetId="2">{#N/A,#N/A,FALSE,"Plan1";#N/A,#N/A,FALSE,"Plan2"}</definedName>
    <definedName name="sdae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DAOTGFR" localSheetId="2">{#N/A,#N/A,FALSE,"Plan1";#N/A,#N/A,FALSE,"Plan2"}</definedName>
    <definedName name="sdckd" localSheetId="2">{#N/A,#N/A,FALSE,"Plan1";#N/A,#N/A,FALSE,"Plan2"}</definedName>
    <definedName name="SDDFKSEDE" localSheetId="2">{#N/A,#N/A,FALSE,"Plan1";#N/A,#N/A,FALSE,"Plan2"}</definedName>
    <definedName name="sddkslker" localSheetId="2">{#N/A,#N/A,FALSE,"Plan1";#N/A,#N/A,FALSE,"Plan2"}</definedName>
    <definedName name="sdefr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derj"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dfd"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dfdds" localSheetId="2">{#N/A,#N/A,FALSE,"Plan1";#N/A,#N/A,FALSE,"Plan2"}</definedName>
    <definedName name="sdfdfc" localSheetId="2">{#N/A,#N/A,FALSE,"Plan1";#N/A,#N/A,FALSE,"Plan2"}</definedName>
    <definedName name="sdfdf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dfdgft" localSheetId="2">{#N/A,#N/A,FALSE,"Plan1";#N/A,#N/A,FALSE,"Plan2"}</definedName>
    <definedName name="sdfdsf" localSheetId="2">{#N/A,#N/A,FALSE,"Plan1";#N/A,#N/A,FALSE,"Plan2"}</definedName>
    <definedName name="sdfdsf\da" localSheetId="2" hidden="1">{#N/A,#N/A,FALSE,"Plan1";#N/A,#N/A,FALSE,"Plan2"}</definedName>
    <definedName name="SDFEDRT" localSheetId="2">{#N/A,#N/A,FALSE,"Plan1";#N/A,#N/A,FALSE,"Plan2"}</definedName>
    <definedName name="sdfer" localSheetId="2">{#N/A,#N/A,FALSE,"Plan1";#N/A,#N/A,FALSE,"Plan2"}</definedName>
    <definedName name="sdferr" localSheetId="2">{#N/A,#N/A,FALSE,"Plan1";#N/A,#N/A,FALSE,"Plan2"}</definedName>
    <definedName name="sdfe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DFGJFSRF" localSheetId="2">{#N/A,#N/A,FALSE,"Plan1";#N/A,#N/A,FALSE,"Plan2"}</definedName>
    <definedName name="sdfgtr" localSheetId="2">{#N/A,#N/A,FALSE,"Plan1";#N/A,#N/A,FALSE,"Plan2"}</definedName>
    <definedName name="sdfjdetrt" localSheetId="2">{#N/A,#N/A,FALSE,"Plan1";#N/A,#N/A,FALSE,"Plan2"}</definedName>
    <definedName name="SDFJDRTJEIDR" localSheetId="2">{#N/A,#N/A,FALSE,"Plan1";#N/A,#N/A,FALSE,"Plan2"}</definedName>
    <definedName name="sdfjergtij" localSheetId="2">{#N/A,#N/A,FALSE,"Plan1";#N/A,#N/A,FALSE,"Plan2"}</definedName>
    <definedName name="SDFOPJKWE" localSheetId="2">{#N/A,#N/A,FALSE,"Plan1";#N/A,#N/A,FALSE,"Plan2"}</definedName>
    <definedName name="sdfrdt5"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dfrt" localSheetId="2">{#N/A,#N/A,FALSE,"Plan1";#N/A,#N/A,FALSE,"Plan2"}</definedName>
    <definedName name="SDFRTKK" localSheetId="2">{#N/A,#N/A,FALSE,"Plan1";#N/A,#N/A,FALSE,"Plan2"}</definedName>
    <definedName name="SDFRTR" localSheetId="2">{#N/A,#N/A,FALSE,"Plan1";#N/A,#N/A,FALSE,"Plan2"}</definedName>
    <definedName name="sdfry6" localSheetId="2">{#N/A,#N/A,FALSE,"Plan1";#N/A,#N/A,FALSE,"Plan2"}</definedName>
    <definedName name="sdfsaf" localSheetId="2">{#N/A,#N/A,FALSE,"Plan1";#N/A,#N/A,FALSE,"Plan2"}</definedName>
    <definedName name="sdfsd" localSheetId="2">{"'Estimativa de Lançamento-JAN'!$A$1:$AI$85"}</definedName>
    <definedName name="sdfsdfg" localSheetId="2">{#N/A,#N/A,FALSE,"Plan1";#N/A,#N/A,FALSE,"Plan2"}</definedName>
    <definedName name="SDFSDFK" localSheetId="2">{#N/A,#N/A,FALSE,"Plan1";#N/A,#N/A,FALSE,"Plan2"}</definedName>
    <definedName name="sdfsdgftret" localSheetId="2">{#N/A,#N/A,FALSE,"Plan1";#N/A,#N/A,FALSE,"Plan2"}</definedName>
    <definedName name="SDFSF" localSheetId="2">{#N/A,#N/A,FALSE,"GERAL";#N/A,#N/A,FALSE,"012-96";#N/A,#N/A,FALSE,"018-96";#N/A,#N/A,FALSE,"027-96";#N/A,#N/A,FALSE,"059-96";#N/A,#N/A,FALSE,"076-96";#N/A,#N/A,FALSE,"019-97";#N/A,#N/A,FALSE,"021-97";#N/A,#N/A,FALSE,"022-97";#N/A,#N/A,FALSE,"028-97"}</definedName>
    <definedName name="SDFSFRT" localSheetId="2">{"Econ Consolidado",#N/A,FALSE,"Econ Consol";"Fluxo de Caixa",#N/A,FALSE,"Fluxo Caixa";"Investimentos",#N/A,FALSE,"Investimentos"}</definedName>
    <definedName name="sdfsr" localSheetId="2">{#N/A,#N/A,FALSE,"Plan1";#N/A,#N/A,FALSE,"Plan2"}</definedName>
    <definedName name="sdfty" localSheetId="2">{#N/A,#N/A,FALSE,"Plan1";#N/A,#N/A,FALSE,"Plan2"}</definedName>
    <definedName name="sdgdf" localSheetId="2">{#N/A,#N/A,FALSE,"Plan1";#N/A,#N/A,FALSE,"Plan2"}</definedName>
    <definedName name="sdgfrt" localSheetId="2">{#N/A,#N/A,FALSE,"Plan1";#N/A,#N/A,FALSE,"Plan2"}</definedName>
    <definedName name="sdgft" localSheetId="2">{#N/A,#N/A,FALSE,"Plan1";#N/A,#N/A,FALSE,"Plan2"}</definedName>
    <definedName name="sdgt" localSheetId="2">{#N/A,#N/A,FALSE,"Plan1";#N/A,#N/A,FALSE,"Plan2"}</definedName>
    <definedName name="sdhfghdsfg" localSheetId="2">{#N/A,#N/A,FALSE,"Plan1";#N/A,#N/A,FALSE,"Plan2"}</definedName>
    <definedName name="SDHFJKHDFJRE" localSheetId="2">{#N/A,#N/A,FALSE,"Plan1";#N/A,#N/A,FALSE,"Plan2"}</definedName>
    <definedName name="SDHKFDRKGTR" localSheetId="2">{#N/A,#N/A,FALSE,"Plan1";#N/A,#N/A,FALSE,"Plan2"}</definedName>
    <definedName name="sdjdswger" localSheetId="2">{#N/A,#N/A,FALSE,"Plan1";#N/A,#N/A,FALSE,"Plan2"}</definedName>
    <definedName name="sdjfdf" localSheetId="2">{#N/A,#N/A,FALSE,"Plan1";#N/A,#N/A,FALSE,"Plan2"}</definedName>
    <definedName name="sdjfhdjk" localSheetId="2">{#N/A,#N/A,FALSE,"Plan1";#N/A,#N/A,FALSE,"Plan2"}</definedName>
    <definedName name="SDJFJDER" localSheetId="2">{#N/A,#N/A,FALSE,"Plan1";#N/A,#N/A,FALSE,"Plan2"}</definedName>
    <definedName name="sdjflsdjfl" localSheetId="2">{#N/A,#N/A,FALSE,"Plan1";#N/A,#N/A,FALSE,"Plan2"}</definedName>
    <definedName name="SDJHF" localSheetId="2">{#N/A,#N/A,FALSE,"Plan1";#N/A,#N/A,FALSE,"Plan2"}</definedName>
    <definedName name="sdjrderertrr" localSheetId="2">{#N/A,#N/A,FALSE,"Plan1";#N/A,#N/A,FALSE,"Plan2"}</definedName>
    <definedName name="sdkdjk" localSheetId="2">{#N/A,#N/A,FALSE,"Plan1";#N/A,#N/A,FALSE,"Plan2"}</definedName>
    <definedName name="sdkfjhkdgfhk"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dkfnjd" localSheetId="2">{#N/A,#N/A,FALSE,"Plan1";#N/A,#N/A,FALSE,"Plan2"}</definedName>
    <definedName name="sdkk" localSheetId="2">{#N/A,#N/A,FALSE,"Plan1";#N/A,#N/A,FALSE,"Plan2"}</definedName>
    <definedName name="sdlfsdflj" localSheetId="2">{#N/A,#N/A,FALSE,"Plan1";#N/A,#N/A,FALSE,"Plan2"}</definedName>
    <definedName name="sdmfmdfsgfd" localSheetId="2">{#N/A,#N/A,FALSE,"Plan1";#N/A,#N/A,FALSE,"Plan2"}</definedName>
    <definedName name="sdr"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drfgt" localSheetId="2">{#N/A,#N/A,FALSE,"Plan1";#N/A,#N/A,FALSE,"Plan2"}</definedName>
    <definedName name="sdsd" localSheetId="2">{#N/A,#N/A,FALSE,"Plan1";#N/A,#N/A,FALSE,"Plan2"}</definedName>
    <definedName name="sdser" localSheetId="2">{#N/A,#N/A,FALSE,"Plan1";#N/A,#N/A,FALSE,"Plan2"}</definedName>
    <definedName name="sdsre" localSheetId="2">{#N/A,#N/A,FALSE,"Plan1";#N/A,#N/A,FALSE,"Plan2"}</definedName>
    <definedName name="sdss" localSheetId="2">{#N/A,#N/A,FALSE,"Plan1";#N/A,#N/A,FALSE,"Plan2"}</definedName>
    <definedName name="sdusi"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DWER" localSheetId="2">{"Econ Consolidado",#N/A,FALSE,"Econ Consol";"Fluxo de Caixa",#N/A,FALSE,"Fluxo Caixa";"Investimentos",#N/A,FALSE,"Investimentos"}</definedName>
    <definedName name="sdxfrt" localSheetId="2">{#N/A,#N/A,FALSE,"Plan1";#N/A,#N/A,FALSE,"Plan2"}</definedName>
    <definedName name="SDZFERF" localSheetId="2">{#N/A,#N/A,FALSE,"Plan1";#N/A,#N/A,FALSE,"Plan2"}</definedName>
    <definedName name="sefret4r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EG" localSheetId="2">#REF!</definedName>
    <definedName name="segftru" localSheetId="2">{#N/A,#N/A,FALSE,"Plan1";#N/A,#N/A,FALSE,"Plan2"}</definedName>
    <definedName name="sencount" localSheetId="2">1</definedName>
    <definedName name="SEREWRSWE" localSheetId="2">{"tabela",#N/A,FALSE,"Tabela";"decoração",#N/A,FALSE,"Decor.";"Informações",#N/A,FALSE,"Inform."}</definedName>
    <definedName name="sf" localSheetId="2">{#N/A,#N/A,FALSE,"Plan1";#N/A,#N/A,FALSE,"Plan2"}</definedName>
    <definedName name="sfcrer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fddfd" localSheetId="2">{#N/A,#N/A,FALSE,"Plan1";#N/A,#N/A,FALSE,"Plan2"}</definedName>
    <definedName name="sfds" localSheetId="2">{#N/A,#N/A,FALSE,"Plan1";#N/A,#N/A,FALSE,"Plan2"}</definedName>
    <definedName name="sfdsd" localSheetId="2">{#N/A,#N/A,FALSE,"Plan1";#N/A,#N/A,FALSE,"Plan2"}</definedName>
    <definedName name="sfrsdrgt" localSheetId="2">{#N/A,#N/A,FALSE,"Plan1";#N/A,#N/A,FALSE,"Plan2"}</definedName>
    <definedName name="SFRT" localSheetId="2">{#N/A,#N/A,FALSE,"Plan1";#N/A,#N/A,FALSE,"Plan2"}</definedName>
    <definedName name="sfsdferf" localSheetId="2">{#N/A,#N/A,FALSE,"Plan1";#N/A,#N/A,FALSE,"Plan2"}</definedName>
    <definedName name="SFSDS" localSheetId="2">{#N/A,#N/A,FALSE,"Plan1";#N/A,#N/A,FALSE,"Plan2"}</definedName>
    <definedName name="sgtghty" localSheetId="2">{#N/A,#N/A,FALSE,"Plan1";#N/A,#N/A,FALSE,"Plan2"}</definedName>
    <definedName name="SH" localSheetId="2">{#N/A,#N/A,FALSE,"GERAL";#N/A,#N/A,FALSE,"012-96";#N/A,#N/A,FALSE,"018-96";#N/A,#N/A,FALSE,"027-96";#N/A,#N/A,FALSE,"059-96";#N/A,#N/A,FALSE,"076-96";#N/A,#N/A,FALSE,"019-97";#N/A,#N/A,FALSE,"021-97";#N/A,#N/A,FALSE,"022-97";#N/A,#N/A,FALSE,"028-97"}</definedName>
    <definedName name="SHARED_FORMULA_0" localSheetId="2">#REF!</definedName>
    <definedName name="SHARED_FORMULA_1" localSheetId="2">#REF!</definedName>
    <definedName name="SHARED_FORMULA_10" localSheetId="2">#REF!</definedName>
    <definedName name="SHARED_FORMULA_11" localSheetId="2">#REF!</definedName>
    <definedName name="SHARED_FORMULA_12" localSheetId="2">#REF!</definedName>
    <definedName name="SHARED_FORMULA_13" localSheetId="2">#REF!</definedName>
    <definedName name="SHARED_FORMULA_14" localSheetId="2">#REF!</definedName>
    <definedName name="SHARED_FORMULA_15" localSheetId="2">#REF!</definedName>
    <definedName name="SHARED_FORMULA_16" localSheetId="2">#REF!</definedName>
    <definedName name="SHARED_FORMULA_17" localSheetId="2">#REF!</definedName>
    <definedName name="SHARED_FORMULA_18" localSheetId="2">#REF!</definedName>
    <definedName name="SHARED_FORMULA_19" localSheetId="2">#REF!</definedName>
    <definedName name="SHARED_FORMULA_2" localSheetId="2">#REF!</definedName>
    <definedName name="SHARED_FORMULA_20" localSheetId="2">#REF!</definedName>
    <definedName name="SHARED_FORMULA_21" localSheetId="2">#REF!</definedName>
    <definedName name="SHARED_FORMULA_22" localSheetId="2">#REF!</definedName>
    <definedName name="SHARED_FORMULA_23" localSheetId="2">#REF!</definedName>
    <definedName name="SHARED_FORMULA_24" localSheetId="2">#REF!</definedName>
    <definedName name="SHARED_FORMULA_25" localSheetId="2">#REF!</definedName>
    <definedName name="SHARED_FORMULA_26" localSheetId="2">#REF!</definedName>
    <definedName name="SHARED_FORMULA_27" localSheetId="2">#REF!</definedName>
    <definedName name="SHARED_FORMULA_28" localSheetId="2">#REF!</definedName>
    <definedName name="SHARED_FORMULA_29" localSheetId="2">#REF!</definedName>
    <definedName name="SHARED_FORMULA_3" localSheetId="2">#REF!</definedName>
    <definedName name="SHARED_FORMULA_30" localSheetId="2">#REF!</definedName>
    <definedName name="SHARED_FORMULA_31" localSheetId="2">#REF!</definedName>
    <definedName name="SHARED_FORMULA_32" localSheetId="2">#REF!</definedName>
    <definedName name="SHARED_FORMULA_33" localSheetId="2">#REF!</definedName>
    <definedName name="SHARED_FORMULA_34" localSheetId="2">#REF!</definedName>
    <definedName name="SHARED_FORMULA_35" localSheetId="2">#REF!</definedName>
    <definedName name="SHARED_FORMULA_36" localSheetId="2">#REF!</definedName>
    <definedName name="SHARED_FORMULA_37" localSheetId="2">#REF!</definedName>
    <definedName name="SHARED_FORMULA_38" localSheetId="2">#REF!</definedName>
    <definedName name="SHARED_FORMULA_39" localSheetId="2">#REF!</definedName>
    <definedName name="SHARED_FORMULA_4" localSheetId="2">#REF!</definedName>
    <definedName name="SHARED_FORMULA_40" localSheetId="2">#REF!</definedName>
    <definedName name="SHARED_FORMULA_41" localSheetId="2">#REF!</definedName>
    <definedName name="SHARED_FORMULA_42" localSheetId="2">#REF!</definedName>
    <definedName name="SHARED_FORMULA_43" localSheetId="2">#REF!</definedName>
    <definedName name="SHARED_FORMULA_44" localSheetId="2">#REF!</definedName>
    <definedName name="SHARED_FORMULA_45" localSheetId="2">#REF!</definedName>
    <definedName name="SHARED_FORMULA_46" localSheetId="2">#REF!</definedName>
    <definedName name="SHARED_FORMULA_47" localSheetId="2">#REF!</definedName>
    <definedName name="SHARED_FORMULA_48" localSheetId="2">#REF!</definedName>
    <definedName name="SHARED_FORMULA_49" localSheetId="2">#REF!</definedName>
    <definedName name="SHARED_FORMULA_5" localSheetId="2">#REF!</definedName>
    <definedName name="SHARED_FORMULA_50" localSheetId="2">#REF!</definedName>
    <definedName name="SHARED_FORMULA_51" localSheetId="2">#REF!</definedName>
    <definedName name="SHARED_FORMULA_52" localSheetId="2">#REF!</definedName>
    <definedName name="SHARED_FORMULA_53" localSheetId="2">#REF!</definedName>
    <definedName name="SHARED_FORMULA_54" localSheetId="2">#REF!</definedName>
    <definedName name="SHARED_FORMULA_55" localSheetId="2">#REF!</definedName>
    <definedName name="SHARED_FORMULA_56" localSheetId="2">#REF!</definedName>
    <definedName name="SHARED_FORMULA_57" localSheetId="2">#REF!</definedName>
    <definedName name="SHARED_FORMULA_58" localSheetId="2">#REF!</definedName>
    <definedName name="SHARED_FORMULA_59" localSheetId="2">#REF!</definedName>
    <definedName name="SHARED_FORMULA_6" localSheetId="2">#REF!</definedName>
    <definedName name="SHARED_FORMULA_60" localSheetId="2">#REF!</definedName>
    <definedName name="SHARED_FORMULA_61" localSheetId="2">#REF!</definedName>
    <definedName name="SHARED_FORMULA_62" localSheetId="2">#REF!</definedName>
    <definedName name="SHARED_FORMULA_7" localSheetId="2">#REF!</definedName>
    <definedName name="SHARED_FORMULA_8" localSheetId="2">#REF!</definedName>
    <definedName name="SHARED_FORMULA_9" localSheetId="2">#REF!</definedName>
    <definedName name="SIH" localSheetId="2">#REF!</definedName>
    <definedName name="SIV" localSheetId="2">#REF!</definedName>
    <definedName name="sjawe" localSheetId="2">{#N/A,#N/A,FALSE,"Plan1";#N/A,#N/A,FALSE,"Plan2"}</definedName>
    <definedName name="sjdffd" localSheetId="2">{#N/A,#N/A,FALSE,"Plan1";#N/A,#N/A,FALSE,"Plan2"}</definedName>
    <definedName name="SJDFHDJSF"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SJDHFHRE" localSheetId="2">{#N/A,#N/A,FALSE,"Plan1";#N/A,#N/A,FALSE,"Plan2"}</definedName>
    <definedName name="SJDKJDE" localSheetId="2">{"Econ Consolidado",#N/A,FALSE,"Econ Consol";"Fluxo de Caixa",#N/A,FALSE,"Fluxo Caixa";"Investimentos",#N/A,FALSE,"Investimentos"}</definedName>
    <definedName name="sjekwjri" localSheetId="2">{#N/A,#N/A,FALSE,"Plan1";#N/A,#N/A,FALSE,"Plan2"}</definedName>
    <definedName name="sjfkdhsfds" localSheetId="2">{#N/A,#N/A,FALSE,"Plan1";#N/A,#N/A,FALSE,"Plan2"}</definedName>
    <definedName name="sjkdljslkrje" localSheetId="2">{#N/A,#N/A,FALSE,"Plan1";#N/A,#N/A,FALSE,"Plan2"}</definedName>
    <definedName name="skadadaszs" localSheetId="2">{#N/A,#N/A,FALSE,"Plan1";#N/A,#N/A,FALSE,"Plan2"}</definedName>
    <definedName name="SKASH" localSheetId="2">{#N/A,#N/A,FALSE,"Plan1";#N/A,#N/A,FALSE,"Plan2"}</definedName>
    <definedName name="skldfrde" localSheetId="2">{#N/A,#N/A,FALSE,"Plan1";#N/A,#N/A,FALSE,"Plan2"}</definedName>
    <definedName name="skosroer" localSheetId="2">{#N/A,#N/A,FALSE,"Plan1";#N/A,#N/A,FALSE,"Plan2"}</definedName>
    <definedName name="sp"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ARE"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QEWWE" localSheetId="2">{#N/A,#N/A,FALSE,"Plan1";#N/A,#N/A,FALSE,"Plan2"}</definedName>
    <definedName name="SRH" localSheetId="2">{#N/A,#N/A,FALSE,"GERAL";#N/A,#N/A,FALSE,"012-96";#N/A,#N/A,FALSE,"018-96";#N/A,#N/A,FALSE,"027-96";#N/A,#N/A,FALSE,"059-96";#N/A,#N/A,FALSE,"076-96";#N/A,#N/A,FALSE,"019-97";#N/A,#N/A,FALSE,"021-97";#N/A,#N/A,FALSE,"022-97";#N/A,#N/A,FALSE,"028-97"}</definedName>
    <definedName name="SRTSRT" localSheetId="2">{#N/A,#N/A,FALSE,"GERAL";#N/A,#N/A,FALSE,"012-96";#N/A,#N/A,FALSE,"018-96";#N/A,#N/A,FALSE,"027-96";#N/A,#N/A,FALSE,"059-96";#N/A,#N/A,FALSE,"076-96";#N/A,#N/A,FALSE,"019-97";#N/A,#N/A,FALSE,"021-97";#N/A,#N/A,FALSE,"022-97";#N/A,#N/A,FALSE,"028-97"}</definedName>
    <definedName name="SRTST" localSheetId="2">{#N/A,#N/A,FALSE,"GERAL";#N/A,#N/A,FALSE,"012-96";#N/A,#N/A,FALSE,"018-96";#N/A,#N/A,FALSE,"027-96";#N/A,#N/A,FALSE,"059-96";#N/A,#N/A,FALSE,"076-96";#N/A,#N/A,FALSE,"019-97";#N/A,#N/A,FALSE,"021-97";#N/A,#N/A,FALSE,"022-97";#N/A,#N/A,FALSE,"028-97"}</definedName>
    <definedName name="ss" localSheetId="2">#REF!</definedName>
    <definedName name="susref" localSheetId="2">#REF!</definedName>
    <definedName name="tab"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tania" localSheetId="2">#REF!</definedName>
    <definedName name="tc" localSheetId="2">#REF!</definedName>
    <definedName name="Test" localSheetId="2">{"'Edit'!$A$1:$V$2277"}</definedName>
    <definedName name="TESTANDO" localSheetId="2">{#N/A,#N/A,TRUE,"Quinzena 01 à 15-04-98 "}</definedName>
    <definedName name="teste1" localSheetId="2">{#N/A,#N/A,FALSE,"GERAL";#N/A,#N/A,FALSE,"012-96";#N/A,#N/A,FALSE,"018-96";#N/A,#N/A,FALSE,"027-96";#N/A,#N/A,FALSE,"059-96";#N/A,#N/A,FALSE,"076-96";#N/A,#N/A,FALSE,"019-97";#N/A,#N/A,FALSE,"021-97";#N/A,#N/A,FALSE,"022-97";#N/A,#N/A,FALSE,"028-97"}</definedName>
    <definedName name="thjgsergsr" localSheetId="2">{#N/A,#N/A,FALSE,"Plan1";#N/A,#N/A,FALSE,"Plan2"}</definedName>
    <definedName name="THYJ" localSheetId="2">{#N/A,#N/A,FALSE,"Plan1";#N/A,#N/A,FALSE,"Plan2"}</definedName>
    <definedName name="tihjgih" localSheetId="2">{#N/A,#N/A,FALSE,"Plan1";#N/A,#N/A,FALSE,"Plan2"}</definedName>
    <definedName name="TOT" localSheetId="2">#REF!</definedName>
    <definedName name="Total" localSheetId="2">#REF!</definedName>
    <definedName name="trjyidih" localSheetId="2">{#N/A,#N/A,FALSE,"Plan1";#N/A,#N/A,FALSE,"Plan2"}</definedName>
    <definedName name="TRP" localSheetId="2">#REF!</definedName>
    <definedName name="tuyedjsksj" localSheetId="2">{#N/A,#N/A,FALSE,"Plan1";#N/A,#N/A,FALSE,"Plan2"}</definedName>
    <definedName name="TYHGFHFHG" localSheetId="2">{#N/A,#N/A,FALSE,"Plan1";#N/A,#N/A,FALSE,"Plan2"}</definedName>
    <definedName name="u" localSheetId="2">{#N/A,#N/A,FALSE,"ET-CAPA";#N/A,#N/A,FALSE,"ET-PAG1";#N/A,#N/A,FALSE,"ET-PAG2";#N/A,#N/A,FALSE,"ET-PAG3";#N/A,#N/A,FALSE,"ET-PAG4";#N/A,#N/A,FALSE,"ET-PAG5"}</definedName>
    <definedName name="udhgfhfg" localSheetId="2">{#N/A,#N/A,FALSE,"Plan1";#N/A,#N/A,FALSE,"Plan2"}</definedName>
    <definedName name="ueiutriuef" localSheetId="2">{#N/A,#N/A,FALSE,"Plan1";#N/A,#N/A,FALSE,"Plan2"}</definedName>
    <definedName name="UHGSDUS" localSheetId="2">{#N/A,#N/A,FALSE,"Plan1";#N/A,#N/A,FALSE,"Plan2"}</definedName>
    <definedName name="UIHWER45R" localSheetId="2">{#N/A,#N/A,FALSE,"Plan1";#N/A,#N/A,FALSE,"Plan2"}</definedName>
    <definedName name="uiosderuiu" localSheetId="2">{#N/A,#N/A,FALSE,"Plan1";#N/A,#N/A,FALSE,"Plan2"}</definedName>
    <definedName name="UIOURET" localSheetId="2">{#N/A,#N/A,FALSE,"Plan1";#N/A,#N/A,FALSE,"Plan2"}</definedName>
    <definedName name="uiwuer" localSheetId="2">{#N/A,#N/A,FALSE,"Plan1";#N/A,#N/A,FALSE,"Plan2"}</definedName>
    <definedName name="UKHDFDSGUDFKD" localSheetId="2">{#N/A,#N/A,FALSE,"Plan1";#N/A,#N/A,FALSE,"Plan2"}</definedName>
    <definedName name="um" localSheetId="2">0</definedName>
    <definedName name="unit" localSheetId="2">{#N/A,#N/A,FALSE,"GERAL";#N/A,#N/A,FALSE,"012-96";#N/A,#N/A,FALSE,"018-96";#N/A,#N/A,FALSE,"027-96";#N/A,#N/A,FALSE,"059-96";#N/A,#N/A,FALSE,"076-96";#N/A,#N/A,FALSE,"019-97";#N/A,#N/A,FALSE,"021-97";#N/A,#N/A,FALSE,"022-97";#N/A,#N/A,FALSE,"028-97"}</definedName>
    <definedName name="UPS"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uryrtyt" localSheetId="2">{#N/A,#N/A,FALSE,"Plan1";#N/A,#N/A,FALSE,"Plan2"}</definedName>
    <definedName name="valve"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vdsgfrhgfr" localSheetId="2">{#N/A,#N/A,FALSE,"Plan1";#N/A,#N/A,FALSE,"Plan2"}</definedName>
    <definedName name="VERIFICAR" localSheetId="2">{#N/A,#N/A,TRUE,"Quinzena 01 à 15-04-98 "}</definedName>
    <definedName name="vfnijfd"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VFV" localSheetId="2">{#N/A,#N/A,FALSE,"Plan1";#N/A,#N/A,FALSE,"Plan2"}</definedName>
    <definedName name="vld_classificacao" localSheetId="2">IF(#REF!="Ativa",OFFSET(INDEX(rng_list_classificacao,MATCH(#REF!,rng_list_classificacao,0)),1,0,COUNTA(rng_list_classificacao)-1),#REF!)</definedName>
    <definedName name="vld_regional" localSheetId="2">OFFSET(INDEX(rng_list_regional,MATCH(#REF!,rng_list_regional,0)),1,0,COUNTA(rng_list_regional)-1)</definedName>
    <definedName name="vld_segmento" localSheetId="2">IF(#REF!="Ativa",OFFSET(INDEX(rng_list_segmento,MATCH(#REF!,rng_list_segmento,0)),1,0,COUNTA(rng_list_segmento)-1),#REF!)</definedName>
    <definedName name="vld_sociedade" localSheetId="2">OFFSET(INDEX(rng_list_sociedade,MATCH(#REF!,rng_list_sociedade,0)),1,0,COUNTA(rng_list_sociedade)-1)</definedName>
    <definedName name="vld_status_empresa" localSheetId="2">OFFSET(INDEX(rng_list_status_empresa,MATCH(#REF!,rng_list_status_empresa,0)),1,0,COUNTA(rng_list_status_empresa)-1)</definedName>
    <definedName name="vld_status_lancamento" localSheetId="2">IF(#REF!="Ativa",OFFSET(INDEX(rng_list_status_lancamento,MATCH(#REF!,rng_list_status_lancamento,0)),1,0,COUNTA(rng_list_status_lancamento)-1),#REF!)</definedName>
    <definedName name="vld_status_projeto" localSheetId="2">IF(#REF!="Ativa",OFFSET(INDEX(rng_list_status_projeto,MATCH(#REF!,rng_list_status_projeto,0)),1,0,COUNTA(rng_list_status_projeto)-1),#REF!)</definedName>
    <definedName name="vld_status_viabilidade" localSheetId="2">OFFSET(INDEX(rng_list_status_viabilidade,MATCH(#REF!,rng_list_status_viabilidade,0)),1,0,COUNTA(rng_list_status_viabilidade)-1)</definedName>
    <definedName name="VSDHFGDFGR" localSheetId="2">{#N/A,#N/A,FALSE,"Plan1";#N/A,#N/A,FALSE,"Plan2"}</definedName>
    <definedName name="vvbb" localSheetId="2">{"tabela",#N/A,FALSE,"Tabela";"decoração",#N/A,FALSE,"Decor.";"Informações",#N/A,FALSE,"Inform."}</definedName>
    <definedName name="vvcbnb" localSheetId="2">{#N/A,#N/A,FALSE,"Plan1";#N/A,#N/A,FALSE,"Plan2"}</definedName>
    <definedName name="vvvvv" localSheetId="2">{"Econ Consolidado",#N/A,FALSE,"Econ Consol";"Fluxo de Caixa",#N/A,FALSE,"Fluxo Caixa";"Investimentos",#N/A,FALSE,"Investimentos"}</definedName>
    <definedName name="vvvvvv" localSheetId="2">{#N/A,#N/A,FALSE,"Plan1";#N/A,#N/A,FALSE,"Plan2"}</definedName>
    <definedName name="vvvvvvvvvvvvvvvvv" localSheetId="2">{"HW",#N/A,FALSE,"1998"}</definedName>
    <definedName name="w"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dalrdjlaev"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water"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erw4tr" localSheetId="2">{#N/A,#N/A,FALSE,"Plan1";#N/A,#N/A,FALSE,"Plan2"}</definedName>
    <definedName name="wetoedjtkdr" localSheetId="2">{#N/A,#N/A,FALSE,"Plan1";#N/A,#N/A,FALSE,"Plan2"}</definedName>
    <definedName name="WHATS" localSheetId="2">{"'Edit'!$A$1:$V$2277"}</definedName>
    <definedName name="win.VESSEL"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KJHIR" localSheetId="2">{#N/A,#N/A,FALSE,"Plan1";#N/A,#N/A,FALSE,"Plan2"}</definedName>
    <definedName name="WLQ" localSheetId="2">{#N/A,#N/A,FALSE,"명세표"}</definedName>
    <definedName name="WRITE" localSheetId="2">{#N/A,#N/A,FALSE,"CCTV"}</definedName>
    <definedName name="wrn.BM." localSheetId="2">{#N/A,#N/A,FALSE,"CCTV"}</definedName>
    <definedName name="wrn.Brita98.xls." localSheetId="2">{#N/A,#N/A,TRUE,"Quinzena 01 à 15-04-98 "}</definedName>
    <definedName name="wrn.Completo." localSheetId="2">{"EconCons (Econômico - Consolidado)",#N/A,FALSE,"Econômico - Consolidado";"CaixaCons",#N/A,FALSE,"Caixa - Consolidado";"Rio Branco",#N/A,FALSE,"Rio Branco";"Itajaí",#N/A,FALSE,"Itajaí";"Esteio",#N/A,FALSE,"Esteio";"P. Machado",#N/A,FALSE,"P. Machado";"InvestCons (Invest Consolidado)",#N/A,FALSE,"Invest Consolidado"}</definedName>
    <definedName name="wrn.Cons." localSheetId="2">{"EconCons",#N/A,TRUE,"Econômico - Consolidado";"CaixaCons",#N/A,TRUE,"Caixa - Consolidado";"InvestCons",#N/A,TRUE,"Invest Consolidado"}</definedName>
    <definedName name="wrn.Consolidado." localSheetId="2">{"Econ Consolidado",#N/A,FALSE,"Econ Consol";"Fluxo de Caixa",#N/A,FALSE,"Fluxo Caixa";"Investimentos",#N/A,FALSE,"Investimentos"}</definedName>
    <definedName name="wrn.GERAL." localSheetId="2">{#N/A,#N/A,FALSE,"ET-CAPA";#N/A,#N/A,FALSE,"ET-PAG1";#N/A,#N/A,FALSE,"ET-PAG2";#N/A,#N/A,FALSE,"ET-PAG3";#N/A,#N/A,FALSE,"ET-PAG4";#N/A,#N/A,FALSE,"ET-PAG5"}</definedName>
    <definedName name="wrn.HAGE." localSheetId="2">{#N/A,#N/A,FALSE,"cdi";#N/A,#N/A,FALSE,"debent";#N/A,#N/A,FALSE,"fdos";#N/A,#N/A,FALSE,"resumo"}</definedName>
    <definedName name="wrn.HAGE01" localSheetId="2">{#N/A,#N/A,FALSE,"cdi";#N/A,#N/A,FALSE,"debent";#N/A,#N/A,FALSE,"fdos";#N/A,#N/A,FALSE,"resumo"}</definedName>
    <definedName name="wrn.HW." localSheetId="2">{"HW",#N/A,FALSE,"1998"}</definedName>
    <definedName name="wrn.imp_flx." localSheetId="2">{#N/A,#N/A,FALSE,"CONSOLID";#N/A,#N/A,FALSE,"CIMENTO";#N/A,#N/A,FALSE,"METALURGIA";#N/A,#N/A,FALSE,"PAPEL";#N/A,#N/A,FALSE,"QUÍMICA";#N/A,#N/A,FALSE,"AGROINDL";#N/A,#N/A,FALSE,"OUTROS";#N/A,#N/A,FALSE,"REAL_ORCADO"}</definedName>
    <definedName name="wrn.IMPRESSO." localSheetId="2">{#N/A,#N/A,FALSE,"Plan1";#N/A,#N/A,FALSE,"Plan2"}</definedName>
    <definedName name="wrn.Imprimir." localSheetId="2">{"tabela",#N/A,FALSE,"Tabela";"decoração",#N/A,FALSE,"Decor.";"Informações",#N/A,FALSE,"Inform."}</definedName>
    <definedName name="wrn.LPU._.MG." localSheetId="2">{"MG-2002-F1",#N/A,FALSE,"PPU-Telemig";"MG-2002-F2",#N/A,FALSE,"PPU-Telemig";"MG-2002-F3",#N/A,FALSE,"PPU-Telemig";"MG-2002-F4",#N/A,FALSE,"PPU-Telemig";"MG-2003-F1",#N/A,FALSE,"PPU-Telemig";"MG-2004-F1",#N/A,FALSE,"PPU-Telemig"}</definedName>
    <definedName name="wrn.MGM機器リスト." localSheetId="2">{#N/A,#N/A,TRUE,"表紙";#N/A,#N/A,TRUE,"DMC合成";#N/A,#N/A,TRUE,"DMC回収･精製";#N/A,#N/A,TRUE,"MPC工程";#N/A,#N/A,TRUE,"DPC工程";#N/A,#N/A,TRUE,"ANI工程";#N/A,#N/A,TRUE,"PHOｰ触媒工程";#N/A,#N/A,TRUE,"用役"}</definedName>
    <definedName name="wrn.mode_lev.xls." localSheetId="2" hidden="1">{#N/A,#N/A,FALSE,"ALVENARIA";#N/A,#N/A,FALSE,"BLOCOS";#N/A,#N/A,FALSE,"CINTAS";#N/A,#N/A,FALSE,"CORTINA";#N/A,#N/A,FALSE,"LAJES";#N/A,#N/A,FALSE,"PILARES";#N/A,#N/A,FALSE,"VIGAS"}</definedName>
    <definedName name="wrn.Month._.Report._.Package." localSheetId="2">{#N/A,#N/A,FALSE,"Global Wls Trend";#N/A,#N/A,FALSE,"Region Trend";#N/A,#N/A,FALSE,"PBU Trend"}</definedName>
    <definedName name="wrn.Monthly._.Report._.Package." localSheetId="2">{#N/A,#N/A,FALSE,"Global by BU";#N/A,#N/A,FALSE,"U.S. by BU";#N/A,#N/A,FALSE,"Canada by BU";#N/A,#N/A,FALSE,"Europe by BU";#N/A,#N/A,FALSE,"Asia by BU";#N/A,#N/A,FALSE,"Cala by BU"}</definedName>
    <definedName name="wrn.PENDENCIAS." localSheetId="2">{#N/A,#N/A,FALSE,"GERAL";#N/A,#N/A,FALSE,"012-96";#N/A,#N/A,FALSE,"018-96";#N/A,#N/A,FALSE,"027-96";#N/A,#N/A,FALSE,"059-96";#N/A,#N/A,FALSE,"076-96";#N/A,#N/A,FALSE,"019-97";#N/A,#N/A,FALSE,"021-97";#N/A,#N/A,FALSE,"022-97";#N/A,#N/A,FALSE,"028-97"}</definedName>
    <definedName name="wrn.Planiha._.de._.Medição._.F._.01." localSheetId="2">{#N/A,#N/A,FALSE,"F-01"}</definedName>
    <definedName name="wrn.Planiha._.de._.Medição._.F._.01._1" localSheetId="2">{#N/A,#N/A,FALSE,"F-01"}</definedName>
    <definedName name="wrn.Planilha_de_Medição_F_02" localSheetId="2">{#N/A,#N/A,FALSE,"F-01"}</definedName>
    <definedName name="wrn.print._.all." localSheetId="2">{#N/A,#N/A,FALSE,"$170M Cash";#N/A,#N/A,FALSE,"$250M Cash";#N/A,#N/A,FALSE,"$325M Cash"}</definedName>
    <definedName name="wrn.PrintAll." localSheetId="2">{#N/A,#N/A,FALSE,"Sheet1";#N/A,#N/A,FALSE,"Sheet2";#N/A,#N/A,FALSE,"Sheet3";#N/A,#N/A,FALSE,"Sheet4";#N/A,#N/A,FALSE,"Sheet5";#N/A,#N/A,FALSE,"Sheet6";#N/A,#N/A,FALSE,"Sheet7";#N/A,#N/A,FALSE,"Sheet8";#N/A,#N/A,FALSE,"Sheet9"}</definedName>
    <definedName name="wrn.PrintCurr." localSheetId="2">{#N/A,#N/A,FALSE,"Sheet1";#N/A,#N/A,FALSE,"Sheet2";#N/A,#N/A,FALSE,"Sheet3"}</definedName>
    <definedName name="wrn.PrintPrev1." localSheetId="2">{#N/A,#N/A,FALSE,"Sheet4";#N/A,#N/A,FALSE,"Sheet5";#N/A,#N/A,FALSE,"Sheet6"}</definedName>
    <definedName name="wrn.PrintPrev2." localSheetId="2">{#N/A,#N/A,FALSE,"Sheet7";#N/A,#N/A,FALSE,"Sheet8";#N/A,#N/A,FALSE,"Sheet9"}</definedName>
    <definedName name="wrn.Quadros._.relatório." localSheetId="2">{#N/A,#N/A,FALSE,"QD_F1 Invest Detalhado";#N/A,#N/A,FALSE,"QD_F3 Invest_Comparado";#N/A,#N/A,FALSE,"QD_B Trafego";#N/A,#N/A,FALSE,"QD_D0 Custos Operacionais";#N/A,#N/A,FALSE,"QD_C Receita";#N/A,#N/A,FALSE,"QD_D Custos";#N/A,#N/A,FALSE,"QD_E Resultado";#N/A,#N/A,FALSE,"QD_G Fluxo Caixa"}</definedName>
    <definedName name="wrn.REPORT." localSheetId="2">{#N/A,#N/A,FALSE,"표지";#N/A,#N/A,FALSE,"목차";#N/A,#N/A,FALSE,"내용1";#N/A,#N/A,FALSE,"내용2";#N/A,#N/A,FALSE,"결론";#N/A,#N/A,FALSE,"첨부";#N/A,#N/A,FALSE,"진공도달시간";#N/A,#N/A,FALSE,"배가스속도"}</definedName>
    <definedName name="wrn.STAFFS." localSheetId="2">{#N/A,#N/A,FALSE,"TABLE"}</definedName>
    <definedName name="wrn.TERCEIRO." localSheetId="2">{#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RCEIRO01" localSheetId="2">{#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st1." localSheetId="2">{#N/A,#N/A,FALSE,"명세표"}</definedName>
    <definedName name="wrn.Unidades." localSheetId="2">{"Rio Branco",#N/A,FALSE,"Rio Branco";"Itajaí",#N/A,FALSE,"Itajaí";"Pinheiro Machado",#N/A,FALSE,"PMachado";"Esteio",#N/A,FALSE,"Esteio"}</definedName>
    <definedName name="wrn.VESSEL및N2._.구입사양서."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견적." localSheetId="2">{#N/A,#N/A,FALSE,"Sheet1";#N/A,#N/A,FALSE,"Sheet2";#N/A,#N/A,FALSE,"TAB96-1"}</definedName>
    <definedName name="wrn.보호계전기." localSheetId="2">{#N/A,#N/A,FALSE,"ENG'G(보호계전기)"}</definedName>
    <definedName name="wrn.현장._.NCR._.분석." localSheetId="2">{#N/A,#N/A,FALSE,"현장 NCR 분석";#N/A,#N/A,FALSE,"현장품질감사";#N/A,#N/A,FALSE,"현장품질감사"}</definedName>
    <definedName name="wrn1.Cons." localSheetId="2">{"EconCons",#N/A,TRUE,"Econômico - Consolidado";"CaixaCons",#N/A,TRUE,"Caixa - Consolidado";"InvestCons",#N/A,TRUE,"Invest Consolidado"}</definedName>
    <definedName name="wrn1.print._.all." localSheetId="2">{#N/A,#N/A,FALSE,"$170M Cash";#N/A,#N/A,FALSE,"$250M Cash";#N/A,#N/A,FALSE,"$325M Cash"}</definedName>
    <definedName name="WRS" localSheetId="2">{"'장비'!$A$3:$M$12"}</definedName>
    <definedName name="wrt" localSheetId="2">{#N/A,#N/A,FALSE,"$170M Cash";#N/A,#N/A,FALSE,"$250M Cash";#N/A,#N/A,FALSE,"$325M Cash"}</definedName>
    <definedName name="wvu.PLANILHA2."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ww" localSheetId="2">{#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wwwwwwwww" localSheetId="2">{"'Ethernet Hubs'!$A$1:$F$14","'Licences'!$A$1:$F$16","'Ports and Converters'!$A$1:$F$46","'Standard Routers'!$A$1:$F$28","'Ports and Converters'!$A$1:$G$46","'Router Chassis'!$A$1:$F$21","'Cables and Connectors'!$A$1:$F$41","'Support, Training and Docs'!$A$1:$F$6","'Management'!$A$1:$F$8"}</definedName>
    <definedName name="xcfrt" localSheetId="2">{#N/A,#N/A,FALSE,"Plan1";#N/A,#N/A,FALSE,"Plan2"}</definedName>
    <definedName name="xcgjkfghf" localSheetId="2">{#N/A,#N/A,FALSE,"Plan1";#N/A,#N/A,FALSE,"Plan2"}</definedName>
    <definedName name="XCGJKVHFDG" localSheetId="2">{#N/A,#N/A,FALSE,"Plan1";#N/A,#N/A,FALSE,"Plan2"}</definedName>
    <definedName name="xcgtrty"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XCGVR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xçl" localSheetId="2">{#N/A,#N/A,FALSE,"Plan1";#N/A,#N/A,FALSE,"Plan2"}</definedName>
    <definedName name="xcndj" localSheetId="2">{#N/A,#N/A,FALSE,"Plan1";#N/A,#N/A,FALSE,"Plan2"}</definedName>
    <definedName name="XCVGGT" localSheetId="2">{#N/A,#N/A,FALSE,"Plan1";#N/A,#N/A,FALSE,"Plan2"}</definedName>
    <definedName name="xcvrg" localSheetId="2">{#N/A,#N/A,FALSE,"Plan1";#N/A,#N/A,FALSE,"Plan2"}</definedName>
    <definedName name="xdfef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xdgtyhyt" localSheetId="2">{#N/A,#N/A,FALSE,"Plan1";#N/A,#N/A,FALSE,"Plan2"}</definedName>
    <definedName name="xfdlfj" localSheetId="2">{#N/A,#N/A,FALSE,"Plan1";#N/A,#N/A,FALSE,"Plan2"}</definedName>
    <definedName name="xfdxfdf" localSheetId="2">{#N/A,#N/A,FALSE,"Plan1";#N/A,#N/A,FALSE,"Plan2"}</definedName>
    <definedName name="XFJKLDJKLGJ"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xfrty" localSheetId="2">{#N/A,#N/A,FALSE,"Plan1";#N/A,#N/A,FALSE,"Plan2"}</definedName>
    <definedName name="XFT" localSheetId="2">{TRUE,TRUE,-1.25,-15.5,604.5,366.75,FALSE,FALSE,TRUE,TRUE,0,1,#N/A,1,#N/A,9.0125,24.4117647058824,1,FALSE,FALSE,3,TRUE,1,FALSE,100,"Swvu.PLANILHA2.","ACwvu.PLANILHA2.",#N/A,FALSE,FALSE,0.787401575,0.34,0.46,0.5,1,"","",FALSE,FALSE,FALSE,FALSE,1,#N/A,1,1,FALSE,FALSE,#N/A,#N/A,FALSE,FALSE,FALSE,9,65532,65532,FALSE,FALSE,TRUE,TRUE,TRUE}</definedName>
    <definedName name="xfvchdhhd" localSheetId="2">{"Econ Consolidado",#N/A,FALSE,"Econ Consol";"Fluxo de Caixa",#N/A,FALSE,"Fluxo Caixa";"Investimentos",#N/A,FALSE,"Investimentos"}</definedName>
    <definedName name="xfvgcfgt" localSheetId="2">{#N/A,#N/A,FALSE,"Plan1";#N/A,#N/A,FALSE,"Plan2"}</definedName>
    <definedName name="xgrg" localSheetId="2">{#N/A,#N/A,FALSE,"Plan1";#N/A,#N/A,FALSE,"Plan2"}</definedName>
    <definedName name="xmght" localSheetId="2">{#N/A,#N/A,FALSE,"Plan1";#N/A,#N/A,FALSE,"Plan2"}</definedName>
    <definedName name="xo" localSheetId="2">{#N/A,#N/A,FALSE,"Global by BU";#N/A,#N/A,FALSE,"U.S. by BU";#N/A,#N/A,FALSE,"Canada by BU";#N/A,#N/A,FALSE,"Europe by BU";#N/A,#N/A,FALSE,"Asia by BU";#N/A,#N/A,FALSE,"Cala by BU"}</definedName>
    <definedName name="xxx" localSheetId="2">{#N/A,#N/A,FALSE,"GERAL";#N/A,#N/A,FALSE,"012-96";#N/A,#N/A,FALSE,"018-96";#N/A,#N/A,FALSE,"027-96";#N/A,#N/A,FALSE,"059-96";#N/A,#N/A,FALSE,"076-96";#N/A,#N/A,FALSE,"019-97";#N/A,#N/A,FALSE,"021-97";#N/A,#N/A,FALSE,"022-97";#N/A,#N/A,FALSE,"028-97"}</definedName>
    <definedName name="xxxx" localSheetId="2">#REF!</definedName>
    <definedName name="XXXXX" localSheetId="2">{#N/A,#N/A,FALSE,"GERAL";#N/A,#N/A,FALSE,"012-96";#N/A,#N/A,FALSE,"018-96";#N/A,#N/A,FALSE,"027-96";#N/A,#N/A,FALSE,"059-96";#N/A,#N/A,FALSE,"076-96";#N/A,#N/A,FALSE,"019-97";#N/A,#N/A,FALSE,"021-97";#N/A,#N/A,FALSE,"022-97";#N/A,#N/A,FALSE,"028-97"}</definedName>
    <definedName name="xxxxxxxxxxxx" localSheetId="2">{"'Edit'!$A$1:$V$2277"}</definedName>
    <definedName name="xxxxxxxxxxxxxx" localSheetId="2">{#N/A,#N/A,FALSE,"Plan1";#N/A,#N/A,FALSE,"Plan2"}</definedName>
    <definedName name="xzfrt" localSheetId="2">{#N/A,#N/A,FALSE,"Plan1";#N/A,#N/A,FALSE,"Plan2"}</definedName>
    <definedName name="yeitrtged" localSheetId="2">{#N/A,#N/A,FALSE,"Plan1";#N/A,#N/A,FALSE,"Plan2"}</definedName>
    <definedName name="yhdfiuygrui" localSheetId="2">{#N/A,#N/A,FALSE,"Plan1";#N/A,#N/A,FALSE,"Plan2"}</definedName>
    <definedName name="YRGUYDRIY" localSheetId="2">{"Econ Consolidado",#N/A,FALSE,"Econ Consol";"Fluxo de Caixa",#N/A,FALSE,"Fluxo Caixa";"Investimentos",#N/A,FALSE,"Investimentos"}</definedName>
    <definedName name="yuegursdmksf" localSheetId="2">{#N/A,#N/A,FALSE,"Plan1";#N/A,#N/A,FALSE,"Plan2"}</definedName>
    <definedName name="yuekl4fr" localSheetId="2">{#N/A,#N/A,FALSE,"Plan1";#N/A,#N/A,FALSE,"Plan2"}</definedName>
    <definedName name="yureytuyrea" localSheetId="2">{#N/A,#N/A,FALSE,"Plan1";#N/A,#N/A,FALSE,"Plan2"}</definedName>
    <definedName name="z" localSheetId="2">{"'Estimativa de Lançamento-JAN'!$A$1:$AI$85"}</definedName>
    <definedName name="z\djs" localSheetId="2" hidden="1">{TRUE,TRUE,-1.25,-15.5,604.5,366.75,FALSE,FALSE,TRUE,TRUE,0,1,#N/A,1,#N/A,9.0125,24.4117647058824,1,FALSE,FALSE,3,TRUE,1,FALSE,100,"Swvu.PLANILHA2.","ACwvu.PLANILHA2.",#N/A,FALSE,FALSE,0.787401575,0.34,0.46,0.5,1,"","",FALSE,FALSE,FALSE,FALSE,1,#N/A,1,1,FALSE,FALSE,#N/A,#N/A,FALSE,FALSE,FALSE,9,65532,65532,FALSE,FALSE,TRUE,TRUE,TRUE}</definedName>
    <definedName name="zcdçskld" localSheetId="2" hidden="1">{#N/A,#N/A,FALSE,"Plan1";#N/A,#N/A,FALSE,"Plan2"}</definedName>
    <definedName name="zcsdrfrt" localSheetId="2" hidden="1">{#N/A,#N/A,FALSE,"Plan1";#N/A,#N/A,FALSE,"Plan2"}</definedName>
    <definedName name="ZDRE" localSheetId="2" hidden="1">{#N/A,#N/A,FALSE,"Plan1";#N/A,#N/A,FALSE,"Plan2"}</definedName>
    <definedName name="ZSADF" localSheetId="2" hidden="1">{#N/A,#N/A,FALSE,"Plan1";#N/A,#N/A,FALSE,"Plan2"}</definedName>
    <definedName name="zsads" localSheetId="2" hidden="1">{#N/A,#N/A,FALSE,"Plan1";#N/A,#N/A,FALSE,"Plan2"}</definedName>
    <definedName name="zsdsf" localSheetId="2" hidden="1">{TRUE,TRUE,-1.25,-15.5,604.5,366.75,FALSE,FALSE,TRUE,TRUE,0,1,#N/A,1,#N/A,9.0125,24.4117647058824,1,FALSE,FALSE,3,TRUE,1,FALSE,100,"Swvu.PLANILHA2.","ACwvu.PLANILHA2.",#N/A,FALSE,FALSE,0.787401575,0.34,0.46,0.5,1,"","",FALSE,FALSE,FALSE,FALSE,1,#N/A,1,1,FALSE,FALSE,#N/A,#N/A,FALSE,FALSE,FALSE,9,65532,65532,FALSE,FALSE,TRUE,TRUE,TRUE}</definedName>
    <definedName name="zsdwer" localSheetId="2" hidden="1">{TRUE,TRUE,-1.25,-15.5,604.5,366.75,FALSE,FALSE,TRUE,TRUE,0,1,#N/A,1,#N/A,9.0125,24.4117647058824,1,FALSE,FALSE,3,TRUE,1,FALSE,100,"Swvu.PLANILHA2.","ACwvu.PLANILHA2.",#N/A,FALSE,FALSE,0.787401575,0.34,0.46,0.5,1,"","",FALSE,FALSE,FALSE,FALSE,1,#N/A,1,1,FALSE,FALSE,#N/A,#N/A,FALSE,FALSE,FALSE,9,65532,65532,FALSE,FALSE,TRUE,TRUE,TRUE}</definedName>
    <definedName name="zxccdf" localSheetId="2" hidden="1">{#N/A,#N/A,FALSE,"Plan1";#N/A,#N/A,FALSE,"Plan2"}</definedName>
    <definedName name="zxcfdstrrt" localSheetId="2" hidden="1">{#N/A,#N/A,FALSE,"Plan1";#N/A,#N/A,FALSE,"Plan2"}</definedName>
    <definedName name="zxcx" localSheetId="2" hidden="1">{#N/A,#N/A,FALSE,"Plan1";#N/A,#N/A,FALSE,"Plan2"}</definedName>
    <definedName name="ZXFCRF" localSheetId="2" hidden="1">{TRUE,TRUE,-1.25,-15.5,604.5,366.75,FALSE,FALSE,TRUE,TRUE,0,1,#N/A,1,#N/A,9.0125,24.4117647058824,1,FALSE,FALSE,3,TRUE,1,FALSE,100,"Swvu.PLANILHA2.","ACwvu.PLANILHA2.",#N/A,FALSE,FALSE,0.787401575,0.34,0.46,0.5,1,"","",FALSE,FALSE,FALSE,FALSE,1,#N/A,1,1,FALSE,FALSE,#N/A,#N/A,FALSE,FALSE,FALSE,9,65532,65532,FALSE,FALSE,TRUE,TRUE,TRUE}</definedName>
    <definedName name="ZXFHDFRHDF" localSheetId="2" hidden="1">{#N/A,#N/A,FALSE,"Plan1";#N/A,#N/A,FALSE,"Plan2"}</definedName>
    <definedName name="zzdftr" localSheetId="2" hidden="1">{#N/A,#N/A,FALSE,"Plan1";#N/A,#N/A,FALSE,"Plan2"}</definedName>
    <definedName name="ㄱ"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ㄱㄷㄱㄱㅎㄺㄷ" localSheetId="2" hidden="1">{"'장비'!$A$3:$M$12"}</definedName>
    <definedName name="검증"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가"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고문" localSheetId="2" hidden="1">{#N/A,#N/A,FALSE,"현장 NCR 분석";#N/A,#N/A,FALSE,"현장품질감사";#N/A,#N/A,FALSE,"현장품질감사"}</definedName>
    <definedName name="고문2" localSheetId="2" hidden="1">{#N/A,#N/A,FALSE,"현장 NCR 분석";#N/A,#N/A,FALSE,"현장품질감사";#N/A,#N/A,FALSE,"현장품질감사"}</definedName>
    <definedName name="공공공표"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구분표_수정" localSheetId="2" hidden="1">{#N/A,#N/A,FALSE,"ENG'G(보호계전기)"}</definedName>
    <definedName name="공급표표"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진도율적용"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표"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양1소결합리화"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름"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분2"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3"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3"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두성"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내역" localSheetId="2" hidden="1">{#N/A,#N/A,FALSE,"CCTV"}</definedName>
    <definedName name="ㄷㄳ" localSheetId="2" hidden="1">{"'장비'!$A$3:$M$12"}</definedName>
    <definedName name="ㄷㄷㄷㄷ" localSheetId="2" hidden="1">{"'장비'!$A$3:$M$12"}</definedName>
    <definedName name="ㄷㅈㅂㄷ" localSheetId="2" hidden="1">{"'장비'!$A$3:$M$12"}</definedName>
    <definedName name="ㄹㄹ" localSheetId="2" hidden="1">{"'장비'!$A$3:$M$12"}</definedName>
    <definedName name="랄"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러러" localSheetId="2" hidden="1">{#N/A,#N/A,FALSE,"현장 NCR 분석";#N/A,#N/A,FALSE,"현장품질감사";#N/A,#N/A,FALSE,"현장품질감사"}</definedName>
    <definedName name="ㅁ" localSheetId="2" hidden="1">{#N/A,#N/A,FALSE,"명세표"}</definedName>
    <definedName name="ㅁㄴ"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ㄹ"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ㄻㄴㅇㄻㄴㅇ"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ㅁ"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ㅁ" localSheetId="2" hidden="1">{#N/A,#N/A,FALSE,"명세표"}</definedName>
    <definedName name="ㅁㅁㅁㅁㅁㅁㅁㅁㅁㅁㅁㅁ"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ㅇㄻㄴ"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머" localSheetId="2" hidden="1">{#N/A,#N/A,FALSE,"명세표"}</definedName>
    <definedName name="ㅂㅂㅂㅂ" localSheetId="2" hidden="1">{#N/A,#N/A,FALSE,"명세표"}</definedName>
    <definedName name="ㅂㅂㅂㅂㅂㅂㅂ"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ㅈㄱㅂㅈㄷㄱ" localSheetId="2" hidden="1">{"'장비'!$A$3:$M$12"}</definedName>
    <definedName name="ㅂㅈㄷ" localSheetId="2" hidden="1">{"'장비'!$A$3:$M$12"}</definedName>
    <definedName name="ㅂㅈㄷㄷㅂㅈㅈㅂ" localSheetId="2" hidden="1">{"'장비'!$A$3:$M$12"}</definedName>
    <definedName name="ㅂㅈㄷㅂㅈ" localSheetId="2" hidden="1">{"'장비'!$A$3:$M$12"}</definedName>
    <definedName name="ㅂㅈㄷㅂㅈㅈㅂㄷ" localSheetId="2" hidden="1">{"'장비'!$A$3:$M$12"}</definedName>
    <definedName name="ㅂㅈㄷㅈㅂㄷ" localSheetId="2" hidden="1">{"'장비'!$A$3:$M$12"}</definedName>
    <definedName name="보"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보호" localSheetId="2" hidden="1">{#N/A,#N/A,FALSE,"ENG'G(보호계전기)"}</definedName>
    <definedName name="본공사공정표"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부손익" localSheetId="2" hidden="1">{#N/A,#N/A,FALSE,"현장 NCR 분석";#N/A,#N/A,FALSE,"현장품질감사";#N/A,#N/A,FALSE,"현장품질감사"}</definedName>
    <definedName name="분야"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ㅅㄱㄱㄷ" localSheetId="2" hidden="1">{"'장비'!$A$3:$M$12"}</definedName>
    <definedName name="ㅅㅅㅅㅅㅅ" localSheetId="2" hidden="1">{"'장비'!$A$3:$M$12"}</definedName>
    <definedName name="사업"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관리"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새안" localSheetId="2" hidden="1">{#N/A,#N/A,FALSE,"TABLE"}</definedName>
    <definedName name="석항" localSheetId="2" hidden="1">{#N/A,#N/A,FALSE,"명세표"}</definedName>
    <definedName name="설계현황"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쇼ㅗㅎ로" localSheetId="2" hidden="1">{"'장비'!$A$3:$M$12"}</definedName>
    <definedName name="신설" localSheetId="2" hidden="1">{#N/A,#N/A,FALSE,"명세표"}</definedName>
    <definedName name="ㅇㅇ"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변경123"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적용"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구조건참조"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이"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이"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ㅈ" localSheetId="2" hidden="1">{#N/A,#N/A,FALSE,"명세표"}</definedName>
    <definedName name="ㅈㅈㅈㅈ" localSheetId="2" hidden="1">{#N/A,#N/A,FALSE,"명세표"}</definedName>
    <definedName name="자미" localSheetId="2" hidden="1">{#N/A,#N/A,FALSE,"명세표"}</definedName>
    <definedName name="자재3"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사양_SAMPLE"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상세공정"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1"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설계현황"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중량비교검토" localSheetId="2" hidden="1">{#N/A,#N/A,FALSE,"ENG'G(보호계전기)"}</definedName>
    <definedName name="집계" localSheetId="2" hidden="1">{#N/A,#N/A,FALSE,"명세표"}</definedName>
    <definedName name="철골공정"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2"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ㅋㅁ" localSheetId="2" hidden="1">{#N/A,#N/A,FALSE,"명세표"}</definedName>
    <definedName name="ㅋㅋㅋ" localSheetId="2" hidden="1">{#N/A,#N/A,FALSE,"명세표"}</definedName>
    <definedName name="ㅌㅌ" localSheetId="2" hidden="1">{#N/A,#N/A,FALSE,"명세표"}</definedName>
    <definedName name="토"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토목"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ㅎㅎ" localSheetId="2" hidden="1">{"'장비'!$A$3:$M$12"}</definedName>
    <definedName name="하하하" localSheetId="2" hidden="1">{#N/A,#N/A,FALSE,"명세표"}</definedName>
    <definedName name="한국"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장계기류"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1"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호호호" localSheetId="2" hidden="1">{#N/A,#N/A,FALSE,"명세표"}</definedName>
    <definedName name="ㅏㅏㅏ" localSheetId="2" hidden="1">{#N/A,#N/A,FALSE,"명세표"}</definedName>
    <definedName name="ㅔㅔ" localSheetId="2" hidden="1">{#N/A,#N/A,FALSE,"명세표"}</definedName>
    <definedName name="ㅔㅔㅔㅔㅔ"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홓ㅎ로" localSheetId="2" hidden="1">{"'장비'!$A$3:$M$12"}</definedName>
    <definedName name="ㅗㅗ" localSheetId="2" hidden="1">{#N/A,#N/A,FALSE,"명세표"}</definedName>
    <definedName name="ㅗㅗㅗㅗㅗ" localSheetId="2" hidden="1">{"'장비'!$A$3:$M$12"}</definedName>
    <definedName name="ㅛ" localSheetId="2" hidden="1">{"'장비'!$A$3:$M$12"}</definedName>
    <definedName name="ㅛㅕㅛㅕㅛ"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ㅛㅛㅛ" localSheetId="2" hidden="1">{"'장비'!$A$3:$M$12"}</definedName>
    <definedName name="ㅜ" localSheetId="2" hidden="1">{#N/A,#N/A,FALSE,"명세표"}</definedName>
    <definedName name="ㅠㅠ" localSheetId="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ㅡㅡ" localSheetId="2" hidden="1">{#N/A,#N/A,FALSE,"명세표"}</definedName>
    <definedName name="________________r1" localSheetId="3">{#N/A,#N/A,FALSE,"GERAL";#N/A,#N/A,FALSE,"012-96";#N/A,#N/A,FALSE,"018-96";#N/A,#N/A,FALSE,"027-96";#N/A,#N/A,FALSE,"059-96";#N/A,#N/A,FALSE,"076-96";#N/A,#N/A,FALSE,"019-97";#N/A,#N/A,FALSE,"021-97";#N/A,#N/A,FALSE,"022-97";#N/A,#N/A,FALSE,"028-97"}</definedName>
    <definedName name="______________r1" localSheetId="3">{#N/A,#N/A,FALSE,"GERAL";#N/A,#N/A,FALSE,"012-96";#N/A,#N/A,FALSE,"018-96";#N/A,#N/A,FALSE,"027-96";#N/A,#N/A,FALSE,"059-96";#N/A,#N/A,FALSE,"076-96";#N/A,#N/A,FALSE,"019-97";#N/A,#N/A,FALSE,"021-97";#N/A,#N/A,FALSE,"022-97";#N/A,#N/A,FALSE,"028-97"}</definedName>
    <definedName name="_____________r1" localSheetId="3">{#N/A,#N/A,FALSE,"GERAL";#N/A,#N/A,FALSE,"012-96";#N/A,#N/A,FALSE,"018-96";#N/A,#N/A,FALSE,"027-96";#N/A,#N/A,FALSE,"059-96";#N/A,#N/A,FALSE,"076-96";#N/A,#N/A,FALSE,"019-97";#N/A,#N/A,FALSE,"021-97";#N/A,#N/A,FALSE,"022-97";#N/A,#N/A,FALSE,"028-97"}</definedName>
    <definedName name="____________r1" localSheetId="3">{#N/A,#N/A,FALSE,"GERAL";#N/A,#N/A,FALSE,"012-96";#N/A,#N/A,FALSE,"018-96";#N/A,#N/A,FALSE,"027-96";#N/A,#N/A,FALSE,"059-96";#N/A,#N/A,FALSE,"076-96";#N/A,#N/A,FALSE,"019-97";#N/A,#N/A,FALSE,"021-97";#N/A,#N/A,FALSE,"022-97";#N/A,#N/A,FALSE,"028-97"}</definedName>
    <definedName name="___________r1" localSheetId="3">{#N/A,#N/A,FALSE,"GERAL";#N/A,#N/A,FALSE,"012-96";#N/A,#N/A,FALSE,"018-96";#N/A,#N/A,FALSE,"027-96";#N/A,#N/A,FALSE,"059-96";#N/A,#N/A,FALSE,"076-96";#N/A,#N/A,FALSE,"019-97";#N/A,#N/A,FALSE,"021-97";#N/A,#N/A,FALSE,"022-97";#N/A,#N/A,FALSE,"028-97"}</definedName>
    <definedName name="_________r1" localSheetId="3">{#N/A,#N/A,FALSE,"GERAL";#N/A,#N/A,FALSE,"012-96";#N/A,#N/A,FALSE,"018-96";#N/A,#N/A,FALSE,"027-96";#N/A,#N/A,FALSE,"059-96";#N/A,#N/A,FALSE,"076-96";#N/A,#N/A,FALSE,"019-97";#N/A,#N/A,FALSE,"021-97";#N/A,#N/A,FALSE,"022-97";#N/A,#N/A,FALSE,"028-97"}</definedName>
    <definedName name="________r1" localSheetId="3">{#N/A,#N/A,FALSE,"GERAL";#N/A,#N/A,FALSE,"012-96";#N/A,#N/A,FALSE,"018-96";#N/A,#N/A,FALSE,"027-96";#N/A,#N/A,FALSE,"059-96";#N/A,#N/A,FALSE,"076-96";#N/A,#N/A,FALSE,"019-97";#N/A,#N/A,FALSE,"021-97";#N/A,#N/A,FALSE,"022-97";#N/A,#N/A,FALSE,"028-97"}</definedName>
    <definedName name="_______r1" localSheetId="3">{#N/A,#N/A,FALSE,"GERAL";#N/A,#N/A,FALSE,"012-96";#N/A,#N/A,FALSE,"018-96";#N/A,#N/A,FALSE,"027-96";#N/A,#N/A,FALSE,"059-96";#N/A,#N/A,FALSE,"076-96";#N/A,#N/A,FALSE,"019-97";#N/A,#N/A,FALSE,"021-97";#N/A,#N/A,FALSE,"022-97";#N/A,#N/A,FALSE,"028-97"}</definedName>
    <definedName name="______ACR10" localSheetId="3">#REF!</definedName>
    <definedName name="______ACR15" localSheetId="3">#REF!</definedName>
    <definedName name="______acr20" localSheetId="3">#REF!</definedName>
    <definedName name="______acr5" localSheetId="3">#REF!</definedName>
    <definedName name="______ARQ1" localSheetId="3">#REF!</definedName>
    <definedName name="______QT100" localSheetId="3">#REF!</definedName>
    <definedName name="______QT2" localSheetId="3">#REF!</definedName>
    <definedName name="______QT3" localSheetId="3">#REF!</definedName>
    <definedName name="______QT4" localSheetId="3">#REF!</definedName>
    <definedName name="______QT50" localSheetId="3">#REF!</definedName>
    <definedName name="______QT75" localSheetId="3">#REF!</definedName>
    <definedName name="______r1" localSheetId="3">{#N/A,#N/A,FALSE,"GERAL";#N/A,#N/A,FALSE,"012-96";#N/A,#N/A,FALSE,"018-96";#N/A,#N/A,FALSE,"027-96";#N/A,#N/A,FALSE,"059-96";#N/A,#N/A,FALSE,"076-96";#N/A,#N/A,FALSE,"019-97";#N/A,#N/A,FALSE,"021-97";#N/A,#N/A,FALSE,"022-97";#N/A,#N/A,FALSE,"028-97"}</definedName>
    <definedName name="_____ACR10" localSheetId="3">#REF!</definedName>
    <definedName name="_____ACR15" localSheetId="3">#REF!</definedName>
    <definedName name="_____acr20" localSheetId="3">#REF!</definedName>
    <definedName name="_____acr5" localSheetId="3">#REF!</definedName>
    <definedName name="_____ARQ1" localSheetId="3">#REF!</definedName>
    <definedName name="_____QT100" localSheetId="3">#REF!</definedName>
    <definedName name="_____QT2" localSheetId="3">#REF!</definedName>
    <definedName name="_____QT3" localSheetId="3">#REF!</definedName>
    <definedName name="_____QT4" localSheetId="3">#REF!</definedName>
    <definedName name="_____QT50" localSheetId="3">#REF!</definedName>
    <definedName name="_____QT75" localSheetId="3">#REF!</definedName>
    <definedName name="_____r1" localSheetId="3">{#N/A,#N/A,FALSE,"GERAL";#N/A,#N/A,FALSE,"012-96";#N/A,#N/A,FALSE,"018-96";#N/A,#N/A,FALSE,"027-96";#N/A,#N/A,FALSE,"059-96";#N/A,#N/A,FALSE,"076-96";#N/A,#N/A,FALSE,"019-97";#N/A,#N/A,FALSE,"021-97";#N/A,#N/A,FALSE,"022-97";#N/A,#N/A,FALSE,"028-97"}</definedName>
    <definedName name="____key2" localSheetId="3">#REF!</definedName>
    <definedName name="____PK2" localSheetId="3">{"'장비'!$A$3:$M$12"}</definedName>
    <definedName name="____PKG3" localSheetId="3">{"'장비'!$A$3:$M$12"}</definedName>
    <definedName name="____qqq222" localSheetId="3">{"'장비'!$A$3:$M$12"}</definedName>
    <definedName name="____r1" localSheetId="3">{#N/A,#N/A,FALSE,"GERAL";#N/A,#N/A,FALSE,"012-96";#N/A,#N/A,FALSE,"018-96";#N/A,#N/A,FALSE,"027-96";#N/A,#N/A,FALSE,"059-96";#N/A,#N/A,FALSE,"076-96";#N/A,#N/A,FALSE,"019-97";#N/A,#N/A,FALSE,"021-97";#N/A,#N/A,FALSE,"022-97";#N/A,#N/A,FALSE,"028-97"}</definedName>
    <definedName name="___ACR10" localSheetId="3">#REF!</definedName>
    <definedName name="___ACR15" localSheetId="3">#REF!</definedName>
    <definedName name="___acr20" localSheetId="3">#REF!</definedName>
    <definedName name="___acr5" localSheetId="3">#REF!</definedName>
    <definedName name="___ARQ1" localSheetId="3">#REF!</definedName>
    <definedName name="___CO2"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ECS1"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key2" localSheetId="3">#REF!</definedName>
    <definedName name="___PK2" localSheetId="3">{"'장비'!$A$3:$M$12"}</definedName>
    <definedName name="___PKG3" localSheetId="3">{"'장비'!$A$3:$M$12"}</definedName>
    <definedName name="___qqq222" localSheetId="3">{"'장비'!$A$3:$M$12"}</definedName>
    <definedName name="___QT100" localSheetId="3">#REF!</definedName>
    <definedName name="___QT2" localSheetId="3">#REF!</definedName>
    <definedName name="___QT3" localSheetId="3">#REF!</definedName>
    <definedName name="___QT4" localSheetId="3">#REF!</definedName>
    <definedName name="___QT50" localSheetId="3">#REF!</definedName>
    <definedName name="___QT75" localSheetId="3">#REF!</definedName>
    <definedName name="___r1" localSheetId="3">{#N/A,#N/A,FALSE,"GERAL";#N/A,#N/A,FALSE,"012-96";#N/A,#N/A,FALSE,"018-96";#N/A,#N/A,FALSE,"027-96";#N/A,#N/A,FALSE,"059-96";#N/A,#N/A,FALSE,"076-96";#N/A,#N/A,FALSE,"019-97";#N/A,#N/A,FALSE,"021-97";#N/A,#N/A,FALSE,"022-97";#N/A,#N/A,FALSE,"028-97"}</definedName>
    <definedName name="__123Graph_AChart1" localSheetId="3">#REF!</definedName>
    <definedName name="__123Graph_AGRA1" localSheetId="3">#REF!</definedName>
    <definedName name="__123Graph_ARES" localSheetId="3">#REF!</definedName>
    <definedName name="__123Graph_B" localSheetId="3">#REF!</definedName>
    <definedName name="__123Graph_BChart1" localSheetId="3">#REF!</definedName>
    <definedName name="__123Graph_C" localSheetId="3">#REF!</definedName>
    <definedName name="__123Graph_D" localSheetId="3">#REF!</definedName>
    <definedName name="__123Graph_X" localSheetId="3">#REF!</definedName>
    <definedName name="__123Graph_XChart1" localSheetId="3">#REF!</definedName>
    <definedName name="__123Graph_XGRA1" localSheetId="3">#REF!</definedName>
    <definedName name="__123Graph_XRES" localSheetId="3">#REF!</definedName>
    <definedName name="__ACR10" localSheetId="3">#REF!</definedName>
    <definedName name="__ACR15" localSheetId="3">#REF!</definedName>
    <definedName name="__acr20" localSheetId="3">#REF!</definedName>
    <definedName name="__acr5" localSheetId="3">#REF!</definedName>
    <definedName name="__ARQ1" localSheetId="3">#REF!</definedName>
    <definedName name="__Axe3" localSheetId="3">#REF!</definedName>
    <definedName name="__Axe4" localSheetId="3">#REF!</definedName>
    <definedName name="__CO2"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CS1"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htm2" localSheetId="3">#REF!</definedName>
    <definedName name="__htn2" localSheetId="3">#REF!</definedName>
    <definedName name="__iss2" localSheetId="3">#REF!</definedName>
    <definedName name="__PK2" localSheetId="3">{"'장비'!$A$3:$M$12"}</definedName>
    <definedName name="__PKG3" localSheetId="3">{"'장비'!$A$3:$M$12"}</definedName>
    <definedName name="__qqq222" localSheetId="3">{"'장비'!$A$3:$M$12"}</definedName>
    <definedName name="__QT100" localSheetId="3">#REF!</definedName>
    <definedName name="__QT2" localSheetId="3">#REF!</definedName>
    <definedName name="__QT3" localSheetId="3">#REF!</definedName>
    <definedName name="__QT4" localSheetId="3">#REF!</definedName>
    <definedName name="__QT50" localSheetId="3">#REF!</definedName>
    <definedName name="__QT75" localSheetId="3">#REF!</definedName>
    <definedName name="__r1" localSheetId="3">{#N/A,#N/A,FALSE,"GERAL";#N/A,#N/A,FALSE,"012-96";#N/A,#N/A,FALSE,"018-96";#N/A,#N/A,FALSE,"027-96";#N/A,#N/A,FALSE,"059-96";#N/A,#N/A,FALSE,"076-96";#N/A,#N/A,FALSE,"019-97";#N/A,#N/A,FALSE,"021-97";#N/A,#N/A,FALSE,"022-97";#N/A,#N/A,FALSE,"028-97"}</definedName>
    <definedName name="__r2" localSheetId="3">{#N/A,#N/A,FALSE,"GERAL";#N/A,#N/A,FALSE,"012-96";#N/A,#N/A,FALSE,"018-96";#N/A,#N/A,FALSE,"027-96";#N/A,#N/A,FALSE,"059-96";#N/A,#N/A,FALSE,"076-96";#N/A,#N/A,FALSE,"019-97";#N/A,#N/A,FALSE,"021-97";#N/A,#N/A,FALSE,"022-97";#N/A,#N/A,FALSE,"028-97"}</definedName>
    <definedName name="_0.CURVA_OBRA" localSheetId="3">#REF!</definedName>
    <definedName name="_00.VAR._GASTO" localSheetId="3">#REF!</definedName>
    <definedName name="_000.CURVA_FINA" localSheetId="3">#REF!</definedName>
    <definedName name="_1" localSheetId="3">#REF!</definedName>
    <definedName name="_1__123Graph_ACHART_1" localSheetId="3">#REF!</definedName>
    <definedName name="_10__123Graph_CCHART_1" localSheetId="3">#REF!</definedName>
    <definedName name="_11.SERV.TECNIC" localSheetId="3">#REF!</definedName>
    <definedName name="_11__123Graph_DCHART_1" localSheetId="3">#REF!</definedName>
    <definedName name="_12.GAST_GERAIS" localSheetId="3">#REF!</definedName>
    <definedName name="_13.P._PERMAN." localSheetId="3">#REF!</definedName>
    <definedName name="_15.IMPL._CANT" localSheetId="3">#REF!</definedName>
    <definedName name="_16.EQUIPAM." localSheetId="3">#REF!</definedName>
    <definedName name="_17.OPER._CANT." localSheetId="3">#REF!</definedName>
    <definedName name="_19.TRANC_LIMP." localSheetId="3">#REF!</definedName>
    <definedName name="_2" localSheetId="3">#REF!</definedName>
    <definedName name="_2__123Graph_BCHART_1" localSheetId="3">#REF!</definedName>
    <definedName name="_25.PREP.TERREN" localSheetId="3">#REF!</definedName>
    <definedName name="_27.FUND._ESCOR" localSheetId="3">#REF!</definedName>
    <definedName name="_3__123Graph_XCHART_1" localSheetId="3">#REF!</definedName>
    <definedName name="_31_32_33.C_A" localSheetId="3">#REF!</definedName>
    <definedName name="_41.ALVENARIA" localSheetId="3">#REF!</definedName>
    <definedName name="_47.IMP._ISOLA." localSheetId="3">#REF!</definedName>
    <definedName name="_5__123Graph_ACHART_1" localSheetId="3">#REF!</definedName>
    <definedName name="_51.REV.ARGAMAS" localSheetId="3">#REF!</definedName>
    <definedName name="_52.REV.CERAM.I" localSheetId="3">#REF!</definedName>
    <definedName name="_53.REV.CERAM.E" localSheetId="3">#REF!</definedName>
    <definedName name="_54.TACOS_E_ASS" localSheetId="3">#REF!</definedName>
    <definedName name="_55.MARM._E_GRA" localSheetId="3">#REF!</definedName>
    <definedName name="_56.MARMORITE" localSheetId="3">#REF!</definedName>
    <definedName name="_59.OUTRS_REVES" localSheetId="3">#REF!</definedName>
    <definedName name="_61.ESQUAD._MAD" localSheetId="3">#REF!</definedName>
    <definedName name="_63.ESQUAD._ALU" localSheetId="3">#REF!</definedName>
    <definedName name="_65.ESQUAD._FER" localSheetId="3">#REF!</definedName>
    <definedName name="_67.VIDROS" localSheetId="3">#REF!</definedName>
    <definedName name="_7__123Graph_ACHART_2" localSheetId="3">#REF!</definedName>
    <definedName name="_71_73.I.ELET_H" localSheetId="3">#REF!</definedName>
    <definedName name="_77.OUTRAS_INST." localSheetId="3">#REF!</definedName>
    <definedName name="_78.ELEVADORES" localSheetId="3">#REF!</definedName>
    <definedName name="_81.APAR._SANIT" localSheetId="3">#REF!</definedName>
    <definedName name="_83_85.PINT_LIM" localSheetId="3">#REF!</definedName>
    <definedName name="_9__123Graph_BCHART_2" localSheetId="3">#REF!</definedName>
    <definedName name="_ACR10" localSheetId="3">#REF!</definedName>
    <definedName name="_ACR15" localSheetId="3">#REF!</definedName>
    <definedName name="_acr20" localSheetId="3">#REF!</definedName>
    <definedName name="_acr5" localSheetId="3">#REF!</definedName>
    <definedName name="_akhnsdkjsdb" localSheetId="3">#REF!</definedName>
    <definedName name="_ARQ1" localSheetId="3">#REF!</definedName>
    <definedName name="_Axe3" localSheetId="3">#REF!</definedName>
    <definedName name="_Axe4" localSheetId="3">#REF!</definedName>
    <definedName name="_Builtin13" localSheetId="3">#REF!</definedName>
    <definedName name="_CAB1" localSheetId="3">#REF!</definedName>
    <definedName name="_CAB2" localSheetId="3">#REF!</definedName>
    <definedName name="_CO2"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Dist_Bin" localSheetId="3">#REF!</definedName>
    <definedName name="_Dist_Values" localSheetId="3">#REF!</definedName>
    <definedName name="_ECS1"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htm2" localSheetId="3">#REF!</definedName>
    <definedName name="_htn2" localSheetId="3">#REF!</definedName>
    <definedName name="_IA0542" localSheetId="3">{#N/A,#N/A,FALSE,"Plan1";#N/A,#N/A,FALSE,"Plan2"}</definedName>
    <definedName name="_iss2" localSheetId="3">#REF!</definedName>
    <definedName name="_IV65617" localSheetId="3">#REF!</definedName>
    <definedName name="_IV65999" localSheetId="3">#REF!</definedName>
    <definedName name="_IV66000" localSheetId="3">#REF!</definedName>
    <definedName name="_IV67021" localSheetId="3">#REF!</definedName>
    <definedName name="_IV67022" localSheetId="3">#REF!</definedName>
    <definedName name="_Key1" localSheetId="3">#REF!</definedName>
    <definedName name="_l" localSheetId="3">#REF!</definedName>
    <definedName name="_la29" localSheetId="3">#REF!</definedName>
    <definedName name="_la3" localSheetId="3">#REF!</definedName>
    <definedName name="_MatMult_A" localSheetId="3">#REF!</definedName>
    <definedName name="_new11" localSheetId="3">{#N/A,#N/A,FALSE,"Global by BU";#N/A,#N/A,FALSE,"U.S. by BU";#N/A,#N/A,FALSE,"Canada by BU";#N/A,#N/A,FALSE,"Europe by BU";#N/A,#N/A,FALSE,"Asia by BU";#N/A,#N/A,FALSE,"Cala by BU"}</definedName>
    <definedName name="_Order2" localSheetId="3">255</definedName>
    <definedName name="_PAV01" localSheetId="3">#REF!</definedName>
    <definedName name="_PAV02" localSheetId="3">#REF!</definedName>
    <definedName name="_PAV03" localSheetId="3">#REF!</definedName>
    <definedName name="_PAV04" localSheetId="3">#REF!</definedName>
    <definedName name="_PAV05" localSheetId="3">#REF!</definedName>
    <definedName name="_PAV06" localSheetId="3">#REF!</definedName>
    <definedName name="_PAV07" localSheetId="3">#REF!</definedName>
    <definedName name="_PAV08" localSheetId="3">#REF!</definedName>
    <definedName name="_PAV09" localSheetId="3">#REF!</definedName>
    <definedName name="_PAV10" localSheetId="3">#REF!</definedName>
    <definedName name="_PAV11" localSheetId="3">#REF!</definedName>
    <definedName name="_PK2" localSheetId="3">{"'장비'!$A$3:$M$12"}</definedName>
    <definedName name="_PKG3" localSheetId="3">{"'장비'!$A$3:$M$12"}</definedName>
    <definedName name="_qqq222" localSheetId="3">{"'장비'!$A$3:$M$12"}</definedName>
    <definedName name="_QT100" localSheetId="3">#REF!</definedName>
    <definedName name="_QT2" localSheetId="3">#REF!</definedName>
    <definedName name="_QT3" localSheetId="3">#REF!</definedName>
    <definedName name="_QT4" localSheetId="3">#REF!</definedName>
    <definedName name="_QT50" localSheetId="3">#REF!</definedName>
    <definedName name="_QT75" localSheetId="3">#REF!</definedName>
    <definedName name="_r1" localSheetId="3">{#N/A,#N/A,FALSE,"GERAL";#N/A,#N/A,FALSE,"012-96";#N/A,#N/A,FALSE,"018-96";#N/A,#N/A,FALSE,"027-96";#N/A,#N/A,FALSE,"059-96";#N/A,#N/A,FALSE,"076-96";#N/A,#N/A,FALSE,"019-97";#N/A,#N/A,FALSE,"021-97";#N/A,#N/A,FALSE,"022-97";#N/A,#N/A,FALSE,"028-97"}</definedName>
    <definedName name="_R2" localSheetId="3">{#N/A,#N/A,FALSE,"GERAL";#N/A,#N/A,FALSE,"012-96";#N/A,#N/A,FALSE,"018-96";#N/A,#N/A,FALSE,"027-96";#N/A,#N/A,FALSE,"059-96";#N/A,#N/A,FALSE,"076-96";#N/A,#N/A,FALSE,"019-97";#N/A,#N/A,FALSE,"021-97";#N/A,#N/A,FALSE,"022-97";#N/A,#N/A,FALSE,"028-97"}</definedName>
    <definedName name="_Regression_Out" localSheetId="3">#REF!</definedName>
    <definedName name="_sfe5"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_Sort" localSheetId="3">#REF!</definedName>
    <definedName name="_T" localSheetId="3">#REF!</definedName>
    <definedName name="_wer3" localSheetId="3">{#N/A,#N/A,FALSE,"Plan1";#N/A,#N/A,FALSE,"Plan2"}</definedName>
    <definedName name="_wrn.pendencias" localSheetId="3">{#N/A,#N/A,FALSE,"GERAL";#N/A,#N/A,FALSE,"012-96";#N/A,#N/A,FALSE,"018-96";#N/A,#N/A,FALSE,"027-96";#N/A,#N/A,FALSE,"059-96";#N/A,#N/A,FALSE,"076-96";#N/A,#N/A,FALSE,"019-97";#N/A,#N/A,FALSE,"021-97";#N/A,#N/A,FALSE,"022-97";#N/A,#N/A,FALSE,"028-97"}</definedName>
    <definedName name="_x10" localSheetId="3">#REF!</definedName>
    <definedName name="_x11" localSheetId="3">#REF!</definedName>
    <definedName name="_x12" localSheetId="3">#REF!</definedName>
    <definedName name="_xlcn.WorksheetConnection_2018_03ResumoRGOObrasRJ.xlsbTabela1" localSheetId="3">#REF!</definedName>
    <definedName name="_xlcn.WorksheetConnection_ProjetocontrolefisicoefinanceiroRJ.xlsxTabela31" localSheetId="3">#REF!</definedName>
    <definedName name="a" localSheetId="3">#REF!</definedName>
    <definedName name="aa" localSheetId="3">#REF!</definedName>
    <definedName name="aaa" localSheetId="3">#REF!</definedName>
    <definedName name="AAAA"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aaaaaaaaa"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aaaadc" localSheetId="3">#REF!</definedName>
    <definedName name="aaacccc" localSheetId="3">{#N/A,#N/A,FALSE,"Plan1";#N/A,#N/A,FALSE,"Plan2"}</definedName>
    <definedName name="aaas" localSheetId="3">#REF!</definedName>
    <definedName name="AB" localSheetId="3">#REF!</definedName>
    <definedName name="Abat_ISS" localSheetId="3">#REF!</definedName>
    <definedName name="abc"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bebqt" localSheetId="3">#REF!</definedName>
    <definedName name="abr17RJ" localSheetId="3">#REF!</definedName>
    <definedName name="ABRIL" localSheetId="3">#REF!</definedName>
    <definedName name="ABRIL2001" localSheetId="3">#REF!</definedName>
    <definedName name="Acabam." localSheetId="3">#REF!</definedName>
    <definedName name="ACADUC" localSheetId="3">#REF!</definedName>
    <definedName name="ACBEB" localSheetId="3">#REF!</definedName>
    <definedName name="ACBOMB" localSheetId="3">#REF!</definedName>
    <definedName name="ACCHAF" localSheetId="3">#REF!</definedName>
    <definedName name="acdb" localSheetId="3">#REF!</definedName>
    <definedName name="ACDER" localSheetId="3">#REF!</definedName>
    <definedName name="ACDIV" localSheetId="3">#REF!</definedName>
    <definedName name="ACEQP" localSheetId="3">#REF!</definedName>
    <definedName name="ACHAFQT" localSheetId="3">#REF!</definedName>
    <definedName name="ACMUR" localSheetId="3">#REF!</definedName>
    <definedName name="açoeeer" localSheetId="3">{#N/A,#N/A,FALSE,"Plan1";#N/A,#N/A,FALSE,"Plan2"}</definedName>
    <definedName name="ACOMP" localSheetId="3">#REF!</definedName>
    <definedName name="ACONT2" localSheetId="3">#REF!</definedName>
    <definedName name="ACPIPA" localSheetId="3">#REF!</definedName>
    <definedName name="ACTRANSP" localSheetId="3">#REF!</definedName>
    <definedName name="ACwvu.PLANILHA2." localSheetId="3">#REF!</definedName>
    <definedName name="ad" localSheetId="3">{#N/A,#N/A,FALSE,"Plan1";#N/A,#N/A,FALSE,"Plan2"}</definedName>
    <definedName name="adads" localSheetId="3">{#N/A,#N/A,FALSE,"Plan1";#N/A,#N/A,FALSE,"Plan2"}</definedName>
    <definedName name="adads2" localSheetId="3">{#N/A,#N/A,FALSE,"Plan1";#N/A,#N/A,FALSE,"Plan2"}</definedName>
    <definedName name="adced" localSheetId="3">{#N/A,#N/A,FALSE,"Plan1";#N/A,#N/A,FALSE,"Plan2"}</definedName>
    <definedName name="adced2" localSheetId="3">{#N/A,#N/A,FALSE,"Plan1";#N/A,#N/A,FALSE,"Plan2"}</definedName>
    <definedName name="ader" localSheetId="3">{#N/A,#N/A,FALSE,"Plan1";#N/A,#N/A,FALSE,"Plan2"}</definedName>
    <definedName name="ader2" localSheetId="3">{#N/A,#N/A,FALSE,"Plan1";#N/A,#N/A,FALSE,"Plan2"}</definedName>
    <definedName name="adesr" localSheetId="3">{#N/A,#N/A,FALSE,"Plan1";#N/A,#N/A,FALSE,"Plan2"}</definedName>
    <definedName name="adewr" localSheetId="3">{#N/A,#N/A,FALSE,"Plan1";#N/A,#N/A,FALSE,"Plan2"}</definedName>
    <definedName name="adf" localSheetId="3">{#N/A,#N/A,FALSE,"Plan1";#N/A,#N/A,FALSE,"Plan2"}</definedName>
    <definedName name="ADITIVO_BRUTO" localSheetId="3">#REF!</definedName>
    <definedName name="ADITIVO_LIQUIDO" localSheetId="3">#REF!</definedName>
    <definedName name="ADM.EXTERNA" localSheetId="3">#REF!</definedName>
    <definedName name="adsfr" localSheetId="3">{#N/A,#N/A,FALSE,"Plan1";#N/A,#N/A,FALSE,"Plan2"}</definedName>
    <definedName name="adssrgtg" localSheetId="3">{#N/A,#N/A,FALSE,"Plan1";#N/A,#N/A,FALSE,"Plan2"}</definedName>
    <definedName name="adtsetrr6t" localSheetId="3">{#N/A,#N/A,FALSE,"Plan1";#N/A,#N/A,FALSE,"Plan2"}</definedName>
    <definedName name="ADUCQT" localSheetId="3">#REF!</definedName>
    <definedName name="adwr" localSheetId="3">{#N/A,#N/A,FALSE,"Plan1";#N/A,#N/A,FALSE,"Plan2"}</definedName>
    <definedName name="aeiresft" localSheetId="3">{#N/A,#N/A,FALSE,"Plan1";#N/A,#N/A,FALSE,"Plan2"}</definedName>
    <definedName name="aEL3QE" localSheetId="3">{#N/A,#N/A,FALSE,"Plan1";#N/A,#N/A,FALSE,"Plan2"}</definedName>
    <definedName name="afeasfre" localSheetId="3">{#N/A,#N/A,FALSE,"Plan1";#N/A,#N/A,FALSE,"Plan2"}</definedName>
    <definedName name="agdsf" localSheetId="3">#REF!</definedName>
    <definedName name="ago17RJ" localSheetId="3">#REF!</definedName>
    <definedName name="AGOSTO" localSheetId="3">#REF!</definedName>
    <definedName name="agua" localSheetId="3">{#N/A,#N/A,FALSE,"GERAL";#N/A,#N/A,FALSE,"012-96";#N/A,#N/A,FALSE,"018-96";#N/A,#N/A,FALSE,"027-96";#N/A,#N/A,FALSE,"059-96";#N/A,#N/A,FALSE,"076-96";#N/A,#N/A,FALSE,"019-97";#N/A,#N/A,FALSE,"021-97";#N/A,#N/A,FALSE,"022-97";#N/A,#N/A,FALSE,"028-97"}</definedName>
    <definedName name="AH" localSheetId="3">{#N/A,#N/A,FALSE,"CCTV"}</definedName>
    <definedName name="AITEM" localSheetId="3">#REF!</definedName>
    <definedName name="Ajudante_Geral" localSheetId="3">#REF!</definedName>
    <definedName name="ajudante_mes" localSheetId="3">#REF!</definedName>
    <definedName name="AL" localSheetId="3">#REF!</definedName>
    <definedName name="ALTADUC" localSheetId="3">#REF!</definedName>
    <definedName name="ALTBOMB" localSheetId="3">#REF!</definedName>
    <definedName name="ALTCAP" localSheetId="3">#REF!</definedName>
    <definedName name="ALTDER" localSheetId="3">#REF!</definedName>
    <definedName name="ALTEQUIP" localSheetId="3">#REF!</definedName>
    <definedName name="ALTIEQP" localSheetId="3">#REF!</definedName>
    <definedName name="ALTMUR" localSheetId="3">#REF!</definedName>
    <definedName name="ALTRES10" localSheetId="3">#REF!</definedName>
    <definedName name="ALTRES15" localSheetId="3">#REF!</definedName>
    <definedName name="ALTRES20" localSheetId="3">#REF!</definedName>
    <definedName name="ALTTRANS" localSheetId="3">#REF!</definedName>
    <definedName name="ALUMÍNIO_2" localSheetId="3">#REF!</definedName>
    <definedName name="angelo" localSheetId="3">#REF!</definedName>
    <definedName name="anscount" localSheetId="3">3</definedName>
    <definedName name="AQE" localSheetId="3">{"'장비'!$A$3:$M$12"}</definedName>
    <definedName name="AQTEMP1" localSheetId="3">#REF!</definedName>
    <definedName name="AQTEMP2" localSheetId="3">#REF!</definedName>
    <definedName name="ArComprimido" localSheetId="3">{"'Estimativa de Lançamento-JAN'!$A$1:$AI$85"}</definedName>
    <definedName name="area" localSheetId="3">{#N/A,#N/A,FALSE,"Plan1";#N/A,#N/A,FALSE,"Plan2"}</definedName>
    <definedName name="área" localSheetId="3">#REF!</definedName>
    <definedName name="Área_Construída" localSheetId="3">#REF!</definedName>
    <definedName name="Área_impressão_IM" localSheetId="3">#REF!</definedName>
    <definedName name="Área_Privativa" localSheetId="3">#REF!</definedName>
    <definedName name="Área_Terreno" localSheetId="3">#REF!</definedName>
    <definedName name="area1" localSheetId="3">#REF!</definedName>
    <definedName name="Areaimpresso" localSheetId="3">#REF!</definedName>
    <definedName name="ARM" localSheetId="3">#REF!</definedName>
    <definedName name="ARMABLOCOS" localSheetId="3">#REF!</definedName>
    <definedName name="ARMAÇÃO" localSheetId="3">#REF!</definedName>
    <definedName name="ARQ" localSheetId="3">#REF!</definedName>
    <definedName name="ARQERR" localSheetId="3">#REF!</definedName>
    <definedName name="ARQPLAN" localSheetId="3">#REF!</definedName>
    <definedName name="ARQT" localSheetId="3">#REF!</definedName>
    <definedName name="ARQTEMP" localSheetId="3">#REF!</definedName>
    <definedName name="ARQTXT" localSheetId="3">#REF!</definedName>
    <definedName name="ARTEMP" localSheetId="3">#REF!</definedName>
    <definedName name="AS" localSheetId="3">#REF!</definedName>
    <definedName name="asawe3" localSheetId="3">{#N/A,#N/A,FALSE,"Plan1";#N/A,#N/A,FALSE,"Plan2"}</definedName>
    <definedName name="ASD" localSheetId="3">17</definedName>
    <definedName name="ASDA" localSheetId="3">{#N/A,#N/A,FALSE,"Plan1";#N/A,#N/A,FALSE,"Plan2"}</definedName>
    <definedName name="asdade" localSheetId="3">{#N/A,#N/A,FALSE,"Plan1";#N/A,#N/A,FALSE,"Plan2"}</definedName>
    <definedName name="asdas" localSheetId="3">{#N/A,#N/A,FALSE,"Plan1";#N/A,#N/A,FALSE,"Plan2"}</definedName>
    <definedName name="asdawed" localSheetId="3">{#N/A,#N/A,FALSE,"Plan1";#N/A,#N/A,FALSE,"Plan2"}</definedName>
    <definedName name="ASDER" localSheetId="3">{#N/A,#N/A,FALSE,"Plan1";#N/A,#N/A,FALSE,"Plan2"}</definedName>
    <definedName name="asderr" localSheetId="3">{#N/A,#N/A,FALSE,"Plan1";#N/A,#N/A,FALSE,"Plan2"}</definedName>
    <definedName name="asdesre" localSheetId="3">{#N/A,#N/A,FALSE,"Plan1";#N/A,#N/A,FALSE,"Plan2"}</definedName>
    <definedName name="asdewr" localSheetId="3">{#N/A,#N/A,FALSE,"Plan1";#N/A,#N/A,FALSE,"Plan2"}</definedName>
    <definedName name="ASDFASDFA"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ASDFADF"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rrt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asdfs" localSheetId="3">{#N/A,#N/A,FALSE,"Plan1";#N/A,#N/A,FALSE,"Plan2"}</definedName>
    <definedName name="asdg" localSheetId="3">{#N/A,#N/A,FALSE,"Plan1";#N/A,#N/A,FALSE,"Plan2"}</definedName>
    <definedName name="asdjksej" localSheetId="3">#REF!</definedName>
    <definedName name="asdked"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asdlas" localSheetId="3">{#N/A,#N/A,FALSE,"Plan1";#N/A,#N/A,FALSE,"Plan2"}</definedName>
    <definedName name="asdqwe" localSheetId="3">{#N/A,#N/A,FALSE,"Plan1";#N/A,#N/A,FALSE,"Plan2"}</definedName>
    <definedName name="asdsa" localSheetId="3">{#N/A,#N/A,FALSE,"Plan1";#N/A,#N/A,FALSE,"Plan2"}</definedName>
    <definedName name="asdser" localSheetId="3">{#N/A,#N/A,FALSE,"Plan1";#N/A,#N/A,FALSE,"Plan2"}</definedName>
    <definedName name="asdwef" localSheetId="3">{#N/A,#N/A,FALSE,"Plan1";#N/A,#N/A,FALSE,"Plan2"}</definedName>
    <definedName name="aseiuw" localSheetId="3">#REF!</definedName>
    <definedName name="ASET" localSheetId="3">{#N/A,#N/A,FALSE,"Plan1";#N/A,#N/A,FALSE,"Plan2"}</definedName>
    <definedName name="asfDSF" localSheetId="3">{#N/A,#N/A,FALSE,"Plan1";#N/A,#N/A,FALSE,"Plan2"}</definedName>
    <definedName name="ASFERTE" localSheetId="3">{#N/A,#N/A,FALSE,"Plan1";#N/A,#N/A,FALSE,"Plan2"}</definedName>
    <definedName name="asfl" localSheetId="3">{#N/A,#N/A,FALSE,"Plan1";#N/A,#N/A,FALSE,"Plan2"}</definedName>
    <definedName name="asfsz" localSheetId="3">{#N/A,#N/A,FALSE,"Plan1";#N/A,#N/A,FALSE,"Plan2"}</definedName>
    <definedName name="askserf" localSheetId="3">{#N/A,#N/A,FALSE,"Plan1";#N/A,#N/A,FALSE,"Plan2"}</definedName>
    <definedName name="ASSFSDF" localSheetId="3">{#N/A,#N/A,FALSE,"Plan1";#N/A,#N/A,FALSE,"Plan2"}</definedName>
    <definedName name="asw" localSheetId="3">{#N/A,#N/A,FALSE,"Plan1";#N/A,#N/A,FALSE,"Plan2"}</definedName>
    <definedName name="Até_Chaves" localSheetId="3">#REF!</definedName>
    <definedName name="ATIVOS" localSheetId="3">{#N/A,#N/A,FALSE,"F-01"}</definedName>
    <definedName name="Ato" localSheetId="3">#REF!</definedName>
    <definedName name="ATUAL" localSheetId="3">#REF!</definedName>
    <definedName name="aux" localSheetId="3">#REF!</definedName>
    <definedName name="AUXILIO" localSheetId="3">#REF!</definedName>
    <definedName name="avulsos" localSheetId="3">#REF!</definedName>
    <definedName name="awdjw" localSheetId="3">{#N/A,#N/A,FALSE,"Plan1";#N/A,#N/A,FALSE,"Plan2"}</definedName>
    <definedName name="aweqw4" localSheetId="3">{#N/A,#N/A,FALSE,"Plan1";#N/A,#N/A,FALSE,"Plan2"}</definedName>
    <definedName name="awssdwaer" localSheetId="3">{#N/A,#N/A,FALSE,"Plan1";#N/A,#N/A,FALSE,"Plan2"}</definedName>
    <definedName name="AZ" localSheetId="3">#REF!</definedName>
    <definedName name="B" localSheetId="3">#REF!</definedName>
    <definedName name="BA" localSheetId="3">#REF!</definedName>
    <definedName name="BANCO" localSheetId="3">#REF!</definedName>
    <definedName name="Banco_dados_IM" localSheetId="3">#REF!</definedName>
    <definedName name="BANCO1" localSheetId="3">#REF!</definedName>
    <definedName name="BANCO2" localSheetId="3">#REF!</definedName>
    <definedName name="BANCO3" localSheetId="3">#REF!</definedName>
    <definedName name="BANCO4" localSheetId="3">#REF!</definedName>
    <definedName name="BASE" localSheetId="3">OFFSET(#REF!,0,0,COUNTA(#REF!)+1,5)</definedName>
    <definedName name="BASE_DE_DADOS_FLUXO_DE_CAIXA" localSheetId="3">OFFSET(#REF!,0,0,COUNTA(#REF!),COUNTA(#REF!))</definedName>
    <definedName name="BASE_FL_CX_3S" localSheetId="3">OFFSET(#REF!,0,0,COUNTA(#REF!),COUNTA(#REF!))</definedName>
    <definedName name="BASE_FLUXO_CAIXA_2017" localSheetId="3">OFFSET(#REF!,0,0,COUNTA(#REF!),COUNTA(#REF!))</definedName>
    <definedName name="bb" localSheetId="3">#REF!</definedName>
    <definedName name="bbb" localSheetId="3">#REF!</definedName>
    <definedName name="bbbbbbbbbbbbbbb" localSheetId="3">{"'Edit'!$A$1:$V$2277"}</definedName>
    <definedName name="BD" localSheetId="3">#REF!</definedName>
    <definedName name="BDA" localSheetId="3">#REF!</definedName>
    <definedName name="bdfjghf" localSheetId="3">{#N/A,#N/A,FALSE,"Plan1";#N/A,#N/A,FALSE,"Plan2"}</definedName>
    <definedName name="BDI" localSheetId="3">#REF!</definedName>
    <definedName name="bdzbfbdr" localSheetId="3">{#N/A,#N/A,FALSE,"Plan1";#N/A,#N/A,FALSE,"Plan2"}</definedName>
    <definedName name="be" localSheetId="3">#REF!</definedName>
    <definedName name="bebqt" localSheetId="3">#REF!</definedName>
    <definedName name="bela_cdi" localSheetId="3">#REF!</definedName>
    <definedName name="bela_hist" localSheetId="3">#REF!</definedName>
    <definedName name="bela_uss" localSheetId="3">#REF!</definedName>
    <definedName name="BGG" localSheetId="3">{#N/A,#N/A,FALSE,"Plan1";#N/A,#N/A,FALSE,"Plan2"}</definedName>
    <definedName name="bhjgfhfhg"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BJGO"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BJSDKHFE" localSheetId="3">{#N/A,#N/A,FALSE,"Plan1";#N/A,#N/A,FALSE,"Plan2"}</definedName>
    <definedName name="bloco" localSheetId="3">#REF!</definedName>
    <definedName name="BLPH1" localSheetId="3">#REF!</definedName>
    <definedName name="BLPH100" localSheetId="3">#REF!</definedName>
    <definedName name="BLPH101" localSheetId="3">#REF!</definedName>
    <definedName name="BLPH102" localSheetId="3">#REF!</definedName>
    <definedName name="BLPH103" localSheetId="3">#REF!</definedName>
    <definedName name="BLPH104" localSheetId="3">#REF!</definedName>
    <definedName name="BLPH96" localSheetId="3">#REF!</definedName>
    <definedName name="BLPH97" localSheetId="3">#REF!</definedName>
    <definedName name="BLPH98" localSheetId="3">#REF!</definedName>
    <definedName name="BLPH99" localSheetId="3">#REF!</definedName>
    <definedName name="bmdgghrtfde" localSheetId="3">{#N/A,#N/A,FALSE,"Plan1";#N/A,#N/A,FALSE,"Plan2"}</definedName>
    <definedName name="bnkjhjhdfxgt" localSheetId="3">{#N/A,#N/A,FALSE,"Plan1";#N/A,#N/A,FALSE,"Plan2"}</definedName>
    <definedName name="BORBA2" localSheetId="3">#REF!</definedName>
    <definedName name="BuiltIn_Print_Area" localSheetId="3">#REF!</definedName>
    <definedName name="BuiltIn_Print_Area___0" localSheetId="3">#REF!</definedName>
    <definedName name="BuiltIn_Print_Titles" localSheetId="3">#REF!</definedName>
    <definedName name="BuiltIn_Print_Titles___0" localSheetId="3">#REF!</definedName>
    <definedName name="bxnzfmkzxbhdf" localSheetId="3">{#N/A,#N/A,FALSE,"Plan1";#N/A,#N/A,FALSE,"Plan2"}</definedName>
    <definedName name="ca" localSheetId="3">#REF!</definedName>
    <definedName name="CAGR" localSheetId="3">#REF!</definedName>
    <definedName name="caixa" localSheetId="3">#REF!</definedName>
    <definedName name="caixas" localSheetId="3">{#N/A,#N/A,FALSE,"GERAL";#N/A,#N/A,FALSE,"012-96";#N/A,#N/A,FALSE,"018-96";#N/A,#N/A,FALSE,"027-96";#N/A,#N/A,FALSE,"059-96";#N/A,#N/A,FALSE,"076-96";#N/A,#N/A,FALSE,"019-97";#N/A,#N/A,FALSE,"021-97";#N/A,#N/A,FALSE,"022-97";#N/A,#N/A,FALSE,"028-97"}</definedName>
    <definedName name="Cambio" localSheetId="3">#REF!</definedName>
    <definedName name="CAMP" localSheetId="3">#REF!</definedName>
    <definedName name="CAMPOS" localSheetId="3">#REF!</definedName>
    <definedName name="Capa" localSheetId="3">#REF!</definedName>
    <definedName name="CAPA2" localSheetId="3">#REF!</definedName>
    <definedName name="CAPA55" localSheetId="3">#REF!</definedName>
    <definedName name="CAPA55A" localSheetId="3">#REF!</definedName>
    <definedName name="CAPELA" localSheetId="3">#REF!</definedName>
    <definedName name="CARLOS1" localSheetId="3">#REF!</definedName>
    <definedName name="CARTÃO4" localSheetId="3">#REF!</definedName>
    <definedName name="CAT6_IP" localSheetId="3">{#N/A,#N/A,FALSE,"F-01"}</definedName>
    <definedName name="categori45" localSheetId="3">#REF!</definedName>
    <definedName name="CATEGORIA1" localSheetId="3">#REF!</definedName>
    <definedName name="CATEGORIA10" localSheetId="3">#REF!</definedName>
    <definedName name="CATEGORIA11" localSheetId="3">#REF!</definedName>
    <definedName name="CATEGORIA12" localSheetId="3">#REF!</definedName>
    <definedName name="CATEGORIA13" localSheetId="3">#REF!</definedName>
    <definedName name="CATEGORIA14" localSheetId="3">#REF!</definedName>
    <definedName name="CATEGORIA15" localSheetId="3">#REF!</definedName>
    <definedName name="CATEGORIA16" localSheetId="3">#REF!</definedName>
    <definedName name="CATEGORIA17" localSheetId="3">#REF!</definedName>
    <definedName name="CATEGORIA18" localSheetId="3">#REF!</definedName>
    <definedName name="CATEGORIA19" localSheetId="3">#REF!</definedName>
    <definedName name="CATEGORIA2" localSheetId="3">#REF!</definedName>
    <definedName name="CATEGORIA20" localSheetId="3">#REF!</definedName>
    <definedName name="CATEGORIA21" localSheetId="3">#REF!</definedName>
    <definedName name="CATEGORIA22" localSheetId="3">#REF!</definedName>
    <definedName name="CATEGORIA3" localSheetId="3">#REF!</definedName>
    <definedName name="CATEGORIA4" localSheetId="3">#REF!</definedName>
    <definedName name="CATEGORIA5" localSheetId="3">#REF!</definedName>
    <definedName name="CATEGORIA6" localSheetId="3">#REF!</definedName>
    <definedName name="CATEGORIA7" localSheetId="3">#REF!</definedName>
    <definedName name="CATEGORIA8" localSheetId="3">#REF!</definedName>
    <definedName name="CATEGORIA9" localSheetId="3">#REF!</definedName>
    <definedName name="CATORZE" localSheetId="3">#REF!</definedName>
    <definedName name="CAUX2" localSheetId="3">OFFSET(#REF!,0,0,COUNTA(#REF!)+1,1)</definedName>
    <definedName name="CAUX3" localSheetId="3">OFFSET(#REF!,0,0,COUNTA(#REF!)+1,1)</definedName>
    <definedName name="CCC" localSheetId="3">#REF!</definedName>
    <definedName name="ççç" localSheetId="3">{#N/A,#N/A,FALSE,"Plan1";#N/A,#N/A,FALSE,"Plan2"}</definedName>
    <definedName name="cccc" localSheetId="3">{#N/A,#N/A,FALSE,"Plan1";#N/A,#N/A,FALSE,"Plan2"}</definedName>
    <definedName name="ççççççç"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cccccccc"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cccccccccccccccc" localSheetId="3">{"HW",#N/A,FALSE,"1998"}</definedName>
    <definedName name="cchart1" localSheetId="3">#REF!</definedName>
    <definedName name="cchart10" localSheetId="3">#REF!</definedName>
    <definedName name="cchart11" localSheetId="3">#REF!</definedName>
    <definedName name="çcklfjk"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CD" localSheetId="3">#REF!</definedName>
    <definedName name="çdfmerf" localSheetId="3">{#N/A,#N/A,FALSE,"Plan1";#N/A,#N/A,FALSE,"Plan2"}</definedName>
    <definedName name="CDSGHE" localSheetId="3">{#N/A,#N/A,FALSE,"Plan1";#N/A,#N/A,FALSE,"Plan2"}</definedName>
    <definedName name="cdvthd" localSheetId="3">#REF!</definedName>
    <definedName name="Cel_Constr" localSheetId="3">#REF!</definedName>
    <definedName name="CestaExcel" localSheetId="3">#REF!</definedName>
    <definedName name="CevaG" localSheetId="3">#REF!</definedName>
    <definedName name="CevaGS" localSheetId="3">#REF!</definedName>
    <definedName name="çfhjglkjhkljyhj"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çflçf" localSheetId="3">{#N/A,#N/A,FALSE,"Plan1";#N/A,#N/A,FALSE,"Plan2"}</definedName>
    <definedName name="CHAFQT" localSheetId="3">#REF!</definedName>
    <definedName name="Chaves" localSheetId="3">#REF!</definedName>
    <definedName name="chfch" localSheetId="3">{#N/A,#N/A,FALSE,"Plan1";#N/A,#N/A,FALSE,"Plan2"}</definedName>
    <definedName name="CI" localSheetId="3">#REF!</definedName>
    <definedName name="cidades" localSheetId="3">#REF!</definedName>
    <definedName name="CIFIXA" localSheetId="3">#REF!</definedName>
    <definedName name="CINCO" localSheetId="3">#REF!</definedName>
    <definedName name="CITOTAL" localSheetId="3">#REF!</definedName>
    <definedName name="CIVAR" localSheetId="3">#REF!</definedName>
    <definedName name="ÇJKRÇLFS" localSheetId="3">{"Econ Consolidado",#N/A,FALSE,"Econ Consol";"Fluxo de Caixa",#N/A,FALSE,"Fluxo Caixa";"Investimentos",#N/A,FALSE,"Investimentos"}</definedName>
    <definedName name="ÇJsrejtçe" localSheetId="3">{#N/A,#N/A,FALSE,"Plan1";#N/A,#N/A,FALSE,"Plan2"}</definedName>
    <definedName name="çkaçekow" localSheetId="3">{#N/A,#N/A,FALSE,"Plan1";#N/A,#N/A,FALSE,"Plan2"}</definedName>
    <definedName name="ÇKSDOEKR" localSheetId="3">{#N/A,#N/A,FALSE,"Plan1";#N/A,#N/A,FALSE,"Plan2"}</definedName>
    <definedName name="çl" localSheetId="3">{#N/A,#N/A,FALSE,"Plan1";#N/A,#N/A,FALSE,"Plan2"}</definedName>
    <definedName name="çlassde" localSheetId="3">{#N/A,#N/A,FALSE,"Plan1";#N/A,#N/A,FALSE,"Plan2"}</definedName>
    <definedName name="Classificação" localSheetId="3">#REF!</definedName>
    <definedName name="çlçlç" localSheetId="3">{#N/A,#N/A,FALSE,"Plan1";#N/A,#N/A,FALSE,"Plan2"}</definedName>
    <definedName name="çld" localSheetId="3">{#N/A,#N/A,FALSE,"Plan1";#N/A,#N/A,FALSE,"Plan2"}</definedName>
    <definedName name="çlererr" localSheetId="3">{#N/A,#N/A,FALSE,"Plan1";#N/A,#N/A,FALSE,"Plan2"}</definedName>
    <definedName name="çlertert" localSheetId="3">{#N/A,#N/A,FALSE,"Plan1";#N/A,#N/A,FALSE,"Plan2"}</definedName>
    <definedName name="çlkdflçkrlr" localSheetId="3">#REF!</definedName>
    <definedName name="çll" localSheetId="3">{#N/A,#N/A,FALSE,"Plan1";#N/A,#N/A,FALSE,"Plan2"}</definedName>
    <definedName name="CMC" localSheetId="3">{#N/A,#N/A,FALSE,"GERAL";#N/A,#N/A,FALSE,"012-96";#N/A,#N/A,FALSE,"018-96";#N/A,#N/A,FALSE,"027-96";#N/A,#N/A,FALSE,"059-96";#N/A,#N/A,FALSE,"076-96";#N/A,#N/A,FALSE,"019-97";#N/A,#N/A,FALSE,"021-97";#N/A,#N/A,FALSE,"022-97";#N/A,#N/A,FALSE,"028-97"}</definedName>
    <definedName name="COBRANÇA" localSheetId="3">#REF!</definedName>
    <definedName name="Cod_Esquadrias" localSheetId="3">#REF!</definedName>
    <definedName name="CÓDG" localSheetId="3">OFFSET(#REF!,0,0,COUNTA(#REF!),1)</definedName>
    <definedName name="codigo2" localSheetId="3">#REF!</definedName>
    <definedName name="codigo3" localSheetId="3">#REF!</definedName>
    <definedName name="CÓDT" localSheetId="3">OFFSET(#REF!,0,0,COUNTA(#REF!)+1,1)</definedName>
    <definedName name="COFINS" localSheetId="3">#REF!</definedName>
    <definedName name="cofins2" localSheetId="3">#REF!</definedName>
    <definedName name="COGS" localSheetId="3">#REF!</definedName>
    <definedName name="COLSUB" localSheetId="3">#REF!</definedName>
    <definedName name="COMISSOES" localSheetId="3">#REF!</definedName>
    <definedName name="COMPOSICAO" localSheetId="3">#REF!</definedName>
    <definedName name="composição" localSheetId="3">#REF!</definedName>
    <definedName name="COMPR" localSheetId="3">#REF!</definedName>
    <definedName name="COMPRIMENTO" localSheetId="3">#REF!</definedName>
    <definedName name="COMPROMETIDO" localSheetId="3">#REF!</definedName>
    <definedName name="CONFIRMAR" localSheetId="3">{#N/A,#N/A,TRUE,"Quinzena 01 à 15-04-98 "}</definedName>
    <definedName name="cont" localSheetId="3">{#N/A,#N/A,FALSE,"Plan1";#N/A,#N/A,FALSE,"Plan2"}</definedName>
    <definedName name="CONT1" localSheetId="3">#REF!</definedName>
    <definedName name="CONT2" localSheetId="3">#REF!</definedName>
    <definedName name="CONT3" localSheetId="3">#REF!</definedName>
    <definedName name="CONTAIT" localSheetId="3">#REF!</definedName>
    <definedName name="CONTREC" localSheetId="3">#REF!</definedName>
    <definedName name="CONTRES" localSheetId="3">#REF!</definedName>
    <definedName name="CONTROLE" localSheetId="3">#REF!</definedName>
    <definedName name="CONVERSÃO" localSheetId="3">#REF!</definedName>
    <definedName name="cpmf" localSheetId="3">#REF!</definedName>
    <definedName name="Credor_Rel_Sienge" localSheetId="3">#REF!</definedName>
    <definedName name="CRONG" localSheetId="3">#REF!</definedName>
    <definedName name="cronograma" localSheetId="3">#REF!</definedName>
    <definedName name="CRONOGRAMA_FÍSICO_FINANCEIRO" localSheetId="3">#REF!</definedName>
    <definedName name="CS" localSheetId="3">#REF!</definedName>
    <definedName name="cs_diferida" localSheetId="3">#REF!</definedName>
    <definedName name="ÇSAÇDFW"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çsdkfçdrkt" localSheetId="3">#REF!</definedName>
    <definedName name="CSE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ÇSLÇDLFKD" localSheetId="3">{#N/A,#N/A,FALSE,"Plan1";#N/A,#N/A,FALSE,"Plan2"}</definedName>
    <definedName name="CTH" localSheetId="3">{#N/A,#N/A,FALSE,"GERAL";#N/A,#N/A,FALSE,"012-96";#N/A,#N/A,FALSE,"018-96";#N/A,#N/A,FALSE,"027-96";#N/A,#N/A,FALSE,"059-96";#N/A,#N/A,FALSE,"076-96";#N/A,#N/A,FALSE,"019-97";#N/A,#N/A,FALSE,"021-97";#N/A,#N/A,FALSE,"022-97";#N/A,#N/A,FALSE,"028-97"}</definedName>
    <definedName name="CUST_DIR_IND" localSheetId="3">#REF!</definedName>
    <definedName name="CUSTINDIRETO" localSheetId="3">#REF!</definedName>
    <definedName name="CUSTO_DIR_IND" localSheetId="3">#REF!</definedName>
    <definedName name="Custo_Direto_de_Obras_Civis_e_Instalações_..........................................." localSheetId="3">#REF!</definedName>
    <definedName name="Custo_Direto_em_geral" localSheetId="3">#REF!</definedName>
    <definedName name="custo_financing" localSheetId="3">#REF!</definedName>
    <definedName name="CUSTO_OUTROS" localSheetId="3">#REF!</definedName>
    <definedName name="Custo_Outros1" localSheetId="3">#REF!</definedName>
    <definedName name="CUSTODIRETO" localSheetId="3">#REF!</definedName>
    <definedName name="CUSTODIRETO_R" localSheetId="3">#REF!</definedName>
    <definedName name="CUSTODIRETO_U" localSheetId="3">#REF!</definedName>
    <definedName name="CUSTODIRETO1" localSheetId="3">#REF!</definedName>
    <definedName name="CUSTOFIN" localSheetId="3">#REF!</definedName>
    <definedName name="D" localSheetId="3">#REF!</definedName>
    <definedName name="da" localSheetId="3">#REF!</definedName>
    <definedName name="dalmo" localSheetId="3">{#N/A,#N/A,FALSE,"GERAL";#N/A,#N/A,FALSE,"012-96";#N/A,#N/A,FALSE,"018-96";#N/A,#N/A,FALSE,"027-96";#N/A,#N/A,FALSE,"059-96";#N/A,#N/A,FALSE,"076-96";#N/A,#N/A,FALSE,"019-97";#N/A,#N/A,FALSE,"021-97";#N/A,#N/A,FALSE,"022-97";#N/A,#N/A,FALSE,"028-97"}</definedName>
    <definedName name="dasfrt" localSheetId="3">{#N/A,#N/A,FALSE,"Plan1";#N/A,#N/A,FALSE,"Plan2"}</definedName>
    <definedName name="DATA" localSheetId="3">#REF!</definedName>
    <definedName name="Data_base" localSheetId="3">#REF!</definedName>
    <definedName name="data_base_VL" localSheetId="3">#REF!</definedName>
    <definedName name="DATA_COTAÇÃO" localSheetId="3">#REF!</definedName>
    <definedName name="DATA_ENTREGA" localSheetId="3">#REF!</definedName>
    <definedName name="DATA_FECHA" localSheetId="3">#REF!</definedName>
    <definedName name="Data_Inicio" localSheetId="3">#REF!</definedName>
    <definedName name="Data_Lançado_Sienge" localSheetId="3">#REF!</definedName>
    <definedName name="Data_Pagamento_Sienge" localSheetId="3">#REF!</definedName>
    <definedName name="Data_Previsão_Medição_Fin_Medição" localSheetId="3">#REF!</definedName>
    <definedName name="Data_Tendência_Recebimento_Fin_Medições" localSheetId="3">#REF!</definedName>
    <definedName name="DATA1" localSheetId="3">#REF!</definedName>
    <definedName name="DATA3" localSheetId="3">#REF!</definedName>
    <definedName name="DATA4" localSheetId="3">#REF!</definedName>
    <definedName name="DATA6" localSheetId="3">#REF!</definedName>
    <definedName name="DataChaves_MAP" localSheetId="3">#REF!</definedName>
    <definedName name="DatasOut13AteDez20" localSheetId="3">#REF!</definedName>
    <definedName name="DÇDL" localSheetId="3">{#N/A,#N/A,FALSE,"Plan1";#N/A,#N/A,FALSE,"Plan2"}</definedName>
    <definedName name="dchart26" localSheetId="3">#REF!</definedName>
    <definedName name="dchart31" localSheetId="3">#REF!</definedName>
    <definedName name="dcnsfgdjkgb" localSheetId="3">{#N/A,#N/A,FALSE,"Plan1";#N/A,#N/A,FALSE,"Plan2"}</definedName>
    <definedName name="DÇWK" localSheetId="3">{#N/A,#N/A,FALSE,"Plan1";#N/A,#N/A,FALSE,"Plan2"}</definedName>
    <definedName name="DD"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DD" localSheetId="3">#REF!</definedName>
    <definedName name="ddddd" localSheetId="3">{#N/A,#N/A,FALSE,"Plan1";#N/A,#N/A,FALSE,"Plan2"}</definedName>
    <definedName name="ddddddddddd" localSheetId="3">#REF!</definedName>
    <definedName name="dddddddddddddddddddddddddd" localSheetId="3">#REF!</definedName>
    <definedName name="dddddddddddddppppppppp" localSheetId="3">#REF!</definedName>
    <definedName name="dde" localSheetId="3">{#N/A,#N/A,FALSE,"Plan1";#N/A,#N/A,FALSE,"Plan2"}</definedName>
    <definedName name="ddfs" localSheetId="3">#REF!</definedName>
    <definedName name="ddgfdvgdg"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DGSFG" localSheetId="3">{#N/A,#N/A,FALSE,"Plan1";#N/A,#N/A,FALSE,"Plan2"}</definedName>
    <definedName name="dede" localSheetId="3">{#N/A,#N/A,FALSE,"Plan1";#N/A,#N/A,FALSE,"Plan2"}</definedName>
    <definedName name="defasagem" localSheetId="3">OFFSET(INDEX(#REF!,MATCH(#REF!,#REF!,0)),1,0,COUNTA(#REF!)-1)</definedName>
    <definedName name="depara" localSheetId="3">#REF!</definedName>
    <definedName name="DERIVQT" localSheetId="3">#REF!</definedName>
    <definedName name="des" localSheetId="3">{#N/A,#N/A,FALSE,"Plan1";#N/A,#N/A,FALSE,"Plan2"}</definedName>
    <definedName name="desc" localSheetId="3">{#N/A,#N/A,FALSE,"Plan1";#N/A,#N/A,FALSE,"Plan2"}</definedName>
    <definedName name="DESCONTO" localSheetId="3">#REF!</definedName>
    <definedName name="DESCRIÇÃO_OBRA" localSheetId="3">#REF!</definedName>
    <definedName name="DespFatur" localSheetId="3">#REF!</definedName>
    <definedName name="DEZ" localSheetId="3">#REF!</definedName>
    <definedName name="dez17RJ" localSheetId="3">#REF!</definedName>
    <definedName name="DEZEMBRO" localSheetId="3">#REF!</definedName>
    <definedName name="DEZENOVE" localSheetId="3">#REF!</definedName>
    <definedName name="DEZESSEIS" localSheetId="3">#REF!</definedName>
    <definedName name="DEZESSETE" localSheetId="3">#REF!</definedName>
    <definedName name="DEZOITO" localSheetId="3">#REF!</definedName>
    <definedName name="d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FD" localSheetId="3">{#N/A,#N/A,FALSE,"명세표"}</definedName>
    <definedName name="dfdfty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fdjgfdfgdf" localSheetId="3">{#N/A,#N/A,FALSE,"Plan1";#N/A,#N/A,FALSE,"Plan2"}</definedName>
    <definedName name="dfdrtrr" localSheetId="3">{#N/A,#N/A,FALSE,"Plan1";#N/A,#N/A,FALSE,"Plan2"}</definedName>
    <definedName name="DFDSG" localSheetId="3">{#N/A,#N/A,FALSE,"Plan1";#N/A,#N/A,FALSE,"Plan2"}</definedName>
    <definedName name="dfer" localSheetId="3">{#N/A,#N/A,FALSE,"Plan1";#N/A,#N/A,FALSE,"Plan2"}</definedName>
    <definedName name="dffbty" localSheetId="3">{#N/A,#N/A,FALSE,"Plan1";#N/A,#N/A,FALSE,"Plan2"}</definedName>
    <definedName name="dffgk"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ffhg" localSheetId="3">{#N/A,#N/A,FALSE,"Plan1";#N/A,#N/A,FALSE,"Plan2"}</definedName>
    <definedName name="dfg" localSheetId="3">{#N/A,#N/A,FALSE,"Plan1";#N/A,#N/A,FALSE,"Plan2"}</definedName>
    <definedName name="dfgdf" localSheetId="3">{#N/A,#N/A,FALSE,"Plan1";#N/A,#N/A,FALSE,"Plan2"}</definedName>
    <definedName name="dfgdytygr" localSheetId="3">{#N/A,#N/A,FALSE,"Plan1";#N/A,#N/A,FALSE,"Plan2"}</definedName>
    <definedName name="dfgftrrdt5" localSheetId="3">{#N/A,#N/A,FALSE,"Plan1";#N/A,#N/A,FALSE,"Plan2"}</definedName>
    <definedName name="dfgh" localSheetId="3">#REF!</definedName>
    <definedName name="dfghjfhsg" localSheetId="3">{#N/A,#N/A,FALSE,"Plan1";#N/A,#N/A,FALSE,"Plan2"}</definedName>
    <definedName name="dfgj" localSheetId="3">{#N/A,#N/A,FALSE,"Plan1";#N/A,#N/A,FALSE,"Plan2"}</definedName>
    <definedName name="dfgjfttyd" localSheetId="3">{#N/A,#N/A,FALSE,"Plan1";#N/A,#N/A,FALSE,"Plan2"}</definedName>
    <definedName name="dfgjjtdrtg" localSheetId="3">{#N/A,#N/A,FALSE,"Plan1";#N/A,#N/A,FALSE,"Plan2"}</definedName>
    <definedName name="dfgt" localSheetId="3">{#N/A,#N/A,FALSE,"Plan1";#N/A,#N/A,FALSE,"Plan2"}</definedName>
    <definedName name="dfgtrkjhk" localSheetId="3">{#N/A,#N/A,FALSE,"Plan1";#N/A,#N/A,FALSE,"Plan2"}</definedName>
    <definedName name="dfgty" localSheetId="3">{#N/A,#N/A,FALSE,"Plan1";#N/A,#N/A,FALSE,"Plan2"}</definedName>
    <definedName name="dfhdgfdgf" localSheetId="3">{#N/A,#N/A,FALSE,"Plan1";#N/A,#N/A,FALSE,"Plan2"}</definedName>
    <definedName name="DFHDJGJFHJGF" localSheetId="3">{#N/A,#N/A,FALSE,"Plan1";#N/A,#N/A,FALSE,"Plan2"}</definedName>
    <definedName name="dfhdyg" localSheetId="3">{#N/A,#N/A,FALSE,"Plan1";#N/A,#N/A,FALSE,"Plan2"}</definedName>
    <definedName name="DFHGDHUR" localSheetId="3">{#N/A,#N/A,FALSE,"Plan1";#N/A,#N/A,FALSE,"Plan2"}</definedName>
    <definedName name="dfhgjfgdhfjdrf" localSheetId="3">{#N/A,#N/A,FALSE,"Plan1";#N/A,#N/A,FALSE,"Plan2"}</definedName>
    <definedName name="dfhgkhfut" localSheetId="3">{#N/A,#N/A,FALSE,"Plan1";#N/A,#N/A,FALSE,"Plan2"}</definedName>
    <definedName name="dfhgkjdhkjghjd" localSheetId="3">#REF!</definedName>
    <definedName name="dfhguitrhfg" localSheetId="3">{#N/A,#N/A,FALSE,"Plan1";#N/A,#N/A,FALSE,"Plan2"}</definedName>
    <definedName name="DFHKHDGKJHDKS" localSheetId="3">{#N/A,#N/A,FALSE,"Plan1";#N/A,#N/A,FALSE,"Plan2"}</definedName>
    <definedName name="dfijvnqienvvnjv" localSheetId="3">#REF!</definedName>
    <definedName name="dfjgjfhykj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fjkgtdftr" localSheetId="3">{#N/A,#N/A,FALSE,"Plan1";#N/A,#N/A,FALSE,"Plan2"}</definedName>
    <definedName name="dfkhgfg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fkj"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fknfhkdrj" localSheetId="3">{#N/A,#N/A,FALSE,"Plan1";#N/A,#N/A,FALSE,"Plan2"}</definedName>
    <definedName name="dfnert" localSheetId="3">{#N/A,#N/A,FALSE,"Plan1";#N/A,#N/A,FALSE,"Plan2"}</definedName>
    <definedName name="dfrt" localSheetId="3">{#N/A,#N/A,FALSE,"Plan1";#N/A,#N/A,FALSE,"Plan2"}</definedName>
    <definedName name="dfsdr5tt" localSheetId="3">{#N/A,#N/A,FALSE,"Plan1";#N/A,#N/A,FALSE,"Plan2"}</definedName>
    <definedName name="dfsds" localSheetId="3">#REF!</definedName>
    <definedName name="dfsd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fsdtr" localSheetId="3">{#N/A,#N/A,FALSE,"Plan1";#N/A,#N/A,FALSE,"Plan2"}</definedName>
    <definedName name="dfsf" localSheetId="3">{#N/A,#N/A,FALSE,"Plan1";#N/A,#N/A,FALSE,"Plan2"}</definedName>
    <definedName name="DFT" localSheetId="3">{#N/A,#N/A,FALSE,"Plan1";#N/A,#N/A,FALSE,"Plan2"}</definedName>
    <definedName name="DFTRTTY" localSheetId="3">{#N/A,#N/A,FALSE,"Plan1";#N/A,#N/A,FALSE,"Plan2"}</definedName>
    <definedName name="dfurghifdjyhits" localSheetId="3">{#N/A,#N/A,FALSE,"Plan1";#N/A,#N/A,FALSE,"Plan2"}</definedName>
    <definedName name="dfxgdrged" localSheetId="3">{#N/A,#N/A,FALSE,"Plan1";#N/A,#N/A,FALSE,"Plan2"}</definedName>
    <definedName name="dgfrtyt" localSheetId="3">{#N/A,#N/A,FALSE,"Plan1";#N/A,#N/A,FALSE,"Plan2"}</definedName>
    <definedName name="dggfdg" localSheetId="3">{#N/A,#N/A,FALSE,"Plan1";#N/A,#N/A,FALSE,"Plan2"}</definedName>
    <definedName name="dgldfhgkljslh" localSheetId="3">{#N/A,#N/A,FALSE,"Plan1";#N/A,#N/A,FALSE,"Plan2"}</definedName>
    <definedName name="dhfgdhrehrwe" localSheetId="3">{#N/A,#N/A,FALSE,"Plan1";#N/A,#N/A,FALSE,"Plan2"}</definedName>
    <definedName name="dhgfdgrfgdfgd" localSheetId="3">{#N/A,#N/A,FALSE,"Plan1";#N/A,#N/A,FALSE,"Plan2"}</definedName>
    <definedName name="dhkjfhdhfjdh" localSheetId="3">{#N/A,#N/A,FALSE,"Plan1";#N/A,#N/A,FALSE,"Plan2"}</definedName>
    <definedName name="DHTJRT" localSheetId="3">{#N/A,#N/A,FALSE,"Plan1";#N/A,#N/A,FALSE,"Plan2"}</definedName>
    <definedName name="DI" localSheetId="3">#REF!</definedName>
    <definedName name="dia3estac" localSheetId="3">#REF!</definedName>
    <definedName name="diaestaca" localSheetId="3">#REF!</definedName>
    <definedName name="diambase" localSheetId="3">#REF!</definedName>
    <definedName name="DIFQT" localSheetId="3">#REF!</definedName>
    <definedName name="dijghdhks" localSheetId="3">{#N/A,#N/A,FALSE,"Plan1";#N/A,#N/A,FALSE,"Plan2"}</definedName>
    <definedName name="DIMENSÕES" localSheetId="3">#REF!</definedName>
    <definedName name="DIR_OPER" localSheetId="3">#REF!</definedName>
    <definedName name="DIR_TECNICO" localSheetId="3">#REF!</definedName>
    <definedName name="direto" localSheetId="3">#REF!</definedName>
    <definedName name="DIRETORIA" localSheetId="3">#REF!</definedName>
    <definedName name="diretorias" localSheetId="3">#REF!</definedName>
    <definedName name="Discrim" localSheetId="3">#REF!</definedName>
    <definedName name="DISCRIMINAÇÃO" localSheetId="3">#REF!</definedName>
    <definedName name="Discriminação_Controladoria" localSheetId="3">#REF!</definedName>
    <definedName name="DistCidade" localSheetId="3">#REF!</definedName>
    <definedName name="distratos" localSheetId="3">#REF!</definedName>
    <definedName name="div" localSheetId="3">#REF!</definedName>
    <definedName name="djasdrjas" localSheetId="3">{#N/A,#N/A,FALSE,"Plan1";#N/A,#N/A,FALSE,"Plan2"}</definedName>
    <definedName name="dj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jfkhjhfgrgdfh" localSheetId="3">{#N/A,#N/A,FALSE,"Plan1";#N/A,#N/A,FALSE,"Plan2"}</definedName>
    <definedName name="djfkhsdkjhf" localSheetId="3">{#N/A,#N/A,FALSE,"Plan1";#N/A,#N/A,FALSE,"Plan2"}</definedName>
    <definedName name="djfldjsgljslkjtg" localSheetId="3">{#N/A,#N/A,FALSE,"Plan1";#N/A,#N/A,FALSE,"Plan2"}</definedName>
    <definedName name="djflkdjgdth" localSheetId="3">{#N/A,#N/A,FALSE,"Plan1";#N/A,#N/A,FALSE,"Plan2"}</definedName>
    <definedName name="DJFLKDJGKTJYJT" localSheetId="3">{#N/A,#N/A,FALSE,"Plan1";#N/A,#N/A,FALSE,"Plan2"}</definedName>
    <definedName name="djgkfjgtiyty" localSheetId="3">{#N/A,#N/A,FALSE,"Plan1";#N/A,#N/A,FALSE,"Plan2"}</definedName>
    <definedName name="djrkehrjfhng" localSheetId="3">{#N/A,#N/A,FALSE,"Plan1";#N/A,#N/A,FALSE,"Plan2"}</definedName>
    <definedName name="djswfr" localSheetId="3">#REF!</definedName>
    <definedName name="djtkjldfr" localSheetId="3">{#N/A,#N/A,FALSE,"Plan1";#N/A,#N/A,FALSE,"Plan2"}</definedName>
    <definedName name="DJXDLFGDFG" localSheetId="3">{#N/A,#N/A,FALSE,"Plan1";#N/A,#N/A,FALSE,"Plan2"}</definedName>
    <definedName name="dkdkdkdkd" localSheetId="3">{#N/A,#N/A,FALSE,"명세표"}</definedName>
    <definedName name="dkfhskgf" localSheetId="3">{#N/A,#N/A,FALSE,"Plan1";#N/A,#N/A,FALSE,"Plan2"}</definedName>
    <definedName name="dkjfk" localSheetId="3">{#N/A,#N/A,FALSE,"Plan1";#N/A,#N/A,FALSE,"Plan2"}</definedName>
    <definedName name="DKLD" localSheetId="3">{#N/A,#N/A,FALSE,"Plan1";#N/A,#N/A,FALSE,"Plan2"}</definedName>
    <definedName name="DKLFJDKFD" localSheetId="3">{#N/A,#N/A,FALSE,"Plan1";#N/A,#N/A,FALSE,"Plan2"}</definedName>
    <definedName name="dklfjgirtgid" localSheetId="3">{#N/A,#N/A,FALSE,"Plan1";#N/A,#N/A,FALSE,"Plan2"}</definedName>
    <definedName name="dklfm"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mbfmndbmtrhed" localSheetId="3">{#N/A,#N/A,FALSE,"Plan1";#N/A,#N/A,FALSE,"Plan2"}</definedName>
    <definedName name="DNFJKDHTKRE" localSheetId="3">{#N/A,#N/A,FALSE,"Plan1";#N/A,#N/A,FALSE,"Plan2"}</definedName>
    <definedName name="dng" localSheetId="3">{#N/A,#N/A,FALSE,"GERAL";#N/A,#N/A,FALSE,"012-96";#N/A,#N/A,FALSE,"018-96";#N/A,#N/A,FALSE,"027-96";#N/A,#N/A,FALSE,"059-96";#N/A,#N/A,FALSE,"076-96";#N/A,#N/A,FALSE,"019-97";#N/A,#N/A,FALSE,"021-97";#N/A,#N/A,FALSE,"022-97";#N/A,#N/A,FALSE,"028-97"}</definedName>
    <definedName name="DOCUMENT" localSheetId="3">#REF!</definedName>
    <definedName name="DOIS" localSheetId="3">#REF!</definedName>
    <definedName name="dolar" localSheetId="3">#REF!</definedName>
    <definedName name="dolar_dez" localSheetId="3">#REF!</definedName>
    <definedName name="dolar_nov" localSheetId="3">#REF!</definedName>
    <definedName name="dolar_out" localSheetId="3">#REF!</definedName>
    <definedName name="dolar2" localSheetId="3">#REF!</definedName>
    <definedName name="dolarabr" localSheetId="3">#REF!</definedName>
    <definedName name="dolarabr02" localSheetId="3">#REF!</definedName>
    <definedName name="DolarAgo" localSheetId="3">#REF!</definedName>
    <definedName name="dolarago02" localSheetId="3">#REF!</definedName>
    <definedName name="dolardez" localSheetId="3">#REF!</definedName>
    <definedName name="dolarfev" localSheetId="3">#REF!</definedName>
    <definedName name="dolarfev02" localSheetId="3">#REF!</definedName>
    <definedName name="dolarfimdez" localSheetId="3">#REF!</definedName>
    <definedName name="dolarFimJun" localSheetId="3">#REF!</definedName>
    <definedName name="dolarfindez" localSheetId="3">#REF!</definedName>
    <definedName name="dolarfinmar" localSheetId="3">#REF!</definedName>
    <definedName name="DolarFinSet" localSheetId="3">#REF!</definedName>
    <definedName name="dolarjan" localSheetId="3">#REF!</definedName>
    <definedName name="dolarjan02" localSheetId="3">#REF!</definedName>
    <definedName name="DolarJul" localSheetId="3">#REF!</definedName>
    <definedName name="dolarjul02" localSheetId="3">#REF!</definedName>
    <definedName name="dolarjun" localSheetId="3">#REF!</definedName>
    <definedName name="dolarjun02" localSheetId="3">#REF!</definedName>
    <definedName name="dolarmai" localSheetId="3">#REF!</definedName>
    <definedName name="dolarmai02" localSheetId="3">#REF!</definedName>
    <definedName name="dolarmar" localSheetId="3">#REF!</definedName>
    <definedName name="dolarmar02" localSheetId="3">#REF!</definedName>
    <definedName name="dolarnov" localSheetId="3">#REF!</definedName>
    <definedName name="dolarout" localSheetId="3">#REF!</definedName>
    <definedName name="DolarSet" localSheetId="3">#REF!</definedName>
    <definedName name="dolarset02" localSheetId="3">#REF!</definedName>
    <definedName name="DOZE" localSheetId="3">#REF!</definedName>
    <definedName name="DRE" localSheetId="3">#REF!</definedName>
    <definedName name="drewr" localSheetId="3">{#N/A,#N/A,FALSE,"Plan1";#N/A,#N/A,FALSE,"Plan2"}</definedName>
    <definedName name="DRRJR" localSheetId="3">{#N/A,#N/A,FALSE,"Plan1";#N/A,#N/A,FALSE,"Plan2"}</definedName>
    <definedName name="drtrt" localSheetId="3">{"'Estimativa de Lançamento-JAN'!$A$1:$AI$85"}</definedName>
    <definedName name="dsdrf" localSheetId="3">{#N/A,#N/A,FALSE,"Plan1";#N/A,#N/A,FALSE,"Plan2"}</definedName>
    <definedName name="dsfdf" localSheetId="3">{#N/A,#N/A,FALSE,"Plan1";#N/A,#N/A,FALSE,"Plan2"}</definedName>
    <definedName name="dsfg" localSheetId="3">{#N/A,#N/A,FALSE,"Plan1";#N/A,#N/A,FALSE,"Plan2"}</definedName>
    <definedName name="DSFKDSKH" localSheetId="3">{#N/A,#N/A,FALSE,"Plan1";#N/A,#N/A,FALSE,"Plan2"}</definedName>
    <definedName name="DSFR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sfrtyy" localSheetId="3">{#N/A,#N/A,FALSE,"Plan1";#N/A,#N/A,FALSE,"Plan2"}</definedName>
    <definedName name="DSFSAD" localSheetId="3">{#N/A,#N/A,FALSE,"Plan1";#N/A,#N/A,FALSE,"Plan2"}</definedName>
    <definedName name="dsfsdf" localSheetId="3">{#N/A,#N/A,FALSE,"Plan1";#N/A,#N/A,FALSE,"Plan2"}</definedName>
    <definedName name="dsfsdgfb" localSheetId="3">{#N/A,#N/A,FALSE,"Plan1";#N/A,#N/A,FALSE,"Plan2"}</definedName>
    <definedName name="dsgfr" localSheetId="3">{#N/A,#N/A,FALSE,"Plan1";#N/A,#N/A,FALSE,"Plan2"}</definedName>
    <definedName name="dshfkhkrhesru" localSheetId="3">{#N/A,#N/A,FALSE,"Plan1";#N/A,#N/A,FALSE,"Plan2"}</definedName>
    <definedName name="dsjkthkr" localSheetId="3">{#N/A,#N/A,FALSE,"Plan1";#N/A,#N/A,FALSE,"Plan2"}</definedName>
    <definedName name="DSLFJSLFJ" localSheetId="3">{#N/A,#N/A,FALSE,"Plan1";#N/A,#N/A,FALSE,"Plan2"}</definedName>
    <definedName name="dsrffg"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srgdergdrg" localSheetId="3">{#N/A,#N/A,FALSE,"GERAL";#N/A,#N/A,FALSE,"012-96";#N/A,#N/A,FALSE,"018-96";#N/A,#N/A,FALSE,"027-96";#N/A,#N/A,FALSE,"059-96";#N/A,#N/A,FALSE,"076-96";#N/A,#N/A,FALSE,"019-97";#N/A,#N/A,FALSE,"021-97";#N/A,#N/A,FALSE,"022-97";#N/A,#N/A,FALSE,"028-97"}</definedName>
    <definedName name="dss" localSheetId="3">{#N/A,#N/A,FALSE,"Plan1";#N/A,#N/A,FALSE,"Plan2"}</definedName>
    <definedName name="dtgsrytt" localSheetId="3">{#N/A,#N/A,FALSE,"Plan1";#N/A,#N/A,FALSE,"Plan2"}</definedName>
    <definedName name="dtrjkhtrgkfh" localSheetId="3">{#N/A,#N/A,FALSE,"Plan1";#N/A,#N/A,FALSE,"Plan2"}</definedName>
    <definedName name="dttjuk" localSheetId="3">{#N/A,#N/A,FALSE,"Plan1";#N/A,#N/A,FALSE,"Plan2"}</definedName>
    <definedName name="dvtry"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dwetrt" localSheetId="3">{#N/A,#N/A,FALSE,"Plan1";#N/A,#N/A,FALSE,"Plan2"}</definedName>
    <definedName name="dwqhdjwqgdwq" localSheetId="3">#REF!</definedName>
    <definedName name="DY"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YHYGJDHZKGF" localSheetId="3">{#N/A,#N/A,FALSE,"Plan1";#N/A,#N/A,FALSE,"Plan2"}</definedName>
    <definedName name="dzdfr" localSheetId="3">{#N/A,#N/A,FALSE,"Plan1";#N/A,#N/A,FALSE,"Plan2"}</definedName>
    <definedName name="e"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ea" localSheetId="3">#REF!</definedName>
    <definedName name="EC"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EW" localSheetId="3">{#N/A,#N/A,FALSE,"F-01"}</definedName>
    <definedName name="ECEW_1" localSheetId="3">{#N/A,#N/A,FALSE,"F-01"}</definedName>
    <definedName name="echart31" localSheetId="3">#REF!</definedName>
    <definedName name="EcoPark" localSheetId="3">#REF!</definedName>
    <definedName name="ECS"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E" localSheetId="3">{#N/A,#N/A,FALSE,"Plan1";#N/A,#N/A,FALSE,"Plan2"}</definedName>
    <definedName name="ee" localSheetId="3">#REF!</definedName>
    <definedName name="eee" localSheetId="3">{#N/A,#N/A,FALSE,"ET-CAPA";#N/A,#N/A,FALSE,"ET-PAG1";#N/A,#N/A,FALSE,"ET-PAG2";#N/A,#N/A,FALSE,"ET-PAG3";#N/A,#N/A,FALSE,"ET-PAG4";#N/A,#N/A,FALSE,"ET-PAG5"}</definedName>
    <definedName name="EF" localSheetId="3">#REF!</definedName>
    <definedName name="efestfr" localSheetId="3">{#N/A,#N/A,FALSE,"Plan1";#N/A,#N/A,FALSE,"Plan2"}</definedName>
    <definedName name="EFICIÊNCIA" localSheetId="3">#REF!</definedName>
    <definedName name="Eficiência1" localSheetId="3">#REF!</definedName>
    <definedName name="efrdrt" localSheetId="3">{#N/A,#N/A,FALSE,"Plan1";#N/A,#N/A,FALSE,"Plan2"}</definedName>
    <definedName name="efrg" localSheetId="3">{#N/A,#N/A,FALSE,"Plan1";#N/A,#N/A,FALSE,"Plan2"}</definedName>
    <definedName name="efsgfr" localSheetId="3">{#N/A,#N/A,FALSE,"Plan1";#N/A,#N/A,FALSE,"Plan2"}</definedName>
    <definedName name="eixo_x_fluxo_graf1" localSheetId="3">IFERROR(OFFSET(INDEX(#REF!,MATCH((INDEX(#REF!,MATCH(1,#REF!,0))),#REF!,0)),0,0,1,COUNTIF(#REF!,"&gt;=0")+COUNTIF(#REF!,"&lt;0")),0)</definedName>
    <definedName name="eixo_x_graf2" localSheetId="3">IFERROR(OFFSET(INDEX(#REF!,MATCH((INDEX(#REF!,MATCH(1,#REF!,0))),#REF!,0)),0,0,1,COUNTIF(#REF!,"&gt;=0")+COUNTIF(#REF!,"&lt;0")),0)</definedName>
    <definedName name="eixo_x_graf3_distratos" localSheetId="3">#REF!</definedName>
    <definedName name="eixo_x_graf3_vendas" localSheetId="3">#REF!</definedName>
    <definedName name="eixo_y_cury_graf2" localSheetId="3">IFERROR(OFFSET(INDEX(#REF!,MATCH((INDEX(#REF!,MATCH(1,#REF!,0))),#REF!,0)),0,0,1,COUNTIF(#REF!,"&gt;=0")+COUNTIF(#REF!,"&lt;0")),0)</definedName>
    <definedName name="eixo_y_fluxo_graf1" localSheetId="3">IFERROR(IF(#REF!="Nominal", OFFSET(INDEX(#REF!,MATCH((INDEX(#REF!,MATCH(1,#REF!,0))),#REF!,0)),0,0,1,COUNTIF(#REF!,"&gt;=0")+COUNTIF(#REF!,"&lt;0")), OFFSET(INDEX(#REF!,MATCH((INDEX(#REF!,MATCH(1,#REF!,0))),#REF!,0)),0,0,1,COUNTIF(#REF!,"&gt;=0")+COUNTIF(#REF!,"&lt;0"))),0)</definedName>
    <definedName name="eixo_y_forecast_graf1" localSheetId="3">IFERROR(IF(#REF!="Nominal", OFFSET(INDEX(#REF!,MATCH((INDEX(#REF!,MATCH(1,#REF!,0))),#REF!,0)),0,0,1,COUNTIF(#REF!,"&gt;=0")+COUNTIF(#REF!,"&lt;0")), OFFSET(INDEX(#REF!,MATCH((INDEX(#REF!,MATCH(1,#REF!,0))),#REF!,0)),0,0,1,COUNTIF(#REF!,"&gt;=0")+COUNTIF(#REF!,"&lt;0"))),0)</definedName>
    <definedName name="eixo_y_graf1_obrareal" localSheetId="3">IFERROR(IF(#REF!="Nominal", OFFSET(INDEX(#REF!,MATCH((INDEX(#REF!,MATCH(1,#REF!,0))),#REF!,0)),0,0,1,COUNTIF(#REF!,"&gt;=0")+COUNTIF(#REF!,"&lt;0")), OFFSET(INDEX(#REF!,MATCH((INDEX(#REF!,MATCH(1,#REF!,0))),#REF!,0)),0,0,1,COUNTIF(#REF!,"&gt;=0")+COUNTIF(#REF!,"&lt;0"))),0)</definedName>
    <definedName name="eixo_y_graf1_obraVL" localSheetId="3">IFERROR(IF(#REF!="Nominal", OFFSET(INDEX(#REF!,MATCH((INDEX(#REF!,MATCH(1,#REF!,0))),#REF!,0)),0,0,1,COUNTIF(#REF!,"&gt;=0")+COUNTIF(#REF!,"&lt;0")), OFFSET(INDEX(#REF!,MATCH((INDEX(#REF!,MATCH(1,#REF!,0))),#REF!,0)),0,0,1,COUNTIF(#REF!,"&gt;=0")+COUNTIF(#REF!,"&lt;0"))),0)</definedName>
    <definedName name="eixo_y_graf3" localSheetId="3">#REF!</definedName>
    <definedName name="eixo_y_socio_graf2" localSheetId="3">IFERROR(OFFSET(INDEX(#REF!,MATCH((INDEX(#REF!,MATCH(1,#REF!,0))),#REF!,0)),0,0,1,COUNTIF(#REF!,"&gt;=0")+COUNTIF(#REF!,"&lt;0")),0)</definedName>
    <definedName name="eixo_y_viab_graf1" localSheetId="3">IFERROR(IF(#REF!="Nominal", OFFSET(INDEX(#REF!,MATCH((INDEX(#REF!,MATCH(1,#REF!,0))),#REF!,0)),0,0,1,COUNTIF(#REF!,"&gt;=0")+COUNTIF(#REF!,"&lt;0")), OFFSET(INDEX(#REF!,MATCH((INDEX(#REF!,MATCH(1,#REF!,0))),#REF!,0)),0,0,1,COUNTIF(#REF!,"&gt;=0")+COUNTIF(#REF!,"&lt;0"))),0)</definedName>
    <definedName name="EM" localSheetId="3">#REF!</definedName>
    <definedName name="Empreend" localSheetId="3">#REF!</definedName>
    <definedName name="Empreendimentos" localSheetId="3">#REF!</definedName>
    <definedName name="empresas" localSheetId="3">#REF!</definedName>
    <definedName name="encanador" localSheetId="3">#REF!</definedName>
    <definedName name="EPI" localSheetId="3">#REF!</definedName>
    <definedName name="EQUIP" localSheetId="3">#REF!</definedName>
    <definedName name="equipamento" localSheetId="3">#REF!</definedName>
    <definedName name="ER" localSheetId="3">{#N/A,#N/A,FALSE,"GERAL";#N/A,#N/A,FALSE,"012-96";#N/A,#N/A,FALSE,"018-96";#N/A,#N/A,FALSE,"027-96";#N/A,#N/A,FALSE,"059-96";#N/A,#N/A,FALSE,"076-96";#N/A,#N/A,FALSE,"019-97";#N/A,#N/A,FALSE,"021-97";#N/A,#N/A,FALSE,"022-97";#N/A,#N/A,FALSE,"028-97"}</definedName>
    <definedName name="ergerge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ergfhyu" localSheetId="3">{#N/A,#N/A,FALSE,"Plan1";#N/A,#N/A,FALSE,"Plan2"}</definedName>
    <definedName name="erne_cdi" localSheetId="3">#REF!</definedName>
    <definedName name="erne_hist" localSheetId="3">#REF!</definedName>
    <definedName name="erne_uss" localSheetId="3">#REF!</definedName>
    <definedName name="ESGFDSFD" localSheetId="3">{#N/A,#N/A,FALSE,"Plan1";#N/A,#N/A,FALSE,"Plan2"}</definedName>
    <definedName name="esp" localSheetId="3">#REF!</definedName>
    <definedName name="ESPESSURA" localSheetId="3">#REF!</definedName>
    <definedName name="estaca" localSheetId="3">#REF!</definedName>
    <definedName name="estaca3" localSheetId="3">#REF!</definedName>
    <definedName name="ESTADO" localSheetId="3">#REF!</definedName>
    <definedName name="estados" localSheetId="3">#REF!</definedName>
    <definedName name="estagiário" localSheetId="3">#REF!</definedName>
    <definedName name="ESTOQUE" localSheetId="3">#REF!</definedName>
    <definedName name="Etq_final" localSheetId="3">#REF!</definedName>
    <definedName name="EU" localSheetId="3">{#N/A,#N/A,FALSE,"Plan1";#N/A,#N/A,FALSE,"Plan2"}</definedName>
    <definedName name="EVL" localSheetId="3">{"Econ Consolidado",#N/A,FALSE,"Econ Consol";"Fluxo de Caixa",#N/A,FALSE,"Fluxo Caixa";"Investimentos",#N/A,FALSE,"Investimentos"}</definedName>
    <definedName name="Evol." localSheetId="3">{"Econ Consolidado",#N/A,FALSE,"Econ Consol";"Fluxo de Caixa",#N/A,FALSE,"Fluxo Caixa";"Investimentos",#N/A,FALSE,"Investimentos"}</definedName>
    <definedName name="ewfr" localSheetId="3">{#N/A,#N/A,FALSE,"Plan1";#N/A,#N/A,FALSE,"Plan2"}</definedName>
    <definedName name="exce_cdi" localSheetId="3">#REF!</definedName>
    <definedName name="exce_hist" localSheetId="3">#REF!</definedName>
    <definedName name="exce_uss" localSheetId="3">#REF!</definedName>
    <definedName name="Excel_BuiltIn__FilterDatabase_1" localSheetId="3">#REF!</definedName>
    <definedName name="Excel_BuiltIn__FilterDatabase_1_1" localSheetId="3">#REF!</definedName>
    <definedName name="Excel_BuiltIn__FilterDatabase_6" localSheetId="3">#REF!</definedName>
    <definedName name="Excel_BuiltIn_Print_Area_0" localSheetId="3">#REF!</definedName>
    <definedName name="Excel_BuiltIn_Print_Area_1_1" localSheetId="3">#REF!</definedName>
    <definedName name="Excel_BuiltIn_Print_Titles_1_1_1" localSheetId="3">#REF!</definedName>
    <definedName name="Excel_BuiltIn_Print_Titles_1_1_4" localSheetId="3">#REF!</definedName>
    <definedName name="Excel_BuiltIn_Print_Titles_1_1_5" localSheetId="3">#REF!</definedName>
    <definedName name="Exrate" localSheetId="3">#REF!</definedName>
    <definedName name="eyruieyteta" localSheetId="3">{#N/A,#N/A,FALSE,"Plan1";#N/A,#N/A,FALSE,"Plan2"}</definedName>
    <definedName name="f" localSheetId="3">#REF!</definedName>
    <definedName name="FACULDADE" localSheetId="3">#REF!</definedName>
    <definedName name="FAL" localSheetId="3">#REF!</definedName>
    <definedName name="farialima" localSheetId="3">#REF!</definedName>
    <definedName name="FAS" localSheetId="3">{"'Total'!$A$1","'Total'!$A$3"}</definedName>
    <definedName name="fasfasf" localSheetId="3">{#N/A,#N/A,TRUE,"Quinzena 01 à 15-04-98 "}</definedName>
    <definedName name="FATOR_K" localSheetId="3">#REF!</definedName>
    <definedName name="FATORK" localSheetId="3">#REF!</definedName>
    <definedName name="FBancaria" localSheetId="3">#REF!</definedName>
    <definedName name="fddhght" localSheetId="3">{#N/A,#N/A,FALSE,"Plan1";#N/A,#N/A,FALSE,"Plan2"}</definedName>
    <definedName name="fdfgd" localSheetId="3">{#N/A,#N/A,FALSE,"Plan1";#N/A,#N/A,FALSE,"Plan2"}</definedName>
    <definedName name="fdfng" localSheetId="3">{#N/A,#N/A,FALSE,"GERAL";#N/A,#N/A,FALSE,"012-96";#N/A,#N/A,FALSE,"018-96";#N/A,#N/A,FALSE,"027-96";#N/A,#N/A,FALSE,"059-96";#N/A,#N/A,FALSE,"076-96";#N/A,#N/A,FALSE,"019-97";#N/A,#N/A,FALSE,"021-97";#N/A,#N/A,FALSE,"022-97";#N/A,#N/A,FALSE,"028-97"}</definedName>
    <definedName name="fdgaf" localSheetId="3">{#N/A,#N/A,FALSE,"Plan1";#N/A,#N/A,FALSE,"Plan2"}</definedName>
    <definedName name="fdgdfg"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FDGFDJHGZEDR" localSheetId="3">{#N/A,#N/A,FALSE,"Plan1";#N/A,#N/A,FALSE,"Plan2"}</definedName>
    <definedName name="fdgfyhygfuj" localSheetId="3">{#N/A,#N/A,FALSE,"Plan1";#N/A,#N/A,FALSE,"Plan2"}</definedName>
    <definedName name="fdhgfdf" localSheetId="3">{#N/A,#N/A,FALSE,"Plan1";#N/A,#N/A,FALSE,"Plan2"}</definedName>
    <definedName name="fdjfgdfjg" localSheetId="3">{#N/A,#N/A,FALSE,"Plan1";#N/A,#N/A,FALSE,"Plan2"}</definedName>
    <definedName name="fdjghkshtygt" localSheetId="3">{#N/A,#N/A,FALSE,"Plan1";#N/A,#N/A,FALSE,"Plan2"}</definedName>
    <definedName name="fdnhgf" localSheetId="3">{"'Estimativa de Lançamento-JAN'!$A$1:$AI$85"}</definedName>
    <definedName name="fdsf" localSheetId="3">{#N/A,#N/A,FALSE,"Plan1";#N/A,#N/A,FALSE,"Plan2"}</definedName>
    <definedName name="FE" localSheetId="3">#REF!</definedName>
    <definedName name="fefefefe" localSheetId="3">#REF!</definedName>
    <definedName name="fev17RJ" localSheetId="3">#REF!</definedName>
    <definedName name="FEVEREIRO2001" localSheetId="3">#REF!</definedName>
    <definedName name="ff" localSheetId="3">#REF!</definedName>
    <definedName name="fffefes" localSheetId="3">#REF!</definedName>
    <definedName name="fffff" localSheetId="3">{#N/A,#N/A,FALSE,"Plan1";#N/A,#N/A,FALSE,"Plan2"}</definedName>
    <definedName name="FFFFFFF" localSheetId="3">#REF!</definedName>
    <definedName name="FFTY" localSheetId="3">{#N/A,#N/A,FALSE,"GERAL";#N/A,#N/A,FALSE,"012-96";#N/A,#N/A,FALSE,"018-96";#N/A,#N/A,FALSE,"027-96";#N/A,#N/A,FALSE,"059-96";#N/A,#N/A,FALSE,"076-96";#N/A,#N/A,FALSE,"019-97";#N/A,#N/A,FALSE,"021-97";#N/A,#N/A,FALSE,"022-97";#N/A,#N/A,FALSE,"028-97"}</definedName>
    <definedName name="fg" localSheetId="3">{#N/A,#N/A,FALSE,"Plan1";#N/A,#N/A,FALSE,"Plan2"}</definedName>
    <definedName name="fgg" localSheetId="3">{"'장비'!$A$3:$M$12"}</definedName>
    <definedName name="fghfh" localSheetId="3">{"'Estimativa de Lançamento-JAN'!$A$1:$AI$85"}</definedName>
    <definedName name="fghgfh" localSheetId="3">{#N/A,#N/A,FALSE,"Plan1";#N/A,#N/A,FALSE,"Plan2"}</definedName>
    <definedName name="FGJHFGK" localSheetId="3">{#N/A,#N/A,FALSE,"Plan1";#N/A,#N/A,FALSE,"Plan2"}</definedName>
    <definedName name="fgktyhdf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fgtrgty" localSheetId="3">{#N/A,#N/A,FALSE,"Plan1";#N/A,#N/A,FALSE,"Plan2"}</definedName>
    <definedName name="fgty" localSheetId="3">#REF!</definedName>
    <definedName name="fhgjfgyt" localSheetId="3">{#N/A,#N/A,FALSE,"Plan1";#N/A,#N/A,FALSE,"Plan2"}</definedName>
    <definedName name="fhgjkhtrfg" localSheetId="3">{#N/A,#N/A,FALSE,"Plan1";#N/A,#N/A,FALSE,"Plan2"}</definedName>
    <definedName name="FHGTGSRSG" localSheetId="3">{#N/A,#N/A,FALSE,"Plan1";#N/A,#N/A,FALSE,"Plan2"}</definedName>
    <definedName name="FIELD"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ILTRO" localSheetId="3">{#N/A,#N/A,TRUE,"Quinzena 01 à 15-04-98 "}</definedName>
    <definedName name="Filtro_Rel_Sienge" localSheetId="3">#REF!</definedName>
    <definedName name="Firs_hist" localSheetId="3">#REF!</definedName>
    <definedName name="First_cdi" localSheetId="3">#REF!</definedName>
    <definedName name="First_uss" localSheetId="3">#REF!</definedName>
    <definedName name="fjdhfgjdhtgu" localSheetId="3">{#N/A,#N/A,FALSE,"Plan1";#N/A,#N/A,FALSE,"Plan2"}</definedName>
    <definedName name="fjfjg" localSheetId="3">{#N/A,#N/A,FALSE,"명세표"}</definedName>
    <definedName name="FJGHJ"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FJHJHG" localSheetId="3">{#N/A,#N/A,FALSE,"Plan1";#N/A,#N/A,FALSE,"Plan2"}</definedName>
    <definedName name="fjtgfh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FKF"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kfw" localSheetId="3">{#N/A,#N/A,FALSE,"Plan1";#N/A,#N/A,FALSE,"Plan2"}</definedName>
    <definedName name="fl" localSheetId="3">#REF!</definedName>
    <definedName name="FL_1" localSheetId="3">#REF!</definedName>
    <definedName name="FL_2" localSheetId="3">#REF!</definedName>
    <definedName name="FL_3" localSheetId="3">#REF!</definedName>
    <definedName name="Fluxo_captação" localSheetId="3">#REF!</definedName>
    <definedName name="FOLHA2" localSheetId="3">#REF!</definedName>
    <definedName name="Format" localSheetId="3">#REF!</definedName>
    <definedName name="Formato_da_Loja" localSheetId="3">#REF!</definedName>
    <definedName name="FORMULA" localSheetId="3">#REF!</definedName>
    <definedName name="FORNECEDOR" localSheetId="3">OFFSET(#REF!,6,0,COUNTA(#REF!))</definedName>
    <definedName name="FORNECEDOR_2" localSheetId="3">OFFSET(#REF!,6,0,COUNTA(#REF!))</definedName>
    <definedName name="FORNECEDOR_3" localSheetId="3">OFFSET(#REF!,6,0,COUNTA(#REF!))</definedName>
    <definedName name="FORNECEDOR_4" localSheetId="3">OFFSET(#REF!,6,0,COUNTA(#REF!))</definedName>
    <definedName name="FORNECEDOR_5" localSheetId="3">OFFSET(#REF!,6,0,COUNTA(#REF!))</definedName>
    <definedName name="FORNECEDOR_7" localSheetId="3">OFFSET(#REF!,6,0,COUNTA(#REF!))</definedName>
    <definedName name="FORNECEDOR_8" localSheetId="3">OFFSET(#REF!,6,0,COUNTA(#REF!))</definedName>
    <definedName name="frçt4r" localSheetId="3">{#N/A,#N/A,FALSE,"Plan1";#N/A,#N/A,FALSE,"Plan2"}</definedName>
    <definedName name="frdtty" localSheetId="3">{#N/A,#N/A,FALSE,"Plan1";#N/A,#N/A,FALSE,"Plan2"}</definedName>
    <definedName name="fsdfsf" localSheetId="3">{#N/A,#N/A,FALSE,"GERAL";#N/A,#N/A,FALSE,"012-96";#N/A,#N/A,FALSE,"018-96";#N/A,#N/A,FALSE,"027-96";#N/A,#N/A,FALSE,"059-96";#N/A,#N/A,FALSE,"076-96";#N/A,#N/A,FALSE,"019-97";#N/A,#N/A,FALSE,"021-97";#N/A,#N/A,FALSE,"022-97";#N/A,#N/A,FALSE,"028-97"}</definedName>
    <definedName name="fuihgjk" localSheetId="3">{#N/A,#N/A,FALSE,"Plan1";#N/A,#N/A,FALSE,"Plan2"}</definedName>
    <definedName name="fuste" localSheetId="3">#REF!</definedName>
    <definedName name="fxjghkfg" localSheetId="3">{#N/A,#N/A,FALSE,"Plan1";#N/A,#N/A,FALSE,"Plan2"}</definedName>
    <definedName name="g_10" localSheetId="3">#REF!</definedName>
    <definedName name="g_11" localSheetId="3">#REF!</definedName>
    <definedName name="g_12" localSheetId="3">#REF!</definedName>
    <definedName name="g_13" localSheetId="3">#REF!</definedName>
    <definedName name="g_15" localSheetId="3">#REF!</definedName>
    <definedName name="g_16" localSheetId="3">#REF!</definedName>
    <definedName name="g_17" localSheetId="3">#REF!</definedName>
    <definedName name="g_19" localSheetId="3">#REF!</definedName>
    <definedName name="g_21" localSheetId="3">#REF!</definedName>
    <definedName name="g_25" localSheetId="3">#REF!</definedName>
    <definedName name="g_27" localSheetId="3">#REF!</definedName>
    <definedName name="g_31" localSheetId="3">#REF!</definedName>
    <definedName name="g_32" localSheetId="3">#REF!</definedName>
    <definedName name="g_33" localSheetId="3">#REF!</definedName>
    <definedName name="g_34" localSheetId="3">#REF!</definedName>
    <definedName name="G_35" localSheetId="3">#REF!</definedName>
    <definedName name="g_37" localSheetId="3">#REF!</definedName>
    <definedName name="g_41" localSheetId="3">#REF!</definedName>
    <definedName name="g_42" localSheetId="3">#REF!</definedName>
    <definedName name="g_45" localSheetId="3">#REF!</definedName>
    <definedName name="g_47" localSheetId="3">#REF!</definedName>
    <definedName name="g_51" localSheetId="3">#REF!</definedName>
    <definedName name="g_52" localSheetId="3">#REF!</definedName>
    <definedName name="g_53" localSheetId="3">#REF!</definedName>
    <definedName name="G_54" localSheetId="3">#REF!</definedName>
    <definedName name="G_55" localSheetId="3">#REF!</definedName>
    <definedName name="G_56" localSheetId="3">#REF!</definedName>
    <definedName name="G_57" localSheetId="3">#REF!</definedName>
    <definedName name="G_58" localSheetId="3">#REF!</definedName>
    <definedName name="G_59" localSheetId="3">#REF!</definedName>
    <definedName name="G_61" localSheetId="3">#REF!</definedName>
    <definedName name="G_63" localSheetId="3">#REF!</definedName>
    <definedName name="G_65" localSheetId="3">#REF!</definedName>
    <definedName name="G_67" localSheetId="3">#REF!</definedName>
    <definedName name="g_68" localSheetId="3">#REF!</definedName>
    <definedName name="g_69" localSheetId="3">#REF!</definedName>
    <definedName name="G_71" localSheetId="3">#REF!</definedName>
    <definedName name="G_73" localSheetId="3">#REF!</definedName>
    <definedName name="G_75" localSheetId="3">#REF!</definedName>
    <definedName name="G_77" localSheetId="3">#REF!</definedName>
    <definedName name="G_78" localSheetId="3">#REF!</definedName>
    <definedName name="G_81" localSheetId="3">#REF!</definedName>
    <definedName name="G_83" localSheetId="3">#REF!</definedName>
    <definedName name="G_85" localSheetId="3">#REF!</definedName>
    <definedName name="G_87" localSheetId="3">#REF!</definedName>
    <definedName name="G_90" localSheetId="3">#REF!</definedName>
    <definedName name="G_91" localSheetId="3">#REF!</definedName>
    <definedName name="G_92" localSheetId="3">#REF!</definedName>
    <definedName name="G_94" localSheetId="3">#REF!</definedName>
    <definedName name="G_95" localSheetId="3">#REF!</definedName>
    <definedName name="G_96" localSheetId="3">#REF!</definedName>
    <definedName name="galo" localSheetId="3">{#N/A,#N/A,FALSE,"GERAL";#N/A,#N/A,FALSE,"012-96";#N/A,#N/A,FALSE,"018-96";#N/A,#N/A,FALSE,"027-96";#N/A,#N/A,FALSE,"059-96";#N/A,#N/A,FALSE,"076-96";#N/A,#N/A,FALSE,"019-97";#N/A,#N/A,FALSE,"021-97";#N/A,#N/A,FALSE,"022-97";#N/A,#N/A,FALSE,"028-97"}</definedName>
    <definedName name="GARAGEM" localSheetId="3">#REF!</definedName>
    <definedName name="garcia" localSheetId="3">#REF!</definedName>
    <definedName name="GASTOS_JULHO" localSheetId="3">#REF!</definedName>
    <definedName name="gbdjkvhgd" localSheetId="3">{#N/A,#N/A,FALSE,"Plan1";#N/A,#N/A,FALSE,"Plan2"}</definedName>
    <definedName name="gbdsjgsjfdgj" localSheetId="3">{#N/A,#N/A,FALSE,"Plan1";#N/A,#N/A,FALSE,"Plan2"}</definedName>
    <definedName name="gdfdhgfjgj" localSheetId="3">{#N/A,#N/A,FALSE,"Plan1";#N/A,#N/A,FALSE,"Plan2"}</definedName>
    <definedName name="gdfgdstggt" localSheetId="3">{#N/A,#N/A,FALSE,"Plan1";#N/A,#N/A,FALSE,"Plan2"}</definedName>
    <definedName name="GDFHGRJGFJDRF" localSheetId="3">{"Econ Consolidado",#N/A,FALSE,"Econ Consol";"Fluxo de Caixa",#N/A,FALSE,"Fluxo Caixa";"Investimentos",#N/A,FALSE,"Investimentos"}</definedName>
    <definedName name="gdfigfhuyuy" localSheetId="3">{#N/A,#N/A,FALSE,"Plan1";#N/A,#N/A,FALSE,"Plan2"}</definedName>
    <definedName name="gdfsgfew" localSheetId="3">{#N/A,#N/A,FALSE,"Plan1";#N/A,#N/A,FALSE,"Plan2"}</definedName>
    <definedName name="gdhfgdhfgf" localSheetId="3">{#N/A,#N/A,FALSE,"Plan1";#N/A,#N/A,FALSE,"Plan2"}</definedName>
    <definedName name="gdsfhefrwrw" localSheetId="3">{#N/A,#N/A,FALSE,"Plan1";#N/A,#N/A,FALSE,"Plan2"}</definedName>
    <definedName name="GER_TECNICO" localSheetId="3">#REF!</definedName>
    <definedName name="Gerentes" localSheetId="3">#REF!</definedName>
    <definedName name="geshrjhed" localSheetId="3">{#N/A,#N/A,FALSE,"Plan1";#N/A,#N/A,FALSE,"Plan2"}</definedName>
    <definedName name="gestao" localSheetId="3">OFFSET(INDEX(#REF!,MATCH(#REF!,#REF!,0)),1,0,COUNTA(#REF!)-1)</definedName>
    <definedName name="gfdcgnkf" localSheetId="3">{#N/A,#N/A,FALSE,"Plan1";#N/A,#N/A,FALSE,"Plan2"}</definedName>
    <definedName name="gfdjtgur" localSheetId="3">{#N/A,#N/A,FALSE,"Plan1";#N/A,#N/A,FALSE,"Plan2"}</definedName>
    <definedName name="gfdrtg" localSheetId="3">#REF!</definedName>
    <definedName name="gfgdhxgfdhf" localSheetId="3">{#N/A,#N/A,FALSE,"Plan1";#N/A,#N/A,FALSE,"Plan2"}</definedName>
    <definedName name="gfhfdtgjb" localSheetId="3">{#N/A,#N/A,FALSE,"Plan1";#N/A,#N/A,FALSE,"Plan2"}</definedName>
    <definedName name="gfjdshrtjhtged" localSheetId="3">{#N/A,#N/A,FALSE,"Plan1";#N/A,#N/A,FALSE,"Plan2"}</definedName>
    <definedName name="gfjgkddgfd" localSheetId="3">{#N/A,#N/A,FALSE,"Plan1";#N/A,#N/A,FALSE,"Plan2"}</definedName>
    <definedName name="gfsghjdgygr" localSheetId="3">{#N/A,#N/A,FALSE,"Plan1";#N/A,#N/A,FALSE,"Plan2"}</definedName>
    <definedName name="gftfy" localSheetId="3">{#N/A,#N/A,FALSE,"Plan1";#N/A,#N/A,FALSE,"Plan2"}</definedName>
    <definedName name="gfty" localSheetId="3">{#N/A,#N/A,FALSE,"Plan1";#N/A,#N/A,FALSE,"Plan2"}</definedName>
    <definedName name="GFUJU9" localSheetId="3">{#N/A,#N/A,FALSE,"Plan1";#N/A,#N/A,FALSE,"Plan2"}</definedName>
    <definedName name="ggg"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GGGG" localSheetId="3">{#N/A,#N/A,FALSE,"Plan1";#N/A,#N/A,FALSE,"Plan2"}</definedName>
    <definedName name="gggggggggg"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gh" localSheetId="3">{"'장비'!$A$3:$M$12"}</definedName>
    <definedName name="ghfgdfrtert" localSheetId="3">{#N/A,#N/A,FALSE,"Plan1";#N/A,#N/A,FALSE,"Plan2"}</definedName>
    <definedName name="ghfhghft" localSheetId="3">{#N/A,#N/A,FALSE,"Plan1";#N/A,#N/A,FALSE,"Plan2"}</definedName>
    <definedName name="ghjg" localSheetId="3">{"'Estimativa de Lançamento-JAN'!$A$1:$AI$85"}</definedName>
    <definedName name="ghkfhgh" localSheetId="3">{#N/A,#N/A,FALSE,"Plan1";#N/A,#N/A,FALSE,"Plan2"}</definedName>
    <definedName name="ghkjh" localSheetId="3">{#N/A,#N/A,FALSE,"ENG'G(보호계전기)"}</definedName>
    <definedName name="GJ" localSheetId="3">{#N/A,#N/A,FALSE,"GERAL";#N/A,#N/A,FALSE,"012-96";#N/A,#N/A,FALSE,"018-96";#N/A,#N/A,FALSE,"027-96";#N/A,#N/A,FALSE,"059-96";#N/A,#N/A,FALSE,"076-96";#N/A,#N/A,FALSE,"019-97";#N/A,#N/A,FALSE,"021-97";#N/A,#N/A,FALSE,"022-97";#N/A,#N/A,FALSE,"028-97"}</definedName>
    <definedName name="gjfhjktgcf" localSheetId="3">{#N/A,#N/A,FALSE,"Plan1";#N/A,#N/A,FALSE,"Plan2"}</definedName>
    <definedName name="GJG"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gjgh" localSheetId="3">{#N/A,#N/A,FALSE,"GERAL";#N/A,#N/A,FALSE,"012-96";#N/A,#N/A,FALSE,"018-96";#N/A,#N/A,FALSE,"027-96";#N/A,#N/A,FALSE,"059-96";#N/A,#N/A,FALSE,"076-96";#N/A,#N/A,FALSE,"019-97";#N/A,#N/A,FALSE,"021-97";#N/A,#N/A,FALSE,"022-97";#N/A,#N/A,FALSE,"028-97"}</definedName>
    <definedName name="GJK" localSheetId="3">{#N/A,#N/A,FALSE,"GERAL";#N/A,#N/A,FALSE,"012-96";#N/A,#N/A,FALSE,"018-96";#N/A,#N/A,FALSE,"027-96";#N/A,#N/A,FALSE,"059-96";#N/A,#N/A,FALSE,"076-96";#N/A,#N/A,FALSE,"019-97";#N/A,#N/A,FALSE,"021-97";#N/A,#N/A,FALSE,"022-97";#N/A,#N/A,FALSE,"028-97"}</definedName>
    <definedName name="gjkhgjhjfggfjhfg" localSheetId="3">{#N/A,#N/A,FALSE,"Plan1";#N/A,#N/A,FALSE,"Plan2"}</definedName>
    <definedName name="glgl" localSheetId="3">{#N/A,#N/A,FALSE,"Plan1";#N/A,#N/A,FALSE,"Plan2"}</definedName>
    <definedName name="GLOBAL" localSheetId="3">#REF!</definedName>
    <definedName name="gnfrth"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grec_cdi" localSheetId="3">#REF!</definedName>
    <definedName name="grec_hist" localSheetId="3">#REF!</definedName>
    <definedName name="grec_uss" localSheetId="3">#REF!</definedName>
    <definedName name="grua" localSheetId="3">#REF!</definedName>
    <definedName name="GSDWJSTGE"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gtuigsdyugsdf" localSheetId="3">{#N/A,#N/A,FALSE,"Plan1";#N/A,#N/A,FALSE,"Plan2"}</definedName>
    <definedName name="GUI" localSheetId="3">{#N/A,#N/A,FALSE,"GERAL";#N/A,#N/A,FALSE,"012-96";#N/A,#N/A,FALSE,"018-96";#N/A,#N/A,FALSE,"027-96";#N/A,#N/A,FALSE,"059-96";#N/A,#N/A,FALSE,"076-96";#N/A,#N/A,FALSE,"019-97";#N/A,#N/A,FALSE,"021-97";#N/A,#N/A,FALSE,"022-97";#N/A,#N/A,FALSE,"028-97"}</definedName>
    <definedName name="GV" localSheetId="3">{#N/A,#N/A,FALSE,"CCTV"}</definedName>
    <definedName name="h" localSheetId="3">#REF!</definedName>
    <definedName name="hbjgjuae" localSheetId="3">#REF!</definedName>
    <definedName name="hcjfkhdghfktg" localSheetId="3">{#N/A,#N/A,FALSE,"Plan1";#N/A,#N/A,FALSE,"Plan2"}</definedName>
    <definedName name="hckhjfdkgfdg" localSheetId="3">#REF!</definedName>
    <definedName name="hddfndgdfg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HDFGHGST" localSheetId="3">{#N/A,#N/A,FALSE,"Plan1";#N/A,#N/A,FALSE,"Plan2"}</definedName>
    <definedName name="HDFGJKHKFDHTY" localSheetId="3">{#N/A,#N/A,FALSE,"Plan1";#N/A,#N/A,FALSE,"Plan2"}</definedName>
    <definedName name="hdfhdhrtgd" localSheetId="3">{#N/A,#N/A,FALSE,"Plan1";#N/A,#N/A,FALSE,"Plan2"}</definedName>
    <definedName name="hdfhftde" localSheetId="3">{#N/A,#N/A,FALSE,"Plan1";#N/A,#N/A,FALSE,"Plan2"}</definedName>
    <definedName name="hdfhgkdhgtrf" localSheetId="3">{#N/A,#N/A,FALSE,"Plan1";#N/A,#N/A,FALSE,"Plan2"}</definedName>
    <definedName name="hdfjhdkzhgdr" localSheetId="3">{#N/A,#N/A,FALSE,"Plan1";#N/A,#N/A,FALSE,"Plan2"}</definedName>
    <definedName name="hdfjkgvjgtd" localSheetId="3">{#N/A,#N/A,FALSE,"Plan1";#N/A,#N/A,FALSE,"Plan2"}</definedName>
    <definedName name="hdfjkhdhrute" localSheetId="3">{#N/A,#N/A,FALSE,"Plan1";#N/A,#N/A,FALSE,"Plan2"}</definedName>
    <definedName name="HDFKGVF" localSheetId="3">{#N/A,#N/A,FALSE,"Plan1";#N/A,#N/A,FALSE,"Plan2"}</definedName>
    <definedName name="hdgfhdgtdrt" localSheetId="3">{#N/A,#N/A,FALSE,"Plan1";#N/A,#N/A,FALSE,"Plan2"}</definedName>
    <definedName name="hdghgtgtrgd" localSheetId="3">{#N/A,#N/A,FALSE,"Plan1";#N/A,#N/A,FALSE,"Plan2"}</definedName>
    <definedName name="HDHDGHTUHDTG" localSheetId="3">{#N/A,#N/A,FALSE,"Plan1";#N/A,#N/A,FALSE,"Plan2"}</definedName>
    <definedName name="hdhghfthrrhy" localSheetId="3">{#N/A,#N/A,FALSE,"Plan1";#N/A,#N/A,FALSE,"Plan2"}</definedName>
    <definedName name="hdkfjhydjh" localSheetId="3">{#N/A,#N/A,FALSE,"Plan1";#N/A,#N/A,FALSE,"Plan2"}</definedName>
    <definedName name="hdsgfgrrdgr" localSheetId="3">{#N/A,#N/A,FALSE,"Plan1";#N/A,#N/A,FALSE,"Plan2"}</definedName>
    <definedName name="hdtertkkdsa" localSheetId="3">{#N/A,#N/A,FALSE,"Plan1";#N/A,#N/A,FALSE,"Plan2"}</definedName>
    <definedName name="Header" localSheetId="3">#REF!</definedName>
    <definedName name="HEDHA" localSheetId="3">{#N/A,#N/A,FALSE,"Plan1";#N/A,#N/A,FALSE,"Plan2"}</definedName>
    <definedName name="heife"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HELP" localSheetId="3">#REF!</definedName>
    <definedName name="herkfdshfker" localSheetId="3">{#N/A,#N/A,FALSE,"Plan1";#N/A,#N/A,FALSE,"Plan2"}</definedName>
    <definedName name="hersdtretyt" localSheetId="3">{#N/A,#N/A,FALSE,"Plan1";#N/A,#N/A,FALSE,"Plan2"}</definedName>
    <definedName name="HFDJTHTRS"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HFDKHGFR" localSheetId="3">{#N/A,#N/A,FALSE,"Plan1";#N/A,#N/A,FALSE,"Plan2"}</definedName>
    <definedName name="hfdkhgkfdhtj" localSheetId="3">{#N/A,#N/A,FALSE,"Plan1";#N/A,#N/A,FALSE,"Plan2"}</definedName>
    <definedName name="hfgfktgkhyt" localSheetId="3">{#N/A,#N/A,FALSE,"Plan1";#N/A,#N/A,FALSE,"Plan2"}</definedName>
    <definedName name="hfghdkhrgkjg" localSheetId="3">{#N/A,#N/A,FALSE,"Plan1";#N/A,#N/A,FALSE,"Plan2"}</definedName>
    <definedName name="hfighfth" localSheetId="3">{#N/A,#N/A,FALSE,"Plan1";#N/A,#N/A,FALSE,"Plan2"}</definedName>
    <definedName name="hfjghtfuyrf" localSheetId="3">{#N/A,#N/A,FALSE,"Plan1";#N/A,#N/A,FALSE,"Plan2"}</definedName>
    <definedName name="HFKJHDJGHFJ" localSheetId="3">{#N/A,#N/A,FALSE,"Plan1";#N/A,#N/A,FALSE,"Plan2"}</definedName>
    <definedName name="hgdesgfgsj" localSheetId="3">{#N/A,#N/A,FALSE,"Plan1";#N/A,#N/A,FALSE,"Plan2"}</definedName>
    <definedName name="hgdgfd" localSheetId="3">{#N/A,#N/A,FALSE,"Plan1";#N/A,#N/A,FALSE,"Plan2"}</definedName>
    <definedName name="hgfhjkdfhj" localSheetId="3">{#N/A,#N/A,FALSE,"Plan1";#N/A,#N/A,FALSE,"Plan2"}</definedName>
    <definedName name="hgg" localSheetId="3">{#N/A,#N/A,FALSE,"Plan1";#N/A,#N/A,FALSE,"Plan2"}</definedName>
    <definedName name="hgjdfgghg" localSheetId="3">{#N/A,#N/A,FALSE,"Plan1";#N/A,#N/A,FALSE,"Plan2"}</definedName>
    <definedName name="hgjkfdhg" localSheetId="3">{#N/A,#N/A,FALSE,"Plan1";#N/A,#N/A,FALSE,"Plan2"}</definedName>
    <definedName name="hgkdfhkfk" localSheetId="3">{#N/A,#N/A,FALSE,"Plan1";#N/A,#N/A,FALSE,"Plan2"}</definedName>
    <definedName name="hgkjhdfhtrdyt" localSheetId="3">{#N/A,#N/A,FALSE,"Plan1";#N/A,#N/A,FALSE,"Plan2"}</definedName>
    <definedName name="hgkjhdfkhgtfhg" localSheetId="3">{#N/A,#N/A,FALSE,"Plan1";#N/A,#N/A,FALSE,"Plan2"}</definedName>
    <definedName name="hgkjhkfhsdkdhgk" localSheetId="3">{#N/A,#N/A,FALSE,"Plan1";#N/A,#N/A,FALSE,"Plan2"}</definedName>
    <definedName name="hgsufgdhghd" localSheetId="3">{#N/A,#N/A,FALSE,"Plan1";#N/A,#N/A,FALSE,"Plan2"}</definedName>
    <definedName name="HHGFHTYUT" localSheetId="3">{#N/A,#N/A,FALSE,"Plan1";#N/A,#N/A,FALSE,"Plan2"}</definedName>
    <definedName name="hhh" localSheetId="3">{"'Total'!$A$1","'Total'!$A$3"}</definedName>
    <definedName name="HHIHLK" localSheetId="3">#REF!</definedName>
    <definedName name="hik" localSheetId="3">{#N/A,#N/A,FALSE,"TABLE"}</definedName>
    <definedName name="hist" localSheetId="3">#REF!</definedName>
    <definedName name="HIST1" localSheetId="3">#REF!</definedName>
    <definedName name="HISTEQ" localSheetId="3">#REF!</definedName>
    <definedName name="HISTOGRAMA" localSheetId="3">#REF!</definedName>
    <definedName name="hjdgtjdjxrfg" localSheetId="3">{#N/A,#N/A,FALSE,"Plan1";#N/A,#N/A,FALSE,"Plan2"}</definedName>
    <definedName name="HJFDGD" localSheetId="3">{#N/A,#N/A,FALSE,"Plan1";#N/A,#N/A,FALSE,"Plan2"}</definedName>
    <definedName name="HJGASD" localSheetId="3">{#N/A,#N/A,FALSE,"Plan1";#N/A,#N/A,FALSE,"Plan2"}</definedName>
    <definedName name="HJGFGTFDG" localSheetId="3">{#N/A,#N/A,FALSE,"Plan1";#N/A,#N/A,FALSE,"Plan2"}</definedName>
    <definedName name="hjgfhdsgfhsd" localSheetId="3">{#N/A,#N/A,FALSE,"Plan1";#N/A,#N/A,FALSE,"Plan2"}</definedName>
    <definedName name="hjgxfjgdjyftr" localSheetId="3">{#N/A,#N/A,FALSE,"Plan1";#N/A,#N/A,FALSE,"Plan2"}</definedName>
    <definedName name="hjgyugasd" localSheetId="3">{#N/A,#N/A,FALSE,"Plan1";#N/A,#N/A,FALSE,"Plan2"}</definedName>
    <definedName name="hjjfyfy" localSheetId="3">{#N/A,#N/A,FALSE,"Plan1";#N/A,#N/A,FALSE,"Plan2"}</definedName>
    <definedName name="hjkchkvjhdjkgh" localSheetId="3">{#N/A,#N/A,FALSE,"Plan1";#N/A,#N/A,FALSE,"Plan2"}</definedName>
    <definedName name="hjkfjdyht" localSheetId="3">{#N/A,#N/A,FALSE,"Plan1";#N/A,#N/A,FALSE,"Plan2"}</definedName>
    <definedName name="hjsdffe"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hjsdkhk" localSheetId="3">{#N/A,#N/A,FALSE,"Plan1";#N/A,#N/A,FALSE,"Plan2"}</definedName>
    <definedName name="hjsrdfre" localSheetId="3">{"Econ Consolidado",#N/A,FALSE,"Econ Consol";"Fluxo de Caixa",#N/A,FALSE,"Fluxo Caixa";"Investimentos",#N/A,FALSE,"Investimentos"}</definedName>
    <definedName name="HKewewsr" localSheetId="3">{#N/A,#N/A,FALSE,"Plan1";#N/A,#N/A,FALSE,"Plan2"}</definedName>
    <definedName name="hkhdskacd" localSheetId="3">{#N/A,#N/A,FALSE,"Plan1";#N/A,#N/A,FALSE,"Plan2"}</definedName>
    <definedName name="hkjfgfhgfh" localSheetId="3">{#N/A,#N/A,FALSE,"Plan1";#N/A,#N/A,FALSE,"Plan2"}</definedName>
    <definedName name="hkjfhgjkfhghfg" localSheetId="3">{#N/A,#N/A,FALSE,"Plan1";#N/A,#N/A,FALSE,"Plan2"}</definedName>
    <definedName name="HKLZHFRH" localSheetId="3">{#N/A,#N/A,FALSE,"Plan1";#N/A,#N/A,FALSE,"Plan2"}</definedName>
    <definedName name="ho" localSheetId="3">{#N/A,#N/A,FALSE,"TABLE"}</definedName>
    <definedName name="HOJE" localSheetId="3">#REF!</definedName>
    <definedName name="HONORARIOS" localSheetId="3">#REF!</definedName>
    <definedName name="HOSPEDES" localSheetId="3">#REF!</definedName>
    <definedName name="HOTEL" localSheetId="3">#REF!</definedName>
    <definedName name="hrterte" localSheetId="3">{#N/A,#N/A,FALSE,"Plan1";#N/A,#N/A,FALSE,"Plan2"}</definedName>
    <definedName name="hsdf" localSheetId="3">{#N/A,#N/A,FALSE,"Plan1";#N/A,#N/A,FALSE,"Plan2"}</definedName>
    <definedName name="hsdfgdgudrt" localSheetId="3">{#N/A,#N/A,FALSE,"Plan1";#N/A,#N/A,FALSE,"Plan2"}</definedName>
    <definedName name="hsdfjkdhur" localSheetId="3">{#N/A,#N/A,FALSE,"Plan1";#N/A,#N/A,FALSE,"Plan2"}</definedName>
    <definedName name="hsdgftdht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hsdjffd" localSheetId="3">{#N/A,#N/A,FALSE,"Plan1";#N/A,#N/A,FALSE,"Plan2"}</definedName>
    <definedName name="hsdjffe" localSheetId="3">{#N/A,#N/A,FALSE,"Plan1";#N/A,#N/A,FALSE,"Plan2"}</definedName>
    <definedName name="HSFIHDTR" localSheetId="3">{"Econ Consolidado",#N/A,FALSE,"Econ Consol";"Fluxo de Caixa",#N/A,FALSE,"Fluxo Caixa";"Investimentos",#N/A,FALSE,"Investimentos"}</definedName>
    <definedName name="hsfjkdshrgf" localSheetId="3">{#N/A,#N/A,FALSE,"Plan1";#N/A,#N/A,FALSE,"Plan2"}</definedName>
    <definedName name="hthhrtetdre" localSheetId="3">{#N/A,#N/A,FALSE,"Plan1";#N/A,#N/A,FALSE,"Plan2"}</definedName>
    <definedName name="HTM" localSheetId="3">#REF!</definedName>
    <definedName name="HTML_Control" localSheetId="3">{"'장비'!$A$3:$M$12"}</definedName>
    <definedName name="HTML2_CONTROL" localSheetId="3">{"'Estimativa de Lançamento-JAN'!$A$1:$AI$85"}</definedName>
    <definedName name="HTML3_CONTROL" localSheetId="3">{"'Estimativa de Lançamento-JAN'!$A$1:$AI$85"}</definedName>
    <definedName name="HTMLControl" localSheetId="3">{"'Edit'!$A$1:$V$2277"}</definedName>
    <definedName name="HTN" localSheetId="3">#REF!</definedName>
    <definedName name="HVJKHGKFXHFD" localSheetId="3">{#N/A,#N/A,FALSE,"Plan1";#N/A,#N/A,FALSE,"Plan2"}</definedName>
    <definedName name="hwekjhekhf" localSheetId="3">{#N/A,#N/A,FALSE,"Plan1";#N/A,#N/A,FALSE,"Plan2"}</definedName>
    <definedName name="HXFRE" localSheetId="3">{#N/A,#N/A,FALSE,"Plan1";#N/A,#N/A,FALSE,"Plan2"}</definedName>
    <definedName name="HXKJFGDKHG" localSheetId="3">{#N/A,#N/A,FALSE,"Plan1";#N/A,#N/A,FALSE,"Plan2"}</definedName>
    <definedName name="I" localSheetId="3">#REF!</definedName>
    <definedName name="ibir_cdi" localSheetId="3">#REF!</definedName>
    <definedName name="ibir_hist" localSheetId="3">#REF!</definedName>
    <definedName name="ibir_uss" localSheetId="3">#REF!</definedName>
    <definedName name="icoa_cdi" localSheetId="3">#REF!</definedName>
    <definedName name="icoa_hist" localSheetId="3">#REF!</definedName>
    <definedName name="icoa_uss" localSheetId="3">#REF!</definedName>
    <definedName name="Identificação" localSheetId="3">#REF!</definedName>
    <definedName name="idfhgkjhfkthy" localSheetId="3">{#N/A,#N/A,FALSE,"Plan1";#N/A,#N/A,FALSE,"Plan2"}</definedName>
    <definedName name="ieroweft" localSheetId="3">{#N/A,#N/A,FALSE,"Plan1";#N/A,#N/A,FALSE,"Plan2"}</definedName>
    <definedName name="iewpotqi5poejy" localSheetId="3">{#N/A,#N/A,FALSE,"Plan1";#N/A,#N/A,FALSE,"Plan2"}</definedName>
    <definedName name="ihdfifguhgfuiyh"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ihdsitrr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iheidhgufr" localSheetId="3">#REF!</definedName>
    <definedName name="ihfdkjhktgrd" localSheetId="3">{#N/A,#N/A,FALSE,"Plan1";#N/A,#N/A,FALSE,"Plan2"}</definedName>
    <definedName name="ihrtetw4r" localSheetId="3">{#N/A,#N/A,FALSE,"Plan1";#N/A,#N/A,FALSE,"Plan2"}</definedName>
    <definedName name="II" localSheetId="3">#REF!</definedName>
    <definedName name="IIASDSAWE" localSheetId="3">{"Econ Consolidado",#N/A,FALSE,"Econ Consol";"Fluxo de Caixa",#N/A,FALSE,"Fluxo Caixa";"Investimentos",#N/A,FALSE,"Investimentos"}</definedName>
    <definedName name="III" localSheetId="3">#REF!</definedName>
    <definedName name="iinstalações" localSheetId="3">{#N/A,#N/A,FALSE,"GERAL";#N/A,#N/A,FALSE,"012-96";#N/A,#N/A,FALSE,"018-96";#N/A,#N/A,FALSE,"027-96";#N/A,#N/A,FALSE,"059-96";#N/A,#N/A,FALSE,"076-96";#N/A,#N/A,FALSE,"019-97";#N/A,#N/A,FALSE,"021-97";#N/A,#N/A,FALSE,"022-97";#N/A,#N/A,FALSE,"028-97"}</definedName>
    <definedName name="ilhweilrji4e" localSheetId="3">{#N/A,#N/A,FALSE,"Plan1";#N/A,#N/A,FALSE,"Plan2"}</definedName>
    <definedName name="ilsdr4wf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IM" localSheetId="3">#REF!</definedName>
    <definedName name="IMP" localSheetId="3">#REF!</definedName>
    <definedName name="IMPERMEABILIZ." localSheetId="3">#REF!</definedName>
    <definedName name="IMPF" localSheetId="3">#REF!</definedName>
    <definedName name="IMPI" localSheetId="3">#REF!</definedName>
    <definedName name="IMPOSTO" localSheetId="3">#REF!</definedName>
    <definedName name="INCC" localSheetId="3">#REF!</definedName>
    <definedName name="Incorido_Aplicado_X_Físico" localSheetId="3">#REF!</definedName>
    <definedName name="INCORPORAÇÃO" localSheetId="3">#REF!</definedName>
    <definedName name="Index" localSheetId="3">#REF!</definedName>
    <definedName name="Indice" localSheetId="3">#REF!</definedName>
    <definedName name="indice_correcao_proj" localSheetId="3">#REF!</definedName>
    <definedName name="infra" localSheetId="3">#REF!</definedName>
    <definedName name="Infra_OBra_Sienge" localSheetId="3">#REF!</definedName>
    <definedName name="Infra_Projetos_Sienge" localSheetId="3">#REF!</definedName>
    <definedName name="INFRA2" localSheetId="3">#REF!</definedName>
    <definedName name="Insatalações" localSheetId="3">{#N/A,#N/A,FALSE,"GERAL";#N/A,#N/A,FALSE,"012-96";#N/A,#N/A,FALSE,"018-96";#N/A,#N/A,FALSE,"027-96";#N/A,#N/A,FALSE,"059-96";#N/A,#N/A,FALSE,"076-96";#N/A,#N/A,FALSE,"019-97";#N/A,#N/A,FALSE,"021-97";#N/A,#N/A,FALSE,"022-97";#N/A,#N/A,FALSE,"028-97"}</definedName>
    <definedName name="INSS_Bloqueado_Fin_Medição" localSheetId="3">#REF!</definedName>
    <definedName name="Inss_Bloqueado_Previsão_Fin_Medições" localSheetId="3">#REF!</definedName>
    <definedName name="instalaçoes2" localSheetId="3">{#N/A,#N/A,FALSE,"GERAL";#N/A,#N/A,FALSE,"012-96";#N/A,#N/A,FALSE,"018-96";#N/A,#N/A,FALSE,"027-96";#N/A,#N/A,FALSE,"059-96";#N/A,#N/A,FALSE,"076-96";#N/A,#N/A,FALSE,"019-97";#N/A,#N/A,FALSE,"021-97";#N/A,#N/A,FALSE,"022-97";#N/A,#N/A,FALSE,"028-97"}</definedName>
    <definedName name="INSU" localSheetId="3">OFFSET(#REF!,0,0,COUNTA(#REF!),1)</definedName>
    <definedName name="INSUMOS" localSheetId="3">#REF!</definedName>
    <definedName name="INT.FILTRO.NBASE" localSheetId="3">#REF!</definedName>
    <definedName name="INTEGRA" localSheetId="3">{"'Edit'!$A$1:$V$2277"}</definedName>
    <definedName name="ioeriotyt" localSheetId="3">{#N/A,#N/A,FALSE,"Plan1";#N/A,#N/A,FALSE,"Plan2"}</definedName>
    <definedName name="iohudtorh" localSheetId="3">{#N/A,#N/A,FALSE,"Plan1";#N/A,#N/A,FALSE,"Plan2"}</definedName>
    <definedName name="iojtkheayed" localSheetId="3">{#N/A,#N/A,FALSE,"Plan1";#N/A,#N/A,FALSE,"Plan2"}</definedName>
    <definedName name="iouweroieuw4" localSheetId="3">{#N/A,#N/A,FALSE,"Plan1";#N/A,#N/A,FALSE,"Plan2"}</definedName>
    <definedName name="iphifpgh" localSheetId="3">{#N/A,#N/A,FALSE,"Plan1";#N/A,#N/A,FALSE,"Plan2"}</definedName>
    <definedName name="IPMF" localSheetId="3">#REF!</definedName>
    <definedName name="ipodsifgpds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ipotjrjketjr" localSheetId="3">{#N/A,#N/A,FALSE,"Plan1";#N/A,#N/A,FALSE,"Plan2"}</definedName>
    <definedName name="IR_diferido" localSheetId="3">#REF!</definedName>
    <definedName name="ISOPOR" localSheetId="3">#REF!</definedName>
    <definedName name="ISS" localSheetId="3">#REF!</definedName>
    <definedName name="ItalieNS" localSheetId="3">#REF!</definedName>
    <definedName name="ItalieNT" localSheetId="3">#REF!</definedName>
    <definedName name="itc_cdi" localSheetId="3">#REF!</definedName>
    <definedName name="itc_hist" localSheetId="3">#REF!</definedName>
    <definedName name="itc_uss" localSheetId="3">#REF!</definedName>
    <definedName name="item_1" localSheetId="3">#REF!</definedName>
    <definedName name="ITEMCONT" localSheetId="3">#REF!</definedName>
    <definedName name="ITEMDER" localSheetId="3">#REF!</definedName>
    <definedName name="ITEMIZAÇÃO" localSheetId="3">#REF!</definedName>
    <definedName name="ITEMIZAÇÃO_2" localSheetId="3">#REF!</definedName>
    <definedName name="ITEMIZAÇÃO_3" localSheetId="3">#REF!</definedName>
    <definedName name="ITEMIZAÇÃO_4" localSheetId="3">#REF!</definedName>
    <definedName name="ITEMIZAÇÃO_5" localSheetId="3">#REF!</definedName>
    <definedName name="ITEMIZAÇÃO_7" localSheetId="3">#REF!</definedName>
    <definedName name="ITEMIZAÇÃO_8" localSheetId="3">#REF!</definedName>
    <definedName name="ITEMR20" localSheetId="3">#REF!</definedName>
    <definedName name="ITEM별상세업무분장"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NS" localSheetId="3">#REF!</definedName>
    <definedName name="ITENS0" localSheetId="3">#REF!</definedName>
    <definedName name="ITENS1" localSheetId="3">#REF!</definedName>
    <definedName name="ITENSP" localSheetId="3">#REF!</definedName>
    <definedName name="ITENSPMED" localSheetId="3">#REF!</definedName>
    <definedName name="IUGFGDFUY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IV" localSheetId="3">#REF!</definedName>
    <definedName name="iyguygiyt" localSheetId="3">{#N/A,#N/A,FALSE,"Plan1";#N/A,#N/A,FALSE,"Plan2"}</definedName>
    <definedName name="iyuyheturtd" localSheetId="3">{#N/A,#N/A,FALSE,"Plan1";#N/A,#N/A,FALSE,"Plan2"}</definedName>
    <definedName name="j"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jalejdasjf" localSheetId="3">{#N/A,#N/A,FALSE,"Plan1";#N/A,#N/A,FALSE,"Plan2"}</definedName>
    <definedName name="jan_05" localSheetId="3">#REF!</definedName>
    <definedName name="jan17RJ" localSheetId="3">#REF!</definedName>
    <definedName name="JANEIRO2001" localSheetId="3">#REF!</definedName>
    <definedName name="JASDJS" localSheetId="3">{#N/A,#N/A,FALSE,"Plan1";#N/A,#N/A,FALSE,"Plan2"}</definedName>
    <definedName name="jaskldjlse" localSheetId="3">{#N/A,#N/A,FALSE,"Plan1";#N/A,#N/A,FALSE,"Plan2"}</definedName>
    <definedName name="JASLDKLD" localSheetId="3">{#N/A,#N/A,FALSE,"Plan1";#N/A,#N/A,FALSE,"Plan2"}</definedName>
    <definedName name="jasoe" localSheetId="3">#REF!</definedName>
    <definedName name="jbzxffcbgdhgft" localSheetId="3">#REF!</definedName>
    <definedName name="JÇDFHDF" localSheetId="3">{"Econ Consolidado",#N/A,FALSE,"Econ Consol";"Fluxo de Caixa",#N/A,FALSE,"Fluxo Caixa";"Investimentos",#N/A,FALSE,"Investimentos"}</definedName>
    <definedName name="jdbgftbhr" localSheetId="3">{#N/A,#N/A,FALSE,"Plan1";#N/A,#N/A,FALSE,"Plan2"}</definedName>
    <definedName name="jdfgkrhgft" localSheetId="3">#REF!</definedName>
    <definedName name="jdfgldfjgklh" localSheetId="3">{#N/A,#N/A,FALSE,"Plan1";#N/A,#N/A,FALSE,"Plan2"}</definedName>
    <definedName name="jdfhjkdrhjtkg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jdfjdtrgt" localSheetId="3">{#N/A,#N/A,FALSE,"Plan1";#N/A,#N/A,FALSE,"Plan2"}</definedName>
    <definedName name="JDFJLDJR" localSheetId="3">{#N/A,#N/A,FALSE,"Plan1";#N/A,#N/A,FALSE,"Plan2"}</definedName>
    <definedName name="jdfkgitfgdrtt" localSheetId="3">{#N/A,#N/A,FALSE,"Plan1";#N/A,#N/A,FALSE,"Plan2"}</definedName>
    <definedName name="JDFKHFKJ" localSheetId="3">{#N/A,#N/A,FALSE,"Plan1";#N/A,#N/A,FALSE,"Plan2"}</definedName>
    <definedName name="jdfklgtdtr" localSheetId="3">{#N/A,#N/A,FALSE,"Plan1";#N/A,#N/A,FALSE,"Plan2"}</definedName>
    <definedName name="JDFKTHRT" localSheetId="3">{#N/A,#N/A,FALSE,"Plan1";#N/A,#N/A,FALSE,"Plan2"}</definedName>
    <definedName name="JDFLKJDRF" localSheetId="3">{#N/A,#N/A,FALSE,"Plan1";#N/A,#N/A,FALSE,"Plan2"}</definedName>
    <definedName name="jdfzlkjgfdht" localSheetId="3">{#N/A,#N/A,FALSE,"Plan1";#N/A,#N/A,FALSE,"Plan2"}</definedName>
    <definedName name="jdglhfghkt" localSheetId="3">{#N/A,#N/A,FALSE,"Plan1";#N/A,#N/A,FALSE,"Plan2"}</definedName>
    <definedName name="jdhfjdhgfd" localSheetId="3">{#N/A,#N/A,FALSE,"Plan1";#N/A,#N/A,FALSE,"Plan2"}</definedName>
    <definedName name="jdjdjdjd" localSheetId="3">{#N/A,#N/A,FALSE,"명세표"}</definedName>
    <definedName name="jdkfhgjhf" localSheetId="3">{#N/A,#N/A,FALSE,"Plan1";#N/A,#N/A,FALSE,"Plan2"}</definedName>
    <definedName name="jdkfjdtr" localSheetId="3">{#N/A,#N/A,FALSE,"Plan1";#N/A,#N/A,FALSE,"Plan2"}</definedName>
    <definedName name="jdljgftldjti5r" localSheetId="3">{#N/A,#N/A,FALSE,"Plan1";#N/A,#N/A,FALSE,"Plan2"}</definedName>
    <definedName name="JDLKJDASGF" localSheetId="3">{#N/A,#N/A,FALSE,"Plan1";#N/A,#N/A,FALSE,"Plan2"}</definedName>
    <definedName name="jdrfkdjfghrtfjg" localSheetId="3">{#N/A,#N/A,FALSE,"Plan1";#N/A,#N/A,FALSE,"Plan2"}</definedName>
    <definedName name="jdskfhdk" localSheetId="3">{#N/A,#N/A,FALSE,"Plan1";#N/A,#N/A,FALSE,"Plan2"}</definedName>
    <definedName name="JDSKLGKDRHGGF" localSheetId="3">{#N/A,#N/A,FALSE,"Plan1";#N/A,#N/A,FALSE,"Plan2"}</definedName>
    <definedName name="jefsgfr" localSheetId="3">{#N/A,#N/A,FALSE,"Plan1";#N/A,#N/A,FALSE,"Plan2"}</definedName>
    <definedName name="JERHIEHYURE" localSheetId="3">{#N/A,#N/A,FALSE,"Plan1";#N/A,#N/A,FALSE,"Plan2"}</definedName>
    <definedName name="jfddlsrtyty" localSheetId="3">{#N/A,#N/A,FALSE,"Plan1";#N/A,#N/A,FALSE,"Plan2"}</definedName>
    <definedName name="jfdjtgdjghitfyh" localSheetId="3">{#N/A,#N/A,FALSE,"Plan1";#N/A,#N/A,FALSE,"Plan2"}</definedName>
    <definedName name="jfdkgkftftg" localSheetId="3">{#N/A,#N/A,FALSE,"Plan1";#N/A,#N/A,FALSE,"Plan2"}</definedName>
    <definedName name="jfghjkfdhtkyru"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JFGJYHTY" localSheetId="3">{#N/A,#N/A,FALSE,"Plan1";#N/A,#N/A,FALSE,"Plan2"}</definedName>
    <definedName name="jfgkflcnjkglc" localSheetId="3">{#N/A,#N/A,FALSE,"Plan1";#N/A,#N/A,FALSE,"Plan2"}</definedName>
    <definedName name="JFHRE" localSheetId="3">{#N/A,#N/A,FALSE,"Plan1";#N/A,#N/A,FALSE,"Plan2"}</definedName>
    <definedName name="jfkdls5jtirjd" localSheetId="3">{#N/A,#N/A,FALSE,"Plan1";#N/A,#N/A,FALSE,"Plan2"}</definedName>
    <definedName name="jfkljdkfcj" localSheetId="3">{#N/A,#N/A,FALSE,"Plan1";#N/A,#N/A,FALSE,"Plan2"}</definedName>
    <definedName name="jfkrhdtghdut" localSheetId="3">{#N/A,#N/A,FALSE,"Plan1";#N/A,#N/A,FALSE,"Plan2"}</definedName>
    <definedName name="JFRESR" localSheetId="3">{#N/A,#N/A,FALSE,"Plan1";#N/A,#N/A,FALSE,"Plan2"}</definedName>
    <definedName name="jgdfdgfjgdj" localSheetId="3">{#N/A,#N/A,FALSE,"Plan1";#N/A,#N/A,FALSE,"Plan2"}</definedName>
    <definedName name="jgdfght" localSheetId="3">{#N/A,#N/A,FALSE,"Plan1";#N/A,#N/A,FALSE,"Plan2"}</definedName>
    <definedName name="jgfgdsgfdhrf" localSheetId="3">{#N/A,#N/A,FALSE,"Plan1";#N/A,#N/A,FALSE,"Plan2"}</definedName>
    <definedName name="JGFJGTFT" localSheetId="3">{#N/A,#N/A,FALSE,"Plan1";#N/A,#N/A,FALSE,"Plan2"}</definedName>
    <definedName name="jgkjkhjuftgi" localSheetId="3">{#N/A,#N/A,FALSE,"Plan1";#N/A,#N/A,FALSE,"Plan2"}</definedName>
    <definedName name="jhd"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jhdfjjhirft" localSheetId="3">{#N/A,#N/A,FALSE,"Plan1";#N/A,#N/A,FALSE,"Plan2"}</definedName>
    <definedName name="jhdfjkhtrdhf" localSheetId="3">{#N/A,#N/A,FALSE,"Plan1";#N/A,#N/A,FALSE,"Plan2"}</definedName>
    <definedName name="jhdfuthr" localSheetId="3">{#N/A,#N/A,FALSE,"Plan1";#N/A,#N/A,FALSE,"Plan2"}</definedName>
    <definedName name="JHDFZGRDHF" localSheetId="3">{"Econ Consolidado",#N/A,FALSE,"Econ Consol";"Fluxo de Caixa",#N/A,FALSE,"Fluxo Caixa";"Investimentos",#N/A,FALSE,"Investimentos"}</definedName>
    <definedName name="JHERKHKFGH" localSheetId="3">{#N/A,#N/A,FALSE,"Plan1";#N/A,#N/A,FALSE,"Plan2"}</definedName>
    <definedName name="jhfhhztfhe" localSheetId="3">#REF!</definedName>
    <definedName name="JHGKJFJFJGL" localSheetId="3">{#N/A,#N/A,FALSE,"Plan1";#N/A,#N/A,FALSE,"Plan2"}</definedName>
    <definedName name="jhsdjkhfuks" localSheetId="3">{#N/A,#N/A,FALSE,"Plan1";#N/A,#N/A,FALSE,"Plan2"}</definedName>
    <definedName name="jisdrkje" localSheetId="3">{#N/A,#N/A,FALSE,"Plan1";#N/A,#N/A,FALSE,"Plan2"}</definedName>
    <definedName name="jishfrieyhtau" localSheetId="3">{#N/A,#N/A,FALSE,"Plan1";#N/A,#N/A,FALSE,"Plan2"}</definedName>
    <definedName name="jiu"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jj" localSheetId="3">{"'Apr-00'!$B$4:$AD$44"}</definedName>
    <definedName name="jjfdsktyhhy" localSheetId="3">{#N/A,#N/A,FALSE,"Plan1";#N/A,#N/A,FALSE,"Plan2"}</definedName>
    <definedName name="jjjjjjjjjjjjjjjjjjjj" localSheetId="3">#REF!</definedName>
    <definedName name="jjkjkjk" localSheetId="3">{#N/A,#N/A,FALSE,"Plan1";#N/A,#N/A,FALSE,"Plan2"}</definedName>
    <definedName name="JKDCK" localSheetId="3">{#N/A,#N/A,FALSE,"Plan1";#N/A,#N/A,FALSE,"Plan2"}</definedName>
    <definedName name="JKDFHKHFR" localSheetId="3">{#N/A,#N/A,FALSE,"Plan1";#N/A,#N/A,FALSE,"Plan2"}</definedName>
    <definedName name="JKDFTRDRJ" localSheetId="3">{#N/A,#N/A,FALSE,"Plan1";#N/A,#N/A,FALSE,"Plan2"}</definedName>
    <definedName name="jkdhfukhddf" localSheetId="3">{#N/A,#N/A,FALSE,"Plan1";#N/A,#N/A,FALSE,"Plan2"}</definedName>
    <definedName name="JKDRKGJHTDR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jkelsjreja" localSheetId="3">{#N/A,#N/A,FALSE,"Plan1";#N/A,#N/A,FALSE,"Plan2"}</definedName>
    <definedName name="jkfhjgkfhghh" localSheetId="3">{#N/A,#N/A,FALSE,"Plan1";#N/A,#N/A,FALSE,"Plan2"}</definedName>
    <definedName name="jkhderjkhes" localSheetId="3">{#N/A,#N/A,FALSE,"Plan1";#N/A,#N/A,FALSE,"Plan2"}</definedName>
    <definedName name="jkhdfhfd" localSheetId="3">{#N/A,#N/A,FALSE,"Plan1";#N/A,#N/A,FALSE,"Plan2"}</definedName>
    <definedName name="jkhfhest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JKHFKJHGKFTHUDET" localSheetId="3">{#N/A,#N/A,FALSE,"Plan1";#N/A,#N/A,FALSE,"Plan2"}</definedName>
    <definedName name="JKHGDHFUHTG" localSheetId="3">{#N/A,#N/A,FALSE,"Plan1";#N/A,#N/A,FALSE,"Plan2"}</definedName>
    <definedName name="jkhsdzjkfyiu" localSheetId="3">{#N/A,#N/A,FALSE,"Plan1";#N/A,#N/A,FALSE,"Plan2"}</definedName>
    <definedName name="jkjsdkhfdhrf" localSheetId="3">{#N/A,#N/A,FALSE,"Plan1";#N/A,#N/A,FALSE,"Plan2"}</definedName>
    <definedName name="jklgfsjgtjtg" localSheetId="3">{#N/A,#N/A,FALSE,"Plan1";#N/A,#N/A,FALSE,"Plan2"}</definedName>
    <definedName name="jksldfjsdhf" localSheetId="3">{#N/A,#N/A,FALSE,"Plan1";#N/A,#N/A,FALSE,"Plan2"}</definedName>
    <definedName name="jkxhcjkhfr" localSheetId="3">{#N/A,#N/A,FALSE,"Plan1";#N/A,#N/A,FALSE,"Plan2"}</definedName>
    <definedName name="JNGCKFKJFGH" localSheetId="3">{#N/A,#N/A,FALSE,"Plan1";#N/A,#N/A,FALSE,"Plan2"}</definedName>
    <definedName name="JOALDO" localSheetId="3">#REF!</definedName>
    <definedName name="joao_cdi" localSheetId="3">#REF!</definedName>
    <definedName name="joao_hist" localSheetId="3">#REF!</definedName>
    <definedName name="joao_uss" localSheetId="3">#REF!</definedName>
    <definedName name="JREJRW" localSheetId="3">{#N/A,#N/A,FALSE,"Plan1";#N/A,#N/A,FALSE,"Plan2"}</definedName>
    <definedName name="JSADKAH" localSheetId="3">{"Econ Consolidado",#N/A,FALSE,"Econ Consol";"Fluxo de Caixa",#N/A,FALSE,"Fluxo Caixa";"Investimentos",#N/A,FALSE,"Investimentos"}</definedName>
    <definedName name="JSDAJRE" localSheetId="3">{#N/A,#N/A,FALSE,"Plan1";#N/A,#N/A,FALSE,"Plan2"}</definedName>
    <definedName name="jsdffsed"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jsdfjgx" localSheetId="3">{#N/A,#N/A,FALSE,"Plan1";#N/A,#N/A,FALSE,"Plan2"}</definedName>
    <definedName name="jsdfkgnfr" localSheetId="3">#REF!</definedName>
    <definedName name="jsdfsdfd" localSheetId="3">{#N/A,#N/A,FALSE,"Plan1";#N/A,#N/A,FALSE,"Plan2"}</definedName>
    <definedName name="jsdljficd" localSheetId="3">{#N/A,#N/A,FALSE,"Plan1";#N/A,#N/A,FALSE,"Plan2"}</definedName>
    <definedName name="JSDTLFJDRG" localSheetId="3">{#N/A,#N/A,FALSE,"Plan1";#N/A,#N/A,FALSE,"Plan2"}</definedName>
    <definedName name="jsfjsjferwea" localSheetId="3">{#N/A,#N/A,FALSE,"Plan1";#N/A,#N/A,FALSE,"Plan2"}</definedName>
    <definedName name="jslrjer" localSheetId="3">{#N/A,#N/A,FALSE,"Plan1";#N/A,#N/A,FALSE,"Plan2"}</definedName>
    <definedName name="juklhkhdf" localSheetId="3">{#N/A,#N/A,FALSE,"Plan1";#N/A,#N/A,FALSE,"Plan2"}</definedName>
    <definedName name="jul17RJ" localSheetId="3">#REF!</definedName>
    <definedName name="JULHO" localSheetId="3">#REF!</definedName>
    <definedName name="JULHO2001" localSheetId="3">#REF!</definedName>
    <definedName name="JULHO99" localSheetId="3">{#N/A,#N/A,TRUE,"Quinzena 01 à 15-04-98 "}</definedName>
    <definedName name="jun17RJ" localSheetId="3">#REF!</definedName>
    <definedName name="JUNHO" localSheetId="3">#REF!</definedName>
    <definedName name="JUNHO2001" localSheetId="3">#REF!</definedName>
    <definedName name="JurosTpMes" localSheetId="3">#REF!</definedName>
    <definedName name="jwekljd" localSheetId="3">{#N/A,#N/A,FALSE,"Plan1";#N/A,#N/A,FALSE,"Plan2"}</definedName>
    <definedName name="JWEOITORU5Y" localSheetId="3">{#N/A,#N/A,FALSE,"Plan1";#N/A,#N/A,FALSE,"Plan2"}</definedName>
    <definedName name="jxdfjsrf" localSheetId="3">{#N/A,#N/A,FALSE,"Plan1";#N/A,#N/A,FALSE,"Plan2"}</definedName>
    <definedName name="jxdklfjv"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JY" localSheetId="3">#REF!</definedName>
    <definedName name="jzsdjkszl" localSheetId="3">{#N/A,#N/A,FALSE,"Plan1";#N/A,#N/A,FALSE,"Plan2"}</definedName>
    <definedName name="JZXFKLJLDJF" localSheetId="3">{#N/A,#N/A,FALSE,"Plan1";#N/A,#N/A,FALSE,"Plan2"}</definedName>
    <definedName name="jzxklfdlvgfg" localSheetId="3">{#N/A,#N/A,FALSE,"Plan1";#N/A,#N/A,FALSE,"Plan2"}</definedName>
    <definedName name="k" localSheetId="3">{#N/A,#N/A,FALSE,"Plan1";#N/A,#N/A,FALSE,"Plan2"}</definedName>
    <definedName name="K_1" localSheetId="3">#REF!</definedName>
    <definedName name="kaedkroswr" localSheetId="3">{"Econ Consolidado",#N/A,FALSE,"Econ Consol";"Fluxo de Caixa",#N/A,FALSE,"Fluxo Caixa";"Investimentos",#N/A,FALSE,"Investimentos"}</definedName>
    <definedName name="kapa" localSheetId="3">#REF!</definedName>
    <definedName name="kçdasekr" localSheetId="3">{#N/A,#N/A,FALSE,"Plan1";#N/A,#N/A,FALSE,"Plan2"}</definedName>
    <definedName name="kçfdljtredr" localSheetId="3">{#N/A,#N/A,FALSE,"Plan1";#N/A,#N/A,FALSE,"Plan2"}</definedName>
    <definedName name="KCIVIL" localSheetId="3">#REF!</definedName>
    <definedName name="kclçkglf" localSheetId="3">{#N/A,#N/A,FALSE,"Plan1";#N/A,#N/A,FALSE,"Plan2"}</definedName>
    <definedName name="kçlkasçkere" localSheetId="3">{#N/A,#N/A,FALSE,"Plan1";#N/A,#N/A,FALSE,"Plan2"}</definedName>
    <definedName name="kdfbngtjkbf" localSheetId="3">{#N/A,#N/A,FALSE,"Plan1";#N/A,#N/A,FALSE,"Plan2"}</definedName>
    <definedName name="kdfhkghkrh" localSheetId="3">{#N/A,#N/A,FALSE,"Plan1";#N/A,#N/A,FALSE,"Plan2"}</definedName>
    <definedName name="kdfiere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kdfkçrkf" localSheetId="3">{#N/A,#N/A,FALSE,"Plan1";#N/A,#N/A,FALSE,"Plan2"}</definedName>
    <definedName name="kdfljlfr" localSheetId="3">{#N/A,#N/A,FALSE,"Plan1";#N/A,#N/A,FALSE,"Plan2"}</definedName>
    <definedName name="kdhfgkdfhytgu" localSheetId="3">{#N/A,#N/A,FALSE,"Plan1";#N/A,#N/A,FALSE,"Plan2"}</definedName>
    <definedName name="kdhgftfg" localSheetId="3">{#N/A,#N/A,FALSE,"Plan1";#N/A,#N/A,FALSE,"Plan2"}</definedName>
    <definedName name="KDHKFGKKHGF" localSheetId="3">{#N/A,#N/A,FALSE,"Plan1";#N/A,#N/A,FALSE,"Plan2"}</definedName>
    <definedName name="kdjfdr" localSheetId="3">#REF!</definedName>
    <definedName name="kdjgkfjgd" localSheetId="3">{#N/A,#N/A,FALSE,"Plan1";#N/A,#N/A,FALSE,"Plan2"}</definedName>
    <definedName name="kdjglkdlgjd" localSheetId="3">{#N/A,#N/A,FALSE,"Plan1";#N/A,#N/A,FALSE,"Plan2"}</definedName>
    <definedName name="kdjsfkldjgkty" localSheetId="3">{#N/A,#N/A,FALSE,"Plan1";#N/A,#N/A,FALSE,"Plan2"}</definedName>
    <definedName name="KDJU" localSheetId="3">{"'장비'!$A$3:$M$12"}</definedName>
    <definedName name="kdkjhgdkfhjk" localSheetId="3">{#N/A,#N/A,FALSE,"Plan1";#N/A,#N/A,FALSE,"Plan2"}</definedName>
    <definedName name="kdsf" localSheetId="3">{#N/A,#N/A,FALSE,"Plan1";#N/A,#N/A,FALSE,"Plan2"}</definedName>
    <definedName name="kdsr" localSheetId="3">{#N/A,#N/A,FALSE,"Plan1";#N/A,#N/A,FALSE,"Plan2"}</definedName>
    <definedName name="kergtfdstr" localSheetId="3">{#N/A,#N/A,FALSE,"Plan1";#N/A,#N/A,FALSE,"Plan2"}</definedName>
    <definedName name="kesp" localSheetId="3">#REF!</definedName>
    <definedName name="KFDKTHGT" localSheetId="3">{#N/A,#N/A,FALSE,"Plan1";#N/A,#N/A,FALSE,"Plan2"}</definedName>
    <definedName name="kfdxlfdzs" localSheetId="3">{"Econ Consolidado",#N/A,FALSE,"Econ Consol";"Fluxo de Caixa",#N/A,FALSE,"Fluxo Caixa";"Investimentos",#N/A,FALSE,"Investimentos"}</definedName>
    <definedName name="kfgkhjkjhy" localSheetId="3">{#N/A,#N/A,FALSE,"Plan1";#N/A,#N/A,FALSE,"Plan2"}</definedName>
    <definedName name="KFJFDSDF" localSheetId="3">{#N/A,#N/A,FALSE,"Plan1";#N/A,#N/A,FALSE,"Plan2"}</definedName>
    <definedName name="kfnkeasd" localSheetId="3">{#N/A,#N/A,FALSE,"Plan1";#N/A,#N/A,FALSE,"Plan2"}</definedName>
    <definedName name="khdjkfkjhtg" localSheetId="3">{#N/A,#N/A,FALSE,"Plan1";#N/A,#N/A,FALSE,"Plan2"}</definedName>
    <definedName name="khdkfjhhfsdg" localSheetId="3">{#N/A,#N/A,FALSE,"Plan1";#N/A,#N/A,FALSE,"Plan2"}</definedName>
    <definedName name="khdkjfhgudytu" localSheetId="3">{#N/A,#N/A,FALSE,"Plan1";#N/A,#N/A,FALSE,"Plan2"}</definedName>
    <definedName name="khfdghhhgd" localSheetId="3">{#N/A,#N/A,FALSE,"Plan1";#N/A,#N/A,FALSE,"Plan2"}</definedName>
    <definedName name="khfdkjhsdjf" localSheetId="3">{#N/A,#N/A,FALSE,"Plan1";#N/A,#N/A,FALSE,"Plan2"}</definedName>
    <definedName name="khgdkftfy" localSheetId="3">{#N/A,#N/A,FALSE,"Plan1";#N/A,#N/A,FALSE,"Plan2"}</definedName>
    <definedName name="khgfhhtuhf" localSheetId="3">{#N/A,#N/A,FALSE,"Plan1";#N/A,#N/A,FALSE,"Plan2"}</definedName>
    <definedName name="khjkh"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KHJKLSDF" localSheetId="3">{#N/A,#N/A,FALSE,"Plan1";#N/A,#N/A,FALSE,"Plan2"}</definedName>
    <definedName name="kieret" localSheetId="3">{#N/A,#N/A,FALSE,"Plan1";#N/A,#N/A,FALSE,"Plan2"}</definedName>
    <definedName name="kiweokwr" localSheetId="3">#REF!</definedName>
    <definedName name="kjchkfhsezk" localSheetId="3">{#N/A,#N/A,FALSE,"Plan1";#N/A,#N/A,FALSE,"Plan2"}</definedName>
    <definedName name="kjdghksef" localSheetId="3">{#N/A,#N/A,FALSE,"Plan1";#N/A,#N/A,FALSE,"Plan2"}</definedName>
    <definedName name="kjdkftyhtert" localSheetId="3">{#N/A,#N/A,FALSE,"Plan1";#N/A,#N/A,FALSE,"Plan2"}</definedName>
    <definedName name="kjdlfkjds" localSheetId="3">{#N/A,#N/A,FALSE,"Plan1";#N/A,#N/A,FALSE,"Plan2"}</definedName>
    <definedName name="kjdzhfytrfy" localSheetId="3">{#N/A,#N/A,FALSE,"Plan1";#N/A,#N/A,FALSE,"Plan2"}</definedName>
    <definedName name="kjhdfgjthdft" localSheetId="3">{#N/A,#N/A,FALSE,"Plan1";#N/A,#N/A,FALSE,"Plan2"}</definedName>
    <definedName name="kjhsdfk"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kjhsiorf" localSheetId="3">{#N/A,#N/A,FALSE,"Plan1";#N/A,#N/A,FALSE,"Plan2"}</definedName>
    <definedName name="KJJ"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kjjwww" localSheetId="3">{#N/A,#N/A,FALSE,"Plan1";#N/A,#N/A,FALSE,"Plan2"}</definedName>
    <definedName name="kjl" localSheetId="3">{#N/A,#N/A,FALSE,"ENG'G(보호계전기)"}</definedName>
    <definedName name="KJOI" localSheetId="3">{#N/A,#N/A,FALSE,"Plan1";#N/A,#N/A,FALSE,"Plan2"}</definedName>
    <definedName name="kjqwerw" localSheetId="3">{#N/A,#N/A,FALSE,"Plan1";#N/A,#N/A,FALSE,"Plan2"}</definedName>
    <definedName name="kjsfert" localSheetId="3">{#N/A,#N/A,FALSE,"Plan1";#N/A,#N/A,FALSE,"Plan2"}</definedName>
    <definedName name="KJXCFKR" localSheetId="3">{#N/A,#N/A,FALSE,"Plan1";#N/A,#N/A,FALSE,"Plan2"}</definedName>
    <definedName name="KJXDFD" localSheetId="3">{#N/A,#N/A,FALSE,"Plan1";#N/A,#N/A,FALSE,"Plan2"}</definedName>
    <definedName name="kjydhfkjghkjfh" localSheetId="3">#REF!</definedName>
    <definedName name="kk" localSheetId="3">#REF!</definedName>
    <definedName name="kk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kkk" localSheetId="3">{#N/A,#N/A,FALSE,"Plan1";#N/A,#N/A,FALSE,"Plan2"}</definedName>
    <definedName name="kkkkk" localSheetId="3">{#N/A,#N/A,FALSE,"Plan1";#N/A,#N/A,FALSE,"Plan2"}</definedName>
    <definedName name="kkkkkk" localSheetId="3">{#N/A,#N/A,FALSE,"Plan1";#N/A,#N/A,FALSE,"Plan2"}</definedName>
    <definedName name="kko"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kksaklçer" localSheetId="3">{#N/A,#N/A,FALSE,"Plan1";#N/A,#N/A,FALSE,"Plan2"}</definedName>
    <definedName name="kksarde" localSheetId="3">{#N/A,#N/A,FALSE,"Plan1";#N/A,#N/A,FALSE,"Plan2"}</definedName>
    <definedName name="klaskldjsw" localSheetId="3">{#N/A,#N/A,FALSE,"Plan1";#N/A,#N/A,FALSE,"Plan2"}</definedName>
    <definedName name="klçkop" localSheetId="3">{#N/A,#N/A,FALSE,"Plan1";#N/A,#N/A,FALSE,"Plan2"}</definedName>
    <definedName name="KLDFNTRDT" localSheetId="3">{#N/A,#N/A,FALSE,"Plan1";#N/A,#N/A,FALSE,"Plan2"}</definedName>
    <definedName name="klhjsdklhdf" localSheetId="3">{#N/A,#N/A,FALSE,"Plan1";#N/A,#N/A,FALSE,"Plan2"}</definedName>
    <definedName name="KLHSKLRHWE" localSheetId="3">{#N/A,#N/A,FALSE,"Plan1";#N/A,#N/A,FALSE,"Plan2"}</definedName>
    <definedName name="KLJASKJD" localSheetId="3">{#N/A,#N/A,FALSE,"Plan1";#N/A,#N/A,FALSE,"Plan2"}</definedName>
    <definedName name="KLJDXLG"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kljeflwr" localSheetId="3">{#N/A,#N/A,FALSE,"Plan1";#N/A,#N/A,FALSE,"Plan2"}</definedName>
    <definedName name="kljflgjrf" localSheetId="3">{#N/A,#N/A,FALSE,"Plan1";#N/A,#N/A,FALSE,"Plan2"}</definedName>
    <definedName name="kljgfdfr" localSheetId="3">{#N/A,#N/A,FALSE,"Plan1";#N/A,#N/A,FALSE,"Plan2"}</definedName>
    <definedName name="kljgfjrt" localSheetId="3">{#N/A,#N/A,FALSE,"Plan1";#N/A,#N/A,FALSE,"Plan2"}</definedName>
    <definedName name="kljlkdfj" localSheetId="3">{#N/A,#N/A,FALSE,"Plan1";#N/A,#N/A,FALSE,"Plan2"}</definedName>
    <definedName name="kljsakjfr" localSheetId="3">{#N/A,#N/A,FALSE,"Plan1";#N/A,#N/A,FALSE,"Plan2"}</definedName>
    <definedName name="kljsdje" localSheetId="3">{#N/A,#N/A,FALSE,"Plan1";#N/A,#N/A,FALSE,"Plan2"}</definedName>
    <definedName name="kljsfwe" localSheetId="3">{#N/A,#N/A,FALSE,"Plan1";#N/A,#N/A,FALSE,"Plan2"}</definedName>
    <definedName name="klk" localSheetId="3">{#N/A,#N/A,FALSE,"Plan1";#N/A,#N/A,FALSE,"Plan2"}</definedName>
    <definedName name="KLKKLKÇJÇ" localSheetId="3">{#N/A,#N/A,FALSE,"Plan1";#N/A,#N/A,FALSE,"Plan2"}</definedName>
    <definedName name="KLSDFT" localSheetId="3">{#N/A,#N/A,FALSE,"Plan1";#N/A,#N/A,FALSE,"Plan2"}</definedName>
    <definedName name="KLSDHSJKHF" localSheetId="3">{#N/A,#N/A,FALSE,"Plan1";#N/A,#N/A,FALSE,"Plan2"}</definedName>
    <definedName name="klsdkre" localSheetId="3">{#N/A,#N/A,FALSE,"Plan1";#N/A,#N/A,FALSE,"Plan2"}</definedName>
    <definedName name="KLSIDJE" localSheetId="3">{#N/A,#N/A,FALSE,"Plan1";#N/A,#N/A,FALSE,"Plan2"}</definedName>
    <definedName name="klsjarsf" localSheetId="3">{#N/A,#N/A,FALSE,"Plan1";#N/A,#N/A,FALSE,"Plan2"}</definedName>
    <definedName name="klsjdwe" localSheetId="3">#REF!</definedName>
    <definedName name="klxhjfdkhser" localSheetId="3">{#N/A,#N/A,FALSE,"Plan1";#N/A,#N/A,FALSE,"Plan2"}</definedName>
    <definedName name="kopipnsdfne" localSheetId="3">{#N/A,#N/A,FALSE,"Plan1";#N/A,#N/A,FALSE,"Plan2"}</definedName>
    <definedName name="kp"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KSDLÇKSÇ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KSDLDF" localSheetId="3">{#N/A,#N/A,FALSE,"Plan1";#N/A,#N/A,FALSE,"Plan2"}</definedName>
    <definedName name="ksdlkfsçzd" localSheetId="3">{#N/A,#N/A,FALSE,"Plan1";#N/A,#N/A,FALSE,"Plan2"}</definedName>
    <definedName name="KSDNFK" localSheetId="3">#REF!</definedName>
    <definedName name="ksdoçierfe" localSheetId="3">{#N/A,#N/A,FALSE,"Plan1";#N/A,#N/A,FALSE,"Plan2"}</definedName>
    <definedName name="ksdtrdrkf" localSheetId="3">{#N/A,#N/A,FALSE,"Plan1";#N/A,#N/A,FALSE,"Plan2"}</definedName>
    <definedName name="KSFÇJDFJL" localSheetId="3">{#N/A,#N/A,FALSE,"Plan1";#N/A,#N/A,FALSE,"Plan2"}</definedName>
    <definedName name="ksfhse" localSheetId="3">{#N/A,#N/A,FALSE,"Plan1";#N/A,#N/A,FALSE,"Plan2"}</definedName>
    <definedName name="KSRKOE" localSheetId="3">{#N/A,#N/A,FALSE,"Plan1";#N/A,#N/A,FALSE,"Plan2"}</definedName>
    <definedName name="KSWKE" localSheetId="3">{#N/A,#N/A,FALSE,"Plan1";#N/A,#N/A,FALSE,"Plan2"}</definedName>
    <definedName name="kubus" localSheetId="3">#REF!</definedName>
    <definedName name="kubus1" localSheetId="3">#REF!</definedName>
    <definedName name="kysdusf" localSheetId="3">{#N/A,#N/A,FALSE,"Plan1";#N/A,#N/A,FALSE,"Plan2"}</definedName>
    <definedName name="kzslçdkçle" localSheetId="3">{#N/A,#N/A,FALSE,"Plan1";#N/A,#N/A,FALSE,"Plan2"}</definedName>
    <definedName name="L_" localSheetId="3">#REF!</definedName>
    <definedName name="LAEKWRK" localSheetId="3">{#N/A,#N/A,FALSE,"Plan1";#N/A,#N/A,FALSE,"Plan2"}</definedName>
    <definedName name="laeqwep" localSheetId="3">#REF!</definedName>
    <definedName name="LAKDEWRF" localSheetId="3">{#N/A,#N/A,FALSE,"Plan1";#N/A,#N/A,FALSE,"Plan2"}</definedName>
    <definedName name="Lancamentos" localSheetId="3">#REF!</definedName>
    <definedName name="LARGURA" localSheetId="3">#REF!</definedName>
    <definedName name="LASÇDSRLF" localSheetId="3">{#N/A,#N/A,FALSE,"Plan1";#N/A,#N/A,FALSE,"Plan2"}</definedName>
    <definedName name="lasrlswer" localSheetId="3">{#N/A,#N/A,FALSE,"Plan1";#N/A,#N/A,FALSE,"Plan2"}</definedName>
    <definedName name="LAZER" localSheetId="3">#REF!</definedName>
    <definedName name="lbla1" localSheetId="3">#REF!</definedName>
    <definedName name="lbla10" localSheetId="3">#REF!</definedName>
    <definedName name="lbla11" localSheetId="3">#REF!</definedName>
    <definedName name="lçadple4r" localSheetId="3">{#N/A,#N/A,FALSE,"Plan1";#N/A,#N/A,FALSE,"Plan2"}</definedName>
    <definedName name="lçasser" localSheetId="3">{#N/A,#N/A,FALSE,"Plan1";#N/A,#N/A,FALSE,"Plan2"}</definedName>
    <definedName name="lcdgjtklfrn" localSheetId="3">{#N/A,#N/A,FALSE,"Plan1";#N/A,#N/A,FALSE,"Plan2"}</definedName>
    <definedName name="lçfklsdkçaer" localSheetId="3">{#N/A,#N/A,FALSE,"Plan1";#N/A,#N/A,FALSE,"Plan2"}</definedName>
    <definedName name="lçjkgf" localSheetId="3">{#N/A,#N/A,FALSE,"Plan1";#N/A,#N/A,FALSE,"Plan2"}</definedName>
    <definedName name="LÇJSLDFJ" localSheetId="3">{#N/A,#N/A,FALSE,"Plan1";#N/A,#N/A,FALSE,"Plan2"}</definedName>
    <definedName name="LÇKÇSDRLK" localSheetId="3">{#N/A,#N/A,FALSE,"Plan1";#N/A,#N/A,FALSE,"Plan2"}</definedName>
    <definedName name="lçkl"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lçl"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lçlfklçdglfdgt" localSheetId="3">{#N/A,#N/A,FALSE,"Plan1";#N/A,#N/A,FALSE,"Plan2"}</definedName>
    <definedName name="lçslrr4r" localSheetId="3">{#N/A,#N/A,FALSE,"Plan1";#N/A,#N/A,FALSE,"Plan2"}</definedName>
    <definedName name="ldfjgry" localSheetId="3">{#N/A,#N/A,FALSE,"Plan1";#N/A,#N/A,FALSE,"Plan2"}</definedName>
    <definedName name="ldfjgtilrf" localSheetId="3">{#N/A,#N/A,FALSE,"Plan1";#N/A,#N/A,FALSE,"Plan2"}</definedName>
    <definedName name="ldk" localSheetId="3">{#N/A,#N/A,FALSE,"Plan1";#N/A,#N/A,FALSE,"Plan2"}</definedName>
    <definedName name="ldkgkdfjgkh" localSheetId="3">{#N/A,#N/A,FALSE,"Plan1";#N/A,#N/A,FALSE,"Plan2"}</definedName>
    <definedName name="LDTJGR" localSheetId="3">{#N/A,#N/A,FALSE,"Plan1";#N/A,#N/A,FALSE,"Plan2"}</definedName>
    <definedName name="Leg" localSheetId="3">#REF!</definedName>
    <definedName name="legr_cdi" localSheetId="3">#REF!</definedName>
    <definedName name="legr_hist" localSheetId="3">#REF!</definedName>
    <definedName name="legr_uss" localSheetId="3">#REF!</definedName>
    <definedName name="LEKG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LEVANTAMENTO" localSheetId="3">#REF!</definedName>
    <definedName name="lfjdjrt" localSheetId="3">{#N/A,#N/A,FALSE,"Plan1";#N/A,#N/A,FALSE,"Plan2"}</definedName>
    <definedName name="LI" localSheetId="3">#REF!</definedName>
    <definedName name="LIDER_OPER" localSheetId="3">#REF!</definedName>
    <definedName name="lidfjgklruf" localSheetId="3">{#N/A,#N/A,FALSE,"Plan1";#N/A,#N/A,FALSE,"Plan2"}</definedName>
    <definedName name="LII" localSheetId="3">#REF!</definedName>
    <definedName name="LIII" localSheetId="3">#REF!</definedName>
    <definedName name="LIMBO" localSheetId="3">#REF!</definedName>
    <definedName name="LIN" localSheetId="3">#REF!</definedName>
    <definedName name="list"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A" localSheetId="3">#REF!</definedName>
    <definedName name="LISTA_CONTAS" localSheetId="3">#REF!</definedName>
    <definedName name="lista_empresa" localSheetId="3">OFFSET(INDEX(#REF!,MATCH(#REF!,#REF!,0)),1,0,COUNTA(#REF!)-1)</definedName>
    <definedName name="LISTA_FORNECEDORES" localSheetId="3">#REF!</definedName>
    <definedName name="LISTSEL" localSheetId="3">#REF!</definedName>
    <definedName name="listt"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V" localSheetId="3">#REF!</definedName>
    <definedName name="LIX" localSheetId="3">#REF!</definedName>
    <definedName name="ljdfkgyt" localSheetId="3">{#N/A,#N/A,FALSE,"Plan1";#N/A,#N/A,FALSE,"Plan2"}</definedName>
    <definedName name="LJDFLJRL" localSheetId="3">{#N/A,#N/A,FALSE,"Plan1";#N/A,#N/A,FALSE,"Plan2"}</definedName>
    <definedName name="ljsdfrd" localSheetId="3">{#N/A,#N/A,FALSE,"Plan1";#N/A,#N/A,FALSE,"Plan2"}</definedName>
    <definedName name="LJSFLDJDLKFJG" localSheetId="3">#REF!</definedName>
    <definedName name="LK" localSheetId="3">{#N/A,#N/A,TRUE,"Quinzena 01 à 15-04-98 "}</definedName>
    <definedName name="lkasdkeo" localSheetId="3">{#N/A,#N/A,FALSE,"Plan1";#N/A,#N/A,FALSE,"Plan2"}</definedName>
    <definedName name="lkdeas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lkdzxfsdrf" localSheetId="3">{#N/A,#N/A,FALSE,"Plan1";#N/A,#N/A,FALSE,"Plan2"}</definedName>
    <definedName name="lkfdkçtktr" localSheetId="3">{#N/A,#N/A,FALSE,"Plan1";#N/A,#N/A,FALSE,"Plan2"}</definedName>
    <definedName name="lkt" localSheetId="3">{#N/A,#N/A,FALSE,"Plan1";#N/A,#N/A,FALSE,"Plan2"}</definedName>
    <definedName name="lktlyklt" localSheetId="3">{#N/A,#N/A,FALSE,"Plan1";#N/A,#N/A,FALSE,"Plan2"}</definedName>
    <definedName name="LKTTYT" localSheetId="3">{#N/A,#N/A,FALSE,"Plan1";#N/A,#N/A,FALSE,"Plan2"}</definedName>
    <definedName name="llgg" localSheetId="3">{#N/A,#N/A,FALSE,"Plan1";#N/A,#N/A,FALSE,"Plan2"}</definedName>
    <definedName name="LLL" localSheetId="3">{#N/A,#N/A,FALSE,"Plan1";#N/A,#N/A,FALSE,"Plan2"}</definedName>
    <definedName name="LM_AR" localSheetId="3">{#N/A,#N/A,FALSE,"F-01"}</definedName>
    <definedName name="LM_AT" localSheetId="3">{#N/A,#N/A,FALSE,"F-01"}</definedName>
    <definedName name="LM_INC" localSheetId="3">{#N/A,#N/A,FALSE,"F-01"}</definedName>
    <definedName name="LMPASD"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LO"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LOCALMENU" localSheetId="3">#REF!</definedName>
    <definedName name="LOCALOBRA" localSheetId="3">#REF!</definedName>
    <definedName name="LS" localSheetId="3">#REF!</definedName>
    <definedName name="LSDFKLDKFTR" localSheetId="3">{#N/A,#N/A,FALSE,"Plan1";#N/A,#N/A,FALSE,"Plan2"}</definedName>
    <definedName name="lsdjse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lsdkljfkg" localSheetId="3">{#N/A,#N/A,FALSE,"Plan1";#N/A,#N/A,FALSE,"Plan2"}</definedName>
    <definedName name="lsdsder" localSheetId="3">{#N/A,#N/A,FALSE,"Plan1";#N/A,#N/A,FALSE,"Plan2"}</definedName>
    <definedName name="ltj6ljyhdjhngças" localSheetId="3">{#N/A,#N/A,FALSE,"Plan1";#N/A,#N/A,FALSE,"Plan2"}</definedName>
    <definedName name="LUCRO" localSheetId="3">#REF!</definedName>
    <definedName name="luis_cdi" localSheetId="3">#REF!</definedName>
    <definedName name="luis_hist" localSheetId="3">#REF!</definedName>
    <definedName name="luis_uss" localSheetId="3">#REF!</definedName>
    <definedName name="LV" localSheetId="3">#REF!</definedName>
    <definedName name="LVI" localSheetId="3">#REF!</definedName>
    <definedName name="LVII" localSheetId="3">#REF!</definedName>
    <definedName name="LVIII" localSheetId="3">#REF!</definedName>
    <definedName name="LXX" localSheetId="3">#REF!</definedName>
    <definedName name="LXXI" localSheetId="3">#REF!</definedName>
    <definedName name="LXXII" localSheetId="3">#REF!</definedName>
    <definedName name="LXXIII" localSheetId="3">#REF!</definedName>
    <definedName name="LXXIV" localSheetId="3">#REF!</definedName>
    <definedName name="LXXIX" localSheetId="3">#REF!</definedName>
    <definedName name="LXXV" localSheetId="3">#REF!</definedName>
    <definedName name="LXXVI" localSheetId="3">#REF!</definedName>
    <definedName name="LXXVII" localSheetId="3">#REF!</definedName>
    <definedName name="LXXVIII" localSheetId="3">#REF!</definedName>
    <definedName name="LXXX" localSheetId="3">#REF!</definedName>
    <definedName name="LXXXI" localSheetId="3">#REF!</definedName>
    <definedName name="LXXXII" localSheetId="3">#REF!</definedName>
    <definedName name="LXXXIII" localSheetId="3">#REF!</definedName>
    <definedName name="LXXXIV" localSheetId="3">#REF!</definedName>
    <definedName name="LXXXV" localSheetId="3">#REF!</definedName>
    <definedName name="m"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MADRI" localSheetId="3">#REF!</definedName>
    <definedName name="mai17RJ" localSheetId="3">#REF!</definedName>
    <definedName name="MAIO" localSheetId="3">#REF!</definedName>
    <definedName name="MAIO2001" localSheetId="3">#REF!</definedName>
    <definedName name="MAISAP" localSheetId="3">{#N/A,#N/A,FALSE,"Plan1";#N/A,#N/A,FALSE,"Plan2"}</definedName>
    <definedName name="MANTO" localSheetId="3">{#N/A,#N/A,FALSE,"GERAL";#N/A,#N/A,FALSE,"012-96";#N/A,#N/A,FALSE,"018-96";#N/A,#N/A,FALSE,"027-96";#N/A,#N/A,FALSE,"059-96";#N/A,#N/A,FALSE,"076-96";#N/A,#N/A,FALSE,"019-97";#N/A,#N/A,FALSE,"021-97";#N/A,#N/A,FALSE,"022-97";#N/A,#N/A,FALSE,"028-97"}</definedName>
    <definedName name="MAO_DE_OBRA" localSheetId="3">#REF!</definedName>
    <definedName name="mar17RJ" localSheetId="3">#REF!</definedName>
    <definedName name="MARCAX" localSheetId="3">#REF!</definedName>
    <definedName name="MARÇO" localSheetId="3">#REF!</definedName>
    <definedName name="MARÇO2001" localSheetId="3">#REF!</definedName>
    <definedName name="martha" localSheetId="3">#REF!</definedName>
    <definedName name="MASTER" localSheetId="3">{#N/A,#N/A,FALSE,"GERAL";#N/A,#N/A,FALSE,"012-96";#N/A,#N/A,FALSE,"018-96";#N/A,#N/A,FALSE,"027-96";#N/A,#N/A,FALSE,"059-96";#N/A,#N/A,FALSE,"076-96";#N/A,#N/A,FALSE,"019-97";#N/A,#N/A,FALSE,"021-97";#N/A,#N/A,FALSE,"022-97";#N/A,#N/A,FALSE,"028-97"}</definedName>
    <definedName name="MATERIAL" localSheetId="3">#REF!</definedName>
    <definedName name="mattubcust" localSheetId="3">{#N/A,#N/A,FALSE,"GERAL";#N/A,#N/A,FALSE,"012-96";#N/A,#N/A,FALSE,"018-96";#N/A,#N/A,FALSE,"027-96";#N/A,#N/A,FALSE,"059-96";#N/A,#N/A,FALSE,"076-96";#N/A,#N/A,FALSE,"019-97";#N/A,#N/A,FALSE,"021-97";#N/A,#N/A,FALSE,"022-97";#N/A,#N/A,FALSE,"028-97"}</definedName>
    <definedName name="MAURILIO" localSheetId="3">{#N/A,#N/A,FALSE,"Plan1";#N/A,#N/A,FALSE,"Plan2"}</definedName>
    <definedName name="MC" localSheetId="3">{#N/A,#N/A,FALSE,"GERAL";#N/A,#N/A,FALSE,"012-96";#N/A,#N/A,FALSE,"018-96";#N/A,#N/A,FALSE,"027-96";#N/A,#N/A,FALSE,"059-96";#N/A,#N/A,FALSE,"076-96";#N/A,#N/A,FALSE,"019-97";#N/A,#N/A,FALSE,"021-97";#N/A,#N/A,FALSE,"022-97";#N/A,#N/A,FALSE,"028-97"}</definedName>
    <definedName name="MCM" localSheetId="3">{#N/A,#N/A,FALSE,"GERAL";#N/A,#N/A,FALSE,"012-96";#N/A,#N/A,FALSE,"018-96";#N/A,#N/A,FALSE,"027-96";#N/A,#N/A,FALSE,"059-96";#N/A,#N/A,FALSE,"076-96";#N/A,#N/A,FALSE,"019-97";#N/A,#N/A,FALSE,"021-97";#N/A,#N/A,FALSE,"022-97";#N/A,#N/A,FALSE,"028-97"}</definedName>
    <definedName name="MCMV" localSheetId="3">#REF!</definedName>
    <definedName name="mdfgtr" localSheetId="3">{#N/A,#N/A,FALSE,"Plan1";#N/A,#N/A,FALSE,"Plan2"}</definedName>
    <definedName name="MDSÇLFJKJSD" localSheetId="3">{#N/A,#N/A,FALSE,"Plan1";#N/A,#N/A,FALSE,"Plan2"}</definedName>
    <definedName name="ME" localSheetId="3">{"HW",#N/A,FALSE,"1998"}</definedName>
    <definedName name="Medido_Fin_Medições" localSheetId="3">#REF!</definedName>
    <definedName name="melo_cdi" localSheetId="3">#REF!</definedName>
    <definedName name="melo_hist" localSheetId="3">#REF!</definedName>
    <definedName name="melo_uss" localSheetId="3">#REF!</definedName>
    <definedName name="MEMÓRIA" localSheetId="3">#REF!</definedName>
    <definedName name="memória2" localSheetId="3">#REF!</definedName>
    <definedName name="mensal" localSheetId="3">#REF!</definedName>
    <definedName name="MENU" localSheetId="3">#REF!</definedName>
    <definedName name="MENU1" localSheetId="3">#REF!</definedName>
    <definedName name="MENU2" localSheetId="3">#REF!</definedName>
    <definedName name="MENU3" localSheetId="3">#REF!</definedName>
    <definedName name="MENU4" localSheetId="3">#REF!</definedName>
    <definedName name="MENU5" localSheetId="3">#REF!</definedName>
    <definedName name="MENU6" localSheetId="3">#REF!</definedName>
    <definedName name="MENUBOM" localSheetId="3">#REF!</definedName>
    <definedName name="MENUEQP" localSheetId="3">#REF!</definedName>
    <definedName name="MENUFIM" localSheetId="3">#REF!</definedName>
    <definedName name="MENUMED" localSheetId="3">#REF!</definedName>
    <definedName name="MENUOBRA" localSheetId="3">#REF!</definedName>
    <definedName name="MENUOUT" localSheetId="3">#REF!</definedName>
    <definedName name="MENUOUTRO" localSheetId="3">#REF!</definedName>
    <definedName name="menures" localSheetId="3">#REF!</definedName>
    <definedName name="Mês_data_base" localSheetId="3">#REF!</definedName>
    <definedName name="Mês_Medição_Fin_Medições" localSheetId="3">#REF!</definedName>
    <definedName name="mes_relatorio" localSheetId="3">#REF!</definedName>
    <definedName name="Meses" localSheetId="3">#REF!</definedName>
    <definedName name="MESTRE" localSheetId="3">{#N/A,#N/A,FALSE,"GERAL";#N/A,#N/A,FALSE,"012-96";#N/A,#N/A,FALSE,"018-96";#N/A,#N/A,FALSE,"027-96";#N/A,#N/A,FALSE,"059-96";#N/A,#N/A,FALSE,"076-96";#N/A,#N/A,FALSE,"019-97";#N/A,#N/A,FALSE,"021-97";#N/A,#N/A,FALSE,"022-97";#N/A,#N/A,FALSE,"028-97"}</definedName>
    <definedName name="meta_venda" localSheetId="3">#REF!</definedName>
    <definedName name="MetaBP" localSheetId="3">#REF!</definedName>
    <definedName name="Minha_Casa_Minha_Vida" localSheetId="3">#REF!</definedName>
    <definedName name="MLMÇLKJKI" localSheetId="3">{#N/A,#N/A,FALSE,"Plan1";#N/A,#N/A,FALSE,"Plan2"}</definedName>
    <definedName name="MM"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mmmmm" localSheetId="3">{"tabela",#N/A,FALSE,"Tabela";"decoração",#N/A,FALSE,"Decor.";"Informações",#N/A,FALSE,"Inform."}</definedName>
    <definedName name="mmmmmmm"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MNBXFKGS" localSheetId="3">{#N/A,#N/A,FALSE,"Plan1";#N/A,#N/A,FALSE,"Plan2"}</definedName>
    <definedName name="mncvbgcvmc" localSheetId="3">{#N/A,#N/A,FALSE,"Plan1";#N/A,#N/A,FALSE,"Plan2"}</definedName>
    <definedName name="MNDKZSFNCEA" localSheetId="3">{#N/A,#N/A,FALSE,"Plan1";#N/A,#N/A,FALSE,"Plan2"}</definedName>
    <definedName name="mnhdshfgfhd" localSheetId="3">{#N/A,#N/A,FALSE,"Plan1";#N/A,#N/A,FALSE,"Plan2"}</definedName>
    <definedName name="mo" localSheetId="3">#REF!</definedName>
    <definedName name="mobra" localSheetId="3">{#N/A,#N/A,FALSE,"GERAL";#N/A,#N/A,FALSE,"012-96";#N/A,#N/A,FALSE,"018-96";#N/A,#N/A,FALSE,"027-96";#N/A,#N/A,FALSE,"059-96";#N/A,#N/A,FALSE,"076-96";#N/A,#N/A,FALSE,"019-97";#N/A,#N/A,FALSE,"021-97";#N/A,#N/A,FALSE,"022-97";#N/A,#N/A,FALSE,"028-97"}</definedName>
    <definedName name="Modelo1" localSheetId="3">{#N/A,#N/A,FALSE,"cdi";#N/A,#N/A,FALSE,"debent";#N/A,#N/A,FALSE,"fdos";#N/A,#N/A,FALSE,"resumo"}</definedName>
    <definedName name="Modelo1a" localSheetId="3">{#N/A,#N/A,FALSE,"cdi";#N/A,#N/A,FALSE,"debent";#N/A,#N/A,FALSE,"fdos";#N/A,#N/A,FALSE,"resumo"}</definedName>
    <definedName name="Modelo2" localSheetId="3">{#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módulo" localSheetId="3">#REF!</definedName>
    <definedName name="mond_cdi" localSheetId="3">#REF!</definedName>
    <definedName name="mond_hist" localSheetId="3">#REF!</definedName>
    <definedName name="mond_uss" localSheetId="3">#REF!</definedName>
    <definedName name="MP" localSheetId="3">{#N/A,#N/A,FALSE,"CCTV"}</definedName>
    <definedName name="MSDRFSWER" localSheetId="3">{"Econ Consolidado",#N/A,FALSE,"Econ Consol";"Fluxo de Caixa",#N/A,FALSE,"Fluxo Caixa";"Investimentos",#N/A,FALSE,"Investimentos"}</definedName>
    <definedName name="MURBOMB" localSheetId="3">#REF!</definedName>
    <definedName name="mzshdjshjs" localSheetId="3">{#N/A,#N/A,FALSE,"Plan1";#N/A,#N/A,FALSE,"Plan2"}</definedName>
    <definedName name="na" localSheetId="3">{#N/A,#N/A,FALSE,"$170M Cash";#N/A,#N/A,FALSE,"$250M Cash";#N/A,#N/A,FALSE,"$325M Cash"}</definedName>
    <definedName name="ncdgrdhrtg" localSheetId="3">{#N/A,#N/A,FALSE,"Plan1";#N/A,#N/A,FALSE,"Plan2"}</definedName>
    <definedName name="nchngdfhgdh" localSheetId="3">{#N/A,#N/A,FALSE,"Plan1";#N/A,#N/A,FALSE,"Plan2"}</definedName>
    <definedName name="NCJFKNGJHF" localSheetId="3">{#N/A,#N/A,FALSE,"Plan1";#N/A,#N/A,FALSE,"Plan2"}</definedName>
    <definedName name="NDATA" localSheetId="3">#REF!</definedName>
    <definedName name="ndcxhgdhf" localSheetId="3">{#N/A,#N/A,FALSE,"Plan1";#N/A,#N/A,FALSE,"Plan2"}</definedName>
    <definedName name="ndfjnjkrhdgt" localSheetId="3">{#N/A,#N/A,FALSE,"Plan1";#N/A,#N/A,FALSE,"Plan2"}</definedName>
    <definedName name="ndfkghkjthfyst" localSheetId="3">{#N/A,#N/A,FALSE,"Plan1";#N/A,#N/A,FALSE,"Plan2"}</definedName>
    <definedName name="ndfldslvjnvberugberqubquierbv" localSheetId="3">#REF!</definedName>
    <definedName name="NDJGKFKGHUFG" localSheetId="3">{#N/A,#N/A,FALSE,"Plan1";#N/A,#N/A,FALSE,"Plan2"}</definedName>
    <definedName name="ndrjkt" localSheetId="3">{#N/A,#N/A,FALSE,"Plan1";#N/A,#N/A,FALSE,"Plan2"}</definedName>
    <definedName name="new" localSheetId="3">{#N/A,#N/A,FALSE,"Global by BU";#N/A,#N/A,FALSE,"U.S. by BU";#N/A,#N/A,FALSE,"Canada by BU";#N/A,#N/A,FALSE,"Europe by BU";#N/A,#N/A,FALSE,"Asia by BU";#N/A,#N/A,FALSE,"Cala by BU"}</definedName>
    <definedName name="NEWNAME" localSheetId="3">{#N/A,#N/A,FALSE,"CCTV"}</definedName>
    <definedName name="nfgjkhvhfghn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nfkhdjkthde" localSheetId="3">{#N/A,#N/A,FALSE,"Plan1";#N/A,#N/A,FALSE,"Plan2"}</definedName>
    <definedName name="nhj"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NHJHFDSHF" localSheetId="3">{#N/A,#N/A,FALSE,"Plan1";#N/A,#N/A,FALSE,"Plan2"}</definedName>
    <definedName name="NJSDFHERTG" localSheetId="3">{#N/A,#N/A,FALSE,"Plan1";#N/A,#N/A,FALSE,"Plan2"}</definedName>
    <definedName name="nkfnsskdn" localSheetId="3">{#N/A,#N/A,FALSE,"Plan1";#N/A,#N/A,FALSE,"Plan2"}</definedName>
    <definedName name="NKJL"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nl" localSheetId="3">#REF!</definedName>
    <definedName name="nlaksjdwe" localSheetId="3">{#N/A,#N/A,FALSE,"Plan1";#N/A,#N/A,FALSE,"Plan2"}</definedName>
    <definedName name="nljsdfljfdsfr" localSheetId="3">{#N/A,#N/A,FALSE,"Plan1";#N/A,#N/A,FALSE,"Plan2"}</definedName>
    <definedName name="nm_k1" localSheetId="3">#REF!</definedName>
    <definedName name="nm_k2" localSheetId="3">#REF!</definedName>
    <definedName name="nm_k3" localSheetId="3">#REF!</definedName>
    <definedName name="nmjdfhxj" localSheetId="3">{#N/A,#N/A,FALSE,"Plan1";#N/A,#N/A,FALSE,"Plan2"}</definedName>
    <definedName name="nnmn" localSheetId="3">{#N/A,#N/A,FALSE,"Plan1";#N/A,#N/A,FALSE,"Plan2"}</definedName>
    <definedName name="nnn" localSheetId="3">{#N/A,#N/A,FALSE,"Plan1";#N/A,#N/A,FALSE,"Plan2"}</definedName>
    <definedName name="nnnnnnnnnnn" localSheetId="3">{"HW",#N/A,FALSE,"1998"}</definedName>
    <definedName name="NNNNNNNNNNNNNNN" localSheetId="3">{#N/A,#N/A,FALSE,"Plan1";#N/A,#N/A,FALSE,"Plan2"}</definedName>
    <definedName name="nnnnnnnnnnnnnnnnnnnn" localSheetId="3">{#N/A,#N/A,FALSE,"Plan1";#N/A,#N/A,FALSE,"Plan2"}</definedName>
    <definedName name="NNXFT" localSheetId="3">{#N/A,#N/A,FALSE,"Plan1";#N/A,#N/A,FALSE,"Plan2"}</definedName>
    <definedName name="no" localSheetId="3">#REF!</definedName>
    <definedName name="NOME" localSheetId="3">#REF!</definedName>
    <definedName name="nome2" localSheetId="3">#REF!</definedName>
    <definedName name="NOMEITEM" localSheetId="3">#REF!</definedName>
    <definedName name="NOMEOBRA" localSheetId="3">#REF!</definedName>
    <definedName name="nov17RJ" localSheetId="3">#REF!</definedName>
    <definedName name="NOVE" localSheetId="3">#REF!</definedName>
    <definedName name="NOVEMBRO" localSheetId="3">#REF!</definedName>
    <definedName name="nsdkfndgfdnatf" localSheetId="3">{#N/A,#N/A,FALSE,"Plan1";#N/A,#N/A,FALSE,"Plan2"}</definedName>
    <definedName name="nsfljdiljrf" localSheetId="3">{#N/A,#N/A,FALSE,"Plan1";#N/A,#N/A,FALSE,"Plan2"}</definedName>
    <definedName name="NUCOPIAS" localSheetId="3">#REF!</definedName>
    <definedName name="NUMOBRA" localSheetId="3">#REF!</definedName>
    <definedName name="NutN" localSheetId="3">#REF!</definedName>
    <definedName name="nzxcnnjkd" localSheetId="3">{#N/A,#N/A,FALSE,"Plan1";#N/A,#N/A,FALSE,"Plan2"}</definedName>
    <definedName name="OAE" localSheetId="3">#REF!</definedName>
    <definedName name="OBRA" localSheetId="3">#REF!</definedName>
    <definedName name="Obra_Fin_Medição" localSheetId="3">#REF!</definedName>
    <definedName name="OBRA_PROJETADO" localSheetId="3">#REF!</definedName>
    <definedName name="Obra_Rel_Controladoria" localSheetId="3">#REF!</definedName>
    <definedName name="Obra_Sienge" localSheetId="3">#REF!</definedName>
    <definedName name="Obra2_Fin_Medição" localSheetId="3">#REF!</definedName>
    <definedName name="OBRALOC" localSheetId="3">#REF!</definedName>
    <definedName name="OBRAS" localSheetId="3">#REF!</definedName>
    <definedName name="Obras_Apoio_Rel_Controladoria" localSheetId="3">#REF!</definedName>
    <definedName name="OBRAS_REALIZADO" localSheetId="3">#REF!</definedName>
    <definedName name="OBRASEL" localSheetId="3">#REF!</definedName>
    <definedName name="odfuudor" localSheetId="3">{#N/A,#N/A,FALSE,"Plan1";#N/A,#N/A,FALSE,"Plan2"}</definedName>
    <definedName name="ODH" localSheetId="3">#REF!</definedName>
    <definedName name="oficial_mes" localSheetId="3">#REF!</definedName>
    <definedName name="oficial2_mes" localSheetId="3">#REF!</definedName>
    <definedName name="oiditrot" localSheetId="3">{#N/A,#N/A,FALSE,"Plan1";#N/A,#N/A,FALSE,"Plan2"}</definedName>
    <definedName name="oio" localSheetId="3">{#N/A,#N/A,FALSE,"Plan1";#N/A,#N/A,FALSE,"Plan2"}</definedName>
    <definedName name="OITO" localSheetId="3">#REF!</definedName>
    <definedName name="OJÇLJ" localSheetId="3">{#N/A,#N/A,FALSE,"Plan1";#N/A,#N/A,FALSE,"Plan2"}</definedName>
    <definedName name="ojkdfit" localSheetId="3">{#N/A,#N/A,FALSE,"Plan1";#N/A,#N/A,FALSE,"Plan2"}</definedName>
    <definedName name="ONZE" localSheetId="3">#REF!</definedName>
    <definedName name="ooo" localSheetId="3">{#N/A,#N/A,FALSE,"Plan1";#N/A,#N/A,FALSE,"Plan2"}</definedName>
    <definedName name="OPASEDWED" localSheetId="3">{"Econ Consolidado",#N/A,FALSE,"Econ Consol";"Fluxo de Caixa",#N/A,FALSE,"Fluxo Caixa";"Investimentos",#N/A,FALSE,"Investimentos"}</definedName>
    <definedName name="opcao_taxa_desconto" localSheetId="3">#REF!</definedName>
    <definedName name="opções" localSheetId="3">#REF!</definedName>
    <definedName name="opiwre" localSheetId="3">{#N/A,#N/A,FALSE,"Plan1";#N/A,#N/A,FALSE,"Plan2"}</definedName>
    <definedName name="ORCAMEN" localSheetId="3">#REF!</definedName>
    <definedName name="Orcamentistas" localSheetId="3">#REF!</definedName>
    <definedName name="origem_recebiveis" localSheetId="3">#REF!</definedName>
    <definedName name="origem_unidades" localSheetId="3">#REF!</definedName>
    <definedName name="Origem2_Recebimento_Fin_Medições" localSheetId="3">#REF!</definedName>
    <definedName name="os" localSheetId="3">{#N/A,#N/A,FALSE,"TABLE"}</definedName>
    <definedName name="osca_cdi" localSheetId="3">#REF!</definedName>
    <definedName name="osca_hist" localSheetId="3">#REF!</definedName>
    <definedName name="osca_uss" localSheetId="3">#REF!</definedName>
    <definedName name="otodgkrjglsrd" localSheetId="3">{#N/A,#N/A,FALSE,"Plan1";#N/A,#N/A,FALSE,"Plan2"}</definedName>
    <definedName name="OUERWRSR" localSheetId="3">{#N/A,#N/A,FALSE,"Plan1";#N/A,#N/A,FALSE,"Plan2"}</definedName>
    <definedName name="out17RJ" localSheetId="3">#REF!</definedName>
    <definedName name="outro" localSheetId="3">#REF!</definedName>
    <definedName name="OUTROS" localSheetId="3">#REF!</definedName>
    <definedName name="OUTROS_CCUSTO" localSheetId="3">#REF!</definedName>
    <definedName name="Outros_Pisos" localSheetId="3">#REF!</definedName>
    <definedName name="Outros1" localSheetId="3">#REF!</definedName>
    <definedName name="OUTUBRO" localSheetId="3">#REF!</definedName>
    <definedName name="overhaul"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oxfo_cdi" localSheetId="3">#REF!</definedName>
    <definedName name="oxfo_hist" localSheetId="3">#REF!</definedName>
    <definedName name="oxfo_uss" localSheetId="3">#REF!</definedName>
    <definedName name="P" localSheetId="3">#REF!</definedName>
    <definedName name="PA" localSheetId="3">#REF!</definedName>
    <definedName name="Padrao_A" localSheetId="3">#REF!</definedName>
    <definedName name="Padrao_B" localSheetId="3">#REF!</definedName>
    <definedName name="Padrao_C" localSheetId="3">#REF!</definedName>
    <definedName name="Padrao_D" localSheetId="3">#REF!</definedName>
    <definedName name="Padrao_E" localSheetId="3">#REF!</definedName>
    <definedName name="Padrao_F" localSheetId="3">#REF!</definedName>
    <definedName name="Pagamento_Num" localSheetId="3">ROW()-Linha_Cabeçalho</definedName>
    <definedName name="Pago_Até_2015_Controladoria" localSheetId="3">#REF!</definedName>
    <definedName name="PAP" localSheetId="3">#REF!</definedName>
    <definedName name="PARAM_FIS_1" localSheetId="3">#REF!</definedName>
    <definedName name="PARAM_FIS_2" localSheetId="3">#REF!</definedName>
    <definedName name="ParamValues1" localSheetId="3">#REF!</definedName>
    <definedName name="ParamValues2" localSheetId="3">#REF!</definedName>
    <definedName name="Parao_E" localSheetId="3">#REF!</definedName>
    <definedName name="Parede1" localSheetId="3">#REF!</definedName>
    <definedName name="Parede2" localSheetId="3">#REF!</definedName>
    <definedName name="PAREDES" localSheetId="3">#REF!</definedName>
    <definedName name="PAV" localSheetId="3">#REF!</definedName>
    <definedName name="PAVILHAO" localSheetId="3">#REF!</definedName>
    <definedName name="PAVT" localSheetId="3">#REF!</definedName>
    <definedName name="PDER" localSheetId="3">#REF!</definedName>
    <definedName name="PDIVERS" localSheetId="3">#REF!</definedName>
    <definedName name="PE" localSheetId="3">#REF!</definedName>
    <definedName name="PEMD" localSheetId="3">#REF!</definedName>
    <definedName name="Pendencias" localSheetId="3">{#N/A,#N/A,FALSE,"GERAL";#N/A,#N/A,FALSE,"012-96";#N/A,#N/A,FALSE,"018-96";#N/A,#N/A,FALSE,"027-96";#N/A,#N/A,FALSE,"059-96";#N/A,#N/A,FALSE,"076-96";#N/A,#N/A,FALSE,"019-97";#N/A,#N/A,FALSE,"021-97";#N/A,#N/A,FALSE,"022-97";#N/A,#N/A,FALSE,"028-97"}</definedName>
    <definedName name="pendencias2" localSheetId="3">{#N/A,#N/A,FALSE,"GERAL";#N/A,#N/A,FALSE,"012-96";#N/A,#N/A,FALSE,"018-96";#N/A,#N/A,FALSE,"027-96";#N/A,#N/A,FALSE,"059-96";#N/A,#N/A,FALSE,"076-96";#N/A,#N/A,FALSE,"019-97";#N/A,#N/A,FALSE,"021-97";#N/A,#N/A,FALSE,"022-97";#N/A,#N/A,FALSE,"028-97"}</definedName>
    <definedName name="pendencias3" localSheetId="3">{#N/A,#N/A,FALSE,"GERAL";#N/A,#N/A,FALSE,"012-96";#N/A,#N/A,FALSE,"018-96";#N/A,#N/A,FALSE,"027-96";#N/A,#N/A,FALSE,"059-96";#N/A,#N/A,FALSE,"076-96";#N/A,#N/A,FALSE,"019-97";#N/A,#N/A,FALSE,"021-97";#N/A,#N/A,FALSE,"022-97";#N/A,#N/A,FALSE,"028-97"}</definedName>
    <definedName name="perfura" localSheetId="3">#REF!</definedName>
    <definedName name="Perímetro_lajão" localSheetId="3">#REF!</definedName>
    <definedName name="Perímetro_Terreno" localSheetId="3">#REF!</definedName>
    <definedName name="Perímetro_torre" localSheetId="3">#REF!</definedName>
    <definedName name="pessoal" localSheetId="3">#REF!</definedName>
    <definedName name="PhyG" localSheetId="3">#REF!</definedName>
    <definedName name="PhyGS" localSheetId="3">#REF!</definedName>
    <definedName name="PI" localSheetId="3">#REF!</definedName>
    <definedName name="piaz"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PIEQUIP" localSheetId="3">#REF!</definedName>
    <definedName name="Pintura" localSheetId="3">#REF!</definedName>
    <definedName name="PIS_COFINS" localSheetId="3">#REF!</definedName>
    <definedName name="PisCofins" localSheetId="3">#REF!</definedName>
    <definedName name="Piso1" localSheetId="3">#REF!</definedName>
    <definedName name="Piso2" localSheetId="3">#REF!</definedName>
    <definedName name="PISOS" localSheetId="3">#REF!</definedName>
    <definedName name="PL" localSheetId="3">#REF!</definedName>
    <definedName name="PLACAS" localSheetId="3">{#N/A,#N/A,TRUE,"Quinzena 01 à 15-04-98 "}</definedName>
    <definedName name="Placas_Areas" localSheetId="3">{#N/A,#N/A,TRUE,"Quinzena 01 à 15-04-98 "}</definedName>
    <definedName name="PLAN" localSheetId="3">#REF!</definedName>
    <definedName name="plan2"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PLANILHA" localSheetId="3">#REF!</definedName>
    <definedName name="Planilha2" localSheetId="3">#REF!</definedName>
    <definedName name="plasçdeaw" localSheetId="3">{#N/A,#N/A,FALSE,"Plan1";#N/A,#N/A,FALSE,"Plan2"}</definedName>
    <definedName name="plaslrswe" localSheetId="3">{#N/A,#N/A,FALSE,"Plan1";#N/A,#N/A,FALSE,"Plan2"}</definedName>
    <definedName name="pls" localSheetId="3">#REF!</definedName>
    <definedName name="plsearpef" localSheetId="3">{#N/A,#N/A,FALSE,"Plan1";#N/A,#N/A,FALSE,"Plan2"}</definedName>
    <definedName name="plss" localSheetId="3">{#N/A,#N/A,FALSE,"Plan1";#N/A,#N/A,FALSE,"Plan2"}</definedName>
    <definedName name="PMUR" localSheetId="3">#REF!</definedName>
    <definedName name="PN2건축"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onderações" localSheetId="3">#REF!</definedName>
    <definedName name="Pós_Chaves" localSheetId="3">#REF!</definedName>
    <definedName name="pr" localSheetId="3">#REF!</definedName>
    <definedName name="PRAZO" localSheetId="3">#REF!</definedName>
    <definedName name="Prazo_da_Estrutura" localSheetId="3">#REF!</definedName>
    <definedName name="PRAZO_EDITAL" localSheetId="3">#REF!</definedName>
    <definedName name="Prazo_Obra" localSheetId="3">#REF!</definedName>
    <definedName name="PRAZO_ORC" localSheetId="3">#REF!</definedName>
    <definedName name="prazo2" localSheetId="3">#REF!</definedName>
    <definedName name="PRE" localSheetId="3">#REF!</definedName>
    <definedName name="PREÇ" localSheetId="3">OFFSET(#REF!,0,0,COUNTA(#REF!),1)</definedName>
    <definedName name="Preço" localSheetId="3">ROW()-Linha_Cabeçalho</definedName>
    <definedName name="Previsão_Inicial_abr_16" localSheetId="3">#REF!</definedName>
    <definedName name="Previsão_Inicial_ago_16" localSheetId="3">#REF!</definedName>
    <definedName name="Previsão_Inicial_dez_16" localSheetId="3">#REF!</definedName>
    <definedName name="Previsão_Inicial_fev_16" localSheetId="3">#REF!</definedName>
    <definedName name="Previsão_Inicial_jan_16" localSheetId="3">#REF!</definedName>
    <definedName name="Previsão_Inicial_jul_16" localSheetId="3">#REF!</definedName>
    <definedName name="Previsão_Inicial_jun_16" localSheetId="3">#REF!</definedName>
    <definedName name="Previsão_Inicial_mai_16" localSheetId="3">#REF!</definedName>
    <definedName name="Previsão_Inicial_mar_16" localSheetId="3">#REF!</definedName>
    <definedName name="Previsão_Inicial_nov_16" localSheetId="3">#REF!</definedName>
    <definedName name="Previsão_Inicial_out_16" localSheetId="3">#REF!</definedName>
    <definedName name="Previsão_Inicial_set_16" localSheetId="3">#REF!</definedName>
    <definedName name="Previsão_Vento1" localSheetId="3">#REF!</definedName>
    <definedName name="Previsto_a_medir_Fin_Medições" localSheetId="3">#REF!</definedName>
    <definedName name="print" localSheetId="3">{#N/A,#N/A,FALSE,"$170M Cash";#N/A,#N/A,FALSE,"$250M Cash";#N/A,#N/A,FALSE,"$325M Cash"}</definedName>
    <definedName name="_xlnm.Print_Area" localSheetId="3">#REF!</definedName>
    <definedName name="Print_Area_MI" localSheetId="3">#REF!</definedName>
    <definedName name="_xlnm.Print_Titles" localSheetId="3">#REF!</definedName>
    <definedName name="PRINT_TITLES_MI" localSheetId="3">#REF!</definedName>
    <definedName name="programa" localSheetId="3">#REF!</definedName>
    <definedName name="Programaa" localSheetId="3">#REF!</definedName>
    <definedName name="Projeção_torre" localSheetId="3">#REF!</definedName>
    <definedName name="projeto_nome_com" localSheetId="3">IF((COUNTA(#REF!)-2)&gt;1,"TERRENO "&amp;VLOOKUP(#REF!,#REF!,8,0),VLOOKUP(#REF!,#REF!,3,0))</definedName>
    <definedName name="PROPAGANDA" localSheetId="3">#REF!</definedName>
    <definedName name="ptirigyiotut" localSheetId="3">{#N/A,#N/A,FALSE,"Plan1";#N/A,#N/A,FALSE,"Plan2"}</definedName>
    <definedName name="PWER3" localSheetId="3">{#N/A,#N/A,FALSE,"Plan1";#N/A,#N/A,FALSE,"Plan2"}</definedName>
    <definedName name="q" localSheetId="3">#REF!</definedName>
    <definedName name="QCLIENTE_PCLIENTE" localSheetId="3">#REF!</definedName>
    <definedName name="QCliente_PCliente1" localSheetId="3">#REF!</definedName>
    <definedName name="qe" localSheetId="3">#REF!</definedName>
    <definedName name="qee" localSheetId="3">#REF!</definedName>
    <definedName name="qkqh1" localSheetId="3">{#N/A,#N/A,FALSE,"명세표"}</definedName>
    <definedName name="QOAS_POAS" localSheetId="3">#REF!</definedName>
    <definedName name="QQ"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QQQ" localSheetId="3">#REF!:#REF!</definedName>
    <definedName name="QQQQQQQQ" localSheetId="3">#REF!</definedName>
    <definedName name="QREAL_PCLIENTE" localSheetId="3">#REF!</definedName>
    <definedName name="QReal_PCliente1" localSheetId="3">#REF!</definedName>
    <definedName name="QSQWSE" localSheetId="3">{#N/A,#N/A,FALSE,"Plan1";#N/A,#N/A,FALSE,"Plan2"}</definedName>
    <definedName name="qtd_mensal" localSheetId="3">#REF!</definedName>
    <definedName name="qtd3esta" localSheetId="3">#REF!</definedName>
    <definedName name="qtdbase" localSheetId="3">#REF!</definedName>
    <definedName name="qtdbltub" localSheetId="3">#REF!</definedName>
    <definedName name="qtdestac" localSheetId="3">#REF!</definedName>
    <definedName name="qtdsap" localSheetId="3">#REF!</definedName>
    <definedName name="qtdtub" localSheetId="3">#REF!</definedName>
    <definedName name="QTNULO" localSheetId="3">#REF!</definedName>
    <definedName name="QTPADRAO" localSheetId="3">#REF!</definedName>
    <definedName name="QTRES" localSheetId="3">#REF!</definedName>
    <definedName name="QuadraE" localSheetId="3">#REF!</definedName>
    <definedName name="quadrocompar." localSheetId="3">#REF!</definedName>
    <definedName name="QUANT" localSheetId="3">#REF!</definedName>
    <definedName name="Quant_Aptos" localSheetId="3">#REF!</definedName>
    <definedName name="Quant_Cremalheira" localSheetId="3">#REF!</definedName>
    <definedName name="Quant_grua" localSheetId="3">#REF!</definedName>
    <definedName name="Quant_pav_lajão" localSheetId="3">#REF!</definedName>
    <definedName name="Quant_tipo" localSheetId="3">#REF!</definedName>
    <definedName name="Quant_torres" localSheetId="3">#REF!</definedName>
    <definedName name="Quantidade_Elevadores" localSheetId="3">#REF!</definedName>
    <definedName name="QUANTP" localSheetId="3">#REF!</definedName>
    <definedName name="QUATRO" localSheetId="3">#REF!</definedName>
    <definedName name="QUINZE" localSheetId="3">#REF!</definedName>
    <definedName name="qwdqw" localSheetId="3">{#N/A,#N/A,FALSE,"Plan1";#N/A,#N/A,FALSE,"Plan2"}</definedName>
    <definedName name="qweqwe" localSheetId="3">{#N/A,#N/A,FALSE,"Plan1";#N/A,#N/A,FALSE,"Plan2"}</definedName>
    <definedName name="qweqwe4"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qwewqe" localSheetId="3">#REF!</definedName>
    <definedName name="R.imobAtualiz" localSheetId="3">#REF!</definedName>
    <definedName name="R_CorretAtualiz" localSheetId="3">#REF!</definedName>
    <definedName name="R_G.Cobr.Atualiz" localSheetId="3">#REF!</definedName>
    <definedName name="R_PmaisJAtualiz" localSheetId="3">#REF!</definedName>
    <definedName name="R_Prev.PerdaAtualiz" localSheetId="3">#REF!</definedName>
    <definedName name="RADIO" localSheetId="3">{"HW",#N/A,FALSE,"1998"}</definedName>
    <definedName name="RANGE" localSheetId="3">#REF!</definedName>
    <definedName name="RANGE1" localSheetId="3">#REF!</definedName>
    <definedName name="RANGE2" localSheetId="3">#REF!</definedName>
    <definedName name="RARQIMP" localSheetId="3">#REF!</definedName>
    <definedName name="RawData" localSheetId="3">#REF!</definedName>
    <definedName name="RE" localSheetId="3">#REF!</definedName>
    <definedName name="RECADUC" localSheetId="3">#REF!</definedName>
    <definedName name="Recebido_Acumulado_2015_Controladoria" localSheetId="3">#REF!</definedName>
    <definedName name="RE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reforsu" localSheetId="3">#REF!</definedName>
    <definedName name="REL_RJ" localSheetId="3">#REF!</definedName>
    <definedName name="REL_SP" localSheetId="3">#REF!</definedName>
    <definedName name="relat3" localSheetId="3">#REF!</definedName>
    <definedName name="ren" localSheetId="3">#REF!</definedName>
    <definedName name="REPETIÇÃO" localSheetId="3">#REF!</definedName>
    <definedName name="ReqC" localSheetId="3">#REF!</definedName>
    <definedName name="Responsável_Rel_Controladoria" localSheetId="3">#REF!</definedName>
    <definedName name="resum" localSheetId="3">{"'Ethernet Hubs'!$A$1:$F$14","'Licences'!$A$1:$F$16","'Ports and Converters'!$A$1:$F$46","'Standard Routers'!$A$1:$F$28","'Ports and Converters'!$A$1:$G$46","'Router Chassis'!$A$1:$F$21","'Cables and Connectors'!$A$1:$F$41","'Support, Training and Docs'!$A$1:$F$6","'Management'!$A$1:$F$8"}</definedName>
    <definedName name="RESUMO" localSheetId="3">#REF!</definedName>
    <definedName name="RESUMO2" localSheetId="3">{#N/A,#N/A,TRUE,"Quinzena 01 à 15-04-98 "}</definedName>
    <definedName name="REV" localSheetId="3">#REF!</definedName>
    <definedName name="RF" localSheetId="3">{#N/A,#N/A,FALSE,"CCTV"}</definedName>
    <definedName name="rgedrfrgfdg" localSheetId="3">{#N/A,#N/A,FALSE,"Plan1";#N/A,#N/A,FALSE,"Plan2"}</definedName>
    <definedName name="rhdrmq"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I" localSheetId="3">#REF!</definedName>
    <definedName name="ridbeb" localSheetId="3">#REF!</definedName>
    <definedName name="RIDCHAF" localSheetId="3">#REF!</definedName>
    <definedName name="ridres05" localSheetId="3">#REF!</definedName>
    <definedName name="RIDRES10" localSheetId="3">#REF!</definedName>
    <definedName name="RIDRES15" localSheetId="3">#REF!</definedName>
    <definedName name="RO" localSheetId="3">#REF!</definedName>
    <definedName name="Rodapé" localSheetId="3">#REF!</definedName>
    <definedName name="RODAPÉS" localSheetId="3">#REF!</definedName>
    <definedName name="ROMANO" localSheetId="3">#REF!</definedName>
    <definedName name="ROTCOMP" localSheetId="3">#REF!</definedName>
    <definedName name="ROTIMP" localSheetId="3">#REF!</definedName>
    <definedName name="ROTRES" localSheetId="3">#REF!</definedName>
    <definedName name="RQTADUC" localSheetId="3">#REF!</definedName>
    <definedName name="rqtbeb" localSheetId="3">#REF!</definedName>
    <definedName name="RQTCHAF" localSheetId="3">#REF!</definedName>
    <definedName name="RQTDERV" localSheetId="3">#REF!</definedName>
    <definedName name="rres05" localSheetId="3">#REF!</definedName>
    <definedName name="RRES10" localSheetId="3">#REF!</definedName>
    <definedName name="RRES15" localSheetId="3">#REF!</definedName>
    <definedName name="RRES20" localSheetId="3">#REF!</definedName>
    <definedName name="rrrrr" localSheetId="3">{"'장비'!$A$3:$M$12"}</definedName>
    <definedName name="rrrrrrrr" localSheetId="3">{"'장비'!$A$3:$M$12"}</definedName>
    <definedName name="rrrrrrrrrrr" localSheetId="3">{#N/A,#N/A,TRUE,"Quinzena 01 à 15-04-98 "}</definedName>
    <definedName name="RSEQ" localSheetId="3">#REF!</definedName>
    <definedName name="RSUBTOT" localSheetId="3">#REF!</definedName>
    <definedName name="rtitbeb" localSheetId="3">#REF!</definedName>
    <definedName name="RTITCHAF" localSheetId="3">#REF!</definedName>
    <definedName name="rtubos" localSheetId="3">#REF!</definedName>
    <definedName name="RTYE" localSheetId="3">{"'장비'!$A$3:$M$12"}</definedName>
    <definedName name="s" localSheetId="3">#REF!</definedName>
    <definedName name="sa"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aa" localSheetId="3">{#N/A,#N/A,FALSE,"GERAL";#N/A,#N/A,FALSE,"012-96";#N/A,#N/A,FALSE,"018-96";#N/A,#N/A,FALSE,"027-96";#N/A,#N/A,FALSE,"059-96";#N/A,#N/A,FALSE,"076-96";#N/A,#N/A,FALSE,"019-97";#N/A,#N/A,FALSE,"021-97";#N/A,#N/A,FALSE,"022-97";#N/A,#N/A,FALSE,"028-97"}</definedName>
    <definedName name="sad"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adasd" localSheetId="3">{#N/A,#N/A,FALSE,"Plan1";#N/A,#N/A,FALSE,"Plan2"}</definedName>
    <definedName name="sadked"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adkrjkedft" localSheetId="3">{#N/A,#N/A,FALSE,"Plan1";#N/A,#N/A,FALSE,"Plan2"}</definedName>
    <definedName name="SADSRTR" localSheetId="3">{#N/A,#N/A,FALSE,"Plan1";#N/A,#N/A,FALSE,"Plan2"}</definedName>
    <definedName name="sadwde" localSheetId="3">{#N/A,#N/A,FALSE,"Plan1";#N/A,#N/A,FALSE,"Plan2"}</definedName>
    <definedName name="Salas" localSheetId="3">#REF!</definedName>
    <definedName name="sanjay" localSheetId="3">{#N/A,#N/A,FALSE,"TABLE"}</definedName>
    <definedName name="sapata" localSheetId="3">#REF!</definedName>
    <definedName name="SAS" localSheetId="3">{#N/A,#N/A,FALSE,"Plan1";#N/A,#N/A,FALSE,"Plan2"}</definedName>
    <definedName name="sasads" localSheetId="3">{#N/A,#N/A,FALSE,"Plan1";#N/A,#N/A,FALSE,"Plan2"}</definedName>
    <definedName name="SC" localSheetId="3">#REF!</definedName>
    <definedName name="sda" localSheetId="3">#REF!</definedName>
    <definedName name="sdae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DAOTGFR" localSheetId="3">{#N/A,#N/A,FALSE,"Plan1";#N/A,#N/A,FALSE,"Plan2"}</definedName>
    <definedName name="sdckd" localSheetId="3">{#N/A,#N/A,FALSE,"Plan1";#N/A,#N/A,FALSE,"Plan2"}</definedName>
    <definedName name="SDDFKSEDE" localSheetId="3">{#N/A,#N/A,FALSE,"Plan1";#N/A,#N/A,FALSE,"Plan2"}</definedName>
    <definedName name="sddkslker" localSheetId="3">{#N/A,#N/A,FALSE,"Plan1";#N/A,#N/A,FALSE,"Plan2"}</definedName>
    <definedName name="sdefr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derj"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dert" localSheetId="3">#REF!</definedName>
    <definedName name="sdfd"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dfdds" localSheetId="3">{#N/A,#N/A,FALSE,"Plan1";#N/A,#N/A,FALSE,"Plan2"}</definedName>
    <definedName name="sdfdfc" localSheetId="3">{#N/A,#N/A,FALSE,"Plan1";#N/A,#N/A,FALSE,"Plan2"}</definedName>
    <definedName name="sdfdf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dfdgft" localSheetId="3">{#N/A,#N/A,FALSE,"Plan1";#N/A,#N/A,FALSE,"Plan2"}</definedName>
    <definedName name="sdfdsf" localSheetId="3">{#N/A,#N/A,FALSE,"Plan1";#N/A,#N/A,FALSE,"Plan2"}</definedName>
    <definedName name="SDFEDRT" localSheetId="3">{#N/A,#N/A,FALSE,"Plan1";#N/A,#N/A,FALSE,"Plan2"}</definedName>
    <definedName name="sdfer" localSheetId="3">{#N/A,#N/A,FALSE,"Plan1";#N/A,#N/A,FALSE,"Plan2"}</definedName>
    <definedName name="sdferr" localSheetId="3">{#N/A,#N/A,FALSE,"Plan1";#N/A,#N/A,FALSE,"Plan2"}</definedName>
    <definedName name="sdfe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DFGJFSRF" localSheetId="3">{#N/A,#N/A,FALSE,"Plan1";#N/A,#N/A,FALSE,"Plan2"}</definedName>
    <definedName name="sdfgtr" localSheetId="3">{#N/A,#N/A,FALSE,"Plan1";#N/A,#N/A,FALSE,"Plan2"}</definedName>
    <definedName name="sdfjdetrt" localSheetId="3">{#N/A,#N/A,FALSE,"Plan1";#N/A,#N/A,FALSE,"Plan2"}</definedName>
    <definedName name="SDFJDRTJEIDR" localSheetId="3">{#N/A,#N/A,FALSE,"Plan1";#N/A,#N/A,FALSE,"Plan2"}</definedName>
    <definedName name="sdfjergtij" localSheetId="3">{#N/A,#N/A,FALSE,"Plan1";#N/A,#N/A,FALSE,"Plan2"}</definedName>
    <definedName name="SDFOPJKWE" localSheetId="3">{#N/A,#N/A,FALSE,"Plan1";#N/A,#N/A,FALSE,"Plan2"}</definedName>
    <definedName name="sdfrdt5"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dfrt" localSheetId="3">{#N/A,#N/A,FALSE,"Plan1";#N/A,#N/A,FALSE,"Plan2"}</definedName>
    <definedName name="SDFRTKK" localSheetId="3">{#N/A,#N/A,FALSE,"Plan1";#N/A,#N/A,FALSE,"Plan2"}</definedName>
    <definedName name="SDFRTR" localSheetId="3">{#N/A,#N/A,FALSE,"Plan1";#N/A,#N/A,FALSE,"Plan2"}</definedName>
    <definedName name="sdfry6" localSheetId="3">{#N/A,#N/A,FALSE,"Plan1";#N/A,#N/A,FALSE,"Plan2"}</definedName>
    <definedName name="sdfsaf" localSheetId="3">{#N/A,#N/A,FALSE,"Plan1";#N/A,#N/A,FALSE,"Plan2"}</definedName>
    <definedName name="sdfsd" localSheetId="3">{"'Estimativa de Lançamento-JAN'!$A$1:$AI$85"}</definedName>
    <definedName name="sdfsdfg" localSheetId="3">{#N/A,#N/A,FALSE,"Plan1";#N/A,#N/A,FALSE,"Plan2"}</definedName>
    <definedName name="SDFSDFK" localSheetId="3">{#N/A,#N/A,FALSE,"Plan1";#N/A,#N/A,FALSE,"Plan2"}</definedName>
    <definedName name="sdfsdgftret" localSheetId="3">{#N/A,#N/A,FALSE,"Plan1";#N/A,#N/A,FALSE,"Plan2"}</definedName>
    <definedName name="sdfsf" localSheetId="3">{#N/A,#N/A,FALSE,"Plan1";#N/A,#N/A,FALSE,"Plan2"}</definedName>
    <definedName name="SDFSFRT" localSheetId="3">{"Econ Consolidado",#N/A,FALSE,"Econ Consol";"Fluxo de Caixa",#N/A,FALSE,"Fluxo Caixa";"Investimentos",#N/A,FALSE,"Investimentos"}</definedName>
    <definedName name="sdfsr" localSheetId="3">{#N/A,#N/A,FALSE,"Plan1";#N/A,#N/A,FALSE,"Plan2"}</definedName>
    <definedName name="sdfty" localSheetId="3">{#N/A,#N/A,FALSE,"Plan1";#N/A,#N/A,FALSE,"Plan2"}</definedName>
    <definedName name="sdgdf" localSheetId="3">{#N/A,#N/A,FALSE,"Plan1";#N/A,#N/A,FALSE,"Plan2"}</definedName>
    <definedName name="sdgfrt" localSheetId="3">{#N/A,#N/A,FALSE,"Plan1";#N/A,#N/A,FALSE,"Plan2"}</definedName>
    <definedName name="sdgft" localSheetId="3">{#N/A,#N/A,FALSE,"Plan1";#N/A,#N/A,FALSE,"Plan2"}</definedName>
    <definedName name="sdgt" localSheetId="3">{#N/A,#N/A,FALSE,"Plan1";#N/A,#N/A,FALSE,"Plan2"}</definedName>
    <definedName name="sdgtry" localSheetId="3">#REF!</definedName>
    <definedName name="sdhfghdsfg" localSheetId="3">{#N/A,#N/A,FALSE,"Plan1";#N/A,#N/A,FALSE,"Plan2"}</definedName>
    <definedName name="SDHFJKHDFJRE" localSheetId="3">{#N/A,#N/A,FALSE,"Plan1";#N/A,#N/A,FALSE,"Plan2"}</definedName>
    <definedName name="SDHKFDRKGTR" localSheetId="3">{#N/A,#N/A,FALSE,"Plan1";#N/A,#N/A,FALSE,"Plan2"}</definedName>
    <definedName name="sdjdswger" localSheetId="3">{#N/A,#N/A,FALSE,"Plan1";#N/A,#N/A,FALSE,"Plan2"}</definedName>
    <definedName name="sdjfdf" localSheetId="3">{#N/A,#N/A,FALSE,"Plan1";#N/A,#N/A,FALSE,"Plan2"}</definedName>
    <definedName name="sdjfhdjk" localSheetId="3">{#N/A,#N/A,FALSE,"Plan1";#N/A,#N/A,FALSE,"Plan2"}</definedName>
    <definedName name="SDJFJDER" localSheetId="3">{#N/A,#N/A,FALSE,"Plan1";#N/A,#N/A,FALSE,"Plan2"}</definedName>
    <definedName name="sdjflsdjfl" localSheetId="3">{#N/A,#N/A,FALSE,"Plan1";#N/A,#N/A,FALSE,"Plan2"}</definedName>
    <definedName name="SDJHF" localSheetId="3">{#N/A,#N/A,FALSE,"Plan1";#N/A,#N/A,FALSE,"Plan2"}</definedName>
    <definedName name="sdjrderertrr" localSheetId="3">{#N/A,#N/A,FALSE,"Plan1";#N/A,#N/A,FALSE,"Plan2"}</definedName>
    <definedName name="sdkdjk" localSheetId="3">{#N/A,#N/A,FALSE,"Plan1";#N/A,#N/A,FALSE,"Plan2"}</definedName>
    <definedName name="sdkfjhkdgfhk"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dkfnjd" localSheetId="3">{#N/A,#N/A,FALSE,"Plan1";#N/A,#N/A,FALSE,"Plan2"}</definedName>
    <definedName name="sdkk" localSheetId="3">{#N/A,#N/A,FALSE,"Plan1";#N/A,#N/A,FALSE,"Plan2"}</definedName>
    <definedName name="sdlfsdflj" localSheetId="3">{#N/A,#N/A,FALSE,"Plan1";#N/A,#N/A,FALSE,"Plan2"}</definedName>
    <definedName name="sdmfmdfsgfd" localSheetId="3">{#N/A,#N/A,FALSE,"Plan1";#N/A,#N/A,FALSE,"Plan2"}</definedName>
    <definedName name="sd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drfgt" localSheetId="3">{#N/A,#N/A,FALSE,"Plan1";#N/A,#N/A,FALSE,"Plan2"}</definedName>
    <definedName name="sdsd" localSheetId="3">{#N/A,#N/A,FALSE,"Plan1";#N/A,#N/A,FALSE,"Plan2"}</definedName>
    <definedName name="sdser" localSheetId="3">{#N/A,#N/A,FALSE,"Plan1";#N/A,#N/A,FALSE,"Plan2"}</definedName>
    <definedName name="sdsre" localSheetId="3">{#N/A,#N/A,FALSE,"Plan1";#N/A,#N/A,FALSE,"Plan2"}</definedName>
    <definedName name="sdss" localSheetId="3">{#N/A,#N/A,FALSE,"Plan1";#N/A,#N/A,FALSE,"Plan2"}</definedName>
    <definedName name="sdtrtg" localSheetId="3">#REF!</definedName>
    <definedName name="sdusi"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DWER" localSheetId="3">{"Econ Consolidado",#N/A,FALSE,"Econ Consol";"Fluxo de Caixa",#N/A,FALSE,"Fluxo Caixa";"Investimentos",#N/A,FALSE,"Investimentos"}</definedName>
    <definedName name="sdxfrt" localSheetId="3">{#N/A,#N/A,FALSE,"Plan1";#N/A,#N/A,FALSE,"Plan2"}</definedName>
    <definedName name="SDZFERF" localSheetId="3">{#N/A,#N/A,FALSE,"Plan1";#N/A,#N/A,FALSE,"Plan2"}</definedName>
    <definedName name="se" localSheetId="3">#REF!</definedName>
    <definedName name="SEDE" localSheetId="3">#REF!</definedName>
    <definedName name="sefret4r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EG" localSheetId="3">#REF!</definedName>
    <definedName name="segftru" localSheetId="3">{#N/A,#N/A,FALSE,"Plan1";#N/A,#N/A,FALSE,"Plan2"}</definedName>
    <definedName name="SEIS" localSheetId="3">#REF!</definedName>
    <definedName name="sencount" localSheetId="3">3</definedName>
    <definedName name="SEQUENCIA" localSheetId="3">#REF!</definedName>
    <definedName name="SEREWRSWE" localSheetId="3">{"tabela",#N/A,FALSE,"Tabela";"decoração",#N/A,FALSE,"Decor.";"Informações",#N/A,FALSE,"Inform."}</definedName>
    <definedName name="Set_17" localSheetId="3">#REF!</definedName>
    <definedName name="SETE" localSheetId="3">#REF!</definedName>
    <definedName name="SETEMBRO" localSheetId="3">#REF!</definedName>
    <definedName name="setRJ17" localSheetId="3">#REF!</definedName>
    <definedName name="severo" localSheetId="3">#REF!</definedName>
    <definedName name="sf" localSheetId="3">{#N/A,#N/A,FALSE,"Plan1";#N/A,#N/A,FALSE,"Plan2"}</definedName>
    <definedName name="sfcrer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fddfd" localSheetId="3">{#N/A,#N/A,FALSE,"Plan1";#N/A,#N/A,FALSE,"Plan2"}</definedName>
    <definedName name="sfds" localSheetId="3">{#N/A,#N/A,FALSE,"Plan1";#N/A,#N/A,FALSE,"Plan2"}</definedName>
    <definedName name="sfdsd" localSheetId="3">{#N/A,#N/A,FALSE,"Plan1";#N/A,#N/A,FALSE,"Plan2"}</definedName>
    <definedName name="sfrsdrgt" localSheetId="3">{#N/A,#N/A,FALSE,"Plan1";#N/A,#N/A,FALSE,"Plan2"}</definedName>
    <definedName name="SFRT" localSheetId="3">{#N/A,#N/A,FALSE,"Plan1";#N/A,#N/A,FALSE,"Plan2"}</definedName>
    <definedName name="sfsdferf" localSheetId="3">{#N/A,#N/A,FALSE,"Plan1";#N/A,#N/A,FALSE,"Plan2"}</definedName>
    <definedName name="SFSDS" localSheetId="3">{#N/A,#N/A,FALSE,"Plan1";#N/A,#N/A,FALSE,"Plan2"}</definedName>
    <definedName name="SGarantia" localSheetId="3">#REF!</definedName>
    <definedName name="sgtghty" localSheetId="3">{#N/A,#N/A,FALSE,"Plan1";#N/A,#N/A,FALSE,"Plan2"}</definedName>
    <definedName name="SH" localSheetId="3">{#N/A,#N/A,FALSE,"GERAL";#N/A,#N/A,FALSE,"012-96";#N/A,#N/A,FALSE,"018-96";#N/A,#N/A,FALSE,"027-96";#N/A,#N/A,FALSE,"059-96";#N/A,#N/A,FALSE,"076-96";#N/A,#N/A,FALSE,"019-97";#N/A,#N/A,FALSE,"021-97";#N/A,#N/A,FALSE,"022-97";#N/A,#N/A,FALSE,"028-97"}</definedName>
    <definedName name="SIH" localSheetId="3">#REF!</definedName>
    <definedName name="SISTEM1" localSheetId="3">#REF!</definedName>
    <definedName name="SISTEM2" localSheetId="3">#REF!</definedName>
    <definedName name="SIV" localSheetId="3">#REF!</definedName>
    <definedName name="sjawe" localSheetId="3">{#N/A,#N/A,FALSE,"Plan1";#N/A,#N/A,FALSE,"Plan2"}</definedName>
    <definedName name="sjdffd" localSheetId="3">{#N/A,#N/A,FALSE,"Plan1";#N/A,#N/A,FALSE,"Plan2"}</definedName>
    <definedName name="SJDFHDJS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SJDHFHRE" localSheetId="3">{#N/A,#N/A,FALSE,"Plan1";#N/A,#N/A,FALSE,"Plan2"}</definedName>
    <definedName name="SJDKJDE" localSheetId="3">{"Econ Consolidado",#N/A,FALSE,"Econ Consol";"Fluxo de Caixa",#N/A,FALSE,"Fluxo Caixa";"Investimentos",#N/A,FALSE,"Investimentos"}</definedName>
    <definedName name="sjekwjri" localSheetId="3">{#N/A,#N/A,FALSE,"Plan1";#N/A,#N/A,FALSE,"Plan2"}</definedName>
    <definedName name="sjfkdhsfds" localSheetId="3">{#N/A,#N/A,FALSE,"Plan1";#N/A,#N/A,FALSE,"Plan2"}</definedName>
    <definedName name="sjkdljslkrje" localSheetId="3">{#N/A,#N/A,FALSE,"Plan1";#N/A,#N/A,FALSE,"Plan2"}</definedName>
    <definedName name="skadadaszs" localSheetId="3">{#N/A,#N/A,FALSE,"Plan1";#N/A,#N/A,FALSE,"Plan2"}</definedName>
    <definedName name="SKASH" localSheetId="3">{#N/A,#N/A,FALSE,"Plan1";#N/A,#N/A,FALSE,"Plan2"}</definedName>
    <definedName name="skldfrde" localSheetId="3">{#N/A,#N/A,FALSE,"Plan1";#N/A,#N/A,FALSE,"Plan2"}</definedName>
    <definedName name="skosroer" localSheetId="3">{#N/A,#N/A,FALSE,"Plan1";#N/A,#N/A,FALSE,"Plan2"}</definedName>
    <definedName name="SO" localSheetId="3">#REF!</definedName>
    <definedName name="soma" localSheetId="3">#REF!</definedName>
    <definedName name="sp"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ARE"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QEWWE" localSheetId="3">{#N/A,#N/A,FALSE,"Plan1";#N/A,#N/A,FALSE,"Plan2"}</definedName>
    <definedName name="SR" localSheetId="3">#REF!</definedName>
    <definedName name="SRH" localSheetId="3">{#N/A,#N/A,FALSE,"GERAL";#N/A,#N/A,FALSE,"012-96";#N/A,#N/A,FALSE,"018-96";#N/A,#N/A,FALSE,"027-96";#N/A,#N/A,FALSE,"059-96";#N/A,#N/A,FALSE,"076-96";#N/A,#N/A,FALSE,"019-97";#N/A,#N/A,FALSE,"021-97";#N/A,#N/A,FALSE,"022-97";#N/A,#N/A,FALSE,"028-97"}</definedName>
    <definedName name="SRTSRT" localSheetId="3">{#N/A,#N/A,FALSE,"GERAL";#N/A,#N/A,FALSE,"012-96";#N/A,#N/A,FALSE,"018-96";#N/A,#N/A,FALSE,"027-96";#N/A,#N/A,FALSE,"059-96";#N/A,#N/A,FALSE,"076-96";#N/A,#N/A,FALSE,"019-97";#N/A,#N/A,FALSE,"021-97";#N/A,#N/A,FALSE,"022-97";#N/A,#N/A,FALSE,"028-97"}</definedName>
    <definedName name="SRTST" localSheetId="3">{#N/A,#N/A,FALSE,"GERAL";#N/A,#N/A,FALSE,"012-96";#N/A,#N/A,FALSE,"018-96";#N/A,#N/A,FALSE,"027-96";#N/A,#N/A,FALSE,"059-96";#N/A,#N/A,FALSE,"076-96";#N/A,#N/A,FALSE,"019-97";#N/A,#N/A,FALSE,"021-97";#N/A,#N/A,FALSE,"022-97";#N/A,#N/A,FALSE,"028-97"}</definedName>
    <definedName name="sssss" localSheetId="3">#REF!</definedName>
    <definedName name="stake_cury" localSheetId="3">#REF!</definedName>
    <definedName name="status_projeto" localSheetId="3">OFFSET(INDEX(#REF!,MATCH(#REF!,#REF!,0)),1,0,COUNTA(#REF!)-1)</definedName>
    <definedName name="SUB_TOTAL_1" localSheetId="3">#REF!</definedName>
    <definedName name="SUBDER" localSheetId="3">#REF!</definedName>
    <definedName name="SUBDIV" localSheetId="3">#REF!</definedName>
    <definedName name="SUBEQP" localSheetId="3">#REF!</definedName>
    <definedName name="SUBMUR" localSheetId="3">#REF!</definedName>
    <definedName name="susref" localSheetId="3">#REF!</definedName>
    <definedName name="T_actual" localSheetId="3">#REF!</definedName>
    <definedName name="t_cc" localSheetId="3">#REF!</definedName>
    <definedName name="t_KSB1_Transport" localSheetId="3">#REF!</definedName>
    <definedName name="tab"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TAB_GASTOS" localSheetId="3">#REF!</definedName>
    <definedName name="TABACABAMENTOS" localSheetId="3">#REF!</definedName>
    <definedName name="tabela" localSheetId="3">#REF!</definedName>
    <definedName name="Tabela_Atribuição" localSheetId="3">#REF!</definedName>
    <definedName name="TABELA_DE_REVESTIMENTOS" localSheetId="3">#REF!</definedName>
    <definedName name="Tabela_Recursos" localSheetId="3">#REF!</definedName>
    <definedName name="Tabela_Tarefas" localSheetId="3">#REF!</definedName>
    <definedName name="Tabela1" localSheetId="3">#REF!</definedName>
    <definedName name="Tabela2" localSheetId="3">#REF!</definedName>
    <definedName name="tabela3" localSheetId="3">#REF!</definedName>
    <definedName name="TABREF" localSheetId="3">#REF!</definedName>
    <definedName name="tania" localSheetId="3">#REF!</definedName>
    <definedName name="TAUX2" localSheetId="3">OFFSET(#REF!,0,0,COUNTA(#REF!)+1,1)</definedName>
    <definedName name="TAUX3" localSheetId="3">OFFSET(#REF!,0,0,COUNTA(#REF!)+1,1)</definedName>
    <definedName name="TAXA_VENTO" localSheetId="3">#REF!</definedName>
    <definedName name="TAXAS" localSheetId="3">#REF!</definedName>
    <definedName name="TbDin" localSheetId="3">OFFSET(#REF!,0,0,COUNTA(#REF!),13)</definedName>
    <definedName name="tc" localSheetId="3">#REF!</definedName>
    <definedName name="TE" localSheetId="3">#REF!</definedName>
    <definedName name="TECLA" localSheetId="3">#REF!</definedName>
    <definedName name="Tendência_Obra_Controladoria" localSheetId="3">#REF!</definedName>
    <definedName name="TERRENO" localSheetId="3">#REF!</definedName>
    <definedName name="Test" localSheetId="3">{"'Edit'!$A$1:$V$2277"}</definedName>
    <definedName name="TESTANDO" localSheetId="3">{#N/A,#N/A,TRUE,"Quinzena 01 à 15-04-98 "}</definedName>
    <definedName name="teste" localSheetId="3">#REF!</definedName>
    <definedName name="teste1" localSheetId="3">{#N/A,#N/A,FALSE,"GERAL";#N/A,#N/A,FALSE,"012-96";#N/A,#N/A,FALSE,"018-96";#N/A,#N/A,FALSE,"027-96";#N/A,#N/A,FALSE,"059-96";#N/A,#N/A,FALSE,"076-96";#N/A,#N/A,FALSE,"019-97";#N/A,#N/A,FALSE,"021-97";#N/A,#N/A,FALSE,"022-97";#N/A,#N/A,FALSE,"028-97"}</definedName>
    <definedName name="teste3" localSheetId="3">#REF!</definedName>
    <definedName name="TESTHKEY" localSheetId="3">#REF!</definedName>
    <definedName name="teto1" localSheetId="3">#REF!</definedName>
    <definedName name="Teto2" localSheetId="3">#REF!</definedName>
    <definedName name="tetuytw" localSheetId="3">#REF!</definedName>
    <definedName name="thjgsergsr" localSheetId="3">{#N/A,#N/A,FALSE,"Plan1";#N/A,#N/A,FALSE,"Plan2"}</definedName>
    <definedName name="THYJ" localSheetId="3">{#N/A,#N/A,FALSE,"Plan1";#N/A,#N/A,FALSE,"Plan2"}</definedName>
    <definedName name="tihjgih" localSheetId="3">{#N/A,#N/A,FALSE,"Plan1";#N/A,#N/A,FALSE,"Plan2"}</definedName>
    <definedName name="TIPO_CTT" localSheetId="3">#REF!</definedName>
    <definedName name="Tipo_de_Diretoria" localSheetId="3">#REF!</definedName>
    <definedName name="Tipo_de_Gestao" localSheetId="3">#REF!</definedName>
    <definedName name="Tipo_de_Padrao" localSheetId="3">#REF!</definedName>
    <definedName name="Tipo_de_Regiao" localSheetId="3">#REF!</definedName>
    <definedName name="Tipo_de_Segmento" localSheetId="3">#REF!</definedName>
    <definedName name="Tipo_de_Status" localSheetId="3">#REF!</definedName>
    <definedName name="Tipo_de_UF" localSheetId="3">#REF!</definedName>
    <definedName name="Tipo_de_Unidade_de_Negocio" localSheetId="3">#REF!</definedName>
    <definedName name="Tipo_do_cliente" localSheetId="3">#REF!</definedName>
    <definedName name="tipo_subtotal" localSheetId="3">#REF!</definedName>
    <definedName name="tipobloco" localSheetId="3">#REF!</definedName>
    <definedName name="titbeb" localSheetId="3">#REF!</definedName>
    <definedName name="TITCHAF" localSheetId="3">#REF!</definedName>
    <definedName name="TituloMkt" localSheetId="3">#REF!</definedName>
    <definedName name="titulos" localSheetId="3">#REF!</definedName>
    <definedName name="Títulos_impressão_IM" localSheetId="3">#REF!</definedName>
    <definedName name="TMO" localSheetId="3">#REF!</definedName>
    <definedName name="TOLTAL2" localSheetId="3">#REF!</definedName>
    <definedName name="TOT" localSheetId="3">#REF!</definedName>
    <definedName name="tot3estac" localSheetId="3">#REF!</definedName>
    <definedName name="TOTAIS" localSheetId="3">#REF!</definedName>
    <definedName name="Total" localSheetId="3">#REF!</definedName>
    <definedName name="Total_2016_Rel_Controladoria" localSheetId="3">#REF!</definedName>
    <definedName name="Total_Parcelas_MAP" localSheetId="3">#REF!</definedName>
    <definedName name="total_unid" localSheetId="3">#REF!</definedName>
    <definedName name="TOTAL1" localSheetId="3">#REF!</definedName>
    <definedName name="TOTAL10" localSheetId="3">#REF!</definedName>
    <definedName name="TOTAL11" localSheetId="3">#REF!</definedName>
    <definedName name="TOTAL12" localSheetId="3">#REF!</definedName>
    <definedName name="TOTAL13" localSheetId="3">#REF!</definedName>
    <definedName name="TOTAL14" localSheetId="3">#REF!</definedName>
    <definedName name="TOTAL15" localSheetId="3">#REF!</definedName>
    <definedName name="TOTAL16" localSheetId="3">#REF!</definedName>
    <definedName name="TOTAL2" localSheetId="3">#REF!</definedName>
    <definedName name="TOTAL3" localSheetId="3">#REF!</definedName>
    <definedName name="TOTAL4" localSheetId="3">#REF!</definedName>
    <definedName name="TOTAL5" localSheetId="3">#REF!</definedName>
    <definedName name="TOTAL6" localSheetId="3">#REF!</definedName>
    <definedName name="TOTAL7" localSheetId="3">#REF!</definedName>
    <definedName name="TOTAL8" localSheetId="3">#REF!</definedName>
    <definedName name="TOTAL9" localSheetId="3">#REF!</definedName>
    <definedName name="TOTALITEM" localSheetId="3">#REF!</definedName>
    <definedName name="totbase" localSheetId="3">#REF!</definedName>
    <definedName name="totestaca" localSheetId="3">#REF!</definedName>
    <definedName name="TOTG" localSheetId="3">OFFSET(#REF!,0,0,COUNTA(#REF!),1)</definedName>
    <definedName name="totperfura" localSheetId="3">#REF!</definedName>
    <definedName name="TOTQTS" localSheetId="3">#REF!</definedName>
    <definedName name="TOTT" localSheetId="3">OFFSET(#REF!,0,0,COUNTA(#REF!)+1,1)</definedName>
    <definedName name="TR" localSheetId="3">#REF!</definedName>
    <definedName name="Transferencia1" localSheetId="3">#REF!</definedName>
    <definedName name="TRES" localSheetId="3">#REF!</definedName>
    <definedName name="TREZE" localSheetId="3">#REF!</definedName>
    <definedName name="tri" localSheetId="3">#REF!</definedName>
    <definedName name="Trimestre_data_base" localSheetId="3">#REF!</definedName>
    <definedName name="trjyidih" localSheetId="3">{#N/A,#N/A,FALSE,"Plan1";#N/A,#N/A,FALSE,"Plan2"}</definedName>
    <definedName name="TRP" localSheetId="3">#REF!</definedName>
    <definedName name="TTT" localSheetId="3">#REF!</definedName>
    <definedName name="TURNO" localSheetId="3">#REF!</definedName>
    <definedName name="tuyedjsksj" localSheetId="3">{#N/A,#N/A,FALSE,"Plan1";#N/A,#N/A,FALSE,"Plan2"}</definedName>
    <definedName name="TX_ADM" localSheetId="3">#REF!</definedName>
    <definedName name="tx_desconto_real" localSheetId="3">#REF!</definedName>
    <definedName name="TxAplicMes" localSheetId="3">#REF!</definedName>
    <definedName name="TxCdiMes" localSheetId="3">#REF!</definedName>
    <definedName name="TxDescMes" localSheetId="3">#REF!</definedName>
    <definedName name="TxSecuritizacaoMes" localSheetId="3">#REF!</definedName>
    <definedName name="TxSfhEco" localSheetId="3">#REF!</definedName>
    <definedName name="TxSfhMap" localSheetId="3">#REF!</definedName>
    <definedName name="TXTEQUIP" localSheetId="3">#REF!</definedName>
    <definedName name="TXTMARCA" localSheetId="3">#REF!</definedName>
    <definedName name="TXTMOD" localSheetId="3">#REF!</definedName>
    <definedName name="TXTPOT" localSheetId="3">#REF!</definedName>
    <definedName name="TYHGFHFHG" localSheetId="3">{#N/A,#N/A,FALSE,"Plan1";#N/A,#N/A,FALSE,"Plan2"}</definedName>
    <definedName name="u" localSheetId="3">{#N/A,#N/A,FALSE,"ET-CAPA";#N/A,#N/A,FALSE,"ET-PAG1";#N/A,#N/A,FALSE,"ET-PAG2";#N/A,#N/A,FALSE,"ET-PAG3";#N/A,#N/A,FALSE,"ET-PAG4";#N/A,#N/A,FALSE,"ET-PAG5"}</definedName>
    <definedName name="udhgfhfg" localSheetId="3">{#N/A,#N/A,FALSE,"Plan1";#N/A,#N/A,FALSE,"Plan2"}</definedName>
    <definedName name="ueiutriuef" localSheetId="3">{#N/A,#N/A,FALSE,"Plan1";#N/A,#N/A,FALSE,"Plan2"}</definedName>
    <definedName name="UENSIT" localSheetId="3">#REF!</definedName>
    <definedName name="UENSITS" localSheetId="3">#REF!</definedName>
    <definedName name="UHGSDUS" localSheetId="3">{#N/A,#N/A,FALSE,"Plan1";#N/A,#N/A,FALSE,"Plan2"}</definedName>
    <definedName name="UI" localSheetId="3">#REF!</definedName>
    <definedName name="UIHWER45R" localSheetId="3">{#N/A,#N/A,FALSE,"Plan1";#N/A,#N/A,FALSE,"Plan2"}</definedName>
    <definedName name="uiosderuiu" localSheetId="3">{#N/A,#N/A,FALSE,"Plan1";#N/A,#N/A,FALSE,"Plan2"}</definedName>
    <definedName name="UIOURET" localSheetId="3">{#N/A,#N/A,FALSE,"Plan1";#N/A,#N/A,FALSE,"Plan2"}</definedName>
    <definedName name="uiwuer" localSheetId="3">{#N/A,#N/A,FALSE,"Plan1";#N/A,#N/A,FALSE,"Plan2"}</definedName>
    <definedName name="UKHDFDSGUDFKD" localSheetId="3">{#N/A,#N/A,FALSE,"Plan1";#N/A,#N/A,FALSE,"Plan2"}</definedName>
    <definedName name="UM" localSheetId="3">#REF!</definedName>
    <definedName name="UNID" localSheetId="3">OFFSET(#REF!,0,0,COUNTA(#REF!),1)</definedName>
    <definedName name="unit" localSheetId="3">{#N/A,#N/A,FALSE,"GERAL";#N/A,#N/A,FALSE,"012-96";#N/A,#N/A,FALSE,"018-96";#N/A,#N/A,FALSE,"027-96";#N/A,#N/A,FALSE,"059-96";#N/A,#N/A,FALSE,"076-96";#N/A,#N/A,FALSE,"019-97";#N/A,#N/A,FALSE,"021-97";#N/A,#N/A,FALSE,"022-97";#N/A,#N/A,FALSE,"028-97"}</definedName>
    <definedName name="univ_cdi" localSheetId="3">#REF!</definedName>
    <definedName name="univ_hist" localSheetId="3">#REF!</definedName>
    <definedName name="univ_uss" localSheetId="3">#REF!</definedName>
    <definedName name="UPS"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uryrtyt" localSheetId="3">{#N/A,#N/A,FALSE,"Plan1";#N/A,#N/A,FALSE,"Plan2"}</definedName>
    <definedName name="V" localSheetId="3">#REF!</definedName>
    <definedName name="VALIDADE_EXECUÇÃO" localSheetId="3">#REF!</definedName>
    <definedName name="Valor_PLS_Controladoria" localSheetId="3">#REF!</definedName>
    <definedName name="Valor_Previsto_Fin_Medições" localSheetId="3">#REF!</definedName>
    <definedName name="VALOR_REAIS" localSheetId="3">#REF!</definedName>
    <definedName name="Valor_Recebido_Fin_Medições" localSheetId="3">#REF!</definedName>
    <definedName name="Valor_Sienge" localSheetId="3">#REF!</definedName>
    <definedName name="VALOR_VENDA" localSheetId="3">#REF!</definedName>
    <definedName name="valores_diferidos" localSheetId="3">#REF!</definedName>
    <definedName name="valve"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VAOS" localSheetId="3">#REF!</definedName>
    <definedName name="vdsgfrhgfr" localSheetId="3">{#N/A,#N/A,FALSE,"Plan1";#N/A,#N/A,FALSE,"Plan2"}</definedName>
    <definedName name="Veiculos" localSheetId="3">#REF!</definedName>
    <definedName name="VENDA_ADOTADA" localSheetId="3">#REF!</definedName>
    <definedName name="VENDAFINAL_R" localSheetId="3">#REF!</definedName>
    <definedName name="VENDAFINAL_U" localSheetId="3">#REF!</definedName>
    <definedName name="Vendas" localSheetId="3">#REF!</definedName>
    <definedName name="vendas_" localSheetId="3">#REF!</definedName>
    <definedName name="VERIFICAR" localSheetId="3">{#N/A,#N/A,TRUE,"Quinzena 01 à 15-04-98 "}</definedName>
    <definedName name="versao_estudo" localSheetId="3">#REF!</definedName>
    <definedName name="vfbg" localSheetId="3">#REF!</definedName>
    <definedName name="vfnijfd"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VFV" localSheetId="3">{#N/A,#N/A,FALSE,"Plan1";#N/A,#N/A,FALSE,"Plan2"}</definedName>
    <definedName name="VI" localSheetId="3">#REF!</definedName>
    <definedName name="VINTE" localSheetId="3">#REF!</definedName>
    <definedName name="visao_cashflow" localSheetId="3">#REF!</definedName>
    <definedName name="visao_VL" localSheetId="3">#REF!</definedName>
    <definedName name="vl_cd" localSheetId="3">#REF!</definedName>
    <definedName name="vl_k1" localSheetId="3">#REF!</definedName>
    <definedName name="vl_k2" localSheetId="3">#REF!</definedName>
    <definedName name="vl_k3" localSheetId="3">#REF!</definedName>
    <definedName name="vld_classificacao" localSheetId="3">IF(#REF!="Ativa",OFFSET(INDEX(rng_list_classificacao,MATCH(#REF!,rng_list_classificacao,0)),1,0,COUNTA(rng_list_classificacao)-1),#REF!)</definedName>
    <definedName name="vld_regional" localSheetId="3">OFFSET(INDEX(rng_list_regional,MATCH(#REF!,rng_list_regional,0)),1,0,COUNTA(rng_list_regional)-1)</definedName>
    <definedName name="vld_segmento" localSheetId="3">IF(#REF!="Ativa",OFFSET(INDEX(rng_list_segmento,MATCH(#REF!,rng_list_segmento,0)),1,0,COUNTA(rng_list_segmento)-1),#REF!)</definedName>
    <definedName name="vld_sociedade" localSheetId="3">OFFSET(INDEX(rng_list_sociedade,MATCH(#REF!,rng_list_sociedade,0)),1,0,COUNTA(rng_list_sociedade)-1)</definedName>
    <definedName name="vld_status_empresa" localSheetId="3">OFFSET(INDEX(rng_list_status_empresa,MATCH(#REF!,rng_list_status_empresa,0)),1,0,COUNTA(rng_list_status_empresa)-1)</definedName>
    <definedName name="vld_status_lancamento" localSheetId="3">IF(#REF!="Ativa",OFFSET(INDEX(rng_list_status_lancamento,MATCH(#REF!,rng_list_status_lancamento,0)),1,0,COUNTA(rng_list_status_lancamento)-1),#REF!)</definedName>
    <definedName name="vld_status_projeto" localSheetId="3">IF(#REF!="Ativa",OFFSET(INDEX(rng_list_status_projeto,MATCH(#REF!,rng_list_status_projeto,0)),1,0,COUNTA(rng_list_status_projeto)-1),#REF!)</definedName>
    <definedName name="vld_status_viabilidade" localSheetId="3">OFFSET(INDEX(rng_list_status_viabilidade,MATCH(#REF!,rng_list_status_viabilidade,0)),1,0,COUNTA(rng_list_status_viabilidade)-1)</definedName>
    <definedName name="VOLUME1" localSheetId="3">#REF!</definedName>
    <definedName name="VOLUME2" localSheetId="3">#REF!</definedName>
    <definedName name="VOLUME3" localSheetId="3">#REF!</definedName>
    <definedName name="VSDHFGDFGR" localSheetId="3">{#N/A,#N/A,FALSE,"Plan1";#N/A,#N/A,FALSE,"Plan2"}</definedName>
    <definedName name="vvbb" localSheetId="3">{"tabela",#N/A,FALSE,"Tabela";"decoração",#N/A,FALSE,"Decor.";"Informações",#N/A,FALSE,"Inform."}</definedName>
    <definedName name="vvcbnb" localSheetId="3">{#N/A,#N/A,FALSE,"Plan1";#N/A,#N/A,FALSE,"Plan2"}</definedName>
    <definedName name="vvvvv" localSheetId="3">{"Econ Consolidado",#N/A,FALSE,"Econ Consol";"Fluxo de Caixa",#N/A,FALSE,"Fluxo Caixa";"Investimentos",#N/A,FALSE,"Investimentos"}</definedName>
    <definedName name="vvvvvv" localSheetId="3">{#N/A,#N/A,FALSE,"Plan1";#N/A,#N/A,FALSE,"Plan2"}</definedName>
    <definedName name="vvvvvvvvvvvvvvvvv" localSheetId="3">{"HW",#N/A,FALSE,"1998"}</definedName>
    <definedName name="VX" localSheetId="3">#REF!</definedName>
    <definedName name="w" localSheetId="3">#REF!</definedName>
    <definedName name="wacc" localSheetId="3">#REF!</definedName>
    <definedName name="wadalrdjlaev"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water"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dewr" localSheetId="3">#REF!</definedName>
    <definedName name="werw4tr" localSheetId="3">{#N/A,#N/A,FALSE,"Plan1";#N/A,#N/A,FALSE,"Plan2"}</definedName>
    <definedName name="wetoedjtkdr" localSheetId="3">{#N/A,#N/A,FALSE,"Plan1";#N/A,#N/A,FALSE,"Plan2"}</definedName>
    <definedName name="WHATS" localSheetId="3">{"'Edit'!$A$1:$V$2277"}</definedName>
    <definedName name="win.VESSEL"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TENS" localSheetId="3">#REF!</definedName>
    <definedName name="WKJHIR" localSheetId="3">{#N/A,#N/A,FALSE,"Plan1";#N/A,#N/A,FALSE,"Plan2"}</definedName>
    <definedName name="WLQ" localSheetId="3">{#N/A,#N/A,FALSE,"명세표"}</definedName>
    <definedName name="WNMLOCAL" localSheetId="3">#REF!</definedName>
    <definedName name="WNMMUN" localSheetId="3">#REF!</definedName>
    <definedName name="WNMSERV" localSheetId="3">#REF!</definedName>
    <definedName name="worl_cdi" localSheetId="3">#REF!</definedName>
    <definedName name="worl_hist" localSheetId="3">#REF!</definedName>
    <definedName name="worl_uss" localSheetId="3">#REF!</definedName>
    <definedName name="WRITE" localSheetId="3">{#N/A,#N/A,FALSE,"CCTV"}</definedName>
    <definedName name="wrn.BM." localSheetId="3">{#N/A,#N/A,FALSE,"CCTV"}</definedName>
    <definedName name="wrn.Brita98.xls." localSheetId="3">{#N/A,#N/A,TRUE,"Quinzena 01 à 15-04-98 "}</definedName>
    <definedName name="wrn.Completo." localSheetId="3">{"EconCons (Econômico - Consolidado)",#N/A,FALSE,"Econômico - Consolidado";"CaixaCons",#N/A,FALSE,"Caixa - Consolidado";"Rio Branco",#N/A,FALSE,"Rio Branco";"Itajaí",#N/A,FALSE,"Itajaí";"Esteio",#N/A,FALSE,"Esteio";"P. Machado",#N/A,FALSE,"P. Machado";"InvestCons (Invest Consolidado)",#N/A,FALSE,"Invest Consolidado"}</definedName>
    <definedName name="wrn.Cons." localSheetId="3">{"EconCons",#N/A,TRUE,"Econômico - Consolidado";"CaixaCons",#N/A,TRUE,"Caixa - Consolidado";"InvestCons",#N/A,TRUE,"Invest Consolidado"}</definedName>
    <definedName name="wrn.Consolidado." localSheetId="3">{"Econ Consolidado",#N/A,FALSE,"Econ Consol";"Fluxo de Caixa",#N/A,FALSE,"Fluxo Caixa";"Investimentos",#N/A,FALSE,"Investimentos"}</definedName>
    <definedName name="wrn.GERAL." localSheetId="3">{#N/A,#N/A,FALSE,"ET-CAPA";#N/A,#N/A,FALSE,"ET-PAG1";#N/A,#N/A,FALSE,"ET-PAG2";#N/A,#N/A,FALSE,"ET-PAG3";#N/A,#N/A,FALSE,"ET-PAG4";#N/A,#N/A,FALSE,"ET-PAG5"}</definedName>
    <definedName name="wrn.HAGE." localSheetId="3">{#N/A,#N/A,FALSE,"cdi";#N/A,#N/A,FALSE,"debent";#N/A,#N/A,FALSE,"fdos";#N/A,#N/A,FALSE,"resumo"}</definedName>
    <definedName name="wrn.HAGE01" localSheetId="3">{#N/A,#N/A,FALSE,"cdi";#N/A,#N/A,FALSE,"debent";#N/A,#N/A,FALSE,"fdos";#N/A,#N/A,FALSE,"resumo"}</definedName>
    <definedName name="wrn.HW." localSheetId="3">{"HW",#N/A,FALSE,"1998"}</definedName>
    <definedName name="wrn.imp_flx." localSheetId="3">{#N/A,#N/A,FALSE,"CONSOLID";#N/A,#N/A,FALSE,"CIMENTO";#N/A,#N/A,FALSE,"METALURGIA";#N/A,#N/A,FALSE,"PAPEL";#N/A,#N/A,FALSE,"QUÍMICA";#N/A,#N/A,FALSE,"AGROINDL";#N/A,#N/A,FALSE,"OUTROS";#N/A,#N/A,FALSE,"REAL_ORCADO"}</definedName>
    <definedName name="wrn.IMPRESSO." localSheetId="3">{#N/A,#N/A,FALSE,"Plan1";#N/A,#N/A,FALSE,"Plan2"}</definedName>
    <definedName name="wrn.Imprimir." localSheetId="3">{"tabela",#N/A,FALSE,"Tabela";"decoração",#N/A,FALSE,"Decor.";"Informações",#N/A,FALSE,"Inform."}</definedName>
    <definedName name="wrn.LPU._.MG." localSheetId="3">{"MG-2002-F1",#N/A,FALSE,"PPU-Telemig";"MG-2002-F2",#N/A,FALSE,"PPU-Telemig";"MG-2002-F3",#N/A,FALSE,"PPU-Telemig";"MG-2002-F4",#N/A,FALSE,"PPU-Telemig";"MG-2003-F1",#N/A,FALSE,"PPU-Telemig";"MG-2004-F1",#N/A,FALSE,"PPU-Telemig"}</definedName>
    <definedName name="wrn.MGM機器リスト." localSheetId="3">{#N/A,#N/A,TRUE,"表紙";#N/A,#N/A,TRUE,"DMC合成";#N/A,#N/A,TRUE,"DMC回収･精製";#N/A,#N/A,TRUE,"MPC工程";#N/A,#N/A,TRUE,"DPC工程";#N/A,#N/A,TRUE,"ANI工程";#N/A,#N/A,TRUE,"PHOｰ触媒工程";#N/A,#N/A,TRUE,"用役"}</definedName>
    <definedName name="wrn.Month._.Report._.Package." localSheetId="3">{#N/A,#N/A,FALSE,"Global Wls Trend";#N/A,#N/A,FALSE,"Region Trend";#N/A,#N/A,FALSE,"PBU Trend"}</definedName>
    <definedName name="wrn.Monthly._.Report._.Package." localSheetId="3">{#N/A,#N/A,FALSE,"Global by BU";#N/A,#N/A,FALSE,"U.S. by BU";#N/A,#N/A,FALSE,"Canada by BU";#N/A,#N/A,FALSE,"Europe by BU";#N/A,#N/A,FALSE,"Asia by BU";#N/A,#N/A,FALSE,"Cala by BU"}</definedName>
    <definedName name="wrn.PENDENCIAS." localSheetId="3">{#N/A,#N/A,FALSE,"GERAL";#N/A,#N/A,FALSE,"012-96";#N/A,#N/A,FALSE,"018-96";#N/A,#N/A,FALSE,"027-96";#N/A,#N/A,FALSE,"059-96";#N/A,#N/A,FALSE,"076-96";#N/A,#N/A,FALSE,"019-97";#N/A,#N/A,FALSE,"021-97";#N/A,#N/A,FALSE,"022-97";#N/A,#N/A,FALSE,"028-97"}</definedName>
    <definedName name="wrn.Planiha._.de._.Medição._.F._.01." localSheetId="3">{#N/A,#N/A,FALSE,"F-01"}</definedName>
    <definedName name="wrn.Planiha._.de._.Medição._.F._.01._1" localSheetId="3">{#N/A,#N/A,FALSE,"F-01"}</definedName>
    <definedName name="wrn.Planilha_de_Medição_F_02" localSheetId="3">{#N/A,#N/A,FALSE,"F-01"}</definedName>
    <definedName name="wrn.print._.all." localSheetId="3">{#N/A,#N/A,FALSE,"$170M Cash";#N/A,#N/A,FALSE,"$250M Cash";#N/A,#N/A,FALSE,"$325M Cash"}</definedName>
    <definedName name="wrn.PrintAll." localSheetId="3">{#N/A,#N/A,FALSE,"Sheet1";#N/A,#N/A,FALSE,"Sheet2";#N/A,#N/A,FALSE,"Sheet3";#N/A,#N/A,FALSE,"Sheet4";#N/A,#N/A,FALSE,"Sheet5";#N/A,#N/A,FALSE,"Sheet6";#N/A,#N/A,FALSE,"Sheet7";#N/A,#N/A,FALSE,"Sheet8";#N/A,#N/A,FALSE,"Sheet9"}</definedName>
    <definedName name="wrn.PrintCurr." localSheetId="3">{#N/A,#N/A,FALSE,"Sheet1";#N/A,#N/A,FALSE,"Sheet2";#N/A,#N/A,FALSE,"Sheet3"}</definedName>
    <definedName name="wrn.PrintPrev1." localSheetId="3">{#N/A,#N/A,FALSE,"Sheet4";#N/A,#N/A,FALSE,"Sheet5";#N/A,#N/A,FALSE,"Sheet6"}</definedName>
    <definedName name="wrn.PrintPrev2." localSheetId="3">{#N/A,#N/A,FALSE,"Sheet7";#N/A,#N/A,FALSE,"Sheet8";#N/A,#N/A,FALSE,"Sheet9"}</definedName>
    <definedName name="wrn.Quadros._.relatório." localSheetId="3">{#N/A,#N/A,FALSE,"QD_F1 Invest Detalhado";#N/A,#N/A,FALSE,"QD_F3 Invest_Comparado";#N/A,#N/A,FALSE,"QD_B Trafego";#N/A,#N/A,FALSE,"QD_D0 Custos Operacionais";#N/A,#N/A,FALSE,"QD_C Receita";#N/A,#N/A,FALSE,"QD_D Custos";#N/A,#N/A,FALSE,"QD_E Resultado";#N/A,#N/A,FALSE,"QD_G Fluxo Caixa"}</definedName>
    <definedName name="wrn.REPORT." localSheetId="3">{#N/A,#N/A,FALSE,"표지";#N/A,#N/A,FALSE,"목차";#N/A,#N/A,FALSE,"내용1";#N/A,#N/A,FALSE,"내용2";#N/A,#N/A,FALSE,"결론";#N/A,#N/A,FALSE,"첨부";#N/A,#N/A,FALSE,"진공도달시간";#N/A,#N/A,FALSE,"배가스속도"}</definedName>
    <definedName name="wrn.STAFFS." localSheetId="3">{#N/A,#N/A,FALSE,"TABLE"}</definedName>
    <definedName name="wrn.TERCEIRO." localSheetId="3">{#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RCEIRO01" localSheetId="3">{#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st1." localSheetId="3">{#N/A,#N/A,FALSE,"명세표"}</definedName>
    <definedName name="wrn.Unidades." localSheetId="3">{"Rio Branco",#N/A,FALSE,"Rio Branco";"Itajaí",#N/A,FALSE,"Itajaí";"Pinheiro Machado",#N/A,FALSE,"PMachado";"Esteio",#N/A,FALSE,"Esteio"}</definedName>
    <definedName name="wrn.VESSEL및N2._.구입사양서."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견적." localSheetId="3">{#N/A,#N/A,FALSE,"Sheet1";#N/A,#N/A,FALSE,"Sheet2";#N/A,#N/A,FALSE,"TAB96-1"}</definedName>
    <definedName name="wrn.보호계전기." localSheetId="3">{#N/A,#N/A,FALSE,"ENG'G(보호계전기)"}</definedName>
    <definedName name="wrn.현장._.NCR._.분석." localSheetId="3">{#N/A,#N/A,FALSE,"현장 NCR 분석";#N/A,#N/A,FALSE,"현장품질감사";#N/A,#N/A,FALSE,"현장품질감사"}</definedName>
    <definedName name="wrn1.Cons." localSheetId="3">{"EconCons",#N/A,TRUE,"Econômico - Consolidado";"CaixaCons",#N/A,TRUE,"Caixa - Consolidado";"InvestCons",#N/A,TRUE,"Invest Consolidado"}</definedName>
    <definedName name="wrn1.print._.all." localSheetId="3">{#N/A,#N/A,FALSE,"$170M Cash";#N/A,#N/A,FALSE,"$250M Cash";#N/A,#N/A,FALSE,"$325M Cash"}</definedName>
    <definedName name="WRS" localSheetId="3">{"'장비'!$A$3:$M$12"}</definedName>
    <definedName name="wrt" localSheetId="3">{#N/A,#N/A,FALSE,"$170M Cash";#N/A,#N/A,FALSE,"$250M Cash";#N/A,#N/A,FALSE,"$325M Cash"}</definedName>
    <definedName name="wvu.PLANILHA2."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ww"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wwwwwwwww" localSheetId="3">{"'Ethernet Hubs'!$A$1:$F$14","'Licences'!$A$1:$F$16","'Ports and Converters'!$A$1:$F$46","'Standard Routers'!$A$1:$F$28","'Ports and Converters'!$A$1:$G$46","'Router Chassis'!$A$1:$F$21","'Cables and Connectors'!$A$1:$F$41","'Support, Training and Docs'!$A$1:$F$6","'Management'!$A$1:$F$8"}</definedName>
    <definedName name="X" localSheetId="3">#REF!</definedName>
    <definedName name="XALFA" localSheetId="3">#REF!</definedName>
    <definedName name="XC" localSheetId="3">#REF!</definedName>
    <definedName name="xcfrt" localSheetId="3">{#N/A,#N/A,FALSE,"Plan1";#N/A,#N/A,FALSE,"Plan2"}</definedName>
    <definedName name="xcgjkfghf" localSheetId="3">{#N/A,#N/A,FALSE,"Plan1";#N/A,#N/A,FALSE,"Plan2"}</definedName>
    <definedName name="XCGJKVHFDG" localSheetId="3">{#N/A,#N/A,FALSE,"Plan1";#N/A,#N/A,FALSE,"Plan2"}</definedName>
    <definedName name="xcgtrty"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XCGVR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XCI" localSheetId="3">#REF!</definedName>
    <definedName name="XCII" localSheetId="3">#REF!</definedName>
    <definedName name="XCIII" localSheetId="3">#REF!</definedName>
    <definedName name="XCIV" localSheetId="3">#REF!</definedName>
    <definedName name="XCIX" localSheetId="3">#REF!</definedName>
    <definedName name="xçl" localSheetId="3">{#N/A,#N/A,FALSE,"Plan1";#N/A,#N/A,FALSE,"Plan2"}</definedName>
    <definedName name="xcndj" localSheetId="3">{#N/A,#N/A,FALSE,"Plan1";#N/A,#N/A,FALSE,"Plan2"}</definedName>
    <definedName name="XCV" localSheetId="3">#REF!</definedName>
    <definedName name="XCVGGT" localSheetId="3">{#N/A,#N/A,FALSE,"Plan1";#N/A,#N/A,FALSE,"Plan2"}</definedName>
    <definedName name="XCVI" localSheetId="3">#REF!</definedName>
    <definedName name="XCVII" localSheetId="3">#REF!</definedName>
    <definedName name="XCVIII" localSheetId="3">#REF!</definedName>
    <definedName name="xcvrg" localSheetId="3">{#N/A,#N/A,FALSE,"Plan1";#N/A,#N/A,FALSE,"Plan2"}</definedName>
    <definedName name="XDATA" localSheetId="3">#REF!</definedName>
    <definedName name="xdfef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xdgtyhyt" localSheetId="3">{#N/A,#N/A,FALSE,"Plan1";#N/A,#N/A,FALSE,"Plan2"}</definedName>
    <definedName name="xfdlfj" localSheetId="3">{#N/A,#N/A,FALSE,"Plan1";#N/A,#N/A,FALSE,"Plan2"}</definedName>
    <definedName name="xfdxfdf" localSheetId="3">{#N/A,#N/A,FALSE,"Plan1";#N/A,#N/A,FALSE,"Plan2"}</definedName>
    <definedName name="XFJKLDJKLGJ"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xfrty" localSheetId="3">{#N/A,#N/A,FALSE,"Plan1";#N/A,#N/A,FALSE,"Plan2"}</definedName>
    <definedName name="XFT"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xfvchdhhd" localSheetId="3">{"Econ Consolidado",#N/A,FALSE,"Econ Consol";"Fluxo de Caixa",#N/A,FALSE,"Fluxo Caixa";"Investimentos",#N/A,FALSE,"Investimentos"}</definedName>
    <definedName name="xfvgcfgt" localSheetId="3">{#N/A,#N/A,FALSE,"Plan1";#N/A,#N/A,FALSE,"Plan2"}</definedName>
    <definedName name="xgrg" localSheetId="3">{#N/A,#N/A,FALSE,"Plan1";#N/A,#N/A,FALSE,"Plan2"}</definedName>
    <definedName name="XI" localSheetId="3">#REF!</definedName>
    <definedName name="XII" localSheetId="3">#REF!</definedName>
    <definedName name="XIII" localSheetId="3">#REF!</definedName>
    <definedName name="XITEM" localSheetId="3">#REF!</definedName>
    <definedName name="XIV" localSheetId="3">#REF!</definedName>
    <definedName name="XLOC" localSheetId="3">#REF!</definedName>
    <definedName name="xmght" localSheetId="3">{#N/A,#N/A,FALSE,"Plan1";#N/A,#N/A,FALSE,"Plan2"}</definedName>
    <definedName name="xnInforme_quantos_bebedouros____bebqt__if_bebqt__0__xlQt.bebedouros_invalida___ENTER_p_reinformar__xresp__branch_rqtderv" localSheetId="3">#REF!</definedName>
    <definedName name="XNUCOPIAS" localSheetId="3">#REF!</definedName>
    <definedName name="xo" localSheetId="3">{#N/A,#N/A,FALSE,"Global by BU";#N/A,#N/A,FALSE,"U.S. by BU";#N/A,#N/A,FALSE,"Canada by BU";#N/A,#N/A,FALSE,"Europe by BU";#N/A,#N/A,FALSE,"Asia by BU";#N/A,#N/A,FALSE,"Cala by BU"}</definedName>
    <definedName name="XREF_COLUMN_1" localSheetId="3">#REF!</definedName>
    <definedName name="XREF_COLUMN_2" localSheetId="3">#REF!</definedName>
    <definedName name="XRefCopy2" localSheetId="3">#REF!</definedName>
    <definedName name="XRefCopy3Row" localSheetId="3">#REF!</definedName>
    <definedName name="XRefPaste2" localSheetId="3">#REF!</definedName>
    <definedName name="XRefPaste4" localSheetId="3">#REF!</definedName>
    <definedName name="XRESP" localSheetId="3">#REF!</definedName>
    <definedName name="XTITRES" localSheetId="3">#REF!</definedName>
    <definedName name="XV" localSheetId="3">#REF!</definedName>
    <definedName name="XX" localSheetId="3">#REF!</definedName>
    <definedName name="XXI" localSheetId="3">#REF!</definedName>
    <definedName name="XXII" localSheetId="3">#REF!</definedName>
    <definedName name="XXIII" localSheetId="3">#REF!</definedName>
    <definedName name="XXIV" localSheetId="3">#REF!</definedName>
    <definedName name="XXV" localSheetId="3">#REF!</definedName>
    <definedName name="XXX" localSheetId="3">#REF!</definedName>
    <definedName name="XXXI" localSheetId="3">#REF!</definedName>
    <definedName name="XXXII" localSheetId="3">#REF!</definedName>
    <definedName name="XXXIII" localSheetId="3">#REF!</definedName>
    <definedName name="XXXIV" localSheetId="3">#REF!</definedName>
    <definedName name="XXXIX" localSheetId="3">#REF!</definedName>
    <definedName name="XXXV" localSheetId="3">#REF!</definedName>
    <definedName name="XXXVI" localSheetId="3">#REF!</definedName>
    <definedName name="XXXVII" localSheetId="3">#REF!</definedName>
    <definedName name="XXXVIII" localSheetId="3">#REF!</definedName>
    <definedName name="xxxx"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XXXXX" localSheetId="3">{#N/A,#N/A,FALSE,"GERAL";#N/A,#N/A,FALSE,"012-96";#N/A,#N/A,FALSE,"018-96";#N/A,#N/A,FALSE,"027-96";#N/A,#N/A,FALSE,"059-96";#N/A,#N/A,FALSE,"076-96";#N/A,#N/A,FALSE,"019-97";#N/A,#N/A,FALSE,"021-97";#N/A,#N/A,FALSE,"022-97";#N/A,#N/A,FALSE,"028-97"}</definedName>
    <definedName name="xxxxxxxxxxxx" localSheetId="3">#REF!</definedName>
    <definedName name="xxxxxxxxxxxxxx" localSheetId="3">{#N/A,#N/A,FALSE,"Plan1";#N/A,#N/A,FALSE,"Plan2"}</definedName>
    <definedName name="xzfrt" localSheetId="3">{#N/A,#N/A,FALSE,"Plan1";#N/A,#N/A,FALSE,"Plan2"}</definedName>
    <definedName name="yeitrtged" localSheetId="3">{#N/A,#N/A,FALSE,"Plan1";#N/A,#N/A,FALSE,"Plan2"}</definedName>
    <definedName name="yhdfiuygrui" localSheetId="3">{#N/A,#N/A,FALSE,"Plan1";#N/A,#N/A,FALSE,"Plan2"}</definedName>
    <definedName name="YRGUYDRIY" localSheetId="3">{"Econ Consolidado",#N/A,FALSE,"Econ Consol";"Fluxo de Caixa",#N/A,FALSE,"Fluxo Caixa";"Investimentos",#N/A,FALSE,"Investimentos"}</definedName>
    <definedName name="ytdju" localSheetId="3">#REF!</definedName>
    <definedName name="yuegursdmksf" localSheetId="3">{#N/A,#N/A,FALSE,"Plan1";#N/A,#N/A,FALSE,"Plan2"}</definedName>
    <definedName name="yuekl4fr" localSheetId="3">{#N/A,#N/A,FALSE,"Plan1";#N/A,#N/A,FALSE,"Plan2"}</definedName>
    <definedName name="yureytuyrea" localSheetId="3">{#N/A,#N/A,FALSE,"Plan1";#N/A,#N/A,FALSE,"Plan2"}</definedName>
    <definedName name="z" localSheetId="3">{"'Estimativa de Lançamento-JAN'!$A$1:$AI$85"}</definedName>
    <definedName name="Z_15697660_066E_11D5_AF15_00010242ED40_.wvu.PrintArea" localSheetId="3">#REF!</definedName>
    <definedName name="Z_60DF8B29_1C1F_4B50_BDA8_B8E0C7DD04C3_.wvu.Cols" localSheetId="3">#REF!,#REF!</definedName>
    <definedName name="Z_E3FFE9E0_6C4F_4FB4_A56E_FBE96871B5C8_.wvu.Cols" localSheetId="3">#REF!,#REF!</definedName>
    <definedName name="zcdçskld" localSheetId="3">{#N/A,#N/A,FALSE,"Plan1";#N/A,#N/A,FALSE,"Plan2"}</definedName>
    <definedName name="zcsdrfrt" localSheetId="3">{#N/A,#N/A,FALSE,"Plan1";#N/A,#N/A,FALSE,"Plan2"}</definedName>
    <definedName name="ZDRE" localSheetId="3">{#N/A,#N/A,FALSE,"Plan1";#N/A,#N/A,FALSE,"Plan2"}</definedName>
    <definedName name="ZEZE" localSheetId="3">#REF!</definedName>
    <definedName name="ZIN" localSheetId="3">#REF!</definedName>
    <definedName name="ZINS" localSheetId="3">#REF!</definedName>
    <definedName name="ZSADF" localSheetId="3">{#N/A,#N/A,FALSE,"Plan1";#N/A,#N/A,FALSE,"Plan2"}</definedName>
    <definedName name="zsads" localSheetId="3">{#N/A,#N/A,FALSE,"Plan1";#N/A,#N/A,FALSE,"Plan2"}</definedName>
    <definedName name="ZSDFSETR" localSheetId="3">#REF!</definedName>
    <definedName name="zsds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zsdwer"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zxccdf" localSheetId="3">{#N/A,#N/A,FALSE,"Plan1";#N/A,#N/A,FALSE,"Plan2"}</definedName>
    <definedName name="zxcdsf" localSheetId="3">#REF!</definedName>
    <definedName name="zxcfdstrrt" localSheetId="3">{#N/A,#N/A,FALSE,"Plan1";#N/A,#N/A,FALSE,"Plan2"}</definedName>
    <definedName name="zxcx" localSheetId="3">{#N/A,#N/A,FALSE,"Plan1";#N/A,#N/A,FALSE,"Plan2"}</definedName>
    <definedName name="ZXFCRF" localSheetId="3">{TRUE,TRUE,-1.25,-15.5,604.5,366.75,FALSE,FALSE,TRUE,TRUE,0,1,#N/A,1,#N/A,9.0125,24.4117647058824,1,FALSE,FALSE,3,TRUE,1,FALSE,100,"Swvu.PLANILHA2.","ACwvu.PLANILHA2.",#N/A,FALSE,FALSE,0.787401575,0.34,0.46,0.5,1,"","",FALSE,FALSE,FALSE,FALSE,1,#N/A,1,1,FALSE,FALSE,#N/A,#N/A,FALSE,FALSE,FALSE,9,65532,65532,FALSE,FALSE,TRUE,TRUE,TRUE}</definedName>
    <definedName name="ZXFHDFRHDF" localSheetId="3">{#N/A,#N/A,FALSE,"Plan1";#N/A,#N/A,FALSE,"Plan2"}</definedName>
    <definedName name="ZZ" localSheetId="3">#REF!</definedName>
    <definedName name="zzdftr" localSheetId="3">{#N/A,#N/A,FALSE,"Plan1";#N/A,#N/A,FALSE,"Plan2"}</definedName>
    <definedName name="zzz" localSheetId="3">#REF!</definedName>
    <definedName name="ㄱ"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ㄱㄷㄱㄱㅎㄺㄷ" localSheetId="3">{"'장비'!$A$3:$M$12"}</definedName>
    <definedName name="검증"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가"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계약고햔황2" localSheetId="3">#REF!</definedName>
    <definedName name="고문" localSheetId="3">{#N/A,#N/A,FALSE,"현장 NCR 분석";#N/A,#N/A,FALSE,"현장품질감사";#N/A,#N/A,FALSE,"현장품질감사"}</definedName>
    <definedName name="고문2" localSheetId="3">{#N/A,#N/A,FALSE,"현장 NCR 분석";#N/A,#N/A,FALSE,"현장품질감사";#N/A,#N/A,FALSE,"현장품질감사"}</definedName>
    <definedName name="공공공표"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구분표_수정" localSheetId="3">{#N/A,#N/A,FALSE,"ENG'G(보호계전기)"}</definedName>
    <definedName name="공급표표"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진도율적용"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표"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양1소결합리화"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름"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분2"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3"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3"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두성"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내역" localSheetId="3">{#N/A,#N/A,FALSE,"CCTV"}</definedName>
    <definedName name="ㄷㄳ" localSheetId="3">{"'장비'!$A$3:$M$12"}</definedName>
    <definedName name="ㄷㄷㄷㄷ" localSheetId="3">{"'장비'!$A$3:$M$12"}</definedName>
    <definedName name="ㄷㅈㅂㄷ" localSheetId="3">{"'장비'!$A$3:$M$12"}</definedName>
    <definedName name="ㄹㄹ" localSheetId="3">{"'장비'!$A$3:$M$12"}</definedName>
    <definedName name="랄"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러러" localSheetId="3">{#N/A,#N/A,FALSE,"현장 NCR 분석";#N/A,#N/A,FALSE,"현장품질감사";#N/A,#N/A,FALSE,"현장품질감사"}</definedName>
    <definedName name="ㅁ" localSheetId="3">{#N/A,#N/A,FALSE,"명세표"}</definedName>
    <definedName name="ㅁㄴ"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ㄹ"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ㄻㄴㅇㄻㄴㅇ"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ㅁ"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ㅁ" localSheetId="3">{#N/A,#N/A,FALSE,"명세표"}</definedName>
    <definedName name="ㅁㅁㅁ" localSheetId="3">#REF!</definedName>
    <definedName name="ㅁㅁㅁㅁㅁㅁㅁㅁㅁㅁㅁㅁ"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ㅇㄻㄴ"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머" localSheetId="3">{#N/A,#N/A,FALSE,"명세표"}</definedName>
    <definedName name="ㅂㅂㅂㅂ" localSheetId="3">{#N/A,#N/A,FALSE,"명세표"}</definedName>
    <definedName name="ㅂㅂㅂㅂㅂㅂㅂ"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ㅈㄱㅂㅈㄷㄱ" localSheetId="3">{"'장비'!$A$3:$M$12"}</definedName>
    <definedName name="ㅂㅈㄷ" localSheetId="3">{"'장비'!$A$3:$M$12"}</definedName>
    <definedName name="ㅂㅈㄷㄷㅂㅈㅈㅂ" localSheetId="3">{"'장비'!$A$3:$M$12"}</definedName>
    <definedName name="ㅂㅈㄷㅂㅈ" localSheetId="3">{"'장비'!$A$3:$M$12"}</definedName>
    <definedName name="ㅂㅈㄷㅂㅈㅈㅂㄷ" localSheetId="3">{"'장비'!$A$3:$M$12"}</definedName>
    <definedName name="ㅂㅈㄷㅈㅂㄷ" localSheetId="3">{"'장비'!$A$3:$M$12"}</definedName>
    <definedName name="보"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보충" localSheetId="3">#REF!</definedName>
    <definedName name="보호" localSheetId="3">{#N/A,#N/A,FALSE,"ENG'G(보호계전기)"}</definedName>
    <definedName name="본공사공정표"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부대공사" localSheetId="3">#REF!</definedName>
    <definedName name="부손익" localSheetId="3">{#N/A,#N/A,FALSE,"현장 NCR 분석";#N/A,#N/A,FALSE,"현장품질감사";#N/A,#N/A,FALSE,"현장품질감사"}</definedName>
    <definedName name="분야"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ㅅㄱㄱㄷ" localSheetId="3">{"'장비'!$A$3:$M$12"}</definedName>
    <definedName name="ㅅㅅㅅㅅㅅ" localSheetId="3">{"'장비'!$A$3:$M$12"}</definedName>
    <definedName name="사업"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계획수정" localSheetId="3">#REF!</definedName>
    <definedName name="사업관리"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부양식2" localSheetId="3">#REF!</definedName>
    <definedName name="새안" localSheetId="3">{#N/A,#N/A,FALSE,"TABLE"}</definedName>
    <definedName name="석항" localSheetId="3">{#N/A,#N/A,FALSE,"명세표"}</definedName>
    <definedName name="설계현황"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손익계산서" localSheetId="3">#REF!</definedName>
    <definedName name="쇼ㅗㅎ로" localSheetId="3">{"'장비'!$A$3:$M$12"}</definedName>
    <definedName name="신설" localSheetId="3">{#N/A,#N/A,FALSE,"명세표"}</definedName>
    <definedName name="실적총괄1" localSheetId="3">#REF!</definedName>
    <definedName name="ㅇㅇ"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변경123"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적용"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구조건참조"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이"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월" localSheetId="3">#REF!</definedName>
    <definedName name="이이"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ㅈ" localSheetId="3">{#N/A,#N/A,FALSE,"명세표"}</definedName>
    <definedName name="ㅈㅈㅈㅈ" localSheetId="3">{#N/A,#N/A,FALSE,"명세표"}</definedName>
    <definedName name="자미" localSheetId="3">{#N/A,#N/A,FALSE,"명세표"}</definedName>
    <definedName name="자운" localSheetId="3">#REF!</definedName>
    <definedName name="자재3"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계장금액" localSheetId="3">#REF!</definedName>
    <definedName name="전기사양_SAMPLE"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상세공정"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선조장" localSheetId="3">#REF!</definedName>
    <definedName name="조직표현장" localSheetId="3">#REF!</definedName>
    <definedName name="종합1"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설계현황"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중량비교검토" localSheetId="3">{#N/A,#N/A,FALSE,"ENG'G(보호계전기)"}</definedName>
    <definedName name="집계" localSheetId="3">{#N/A,#N/A,FALSE,"명세표"}</definedName>
    <definedName name="철골공정"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2"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ㅋㅁ" localSheetId="3">{#N/A,#N/A,FALSE,"명세표"}</definedName>
    <definedName name="ㅋㅋㅋ" localSheetId="3">{#N/A,#N/A,FALSE,"명세표"}</definedName>
    <definedName name="ㅌㅌ" localSheetId="3">{#N/A,#N/A,FALSE,"명세표"}</definedName>
    <definedName name="토"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토목"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ㅎㅎ" localSheetId="3">{"'장비'!$A$3:$M$12"}</definedName>
    <definedName name="하하하" localSheetId="3">{#N/A,#N/A,FALSE,"명세표"}</definedName>
    <definedName name="한국"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장계기류"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1"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호호호" localSheetId="3">{#N/A,#N/A,FALSE,"명세표"}</definedName>
    <definedName name="ㅏㅏㅏ" localSheetId="3">{#N/A,#N/A,FALSE,"명세표"}</definedName>
    <definedName name="ㅔㅔ" localSheetId="3">{#N/A,#N/A,FALSE,"명세표"}</definedName>
    <definedName name="ㅔㅔㅔㅔㅔ"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홓ㅎ로" localSheetId="3">{"'장비'!$A$3:$M$12"}</definedName>
    <definedName name="ㅗㅗ" localSheetId="3">{#N/A,#N/A,FALSE,"명세표"}</definedName>
    <definedName name="ㅗㅗㅗㅗㅗ" localSheetId="3">{"'장비'!$A$3:$M$12"}</definedName>
    <definedName name="ㅛ" localSheetId="3">{"'장비'!$A$3:$M$12"}</definedName>
    <definedName name="ㅛㅕㅛㅕㅛ"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ㅛㅛㅛ" localSheetId="3">{"'장비'!$A$3:$M$12"}</definedName>
    <definedName name="ㅜ" localSheetId="3">{#N/A,#N/A,FALSE,"명세표"}</definedName>
    <definedName name="ㅠㅠ" localSheetId="3">{#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ㅡㅡ" localSheetId="3">{#N/A,#N/A,FALSE,"명세표"}</definedName>
    <definedName name="_xlnm._FilterDatabase" localSheetId="3" hidden="1">'Ger_Executivo_Manual'!$F$7:$P$1882</definedName>
    <definedName name="\xasd" localSheetId="7" hidden="1">{#N/A,#N/A,FALSE,"Plan1";#N/A,#N/A,FALSE,"Plan2"}</definedName>
    <definedName name="_\xasd" localSheetId="7" hidden="1">{#N/A,#N/A,FALSE,"Plan1";#N/A,#N/A,FALSE,"Plan2"}</definedName>
    <definedName name="________________r1" localSheetId="7">{#N/A,#N/A,FALSE,"GERAL";#N/A,#N/A,FALSE,"012-96";#N/A,#N/A,FALSE,"018-96";#N/A,#N/A,FALSE,"027-96";#N/A,#N/A,FALSE,"059-96";#N/A,#N/A,FALSE,"076-96";#N/A,#N/A,FALSE,"019-97";#N/A,#N/A,FALSE,"021-97";#N/A,#N/A,FALSE,"022-97";#N/A,#N/A,FALSE,"028-97"}</definedName>
    <definedName name="______________r1" localSheetId="7">{#N/A,#N/A,FALSE,"GERAL";#N/A,#N/A,FALSE,"012-96";#N/A,#N/A,FALSE,"018-96";#N/A,#N/A,FALSE,"027-96";#N/A,#N/A,FALSE,"059-96";#N/A,#N/A,FALSE,"076-96";#N/A,#N/A,FALSE,"019-97";#N/A,#N/A,FALSE,"021-97";#N/A,#N/A,FALSE,"022-97";#N/A,#N/A,FALSE,"028-97"}</definedName>
    <definedName name="_____________r1" localSheetId="7">{#N/A,#N/A,FALSE,"GERAL";#N/A,#N/A,FALSE,"012-96";#N/A,#N/A,FALSE,"018-96";#N/A,#N/A,FALSE,"027-96";#N/A,#N/A,FALSE,"059-96";#N/A,#N/A,FALSE,"076-96";#N/A,#N/A,FALSE,"019-97";#N/A,#N/A,FALSE,"021-97";#N/A,#N/A,FALSE,"022-97";#N/A,#N/A,FALSE,"028-97"}</definedName>
    <definedName name="____________r1" localSheetId="7">{#N/A,#N/A,FALSE,"GERAL";#N/A,#N/A,FALSE,"012-96";#N/A,#N/A,FALSE,"018-96";#N/A,#N/A,FALSE,"027-96";#N/A,#N/A,FALSE,"059-96";#N/A,#N/A,FALSE,"076-96";#N/A,#N/A,FALSE,"019-97";#N/A,#N/A,FALSE,"021-97";#N/A,#N/A,FALSE,"022-97";#N/A,#N/A,FALSE,"028-97"}</definedName>
    <definedName name="___________r1" localSheetId="7">{#N/A,#N/A,FALSE,"GERAL";#N/A,#N/A,FALSE,"012-96";#N/A,#N/A,FALSE,"018-96";#N/A,#N/A,FALSE,"027-96";#N/A,#N/A,FALSE,"059-96";#N/A,#N/A,FALSE,"076-96";#N/A,#N/A,FALSE,"019-97";#N/A,#N/A,FALSE,"021-97";#N/A,#N/A,FALSE,"022-97";#N/A,#N/A,FALSE,"028-97"}</definedName>
    <definedName name="_________r1" localSheetId="7">{#N/A,#N/A,FALSE,"GERAL";#N/A,#N/A,FALSE,"012-96";#N/A,#N/A,FALSE,"018-96";#N/A,#N/A,FALSE,"027-96";#N/A,#N/A,FALSE,"059-96";#N/A,#N/A,FALSE,"076-96";#N/A,#N/A,FALSE,"019-97";#N/A,#N/A,FALSE,"021-97";#N/A,#N/A,FALSE,"022-97";#N/A,#N/A,FALSE,"028-97"}</definedName>
    <definedName name="________r1" localSheetId="7">{#N/A,#N/A,FALSE,"GERAL";#N/A,#N/A,FALSE,"012-96";#N/A,#N/A,FALSE,"018-96";#N/A,#N/A,FALSE,"027-96";#N/A,#N/A,FALSE,"059-96";#N/A,#N/A,FALSE,"076-96";#N/A,#N/A,FALSE,"019-97";#N/A,#N/A,FALSE,"021-97";#N/A,#N/A,FALSE,"022-97";#N/A,#N/A,FALSE,"028-97"}</definedName>
    <definedName name="_______r1" localSheetId="7">{#N/A,#N/A,FALSE,"GERAL";#N/A,#N/A,FALSE,"012-96";#N/A,#N/A,FALSE,"018-96";#N/A,#N/A,FALSE,"027-96";#N/A,#N/A,FALSE,"059-96";#N/A,#N/A,FALSE,"076-96";#N/A,#N/A,FALSE,"019-97";#N/A,#N/A,FALSE,"021-97";#N/A,#N/A,FALSE,"022-97";#N/A,#N/A,FALSE,"028-97"}</definedName>
    <definedName name="______r1" localSheetId="7">{#N/A,#N/A,FALSE,"GERAL";#N/A,#N/A,FALSE,"012-96";#N/A,#N/A,FALSE,"018-96";#N/A,#N/A,FALSE,"027-96";#N/A,#N/A,FALSE,"059-96";#N/A,#N/A,FALSE,"076-96";#N/A,#N/A,FALSE,"019-97";#N/A,#N/A,FALSE,"021-97";#N/A,#N/A,FALSE,"022-97";#N/A,#N/A,FALSE,"028-97"}</definedName>
    <definedName name="_____r1" localSheetId="7">{#N/A,#N/A,FALSE,"GERAL";#N/A,#N/A,FALSE,"012-96";#N/A,#N/A,FALSE,"018-96";#N/A,#N/A,FALSE,"027-96";#N/A,#N/A,FALSE,"059-96";#N/A,#N/A,FALSE,"076-96";#N/A,#N/A,FALSE,"019-97";#N/A,#N/A,FALSE,"021-97";#N/A,#N/A,FALSE,"022-97";#N/A,#N/A,FALSE,"028-97"}</definedName>
    <definedName name="____PK2" localSheetId="7">{"'장비'!$A$3:$M$12"}</definedName>
    <definedName name="____PKG3" localSheetId="7">{"'장비'!$A$3:$M$12"}</definedName>
    <definedName name="____qqq222" localSheetId="7">{"'장비'!$A$3:$M$12"}</definedName>
    <definedName name="____r1" localSheetId="7">{#N/A,#N/A,FALSE,"GERAL";#N/A,#N/A,FALSE,"012-96";#N/A,#N/A,FALSE,"018-96";#N/A,#N/A,FALSE,"027-96";#N/A,#N/A,FALSE,"059-96";#N/A,#N/A,FALSE,"076-96";#N/A,#N/A,FALSE,"019-97";#N/A,#N/A,FALSE,"021-97";#N/A,#N/A,FALSE,"022-97";#N/A,#N/A,FALSE,"028-97"}</definedName>
    <definedName name="___CO2"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ECS1"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PK2" localSheetId="7">{"'장비'!$A$3:$M$12"}</definedName>
    <definedName name="___PKG3" localSheetId="7">{"'장비'!$A$3:$M$12"}</definedName>
    <definedName name="___qqq222" localSheetId="7">{"'장비'!$A$3:$M$12"}</definedName>
    <definedName name="___r1" localSheetId="7">{#N/A,#N/A,FALSE,"GERAL";#N/A,#N/A,FALSE,"012-96";#N/A,#N/A,FALSE,"018-96";#N/A,#N/A,FALSE,"027-96";#N/A,#N/A,FALSE,"059-96";#N/A,#N/A,FALSE,"076-96";#N/A,#N/A,FALSE,"019-97";#N/A,#N/A,FALSE,"021-97";#N/A,#N/A,FALSE,"022-97";#N/A,#N/A,FALSE,"028-97"}</definedName>
    <definedName name="__CO2"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CS1"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PK2" localSheetId="7">{"'장비'!$A$3:$M$12"}</definedName>
    <definedName name="__PKG3" localSheetId="7">{"'장비'!$A$3:$M$12"}</definedName>
    <definedName name="__qqq222" localSheetId="7">{"'장비'!$A$3:$M$12"}</definedName>
    <definedName name="__r1" localSheetId="7">{#N/A,#N/A,FALSE,"GERAL";#N/A,#N/A,FALSE,"012-96";#N/A,#N/A,FALSE,"018-96";#N/A,#N/A,FALSE,"027-96";#N/A,#N/A,FALSE,"059-96";#N/A,#N/A,FALSE,"076-96";#N/A,#N/A,FALSE,"019-97";#N/A,#N/A,FALSE,"021-97";#N/A,#N/A,FALSE,"022-97";#N/A,#N/A,FALSE,"028-97"}</definedName>
    <definedName name="__r2" localSheetId="7">{#N/A,#N/A,FALSE,"GERAL";#N/A,#N/A,FALSE,"012-96";#N/A,#N/A,FALSE,"018-96";#N/A,#N/A,FALSE,"027-96";#N/A,#N/A,FALSE,"059-96";#N/A,#N/A,FALSE,"076-96";#N/A,#N/A,FALSE,"019-97";#N/A,#N/A,FALSE,"021-97";#N/A,#N/A,FALSE,"022-97";#N/A,#N/A,FALSE,"028-97"}</definedName>
    <definedName name="_CO2"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ECS1"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IA0542" localSheetId="7">{#N/A,#N/A,FALSE,"Plan1";#N/A,#N/A,FALSE,"Plan2"}</definedName>
    <definedName name="_new11" localSheetId="7">{#N/A,#N/A,FALSE,"Global by BU";#N/A,#N/A,FALSE,"U.S. by BU";#N/A,#N/A,FALSE,"Canada by BU";#N/A,#N/A,FALSE,"Europe by BU";#N/A,#N/A,FALSE,"Asia by BU";#N/A,#N/A,FALSE,"Cala by BU"}</definedName>
    <definedName name="_PK2" localSheetId="7">{"'장비'!$A$3:$M$12"}</definedName>
    <definedName name="_PKG3" localSheetId="7">{"'장비'!$A$3:$M$12"}</definedName>
    <definedName name="_qqq222" localSheetId="7">{"'장비'!$A$3:$M$12"}</definedName>
    <definedName name="_r1" localSheetId="7">{#N/A,#N/A,FALSE,"GERAL";#N/A,#N/A,FALSE,"012-96";#N/A,#N/A,FALSE,"018-96";#N/A,#N/A,FALSE,"027-96";#N/A,#N/A,FALSE,"059-96";#N/A,#N/A,FALSE,"076-96";#N/A,#N/A,FALSE,"019-97";#N/A,#N/A,FALSE,"021-97";#N/A,#N/A,FALSE,"022-97";#N/A,#N/A,FALSE,"028-97"}</definedName>
    <definedName name="_R2" localSheetId="7">{#N/A,#N/A,FALSE,"GERAL";#N/A,#N/A,FALSE,"012-96";#N/A,#N/A,FALSE,"018-96";#N/A,#N/A,FALSE,"027-96";#N/A,#N/A,FALSE,"059-96";#N/A,#N/A,FALSE,"076-96";#N/A,#N/A,FALSE,"019-97";#N/A,#N/A,FALSE,"021-97";#N/A,#N/A,FALSE,"022-97";#N/A,#N/A,FALSE,"028-97"}</definedName>
    <definedName name="_sfe5"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_wer3" localSheetId="7">{#N/A,#N/A,FALSE,"Plan1";#N/A,#N/A,FALSE,"Plan2"}</definedName>
    <definedName name="_wrn.pendencias" localSheetId="7">{#N/A,#N/A,FALSE,"GERAL";#N/A,#N/A,FALSE,"012-96";#N/A,#N/A,FALSE,"018-96";#N/A,#N/A,FALSE,"027-96";#N/A,#N/A,FALSE,"059-96";#N/A,#N/A,FALSE,"076-96";#N/A,#N/A,FALSE,"019-97";#N/A,#N/A,FALSE,"021-97";#N/A,#N/A,FALSE,"022-97";#N/A,#N/A,FALSE,"028-97"}</definedName>
    <definedName name="a\sgt" localSheetId="7" hidden="1">{#N/A,#N/A,FALSE,"Plan1";#N/A,#N/A,FALSE,"Plan2"}</definedName>
    <definedName name="AAAA"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aaaaaaaaa"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aaacccc" localSheetId="7">{#N/A,#N/A,FALSE,"Plan1";#N/A,#N/A,FALSE,"Plan2"}</definedName>
    <definedName name="abc"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çoeeer" localSheetId="7">{#N/A,#N/A,FALSE,"Plan1";#N/A,#N/A,FALSE,"Plan2"}</definedName>
    <definedName name="ad" localSheetId="7">{#N/A,#N/A,FALSE,"Plan1";#N/A,#N/A,FALSE,"Plan2"}</definedName>
    <definedName name="adads" localSheetId="7">{#N/A,#N/A,FALSE,"Plan1";#N/A,#N/A,FALSE,"Plan2"}</definedName>
    <definedName name="adads2" localSheetId="7">{#N/A,#N/A,FALSE,"Plan1";#N/A,#N/A,FALSE,"Plan2"}</definedName>
    <definedName name="adced" localSheetId="7">{#N/A,#N/A,FALSE,"Plan1";#N/A,#N/A,FALSE,"Plan2"}</definedName>
    <definedName name="adced2" localSheetId="7">{#N/A,#N/A,FALSE,"Plan1";#N/A,#N/A,FALSE,"Plan2"}</definedName>
    <definedName name="ader" localSheetId="7">{#N/A,#N/A,FALSE,"Plan1";#N/A,#N/A,FALSE,"Plan2"}</definedName>
    <definedName name="ader2" localSheetId="7">{#N/A,#N/A,FALSE,"Plan1";#N/A,#N/A,FALSE,"Plan2"}</definedName>
    <definedName name="adesr" localSheetId="7">{#N/A,#N/A,FALSE,"Plan1";#N/A,#N/A,FALSE,"Plan2"}</definedName>
    <definedName name="adewr" localSheetId="7">{#N/A,#N/A,FALSE,"Plan1";#N/A,#N/A,FALSE,"Plan2"}</definedName>
    <definedName name="adf" localSheetId="7">{#N/A,#N/A,FALSE,"Plan1";#N/A,#N/A,FALSE,"Plan2"}</definedName>
    <definedName name="adsfr" localSheetId="7">{#N/A,#N/A,FALSE,"Plan1";#N/A,#N/A,FALSE,"Plan2"}</definedName>
    <definedName name="adssrgtg" localSheetId="7">{#N/A,#N/A,FALSE,"Plan1";#N/A,#N/A,FALSE,"Plan2"}</definedName>
    <definedName name="adtsetrr6t" localSheetId="7">{#N/A,#N/A,FALSE,"Plan1";#N/A,#N/A,FALSE,"Plan2"}</definedName>
    <definedName name="adwr" localSheetId="7">{#N/A,#N/A,FALSE,"Plan1";#N/A,#N/A,FALSE,"Plan2"}</definedName>
    <definedName name="aeiresft" localSheetId="7">{#N/A,#N/A,FALSE,"Plan1";#N/A,#N/A,FALSE,"Plan2"}</definedName>
    <definedName name="aEL3QE" localSheetId="7">{#N/A,#N/A,FALSE,"Plan1";#N/A,#N/A,FALSE,"Plan2"}</definedName>
    <definedName name="afeasfre" localSheetId="7">{#N/A,#N/A,FALSE,"Plan1";#N/A,#N/A,FALSE,"Plan2"}</definedName>
    <definedName name="agua" localSheetId="7">{#N/A,#N/A,FALSE,"GERAL";#N/A,#N/A,FALSE,"012-96";#N/A,#N/A,FALSE,"018-96";#N/A,#N/A,FALSE,"027-96";#N/A,#N/A,FALSE,"059-96";#N/A,#N/A,FALSE,"076-96";#N/A,#N/A,FALSE,"019-97";#N/A,#N/A,FALSE,"021-97";#N/A,#N/A,FALSE,"022-97";#N/A,#N/A,FALSE,"028-97"}</definedName>
    <definedName name="AH" localSheetId="7">{#N/A,#N/A,FALSE,"CCTV"}</definedName>
    <definedName name="AQE" localSheetId="7">{"'장비'!$A$3:$M$12"}</definedName>
    <definedName name="ArComprimido" localSheetId="7">{"'Estimativa de Lançamento-JAN'!$A$1:$AI$85"}</definedName>
    <definedName name="area" localSheetId="7">{#N/A,#N/A,FALSE,"Plan1";#N/A,#N/A,FALSE,"Plan2"}</definedName>
    <definedName name="asawe3" localSheetId="7">{#N/A,#N/A,FALSE,"Plan1";#N/A,#N/A,FALSE,"Plan2"}</definedName>
    <definedName name="ASDA" localSheetId="7">{#N/A,#N/A,FALSE,"Plan1";#N/A,#N/A,FALSE,"Plan2"}</definedName>
    <definedName name="asdade" localSheetId="7">{#N/A,#N/A,FALSE,"Plan1";#N/A,#N/A,FALSE,"Plan2"}</definedName>
    <definedName name="asdas" localSheetId="7">{#N/A,#N/A,FALSE,"Plan1";#N/A,#N/A,FALSE,"Plan2"}</definedName>
    <definedName name="asdawed" localSheetId="7">{#N/A,#N/A,FALSE,"Plan1";#N/A,#N/A,FALSE,"Plan2"}</definedName>
    <definedName name="ASDER" localSheetId="7">{#N/A,#N/A,FALSE,"Plan1";#N/A,#N/A,FALSE,"Plan2"}</definedName>
    <definedName name="asderr" localSheetId="7">{#N/A,#N/A,FALSE,"Plan1";#N/A,#N/A,FALSE,"Plan2"}</definedName>
    <definedName name="asdesre" localSheetId="7">{#N/A,#N/A,FALSE,"Plan1";#N/A,#N/A,FALSE,"Plan2"}</definedName>
    <definedName name="asdewr" localSheetId="7">{#N/A,#N/A,FALSE,"Plan1";#N/A,#N/A,FALSE,"Plan2"}</definedName>
    <definedName name="ASDFASDFA"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ASDFADF"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rrt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asdfs" localSheetId="7">{#N/A,#N/A,FALSE,"Plan1";#N/A,#N/A,FALSE,"Plan2"}</definedName>
    <definedName name="asdg" localSheetId="7">{#N/A,#N/A,FALSE,"Plan1";#N/A,#N/A,FALSE,"Plan2"}</definedName>
    <definedName name="asdked"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asdlas" localSheetId="7">{#N/A,#N/A,FALSE,"Plan1";#N/A,#N/A,FALSE,"Plan2"}</definedName>
    <definedName name="asdqwe" localSheetId="7">{#N/A,#N/A,FALSE,"Plan1";#N/A,#N/A,FALSE,"Plan2"}</definedName>
    <definedName name="asdsa" localSheetId="7">{#N/A,#N/A,FALSE,"Plan1";#N/A,#N/A,FALSE,"Plan2"}</definedName>
    <definedName name="asdser" localSheetId="7">{#N/A,#N/A,FALSE,"Plan1";#N/A,#N/A,FALSE,"Plan2"}</definedName>
    <definedName name="asdwef" localSheetId="7">{#N/A,#N/A,FALSE,"Plan1";#N/A,#N/A,FALSE,"Plan2"}</definedName>
    <definedName name="ASET" localSheetId="7">{#N/A,#N/A,FALSE,"Plan1";#N/A,#N/A,FALSE,"Plan2"}</definedName>
    <definedName name="asfDSF" localSheetId="7">{#N/A,#N/A,FALSE,"Plan1";#N/A,#N/A,FALSE,"Plan2"}</definedName>
    <definedName name="ASFERTE" localSheetId="7">{#N/A,#N/A,FALSE,"Plan1";#N/A,#N/A,FALSE,"Plan2"}</definedName>
    <definedName name="asfl" localSheetId="7">{#N/A,#N/A,FALSE,"Plan1";#N/A,#N/A,FALSE,"Plan2"}</definedName>
    <definedName name="asfsz" localSheetId="7">{#N/A,#N/A,FALSE,"Plan1";#N/A,#N/A,FALSE,"Plan2"}</definedName>
    <definedName name="askserf" localSheetId="7">{#N/A,#N/A,FALSE,"Plan1";#N/A,#N/A,FALSE,"Plan2"}</definedName>
    <definedName name="ASSFSDF" localSheetId="7">{#N/A,#N/A,FALSE,"Plan1";#N/A,#N/A,FALSE,"Plan2"}</definedName>
    <definedName name="asw" localSheetId="7">{#N/A,#N/A,FALSE,"Plan1";#N/A,#N/A,FALSE,"Plan2"}</definedName>
    <definedName name="ATIVOS" localSheetId="7">{#N/A,#N/A,FALSE,"F-01"}</definedName>
    <definedName name="awdjw" localSheetId="7">{#N/A,#N/A,FALSE,"Plan1";#N/A,#N/A,FALSE,"Plan2"}</definedName>
    <definedName name="aweqw4" localSheetId="7">{#N/A,#N/A,FALSE,"Plan1";#N/A,#N/A,FALSE,"Plan2"}</definedName>
    <definedName name="awssdwaer" localSheetId="7">{#N/A,#N/A,FALSE,"Plan1";#N/A,#N/A,FALSE,"Plan2"}</definedName>
    <definedName name="bbbbbbbbbbbbbbb" localSheetId="7">{"'Edit'!$A$1:$V$2277"}</definedName>
    <definedName name="bdfjghf" localSheetId="7">{#N/A,#N/A,FALSE,"Plan1";#N/A,#N/A,FALSE,"Plan2"}</definedName>
    <definedName name="bdzbfbdr" localSheetId="7">{#N/A,#N/A,FALSE,"Plan1";#N/A,#N/A,FALSE,"Plan2"}</definedName>
    <definedName name="BGG" localSheetId="7">{#N/A,#N/A,FALSE,"Plan1";#N/A,#N/A,FALSE,"Plan2"}</definedName>
    <definedName name="bhjgfhfhg"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BJGO"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BJSDKHFE" localSheetId="7">{#N/A,#N/A,FALSE,"Plan1";#N/A,#N/A,FALSE,"Plan2"}</definedName>
    <definedName name="bmdgghrtfde" localSheetId="7">{#N/A,#N/A,FALSE,"Plan1";#N/A,#N/A,FALSE,"Plan2"}</definedName>
    <definedName name="bnkjhjhdfxgt" localSheetId="7">{#N/A,#N/A,FALSE,"Plan1";#N/A,#N/A,FALSE,"Plan2"}</definedName>
    <definedName name="bxnzfmkzxbhdf" localSheetId="7">{#N/A,#N/A,FALSE,"Plan1";#N/A,#N/A,FALSE,"Plan2"}</definedName>
    <definedName name="caixas" localSheetId="7">{#N/A,#N/A,FALSE,"GERAL";#N/A,#N/A,FALSE,"012-96";#N/A,#N/A,FALSE,"018-96";#N/A,#N/A,FALSE,"027-96";#N/A,#N/A,FALSE,"059-96";#N/A,#N/A,FALSE,"076-96";#N/A,#N/A,FALSE,"019-97";#N/A,#N/A,FALSE,"021-97";#N/A,#N/A,FALSE,"022-97";#N/A,#N/A,FALSE,"028-97"}</definedName>
    <definedName name="çaos\ewapo" localSheetId="7" hidden="1">{#N/A,#N/A,FALSE,"Plan1";#N/A,#N/A,FALSE,"Plan2"}</definedName>
    <definedName name="CAT6_IP" localSheetId="7">{#N/A,#N/A,FALSE,"F-01"}</definedName>
    <definedName name="ççç" localSheetId="7">{#N/A,#N/A,FALSE,"Plan1";#N/A,#N/A,FALSE,"Plan2"}</definedName>
    <definedName name="cccc" localSheetId="7">{#N/A,#N/A,FALSE,"Plan1";#N/A,#N/A,FALSE,"Plan2"}</definedName>
    <definedName name="ççççççç"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cccccccc"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cccccccccccccccc" localSheetId="7">{"HW",#N/A,FALSE,"1998"}</definedName>
    <definedName name="çcklfjk"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çdfmerf" localSheetId="7">{#N/A,#N/A,FALSE,"Plan1";#N/A,#N/A,FALSE,"Plan2"}</definedName>
    <definedName name="CDSGHE" localSheetId="7">{#N/A,#N/A,FALSE,"Plan1";#N/A,#N/A,FALSE,"Plan2"}</definedName>
    <definedName name="çfhjglkjhkljyhj"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çflçf" localSheetId="7">{#N/A,#N/A,FALSE,"Plan1";#N/A,#N/A,FALSE,"Plan2"}</definedName>
    <definedName name="chfch" localSheetId="7">{#N/A,#N/A,FALSE,"Plan1";#N/A,#N/A,FALSE,"Plan2"}</definedName>
    <definedName name="ÇJKRÇLFS" localSheetId="7">{"Econ Consolidado",#N/A,FALSE,"Econ Consol";"Fluxo de Caixa",#N/A,FALSE,"Fluxo Caixa";"Investimentos",#N/A,FALSE,"Investimentos"}</definedName>
    <definedName name="ÇJsrejtçe" localSheetId="7">{#N/A,#N/A,FALSE,"Plan1";#N/A,#N/A,FALSE,"Plan2"}</definedName>
    <definedName name="çkaçekow" localSheetId="7">{#N/A,#N/A,FALSE,"Plan1";#N/A,#N/A,FALSE,"Plan2"}</definedName>
    <definedName name="ÇKSDOEKR" localSheetId="7">{#N/A,#N/A,FALSE,"Plan1";#N/A,#N/A,FALSE,"Plan2"}</definedName>
    <definedName name="çl" localSheetId="7">{#N/A,#N/A,FALSE,"Plan1";#N/A,#N/A,FALSE,"Plan2"}</definedName>
    <definedName name="çlassde" localSheetId="7">{#N/A,#N/A,FALSE,"Plan1";#N/A,#N/A,FALSE,"Plan2"}</definedName>
    <definedName name="çlçlç" localSheetId="7">{#N/A,#N/A,FALSE,"Plan1";#N/A,#N/A,FALSE,"Plan2"}</definedName>
    <definedName name="çld" localSheetId="7">{#N/A,#N/A,FALSE,"Plan1";#N/A,#N/A,FALSE,"Plan2"}</definedName>
    <definedName name="çlererr" localSheetId="7">{#N/A,#N/A,FALSE,"Plan1";#N/A,#N/A,FALSE,"Plan2"}</definedName>
    <definedName name="çlertert" localSheetId="7">{#N/A,#N/A,FALSE,"Plan1";#N/A,#N/A,FALSE,"Plan2"}</definedName>
    <definedName name="çll" localSheetId="7">{#N/A,#N/A,FALSE,"Plan1";#N/A,#N/A,FALSE,"Plan2"}</definedName>
    <definedName name="CMC" localSheetId="7">{#N/A,#N/A,FALSE,"GERAL";#N/A,#N/A,FALSE,"012-96";#N/A,#N/A,FALSE,"018-96";#N/A,#N/A,FALSE,"027-96";#N/A,#N/A,FALSE,"059-96";#N/A,#N/A,FALSE,"076-96";#N/A,#N/A,FALSE,"019-97";#N/A,#N/A,FALSE,"021-97";#N/A,#N/A,FALSE,"022-97";#N/A,#N/A,FALSE,"028-97"}</definedName>
    <definedName name="CONFIRMAR" localSheetId="7">{#N/A,#N/A,TRUE,"Quinzena 01 à 15-04-98 "}</definedName>
    <definedName name="cont" localSheetId="7">{#N/A,#N/A,FALSE,"Plan1";#N/A,#N/A,FALSE,"Plan2"}</definedName>
    <definedName name="Controle_Tecnologico" localSheetId="7">{#N/A,#N/A,FALSE,"Plan1";#N/A,#N/A,FALSE,"Plan2"}</definedName>
    <definedName name="ÇSAÇDFW"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CSE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ÇSLÇDLFKD" localSheetId="7">{#N/A,#N/A,FALSE,"Plan1";#N/A,#N/A,FALSE,"Plan2"}</definedName>
    <definedName name="CTH" localSheetId="7">{#N/A,#N/A,FALSE,"GERAL";#N/A,#N/A,FALSE,"012-96";#N/A,#N/A,FALSE,"018-96";#N/A,#N/A,FALSE,"027-96";#N/A,#N/A,FALSE,"059-96";#N/A,#N/A,FALSE,"076-96";#N/A,#N/A,FALSE,"019-97";#N/A,#N/A,FALSE,"021-97";#N/A,#N/A,FALSE,"022-97";#N/A,#N/A,FALSE,"028-97"}</definedName>
    <definedName name="dalmo" localSheetId="7">{#N/A,#N/A,FALSE,"GERAL";#N/A,#N/A,FALSE,"012-96";#N/A,#N/A,FALSE,"018-96";#N/A,#N/A,FALSE,"027-96";#N/A,#N/A,FALSE,"059-96";#N/A,#N/A,FALSE,"076-96";#N/A,#N/A,FALSE,"019-97";#N/A,#N/A,FALSE,"021-97";#N/A,#N/A,FALSE,"022-97";#N/A,#N/A,FALSE,"028-97"}</definedName>
    <definedName name="dasfrt" localSheetId="7">{#N/A,#N/A,FALSE,"Plan1";#N/A,#N/A,FALSE,"Plan2"}</definedName>
    <definedName name="DÇDL" localSheetId="7">{#N/A,#N/A,FALSE,"Plan1";#N/A,#N/A,FALSE,"Plan2"}</definedName>
    <definedName name="dcnsfgdjkgb" localSheetId="7">{#N/A,#N/A,FALSE,"Plan1";#N/A,#N/A,FALSE,"Plan2"}</definedName>
    <definedName name="DÇWK" localSheetId="7">{#N/A,#N/A,FALSE,"Plan1";#N/A,#N/A,FALSE,"Plan2"}</definedName>
    <definedName name="DD"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dddd" localSheetId="7">{#N/A,#N/A,FALSE,"Plan1";#N/A,#N/A,FALSE,"Plan2"}</definedName>
    <definedName name="dde" localSheetId="7">{#N/A,#N/A,FALSE,"Plan1";#N/A,#N/A,FALSE,"Plan2"}</definedName>
    <definedName name="ddgfdvgdg"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DGSFG" localSheetId="7">{#N/A,#N/A,FALSE,"Plan1";#N/A,#N/A,FALSE,"Plan2"}</definedName>
    <definedName name="dede" localSheetId="7">{#N/A,#N/A,FALSE,"Plan1";#N/A,#N/A,FALSE,"Plan2"}</definedName>
    <definedName name="des" localSheetId="7">{#N/A,#N/A,FALSE,"Plan1";#N/A,#N/A,FALSE,"Plan2"}</definedName>
    <definedName name="desc" localSheetId="7">{#N/A,#N/A,FALSE,"Plan1";#N/A,#N/A,FALSE,"Plan2"}</definedName>
    <definedName name="d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FD" localSheetId="7">{#N/A,#N/A,FALSE,"명세표"}</definedName>
    <definedName name="dfdfty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fdjgfdfgdf" localSheetId="7">{#N/A,#N/A,FALSE,"Plan1";#N/A,#N/A,FALSE,"Plan2"}</definedName>
    <definedName name="dfdrtrr" localSheetId="7">{#N/A,#N/A,FALSE,"Plan1";#N/A,#N/A,FALSE,"Plan2"}</definedName>
    <definedName name="DFDSG" localSheetId="7">{#N/A,#N/A,FALSE,"Plan1";#N/A,#N/A,FALSE,"Plan2"}</definedName>
    <definedName name="dfer" localSheetId="7">{#N/A,#N/A,FALSE,"Plan1";#N/A,#N/A,FALSE,"Plan2"}</definedName>
    <definedName name="dffbty" localSheetId="7">{#N/A,#N/A,FALSE,"Plan1";#N/A,#N/A,FALSE,"Plan2"}</definedName>
    <definedName name="dffgk"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ffhg" localSheetId="7">{#N/A,#N/A,FALSE,"Plan1";#N/A,#N/A,FALSE,"Plan2"}</definedName>
    <definedName name="dfg" localSheetId="7">{#N/A,#N/A,FALSE,"Plan1";#N/A,#N/A,FALSE,"Plan2"}</definedName>
    <definedName name="dfgdf" localSheetId="7">{#N/A,#N/A,FALSE,"Plan1";#N/A,#N/A,FALSE,"Plan2"}</definedName>
    <definedName name="dfgdytygr" localSheetId="7">{#N/A,#N/A,FALSE,"Plan1";#N/A,#N/A,FALSE,"Plan2"}</definedName>
    <definedName name="dfgftrrdt5" localSheetId="7">{#N/A,#N/A,FALSE,"Plan1";#N/A,#N/A,FALSE,"Plan2"}</definedName>
    <definedName name="dfghjfhsg" localSheetId="7">{#N/A,#N/A,FALSE,"Plan1";#N/A,#N/A,FALSE,"Plan2"}</definedName>
    <definedName name="dfgj" localSheetId="7">{#N/A,#N/A,FALSE,"Plan1";#N/A,#N/A,FALSE,"Plan2"}</definedName>
    <definedName name="dfgjfttyd" localSheetId="7">{#N/A,#N/A,FALSE,"Plan1";#N/A,#N/A,FALSE,"Plan2"}</definedName>
    <definedName name="dfgjjtdrtg" localSheetId="7">{#N/A,#N/A,FALSE,"Plan1";#N/A,#N/A,FALSE,"Plan2"}</definedName>
    <definedName name="dfgt" localSheetId="7">{#N/A,#N/A,FALSE,"Plan1";#N/A,#N/A,FALSE,"Plan2"}</definedName>
    <definedName name="dfgtrkjhk" localSheetId="7">{#N/A,#N/A,FALSE,"Plan1";#N/A,#N/A,FALSE,"Plan2"}</definedName>
    <definedName name="dfgty" localSheetId="7">{#N/A,#N/A,FALSE,"Plan1";#N/A,#N/A,FALSE,"Plan2"}</definedName>
    <definedName name="dfhdgfdgf" localSheetId="7">{#N/A,#N/A,FALSE,"Plan1";#N/A,#N/A,FALSE,"Plan2"}</definedName>
    <definedName name="DFHDJGJFHJGF" localSheetId="7">{#N/A,#N/A,FALSE,"Plan1";#N/A,#N/A,FALSE,"Plan2"}</definedName>
    <definedName name="dfhdyg" localSheetId="7">{#N/A,#N/A,FALSE,"Plan1";#N/A,#N/A,FALSE,"Plan2"}</definedName>
    <definedName name="DFHGDHUR" localSheetId="7">{#N/A,#N/A,FALSE,"Plan1";#N/A,#N/A,FALSE,"Plan2"}</definedName>
    <definedName name="dfhgjfgdhfjdrf" localSheetId="7">{#N/A,#N/A,FALSE,"Plan1";#N/A,#N/A,FALSE,"Plan2"}</definedName>
    <definedName name="dfhgkhfut" localSheetId="7">{#N/A,#N/A,FALSE,"Plan1";#N/A,#N/A,FALSE,"Plan2"}</definedName>
    <definedName name="dfhguitrhfg" localSheetId="7">{#N/A,#N/A,FALSE,"Plan1";#N/A,#N/A,FALSE,"Plan2"}</definedName>
    <definedName name="DFHKHDGKJHDKS" localSheetId="7">{#N/A,#N/A,FALSE,"Plan1";#N/A,#N/A,FALSE,"Plan2"}</definedName>
    <definedName name="dfjgjfhykj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fjkgtdftr" localSheetId="7">{#N/A,#N/A,FALSE,"Plan1";#N/A,#N/A,FALSE,"Plan2"}</definedName>
    <definedName name="dfkhgfg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fkj"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fknfhkdrj" localSheetId="7">{#N/A,#N/A,FALSE,"Plan1";#N/A,#N/A,FALSE,"Plan2"}</definedName>
    <definedName name="dfnert" localSheetId="7">{#N/A,#N/A,FALSE,"Plan1";#N/A,#N/A,FALSE,"Plan2"}</definedName>
    <definedName name="dfrt" localSheetId="7">{#N/A,#N/A,FALSE,"Plan1";#N/A,#N/A,FALSE,"Plan2"}</definedName>
    <definedName name="dfsdr5tt" localSheetId="7">{#N/A,#N/A,FALSE,"Plan1";#N/A,#N/A,FALSE,"Plan2"}</definedName>
    <definedName name="dfsd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fsdtr" localSheetId="7">{#N/A,#N/A,FALSE,"Plan1";#N/A,#N/A,FALSE,"Plan2"}</definedName>
    <definedName name="dfsf" localSheetId="7">{#N/A,#N/A,FALSE,"Plan1";#N/A,#N/A,FALSE,"Plan2"}</definedName>
    <definedName name="DFT" localSheetId="7">{#N/A,#N/A,FALSE,"Plan1";#N/A,#N/A,FALSE,"Plan2"}</definedName>
    <definedName name="DFTRTTY" localSheetId="7">{#N/A,#N/A,FALSE,"Plan1";#N/A,#N/A,FALSE,"Plan2"}</definedName>
    <definedName name="dfurghifdjyhits" localSheetId="7">{#N/A,#N/A,FALSE,"Plan1";#N/A,#N/A,FALSE,"Plan2"}</definedName>
    <definedName name="dfxgdrged" localSheetId="7">{#N/A,#N/A,FALSE,"Plan1";#N/A,#N/A,FALSE,"Plan2"}</definedName>
    <definedName name="dgfrtyt" localSheetId="7">{#N/A,#N/A,FALSE,"Plan1";#N/A,#N/A,FALSE,"Plan2"}</definedName>
    <definedName name="dggfdg" localSheetId="7">{#N/A,#N/A,FALSE,"Plan1";#N/A,#N/A,FALSE,"Plan2"}</definedName>
    <definedName name="dgldfhgkljslh" localSheetId="7">{#N/A,#N/A,FALSE,"Plan1";#N/A,#N/A,FALSE,"Plan2"}</definedName>
    <definedName name="dhfgdhrehrwe" localSheetId="7">{#N/A,#N/A,FALSE,"Plan1";#N/A,#N/A,FALSE,"Plan2"}</definedName>
    <definedName name="dhgfdgrfgdfgd" localSheetId="7">{#N/A,#N/A,FALSE,"Plan1";#N/A,#N/A,FALSE,"Plan2"}</definedName>
    <definedName name="dhkjfhdhfjdh" localSheetId="7">{#N/A,#N/A,FALSE,"Plan1";#N/A,#N/A,FALSE,"Plan2"}</definedName>
    <definedName name="DHTJRT" localSheetId="7">{#N/A,#N/A,FALSE,"Plan1";#N/A,#N/A,FALSE,"Plan2"}</definedName>
    <definedName name="dijghdhks" localSheetId="7">{#N/A,#N/A,FALSE,"Plan1";#N/A,#N/A,FALSE,"Plan2"}</definedName>
    <definedName name="djasdrjas" localSheetId="7">{#N/A,#N/A,FALSE,"Plan1";#N/A,#N/A,FALSE,"Plan2"}</definedName>
    <definedName name="dj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jfkhjhfgrgdfh" localSheetId="7">{#N/A,#N/A,FALSE,"Plan1";#N/A,#N/A,FALSE,"Plan2"}</definedName>
    <definedName name="djfkhsdkjhf" localSheetId="7">{#N/A,#N/A,FALSE,"Plan1";#N/A,#N/A,FALSE,"Plan2"}</definedName>
    <definedName name="djfldjsgljslkjtg" localSheetId="7">{#N/A,#N/A,FALSE,"Plan1";#N/A,#N/A,FALSE,"Plan2"}</definedName>
    <definedName name="djflkdjgdth" localSheetId="7">{#N/A,#N/A,FALSE,"Plan1";#N/A,#N/A,FALSE,"Plan2"}</definedName>
    <definedName name="DJFLKDJGKTJYJT" localSheetId="7">{#N/A,#N/A,FALSE,"Plan1";#N/A,#N/A,FALSE,"Plan2"}</definedName>
    <definedName name="djgkfjgtiyty" localSheetId="7">{#N/A,#N/A,FALSE,"Plan1";#N/A,#N/A,FALSE,"Plan2"}</definedName>
    <definedName name="djrkehrjfhng" localSheetId="7">{#N/A,#N/A,FALSE,"Plan1";#N/A,#N/A,FALSE,"Plan2"}</definedName>
    <definedName name="djtkjldfr" localSheetId="7">{#N/A,#N/A,FALSE,"Plan1";#N/A,#N/A,FALSE,"Plan2"}</definedName>
    <definedName name="DJXDLFGDFG" localSheetId="7">{#N/A,#N/A,FALSE,"Plan1";#N/A,#N/A,FALSE,"Plan2"}</definedName>
    <definedName name="dkdkdkdkd" localSheetId="7">{#N/A,#N/A,FALSE,"명세표"}</definedName>
    <definedName name="dkfhskgf" localSheetId="7">{#N/A,#N/A,FALSE,"Plan1";#N/A,#N/A,FALSE,"Plan2"}</definedName>
    <definedName name="dkjfk" localSheetId="7">{#N/A,#N/A,FALSE,"Plan1";#N/A,#N/A,FALSE,"Plan2"}</definedName>
    <definedName name="DKLD" localSheetId="7">{#N/A,#N/A,FALSE,"Plan1";#N/A,#N/A,FALSE,"Plan2"}</definedName>
    <definedName name="DKLFJDKFD" localSheetId="7">{#N/A,#N/A,FALSE,"Plan1";#N/A,#N/A,FALSE,"Plan2"}</definedName>
    <definedName name="dklfjgirtgid" localSheetId="7">{#N/A,#N/A,FALSE,"Plan1";#N/A,#N/A,FALSE,"Plan2"}</definedName>
    <definedName name="dklfm"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mbfmndbmtrhed" localSheetId="7">{#N/A,#N/A,FALSE,"Plan1";#N/A,#N/A,FALSE,"Plan2"}</definedName>
    <definedName name="DNFJKDHTKRE" localSheetId="7">{#N/A,#N/A,FALSE,"Plan1";#N/A,#N/A,FALSE,"Plan2"}</definedName>
    <definedName name="dng" localSheetId="7">{#N/A,#N/A,FALSE,"GERAL";#N/A,#N/A,FALSE,"012-96";#N/A,#N/A,FALSE,"018-96";#N/A,#N/A,FALSE,"027-96";#N/A,#N/A,FALSE,"059-96";#N/A,#N/A,FALSE,"076-96";#N/A,#N/A,FALSE,"019-97";#N/A,#N/A,FALSE,"021-97";#N/A,#N/A,FALSE,"022-97";#N/A,#N/A,FALSE,"028-97"}</definedName>
    <definedName name="drewr" localSheetId="7">{#N/A,#N/A,FALSE,"Plan1";#N/A,#N/A,FALSE,"Plan2"}</definedName>
    <definedName name="DRRJR" localSheetId="7">{#N/A,#N/A,FALSE,"Plan1";#N/A,#N/A,FALSE,"Plan2"}</definedName>
    <definedName name="drtrt" localSheetId="7">{"'Estimativa de Lançamento-JAN'!$A$1:$AI$85"}</definedName>
    <definedName name="dsdrf" localSheetId="7">{#N/A,#N/A,FALSE,"Plan1";#N/A,#N/A,FALSE,"Plan2"}</definedName>
    <definedName name="dsfdf" localSheetId="7">{#N/A,#N/A,FALSE,"Plan1";#N/A,#N/A,FALSE,"Plan2"}</definedName>
    <definedName name="dsfg" localSheetId="7">{#N/A,#N/A,FALSE,"Plan1";#N/A,#N/A,FALSE,"Plan2"}</definedName>
    <definedName name="DSFKDSKH" localSheetId="7">{#N/A,#N/A,FALSE,"Plan1";#N/A,#N/A,FALSE,"Plan2"}</definedName>
    <definedName name="DSFR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sfrtyy" localSheetId="7">{#N/A,#N/A,FALSE,"Plan1";#N/A,#N/A,FALSE,"Plan2"}</definedName>
    <definedName name="DSFSAD" localSheetId="7">{#N/A,#N/A,FALSE,"Plan1";#N/A,#N/A,FALSE,"Plan2"}</definedName>
    <definedName name="dsfsdf" localSheetId="7">{#N/A,#N/A,FALSE,"Plan1";#N/A,#N/A,FALSE,"Plan2"}</definedName>
    <definedName name="dsfsdgfb" localSheetId="7">{#N/A,#N/A,FALSE,"Plan1";#N/A,#N/A,FALSE,"Plan2"}</definedName>
    <definedName name="dsgfr" localSheetId="7">{#N/A,#N/A,FALSE,"Plan1";#N/A,#N/A,FALSE,"Plan2"}</definedName>
    <definedName name="dshfkhkrhesru" localSheetId="7">{#N/A,#N/A,FALSE,"Plan1";#N/A,#N/A,FALSE,"Plan2"}</definedName>
    <definedName name="dsjkthkr" localSheetId="7">{#N/A,#N/A,FALSE,"Plan1";#N/A,#N/A,FALSE,"Plan2"}</definedName>
    <definedName name="DSLFJSLFJ" localSheetId="7">{#N/A,#N/A,FALSE,"Plan1";#N/A,#N/A,FALSE,"Plan2"}</definedName>
    <definedName name="dsrffg"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srgdergdrg" localSheetId="7">{#N/A,#N/A,FALSE,"GERAL";#N/A,#N/A,FALSE,"012-96";#N/A,#N/A,FALSE,"018-96";#N/A,#N/A,FALSE,"027-96";#N/A,#N/A,FALSE,"059-96";#N/A,#N/A,FALSE,"076-96";#N/A,#N/A,FALSE,"019-97";#N/A,#N/A,FALSE,"021-97";#N/A,#N/A,FALSE,"022-97";#N/A,#N/A,FALSE,"028-97"}</definedName>
    <definedName name="dss" localSheetId="7">{#N/A,#N/A,FALSE,"Plan1";#N/A,#N/A,FALSE,"Plan2"}</definedName>
    <definedName name="dtgsrytt" localSheetId="7">{#N/A,#N/A,FALSE,"Plan1";#N/A,#N/A,FALSE,"Plan2"}</definedName>
    <definedName name="dtrjkhtrgkfh" localSheetId="7">{#N/A,#N/A,FALSE,"Plan1";#N/A,#N/A,FALSE,"Plan2"}</definedName>
    <definedName name="dttjuk" localSheetId="7">{#N/A,#N/A,FALSE,"Plan1";#N/A,#N/A,FALSE,"Plan2"}</definedName>
    <definedName name="dvtry"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dwetrt" localSheetId="7">{#N/A,#N/A,FALSE,"Plan1";#N/A,#N/A,FALSE,"Plan2"}</definedName>
    <definedName name="DY"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YHYGJDHZKGF" localSheetId="7">{#N/A,#N/A,FALSE,"Plan1";#N/A,#N/A,FALSE,"Plan2"}</definedName>
    <definedName name="dzdfr" localSheetId="7">{#N/A,#N/A,FALSE,"Plan1";#N/A,#N/A,FALSE,"Plan2"}</definedName>
    <definedName name="e"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EC"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EW" localSheetId="7">{#N/A,#N/A,FALSE,"F-01"}</definedName>
    <definedName name="ECEW_1" localSheetId="7">{#N/A,#N/A,FALSE,"F-01"}</definedName>
    <definedName name="ECS"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E" localSheetId="7">{#N/A,#N/A,FALSE,"Plan1";#N/A,#N/A,FALSE,"Plan2"}</definedName>
    <definedName name="eee" localSheetId="7">{#N/A,#N/A,FALSE,"ET-CAPA";#N/A,#N/A,FALSE,"ET-PAG1";#N/A,#N/A,FALSE,"ET-PAG2";#N/A,#N/A,FALSE,"ET-PAG3";#N/A,#N/A,FALSE,"ET-PAG4";#N/A,#N/A,FALSE,"ET-PAG5"}</definedName>
    <definedName name="efestfr" localSheetId="7">{#N/A,#N/A,FALSE,"Plan1";#N/A,#N/A,FALSE,"Plan2"}</definedName>
    <definedName name="efrdrt" localSheetId="7">{#N/A,#N/A,FALSE,"Plan1";#N/A,#N/A,FALSE,"Plan2"}</definedName>
    <definedName name="efrg" localSheetId="7">{#N/A,#N/A,FALSE,"Plan1";#N/A,#N/A,FALSE,"Plan2"}</definedName>
    <definedName name="efsgfr" localSheetId="7">{#N/A,#N/A,FALSE,"Plan1";#N/A,#N/A,FALSE,"Plan2"}</definedName>
    <definedName name="ER" localSheetId="7">{#N/A,#N/A,FALSE,"GERAL";#N/A,#N/A,FALSE,"012-96";#N/A,#N/A,FALSE,"018-96";#N/A,#N/A,FALSE,"027-96";#N/A,#N/A,FALSE,"059-96";#N/A,#N/A,FALSE,"076-96";#N/A,#N/A,FALSE,"019-97";#N/A,#N/A,FALSE,"021-97";#N/A,#N/A,FALSE,"022-97";#N/A,#N/A,FALSE,"028-97"}</definedName>
    <definedName name="ergerge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ergfhyu" localSheetId="7">{#N/A,#N/A,FALSE,"Plan1";#N/A,#N/A,FALSE,"Plan2"}</definedName>
    <definedName name="ESGFDSFD" localSheetId="7">{#N/A,#N/A,FALSE,"Plan1";#N/A,#N/A,FALSE,"Plan2"}</definedName>
    <definedName name="EU" localSheetId="7">{#N/A,#N/A,FALSE,"Plan1";#N/A,#N/A,FALSE,"Plan2"}</definedName>
    <definedName name="EVL" localSheetId="7">{"Econ Consolidado",#N/A,FALSE,"Econ Consol";"Fluxo de Caixa",#N/A,FALSE,"Fluxo Caixa";"Investimentos",#N/A,FALSE,"Investimentos"}</definedName>
    <definedName name="Evol." localSheetId="7">{"Econ Consolidado",#N/A,FALSE,"Econ Consol";"Fluxo de Caixa",#N/A,FALSE,"Fluxo Caixa";"Investimentos",#N/A,FALSE,"Investimentos"}</definedName>
    <definedName name="ewfr" localSheetId="7">{#N/A,#N/A,FALSE,"Plan1";#N/A,#N/A,FALSE,"Plan2"}</definedName>
    <definedName name="eyruieyteta" localSheetId="7">{#N/A,#N/A,FALSE,"Plan1";#N/A,#N/A,FALSE,"Plan2"}</definedName>
    <definedName name="FAS" localSheetId="7">{"'Total'!$A$1","'Total'!$A$3"}</definedName>
    <definedName name="fasfasf" localSheetId="7">{#N/A,#N/A,TRUE,"Quinzena 01 à 15-04-98 "}</definedName>
    <definedName name="fddhght" localSheetId="7">{#N/A,#N/A,FALSE,"Plan1";#N/A,#N/A,FALSE,"Plan2"}</definedName>
    <definedName name="fdfgd" localSheetId="7">{#N/A,#N/A,FALSE,"Plan1";#N/A,#N/A,FALSE,"Plan2"}</definedName>
    <definedName name="fdfng" localSheetId="7">{#N/A,#N/A,FALSE,"GERAL";#N/A,#N/A,FALSE,"012-96";#N/A,#N/A,FALSE,"018-96";#N/A,#N/A,FALSE,"027-96";#N/A,#N/A,FALSE,"059-96";#N/A,#N/A,FALSE,"076-96";#N/A,#N/A,FALSE,"019-97";#N/A,#N/A,FALSE,"021-97";#N/A,#N/A,FALSE,"022-97";#N/A,#N/A,FALSE,"028-97"}</definedName>
    <definedName name="fdgaf" localSheetId="7">{#N/A,#N/A,FALSE,"Plan1";#N/A,#N/A,FALSE,"Plan2"}</definedName>
    <definedName name="fdgdfg"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FDGFDJHGZEDR" localSheetId="7">{#N/A,#N/A,FALSE,"Plan1";#N/A,#N/A,FALSE,"Plan2"}</definedName>
    <definedName name="fdgfyhygfuj" localSheetId="7">{#N/A,#N/A,FALSE,"Plan1";#N/A,#N/A,FALSE,"Plan2"}</definedName>
    <definedName name="fdhgfdf" localSheetId="7">{#N/A,#N/A,FALSE,"Plan1";#N/A,#N/A,FALSE,"Plan2"}</definedName>
    <definedName name="fdjfgdfjg" localSheetId="7">{#N/A,#N/A,FALSE,"Plan1";#N/A,#N/A,FALSE,"Plan2"}</definedName>
    <definedName name="fdjghkshtygt" localSheetId="7">{#N/A,#N/A,FALSE,"Plan1";#N/A,#N/A,FALSE,"Plan2"}</definedName>
    <definedName name="fdnhgf" localSheetId="7">{"'Estimativa de Lançamento-JAN'!$A$1:$AI$85"}</definedName>
    <definedName name="fdsf" localSheetId="7">{#N/A,#N/A,FALSE,"Plan1";#N/A,#N/A,FALSE,"Plan2"}</definedName>
    <definedName name="fffff" localSheetId="7">{#N/A,#N/A,FALSE,"Plan1";#N/A,#N/A,FALSE,"Plan2"}</definedName>
    <definedName name="FFTY" localSheetId="7">{#N/A,#N/A,FALSE,"GERAL";#N/A,#N/A,FALSE,"012-96";#N/A,#N/A,FALSE,"018-96";#N/A,#N/A,FALSE,"027-96";#N/A,#N/A,FALSE,"059-96";#N/A,#N/A,FALSE,"076-96";#N/A,#N/A,FALSE,"019-97";#N/A,#N/A,FALSE,"021-97";#N/A,#N/A,FALSE,"022-97";#N/A,#N/A,FALSE,"028-97"}</definedName>
    <definedName name="fg" localSheetId="7">{#N/A,#N/A,FALSE,"Plan1";#N/A,#N/A,FALSE,"Plan2"}</definedName>
    <definedName name="fgg" localSheetId="7">{"'장비'!$A$3:$M$12"}</definedName>
    <definedName name="fghfh" localSheetId="7">{"'Estimativa de Lançamento-JAN'!$A$1:$AI$85"}</definedName>
    <definedName name="fghgfh" localSheetId="7">{#N/A,#N/A,FALSE,"Plan1";#N/A,#N/A,FALSE,"Plan2"}</definedName>
    <definedName name="FGJHFGK" localSheetId="7">{#N/A,#N/A,FALSE,"Plan1";#N/A,#N/A,FALSE,"Plan2"}</definedName>
    <definedName name="fgktyhdf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fgtrgty" localSheetId="7">{#N/A,#N/A,FALSE,"Plan1";#N/A,#N/A,FALSE,"Plan2"}</definedName>
    <definedName name="fhgjfgyt" localSheetId="7">{#N/A,#N/A,FALSE,"Plan1";#N/A,#N/A,FALSE,"Plan2"}</definedName>
    <definedName name="fhgjkhtrfg" localSheetId="7">{#N/A,#N/A,FALSE,"Plan1";#N/A,#N/A,FALSE,"Plan2"}</definedName>
    <definedName name="FHGTGSRSG" localSheetId="7">{#N/A,#N/A,FALSE,"Plan1";#N/A,#N/A,FALSE,"Plan2"}</definedName>
    <definedName name="FIELD"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ILTRO" localSheetId="7">{#N/A,#N/A,TRUE,"Quinzena 01 à 15-04-98 "}</definedName>
    <definedName name="fjdhfgjdhtgu" localSheetId="7">{#N/A,#N/A,FALSE,"Plan1";#N/A,#N/A,FALSE,"Plan2"}</definedName>
    <definedName name="fjfjg" localSheetId="7">{#N/A,#N/A,FALSE,"명세표"}</definedName>
    <definedName name="FJGHJ"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FJHJHG" localSheetId="7">{#N/A,#N/A,FALSE,"Plan1";#N/A,#N/A,FALSE,"Plan2"}</definedName>
    <definedName name="fjtgfh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FKF"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kfw" localSheetId="7">{#N/A,#N/A,FALSE,"Plan1";#N/A,#N/A,FALSE,"Plan2"}</definedName>
    <definedName name="frçt4r" localSheetId="7">{#N/A,#N/A,FALSE,"Plan1";#N/A,#N/A,FALSE,"Plan2"}</definedName>
    <definedName name="frdtty" localSheetId="7">{#N/A,#N/A,FALSE,"Plan1";#N/A,#N/A,FALSE,"Plan2"}</definedName>
    <definedName name="fsdfsf" localSheetId="7">{#N/A,#N/A,FALSE,"GERAL";#N/A,#N/A,FALSE,"012-96";#N/A,#N/A,FALSE,"018-96";#N/A,#N/A,FALSE,"027-96";#N/A,#N/A,FALSE,"059-96";#N/A,#N/A,FALSE,"076-96";#N/A,#N/A,FALSE,"019-97";#N/A,#N/A,FALSE,"021-97";#N/A,#N/A,FALSE,"022-97";#N/A,#N/A,FALSE,"028-97"}</definedName>
    <definedName name="fuihgjk" localSheetId="7">{#N/A,#N/A,FALSE,"Plan1";#N/A,#N/A,FALSE,"Plan2"}</definedName>
    <definedName name="fxjghkfg" localSheetId="7">{#N/A,#N/A,FALSE,"Plan1";#N/A,#N/A,FALSE,"Plan2"}</definedName>
    <definedName name="galo" localSheetId="7">{#N/A,#N/A,FALSE,"GERAL";#N/A,#N/A,FALSE,"012-96";#N/A,#N/A,FALSE,"018-96";#N/A,#N/A,FALSE,"027-96";#N/A,#N/A,FALSE,"059-96";#N/A,#N/A,FALSE,"076-96";#N/A,#N/A,FALSE,"019-97";#N/A,#N/A,FALSE,"021-97";#N/A,#N/A,FALSE,"022-97";#N/A,#N/A,FALSE,"028-97"}</definedName>
    <definedName name="gbdjkvhgd" localSheetId="7">{#N/A,#N/A,FALSE,"Plan1";#N/A,#N/A,FALSE,"Plan2"}</definedName>
    <definedName name="gbdsjgsjfdgj" localSheetId="7">{#N/A,#N/A,FALSE,"Plan1";#N/A,#N/A,FALSE,"Plan2"}</definedName>
    <definedName name="gdfdhgfjgj" localSheetId="7">{#N/A,#N/A,FALSE,"Plan1";#N/A,#N/A,FALSE,"Plan2"}</definedName>
    <definedName name="gdfgdstggt" localSheetId="7">{#N/A,#N/A,FALSE,"Plan1";#N/A,#N/A,FALSE,"Plan2"}</definedName>
    <definedName name="GDFHGRJGFJDRF" localSheetId="7">{"Econ Consolidado",#N/A,FALSE,"Econ Consol";"Fluxo de Caixa",#N/A,FALSE,"Fluxo Caixa";"Investimentos",#N/A,FALSE,"Investimentos"}</definedName>
    <definedName name="gdfigfhuyuy" localSheetId="7">{#N/A,#N/A,FALSE,"Plan1";#N/A,#N/A,FALSE,"Plan2"}</definedName>
    <definedName name="gdfsgfew" localSheetId="7">{#N/A,#N/A,FALSE,"Plan1";#N/A,#N/A,FALSE,"Plan2"}</definedName>
    <definedName name="gdhfgdhfgf" localSheetId="7">{#N/A,#N/A,FALSE,"Plan1";#N/A,#N/A,FALSE,"Plan2"}</definedName>
    <definedName name="gdsfhefrwrw" localSheetId="7">{#N/A,#N/A,FALSE,"Plan1";#N/A,#N/A,FALSE,"Plan2"}</definedName>
    <definedName name="geshrjhed" localSheetId="7">{#N/A,#N/A,FALSE,"Plan1";#N/A,#N/A,FALSE,"Plan2"}</definedName>
    <definedName name="gfdcgnkf" localSheetId="7">{#N/A,#N/A,FALSE,"Plan1";#N/A,#N/A,FALSE,"Plan2"}</definedName>
    <definedName name="gfdjtgur" localSheetId="7">{#N/A,#N/A,FALSE,"Plan1";#N/A,#N/A,FALSE,"Plan2"}</definedName>
    <definedName name="gfgdhxgfdhf" localSheetId="7">{#N/A,#N/A,FALSE,"Plan1";#N/A,#N/A,FALSE,"Plan2"}</definedName>
    <definedName name="gfhfdtgjb" localSheetId="7">{#N/A,#N/A,FALSE,"Plan1";#N/A,#N/A,FALSE,"Plan2"}</definedName>
    <definedName name="gfjdshrtjhtged" localSheetId="7">{#N/A,#N/A,FALSE,"Plan1";#N/A,#N/A,FALSE,"Plan2"}</definedName>
    <definedName name="gfjgkddgfd" localSheetId="7">{#N/A,#N/A,FALSE,"Plan1";#N/A,#N/A,FALSE,"Plan2"}</definedName>
    <definedName name="gfsghjdgygr" localSheetId="7">{#N/A,#N/A,FALSE,"Plan1";#N/A,#N/A,FALSE,"Plan2"}</definedName>
    <definedName name="gftfy" localSheetId="7">{#N/A,#N/A,FALSE,"Plan1";#N/A,#N/A,FALSE,"Plan2"}</definedName>
    <definedName name="gfty" localSheetId="7">{#N/A,#N/A,FALSE,"Plan1";#N/A,#N/A,FALSE,"Plan2"}</definedName>
    <definedName name="GFUJU9" localSheetId="7">{#N/A,#N/A,FALSE,"Plan1";#N/A,#N/A,FALSE,"Plan2"}</definedName>
    <definedName name="ggg"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GGGG" localSheetId="7">{#N/A,#N/A,FALSE,"Plan1";#N/A,#N/A,FALSE,"Plan2"}</definedName>
    <definedName name="gggggggggg"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gh" localSheetId="7">{"'장비'!$A$3:$M$12"}</definedName>
    <definedName name="ghfgdfrtert" localSheetId="7">{#N/A,#N/A,FALSE,"Plan1";#N/A,#N/A,FALSE,"Plan2"}</definedName>
    <definedName name="ghfhghft" localSheetId="7">{#N/A,#N/A,FALSE,"Plan1";#N/A,#N/A,FALSE,"Plan2"}</definedName>
    <definedName name="ghjg" localSheetId="7">{"'Estimativa de Lançamento-JAN'!$A$1:$AI$85"}</definedName>
    <definedName name="ghkfhgh" localSheetId="7">{#N/A,#N/A,FALSE,"Plan1";#N/A,#N/A,FALSE,"Plan2"}</definedName>
    <definedName name="ghkjh" localSheetId="7">{#N/A,#N/A,FALSE,"ENG'G(보호계전기)"}</definedName>
    <definedName name="GJ" localSheetId="7">{#N/A,#N/A,FALSE,"GERAL";#N/A,#N/A,FALSE,"012-96";#N/A,#N/A,FALSE,"018-96";#N/A,#N/A,FALSE,"027-96";#N/A,#N/A,FALSE,"059-96";#N/A,#N/A,FALSE,"076-96";#N/A,#N/A,FALSE,"019-97";#N/A,#N/A,FALSE,"021-97";#N/A,#N/A,FALSE,"022-97";#N/A,#N/A,FALSE,"028-97"}</definedName>
    <definedName name="gjfhjktgcf" localSheetId="7">{#N/A,#N/A,FALSE,"Plan1";#N/A,#N/A,FALSE,"Plan2"}</definedName>
    <definedName name="GJG"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gjgh" localSheetId="7">{#N/A,#N/A,FALSE,"GERAL";#N/A,#N/A,FALSE,"012-96";#N/A,#N/A,FALSE,"018-96";#N/A,#N/A,FALSE,"027-96";#N/A,#N/A,FALSE,"059-96";#N/A,#N/A,FALSE,"076-96";#N/A,#N/A,FALSE,"019-97";#N/A,#N/A,FALSE,"021-97";#N/A,#N/A,FALSE,"022-97";#N/A,#N/A,FALSE,"028-97"}</definedName>
    <definedName name="GJK" localSheetId="7">{#N/A,#N/A,FALSE,"GERAL";#N/A,#N/A,FALSE,"012-96";#N/A,#N/A,FALSE,"018-96";#N/A,#N/A,FALSE,"027-96";#N/A,#N/A,FALSE,"059-96";#N/A,#N/A,FALSE,"076-96";#N/A,#N/A,FALSE,"019-97";#N/A,#N/A,FALSE,"021-97";#N/A,#N/A,FALSE,"022-97";#N/A,#N/A,FALSE,"028-97"}</definedName>
    <definedName name="gjkhgjhjfggfjhfg" localSheetId="7">{#N/A,#N/A,FALSE,"Plan1";#N/A,#N/A,FALSE,"Plan2"}</definedName>
    <definedName name="glgl" localSheetId="7">{#N/A,#N/A,FALSE,"Plan1";#N/A,#N/A,FALSE,"Plan2"}</definedName>
    <definedName name="gnfrth"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GSDWJSTGE"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gtuigsdyugsdf" localSheetId="7">{#N/A,#N/A,FALSE,"Plan1";#N/A,#N/A,FALSE,"Plan2"}</definedName>
    <definedName name="GUI" localSheetId="7">{#N/A,#N/A,FALSE,"GERAL";#N/A,#N/A,FALSE,"012-96";#N/A,#N/A,FALSE,"018-96";#N/A,#N/A,FALSE,"027-96";#N/A,#N/A,FALSE,"059-96";#N/A,#N/A,FALSE,"076-96";#N/A,#N/A,FALSE,"019-97";#N/A,#N/A,FALSE,"021-97";#N/A,#N/A,FALSE,"022-97";#N/A,#N/A,FALSE,"028-97"}</definedName>
    <definedName name="GV" localSheetId="7">{#N/A,#N/A,FALSE,"CCTV"}</definedName>
    <definedName name="hcjfkhdghfktg" localSheetId="7">{#N/A,#N/A,FALSE,"Plan1";#N/A,#N/A,FALSE,"Plan2"}</definedName>
    <definedName name="hddfndgdfg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HDFGHGST" localSheetId="7">{#N/A,#N/A,FALSE,"Plan1";#N/A,#N/A,FALSE,"Plan2"}</definedName>
    <definedName name="HDFGJKHKFDHTY" localSheetId="7">{#N/A,#N/A,FALSE,"Plan1";#N/A,#N/A,FALSE,"Plan2"}</definedName>
    <definedName name="hdfhdhrtgd" localSheetId="7">{#N/A,#N/A,FALSE,"Plan1";#N/A,#N/A,FALSE,"Plan2"}</definedName>
    <definedName name="hdfhftde" localSheetId="7">{#N/A,#N/A,FALSE,"Plan1";#N/A,#N/A,FALSE,"Plan2"}</definedName>
    <definedName name="hdfhgkdhgtrf" localSheetId="7">{#N/A,#N/A,FALSE,"Plan1";#N/A,#N/A,FALSE,"Plan2"}</definedName>
    <definedName name="hdfjhdkzhgdr" localSheetId="7">{#N/A,#N/A,FALSE,"Plan1";#N/A,#N/A,FALSE,"Plan2"}</definedName>
    <definedName name="hdfjkgvjgtd" localSheetId="7">{#N/A,#N/A,FALSE,"Plan1";#N/A,#N/A,FALSE,"Plan2"}</definedName>
    <definedName name="hdfjkhdhrute" localSheetId="7">{#N/A,#N/A,FALSE,"Plan1";#N/A,#N/A,FALSE,"Plan2"}</definedName>
    <definedName name="HDFKGVF" localSheetId="7">{#N/A,#N/A,FALSE,"Plan1";#N/A,#N/A,FALSE,"Plan2"}</definedName>
    <definedName name="hdgfhdgtdrt" localSheetId="7">{#N/A,#N/A,FALSE,"Plan1";#N/A,#N/A,FALSE,"Plan2"}</definedName>
    <definedName name="hdghgtgtrgd" localSheetId="7">{#N/A,#N/A,FALSE,"Plan1";#N/A,#N/A,FALSE,"Plan2"}</definedName>
    <definedName name="HDHDGHTUHDTG" localSheetId="7">{#N/A,#N/A,FALSE,"Plan1";#N/A,#N/A,FALSE,"Plan2"}</definedName>
    <definedName name="hdhghfthrrhy" localSheetId="7">{#N/A,#N/A,FALSE,"Plan1";#N/A,#N/A,FALSE,"Plan2"}</definedName>
    <definedName name="hdkfjhydjh" localSheetId="7">{#N/A,#N/A,FALSE,"Plan1";#N/A,#N/A,FALSE,"Plan2"}</definedName>
    <definedName name="hdsgfgrrdgr" localSheetId="7">{#N/A,#N/A,FALSE,"Plan1";#N/A,#N/A,FALSE,"Plan2"}</definedName>
    <definedName name="hdtertkkdsa" localSheetId="7">{#N/A,#N/A,FALSE,"Plan1";#N/A,#N/A,FALSE,"Plan2"}</definedName>
    <definedName name="HEDHA" localSheetId="7">{#N/A,#N/A,FALSE,"Plan1";#N/A,#N/A,FALSE,"Plan2"}</definedName>
    <definedName name="heife"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herkfdshfker" localSheetId="7">{#N/A,#N/A,FALSE,"Plan1";#N/A,#N/A,FALSE,"Plan2"}</definedName>
    <definedName name="hersdtretyt" localSheetId="7">{#N/A,#N/A,FALSE,"Plan1";#N/A,#N/A,FALSE,"Plan2"}</definedName>
    <definedName name="HFDJTHTRS"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HFDKHGFR" localSheetId="7">{#N/A,#N/A,FALSE,"Plan1";#N/A,#N/A,FALSE,"Plan2"}</definedName>
    <definedName name="hfdkhgkfdhtj" localSheetId="7">{#N/A,#N/A,FALSE,"Plan1";#N/A,#N/A,FALSE,"Plan2"}</definedName>
    <definedName name="hfgfktgkhyt" localSheetId="7">{#N/A,#N/A,FALSE,"Plan1";#N/A,#N/A,FALSE,"Plan2"}</definedName>
    <definedName name="hfghdkhrgkjg" localSheetId="7">{#N/A,#N/A,FALSE,"Plan1";#N/A,#N/A,FALSE,"Plan2"}</definedName>
    <definedName name="hfighfth" localSheetId="7">{#N/A,#N/A,FALSE,"Plan1";#N/A,#N/A,FALSE,"Plan2"}</definedName>
    <definedName name="hfjghtfuyrf" localSheetId="7">{#N/A,#N/A,FALSE,"Plan1";#N/A,#N/A,FALSE,"Plan2"}</definedName>
    <definedName name="HFKJHDJGHFJ" localSheetId="7">{#N/A,#N/A,FALSE,"Plan1";#N/A,#N/A,FALSE,"Plan2"}</definedName>
    <definedName name="hgdesgfgsj" localSheetId="7">{#N/A,#N/A,FALSE,"Plan1";#N/A,#N/A,FALSE,"Plan2"}</definedName>
    <definedName name="hgdgfd" localSheetId="7">{#N/A,#N/A,FALSE,"Plan1";#N/A,#N/A,FALSE,"Plan2"}</definedName>
    <definedName name="hgfhjkdfhj" localSheetId="7">{#N/A,#N/A,FALSE,"Plan1";#N/A,#N/A,FALSE,"Plan2"}</definedName>
    <definedName name="hgg" localSheetId="7">{#N/A,#N/A,FALSE,"Plan1";#N/A,#N/A,FALSE,"Plan2"}</definedName>
    <definedName name="hgjdfgghg" localSheetId="7">{#N/A,#N/A,FALSE,"Plan1";#N/A,#N/A,FALSE,"Plan2"}</definedName>
    <definedName name="hgjkfdhg" localSheetId="7">{#N/A,#N/A,FALSE,"Plan1";#N/A,#N/A,FALSE,"Plan2"}</definedName>
    <definedName name="hgkdfhkfk" localSheetId="7">{#N/A,#N/A,FALSE,"Plan1";#N/A,#N/A,FALSE,"Plan2"}</definedName>
    <definedName name="hgkjhdfhtrdyt" localSheetId="7">{#N/A,#N/A,FALSE,"Plan1";#N/A,#N/A,FALSE,"Plan2"}</definedName>
    <definedName name="hgkjhdfkhgtfhg" localSheetId="7">{#N/A,#N/A,FALSE,"Plan1";#N/A,#N/A,FALSE,"Plan2"}</definedName>
    <definedName name="hgkjhkfhsdkdhgk" localSheetId="7">{#N/A,#N/A,FALSE,"Plan1";#N/A,#N/A,FALSE,"Plan2"}</definedName>
    <definedName name="hgsufgdhghd" localSheetId="7">{#N/A,#N/A,FALSE,"Plan1";#N/A,#N/A,FALSE,"Plan2"}</definedName>
    <definedName name="HHGFHTYUT" localSheetId="7">{#N/A,#N/A,FALSE,"Plan1";#N/A,#N/A,FALSE,"Plan2"}</definedName>
    <definedName name="hhh" localSheetId="7">{"'Total'!$A$1","'Total'!$A$3"}</definedName>
    <definedName name="hik" localSheetId="7">{#N/A,#N/A,FALSE,"TABLE"}</definedName>
    <definedName name="hjdgtjdjxrfg" localSheetId="7">{#N/A,#N/A,FALSE,"Plan1";#N/A,#N/A,FALSE,"Plan2"}</definedName>
    <definedName name="HJFDGD" localSheetId="7">{#N/A,#N/A,FALSE,"Plan1";#N/A,#N/A,FALSE,"Plan2"}</definedName>
    <definedName name="HJGASD" localSheetId="7">{#N/A,#N/A,FALSE,"Plan1";#N/A,#N/A,FALSE,"Plan2"}</definedName>
    <definedName name="HJGFGTFDG" localSheetId="7">{#N/A,#N/A,FALSE,"Plan1";#N/A,#N/A,FALSE,"Plan2"}</definedName>
    <definedName name="hjgfhdsgfhsd" localSheetId="7">{#N/A,#N/A,FALSE,"Plan1";#N/A,#N/A,FALSE,"Plan2"}</definedName>
    <definedName name="hjgxfjgdjyftr" localSheetId="7">{#N/A,#N/A,FALSE,"Plan1";#N/A,#N/A,FALSE,"Plan2"}</definedName>
    <definedName name="hjgyugasd" localSheetId="7">{#N/A,#N/A,FALSE,"Plan1";#N/A,#N/A,FALSE,"Plan2"}</definedName>
    <definedName name="hjjfyfy" localSheetId="7">{#N/A,#N/A,FALSE,"Plan1";#N/A,#N/A,FALSE,"Plan2"}</definedName>
    <definedName name="hjkchkvjhdjkgh" localSheetId="7">{#N/A,#N/A,FALSE,"Plan1";#N/A,#N/A,FALSE,"Plan2"}</definedName>
    <definedName name="hjkfjdyht" localSheetId="7">{#N/A,#N/A,FALSE,"Plan1";#N/A,#N/A,FALSE,"Plan2"}</definedName>
    <definedName name="hjsdffe"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hjsdkhk" localSheetId="7">{#N/A,#N/A,FALSE,"Plan1";#N/A,#N/A,FALSE,"Plan2"}</definedName>
    <definedName name="hjsrdfre" localSheetId="7">{"Econ Consolidado",#N/A,FALSE,"Econ Consol";"Fluxo de Caixa",#N/A,FALSE,"Fluxo Caixa";"Investimentos",#N/A,FALSE,"Investimentos"}</definedName>
    <definedName name="HKewewsr" localSheetId="7">{#N/A,#N/A,FALSE,"Plan1";#N/A,#N/A,FALSE,"Plan2"}</definedName>
    <definedName name="hkhdskacd" localSheetId="7">{#N/A,#N/A,FALSE,"Plan1";#N/A,#N/A,FALSE,"Plan2"}</definedName>
    <definedName name="hkjfgfhgfh" localSheetId="7">{#N/A,#N/A,FALSE,"Plan1";#N/A,#N/A,FALSE,"Plan2"}</definedName>
    <definedName name="hkjfhgjkfhghfg" localSheetId="7">{#N/A,#N/A,FALSE,"Plan1";#N/A,#N/A,FALSE,"Plan2"}</definedName>
    <definedName name="HKLZHFRH" localSheetId="7">{#N/A,#N/A,FALSE,"Plan1";#N/A,#N/A,FALSE,"Plan2"}</definedName>
    <definedName name="ho" localSheetId="7">{#N/A,#N/A,FALSE,"TABLE"}</definedName>
    <definedName name="hrterte" localSheetId="7">{#N/A,#N/A,FALSE,"Plan1";#N/A,#N/A,FALSE,"Plan2"}</definedName>
    <definedName name="hsdf" localSheetId="7">{#N/A,#N/A,FALSE,"Plan1";#N/A,#N/A,FALSE,"Plan2"}</definedName>
    <definedName name="hsdfgdgudrt" localSheetId="7">{#N/A,#N/A,FALSE,"Plan1";#N/A,#N/A,FALSE,"Plan2"}</definedName>
    <definedName name="hsdfjkdhur" localSheetId="7">{#N/A,#N/A,FALSE,"Plan1";#N/A,#N/A,FALSE,"Plan2"}</definedName>
    <definedName name="hsdgftdht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hsdjffd" localSheetId="7">{#N/A,#N/A,FALSE,"Plan1";#N/A,#N/A,FALSE,"Plan2"}</definedName>
    <definedName name="hsdjffe" localSheetId="7">{#N/A,#N/A,FALSE,"Plan1";#N/A,#N/A,FALSE,"Plan2"}</definedName>
    <definedName name="HSFIHDTR" localSheetId="7">{"Econ Consolidado",#N/A,FALSE,"Econ Consol";"Fluxo de Caixa",#N/A,FALSE,"Fluxo Caixa";"Investimentos",#N/A,FALSE,"Investimentos"}</definedName>
    <definedName name="hsfjkdshrgf" localSheetId="7">{#N/A,#N/A,FALSE,"Plan1";#N/A,#N/A,FALSE,"Plan2"}</definedName>
    <definedName name="hthhrtetdre" localSheetId="7">{#N/A,#N/A,FALSE,"Plan1";#N/A,#N/A,FALSE,"Plan2"}</definedName>
    <definedName name="HTML_Control" localSheetId="7">{"'장비'!$A$3:$M$12"}</definedName>
    <definedName name="HTML2_CONTROL" localSheetId="7">{"'Estimativa de Lançamento-JAN'!$A$1:$AI$85"}</definedName>
    <definedName name="HTML3_CONTROL" localSheetId="7">{"'Estimativa de Lançamento-JAN'!$A$1:$AI$85"}</definedName>
    <definedName name="HTMLControl" localSheetId="7">{"'Edit'!$A$1:$V$2277"}</definedName>
    <definedName name="HVJKHGKFXHFD" localSheetId="7">{#N/A,#N/A,FALSE,"Plan1";#N/A,#N/A,FALSE,"Plan2"}</definedName>
    <definedName name="hwekjhekhf" localSheetId="7">{#N/A,#N/A,FALSE,"Plan1";#N/A,#N/A,FALSE,"Plan2"}</definedName>
    <definedName name="HXFRE" localSheetId="7">{#N/A,#N/A,FALSE,"Plan1";#N/A,#N/A,FALSE,"Plan2"}</definedName>
    <definedName name="HXKJFGDKHG" localSheetId="7">{#N/A,#N/A,FALSE,"Plan1";#N/A,#N/A,FALSE,"Plan2"}</definedName>
    <definedName name="idfhgkjhfkthy" localSheetId="7">{#N/A,#N/A,FALSE,"Plan1";#N/A,#N/A,FALSE,"Plan2"}</definedName>
    <definedName name="ieroweft" localSheetId="7">{#N/A,#N/A,FALSE,"Plan1";#N/A,#N/A,FALSE,"Plan2"}</definedName>
    <definedName name="iewpotqi5poejy" localSheetId="7">{#N/A,#N/A,FALSE,"Plan1";#N/A,#N/A,FALSE,"Plan2"}</definedName>
    <definedName name="ihdfifguhgfuiyh"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ihdsitrr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ihfdkjhktgrd" localSheetId="7">{#N/A,#N/A,FALSE,"Plan1";#N/A,#N/A,FALSE,"Plan2"}</definedName>
    <definedName name="ihrtetw4r" localSheetId="7">{#N/A,#N/A,FALSE,"Plan1";#N/A,#N/A,FALSE,"Plan2"}</definedName>
    <definedName name="IIASDSAWE" localSheetId="7">{"Econ Consolidado",#N/A,FALSE,"Econ Consol";"Fluxo de Caixa",#N/A,FALSE,"Fluxo Caixa";"Investimentos",#N/A,FALSE,"Investimentos"}</definedName>
    <definedName name="iinstalações" localSheetId="7">{#N/A,#N/A,FALSE,"GERAL";#N/A,#N/A,FALSE,"012-96";#N/A,#N/A,FALSE,"018-96";#N/A,#N/A,FALSE,"027-96";#N/A,#N/A,FALSE,"059-96";#N/A,#N/A,FALSE,"076-96";#N/A,#N/A,FALSE,"019-97";#N/A,#N/A,FALSE,"021-97";#N/A,#N/A,FALSE,"022-97";#N/A,#N/A,FALSE,"028-97"}</definedName>
    <definedName name="ilhweilrji4e" localSheetId="7">{#N/A,#N/A,FALSE,"Plan1";#N/A,#N/A,FALSE,"Plan2"}</definedName>
    <definedName name="ilsdr4wf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Insatalações" localSheetId="7">{#N/A,#N/A,FALSE,"GERAL";#N/A,#N/A,FALSE,"012-96";#N/A,#N/A,FALSE,"018-96";#N/A,#N/A,FALSE,"027-96";#N/A,#N/A,FALSE,"059-96";#N/A,#N/A,FALSE,"076-96";#N/A,#N/A,FALSE,"019-97";#N/A,#N/A,FALSE,"021-97";#N/A,#N/A,FALSE,"022-97";#N/A,#N/A,FALSE,"028-97"}</definedName>
    <definedName name="instalaçoes2" localSheetId="7">{#N/A,#N/A,FALSE,"GERAL";#N/A,#N/A,FALSE,"012-96";#N/A,#N/A,FALSE,"018-96";#N/A,#N/A,FALSE,"027-96";#N/A,#N/A,FALSE,"059-96";#N/A,#N/A,FALSE,"076-96";#N/A,#N/A,FALSE,"019-97";#N/A,#N/A,FALSE,"021-97";#N/A,#N/A,FALSE,"022-97";#N/A,#N/A,FALSE,"028-97"}</definedName>
    <definedName name="INTEGRA" localSheetId="7">{"'Edit'!$A$1:$V$2277"}</definedName>
    <definedName name="ioeriotyt" localSheetId="7">{#N/A,#N/A,FALSE,"Plan1";#N/A,#N/A,FALSE,"Plan2"}</definedName>
    <definedName name="iohudtorh" localSheetId="7">{#N/A,#N/A,FALSE,"Plan1";#N/A,#N/A,FALSE,"Plan2"}</definedName>
    <definedName name="iojtkheayed" localSheetId="7">{#N/A,#N/A,FALSE,"Plan1";#N/A,#N/A,FALSE,"Plan2"}</definedName>
    <definedName name="iouweroieuw4" localSheetId="7">{#N/A,#N/A,FALSE,"Plan1";#N/A,#N/A,FALSE,"Plan2"}</definedName>
    <definedName name="iphifpgh" localSheetId="7">{#N/A,#N/A,FALSE,"Plan1";#N/A,#N/A,FALSE,"Plan2"}</definedName>
    <definedName name="ipodsifgpds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ipotjrjketjr" localSheetId="7">{#N/A,#N/A,FALSE,"Plan1";#N/A,#N/A,FALSE,"Plan2"}</definedName>
    <definedName name="ITEM별상세업무분장"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UGFGDFUY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iyguygiyt" localSheetId="7">{#N/A,#N/A,FALSE,"Plan1";#N/A,#N/A,FALSE,"Plan2"}</definedName>
    <definedName name="iyuyheturtd" localSheetId="7">{#N/A,#N/A,FALSE,"Plan1";#N/A,#N/A,FALSE,"Plan2"}</definedName>
    <definedName name="j"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jalejdasjf" localSheetId="7">{#N/A,#N/A,FALSE,"Plan1";#N/A,#N/A,FALSE,"Plan2"}</definedName>
    <definedName name="JASDJS" localSheetId="7">{#N/A,#N/A,FALSE,"Plan1";#N/A,#N/A,FALSE,"Plan2"}</definedName>
    <definedName name="jaskldjlse" localSheetId="7">{#N/A,#N/A,FALSE,"Plan1";#N/A,#N/A,FALSE,"Plan2"}</definedName>
    <definedName name="JASLDKLD" localSheetId="7">{#N/A,#N/A,FALSE,"Plan1";#N/A,#N/A,FALSE,"Plan2"}</definedName>
    <definedName name="JÇDFHDF" localSheetId="7">{"Econ Consolidado",#N/A,FALSE,"Econ Consol";"Fluxo de Caixa",#N/A,FALSE,"Fluxo Caixa";"Investimentos",#N/A,FALSE,"Investimentos"}</definedName>
    <definedName name="jdbgftbhr" localSheetId="7">{#N/A,#N/A,FALSE,"Plan1";#N/A,#N/A,FALSE,"Plan2"}</definedName>
    <definedName name="jdfgldfjgklh" localSheetId="7">{#N/A,#N/A,FALSE,"Plan1";#N/A,#N/A,FALSE,"Plan2"}</definedName>
    <definedName name="jdfhjkdrhjtkg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jdfjdtrgt" localSheetId="7">{#N/A,#N/A,FALSE,"Plan1";#N/A,#N/A,FALSE,"Plan2"}</definedName>
    <definedName name="JDFJLDJR" localSheetId="7">{#N/A,#N/A,FALSE,"Plan1";#N/A,#N/A,FALSE,"Plan2"}</definedName>
    <definedName name="jdfkgitfgdrtt" localSheetId="7">{#N/A,#N/A,FALSE,"Plan1";#N/A,#N/A,FALSE,"Plan2"}</definedName>
    <definedName name="JDFKHFKJ" localSheetId="7">{#N/A,#N/A,FALSE,"Plan1";#N/A,#N/A,FALSE,"Plan2"}</definedName>
    <definedName name="jdfklgtdtr" localSheetId="7">{#N/A,#N/A,FALSE,"Plan1";#N/A,#N/A,FALSE,"Plan2"}</definedName>
    <definedName name="JDFKTHRT" localSheetId="7">{#N/A,#N/A,FALSE,"Plan1";#N/A,#N/A,FALSE,"Plan2"}</definedName>
    <definedName name="JDFLKJDRF" localSheetId="7">{#N/A,#N/A,FALSE,"Plan1";#N/A,#N/A,FALSE,"Plan2"}</definedName>
    <definedName name="jdfzlkjgfdht" localSheetId="7">{#N/A,#N/A,FALSE,"Plan1";#N/A,#N/A,FALSE,"Plan2"}</definedName>
    <definedName name="jdglhfghkt" localSheetId="7">{#N/A,#N/A,FALSE,"Plan1";#N/A,#N/A,FALSE,"Plan2"}</definedName>
    <definedName name="jdhfjdhgfd" localSheetId="7">{#N/A,#N/A,FALSE,"Plan1";#N/A,#N/A,FALSE,"Plan2"}</definedName>
    <definedName name="jdjdjdjd" localSheetId="7">{#N/A,#N/A,FALSE,"명세표"}</definedName>
    <definedName name="jdkfhgjhf" localSheetId="7">{#N/A,#N/A,FALSE,"Plan1";#N/A,#N/A,FALSE,"Plan2"}</definedName>
    <definedName name="jdkfjdtr" localSheetId="7">{#N/A,#N/A,FALSE,"Plan1";#N/A,#N/A,FALSE,"Plan2"}</definedName>
    <definedName name="jdljgftldjti5r" localSheetId="7">{#N/A,#N/A,FALSE,"Plan1";#N/A,#N/A,FALSE,"Plan2"}</definedName>
    <definedName name="JDLKJDASGF" localSheetId="7">{#N/A,#N/A,FALSE,"Plan1";#N/A,#N/A,FALSE,"Plan2"}</definedName>
    <definedName name="jdrfkdjfghrtfjg" localSheetId="7">{#N/A,#N/A,FALSE,"Plan1";#N/A,#N/A,FALSE,"Plan2"}</definedName>
    <definedName name="jdskfhdk" localSheetId="7">{#N/A,#N/A,FALSE,"Plan1";#N/A,#N/A,FALSE,"Plan2"}</definedName>
    <definedName name="JDSKLGKDRHGGF" localSheetId="7">{#N/A,#N/A,FALSE,"Plan1";#N/A,#N/A,FALSE,"Plan2"}</definedName>
    <definedName name="jefsgfr" localSheetId="7">{#N/A,#N/A,FALSE,"Plan1";#N/A,#N/A,FALSE,"Plan2"}</definedName>
    <definedName name="JERHIEHYURE" localSheetId="7">{#N/A,#N/A,FALSE,"Plan1";#N/A,#N/A,FALSE,"Plan2"}</definedName>
    <definedName name="jfddlsrtyty" localSheetId="7">{#N/A,#N/A,FALSE,"Plan1";#N/A,#N/A,FALSE,"Plan2"}</definedName>
    <definedName name="jfdjtgdjghitfyh" localSheetId="7">{#N/A,#N/A,FALSE,"Plan1";#N/A,#N/A,FALSE,"Plan2"}</definedName>
    <definedName name="jfdkgkftftg" localSheetId="7">{#N/A,#N/A,FALSE,"Plan1";#N/A,#N/A,FALSE,"Plan2"}</definedName>
    <definedName name="jfghjkfdhtkyru"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JFGJYHTY" localSheetId="7">{#N/A,#N/A,FALSE,"Plan1";#N/A,#N/A,FALSE,"Plan2"}</definedName>
    <definedName name="jfgkflcnjkglc" localSheetId="7">{#N/A,#N/A,FALSE,"Plan1";#N/A,#N/A,FALSE,"Plan2"}</definedName>
    <definedName name="JFHRE" localSheetId="7">{#N/A,#N/A,FALSE,"Plan1";#N/A,#N/A,FALSE,"Plan2"}</definedName>
    <definedName name="jfkdls5jtirjd" localSheetId="7">{#N/A,#N/A,FALSE,"Plan1";#N/A,#N/A,FALSE,"Plan2"}</definedName>
    <definedName name="jfkljdkfcj" localSheetId="7">{#N/A,#N/A,FALSE,"Plan1";#N/A,#N/A,FALSE,"Plan2"}</definedName>
    <definedName name="jfkrhdtghdut" localSheetId="7">{#N/A,#N/A,FALSE,"Plan1";#N/A,#N/A,FALSE,"Plan2"}</definedName>
    <definedName name="JFRESR" localSheetId="7">{#N/A,#N/A,FALSE,"Plan1";#N/A,#N/A,FALSE,"Plan2"}</definedName>
    <definedName name="jgdfdgfjgdj" localSheetId="7">{#N/A,#N/A,FALSE,"Plan1";#N/A,#N/A,FALSE,"Plan2"}</definedName>
    <definedName name="jgdfght" localSheetId="7">{#N/A,#N/A,FALSE,"Plan1";#N/A,#N/A,FALSE,"Plan2"}</definedName>
    <definedName name="jgfgdsgfdhrf" localSheetId="7">{#N/A,#N/A,FALSE,"Plan1";#N/A,#N/A,FALSE,"Plan2"}</definedName>
    <definedName name="JGFJGTFT" localSheetId="7">{#N/A,#N/A,FALSE,"Plan1";#N/A,#N/A,FALSE,"Plan2"}</definedName>
    <definedName name="jgkjkhjuftgi" localSheetId="7">{#N/A,#N/A,FALSE,"Plan1";#N/A,#N/A,FALSE,"Plan2"}</definedName>
    <definedName name="jhd"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jhdfjjhirft" localSheetId="7">{#N/A,#N/A,FALSE,"Plan1";#N/A,#N/A,FALSE,"Plan2"}</definedName>
    <definedName name="jhdfjkhtrdhf" localSheetId="7">{#N/A,#N/A,FALSE,"Plan1";#N/A,#N/A,FALSE,"Plan2"}</definedName>
    <definedName name="jhdfuthr" localSheetId="7">{#N/A,#N/A,FALSE,"Plan1";#N/A,#N/A,FALSE,"Plan2"}</definedName>
    <definedName name="JHDFZGRDHF" localSheetId="7">{"Econ Consolidado",#N/A,FALSE,"Econ Consol";"Fluxo de Caixa",#N/A,FALSE,"Fluxo Caixa";"Investimentos",#N/A,FALSE,"Investimentos"}</definedName>
    <definedName name="JHERKHKFGH" localSheetId="7">{#N/A,#N/A,FALSE,"Plan1";#N/A,#N/A,FALSE,"Plan2"}</definedName>
    <definedName name="JHGKJFJFJGL" localSheetId="7">{#N/A,#N/A,FALSE,"Plan1";#N/A,#N/A,FALSE,"Plan2"}</definedName>
    <definedName name="jhsdjkhfuks" localSheetId="7">{#N/A,#N/A,FALSE,"Plan1";#N/A,#N/A,FALSE,"Plan2"}</definedName>
    <definedName name="jisdrkje" localSheetId="7">{#N/A,#N/A,FALSE,"Plan1";#N/A,#N/A,FALSE,"Plan2"}</definedName>
    <definedName name="jishfrieyhtau" localSheetId="7">{#N/A,#N/A,FALSE,"Plan1";#N/A,#N/A,FALSE,"Plan2"}</definedName>
    <definedName name="jiu"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jj" localSheetId="7">{"'Apr-00'!$B$4:$AD$44"}</definedName>
    <definedName name="jjfdsktyhhy" localSheetId="7">{#N/A,#N/A,FALSE,"Plan1";#N/A,#N/A,FALSE,"Plan2"}</definedName>
    <definedName name="jjkjkjk" localSheetId="7">{#N/A,#N/A,FALSE,"Plan1";#N/A,#N/A,FALSE,"Plan2"}</definedName>
    <definedName name="JKDCK" localSheetId="7">{#N/A,#N/A,FALSE,"Plan1";#N/A,#N/A,FALSE,"Plan2"}</definedName>
    <definedName name="JKDFHKHFR" localSheetId="7">{#N/A,#N/A,FALSE,"Plan1";#N/A,#N/A,FALSE,"Plan2"}</definedName>
    <definedName name="JKDFTRDRJ" localSheetId="7">{#N/A,#N/A,FALSE,"Plan1";#N/A,#N/A,FALSE,"Plan2"}</definedName>
    <definedName name="jkdhfukhddf" localSheetId="7">{#N/A,#N/A,FALSE,"Plan1";#N/A,#N/A,FALSE,"Plan2"}</definedName>
    <definedName name="JKDRKGJHTDR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jkelsjreja" localSheetId="7">{#N/A,#N/A,FALSE,"Plan1";#N/A,#N/A,FALSE,"Plan2"}</definedName>
    <definedName name="jkfhjgkfhghh" localSheetId="7">{#N/A,#N/A,FALSE,"Plan1";#N/A,#N/A,FALSE,"Plan2"}</definedName>
    <definedName name="jkhderjkhes" localSheetId="7">{#N/A,#N/A,FALSE,"Plan1";#N/A,#N/A,FALSE,"Plan2"}</definedName>
    <definedName name="jkhdfhfd" localSheetId="7">{#N/A,#N/A,FALSE,"Plan1";#N/A,#N/A,FALSE,"Plan2"}</definedName>
    <definedName name="jkhfhest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JKHFKJHGKFTHUDET" localSheetId="7">{#N/A,#N/A,FALSE,"Plan1";#N/A,#N/A,FALSE,"Plan2"}</definedName>
    <definedName name="JKHGDHFUHTG" localSheetId="7">{#N/A,#N/A,FALSE,"Plan1";#N/A,#N/A,FALSE,"Plan2"}</definedName>
    <definedName name="jkhsdzjkfyiu" localSheetId="7">{#N/A,#N/A,FALSE,"Plan1";#N/A,#N/A,FALSE,"Plan2"}</definedName>
    <definedName name="jkjsdkhfdhrf" localSheetId="7">{#N/A,#N/A,FALSE,"Plan1";#N/A,#N/A,FALSE,"Plan2"}</definedName>
    <definedName name="jklgfsjgtjtg" localSheetId="7">{#N/A,#N/A,FALSE,"Plan1";#N/A,#N/A,FALSE,"Plan2"}</definedName>
    <definedName name="jksldfjsdhf" localSheetId="7">{#N/A,#N/A,FALSE,"Plan1";#N/A,#N/A,FALSE,"Plan2"}</definedName>
    <definedName name="jkxhcjkhfr" localSheetId="7">{#N/A,#N/A,FALSE,"Plan1";#N/A,#N/A,FALSE,"Plan2"}</definedName>
    <definedName name="JNGCKFKJFGH" localSheetId="7">{#N/A,#N/A,FALSE,"Plan1";#N/A,#N/A,FALSE,"Plan2"}</definedName>
    <definedName name="JREJRW" localSheetId="7">{#N/A,#N/A,FALSE,"Plan1";#N/A,#N/A,FALSE,"Plan2"}</definedName>
    <definedName name="JSADKAH" localSheetId="7">{"Econ Consolidado",#N/A,FALSE,"Econ Consol";"Fluxo de Caixa",#N/A,FALSE,"Fluxo Caixa";"Investimentos",#N/A,FALSE,"Investimentos"}</definedName>
    <definedName name="JSDAJRE" localSheetId="7">{#N/A,#N/A,FALSE,"Plan1";#N/A,#N/A,FALSE,"Plan2"}</definedName>
    <definedName name="jsdffsed"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jsdfjgx" localSheetId="7">{#N/A,#N/A,FALSE,"Plan1";#N/A,#N/A,FALSE,"Plan2"}</definedName>
    <definedName name="jsdfsdfd" localSheetId="7">{#N/A,#N/A,FALSE,"Plan1";#N/A,#N/A,FALSE,"Plan2"}</definedName>
    <definedName name="jsdljficd" localSheetId="7">{#N/A,#N/A,FALSE,"Plan1";#N/A,#N/A,FALSE,"Plan2"}</definedName>
    <definedName name="JSDTLFJDRG" localSheetId="7">{#N/A,#N/A,FALSE,"Plan1";#N/A,#N/A,FALSE,"Plan2"}</definedName>
    <definedName name="jsfjsjferwea" localSheetId="7">{#N/A,#N/A,FALSE,"Plan1";#N/A,#N/A,FALSE,"Plan2"}</definedName>
    <definedName name="jslrjer" localSheetId="7">{#N/A,#N/A,FALSE,"Plan1";#N/A,#N/A,FALSE,"Plan2"}</definedName>
    <definedName name="juklhkhdf" localSheetId="7">{#N/A,#N/A,FALSE,"Plan1";#N/A,#N/A,FALSE,"Plan2"}</definedName>
    <definedName name="JULHO99" localSheetId="7">{#N/A,#N/A,TRUE,"Quinzena 01 à 15-04-98 "}</definedName>
    <definedName name="jwekljd" localSheetId="7">{#N/A,#N/A,FALSE,"Plan1";#N/A,#N/A,FALSE,"Plan2"}</definedName>
    <definedName name="JWEOITORU5Y" localSheetId="7">{#N/A,#N/A,FALSE,"Plan1";#N/A,#N/A,FALSE,"Plan2"}</definedName>
    <definedName name="jxdfjsrf" localSheetId="7">{#N/A,#N/A,FALSE,"Plan1";#N/A,#N/A,FALSE,"Plan2"}</definedName>
    <definedName name="jxdklfjv"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jzsdjkszl" localSheetId="7">{#N/A,#N/A,FALSE,"Plan1";#N/A,#N/A,FALSE,"Plan2"}</definedName>
    <definedName name="JZXFKLJLDJF" localSheetId="7">{#N/A,#N/A,FALSE,"Plan1";#N/A,#N/A,FALSE,"Plan2"}</definedName>
    <definedName name="jzxklfdlvgfg" localSheetId="7">{#N/A,#N/A,FALSE,"Plan1";#N/A,#N/A,FALSE,"Plan2"}</definedName>
    <definedName name="k" localSheetId="7">{#N/A,#N/A,FALSE,"Plan1";#N/A,#N/A,FALSE,"Plan2"}</definedName>
    <definedName name="kaedkroswr" localSheetId="7">{"Econ Consolidado",#N/A,FALSE,"Econ Consol";"Fluxo de Caixa",#N/A,FALSE,"Fluxo Caixa";"Investimentos",#N/A,FALSE,"Investimentos"}</definedName>
    <definedName name="kç\lKçaksdçaqew" localSheetId="7" hidden="1">{#N/A,#N/A,FALSE,"Plan1";#N/A,#N/A,FALSE,"Plan2"}</definedName>
    <definedName name="kçdasekr" localSheetId="7">{#N/A,#N/A,FALSE,"Plan1";#N/A,#N/A,FALSE,"Plan2"}</definedName>
    <definedName name="kçfdljtredr" localSheetId="7">{#N/A,#N/A,FALSE,"Plan1";#N/A,#N/A,FALSE,"Plan2"}</definedName>
    <definedName name="kclçkglf" localSheetId="7">{#N/A,#N/A,FALSE,"Plan1";#N/A,#N/A,FALSE,"Plan2"}</definedName>
    <definedName name="kçlkasçkere" localSheetId="7">{#N/A,#N/A,FALSE,"Plan1";#N/A,#N/A,FALSE,"Plan2"}</definedName>
    <definedName name="kdfbngtjkbf" localSheetId="7">{#N/A,#N/A,FALSE,"Plan1";#N/A,#N/A,FALSE,"Plan2"}</definedName>
    <definedName name="kdfhkghkrh" localSheetId="7">{#N/A,#N/A,FALSE,"Plan1";#N/A,#N/A,FALSE,"Plan2"}</definedName>
    <definedName name="kdfiere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kdfkçrkf" localSheetId="7">{#N/A,#N/A,FALSE,"Plan1";#N/A,#N/A,FALSE,"Plan2"}</definedName>
    <definedName name="kdfljlfr" localSheetId="7">{#N/A,#N/A,FALSE,"Plan1";#N/A,#N/A,FALSE,"Plan2"}</definedName>
    <definedName name="kdhfgkdfhytgu" localSheetId="7">{#N/A,#N/A,FALSE,"Plan1";#N/A,#N/A,FALSE,"Plan2"}</definedName>
    <definedName name="kdhgftfg" localSheetId="7">{#N/A,#N/A,FALSE,"Plan1";#N/A,#N/A,FALSE,"Plan2"}</definedName>
    <definedName name="KDHKFGKKHGF" localSheetId="7">{#N/A,#N/A,FALSE,"Plan1";#N/A,#N/A,FALSE,"Plan2"}</definedName>
    <definedName name="kdjgkfjgd" localSheetId="7">{#N/A,#N/A,FALSE,"Plan1";#N/A,#N/A,FALSE,"Plan2"}</definedName>
    <definedName name="kdjglkdlgjd" localSheetId="7">{#N/A,#N/A,FALSE,"Plan1";#N/A,#N/A,FALSE,"Plan2"}</definedName>
    <definedName name="kdjsfkldjgkty" localSheetId="7">{#N/A,#N/A,FALSE,"Plan1";#N/A,#N/A,FALSE,"Plan2"}</definedName>
    <definedName name="KDJU" localSheetId="7">{"'장비'!$A$3:$M$12"}</definedName>
    <definedName name="kdkjhgdkfhjk" localSheetId="7">{#N/A,#N/A,FALSE,"Plan1";#N/A,#N/A,FALSE,"Plan2"}</definedName>
    <definedName name="kdsf" localSheetId="7">{#N/A,#N/A,FALSE,"Plan1";#N/A,#N/A,FALSE,"Plan2"}</definedName>
    <definedName name="kdsr" localSheetId="7">{#N/A,#N/A,FALSE,"Plan1";#N/A,#N/A,FALSE,"Plan2"}</definedName>
    <definedName name="kergtfdstr" localSheetId="7">{#N/A,#N/A,FALSE,"Plan1";#N/A,#N/A,FALSE,"Plan2"}</definedName>
    <definedName name="KFDKTHGT" localSheetId="7">{#N/A,#N/A,FALSE,"Plan1";#N/A,#N/A,FALSE,"Plan2"}</definedName>
    <definedName name="kfdxlfdzs" localSheetId="7">{"Econ Consolidado",#N/A,FALSE,"Econ Consol";"Fluxo de Caixa",#N/A,FALSE,"Fluxo Caixa";"Investimentos",#N/A,FALSE,"Investimentos"}</definedName>
    <definedName name="kfgkhjkjhy" localSheetId="7">{#N/A,#N/A,FALSE,"Plan1";#N/A,#N/A,FALSE,"Plan2"}</definedName>
    <definedName name="KFJFDSDF" localSheetId="7">{#N/A,#N/A,FALSE,"Plan1";#N/A,#N/A,FALSE,"Plan2"}</definedName>
    <definedName name="kfnkeasd" localSheetId="7">{#N/A,#N/A,FALSE,"Plan1";#N/A,#N/A,FALSE,"Plan2"}</definedName>
    <definedName name="khdjkfkjhtg" localSheetId="7">{#N/A,#N/A,FALSE,"Plan1";#N/A,#N/A,FALSE,"Plan2"}</definedName>
    <definedName name="khdkfjhhfsdg" localSheetId="7">{#N/A,#N/A,FALSE,"Plan1";#N/A,#N/A,FALSE,"Plan2"}</definedName>
    <definedName name="khdkjfhgudytu" localSheetId="7">{#N/A,#N/A,FALSE,"Plan1";#N/A,#N/A,FALSE,"Plan2"}</definedName>
    <definedName name="khfdghhhgd" localSheetId="7">{#N/A,#N/A,FALSE,"Plan1";#N/A,#N/A,FALSE,"Plan2"}</definedName>
    <definedName name="khfdkjhsdjf" localSheetId="7">{#N/A,#N/A,FALSE,"Plan1";#N/A,#N/A,FALSE,"Plan2"}</definedName>
    <definedName name="khgdkftfy" localSheetId="7">{#N/A,#N/A,FALSE,"Plan1";#N/A,#N/A,FALSE,"Plan2"}</definedName>
    <definedName name="khgfhhtuhf" localSheetId="7">{#N/A,#N/A,FALSE,"Plan1";#N/A,#N/A,FALSE,"Plan2"}</definedName>
    <definedName name="khjkh"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KHJKLSDF" localSheetId="7">{#N/A,#N/A,FALSE,"Plan1";#N/A,#N/A,FALSE,"Plan2"}</definedName>
    <definedName name="kieret" localSheetId="7">{#N/A,#N/A,FALSE,"Plan1";#N/A,#N/A,FALSE,"Plan2"}</definedName>
    <definedName name="kjchkfhsezk" localSheetId="7">{#N/A,#N/A,FALSE,"Plan1";#N/A,#N/A,FALSE,"Plan2"}</definedName>
    <definedName name="kjdghksef" localSheetId="7">{#N/A,#N/A,FALSE,"Plan1";#N/A,#N/A,FALSE,"Plan2"}</definedName>
    <definedName name="kjdkftyhtert" localSheetId="7">{#N/A,#N/A,FALSE,"Plan1";#N/A,#N/A,FALSE,"Plan2"}</definedName>
    <definedName name="kjdlfkjds" localSheetId="7">{#N/A,#N/A,FALSE,"Plan1";#N/A,#N/A,FALSE,"Plan2"}</definedName>
    <definedName name="kjdzhfytrfy" localSheetId="7">{#N/A,#N/A,FALSE,"Plan1";#N/A,#N/A,FALSE,"Plan2"}</definedName>
    <definedName name="kjhdfgjthdft" localSheetId="7">{#N/A,#N/A,FALSE,"Plan1";#N/A,#N/A,FALSE,"Plan2"}</definedName>
    <definedName name="kjhsdfk"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kjhsiorf" localSheetId="7">{#N/A,#N/A,FALSE,"Plan1";#N/A,#N/A,FALSE,"Plan2"}</definedName>
    <definedName name="KJJ"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kjjwww" localSheetId="7">{#N/A,#N/A,FALSE,"Plan1";#N/A,#N/A,FALSE,"Plan2"}</definedName>
    <definedName name="kjl" localSheetId="7">{#N/A,#N/A,FALSE,"ENG'G(보호계전기)"}</definedName>
    <definedName name="KJOI" localSheetId="7">{#N/A,#N/A,FALSE,"Plan1";#N/A,#N/A,FALSE,"Plan2"}</definedName>
    <definedName name="kjqwerw" localSheetId="7">{#N/A,#N/A,FALSE,"Plan1";#N/A,#N/A,FALSE,"Plan2"}</definedName>
    <definedName name="kjsfert" localSheetId="7">{#N/A,#N/A,FALSE,"Plan1";#N/A,#N/A,FALSE,"Plan2"}</definedName>
    <definedName name="KJXCFKR" localSheetId="7">{#N/A,#N/A,FALSE,"Plan1";#N/A,#N/A,FALSE,"Plan2"}</definedName>
    <definedName name="KJXDFD" localSheetId="7">{#N/A,#N/A,FALSE,"Plan1";#N/A,#N/A,FALSE,"Plan2"}</definedName>
    <definedName name="kk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kkk" localSheetId="7">{#N/A,#N/A,FALSE,"Plan1";#N/A,#N/A,FALSE,"Plan2"}</definedName>
    <definedName name="kkkkk" localSheetId="7">{#N/A,#N/A,FALSE,"Plan1";#N/A,#N/A,FALSE,"Plan2"}</definedName>
    <definedName name="kkkkkk" localSheetId="7">{#N/A,#N/A,FALSE,"Plan1";#N/A,#N/A,FALSE,"Plan2"}</definedName>
    <definedName name="kko"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kksaklçer" localSheetId="7">{#N/A,#N/A,FALSE,"Plan1";#N/A,#N/A,FALSE,"Plan2"}</definedName>
    <definedName name="kksarde" localSheetId="7">{#N/A,#N/A,FALSE,"Plan1";#N/A,#N/A,FALSE,"Plan2"}</definedName>
    <definedName name="klaskldjsw" localSheetId="7">{#N/A,#N/A,FALSE,"Plan1";#N/A,#N/A,FALSE,"Plan2"}</definedName>
    <definedName name="klçkop" localSheetId="7">{#N/A,#N/A,FALSE,"Plan1";#N/A,#N/A,FALSE,"Plan2"}</definedName>
    <definedName name="KLDFNTRDT" localSheetId="7">{#N/A,#N/A,FALSE,"Plan1";#N/A,#N/A,FALSE,"Plan2"}</definedName>
    <definedName name="klhjsdklhdf" localSheetId="7">{#N/A,#N/A,FALSE,"Plan1";#N/A,#N/A,FALSE,"Plan2"}</definedName>
    <definedName name="KLHSKLRHWE" localSheetId="7">{#N/A,#N/A,FALSE,"Plan1";#N/A,#N/A,FALSE,"Plan2"}</definedName>
    <definedName name="KLJASKJD" localSheetId="7">{#N/A,#N/A,FALSE,"Plan1";#N/A,#N/A,FALSE,"Plan2"}</definedName>
    <definedName name="KLJDXLG"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kljeflwr" localSheetId="7">{#N/A,#N/A,FALSE,"Plan1";#N/A,#N/A,FALSE,"Plan2"}</definedName>
    <definedName name="kljflgjrf" localSheetId="7">{#N/A,#N/A,FALSE,"Plan1";#N/A,#N/A,FALSE,"Plan2"}</definedName>
    <definedName name="kljgfdfr" localSheetId="7">{#N/A,#N/A,FALSE,"Plan1";#N/A,#N/A,FALSE,"Plan2"}</definedName>
    <definedName name="kljgfjrt" localSheetId="7">{#N/A,#N/A,FALSE,"Plan1";#N/A,#N/A,FALSE,"Plan2"}</definedName>
    <definedName name="kljlkdfj" localSheetId="7">{#N/A,#N/A,FALSE,"Plan1";#N/A,#N/A,FALSE,"Plan2"}</definedName>
    <definedName name="kljsakjfr" localSheetId="7">{#N/A,#N/A,FALSE,"Plan1";#N/A,#N/A,FALSE,"Plan2"}</definedName>
    <definedName name="kljsdje" localSheetId="7">{#N/A,#N/A,FALSE,"Plan1";#N/A,#N/A,FALSE,"Plan2"}</definedName>
    <definedName name="kljsfwe" localSheetId="7">{#N/A,#N/A,FALSE,"Plan1";#N/A,#N/A,FALSE,"Plan2"}</definedName>
    <definedName name="klk" localSheetId="7">{#N/A,#N/A,FALSE,"Plan1";#N/A,#N/A,FALSE,"Plan2"}</definedName>
    <definedName name="KLKKLKÇJÇ" localSheetId="7">{#N/A,#N/A,FALSE,"Plan1";#N/A,#N/A,FALSE,"Plan2"}</definedName>
    <definedName name="KLSDFT" localSheetId="7">{#N/A,#N/A,FALSE,"Plan1";#N/A,#N/A,FALSE,"Plan2"}</definedName>
    <definedName name="KLSDHSJKHF" localSheetId="7">{#N/A,#N/A,FALSE,"Plan1";#N/A,#N/A,FALSE,"Plan2"}</definedName>
    <definedName name="klsdkre" localSheetId="7">{#N/A,#N/A,FALSE,"Plan1";#N/A,#N/A,FALSE,"Plan2"}</definedName>
    <definedName name="KLSIDJE" localSheetId="7">{#N/A,#N/A,FALSE,"Plan1";#N/A,#N/A,FALSE,"Plan2"}</definedName>
    <definedName name="klsjarsf" localSheetId="7">{#N/A,#N/A,FALSE,"Plan1";#N/A,#N/A,FALSE,"Plan2"}</definedName>
    <definedName name="klxhjfdkhser" localSheetId="7">{#N/A,#N/A,FALSE,"Plan1";#N/A,#N/A,FALSE,"Plan2"}</definedName>
    <definedName name="kopipnsdfne" localSheetId="7">{#N/A,#N/A,FALSE,"Plan1";#N/A,#N/A,FALSE,"Plan2"}</definedName>
    <definedName name="kp"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KSDLÇKSÇ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KSDLDF" localSheetId="7">{#N/A,#N/A,FALSE,"Plan1";#N/A,#N/A,FALSE,"Plan2"}</definedName>
    <definedName name="ksdlkfsçzd" localSheetId="7">{#N/A,#N/A,FALSE,"Plan1";#N/A,#N/A,FALSE,"Plan2"}</definedName>
    <definedName name="ksdoçierfe" localSheetId="7">{#N/A,#N/A,FALSE,"Plan1";#N/A,#N/A,FALSE,"Plan2"}</definedName>
    <definedName name="ksdtrdrkf" localSheetId="7">{#N/A,#N/A,FALSE,"Plan1";#N/A,#N/A,FALSE,"Plan2"}</definedName>
    <definedName name="KSFÇJDFJL" localSheetId="7">{#N/A,#N/A,FALSE,"Plan1";#N/A,#N/A,FALSE,"Plan2"}</definedName>
    <definedName name="ksfhse" localSheetId="7">{#N/A,#N/A,FALSE,"Plan1";#N/A,#N/A,FALSE,"Plan2"}</definedName>
    <definedName name="KSRKOE" localSheetId="7">{#N/A,#N/A,FALSE,"Plan1";#N/A,#N/A,FALSE,"Plan2"}</definedName>
    <definedName name="KSWKE" localSheetId="7">{#N/A,#N/A,FALSE,"Plan1";#N/A,#N/A,FALSE,"Plan2"}</definedName>
    <definedName name="kysdusf" localSheetId="7">{#N/A,#N/A,FALSE,"Plan1";#N/A,#N/A,FALSE,"Plan2"}</definedName>
    <definedName name="kzslçdkçle" localSheetId="7">{#N/A,#N/A,FALSE,"Plan1";#N/A,#N/A,FALSE,"Plan2"}</definedName>
    <definedName name="LAEKWRK" localSheetId="7">{#N/A,#N/A,FALSE,"Plan1";#N/A,#N/A,FALSE,"Plan2"}</definedName>
    <definedName name="LAKDEWRF" localSheetId="7">{#N/A,#N/A,FALSE,"Plan1";#N/A,#N/A,FALSE,"Plan2"}</definedName>
    <definedName name="LASÇDSRLF" localSheetId="7">{#N/A,#N/A,FALSE,"Plan1";#N/A,#N/A,FALSE,"Plan2"}</definedName>
    <definedName name="lasrlswer" localSheetId="7">{#N/A,#N/A,FALSE,"Plan1";#N/A,#N/A,FALSE,"Plan2"}</definedName>
    <definedName name="lçadple4r" localSheetId="7">{#N/A,#N/A,FALSE,"Plan1";#N/A,#N/A,FALSE,"Plan2"}</definedName>
    <definedName name="lçasser" localSheetId="7">{#N/A,#N/A,FALSE,"Plan1";#N/A,#N/A,FALSE,"Plan2"}</definedName>
    <definedName name="lcdgjtklfrn" localSheetId="7">{#N/A,#N/A,FALSE,"Plan1";#N/A,#N/A,FALSE,"Plan2"}</definedName>
    <definedName name="lçfklsdkçaer" localSheetId="7">{#N/A,#N/A,FALSE,"Plan1";#N/A,#N/A,FALSE,"Plan2"}</definedName>
    <definedName name="lçjkgf" localSheetId="7">{#N/A,#N/A,FALSE,"Plan1";#N/A,#N/A,FALSE,"Plan2"}</definedName>
    <definedName name="LÇJSLDFJ" localSheetId="7">{#N/A,#N/A,FALSE,"Plan1";#N/A,#N/A,FALSE,"Plan2"}</definedName>
    <definedName name="LÇKÇSDRLK" localSheetId="7">{#N/A,#N/A,FALSE,"Plan1";#N/A,#N/A,FALSE,"Plan2"}</definedName>
    <definedName name="lçkl"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lçl"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lçlfklçdglfdgt" localSheetId="7">{#N/A,#N/A,FALSE,"Plan1";#N/A,#N/A,FALSE,"Plan2"}</definedName>
    <definedName name="lçslrr4r" localSheetId="7">{#N/A,#N/A,FALSE,"Plan1";#N/A,#N/A,FALSE,"Plan2"}</definedName>
    <definedName name="ldfjgry" localSheetId="7">{#N/A,#N/A,FALSE,"Plan1";#N/A,#N/A,FALSE,"Plan2"}</definedName>
    <definedName name="ldfjgtilrf" localSheetId="7">{#N/A,#N/A,FALSE,"Plan1";#N/A,#N/A,FALSE,"Plan2"}</definedName>
    <definedName name="ldk" localSheetId="7">{#N/A,#N/A,FALSE,"Plan1";#N/A,#N/A,FALSE,"Plan2"}</definedName>
    <definedName name="ldkgkdfjgkh" localSheetId="7">{#N/A,#N/A,FALSE,"Plan1";#N/A,#N/A,FALSE,"Plan2"}</definedName>
    <definedName name="LDTJGR" localSheetId="7">{#N/A,#N/A,FALSE,"Plan1";#N/A,#N/A,FALSE,"Plan2"}</definedName>
    <definedName name="LEKG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lfjdjrt" localSheetId="7">{#N/A,#N/A,FALSE,"Plan1";#N/A,#N/A,FALSE,"Plan2"}</definedName>
    <definedName name="lidfjgklruf" localSheetId="7">{#N/A,#N/A,FALSE,"Plan1";#N/A,#N/A,FALSE,"Plan2"}</definedName>
    <definedName name="list"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t"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dfkgyt" localSheetId="7">{#N/A,#N/A,FALSE,"Plan1";#N/A,#N/A,FALSE,"Plan2"}</definedName>
    <definedName name="LJDFLJRL" localSheetId="7">{#N/A,#N/A,FALSE,"Plan1";#N/A,#N/A,FALSE,"Plan2"}</definedName>
    <definedName name="ljsdfrd" localSheetId="7">{#N/A,#N/A,FALSE,"Plan1";#N/A,#N/A,FALSE,"Plan2"}</definedName>
    <definedName name="LK" localSheetId="7">{#N/A,#N/A,TRUE,"Quinzena 01 à 15-04-98 "}</definedName>
    <definedName name="lkasdkeo" localSheetId="7">{#N/A,#N/A,FALSE,"Plan1";#N/A,#N/A,FALSE,"Plan2"}</definedName>
    <definedName name="lkdeas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lkdzxfsdrf" localSheetId="7">{#N/A,#N/A,FALSE,"Plan1";#N/A,#N/A,FALSE,"Plan2"}</definedName>
    <definedName name="lkfdkçtktr" localSheetId="7">{#N/A,#N/A,FALSE,"Plan1";#N/A,#N/A,FALSE,"Plan2"}</definedName>
    <definedName name="LKSSDKÇ\E" localSheetId="7" hidden="1">{#N/A,#N/A,FALSE,"Plan1";#N/A,#N/A,FALSE,"Plan2"}</definedName>
    <definedName name="lkt" localSheetId="7">{#N/A,#N/A,FALSE,"Plan1";#N/A,#N/A,FALSE,"Plan2"}</definedName>
    <definedName name="lktlyklt" localSheetId="7">{#N/A,#N/A,FALSE,"Plan1";#N/A,#N/A,FALSE,"Plan2"}</definedName>
    <definedName name="LKTTYT" localSheetId="7">{#N/A,#N/A,FALSE,"Plan1";#N/A,#N/A,FALSE,"Plan2"}</definedName>
    <definedName name="llgg" localSheetId="7">{#N/A,#N/A,FALSE,"Plan1";#N/A,#N/A,FALSE,"Plan2"}</definedName>
    <definedName name="LLL" localSheetId="7">{#N/A,#N/A,FALSE,"Plan1";#N/A,#N/A,FALSE,"Plan2"}</definedName>
    <definedName name="LM_AR" localSheetId="7">{#N/A,#N/A,FALSE,"F-01"}</definedName>
    <definedName name="LM_AT" localSheetId="7">{#N/A,#N/A,FALSE,"F-01"}</definedName>
    <definedName name="LM_INC" localSheetId="7">{#N/A,#N/A,FALSE,"F-01"}</definedName>
    <definedName name="LMPASD"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LO"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LSDFKLDKFTR" localSheetId="7">{#N/A,#N/A,FALSE,"Plan1";#N/A,#N/A,FALSE,"Plan2"}</definedName>
    <definedName name="lsdjse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lsdkljfkg" localSheetId="7">{#N/A,#N/A,FALSE,"Plan1";#N/A,#N/A,FALSE,"Plan2"}</definedName>
    <definedName name="lsdsder" localSheetId="7">{#N/A,#N/A,FALSE,"Plan1";#N/A,#N/A,FALSE,"Plan2"}</definedName>
    <definedName name="ltj6ljyhdjhngças" localSheetId="7">{#N/A,#N/A,FALSE,"Plan1";#N/A,#N/A,FALSE,"Plan2"}</definedName>
    <definedName name="m"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MAISAP" localSheetId="7">{#N/A,#N/A,FALSE,"Plan1";#N/A,#N/A,FALSE,"Plan2"}</definedName>
    <definedName name="MANTO" localSheetId="7">{#N/A,#N/A,FALSE,"GERAL";#N/A,#N/A,FALSE,"012-96";#N/A,#N/A,FALSE,"018-96";#N/A,#N/A,FALSE,"027-96";#N/A,#N/A,FALSE,"059-96";#N/A,#N/A,FALSE,"076-96";#N/A,#N/A,FALSE,"019-97";#N/A,#N/A,FALSE,"021-97";#N/A,#N/A,FALSE,"022-97";#N/A,#N/A,FALSE,"028-97"}</definedName>
    <definedName name="MASTER" localSheetId="7">{#N/A,#N/A,FALSE,"GERAL";#N/A,#N/A,FALSE,"012-96";#N/A,#N/A,FALSE,"018-96";#N/A,#N/A,FALSE,"027-96";#N/A,#N/A,FALSE,"059-96";#N/A,#N/A,FALSE,"076-96";#N/A,#N/A,FALSE,"019-97";#N/A,#N/A,FALSE,"021-97";#N/A,#N/A,FALSE,"022-97";#N/A,#N/A,FALSE,"028-97"}</definedName>
    <definedName name="mattubcust" localSheetId="7">{#N/A,#N/A,FALSE,"GERAL";#N/A,#N/A,FALSE,"012-96";#N/A,#N/A,FALSE,"018-96";#N/A,#N/A,FALSE,"027-96";#N/A,#N/A,FALSE,"059-96";#N/A,#N/A,FALSE,"076-96";#N/A,#N/A,FALSE,"019-97";#N/A,#N/A,FALSE,"021-97";#N/A,#N/A,FALSE,"022-97";#N/A,#N/A,FALSE,"028-97"}</definedName>
    <definedName name="MAURILIO" localSheetId="7">{#N/A,#N/A,FALSE,"Plan1";#N/A,#N/A,FALSE,"Plan2"}</definedName>
    <definedName name="MC" localSheetId="7">{#N/A,#N/A,FALSE,"GERAL";#N/A,#N/A,FALSE,"012-96";#N/A,#N/A,FALSE,"018-96";#N/A,#N/A,FALSE,"027-96";#N/A,#N/A,FALSE,"059-96";#N/A,#N/A,FALSE,"076-96";#N/A,#N/A,FALSE,"019-97";#N/A,#N/A,FALSE,"021-97";#N/A,#N/A,FALSE,"022-97";#N/A,#N/A,FALSE,"028-97"}</definedName>
    <definedName name="MCM" localSheetId="7">{#N/A,#N/A,FALSE,"GERAL";#N/A,#N/A,FALSE,"012-96";#N/A,#N/A,FALSE,"018-96";#N/A,#N/A,FALSE,"027-96";#N/A,#N/A,FALSE,"059-96";#N/A,#N/A,FALSE,"076-96";#N/A,#N/A,FALSE,"019-97";#N/A,#N/A,FALSE,"021-97";#N/A,#N/A,FALSE,"022-97";#N/A,#N/A,FALSE,"028-97"}</definedName>
    <definedName name="mdfgtr" localSheetId="7">{#N/A,#N/A,FALSE,"Plan1";#N/A,#N/A,FALSE,"Plan2"}</definedName>
    <definedName name="MDSÇLFJKJSD" localSheetId="7">{#N/A,#N/A,FALSE,"Plan1";#N/A,#N/A,FALSE,"Plan2"}</definedName>
    <definedName name="ME" localSheetId="7">{"HW",#N/A,FALSE,"1998"}</definedName>
    <definedName name="MESTRE" localSheetId="7">{#N/A,#N/A,FALSE,"GERAL";#N/A,#N/A,FALSE,"012-96";#N/A,#N/A,FALSE,"018-96";#N/A,#N/A,FALSE,"027-96";#N/A,#N/A,FALSE,"059-96";#N/A,#N/A,FALSE,"076-96";#N/A,#N/A,FALSE,"019-97";#N/A,#N/A,FALSE,"021-97";#N/A,#N/A,FALSE,"022-97";#N/A,#N/A,FALSE,"028-97"}</definedName>
    <definedName name="MLMÇLKJKI" localSheetId="7">{#N/A,#N/A,FALSE,"Plan1";#N/A,#N/A,FALSE,"Plan2"}</definedName>
    <definedName name="MM"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mmmmm" localSheetId="7">{"tabela",#N/A,FALSE,"Tabela";"decoração",#N/A,FALSE,"Decor.";"Informações",#N/A,FALSE,"Inform."}</definedName>
    <definedName name="mmmmmmm"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MNBXFKGS" localSheetId="7">{#N/A,#N/A,FALSE,"Plan1";#N/A,#N/A,FALSE,"Plan2"}</definedName>
    <definedName name="mncvbgcvmc" localSheetId="7">{#N/A,#N/A,FALSE,"Plan1";#N/A,#N/A,FALSE,"Plan2"}</definedName>
    <definedName name="MNDKZSFNCEA" localSheetId="7">{#N/A,#N/A,FALSE,"Plan1";#N/A,#N/A,FALSE,"Plan2"}</definedName>
    <definedName name="mnhdshfgfhd" localSheetId="7">{#N/A,#N/A,FALSE,"Plan1";#N/A,#N/A,FALSE,"Plan2"}</definedName>
    <definedName name="mobra" localSheetId="7">{#N/A,#N/A,FALSE,"GERAL";#N/A,#N/A,FALSE,"012-96";#N/A,#N/A,FALSE,"018-96";#N/A,#N/A,FALSE,"027-96";#N/A,#N/A,FALSE,"059-96";#N/A,#N/A,FALSE,"076-96";#N/A,#N/A,FALSE,"019-97";#N/A,#N/A,FALSE,"021-97";#N/A,#N/A,FALSE,"022-97";#N/A,#N/A,FALSE,"028-97"}</definedName>
    <definedName name="Modelo1" localSheetId="7">{#N/A,#N/A,FALSE,"cdi";#N/A,#N/A,FALSE,"debent";#N/A,#N/A,FALSE,"fdos";#N/A,#N/A,FALSE,"resumo"}</definedName>
    <definedName name="Modelo1a" localSheetId="7">{#N/A,#N/A,FALSE,"cdi";#N/A,#N/A,FALSE,"debent";#N/A,#N/A,FALSE,"fdos";#N/A,#N/A,FALSE,"resumo"}</definedName>
    <definedName name="Modelo2" localSheetId="7">{#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MP" localSheetId="7">{#N/A,#N/A,FALSE,"CCTV"}</definedName>
    <definedName name="MSDRFSWER" localSheetId="7">{"Econ Consolidado",#N/A,FALSE,"Econ Consol";"Fluxo de Caixa",#N/A,FALSE,"Fluxo Caixa";"Investimentos",#N/A,FALSE,"Investimentos"}</definedName>
    <definedName name="mzshdjshjs" localSheetId="7">{#N/A,#N/A,FALSE,"Plan1";#N/A,#N/A,FALSE,"Plan2"}</definedName>
    <definedName name="na" localSheetId="7">{#N/A,#N/A,FALSE,"$170M Cash";#N/A,#N/A,FALSE,"$250M Cash";#N/A,#N/A,FALSE,"$325M Cash"}</definedName>
    <definedName name="ncdgrdhrtg" localSheetId="7">{#N/A,#N/A,FALSE,"Plan1";#N/A,#N/A,FALSE,"Plan2"}</definedName>
    <definedName name="nchngdfhgdh" localSheetId="7">{#N/A,#N/A,FALSE,"Plan1";#N/A,#N/A,FALSE,"Plan2"}</definedName>
    <definedName name="NCJFKNGJHF" localSheetId="7">{#N/A,#N/A,FALSE,"Plan1";#N/A,#N/A,FALSE,"Plan2"}</definedName>
    <definedName name="ndcxhgdhf" localSheetId="7">{#N/A,#N/A,FALSE,"Plan1";#N/A,#N/A,FALSE,"Plan2"}</definedName>
    <definedName name="ndfjnjkrhdgt" localSheetId="7">{#N/A,#N/A,FALSE,"Plan1";#N/A,#N/A,FALSE,"Plan2"}</definedName>
    <definedName name="ndfkghkjthfyst" localSheetId="7">{#N/A,#N/A,FALSE,"Plan1";#N/A,#N/A,FALSE,"Plan2"}</definedName>
    <definedName name="NDJGKFKGHUFG" localSheetId="7">{#N/A,#N/A,FALSE,"Plan1";#N/A,#N/A,FALSE,"Plan2"}</definedName>
    <definedName name="ndrjkt" localSheetId="7">{#N/A,#N/A,FALSE,"Plan1";#N/A,#N/A,FALSE,"Plan2"}</definedName>
    <definedName name="new" localSheetId="7">{#N/A,#N/A,FALSE,"Global by BU";#N/A,#N/A,FALSE,"U.S. by BU";#N/A,#N/A,FALSE,"Canada by BU";#N/A,#N/A,FALSE,"Europe by BU";#N/A,#N/A,FALSE,"Asia by BU";#N/A,#N/A,FALSE,"Cala by BU"}</definedName>
    <definedName name="NEWNAME" localSheetId="7">{#N/A,#N/A,FALSE,"CCTV"}</definedName>
    <definedName name="nfgjkhvhfghn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nfkhdjkthde" localSheetId="7">{#N/A,#N/A,FALSE,"Plan1";#N/A,#N/A,FALSE,"Plan2"}</definedName>
    <definedName name="nhj"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NHJHFDSHF" localSheetId="7">{#N/A,#N/A,FALSE,"Plan1";#N/A,#N/A,FALSE,"Plan2"}</definedName>
    <definedName name="NJSDFHERTG" localSheetId="7">{#N/A,#N/A,FALSE,"Plan1";#N/A,#N/A,FALSE,"Plan2"}</definedName>
    <definedName name="nkfnsskdn" localSheetId="7">{#N/A,#N/A,FALSE,"Plan1";#N/A,#N/A,FALSE,"Plan2"}</definedName>
    <definedName name="NKJL"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nlaksjdwe" localSheetId="7">{#N/A,#N/A,FALSE,"Plan1";#N/A,#N/A,FALSE,"Plan2"}</definedName>
    <definedName name="nljsdfljfdsfr" localSheetId="7">{#N/A,#N/A,FALSE,"Plan1";#N/A,#N/A,FALSE,"Plan2"}</definedName>
    <definedName name="nmjdfhxj" localSheetId="7">{#N/A,#N/A,FALSE,"Plan1";#N/A,#N/A,FALSE,"Plan2"}</definedName>
    <definedName name="nnmn" localSheetId="7">{#N/A,#N/A,FALSE,"Plan1";#N/A,#N/A,FALSE,"Plan2"}</definedName>
    <definedName name="nnn" localSheetId="7">{#N/A,#N/A,FALSE,"Plan1";#N/A,#N/A,FALSE,"Plan2"}</definedName>
    <definedName name="nnnnnnnnnnn" localSheetId="7">{"HW",#N/A,FALSE,"1998"}</definedName>
    <definedName name="NNNNNNNNNNNNNNN" localSheetId="7">{#N/A,#N/A,FALSE,"Plan1";#N/A,#N/A,FALSE,"Plan2"}</definedName>
    <definedName name="nnnnnnnnnnnnnnnnnnnn" localSheetId="7">{#N/A,#N/A,FALSE,"Plan1";#N/A,#N/A,FALSE,"Plan2"}</definedName>
    <definedName name="NNXFT" localSheetId="7">{#N/A,#N/A,FALSE,"Plan1";#N/A,#N/A,FALSE,"Plan2"}</definedName>
    <definedName name="nsdkfndgfdnatf" localSheetId="7">{#N/A,#N/A,FALSE,"Plan1";#N/A,#N/A,FALSE,"Plan2"}</definedName>
    <definedName name="nsfljdiljrf" localSheetId="7">{#N/A,#N/A,FALSE,"Plan1";#N/A,#N/A,FALSE,"Plan2"}</definedName>
    <definedName name="nzxcnnjkd" localSheetId="7">{#N/A,#N/A,FALSE,"Plan1";#N/A,#N/A,FALSE,"Plan2"}</definedName>
    <definedName name="odfuudor" localSheetId="7">{#N/A,#N/A,FALSE,"Plan1";#N/A,#N/A,FALSE,"Plan2"}</definedName>
    <definedName name="oiditrot" localSheetId="7">{#N/A,#N/A,FALSE,"Plan1";#N/A,#N/A,FALSE,"Plan2"}</definedName>
    <definedName name="oio" localSheetId="7">{#N/A,#N/A,FALSE,"Plan1";#N/A,#N/A,FALSE,"Plan2"}</definedName>
    <definedName name="OJÇLJ" localSheetId="7">{#N/A,#N/A,FALSE,"Plan1";#N/A,#N/A,FALSE,"Plan2"}</definedName>
    <definedName name="ojkdfit" localSheetId="7">{#N/A,#N/A,FALSE,"Plan1";#N/A,#N/A,FALSE,"Plan2"}</definedName>
    <definedName name="ooo" localSheetId="7">{#N/A,#N/A,FALSE,"Plan1";#N/A,#N/A,FALSE,"Plan2"}</definedName>
    <definedName name="OPASEDWED" localSheetId="7">{"Econ Consolidado",#N/A,FALSE,"Econ Consol";"Fluxo de Caixa",#N/A,FALSE,"Fluxo Caixa";"Investimentos",#N/A,FALSE,"Investimentos"}</definedName>
    <definedName name="opiwre" localSheetId="7">{#N/A,#N/A,FALSE,"Plan1";#N/A,#N/A,FALSE,"Plan2"}</definedName>
    <definedName name="os" localSheetId="7">{#N/A,#N/A,FALSE,"TABLE"}</definedName>
    <definedName name="otodgkrjglsrd" localSheetId="7">{#N/A,#N/A,FALSE,"Plan1";#N/A,#N/A,FALSE,"Plan2"}</definedName>
    <definedName name="OUERWRSR" localSheetId="7">{#N/A,#N/A,FALSE,"Plan1";#N/A,#N/A,FALSE,"Plan2"}</definedName>
    <definedName name="overhaul"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agamento_Num" localSheetId="7">ROW()-Linha_Cabeçalho</definedName>
    <definedName name="Pendencias" localSheetId="7">{#N/A,#N/A,FALSE,"GERAL";#N/A,#N/A,FALSE,"012-96";#N/A,#N/A,FALSE,"018-96";#N/A,#N/A,FALSE,"027-96";#N/A,#N/A,FALSE,"059-96";#N/A,#N/A,FALSE,"076-96";#N/A,#N/A,FALSE,"019-97";#N/A,#N/A,FALSE,"021-97";#N/A,#N/A,FALSE,"022-97";#N/A,#N/A,FALSE,"028-97"}</definedName>
    <definedName name="pendencias2" localSheetId="7">{#N/A,#N/A,FALSE,"GERAL";#N/A,#N/A,FALSE,"012-96";#N/A,#N/A,FALSE,"018-96";#N/A,#N/A,FALSE,"027-96";#N/A,#N/A,FALSE,"059-96";#N/A,#N/A,FALSE,"076-96";#N/A,#N/A,FALSE,"019-97";#N/A,#N/A,FALSE,"021-97";#N/A,#N/A,FALSE,"022-97";#N/A,#N/A,FALSE,"028-97"}</definedName>
    <definedName name="pendencias3" localSheetId="7">{#N/A,#N/A,FALSE,"GERAL";#N/A,#N/A,FALSE,"012-96";#N/A,#N/A,FALSE,"018-96";#N/A,#N/A,FALSE,"027-96";#N/A,#N/A,FALSE,"059-96";#N/A,#N/A,FALSE,"076-96";#N/A,#N/A,FALSE,"019-97";#N/A,#N/A,FALSE,"021-97";#N/A,#N/A,FALSE,"022-97";#N/A,#N/A,FALSE,"028-97"}</definedName>
    <definedName name="piaz"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PLACAS" localSheetId="7">{#N/A,#N/A,TRUE,"Quinzena 01 à 15-04-98 "}</definedName>
    <definedName name="Placas_Areas" localSheetId="7">{#N/A,#N/A,TRUE,"Quinzena 01 à 15-04-98 "}</definedName>
    <definedName name="plan2"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plasçdeaw" localSheetId="7">{#N/A,#N/A,FALSE,"Plan1";#N/A,#N/A,FALSE,"Plan2"}</definedName>
    <definedName name="plaslrswe" localSheetId="7">{#N/A,#N/A,FALSE,"Plan1";#N/A,#N/A,FALSE,"Plan2"}</definedName>
    <definedName name="plsearpef" localSheetId="7">{#N/A,#N/A,FALSE,"Plan1";#N/A,#N/A,FALSE,"Plan2"}</definedName>
    <definedName name="plss" localSheetId="7">{#N/A,#N/A,FALSE,"Plan1";#N/A,#N/A,FALSE,"Plan2"}</definedName>
    <definedName name="PN2건축"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reço" localSheetId="7">ROW()-Linha_Cabeçalho</definedName>
    <definedName name="print" localSheetId="7">{#N/A,#N/A,FALSE,"$170M Cash";#N/A,#N/A,FALSE,"$250M Cash";#N/A,#N/A,FALSE,"$325M Cash"}</definedName>
    <definedName name="ptirigyiotut" localSheetId="7">{#N/A,#N/A,FALSE,"Plan1";#N/A,#N/A,FALSE,"Plan2"}</definedName>
    <definedName name="PWER3" localSheetId="7">{#N/A,#N/A,FALSE,"Plan1";#N/A,#N/A,FALSE,"Plan2"}</definedName>
    <definedName name="qkqh1" localSheetId="7">{#N/A,#N/A,FALSE,"명세표"}</definedName>
    <definedName name="QQ"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QSQWSE" localSheetId="7">{#N/A,#N/A,FALSE,"Plan1";#N/A,#N/A,FALSE,"Plan2"}</definedName>
    <definedName name="qwdqw" localSheetId="7">{#N/A,#N/A,FALSE,"Plan1";#N/A,#N/A,FALSE,"Plan2"}</definedName>
    <definedName name="qweqwe" localSheetId="7">{#N/A,#N/A,FALSE,"Plan1";#N/A,#N/A,FALSE,"Plan2"}</definedName>
    <definedName name="qweqwe4"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RADIO" localSheetId="7">{"HW",#N/A,FALSE,"1998"}</definedName>
    <definedName name="RE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resum" localSheetId="7">{"'Ethernet Hubs'!$A$1:$F$14","'Licences'!$A$1:$F$16","'Ports and Converters'!$A$1:$F$46","'Standard Routers'!$A$1:$F$28","'Ports and Converters'!$A$1:$G$46","'Router Chassis'!$A$1:$F$21","'Cables and Connectors'!$A$1:$F$41","'Support, Training and Docs'!$A$1:$F$6","'Management'!$A$1:$F$8"}</definedName>
    <definedName name="RESUMO2" localSheetId="7">{#N/A,#N/A,TRUE,"Quinzena 01 à 15-04-98 "}</definedName>
    <definedName name="RF" localSheetId="7">{#N/A,#N/A,FALSE,"CCTV"}</definedName>
    <definedName name="rgedrfrgfdg" localSheetId="7">{#N/A,#N/A,FALSE,"Plan1";#N/A,#N/A,FALSE,"Plan2"}</definedName>
    <definedName name="rhdrmq"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rrrr" localSheetId="7">{"'장비'!$A$3:$M$12"}</definedName>
    <definedName name="rrrrrrrr" localSheetId="7">{"'장비'!$A$3:$M$12"}</definedName>
    <definedName name="rrrrrrrrrrr" localSheetId="7">{#N/A,#N/A,TRUE,"Quinzena 01 à 15-04-98 "}</definedName>
    <definedName name="RTYE" localSheetId="7">{"'장비'!$A$3:$M$12"}</definedName>
    <definedName name="sa"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aa" localSheetId="7">{#N/A,#N/A,FALSE,"GERAL";#N/A,#N/A,FALSE,"012-96";#N/A,#N/A,FALSE,"018-96";#N/A,#N/A,FALSE,"027-96";#N/A,#N/A,FALSE,"059-96";#N/A,#N/A,FALSE,"076-96";#N/A,#N/A,FALSE,"019-97";#N/A,#N/A,FALSE,"021-97";#N/A,#N/A,FALSE,"022-97";#N/A,#N/A,FALSE,"028-97"}</definedName>
    <definedName name="sad"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adasd" localSheetId="7">{#N/A,#N/A,FALSE,"Plan1";#N/A,#N/A,FALSE,"Plan2"}</definedName>
    <definedName name="sadked"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adkrjkedft" localSheetId="7">{#N/A,#N/A,FALSE,"Plan1";#N/A,#N/A,FALSE,"Plan2"}</definedName>
    <definedName name="SADSRTR" localSheetId="7">{#N/A,#N/A,FALSE,"Plan1";#N/A,#N/A,FALSE,"Plan2"}</definedName>
    <definedName name="sadwde" localSheetId="7">{#N/A,#N/A,FALSE,"Plan1";#N/A,#N/A,FALSE,"Plan2"}</definedName>
    <definedName name="sanjay" localSheetId="7">{#N/A,#N/A,FALSE,"TABLE"}</definedName>
    <definedName name="SAS" localSheetId="7">{#N/A,#N/A,FALSE,"Plan1";#N/A,#N/A,FALSE,"Plan2"}</definedName>
    <definedName name="sasads" localSheetId="7">{#N/A,#N/A,FALSE,"Plan1";#N/A,#N/A,FALSE,"Plan2"}</definedName>
    <definedName name="sdae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DAOTGFR" localSheetId="7">{#N/A,#N/A,FALSE,"Plan1";#N/A,#N/A,FALSE,"Plan2"}</definedName>
    <definedName name="sdckd" localSheetId="7">{#N/A,#N/A,FALSE,"Plan1";#N/A,#N/A,FALSE,"Plan2"}</definedName>
    <definedName name="SDDFKSEDE" localSheetId="7">{#N/A,#N/A,FALSE,"Plan1";#N/A,#N/A,FALSE,"Plan2"}</definedName>
    <definedName name="sddkslker" localSheetId="7">{#N/A,#N/A,FALSE,"Plan1";#N/A,#N/A,FALSE,"Plan2"}</definedName>
    <definedName name="sdefr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derj"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dfd"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dfdds" localSheetId="7">{#N/A,#N/A,FALSE,"Plan1";#N/A,#N/A,FALSE,"Plan2"}</definedName>
    <definedName name="sdfdfc" localSheetId="7">{#N/A,#N/A,FALSE,"Plan1";#N/A,#N/A,FALSE,"Plan2"}</definedName>
    <definedName name="sdfdf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dfdgft" localSheetId="7">{#N/A,#N/A,FALSE,"Plan1";#N/A,#N/A,FALSE,"Plan2"}</definedName>
    <definedName name="sdfdsf" localSheetId="7">{#N/A,#N/A,FALSE,"Plan1";#N/A,#N/A,FALSE,"Plan2"}</definedName>
    <definedName name="sdfdsf\da" localSheetId="7" hidden="1">{#N/A,#N/A,FALSE,"Plan1";#N/A,#N/A,FALSE,"Plan2"}</definedName>
    <definedName name="SDFEDRT" localSheetId="7">{#N/A,#N/A,FALSE,"Plan1";#N/A,#N/A,FALSE,"Plan2"}</definedName>
    <definedName name="sdfer" localSheetId="7">{#N/A,#N/A,FALSE,"Plan1";#N/A,#N/A,FALSE,"Plan2"}</definedName>
    <definedName name="sdferr" localSheetId="7">{#N/A,#N/A,FALSE,"Plan1";#N/A,#N/A,FALSE,"Plan2"}</definedName>
    <definedName name="sdfe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DFGJFSRF" localSheetId="7">{#N/A,#N/A,FALSE,"Plan1";#N/A,#N/A,FALSE,"Plan2"}</definedName>
    <definedName name="sdfgtr" localSheetId="7">{#N/A,#N/A,FALSE,"Plan1";#N/A,#N/A,FALSE,"Plan2"}</definedName>
    <definedName name="sdfjdetrt" localSheetId="7">{#N/A,#N/A,FALSE,"Plan1";#N/A,#N/A,FALSE,"Plan2"}</definedName>
    <definedName name="SDFJDRTJEIDR" localSheetId="7">{#N/A,#N/A,FALSE,"Plan1";#N/A,#N/A,FALSE,"Plan2"}</definedName>
    <definedName name="sdfjergtij" localSheetId="7">{#N/A,#N/A,FALSE,"Plan1";#N/A,#N/A,FALSE,"Plan2"}</definedName>
    <definedName name="SDFOPJKWE" localSheetId="7">{#N/A,#N/A,FALSE,"Plan1";#N/A,#N/A,FALSE,"Plan2"}</definedName>
    <definedName name="sdfrdt5"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dfrt" localSheetId="7">{#N/A,#N/A,FALSE,"Plan1";#N/A,#N/A,FALSE,"Plan2"}</definedName>
    <definedName name="SDFRTKK" localSheetId="7">{#N/A,#N/A,FALSE,"Plan1";#N/A,#N/A,FALSE,"Plan2"}</definedName>
    <definedName name="SDFRTR" localSheetId="7">{#N/A,#N/A,FALSE,"Plan1";#N/A,#N/A,FALSE,"Plan2"}</definedName>
    <definedName name="sdfry6" localSheetId="7">{#N/A,#N/A,FALSE,"Plan1";#N/A,#N/A,FALSE,"Plan2"}</definedName>
    <definedName name="sdfsaf" localSheetId="7">{#N/A,#N/A,FALSE,"Plan1";#N/A,#N/A,FALSE,"Plan2"}</definedName>
    <definedName name="sdfsd" localSheetId="7">{"'Estimativa de Lançamento-JAN'!$A$1:$AI$85"}</definedName>
    <definedName name="sdfsdfg" localSheetId="7">{#N/A,#N/A,FALSE,"Plan1";#N/A,#N/A,FALSE,"Plan2"}</definedName>
    <definedName name="SDFSDFK" localSheetId="7">{#N/A,#N/A,FALSE,"Plan1";#N/A,#N/A,FALSE,"Plan2"}</definedName>
    <definedName name="sdfsdgftret" localSheetId="7">{#N/A,#N/A,FALSE,"Plan1";#N/A,#N/A,FALSE,"Plan2"}</definedName>
    <definedName name="sdfsf" localSheetId="7">{#N/A,#N/A,FALSE,"Plan1";#N/A,#N/A,FALSE,"Plan2"}</definedName>
    <definedName name="SDFSFRT" localSheetId="7">{"Econ Consolidado",#N/A,FALSE,"Econ Consol";"Fluxo de Caixa",#N/A,FALSE,"Fluxo Caixa";"Investimentos",#N/A,FALSE,"Investimentos"}</definedName>
    <definedName name="sdfsr" localSheetId="7">{#N/A,#N/A,FALSE,"Plan1";#N/A,#N/A,FALSE,"Plan2"}</definedName>
    <definedName name="sdfty" localSheetId="7">{#N/A,#N/A,FALSE,"Plan1";#N/A,#N/A,FALSE,"Plan2"}</definedName>
    <definedName name="sdgdf" localSheetId="7">{#N/A,#N/A,FALSE,"Plan1";#N/A,#N/A,FALSE,"Plan2"}</definedName>
    <definedName name="sdgfrt" localSheetId="7">{#N/A,#N/A,FALSE,"Plan1";#N/A,#N/A,FALSE,"Plan2"}</definedName>
    <definedName name="sdgft" localSheetId="7">{#N/A,#N/A,FALSE,"Plan1";#N/A,#N/A,FALSE,"Plan2"}</definedName>
    <definedName name="sdgt" localSheetId="7">{#N/A,#N/A,FALSE,"Plan1";#N/A,#N/A,FALSE,"Plan2"}</definedName>
    <definedName name="sdhfghdsfg" localSheetId="7">{#N/A,#N/A,FALSE,"Plan1";#N/A,#N/A,FALSE,"Plan2"}</definedName>
    <definedName name="SDHFJKHDFJRE" localSheetId="7">{#N/A,#N/A,FALSE,"Plan1";#N/A,#N/A,FALSE,"Plan2"}</definedName>
    <definedName name="SDHKFDRKGTR" localSheetId="7">{#N/A,#N/A,FALSE,"Plan1";#N/A,#N/A,FALSE,"Plan2"}</definedName>
    <definedName name="sdjdswger" localSheetId="7">{#N/A,#N/A,FALSE,"Plan1";#N/A,#N/A,FALSE,"Plan2"}</definedName>
    <definedName name="sdjfdf" localSheetId="7">{#N/A,#N/A,FALSE,"Plan1";#N/A,#N/A,FALSE,"Plan2"}</definedName>
    <definedName name="sdjfhdjk" localSheetId="7">{#N/A,#N/A,FALSE,"Plan1";#N/A,#N/A,FALSE,"Plan2"}</definedName>
    <definedName name="SDJFJDER" localSheetId="7">{#N/A,#N/A,FALSE,"Plan1";#N/A,#N/A,FALSE,"Plan2"}</definedName>
    <definedName name="sdjflsdjfl" localSheetId="7">{#N/A,#N/A,FALSE,"Plan1";#N/A,#N/A,FALSE,"Plan2"}</definedName>
    <definedName name="SDJHF" localSheetId="7">{#N/A,#N/A,FALSE,"Plan1";#N/A,#N/A,FALSE,"Plan2"}</definedName>
    <definedName name="sdjrderertrr" localSheetId="7">{#N/A,#N/A,FALSE,"Plan1";#N/A,#N/A,FALSE,"Plan2"}</definedName>
    <definedName name="sdkdjk" localSheetId="7">{#N/A,#N/A,FALSE,"Plan1";#N/A,#N/A,FALSE,"Plan2"}</definedName>
    <definedName name="sdkfjhkdgfhk"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dkfnjd" localSheetId="7">{#N/A,#N/A,FALSE,"Plan1";#N/A,#N/A,FALSE,"Plan2"}</definedName>
    <definedName name="sdkk" localSheetId="7">{#N/A,#N/A,FALSE,"Plan1";#N/A,#N/A,FALSE,"Plan2"}</definedName>
    <definedName name="sdlfsdflj" localSheetId="7">{#N/A,#N/A,FALSE,"Plan1";#N/A,#N/A,FALSE,"Plan2"}</definedName>
    <definedName name="sdmfmdfsgfd" localSheetId="7">{#N/A,#N/A,FALSE,"Plan1";#N/A,#N/A,FALSE,"Plan2"}</definedName>
    <definedName name="sd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drfgt" localSheetId="7">{#N/A,#N/A,FALSE,"Plan1";#N/A,#N/A,FALSE,"Plan2"}</definedName>
    <definedName name="sdsd" localSheetId="7">{#N/A,#N/A,FALSE,"Plan1";#N/A,#N/A,FALSE,"Plan2"}</definedName>
    <definedName name="sdser" localSheetId="7">{#N/A,#N/A,FALSE,"Plan1";#N/A,#N/A,FALSE,"Plan2"}</definedName>
    <definedName name="sdsre" localSheetId="7">{#N/A,#N/A,FALSE,"Plan1";#N/A,#N/A,FALSE,"Plan2"}</definedName>
    <definedName name="sdss" localSheetId="7">{#N/A,#N/A,FALSE,"Plan1";#N/A,#N/A,FALSE,"Plan2"}</definedName>
    <definedName name="sdusi"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DWER" localSheetId="7">{"Econ Consolidado",#N/A,FALSE,"Econ Consol";"Fluxo de Caixa",#N/A,FALSE,"Fluxo Caixa";"Investimentos",#N/A,FALSE,"Investimentos"}</definedName>
    <definedName name="sdxfrt" localSheetId="7">{#N/A,#N/A,FALSE,"Plan1";#N/A,#N/A,FALSE,"Plan2"}</definedName>
    <definedName name="SDZFERF" localSheetId="7">{#N/A,#N/A,FALSE,"Plan1";#N/A,#N/A,FALSE,"Plan2"}</definedName>
    <definedName name="sefret4r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egftru" localSheetId="7">{#N/A,#N/A,FALSE,"Plan1";#N/A,#N/A,FALSE,"Plan2"}</definedName>
    <definedName name="SEREWRSWE" localSheetId="7">{"tabela",#N/A,FALSE,"Tabela";"decoração",#N/A,FALSE,"Decor.";"Informações",#N/A,FALSE,"Inform."}</definedName>
    <definedName name="sf" localSheetId="7">{#N/A,#N/A,FALSE,"Plan1";#N/A,#N/A,FALSE,"Plan2"}</definedName>
    <definedName name="sfcrer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fddfd" localSheetId="7">{#N/A,#N/A,FALSE,"Plan1";#N/A,#N/A,FALSE,"Plan2"}</definedName>
    <definedName name="sfds" localSheetId="7">{#N/A,#N/A,FALSE,"Plan1";#N/A,#N/A,FALSE,"Plan2"}</definedName>
    <definedName name="sfdsd" localSheetId="7">{#N/A,#N/A,FALSE,"Plan1";#N/A,#N/A,FALSE,"Plan2"}</definedName>
    <definedName name="sfrsdrgt" localSheetId="7">{#N/A,#N/A,FALSE,"Plan1";#N/A,#N/A,FALSE,"Plan2"}</definedName>
    <definedName name="SFRT" localSheetId="7">{#N/A,#N/A,FALSE,"Plan1";#N/A,#N/A,FALSE,"Plan2"}</definedName>
    <definedName name="sfsdferf" localSheetId="7">{#N/A,#N/A,FALSE,"Plan1";#N/A,#N/A,FALSE,"Plan2"}</definedName>
    <definedName name="SFSDS" localSheetId="7">{#N/A,#N/A,FALSE,"Plan1";#N/A,#N/A,FALSE,"Plan2"}</definedName>
    <definedName name="sgtghty" localSheetId="7">{#N/A,#N/A,FALSE,"Plan1";#N/A,#N/A,FALSE,"Plan2"}</definedName>
    <definedName name="SH" localSheetId="7">{#N/A,#N/A,FALSE,"GERAL";#N/A,#N/A,FALSE,"012-96";#N/A,#N/A,FALSE,"018-96";#N/A,#N/A,FALSE,"027-96";#N/A,#N/A,FALSE,"059-96";#N/A,#N/A,FALSE,"076-96";#N/A,#N/A,FALSE,"019-97";#N/A,#N/A,FALSE,"021-97";#N/A,#N/A,FALSE,"022-97";#N/A,#N/A,FALSE,"028-97"}</definedName>
    <definedName name="sjawe" localSheetId="7">{#N/A,#N/A,FALSE,"Plan1";#N/A,#N/A,FALSE,"Plan2"}</definedName>
    <definedName name="sjdffd" localSheetId="7">{#N/A,#N/A,FALSE,"Plan1";#N/A,#N/A,FALSE,"Plan2"}</definedName>
    <definedName name="SJDFHDJS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SJDHFHRE" localSheetId="7">{#N/A,#N/A,FALSE,"Plan1";#N/A,#N/A,FALSE,"Plan2"}</definedName>
    <definedName name="SJDKJDE" localSheetId="7">{"Econ Consolidado",#N/A,FALSE,"Econ Consol";"Fluxo de Caixa",#N/A,FALSE,"Fluxo Caixa";"Investimentos",#N/A,FALSE,"Investimentos"}</definedName>
    <definedName name="sjekwjri" localSheetId="7">{#N/A,#N/A,FALSE,"Plan1";#N/A,#N/A,FALSE,"Plan2"}</definedName>
    <definedName name="sjfkdhsfds" localSheetId="7">{#N/A,#N/A,FALSE,"Plan1";#N/A,#N/A,FALSE,"Plan2"}</definedName>
    <definedName name="sjkdljslkrje" localSheetId="7">{#N/A,#N/A,FALSE,"Plan1";#N/A,#N/A,FALSE,"Plan2"}</definedName>
    <definedName name="skadadaszs" localSheetId="7">{#N/A,#N/A,FALSE,"Plan1";#N/A,#N/A,FALSE,"Plan2"}</definedName>
    <definedName name="SKASH" localSheetId="7">{#N/A,#N/A,FALSE,"Plan1";#N/A,#N/A,FALSE,"Plan2"}</definedName>
    <definedName name="skldfrde" localSheetId="7">{#N/A,#N/A,FALSE,"Plan1";#N/A,#N/A,FALSE,"Plan2"}</definedName>
    <definedName name="skosroer" localSheetId="7">{#N/A,#N/A,FALSE,"Plan1";#N/A,#N/A,FALSE,"Plan2"}</definedName>
    <definedName name="sp"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ARE"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QEWWE" localSheetId="7">{#N/A,#N/A,FALSE,"Plan1";#N/A,#N/A,FALSE,"Plan2"}</definedName>
    <definedName name="SRH" localSheetId="7">{#N/A,#N/A,FALSE,"GERAL";#N/A,#N/A,FALSE,"012-96";#N/A,#N/A,FALSE,"018-96";#N/A,#N/A,FALSE,"027-96";#N/A,#N/A,FALSE,"059-96";#N/A,#N/A,FALSE,"076-96";#N/A,#N/A,FALSE,"019-97";#N/A,#N/A,FALSE,"021-97";#N/A,#N/A,FALSE,"022-97";#N/A,#N/A,FALSE,"028-97"}</definedName>
    <definedName name="SRTSRT" localSheetId="7">{#N/A,#N/A,FALSE,"GERAL";#N/A,#N/A,FALSE,"012-96";#N/A,#N/A,FALSE,"018-96";#N/A,#N/A,FALSE,"027-96";#N/A,#N/A,FALSE,"059-96";#N/A,#N/A,FALSE,"076-96";#N/A,#N/A,FALSE,"019-97";#N/A,#N/A,FALSE,"021-97";#N/A,#N/A,FALSE,"022-97";#N/A,#N/A,FALSE,"028-97"}</definedName>
    <definedName name="SRTST" localSheetId="7">{#N/A,#N/A,FALSE,"GERAL";#N/A,#N/A,FALSE,"012-96";#N/A,#N/A,FALSE,"018-96";#N/A,#N/A,FALSE,"027-96";#N/A,#N/A,FALSE,"059-96";#N/A,#N/A,FALSE,"076-96";#N/A,#N/A,FALSE,"019-97";#N/A,#N/A,FALSE,"021-97";#N/A,#N/A,FALSE,"022-97";#N/A,#N/A,FALSE,"028-97"}</definedName>
    <definedName name="tab"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Test" localSheetId="7">{"'Edit'!$A$1:$V$2277"}</definedName>
    <definedName name="TESTANDO" localSheetId="7">{#N/A,#N/A,TRUE,"Quinzena 01 à 15-04-98 "}</definedName>
    <definedName name="teste1" localSheetId="7">{#N/A,#N/A,FALSE,"GERAL";#N/A,#N/A,FALSE,"012-96";#N/A,#N/A,FALSE,"018-96";#N/A,#N/A,FALSE,"027-96";#N/A,#N/A,FALSE,"059-96";#N/A,#N/A,FALSE,"076-96";#N/A,#N/A,FALSE,"019-97";#N/A,#N/A,FALSE,"021-97";#N/A,#N/A,FALSE,"022-97";#N/A,#N/A,FALSE,"028-97"}</definedName>
    <definedName name="thjgsergsr" localSheetId="7">{#N/A,#N/A,FALSE,"Plan1";#N/A,#N/A,FALSE,"Plan2"}</definedName>
    <definedName name="THYJ" localSheetId="7">{#N/A,#N/A,FALSE,"Plan1";#N/A,#N/A,FALSE,"Plan2"}</definedName>
    <definedName name="tihjgih" localSheetId="7">{#N/A,#N/A,FALSE,"Plan1";#N/A,#N/A,FALSE,"Plan2"}</definedName>
    <definedName name="trjyidih" localSheetId="7">{#N/A,#N/A,FALSE,"Plan1";#N/A,#N/A,FALSE,"Plan2"}</definedName>
    <definedName name="tuyedjsksj" localSheetId="7">{#N/A,#N/A,FALSE,"Plan1";#N/A,#N/A,FALSE,"Plan2"}</definedName>
    <definedName name="TYHGFHFHG" localSheetId="7">{#N/A,#N/A,FALSE,"Plan1";#N/A,#N/A,FALSE,"Plan2"}</definedName>
    <definedName name="u" localSheetId="7">{#N/A,#N/A,FALSE,"ET-CAPA";#N/A,#N/A,FALSE,"ET-PAG1";#N/A,#N/A,FALSE,"ET-PAG2";#N/A,#N/A,FALSE,"ET-PAG3";#N/A,#N/A,FALSE,"ET-PAG4";#N/A,#N/A,FALSE,"ET-PAG5"}</definedName>
    <definedName name="udhgfhfg" localSheetId="7">{#N/A,#N/A,FALSE,"Plan1";#N/A,#N/A,FALSE,"Plan2"}</definedName>
    <definedName name="ueiutriuef" localSheetId="7">{#N/A,#N/A,FALSE,"Plan1";#N/A,#N/A,FALSE,"Plan2"}</definedName>
    <definedName name="UHGSDUS" localSheetId="7">{#N/A,#N/A,FALSE,"Plan1";#N/A,#N/A,FALSE,"Plan2"}</definedName>
    <definedName name="UIHWER45R" localSheetId="7">{#N/A,#N/A,FALSE,"Plan1";#N/A,#N/A,FALSE,"Plan2"}</definedName>
    <definedName name="uiosderuiu" localSheetId="7">{#N/A,#N/A,FALSE,"Plan1";#N/A,#N/A,FALSE,"Plan2"}</definedName>
    <definedName name="UIOURET" localSheetId="7">{#N/A,#N/A,FALSE,"Plan1";#N/A,#N/A,FALSE,"Plan2"}</definedName>
    <definedName name="uiwuer" localSheetId="7">{#N/A,#N/A,FALSE,"Plan1";#N/A,#N/A,FALSE,"Plan2"}</definedName>
    <definedName name="UKHDFDSGUDFKD" localSheetId="7">{#N/A,#N/A,FALSE,"Plan1";#N/A,#N/A,FALSE,"Plan2"}</definedName>
    <definedName name="unit" localSheetId="7">{#N/A,#N/A,FALSE,"GERAL";#N/A,#N/A,FALSE,"012-96";#N/A,#N/A,FALSE,"018-96";#N/A,#N/A,FALSE,"027-96";#N/A,#N/A,FALSE,"059-96";#N/A,#N/A,FALSE,"076-96";#N/A,#N/A,FALSE,"019-97";#N/A,#N/A,FALSE,"021-97";#N/A,#N/A,FALSE,"022-97";#N/A,#N/A,FALSE,"028-97"}</definedName>
    <definedName name="UPS"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uryrtyt" localSheetId="7">{#N/A,#N/A,FALSE,"Plan1";#N/A,#N/A,FALSE,"Plan2"}</definedName>
    <definedName name="valve"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vdsgfrhgfr" localSheetId="7">{#N/A,#N/A,FALSE,"Plan1";#N/A,#N/A,FALSE,"Plan2"}</definedName>
    <definedName name="VERIFICAR" localSheetId="7">{#N/A,#N/A,TRUE,"Quinzena 01 à 15-04-98 "}</definedName>
    <definedName name="vfnijfd"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VFV" localSheetId="7">{#N/A,#N/A,FALSE,"Plan1";#N/A,#N/A,FALSE,"Plan2"}</definedName>
    <definedName name="vld_classificacao" localSheetId="7">IF(#REF!="Ativa",OFFSET(INDEX(rng_list_classificacao,MATCH(#REF!,rng_list_classificacao,0)),1,0,COUNTA(rng_list_classificacao)-1),#REF!)</definedName>
    <definedName name="vld_regional" localSheetId="7">OFFSET(INDEX(rng_list_regional,MATCH(#REF!,rng_list_regional,0)),1,0,COUNTA(rng_list_regional)-1)</definedName>
    <definedName name="vld_segmento" localSheetId="7">IF(#REF!="Ativa",OFFSET(INDEX(rng_list_segmento,MATCH(#REF!,rng_list_segmento,0)),1,0,COUNTA(rng_list_segmento)-1),#REF!)</definedName>
    <definedName name="vld_sociedade" localSheetId="7">OFFSET(INDEX(rng_list_sociedade,MATCH(#REF!,rng_list_sociedade,0)),1,0,COUNTA(rng_list_sociedade)-1)</definedName>
    <definedName name="vld_status_empresa" localSheetId="7">OFFSET(INDEX(rng_list_status_empresa,MATCH(#REF!,rng_list_status_empresa,0)),1,0,COUNTA(rng_list_status_empresa)-1)</definedName>
    <definedName name="vld_status_lancamento" localSheetId="7">IF(#REF!="Ativa",OFFSET(INDEX(rng_list_status_lancamento,MATCH(#REF!,rng_list_status_lancamento,0)),1,0,COUNTA(rng_list_status_lancamento)-1),#REF!)</definedName>
    <definedName name="vld_status_projeto" localSheetId="7">IF(#REF!="Ativa",OFFSET(INDEX(rng_list_status_projeto,MATCH(#REF!,rng_list_status_projeto,0)),1,0,COUNTA(rng_list_status_projeto)-1),#REF!)</definedName>
    <definedName name="vld_status_viabilidade" localSheetId="7">OFFSET(INDEX(rng_list_status_viabilidade,MATCH(#REF!,rng_list_status_viabilidade,0)),1,0,COUNTA(rng_list_status_viabilidade)-1)</definedName>
    <definedName name="VSDHFGDFGR" localSheetId="7">{#N/A,#N/A,FALSE,"Plan1";#N/A,#N/A,FALSE,"Plan2"}</definedName>
    <definedName name="vvbb" localSheetId="7">{"tabela",#N/A,FALSE,"Tabela";"decoração",#N/A,FALSE,"Decor.";"Informações",#N/A,FALSE,"Inform."}</definedName>
    <definedName name="vvcbnb" localSheetId="7">{#N/A,#N/A,FALSE,"Plan1";#N/A,#N/A,FALSE,"Plan2"}</definedName>
    <definedName name="vvvvv" localSheetId="7">{"Econ Consolidado",#N/A,FALSE,"Econ Consol";"Fluxo de Caixa",#N/A,FALSE,"Fluxo Caixa";"Investimentos",#N/A,FALSE,"Investimentos"}</definedName>
    <definedName name="vvvvvv" localSheetId="7">{#N/A,#N/A,FALSE,"Plan1";#N/A,#N/A,FALSE,"Plan2"}</definedName>
    <definedName name="vvvvvvvvvvvvvvvvv" localSheetId="7">{"HW",#N/A,FALSE,"1998"}</definedName>
    <definedName name="wadalrdjlaev"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water"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erw4tr" localSheetId="7">{#N/A,#N/A,FALSE,"Plan1";#N/A,#N/A,FALSE,"Plan2"}</definedName>
    <definedName name="wetoedjtkdr" localSheetId="7">{#N/A,#N/A,FALSE,"Plan1";#N/A,#N/A,FALSE,"Plan2"}</definedName>
    <definedName name="WHATS" localSheetId="7">{"'Edit'!$A$1:$V$2277"}</definedName>
    <definedName name="win.VESSEL"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KJHIR" localSheetId="7">{#N/A,#N/A,FALSE,"Plan1";#N/A,#N/A,FALSE,"Plan2"}</definedName>
    <definedName name="WLQ" localSheetId="7">{#N/A,#N/A,FALSE,"명세표"}</definedName>
    <definedName name="WRITE" localSheetId="7">{#N/A,#N/A,FALSE,"CCTV"}</definedName>
    <definedName name="wrn.BM." localSheetId="7">{#N/A,#N/A,FALSE,"CCTV"}</definedName>
    <definedName name="wrn.Brita98.xls." localSheetId="7">{#N/A,#N/A,TRUE,"Quinzena 01 à 15-04-98 "}</definedName>
    <definedName name="wrn.Completo." localSheetId="7">{"EconCons (Econômico - Consolidado)",#N/A,FALSE,"Econômico - Consolidado";"CaixaCons",#N/A,FALSE,"Caixa - Consolidado";"Rio Branco",#N/A,FALSE,"Rio Branco";"Itajaí",#N/A,FALSE,"Itajaí";"Esteio",#N/A,FALSE,"Esteio";"P. Machado",#N/A,FALSE,"P. Machado";"InvestCons (Invest Consolidado)",#N/A,FALSE,"Invest Consolidado"}</definedName>
    <definedName name="wrn.Cons." localSheetId="7">{"EconCons",#N/A,TRUE,"Econômico - Consolidado";"CaixaCons",#N/A,TRUE,"Caixa - Consolidado";"InvestCons",#N/A,TRUE,"Invest Consolidado"}</definedName>
    <definedName name="wrn.Consolidado." localSheetId="7">{"Econ Consolidado",#N/A,FALSE,"Econ Consol";"Fluxo de Caixa",#N/A,FALSE,"Fluxo Caixa";"Investimentos",#N/A,FALSE,"Investimentos"}</definedName>
    <definedName name="wrn.GERAL." localSheetId="7">{#N/A,#N/A,FALSE,"ET-CAPA";#N/A,#N/A,FALSE,"ET-PAG1";#N/A,#N/A,FALSE,"ET-PAG2";#N/A,#N/A,FALSE,"ET-PAG3";#N/A,#N/A,FALSE,"ET-PAG4";#N/A,#N/A,FALSE,"ET-PAG5"}</definedName>
    <definedName name="wrn.HAGE." localSheetId="7">{#N/A,#N/A,FALSE,"cdi";#N/A,#N/A,FALSE,"debent";#N/A,#N/A,FALSE,"fdos";#N/A,#N/A,FALSE,"resumo"}</definedName>
    <definedName name="wrn.HAGE01" localSheetId="7">{#N/A,#N/A,FALSE,"cdi";#N/A,#N/A,FALSE,"debent";#N/A,#N/A,FALSE,"fdos";#N/A,#N/A,FALSE,"resumo"}</definedName>
    <definedName name="wrn.HW." localSheetId="7">{"HW",#N/A,FALSE,"1998"}</definedName>
    <definedName name="wrn.imp_flx." localSheetId="7">{#N/A,#N/A,FALSE,"CONSOLID";#N/A,#N/A,FALSE,"CIMENTO";#N/A,#N/A,FALSE,"METALURGIA";#N/A,#N/A,FALSE,"PAPEL";#N/A,#N/A,FALSE,"QUÍMICA";#N/A,#N/A,FALSE,"AGROINDL";#N/A,#N/A,FALSE,"OUTROS";#N/A,#N/A,FALSE,"REAL_ORCADO"}</definedName>
    <definedName name="wrn.IMPRESSO." localSheetId="7">{#N/A,#N/A,FALSE,"Plan1";#N/A,#N/A,FALSE,"Plan2"}</definedName>
    <definedName name="wrn.Imprimir." localSheetId="7">{"tabela",#N/A,FALSE,"Tabela";"decoração",#N/A,FALSE,"Decor.";"Informações",#N/A,FALSE,"Inform."}</definedName>
    <definedName name="wrn.LPU._.MG." localSheetId="7">{"MG-2002-F1",#N/A,FALSE,"PPU-Telemig";"MG-2002-F2",#N/A,FALSE,"PPU-Telemig";"MG-2002-F3",#N/A,FALSE,"PPU-Telemig";"MG-2002-F4",#N/A,FALSE,"PPU-Telemig";"MG-2003-F1",#N/A,FALSE,"PPU-Telemig";"MG-2004-F1",#N/A,FALSE,"PPU-Telemig"}</definedName>
    <definedName name="wrn.MGM機器リスト." localSheetId="7">{#N/A,#N/A,TRUE,"表紙";#N/A,#N/A,TRUE,"DMC合成";#N/A,#N/A,TRUE,"DMC回収･精製";#N/A,#N/A,TRUE,"MPC工程";#N/A,#N/A,TRUE,"DPC工程";#N/A,#N/A,TRUE,"ANI工程";#N/A,#N/A,TRUE,"PHOｰ触媒工程";#N/A,#N/A,TRUE,"用役"}</definedName>
    <definedName name="wrn.mode_lev.xls." localSheetId="7">{#N/A,#N/A,FALSE,"ALVENARIA";#N/A,#N/A,FALSE,"BLOCOS";#N/A,#N/A,FALSE,"CINTAS";#N/A,#N/A,FALSE,"CORTINA";#N/A,#N/A,FALSE,"LAJES";#N/A,#N/A,FALSE,"PILARES";#N/A,#N/A,FALSE,"VIGAS"}</definedName>
    <definedName name="wrn.Month._.Report._.Package." localSheetId="7">{#N/A,#N/A,FALSE,"Global Wls Trend";#N/A,#N/A,FALSE,"Region Trend";#N/A,#N/A,FALSE,"PBU Trend"}</definedName>
    <definedName name="wrn.Monthly._.Report._.Package." localSheetId="7">{#N/A,#N/A,FALSE,"Global by BU";#N/A,#N/A,FALSE,"U.S. by BU";#N/A,#N/A,FALSE,"Canada by BU";#N/A,#N/A,FALSE,"Europe by BU";#N/A,#N/A,FALSE,"Asia by BU";#N/A,#N/A,FALSE,"Cala by BU"}</definedName>
    <definedName name="wrn.PENDENCIAS." localSheetId="7">{#N/A,#N/A,FALSE,"GERAL";#N/A,#N/A,FALSE,"012-96";#N/A,#N/A,FALSE,"018-96";#N/A,#N/A,FALSE,"027-96";#N/A,#N/A,FALSE,"059-96";#N/A,#N/A,FALSE,"076-96";#N/A,#N/A,FALSE,"019-97";#N/A,#N/A,FALSE,"021-97";#N/A,#N/A,FALSE,"022-97";#N/A,#N/A,FALSE,"028-97"}</definedName>
    <definedName name="wrn.Planiha._.de._.Medição._.F._.01." localSheetId="7">{#N/A,#N/A,FALSE,"F-01"}</definedName>
    <definedName name="wrn.Planiha._.de._.Medição._.F._.01._1" localSheetId="7">{#N/A,#N/A,FALSE,"F-01"}</definedName>
    <definedName name="wrn.Planilha_de_Medição_F_02" localSheetId="7">{#N/A,#N/A,FALSE,"F-01"}</definedName>
    <definedName name="wrn.print._.all." localSheetId="7">{#N/A,#N/A,FALSE,"$170M Cash";#N/A,#N/A,FALSE,"$250M Cash";#N/A,#N/A,FALSE,"$325M Cash"}</definedName>
    <definedName name="wrn.PrintAll." localSheetId="7">{#N/A,#N/A,FALSE,"Sheet1";#N/A,#N/A,FALSE,"Sheet2";#N/A,#N/A,FALSE,"Sheet3";#N/A,#N/A,FALSE,"Sheet4";#N/A,#N/A,FALSE,"Sheet5";#N/A,#N/A,FALSE,"Sheet6";#N/A,#N/A,FALSE,"Sheet7";#N/A,#N/A,FALSE,"Sheet8";#N/A,#N/A,FALSE,"Sheet9"}</definedName>
    <definedName name="wrn.PrintCurr." localSheetId="7">{#N/A,#N/A,FALSE,"Sheet1";#N/A,#N/A,FALSE,"Sheet2";#N/A,#N/A,FALSE,"Sheet3"}</definedName>
    <definedName name="wrn.PrintPrev1." localSheetId="7">{#N/A,#N/A,FALSE,"Sheet4";#N/A,#N/A,FALSE,"Sheet5";#N/A,#N/A,FALSE,"Sheet6"}</definedName>
    <definedName name="wrn.PrintPrev2." localSheetId="7">{#N/A,#N/A,FALSE,"Sheet7";#N/A,#N/A,FALSE,"Sheet8";#N/A,#N/A,FALSE,"Sheet9"}</definedName>
    <definedName name="wrn.Quadros._.relatório." localSheetId="7">{#N/A,#N/A,FALSE,"QD_F1 Invest Detalhado";#N/A,#N/A,FALSE,"QD_F3 Invest_Comparado";#N/A,#N/A,FALSE,"QD_B Trafego";#N/A,#N/A,FALSE,"QD_D0 Custos Operacionais";#N/A,#N/A,FALSE,"QD_C Receita";#N/A,#N/A,FALSE,"QD_D Custos";#N/A,#N/A,FALSE,"QD_E Resultado";#N/A,#N/A,FALSE,"QD_G Fluxo Caixa"}</definedName>
    <definedName name="wrn.REPORT." localSheetId="7">{#N/A,#N/A,FALSE,"표지";#N/A,#N/A,FALSE,"목차";#N/A,#N/A,FALSE,"내용1";#N/A,#N/A,FALSE,"내용2";#N/A,#N/A,FALSE,"결론";#N/A,#N/A,FALSE,"첨부";#N/A,#N/A,FALSE,"진공도달시간";#N/A,#N/A,FALSE,"배가스속도"}</definedName>
    <definedName name="wrn.STAFFS." localSheetId="7">{#N/A,#N/A,FALSE,"TABLE"}</definedName>
    <definedName name="wrn.TERCEIRO." localSheetId="7">{#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RCEIRO01" localSheetId="7">{#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st1." localSheetId="7">{#N/A,#N/A,FALSE,"명세표"}</definedName>
    <definedName name="wrn.Unidades." localSheetId="7">{"Rio Branco",#N/A,FALSE,"Rio Branco";"Itajaí",#N/A,FALSE,"Itajaí";"Pinheiro Machado",#N/A,FALSE,"PMachado";"Esteio",#N/A,FALSE,"Esteio"}</definedName>
    <definedName name="wrn.VESSEL및N2._.구입사양서."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견적." localSheetId="7">{#N/A,#N/A,FALSE,"Sheet1";#N/A,#N/A,FALSE,"Sheet2";#N/A,#N/A,FALSE,"TAB96-1"}</definedName>
    <definedName name="wrn.보호계전기." localSheetId="7">{#N/A,#N/A,FALSE,"ENG'G(보호계전기)"}</definedName>
    <definedName name="wrn.현장._.NCR._.분석." localSheetId="7">{#N/A,#N/A,FALSE,"현장 NCR 분석";#N/A,#N/A,FALSE,"현장품질감사";#N/A,#N/A,FALSE,"현장품질감사"}</definedName>
    <definedName name="wrn1.Cons." localSheetId="7">{"EconCons",#N/A,TRUE,"Econômico - Consolidado";"CaixaCons",#N/A,TRUE,"Caixa - Consolidado";"InvestCons",#N/A,TRUE,"Invest Consolidado"}</definedName>
    <definedName name="wrn1.print._.all." localSheetId="7">{#N/A,#N/A,FALSE,"$170M Cash";#N/A,#N/A,FALSE,"$250M Cash";#N/A,#N/A,FALSE,"$325M Cash"}</definedName>
    <definedName name="WRS" localSheetId="7">{"'장비'!$A$3:$M$12"}</definedName>
    <definedName name="wrt" localSheetId="7">{#N/A,#N/A,FALSE,"$170M Cash";#N/A,#N/A,FALSE,"$250M Cash";#N/A,#N/A,FALSE,"$325M Cash"}</definedName>
    <definedName name="wvu.PLANILHA2."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ww"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wwwwwwwww" localSheetId="7">{"'Ethernet Hubs'!$A$1:$F$14","'Licences'!$A$1:$F$16","'Ports and Converters'!$A$1:$F$46","'Standard Routers'!$A$1:$F$28","'Ports and Converters'!$A$1:$G$46","'Router Chassis'!$A$1:$F$21","'Cables and Connectors'!$A$1:$F$41","'Support, Training and Docs'!$A$1:$F$6","'Management'!$A$1:$F$8"}</definedName>
    <definedName name="xcfrt" localSheetId="7">{#N/A,#N/A,FALSE,"Plan1";#N/A,#N/A,FALSE,"Plan2"}</definedName>
    <definedName name="xcgjkfghf" localSheetId="7">{#N/A,#N/A,FALSE,"Plan1";#N/A,#N/A,FALSE,"Plan2"}</definedName>
    <definedName name="XCGJKVHFDG" localSheetId="7">{#N/A,#N/A,FALSE,"Plan1";#N/A,#N/A,FALSE,"Plan2"}</definedName>
    <definedName name="xcgtrty"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XCGVR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xçl" localSheetId="7">{#N/A,#N/A,FALSE,"Plan1";#N/A,#N/A,FALSE,"Plan2"}</definedName>
    <definedName name="xcndj" localSheetId="7">{#N/A,#N/A,FALSE,"Plan1";#N/A,#N/A,FALSE,"Plan2"}</definedName>
    <definedName name="XCVGGT" localSheetId="7">{#N/A,#N/A,FALSE,"Plan1";#N/A,#N/A,FALSE,"Plan2"}</definedName>
    <definedName name="xcvrg" localSheetId="7">{#N/A,#N/A,FALSE,"Plan1";#N/A,#N/A,FALSE,"Plan2"}</definedName>
    <definedName name="xdfef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xdgtyhyt" localSheetId="7">{#N/A,#N/A,FALSE,"Plan1";#N/A,#N/A,FALSE,"Plan2"}</definedName>
    <definedName name="xfdlfj" localSheetId="7">{#N/A,#N/A,FALSE,"Plan1";#N/A,#N/A,FALSE,"Plan2"}</definedName>
    <definedName name="xfdxfdf" localSheetId="7">{#N/A,#N/A,FALSE,"Plan1";#N/A,#N/A,FALSE,"Plan2"}</definedName>
    <definedName name="XFJKLDJKLGJ"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xfrty" localSheetId="7">{#N/A,#N/A,FALSE,"Plan1";#N/A,#N/A,FALSE,"Plan2"}</definedName>
    <definedName name="XFT"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xfvchdhhd" localSheetId="7">{"Econ Consolidado",#N/A,FALSE,"Econ Consol";"Fluxo de Caixa",#N/A,FALSE,"Fluxo Caixa";"Investimentos",#N/A,FALSE,"Investimentos"}</definedName>
    <definedName name="xfvgcfgt" localSheetId="7">{#N/A,#N/A,FALSE,"Plan1";#N/A,#N/A,FALSE,"Plan2"}</definedName>
    <definedName name="xgrg" localSheetId="7">{#N/A,#N/A,FALSE,"Plan1";#N/A,#N/A,FALSE,"Plan2"}</definedName>
    <definedName name="xmght" localSheetId="7">{#N/A,#N/A,FALSE,"Plan1";#N/A,#N/A,FALSE,"Plan2"}</definedName>
    <definedName name="xo" localSheetId="7">{#N/A,#N/A,FALSE,"Global by BU";#N/A,#N/A,FALSE,"U.S. by BU";#N/A,#N/A,FALSE,"Canada by BU";#N/A,#N/A,FALSE,"Europe by BU";#N/A,#N/A,FALSE,"Asia by BU";#N/A,#N/A,FALSE,"Cala by BU"}</definedName>
    <definedName name="xxxx"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XXXXX" localSheetId="7">{#N/A,#N/A,FALSE,"GERAL";#N/A,#N/A,FALSE,"012-96";#N/A,#N/A,FALSE,"018-96";#N/A,#N/A,FALSE,"027-96";#N/A,#N/A,FALSE,"059-96";#N/A,#N/A,FALSE,"076-96";#N/A,#N/A,FALSE,"019-97";#N/A,#N/A,FALSE,"021-97";#N/A,#N/A,FALSE,"022-97";#N/A,#N/A,FALSE,"028-97"}</definedName>
    <definedName name="xxxxxxxxxxxxxx" localSheetId="7">{#N/A,#N/A,FALSE,"Plan1";#N/A,#N/A,FALSE,"Plan2"}</definedName>
    <definedName name="xzfrt" localSheetId="7">{#N/A,#N/A,FALSE,"Plan1";#N/A,#N/A,FALSE,"Plan2"}</definedName>
    <definedName name="yeitrtged" localSheetId="7">{#N/A,#N/A,FALSE,"Plan1";#N/A,#N/A,FALSE,"Plan2"}</definedName>
    <definedName name="yhdfiuygrui" localSheetId="7">{#N/A,#N/A,FALSE,"Plan1";#N/A,#N/A,FALSE,"Plan2"}</definedName>
    <definedName name="YRGUYDRIY" localSheetId="7">{"Econ Consolidado",#N/A,FALSE,"Econ Consol";"Fluxo de Caixa",#N/A,FALSE,"Fluxo Caixa";"Investimentos",#N/A,FALSE,"Investimentos"}</definedName>
    <definedName name="yuegursdmksf" localSheetId="7">{#N/A,#N/A,FALSE,"Plan1";#N/A,#N/A,FALSE,"Plan2"}</definedName>
    <definedName name="yuekl4fr" localSheetId="7">{#N/A,#N/A,FALSE,"Plan1";#N/A,#N/A,FALSE,"Plan2"}</definedName>
    <definedName name="yureytuyrea" localSheetId="7">{#N/A,#N/A,FALSE,"Plan1";#N/A,#N/A,FALSE,"Plan2"}</definedName>
    <definedName name="z" localSheetId="7">{"'Estimativa de Lançamento-JAN'!$A$1:$AI$85"}</definedName>
    <definedName name="z\djs" localSheetId="7" hidden="1">{TRUE,TRUE,-1.25,-15.5,604.5,366.75,FALSE,FALSE,TRUE,TRUE,0,1,#N/A,1,#N/A,9.0125,24.4117647058824,1,FALSE,FALSE,3,TRUE,1,FALSE,100,"Swvu.PLANILHA2.","ACwvu.PLANILHA2.",#N/A,FALSE,FALSE,0.787401575,0.34,0.46,0.5,1,"","",FALSE,FALSE,FALSE,FALSE,1,#N/A,1,1,FALSE,FALSE,#N/A,#N/A,FALSE,FALSE,FALSE,9,65532,65532,FALSE,FALSE,TRUE,TRUE,TRUE}</definedName>
    <definedName name="zcdçskld" localSheetId="7">{#N/A,#N/A,FALSE,"Plan1";#N/A,#N/A,FALSE,"Plan2"}</definedName>
    <definedName name="zcsdrfrt" localSheetId="7">{#N/A,#N/A,FALSE,"Plan1";#N/A,#N/A,FALSE,"Plan2"}</definedName>
    <definedName name="ZDRE" localSheetId="7">{#N/A,#N/A,FALSE,"Plan1";#N/A,#N/A,FALSE,"Plan2"}</definedName>
    <definedName name="ZSADF" localSheetId="7">{#N/A,#N/A,FALSE,"Plan1";#N/A,#N/A,FALSE,"Plan2"}</definedName>
    <definedName name="zsads" localSheetId="7">{#N/A,#N/A,FALSE,"Plan1";#N/A,#N/A,FALSE,"Plan2"}</definedName>
    <definedName name="zsds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zsdwer"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zxccdf" localSheetId="7">{#N/A,#N/A,FALSE,"Plan1";#N/A,#N/A,FALSE,"Plan2"}</definedName>
    <definedName name="zxcfdstrrt" localSheetId="7">{#N/A,#N/A,FALSE,"Plan1";#N/A,#N/A,FALSE,"Plan2"}</definedName>
    <definedName name="zxcx" localSheetId="7">{#N/A,#N/A,FALSE,"Plan1";#N/A,#N/A,FALSE,"Plan2"}</definedName>
    <definedName name="ZXFCRF" localSheetId="7">{TRUE,TRUE,-1.25,-15.5,604.5,366.75,FALSE,FALSE,TRUE,TRUE,0,1,#N/A,1,#N/A,9.0125,24.4117647058824,1,FALSE,FALSE,3,TRUE,1,FALSE,100,"Swvu.PLANILHA2.","ACwvu.PLANILHA2.",#N/A,FALSE,FALSE,0.787401575,0.34,0.46,0.5,1,"","",FALSE,FALSE,FALSE,FALSE,1,#N/A,1,1,FALSE,FALSE,#N/A,#N/A,FALSE,FALSE,FALSE,9,65532,65532,FALSE,FALSE,TRUE,TRUE,TRUE}</definedName>
    <definedName name="ZXFHDFRHDF" localSheetId="7">{#N/A,#N/A,FALSE,"Plan1";#N/A,#N/A,FALSE,"Plan2"}</definedName>
    <definedName name="zzdftr" localSheetId="7">{#N/A,#N/A,FALSE,"Plan1";#N/A,#N/A,FALSE,"Plan2"}</definedName>
    <definedName name="ㄱ"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ㄱㄷㄱㄱㅎㄺㄷ" localSheetId="7">{"'장비'!$A$3:$M$12"}</definedName>
    <definedName name="검증"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가"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고문" localSheetId="7">{#N/A,#N/A,FALSE,"현장 NCR 분석";#N/A,#N/A,FALSE,"현장품질감사";#N/A,#N/A,FALSE,"현장품질감사"}</definedName>
    <definedName name="고문2" localSheetId="7">{#N/A,#N/A,FALSE,"현장 NCR 분석";#N/A,#N/A,FALSE,"현장품질감사";#N/A,#N/A,FALSE,"현장품질감사"}</definedName>
    <definedName name="공공공표"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구분표_수정" localSheetId="7">{#N/A,#N/A,FALSE,"ENG'G(보호계전기)"}</definedName>
    <definedName name="공급표표"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진도율적용"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표"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양1소결합리화"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름"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분2"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3"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3"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두성"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내역" localSheetId="7">{#N/A,#N/A,FALSE,"CCTV"}</definedName>
    <definedName name="ㄷㄳ" localSheetId="7">{"'장비'!$A$3:$M$12"}</definedName>
    <definedName name="ㄷㄷㄷㄷ" localSheetId="7">{"'장비'!$A$3:$M$12"}</definedName>
    <definedName name="ㄷㅈㅂㄷ" localSheetId="7">{"'장비'!$A$3:$M$12"}</definedName>
    <definedName name="ㄹㄹ" localSheetId="7">{"'장비'!$A$3:$M$12"}</definedName>
    <definedName name="랄"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러러" localSheetId="7">{#N/A,#N/A,FALSE,"현장 NCR 분석";#N/A,#N/A,FALSE,"현장품질감사";#N/A,#N/A,FALSE,"현장품질감사"}</definedName>
    <definedName name="ㅁ" localSheetId="7">{#N/A,#N/A,FALSE,"명세표"}</definedName>
    <definedName name="ㅁㄴ"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ㄹ"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ㄻㄴㅇㄻㄴㅇ"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ㅁ"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ㅁ" localSheetId="7">{#N/A,#N/A,FALSE,"명세표"}</definedName>
    <definedName name="ㅁㅁㅁㅁㅁㅁㅁㅁㅁㅁㅁㅁ"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ㅇㄻㄴ"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머" localSheetId="7">{#N/A,#N/A,FALSE,"명세표"}</definedName>
    <definedName name="ㅂㅂㅂㅂ" localSheetId="7">{#N/A,#N/A,FALSE,"명세표"}</definedName>
    <definedName name="ㅂㅂㅂㅂㅂㅂㅂ"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ㅈㄱㅂㅈㄷㄱ" localSheetId="7">{"'장비'!$A$3:$M$12"}</definedName>
    <definedName name="ㅂㅈㄷ" localSheetId="7">{"'장비'!$A$3:$M$12"}</definedName>
    <definedName name="ㅂㅈㄷㄷㅂㅈㅈㅂ" localSheetId="7">{"'장비'!$A$3:$M$12"}</definedName>
    <definedName name="ㅂㅈㄷㅂㅈ" localSheetId="7">{"'장비'!$A$3:$M$12"}</definedName>
    <definedName name="ㅂㅈㄷㅂㅈㅈㅂㄷ" localSheetId="7">{"'장비'!$A$3:$M$12"}</definedName>
    <definedName name="ㅂㅈㄷㅈㅂㄷ" localSheetId="7">{"'장비'!$A$3:$M$12"}</definedName>
    <definedName name="보"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보호" localSheetId="7">{#N/A,#N/A,FALSE,"ENG'G(보호계전기)"}</definedName>
    <definedName name="본공사공정표"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부손익" localSheetId="7">{#N/A,#N/A,FALSE,"현장 NCR 분석";#N/A,#N/A,FALSE,"현장품질감사";#N/A,#N/A,FALSE,"현장품질감사"}</definedName>
    <definedName name="분야"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ㅅㄱㄱㄷ" localSheetId="7">{"'장비'!$A$3:$M$12"}</definedName>
    <definedName name="ㅅㅅㅅㅅㅅ" localSheetId="7">{"'장비'!$A$3:$M$12"}</definedName>
    <definedName name="사업"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관리"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새안" localSheetId="7">{#N/A,#N/A,FALSE,"TABLE"}</definedName>
    <definedName name="석항" localSheetId="7">{#N/A,#N/A,FALSE,"명세표"}</definedName>
    <definedName name="설계현황"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쇼ㅗㅎ로" localSheetId="7">{"'장비'!$A$3:$M$12"}</definedName>
    <definedName name="신설" localSheetId="7">{#N/A,#N/A,FALSE,"명세표"}</definedName>
    <definedName name="ㅇㅇ"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변경123"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적용"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구조건참조"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이"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이"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ㅈ" localSheetId="7">{#N/A,#N/A,FALSE,"명세표"}</definedName>
    <definedName name="ㅈㅈㅈㅈ" localSheetId="7">{#N/A,#N/A,FALSE,"명세표"}</definedName>
    <definedName name="자미" localSheetId="7">{#N/A,#N/A,FALSE,"명세표"}</definedName>
    <definedName name="자재3"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사양_SAMPLE"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상세공정"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1"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설계현황"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중량비교검토" localSheetId="7">{#N/A,#N/A,FALSE,"ENG'G(보호계전기)"}</definedName>
    <definedName name="집계" localSheetId="7">{#N/A,#N/A,FALSE,"명세표"}</definedName>
    <definedName name="철골공정"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2"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ㅋㅁ" localSheetId="7">{#N/A,#N/A,FALSE,"명세표"}</definedName>
    <definedName name="ㅋㅋㅋ" localSheetId="7">{#N/A,#N/A,FALSE,"명세표"}</definedName>
    <definedName name="ㅌㅌ" localSheetId="7">{#N/A,#N/A,FALSE,"명세표"}</definedName>
    <definedName name="토"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토목"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ㅎㅎ" localSheetId="7">{"'장비'!$A$3:$M$12"}</definedName>
    <definedName name="하하하" localSheetId="7">{#N/A,#N/A,FALSE,"명세표"}</definedName>
    <definedName name="한국"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장계기류"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1"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호호호" localSheetId="7">{#N/A,#N/A,FALSE,"명세표"}</definedName>
    <definedName name="ㅏㅏㅏ" localSheetId="7">{#N/A,#N/A,FALSE,"명세표"}</definedName>
    <definedName name="ㅔㅔ" localSheetId="7">{#N/A,#N/A,FALSE,"명세표"}</definedName>
    <definedName name="ㅔㅔㅔㅔㅔ"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홓ㅎ로" localSheetId="7">{"'장비'!$A$3:$M$12"}</definedName>
    <definedName name="ㅗㅗ" localSheetId="7">{#N/A,#N/A,FALSE,"명세표"}</definedName>
    <definedName name="ㅗㅗㅗㅗㅗ" localSheetId="7">{"'장비'!$A$3:$M$12"}</definedName>
    <definedName name="ㅛ" localSheetId="7">{"'장비'!$A$3:$M$12"}</definedName>
    <definedName name="ㅛㅕㅛㅕㅛ"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ㅛㅛㅛ" localSheetId="7">{"'장비'!$A$3:$M$12"}</definedName>
    <definedName name="ㅜ" localSheetId="7">{#N/A,#N/A,FALSE,"명세표"}</definedName>
    <definedName name="ㅠㅠ" localSheetId="7">{#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ㅡㅡ" localSheetId="7">{#N/A,#N/A,FALSE,"명세표"}</definedName>
    <definedName name="\xasd" localSheetId="8" hidden="1">{#N/A,#N/A,FALSE,"Plan1";#N/A,#N/A,FALSE,"Plan2"}</definedName>
    <definedName name="_\xasd" localSheetId="8" hidden="1">{#N/A,#N/A,FALSE,"Plan1";#N/A,#N/A,FALSE,"Plan2"}</definedName>
    <definedName name="________________r1" localSheetId="8" hidden="1">{#N/A,#N/A,FALSE,"GERAL";#N/A,#N/A,FALSE,"012-96";#N/A,#N/A,FALSE,"018-96";#N/A,#N/A,FALSE,"027-96";#N/A,#N/A,FALSE,"059-96";#N/A,#N/A,FALSE,"076-96";#N/A,#N/A,FALSE,"019-97";#N/A,#N/A,FALSE,"021-97";#N/A,#N/A,FALSE,"022-97";#N/A,#N/A,FALSE,"028-97"}</definedName>
    <definedName name="______________r1" localSheetId="8" hidden="1">{#N/A,#N/A,FALSE,"GERAL";#N/A,#N/A,FALSE,"012-96";#N/A,#N/A,FALSE,"018-96";#N/A,#N/A,FALSE,"027-96";#N/A,#N/A,FALSE,"059-96";#N/A,#N/A,FALSE,"076-96";#N/A,#N/A,FALSE,"019-97";#N/A,#N/A,FALSE,"021-97";#N/A,#N/A,FALSE,"022-97";#N/A,#N/A,FALSE,"028-97"}</definedName>
    <definedName name="_____________r1" localSheetId="8" hidden="1">{#N/A,#N/A,FALSE,"GERAL";#N/A,#N/A,FALSE,"012-96";#N/A,#N/A,FALSE,"018-96";#N/A,#N/A,FALSE,"027-96";#N/A,#N/A,FALSE,"059-96";#N/A,#N/A,FALSE,"076-96";#N/A,#N/A,FALSE,"019-97";#N/A,#N/A,FALSE,"021-97";#N/A,#N/A,FALSE,"022-97";#N/A,#N/A,FALSE,"028-97"}</definedName>
    <definedName name="____________r1" localSheetId="8" hidden="1">{#N/A,#N/A,FALSE,"GERAL";#N/A,#N/A,FALSE,"012-96";#N/A,#N/A,FALSE,"018-96";#N/A,#N/A,FALSE,"027-96";#N/A,#N/A,FALSE,"059-96";#N/A,#N/A,FALSE,"076-96";#N/A,#N/A,FALSE,"019-97";#N/A,#N/A,FALSE,"021-97";#N/A,#N/A,FALSE,"022-97";#N/A,#N/A,FALSE,"028-97"}</definedName>
    <definedName name="___________r1" localSheetId="8" hidden="1">{#N/A,#N/A,FALSE,"GERAL";#N/A,#N/A,FALSE,"012-96";#N/A,#N/A,FALSE,"018-96";#N/A,#N/A,FALSE,"027-96";#N/A,#N/A,FALSE,"059-96";#N/A,#N/A,FALSE,"076-96";#N/A,#N/A,FALSE,"019-97";#N/A,#N/A,FALSE,"021-97";#N/A,#N/A,FALSE,"022-97";#N/A,#N/A,FALSE,"028-97"}</definedName>
    <definedName name="_________r1" localSheetId="8" hidden="1">{#N/A,#N/A,FALSE,"GERAL";#N/A,#N/A,FALSE,"012-96";#N/A,#N/A,FALSE,"018-96";#N/A,#N/A,FALSE,"027-96";#N/A,#N/A,FALSE,"059-96";#N/A,#N/A,FALSE,"076-96";#N/A,#N/A,FALSE,"019-97";#N/A,#N/A,FALSE,"021-97";#N/A,#N/A,FALSE,"022-97";#N/A,#N/A,FALSE,"028-97"}</definedName>
    <definedName name="________r1" localSheetId="8" hidden="1">{#N/A,#N/A,FALSE,"GERAL";#N/A,#N/A,FALSE,"012-96";#N/A,#N/A,FALSE,"018-96";#N/A,#N/A,FALSE,"027-96";#N/A,#N/A,FALSE,"059-96";#N/A,#N/A,FALSE,"076-96";#N/A,#N/A,FALSE,"019-97";#N/A,#N/A,FALSE,"021-97";#N/A,#N/A,FALSE,"022-97";#N/A,#N/A,FALSE,"028-97"}</definedName>
    <definedName name="_______r1" localSheetId="8" hidden="1">{#N/A,#N/A,FALSE,"GERAL";#N/A,#N/A,FALSE,"012-96";#N/A,#N/A,FALSE,"018-96";#N/A,#N/A,FALSE,"027-96";#N/A,#N/A,FALSE,"059-96";#N/A,#N/A,FALSE,"076-96";#N/A,#N/A,FALSE,"019-97";#N/A,#N/A,FALSE,"021-97";#N/A,#N/A,FALSE,"022-97";#N/A,#N/A,FALSE,"028-97"}</definedName>
    <definedName name="______r1" localSheetId="8" hidden="1">{#N/A,#N/A,FALSE,"GERAL";#N/A,#N/A,FALSE,"012-96";#N/A,#N/A,FALSE,"018-96";#N/A,#N/A,FALSE,"027-96";#N/A,#N/A,FALSE,"059-96";#N/A,#N/A,FALSE,"076-96";#N/A,#N/A,FALSE,"019-97";#N/A,#N/A,FALSE,"021-97";#N/A,#N/A,FALSE,"022-97";#N/A,#N/A,FALSE,"028-97"}</definedName>
    <definedName name="_____r1" localSheetId="8" hidden="1">{#N/A,#N/A,FALSE,"GERAL";#N/A,#N/A,FALSE,"012-96";#N/A,#N/A,FALSE,"018-96";#N/A,#N/A,FALSE,"027-96";#N/A,#N/A,FALSE,"059-96";#N/A,#N/A,FALSE,"076-96";#N/A,#N/A,FALSE,"019-97";#N/A,#N/A,FALSE,"021-97";#N/A,#N/A,FALSE,"022-97";#N/A,#N/A,FALSE,"028-97"}</definedName>
    <definedName name="____PK2" localSheetId="8" hidden="1">{"'장비'!$A$3:$M$12"}</definedName>
    <definedName name="____PKG3" localSheetId="8" hidden="1">{"'장비'!$A$3:$M$12"}</definedName>
    <definedName name="____qqq222" localSheetId="8" hidden="1">{"'장비'!$A$3:$M$12"}</definedName>
    <definedName name="____r1" localSheetId="8" hidden="1">{#N/A,#N/A,FALSE,"GERAL";#N/A,#N/A,FALSE,"012-96";#N/A,#N/A,FALSE,"018-96";#N/A,#N/A,FALSE,"027-96";#N/A,#N/A,FALSE,"059-96";#N/A,#N/A,FALSE,"076-96";#N/A,#N/A,FALSE,"019-97";#N/A,#N/A,FALSE,"021-97";#N/A,#N/A,FALSE,"022-97";#N/A,#N/A,FALSE,"028-97"}</definedName>
    <definedName name="___CO2"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ECS1"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PK2" localSheetId="8" hidden="1">{"'장비'!$A$3:$M$12"}</definedName>
    <definedName name="___PKG3" localSheetId="8" hidden="1">{"'장비'!$A$3:$M$12"}</definedName>
    <definedName name="___qqq222" localSheetId="8" hidden="1">{"'장비'!$A$3:$M$12"}</definedName>
    <definedName name="___r1" localSheetId="8" hidden="1">{#N/A,#N/A,FALSE,"GERAL";#N/A,#N/A,FALSE,"012-96";#N/A,#N/A,FALSE,"018-96";#N/A,#N/A,FALSE,"027-96";#N/A,#N/A,FALSE,"059-96";#N/A,#N/A,FALSE,"076-96";#N/A,#N/A,FALSE,"019-97";#N/A,#N/A,FALSE,"021-97";#N/A,#N/A,FALSE,"022-97";#N/A,#N/A,FALSE,"028-97"}</definedName>
    <definedName name="__CO2"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CS1"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PK2" localSheetId="8" hidden="1">{"'장비'!$A$3:$M$12"}</definedName>
    <definedName name="__PKG3" localSheetId="8" hidden="1">{"'장비'!$A$3:$M$12"}</definedName>
    <definedName name="__qqq222" localSheetId="8" hidden="1">{"'장비'!$A$3:$M$12"}</definedName>
    <definedName name="__r1" localSheetId="8" hidden="1">{#N/A,#N/A,FALSE,"GERAL";#N/A,#N/A,FALSE,"012-96";#N/A,#N/A,FALSE,"018-96";#N/A,#N/A,FALSE,"027-96";#N/A,#N/A,FALSE,"059-96";#N/A,#N/A,FALSE,"076-96";#N/A,#N/A,FALSE,"019-97";#N/A,#N/A,FALSE,"021-97";#N/A,#N/A,FALSE,"022-97";#N/A,#N/A,FALSE,"028-97"}</definedName>
    <definedName name="__r2" localSheetId="8" hidden="1">{#N/A,#N/A,FALSE,"GERAL";#N/A,#N/A,FALSE,"012-96";#N/A,#N/A,FALSE,"018-96";#N/A,#N/A,FALSE,"027-96";#N/A,#N/A,FALSE,"059-96";#N/A,#N/A,FALSE,"076-96";#N/A,#N/A,FALSE,"019-97";#N/A,#N/A,FALSE,"021-97";#N/A,#N/A,FALSE,"022-97";#N/A,#N/A,FALSE,"028-97"}</definedName>
    <definedName name="_CO2"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ECS1"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IA0542" localSheetId="8" hidden="1">{#N/A,#N/A,FALSE,"Plan1";#N/A,#N/A,FALSE,"Plan2"}</definedName>
    <definedName name="_new11" localSheetId="8" hidden="1">{#N/A,#N/A,FALSE,"Global by BU";#N/A,#N/A,FALSE,"U.S. by BU";#N/A,#N/A,FALSE,"Canada by BU";#N/A,#N/A,FALSE,"Europe by BU";#N/A,#N/A,FALSE,"Asia by BU";#N/A,#N/A,FALSE,"Cala by BU"}</definedName>
    <definedName name="_PK2" localSheetId="8" hidden="1">{"'장비'!$A$3:$M$12"}</definedName>
    <definedName name="_PKG3" localSheetId="8" hidden="1">{"'장비'!$A$3:$M$12"}</definedName>
    <definedName name="_qqq222" localSheetId="8" hidden="1">{"'장비'!$A$3:$M$12"}</definedName>
    <definedName name="_r1" localSheetId="8" hidden="1">{#N/A,#N/A,FALSE,"GERAL";#N/A,#N/A,FALSE,"012-96";#N/A,#N/A,FALSE,"018-96";#N/A,#N/A,FALSE,"027-96";#N/A,#N/A,FALSE,"059-96";#N/A,#N/A,FALSE,"076-96";#N/A,#N/A,FALSE,"019-97";#N/A,#N/A,FALSE,"021-97";#N/A,#N/A,FALSE,"022-97";#N/A,#N/A,FALSE,"028-97"}</definedName>
    <definedName name="_R2" localSheetId="8" hidden="1">{#N/A,#N/A,FALSE,"GERAL";#N/A,#N/A,FALSE,"012-96";#N/A,#N/A,FALSE,"018-96";#N/A,#N/A,FALSE,"027-96";#N/A,#N/A,FALSE,"059-96";#N/A,#N/A,FALSE,"076-96";#N/A,#N/A,FALSE,"019-97";#N/A,#N/A,FALSE,"021-97";#N/A,#N/A,FALSE,"022-97";#N/A,#N/A,FALSE,"028-97"}</definedName>
    <definedName name="_sfe5"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_wer3" localSheetId="8" hidden="1">{#N/A,#N/A,FALSE,"Plan1";#N/A,#N/A,FALSE,"Plan2"}</definedName>
    <definedName name="_wrn.pendencias" localSheetId="8" hidden="1">{#N/A,#N/A,FALSE,"GERAL";#N/A,#N/A,FALSE,"012-96";#N/A,#N/A,FALSE,"018-96";#N/A,#N/A,FALSE,"027-96";#N/A,#N/A,FALSE,"059-96";#N/A,#N/A,FALSE,"076-96";#N/A,#N/A,FALSE,"019-97";#N/A,#N/A,FALSE,"021-97";#N/A,#N/A,FALSE,"022-97";#N/A,#N/A,FALSE,"028-97"}</definedName>
    <definedName name="a\sgt" localSheetId="8" hidden="1">{#N/A,#N/A,FALSE,"Plan1";#N/A,#N/A,FALSE,"Plan2"}</definedName>
    <definedName name="AAAA"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aaaaaaaaa"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aaacccc" localSheetId="8" hidden="1">{#N/A,#N/A,FALSE,"Plan1";#N/A,#N/A,FALSE,"Plan2"}</definedName>
    <definedName name="abc"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çoeeer" localSheetId="8" hidden="1">{#N/A,#N/A,FALSE,"Plan1";#N/A,#N/A,FALSE,"Plan2"}</definedName>
    <definedName name="ad" localSheetId="8" hidden="1">{#N/A,#N/A,FALSE,"Plan1";#N/A,#N/A,FALSE,"Plan2"}</definedName>
    <definedName name="adads" localSheetId="8" hidden="1">{#N/A,#N/A,FALSE,"Plan1";#N/A,#N/A,FALSE,"Plan2"}</definedName>
    <definedName name="adads2" localSheetId="8" hidden="1">{#N/A,#N/A,FALSE,"Plan1";#N/A,#N/A,FALSE,"Plan2"}</definedName>
    <definedName name="adced" localSheetId="8" hidden="1">{#N/A,#N/A,FALSE,"Plan1";#N/A,#N/A,FALSE,"Plan2"}</definedName>
    <definedName name="adced2" localSheetId="8" hidden="1">{#N/A,#N/A,FALSE,"Plan1";#N/A,#N/A,FALSE,"Plan2"}</definedName>
    <definedName name="ader" localSheetId="8" hidden="1">{#N/A,#N/A,FALSE,"Plan1";#N/A,#N/A,FALSE,"Plan2"}</definedName>
    <definedName name="ader2" localSheetId="8" hidden="1">{#N/A,#N/A,FALSE,"Plan1";#N/A,#N/A,FALSE,"Plan2"}</definedName>
    <definedName name="adesr" localSheetId="8" hidden="1">{#N/A,#N/A,FALSE,"Plan1";#N/A,#N/A,FALSE,"Plan2"}</definedName>
    <definedName name="adewr" localSheetId="8" hidden="1">{#N/A,#N/A,FALSE,"Plan1";#N/A,#N/A,FALSE,"Plan2"}</definedName>
    <definedName name="adf" localSheetId="8" hidden="1">{#N/A,#N/A,FALSE,"Plan1";#N/A,#N/A,FALSE,"Plan2"}</definedName>
    <definedName name="adsfr" localSheetId="8" hidden="1">{#N/A,#N/A,FALSE,"Plan1";#N/A,#N/A,FALSE,"Plan2"}</definedName>
    <definedName name="adssrgtg" localSheetId="8" hidden="1">{#N/A,#N/A,FALSE,"Plan1";#N/A,#N/A,FALSE,"Plan2"}</definedName>
    <definedName name="adtsetrr6t" localSheetId="8" hidden="1">{#N/A,#N/A,FALSE,"Plan1";#N/A,#N/A,FALSE,"Plan2"}</definedName>
    <definedName name="adwr" localSheetId="8" hidden="1">{#N/A,#N/A,FALSE,"Plan1";#N/A,#N/A,FALSE,"Plan2"}</definedName>
    <definedName name="aeiresft" localSheetId="8" hidden="1">{#N/A,#N/A,FALSE,"Plan1";#N/A,#N/A,FALSE,"Plan2"}</definedName>
    <definedName name="aEL3QE" localSheetId="8" hidden="1">{#N/A,#N/A,FALSE,"Plan1";#N/A,#N/A,FALSE,"Plan2"}</definedName>
    <definedName name="afeasfre" localSheetId="8" hidden="1">{#N/A,#N/A,FALSE,"Plan1";#N/A,#N/A,FALSE,"Plan2"}</definedName>
    <definedName name="agua" localSheetId="8" hidden="1">{#N/A,#N/A,FALSE,"GERAL";#N/A,#N/A,FALSE,"012-96";#N/A,#N/A,FALSE,"018-96";#N/A,#N/A,FALSE,"027-96";#N/A,#N/A,FALSE,"059-96";#N/A,#N/A,FALSE,"076-96";#N/A,#N/A,FALSE,"019-97";#N/A,#N/A,FALSE,"021-97";#N/A,#N/A,FALSE,"022-97";#N/A,#N/A,FALSE,"028-97"}</definedName>
    <definedName name="AH" localSheetId="8" hidden="1">{#N/A,#N/A,FALSE,"CCTV"}</definedName>
    <definedName name="angelo" localSheetId="8">#REF!</definedName>
    <definedName name="AQE" localSheetId="8" hidden="1">{"'장비'!$A$3:$M$12"}</definedName>
    <definedName name="ArComprimido" localSheetId="8" hidden="1">{"'Estimativa de Lançamento-JAN'!$A$1:$AI$85"}</definedName>
    <definedName name="area" localSheetId="8" hidden="1">{#N/A,#N/A,FALSE,"Plan1";#N/A,#N/A,FALSE,"Plan2"}</definedName>
    <definedName name="asawe3" localSheetId="8" hidden="1">{#N/A,#N/A,FALSE,"Plan1";#N/A,#N/A,FALSE,"Plan2"}</definedName>
    <definedName name="ASDA" localSheetId="8" hidden="1">{#N/A,#N/A,FALSE,"Plan1";#N/A,#N/A,FALSE,"Plan2"}</definedName>
    <definedName name="asdade" localSheetId="8" hidden="1">{#N/A,#N/A,FALSE,"Plan1";#N/A,#N/A,FALSE,"Plan2"}</definedName>
    <definedName name="asdas" localSheetId="8" hidden="1">{#N/A,#N/A,FALSE,"Plan1";#N/A,#N/A,FALSE,"Plan2"}</definedName>
    <definedName name="asdawed" localSheetId="8" hidden="1">{#N/A,#N/A,FALSE,"Plan1";#N/A,#N/A,FALSE,"Plan2"}</definedName>
    <definedName name="ASDER" localSheetId="8" hidden="1">{#N/A,#N/A,FALSE,"Plan1";#N/A,#N/A,FALSE,"Plan2"}</definedName>
    <definedName name="asderr" localSheetId="8" hidden="1">{#N/A,#N/A,FALSE,"Plan1";#N/A,#N/A,FALSE,"Plan2"}</definedName>
    <definedName name="asdesre" localSheetId="8" hidden="1">{#N/A,#N/A,FALSE,"Plan1";#N/A,#N/A,FALSE,"Plan2"}</definedName>
    <definedName name="asdewr" localSheetId="8" hidden="1">{#N/A,#N/A,FALSE,"Plan1";#N/A,#N/A,FALSE,"Plan2"}</definedName>
    <definedName name="ASDFASDFA"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ASDFADF"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rrt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asdfs" localSheetId="8" hidden="1">{#N/A,#N/A,FALSE,"Plan1";#N/A,#N/A,FALSE,"Plan2"}</definedName>
    <definedName name="asdg" localSheetId="8" hidden="1">{#N/A,#N/A,FALSE,"Plan1";#N/A,#N/A,FALSE,"Plan2"}</definedName>
    <definedName name="asdked"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asdlas" localSheetId="8" hidden="1">{#N/A,#N/A,FALSE,"Plan1";#N/A,#N/A,FALSE,"Plan2"}</definedName>
    <definedName name="asdqwe" localSheetId="8" hidden="1">{#N/A,#N/A,FALSE,"Plan1";#N/A,#N/A,FALSE,"Plan2"}</definedName>
    <definedName name="asdsa" localSheetId="8" hidden="1">{#N/A,#N/A,FALSE,"Plan1";#N/A,#N/A,FALSE,"Plan2"}</definedName>
    <definedName name="asdser" localSheetId="8" hidden="1">{#N/A,#N/A,FALSE,"Plan1";#N/A,#N/A,FALSE,"Plan2"}</definedName>
    <definedName name="asdwef" localSheetId="8" hidden="1">{#N/A,#N/A,FALSE,"Plan1";#N/A,#N/A,FALSE,"Plan2"}</definedName>
    <definedName name="ASET" localSheetId="8" hidden="1">{#N/A,#N/A,FALSE,"Plan1";#N/A,#N/A,FALSE,"Plan2"}</definedName>
    <definedName name="asfDSF" localSheetId="8" hidden="1">{#N/A,#N/A,FALSE,"Plan1";#N/A,#N/A,FALSE,"Plan2"}</definedName>
    <definedName name="ASFERTE" localSheetId="8" hidden="1">{#N/A,#N/A,FALSE,"Plan1";#N/A,#N/A,FALSE,"Plan2"}</definedName>
    <definedName name="asfl" localSheetId="8" hidden="1">{#N/A,#N/A,FALSE,"Plan1";#N/A,#N/A,FALSE,"Plan2"}</definedName>
    <definedName name="asfsz" localSheetId="8" hidden="1">{#N/A,#N/A,FALSE,"Plan1";#N/A,#N/A,FALSE,"Plan2"}</definedName>
    <definedName name="askserf" localSheetId="8" hidden="1">{#N/A,#N/A,FALSE,"Plan1";#N/A,#N/A,FALSE,"Plan2"}</definedName>
    <definedName name="ASSFSDF" localSheetId="8" hidden="1">{#N/A,#N/A,FALSE,"Plan1";#N/A,#N/A,FALSE,"Plan2"}</definedName>
    <definedName name="asw" localSheetId="8" hidden="1">{#N/A,#N/A,FALSE,"Plan1";#N/A,#N/A,FALSE,"Plan2"}</definedName>
    <definedName name="ATIVOS" localSheetId="8" hidden="1">{#N/A,#N/A,FALSE,"F-01"}</definedName>
    <definedName name="awdjw" localSheetId="8" hidden="1">{#N/A,#N/A,FALSE,"Plan1";#N/A,#N/A,FALSE,"Plan2"}</definedName>
    <definedName name="aweqw4" localSheetId="8" hidden="1">{#N/A,#N/A,FALSE,"Plan1";#N/A,#N/A,FALSE,"Plan2"}</definedName>
    <definedName name="awssdwaer" localSheetId="8" hidden="1">{#N/A,#N/A,FALSE,"Plan1";#N/A,#N/A,FALSE,"Plan2"}</definedName>
    <definedName name="bbbbbbbbbbbbbbb" localSheetId="8" hidden="1">{"'Edit'!$A$1:$V$2277"}</definedName>
    <definedName name="bdfjghf" localSheetId="8" hidden="1">{#N/A,#N/A,FALSE,"Plan1";#N/A,#N/A,FALSE,"Plan2"}</definedName>
    <definedName name="bdzbfbdr" localSheetId="8" hidden="1">{#N/A,#N/A,FALSE,"Plan1";#N/A,#N/A,FALSE,"Plan2"}</definedName>
    <definedName name="BGG" localSheetId="8" hidden="1">{#N/A,#N/A,FALSE,"Plan1";#N/A,#N/A,FALSE,"Plan2"}</definedName>
    <definedName name="bhjgfhfhg"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BJGO"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BJSDKHFE" localSheetId="8" hidden="1">{#N/A,#N/A,FALSE,"Plan1";#N/A,#N/A,FALSE,"Plan2"}</definedName>
    <definedName name="bmdgghrtfde" localSheetId="8" hidden="1">{#N/A,#N/A,FALSE,"Plan1";#N/A,#N/A,FALSE,"Plan2"}</definedName>
    <definedName name="bnkjhjhdfxgt" localSheetId="8" hidden="1">{#N/A,#N/A,FALSE,"Plan1";#N/A,#N/A,FALSE,"Plan2"}</definedName>
    <definedName name="bxnzfmkzxbhdf" localSheetId="8" hidden="1">{#N/A,#N/A,FALSE,"Plan1";#N/A,#N/A,FALSE,"Plan2"}</definedName>
    <definedName name="caixas" localSheetId="8" hidden="1">{#N/A,#N/A,FALSE,"GERAL";#N/A,#N/A,FALSE,"012-96";#N/A,#N/A,FALSE,"018-96";#N/A,#N/A,FALSE,"027-96";#N/A,#N/A,FALSE,"059-96";#N/A,#N/A,FALSE,"076-96";#N/A,#N/A,FALSE,"019-97";#N/A,#N/A,FALSE,"021-97";#N/A,#N/A,FALSE,"022-97";#N/A,#N/A,FALSE,"028-97"}</definedName>
    <definedName name="çaos\ewapo" localSheetId="8" hidden="1">{#N/A,#N/A,FALSE,"Plan1";#N/A,#N/A,FALSE,"Plan2"}</definedName>
    <definedName name="CAT6_IP" localSheetId="8" hidden="1">{#N/A,#N/A,FALSE,"F-01"}</definedName>
    <definedName name="ççç" localSheetId="8" hidden="1">{#N/A,#N/A,FALSE,"Plan1";#N/A,#N/A,FALSE,"Plan2"}</definedName>
    <definedName name="cccc" localSheetId="8" hidden="1">{#N/A,#N/A,FALSE,"Plan1";#N/A,#N/A,FALSE,"Plan2"}</definedName>
    <definedName name="ççççççç"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cccccccc"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cccccccccccccccc" localSheetId="8" hidden="1">{"HW",#N/A,FALSE,"1998"}</definedName>
    <definedName name="çcklfjk"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çdfmerf" localSheetId="8" hidden="1">{#N/A,#N/A,FALSE,"Plan1";#N/A,#N/A,FALSE,"Plan2"}</definedName>
    <definedName name="CDSGHE" localSheetId="8" hidden="1">{#N/A,#N/A,FALSE,"Plan1";#N/A,#N/A,FALSE,"Plan2"}</definedName>
    <definedName name="çfhjglkjhkljyhj"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çflçf" localSheetId="8" hidden="1">{#N/A,#N/A,FALSE,"Plan1";#N/A,#N/A,FALSE,"Plan2"}</definedName>
    <definedName name="chfch" localSheetId="8" hidden="1">{#N/A,#N/A,FALSE,"Plan1";#N/A,#N/A,FALSE,"Plan2"}</definedName>
    <definedName name="ÇJKRÇLFS" localSheetId="8" hidden="1">{"Econ Consolidado",#N/A,FALSE,"Econ Consol";"Fluxo de Caixa",#N/A,FALSE,"Fluxo Caixa";"Investimentos",#N/A,FALSE,"Investimentos"}</definedName>
    <definedName name="ÇJsrejtçe" localSheetId="8" hidden="1">{#N/A,#N/A,FALSE,"Plan1";#N/A,#N/A,FALSE,"Plan2"}</definedName>
    <definedName name="çkaçekow" localSheetId="8" hidden="1">{#N/A,#N/A,FALSE,"Plan1";#N/A,#N/A,FALSE,"Plan2"}</definedName>
    <definedName name="ÇKSDOEKR" localSheetId="8" hidden="1">{#N/A,#N/A,FALSE,"Plan1";#N/A,#N/A,FALSE,"Plan2"}</definedName>
    <definedName name="çl" localSheetId="8" hidden="1">{#N/A,#N/A,FALSE,"Plan1";#N/A,#N/A,FALSE,"Plan2"}</definedName>
    <definedName name="çlassde" localSheetId="8" hidden="1">{#N/A,#N/A,FALSE,"Plan1";#N/A,#N/A,FALSE,"Plan2"}</definedName>
    <definedName name="çlçlç" localSheetId="8" hidden="1">{#N/A,#N/A,FALSE,"Plan1";#N/A,#N/A,FALSE,"Plan2"}</definedName>
    <definedName name="çld" localSheetId="8" hidden="1">{#N/A,#N/A,FALSE,"Plan1";#N/A,#N/A,FALSE,"Plan2"}</definedName>
    <definedName name="çlererr" localSheetId="8" hidden="1">{#N/A,#N/A,FALSE,"Plan1";#N/A,#N/A,FALSE,"Plan2"}</definedName>
    <definedName name="çlertert" localSheetId="8" hidden="1">{#N/A,#N/A,FALSE,"Plan1";#N/A,#N/A,FALSE,"Plan2"}</definedName>
    <definedName name="çll" localSheetId="8" hidden="1">{#N/A,#N/A,FALSE,"Plan1";#N/A,#N/A,FALSE,"Plan2"}</definedName>
    <definedName name="CMC" localSheetId="8" hidden="1">{#N/A,#N/A,FALSE,"GERAL";#N/A,#N/A,FALSE,"012-96";#N/A,#N/A,FALSE,"018-96";#N/A,#N/A,FALSE,"027-96";#N/A,#N/A,FALSE,"059-96";#N/A,#N/A,FALSE,"076-96";#N/A,#N/A,FALSE,"019-97";#N/A,#N/A,FALSE,"021-97";#N/A,#N/A,FALSE,"022-97";#N/A,#N/A,FALSE,"028-97"}</definedName>
    <definedName name="CONFIRMAR" localSheetId="8" hidden="1">{#N/A,#N/A,TRUE,"Quinzena 01 à 15-04-98 "}</definedName>
    <definedName name="cont" localSheetId="8" hidden="1">{#N/A,#N/A,FALSE,"Plan1";#N/A,#N/A,FALSE,"Plan2"}</definedName>
    <definedName name="Controle_Tecnologico" localSheetId="8">{#N/A,#N/A,FALSE,"Plan1";#N/A,#N/A,FALSE,"Plan2"}</definedName>
    <definedName name="ÇSAÇDFW"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CSE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ÇSLÇDLFKD" localSheetId="8" hidden="1">{#N/A,#N/A,FALSE,"Plan1";#N/A,#N/A,FALSE,"Plan2"}</definedName>
    <definedName name="CTH" localSheetId="8" hidden="1">{#N/A,#N/A,FALSE,"GERAL";#N/A,#N/A,FALSE,"012-96";#N/A,#N/A,FALSE,"018-96";#N/A,#N/A,FALSE,"027-96";#N/A,#N/A,FALSE,"059-96";#N/A,#N/A,FALSE,"076-96";#N/A,#N/A,FALSE,"019-97";#N/A,#N/A,FALSE,"021-97";#N/A,#N/A,FALSE,"022-97";#N/A,#N/A,FALSE,"028-97"}</definedName>
    <definedName name="dalmo" localSheetId="8" hidden="1">{#N/A,#N/A,FALSE,"GERAL";#N/A,#N/A,FALSE,"012-96";#N/A,#N/A,FALSE,"018-96";#N/A,#N/A,FALSE,"027-96";#N/A,#N/A,FALSE,"059-96";#N/A,#N/A,FALSE,"076-96";#N/A,#N/A,FALSE,"019-97";#N/A,#N/A,FALSE,"021-97";#N/A,#N/A,FALSE,"022-97";#N/A,#N/A,FALSE,"028-97"}</definedName>
    <definedName name="dasfrt" localSheetId="8" hidden="1">{#N/A,#N/A,FALSE,"Plan1";#N/A,#N/A,FALSE,"Plan2"}</definedName>
    <definedName name="DÇDL" localSheetId="8" hidden="1">{#N/A,#N/A,FALSE,"Plan1";#N/A,#N/A,FALSE,"Plan2"}</definedName>
    <definedName name="dcnsfgdjkgb" localSheetId="8" hidden="1">{#N/A,#N/A,FALSE,"Plan1";#N/A,#N/A,FALSE,"Plan2"}</definedName>
    <definedName name="DÇWK" localSheetId="8" hidden="1">{#N/A,#N/A,FALSE,"Plan1";#N/A,#N/A,FALSE,"Plan2"}</definedName>
    <definedName name="DD"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dddd" localSheetId="8" hidden="1">{#N/A,#N/A,FALSE,"Plan1";#N/A,#N/A,FALSE,"Plan2"}</definedName>
    <definedName name="dde" localSheetId="8" hidden="1">{#N/A,#N/A,FALSE,"Plan1";#N/A,#N/A,FALSE,"Plan2"}</definedName>
    <definedName name="ddgfdvgdg"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DGSFG" localSheetId="8" hidden="1">{#N/A,#N/A,FALSE,"Plan1";#N/A,#N/A,FALSE,"Plan2"}</definedName>
    <definedName name="dede" localSheetId="8" hidden="1">{#N/A,#N/A,FALSE,"Plan1";#N/A,#N/A,FALSE,"Plan2"}</definedName>
    <definedName name="des" localSheetId="8" hidden="1">{#N/A,#N/A,FALSE,"Plan1";#N/A,#N/A,FALSE,"Plan2"}</definedName>
    <definedName name="desc" localSheetId="8" hidden="1">{#N/A,#N/A,FALSE,"Plan1";#N/A,#N/A,FALSE,"Plan2"}</definedName>
    <definedName name="d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FD" localSheetId="8" hidden="1">{#N/A,#N/A,FALSE,"명세표"}</definedName>
    <definedName name="dfdfty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fdjgfdfgdf" localSheetId="8" hidden="1">{#N/A,#N/A,FALSE,"Plan1";#N/A,#N/A,FALSE,"Plan2"}</definedName>
    <definedName name="dfdrtrr" localSheetId="8" hidden="1">{#N/A,#N/A,FALSE,"Plan1";#N/A,#N/A,FALSE,"Plan2"}</definedName>
    <definedName name="DFDSG" localSheetId="8" hidden="1">{#N/A,#N/A,FALSE,"Plan1";#N/A,#N/A,FALSE,"Plan2"}</definedName>
    <definedName name="dfer" localSheetId="8" hidden="1">{#N/A,#N/A,FALSE,"Plan1";#N/A,#N/A,FALSE,"Plan2"}</definedName>
    <definedName name="dffbty" localSheetId="8" hidden="1">{#N/A,#N/A,FALSE,"Plan1";#N/A,#N/A,FALSE,"Plan2"}</definedName>
    <definedName name="dffgk"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ffhg" localSheetId="8" hidden="1">{#N/A,#N/A,FALSE,"Plan1";#N/A,#N/A,FALSE,"Plan2"}</definedName>
    <definedName name="dfg" localSheetId="8" hidden="1">{#N/A,#N/A,FALSE,"Plan1";#N/A,#N/A,FALSE,"Plan2"}</definedName>
    <definedName name="dfgdf" localSheetId="8" hidden="1">{#N/A,#N/A,FALSE,"Plan1";#N/A,#N/A,FALSE,"Plan2"}</definedName>
    <definedName name="dfgdytygr" localSheetId="8" hidden="1">{#N/A,#N/A,FALSE,"Plan1";#N/A,#N/A,FALSE,"Plan2"}</definedName>
    <definedName name="dfgftrrdt5" localSheetId="8" hidden="1">{#N/A,#N/A,FALSE,"Plan1";#N/A,#N/A,FALSE,"Plan2"}</definedName>
    <definedName name="dfghjfhsg" localSheetId="8" hidden="1">{#N/A,#N/A,FALSE,"Plan1";#N/A,#N/A,FALSE,"Plan2"}</definedName>
    <definedName name="dfgj" localSheetId="8" hidden="1">{#N/A,#N/A,FALSE,"Plan1";#N/A,#N/A,FALSE,"Plan2"}</definedName>
    <definedName name="dfgjfttyd" localSheetId="8" hidden="1">{#N/A,#N/A,FALSE,"Plan1";#N/A,#N/A,FALSE,"Plan2"}</definedName>
    <definedName name="dfgjjtdrtg" localSheetId="8" hidden="1">{#N/A,#N/A,FALSE,"Plan1";#N/A,#N/A,FALSE,"Plan2"}</definedName>
    <definedName name="dfgt" localSheetId="8" hidden="1">{#N/A,#N/A,FALSE,"Plan1";#N/A,#N/A,FALSE,"Plan2"}</definedName>
    <definedName name="dfgtrkjhk" localSheetId="8" hidden="1">{#N/A,#N/A,FALSE,"Plan1";#N/A,#N/A,FALSE,"Plan2"}</definedName>
    <definedName name="dfgty" localSheetId="8" hidden="1">{#N/A,#N/A,FALSE,"Plan1";#N/A,#N/A,FALSE,"Plan2"}</definedName>
    <definedName name="dfhdgfdgf" localSheetId="8" hidden="1">{#N/A,#N/A,FALSE,"Plan1";#N/A,#N/A,FALSE,"Plan2"}</definedName>
    <definedName name="DFHDJGJFHJGF" localSheetId="8" hidden="1">{#N/A,#N/A,FALSE,"Plan1";#N/A,#N/A,FALSE,"Plan2"}</definedName>
    <definedName name="dfhdyg" localSheetId="8" hidden="1">{#N/A,#N/A,FALSE,"Plan1";#N/A,#N/A,FALSE,"Plan2"}</definedName>
    <definedName name="DFHGDHUR" localSheetId="8" hidden="1">{#N/A,#N/A,FALSE,"Plan1";#N/A,#N/A,FALSE,"Plan2"}</definedName>
    <definedName name="dfhgjfgdhfjdrf" localSheetId="8" hidden="1">{#N/A,#N/A,FALSE,"Plan1";#N/A,#N/A,FALSE,"Plan2"}</definedName>
    <definedName name="dfhgkhfut" localSheetId="8" hidden="1">{#N/A,#N/A,FALSE,"Plan1";#N/A,#N/A,FALSE,"Plan2"}</definedName>
    <definedName name="dfhguitrhfg" localSheetId="8" hidden="1">{#N/A,#N/A,FALSE,"Plan1";#N/A,#N/A,FALSE,"Plan2"}</definedName>
    <definedName name="DFHKHDGKJHDKS" localSheetId="8" hidden="1">{#N/A,#N/A,FALSE,"Plan1";#N/A,#N/A,FALSE,"Plan2"}</definedName>
    <definedName name="dfjgjfhykj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fjkgtdftr" localSheetId="8" hidden="1">{#N/A,#N/A,FALSE,"Plan1";#N/A,#N/A,FALSE,"Plan2"}</definedName>
    <definedName name="dfkhgfg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fkj"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fknfhkdrj" localSheetId="8" hidden="1">{#N/A,#N/A,FALSE,"Plan1";#N/A,#N/A,FALSE,"Plan2"}</definedName>
    <definedName name="dfnert" localSheetId="8" hidden="1">{#N/A,#N/A,FALSE,"Plan1";#N/A,#N/A,FALSE,"Plan2"}</definedName>
    <definedName name="dfrt" localSheetId="8" hidden="1">{#N/A,#N/A,FALSE,"Plan1";#N/A,#N/A,FALSE,"Plan2"}</definedName>
    <definedName name="dfsdr5tt" localSheetId="8" hidden="1">{#N/A,#N/A,FALSE,"Plan1";#N/A,#N/A,FALSE,"Plan2"}</definedName>
    <definedName name="dfsd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fsdtr" localSheetId="8" hidden="1">{#N/A,#N/A,FALSE,"Plan1";#N/A,#N/A,FALSE,"Plan2"}</definedName>
    <definedName name="dfsf" localSheetId="8" hidden="1">{#N/A,#N/A,FALSE,"Plan1";#N/A,#N/A,FALSE,"Plan2"}</definedName>
    <definedName name="DFT" localSheetId="8" hidden="1">{#N/A,#N/A,FALSE,"Plan1";#N/A,#N/A,FALSE,"Plan2"}</definedName>
    <definedName name="DFTRTTY" localSheetId="8" hidden="1">{#N/A,#N/A,FALSE,"Plan1";#N/A,#N/A,FALSE,"Plan2"}</definedName>
    <definedName name="dfurghifdjyhits" localSheetId="8" hidden="1">{#N/A,#N/A,FALSE,"Plan1";#N/A,#N/A,FALSE,"Plan2"}</definedName>
    <definedName name="dfxgdrged" localSheetId="8" hidden="1">{#N/A,#N/A,FALSE,"Plan1";#N/A,#N/A,FALSE,"Plan2"}</definedName>
    <definedName name="dgfrtyt" localSheetId="8" hidden="1">{#N/A,#N/A,FALSE,"Plan1";#N/A,#N/A,FALSE,"Plan2"}</definedName>
    <definedName name="dggfdg" localSheetId="8" hidden="1">{#N/A,#N/A,FALSE,"Plan1";#N/A,#N/A,FALSE,"Plan2"}</definedName>
    <definedName name="dgldfhgkljslh" localSheetId="8" hidden="1">{#N/A,#N/A,FALSE,"Plan1";#N/A,#N/A,FALSE,"Plan2"}</definedName>
    <definedName name="dhfgdhrehrwe" localSheetId="8" hidden="1">{#N/A,#N/A,FALSE,"Plan1";#N/A,#N/A,FALSE,"Plan2"}</definedName>
    <definedName name="dhgfdgrfgdfgd" localSheetId="8" hidden="1">{#N/A,#N/A,FALSE,"Plan1";#N/A,#N/A,FALSE,"Plan2"}</definedName>
    <definedName name="dhkjfhdhfjdh" localSheetId="8" hidden="1">{#N/A,#N/A,FALSE,"Plan1";#N/A,#N/A,FALSE,"Plan2"}</definedName>
    <definedName name="DHTJRT" localSheetId="8" hidden="1">{#N/A,#N/A,FALSE,"Plan1";#N/A,#N/A,FALSE,"Plan2"}</definedName>
    <definedName name="dijghdhks" localSheetId="8" hidden="1">{#N/A,#N/A,FALSE,"Plan1";#N/A,#N/A,FALSE,"Plan2"}</definedName>
    <definedName name="djasdrjas" localSheetId="8" hidden="1">{#N/A,#N/A,FALSE,"Plan1";#N/A,#N/A,FALSE,"Plan2"}</definedName>
    <definedName name="dj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jfkhjhfgrgdfh" localSheetId="8" hidden="1">{#N/A,#N/A,FALSE,"Plan1";#N/A,#N/A,FALSE,"Plan2"}</definedName>
    <definedName name="djfkhsdkjhf" localSheetId="8" hidden="1">{#N/A,#N/A,FALSE,"Plan1";#N/A,#N/A,FALSE,"Plan2"}</definedName>
    <definedName name="djfldjsgljslkjtg" localSheetId="8" hidden="1">{#N/A,#N/A,FALSE,"Plan1";#N/A,#N/A,FALSE,"Plan2"}</definedName>
    <definedName name="djflkdjgdth" localSheetId="8" hidden="1">{#N/A,#N/A,FALSE,"Plan1";#N/A,#N/A,FALSE,"Plan2"}</definedName>
    <definedName name="DJFLKDJGKTJYJT" localSheetId="8" hidden="1">{#N/A,#N/A,FALSE,"Plan1";#N/A,#N/A,FALSE,"Plan2"}</definedName>
    <definedName name="djgkfjgtiyty" localSheetId="8" hidden="1">{#N/A,#N/A,FALSE,"Plan1";#N/A,#N/A,FALSE,"Plan2"}</definedName>
    <definedName name="djrkehrjfhng" localSheetId="8" hidden="1">{#N/A,#N/A,FALSE,"Plan1";#N/A,#N/A,FALSE,"Plan2"}</definedName>
    <definedName name="djtkjldfr" localSheetId="8" hidden="1">{#N/A,#N/A,FALSE,"Plan1";#N/A,#N/A,FALSE,"Plan2"}</definedName>
    <definedName name="DJXDLFGDFG" localSheetId="8" hidden="1">{#N/A,#N/A,FALSE,"Plan1";#N/A,#N/A,FALSE,"Plan2"}</definedName>
    <definedName name="dkdkdkdkd" localSheetId="8" hidden="1">{#N/A,#N/A,FALSE,"명세표"}</definedName>
    <definedName name="dkfhskgf" localSheetId="8" hidden="1">{#N/A,#N/A,FALSE,"Plan1";#N/A,#N/A,FALSE,"Plan2"}</definedName>
    <definedName name="dkjfk" localSheetId="8" hidden="1">{#N/A,#N/A,FALSE,"Plan1";#N/A,#N/A,FALSE,"Plan2"}</definedName>
    <definedName name="DKLD" localSheetId="8" hidden="1">{#N/A,#N/A,FALSE,"Plan1";#N/A,#N/A,FALSE,"Plan2"}</definedName>
    <definedName name="DKLFJDKFD" localSheetId="8" hidden="1">{#N/A,#N/A,FALSE,"Plan1";#N/A,#N/A,FALSE,"Plan2"}</definedName>
    <definedName name="dklfjgirtgid" localSheetId="8" hidden="1">{#N/A,#N/A,FALSE,"Plan1";#N/A,#N/A,FALSE,"Plan2"}</definedName>
    <definedName name="dklfm"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mbfmndbmtrhed" localSheetId="8" hidden="1">{#N/A,#N/A,FALSE,"Plan1";#N/A,#N/A,FALSE,"Plan2"}</definedName>
    <definedName name="DNFJKDHTKRE" localSheetId="8" hidden="1">{#N/A,#N/A,FALSE,"Plan1";#N/A,#N/A,FALSE,"Plan2"}</definedName>
    <definedName name="dng" localSheetId="8" hidden="1">{#N/A,#N/A,FALSE,"GERAL";#N/A,#N/A,FALSE,"012-96";#N/A,#N/A,FALSE,"018-96";#N/A,#N/A,FALSE,"027-96";#N/A,#N/A,FALSE,"059-96";#N/A,#N/A,FALSE,"076-96";#N/A,#N/A,FALSE,"019-97";#N/A,#N/A,FALSE,"021-97";#N/A,#N/A,FALSE,"022-97";#N/A,#N/A,FALSE,"028-97"}</definedName>
    <definedName name="drewr" localSheetId="8" hidden="1">{#N/A,#N/A,FALSE,"Plan1";#N/A,#N/A,FALSE,"Plan2"}</definedName>
    <definedName name="DRRJR" localSheetId="8" hidden="1">{#N/A,#N/A,FALSE,"Plan1";#N/A,#N/A,FALSE,"Plan2"}</definedName>
    <definedName name="drtrt" localSheetId="8" hidden="1">{"'Estimativa de Lançamento-JAN'!$A$1:$AI$85"}</definedName>
    <definedName name="dsdrf" localSheetId="8" hidden="1">{#N/A,#N/A,FALSE,"Plan1";#N/A,#N/A,FALSE,"Plan2"}</definedName>
    <definedName name="dsfdf" localSheetId="8" hidden="1">{#N/A,#N/A,FALSE,"Plan1";#N/A,#N/A,FALSE,"Plan2"}</definedName>
    <definedName name="dsfg" localSheetId="8" hidden="1">{#N/A,#N/A,FALSE,"Plan1";#N/A,#N/A,FALSE,"Plan2"}</definedName>
    <definedName name="DSFKDSKH" localSheetId="8" hidden="1">{#N/A,#N/A,FALSE,"Plan1";#N/A,#N/A,FALSE,"Plan2"}</definedName>
    <definedName name="DSFR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sfrtyy" localSheetId="8" hidden="1">{#N/A,#N/A,FALSE,"Plan1";#N/A,#N/A,FALSE,"Plan2"}</definedName>
    <definedName name="DSFSAD" localSheetId="8" hidden="1">{#N/A,#N/A,FALSE,"Plan1";#N/A,#N/A,FALSE,"Plan2"}</definedName>
    <definedName name="dsfsdf" localSheetId="8" hidden="1">{#N/A,#N/A,FALSE,"Plan1";#N/A,#N/A,FALSE,"Plan2"}</definedName>
    <definedName name="dsfsdgfb" localSheetId="8" hidden="1">{#N/A,#N/A,FALSE,"Plan1";#N/A,#N/A,FALSE,"Plan2"}</definedName>
    <definedName name="dsgfr" localSheetId="8" hidden="1">{#N/A,#N/A,FALSE,"Plan1";#N/A,#N/A,FALSE,"Plan2"}</definedName>
    <definedName name="dshfkhkrhesru" localSheetId="8" hidden="1">{#N/A,#N/A,FALSE,"Plan1";#N/A,#N/A,FALSE,"Plan2"}</definedName>
    <definedName name="dsjkthkr" localSheetId="8" hidden="1">{#N/A,#N/A,FALSE,"Plan1";#N/A,#N/A,FALSE,"Plan2"}</definedName>
    <definedName name="DSLFJSLFJ" localSheetId="8" hidden="1">{#N/A,#N/A,FALSE,"Plan1";#N/A,#N/A,FALSE,"Plan2"}</definedName>
    <definedName name="dsrffg"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srgdergdrg" localSheetId="8" hidden="1">{#N/A,#N/A,FALSE,"GERAL";#N/A,#N/A,FALSE,"012-96";#N/A,#N/A,FALSE,"018-96";#N/A,#N/A,FALSE,"027-96";#N/A,#N/A,FALSE,"059-96";#N/A,#N/A,FALSE,"076-96";#N/A,#N/A,FALSE,"019-97";#N/A,#N/A,FALSE,"021-97";#N/A,#N/A,FALSE,"022-97";#N/A,#N/A,FALSE,"028-97"}</definedName>
    <definedName name="dss" localSheetId="8" hidden="1">{#N/A,#N/A,FALSE,"Plan1";#N/A,#N/A,FALSE,"Plan2"}</definedName>
    <definedName name="dtgsrytt" localSheetId="8" hidden="1">{#N/A,#N/A,FALSE,"Plan1";#N/A,#N/A,FALSE,"Plan2"}</definedName>
    <definedName name="dtrjkhtrgkfh" localSheetId="8" hidden="1">{#N/A,#N/A,FALSE,"Plan1";#N/A,#N/A,FALSE,"Plan2"}</definedName>
    <definedName name="dttjuk" localSheetId="8" hidden="1">{#N/A,#N/A,FALSE,"Plan1";#N/A,#N/A,FALSE,"Plan2"}</definedName>
    <definedName name="dvtry"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dwetrt" localSheetId="8" hidden="1">{#N/A,#N/A,FALSE,"Plan1";#N/A,#N/A,FALSE,"Plan2"}</definedName>
    <definedName name="DY"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YHYGJDHZKGF" localSheetId="8" hidden="1">{#N/A,#N/A,FALSE,"Plan1";#N/A,#N/A,FALSE,"Plan2"}</definedName>
    <definedName name="dzdfr" localSheetId="8" hidden="1">{#N/A,#N/A,FALSE,"Plan1";#N/A,#N/A,FALSE,"Plan2"}</definedName>
    <definedName name="e"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EC"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EW" localSheetId="8" hidden="1">{#N/A,#N/A,FALSE,"F-01"}</definedName>
    <definedName name="ECEW_1" localSheetId="8" hidden="1">{#N/A,#N/A,FALSE,"F-01"}</definedName>
    <definedName name="ECS"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E" localSheetId="8" hidden="1">{#N/A,#N/A,FALSE,"Plan1";#N/A,#N/A,FALSE,"Plan2"}</definedName>
    <definedName name="eee" localSheetId="8" hidden="1">{#N/A,#N/A,FALSE,"ET-CAPA";#N/A,#N/A,FALSE,"ET-PAG1";#N/A,#N/A,FALSE,"ET-PAG2";#N/A,#N/A,FALSE,"ET-PAG3";#N/A,#N/A,FALSE,"ET-PAG4";#N/A,#N/A,FALSE,"ET-PAG5"}</definedName>
    <definedName name="efestfr" localSheetId="8" hidden="1">{#N/A,#N/A,FALSE,"Plan1";#N/A,#N/A,FALSE,"Plan2"}</definedName>
    <definedName name="efrdrt" localSheetId="8" hidden="1">{#N/A,#N/A,FALSE,"Plan1";#N/A,#N/A,FALSE,"Plan2"}</definedName>
    <definedName name="efrg" localSheetId="8" hidden="1">{#N/A,#N/A,FALSE,"Plan1";#N/A,#N/A,FALSE,"Plan2"}</definedName>
    <definedName name="efsgfr" localSheetId="8" hidden="1">{#N/A,#N/A,FALSE,"Plan1";#N/A,#N/A,FALSE,"Plan2"}</definedName>
    <definedName name="ER" localSheetId="8" hidden="1">{#N/A,#N/A,FALSE,"GERAL";#N/A,#N/A,FALSE,"012-96";#N/A,#N/A,FALSE,"018-96";#N/A,#N/A,FALSE,"027-96";#N/A,#N/A,FALSE,"059-96";#N/A,#N/A,FALSE,"076-96";#N/A,#N/A,FALSE,"019-97";#N/A,#N/A,FALSE,"021-97";#N/A,#N/A,FALSE,"022-97";#N/A,#N/A,FALSE,"028-97"}</definedName>
    <definedName name="ergerge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ergfhyu" localSheetId="8" hidden="1">{#N/A,#N/A,FALSE,"Plan1";#N/A,#N/A,FALSE,"Plan2"}</definedName>
    <definedName name="ESGFDSFD" localSheetId="8" hidden="1">{#N/A,#N/A,FALSE,"Plan1";#N/A,#N/A,FALSE,"Plan2"}</definedName>
    <definedName name="EU" localSheetId="8" hidden="1">{#N/A,#N/A,FALSE,"Plan1";#N/A,#N/A,FALSE,"Plan2"}</definedName>
    <definedName name="EVL" localSheetId="8" hidden="1">{"Econ Consolidado",#N/A,FALSE,"Econ Consol";"Fluxo de Caixa",#N/A,FALSE,"Fluxo Caixa";"Investimentos",#N/A,FALSE,"Investimentos"}</definedName>
    <definedName name="Evol." localSheetId="8" hidden="1">{"Econ Consolidado",#N/A,FALSE,"Econ Consol";"Fluxo de Caixa",#N/A,FALSE,"Fluxo Caixa";"Investimentos",#N/A,FALSE,"Investimentos"}</definedName>
    <definedName name="ewfr" localSheetId="8" hidden="1">{#N/A,#N/A,FALSE,"Plan1";#N/A,#N/A,FALSE,"Plan2"}</definedName>
    <definedName name="eyruieyteta" localSheetId="8" hidden="1">{#N/A,#N/A,FALSE,"Plan1";#N/A,#N/A,FALSE,"Plan2"}</definedName>
    <definedName name="FAS" localSheetId="8" hidden="1">{"'Total'!$A$1","'Total'!$A$3"}</definedName>
    <definedName name="fasfasf" localSheetId="8" hidden="1">{#N/A,#N/A,TRUE,"Quinzena 01 à 15-04-98 "}</definedName>
    <definedName name="fddhght" localSheetId="8" hidden="1">{#N/A,#N/A,FALSE,"Plan1";#N/A,#N/A,FALSE,"Plan2"}</definedName>
    <definedName name="fdfgd" localSheetId="8" hidden="1">{#N/A,#N/A,FALSE,"Plan1";#N/A,#N/A,FALSE,"Plan2"}</definedName>
    <definedName name="fdfng" localSheetId="8" hidden="1">{#N/A,#N/A,FALSE,"GERAL";#N/A,#N/A,FALSE,"012-96";#N/A,#N/A,FALSE,"018-96";#N/A,#N/A,FALSE,"027-96";#N/A,#N/A,FALSE,"059-96";#N/A,#N/A,FALSE,"076-96";#N/A,#N/A,FALSE,"019-97";#N/A,#N/A,FALSE,"021-97";#N/A,#N/A,FALSE,"022-97";#N/A,#N/A,FALSE,"028-97"}</definedName>
    <definedName name="fdgaf" localSheetId="8" hidden="1">{#N/A,#N/A,FALSE,"Plan1";#N/A,#N/A,FALSE,"Plan2"}</definedName>
    <definedName name="fdgdfg"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FDGFDJHGZEDR" localSheetId="8" hidden="1">{#N/A,#N/A,FALSE,"Plan1";#N/A,#N/A,FALSE,"Plan2"}</definedName>
    <definedName name="fdgfyhygfuj" localSheetId="8" hidden="1">{#N/A,#N/A,FALSE,"Plan1";#N/A,#N/A,FALSE,"Plan2"}</definedName>
    <definedName name="fdhgfdf" localSheetId="8" hidden="1">{#N/A,#N/A,FALSE,"Plan1";#N/A,#N/A,FALSE,"Plan2"}</definedName>
    <definedName name="fdjfgdfjg" localSheetId="8" hidden="1">{#N/A,#N/A,FALSE,"Plan1";#N/A,#N/A,FALSE,"Plan2"}</definedName>
    <definedName name="fdjghkshtygt" localSheetId="8" hidden="1">{#N/A,#N/A,FALSE,"Plan1";#N/A,#N/A,FALSE,"Plan2"}</definedName>
    <definedName name="fdnhgf" localSheetId="8" hidden="1">{"'Estimativa de Lançamento-JAN'!$A$1:$AI$85"}</definedName>
    <definedName name="fdsf" localSheetId="8" hidden="1">{#N/A,#N/A,FALSE,"Plan1";#N/A,#N/A,FALSE,"Plan2"}</definedName>
    <definedName name="fffff" localSheetId="8" hidden="1">{#N/A,#N/A,FALSE,"Plan1";#N/A,#N/A,FALSE,"Plan2"}</definedName>
    <definedName name="FFTY" localSheetId="8" hidden="1">{#N/A,#N/A,FALSE,"GERAL";#N/A,#N/A,FALSE,"012-96";#N/A,#N/A,FALSE,"018-96";#N/A,#N/A,FALSE,"027-96";#N/A,#N/A,FALSE,"059-96";#N/A,#N/A,FALSE,"076-96";#N/A,#N/A,FALSE,"019-97";#N/A,#N/A,FALSE,"021-97";#N/A,#N/A,FALSE,"022-97";#N/A,#N/A,FALSE,"028-97"}</definedName>
    <definedName name="fg" localSheetId="8" hidden="1">{#N/A,#N/A,FALSE,"Plan1";#N/A,#N/A,FALSE,"Plan2"}</definedName>
    <definedName name="fgg" localSheetId="8" hidden="1">{"'장비'!$A$3:$M$12"}</definedName>
    <definedName name="fghfh" localSheetId="8" hidden="1">{"'Estimativa de Lançamento-JAN'!$A$1:$AI$85"}</definedName>
    <definedName name="fghgfh" localSheetId="8" hidden="1">{#N/A,#N/A,FALSE,"Plan1";#N/A,#N/A,FALSE,"Plan2"}</definedName>
    <definedName name="FGJHFGK" localSheetId="8" hidden="1">{#N/A,#N/A,FALSE,"Plan1";#N/A,#N/A,FALSE,"Plan2"}</definedName>
    <definedName name="fgktyhdf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fgtrgty" localSheetId="8" hidden="1">{#N/A,#N/A,FALSE,"Plan1";#N/A,#N/A,FALSE,"Plan2"}</definedName>
    <definedName name="fhgjfgyt" localSheetId="8" hidden="1">{#N/A,#N/A,FALSE,"Plan1";#N/A,#N/A,FALSE,"Plan2"}</definedName>
    <definedName name="fhgjkhtrfg" localSheetId="8" hidden="1">{#N/A,#N/A,FALSE,"Plan1";#N/A,#N/A,FALSE,"Plan2"}</definedName>
    <definedName name="FHGTGSRSG" localSheetId="8" hidden="1">{#N/A,#N/A,FALSE,"Plan1";#N/A,#N/A,FALSE,"Plan2"}</definedName>
    <definedName name="FIELD"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ILTRO" localSheetId="8" hidden="1">{#N/A,#N/A,TRUE,"Quinzena 01 à 15-04-98 "}</definedName>
    <definedName name="fjdhfgjdhtgu" localSheetId="8" hidden="1">{#N/A,#N/A,FALSE,"Plan1";#N/A,#N/A,FALSE,"Plan2"}</definedName>
    <definedName name="fjfjg" localSheetId="8" hidden="1">{#N/A,#N/A,FALSE,"명세표"}</definedName>
    <definedName name="FJGHJ"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FJHJHG" localSheetId="8" hidden="1">{#N/A,#N/A,FALSE,"Plan1";#N/A,#N/A,FALSE,"Plan2"}</definedName>
    <definedName name="fjtgfh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FKF"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kfw" localSheetId="8" hidden="1">{#N/A,#N/A,FALSE,"Plan1";#N/A,#N/A,FALSE,"Plan2"}</definedName>
    <definedName name="frçt4r" localSheetId="8" hidden="1">{#N/A,#N/A,FALSE,"Plan1";#N/A,#N/A,FALSE,"Plan2"}</definedName>
    <definedName name="frdtty" localSheetId="8" hidden="1">{#N/A,#N/A,FALSE,"Plan1";#N/A,#N/A,FALSE,"Plan2"}</definedName>
    <definedName name="fsdfsf" localSheetId="8" hidden="1">{#N/A,#N/A,FALSE,"GERAL";#N/A,#N/A,FALSE,"012-96";#N/A,#N/A,FALSE,"018-96";#N/A,#N/A,FALSE,"027-96";#N/A,#N/A,FALSE,"059-96";#N/A,#N/A,FALSE,"076-96";#N/A,#N/A,FALSE,"019-97";#N/A,#N/A,FALSE,"021-97";#N/A,#N/A,FALSE,"022-97";#N/A,#N/A,FALSE,"028-97"}</definedName>
    <definedName name="fuihgjk" localSheetId="8" hidden="1">{#N/A,#N/A,FALSE,"Plan1";#N/A,#N/A,FALSE,"Plan2"}</definedName>
    <definedName name="fxjghkfg" localSheetId="8" hidden="1">{#N/A,#N/A,FALSE,"Plan1";#N/A,#N/A,FALSE,"Plan2"}</definedName>
    <definedName name="galo" localSheetId="8" hidden="1">{#N/A,#N/A,FALSE,"GERAL";#N/A,#N/A,FALSE,"012-96";#N/A,#N/A,FALSE,"018-96";#N/A,#N/A,FALSE,"027-96";#N/A,#N/A,FALSE,"059-96";#N/A,#N/A,FALSE,"076-96";#N/A,#N/A,FALSE,"019-97";#N/A,#N/A,FALSE,"021-97";#N/A,#N/A,FALSE,"022-97";#N/A,#N/A,FALSE,"028-97"}</definedName>
    <definedName name="gbdjkvhgd" localSheetId="8" hidden="1">{#N/A,#N/A,FALSE,"Plan1";#N/A,#N/A,FALSE,"Plan2"}</definedName>
    <definedName name="gbdsjgsjfdgj" localSheetId="8" hidden="1">{#N/A,#N/A,FALSE,"Plan1";#N/A,#N/A,FALSE,"Plan2"}</definedName>
    <definedName name="gdfdhgfjgj" localSheetId="8" hidden="1">{#N/A,#N/A,FALSE,"Plan1";#N/A,#N/A,FALSE,"Plan2"}</definedName>
    <definedName name="gdfgdstggt" localSheetId="8" hidden="1">{#N/A,#N/A,FALSE,"Plan1";#N/A,#N/A,FALSE,"Plan2"}</definedName>
    <definedName name="GDFHGRJGFJDRF" localSheetId="8" hidden="1">{"Econ Consolidado",#N/A,FALSE,"Econ Consol";"Fluxo de Caixa",#N/A,FALSE,"Fluxo Caixa";"Investimentos",#N/A,FALSE,"Investimentos"}</definedName>
    <definedName name="gdfigfhuyuy" localSheetId="8" hidden="1">{#N/A,#N/A,FALSE,"Plan1";#N/A,#N/A,FALSE,"Plan2"}</definedName>
    <definedName name="gdfsgfew" localSheetId="8" hidden="1">{#N/A,#N/A,FALSE,"Plan1";#N/A,#N/A,FALSE,"Plan2"}</definedName>
    <definedName name="gdhfgdhfgf" localSheetId="8" hidden="1">{#N/A,#N/A,FALSE,"Plan1";#N/A,#N/A,FALSE,"Plan2"}</definedName>
    <definedName name="gdsfhefrwrw" localSheetId="8" hidden="1">{#N/A,#N/A,FALSE,"Plan1";#N/A,#N/A,FALSE,"Plan2"}</definedName>
    <definedName name="geshrjhed" localSheetId="8" hidden="1">{#N/A,#N/A,FALSE,"Plan1";#N/A,#N/A,FALSE,"Plan2"}</definedName>
    <definedName name="gfdcgnkf" localSheetId="8" hidden="1">{#N/A,#N/A,FALSE,"Plan1";#N/A,#N/A,FALSE,"Plan2"}</definedName>
    <definedName name="gfdjtgur" localSheetId="8" hidden="1">{#N/A,#N/A,FALSE,"Plan1";#N/A,#N/A,FALSE,"Plan2"}</definedName>
    <definedName name="gfgdhxgfdhf" localSheetId="8" hidden="1">{#N/A,#N/A,FALSE,"Plan1";#N/A,#N/A,FALSE,"Plan2"}</definedName>
    <definedName name="gfhfdtgjb" localSheetId="8" hidden="1">{#N/A,#N/A,FALSE,"Plan1";#N/A,#N/A,FALSE,"Plan2"}</definedName>
    <definedName name="gfjdshrtjhtged" localSheetId="8" hidden="1">{#N/A,#N/A,FALSE,"Plan1";#N/A,#N/A,FALSE,"Plan2"}</definedName>
    <definedName name="gfjgkddgfd" localSheetId="8" hidden="1">{#N/A,#N/A,FALSE,"Plan1";#N/A,#N/A,FALSE,"Plan2"}</definedName>
    <definedName name="gfsghjdgygr" localSheetId="8" hidden="1">{#N/A,#N/A,FALSE,"Plan1";#N/A,#N/A,FALSE,"Plan2"}</definedName>
    <definedName name="gftfy" localSheetId="8" hidden="1">{#N/A,#N/A,FALSE,"Plan1";#N/A,#N/A,FALSE,"Plan2"}</definedName>
    <definedName name="gfty" localSheetId="8" hidden="1">{#N/A,#N/A,FALSE,"Plan1";#N/A,#N/A,FALSE,"Plan2"}</definedName>
    <definedName name="GFUJU9" localSheetId="8" hidden="1">{#N/A,#N/A,FALSE,"Plan1";#N/A,#N/A,FALSE,"Plan2"}</definedName>
    <definedName name="ggg"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GGGG" localSheetId="8" hidden="1">{#N/A,#N/A,FALSE,"Plan1";#N/A,#N/A,FALSE,"Plan2"}</definedName>
    <definedName name="gggggggggg"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gh" localSheetId="8" hidden="1">{"'장비'!$A$3:$M$12"}</definedName>
    <definedName name="ghfgdfrtert" localSheetId="8" hidden="1">{#N/A,#N/A,FALSE,"Plan1";#N/A,#N/A,FALSE,"Plan2"}</definedName>
    <definedName name="ghfhghft" localSheetId="8" hidden="1">{#N/A,#N/A,FALSE,"Plan1";#N/A,#N/A,FALSE,"Plan2"}</definedName>
    <definedName name="ghjg" localSheetId="8" hidden="1">{"'Estimativa de Lançamento-JAN'!$A$1:$AI$85"}</definedName>
    <definedName name="ghkfhgh" localSheetId="8" hidden="1">{#N/A,#N/A,FALSE,"Plan1";#N/A,#N/A,FALSE,"Plan2"}</definedName>
    <definedName name="ghkjh" localSheetId="8" hidden="1">{#N/A,#N/A,FALSE,"ENG'G(보호계전기)"}</definedName>
    <definedName name="GJ" localSheetId="8" hidden="1">{#N/A,#N/A,FALSE,"GERAL";#N/A,#N/A,FALSE,"012-96";#N/A,#N/A,FALSE,"018-96";#N/A,#N/A,FALSE,"027-96";#N/A,#N/A,FALSE,"059-96";#N/A,#N/A,FALSE,"076-96";#N/A,#N/A,FALSE,"019-97";#N/A,#N/A,FALSE,"021-97";#N/A,#N/A,FALSE,"022-97";#N/A,#N/A,FALSE,"028-97"}</definedName>
    <definedName name="gjfhjktgcf" localSheetId="8" hidden="1">{#N/A,#N/A,FALSE,"Plan1";#N/A,#N/A,FALSE,"Plan2"}</definedName>
    <definedName name="GJG"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gjgh" localSheetId="8" hidden="1">{#N/A,#N/A,FALSE,"GERAL";#N/A,#N/A,FALSE,"012-96";#N/A,#N/A,FALSE,"018-96";#N/A,#N/A,FALSE,"027-96";#N/A,#N/A,FALSE,"059-96";#N/A,#N/A,FALSE,"076-96";#N/A,#N/A,FALSE,"019-97";#N/A,#N/A,FALSE,"021-97";#N/A,#N/A,FALSE,"022-97";#N/A,#N/A,FALSE,"028-97"}</definedName>
    <definedName name="GJK" localSheetId="8" hidden="1">{#N/A,#N/A,FALSE,"GERAL";#N/A,#N/A,FALSE,"012-96";#N/A,#N/A,FALSE,"018-96";#N/A,#N/A,FALSE,"027-96";#N/A,#N/A,FALSE,"059-96";#N/A,#N/A,FALSE,"076-96";#N/A,#N/A,FALSE,"019-97";#N/A,#N/A,FALSE,"021-97";#N/A,#N/A,FALSE,"022-97";#N/A,#N/A,FALSE,"028-97"}</definedName>
    <definedName name="gjkhgjhjfggfjhfg" localSheetId="8" hidden="1">{#N/A,#N/A,FALSE,"Plan1";#N/A,#N/A,FALSE,"Plan2"}</definedName>
    <definedName name="glgl" localSheetId="8" hidden="1">{#N/A,#N/A,FALSE,"Plan1";#N/A,#N/A,FALSE,"Plan2"}</definedName>
    <definedName name="gnfrth"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GSDWJSTGE"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gtuigsdyugsdf" localSheetId="8" hidden="1">{#N/A,#N/A,FALSE,"Plan1";#N/A,#N/A,FALSE,"Plan2"}</definedName>
    <definedName name="GUI" localSheetId="8" hidden="1">{#N/A,#N/A,FALSE,"GERAL";#N/A,#N/A,FALSE,"012-96";#N/A,#N/A,FALSE,"018-96";#N/A,#N/A,FALSE,"027-96";#N/A,#N/A,FALSE,"059-96";#N/A,#N/A,FALSE,"076-96";#N/A,#N/A,FALSE,"019-97";#N/A,#N/A,FALSE,"021-97";#N/A,#N/A,FALSE,"022-97";#N/A,#N/A,FALSE,"028-97"}</definedName>
    <definedName name="GV" localSheetId="8" hidden="1">{#N/A,#N/A,FALSE,"CCTV"}</definedName>
    <definedName name="hcjfkhdghfktg" localSheetId="8" hidden="1">{#N/A,#N/A,FALSE,"Plan1";#N/A,#N/A,FALSE,"Plan2"}</definedName>
    <definedName name="hddfndgdfg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HDFGHGST" localSheetId="8" hidden="1">{#N/A,#N/A,FALSE,"Plan1";#N/A,#N/A,FALSE,"Plan2"}</definedName>
    <definedName name="HDFGJKHKFDHTY" localSheetId="8" hidden="1">{#N/A,#N/A,FALSE,"Plan1";#N/A,#N/A,FALSE,"Plan2"}</definedName>
    <definedName name="hdfhdhrtgd" localSheetId="8" hidden="1">{#N/A,#N/A,FALSE,"Plan1";#N/A,#N/A,FALSE,"Plan2"}</definedName>
    <definedName name="hdfhftde" localSheetId="8" hidden="1">{#N/A,#N/A,FALSE,"Plan1";#N/A,#N/A,FALSE,"Plan2"}</definedName>
    <definedName name="hdfhgkdhgtrf" localSheetId="8" hidden="1">{#N/A,#N/A,FALSE,"Plan1";#N/A,#N/A,FALSE,"Plan2"}</definedName>
    <definedName name="hdfjhdkzhgdr" localSheetId="8" hidden="1">{#N/A,#N/A,FALSE,"Plan1";#N/A,#N/A,FALSE,"Plan2"}</definedName>
    <definedName name="hdfjkgvjgtd" localSheetId="8" hidden="1">{#N/A,#N/A,FALSE,"Plan1";#N/A,#N/A,FALSE,"Plan2"}</definedName>
    <definedName name="hdfjkhdhrute" localSheetId="8" hidden="1">{#N/A,#N/A,FALSE,"Plan1";#N/A,#N/A,FALSE,"Plan2"}</definedName>
    <definedName name="HDFKGVF" localSheetId="8" hidden="1">{#N/A,#N/A,FALSE,"Plan1";#N/A,#N/A,FALSE,"Plan2"}</definedName>
    <definedName name="hdgfhdgtdrt" localSheetId="8" hidden="1">{#N/A,#N/A,FALSE,"Plan1";#N/A,#N/A,FALSE,"Plan2"}</definedName>
    <definedName name="hdghgtgtrgd" localSheetId="8" hidden="1">{#N/A,#N/A,FALSE,"Plan1";#N/A,#N/A,FALSE,"Plan2"}</definedName>
    <definedName name="HDHDGHTUHDTG" localSheetId="8" hidden="1">{#N/A,#N/A,FALSE,"Plan1";#N/A,#N/A,FALSE,"Plan2"}</definedName>
    <definedName name="hdhghfthrrhy" localSheetId="8" hidden="1">{#N/A,#N/A,FALSE,"Plan1";#N/A,#N/A,FALSE,"Plan2"}</definedName>
    <definedName name="hdkfjhydjh" localSheetId="8" hidden="1">{#N/A,#N/A,FALSE,"Plan1";#N/A,#N/A,FALSE,"Plan2"}</definedName>
    <definedName name="hdsgfgrrdgr" localSheetId="8" hidden="1">{#N/A,#N/A,FALSE,"Plan1";#N/A,#N/A,FALSE,"Plan2"}</definedName>
    <definedName name="hdtertkkdsa" localSheetId="8" hidden="1">{#N/A,#N/A,FALSE,"Plan1";#N/A,#N/A,FALSE,"Plan2"}</definedName>
    <definedName name="HEDHA" localSheetId="8" hidden="1">{#N/A,#N/A,FALSE,"Plan1";#N/A,#N/A,FALSE,"Plan2"}</definedName>
    <definedName name="heife"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herkfdshfker" localSheetId="8" hidden="1">{#N/A,#N/A,FALSE,"Plan1";#N/A,#N/A,FALSE,"Plan2"}</definedName>
    <definedName name="hersdtretyt" localSheetId="8" hidden="1">{#N/A,#N/A,FALSE,"Plan1";#N/A,#N/A,FALSE,"Plan2"}</definedName>
    <definedName name="HFDJTHTRS"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HFDKHGFR" localSheetId="8" hidden="1">{#N/A,#N/A,FALSE,"Plan1";#N/A,#N/A,FALSE,"Plan2"}</definedName>
    <definedName name="hfdkhgkfdhtj" localSheetId="8" hidden="1">{#N/A,#N/A,FALSE,"Plan1";#N/A,#N/A,FALSE,"Plan2"}</definedName>
    <definedName name="hfgfktgkhyt" localSheetId="8" hidden="1">{#N/A,#N/A,FALSE,"Plan1";#N/A,#N/A,FALSE,"Plan2"}</definedName>
    <definedName name="hfghdkhrgkjg" localSheetId="8" hidden="1">{#N/A,#N/A,FALSE,"Plan1";#N/A,#N/A,FALSE,"Plan2"}</definedName>
    <definedName name="hfighfth" localSheetId="8" hidden="1">{#N/A,#N/A,FALSE,"Plan1";#N/A,#N/A,FALSE,"Plan2"}</definedName>
    <definedName name="hfjghtfuyrf" localSheetId="8" hidden="1">{#N/A,#N/A,FALSE,"Plan1";#N/A,#N/A,FALSE,"Plan2"}</definedName>
    <definedName name="HFKJHDJGHFJ" localSheetId="8" hidden="1">{#N/A,#N/A,FALSE,"Plan1";#N/A,#N/A,FALSE,"Plan2"}</definedName>
    <definedName name="hgdesgfgsj" localSheetId="8" hidden="1">{#N/A,#N/A,FALSE,"Plan1";#N/A,#N/A,FALSE,"Plan2"}</definedName>
    <definedName name="hgdgfd" localSheetId="8" hidden="1">{#N/A,#N/A,FALSE,"Plan1";#N/A,#N/A,FALSE,"Plan2"}</definedName>
    <definedName name="hgfhjkdfhj" localSheetId="8" hidden="1">{#N/A,#N/A,FALSE,"Plan1";#N/A,#N/A,FALSE,"Plan2"}</definedName>
    <definedName name="hgg" localSheetId="8" hidden="1">{#N/A,#N/A,FALSE,"Plan1";#N/A,#N/A,FALSE,"Plan2"}</definedName>
    <definedName name="hgjdfgghg" localSheetId="8" hidden="1">{#N/A,#N/A,FALSE,"Plan1";#N/A,#N/A,FALSE,"Plan2"}</definedName>
    <definedName name="hgjkfdhg" localSheetId="8" hidden="1">{#N/A,#N/A,FALSE,"Plan1";#N/A,#N/A,FALSE,"Plan2"}</definedName>
    <definedName name="hgkdfhkfk" localSheetId="8" hidden="1">{#N/A,#N/A,FALSE,"Plan1";#N/A,#N/A,FALSE,"Plan2"}</definedName>
    <definedName name="hgkjhdfhtrdyt" localSheetId="8" hidden="1">{#N/A,#N/A,FALSE,"Plan1";#N/A,#N/A,FALSE,"Plan2"}</definedName>
    <definedName name="hgkjhdfkhgtfhg" localSheetId="8" hidden="1">{#N/A,#N/A,FALSE,"Plan1";#N/A,#N/A,FALSE,"Plan2"}</definedName>
    <definedName name="hgkjhkfhsdkdhgk" localSheetId="8" hidden="1">{#N/A,#N/A,FALSE,"Plan1";#N/A,#N/A,FALSE,"Plan2"}</definedName>
    <definedName name="hgsufgdhghd" localSheetId="8" hidden="1">{#N/A,#N/A,FALSE,"Plan1";#N/A,#N/A,FALSE,"Plan2"}</definedName>
    <definedName name="HHGFHTYUT" localSheetId="8" hidden="1">{#N/A,#N/A,FALSE,"Plan1";#N/A,#N/A,FALSE,"Plan2"}</definedName>
    <definedName name="hhh" localSheetId="8" hidden="1">{"'Total'!$A$1","'Total'!$A$3"}</definedName>
    <definedName name="hik" localSheetId="8" hidden="1">{#N/A,#N/A,FALSE,"TABLE"}</definedName>
    <definedName name="hjdgtjdjxrfg" localSheetId="8" hidden="1">{#N/A,#N/A,FALSE,"Plan1";#N/A,#N/A,FALSE,"Plan2"}</definedName>
    <definedName name="HJFDGD" localSheetId="8" hidden="1">{#N/A,#N/A,FALSE,"Plan1";#N/A,#N/A,FALSE,"Plan2"}</definedName>
    <definedName name="HJGASD" localSheetId="8" hidden="1">{#N/A,#N/A,FALSE,"Plan1";#N/A,#N/A,FALSE,"Plan2"}</definedName>
    <definedName name="HJGFGTFDG" localSheetId="8" hidden="1">{#N/A,#N/A,FALSE,"Plan1";#N/A,#N/A,FALSE,"Plan2"}</definedName>
    <definedName name="hjgfhdsgfhsd" localSheetId="8" hidden="1">{#N/A,#N/A,FALSE,"Plan1";#N/A,#N/A,FALSE,"Plan2"}</definedName>
    <definedName name="hjgxfjgdjyftr" localSheetId="8" hidden="1">{#N/A,#N/A,FALSE,"Plan1";#N/A,#N/A,FALSE,"Plan2"}</definedName>
    <definedName name="hjgyugasd" localSheetId="8" hidden="1">{#N/A,#N/A,FALSE,"Plan1";#N/A,#N/A,FALSE,"Plan2"}</definedName>
    <definedName name="hjjfyfy" localSheetId="8" hidden="1">{#N/A,#N/A,FALSE,"Plan1";#N/A,#N/A,FALSE,"Plan2"}</definedName>
    <definedName name="hjkchkvjhdjkgh" localSheetId="8" hidden="1">{#N/A,#N/A,FALSE,"Plan1";#N/A,#N/A,FALSE,"Plan2"}</definedName>
    <definedName name="hjkfjdyht" localSheetId="8" hidden="1">{#N/A,#N/A,FALSE,"Plan1";#N/A,#N/A,FALSE,"Plan2"}</definedName>
    <definedName name="hjsdffe"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hjsdkhk" localSheetId="8" hidden="1">{#N/A,#N/A,FALSE,"Plan1";#N/A,#N/A,FALSE,"Plan2"}</definedName>
    <definedName name="hjsrdfre" localSheetId="8" hidden="1">{"Econ Consolidado",#N/A,FALSE,"Econ Consol";"Fluxo de Caixa",#N/A,FALSE,"Fluxo Caixa";"Investimentos",#N/A,FALSE,"Investimentos"}</definedName>
    <definedName name="HKewewsr" localSheetId="8" hidden="1">{#N/A,#N/A,FALSE,"Plan1";#N/A,#N/A,FALSE,"Plan2"}</definedName>
    <definedName name="hkhdskacd" localSheetId="8" hidden="1">{#N/A,#N/A,FALSE,"Plan1";#N/A,#N/A,FALSE,"Plan2"}</definedName>
    <definedName name="hkjfgfhgfh" localSheetId="8" hidden="1">{#N/A,#N/A,FALSE,"Plan1";#N/A,#N/A,FALSE,"Plan2"}</definedName>
    <definedName name="hkjfhgjkfhghfg" localSheetId="8" hidden="1">{#N/A,#N/A,FALSE,"Plan1";#N/A,#N/A,FALSE,"Plan2"}</definedName>
    <definedName name="HKLZHFRH" localSheetId="8" hidden="1">{#N/A,#N/A,FALSE,"Plan1";#N/A,#N/A,FALSE,"Plan2"}</definedName>
    <definedName name="ho" localSheetId="8" hidden="1">{#N/A,#N/A,FALSE,"TABLE"}</definedName>
    <definedName name="hrterte" localSheetId="8" hidden="1">{#N/A,#N/A,FALSE,"Plan1";#N/A,#N/A,FALSE,"Plan2"}</definedName>
    <definedName name="hsdf" localSheetId="8" hidden="1">{#N/A,#N/A,FALSE,"Plan1";#N/A,#N/A,FALSE,"Plan2"}</definedName>
    <definedName name="hsdfgdgudrt" localSheetId="8" hidden="1">{#N/A,#N/A,FALSE,"Plan1";#N/A,#N/A,FALSE,"Plan2"}</definedName>
    <definedName name="hsdfjkdhur" localSheetId="8" hidden="1">{#N/A,#N/A,FALSE,"Plan1";#N/A,#N/A,FALSE,"Plan2"}</definedName>
    <definedName name="hsdgftdht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hsdjffd" localSheetId="8" hidden="1">{#N/A,#N/A,FALSE,"Plan1";#N/A,#N/A,FALSE,"Plan2"}</definedName>
    <definedName name="hsdjffe" localSheetId="8" hidden="1">{#N/A,#N/A,FALSE,"Plan1";#N/A,#N/A,FALSE,"Plan2"}</definedName>
    <definedName name="HSFIHDTR" localSheetId="8" hidden="1">{"Econ Consolidado",#N/A,FALSE,"Econ Consol";"Fluxo de Caixa",#N/A,FALSE,"Fluxo Caixa";"Investimentos",#N/A,FALSE,"Investimentos"}</definedName>
    <definedName name="hsfjkdshrgf" localSheetId="8" hidden="1">{#N/A,#N/A,FALSE,"Plan1";#N/A,#N/A,FALSE,"Plan2"}</definedName>
    <definedName name="hthhrtetdre" localSheetId="8" hidden="1">{#N/A,#N/A,FALSE,"Plan1";#N/A,#N/A,FALSE,"Plan2"}</definedName>
    <definedName name="HTML_Control" localSheetId="8" hidden="1">{"'장비'!$A$3:$M$12"}</definedName>
    <definedName name="HTML2_CONTROL" localSheetId="8" hidden="1">{"'Estimativa de Lançamento-JAN'!$A$1:$AI$85"}</definedName>
    <definedName name="HTML3_CONTROL" localSheetId="8" hidden="1">{"'Estimativa de Lançamento-JAN'!$A$1:$AI$85"}</definedName>
    <definedName name="HTMLControl" localSheetId="8" hidden="1">{"'Edit'!$A$1:$V$2277"}</definedName>
    <definedName name="HVJKHGKFXHFD" localSheetId="8" hidden="1">{#N/A,#N/A,FALSE,"Plan1";#N/A,#N/A,FALSE,"Plan2"}</definedName>
    <definedName name="hwekjhekhf" localSheetId="8" hidden="1">{#N/A,#N/A,FALSE,"Plan1";#N/A,#N/A,FALSE,"Plan2"}</definedName>
    <definedName name="HXFRE" localSheetId="8" hidden="1">{#N/A,#N/A,FALSE,"Plan1";#N/A,#N/A,FALSE,"Plan2"}</definedName>
    <definedName name="HXKJFGDKHG" localSheetId="8" hidden="1">{#N/A,#N/A,FALSE,"Plan1";#N/A,#N/A,FALSE,"Plan2"}</definedName>
    <definedName name="idfhgkjhfkthy" localSheetId="8" hidden="1">{#N/A,#N/A,FALSE,"Plan1";#N/A,#N/A,FALSE,"Plan2"}</definedName>
    <definedName name="ieroweft" localSheetId="8" hidden="1">{#N/A,#N/A,FALSE,"Plan1";#N/A,#N/A,FALSE,"Plan2"}</definedName>
    <definedName name="iewpotqi5poejy" localSheetId="8" hidden="1">{#N/A,#N/A,FALSE,"Plan1";#N/A,#N/A,FALSE,"Plan2"}</definedName>
    <definedName name="ihdfifguhgfuiyh"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ihdsitrr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ihfdkjhktgrd" localSheetId="8" hidden="1">{#N/A,#N/A,FALSE,"Plan1";#N/A,#N/A,FALSE,"Plan2"}</definedName>
    <definedName name="ihrtetw4r" localSheetId="8" hidden="1">{#N/A,#N/A,FALSE,"Plan1";#N/A,#N/A,FALSE,"Plan2"}</definedName>
    <definedName name="IIASDSAWE" localSheetId="8" hidden="1">{"Econ Consolidado",#N/A,FALSE,"Econ Consol";"Fluxo de Caixa",#N/A,FALSE,"Fluxo Caixa";"Investimentos",#N/A,FALSE,"Investimentos"}</definedName>
    <definedName name="iinstalações" localSheetId="8" hidden="1">{#N/A,#N/A,FALSE,"GERAL";#N/A,#N/A,FALSE,"012-96";#N/A,#N/A,FALSE,"018-96";#N/A,#N/A,FALSE,"027-96";#N/A,#N/A,FALSE,"059-96";#N/A,#N/A,FALSE,"076-96";#N/A,#N/A,FALSE,"019-97";#N/A,#N/A,FALSE,"021-97";#N/A,#N/A,FALSE,"022-97";#N/A,#N/A,FALSE,"028-97"}</definedName>
    <definedName name="ilhweilrji4e" localSheetId="8" hidden="1">{#N/A,#N/A,FALSE,"Plan1";#N/A,#N/A,FALSE,"Plan2"}</definedName>
    <definedName name="ilsdr4wf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Insatalações" localSheetId="8" hidden="1">{#N/A,#N/A,FALSE,"GERAL";#N/A,#N/A,FALSE,"012-96";#N/A,#N/A,FALSE,"018-96";#N/A,#N/A,FALSE,"027-96";#N/A,#N/A,FALSE,"059-96";#N/A,#N/A,FALSE,"076-96";#N/A,#N/A,FALSE,"019-97";#N/A,#N/A,FALSE,"021-97";#N/A,#N/A,FALSE,"022-97";#N/A,#N/A,FALSE,"028-97"}</definedName>
    <definedName name="instalaçoes2" localSheetId="8" hidden="1">{#N/A,#N/A,FALSE,"GERAL";#N/A,#N/A,FALSE,"012-96";#N/A,#N/A,FALSE,"018-96";#N/A,#N/A,FALSE,"027-96";#N/A,#N/A,FALSE,"059-96";#N/A,#N/A,FALSE,"076-96";#N/A,#N/A,FALSE,"019-97";#N/A,#N/A,FALSE,"021-97";#N/A,#N/A,FALSE,"022-97";#N/A,#N/A,FALSE,"028-97"}</definedName>
    <definedName name="INTEGRA" localSheetId="8" hidden="1">{"'Edit'!$A$1:$V$2277"}</definedName>
    <definedName name="ioeriotyt" localSheetId="8" hidden="1">{#N/A,#N/A,FALSE,"Plan1";#N/A,#N/A,FALSE,"Plan2"}</definedName>
    <definedName name="iohudtorh" localSheetId="8" hidden="1">{#N/A,#N/A,FALSE,"Plan1";#N/A,#N/A,FALSE,"Plan2"}</definedName>
    <definedName name="iojtkheayed" localSheetId="8" hidden="1">{#N/A,#N/A,FALSE,"Plan1";#N/A,#N/A,FALSE,"Plan2"}</definedName>
    <definedName name="iouweroieuw4" localSheetId="8" hidden="1">{#N/A,#N/A,FALSE,"Plan1";#N/A,#N/A,FALSE,"Plan2"}</definedName>
    <definedName name="iphifpgh" localSheetId="8" hidden="1">{#N/A,#N/A,FALSE,"Plan1";#N/A,#N/A,FALSE,"Plan2"}</definedName>
    <definedName name="ipodsifgpds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ipotjrjketjr" localSheetId="8" hidden="1">{#N/A,#N/A,FALSE,"Plan1";#N/A,#N/A,FALSE,"Plan2"}</definedName>
    <definedName name="ITEM별상세업무분장"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UGFGDFUY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iyguygiyt" localSheetId="8" hidden="1">{#N/A,#N/A,FALSE,"Plan1";#N/A,#N/A,FALSE,"Plan2"}</definedName>
    <definedName name="iyuyheturtd" localSheetId="8" hidden="1">{#N/A,#N/A,FALSE,"Plan1";#N/A,#N/A,FALSE,"Plan2"}</definedName>
    <definedName name="j"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jalejdasjf" localSheetId="8" hidden="1">{#N/A,#N/A,FALSE,"Plan1";#N/A,#N/A,FALSE,"Plan2"}</definedName>
    <definedName name="JASDJS" localSheetId="8" hidden="1">{#N/A,#N/A,FALSE,"Plan1";#N/A,#N/A,FALSE,"Plan2"}</definedName>
    <definedName name="jaskldjlse" localSheetId="8" hidden="1">{#N/A,#N/A,FALSE,"Plan1";#N/A,#N/A,FALSE,"Plan2"}</definedName>
    <definedName name="JASLDKLD" localSheetId="8" hidden="1">{#N/A,#N/A,FALSE,"Plan1";#N/A,#N/A,FALSE,"Plan2"}</definedName>
    <definedName name="JÇDFHDF" localSheetId="8" hidden="1">{"Econ Consolidado",#N/A,FALSE,"Econ Consol";"Fluxo de Caixa",#N/A,FALSE,"Fluxo Caixa";"Investimentos",#N/A,FALSE,"Investimentos"}</definedName>
    <definedName name="jdbgftbhr" localSheetId="8" hidden="1">{#N/A,#N/A,FALSE,"Plan1";#N/A,#N/A,FALSE,"Plan2"}</definedName>
    <definedName name="jdfgldfjgklh" localSheetId="8" hidden="1">{#N/A,#N/A,FALSE,"Plan1";#N/A,#N/A,FALSE,"Plan2"}</definedName>
    <definedName name="jdfhjkdrhjtkg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jdfjdtrgt" localSheetId="8" hidden="1">{#N/A,#N/A,FALSE,"Plan1";#N/A,#N/A,FALSE,"Plan2"}</definedName>
    <definedName name="JDFJLDJR" localSheetId="8" hidden="1">{#N/A,#N/A,FALSE,"Plan1";#N/A,#N/A,FALSE,"Plan2"}</definedName>
    <definedName name="jdfkgitfgdrtt" localSheetId="8" hidden="1">{#N/A,#N/A,FALSE,"Plan1";#N/A,#N/A,FALSE,"Plan2"}</definedName>
    <definedName name="JDFKHFKJ" localSheetId="8" hidden="1">{#N/A,#N/A,FALSE,"Plan1";#N/A,#N/A,FALSE,"Plan2"}</definedName>
    <definedName name="jdfklgtdtr" localSheetId="8" hidden="1">{#N/A,#N/A,FALSE,"Plan1";#N/A,#N/A,FALSE,"Plan2"}</definedName>
    <definedName name="JDFKTHRT" localSheetId="8" hidden="1">{#N/A,#N/A,FALSE,"Plan1";#N/A,#N/A,FALSE,"Plan2"}</definedName>
    <definedName name="JDFLKJDRF" localSheetId="8" hidden="1">{#N/A,#N/A,FALSE,"Plan1";#N/A,#N/A,FALSE,"Plan2"}</definedName>
    <definedName name="jdfzlkjgfdht" localSheetId="8" hidden="1">{#N/A,#N/A,FALSE,"Plan1";#N/A,#N/A,FALSE,"Plan2"}</definedName>
    <definedName name="jdglhfghkt" localSheetId="8" hidden="1">{#N/A,#N/A,FALSE,"Plan1";#N/A,#N/A,FALSE,"Plan2"}</definedName>
    <definedName name="jdhfjdhgfd" localSheetId="8" hidden="1">{#N/A,#N/A,FALSE,"Plan1";#N/A,#N/A,FALSE,"Plan2"}</definedName>
    <definedName name="jdjdjdjd" localSheetId="8" hidden="1">{#N/A,#N/A,FALSE,"명세표"}</definedName>
    <definedName name="jdkfhgjhf" localSheetId="8" hidden="1">{#N/A,#N/A,FALSE,"Plan1";#N/A,#N/A,FALSE,"Plan2"}</definedName>
    <definedName name="jdkfjdtr" localSheetId="8" hidden="1">{#N/A,#N/A,FALSE,"Plan1";#N/A,#N/A,FALSE,"Plan2"}</definedName>
    <definedName name="jdljgftldjti5r" localSheetId="8" hidden="1">{#N/A,#N/A,FALSE,"Plan1";#N/A,#N/A,FALSE,"Plan2"}</definedName>
    <definedName name="JDLKJDASGF" localSheetId="8" hidden="1">{#N/A,#N/A,FALSE,"Plan1";#N/A,#N/A,FALSE,"Plan2"}</definedName>
    <definedName name="jdrfkdjfghrtfjg" localSheetId="8" hidden="1">{#N/A,#N/A,FALSE,"Plan1";#N/A,#N/A,FALSE,"Plan2"}</definedName>
    <definedName name="jdskfhdk" localSheetId="8" hidden="1">{#N/A,#N/A,FALSE,"Plan1";#N/A,#N/A,FALSE,"Plan2"}</definedName>
    <definedName name="JDSKLGKDRHGGF" localSheetId="8" hidden="1">{#N/A,#N/A,FALSE,"Plan1";#N/A,#N/A,FALSE,"Plan2"}</definedName>
    <definedName name="jefsgfr" localSheetId="8" hidden="1">{#N/A,#N/A,FALSE,"Plan1";#N/A,#N/A,FALSE,"Plan2"}</definedName>
    <definedName name="JERHIEHYURE" localSheetId="8" hidden="1">{#N/A,#N/A,FALSE,"Plan1";#N/A,#N/A,FALSE,"Plan2"}</definedName>
    <definedName name="jfddlsrtyty" localSheetId="8" hidden="1">{#N/A,#N/A,FALSE,"Plan1";#N/A,#N/A,FALSE,"Plan2"}</definedName>
    <definedName name="jfdjtgdjghitfyh" localSheetId="8" hidden="1">{#N/A,#N/A,FALSE,"Plan1";#N/A,#N/A,FALSE,"Plan2"}</definedName>
    <definedName name="jfdkgkftftg" localSheetId="8" hidden="1">{#N/A,#N/A,FALSE,"Plan1";#N/A,#N/A,FALSE,"Plan2"}</definedName>
    <definedName name="jfghjkfdhtkyru"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JFGJYHTY" localSheetId="8" hidden="1">{#N/A,#N/A,FALSE,"Plan1";#N/A,#N/A,FALSE,"Plan2"}</definedName>
    <definedName name="jfgkflcnjkglc" localSheetId="8" hidden="1">{#N/A,#N/A,FALSE,"Plan1";#N/A,#N/A,FALSE,"Plan2"}</definedName>
    <definedName name="JFHRE" localSheetId="8" hidden="1">{#N/A,#N/A,FALSE,"Plan1";#N/A,#N/A,FALSE,"Plan2"}</definedName>
    <definedName name="jfkdls5jtirjd" localSheetId="8" hidden="1">{#N/A,#N/A,FALSE,"Plan1";#N/A,#N/A,FALSE,"Plan2"}</definedName>
    <definedName name="jfkljdkfcj" localSheetId="8" hidden="1">{#N/A,#N/A,FALSE,"Plan1";#N/A,#N/A,FALSE,"Plan2"}</definedName>
    <definedName name="jfkrhdtghdut" localSheetId="8" hidden="1">{#N/A,#N/A,FALSE,"Plan1";#N/A,#N/A,FALSE,"Plan2"}</definedName>
    <definedName name="JFRESR" localSheetId="8" hidden="1">{#N/A,#N/A,FALSE,"Plan1";#N/A,#N/A,FALSE,"Plan2"}</definedName>
    <definedName name="jgdfdgfjgdj" localSheetId="8" hidden="1">{#N/A,#N/A,FALSE,"Plan1";#N/A,#N/A,FALSE,"Plan2"}</definedName>
    <definedName name="jgdfght" localSheetId="8" hidden="1">{#N/A,#N/A,FALSE,"Plan1";#N/A,#N/A,FALSE,"Plan2"}</definedName>
    <definedName name="jgfgdsgfdhrf" localSheetId="8" hidden="1">{#N/A,#N/A,FALSE,"Plan1";#N/A,#N/A,FALSE,"Plan2"}</definedName>
    <definedName name="JGFJGTFT" localSheetId="8" hidden="1">{#N/A,#N/A,FALSE,"Plan1";#N/A,#N/A,FALSE,"Plan2"}</definedName>
    <definedName name="jgkjkhjuftgi" localSheetId="8" hidden="1">{#N/A,#N/A,FALSE,"Plan1";#N/A,#N/A,FALSE,"Plan2"}</definedName>
    <definedName name="jhd"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jhdfjjhirft" localSheetId="8" hidden="1">{#N/A,#N/A,FALSE,"Plan1";#N/A,#N/A,FALSE,"Plan2"}</definedName>
    <definedName name="jhdfjkhtrdhf" localSheetId="8" hidden="1">{#N/A,#N/A,FALSE,"Plan1";#N/A,#N/A,FALSE,"Plan2"}</definedName>
    <definedName name="jhdfuthr" localSheetId="8" hidden="1">{#N/A,#N/A,FALSE,"Plan1";#N/A,#N/A,FALSE,"Plan2"}</definedName>
    <definedName name="JHDFZGRDHF" localSheetId="8" hidden="1">{"Econ Consolidado",#N/A,FALSE,"Econ Consol";"Fluxo de Caixa",#N/A,FALSE,"Fluxo Caixa";"Investimentos",#N/A,FALSE,"Investimentos"}</definedName>
    <definedName name="JHERKHKFGH" localSheetId="8" hidden="1">{#N/A,#N/A,FALSE,"Plan1";#N/A,#N/A,FALSE,"Plan2"}</definedName>
    <definedName name="JHGKJFJFJGL" localSheetId="8" hidden="1">{#N/A,#N/A,FALSE,"Plan1";#N/A,#N/A,FALSE,"Plan2"}</definedName>
    <definedName name="jhsdjkhfuks" localSheetId="8" hidden="1">{#N/A,#N/A,FALSE,"Plan1";#N/A,#N/A,FALSE,"Plan2"}</definedName>
    <definedName name="jisdrkje" localSheetId="8" hidden="1">{#N/A,#N/A,FALSE,"Plan1";#N/A,#N/A,FALSE,"Plan2"}</definedName>
    <definedName name="jishfrieyhtau" localSheetId="8" hidden="1">{#N/A,#N/A,FALSE,"Plan1";#N/A,#N/A,FALSE,"Plan2"}</definedName>
    <definedName name="jiu"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jj" localSheetId="8" hidden="1">{"'Apr-00'!$B$4:$AD$44"}</definedName>
    <definedName name="jjfdsktyhhy" localSheetId="8" hidden="1">{#N/A,#N/A,FALSE,"Plan1";#N/A,#N/A,FALSE,"Plan2"}</definedName>
    <definedName name="jjkjkjk" localSheetId="8" hidden="1">{#N/A,#N/A,FALSE,"Plan1";#N/A,#N/A,FALSE,"Plan2"}</definedName>
    <definedName name="JKDCK" localSheetId="8" hidden="1">{#N/A,#N/A,FALSE,"Plan1";#N/A,#N/A,FALSE,"Plan2"}</definedName>
    <definedName name="JKDFHKHFR" localSheetId="8" hidden="1">{#N/A,#N/A,FALSE,"Plan1";#N/A,#N/A,FALSE,"Plan2"}</definedName>
    <definedName name="JKDFTRDRJ" localSheetId="8" hidden="1">{#N/A,#N/A,FALSE,"Plan1";#N/A,#N/A,FALSE,"Plan2"}</definedName>
    <definedName name="jkdhfukhddf" localSheetId="8" hidden="1">{#N/A,#N/A,FALSE,"Plan1";#N/A,#N/A,FALSE,"Plan2"}</definedName>
    <definedName name="JKDRKGJHTDR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jkelsjreja" localSheetId="8" hidden="1">{#N/A,#N/A,FALSE,"Plan1";#N/A,#N/A,FALSE,"Plan2"}</definedName>
    <definedName name="jkfhjgkfhghh" localSheetId="8" hidden="1">{#N/A,#N/A,FALSE,"Plan1";#N/A,#N/A,FALSE,"Plan2"}</definedName>
    <definedName name="jkhderjkhes" localSheetId="8" hidden="1">{#N/A,#N/A,FALSE,"Plan1";#N/A,#N/A,FALSE,"Plan2"}</definedName>
    <definedName name="jkhdfhfd" localSheetId="8" hidden="1">{#N/A,#N/A,FALSE,"Plan1";#N/A,#N/A,FALSE,"Plan2"}</definedName>
    <definedName name="jkhfhest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JKHFKJHGKFTHUDET" localSheetId="8" hidden="1">{#N/A,#N/A,FALSE,"Plan1";#N/A,#N/A,FALSE,"Plan2"}</definedName>
    <definedName name="JKHGDHFUHTG" localSheetId="8" hidden="1">{#N/A,#N/A,FALSE,"Plan1";#N/A,#N/A,FALSE,"Plan2"}</definedName>
    <definedName name="jkhsdzjkfyiu" localSheetId="8" hidden="1">{#N/A,#N/A,FALSE,"Plan1";#N/A,#N/A,FALSE,"Plan2"}</definedName>
    <definedName name="jkjsdkhfdhrf" localSheetId="8" hidden="1">{#N/A,#N/A,FALSE,"Plan1";#N/A,#N/A,FALSE,"Plan2"}</definedName>
    <definedName name="jklgfsjgtjtg" localSheetId="8" hidden="1">{#N/A,#N/A,FALSE,"Plan1";#N/A,#N/A,FALSE,"Plan2"}</definedName>
    <definedName name="jksldfjsdhf" localSheetId="8" hidden="1">{#N/A,#N/A,FALSE,"Plan1";#N/A,#N/A,FALSE,"Plan2"}</definedName>
    <definedName name="jkxhcjkhfr" localSheetId="8" hidden="1">{#N/A,#N/A,FALSE,"Plan1";#N/A,#N/A,FALSE,"Plan2"}</definedName>
    <definedName name="JNGCKFKJFGH" localSheetId="8" hidden="1">{#N/A,#N/A,FALSE,"Plan1";#N/A,#N/A,FALSE,"Plan2"}</definedName>
    <definedName name="JREJRW" localSheetId="8" hidden="1">{#N/A,#N/A,FALSE,"Plan1";#N/A,#N/A,FALSE,"Plan2"}</definedName>
    <definedName name="JSADKAH" localSheetId="8" hidden="1">{"Econ Consolidado",#N/A,FALSE,"Econ Consol";"Fluxo de Caixa",#N/A,FALSE,"Fluxo Caixa";"Investimentos",#N/A,FALSE,"Investimentos"}</definedName>
    <definedName name="JSDAJRE" localSheetId="8" hidden="1">{#N/A,#N/A,FALSE,"Plan1";#N/A,#N/A,FALSE,"Plan2"}</definedName>
    <definedName name="jsdffsed"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jsdfjgx" localSheetId="8" hidden="1">{#N/A,#N/A,FALSE,"Plan1";#N/A,#N/A,FALSE,"Plan2"}</definedName>
    <definedName name="jsdfsdfd" localSheetId="8" hidden="1">{#N/A,#N/A,FALSE,"Plan1";#N/A,#N/A,FALSE,"Plan2"}</definedName>
    <definedName name="jsdljficd" localSheetId="8" hidden="1">{#N/A,#N/A,FALSE,"Plan1";#N/A,#N/A,FALSE,"Plan2"}</definedName>
    <definedName name="JSDTLFJDRG" localSheetId="8" hidden="1">{#N/A,#N/A,FALSE,"Plan1";#N/A,#N/A,FALSE,"Plan2"}</definedName>
    <definedName name="jsfjsjferwea" localSheetId="8" hidden="1">{#N/A,#N/A,FALSE,"Plan1";#N/A,#N/A,FALSE,"Plan2"}</definedName>
    <definedName name="jslrjer" localSheetId="8" hidden="1">{#N/A,#N/A,FALSE,"Plan1";#N/A,#N/A,FALSE,"Plan2"}</definedName>
    <definedName name="juklhkhdf" localSheetId="8" hidden="1">{#N/A,#N/A,FALSE,"Plan1";#N/A,#N/A,FALSE,"Plan2"}</definedName>
    <definedName name="JULHO99" localSheetId="8" hidden="1">{#N/A,#N/A,TRUE,"Quinzena 01 à 15-04-98 "}</definedName>
    <definedName name="jwekljd" localSheetId="8" hidden="1">{#N/A,#N/A,FALSE,"Plan1";#N/A,#N/A,FALSE,"Plan2"}</definedName>
    <definedName name="JWEOITORU5Y" localSheetId="8" hidden="1">{#N/A,#N/A,FALSE,"Plan1";#N/A,#N/A,FALSE,"Plan2"}</definedName>
    <definedName name="jxdfjsrf" localSheetId="8" hidden="1">{#N/A,#N/A,FALSE,"Plan1";#N/A,#N/A,FALSE,"Plan2"}</definedName>
    <definedName name="jxdklfjv"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jzsdjkszl" localSheetId="8" hidden="1">{#N/A,#N/A,FALSE,"Plan1";#N/A,#N/A,FALSE,"Plan2"}</definedName>
    <definedName name="JZXFKLJLDJF" localSheetId="8" hidden="1">{#N/A,#N/A,FALSE,"Plan1";#N/A,#N/A,FALSE,"Plan2"}</definedName>
    <definedName name="jzxklfdlvgfg" localSheetId="8" hidden="1">{#N/A,#N/A,FALSE,"Plan1";#N/A,#N/A,FALSE,"Plan2"}</definedName>
    <definedName name="k" localSheetId="8" hidden="1">{#N/A,#N/A,FALSE,"Plan1";#N/A,#N/A,FALSE,"Plan2"}</definedName>
    <definedName name="kaedkroswr" localSheetId="8" hidden="1">{"Econ Consolidado",#N/A,FALSE,"Econ Consol";"Fluxo de Caixa",#N/A,FALSE,"Fluxo Caixa";"Investimentos",#N/A,FALSE,"Investimentos"}</definedName>
    <definedName name="kç\lKçaksdçaqew" localSheetId="8" hidden="1">{#N/A,#N/A,FALSE,"Plan1";#N/A,#N/A,FALSE,"Plan2"}</definedName>
    <definedName name="kçdasekr" localSheetId="8" hidden="1">{#N/A,#N/A,FALSE,"Plan1";#N/A,#N/A,FALSE,"Plan2"}</definedName>
    <definedName name="kçfdljtredr" localSheetId="8" hidden="1">{#N/A,#N/A,FALSE,"Plan1";#N/A,#N/A,FALSE,"Plan2"}</definedName>
    <definedName name="kclçkglf" localSheetId="8" hidden="1">{#N/A,#N/A,FALSE,"Plan1";#N/A,#N/A,FALSE,"Plan2"}</definedName>
    <definedName name="kçlkasçkere" localSheetId="8" hidden="1">{#N/A,#N/A,FALSE,"Plan1";#N/A,#N/A,FALSE,"Plan2"}</definedName>
    <definedName name="kdfbngtjkbf" localSheetId="8" hidden="1">{#N/A,#N/A,FALSE,"Plan1";#N/A,#N/A,FALSE,"Plan2"}</definedName>
    <definedName name="kdfhkghkrh" localSheetId="8" hidden="1">{#N/A,#N/A,FALSE,"Plan1";#N/A,#N/A,FALSE,"Plan2"}</definedName>
    <definedName name="kdfiere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kdfkçrkf" localSheetId="8" hidden="1">{#N/A,#N/A,FALSE,"Plan1";#N/A,#N/A,FALSE,"Plan2"}</definedName>
    <definedName name="kdfljlfr" localSheetId="8" hidden="1">{#N/A,#N/A,FALSE,"Plan1";#N/A,#N/A,FALSE,"Plan2"}</definedName>
    <definedName name="kdhfgkdfhytgu" localSheetId="8" hidden="1">{#N/A,#N/A,FALSE,"Plan1";#N/A,#N/A,FALSE,"Plan2"}</definedName>
    <definedName name="kdhgftfg" localSheetId="8" hidden="1">{#N/A,#N/A,FALSE,"Plan1";#N/A,#N/A,FALSE,"Plan2"}</definedName>
    <definedName name="KDHKFGKKHGF" localSheetId="8" hidden="1">{#N/A,#N/A,FALSE,"Plan1";#N/A,#N/A,FALSE,"Plan2"}</definedName>
    <definedName name="kdjgkfjgd" localSheetId="8" hidden="1">{#N/A,#N/A,FALSE,"Plan1";#N/A,#N/A,FALSE,"Plan2"}</definedName>
    <definedName name="kdjglkdlgjd" localSheetId="8" hidden="1">{#N/A,#N/A,FALSE,"Plan1";#N/A,#N/A,FALSE,"Plan2"}</definedName>
    <definedName name="kdjsfkldjgkty" localSheetId="8" hidden="1">{#N/A,#N/A,FALSE,"Plan1";#N/A,#N/A,FALSE,"Plan2"}</definedName>
    <definedName name="KDJU" localSheetId="8" hidden="1">{"'장비'!$A$3:$M$12"}</definedName>
    <definedName name="kdkjhgdkfhjk" localSheetId="8" hidden="1">{#N/A,#N/A,FALSE,"Plan1";#N/A,#N/A,FALSE,"Plan2"}</definedName>
    <definedName name="kdsf" localSheetId="8" hidden="1">{#N/A,#N/A,FALSE,"Plan1";#N/A,#N/A,FALSE,"Plan2"}</definedName>
    <definedName name="kdsr" localSheetId="8" hidden="1">{#N/A,#N/A,FALSE,"Plan1";#N/A,#N/A,FALSE,"Plan2"}</definedName>
    <definedName name="kergtfdstr" localSheetId="8" hidden="1">{#N/A,#N/A,FALSE,"Plan1";#N/A,#N/A,FALSE,"Plan2"}</definedName>
    <definedName name="KFDKTHGT" localSheetId="8" hidden="1">{#N/A,#N/A,FALSE,"Plan1";#N/A,#N/A,FALSE,"Plan2"}</definedName>
    <definedName name="kfdxlfdzs" localSheetId="8" hidden="1">{"Econ Consolidado",#N/A,FALSE,"Econ Consol";"Fluxo de Caixa",#N/A,FALSE,"Fluxo Caixa";"Investimentos",#N/A,FALSE,"Investimentos"}</definedName>
    <definedName name="kfgkhjkjhy" localSheetId="8" hidden="1">{#N/A,#N/A,FALSE,"Plan1";#N/A,#N/A,FALSE,"Plan2"}</definedName>
    <definedName name="KFJFDSDF" localSheetId="8" hidden="1">{#N/A,#N/A,FALSE,"Plan1";#N/A,#N/A,FALSE,"Plan2"}</definedName>
    <definedName name="kfnkeasd" localSheetId="8" hidden="1">{#N/A,#N/A,FALSE,"Plan1";#N/A,#N/A,FALSE,"Plan2"}</definedName>
    <definedName name="khdjkfkjhtg" localSheetId="8" hidden="1">{#N/A,#N/A,FALSE,"Plan1";#N/A,#N/A,FALSE,"Plan2"}</definedName>
    <definedName name="khdkfjhhfsdg" localSheetId="8" hidden="1">{#N/A,#N/A,FALSE,"Plan1";#N/A,#N/A,FALSE,"Plan2"}</definedName>
    <definedName name="khdkjfhgudytu" localSheetId="8" hidden="1">{#N/A,#N/A,FALSE,"Plan1";#N/A,#N/A,FALSE,"Plan2"}</definedName>
    <definedName name="khfdghhhgd" localSheetId="8" hidden="1">{#N/A,#N/A,FALSE,"Plan1";#N/A,#N/A,FALSE,"Plan2"}</definedName>
    <definedName name="khfdkjhsdjf" localSheetId="8" hidden="1">{#N/A,#N/A,FALSE,"Plan1";#N/A,#N/A,FALSE,"Plan2"}</definedName>
    <definedName name="khgdkftfy" localSheetId="8" hidden="1">{#N/A,#N/A,FALSE,"Plan1";#N/A,#N/A,FALSE,"Plan2"}</definedName>
    <definedName name="khgfhhtuhf" localSheetId="8" hidden="1">{#N/A,#N/A,FALSE,"Plan1";#N/A,#N/A,FALSE,"Plan2"}</definedName>
    <definedName name="khjkh"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KHJKLSDF" localSheetId="8" hidden="1">{#N/A,#N/A,FALSE,"Plan1";#N/A,#N/A,FALSE,"Plan2"}</definedName>
    <definedName name="kieret" localSheetId="8" hidden="1">{#N/A,#N/A,FALSE,"Plan1";#N/A,#N/A,FALSE,"Plan2"}</definedName>
    <definedName name="kjchkfhsezk" localSheetId="8" hidden="1">{#N/A,#N/A,FALSE,"Plan1";#N/A,#N/A,FALSE,"Plan2"}</definedName>
    <definedName name="kjdghksef" localSheetId="8" hidden="1">{#N/A,#N/A,FALSE,"Plan1";#N/A,#N/A,FALSE,"Plan2"}</definedName>
    <definedName name="kjdkftyhtert" localSheetId="8" hidden="1">{#N/A,#N/A,FALSE,"Plan1";#N/A,#N/A,FALSE,"Plan2"}</definedName>
    <definedName name="kjdlfkjds" localSheetId="8" hidden="1">{#N/A,#N/A,FALSE,"Plan1";#N/A,#N/A,FALSE,"Plan2"}</definedName>
    <definedName name="kjdzhfytrfy" localSheetId="8" hidden="1">{#N/A,#N/A,FALSE,"Plan1";#N/A,#N/A,FALSE,"Plan2"}</definedName>
    <definedName name="kjhdfgjthdft" localSheetId="8" hidden="1">{#N/A,#N/A,FALSE,"Plan1";#N/A,#N/A,FALSE,"Plan2"}</definedName>
    <definedName name="kjhsdfk"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kjhsiorf" localSheetId="8" hidden="1">{#N/A,#N/A,FALSE,"Plan1";#N/A,#N/A,FALSE,"Plan2"}</definedName>
    <definedName name="KJJ"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kjjwww" localSheetId="8" hidden="1">{#N/A,#N/A,FALSE,"Plan1";#N/A,#N/A,FALSE,"Plan2"}</definedName>
    <definedName name="kjl" localSheetId="8" hidden="1">{#N/A,#N/A,FALSE,"ENG'G(보호계전기)"}</definedName>
    <definedName name="KJOI" localSheetId="8" hidden="1">{#N/A,#N/A,FALSE,"Plan1";#N/A,#N/A,FALSE,"Plan2"}</definedName>
    <definedName name="kjqwerw" localSheetId="8" hidden="1">{#N/A,#N/A,FALSE,"Plan1";#N/A,#N/A,FALSE,"Plan2"}</definedName>
    <definedName name="kjsfert" localSheetId="8" hidden="1">{#N/A,#N/A,FALSE,"Plan1";#N/A,#N/A,FALSE,"Plan2"}</definedName>
    <definedName name="KJXCFKR" localSheetId="8" hidden="1">{#N/A,#N/A,FALSE,"Plan1";#N/A,#N/A,FALSE,"Plan2"}</definedName>
    <definedName name="KJXDFD" localSheetId="8" hidden="1">{#N/A,#N/A,FALSE,"Plan1";#N/A,#N/A,FALSE,"Plan2"}</definedName>
    <definedName name="kk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kkk" localSheetId="8" hidden="1">{#N/A,#N/A,FALSE,"Plan1";#N/A,#N/A,FALSE,"Plan2"}</definedName>
    <definedName name="kkkkk" localSheetId="8" hidden="1">{#N/A,#N/A,FALSE,"Plan1";#N/A,#N/A,FALSE,"Plan2"}</definedName>
    <definedName name="kkkkkk" localSheetId="8" hidden="1">{#N/A,#N/A,FALSE,"Plan1";#N/A,#N/A,FALSE,"Plan2"}</definedName>
    <definedName name="kko"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kksaklçer" localSheetId="8" hidden="1">{#N/A,#N/A,FALSE,"Plan1";#N/A,#N/A,FALSE,"Plan2"}</definedName>
    <definedName name="kksarde" localSheetId="8" hidden="1">{#N/A,#N/A,FALSE,"Plan1";#N/A,#N/A,FALSE,"Plan2"}</definedName>
    <definedName name="klaskldjsw" localSheetId="8" hidden="1">{#N/A,#N/A,FALSE,"Plan1";#N/A,#N/A,FALSE,"Plan2"}</definedName>
    <definedName name="klçkop" localSheetId="8" hidden="1">{#N/A,#N/A,FALSE,"Plan1";#N/A,#N/A,FALSE,"Plan2"}</definedName>
    <definedName name="KLDFNTRDT" localSheetId="8" hidden="1">{#N/A,#N/A,FALSE,"Plan1";#N/A,#N/A,FALSE,"Plan2"}</definedName>
    <definedName name="klhjsdklhdf" localSheetId="8" hidden="1">{#N/A,#N/A,FALSE,"Plan1";#N/A,#N/A,FALSE,"Plan2"}</definedName>
    <definedName name="KLHSKLRHWE" localSheetId="8" hidden="1">{#N/A,#N/A,FALSE,"Plan1";#N/A,#N/A,FALSE,"Plan2"}</definedName>
    <definedName name="KLJASKJD" localSheetId="8" hidden="1">{#N/A,#N/A,FALSE,"Plan1";#N/A,#N/A,FALSE,"Plan2"}</definedName>
    <definedName name="KLJDXLG"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kljeflwr" localSheetId="8" hidden="1">{#N/A,#N/A,FALSE,"Plan1";#N/A,#N/A,FALSE,"Plan2"}</definedName>
    <definedName name="kljflgjrf" localSheetId="8" hidden="1">{#N/A,#N/A,FALSE,"Plan1";#N/A,#N/A,FALSE,"Plan2"}</definedName>
    <definedName name="kljgfdfr" localSheetId="8" hidden="1">{#N/A,#N/A,FALSE,"Plan1";#N/A,#N/A,FALSE,"Plan2"}</definedName>
    <definedName name="kljgfjrt" localSheetId="8" hidden="1">{#N/A,#N/A,FALSE,"Plan1";#N/A,#N/A,FALSE,"Plan2"}</definedName>
    <definedName name="kljlkdfj" localSheetId="8" hidden="1">{#N/A,#N/A,FALSE,"Plan1";#N/A,#N/A,FALSE,"Plan2"}</definedName>
    <definedName name="kljsakjfr" localSheetId="8" hidden="1">{#N/A,#N/A,FALSE,"Plan1";#N/A,#N/A,FALSE,"Plan2"}</definedName>
    <definedName name="kljsdje" localSheetId="8" hidden="1">{#N/A,#N/A,FALSE,"Plan1";#N/A,#N/A,FALSE,"Plan2"}</definedName>
    <definedName name="kljsfwe" localSheetId="8" hidden="1">{#N/A,#N/A,FALSE,"Plan1";#N/A,#N/A,FALSE,"Plan2"}</definedName>
    <definedName name="klk" localSheetId="8" hidden="1">{#N/A,#N/A,FALSE,"Plan1";#N/A,#N/A,FALSE,"Plan2"}</definedName>
    <definedName name="KLKKLKÇJÇ" localSheetId="8" hidden="1">{#N/A,#N/A,FALSE,"Plan1";#N/A,#N/A,FALSE,"Plan2"}</definedName>
    <definedName name="KLSDFT" localSheetId="8" hidden="1">{#N/A,#N/A,FALSE,"Plan1";#N/A,#N/A,FALSE,"Plan2"}</definedName>
    <definedName name="KLSDHSJKHF" localSheetId="8" hidden="1">{#N/A,#N/A,FALSE,"Plan1";#N/A,#N/A,FALSE,"Plan2"}</definedName>
    <definedName name="klsdkre" localSheetId="8" hidden="1">{#N/A,#N/A,FALSE,"Plan1";#N/A,#N/A,FALSE,"Plan2"}</definedName>
    <definedName name="KLSIDJE" localSheetId="8" hidden="1">{#N/A,#N/A,FALSE,"Plan1";#N/A,#N/A,FALSE,"Plan2"}</definedName>
    <definedName name="klsjarsf" localSheetId="8" hidden="1">{#N/A,#N/A,FALSE,"Plan1";#N/A,#N/A,FALSE,"Plan2"}</definedName>
    <definedName name="klxhjfdkhser" localSheetId="8" hidden="1">{#N/A,#N/A,FALSE,"Plan1";#N/A,#N/A,FALSE,"Plan2"}</definedName>
    <definedName name="kopipnsdfne" localSheetId="8" hidden="1">{#N/A,#N/A,FALSE,"Plan1";#N/A,#N/A,FALSE,"Plan2"}</definedName>
    <definedName name="kp"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KSDLÇKSÇ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KSDLDF" localSheetId="8" hidden="1">{#N/A,#N/A,FALSE,"Plan1";#N/A,#N/A,FALSE,"Plan2"}</definedName>
    <definedName name="ksdlkfsçzd" localSheetId="8" hidden="1">{#N/A,#N/A,FALSE,"Plan1";#N/A,#N/A,FALSE,"Plan2"}</definedName>
    <definedName name="ksdoçierfe" localSheetId="8" hidden="1">{#N/A,#N/A,FALSE,"Plan1";#N/A,#N/A,FALSE,"Plan2"}</definedName>
    <definedName name="ksdtrdrkf" localSheetId="8" hidden="1">{#N/A,#N/A,FALSE,"Plan1";#N/A,#N/A,FALSE,"Plan2"}</definedName>
    <definedName name="KSFÇJDFJL" localSheetId="8" hidden="1">{#N/A,#N/A,FALSE,"Plan1";#N/A,#N/A,FALSE,"Plan2"}</definedName>
    <definedName name="ksfhse" localSheetId="8" hidden="1">{#N/A,#N/A,FALSE,"Plan1";#N/A,#N/A,FALSE,"Plan2"}</definedName>
    <definedName name="KSRKOE" localSheetId="8" hidden="1">{#N/A,#N/A,FALSE,"Plan1";#N/A,#N/A,FALSE,"Plan2"}</definedName>
    <definedName name="KSWKE" localSheetId="8" hidden="1">{#N/A,#N/A,FALSE,"Plan1";#N/A,#N/A,FALSE,"Plan2"}</definedName>
    <definedName name="kysdusf" localSheetId="8" hidden="1">{#N/A,#N/A,FALSE,"Plan1";#N/A,#N/A,FALSE,"Plan2"}</definedName>
    <definedName name="kzslçdkçle" localSheetId="8" hidden="1">{#N/A,#N/A,FALSE,"Plan1";#N/A,#N/A,FALSE,"Plan2"}</definedName>
    <definedName name="LAEKWRK" localSheetId="8" hidden="1">{#N/A,#N/A,FALSE,"Plan1";#N/A,#N/A,FALSE,"Plan2"}</definedName>
    <definedName name="LAKDEWRF" localSheetId="8" hidden="1">{#N/A,#N/A,FALSE,"Plan1";#N/A,#N/A,FALSE,"Plan2"}</definedName>
    <definedName name="LASÇDSRLF" localSheetId="8" hidden="1">{#N/A,#N/A,FALSE,"Plan1";#N/A,#N/A,FALSE,"Plan2"}</definedName>
    <definedName name="lasrlswer" localSheetId="8" hidden="1">{#N/A,#N/A,FALSE,"Plan1";#N/A,#N/A,FALSE,"Plan2"}</definedName>
    <definedName name="lçadple4r" localSheetId="8" hidden="1">{#N/A,#N/A,FALSE,"Plan1";#N/A,#N/A,FALSE,"Plan2"}</definedName>
    <definedName name="lçasser" localSheetId="8" hidden="1">{#N/A,#N/A,FALSE,"Plan1";#N/A,#N/A,FALSE,"Plan2"}</definedName>
    <definedName name="lcdgjtklfrn" localSheetId="8" hidden="1">{#N/A,#N/A,FALSE,"Plan1";#N/A,#N/A,FALSE,"Plan2"}</definedName>
    <definedName name="lçfklsdkçaer" localSheetId="8" hidden="1">{#N/A,#N/A,FALSE,"Plan1";#N/A,#N/A,FALSE,"Plan2"}</definedName>
    <definedName name="lçjkgf" localSheetId="8" hidden="1">{#N/A,#N/A,FALSE,"Plan1";#N/A,#N/A,FALSE,"Plan2"}</definedName>
    <definedName name="LÇJSLDFJ" localSheetId="8" hidden="1">{#N/A,#N/A,FALSE,"Plan1";#N/A,#N/A,FALSE,"Plan2"}</definedName>
    <definedName name="LÇKÇSDRLK" localSheetId="8" hidden="1">{#N/A,#N/A,FALSE,"Plan1";#N/A,#N/A,FALSE,"Plan2"}</definedName>
    <definedName name="lçkl"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lçl"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lçlfklçdglfdgt" localSheetId="8" hidden="1">{#N/A,#N/A,FALSE,"Plan1";#N/A,#N/A,FALSE,"Plan2"}</definedName>
    <definedName name="lçslrr4r" localSheetId="8" hidden="1">{#N/A,#N/A,FALSE,"Plan1";#N/A,#N/A,FALSE,"Plan2"}</definedName>
    <definedName name="ldfjgry" localSheetId="8" hidden="1">{#N/A,#N/A,FALSE,"Plan1";#N/A,#N/A,FALSE,"Plan2"}</definedName>
    <definedName name="ldfjgtilrf" localSheetId="8" hidden="1">{#N/A,#N/A,FALSE,"Plan1";#N/A,#N/A,FALSE,"Plan2"}</definedName>
    <definedName name="ldk" localSheetId="8" hidden="1">{#N/A,#N/A,FALSE,"Plan1";#N/A,#N/A,FALSE,"Plan2"}</definedName>
    <definedName name="ldkgkdfjgkh" localSheetId="8" hidden="1">{#N/A,#N/A,FALSE,"Plan1";#N/A,#N/A,FALSE,"Plan2"}</definedName>
    <definedName name="LDTJGR" localSheetId="8" hidden="1">{#N/A,#N/A,FALSE,"Plan1";#N/A,#N/A,FALSE,"Plan2"}</definedName>
    <definedName name="LEKG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lfjdjrt" localSheetId="8" hidden="1">{#N/A,#N/A,FALSE,"Plan1";#N/A,#N/A,FALSE,"Plan2"}</definedName>
    <definedName name="lidfjgklruf" localSheetId="8" hidden="1">{#N/A,#N/A,FALSE,"Plan1";#N/A,#N/A,FALSE,"Plan2"}</definedName>
    <definedName name="list"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t"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dfkgyt" localSheetId="8" hidden="1">{#N/A,#N/A,FALSE,"Plan1";#N/A,#N/A,FALSE,"Plan2"}</definedName>
    <definedName name="LJDFLJRL" localSheetId="8" hidden="1">{#N/A,#N/A,FALSE,"Plan1";#N/A,#N/A,FALSE,"Plan2"}</definedName>
    <definedName name="ljsdfrd" localSheetId="8" hidden="1">{#N/A,#N/A,FALSE,"Plan1";#N/A,#N/A,FALSE,"Plan2"}</definedName>
    <definedName name="LK" localSheetId="8" hidden="1">{#N/A,#N/A,TRUE,"Quinzena 01 à 15-04-98 "}</definedName>
    <definedName name="lkasdkeo" localSheetId="8" hidden="1">{#N/A,#N/A,FALSE,"Plan1";#N/A,#N/A,FALSE,"Plan2"}</definedName>
    <definedName name="lkdeas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lkdzxfsdrf" localSheetId="8" hidden="1">{#N/A,#N/A,FALSE,"Plan1";#N/A,#N/A,FALSE,"Plan2"}</definedName>
    <definedName name="lkfdkçtktr" localSheetId="8" hidden="1">{#N/A,#N/A,FALSE,"Plan1";#N/A,#N/A,FALSE,"Plan2"}</definedName>
    <definedName name="LKSSDKÇ\E" localSheetId="8" hidden="1">{#N/A,#N/A,FALSE,"Plan1";#N/A,#N/A,FALSE,"Plan2"}</definedName>
    <definedName name="lkt" localSheetId="8" hidden="1">{#N/A,#N/A,FALSE,"Plan1";#N/A,#N/A,FALSE,"Plan2"}</definedName>
    <definedName name="lktlyklt" localSheetId="8" hidden="1">{#N/A,#N/A,FALSE,"Plan1";#N/A,#N/A,FALSE,"Plan2"}</definedName>
    <definedName name="LKTTYT" localSheetId="8" hidden="1">{#N/A,#N/A,FALSE,"Plan1";#N/A,#N/A,FALSE,"Plan2"}</definedName>
    <definedName name="llgg" localSheetId="8" hidden="1">{#N/A,#N/A,FALSE,"Plan1";#N/A,#N/A,FALSE,"Plan2"}</definedName>
    <definedName name="LLL" localSheetId="8" hidden="1">{#N/A,#N/A,FALSE,"Plan1";#N/A,#N/A,FALSE,"Plan2"}</definedName>
    <definedName name="LM_AR" localSheetId="8" hidden="1">{#N/A,#N/A,FALSE,"F-01"}</definedName>
    <definedName name="LM_AT" localSheetId="8" hidden="1">{#N/A,#N/A,FALSE,"F-01"}</definedName>
    <definedName name="LM_INC" localSheetId="8" hidden="1">{#N/A,#N/A,FALSE,"F-01"}</definedName>
    <definedName name="LMPASD"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LO"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LS" localSheetId="8">#REF!</definedName>
    <definedName name="LSDFKLDKFTR" localSheetId="8" hidden="1">{#N/A,#N/A,FALSE,"Plan1";#N/A,#N/A,FALSE,"Plan2"}</definedName>
    <definedName name="lsdjse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lsdkljfkg" localSheetId="8" hidden="1">{#N/A,#N/A,FALSE,"Plan1";#N/A,#N/A,FALSE,"Plan2"}</definedName>
    <definedName name="lsdsder" localSheetId="8" hidden="1">{#N/A,#N/A,FALSE,"Plan1";#N/A,#N/A,FALSE,"Plan2"}</definedName>
    <definedName name="ltj6ljyhdjhngças" localSheetId="8" hidden="1">{#N/A,#N/A,FALSE,"Plan1";#N/A,#N/A,FALSE,"Plan2"}</definedName>
    <definedName name="m"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MAISAP" localSheetId="8" hidden="1">{#N/A,#N/A,FALSE,"Plan1";#N/A,#N/A,FALSE,"Plan2"}</definedName>
    <definedName name="MANTO" localSheetId="8" hidden="1">{#N/A,#N/A,FALSE,"GERAL";#N/A,#N/A,FALSE,"012-96";#N/A,#N/A,FALSE,"018-96";#N/A,#N/A,FALSE,"027-96";#N/A,#N/A,FALSE,"059-96";#N/A,#N/A,FALSE,"076-96";#N/A,#N/A,FALSE,"019-97";#N/A,#N/A,FALSE,"021-97";#N/A,#N/A,FALSE,"022-97";#N/A,#N/A,FALSE,"028-97"}</definedName>
    <definedName name="MASTER" localSheetId="8" hidden="1">{#N/A,#N/A,FALSE,"GERAL";#N/A,#N/A,FALSE,"012-96";#N/A,#N/A,FALSE,"018-96";#N/A,#N/A,FALSE,"027-96";#N/A,#N/A,FALSE,"059-96";#N/A,#N/A,FALSE,"076-96";#N/A,#N/A,FALSE,"019-97";#N/A,#N/A,FALSE,"021-97";#N/A,#N/A,FALSE,"022-97";#N/A,#N/A,FALSE,"028-97"}</definedName>
    <definedName name="mattubcust" localSheetId="8" hidden="1">{#N/A,#N/A,FALSE,"GERAL";#N/A,#N/A,FALSE,"012-96";#N/A,#N/A,FALSE,"018-96";#N/A,#N/A,FALSE,"027-96";#N/A,#N/A,FALSE,"059-96";#N/A,#N/A,FALSE,"076-96";#N/A,#N/A,FALSE,"019-97";#N/A,#N/A,FALSE,"021-97";#N/A,#N/A,FALSE,"022-97";#N/A,#N/A,FALSE,"028-97"}</definedName>
    <definedName name="MAURILIO" localSheetId="8" hidden="1">{#N/A,#N/A,FALSE,"Plan1";#N/A,#N/A,FALSE,"Plan2"}</definedName>
    <definedName name="MC" localSheetId="8" hidden="1">{#N/A,#N/A,FALSE,"GERAL";#N/A,#N/A,FALSE,"012-96";#N/A,#N/A,FALSE,"018-96";#N/A,#N/A,FALSE,"027-96";#N/A,#N/A,FALSE,"059-96";#N/A,#N/A,FALSE,"076-96";#N/A,#N/A,FALSE,"019-97";#N/A,#N/A,FALSE,"021-97";#N/A,#N/A,FALSE,"022-97";#N/A,#N/A,FALSE,"028-97"}</definedName>
    <definedName name="MCM" localSheetId="8" hidden="1">{#N/A,#N/A,FALSE,"GERAL";#N/A,#N/A,FALSE,"012-96";#N/A,#N/A,FALSE,"018-96";#N/A,#N/A,FALSE,"027-96";#N/A,#N/A,FALSE,"059-96";#N/A,#N/A,FALSE,"076-96";#N/A,#N/A,FALSE,"019-97";#N/A,#N/A,FALSE,"021-97";#N/A,#N/A,FALSE,"022-97";#N/A,#N/A,FALSE,"028-97"}</definedName>
    <definedName name="mdfgtr" localSheetId="8" hidden="1">{#N/A,#N/A,FALSE,"Plan1";#N/A,#N/A,FALSE,"Plan2"}</definedName>
    <definedName name="MDSÇLFJKJSD" localSheetId="8" hidden="1">{#N/A,#N/A,FALSE,"Plan1";#N/A,#N/A,FALSE,"Plan2"}</definedName>
    <definedName name="ME" localSheetId="8" hidden="1">{"HW",#N/A,FALSE,"1998"}</definedName>
    <definedName name="MESTRE" localSheetId="8" hidden="1">{#N/A,#N/A,FALSE,"GERAL";#N/A,#N/A,FALSE,"012-96";#N/A,#N/A,FALSE,"018-96";#N/A,#N/A,FALSE,"027-96";#N/A,#N/A,FALSE,"059-96";#N/A,#N/A,FALSE,"076-96";#N/A,#N/A,FALSE,"019-97";#N/A,#N/A,FALSE,"021-97";#N/A,#N/A,FALSE,"022-97";#N/A,#N/A,FALSE,"028-97"}</definedName>
    <definedName name="MLMÇLKJKI" localSheetId="8" hidden="1">{#N/A,#N/A,FALSE,"Plan1";#N/A,#N/A,FALSE,"Plan2"}</definedName>
    <definedName name="MM"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mmmmm" localSheetId="8" hidden="1">{"tabela",#N/A,FALSE,"Tabela";"decoração",#N/A,FALSE,"Decor.";"Informações",#N/A,FALSE,"Inform."}</definedName>
    <definedName name="mmmmmmm"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MNBXFKGS" localSheetId="8" hidden="1">{#N/A,#N/A,FALSE,"Plan1";#N/A,#N/A,FALSE,"Plan2"}</definedName>
    <definedName name="mncvbgcvmc" localSheetId="8" hidden="1">{#N/A,#N/A,FALSE,"Plan1";#N/A,#N/A,FALSE,"Plan2"}</definedName>
    <definedName name="MNDKZSFNCEA" localSheetId="8" hidden="1">{#N/A,#N/A,FALSE,"Plan1";#N/A,#N/A,FALSE,"Plan2"}</definedName>
    <definedName name="mnhdshfgfhd" localSheetId="8" hidden="1">{#N/A,#N/A,FALSE,"Plan1";#N/A,#N/A,FALSE,"Plan2"}</definedName>
    <definedName name="mobra" localSheetId="8" hidden="1">{#N/A,#N/A,FALSE,"GERAL";#N/A,#N/A,FALSE,"012-96";#N/A,#N/A,FALSE,"018-96";#N/A,#N/A,FALSE,"027-96";#N/A,#N/A,FALSE,"059-96";#N/A,#N/A,FALSE,"076-96";#N/A,#N/A,FALSE,"019-97";#N/A,#N/A,FALSE,"021-97";#N/A,#N/A,FALSE,"022-97";#N/A,#N/A,FALSE,"028-97"}</definedName>
    <definedName name="Modelo1" localSheetId="8" hidden="1">{#N/A,#N/A,FALSE,"cdi";#N/A,#N/A,FALSE,"debent";#N/A,#N/A,FALSE,"fdos";#N/A,#N/A,FALSE,"resumo"}</definedName>
    <definedName name="Modelo1a" localSheetId="8" hidden="1">{#N/A,#N/A,FALSE,"cdi";#N/A,#N/A,FALSE,"debent";#N/A,#N/A,FALSE,"fdos";#N/A,#N/A,FALSE,"resumo"}</definedName>
    <definedName name="Modelo2" localSheetId="8" hidden="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MP" localSheetId="8" hidden="1">{#N/A,#N/A,FALSE,"CCTV"}</definedName>
    <definedName name="MSDRFSWER" localSheetId="8" hidden="1">{"Econ Consolidado",#N/A,FALSE,"Econ Consol";"Fluxo de Caixa",#N/A,FALSE,"Fluxo Caixa";"Investimentos",#N/A,FALSE,"Investimentos"}</definedName>
    <definedName name="mzshdjshjs" localSheetId="8" hidden="1">{#N/A,#N/A,FALSE,"Plan1";#N/A,#N/A,FALSE,"Plan2"}</definedName>
    <definedName name="na" localSheetId="8" hidden="1">{#N/A,#N/A,FALSE,"$170M Cash";#N/A,#N/A,FALSE,"$250M Cash";#N/A,#N/A,FALSE,"$325M Cash"}</definedName>
    <definedName name="ncdgrdhrtg" localSheetId="8" hidden="1">{#N/A,#N/A,FALSE,"Plan1";#N/A,#N/A,FALSE,"Plan2"}</definedName>
    <definedName name="nchngdfhgdh" localSheetId="8" hidden="1">{#N/A,#N/A,FALSE,"Plan1";#N/A,#N/A,FALSE,"Plan2"}</definedName>
    <definedName name="NCJFKNGJHF" localSheetId="8" hidden="1">{#N/A,#N/A,FALSE,"Plan1";#N/A,#N/A,FALSE,"Plan2"}</definedName>
    <definedName name="ndcxhgdhf" localSheetId="8" hidden="1">{#N/A,#N/A,FALSE,"Plan1";#N/A,#N/A,FALSE,"Plan2"}</definedName>
    <definedName name="ndfjnjkrhdgt" localSheetId="8" hidden="1">{#N/A,#N/A,FALSE,"Plan1";#N/A,#N/A,FALSE,"Plan2"}</definedName>
    <definedName name="ndfkghkjthfyst" localSheetId="8" hidden="1">{#N/A,#N/A,FALSE,"Plan1";#N/A,#N/A,FALSE,"Plan2"}</definedName>
    <definedName name="NDJGKFKGHUFG" localSheetId="8" hidden="1">{#N/A,#N/A,FALSE,"Plan1";#N/A,#N/A,FALSE,"Plan2"}</definedName>
    <definedName name="ndrjkt" localSheetId="8" hidden="1">{#N/A,#N/A,FALSE,"Plan1";#N/A,#N/A,FALSE,"Plan2"}</definedName>
    <definedName name="new" localSheetId="8" hidden="1">{#N/A,#N/A,FALSE,"Global by BU";#N/A,#N/A,FALSE,"U.S. by BU";#N/A,#N/A,FALSE,"Canada by BU";#N/A,#N/A,FALSE,"Europe by BU";#N/A,#N/A,FALSE,"Asia by BU";#N/A,#N/A,FALSE,"Cala by BU"}</definedName>
    <definedName name="NEWNAME" localSheetId="8" hidden="1">{#N/A,#N/A,FALSE,"CCTV"}</definedName>
    <definedName name="nfgjkhvhfghn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nfkhdjkthde" localSheetId="8" hidden="1">{#N/A,#N/A,FALSE,"Plan1";#N/A,#N/A,FALSE,"Plan2"}</definedName>
    <definedName name="nhj"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NHJHFDSHF" localSheetId="8" hidden="1">{#N/A,#N/A,FALSE,"Plan1";#N/A,#N/A,FALSE,"Plan2"}</definedName>
    <definedName name="NJSDFHERTG" localSheetId="8" hidden="1">{#N/A,#N/A,FALSE,"Plan1";#N/A,#N/A,FALSE,"Plan2"}</definedName>
    <definedName name="nkfnsskdn" localSheetId="8" hidden="1">{#N/A,#N/A,FALSE,"Plan1";#N/A,#N/A,FALSE,"Plan2"}</definedName>
    <definedName name="NKJL"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nlaksjdwe" localSheetId="8" hidden="1">{#N/A,#N/A,FALSE,"Plan1";#N/A,#N/A,FALSE,"Plan2"}</definedName>
    <definedName name="nljsdfljfdsfr" localSheetId="8" hidden="1">{#N/A,#N/A,FALSE,"Plan1";#N/A,#N/A,FALSE,"Plan2"}</definedName>
    <definedName name="nmjdfhxj" localSheetId="8" hidden="1">{#N/A,#N/A,FALSE,"Plan1";#N/A,#N/A,FALSE,"Plan2"}</definedName>
    <definedName name="nnmn" localSheetId="8" hidden="1">{#N/A,#N/A,FALSE,"Plan1";#N/A,#N/A,FALSE,"Plan2"}</definedName>
    <definedName name="nnn" localSheetId="8" hidden="1">{#N/A,#N/A,FALSE,"Plan1";#N/A,#N/A,FALSE,"Plan2"}</definedName>
    <definedName name="nnnnnnnnnnn" localSheetId="8" hidden="1">{"HW",#N/A,FALSE,"1998"}</definedName>
    <definedName name="NNNNNNNNNNNNNNN" localSheetId="8" hidden="1">{#N/A,#N/A,FALSE,"Plan1";#N/A,#N/A,FALSE,"Plan2"}</definedName>
    <definedName name="nnnnnnnnnnnnnnnnnnnn" localSheetId="8" hidden="1">{#N/A,#N/A,FALSE,"Plan1";#N/A,#N/A,FALSE,"Plan2"}</definedName>
    <definedName name="NNXFT" localSheetId="8" hidden="1">{#N/A,#N/A,FALSE,"Plan1";#N/A,#N/A,FALSE,"Plan2"}</definedName>
    <definedName name="nsdkfndgfdnatf" localSheetId="8" hidden="1">{#N/A,#N/A,FALSE,"Plan1";#N/A,#N/A,FALSE,"Plan2"}</definedName>
    <definedName name="nsfljdiljrf" localSheetId="8" hidden="1">{#N/A,#N/A,FALSE,"Plan1";#N/A,#N/A,FALSE,"Plan2"}</definedName>
    <definedName name="nzxcnnjkd" localSheetId="8" hidden="1">{#N/A,#N/A,FALSE,"Plan1";#N/A,#N/A,FALSE,"Plan2"}</definedName>
    <definedName name="odfuudor" localSheetId="8" hidden="1">{#N/A,#N/A,FALSE,"Plan1";#N/A,#N/A,FALSE,"Plan2"}</definedName>
    <definedName name="oiditrot" localSheetId="8" hidden="1">{#N/A,#N/A,FALSE,"Plan1";#N/A,#N/A,FALSE,"Plan2"}</definedName>
    <definedName name="oio" localSheetId="8" hidden="1">{#N/A,#N/A,FALSE,"Plan1";#N/A,#N/A,FALSE,"Plan2"}</definedName>
    <definedName name="OJÇLJ" localSheetId="8" hidden="1">{#N/A,#N/A,FALSE,"Plan1";#N/A,#N/A,FALSE,"Plan2"}</definedName>
    <definedName name="ojkdfit" localSheetId="8" hidden="1">{#N/A,#N/A,FALSE,"Plan1";#N/A,#N/A,FALSE,"Plan2"}</definedName>
    <definedName name="ooo" localSheetId="8" hidden="1">{#N/A,#N/A,FALSE,"Plan1";#N/A,#N/A,FALSE,"Plan2"}</definedName>
    <definedName name="OPASEDWED" localSheetId="8" hidden="1">{"Econ Consolidado",#N/A,FALSE,"Econ Consol";"Fluxo de Caixa",#N/A,FALSE,"Fluxo Caixa";"Investimentos",#N/A,FALSE,"Investimentos"}</definedName>
    <definedName name="opiwre" localSheetId="8" hidden="1">{#N/A,#N/A,FALSE,"Plan1";#N/A,#N/A,FALSE,"Plan2"}</definedName>
    <definedName name="os" localSheetId="8" hidden="1">{#N/A,#N/A,FALSE,"TABLE"}</definedName>
    <definedName name="otodgkrjglsrd" localSheetId="8" hidden="1">{#N/A,#N/A,FALSE,"Plan1";#N/A,#N/A,FALSE,"Plan2"}</definedName>
    <definedName name="OUERWRSR" localSheetId="8" hidden="1">{#N/A,#N/A,FALSE,"Plan1";#N/A,#N/A,FALSE,"Plan2"}</definedName>
    <definedName name="overhaul"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agamento_Num" localSheetId="8">ROW()-Linha_Cabeçalho</definedName>
    <definedName name="Pendencias" localSheetId="8" hidden="1">{#N/A,#N/A,FALSE,"GERAL";#N/A,#N/A,FALSE,"012-96";#N/A,#N/A,FALSE,"018-96";#N/A,#N/A,FALSE,"027-96";#N/A,#N/A,FALSE,"059-96";#N/A,#N/A,FALSE,"076-96";#N/A,#N/A,FALSE,"019-97";#N/A,#N/A,FALSE,"021-97";#N/A,#N/A,FALSE,"022-97";#N/A,#N/A,FALSE,"028-97"}</definedName>
    <definedName name="pendencias2" localSheetId="8" hidden="1">{#N/A,#N/A,FALSE,"GERAL";#N/A,#N/A,FALSE,"012-96";#N/A,#N/A,FALSE,"018-96";#N/A,#N/A,FALSE,"027-96";#N/A,#N/A,FALSE,"059-96";#N/A,#N/A,FALSE,"076-96";#N/A,#N/A,FALSE,"019-97";#N/A,#N/A,FALSE,"021-97";#N/A,#N/A,FALSE,"022-97";#N/A,#N/A,FALSE,"028-97"}</definedName>
    <definedName name="pendencias3" localSheetId="8" hidden="1">{#N/A,#N/A,FALSE,"GERAL";#N/A,#N/A,FALSE,"012-96";#N/A,#N/A,FALSE,"018-96";#N/A,#N/A,FALSE,"027-96";#N/A,#N/A,FALSE,"059-96";#N/A,#N/A,FALSE,"076-96";#N/A,#N/A,FALSE,"019-97";#N/A,#N/A,FALSE,"021-97";#N/A,#N/A,FALSE,"022-97";#N/A,#N/A,FALSE,"028-97"}</definedName>
    <definedName name="piaz"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Pintura" localSheetId="8">#REF!</definedName>
    <definedName name="PLACAS" localSheetId="8" hidden="1">{#N/A,#N/A,TRUE,"Quinzena 01 à 15-04-98 "}</definedName>
    <definedName name="Placas_Areas" localSheetId="8" hidden="1">{#N/A,#N/A,TRUE,"Quinzena 01 à 15-04-98 "}</definedName>
    <definedName name="plan2"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plasçdeaw" localSheetId="8" hidden="1">{#N/A,#N/A,FALSE,"Plan1";#N/A,#N/A,FALSE,"Plan2"}</definedName>
    <definedName name="plaslrswe" localSheetId="8" hidden="1">{#N/A,#N/A,FALSE,"Plan1";#N/A,#N/A,FALSE,"Plan2"}</definedName>
    <definedName name="plsearpef" localSheetId="8" hidden="1">{#N/A,#N/A,FALSE,"Plan1";#N/A,#N/A,FALSE,"Plan2"}</definedName>
    <definedName name="plss" localSheetId="8" hidden="1">{#N/A,#N/A,FALSE,"Plan1";#N/A,#N/A,FALSE,"Plan2"}</definedName>
    <definedName name="PN2건축"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reço" localSheetId="8">ROW()-Linha_Cabeçalho</definedName>
    <definedName name="print" localSheetId="8" hidden="1">{#N/A,#N/A,FALSE,"$170M Cash";#N/A,#N/A,FALSE,"$250M Cash";#N/A,#N/A,FALSE,"$325M Cash"}</definedName>
    <definedName name="ptirigyiotut" localSheetId="8" hidden="1">{#N/A,#N/A,FALSE,"Plan1";#N/A,#N/A,FALSE,"Plan2"}</definedName>
    <definedName name="PWER3" localSheetId="8" hidden="1">{#N/A,#N/A,FALSE,"Plan1";#N/A,#N/A,FALSE,"Plan2"}</definedName>
    <definedName name="qkqh1" localSheetId="8" hidden="1">{#N/A,#N/A,FALSE,"명세표"}</definedName>
    <definedName name="QQ"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QSQWSE" localSheetId="8" hidden="1">{#N/A,#N/A,FALSE,"Plan1";#N/A,#N/A,FALSE,"Plan2"}</definedName>
    <definedName name="qwdqw" localSheetId="8" hidden="1">{#N/A,#N/A,FALSE,"Plan1";#N/A,#N/A,FALSE,"Plan2"}</definedName>
    <definedName name="qweqwe" localSheetId="8" hidden="1">{#N/A,#N/A,FALSE,"Plan1";#N/A,#N/A,FALSE,"Plan2"}</definedName>
    <definedName name="qweqwe4"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RADIO" localSheetId="8" hidden="1">{"HW",#N/A,FALSE,"1998"}</definedName>
    <definedName name="RE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resum" localSheetId="8" hidden="1">{"'Ethernet Hubs'!$A$1:$F$14","'Licences'!$A$1:$F$16","'Ports and Converters'!$A$1:$F$46","'Standard Routers'!$A$1:$F$28","'Ports and Converters'!$A$1:$G$46","'Router Chassis'!$A$1:$F$21","'Cables and Connectors'!$A$1:$F$41","'Support, Training and Docs'!$A$1:$F$6","'Management'!$A$1:$F$8"}</definedName>
    <definedName name="RESUMO2" localSheetId="8" hidden="1">{#N/A,#N/A,TRUE,"Quinzena 01 à 15-04-98 "}</definedName>
    <definedName name="RF" localSheetId="8" hidden="1">{#N/A,#N/A,FALSE,"CCTV"}</definedName>
    <definedName name="rgedrfrgfdg" localSheetId="8" hidden="1">{#N/A,#N/A,FALSE,"Plan1";#N/A,#N/A,FALSE,"Plan2"}</definedName>
    <definedName name="rhdrmq"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rrrr" localSheetId="8" hidden="1">{"'장비'!$A$3:$M$12"}</definedName>
    <definedName name="rrrrrrrr" localSheetId="8" hidden="1">{"'장비'!$A$3:$M$12"}</definedName>
    <definedName name="rrrrrrrrrrr" localSheetId="8" hidden="1">{#N/A,#N/A,TRUE,"Quinzena 01 à 15-04-98 "}</definedName>
    <definedName name="RTYE" localSheetId="8" hidden="1">{"'장비'!$A$3:$M$12"}</definedName>
    <definedName name="sa"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aa" localSheetId="8" hidden="1">{#N/A,#N/A,FALSE,"GERAL";#N/A,#N/A,FALSE,"012-96";#N/A,#N/A,FALSE,"018-96";#N/A,#N/A,FALSE,"027-96";#N/A,#N/A,FALSE,"059-96";#N/A,#N/A,FALSE,"076-96";#N/A,#N/A,FALSE,"019-97";#N/A,#N/A,FALSE,"021-97";#N/A,#N/A,FALSE,"022-97";#N/A,#N/A,FALSE,"028-97"}</definedName>
    <definedName name="sad"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adasd" localSheetId="8" hidden="1">{#N/A,#N/A,FALSE,"Plan1";#N/A,#N/A,FALSE,"Plan2"}</definedName>
    <definedName name="sadked"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adkrjkedft" localSheetId="8" hidden="1">{#N/A,#N/A,FALSE,"Plan1";#N/A,#N/A,FALSE,"Plan2"}</definedName>
    <definedName name="SADSRTR" localSheetId="8" hidden="1">{#N/A,#N/A,FALSE,"Plan1";#N/A,#N/A,FALSE,"Plan2"}</definedName>
    <definedName name="sadwde" localSheetId="8" hidden="1">{#N/A,#N/A,FALSE,"Plan1";#N/A,#N/A,FALSE,"Plan2"}</definedName>
    <definedName name="sanjay" localSheetId="8" hidden="1">{#N/A,#N/A,FALSE,"TABLE"}</definedName>
    <definedName name="SAS" localSheetId="8" hidden="1">{#N/A,#N/A,FALSE,"Plan1";#N/A,#N/A,FALSE,"Plan2"}</definedName>
    <definedName name="sasads" localSheetId="8" hidden="1">{#N/A,#N/A,FALSE,"Plan1";#N/A,#N/A,FALSE,"Plan2"}</definedName>
    <definedName name="sdae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DAOTGFR" localSheetId="8" hidden="1">{#N/A,#N/A,FALSE,"Plan1";#N/A,#N/A,FALSE,"Plan2"}</definedName>
    <definedName name="sdckd" localSheetId="8" hidden="1">{#N/A,#N/A,FALSE,"Plan1";#N/A,#N/A,FALSE,"Plan2"}</definedName>
    <definedName name="SDDFKSEDE" localSheetId="8" hidden="1">{#N/A,#N/A,FALSE,"Plan1";#N/A,#N/A,FALSE,"Plan2"}</definedName>
    <definedName name="sddkslker" localSheetId="8" hidden="1">{#N/A,#N/A,FALSE,"Plan1";#N/A,#N/A,FALSE,"Plan2"}</definedName>
    <definedName name="sdefr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derj"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dfd"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dfdds" localSheetId="8" hidden="1">{#N/A,#N/A,FALSE,"Plan1";#N/A,#N/A,FALSE,"Plan2"}</definedName>
    <definedName name="sdfdfc" localSheetId="8" hidden="1">{#N/A,#N/A,FALSE,"Plan1";#N/A,#N/A,FALSE,"Plan2"}</definedName>
    <definedName name="sdfdf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dfdgft" localSheetId="8" hidden="1">{#N/A,#N/A,FALSE,"Plan1";#N/A,#N/A,FALSE,"Plan2"}</definedName>
    <definedName name="sdfdsf" localSheetId="8" hidden="1">{#N/A,#N/A,FALSE,"Plan1";#N/A,#N/A,FALSE,"Plan2"}</definedName>
    <definedName name="sdfdsf\da" localSheetId="8" hidden="1">{#N/A,#N/A,FALSE,"Plan1";#N/A,#N/A,FALSE,"Plan2"}</definedName>
    <definedName name="SDFEDRT" localSheetId="8" hidden="1">{#N/A,#N/A,FALSE,"Plan1";#N/A,#N/A,FALSE,"Plan2"}</definedName>
    <definedName name="sdfer" localSheetId="8" hidden="1">{#N/A,#N/A,FALSE,"Plan1";#N/A,#N/A,FALSE,"Plan2"}</definedName>
    <definedName name="sdferr" localSheetId="8" hidden="1">{#N/A,#N/A,FALSE,"Plan1";#N/A,#N/A,FALSE,"Plan2"}</definedName>
    <definedName name="sdfe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DFGJFSRF" localSheetId="8" hidden="1">{#N/A,#N/A,FALSE,"Plan1";#N/A,#N/A,FALSE,"Plan2"}</definedName>
    <definedName name="sdfgtr" localSheetId="8" hidden="1">{#N/A,#N/A,FALSE,"Plan1";#N/A,#N/A,FALSE,"Plan2"}</definedName>
    <definedName name="sdfjdetrt" localSheetId="8" hidden="1">{#N/A,#N/A,FALSE,"Plan1";#N/A,#N/A,FALSE,"Plan2"}</definedName>
    <definedName name="SDFJDRTJEIDR" localSheetId="8" hidden="1">{#N/A,#N/A,FALSE,"Plan1";#N/A,#N/A,FALSE,"Plan2"}</definedName>
    <definedName name="sdfjergtij" localSheetId="8" hidden="1">{#N/A,#N/A,FALSE,"Plan1";#N/A,#N/A,FALSE,"Plan2"}</definedName>
    <definedName name="SDFOPJKWE" localSheetId="8" hidden="1">{#N/A,#N/A,FALSE,"Plan1";#N/A,#N/A,FALSE,"Plan2"}</definedName>
    <definedName name="sdfrdt5"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dfrt" localSheetId="8" hidden="1">{#N/A,#N/A,FALSE,"Plan1";#N/A,#N/A,FALSE,"Plan2"}</definedName>
    <definedName name="SDFRTKK" localSheetId="8" hidden="1">{#N/A,#N/A,FALSE,"Plan1";#N/A,#N/A,FALSE,"Plan2"}</definedName>
    <definedName name="SDFRTR" localSheetId="8" hidden="1">{#N/A,#N/A,FALSE,"Plan1";#N/A,#N/A,FALSE,"Plan2"}</definedName>
    <definedName name="sdfry6" localSheetId="8" hidden="1">{#N/A,#N/A,FALSE,"Plan1";#N/A,#N/A,FALSE,"Plan2"}</definedName>
    <definedName name="sdfsaf" localSheetId="8" hidden="1">{#N/A,#N/A,FALSE,"Plan1";#N/A,#N/A,FALSE,"Plan2"}</definedName>
    <definedName name="sdfsd" localSheetId="8" hidden="1">{"'Estimativa de Lançamento-JAN'!$A$1:$AI$85"}</definedName>
    <definedName name="sdfsdfg" localSheetId="8" hidden="1">{#N/A,#N/A,FALSE,"Plan1";#N/A,#N/A,FALSE,"Plan2"}</definedName>
    <definedName name="SDFSDFK" localSheetId="8" hidden="1">{#N/A,#N/A,FALSE,"Plan1";#N/A,#N/A,FALSE,"Plan2"}</definedName>
    <definedName name="sdfsdgftret" localSheetId="8" hidden="1">{#N/A,#N/A,FALSE,"Plan1";#N/A,#N/A,FALSE,"Plan2"}</definedName>
    <definedName name="sdfsf" localSheetId="8" hidden="1">{#N/A,#N/A,FALSE,"Plan1";#N/A,#N/A,FALSE,"Plan2"}</definedName>
    <definedName name="SDFSFRT" localSheetId="8" hidden="1">{"Econ Consolidado",#N/A,FALSE,"Econ Consol";"Fluxo de Caixa",#N/A,FALSE,"Fluxo Caixa";"Investimentos",#N/A,FALSE,"Investimentos"}</definedName>
    <definedName name="sdfsr" localSheetId="8" hidden="1">{#N/A,#N/A,FALSE,"Plan1";#N/A,#N/A,FALSE,"Plan2"}</definedName>
    <definedName name="sdfty" localSheetId="8" hidden="1">{#N/A,#N/A,FALSE,"Plan1";#N/A,#N/A,FALSE,"Plan2"}</definedName>
    <definedName name="sdgdf" localSheetId="8" hidden="1">{#N/A,#N/A,FALSE,"Plan1";#N/A,#N/A,FALSE,"Plan2"}</definedName>
    <definedName name="sdgfrt" localSheetId="8" hidden="1">{#N/A,#N/A,FALSE,"Plan1";#N/A,#N/A,FALSE,"Plan2"}</definedName>
    <definedName name="sdgft" localSheetId="8" hidden="1">{#N/A,#N/A,FALSE,"Plan1";#N/A,#N/A,FALSE,"Plan2"}</definedName>
    <definedName name="sdgt" localSheetId="8" hidden="1">{#N/A,#N/A,FALSE,"Plan1";#N/A,#N/A,FALSE,"Plan2"}</definedName>
    <definedName name="sdhfghdsfg" localSheetId="8" hidden="1">{#N/A,#N/A,FALSE,"Plan1";#N/A,#N/A,FALSE,"Plan2"}</definedName>
    <definedName name="SDHFJKHDFJRE" localSheetId="8" hidden="1">{#N/A,#N/A,FALSE,"Plan1";#N/A,#N/A,FALSE,"Plan2"}</definedName>
    <definedName name="SDHKFDRKGTR" localSheetId="8" hidden="1">{#N/A,#N/A,FALSE,"Plan1";#N/A,#N/A,FALSE,"Plan2"}</definedName>
    <definedName name="sdjdswger" localSheetId="8" hidden="1">{#N/A,#N/A,FALSE,"Plan1";#N/A,#N/A,FALSE,"Plan2"}</definedName>
    <definedName name="sdjfdf" localSheetId="8" hidden="1">{#N/A,#N/A,FALSE,"Plan1";#N/A,#N/A,FALSE,"Plan2"}</definedName>
    <definedName name="sdjfhdjk" localSheetId="8" hidden="1">{#N/A,#N/A,FALSE,"Plan1";#N/A,#N/A,FALSE,"Plan2"}</definedName>
    <definedName name="SDJFJDER" localSheetId="8" hidden="1">{#N/A,#N/A,FALSE,"Plan1";#N/A,#N/A,FALSE,"Plan2"}</definedName>
    <definedName name="sdjflsdjfl" localSheetId="8" hidden="1">{#N/A,#N/A,FALSE,"Plan1";#N/A,#N/A,FALSE,"Plan2"}</definedName>
    <definedName name="SDJHF" localSheetId="8" hidden="1">{#N/A,#N/A,FALSE,"Plan1";#N/A,#N/A,FALSE,"Plan2"}</definedName>
    <definedName name="sdjrderertrr" localSheetId="8" hidden="1">{#N/A,#N/A,FALSE,"Plan1";#N/A,#N/A,FALSE,"Plan2"}</definedName>
    <definedName name="sdkdjk" localSheetId="8" hidden="1">{#N/A,#N/A,FALSE,"Plan1";#N/A,#N/A,FALSE,"Plan2"}</definedName>
    <definedName name="sdkfjhkdgfhk"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dkfnjd" localSheetId="8" hidden="1">{#N/A,#N/A,FALSE,"Plan1";#N/A,#N/A,FALSE,"Plan2"}</definedName>
    <definedName name="sdkk" localSheetId="8" hidden="1">{#N/A,#N/A,FALSE,"Plan1";#N/A,#N/A,FALSE,"Plan2"}</definedName>
    <definedName name="sdlfsdflj" localSheetId="8" hidden="1">{#N/A,#N/A,FALSE,"Plan1";#N/A,#N/A,FALSE,"Plan2"}</definedName>
    <definedName name="sdmfmdfsgfd" localSheetId="8" hidden="1">{#N/A,#N/A,FALSE,"Plan1";#N/A,#N/A,FALSE,"Plan2"}</definedName>
    <definedName name="sd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drfgt" localSheetId="8" hidden="1">{#N/A,#N/A,FALSE,"Plan1";#N/A,#N/A,FALSE,"Plan2"}</definedName>
    <definedName name="sdsd" localSheetId="8" hidden="1">{#N/A,#N/A,FALSE,"Plan1";#N/A,#N/A,FALSE,"Plan2"}</definedName>
    <definedName name="sdser" localSheetId="8" hidden="1">{#N/A,#N/A,FALSE,"Plan1";#N/A,#N/A,FALSE,"Plan2"}</definedName>
    <definedName name="sdsre" localSheetId="8" hidden="1">{#N/A,#N/A,FALSE,"Plan1";#N/A,#N/A,FALSE,"Plan2"}</definedName>
    <definedName name="sdss" localSheetId="8" hidden="1">{#N/A,#N/A,FALSE,"Plan1";#N/A,#N/A,FALSE,"Plan2"}</definedName>
    <definedName name="sdusi"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DWER" localSheetId="8" hidden="1">{"Econ Consolidado",#N/A,FALSE,"Econ Consol";"Fluxo de Caixa",#N/A,FALSE,"Fluxo Caixa";"Investimentos",#N/A,FALSE,"Investimentos"}</definedName>
    <definedName name="sdxfrt" localSheetId="8" hidden="1">{#N/A,#N/A,FALSE,"Plan1";#N/A,#N/A,FALSE,"Plan2"}</definedName>
    <definedName name="SDZFERF" localSheetId="8" hidden="1">{#N/A,#N/A,FALSE,"Plan1";#N/A,#N/A,FALSE,"Plan2"}</definedName>
    <definedName name="sefret4r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egftru" localSheetId="8" hidden="1">{#N/A,#N/A,FALSE,"Plan1";#N/A,#N/A,FALSE,"Plan2"}</definedName>
    <definedName name="SEREWRSWE" localSheetId="8" hidden="1">{"tabela",#N/A,FALSE,"Tabela";"decoração",#N/A,FALSE,"Decor.";"Informações",#N/A,FALSE,"Inform."}</definedName>
    <definedName name="sf" localSheetId="8" hidden="1">{#N/A,#N/A,FALSE,"Plan1";#N/A,#N/A,FALSE,"Plan2"}</definedName>
    <definedName name="sfcrer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fddfd" localSheetId="8" hidden="1">{#N/A,#N/A,FALSE,"Plan1";#N/A,#N/A,FALSE,"Plan2"}</definedName>
    <definedName name="sfds" localSheetId="8" hidden="1">{#N/A,#N/A,FALSE,"Plan1";#N/A,#N/A,FALSE,"Plan2"}</definedName>
    <definedName name="sfdsd" localSheetId="8" hidden="1">{#N/A,#N/A,FALSE,"Plan1";#N/A,#N/A,FALSE,"Plan2"}</definedName>
    <definedName name="sfrsdrgt" localSheetId="8" hidden="1">{#N/A,#N/A,FALSE,"Plan1";#N/A,#N/A,FALSE,"Plan2"}</definedName>
    <definedName name="SFRT" localSheetId="8" hidden="1">{#N/A,#N/A,FALSE,"Plan1";#N/A,#N/A,FALSE,"Plan2"}</definedName>
    <definedName name="sfsdferf" localSheetId="8" hidden="1">{#N/A,#N/A,FALSE,"Plan1";#N/A,#N/A,FALSE,"Plan2"}</definedName>
    <definedName name="SFSDS" localSheetId="8" hidden="1">{#N/A,#N/A,FALSE,"Plan1";#N/A,#N/A,FALSE,"Plan2"}</definedName>
    <definedName name="sgtghty" localSheetId="8" hidden="1">{#N/A,#N/A,FALSE,"Plan1";#N/A,#N/A,FALSE,"Plan2"}</definedName>
    <definedName name="SH" localSheetId="8" hidden="1">{#N/A,#N/A,FALSE,"GERAL";#N/A,#N/A,FALSE,"012-96";#N/A,#N/A,FALSE,"018-96";#N/A,#N/A,FALSE,"027-96";#N/A,#N/A,FALSE,"059-96";#N/A,#N/A,FALSE,"076-96";#N/A,#N/A,FALSE,"019-97";#N/A,#N/A,FALSE,"021-97";#N/A,#N/A,FALSE,"022-97";#N/A,#N/A,FALSE,"028-97"}</definedName>
    <definedName name="sjawe" localSheetId="8" hidden="1">{#N/A,#N/A,FALSE,"Plan1";#N/A,#N/A,FALSE,"Plan2"}</definedName>
    <definedName name="sjdffd" localSheetId="8" hidden="1">{#N/A,#N/A,FALSE,"Plan1";#N/A,#N/A,FALSE,"Plan2"}</definedName>
    <definedName name="SJDFHDJS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SJDHFHRE" localSheetId="8" hidden="1">{#N/A,#N/A,FALSE,"Plan1";#N/A,#N/A,FALSE,"Plan2"}</definedName>
    <definedName name="SJDKJDE" localSheetId="8" hidden="1">{"Econ Consolidado",#N/A,FALSE,"Econ Consol";"Fluxo de Caixa",#N/A,FALSE,"Fluxo Caixa";"Investimentos",#N/A,FALSE,"Investimentos"}</definedName>
    <definedName name="sjekwjri" localSheetId="8" hidden="1">{#N/A,#N/A,FALSE,"Plan1";#N/A,#N/A,FALSE,"Plan2"}</definedName>
    <definedName name="sjfkdhsfds" localSheetId="8" hidden="1">{#N/A,#N/A,FALSE,"Plan1";#N/A,#N/A,FALSE,"Plan2"}</definedName>
    <definedName name="sjkdljslkrje" localSheetId="8" hidden="1">{#N/A,#N/A,FALSE,"Plan1";#N/A,#N/A,FALSE,"Plan2"}</definedName>
    <definedName name="skadadaszs" localSheetId="8" hidden="1">{#N/A,#N/A,FALSE,"Plan1";#N/A,#N/A,FALSE,"Plan2"}</definedName>
    <definedName name="SKASH" localSheetId="8" hidden="1">{#N/A,#N/A,FALSE,"Plan1";#N/A,#N/A,FALSE,"Plan2"}</definedName>
    <definedName name="skldfrde" localSheetId="8" hidden="1">{#N/A,#N/A,FALSE,"Plan1";#N/A,#N/A,FALSE,"Plan2"}</definedName>
    <definedName name="skosroer" localSheetId="8" hidden="1">{#N/A,#N/A,FALSE,"Plan1";#N/A,#N/A,FALSE,"Plan2"}</definedName>
    <definedName name="sp"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ARE"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QEWWE" localSheetId="8" hidden="1">{#N/A,#N/A,FALSE,"Plan1";#N/A,#N/A,FALSE,"Plan2"}</definedName>
    <definedName name="SRH" localSheetId="8" hidden="1">{#N/A,#N/A,FALSE,"GERAL";#N/A,#N/A,FALSE,"012-96";#N/A,#N/A,FALSE,"018-96";#N/A,#N/A,FALSE,"027-96";#N/A,#N/A,FALSE,"059-96";#N/A,#N/A,FALSE,"076-96";#N/A,#N/A,FALSE,"019-97";#N/A,#N/A,FALSE,"021-97";#N/A,#N/A,FALSE,"022-97";#N/A,#N/A,FALSE,"028-97"}</definedName>
    <definedName name="SRTSRT" localSheetId="8" hidden="1">{#N/A,#N/A,FALSE,"GERAL";#N/A,#N/A,FALSE,"012-96";#N/A,#N/A,FALSE,"018-96";#N/A,#N/A,FALSE,"027-96";#N/A,#N/A,FALSE,"059-96";#N/A,#N/A,FALSE,"076-96";#N/A,#N/A,FALSE,"019-97";#N/A,#N/A,FALSE,"021-97";#N/A,#N/A,FALSE,"022-97";#N/A,#N/A,FALSE,"028-97"}</definedName>
    <definedName name="SRTST" localSheetId="8" hidden="1">{#N/A,#N/A,FALSE,"GERAL";#N/A,#N/A,FALSE,"012-96";#N/A,#N/A,FALSE,"018-96";#N/A,#N/A,FALSE,"027-96";#N/A,#N/A,FALSE,"059-96";#N/A,#N/A,FALSE,"076-96";#N/A,#N/A,FALSE,"019-97";#N/A,#N/A,FALSE,"021-97";#N/A,#N/A,FALSE,"022-97";#N/A,#N/A,FALSE,"028-97"}</definedName>
    <definedName name="tab"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Test" localSheetId="8" hidden="1">{"'Edit'!$A$1:$V$2277"}</definedName>
    <definedName name="TESTANDO" localSheetId="8" hidden="1">{#N/A,#N/A,TRUE,"Quinzena 01 à 15-04-98 "}</definedName>
    <definedName name="teste1" localSheetId="8" hidden="1">{#N/A,#N/A,FALSE,"GERAL";#N/A,#N/A,FALSE,"012-96";#N/A,#N/A,FALSE,"018-96";#N/A,#N/A,FALSE,"027-96";#N/A,#N/A,FALSE,"059-96";#N/A,#N/A,FALSE,"076-96";#N/A,#N/A,FALSE,"019-97";#N/A,#N/A,FALSE,"021-97";#N/A,#N/A,FALSE,"022-97";#N/A,#N/A,FALSE,"028-97"}</definedName>
    <definedName name="thjgsergsr" localSheetId="8" hidden="1">{#N/A,#N/A,FALSE,"Plan1";#N/A,#N/A,FALSE,"Plan2"}</definedName>
    <definedName name="THYJ" localSheetId="8" hidden="1">{#N/A,#N/A,FALSE,"Plan1";#N/A,#N/A,FALSE,"Plan2"}</definedName>
    <definedName name="tihjgih" localSheetId="8" hidden="1">{#N/A,#N/A,FALSE,"Plan1";#N/A,#N/A,FALSE,"Plan2"}</definedName>
    <definedName name="trjyidih" localSheetId="8" hidden="1">{#N/A,#N/A,FALSE,"Plan1";#N/A,#N/A,FALSE,"Plan2"}</definedName>
    <definedName name="tuyedjsksj" localSheetId="8" hidden="1">{#N/A,#N/A,FALSE,"Plan1";#N/A,#N/A,FALSE,"Plan2"}</definedName>
    <definedName name="TYHGFHFHG" localSheetId="8" hidden="1">{#N/A,#N/A,FALSE,"Plan1";#N/A,#N/A,FALSE,"Plan2"}</definedName>
    <definedName name="u" localSheetId="8" hidden="1">{#N/A,#N/A,FALSE,"ET-CAPA";#N/A,#N/A,FALSE,"ET-PAG1";#N/A,#N/A,FALSE,"ET-PAG2";#N/A,#N/A,FALSE,"ET-PAG3";#N/A,#N/A,FALSE,"ET-PAG4";#N/A,#N/A,FALSE,"ET-PAG5"}</definedName>
    <definedName name="udhgfhfg" localSheetId="8" hidden="1">{#N/A,#N/A,FALSE,"Plan1";#N/A,#N/A,FALSE,"Plan2"}</definedName>
    <definedName name="ueiutriuef" localSheetId="8" hidden="1">{#N/A,#N/A,FALSE,"Plan1";#N/A,#N/A,FALSE,"Plan2"}</definedName>
    <definedName name="UHGSDUS" localSheetId="8" hidden="1">{#N/A,#N/A,FALSE,"Plan1";#N/A,#N/A,FALSE,"Plan2"}</definedName>
    <definedName name="UIHWER45R" localSheetId="8" hidden="1">{#N/A,#N/A,FALSE,"Plan1";#N/A,#N/A,FALSE,"Plan2"}</definedName>
    <definedName name="uiosderuiu" localSheetId="8" hidden="1">{#N/A,#N/A,FALSE,"Plan1";#N/A,#N/A,FALSE,"Plan2"}</definedName>
    <definedName name="UIOURET" localSheetId="8" hidden="1">{#N/A,#N/A,FALSE,"Plan1";#N/A,#N/A,FALSE,"Plan2"}</definedName>
    <definedName name="uiwuer" localSheetId="8" hidden="1">{#N/A,#N/A,FALSE,"Plan1";#N/A,#N/A,FALSE,"Plan2"}</definedName>
    <definedName name="UKHDFDSGUDFKD" localSheetId="8" hidden="1">{#N/A,#N/A,FALSE,"Plan1";#N/A,#N/A,FALSE,"Plan2"}</definedName>
    <definedName name="unit" localSheetId="8" hidden="1">{#N/A,#N/A,FALSE,"GERAL";#N/A,#N/A,FALSE,"012-96";#N/A,#N/A,FALSE,"018-96";#N/A,#N/A,FALSE,"027-96";#N/A,#N/A,FALSE,"059-96";#N/A,#N/A,FALSE,"076-96";#N/A,#N/A,FALSE,"019-97";#N/A,#N/A,FALSE,"021-97";#N/A,#N/A,FALSE,"022-97";#N/A,#N/A,FALSE,"028-97"}</definedName>
    <definedName name="UPS"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uryrtyt" localSheetId="8" hidden="1">{#N/A,#N/A,FALSE,"Plan1";#N/A,#N/A,FALSE,"Plan2"}</definedName>
    <definedName name="valve"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vdsgfrhgfr" localSheetId="8" hidden="1">{#N/A,#N/A,FALSE,"Plan1";#N/A,#N/A,FALSE,"Plan2"}</definedName>
    <definedName name="VERIFICAR" localSheetId="8" hidden="1">{#N/A,#N/A,TRUE,"Quinzena 01 à 15-04-98 "}</definedName>
    <definedName name="vfnijfd"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VFV" localSheetId="8" hidden="1">{#N/A,#N/A,FALSE,"Plan1";#N/A,#N/A,FALSE,"Plan2"}</definedName>
    <definedName name="vld_classificacao" localSheetId="8" hidden="1">IF(#REF!="Ativa",OFFSET(INDEX(rng_list_classificacao,MATCH(#REF!,rng_list_classificacao,0)),1,0,COUNTA(rng_list_classificacao)-1),#REF!)</definedName>
    <definedName name="vld_regional" localSheetId="8" hidden="1">OFFSET(INDEX(rng_list_regional,MATCH(#REF!,rng_list_regional,0)),1,0,COUNTA(rng_list_regional)-1)</definedName>
    <definedName name="vld_segmento" localSheetId="8" hidden="1">IF(#REF!="Ativa",OFFSET(INDEX(rng_list_segmento,MATCH(#REF!,rng_list_segmento,0)),1,0,COUNTA(rng_list_segmento)-1),#REF!)</definedName>
    <definedName name="vld_sociedade" localSheetId="8" hidden="1">OFFSET(INDEX(rng_list_sociedade,MATCH(#REF!,rng_list_sociedade,0)),1,0,COUNTA(rng_list_sociedade)-1)</definedName>
    <definedName name="vld_status_empresa" localSheetId="8" hidden="1">OFFSET(INDEX(rng_list_status_empresa,MATCH(#REF!,rng_list_status_empresa,0)),1,0,COUNTA(rng_list_status_empresa)-1)</definedName>
    <definedName name="vld_status_lancamento" localSheetId="8" hidden="1">IF(#REF!="Ativa",OFFSET(INDEX(rng_list_status_lancamento,MATCH(#REF!,rng_list_status_lancamento,0)),1,0,COUNTA(rng_list_status_lancamento)-1),#REF!)</definedName>
    <definedName name="vld_status_projeto" localSheetId="8" hidden="1">IF(#REF!="Ativa",OFFSET(INDEX(rng_list_status_projeto,MATCH(#REF!,rng_list_status_projeto,0)),1,0,COUNTA(rng_list_status_projeto)-1),#REF!)</definedName>
    <definedName name="vld_status_viabilidade" localSheetId="8" hidden="1">OFFSET(INDEX(rng_list_status_viabilidade,MATCH(#REF!,rng_list_status_viabilidade,0)),1,0,COUNTA(rng_list_status_viabilidade)-1)</definedName>
    <definedName name="VSDHFGDFGR" localSheetId="8" hidden="1">{#N/A,#N/A,FALSE,"Plan1";#N/A,#N/A,FALSE,"Plan2"}</definedName>
    <definedName name="vvbb" localSheetId="8" hidden="1">{"tabela",#N/A,FALSE,"Tabela";"decoração",#N/A,FALSE,"Decor.";"Informações",#N/A,FALSE,"Inform."}</definedName>
    <definedName name="vvcbnb" localSheetId="8" hidden="1">{#N/A,#N/A,FALSE,"Plan1";#N/A,#N/A,FALSE,"Plan2"}</definedName>
    <definedName name="vvvvv" localSheetId="8" hidden="1">{"Econ Consolidado",#N/A,FALSE,"Econ Consol";"Fluxo de Caixa",#N/A,FALSE,"Fluxo Caixa";"Investimentos",#N/A,FALSE,"Investimentos"}</definedName>
    <definedName name="vvvvvv" localSheetId="8" hidden="1">{#N/A,#N/A,FALSE,"Plan1";#N/A,#N/A,FALSE,"Plan2"}</definedName>
    <definedName name="vvvvvvvvvvvvvvvvv" localSheetId="8" hidden="1">{"HW",#N/A,FALSE,"1998"}</definedName>
    <definedName name="wadalrdjlaev"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water"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erw4tr" localSheetId="8" hidden="1">{#N/A,#N/A,FALSE,"Plan1";#N/A,#N/A,FALSE,"Plan2"}</definedName>
    <definedName name="wetoedjtkdr" localSheetId="8" hidden="1">{#N/A,#N/A,FALSE,"Plan1";#N/A,#N/A,FALSE,"Plan2"}</definedName>
    <definedName name="WHATS" localSheetId="8" hidden="1">{"'Edit'!$A$1:$V$2277"}</definedName>
    <definedName name="win.VESSEL"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KJHIR" localSheetId="8" hidden="1">{#N/A,#N/A,FALSE,"Plan1";#N/A,#N/A,FALSE,"Plan2"}</definedName>
    <definedName name="WLQ" localSheetId="8" hidden="1">{#N/A,#N/A,FALSE,"명세표"}</definedName>
    <definedName name="WRITE" localSheetId="8" hidden="1">{#N/A,#N/A,FALSE,"CCTV"}</definedName>
    <definedName name="wrn.BM." localSheetId="8" hidden="1">{#N/A,#N/A,FALSE,"CCTV"}</definedName>
    <definedName name="wrn.Brita98.xls." localSheetId="8" hidden="1">{#N/A,#N/A,TRUE,"Quinzena 01 à 15-04-98 "}</definedName>
    <definedName name="wrn.Completo." localSheetId="8" hidden="1">{"EconCons (Econômico - Consolidado)",#N/A,FALSE,"Econômico - Consolidado";"CaixaCons",#N/A,FALSE,"Caixa - Consolidado";"Rio Branco",#N/A,FALSE,"Rio Branco";"Itajaí",#N/A,FALSE,"Itajaí";"Esteio",#N/A,FALSE,"Esteio";"P. Machado",#N/A,FALSE,"P. Machado";"InvestCons (Invest Consolidado)",#N/A,FALSE,"Invest Consolidado"}</definedName>
    <definedName name="wrn.Cons." localSheetId="8" hidden="1">{"EconCons",#N/A,TRUE,"Econômico - Consolidado";"CaixaCons",#N/A,TRUE,"Caixa - Consolidado";"InvestCons",#N/A,TRUE,"Invest Consolidado"}</definedName>
    <definedName name="wrn.Consolidado." localSheetId="8" hidden="1">{"Econ Consolidado",#N/A,FALSE,"Econ Consol";"Fluxo de Caixa",#N/A,FALSE,"Fluxo Caixa";"Investimentos",#N/A,FALSE,"Investimentos"}</definedName>
    <definedName name="wrn.GERAL." localSheetId="8" hidden="1">{#N/A,#N/A,FALSE,"ET-CAPA";#N/A,#N/A,FALSE,"ET-PAG1";#N/A,#N/A,FALSE,"ET-PAG2";#N/A,#N/A,FALSE,"ET-PAG3";#N/A,#N/A,FALSE,"ET-PAG4";#N/A,#N/A,FALSE,"ET-PAG5"}</definedName>
    <definedName name="wrn.HAGE." localSheetId="8" hidden="1">{#N/A,#N/A,FALSE,"cdi";#N/A,#N/A,FALSE,"debent";#N/A,#N/A,FALSE,"fdos";#N/A,#N/A,FALSE,"resumo"}</definedName>
    <definedName name="wrn.HAGE01" localSheetId="8" hidden="1">{#N/A,#N/A,FALSE,"cdi";#N/A,#N/A,FALSE,"debent";#N/A,#N/A,FALSE,"fdos";#N/A,#N/A,FALSE,"resumo"}</definedName>
    <definedName name="wrn.HW." localSheetId="8" hidden="1">{"HW",#N/A,FALSE,"1998"}</definedName>
    <definedName name="wrn.imp_flx." localSheetId="8" hidden="1">{#N/A,#N/A,FALSE,"CONSOLID";#N/A,#N/A,FALSE,"CIMENTO";#N/A,#N/A,FALSE,"METALURGIA";#N/A,#N/A,FALSE,"PAPEL";#N/A,#N/A,FALSE,"QUÍMICA";#N/A,#N/A,FALSE,"AGROINDL";#N/A,#N/A,FALSE,"OUTROS";#N/A,#N/A,FALSE,"REAL_ORCADO"}</definedName>
    <definedName name="wrn.IMPRESSO." localSheetId="8" hidden="1">{#N/A,#N/A,FALSE,"Plan1";#N/A,#N/A,FALSE,"Plan2"}</definedName>
    <definedName name="wrn.Imprimir." localSheetId="8" hidden="1">{"tabela",#N/A,FALSE,"Tabela";"decoração",#N/A,FALSE,"Decor.";"Informações",#N/A,FALSE,"Inform."}</definedName>
    <definedName name="wrn.LPU._.MG." localSheetId="8" hidden="1">{"MG-2002-F1",#N/A,FALSE,"PPU-Telemig";"MG-2002-F2",#N/A,FALSE,"PPU-Telemig";"MG-2002-F3",#N/A,FALSE,"PPU-Telemig";"MG-2002-F4",#N/A,FALSE,"PPU-Telemig";"MG-2003-F1",#N/A,FALSE,"PPU-Telemig";"MG-2004-F1",#N/A,FALSE,"PPU-Telemig"}</definedName>
    <definedName name="wrn.MGM機器リスト." localSheetId="8" hidden="1">{#N/A,#N/A,TRUE,"表紙";#N/A,#N/A,TRUE,"DMC合成";#N/A,#N/A,TRUE,"DMC回収･精製";#N/A,#N/A,TRUE,"MPC工程";#N/A,#N/A,TRUE,"DPC工程";#N/A,#N/A,TRUE,"ANI工程";#N/A,#N/A,TRUE,"PHOｰ触媒工程";#N/A,#N/A,TRUE,"用役"}</definedName>
    <definedName name="wrn.mode_lev.xls." localSheetId="8">{#N/A,#N/A,FALSE,"ALVENARIA";#N/A,#N/A,FALSE,"BLOCOS";#N/A,#N/A,FALSE,"CINTAS";#N/A,#N/A,FALSE,"CORTINA";#N/A,#N/A,FALSE,"LAJES";#N/A,#N/A,FALSE,"PILARES";#N/A,#N/A,FALSE,"VIGAS"}</definedName>
    <definedName name="wrn.Month._.Report._.Package." localSheetId="8" hidden="1">{#N/A,#N/A,FALSE,"Global Wls Trend";#N/A,#N/A,FALSE,"Region Trend";#N/A,#N/A,FALSE,"PBU Trend"}</definedName>
    <definedName name="wrn.Monthly._.Report._.Package." localSheetId="8" hidden="1">{#N/A,#N/A,FALSE,"Global by BU";#N/A,#N/A,FALSE,"U.S. by BU";#N/A,#N/A,FALSE,"Canada by BU";#N/A,#N/A,FALSE,"Europe by BU";#N/A,#N/A,FALSE,"Asia by BU";#N/A,#N/A,FALSE,"Cala by BU"}</definedName>
    <definedName name="wrn.PENDENCIAS." localSheetId="8" hidden="1">{#N/A,#N/A,FALSE,"GERAL";#N/A,#N/A,FALSE,"012-96";#N/A,#N/A,FALSE,"018-96";#N/A,#N/A,FALSE,"027-96";#N/A,#N/A,FALSE,"059-96";#N/A,#N/A,FALSE,"076-96";#N/A,#N/A,FALSE,"019-97";#N/A,#N/A,FALSE,"021-97";#N/A,#N/A,FALSE,"022-97";#N/A,#N/A,FALSE,"028-97"}</definedName>
    <definedName name="wrn.Planiha._.de._.Medição._.F._.01." localSheetId="8" hidden="1">{#N/A,#N/A,FALSE,"F-01"}</definedName>
    <definedName name="wrn.Planiha._.de._.Medição._.F._.01._1" localSheetId="8" hidden="1">{#N/A,#N/A,FALSE,"F-01"}</definedName>
    <definedName name="wrn.Planilha_de_Medição_F_02" localSheetId="8" hidden="1">{#N/A,#N/A,FALSE,"F-01"}</definedName>
    <definedName name="wrn.print._.all." localSheetId="8" hidden="1">{#N/A,#N/A,FALSE,"$170M Cash";#N/A,#N/A,FALSE,"$250M Cash";#N/A,#N/A,FALSE,"$325M Cash"}</definedName>
    <definedName name="wrn.PrintAll." localSheetId="8" hidden="1">{#N/A,#N/A,FALSE,"Sheet1";#N/A,#N/A,FALSE,"Sheet2";#N/A,#N/A,FALSE,"Sheet3";#N/A,#N/A,FALSE,"Sheet4";#N/A,#N/A,FALSE,"Sheet5";#N/A,#N/A,FALSE,"Sheet6";#N/A,#N/A,FALSE,"Sheet7";#N/A,#N/A,FALSE,"Sheet8";#N/A,#N/A,FALSE,"Sheet9"}</definedName>
    <definedName name="wrn.PrintCurr." localSheetId="8" hidden="1">{#N/A,#N/A,FALSE,"Sheet1";#N/A,#N/A,FALSE,"Sheet2";#N/A,#N/A,FALSE,"Sheet3"}</definedName>
    <definedName name="wrn.PrintPrev1." localSheetId="8" hidden="1">{#N/A,#N/A,FALSE,"Sheet4";#N/A,#N/A,FALSE,"Sheet5";#N/A,#N/A,FALSE,"Sheet6"}</definedName>
    <definedName name="wrn.PrintPrev2." localSheetId="8" hidden="1">{#N/A,#N/A,FALSE,"Sheet7";#N/A,#N/A,FALSE,"Sheet8";#N/A,#N/A,FALSE,"Sheet9"}</definedName>
    <definedName name="wrn.Quadros._.relatório." localSheetId="8" hidden="1">{#N/A,#N/A,FALSE,"QD_F1 Invest Detalhado";#N/A,#N/A,FALSE,"QD_F3 Invest_Comparado";#N/A,#N/A,FALSE,"QD_B Trafego";#N/A,#N/A,FALSE,"QD_D0 Custos Operacionais";#N/A,#N/A,FALSE,"QD_C Receita";#N/A,#N/A,FALSE,"QD_D Custos";#N/A,#N/A,FALSE,"QD_E Resultado";#N/A,#N/A,FALSE,"QD_G Fluxo Caixa"}</definedName>
    <definedName name="wrn.REPORT." localSheetId="8" hidden="1">{#N/A,#N/A,FALSE,"표지";#N/A,#N/A,FALSE,"목차";#N/A,#N/A,FALSE,"내용1";#N/A,#N/A,FALSE,"내용2";#N/A,#N/A,FALSE,"결론";#N/A,#N/A,FALSE,"첨부";#N/A,#N/A,FALSE,"진공도달시간";#N/A,#N/A,FALSE,"배가스속도"}</definedName>
    <definedName name="wrn.STAFFS." localSheetId="8" hidden="1">{#N/A,#N/A,FALSE,"TABLE"}</definedName>
    <definedName name="wrn.TERCEIRO." localSheetId="8" hidden="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RCEIRO01" localSheetId="8" hidden="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st1." localSheetId="8" hidden="1">{#N/A,#N/A,FALSE,"명세표"}</definedName>
    <definedName name="wrn.Unidades." localSheetId="8" hidden="1">{"Rio Branco",#N/A,FALSE,"Rio Branco";"Itajaí",#N/A,FALSE,"Itajaí";"Pinheiro Machado",#N/A,FALSE,"PMachado";"Esteio",#N/A,FALSE,"Esteio"}</definedName>
    <definedName name="wrn.VESSEL및N2._.구입사양서."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견적." localSheetId="8" hidden="1">{#N/A,#N/A,FALSE,"Sheet1";#N/A,#N/A,FALSE,"Sheet2";#N/A,#N/A,FALSE,"TAB96-1"}</definedName>
    <definedName name="wrn.보호계전기." localSheetId="8" hidden="1">{#N/A,#N/A,FALSE,"ENG'G(보호계전기)"}</definedName>
    <definedName name="wrn.현장._.NCR._.분석." localSheetId="8" hidden="1">{#N/A,#N/A,FALSE,"현장 NCR 분석";#N/A,#N/A,FALSE,"현장품질감사";#N/A,#N/A,FALSE,"현장품질감사"}</definedName>
    <definedName name="wrn1.Cons." localSheetId="8" hidden="1">{"EconCons",#N/A,TRUE,"Econômico - Consolidado";"CaixaCons",#N/A,TRUE,"Caixa - Consolidado";"InvestCons",#N/A,TRUE,"Invest Consolidado"}</definedName>
    <definedName name="wrn1.print._.all." localSheetId="8" hidden="1">{#N/A,#N/A,FALSE,"$170M Cash";#N/A,#N/A,FALSE,"$250M Cash";#N/A,#N/A,FALSE,"$325M Cash"}</definedName>
    <definedName name="WRS" localSheetId="8" hidden="1">{"'장비'!$A$3:$M$12"}</definedName>
    <definedName name="wrt" localSheetId="8" hidden="1">{#N/A,#N/A,FALSE,"$170M Cash";#N/A,#N/A,FALSE,"$250M Cash";#N/A,#N/A,FALSE,"$325M Cash"}</definedName>
    <definedName name="wvu.PLANILHA2."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ww"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wwwwwwwww" localSheetId="8" hidden="1">{"'Ethernet Hubs'!$A$1:$F$14","'Licences'!$A$1:$F$16","'Ports and Converters'!$A$1:$F$46","'Standard Routers'!$A$1:$F$28","'Ports and Converters'!$A$1:$G$46","'Router Chassis'!$A$1:$F$21","'Cables and Connectors'!$A$1:$F$41","'Support, Training and Docs'!$A$1:$F$6","'Management'!$A$1:$F$8"}</definedName>
    <definedName name="xcfrt" localSheetId="8" hidden="1">{#N/A,#N/A,FALSE,"Plan1";#N/A,#N/A,FALSE,"Plan2"}</definedName>
    <definedName name="xcgjkfghf" localSheetId="8" hidden="1">{#N/A,#N/A,FALSE,"Plan1";#N/A,#N/A,FALSE,"Plan2"}</definedName>
    <definedName name="XCGJKVHFDG" localSheetId="8" hidden="1">{#N/A,#N/A,FALSE,"Plan1";#N/A,#N/A,FALSE,"Plan2"}</definedName>
    <definedName name="xcgtrty"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XCGVR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xçl" localSheetId="8" hidden="1">{#N/A,#N/A,FALSE,"Plan1";#N/A,#N/A,FALSE,"Plan2"}</definedName>
    <definedName name="xcndj" localSheetId="8" hidden="1">{#N/A,#N/A,FALSE,"Plan1";#N/A,#N/A,FALSE,"Plan2"}</definedName>
    <definedName name="XCVGGT" localSheetId="8" hidden="1">{#N/A,#N/A,FALSE,"Plan1";#N/A,#N/A,FALSE,"Plan2"}</definedName>
    <definedName name="xcvrg" localSheetId="8" hidden="1">{#N/A,#N/A,FALSE,"Plan1";#N/A,#N/A,FALSE,"Plan2"}</definedName>
    <definedName name="xdfef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xdgtyhyt" localSheetId="8" hidden="1">{#N/A,#N/A,FALSE,"Plan1";#N/A,#N/A,FALSE,"Plan2"}</definedName>
    <definedName name="xfdlfj" localSheetId="8" hidden="1">{#N/A,#N/A,FALSE,"Plan1";#N/A,#N/A,FALSE,"Plan2"}</definedName>
    <definedName name="xfdxfdf" localSheetId="8" hidden="1">{#N/A,#N/A,FALSE,"Plan1";#N/A,#N/A,FALSE,"Plan2"}</definedName>
    <definedName name="XFJKLDJKLGJ"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xfrty" localSheetId="8" hidden="1">{#N/A,#N/A,FALSE,"Plan1";#N/A,#N/A,FALSE,"Plan2"}</definedName>
    <definedName name="XFT"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xfvchdhhd" localSheetId="8" hidden="1">{"Econ Consolidado",#N/A,FALSE,"Econ Consol";"Fluxo de Caixa",#N/A,FALSE,"Fluxo Caixa";"Investimentos",#N/A,FALSE,"Investimentos"}</definedName>
    <definedName name="xfvgcfgt" localSheetId="8" hidden="1">{#N/A,#N/A,FALSE,"Plan1";#N/A,#N/A,FALSE,"Plan2"}</definedName>
    <definedName name="xgrg" localSheetId="8" hidden="1">{#N/A,#N/A,FALSE,"Plan1";#N/A,#N/A,FALSE,"Plan2"}</definedName>
    <definedName name="xmght" localSheetId="8" hidden="1">{#N/A,#N/A,FALSE,"Plan1";#N/A,#N/A,FALSE,"Plan2"}</definedName>
    <definedName name="xo" localSheetId="8" hidden="1">{#N/A,#N/A,FALSE,"Global by BU";#N/A,#N/A,FALSE,"U.S. by BU";#N/A,#N/A,FALSE,"Canada by BU";#N/A,#N/A,FALSE,"Europe by BU";#N/A,#N/A,FALSE,"Asia by BU";#N/A,#N/A,FALSE,"Cala by BU"}</definedName>
    <definedName name="xxxx"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XXXXX" localSheetId="8" hidden="1">{#N/A,#N/A,FALSE,"GERAL";#N/A,#N/A,FALSE,"012-96";#N/A,#N/A,FALSE,"018-96";#N/A,#N/A,FALSE,"027-96";#N/A,#N/A,FALSE,"059-96";#N/A,#N/A,FALSE,"076-96";#N/A,#N/A,FALSE,"019-97";#N/A,#N/A,FALSE,"021-97";#N/A,#N/A,FALSE,"022-97";#N/A,#N/A,FALSE,"028-97"}</definedName>
    <definedName name="xxxxxxxxxxxxxx" localSheetId="8" hidden="1">{#N/A,#N/A,FALSE,"Plan1";#N/A,#N/A,FALSE,"Plan2"}</definedName>
    <definedName name="xzfrt" localSheetId="8" hidden="1">{#N/A,#N/A,FALSE,"Plan1";#N/A,#N/A,FALSE,"Plan2"}</definedName>
    <definedName name="yeitrtged" localSheetId="8" hidden="1">{#N/A,#N/A,FALSE,"Plan1";#N/A,#N/A,FALSE,"Plan2"}</definedName>
    <definedName name="yhdfiuygrui" localSheetId="8" hidden="1">{#N/A,#N/A,FALSE,"Plan1";#N/A,#N/A,FALSE,"Plan2"}</definedName>
    <definedName name="YRGUYDRIY" localSheetId="8" hidden="1">{"Econ Consolidado",#N/A,FALSE,"Econ Consol";"Fluxo de Caixa",#N/A,FALSE,"Fluxo Caixa";"Investimentos",#N/A,FALSE,"Investimentos"}</definedName>
    <definedName name="yuegursdmksf" localSheetId="8" hidden="1">{#N/A,#N/A,FALSE,"Plan1";#N/A,#N/A,FALSE,"Plan2"}</definedName>
    <definedName name="yuekl4fr" localSheetId="8" hidden="1">{#N/A,#N/A,FALSE,"Plan1";#N/A,#N/A,FALSE,"Plan2"}</definedName>
    <definedName name="yureytuyrea" localSheetId="8" hidden="1">{#N/A,#N/A,FALSE,"Plan1";#N/A,#N/A,FALSE,"Plan2"}</definedName>
    <definedName name="z" localSheetId="8" hidden="1">{"'Estimativa de Lançamento-JAN'!$A$1:$AI$85"}</definedName>
    <definedName name="z\djs"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zcdçskld" localSheetId="8" hidden="1">{#N/A,#N/A,FALSE,"Plan1";#N/A,#N/A,FALSE,"Plan2"}</definedName>
    <definedName name="zcsdrfrt" localSheetId="8" hidden="1">{#N/A,#N/A,FALSE,"Plan1";#N/A,#N/A,FALSE,"Plan2"}</definedName>
    <definedName name="ZDRE" localSheetId="8" hidden="1">{#N/A,#N/A,FALSE,"Plan1";#N/A,#N/A,FALSE,"Plan2"}</definedName>
    <definedName name="ZSADF" localSheetId="8" hidden="1">{#N/A,#N/A,FALSE,"Plan1";#N/A,#N/A,FALSE,"Plan2"}</definedName>
    <definedName name="zsads" localSheetId="8" hidden="1">{#N/A,#N/A,FALSE,"Plan1";#N/A,#N/A,FALSE,"Plan2"}</definedName>
    <definedName name="zsds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zsdwer"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zxccdf" localSheetId="8" hidden="1">{#N/A,#N/A,FALSE,"Plan1";#N/A,#N/A,FALSE,"Plan2"}</definedName>
    <definedName name="zxcfdstrrt" localSheetId="8" hidden="1">{#N/A,#N/A,FALSE,"Plan1";#N/A,#N/A,FALSE,"Plan2"}</definedName>
    <definedName name="zxcx" localSheetId="8" hidden="1">{#N/A,#N/A,FALSE,"Plan1";#N/A,#N/A,FALSE,"Plan2"}</definedName>
    <definedName name="ZXFCRF" localSheetId="8" hidden="1">{TRUE,TRUE,-1.25,-15.5,604.5,366.75,FALSE,FALSE,TRUE,TRUE,0,1,#N/A,1,#N/A,9.0125,24.4117647058824,1,FALSE,FALSE,3,TRUE,1,FALSE,100,"Swvu.PLANILHA2.","ACwvu.PLANILHA2.",#N/A,FALSE,FALSE,0.787401575,0.34,0.46,0.5,1,"","",FALSE,FALSE,FALSE,FALSE,1,#N/A,1,1,FALSE,FALSE,#N/A,#N/A,FALSE,FALSE,FALSE,9,65532,65532,FALSE,FALSE,TRUE,TRUE,TRUE}</definedName>
    <definedName name="ZXFHDFRHDF" localSheetId="8" hidden="1">{#N/A,#N/A,FALSE,"Plan1";#N/A,#N/A,FALSE,"Plan2"}</definedName>
    <definedName name="zzdftr" localSheetId="8" hidden="1">{#N/A,#N/A,FALSE,"Plan1";#N/A,#N/A,FALSE,"Plan2"}</definedName>
    <definedName name="ㄱ"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ㄱㄷㄱㄱㅎㄺㄷ" localSheetId="8" hidden="1">{"'장비'!$A$3:$M$12"}</definedName>
    <definedName name="검증"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가"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고문" localSheetId="8" hidden="1">{#N/A,#N/A,FALSE,"현장 NCR 분석";#N/A,#N/A,FALSE,"현장품질감사";#N/A,#N/A,FALSE,"현장품질감사"}</definedName>
    <definedName name="고문2" localSheetId="8" hidden="1">{#N/A,#N/A,FALSE,"현장 NCR 분석";#N/A,#N/A,FALSE,"현장품질감사";#N/A,#N/A,FALSE,"현장품질감사"}</definedName>
    <definedName name="공공공표"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구분표_수정" localSheetId="8" hidden="1">{#N/A,#N/A,FALSE,"ENG'G(보호계전기)"}</definedName>
    <definedName name="공급표표"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진도율적용"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표"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양1소결합리화"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름"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분2"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3"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3"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두성"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내역" localSheetId="8" hidden="1">{#N/A,#N/A,FALSE,"CCTV"}</definedName>
    <definedName name="ㄷㄳ" localSheetId="8" hidden="1">{"'장비'!$A$3:$M$12"}</definedName>
    <definedName name="ㄷㄷㄷㄷ" localSheetId="8" hidden="1">{"'장비'!$A$3:$M$12"}</definedName>
    <definedName name="ㄷㅈㅂㄷ" localSheetId="8" hidden="1">{"'장비'!$A$3:$M$12"}</definedName>
    <definedName name="ㄹㄹ" localSheetId="8" hidden="1">{"'장비'!$A$3:$M$12"}</definedName>
    <definedName name="랄"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러러" localSheetId="8" hidden="1">{#N/A,#N/A,FALSE,"현장 NCR 분석";#N/A,#N/A,FALSE,"현장품질감사";#N/A,#N/A,FALSE,"현장품질감사"}</definedName>
    <definedName name="ㅁ" localSheetId="8" hidden="1">{#N/A,#N/A,FALSE,"명세표"}</definedName>
    <definedName name="ㅁㄴ"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ㄹ"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ㄻㄴㅇㄻㄴㅇ"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ㅁ"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ㅁ" localSheetId="8" hidden="1">{#N/A,#N/A,FALSE,"명세표"}</definedName>
    <definedName name="ㅁㅁㅁㅁㅁㅁㅁㅁㅁㅁㅁㅁ"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ㅇㄻㄴ"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머" localSheetId="8" hidden="1">{#N/A,#N/A,FALSE,"명세표"}</definedName>
    <definedName name="ㅂㅂㅂㅂ" localSheetId="8" hidden="1">{#N/A,#N/A,FALSE,"명세표"}</definedName>
    <definedName name="ㅂㅂㅂㅂㅂㅂㅂ"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ㅈㄱㅂㅈㄷㄱ" localSheetId="8" hidden="1">{"'장비'!$A$3:$M$12"}</definedName>
    <definedName name="ㅂㅈㄷ" localSheetId="8" hidden="1">{"'장비'!$A$3:$M$12"}</definedName>
    <definedName name="ㅂㅈㄷㄷㅂㅈㅈㅂ" localSheetId="8" hidden="1">{"'장비'!$A$3:$M$12"}</definedName>
    <definedName name="ㅂㅈㄷㅂㅈ" localSheetId="8" hidden="1">{"'장비'!$A$3:$M$12"}</definedName>
    <definedName name="ㅂㅈㄷㅂㅈㅈㅂㄷ" localSheetId="8" hidden="1">{"'장비'!$A$3:$M$12"}</definedName>
    <definedName name="ㅂㅈㄷㅈㅂㄷ" localSheetId="8" hidden="1">{"'장비'!$A$3:$M$12"}</definedName>
    <definedName name="보"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보호" localSheetId="8" hidden="1">{#N/A,#N/A,FALSE,"ENG'G(보호계전기)"}</definedName>
    <definedName name="본공사공정표"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부손익" localSheetId="8" hidden="1">{#N/A,#N/A,FALSE,"현장 NCR 분석";#N/A,#N/A,FALSE,"현장품질감사";#N/A,#N/A,FALSE,"현장품질감사"}</definedName>
    <definedName name="분야"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ㅅㄱㄱㄷ" localSheetId="8" hidden="1">{"'장비'!$A$3:$M$12"}</definedName>
    <definedName name="ㅅㅅㅅㅅㅅ" localSheetId="8" hidden="1">{"'장비'!$A$3:$M$12"}</definedName>
    <definedName name="사업"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관리"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새안" localSheetId="8" hidden="1">{#N/A,#N/A,FALSE,"TABLE"}</definedName>
    <definedName name="석항" localSheetId="8" hidden="1">{#N/A,#N/A,FALSE,"명세표"}</definedName>
    <definedName name="설계현황"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쇼ㅗㅎ로" localSheetId="8" hidden="1">{"'장비'!$A$3:$M$12"}</definedName>
    <definedName name="신설" localSheetId="8" hidden="1">{#N/A,#N/A,FALSE,"명세표"}</definedName>
    <definedName name="ㅇㅇ"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변경123"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적용"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구조건참조"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이"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이"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ㅈ" localSheetId="8" hidden="1">{#N/A,#N/A,FALSE,"명세표"}</definedName>
    <definedName name="ㅈㅈㅈㅈ" localSheetId="8" hidden="1">{#N/A,#N/A,FALSE,"명세표"}</definedName>
    <definedName name="자미" localSheetId="8" hidden="1">{#N/A,#N/A,FALSE,"명세표"}</definedName>
    <definedName name="자재3"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사양_SAMPLE"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상세공정"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1"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설계현황"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중량비교검토" localSheetId="8" hidden="1">{#N/A,#N/A,FALSE,"ENG'G(보호계전기)"}</definedName>
    <definedName name="집계" localSheetId="8" hidden="1">{#N/A,#N/A,FALSE,"명세표"}</definedName>
    <definedName name="철골공정"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2"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ㅋㅁ" localSheetId="8" hidden="1">{#N/A,#N/A,FALSE,"명세표"}</definedName>
    <definedName name="ㅋㅋㅋ" localSheetId="8" hidden="1">{#N/A,#N/A,FALSE,"명세표"}</definedName>
    <definedName name="ㅌㅌ" localSheetId="8" hidden="1">{#N/A,#N/A,FALSE,"명세표"}</definedName>
    <definedName name="토"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토목"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ㅎㅎ" localSheetId="8" hidden="1">{"'장비'!$A$3:$M$12"}</definedName>
    <definedName name="하하하" localSheetId="8" hidden="1">{#N/A,#N/A,FALSE,"명세표"}</definedName>
    <definedName name="한국"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장계기류"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1"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호호호" localSheetId="8" hidden="1">{#N/A,#N/A,FALSE,"명세표"}</definedName>
    <definedName name="ㅏㅏㅏ" localSheetId="8" hidden="1">{#N/A,#N/A,FALSE,"명세표"}</definedName>
    <definedName name="ㅔㅔ" localSheetId="8" hidden="1">{#N/A,#N/A,FALSE,"명세표"}</definedName>
    <definedName name="ㅔㅔㅔㅔㅔ"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홓ㅎ로" localSheetId="8" hidden="1">{"'장비'!$A$3:$M$12"}</definedName>
    <definedName name="ㅗㅗ" localSheetId="8" hidden="1">{#N/A,#N/A,FALSE,"명세표"}</definedName>
    <definedName name="ㅗㅗㅗㅗㅗ" localSheetId="8" hidden="1">{"'장비'!$A$3:$M$12"}</definedName>
    <definedName name="ㅛ" localSheetId="8" hidden="1">{"'장비'!$A$3:$M$12"}</definedName>
    <definedName name="ㅛㅕㅛㅕㅛ"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ㅛㅛㅛ" localSheetId="8" hidden="1">{"'장비'!$A$3:$M$12"}</definedName>
    <definedName name="ㅜ" localSheetId="8" hidden="1">{#N/A,#N/A,FALSE,"명세표"}</definedName>
    <definedName name="ㅠㅠ" localSheetId="8"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ㅡㅡ" localSheetId="8" hidden="1">{#N/A,#N/A,FALSE,"명세표"}</definedName>
    <definedName name="_xlnm._FilterDatabase" localSheetId="8" hidden="1">'Ger_Tec e Adm'!$A$7:$L$819</definedName>
    <definedName name="________________r1" localSheetId="9">{#N/A,#N/A,FALSE,"GERAL";#N/A,#N/A,FALSE,"012-96";#N/A,#N/A,FALSE,"018-96";#N/A,#N/A,FALSE,"027-96";#N/A,#N/A,FALSE,"059-96";#N/A,#N/A,FALSE,"076-96";#N/A,#N/A,FALSE,"019-97";#N/A,#N/A,FALSE,"021-97";#N/A,#N/A,FALSE,"022-97";#N/A,#N/A,FALSE,"028-97"}</definedName>
    <definedName name="______________r1" localSheetId="9">{#N/A,#N/A,FALSE,"GERAL";#N/A,#N/A,FALSE,"012-96";#N/A,#N/A,FALSE,"018-96";#N/A,#N/A,FALSE,"027-96";#N/A,#N/A,FALSE,"059-96";#N/A,#N/A,FALSE,"076-96";#N/A,#N/A,FALSE,"019-97";#N/A,#N/A,FALSE,"021-97";#N/A,#N/A,FALSE,"022-97";#N/A,#N/A,FALSE,"028-97"}</definedName>
    <definedName name="_____________r1" localSheetId="9">{#N/A,#N/A,FALSE,"GERAL";#N/A,#N/A,FALSE,"012-96";#N/A,#N/A,FALSE,"018-96";#N/A,#N/A,FALSE,"027-96";#N/A,#N/A,FALSE,"059-96";#N/A,#N/A,FALSE,"076-96";#N/A,#N/A,FALSE,"019-97";#N/A,#N/A,FALSE,"021-97";#N/A,#N/A,FALSE,"022-97";#N/A,#N/A,FALSE,"028-97"}</definedName>
    <definedName name="____________r1" localSheetId="9">{#N/A,#N/A,FALSE,"GERAL";#N/A,#N/A,FALSE,"012-96";#N/A,#N/A,FALSE,"018-96";#N/A,#N/A,FALSE,"027-96";#N/A,#N/A,FALSE,"059-96";#N/A,#N/A,FALSE,"076-96";#N/A,#N/A,FALSE,"019-97";#N/A,#N/A,FALSE,"021-97";#N/A,#N/A,FALSE,"022-97";#N/A,#N/A,FALSE,"028-97"}</definedName>
    <definedName name="___________r1" localSheetId="9">{#N/A,#N/A,FALSE,"GERAL";#N/A,#N/A,FALSE,"012-96";#N/A,#N/A,FALSE,"018-96";#N/A,#N/A,FALSE,"027-96";#N/A,#N/A,FALSE,"059-96";#N/A,#N/A,FALSE,"076-96";#N/A,#N/A,FALSE,"019-97";#N/A,#N/A,FALSE,"021-97";#N/A,#N/A,FALSE,"022-97";#N/A,#N/A,FALSE,"028-97"}</definedName>
    <definedName name="_________r1" localSheetId="9">{#N/A,#N/A,FALSE,"GERAL";#N/A,#N/A,FALSE,"012-96";#N/A,#N/A,FALSE,"018-96";#N/A,#N/A,FALSE,"027-96";#N/A,#N/A,FALSE,"059-96";#N/A,#N/A,FALSE,"076-96";#N/A,#N/A,FALSE,"019-97";#N/A,#N/A,FALSE,"021-97";#N/A,#N/A,FALSE,"022-97";#N/A,#N/A,FALSE,"028-97"}</definedName>
    <definedName name="________r1" localSheetId="9">{#N/A,#N/A,FALSE,"GERAL";#N/A,#N/A,FALSE,"012-96";#N/A,#N/A,FALSE,"018-96";#N/A,#N/A,FALSE,"027-96";#N/A,#N/A,FALSE,"059-96";#N/A,#N/A,FALSE,"076-96";#N/A,#N/A,FALSE,"019-97";#N/A,#N/A,FALSE,"021-97";#N/A,#N/A,FALSE,"022-97";#N/A,#N/A,FALSE,"028-97"}</definedName>
    <definedName name="_______r1" localSheetId="9">{#N/A,#N/A,FALSE,"GERAL";#N/A,#N/A,FALSE,"012-96";#N/A,#N/A,FALSE,"018-96";#N/A,#N/A,FALSE,"027-96";#N/A,#N/A,FALSE,"059-96";#N/A,#N/A,FALSE,"076-96";#N/A,#N/A,FALSE,"019-97";#N/A,#N/A,FALSE,"021-97";#N/A,#N/A,FALSE,"022-97";#N/A,#N/A,FALSE,"028-97"}</definedName>
    <definedName name="______ACR10" localSheetId="9">#REF!</definedName>
    <definedName name="______ACR15" localSheetId="9">#REF!</definedName>
    <definedName name="______acr20" localSheetId="9">#REF!</definedName>
    <definedName name="______acr5" localSheetId="9">#REF!</definedName>
    <definedName name="______ARQ1" localSheetId="9">#REF!</definedName>
    <definedName name="______QT100" localSheetId="9">#REF!</definedName>
    <definedName name="______QT2" localSheetId="9">#REF!</definedName>
    <definedName name="______QT3" localSheetId="9">#REF!</definedName>
    <definedName name="______QT4" localSheetId="9">#REF!</definedName>
    <definedName name="______QT50" localSheetId="9">#REF!</definedName>
    <definedName name="______QT75" localSheetId="9">#REF!</definedName>
    <definedName name="______r1" localSheetId="9">{#N/A,#N/A,FALSE,"GERAL";#N/A,#N/A,FALSE,"012-96";#N/A,#N/A,FALSE,"018-96";#N/A,#N/A,FALSE,"027-96";#N/A,#N/A,FALSE,"059-96";#N/A,#N/A,FALSE,"076-96";#N/A,#N/A,FALSE,"019-97";#N/A,#N/A,FALSE,"021-97";#N/A,#N/A,FALSE,"022-97";#N/A,#N/A,FALSE,"028-97"}</definedName>
    <definedName name="_____ACR10" localSheetId="9">#REF!</definedName>
    <definedName name="_____ACR15" localSheetId="9">#REF!</definedName>
    <definedName name="_____acr20" localSheetId="9">#REF!</definedName>
    <definedName name="_____acr5" localSheetId="9">#REF!</definedName>
    <definedName name="_____ARQ1" localSheetId="9">#REF!</definedName>
    <definedName name="_____QT100" localSheetId="9">#REF!</definedName>
    <definedName name="_____QT2" localSheetId="9">#REF!</definedName>
    <definedName name="_____QT3" localSheetId="9">#REF!</definedName>
    <definedName name="_____QT4" localSheetId="9">#REF!</definedName>
    <definedName name="_____QT50" localSheetId="9">#REF!</definedName>
    <definedName name="_____QT75" localSheetId="9">#REF!</definedName>
    <definedName name="_____r1" localSheetId="9">{#N/A,#N/A,FALSE,"GERAL";#N/A,#N/A,FALSE,"012-96";#N/A,#N/A,FALSE,"018-96";#N/A,#N/A,FALSE,"027-96";#N/A,#N/A,FALSE,"059-96";#N/A,#N/A,FALSE,"076-96";#N/A,#N/A,FALSE,"019-97";#N/A,#N/A,FALSE,"021-97";#N/A,#N/A,FALSE,"022-97";#N/A,#N/A,FALSE,"028-97"}</definedName>
    <definedName name="____key2" localSheetId="9">#REF!</definedName>
    <definedName name="____PK2" localSheetId="9">{"'장비'!$A$3:$M$12"}</definedName>
    <definedName name="____PKG3" localSheetId="9">{"'장비'!$A$3:$M$12"}</definedName>
    <definedName name="____qqq222" localSheetId="9">{"'장비'!$A$3:$M$12"}</definedName>
    <definedName name="____r1" localSheetId="9">{#N/A,#N/A,FALSE,"GERAL";#N/A,#N/A,FALSE,"012-96";#N/A,#N/A,FALSE,"018-96";#N/A,#N/A,FALSE,"027-96";#N/A,#N/A,FALSE,"059-96";#N/A,#N/A,FALSE,"076-96";#N/A,#N/A,FALSE,"019-97";#N/A,#N/A,FALSE,"021-97";#N/A,#N/A,FALSE,"022-97";#N/A,#N/A,FALSE,"028-97"}</definedName>
    <definedName name="___ACR10" localSheetId="9">#REF!</definedName>
    <definedName name="___ACR15" localSheetId="9">#REF!</definedName>
    <definedName name="___acr20" localSheetId="9">#REF!</definedName>
    <definedName name="___acr5" localSheetId="9">#REF!</definedName>
    <definedName name="___ARQ1" localSheetId="9">#REF!</definedName>
    <definedName name="___CO2"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ECS1"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key2" localSheetId="9">#REF!</definedName>
    <definedName name="___PK2" localSheetId="9">{"'장비'!$A$3:$M$12"}</definedName>
    <definedName name="___PKG3" localSheetId="9">{"'장비'!$A$3:$M$12"}</definedName>
    <definedName name="___qqq222" localSheetId="9">{"'장비'!$A$3:$M$12"}</definedName>
    <definedName name="___QT100" localSheetId="9">#REF!</definedName>
    <definedName name="___QT2" localSheetId="9">#REF!</definedName>
    <definedName name="___QT3" localSheetId="9">#REF!</definedName>
    <definedName name="___QT4" localSheetId="9">#REF!</definedName>
    <definedName name="___QT50" localSheetId="9">#REF!</definedName>
    <definedName name="___QT75" localSheetId="9">#REF!</definedName>
    <definedName name="___r1" localSheetId="9">{#N/A,#N/A,FALSE,"GERAL";#N/A,#N/A,FALSE,"012-96";#N/A,#N/A,FALSE,"018-96";#N/A,#N/A,FALSE,"027-96";#N/A,#N/A,FALSE,"059-96";#N/A,#N/A,FALSE,"076-96";#N/A,#N/A,FALSE,"019-97";#N/A,#N/A,FALSE,"021-97";#N/A,#N/A,FALSE,"022-97";#N/A,#N/A,FALSE,"028-97"}</definedName>
    <definedName name="__123Graph_AChart1" localSheetId="9">#REF!</definedName>
    <definedName name="__123Graph_AGRA1" localSheetId="9">#REF!</definedName>
    <definedName name="__123Graph_ARES" localSheetId="9">#REF!</definedName>
    <definedName name="__123Graph_B" localSheetId="9">#REF!</definedName>
    <definedName name="__123Graph_BChart1" localSheetId="9">#REF!</definedName>
    <definedName name="__123Graph_C" localSheetId="9">#REF!</definedName>
    <definedName name="__123Graph_D" localSheetId="9">#REF!</definedName>
    <definedName name="__123Graph_X" localSheetId="9">#REF!</definedName>
    <definedName name="__123Graph_XChart1" localSheetId="9">#REF!</definedName>
    <definedName name="__123Graph_XGRA1" localSheetId="9">#REF!</definedName>
    <definedName name="__123Graph_XRES" localSheetId="9">#REF!</definedName>
    <definedName name="__ACR10" localSheetId="9">#REF!</definedName>
    <definedName name="__ACR15" localSheetId="9">#REF!</definedName>
    <definedName name="__acr20" localSheetId="9">#REF!</definedName>
    <definedName name="__acr5" localSheetId="9">#REF!</definedName>
    <definedName name="__ARQ1" localSheetId="9">#REF!</definedName>
    <definedName name="__Axe3" localSheetId="9">#REF!</definedName>
    <definedName name="__Axe4" localSheetId="9">#REF!</definedName>
    <definedName name="__CO2"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CS1"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htm2" localSheetId="9">#REF!</definedName>
    <definedName name="__htn2" localSheetId="9">#REF!</definedName>
    <definedName name="__iss2" localSheetId="9">#REF!</definedName>
    <definedName name="__PK2" localSheetId="9">{"'장비'!$A$3:$M$12"}</definedName>
    <definedName name="__PKG3" localSheetId="9">{"'장비'!$A$3:$M$12"}</definedName>
    <definedName name="__qqq222" localSheetId="9">{"'장비'!$A$3:$M$12"}</definedName>
    <definedName name="__QT100" localSheetId="9">#REF!</definedName>
    <definedName name="__QT2" localSheetId="9">#REF!</definedName>
    <definedName name="__QT3" localSheetId="9">#REF!</definedName>
    <definedName name="__QT4" localSheetId="9">#REF!</definedName>
    <definedName name="__QT50" localSheetId="9">#REF!</definedName>
    <definedName name="__QT75" localSheetId="9">#REF!</definedName>
    <definedName name="__r1" localSheetId="9">{#N/A,#N/A,FALSE,"GERAL";#N/A,#N/A,FALSE,"012-96";#N/A,#N/A,FALSE,"018-96";#N/A,#N/A,FALSE,"027-96";#N/A,#N/A,FALSE,"059-96";#N/A,#N/A,FALSE,"076-96";#N/A,#N/A,FALSE,"019-97";#N/A,#N/A,FALSE,"021-97";#N/A,#N/A,FALSE,"022-97";#N/A,#N/A,FALSE,"028-97"}</definedName>
    <definedName name="__r2" localSheetId="9">{#N/A,#N/A,FALSE,"GERAL";#N/A,#N/A,FALSE,"012-96";#N/A,#N/A,FALSE,"018-96";#N/A,#N/A,FALSE,"027-96";#N/A,#N/A,FALSE,"059-96";#N/A,#N/A,FALSE,"076-96";#N/A,#N/A,FALSE,"019-97";#N/A,#N/A,FALSE,"021-97";#N/A,#N/A,FALSE,"022-97";#N/A,#N/A,FALSE,"028-97"}</definedName>
    <definedName name="_0.CURVA_OBRA" localSheetId="9">#REF!</definedName>
    <definedName name="_00.VAR._GASTO" localSheetId="9">#REF!</definedName>
    <definedName name="_000.CURVA_FINA" localSheetId="9">#REF!</definedName>
    <definedName name="_1" localSheetId="9">#REF!</definedName>
    <definedName name="_1__123Graph_ACHART_1" localSheetId="9">#REF!</definedName>
    <definedName name="_10__123Graph_CCHART_1" localSheetId="9">#REF!</definedName>
    <definedName name="_11.SERV.TECNIC" localSheetId="9">#REF!</definedName>
    <definedName name="_11__123Graph_DCHART_1" localSheetId="9">#REF!</definedName>
    <definedName name="_12.GAST_GERAIS" localSheetId="9">#REF!</definedName>
    <definedName name="_13.P._PERMAN." localSheetId="9">#REF!</definedName>
    <definedName name="_15.IMPL._CANT" localSheetId="9">#REF!</definedName>
    <definedName name="_16.EQUIPAM." localSheetId="9">#REF!</definedName>
    <definedName name="_17.OPER._CANT." localSheetId="9">#REF!</definedName>
    <definedName name="_19.TRANC_LIMP." localSheetId="9">#REF!</definedName>
    <definedName name="_2" localSheetId="9">#REF!</definedName>
    <definedName name="_2__123Graph_BCHART_1" localSheetId="9">#REF!</definedName>
    <definedName name="_25.PREP.TERREN" localSheetId="9">#REF!</definedName>
    <definedName name="_27.FUND._ESCOR" localSheetId="9">#REF!</definedName>
    <definedName name="_3__123Graph_XCHART_1" localSheetId="9">#REF!</definedName>
    <definedName name="_31_32_33.C_A" localSheetId="9">#REF!</definedName>
    <definedName name="_41.ALVENARIA" localSheetId="9">#REF!</definedName>
    <definedName name="_47.IMP._ISOLA." localSheetId="9">#REF!</definedName>
    <definedName name="_5__123Graph_ACHART_1" localSheetId="9">#REF!</definedName>
    <definedName name="_51.REV.ARGAMAS" localSheetId="9">#REF!</definedName>
    <definedName name="_52.REV.CERAM.I" localSheetId="9">#REF!</definedName>
    <definedName name="_53.REV.CERAM.E" localSheetId="9">#REF!</definedName>
    <definedName name="_54.TACOS_E_ASS" localSheetId="9">#REF!</definedName>
    <definedName name="_55.MARM._E_GRA" localSheetId="9">#REF!</definedName>
    <definedName name="_56.MARMORITE" localSheetId="9">#REF!</definedName>
    <definedName name="_59.OUTRS_REVES" localSheetId="9">#REF!</definedName>
    <definedName name="_61.ESQUAD._MAD" localSheetId="9">#REF!</definedName>
    <definedName name="_63.ESQUAD._ALU" localSheetId="9">#REF!</definedName>
    <definedName name="_65.ESQUAD._FER" localSheetId="9">#REF!</definedName>
    <definedName name="_67.VIDROS" localSheetId="9">#REF!</definedName>
    <definedName name="_7__123Graph_ACHART_2" localSheetId="9">#REF!</definedName>
    <definedName name="_71_73.I.ELET_H" localSheetId="9">#REF!</definedName>
    <definedName name="_77.OUTRAS_INST." localSheetId="9">#REF!</definedName>
    <definedName name="_78.ELEVADORES" localSheetId="9">#REF!</definedName>
    <definedName name="_81.APAR._SANIT" localSheetId="9">#REF!</definedName>
    <definedName name="_83_85.PINT_LIM" localSheetId="9">#REF!</definedName>
    <definedName name="_9__123Graph_BCHART_2" localSheetId="9">#REF!</definedName>
    <definedName name="_ACR10" localSheetId="9">#REF!</definedName>
    <definedName name="_ACR15" localSheetId="9">#REF!</definedName>
    <definedName name="_acr20" localSheetId="9">#REF!</definedName>
    <definedName name="_acr5" localSheetId="9">#REF!</definedName>
    <definedName name="_akhnsdkjsdb" localSheetId="9">#REF!</definedName>
    <definedName name="_ARQ1" localSheetId="9">#REF!</definedName>
    <definedName name="_Axe3" localSheetId="9">#REF!</definedName>
    <definedName name="_Axe4" localSheetId="9">#REF!</definedName>
    <definedName name="_Builtin13" localSheetId="9">#REF!</definedName>
    <definedName name="_CAB1" localSheetId="9">#REF!</definedName>
    <definedName name="_CAB2" localSheetId="9">#REF!</definedName>
    <definedName name="_CO2"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Dist_Bin" localSheetId="9">#REF!</definedName>
    <definedName name="_Dist_Values" localSheetId="9">#REF!</definedName>
    <definedName name="_ECS1"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htm2" localSheetId="9">#REF!</definedName>
    <definedName name="_htn2" localSheetId="9">#REF!</definedName>
    <definedName name="_IA0542" localSheetId="9">{#N/A,#N/A,FALSE,"Plan1";#N/A,#N/A,FALSE,"Plan2"}</definedName>
    <definedName name="_iss2" localSheetId="9">#REF!</definedName>
    <definedName name="_IV65617" localSheetId="9">#REF!</definedName>
    <definedName name="_IV65999" localSheetId="9">#REF!</definedName>
    <definedName name="_IV66000" localSheetId="9">#REF!</definedName>
    <definedName name="_IV67021" localSheetId="9">#REF!</definedName>
    <definedName name="_IV67022" localSheetId="9">#REF!</definedName>
    <definedName name="_Key1" localSheetId="9">#REF!</definedName>
    <definedName name="_l" localSheetId="9">#REF!</definedName>
    <definedName name="_la29" localSheetId="9">#REF!</definedName>
    <definedName name="_la3" localSheetId="9">#REF!</definedName>
    <definedName name="_MatMult_A" localSheetId="9">#REF!</definedName>
    <definedName name="_new11" localSheetId="9">{#N/A,#N/A,FALSE,"Global by BU";#N/A,#N/A,FALSE,"U.S. by BU";#N/A,#N/A,FALSE,"Canada by BU";#N/A,#N/A,FALSE,"Europe by BU";#N/A,#N/A,FALSE,"Asia by BU";#N/A,#N/A,FALSE,"Cala by BU"}</definedName>
    <definedName name="_Order2" localSheetId="9">255</definedName>
    <definedName name="_PAV01" localSheetId="9">#REF!</definedName>
    <definedName name="_PAV02" localSheetId="9">#REF!</definedName>
    <definedName name="_PAV03" localSheetId="9">#REF!</definedName>
    <definedName name="_PAV04" localSheetId="9">#REF!</definedName>
    <definedName name="_PAV05" localSheetId="9">#REF!</definedName>
    <definedName name="_PAV06" localSheetId="9">#REF!</definedName>
    <definedName name="_PAV07" localSheetId="9">#REF!</definedName>
    <definedName name="_PAV08" localSheetId="9">#REF!</definedName>
    <definedName name="_PAV09" localSheetId="9">#REF!</definedName>
    <definedName name="_PAV10" localSheetId="9">#REF!</definedName>
    <definedName name="_PAV11" localSheetId="9">#REF!</definedName>
    <definedName name="_PK2" localSheetId="9">{"'장비'!$A$3:$M$12"}</definedName>
    <definedName name="_PKG3" localSheetId="9">{"'장비'!$A$3:$M$12"}</definedName>
    <definedName name="_qqq222" localSheetId="9">{"'장비'!$A$3:$M$12"}</definedName>
    <definedName name="_QT100" localSheetId="9">#REF!</definedName>
    <definedName name="_QT2" localSheetId="9">#REF!</definedName>
    <definedName name="_QT3" localSheetId="9">#REF!</definedName>
    <definedName name="_QT4" localSheetId="9">#REF!</definedName>
    <definedName name="_QT50" localSheetId="9">#REF!</definedName>
    <definedName name="_QT75" localSheetId="9">#REF!</definedName>
    <definedName name="_r1" localSheetId="9">{#N/A,#N/A,FALSE,"GERAL";#N/A,#N/A,FALSE,"012-96";#N/A,#N/A,FALSE,"018-96";#N/A,#N/A,FALSE,"027-96";#N/A,#N/A,FALSE,"059-96";#N/A,#N/A,FALSE,"076-96";#N/A,#N/A,FALSE,"019-97";#N/A,#N/A,FALSE,"021-97";#N/A,#N/A,FALSE,"022-97";#N/A,#N/A,FALSE,"028-97"}</definedName>
    <definedName name="_R2" localSheetId="9">{#N/A,#N/A,FALSE,"GERAL";#N/A,#N/A,FALSE,"012-96";#N/A,#N/A,FALSE,"018-96";#N/A,#N/A,FALSE,"027-96";#N/A,#N/A,FALSE,"059-96";#N/A,#N/A,FALSE,"076-96";#N/A,#N/A,FALSE,"019-97";#N/A,#N/A,FALSE,"021-97";#N/A,#N/A,FALSE,"022-97";#N/A,#N/A,FALSE,"028-97"}</definedName>
    <definedName name="_Regression_Out" localSheetId="9">#REF!</definedName>
    <definedName name="_sfe5"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_Sort" localSheetId="9">#REF!</definedName>
    <definedName name="_T" localSheetId="9">#REF!</definedName>
    <definedName name="_wer3" localSheetId="9">{#N/A,#N/A,FALSE,"Plan1";#N/A,#N/A,FALSE,"Plan2"}</definedName>
    <definedName name="_wrn.pendencias" localSheetId="9">{#N/A,#N/A,FALSE,"GERAL";#N/A,#N/A,FALSE,"012-96";#N/A,#N/A,FALSE,"018-96";#N/A,#N/A,FALSE,"027-96";#N/A,#N/A,FALSE,"059-96";#N/A,#N/A,FALSE,"076-96";#N/A,#N/A,FALSE,"019-97";#N/A,#N/A,FALSE,"021-97";#N/A,#N/A,FALSE,"022-97";#N/A,#N/A,FALSE,"028-97"}</definedName>
    <definedName name="_x10" localSheetId="9">#REF!</definedName>
    <definedName name="_x11" localSheetId="9">#REF!</definedName>
    <definedName name="_x12" localSheetId="9">#REF!</definedName>
    <definedName name="_xlcn.WorksheetConnection_2018_03ResumoRGOObrasRJ.xlsbTabela1" localSheetId="9">#REF!</definedName>
    <definedName name="_xlcn.WorksheetConnection_ProjetocontrolefisicoefinanceiroRJ.xlsxTabela31" localSheetId="9">#REF!</definedName>
    <definedName name="a" localSheetId="9">#REF!</definedName>
    <definedName name="aa" localSheetId="9">#REF!</definedName>
    <definedName name="aaa" localSheetId="9">#REF!</definedName>
    <definedName name="AAAA"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aaaaaaaaa"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aaaadc" localSheetId="9">#REF!</definedName>
    <definedName name="aaacccc" localSheetId="9">{#N/A,#N/A,FALSE,"Plan1";#N/A,#N/A,FALSE,"Plan2"}</definedName>
    <definedName name="aaas" localSheetId="9">#REF!</definedName>
    <definedName name="AB" localSheetId="9">#REF!</definedName>
    <definedName name="Abat_ISS" localSheetId="9">#REF!</definedName>
    <definedName name="abc"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bebqt" localSheetId="9">#REF!</definedName>
    <definedName name="abr17RJ" localSheetId="9">#REF!</definedName>
    <definedName name="ABRIL" localSheetId="9">#REF!</definedName>
    <definedName name="ABRIL2001" localSheetId="9">#REF!</definedName>
    <definedName name="Acabam." localSheetId="9">#REF!</definedName>
    <definedName name="ACADUC" localSheetId="9">#REF!</definedName>
    <definedName name="ACBEB" localSheetId="9">#REF!</definedName>
    <definedName name="ACBOMB" localSheetId="9">#REF!</definedName>
    <definedName name="ACCHAF" localSheetId="9">#REF!</definedName>
    <definedName name="acdb" localSheetId="9">#REF!</definedName>
    <definedName name="ACDER" localSheetId="9">#REF!</definedName>
    <definedName name="ACDIV" localSheetId="9">#REF!</definedName>
    <definedName name="ACEQP" localSheetId="9">#REF!</definedName>
    <definedName name="ACHAFQT" localSheetId="9">#REF!</definedName>
    <definedName name="ACMUR" localSheetId="9">#REF!</definedName>
    <definedName name="açoeeer" localSheetId="9">{#N/A,#N/A,FALSE,"Plan1";#N/A,#N/A,FALSE,"Plan2"}</definedName>
    <definedName name="ACOMP" localSheetId="9">#REF!</definedName>
    <definedName name="ACONT2" localSheetId="9">#REF!</definedName>
    <definedName name="ACPIPA" localSheetId="9">#REF!</definedName>
    <definedName name="ACTRANSP" localSheetId="9">#REF!</definedName>
    <definedName name="ACwvu.PLANILHA2." localSheetId="9">#REF!</definedName>
    <definedName name="ad" localSheetId="9">{#N/A,#N/A,FALSE,"Plan1";#N/A,#N/A,FALSE,"Plan2"}</definedName>
    <definedName name="adads" localSheetId="9">{#N/A,#N/A,FALSE,"Plan1";#N/A,#N/A,FALSE,"Plan2"}</definedName>
    <definedName name="adads2" localSheetId="9">{#N/A,#N/A,FALSE,"Plan1";#N/A,#N/A,FALSE,"Plan2"}</definedName>
    <definedName name="adced" localSheetId="9">{#N/A,#N/A,FALSE,"Plan1";#N/A,#N/A,FALSE,"Plan2"}</definedName>
    <definedName name="adced2" localSheetId="9">{#N/A,#N/A,FALSE,"Plan1";#N/A,#N/A,FALSE,"Plan2"}</definedName>
    <definedName name="ader" localSheetId="9">{#N/A,#N/A,FALSE,"Plan1";#N/A,#N/A,FALSE,"Plan2"}</definedName>
    <definedName name="ader2" localSheetId="9">{#N/A,#N/A,FALSE,"Plan1";#N/A,#N/A,FALSE,"Plan2"}</definedName>
    <definedName name="adesr" localSheetId="9">{#N/A,#N/A,FALSE,"Plan1";#N/A,#N/A,FALSE,"Plan2"}</definedName>
    <definedName name="adewr" localSheetId="9">{#N/A,#N/A,FALSE,"Plan1";#N/A,#N/A,FALSE,"Plan2"}</definedName>
    <definedName name="adf" localSheetId="9">{#N/A,#N/A,FALSE,"Plan1";#N/A,#N/A,FALSE,"Plan2"}</definedName>
    <definedName name="ADITIVO_BRUTO" localSheetId="9">#REF!</definedName>
    <definedName name="ADITIVO_LIQUIDO" localSheetId="9">#REF!</definedName>
    <definedName name="ADM.EXTERNA" localSheetId="9">#REF!</definedName>
    <definedName name="adsfr" localSheetId="9">{#N/A,#N/A,FALSE,"Plan1";#N/A,#N/A,FALSE,"Plan2"}</definedName>
    <definedName name="adssrgtg" localSheetId="9">{#N/A,#N/A,FALSE,"Plan1";#N/A,#N/A,FALSE,"Plan2"}</definedName>
    <definedName name="adtsetrr6t" localSheetId="9">{#N/A,#N/A,FALSE,"Plan1";#N/A,#N/A,FALSE,"Plan2"}</definedName>
    <definedName name="ADUCQT" localSheetId="9">#REF!</definedName>
    <definedName name="adwr" localSheetId="9">{#N/A,#N/A,FALSE,"Plan1";#N/A,#N/A,FALSE,"Plan2"}</definedName>
    <definedName name="aeiresft" localSheetId="9">{#N/A,#N/A,FALSE,"Plan1";#N/A,#N/A,FALSE,"Plan2"}</definedName>
    <definedName name="aEL3QE" localSheetId="9">{#N/A,#N/A,FALSE,"Plan1";#N/A,#N/A,FALSE,"Plan2"}</definedName>
    <definedName name="afeasfre" localSheetId="9">{#N/A,#N/A,FALSE,"Plan1";#N/A,#N/A,FALSE,"Plan2"}</definedName>
    <definedName name="agdsf" localSheetId="9">#REF!</definedName>
    <definedName name="ago17RJ" localSheetId="9">#REF!</definedName>
    <definedName name="AGOSTO" localSheetId="9">#REF!</definedName>
    <definedName name="agua" localSheetId="9">{#N/A,#N/A,FALSE,"GERAL";#N/A,#N/A,FALSE,"012-96";#N/A,#N/A,FALSE,"018-96";#N/A,#N/A,FALSE,"027-96";#N/A,#N/A,FALSE,"059-96";#N/A,#N/A,FALSE,"076-96";#N/A,#N/A,FALSE,"019-97";#N/A,#N/A,FALSE,"021-97";#N/A,#N/A,FALSE,"022-97";#N/A,#N/A,FALSE,"028-97"}</definedName>
    <definedName name="AH" localSheetId="9">{#N/A,#N/A,FALSE,"CCTV"}</definedName>
    <definedName name="AITEM" localSheetId="9">#REF!</definedName>
    <definedName name="Ajudante_Geral" localSheetId="9">#REF!</definedName>
    <definedName name="ajudante_mes" localSheetId="9">#REF!</definedName>
    <definedName name="AL" localSheetId="9">#REF!</definedName>
    <definedName name="ALTADUC" localSheetId="9">#REF!</definedName>
    <definedName name="ALTBOMB" localSheetId="9">#REF!</definedName>
    <definedName name="ALTCAP" localSheetId="9">#REF!</definedName>
    <definedName name="ALTDER" localSheetId="9">#REF!</definedName>
    <definedName name="ALTEQUIP" localSheetId="9">#REF!</definedName>
    <definedName name="ALTIEQP" localSheetId="9">#REF!</definedName>
    <definedName name="ALTMUR" localSheetId="9">#REF!</definedName>
    <definedName name="ALTRES10" localSheetId="9">#REF!</definedName>
    <definedName name="ALTRES15" localSheetId="9">#REF!</definedName>
    <definedName name="ALTRES20" localSheetId="9">#REF!</definedName>
    <definedName name="ALTTRANS" localSheetId="9">#REF!</definedName>
    <definedName name="ALUMÍNIO_2" localSheetId="9">#REF!</definedName>
    <definedName name="angelo" localSheetId="9">#REF!</definedName>
    <definedName name="anscount" localSheetId="9">3</definedName>
    <definedName name="AQE" localSheetId="9">{"'장비'!$A$3:$M$12"}</definedName>
    <definedName name="AQTEMP1" localSheetId="9">#REF!</definedName>
    <definedName name="AQTEMP2" localSheetId="9">#REF!</definedName>
    <definedName name="ArComprimido" localSheetId="9">{"'Estimativa de Lançamento-JAN'!$A$1:$AI$85"}</definedName>
    <definedName name="area" localSheetId="9">{#N/A,#N/A,FALSE,"Plan1";#N/A,#N/A,FALSE,"Plan2"}</definedName>
    <definedName name="área" localSheetId="9">#REF!</definedName>
    <definedName name="Área_Construída" localSheetId="9">#REF!</definedName>
    <definedName name="Área_impressão_IM" localSheetId="9">#REF!</definedName>
    <definedName name="Área_Privativa" localSheetId="9">#REF!</definedName>
    <definedName name="Área_Terreno" localSheetId="9">#REF!</definedName>
    <definedName name="area1" localSheetId="9">#REF!</definedName>
    <definedName name="Areaimpresso" localSheetId="9">#REF!</definedName>
    <definedName name="ARM" localSheetId="9">#REF!</definedName>
    <definedName name="ARMABLOCOS" localSheetId="9">#REF!</definedName>
    <definedName name="ARMAÇÃO" localSheetId="9">#REF!</definedName>
    <definedName name="ARQ" localSheetId="9">#REF!</definedName>
    <definedName name="ARQERR" localSheetId="9">#REF!</definedName>
    <definedName name="ARQPLAN" localSheetId="9">#REF!</definedName>
    <definedName name="ARQT" localSheetId="9">#REF!</definedName>
    <definedName name="ARQTEMP" localSheetId="9">#REF!</definedName>
    <definedName name="ARQTXT" localSheetId="9">#REF!</definedName>
    <definedName name="ARTEMP" localSheetId="9">#REF!</definedName>
    <definedName name="AS" localSheetId="9">#REF!</definedName>
    <definedName name="asawe3" localSheetId="9">{#N/A,#N/A,FALSE,"Plan1";#N/A,#N/A,FALSE,"Plan2"}</definedName>
    <definedName name="ASD" localSheetId="9">17</definedName>
    <definedName name="ASDA" localSheetId="9">{#N/A,#N/A,FALSE,"Plan1";#N/A,#N/A,FALSE,"Plan2"}</definedName>
    <definedName name="asdade" localSheetId="9">{#N/A,#N/A,FALSE,"Plan1";#N/A,#N/A,FALSE,"Plan2"}</definedName>
    <definedName name="asdas" localSheetId="9">{#N/A,#N/A,FALSE,"Plan1";#N/A,#N/A,FALSE,"Plan2"}</definedName>
    <definedName name="asdawed" localSheetId="9">{#N/A,#N/A,FALSE,"Plan1";#N/A,#N/A,FALSE,"Plan2"}</definedName>
    <definedName name="ASDER" localSheetId="9">{#N/A,#N/A,FALSE,"Plan1";#N/A,#N/A,FALSE,"Plan2"}</definedName>
    <definedName name="asderr" localSheetId="9">{#N/A,#N/A,FALSE,"Plan1";#N/A,#N/A,FALSE,"Plan2"}</definedName>
    <definedName name="asdesre" localSheetId="9">{#N/A,#N/A,FALSE,"Plan1";#N/A,#N/A,FALSE,"Plan2"}</definedName>
    <definedName name="asdewr" localSheetId="9">{#N/A,#N/A,FALSE,"Plan1";#N/A,#N/A,FALSE,"Plan2"}</definedName>
    <definedName name="ASDFASDFA"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ASDFADF"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rrt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asdfs" localSheetId="9">{#N/A,#N/A,FALSE,"Plan1";#N/A,#N/A,FALSE,"Plan2"}</definedName>
    <definedName name="asdg" localSheetId="9">{#N/A,#N/A,FALSE,"Plan1";#N/A,#N/A,FALSE,"Plan2"}</definedName>
    <definedName name="asdjksej" localSheetId="9">#REF!</definedName>
    <definedName name="asdked"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asdlas" localSheetId="9">{#N/A,#N/A,FALSE,"Plan1";#N/A,#N/A,FALSE,"Plan2"}</definedName>
    <definedName name="asdqwe" localSheetId="9">{#N/A,#N/A,FALSE,"Plan1";#N/A,#N/A,FALSE,"Plan2"}</definedName>
    <definedName name="asdsa" localSheetId="9">{#N/A,#N/A,FALSE,"Plan1";#N/A,#N/A,FALSE,"Plan2"}</definedName>
    <definedName name="asdser" localSheetId="9">{#N/A,#N/A,FALSE,"Plan1";#N/A,#N/A,FALSE,"Plan2"}</definedName>
    <definedName name="asdwef" localSheetId="9">{#N/A,#N/A,FALSE,"Plan1";#N/A,#N/A,FALSE,"Plan2"}</definedName>
    <definedName name="aseiuw" localSheetId="9">#REF!</definedName>
    <definedName name="ASET" localSheetId="9">{#N/A,#N/A,FALSE,"Plan1";#N/A,#N/A,FALSE,"Plan2"}</definedName>
    <definedName name="asfDSF" localSheetId="9">{#N/A,#N/A,FALSE,"Plan1";#N/A,#N/A,FALSE,"Plan2"}</definedName>
    <definedName name="ASFERTE" localSheetId="9">{#N/A,#N/A,FALSE,"Plan1";#N/A,#N/A,FALSE,"Plan2"}</definedName>
    <definedName name="asfl" localSheetId="9">{#N/A,#N/A,FALSE,"Plan1";#N/A,#N/A,FALSE,"Plan2"}</definedName>
    <definedName name="asfsz" localSheetId="9">{#N/A,#N/A,FALSE,"Plan1";#N/A,#N/A,FALSE,"Plan2"}</definedName>
    <definedName name="askserf" localSheetId="9">{#N/A,#N/A,FALSE,"Plan1";#N/A,#N/A,FALSE,"Plan2"}</definedName>
    <definedName name="ASSFSDF" localSheetId="9">{#N/A,#N/A,FALSE,"Plan1";#N/A,#N/A,FALSE,"Plan2"}</definedName>
    <definedName name="asw" localSheetId="9">{#N/A,#N/A,FALSE,"Plan1";#N/A,#N/A,FALSE,"Plan2"}</definedName>
    <definedName name="Até_Chaves" localSheetId="9">#REF!</definedName>
    <definedName name="ATIVOS" localSheetId="9">{#N/A,#N/A,FALSE,"F-01"}</definedName>
    <definedName name="Ato" localSheetId="9">#REF!</definedName>
    <definedName name="ATUAL" localSheetId="9">#REF!</definedName>
    <definedName name="aux" localSheetId="9">#REF!</definedName>
    <definedName name="AUXILIO" localSheetId="9">#REF!</definedName>
    <definedName name="avulsos" localSheetId="9">#REF!</definedName>
    <definedName name="awdjw" localSheetId="9">{#N/A,#N/A,FALSE,"Plan1";#N/A,#N/A,FALSE,"Plan2"}</definedName>
    <definedName name="aweqw4" localSheetId="9">{#N/A,#N/A,FALSE,"Plan1";#N/A,#N/A,FALSE,"Plan2"}</definedName>
    <definedName name="awssdwaer" localSheetId="9">{#N/A,#N/A,FALSE,"Plan1";#N/A,#N/A,FALSE,"Plan2"}</definedName>
    <definedName name="AZ" localSheetId="9">#REF!</definedName>
    <definedName name="B" localSheetId="9">#REF!</definedName>
    <definedName name="BA" localSheetId="9">#REF!</definedName>
    <definedName name="BANCO" localSheetId="9">#REF!</definedName>
    <definedName name="Banco_dados_IM" localSheetId="9">#REF!</definedName>
    <definedName name="BANCO1" localSheetId="9">#REF!</definedName>
    <definedName name="BANCO2" localSheetId="9">#REF!</definedName>
    <definedName name="BANCO3" localSheetId="9">#REF!</definedName>
    <definedName name="BANCO4" localSheetId="9">#REF!</definedName>
    <definedName name="BASE" localSheetId="9">OFFSET(#REF!,0,0,COUNTA(#REF!)+1,5)</definedName>
    <definedName name="BASE_DE_DADOS_FLUXO_DE_CAIXA" localSheetId="9">OFFSET(#REF!,0,0,COUNTA(#REF!),COUNTA(#REF!))</definedName>
    <definedName name="BASE_FL_CX_3S" localSheetId="9">OFFSET(#REF!,0,0,COUNTA(#REF!),COUNTA(#REF!))</definedName>
    <definedName name="BASE_FLUXO_CAIXA_2017" localSheetId="9">OFFSET(#REF!,0,0,COUNTA(#REF!),COUNTA(#REF!))</definedName>
    <definedName name="bb" localSheetId="9">#REF!</definedName>
    <definedName name="bbb" localSheetId="9">#REF!</definedName>
    <definedName name="bbbbbbbbbbbbbbb" localSheetId="9">{"'Edit'!$A$1:$V$2277"}</definedName>
    <definedName name="BD" localSheetId="9">#REF!</definedName>
    <definedName name="BDA" localSheetId="9">#REF!</definedName>
    <definedName name="bdfjghf" localSheetId="9">{#N/A,#N/A,FALSE,"Plan1";#N/A,#N/A,FALSE,"Plan2"}</definedName>
    <definedName name="BDI" localSheetId="9">#REF!</definedName>
    <definedName name="bdzbfbdr" localSheetId="9">{#N/A,#N/A,FALSE,"Plan1";#N/A,#N/A,FALSE,"Plan2"}</definedName>
    <definedName name="be" localSheetId="9">#REF!</definedName>
    <definedName name="bebqt" localSheetId="9">#REF!</definedName>
    <definedName name="bela_cdi" localSheetId="9">#REF!</definedName>
    <definedName name="bela_hist" localSheetId="9">#REF!</definedName>
    <definedName name="bela_uss" localSheetId="9">#REF!</definedName>
    <definedName name="BGG" localSheetId="9">{#N/A,#N/A,FALSE,"Plan1";#N/A,#N/A,FALSE,"Plan2"}</definedName>
    <definedName name="bhjgfhfhg"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BJGO"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BJSDKHFE" localSheetId="9">{#N/A,#N/A,FALSE,"Plan1";#N/A,#N/A,FALSE,"Plan2"}</definedName>
    <definedName name="bloco" localSheetId="9">#REF!</definedName>
    <definedName name="BLPH1" localSheetId="9">#REF!</definedName>
    <definedName name="BLPH100" localSheetId="9">#REF!</definedName>
    <definedName name="BLPH101" localSheetId="9">#REF!</definedName>
    <definedName name="BLPH102" localSheetId="9">#REF!</definedName>
    <definedName name="BLPH103" localSheetId="9">#REF!</definedName>
    <definedName name="BLPH104" localSheetId="9">#REF!</definedName>
    <definedName name="BLPH96" localSheetId="9">#REF!</definedName>
    <definedName name="BLPH97" localSheetId="9">#REF!</definedName>
    <definedName name="BLPH98" localSheetId="9">#REF!</definedName>
    <definedName name="BLPH99" localSheetId="9">#REF!</definedName>
    <definedName name="bmdgghrtfde" localSheetId="9">{#N/A,#N/A,FALSE,"Plan1";#N/A,#N/A,FALSE,"Plan2"}</definedName>
    <definedName name="bnkjhjhdfxgt" localSheetId="9">{#N/A,#N/A,FALSE,"Plan1";#N/A,#N/A,FALSE,"Plan2"}</definedName>
    <definedName name="BORBA2" localSheetId="9">#REF!</definedName>
    <definedName name="BuiltIn_Print_Area" localSheetId="9">#REF!</definedName>
    <definedName name="BuiltIn_Print_Area___0" localSheetId="9">#REF!</definedName>
    <definedName name="BuiltIn_Print_Titles" localSheetId="9">#REF!</definedName>
    <definedName name="BuiltIn_Print_Titles___0" localSheetId="9">#REF!</definedName>
    <definedName name="bxnzfmkzxbhdf" localSheetId="9">{#N/A,#N/A,FALSE,"Plan1";#N/A,#N/A,FALSE,"Plan2"}</definedName>
    <definedName name="ca" localSheetId="9">#REF!</definedName>
    <definedName name="CAGR" localSheetId="9">#REF!</definedName>
    <definedName name="caixa" localSheetId="9">#REF!</definedName>
    <definedName name="caixas" localSheetId="9">{#N/A,#N/A,FALSE,"GERAL";#N/A,#N/A,FALSE,"012-96";#N/A,#N/A,FALSE,"018-96";#N/A,#N/A,FALSE,"027-96";#N/A,#N/A,FALSE,"059-96";#N/A,#N/A,FALSE,"076-96";#N/A,#N/A,FALSE,"019-97";#N/A,#N/A,FALSE,"021-97";#N/A,#N/A,FALSE,"022-97";#N/A,#N/A,FALSE,"028-97"}</definedName>
    <definedName name="Cambio" localSheetId="9">#REF!</definedName>
    <definedName name="CAMP" localSheetId="9">#REF!</definedName>
    <definedName name="CAMPOS" localSheetId="9">#REF!</definedName>
    <definedName name="Capa" localSheetId="9">#REF!</definedName>
    <definedName name="CAPA2" localSheetId="9">#REF!</definedName>
    <definedName name="CAPA55" localSheetId="9">#REF!</definedName>
    <definedName name="CAPA55A" localSheetId="9">#REF!</definedName>
    <definedName name="CAPELA" localSheetId="9">#REF!</definedName>
    <definedName name="CARLOS1" localSheetId="9">#REF!</definedName>
    <definedName name="CARTÃO4" localSheetId="9">#REF!</definedName>
    <definedName name="CAT6_IP" localSheetId="9">{#N/A,#N/A,FALSE,"F-01"}</definedName>
    <definedName name="categori45" localSheetId="9">#REF!</definedName>
    <definedName name="CATEGORIA1" localSheetId="9">#REF!</definedName>
    <definedName name="CATEGORIA10" localSheetId="9">#REF!</definedName>
    <definedName name="CATEGORIA11" localSheetId="9">#REF!</definedName>
    <definedName name="CATEGORIA12" localSheetId="9">#REF!</definedName>
    <definedName name="CATEGORIA13" localSheetId="9">#REF!</definedName>
    <definedName name="CATEGORIA14" localSheetId="9">#REF!</definedName>
    <definedName name="CATEGORIA15" localSheetId="9">#REF!</definedName>
    <definedName name="CATEGORIA16" localSheetId="9">#REF!</definedName>
    <definedName name="CATEGORIA17" localSheetId="9">#REF!</definedName>
    <definedName name="CATEGORIA18" localSheetId="9">#REF!</definedName>
    <definedName name="CATEGORIA19" localSheetId="9">#REF!</definedName>
    <definedName name="CATEGORIA2" localSheetId="9">#REF!</definedName>
    <definedName name="CATEGORIA20" localSheetId="9">#REF!</definedName>
    <definedName name="CATEGORIA21" localSheetId="9">#REF!</definedName>
    <definedName name="CATEGORIA22" localSheetId="9">#REF!</definedName>
    <definedName name="CATEGORIA3" localSheetId="9">#REF!</definedName>
    <definedName name="CATEGORIA4" localSheetId="9">#REF!</definedName>
    <definedName name="CATEGORIA5" localSheetId="9">#REF!</definedName>
    <definedName name="CATEGORIA6" localSheetId="9">#REF!</definedName>
    <definedName name="CATEGORIA7" localSheetId="9">#REF!</definedName>
    <definedName name="CATEGORIA8" localSheetId="9">#REF!</definedName>
    <definedName name="CATEGORIA9" localSheetId="9">#REF!</definedName>
    <definedName name="CATORZE" localSheetId="9">#REF!</definedName>
    <definedName name="CAUX2" localSheetId="9">OFFSET(#REF!,0,0,COUNTA(#REF!)+1,1)</definedName>
    <definedName name="CAUX3" localSheetId="9">OFFSET(#REF!,0,0,COUNTA(#REF!)+1,1)</definedName>
    <definedName name="CCC" localSheetId="9">#REF!</definedName>
    <definedName name="ççç" localSheetId="9">{#N/A,#N/A,FALSE,"Plan1";#N/A,#N/A,FALSE,"Plan2"}</definedName>
    <definedName name="cccc" localSheetId="9">{#N/A,#N/A,FALSE,"Plan1";#N/A,#N/A,FALSE,"Plan2"}</definedName>
    <definedName name="ççççççç"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cccccccc"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cccccccccccccccc" localSheetId="9">{"HW",#N/A,FALSE,"1998"}</definedName>
    <definedName name="cchart1" localSheetId="9">#REF!</definedName>
    <definedName name="cchart10" localSheetId="9">#REF!</definedName>
    <definedName name="cchart11" localSheetId="9">#REF!</definedName>
    <definedName name="çcklfjk"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CD" localSheetId="9">#REF!</definedName>
    <definedName name="çdfmerf" localSheetId="9">{#N/A,#N/A,FALSE,"Plan1";#N/A,#N/A,FALSE,"Plan2"}</definedName>
    <definedName name="CDSGHE" localSheetId="9">{#N/A,#N/A,FALSE,"Plan1";#N/A,#N/A,FALSE,"Plan2"}</definedName>
    <definedName name="cdvthd" localSheetId="9">#REF!</definedName>
    <definedName name="Cel_Constr" localSheetId="9">#REF!</definedName>
    <definedName name="CestaExcel" localSheetId="9">#REF!</definedName>
    <definedName name="CevaG" localSheetId="9">#REF!</definedName>
    <definedName name="CevaGS" localSheetId="9">#REF!</definedName>
    <definedName name="çfhjglkjhkljyhj"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çflçf" localSheetId="9">{#N/A,#N/A,FALSE,"Plan1";#N/A,#N/A,FALSE,"Plan2"}</definedName>
    <definedName name="CHAFQT" localSheetId="9">#REF!</definedName>
    <definedName name="Chaves" localSheetId="9">#REF!</definedName>
    <definedName name="chfch" localSheetId="9">{#N/A,#N/A,FALSE,"Plan1";#N/A,#N/A,FALSE,"Plan2"}</definedName>
    <definedName name="CI" localSheetId="9">#REF!</definedName>
    <definedName name="cidades" localSheetId="9">#REF!</definedName>
    <definedName name="CIFIXA" localSheetId="9">#REF!</definedName>
    <definedName name="CINCO" localSheetId="9">#REF!</definedName>
    <definedName name="CITOTAL" localSheetId="9">#REF!</definedName>
    <definedName name="CIVAR" localSheetId="9">#REF!</definedName>
    <definedName name="ÇJKRÇLFS" localSheetId="9">{"Econ Consolidado",#N/A,FALSE,"Econ Consol";"Fluxo de Caixa",#N/A,FALSE,"Fluxo Caixa";"Investimentos",#N/A,FALSE,"Investimentos"}</definedName>
    <definedName name="ÇJsrejtçe" localSheetId="9">{#N/A,#N/A,FALSE,"Plan1";#N/A,#N/A,FALSE,"Plan2"}</definedName>
    <definedName name="çkaçekow" localSheetId="9">{#N/A,#N/A,FALSE,"Plan1";#N/A,#N/A,FALSE,"Plan2"}</definedName>
    <definedName name="ÇKSDOEKR" localSheetId="9">{#N/A,#N/A,FALSE,"Plan1";#N/A,#N/A,FALSE,"Plan2"}</definedName>
    <definedName name="çl" localSheetId="9">{#N/A,#N/A,FALSE,"Plan1";#N/A,#N/A,FALSE,"Plan2"}</definedName>
    <definedName name="çlassde" localSheetId="9">{#N/A,#N/A,FALSE,"Plan1";#N/A,#N/A,FALSE,"Plan2"}</definedName>
    <definedName name="Classificação" localSheetId="9">#REF!</definedName>
    <definedName name="çlçlç" localSheetId="9">{#N/A,#N/A,FALSE,"Plan1";#N/A,#N/A,FALSE,"Plan2"}</definedName>
    <definedName name="çld" localSheetId="9">{#N/A,#N/A,FALSE,"Plan1";#N/A,#N/A,FALSE,"Plan2"}</definedName>
    <definedName name="çlererr" localSheetId="9">{#N/A,#N/A,FALSE,"Plan1";#N/A,#N/A,FALSE,"Plan2"}</definedName>
    <definedName name="çlertert" localSheetId="9">{#N/A,#N/A,FALSE,"Plan1";#N/A,#N/A,FALSE,"Plan2"}</definedName>
    <definedName name="çlkdflçkrlr" localSheetId="9">#REF!</definedName>
    <definedName name="çll" localSheetId="9">{#N/A,#N/A,FALSE,"Plan1";#N/A,#N/A,FALSE,"Plan2"}</definedName>
    <definedName name="CMC" localSheetId="9">{#N/A,#N/A,FALSE,"GERAL";#N/A,#N/A,FALSE,"012-96";#N/A,#N/A,FALSE,"018-96";#N/A,#N/A,FALSE,"027-96";#N/A,#N/A,FALSE,"059-96";#N/A,#N/A,FALSE,"076-96";#N/A,#N/A,FALSE,"019-97";#N/A,#N/A,FALSE,"021-97";#N/A,#N/A,FALSE,"022-97";#N/A,#N/A,FALSE,"028-97"}</definedName>
    <definedName name="COBRANÇA" localSheetId="9">#REF!</definedName>
    <definedName name="Cod_Esquadrias" localSheetId="9">#REF!</definedName>
    <definedName name="CÓDG" localSheetId="9">OFFSET(#REF!,0,0,COUNTA(#REF!),1)</definedName>
    <definedName name="codigo2" localSheetId="9">#REF!</definedName>
    <definedName name="codigo3" localSheetId="9">#REF!</definedName>
    <definedName name="CÓDT" localSheetId="9">OFFSET(#REF!,0,0,COUNTA(#REF!)+1,1)</definedName>
    <definedName name="COFINS" localSheetId="9">#REF!</definedName>
    <definedName name="cofins2" localSheetId="9">#REF!</definedName>
    <definedName name="COGS" localSheetId="9">#REF!</definedName>
    <definedName name="COLSUB" localSheetId="9">#REF!</definedName>
    <definedName name="COMISSOES" localSheetId="9">#REF!</definedName>
    <definedName name="COMPOSICAO" localSheetId="9">#REF!</definedName>
    <definedName name="composição" localSheetId="9">#REF!</definedName>
    <definedName name="COMPR" localSheetId="9">#REF!</definedName>
    <definedName name="COMPRIMENTO" localSheetId="9">#REF!</definedName>
    <definedName name="COMPROMETIDO" localSheetId="9">#REF!</definedName>
    <definedName name="CONFIRMAR" localSheetId="9">{#N/A,#N/A,TRUE,"Quinzena 01 à 15-04-98 "}</definedName>
    <definedName name="cont" localSheetId="9">{#N/A,#N/A,FALSE,"Plan1";#N/A,#N/A,FALSE,"Plan2"}</definedName>
    <definedName name="CONT1" localSheetId="9">#REF!</definedName>
    <definedName name="CONT2" localSheetId="9">#REF!</definedName>
    <definedName name="CONT3" localSheetId="9">#REF!</definedName>
    <definedName name="CONTAIT" localSheetId="9">#REF!</definedName>
    <definedName name="CONTREC" localSheetId="9">#REF!</definedName>
    <definedName name="CONTRES" localSheetId="9">#REF!</definedName>
    <definedName name="CONTROLE" localSheetId="9">#REF!</definedName>
    <definedName name="CONVERSÃO" localSheetId="9">#REF!</definedName>
    <definedName name="cpmf" localSheetId="9">#REF!</definedName>
    <definedName name="Credor_Rel_Sienge" localSheetId="9">#REF!</definedName>
    <definedName name="CRONG" localSheetId="9">#REF!</definedName>
    <definedName name="cronograma" localSheetId="9">#REF!</definedName>
    <definedName name="CRONOGRAMA_FÍSICO_FINANCEIRO" localSheetId="9">#REF!</definedName>
    <definedName name="CS" localSheetId="9">#REF!</definedName>
    <definedName name="cs_diferida" localSheetId="9">#REF!</definedName>
    <definedName name="ÇSAÇDFW"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çsdkfçdrkt" localSheetId="9">#REF!</definedName>
    <definedName name="CSE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ÇSLÇDLFKD" localSheetId="9">{#N/A,#N/A,FALSE,"Plan1";#N/A,#N/A,FALSE,"Plan2"}</definedName>
    <definedName name="CTH" localSheetId="9">{#N/A,#N/A,FALSE,"GERAL";#N/A,#N/A,FALSE,"012-96";#N/A,#N/A,FALSE,"018-96";#N/A,#N/A,FALSE,"027-96";#N/A,#N/A,FALSE,"059-96";#N/A,#N/A,FALSE,"076-96";#N/A,#N/A,FALSE,"019-97";#N/A,#N/A,FALSE,"021-97";#N/A,#N/A,FALSE,"022-97";#N/A,#N/A,FALSE,"028-97"}</definedName>
    <definedName name="CUST_DIR_IND" localSheetId="9">#REF!</definedName>
    <definedName name="CUSTINDIRETO" localSheetId="9">#REF!</definedName>
    <definedName name="CUSTO_DIR_IND" localSheetId="9">#REF!</definedName>
    <definedName name="Custo_Direto_de_Obras_Civis_e_Instalações_..........................................." localSheetId="9">#REF!</definedName>
    <definedName name="Custo_Direto_em_geral" localSheetId="9">#REF!</definedName>
    <definedName name="custo_financing" localSheetId="9">#REF!</definedName>
    <definedName name="CUSTO_OUTROS" localSheetId="9">#REF!</definedName>
    <definedName name="Custo_Outros1" localSheetId="9">#REF!</definedName>
    <definedName name="CUSTODIRETO" localSheetId="9">#REF!</definedName>
    <definedName name="CUSTODIRETO_R" localSheetId="9">#REF!</definedName>
    <definedName name="CUSTODIRETO_U" localSheetId="9">#REF!</definedName>
    <definedName name="CUSTODIRETO1" localSheetId="9">#REF!</definedName>
    <definedName name="CUSTOFIN" localSheetId="9">#REF!</definedName>
    <definedName name="D" localSheetId="9">#REF!</definedName>
    <definedName name="da" localSheetId="9">#REF!</definedName>
    <definedName name="dalmo" localSheetId="9">{#N/A,#N/A,FALSE,"GERAL";#N/A,#N/A,FALSE,"012-96";#N/A,#N/A,FALSE,"018-96";#N/A,#N/A,FALSE,"027-96";#N/A,#N/A,FALSE,"059-96";#N/A,#N/A,FALSE,"076-96";#N/A,#N/A,FALSE,"019-97";#N/A,#N/A,FALSE,"021-97";#N/A,#N/A,FALSE,"022-97";#N/A,#N/A,FALSE,"028-97"}</definedName>
    <definedName name="dasfrt" localSheetId="9">{#N/A,#N/A,FALSE,"Plan1";#N/A,#N/A,FALSE,"Plan2"}</definedName>
    <definedName name="DATA" localSheetId="9">#REF!</definedName>
    <definedName name="Data_base" localSheetId="9">#REF!</definedName>
    <definedName name="data_base_VL" localSheetId="9">#REF!</definedName>
    <definedName name="DATA_COTAÇÃO" localSheetId="9">#REF!</definedName>
    <definedName name="DATA_ENTREGA" localSheetId="9">#REF!</definedName>
    <definedName name="DATA_FECHA" localSheetId="9">#REF!</definedName>
    <definedName name="Data_Inicio" localSheetId="9">#REF!</definedName>
    <definedName name="Data_Lançado_Sienge" localSheetId="9">#REF!</definedName>
    <definedName name="Data_Pagamento_Sienge" localSheetId="9">#REF!</definedName>
    <definedName name="Data_Previsão_Medição_Fin_Medição" localSheetId="9">#REF!</definedName>
    <definedName name="Data_Tendência_Recebimento_Fin_Medições" localSheetId="9">#REF!</definedName>
    <definedName name="DATA1" localSheetId="9">#REF!</definedName>
    <definedName name="DATA3" localSheetId="9">#REF!</definedName>
    <definedName name="DATA4" localSheetId="9">#REF!</definedName>
    <definedName name="DATA6" localSheetId="9">#REF!</definedName>
    <definedName name="DataChaves_MAP" localSheetId="9">#REF!</definedName>
    <definedName name="DatasOut13AteDez20" localSheetId="9">#REF!</definedName>
    <definedName name="DÇDL" localSheetId="9">{#N/A,#N/A,FALSE,"Plan1";#N/A,#N/A,FALSE,"Plan2"}</definedName>
    <definedName name="dchart26" localSheetId="9">#REF!</definedName>
    <definedName name="dchart31" localSheetId="9">#REF!</definedName>
    <definedName name="dcnsfgdjkgb" localSheetId="9">{#N/A,#N/A,FALSE,"Plan1";#N/A,#N/A,FALSE,"Plan2"}</definedName>
    <definedName name="DÇWK" localSheetId="9">{#N/A,#N/A,FALSE,"Plan1";#N/A,#N/A,FALSE,"Plan2"}</definedName>
    <definedName name="DD"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DD" localSheetId="9">#REF!</definedName>
    <definedName name="ddddd" localSheetId="9">{#N/A,#N/A,FALSE,"Plan1";#N/A,#N/A,FALSE,"Plan2"}</definedName>
    <definedName name="ddddddddddd" localSheetId="9">#REF!</definedName>
    <definedName name="dddddddddddddddddddddddddd" localSheetId="9">#REF!</definedName>
    <definedName name="dddddddddddddppppppppp" localSheetId="9">#REF!</definedName>
    <definedName name="dde" localSheetId="9">{#N/A,#N/A,FALSE,"Plan1";#N/A,#N/A,FALSE,"Plan2"}</definedName>
    <definedName name="ddfs" localSheetId="9">#REF!</definedName>
    <definedName name="ddgfdvgdg"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DGSFG" localSheetId="9">{#N/A,#N/A,FALSE,"Plan1";#N/A,#N/A,FALSE,"Plan2"}</definedName>
    <definedName name="dede" localSheetId="9">{#N/A,#N/A,FALSE,"Plan1";#N/A,#N/A,FALSE,"Plan2"}</definedName>
    <definedName name="defasagem" localSheetId="9">OFFSET(INDEX(#REF!,MATCH(#REF!,#REF!,0)),1,0,COUNTA(#REF!)-1)</definedName>
    <definedName name="depara" localSheetId="9">#REF!</definedName>
    <definedName name="DERIVQT" localSheetId="9">#REF!</definedName>
    <definedName name="des" localSheetId="9">{#N/A,#N/A,FALSE,"Plan1";#N/A,#N/A,FALSE,"Plan2"}</definedName>
    <definedName name="desc" localSheetId="9">{#N/A,#N/A,FALSE,"Plan1";#N/A,#N/A,FALSE,"Plan2"}</definedName>
    <definedName name="DESCONTO" localSheetId="9">#REF!</definedName>
    <definedName name="DESCRIÇÃO_OBRA" localSheetId="9">#REF!</definedName>
    <definedName name="DespFatur" localSheetId="9">#REF!</definedName>
    <definedName name="DEZ" localSheetId="9">#REF!</definedName>
    <definedName name="dez17RJ" localSheetId="9">#REF!</definedName>
    <definedName name="DEZEMBRO" localSheetId="9">#REF!</definedName>
    <definedName name="DEZENOVE" localSheetId="9">#REF!</definedName>
    <definedName name="DEZESSEIS" localSheetId="9">#REF!</definedName>
    <definedName name="DEZESSETE" localSheetId="9">#REF!</definedName>
    <definedName name="DEZOITO" localSheetId="9">#REF!</definedName>
    <definedName name="d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FD" localSheetId="9">{#N/A,#N/A,FALSE,"명세표"}</definedName>
    <definedName name="dfdfty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fdjgfdfgdf" localSheetId="9">{#N/A,#N/A,FALSE,"Plan1";#N/A,#N/A,FALSE,"Plan2"}</definedName>
    <definedName name="dfdrtrr" localSheetId="9">{#N/A,#N/A,FALSE,"Plan1";#N/A,#N/A,FALSE,"Plan2"}</definedName>
    <definedName name="DFDSG" localSheetId="9">{#N/A,#N/A,FALSE,"Plan1";#N/A,#N/A,FALSE,"Plan2"}</definedName>
    <definedName name="dfer" localSheetId="9">{#N/A,#N/A,FALSE,"Plan1";#N/A,#N/A,FALSE,"Plan2"}</definedName>
    <definedName name="dffbty" localSheetId="9">{#N/A,#N/A,FALSE,"Plan1";#N/A,#N/A,FALSE,"Plan2"}</definedName>
    <definedName name="dffgk"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ffhg" localSheetId="9">{#N/A,#N/A,FALSE,"Plan1";#N/A,#N/A,FALSE,"Plan2"}</definedName>
    <definedName name="dfg" localSheetId="9">{#N/A,#N/A,FALSE,"Plan1";#N/A,#N/A,FALSE,"Plan2"}</definedName>
    <definedName name="dfgdf" localSheetId="9">{#N/A,#N/A,FALSE,"Plan1";#N/A,#N/A,FALSE,"Plan2"}</definedName>
    <definedName name="dfgdytygr" localSheetId="9">{#N/A,#N/A,FALSE,"Plan1";#N/A,#N/A,FALSE,"Plan2"}</definedName>
    <definedName name="dfgftrrdt5" localSheetId="9">{#N/A,#N/A,FALSE,"Plan1";#N/A,#N/A,FALSE,"Plan2"}</definedName>
    <definedName name="dfgh" localSheetId="9">#REF!</definedName>
    <definedName name="dfghjfhsg" localSheetId="9">{#N/A,#N/A,FALSE,"Plan1";#N/A,#N/A,FALSE,"Plan2"}</definedName>
    <definedName name="dfgj" localSheetId="9">{#N/A,#N/A,FALSE,"Plan1";#N/A,#N/A,FALSE,"Plan2"}</definedName>
    <definedName name="dfgjfttyd" localSheetId="9">{#N/A,#N/A,FALSE,"Plan1";#N/A,#N/A,FALSE,"Plan2"}</definedName>
    <definedName name="dfgjjtdrtg" localSheetId="9">{#N/A,#N/A,FALSE,"Plan1";#N/A,#N/A,FALSE,"Plan2"}</definedName>
    <definedName name="dfgt" localSheetId="9">{#N/A,#N/A,FALSE,"Plan1";#N/A,#N/A,FALSE,"Plan2"}</definedName>
    <definedName name="dfgtrkjhk" localSheetId="9">{#N/A,#N/A,FALSE,"Plan1";#N/A,#N/A,FALSE,"Plan2"}</definedName>
    <definedName name="dfgty" localSheetId="9">{#N/A,#N/A,FALSE,"Plan1";#N/A,#N/A,FALSE,"Plan2"}</definedName>
    <definedName name="dfhdgfdgf" localSheetId="9">{#N/A,#N/A,FALSE,"Plan1";#N/A,#N/A,FALSE,"Plan2"}</definedName>
    <definedName name="DFHDJGJFHJGF" localSheetId="9">{#N/A,#N/A,FALSE,"Plan1";#N/A,#N/A,FALSE,"Plan2"}</definedName>
    <definedName name="dfhdyg" localSheetId="9">{#N/A,#N/A,FALSE,"Plan1";#N/A,#N/A,FALSE,"Plan2"}</definedName>
    <definedName name="DFHGDHUR" localSheetId="9">{#N/A,#N/A,FALSE,"Plan1";#N/A,#N/A,FALSE,"Plan2"}</definedName>
    <definedName name="dfhgjfgdhfjdrf" localSheetId="9">{#N/A,#N/A,FALSE,"Plan1";#N/A,#N/A,FALSE,"Plan2"}</definedName>
    <definedName name="dfhgkhfut" localSheetId="9">{#N/A,#N/A,FALSE,"Plan1";#N/A,#N/A,FALSE,"Plan2"}</definedName>
    <definedName name="dfhgkjdhkjghjd" localSheetId="9">#REF!</definedName>
    <definedName name="dfhguitrhfg" localSheetId="9">{#N/A,#N/A,FALSE,"Plan1";#N/A,#N/A,FALSE,"Plan2"}</definedName>
    <definedName name="DFHKHDGKJHDKS" localSheetId="9">{#N/A,#N/A,FALSE,"Plan1";#N/A,#N/A,FALSE,"Plan2"}</definedName>
    <definedName name="dfijvnqienvvnjv" localSheetId="9">#REF!</definedName>
    <definedName name="dfjgjfhykj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fjkgtdftr" localSheetId="9">{#N/A,#N/A,FALSE,"Plan1";#N/A,#N/A,FALSE,"Plan2"}</definedName>
    <definedName name="dfkhgfg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fkj"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fknfhkdrj" localSheetId="9">{#N/A,#N/A,FALSE,"Plan1";#N/A,#N/A,FALSE,"Plan2"}</definedName>
    <definedName name="dfnert" localSheetId="9">{#N/A,#N/A,FALSE,"Plan1";#N/A,#N/A,FALSE,"Plan2"}</definedName>
    <definedName name="dfrt" localSheetId="9">{#N/A,#N/A,FALSE,"Plan1";#N/A,#N/A,FALSE,"Plan2"}</definedName>
    <definedName name="dfsdr5tt" localSheetId="9">{#N/A,#N/A,FALSE,"Plan1";#N/A,#N/A,FALSE,"Plan2"}</definedName>
    <definedName name="dfsds" localSheetId="9">#REF!</definedName>
    <definedName name="dfsd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fsdtr" localSheetId="9">{#N/A,#N/A,FALSE,"Plan1";#N/A,#N/A,FALSE,"Plan2"}</definedName>
    <definedName name="dfsf" localSheetId="9">{#N/A,#N/A,FALSE,"Plan1";#N/A,#N/A,FALSE,"Plan2"}</definedName>
    <definedName name="DFT" localSheetId="9">{#N/A,#N/A,FALSE,"Plan1";#N/A,#N/A,FALSE,"Plan2"}</definedName>
    <definedName name="DFTRTTY" localSheetId="9">{#N/A,#N/A,FALSE,"Plan1";#N/A,#N/A,FALSE,"Plan2"}</definedName>
    <definedName name="dfurghifdjyhits" localSheetId="9">{#N/A,#N/A,FALSE,"Plan1";#N/A,#N/A,FALSE,"Plan2"}</definedName>
    <definedName name="dfxgdrged" localSheetId="9">{#N/A,#N/A,FALSE,"Plan1";#N/A,#N/A,FALSE,"Plan2"}</definedName>
    <definedName name="dgfrtyt" localSheetId="9">{#N/A,#N/A,FALSE,"Plan1";#N/A,#N/A,FALSE,"Plan2"}</definedName>
    <definedName name="dggfdg" localSheetId="9">{#N/A,#N/A,FALSE,"Plan1";#N/A,#N/A,FALSE,"Plan2"}</definedName>
    <definedName name="dgldfhgkljslh" localSheetId="9">{#N/A,#N/A,FALSE,"Plan1";#N/A,#N/A,FALSE,"Plan2"}</definedName>
    <definedName name="dhfgdhrehrwe" localSheetId="9">{#N/A,#N/A,FALSE,"Plan1";#N/A,#N/A,FALSE,"Plan2"}</definedName>
    <definedName name="dhgfdgrfgdfgd" localSheetId="9">{#N/A,#N/A,FALSE,"Plan1";#N/A,#N/A,FALSE,"Plan2"}</definedName>
    <definedName name="dhkjfhdhfjdh" localSheetId="9">{#N/A,#N/A,FALSE,"Plan1";#N/A,#N/A,FALSE,"Plan2"}</definedName>
    <definedName name="DHTJRT" localSheetId="9">{#N/A,#N/A,FALSE,"Plan1";#N/A,#N/A,FALSE,"Plan2"}</definedName>
    <definedName name="DI" localSheetId="9">#REF!</definedName>
    <definedName name="dia3estac" localSheetId="9">#REF!</definedName>
    <definedName name="diaestaca" localSheetId="9">#REF!</definedName>
    <definedName name="diambase" localSheetId="9">#REF!</definedName>
    <definedName name="DIFQT" localSheetId="9">#REF!</definedName>
    <definedName name="dijghdhks" localSheetId="9">{#N/A,#N/A,FALSE,"Plan1";#N/A,#N/A,FALSE,"Plan2"}</definedName>
    <definedName name="DIMENSÕES" localSheetId="9">#REF!</definedName>
    <definedName name="DIR_OPER" localSheetId="9">#REF!</definedName>
    <definedName name="DIR_TECNICO" localSheetId="9">#REF!</definedName>
    <definedName name="direto" localSheetId="9">#REF!</definedName>
    <definedName name="DIRETORIA" localSheetId="9">#REF!</definedName>
    <definedName name="diretorias" localSheetId="9">#REF!</definedName>
    <definedName name="Discrim" localSheetId="9">#REF!</definedName>
    <definedName name="DISCRIMINAÇÃO" localSheetId="9">#REF!</definedName>
    <definedName name="Discriminação_Controladoria" localSheetId="9">#REF!</definedName>
    <definedName name="DistCidade" localSheetId="9">#REF!</definedName>
    <definedName name="distratos" localSheetId="9">#REF!</definedName>
    <definedName name="div" localSheetId="9">#REF!</definedName>
    <definedName name="djasdrjas" localSheetId="9">{#N/A,#N/A,FALSE,"Plan1";#N/A,#N/A,FALSE,"Plan2"}</definedName>
    <definedName name="dj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jfkhjhfgrgdfh" localSheetId="9">{#N/A,#N/A,FALSE,"Plan1";#N/A,#N/A,FALSE,"Plan2"}</definedName>
    <definedName name="djfkhsdkjhf" localSheetId="9">{#N/A,#N/A,FALSE,"Plan1";#N/A,#N/A,FALSE,"Plan2"}</definedName>
    <definedName name="djfldjsgljslkjtg" localSheetId="9">{#N/A,#N/A,FALSE,"Plan1";#N/A,#N/A,FALSE,"Plan2"}</definedName>
    <definedName name="djflkdjgdth" localSheetId="9">{#N/A,#N/A,FALSE,"Plan1";#N/A,#N/A,FALSE,"Plan2"}</definedName>
    <definedName name="DJFLKDJGKTJYJT" localSheetId="9">{#N/A,#N/A,FALSE,"Plan1";#N/A,#N/A,FALSE,"Plan2"}</definedName>
    <definedName name="djgkfjgtiyty" localSheetId="9">{#N/A,#N/A,FALSE,"Plan1";#N/A,#N/A,FALSE,"Plan2"}</definedName>
    <definedName name="djrkehrjfhng" localSheetId="9">{#N/A,#N/A,FALSE,"Plan1";#N/A,#N/A,FALSE,"Plan2"}</definedName>
    <definedName name="djswfr" localSheetId="9">#REF!</definedName>
    <definedName name="djtkjldfr" localSheetId="9">{#N/A,#N/A,FALSE,"Plan1";#N/A,#N/A,FALSE,"Plan2"}</definedName>
    <definedName name="DJXDLFGDFG" localSheetId="9">{#N/A,#N/A,FALSE,"Plan1";#N/A,#N/A,FALSE,"Plan2"}</definedName>
    <definedName name="dkdkdkdkd" localSheetId="9">{#N/A,#N/A,FALSE,"명세표"}</definedName>
    <definedName name="dkfhskgf" localSheetId="9">{#N/A,#N/A,FALSE,"Plan1";#N/A,#N/A,FALSE,"Plan2"}</definedName>
    <definedName name="dkjfk" localSheetId="9">{#N/A,#N/A,FALSE,"Plan1";#N/A,#N/A,FALSE,"Plan2"}</definedName>
    <definedName name="DKLD" localSheetId="9">{#N/A,#N/A,FALSE,"Plan1";#N/A,#N/A,FALSE,"Plan2"}</definedName>
    <definedName name="DKLFJDKFD" localSheetId="9">{#N/A,#N/A,FALSE,"Plan1";#N/A,#N/A,FALSE,"Plan2"}</definedName>
    <definedName name="dklfjgirtgid" localSheetId="9">{#N/A,#N/A,FALSE,"Plan1";#N/A,#N/A,FALSE,"Plan2"}</definedName>
    <definedName name="dklfm"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mbfmndbmtrhed" localSheetId="9">{#N/A,#N/A,FALSE,"Plan1";#N/A,#N/A,FALSE,"Plan2"}</definedName>
    <definedName name="DNFJKDHTKRE" localSheetId="9">{#N/A,#N/A,FALSE,"Plan1";#N/A,#N/A,FALSE,"Plan2"}</definedName>
    <definedName name="dng" localSheetId="9">{#N/A,#N/A,FALSE,"GERAL";#N/A,#N/A,FALSE,"012-96";#N/A,#N/A,FALSE,"018-96";#N/A,#N/A,FALSE,"027-96";#N/A,#N/A,FALSE,"059-96";#N/A,#N/A,FALSE,"076-96";#N/A,#N/A,FALSE,"019-97";#N/A,#N/A,FALSE,"021-97";#N/A,#N/A,FALSE,"022-97";#N/A,#N/A,FALSE,"028-97"}</definedName>
    <definedName name="DOCUMENT" localSheetId="9">#REF!</definedName>
    <definedName name="DOIS" localSheetId="9">#REF!</definedName>
    <definedName name="dolar" localSheetId="9">#REF!</definedName>
    <definedName name="dolar_dez" localSheetId="9">#REF!</definedName>
    <definedName name="dolar_nov" localSheetId="9">#REF!</definedName>
    <definedName name="dolar_out" localSheetId="9">#REF!</definedName>
    <definedName name="dolar2" localSheetId="9">#REF!</definedName>
    <definedName name="dolarabr" localSheetId="9">#REF!</definedName>
    <definedName name="dolarabr02" localSheetId="9">#REF!</definedName>
    <definedName name="DolarAgo" localSheetId="9">#REF!</definedName>
    <definedName name="dolarago02" localSheetId="9">#REF!</definedName>
    <definedName name="dolardez" localSheetId="9">#REF!</definedName>
    <definedName name="dolarfev" localSheetId="9">#REF!</definedName>
    <definedName name="dolarfev02" localSheetId="9">#REF!</definedName>
    <definedName name="dolarfimdez" localSheetId="9">#REF!</definedName>
    <definedName name="dolarFimJun" localSheetId="9">#REF!</definedName>
    <definedName name="dolarfindez" localSheetId="9">#REF!</definedName>
    <definedName name="dolarfinmar" localSheetId="9">#REF!</definedName>
    <definedName name="DolarFinSet" localSheetId="9">#REF!</definedName>
    <definedName name="dolarjan" localSheetId="9">#REF!</definedName>
    <definedName name="dolarjan02" localSheetId="9">#REF!</definedName>
    <definedName name="DolarJul" localSheetId="9">#REF!</definedName>
    <definedName name="dolarjul02" localSheetId="9">#REF!</definedName>
    <definedName name="dolarjun" localSheetId="9">#REF!</definedName>
    <definedName name="dolarjun02" localSheetId="9">#REF!</definedName>
    <definedName name="dolarmai" localSheetId="9">#REF!</definedName>
    <definedName name="dolarmai02" localSheetId="9">#REF!</definedName>
    <definedName name="dolarmar" localSheetId="9">#REF!</definedName>
    <definedName name="dolarmar02" localSheetId="9">#REF!</definedName>
    <definedName name="dolarnov" localSheetId="9">#REF!</definedName>
    <definedName name="dolarout" localSheetId="9">#REF!</definedName>
    <definedName name="DolarSet" localSheetId="9">#REF!</definedName>
    <definedName name="dolarset02" localSheetId="9">#REF!</definedName>
    <definedName name="DOZE" localSheetId="9">#REF!</definedName>
    <definedName name="DRE" localSheetId="9">#REF!</definedName>
    <definedName name="drewr" localSheetId="9">{#N/A,#N/A,FALSE,"Plan1";#N/A,#N/A,FALSE,"Plan2"}</definedName>
    <definedName name="DRRJR" localSheetId="9">{#N/A,#N/A,FALSE,"Plan1";#N/A,#N/A,FALSE,"Plan2"}</definedName>
    <definedName name="drtrt" localSheetId="9">{"'Estimativa de Lançamento-JAN'!$A$1:$AI$85"}</definedName>
    <definedName name="dsdrf" localSheetId="9">{#N/A,#N/A,FALSE,"Plan1";#N/A,#N/A,FALSE,"Plan2"}</definedName>
    <definedName name="dsfdf" localSheetId="9">{#N/A,#N/A,FALSE,"Plan1";#N/A,#N/A,FALSE,"Plan2"}</definedName>
    <definedName name="dsfg" localSheetId="9">{#N/A,#N/A,FALSE,"Plan1";#N/A,#N/A,FALSE,"Plan2"}</definedName>
    <definedName name="DSFKDSKH" localSheetId="9">{#N/A,#N/A,FALSE,"Plan1";#N/A,#N/A,FALSE,"Plan2"}</definedName>
    <definedName name="DSFR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sfrtyy" localSheetId="9">{#N/A,#N/A,FALSE,"Plan1";#N/A,#N/A,FALSE,"Plan2"}</definedName>
    <definedName name="DSFSAD" localSheetId="9">{#N/A,#N/A,FALSE,"Plan1";#N/A,#N/A,FALSE,"Plan2"}</definedName>
    <definedName name="dsfsdf" localSheetId="9">{#N/A,#N/A,FALSE,"Plan1";#N/A,#N/A,FALSE,"Plan2"}</definedName>
    <definedName name="dsfsdgfb" localSheetId="9">{#N/A,#N/A,FALSE,"Plan1";#N/A,#N/A,FALSE,"Plan2"}</definedName>
    <definedName name="dsgfr" localSheetId="9">{#N/A,#N/A,FALSE,"Plan1";#N/A,#N/A,FALSE,"Plan2"}</definedName>
    <definedName name="dshfkhkrhesru" localSheetId="9">{#N/A,#N/A,FALSE,"Plan1";#N/A,#N/A,FALSE,"Plan2"}</definedName>
    <definedName name="dsjkthkr" localSheetId="9">{#N/A,#N/A,FALSE,"Plan1";#N/A,#N/A,FALSE,"Plan2"}</definedName>
    <definedName name="DSLFJSLFJ" localSheetId="9">{#N/A,#N/A,FALSE,"Plan1";#N/A,#N/A,FALSE,"Plan2"}</definedName>
    <definedName name="dsrffg"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srgdergdrg" localSheetId="9">{#N/A,#N/A,FALSE,"GERAL";#N/A,#N/A,FALSE,"012-96";#N/A,#N/A,FALSE,"018-96";#N/A,#N/A,FALSE,"027-96";#N/A,#N/A,FALSE,"059-96";#N/A,#N/A,FALSE,"076-96";#N/A,#N/A,FALSE,"019-97";#N/A,#N/A,FALSE,"021-97";#N/A,#N/A,FALSE,"022-97";#N/A,#N/A,FALSE,"028-97"}</definedName>
    <definedName name="dss" localSheetId="9">{#N/A,#N/A,FALSE,"Plan1";#N/A,#N/A,FALSE,"Plan2"}</definedName>
    <definedName name="dtgsrytt" localSheetId="9">{#N/A,#N/A,FALSE,"Plan1";#N/A,#N/A,FALSE,"Plan2"}</definedName>
    <definedName name="dtrjkhtrgkfh" localSheetId="9">{#N/A,#N/A,FALSE,"Plan1";#N/A,#N/A,FALSE,"Plan2"}</definedName>
    <definedName name="dttjuk" localSheetId="9">{#N/A,#N/A,FALSE,"Plan1";#N/A,#N/A,FALSE,"Plan2"}</definedName>
    <definedName name="dvtry"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dwetrt" localSheetId="9">{#N/A,#N/A,FALSE,"Plan1";#N/A,#N/A,FALSE,"Plan2"}</definedName>
    <definedName name="dwqhdjwqgdwq" localSheetId="9">#REF!</definedName>
    <definedName name="DY"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YHYGJDHZKGF" localSheetId="9">{#N/A,#N/A,FALSE,"Plan1";#N/A,#N/A,FALSE,"Plan2"}</definedName>
    <definedName name="dzdfr" localSheetId="9">{#N/A,#N/A,FALSE,"Plan1";#N/A,#N/A,FALSE,"Plan2"}</definedName>
    <definedName name="e"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ea" localSheetId="9">#REF!</definedName>
    <definedName name="EC"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EW" localSheetId="9">{#N/A,#N/A,FALSE,"F-01"}</definedName>
    <definedName name="ECEW_1" localSheetId="9">{#N/A,#N/A,FALSE,"F-01"}</definedName>
    <definedName name="echart31" localSheetId="9">#REF!</definedName>
    <definedName name="EcoPark" localSheetId="9">#REF!</definedName>
    <definedName name="ECS"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E" localSheetId="9">{#N/A,#N/A,FALSE,"Plan1";#N/A,#N/A,FALSE,"Plan2"}</definedName>
    <definedName name="ee" localSheetId="9">#REF!</definedName>
    <definedName name="eee" localSheetId="9">{#N/A,#N/A,FALSE,"ET-CAPA";#N/A,#N/A,FALSE,"ET-PAG1";#N/A,#N/A,FALSE,"ET-PAG2";#N/A,#N/A,FALSE,"ET-PAG3";#N/A,#N/A,FALSE,"ET-PAG4";#N/A,#N/A,FALSE,"ET-PAG5"}</definedName>
    <definedName name="EF" localSheetId="9">#REF!</definedName>
    <definedName name="efestfr" localSheetId="9">{#N/A,#N/A,FALSE,"Plan1";#N/A,#N/A,FALSE,"Plan2"}</definedName>
    <definedName name="EFICIÊNCIA" localSheetId="9">#REF!</definedName>
    <definedName name="Eficiência1" localSheetId="9">#REF!</definedName>
    <definedName name="efrdrt" localSheetId="9">{#N/A,#N/A,FALSE,"Plan1";#N/A,#N/A,FALSE,"Plan2"}</definedName>
    <definedName name="efrg" localSheetId="9">{#N/A,#N/A,FALSE,"Plan1";#N/A,#N/A,FALSE,"Plan2"}</definedName>
    <definedName name="efsgfr" localSheetId="9">{#N/A,#N/A,FALSE,"Plan1";#N/A,#N/A,FALSE,"Plan2"}</definedName>
    <definedName name="eixo_x_fluxo_graf1" localSheetId="9">IFERROR(OFFSET(INDEX(#REF!,MATCH((INDEX(#REF!,MATCH(1,#REF!,0))),#REF!,0)),0,0,1,COUNTIF(#REF!,"&gt;=0")+COUNTIF(#REF!,"&lt;0")),0)</definedName>
    <definedName name="eixo_x_graf2" localSheetId="9">IFERROR(OFFSET(INDEX(#REF!,MATCH((INDEX(#REF!,MATCH(1,#REF!,0))),#REF!,0)),0,0,1,COUNTIF(#REF!,"&gt;=0")+COUNTIF(#REF!,"&lt;0")),0)</definedName>
    <definedName name="eixo_x_graf3_distratos" localSheetId="9">#REF!</definedName>
    <definedName name="eixo_x_graf3_vendas" localSheetId="9">#REF!</definedName>
    <definedName name="eixo_y_cury_graf2" localSheetId="9">IFERROR(OFFSET(INDEX(#REF!,MATCH((INDEX(#REF!,MATCH(1,#REF!,0))),#REF!,0)),0,0,1,COUNTIF(#REF!,"&gt;=0")+COUNTIF(#REF!,"&lt;0")),0)</definedName>
    <definedName name="eixo_y_fluxo_graf1" localSheetId="9">IFERROR(IF(#REF!="Nominal", OFFSET(INDEX(#REF!,MATCH((INDEX(#REF!,MATCH(1,#REF!,0))),#REF!,0)),0,0,1,COUNTIF(#REF!,"&gt;=0")+COUNTIF(#REF!,"&lt;0")), OFFSET(INDEX(#REF!,MATCH((INDEX(#REF!,MATCH(1,#REF!,0))),#REF!,0)),0,0,1,COUNTIF(#REF!,"&gt;=0")+COUNTIF(#REF!,"&lt;0"))),0)</definedName>
    <definedName name="eixo_y_forecast_graf1" localSheetId="9">IFERROR(IF(#REF!="Nominal", OFFSET(INDEX(#REF!,MATCH((INDEX(#REF!,MATCH(1,#REF!,0))),#REF!,0)),0,0,1,COUNTIF(#REF!,"&gt;=0")+COUNTIF(#REF!,"&lt;0")), OFFSET(INDEX(#REF!,MATCH((INDEX(#REF!,MATCH(1,#REF!,0))),#REF!,0)),0,0,1,COUNTIF(#REF!,"&gt;=0")+COUNTIF(#REF!,"&lt;0"))),0)</definedName>
    <definedName name="eixo_y_graf1_obrareal" localSheetId="9">IFERROR(IF(#REF!="Nominal", OFFSET(INDEX(#REF!,MATCH((INDEX(#REF!,MATCH(1,#REF!,0))),#REF!,0)),0,0,1,COUNTIF(#REF!,"&gt;=0")+COUNTIF(#REF!,"&lt;0")), OFFSET(INDEX(#REF!,MATCH((INDEX(#REF!,MATCH(1,#REF!,0))),#REF!,0)),0,0,1,COUNTIF(#REF!,"&gt;=0")+COUNTIF(#REF!,"&lt;0"))),0)</definedName>
    <definedName name="eixo_y_graf1_obraVL" localSheetId="9">IFERROR(IF(#REF!="Nominal", OFFSET(INDEX(#REF!,MATCH((INDEX(#REF!,MATCH(1,#REF!,0))),#REF!,0)),0,0,1,COUNTIF(#REF!,"&gt;=0")+COUNTIF(#REF!,"&lt;0")), OFFSET(INDEX(#REF!,MATCH((INDEX(#REF!,MATCH(1,#REF!,0))),#REF!,0)),0,0,1,COUNTIF(#REF!,"&gt;=0")+COUNTIF(#REF!,"&lt;0"))),0)</definedName>
    <definedName name="eixo_y_graf3" localSheetId="9">#REF!</definedName>
    <definedName name="eixo_y_socio_graf2" localSheetId="9">IFERROR(OFFSET(INDEX(#REF!,MATCH((INDEX(#REF!,MATCH(1,#REF!,0))),#REF!,0)),0,0,1,COUNTIF(#REF!,"&gt;=0")+COUNTIF(#REF!,"&lt;0")),0)</definedName>
    <definedName name="eixo_y_viab_graf1" localSheetId="9">IFERROR(IF(#REF!="Nominal", OFFSET(INDEX(#REF!,MATCH((INDEX(#REF!,MATCH(1,#REF!,0))),#REF!,0)),0,0,1,COUNTIF(#REF!,"&gt;=0")+COUNTIF(#REF!,"&lt;0")), OFFSET(INDEX(#REF!,MATCH((INDEX(#REF!,MATCH(1,#REF!,0))),#REF!,0)),0,0,1,COUNTIF(#REF!,"&gt;=0")+COUNTIF(#REF!,"&lt;0"))),0)</definedName>
    <definedName name="EM" localSheetId="9">#REF!</definedName>
    <definedName name="Empreend" localSheetId="9">#REF!</definedName>
    <definedName name="Empreendimentos" localSheetId="9">#REF!</definedName>
    <definedName name="empresas" localSheetId="9">#REF!</definedName>
    <definedName name="encanador" localSheetId="9">#REF!</definedName>
    <definedName name="EPI" localSheetId="9">#REF!</definedName>
    <definedName name="EQUIP" localSheetId="9">#REF!</definedName>
    <definedName name="equipamento" localSheetId="9">#REF!</definedName>
    <definedName name="ER" localSheetId="9">{#N/A,#N/A,FALSE,"GERAL";#N/A,#N/A,FALSE,"012-96";#N/A,#N/A,FALSE,"018-96";#N/A,#N/A,FALSE,"027-96";#N/A,#N/A,FALSE,"059-96";#N/A,#N/A,FALSE,"076-96";#N/A,#N/A,FALSE,"019-97";#N/A,#N/A,FALSE,"021-97";#N/A,#N/A,FALSE,"022-97";#N/A,#N/A,FALSE,"028-97"}</definedName>
    <definedName name="ergerge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ergfhyu" localSheetId="9">{#N/A,#N/A,FALSE,"Plan1";#N/A,#N/A,FALSE,"Plan2"}</definedName>
    <definedName name="erne_cdi" localSheetId="9">#REF!</definedName>
    <definedName name="erne_hist" localSheetId="9">#REF!</definedName>
    <definedName name="erne_uss" localSheetId="9">#REF!</definedName>
    <definedName name="ESGFDSFD" localSheetId="9">{#N/A,#N/A,FALSE,"Plan1";#N/A,#N/A,FALSE,"Plan2"}</definedName>
    <definedName name="esp" localSheetId="9">#REF!</definedName>
    <definedName name="ESPESSURA" localSheetId="9">#REF!</definedName>
    <definedName name="estaca" localSheetId="9">#REF!</definedName>
    <definedName name="estaca3" localSheetId="9">#REF!</definedName>
    <definedName name="ESTADO" localSheetId="9">#REF!</definedName>
    <definedName name="estados" localSheetId="9">#REF!</definedName>
    <definedName name="estagiário" localSheetId="9">#REF!</definedName>
    <definedName name="ESTOQUE" localSheetId="9">#REF!</definedName>
    <definedName name="Etq_final" localSheetId="9">#REF!</definedName>
    <definedName name="EU" localSheetId="9">{#N/A,#N/A,FALSE,"Plan1";#N/A,#N/A,FALSE,"Plan2"}</definedName>
    <definedName name="EVL" localSheetId="9">{"Econ Consolidado",#N/A,FALSE,"Econ Consol";"Fluxo de Caixa",#N/A,FALSE,"Fluxo Caixa";"Investimentos",#N/A,FALSE,"Investimentos"}</definedName>
    <definedName name="Evol." localSheetId="9">{"Econ Consolidado",#N/A,FALSE,"Econ Consol";"Fluxo de Caixa",#N/A,FALSE,"Fluxo Caixa";"Investimentos",#N/A,FALSE,"Investimentos"}</definedName>
    <definedName name="ewfr" localSheetId="9">{#N/A,#N/A,FALSE,"Plan1";#N/A,#N/A,FALSE,"Plan2"}</definedName>
    <definedName name="exce_cdi" localSheetId="9">#REF!</definedName>
    <definedName name="exce_hist" localSheetId="9">#REF!</definedName>
    <definedName name="exce_uss" localSheetId="9">#REF!</definedName>
    <definedName name="Excel_BuiltIn__FilterDatabase_1" localSheetId="9">#REF!</definedName>
    <definedName name="Excel_BuiltIn__FilterDatabase_1_1" localSheetId="9">#REF!</definedName>
    <definedName name="Excel_BuiltIn__FilterDatabase_6" localSheetId="9">#REF!</definedName>
    <definedName name="Excel_BuiltIn_Print_Area_0" localSheetId="9">#REF!</definedName>
    <definedName name="Excel_BuiltIn_Print_Area_1_1" localSheetId="9">#REF!</definedName>
    <definedName name="Excel_BuiltIn_Print_Titles_1_1_1" localSheetId="9">#REF!</definedName>
    <definedName name="Excel_BuiltIn_Print_Titles_1_1_4" localSheetId="9">#REF!</definedName>
    <definedName name="Excel_BuiltIn_Print_Titles_1_1_5" localSheetId="9">#REF!</definedName>
    <definedName name="Exrate" localSheetId="9">#REF!</definedName>
    <definedName name="eyruieyteta" localSheetId="9">{#N/A,#N/A,FALSE,"Plan1";#N/A,#N/A,FALSE,"Plan2"}</definedName>
    <definedName name="f" localSheetId="9">#REF!</definedName>
    <definedName name="FACULDADE" localSheetId="9">#REF!</definedName>
    <definedName name="FAL" localSheetId="9">#REF!</definedName>
    <definedName name="farialima" localSheetId="9">#REF!</definedName>
    <definedName name="FAS" localSheetId="9">{"'Total'!$A$1","'Total'!$A$3"}</definedName>
    <definedName name="fasfasf" localSheetId="9">{#N/A,#N/A,TRUE,"Quinzena 01 à 15-04-98 "}</definedName>
    <definedName name="FATOR_K" localSheetId="9">#REF!</definedName>
    <definedName name="FATORK" localSheetId="9">#REF!</definedName>
    <definedName name="FBancaria" localSheetId="9">#REF!</definedName>
    <definedName name="fddhght" localSheetId="9">{#N/A,#N/A,FALSE,"Plan1";#N/A,#N/A,FALSE,"Plan2"}</definedName>
    <definedName name="fdfgd" localSheetId="9">{#N/A,#N/A,FALSE,"Plan1";#N/A,#N/A,FALSE,"Plan2"}</definedName>
    <definedName name="fdfng" localSheetId="9">{#N/A,#N/A,FALSE,"GERAL";#N/A,#N/A,FALSE,"012-96";#N/A,#N/A,FALSE,"018-96";#N/A,#N/A,FALSE,"027-96";#N/A,#N/A,FALSE,"059-96";#N/A,#N/A,FALSE,"076-96";#N/A,#N/A,FALSE,"019-97";#N/A,#N/A,FALSE,"021-97";#N/A,#N/A,FALSE,"022-97";#N/A,#N/A,FALSE,"028-97"}</definedName>
    <definedName name="fdgaf" localSheetId="9">{#N/A,#N/A,FALSE,"Plan1";#N/A,#N/A,FALSE,"Plan2"}</definedName>
    <definedName name="fdgdfg"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FDGFDJHGZEDR" localSheetId="9">{#N/A,#N/A,FALSE,"Plan1";#N/A,#N/A,FALSE,"Plan2"}</definedName>
    <definedName name="fdgfyhygfuj" localSheetId="9">{#N/A,#N/A,FALSE,"Plan1";#N/A,#N/A,FALSE,"Plan2"}</definedName>
    <definedName name="fdhgfdf" localSheetId="9">{#N/A,#N/A,FALSE,"Plan1";#N/A,#N/A,FALSE,"Plan2"}</definedName>
    <definedName name="fdjfgdfjg" localSheetId="9">{#N/A,#N/A,FALSE,"Plan1";#N/A,#N/A,FALSE,"Plan2"}</definedName>
    <definedName name="fdjghkshtygt" localSheetId="9">{#N/A,#N/A,FALSE,"Plan1";#N/A,#N/A,FALSE,"Plan2"}</definedName>
    <definedName name="fdnhgf" localSheetId="9">{"'Estimativa de Lançamento-JAN'!$A$1:$AI$85"}</definedName>
    <definedName name="fdsf" localSheetId="9">{#N/A,#N/A,FALSE,"Plan1";#N/A,#N/A,FALSE,"Plan2"}</definedName>
    <definedName name="FE" localSheetId="9">#REF!</definedName>
    <definedName name="fefefefe" localSheetId="9">#REF!</definedName>
    <definedName name="fev17RJ" localSheetId="9">#REF!</definedName>
    <definedName name="FEVEREIRO2001" localSheetId="9">#REF!</definedName>
    <definedName name="ff" localSheetId="9">#REF!</definedName>
    <definedName name="fffefes" localSheetId="9">#REF!</definedName>
    <definedName name="fffff" localSheetId="9">{#N/A,#N/A,FALSE,"Plan1";#N/A,#N/A,FALSE,"Plan2"}</definedName>
    <definedName name="FFFFFFF" localSheetId="9">#REF!</definedName>
    <definedName name="FFTY" localSheetId="9">{#N/A,#N/A,FALSE,"GERAL";#N/A,#N/A,FALSE,"012-96";#N/A,#N/A,FALSE,"018-96";#N/A,#N/A,FALSE,"027-96";#N/A,#N/A,FALSE,"059-96";#N/A,#N/A,FALSE,"076-96";#N/A,#N/A,FALSE,"019-97";#N/A,#N/A,FALSE,"021-97";#N/A,#N/A,FALSE,"022-97";#N/A,#N/A,FALSE,"028-97"}</definedName>
    <definedName name="fg" localSheetId="9">{#N/A,#N/A,FALSE,"Plan1";#N/A,#N/A,FALSE,"Plan2"}</definedName>
    <definedName name="fgg" localSheetId="9">{"'장비'!$A$3:$M$12"}</definedName>
    <definedName name="fghfh" localSheetId="9">{"'Estimativa de Lançamento-JAN'!$A$1:$AI$85"}</definedName>
    <definedName name="fghgfh" localSheetId="9">{#N/A,#N/A,FALSE,"Plan1";#N/A,#N/A,FALSE,"Plan2"}</definedName>
    <definedName name="FGJHFGK" localSheetId="9">{#N/A,#N/A,FALSE,"Plan1";#N/A,#N/A,FALSE,"Plan2"}</definedName>
    <definedName name="fgktyhdf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fgtrgty" localSheetId="9">{#N/A,#N/A,FALSE,"Plan1";#N/A,#N/A,FALSE,"Plan2"}</definedName>
    <definedName name="fgty" localSheetId="9">#REF!</definedName>
    <definedName name="fhgjfgyt" localSheetId="9">{#N/A,#N/A,FALSE,"Plan1";#N/A,#N/A,FALSE,"Plan2"}</definedName>
    <definedName name="fhgjkhtrfg" localSheetId="9">{#N/A,#N/A,FALSE,"Plan1";#N/A,#N/A,FALSE,"Plan2"}</definedName>
    <definedName name="FHGTGSRSG" localSheetId="9">{#N/A,#N/A,FALSE,"Plan1";#N/A,#N/A,FALSE,"Plan2"}</definedName>
    <definedName name="FIELD"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ILTRO" localSheetId="9">{#N/A,#N/A,TRUE,"Quinzena 01 à 15-04-98 "}</definedName>
    <definedName name="Filtro_Rel_Sienge" localSheetId="9">#REF!</definedName>
    <definedName name="Firs_hist" localSheetId="9">#REF!</definedName>
    <definedName name="First_cdi" localSheetId="9">#REF!</definedName>
    <definedName name="First_uss" localSheetId="9">#REF!</definedName>
    <definedName name="fjdhfgjdhtgu" localSheetId="9">{#N/A,#N/A,FALSE,"Plan1";#N/A,#N/A,FALSE,"Plan2"}</definedName>
    <definedName name="fjfjg" localSheetId="9">{#N/A,#N/A,FALSE,"명세표"}</definedName>
    <definedName name="FJGHJ"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FJHJHG" localSheetId="9">{#N/A,#N/A,FALSE,"Plan1";#N/A,#N/A,FALSE,"Plan2"}</definedName>
    <definedName name="fjtgfh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FKF"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kfw" localSheetId="9">{#N/A,#N/A,FALSE,"Plan1";#N/A,#N/A,FALSE,"Plan2"}</definedName>
    <definedName name="fl" localSheetId="9">#REF!</definedName>
    <definedName name="FL_1" localSheetId="9">#REF!</definedName>
    <definedName name="FL_2" localSheetId="9">#REF!</definedName>
    <definedName name="FL_3" localSheetId="9">#REF!</definedName>
    <definedName name="Fluxo_captação" localSheetId="9">#REF!</definedName>
    <definedName name="FOLHA2" localSheetId="9">#REF!</definedName>
    <definedName name="Format" localSheetId="9">#REF!</definedName>
    <definedName name="Formato_da_Loja" localSheetId="9">#REF!</definedName>
    <definedName name="FORMULA" localSheetId="9">#REF!</definedName>
    <definedName name="FORNECEDOR" localSheetId="9">OFFSET(#REF!,6,0,COUNTA(#REF!))</definedName>
    <definedName name="FORNECEDOR_2" localSheetId="9">OFFSET(#REF!,6,0,COUNTA(#REF!))</definedName>
    <definedName name="FORNECEDOR_3" localSheetId="9">OFFSET(#REF!,6,0,COUNTA(#REF!))</definedName>
    <definedName name="FORNECEDOR_4" localSheetId="9">OFFSET(#REF!,6,0,COUNTA(#REF!))</definedName>
    <definedName name="FORNECEDOR_5" localSheetId="9">OFFSET(#REF!,6,0,COUNTA(#REF!))</definedName>
    <definedName name="FORNECEDOR_7" localSheetId="9">OFFSET(#REF!,6,0,COUNTA(#REF!))</definedName>
    <definedName name="FORNECEDOR_8" localSheetId="9">OFFSET(#REF!,6,0,COUNTA(#REF!))</definedName>
    <definedName name="frçt4r" localSheetId="9">{#N/A,#N/A,FALSE,"Plan1";#N/A,#N/A,FALSE,"Plan2"}</definedName>
    <definedName name="frdtty" localSheetId="9">{#N/A,#N/A,FALSE,"Plan1";#N/A,#N/A,FALSE,"Plan2"}</definedName>
    <definedName name="fsdfsf" localSheetId="9">{#N/A,#N/A,FALSE,"GERAL";#N/A,#N/A,FALSE,"012-96";#N/A,#N/A,FALSE,"018-96";#N/A,#N/A,FALSE,"027-96";#N/A,#N/A,FALSE,"059-96";#N/A,#N/A,FALSE,"076-96";#N/A,#N/A,FALSE,"019-97";#N/A,#N/A,FALSE,"021-97";#N/A,#N/A,FALSE,"022-97";#N/A,#N/A,FALSE,"028-97"}</definedName>
    <definedName name="fuihgjk" localSheetId="9">{#N/A,#N/A,FALSE,"Plan1";#N/A,#N/A,FALSE,"Plan2"}</definedName>
    <definedName name="fuste" localSheetId="9">#REF!</definedName>
    <definedName name="fxjghkfg" localSheetId="9">{#N/A,#N/A,FALSE,"Plan1";#N/A,#N/A,FALSE,"Plan2"}</definedName>
    <definedName name="g_10" localSheetId="9">#REF!</definedName>
    <definedName name="g_11" localSheetId="9">#REF!</definedName>
    <definedName name="g_12" localSheetId="9">#REF!</definedName>
    <definedName name="g_13" localSheetId="9">#REF!</definedName>
    <definedName name="g_15" localSheetId="9">#REF!</definedName>
    <definedName name="g_16" localSheetId="9">#REF!</definedName>
    <definedName name="g_17" localSheetId="9">#REF!</definedName>
    <definedName name="g_19" localSheetId="9">#REF!</definedName>
    <definedName name="g_21" localSheetId="9">#REF!</definedName>
    <definedName name="g_25" localSheetId="9">#REF!</definedName>
    <definedName name="g_27" localSheetId="9">#REF!</definedName>
    <definedName name="g_31" localSheetId="9">#REF!</definedName>
    <definedName name="g_32" localSheetId="9">#REF!</definedName>
    <definedName name="g_33" localSheetId="9">#REF!</definedName>
    <definedName name="g_34" localSheetId="9">#REF!</definedName>
    <definedName name="G_35" localSheetId="9">#REF!</definedName>
    <definedName name="g_37" localSheetId="9">#REF!</definedName>
    <definedName name="g_41" localSheetId="9">#REF!</definedName>
    <definedName name="g_42" localSheetId="9">#REF!</definedName>
    <definedName name="g_45" localSheetId="9">#REF!</definedName>
    <definedName name="g_47" localSheetId="9">#REF!</definedName>
    <definedName name="g_51" localSheetId="9">#REF!</definedName>
    <definedName name="g_52" localSheetId="9">#REF!</definedName>
    <definedName name="g_53" localSheetId="9">#REF!</definedName>
    <definedName name="G_54" localSheetId="9">#REF!</definedName>
    <definedName name="G_55" localSheetId="9">#REF!</definedName>
    <definedName name="G_56" localSheetId="9">#REF!</definedName>
    <definedName name="G_57" localSheetId="9">#REF!</definedName>
    <definedName name="G_58" localSheetId="9">#REF!</definedName>
    <definedName name="G_59" localSheetId="9">#REF!</definedName>
    <definedName name="G_61" localSheetId="9">#REF!</definedName>
    <definedName name="G_63" localSheetId="9">#REF!</definedName>
    <definedName name="G_65" localSheetId="9">#REF!</definedName>
    <definedName name="G_67" localSheetId="9">#REF!</definedName>
    <definedName name="g_68" localSheetId="9">#REF!</definedName>
    <definedName name="g_69" localSheetId="9">#REF!</definedName>
    <definedName name="G_71" localSheetId="9">#REF!</definedName>
    <definedName name="G_73" localSheetId="9">#REF!</definedName>
    <definedName name="G_75" localSheetId="9">#REF!</definedName>
    <definedName name="G_77" localSheetId="9">#REF!</definedName>
    <definedName name="G_78" localSheetId="9">#REF!</definedName>
    <definedName name="G_81" localSheetId="9">#REF!</definedName>
    <definedName name="G_83" localSheetId="9">#REF!</definedName>
    <definedName name="G_85" localSheetId="9">#REF!</definedName>
    <definedName name="G_87" localSheetId="9">#REF!</definedName>
    <definedName name="G_90" localSheetId="9">#REF!</definedName>
    <definedName name="G_91" localSheetId="9">#REF!</definedName>
    <definedName name="G_92" localSheetId="9">#REF!</definedName>
    <definedName name="G_94" localSheetId="9">#REF!</definedName>
    <definedName name="G_95" localSheetId="9">#REF!</definedName>
    <definedName name="G_96" localSheetId="9">#REF!</definedName>
    <definedName name="galo" localSheetId="9">{#N/A,#N/A,FALSE,"GERAL";#N/A,#N/A,FALSE,"012-96";#N/A,#N/A,FALSE,"018-96";#N/A,#N/A,FALSE,"027-96";#N/A,#N/A,FALSE,"059-96";#N/A,#N/A,FALSE,"076-96";#N/A,#N/A,FALSE,"019-97";#N/A,#N/A,FALSE,"021-97";#N/A,#N/A,FALSE,"022-97";#N/A,#N/A,FALSE,"028-97"}</definedName>
    <definedName name="GARAGEM" localSheetId="9">#REF!</definedName>
    <definedName name="garcia" localSheetId="9">#REF!</definedName>
    <definedName name="GASTOS_JULHO" localSheetId="9">#REF!</definedName>
    <definedName name="gbdjkvhgd" localSheetId="9">{#N/A,#N/A,FALSE,"Plan1";#N/A,#N/A,FALSE,"Plan2"}</definedName>
    <definedName name="gbdsjgsjfdgj" localSheetId="9">{#N/A,#N/A,FALSE,"Plan1";#N/A,#N/A,FALSE,"Plan2"}</definedName>
    <definedName name="gdfdhgfjgj" localSheetId="9">{#N/A,#N/A,FALSE,"Plan1";#N/A,#N/A,FALSE,"Plan2"}</definedName>
    <definedName name="gdfgdstggt" localSheetId="9">{#N/A,#N/A,FALSE,"Plan1";#N/A,#N/A,FALSE,"Plan2"}</definedName>
    <definedName name="GDFHGRJGFJDRF" localSheetId="9">{"Econ Consolidado",#N/A,FALSE,"Econ Consol";"Fluxo de Caixa",#N/A,FALSE,"Fluxo Caixa";"Investimentos",#N/A,FALSE,"Investimentos"}</definedName>
    <definedName name="gdfigfhuyuy" localSheetId="9">{#N/A,#N/A,FALSE,"Plan1";#N/A,#N/A,FALSE,"Plan2"}</definedName>
    <definedName name="gdfsgfew" localSheetId="9">{#N/A,#N/A,FALSE,"Plan1";#N/A,#N/A,FALSE,"Plan2"}</definedName>
    <definedName name="gdhfgdhfgf" localSheetId="9">{#N/A,#N/A,FALSE,"Plan1";#N/A,#N/A,FALSE,"Plan2"}</definedName>
    <definedName name="gdsfhefrwrw" localSheetId="9">{#N/A,#N/A,FALSE,"Plan1";#N/A,#N/A,FALSE,"Plan2"}</definedName>
    <definedName name="GER_TECNICO" localSheetId="9">#REF!</definedName>
    <definedName name="Gerentes" localSheetId="9">#REF!</definedName>
    <definedName name="geshrjhed" localSheetId="9">{#N/A,#N/A,FALSE,"Plan1";#N/A,#N/A,FALSE,"Plan2"}</definedName>
    <definedName name="gestao" localSheetId="9">OFFSET(INDEX(#REF!,MATCH(#REF!,#REF!,0)),1,0,COUNTA(#REF!)-1)</definedName>
    <definedName name="gfdcgnkf" localSheetId="9">{#N/A,#N/A,FALSE,"Plan1";#N/A,#N/A,FALSE,"Plan2"}</definedName>
    <definedName name="gfdjtgur" localSheetId="9">{#N/A,#N/A,FALSE,"Plan1";#N/A,#N/A,FALSE,"Plan2"}</definedName>
    <definedName name="gfdrtg" localSheetId="9">#REF!</definedName>
    <definedName name="gfgdhxgfdhf" localSheetId="9">{#N/A,#N/A,FALSE,"Plan1";#N/A,#N/A,FALSE,"Plan2"}</definedName>
    <definedName name="gfhfdtgjb" localSheetId="9">{#N/A,#N/A,FALSE,"Plan1";#N/A,#N/A,FALSE,"Plan2"}</definedName>
    <definedName name="gfjdshrtjhtged" localSheetId="9">{#N/A,#N/A,FALSE,"Plan1";#N/A,#N/A,FALSE,"Plan2"}</definedName>
    <definedName name="gfjgkddgfd" localSheetId="9">{#N/A,#N/A,FALSE,"Plan1";#N/A,#N/A,FALSE,"Plan2"}</definedName>
    <definedName name="gfsghjdgygr" localSheetId="9">{#N/A,#N/A,FALSE,"Plan1";#N/A,#N/A,FALSE,"Plan2"}</definedName>
    <definedName name="gftfy" localSheetId="9">{#N/A,#N/A,FALSE,"Plan1";#N/A,#N/A,FALSE,"Plan2"}</definedName>
    <definedName name="gfty" localSheetId="9">{#N/A,#N/A,FALSE,"Plan1";#N/A,#N/A,FALSE,"Plan2"}</definedName>
    <definedName name="GFUJU9" localSheetId="9">{#N/A,#N/A,FALSE,"Plan1";#N/A,#N/A,FALSE,"Plan2"}</definedName>
    <definedName name="ggg"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GGGG" localSheetId="9">{#N/A,#N/A,FALSE,"Plan1";#N/A,#N/A,FALSE,"Plan2"}</definedName>
    <definedName name="gggggggggg"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gh" localSheetId="9">{"'장비'!$A$3:$M$12"}</definedName>
    <definedName name="ghfgdfrtert" localSheetId="9">{#N/A,#N/A,FALSE,"Plan1";#N/A,#N/A,FALSE,"Plan2"}</definedName>
    <definedName name="ghfhghft" localSheetId="9">{#N/A,#N/A,FALSE,"Plan1";#N/A,#N/A,FALSE,"Plan2"}</definedName>
    <definedName name="ghjg" localSheetId="9">{"'Estimativa de Lançamento-JAN'!$A$1:$AI$85"}</definedName>
    <definedName name="ghkfhgh" localSheetId="9">{#N/A,#N/A,FALSE,"Plan1";#N/A,#N/A,FALSE,"Plan2"}</definedName>
    <definedName name="ghkjh" localSheetId="9">{#N/A,#N/A,FALSE,"ENG'G(보호계전기)"}</definedName>
    <definedName name="GJ" localSheetId="9">{#N/A,#N/A,FALSE,"GERAL";#N/A,#N/A,FALSE,"012-96";#N/A,#N/A,FALSE,"018-96";#N/A,#N/A,FALSE,"027-96";#N/A,#N/A,FALSE,"059-96";#N/A,#N/A,FALSE,"076-96";#N/A,#N/A,FALSE,"019-97";#N/A,#N/A,FALSE,"021-97";#N/A,#N/A,FALSE,"022-97";#N/A,#N/A,FALSE,"028-97"}</definedName>
    <definedName name="gjfhjktgcf" localSheetId="9">{#N/A,#N/A,FALSE,"Plan1";#N/A,#N/A,FALSE,"Plan2"}</definedName>
    <definedName name="GJG"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gjgh" localSheetId="9">{#N/A,#N/A,FALSE,"GERAL";#N/A,#N/A,FALSE,"012-96";#N/A,#N/A,FALSE,"018-96";#N/A,#N/A,FALSE,"027-96";#N/A,#N/A,FALSE,"059-96";#N/A,#N/A,FALSE,"076-96";#N/A,#N/A,FALSE,"019-97";#N/A,#N/A,FALSE,"021-97";#N/A,#N/A,FALSE,"022-97";#N/A,#N/A,FALSE,"028-97"}</definedName>
    <definedName name="GJK" localSheetId="9">{#N/A,#N/A,FALSE,"GERAL";#N/A,#N/A,FALSE,"012-96";#N/A,#N/A,FALSE,"018-96";#N/A,#N/A,FALSE,"027-96";#N/A,#N/A,FALSE,"059-96";#N/A,#N/A,FALSE,"076-96";#N/A,#N/A,FALSE,"019-97";#N/A,#N/A,FALSE,"021-97";#N/A,#N/A,FALSE,"022-97";#N/A,#N/A,FALSE,"028-97"}</definedName>
    <definedName name="gjkhgjhjfggfjhfg" localSheetId="9">{#N/A,#N/A,FALSE,"Plan1";#N/A,#N/A,FALSE,"Plan2"}</definedName>
    <definedName name="glgl" localSheetId="9">{#N/A,#N/A,FALSE,"Plan1";#N/A,#N/A,FALSE,"Plan2"}</definedName>
    <definedName name="GLOBAL" localSheetId="9">#REF!</definedName>
    <definedName name="gnfrth"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grec_cdi" localSheetId="9">#REF!</definedName>
    <definedName name="grec_hist" localSheetId="9">#REF!</definedName>
    <definedName name="grec_uss" localSheetId="9">#REF!</definedName>
    <definedName name="grua" localSheetId="9">#REF!</definedName>
    <definedName name="GSDWJSTGE"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gtuigsdyugsdf" localSheetId="9">{#N/A,#N/A,FALSE,"Plan1";#N/A,#N/A,FALSE,"Plan2"}</definedName>
    <definedName name="GUI" localSheetId="9">{#N/A,#N/A,FALSE,"GERAL";#N/A,#N/A,FALSE,"012-96";#N/A,#N/A,FALSE,"018-96";#N/A,#N/A,FALSE,"027-96";#N/A,#N/A,FALSE,"059-96";#N/A,#N/A,FALSE,"076-96";#N/A,#N/A,FALSE,"019-97";#N/A,#N/A,FALSE,"021-97";#N/A,#N/A,FALSE,"022-97";#N/A,#N/A,FALSE,"028-97"}</definedName>
    <definedName name="GV" localSheetId="9">{#N/A,#N/A,FALSE,"CCTV"}</definedName>
    <definedName name="h" localSheetId="9">#REF!</definedName>
    <definedName name="hbjgjuae" localSheetId="9">#REF!</definedName>
    <definedName name="hcjfkhdghfktg" localSheetId="9">{#N/A,#N/A,FALSE,"Plan1";#N/A,#N/A,FALSE,"Plan2"}</definedName>
    <definedName name="hckhjfdkgfdg" localSheetId="9">#REF!</definedName>
    <definedName name="hddfndgdfg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HDFGHGST" localSheetId="9">{#N/A,#N/A,FALSE,"Plan1";#N/A,#N/A,FALSE,"Plan2"}</definedName>
    <definedName name="HDFGJKHKFDHTY" localSheetId="9">{#N/A,#N/A,FALSE,"Plan1";#N/A,#N/A,FALSE,"Plan2"}</definedName>
    <definedName name="hdfhdhrtgd" localSheetId="9">{#N/A,#N/A,FALSE,"Plan1";#N/A,#N/A,FALSE,"Plan2"}</definedName>
    <definedName name="hdfhftde" localSheetId="9">{#N/A,#N/A,FALSE,"Plan1";#N/A,#N/A,FALSE,"Plan2"}</definedName>
    <definedName name="hdfhgkdhgtrf" localSheetId="9">{#N/A,#N/A,FALSE,"Plan1";#N/A,#N/A,FALSE,"Plan2"}</definedName>
    <definedName name="hdfjhdkzhgdr" localSheetId="9">{#N/A,#N/A,FALSE,"Plan1";#N/A,#N/A,FALSE,"Plan2"}</definedName>
    <definedName name="hdfjkgvjgtd" localSheetId="9">{#N/A,#N/A,FALSE,"Plan1";#N/A,#N/A,FALSE,"Plan2"}</definedName>
    <definedName name="hdfjkhdhrute" localSheetId="9">{#N/A,#N/A,FALSE,"Plan1";#N/A,#N/A,FALSE,"Plan2"}</definedName>
    <definedName name="HDFKGVF" localSheetId="9">{#N/A,#N/A,FALSE,"Plan1";#N/A,#N/A,FALSE,"Plan2"}</definedName>
    <definedName name="hdgfhdgtdrt" localSheetId="9">{#N/A,#N/A,FALSE,"Plan1";#N/A,#N/A,FALSE,"Plan2"}</definedName>
    <definedName name="hdghgtgtrgd" localSheetId="9">{#N/A,#N/A,FALSE,"Plan1";#N/A,#N/A,FALSE,"Plan2"}</definedName>
    <definedName name="HDHDGHTUHDTG" localSheetId="9">{#N/A,#N/A,FALSE,"Plan1";#N/A,#N/A,FALSE,"Plan2"}</definedName>
    <definedName name="hdhghfthrrhy" localSheetId="9">{#N/A,#N/A,FALSE,"Plan1";#N/A,#N/A,FALSE,"Plan2"}</definedName>
    <definedName name="hdkfjhydjh" localSheetId="9">{#N/A,#N/A,FALSE,"Plan1";#N/A,#N/A,FALSE,"Plan2"}</definedName>
    <definedName name="hdsgfgrrdgr" localSheetId="9">{#N/A,#N/A,FALSE,"Plan1";#N/A,#N/A,FALSE,"Plan2"}</definedName>
    <definedName name="hdtertkkdsa" localSheetId="9">{#N/A,#N/A,FALSE,"Plan1";#N/A,#N/A,FALSE,"Plan2"}</definedName>
    <definedName name="Header" localSheetId="9">#REF!</definedName>
    <definedName name="HEDHA" localSheetId="9">{#N/A,#N/A,FALSE,"Plan1";#N/A,#N/A,FALSE,"Plan2"}</definedName>
    <definedName name="heife"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HELP" localSheetId="9">#REF!</definedName>
    <definedName name="herkfdshfker" localSheetId="9">{#N/A,#N/A,FALSE,"Plan1";#N/A,#N/A,FALSE,"Plan2"}</definedName>
    <definedName name="hersdtretyt" localSheetId="9">{#N/A,#N/A,FALSE,"Plan1";#N/A,#N/A,FALSE,"Plan2"}</definedName>
    <definedName name="HFDJTHTRS"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HFDKHGFR" localSheetId="9">{#N/A,#N/A,FALSE,"Plan1";#N/A,#N/A,FALSE,"Plan2"}</definedName>
    <definedName name="hfdkhgkfdhtj" localSheetId="9">{#N/A,#N/A,FALSE,"Plan1";#N/A,#N/A,FALSE,"Plan2"}</definedName>
    <definedName name="hfgfktgkhyt" localSheetId="9">{#N/A,#N/A,FALSE,"Plan1";#N/A,#N/A,FALSE,"Plan2"}</definedName>
    <definedName name="hfghdkhrgkjg" localSheetId="9">{#N/A,#N/A,FALSE,"Plan1";#N/A,#N/A,FALSE,"Plan2"}</definedName>
    <definedName name="hfighfth" localSheetId="9">{#N/A,#N/A,FALSE,"Plan1";#N/A,#N/A,FALSE,"Plan2"}</definedName>
    <definedName name="hfjghtfuyrf" localSheetId="9">{#N/A,#N/A,FALSE,"Plan1";#N/A,#N/A,FALSE,"Plan2"}</definedName>
    <definedName name="HFKJHDJGHFJ" localSheetId="9">{#N/A,#N/A,FALSE,"Plan1";#N/A,#N/A,FALSE,"Plan2"}</definedName>
    <definedName name="hgdesgfgsj" localSheetId="9">{#N/A,#N/A,FALSE,"Plan1";#N/A,#N/A,FALSE,"Plan2"}</definedName>
    <definedName name="hgdgfd" localSheetId="9">{#N/A,#N/A,FALSE,"Plan1";#N/A,#N/A,FALSE,"Plan2"}</definedName>
    <definedName name="hgfhjkdfhj" localSheetId="9">{#N/A,#N/A,FALSE,"Plan1";#N/A,#N/A,FALSE,"Plan2"}</definedName>
    <definedName name="hgg" localSheetId="9">{#N/A,#N/A,FALSE,"Plan1";#N/A,#N/A,FALSE,"Plan2"}</definedName>
    <definedName name="hgjdfgghg" localSheetId="9">{#N/A,#N/A,FALSE,"Plan1";#N/A,#N/A,FALSE,"Plan2"}</definedName>
    <definedName name="hgjkfdhg" localSheetId="9">{#N/A,#N/A,FALSE,"Plan1";#N/A,#N/A,FALSE,"Plan2"}</definedName>
    <definedName name="hgkdfhkfk" localSheetId="9">{#N/A,#N/A,FALSE,"Plan1";#N/A,#N/A,FALSE,"Plan2"}</definedName>
    <definedName name="hgkjhdfhtrdyt" localSheetId="9">{#N/A,#N/A,FALSE,"Plan1";#N/A,#N/A,FALSE,"Plan2"}</definedName>
    <definedName name="hgkjhdfkhgtfhg" localSheetId="9">{#N/A,#N/A,FALSE,"Plan1";#N/A,#N/A,FALSE,"Plan2"}</definedName>
    <definedName name="hgkjhkfhsdkdhgk" localSheetId="9">{#N/A,#N/A,FALSE,"Plan1";#N/A,#N/A,FALSE,"Plan2"}</definedName>
    <definedName name="hgsufgdhghd" localSheetId="9">{#N/A,#N/A,FALSE,"Plan1";#N/A,#N/A,FALSE,"Plan2"}</definedName>
    <definedName name="HHGFHTYUT" localSheetId="9">{#N/A,#N/A,FALSE,"Plan1";#N/A,#N/A,FALSE,"Plan2"}</definedName>
    <definedName name="hhh" localSheetId="9">{"'Total'!$A$1","'Total'!$A$3"}</definedName>
    <definedName name="HHIHLK" localSheetId="9">#REF!</definedName>
    <definedName name="hik" localSheetId="9">{#N/A,#N/A,FALSE,"TABLE"}</definedName>
    <definedName name="hist" localSheetId="9">#REF!</definedName>
    <definedName name="HIST1" localSheetId="9">#REF!</definedName>
    <definedName name="HISTEQ" localSheetId="9">#REF!</definedName>
    <definedName name="HISTOGRAMA" localSheetId="9">#REF!</definedName>
    <definedName name="hjdgtjdjxrfg" localSheetId="9">{#N/A,#N/A,FALSE,"Plan1";#N/A,#N/A,FALSE,"Plan2"}</definedName>
    <definedName name="HJFDGD" localSheetId="9">{#N/A,#N/A,FALSE,"Plan1";#N/A,#N/A,FALSE,"Plan2"}</definedName>
    <definedName name="HJGASD" localSheetId="9">{#N/A,#N/A,FALSE,"Plan1";#N/A,#N/A,FALSE,"Plan2"}</definedName>
    <definedName name="HJGFGTFDG" localSheetId="9">{#N/A,#N/A,FALSE,"Plan1";#N/A,#N/A,FALSE,"Plan2"}</definedName>
    <definedName name="hjgfhdsgfhsd" localSheetId="9">{#N/A,#N/A,FALSE,"Plan1";#N/A,#N/A,FALSE,"Plan2"}</definedName>
    <definedName name="hjgxfjgdjyftr" localSheetId="9">{#N/A,#N/A,FALSE,"Plan1";#N/A,#N/A,FALSE,"Plan2"}</definedName>
    <definedName name="hjgyugasd" localSheetId="9">{#N/A,#N/A,FALSE,"Plan1";#N/A,#N/A,FALSE,"Plan2"}</definedName>
    <definedName name="hjjfyfy" localSheetId="9">{#N/A,#N/A,FALSE,"Plan1";#N/A,#N/A,FALSE,"Plan2"}</definedName>
    <definedName name="hjkchkvjhdjkgh" localSheetId="9">{#N/A,#N/A,FALSE,"Plan1";#N/A,#N/A,FALSE,"Plan2"}</definedName>
    <definedName name="hjkfjdyht" localSheetId="9">{#N/A,#N/A,FALSE,"Plan1";#N/A,#N/A,FALSE,"Plan2"}</definedName>
    <definedName name="hjsdffe"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hjsdkhk" localSheetId="9">{#N/A,#N/A,FALSE,"Plan1";#N/A,#N/A,FALSE,"Plan2"}</definedName>
    <definedName name="hjsrdfre" localSheetId="9">{"Econ Consolidado",#N/A,FALSE,"Econ Consol";"Fluxo de Caixa",#N/A,FALSE,"Fluxo Caixa";"Investimentos",#N/A,FALSE,"Investimentos"}</definedName>
    <definedName name="HKewewsr" localSheetId="9">{#N/A,#N/A,FALSE,"Plan1";#N/A,#N/A,FALSE,"Plan2"}</definedName>
    <definedName name="hkhdskacd" localSheetId="9">{#N/A,#N/A,FALSE,"Plan1";#N/A,#N/A,FALSE,"Plan2"}</definedName>
    <definedName name="hkjfgfhgfh" localSheetId="9">{#N/A,#N/A,FALSE,"Plan1";#N/A,#N/A,FALSE,"Plan2"}</definedName>
    <definedName name="hkjfhgjkfhghfg" localSheetId="9">{#N/A,#N/A,FALSE,"Plan1";#N/A,#N/A,FALSE,"Plan2"}</definedName>
    <definedName name="HKLZHFRH" localSheetId="9">{#N/A,#N/A,FALSE,"Plan1";#N/A,#N/A,FALSE,"Plan2"}</definedName>
    <definedName name="ho" localSheetId="9">{#N/A,#N/A,FALSE,"TABLE"}</definedName>
    <definedName name="HOJE" localSheetId="9">#REF!</definedName>
    <definedName name="HONORARIOS" localSheetId="9">#REF!</definedName>
    <definedName name="HOSPEDES" localSheetId="9">#REF!</definedName>
    <definedName name="HOTEL" localSheetId="9">#REF!</definedName>
    <definedName name="hrterte" localSheetId="9">{#N/A,#N/A,FALSE,"Plan1";#N/A,#N/A,FALSE,"Plan2"}</definedName>
    <definedName name="hsdf" localSheetId="9">{#N/A,#N/A,FALSE,"Plan1";#N/A,#N/A,FALSE,"Plan2"}</definedName>
    <definedName name="hsdfgdgudrt" localSheetId="9">{#N/A,#N/A,FALSE,"Plan1";#N/A,#N/A,FALSE,"Plan2"}</definedName>
    <definedName name="hsdfjkdhur" localSheetId="9">{#N/A,#N/A,FALSE,"Plan1";#N/A,#N/A,FALSE,"Plan2"}</definedName>
    <definedName name="hsdgftdht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hsdjffd" localSheetId="9">{#N/A,#N/A,FALSE,"Plan1";#N/A,#N/A,FALSE,"Plan2"}</definedName>
    <definedName name="hsdjffe" localSheetId="9">{#N/A,#N/A,FALSE,"Plan1";#N/A,#N/A,FALSE,"Plan2"}</definedName>
    <definedName name="HSFIHDTR" localSheetId="9">{"Econ Consolidado",#N/A,FALSE,"Econ Consol";"Fluxo de Caixa",#N/A,FALSE,"Fluxo Caixa";"Investimentos",#N/A,FALSE,"Investimentos"}</definedName>
    <definedName name="hsfjkdshrgf" localSheetId="9">{#N/A,#N/A,FALSE,"Plan1";#N/A,#N/A,FALSE,"Plan2"}</definedName>
    <definedName name="hthhrtetdre" localSheetId="9">{#N/A,#N/A,FALSE,"Plan1";#N/A,#N/A,FALSE,"Plan2"}</definedName>
    <definedName name="HTM" localSheetId="9">#REF!</definedName>
    <definedName name="HTML_Control" localSheetId="9">{"'장비'!$A$3:$M$12"}</definedName>
    <definedName name="HTML2_CONTROL" localSheetId="9">{"'Estimativa de Lançamento-JAN'!$A$1:$AI$85"}</definedName>
    <definedName name="HTML3_CONTROL" localSheetId="9">{"'Estimativa de Lançamento-JAN'!$A$1:$AI$85"}</definedName>
    <definedName name="HTMLControl" localSheetId="9">{"'Edit'!$A$1:$V$2277"}</definedName>
    <definedName name="HTN" localSheetId="9">#REF!</definedName>
    <definedName name="HVJKHGKFXHFD" localSheetId="9">{#N/A,#N/A,FALSE,"Plan1";#N/A,#N/A,FALSE,"Plan2"}</definedName>
    <definedName name="hwekjhekhf" localSheetId="9">{#N/A,#N/A,FALSE,"Plan1";#N/A,#N/A,FALSE,"Plan2"}</definedName>
    <definedName name="HXFRE" localSheetId="9">{#N/A,#N/A,FALSE,"Plan1";#N/A,#N/A,FALSE,"Plan2"}</definedName>
    <definedName name="HXKJFGDKHG" localSheetId="9">{#N/A,#N/A,FALSE,"Plan1";#N/A,#N/A,FALSE,"Plan2"}</definedName>
    <definedName name="I" localSheetId="9">#REF!</definedName>
    <definedName name="ibir_cdi" localSheetId="9">#REF!</definedName>
    <definedName name="ibir_hist" localSheetId="9">#REF!</definedName>
    <definedName name="ibir_uss" localSheetId="9">#REF!</definedName>
    <definedName name="icoa_cdi" localSheetId="9">#REF!</definedName>
    <definedName name="icoa_hist" localSheetId="9">#REF!</definedName>
    <definedName name="icoa_uss" localSheetId="9">#REF!</definedName>
    <definedName name="Identificação" localSheetId="9">#REF!</definedName>
    <definedName name="idfhgkjhfkthy" localSheetId="9">{#N/A,#N/A,FALSE,"Plan1";#N/A,#N/A,FALSE,"Plan2"}</definedName>
    <definedName name="ieroweft" localSheetId="9">{#N/A,#N/A,FALSE,"Plan1";#N/A,#N/A,FALSE,"Plan2"}</definedName>
    <definedName name="iewpotqi5poejy" localSheetId="9">{#N/A,#N/A,FALSE,"Plan1";#N/A,#N/A,FALSE,"Plan2"}</definedName>
    <definedName name="ihdfifguhgfuiyh"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ihdsitrr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iheidhgufr" localSheetId="9">#REF!</definedName>
    <definedName name="ihfdkjhktgrd" localSheetId="9">{#N/A,#N/A,FALSE,"Plan1";#N/A,#N/A,FALSE,"Plan2"}</definedName>
    <definedName name="ihrtetw4r" localSheetId="9">{#N/A,#N/A,FALSE,"Plan1";#N/A,#N/A,FALSE,"Plan2"}</definedName>
    <definedName name="II" localSheetId="9">#REF!</definedName>
    <definedName name="IIASDSAWE" localSheetId="9">{"Econ Consolidado",#N/A,FALSE,"Econ Consol";"Fluxo de Caixa",#N/A,FALSE,"Fluxo Caixa";"Investimentos",#N/A,FALSE,"Investimentos"}</definedName>
    <definedName name="III" localSheetId="9">#REF!</definedName>
    <definedName name="iinstalações" localSheetId="9">{#N/A,#N/A,FALSE,"GERAL";#N/A,#N/A,FALSE,"012-96";#N/A,#N/A,FALSE,"018-96";#N/A,#N/A,FALSE,"027-96";#N/A,#N/A,FALSE,"059-96";#N/A,#N/A,FALSE,"076-96";#N/A,#N/A,FALSE,"019-97";#N/A,#N/A,FALSE,"021-97";#N/A,#N/A,FALSE,"022-97";#N/A,#N/A,FALSE,"028-97"}</definedName>
    <definedName name="ilhweilrji4e" localSheetId="9">{#N/A,#N/A,FALSE,"Plan1";#N/A,#N/A,FALSE,"Plan2"}</definedName>
    <definedName name="ilsdr4wf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IM" localSheetId="9">#REF!</definedName>
    <definedName name="IMP" localSheetId="9">#REF!</definedName>
    <definedName name="IMPERMEABILIZ." localSheetId="9">#REF!</definedName>
    <definedName name="IMPF" localSheetId="9">#REF!</definedName>
    <definedName name="IMPI" localSheetId="9">#REF!</definedName>
    <definedName name="IMPOSTO" localSheetId="9">#REF!</definedName>
    <definedName name="INCC" localSheetId="9">#REF!</definedName>
    <definedName name="Incorido_Aplicado_X_Físico" localSheetId="9">#REF!</definedName>
    <definedName name="INCORPORAÇÃO" localSheetId="9">#REF!</definedName>
    <definedName name="Index" localSheetId="9">#REF!</definedName>
    <definedName name="Indice" localSheetId="9">#REF!</definedName>
    <definedName name="indice_correcao_proj" localSheetId="9">#REF!</definedName>
    <definedName name="infra" localSheetId="9">#REF!</definedName>
    <definedName name="Infra_OBra_Sienge" localSheetId="9">#REF!</definedName>
    <definedName name="Infra_Projetos_Sienge" localSheetId="9">#REF!</definedName>
    <definedName name="INFRA2" localSheetId="9">#REF!</definedName>
    <definedName name="Insatalações" localSheetId="9">{#N/A,#N/A,FALSE,"GERAL";#N/A,#N/A,FALSE,"012-96";#N/A,#N/A,FALSE,"018-96";#N/A,#N/A,FALSE,"027-96";#N/A,#N/A,FALSE,"059-96";#N/A,#N/A,FALSE,"076-96";#N/A,#N/A,FALSE,"019-97";#N/A,#N/A,FALSE,"021-97";#N/A,#N/A,FALSE,"022-97";#N/A,#N/A,FALSE,"028-97"}</definedName>
    <definedName name="INSS_Bloqueado_Fin_Medição" localSheetId="9">#REF!</definedName>
    <definedName name="Inss_Bloqueado_Previsão_Fin_Medições" localSheetId="9">#REF!</definedName>
    <definedName name="instalaçoes2" localSheetId="9">{#N/A,#N/A,FALSE,"GERAL";#N/A,#N/A,FALSE,"012-96";#N/A,#N/A,FALSE,"018-96";#N/A,#N/A,FALSE,"027-96";#N/A,#N/A,FALSE,"059-96";#N/A,#N/A,FALSE,"076-96";#N/A,#N/A,FALSE,"019-97";#N/A,#N/A,FALSE,"021-97";#N/A,#N/A,FALSE,"022-97";#N/A,#N/A,FALSE,"028-97"}</definedName>
    <definedName name="INSU" localSheetId="9">OFFSET(#REF!,0,0,COUNTA(#REF!),1)</definedName>
    <definedName name="INSUMOS" localSheetId="9">#REF!</definedName>
    <definedName name="INT.FILTRO.NBASE" localSheetId="9">#REF!</definedName>
    <definedName name="INTEGRA" localSheetId="9">{"'Edit'!$A$1:$V$2277"}</definedName>
    <definedName name="ioeriotyt" localSheetId="9">{#N/A,#N/A,FALSE,"Plan1";#N/A,#N/A,FALSE,"Plan2"}</definedName>
    <definedName name="iohudtorh" localSheetId="9">{#N/A,#N/A,FALSE,"Plan1";#N/A,#N/A,FALSE,"Plan2"}</definedName>
    <definedName name="iojtkheayed" localSheetId="9">{#N/A,#N/A,FALSE,"Plan1";#N/A,#N/A,FALSE,"Plan2"}</definedName>
    <definedName name="iouweroieuw4" localSheetId="9">{#N/A,#N/A,FALSE,"Plan1";#N/A,#N/A,FALSE,"Plan2"}</definedName>
    <definedName name="iphifpgh" localSheetId="9">{#N/A,#N/A,FALSE,"Plan1";#N/A,#N/A,FALSE,"Plan2"}</definedName>
    <definedName name="IPMF" localSheetId="9">#REF!</definedName>
    <definedName name="ipodsifgpds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ipotjrjketjr" localSheetId="9">{#N/A,#N/A,FALSE,"Plan1";#N/A,#N/A,FALSE,"Plan2"}</definedName>
    <definedName name="IR_diferido" localSheetId="9">#REF!</definedName>
    <definedName name="ISOPOR" localSheetId="9">#REF!</definedName>
    <definedName name="ISS" localSheetId="9">#REF!</definedName>
    <definedName name="ItalieNS" localSheetId="9">#REF!</definedName>
    <definedName name="ItalieNT" localSheetId="9">#REF!</definedName>
    <definedName name="itc_cdi" localSheetId="9">#REF!</definedName>
    <definedName name="itc_hist" localSheetId="9">#REF!</definedName>
    <definedName name="itc_uss" localSheetId="9">#REF!</definedName>
    <definedName name="item_1" localSheetId="9">#REF!</definedName>
    <definedName name="ITEMCONT" localSheetId="9">#REF!</definedName>
    <definedName name="ITEMDER" localSheetId="9">#REF!</definedName>
    <definedName name="ITEMIZAÇÃO" localSheetId="9">#REF!</definedName>
    <definedName name="ITEMIZAÇÃO_2" localSheetId="9">#REF!</definedName>
    <definedName name="ITEMIZAÇÃO_3" localSheetId="9">#REF!</definedName>
    <definedName name="ITEMIZAÇÃO_4" localSheetId="9">#REF!</definedName>
    <definedName name="ITEMIZAÇÃO_5" localSheetId="9">#REF!</definedName>
    <definedName name="ITEMIZAÇÃO_7" localSheetId="9">#REF!</definedName>
    <definedName name="ITEMIZAÇÃO_8" localSheetId="9">#REF!</definedName>
    <definedName name="ITEMR20" localSheetId="9">#REF!</definedName>
    <definedName name="ITEM별상세업무분장"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NS" localSheetId="9">#REF!</definedName>
    <definedName name="ITENS0" localSheetId="9">#REF!</definedName>
    <definedName name="ITENS1" localSheetId="9">#REF!</definedName>
    <definedName name="ITENSP" localSheetId="9">#REF!</definedName>
    <definedName name="ITENSPMED" localSheetId="9">#REF!</definedName>
    <definedName name="IUGFGDFUY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IV" localSheetId="9">#REF!</definedName>
    <definedName name="iyguygiyt" localSheetId="9">{#N/A,#N/A,FALSE,"Plan1";#N/A,#N/A,FALSE,"Plan2"}</definedName>
    <definedName name="iyuyheturtd" localSheetId="9">{#N/A,#N/A,FALSE,"Plan1";#N/A,#N/A,FALSE,"Plan2"}</definedName>
    <definedName name="j"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jalejdasjf" localSheetId="9">{#N/A,#N/A,FALSE,"Plan1";#N/A,#N/A,FALSE,"Plan2"}</definedName>
    <definedName name="jan_05" localSheetId="9">#REF!</definedName>
    <definedName name="jan17RJ" localSheetId="9">#REF!</definedName>
    <definedName name="JANEIRO2001" localSheetId="9">#REF!</definedName>
    <definedName name="JASDJS" localSheetId="9">{#N/A,#N/A,FALSE,"Plan1";#N/A,#N/A,FALSE,"Plan2"}</definedName>
    <definedName name="jaskldjlse" localSheetId="9">{#N/A,#N/A,FALSE,"Plan1";#N/A,#N/A,FALSE,"Plan2"}</definedName>
    <definedName name="JASLDKLD" localSheetId="9">{#N/A,#N/A,FALSE,"Plan1";#N/A,#N/A,FALSE,"Plan2"}</definedName>
    <definedName name="jasoe" localSheetId="9">#REF!</definedName>
    <definedName name="jbzxffcbgdhgft" localSheetId="9">#REF!</definedName>
    <definedName name="JÇDFHDF" localSheetId="9">{"Econ Consolidado",#N/A,FALSE,"Econ Consol";"Fluxo de Caixa",#N/A,FALSE,"Fluxo Caixa";"Investimentos",#N/A,FALSE,"Investimentos"}</definedName>
    <definedName name="jdbgftbhr" localSheetId="9">{#N/A,#N/A,FALSE,"Plan1";#N/A,#N/A,FALSE,"Plan2"}</definedName>
    <definedName name="jdfgkrhgft" localSheetId="9">#REF!</definedName>
    <definedName name="jdfgldfjgklh" localSheetId="9">{#N/A,#N/A,FALSE,"Plan1";#N/A,#N/A,FALSE,"Plan2"}</definedName>
    <definedName name="jdfhjkdrhjtkg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jdfjdtrgt" localSheetId="9">{#N/A,#N/A,FALSE,"Plan1";#N/A,#N/A,FALSE,"Plan2"}</definedName>
    <definedName name="JDFJLDJR" localSheetId="9">{#N/A,#N/A,FALSE,"Plan1";#N/A,#N/A,FALSE,"Plan2"}</definedName>
    <definedName name="jdfkgitfgdrtt" localSheetId="9">{#N/A,#N/A,FALSE,"Plan1";#N/A,#N/A,FALSE,"Plan2"}</definedName>
    <definedName name="JDFKHFKJ" localSheetId="9">{#N/A,#N/A,FALSE,"Plan1";#N/A,#N/A,FALSE,"Plan2"}</definedName>
    <definedName name="jdfklgtdtr" localSheetId="9">{#N/A,#N/A,FALSE,"Plan1";#N/A,#N/A,FALSE,"Plan2"}</definedName>
    <definedName name="JDFKTHRT" localSheetId="9">{#N/A,#N/A,FALSE,"Plan1";#N/A,#N/A,FALSE,"Plan2"}</definedName>
    <definedName name="JDFLKJDRF" localSheetId="9">{#N/A,#N/A,FALSE,"Plan1";#N/A,#N/A,FALSE,"Plan2"}</definedName>
    <definedName name="jdfzlkjgfdht" localSheetId="9">{#N/A,#N/A,FALSE,"Plan1";#N/A,#N/A,FALSE,"Plan2"}</definedName>
    <definedName name="jdglhfghkt" localSheetId="9">{#N/A,#N/A,FALSE,"Plan1";#N/A,#N/A,FALSE,"Plan2"}</definedName>
    <definedName name="jdhfjdhgfd" localSheetId="9">{#N/A,#N/A,FALSE,"Plan1";#N/A,#N/A,FALSE,"Plan2"}</definedName>
    <definedName name="jdjdjdjd" localSheetId="9">{#N/A,#N/A,FALSE,"명세표"}</definedName>
    <definedName name="jdkfhgjhf" localSheetId="9">{#N/A,#N/A,FALSE,"Plan1";#N/A,#N/A,FALSE,"Plan2"}</definedName>
    <definedName name="jdkfjdtr" localSheetId="9">{#N/A,#N/A,FALSE,"Plan1";#N/A,#N/A,FALSE,"Plan2"}</definedName>
    <definedName name="jdljgftldjti5r" localSheetId="9">{#N/A,#N/A,FALSE,"Plan1";#N/A,#N/A,FALSE,"Plan2"}</definedName>
    <definedName name="JDLKJDASGF" localSheetId="9">{#N/A,#N/A,FALSE,"Plan1";#N/A,#N/A,FALSE,"Plan2"}</definedName>
    <definedName name="jdrfkdjfghrtfjg" localSheetId="9">{#N/A,#N/A,FALSE,"Plan1";#N/A,#N/A,FALSE,"Plan2"}</definedName>
    <definedName name="jdskfhdk" localSheetId="9">{#N/A,#N/A,FALSE,"Plan1";#N/A,#N/A,FALSE,"Plan2"}</definedName>
    <definedName name="JDSKLGKDRHGGF" localSheetId="9">{#N/A,#N/A,FALSE,"Plan1";#N/A,#N/A,FALSE,"Plan2"}</definedName>
    <definedName name="jefsgfr" localSheetId="9">{#N/A,#N/A,FALSE,"Plan1";#N/A,#N/A,FALSE,"Plan2"}</definedName>
    <definedName name="JERHIEHYURE" localSheetId="9">{#N/A,#N/A,FALSE,"Plan1";#N/A,#N/A,FALSE,"Plan2"}</definedName>
    <definedName name="jfddlsrtyty" localSheetId="9">{#N/A,#N/A,FALSE,"Plan1";#N/A,#N/A,FALSE,"Plan2"}</definedName>
    <definedName name="jfdjtgdjghitfyh" localSheetId="9">{#N/A,#N/A,FALSE,"Plan1";#N/A,#N/A,FALSE,"Plan2"}</definedName>
    <definedName name="jfdkgkftftg" localSheetId="9">{#N/A,#N/A,FALSE,"Plan1";#N/A,#N/A,FALSE,"Plan2"}</definedName>
    <definedName name="jfghjkfdhtkyru"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JFGJYHTY" localSheetId="9">{#N/A,#N/A,FALSE,"Plan1";#N/A,#N/A,FALSE,"Plan2"}</definedName>
    <definedName name="jfgkflcnjkglc" localSheetId="9">{#N/A,#N/A,FALSE,"Plan1";#N/A,#N/A,FALSE,"Plan2"}</definedName>
    <definedName name="JFHRE" localSheetId="9">{#N/A,#N/A,FALSE,"Plan1";#N/A,#N/A,FALSE,"Plan2"}</definedName>
    <definedName name="jfkdls5jtirjd" localSheetId="9">{#N/A,#N/A,FALSE,"Plan1";#N/A,#N/A,FALSE,"Plan2"}</definedName>
    <definedName name="jfkljdkfcj" localSheetId="9">{#N/A,#N/A,FALSE,"Plan1";#N/A,#N/A,FALSE,"Plan2"}</definedName>
    <definedName name="jfkrhdtghdut" localSheetId="9">{#N/A,#N/A,FALSE,"Plan1";#N/A,#N/A,FALSE,"Plan2"}</definedName>
    <definedName name="JFRESR" localSheetId="9">{#N/A,#N/A,FALSE,"Plan1";#N/A,#N/A,FALSE,"Plan2"}</definedName>
    <definedName name="jgdfdgfjgdj" localSheetId="9">{#N/A,#N/A,FALSE,"Plan1";#N/A,#N/A,FALSE,"Plan2"}</definedName>
    <definedName name="jgdfght" localSheetId="9">{#N/A,#N/A,FALSE,"Plan1";#N/A,#N/A,FALSE,"Plan2"}</definedName>
    <definedName name="jgfgdsgfdhrf" localSheetId="9">{#N/A,#N/A,FALSE,"Plan1";#N/A,#N/A,FALSE,"Plan2"}</definedName>
    <definedName name="JGFJGTFT" localSheetId="9">{#N/A,#N/A,FALSE,"Plan1";#N/A,#N/A,FALSE,"Plan2"}</definedName>
    <definedName name="jgkjkhjuftgi" localSheetId="9">{#N/A,#N/A,FALSE,"Plan1";#N/A,#N/A,FALSE,"Plan2"}</definedName>
    <definedName name="jhd"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jhdfjjhirft" localSheetId="9">{#N/A,#N/A,FALSE,"Plan1";#N/A,#N/A,FALSE,"Plan2"}</definedName>
    <definedName name="jhdfjkhtrdhf" localSheetId="9">{#N/A,#N/A,FALSE,"Plan1";#N/A,#N/A,FALSE,"Plan2"}</definedName>
    <definedName name="jhdfuthr" localSheetId="9">{#N/A,#N/A,FALSE,"Plan1";#N/A,#N/A,FALSE,"Plan2"}</definedName>
    <definedName name="JHDFZGRDHF" localSheetId="9">{"Econ Consolidado",#N/A,FALSE,"Econ Consol";"Fluxo de Caixa",#N/A,FALSE,"Fluxo Caixa";"Investimentos",#N/A,FALSE,"Investimentos"}</definedName>
    <definedName name="JHERKHKFGH" localSheetId="9">{#N/A,#N/A,FALSE,"Plan1";#N/A,#N/A,FALSE,"Plan2"}</definedName>
    <definedName name="jhfhhztfhe" localSheetId="9">#REF!</definedName>
    <definedName name="JHGKJFJFJGL" localSheetId="9">{#N/A,#N/A,FALSE,"Plan1";#N/A,#N/A,FALSE,"Plan2"}</definedName>
    <definedName name="jhsdjkhfuks" localSheetId="9">{#N/A,#N/A,FALSE,"Plan1";#N/A,#N/A,FALSE,"Plan2"}</definedName>
    <definedName name="jisdrkje" localSheetId="9">{#N/A,#N/A,FALSE,"Plan1";#N/A,#N/A,FALSE,"Plan2"}</definedName>
    <definedName name="jishfrieyhtau" localSheetId="9">{#N/A,#N/A,FALSE,"Plan1";#N/A,#N/A,FALSE,"Plan2"}</definedName>
    <definedName name="jiu"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jj" localSheetId="9">{"'Apr-00'!$B$4:$AD$44"}</definedName>
    <definedName name="jjfdsktyhhy" localSheetId="9">{#N/A,#N/A,FALSE,"Plan1";#N/A,#N/A,FALSE,"Plan2"}</definedName>
    <definedName name="jjjjjjjjjjjjjjjjjjjj" localSheetId="9">#REF!</definedName>
    <definedName name="jjkjkjk" localSheetId="9">{#N/A,#N/A,FALSE,"Plan1";#N/A,#N/A,FALSE,"Plan2"}</definedName>
    <definedName name="JKDCK" localSheetId="9">{#N/A,#N/A,FALSE,"Plan1";#N/A,#N/A,FALSE,"Plan2"}</definedName>
    <definedName name="JKDFHKHFR" localSheetId="9">{#N/A,#N/A,FALSE,"Plan1";#N/A,#N/A,FALSE,"Plan2"}</definedName>
    <definedName name="JKDFTRDRJ" localSheetId="9">{#N/A,#N/A,FALSE,"Plan1";#N/A,#N/A,FALSE,"Plan2"}</definedName>
    <definedName name="jkdhfukhddf" localSheetId="9">{#N/A,#N/A,FALSE,"Plan1";#N/A,#N/A,FALSE,"Plan2"}</definedName>
    <definedName name="JKDRKGJHTDR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jkelsjreja" localSheetId="9">{#N/A,#N/A,FALSE,"Plan1";#N/A,#N/A,FALSE,"Plan2"}</definedName>
    <definedName name="jkfhjgkfhghh" localSheetId="9">{#N/A,#N/A,FALSE,"Plan1";#N/A,#N/A,FALSE,"Plan2"}</definedName>
    <definedName name="jkhderjkhes" localSheetId="9">{#N/A,#N/A,FALSE,"Plan1";#N/A,#N/A,FALSE,"Plan2"}</definedName>
    <definedName name="jkhdfhfd" localSheetId="9">{#N/A,#N/A,FALSE,"Plan1";#N/A,#N/A,FALSE,"Plan2"}</definedName>
    <definedName name="jkhfhest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JKHFKJHGKFTHUDET" localSheetId="9">{#N/A,#N/A,FALSE,"Plan1";#N/A,#N/A,FALSE,"Plan2"}</definedName>
    <definedName name="JKHGDHFUHTG" localSheetId="9">{#N/A,#N/A,FALSE,"Plan1";#N/A,#N/A,FALSE,"Plan2"}</definedName>
    <definedName name="jkhsdzjkfyiu" localSheetId="9">{#N/A,#N/A,FALSE,"Plan1";#N/A,#N/A,FALSE,"Plan2"}</definedName>
    <definedName name="jkjsdkhfdhrf" localSheetId="9">{#N/A,#N/A,FALSE,"Plan1";#N/A,#N/A,FALSE,"Plan2"}</definedName>
    <definedName name="jklgfsjgtjtg" localSheetId="9">{#N/A,#N/A,FALSE,"Plan1";#N/A,#N/A,FALSE,"Plan2"}</definedName>
    <definedName name="jksldfjsdhf" localSheetId="9">{#N/A,#N/A,FALSE,"Plan1";#N/A,#N/A,FALSE,"Plan2"}</definedName>
    <definedName name="jkxhcjkhfr" localSheetId="9">{#N/A,#N/A,FALSE,"Plan1";#N/A,#N/A,FALSE,"Plan2"}</definedName>
    <definedName name="JNGCKFKJFGH" localSheetId="9">{#N/A,#N/A,FALSE,"Plan1";#N/A,#N/A,FALSE,"Plan2"}</definedName>
    <definedName name="JOALDO" localSheetId="9">#REF!</definedName>
    <definedName name="joao_cdi" localSheetId="9">#REF!</definedName>
    <definedName name="joao_hist" localSheetId="9">#REF!</definedName>
    <definedName name="joao_uss" localSheetId="9">#REF!</definedName>
    <definedName name="JREJRW" localSheetId="9">{#N/A,#N/A,FALSE,"Plan1";#N/A,#N/A,FALSE,"Plan2"}</definedName>
    <definedName name="JSADKAH" localSheetId="9">{"Econ Consolidado",#N/A,FALSE,"Econ Consol";"Fluxo de Caixa",#N/A,FALSE,"Fluxo Caixa";"Investimentos",#N/A,FALSE,"Investimentos"}</definedName>
    <definedName name="JSDAJRE" localSheetId="9">{#N/A,#N/A,FALSE,"Plan1";#N/A,#N/A,FALSE,"Plan2"}</definedName>
    <definedName name="jsdffsed"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jsdfjgx" localSheetId="9">{#N/A,#N/A,FALSE,"Plan1";#N/A,#N/A,FALSE,"Plan2"}</definedName>
    <definedName name="jsdfkgnfr" localSheetId="9">#REF!</definedName>
    <definedName name="jsdfsdfd" localSheetId="9">{#N/A,#N/A,FALSE,"Plan1";#N/A,#N/A,FALSE,"Plan2"}</definedName>
    <definedName name="jsdljficd" localSheetId="9">{#N/A,#N/A,FALSE,"Plan1";#N/A,#N/A,FALSE,"Plan2"}</definedName>
    <definedName name="JSDTLFJDRG" localSheetId="9">{#N/A,#N/A,FALSE,"Plan1";#N/A,#N/A,FALSE,"Plan2"}</definedName>
    <definedName name="jsfjsjferwea" localSheetId="9">{#N/A,#N/A,FALSE,"Plan1";#N/A,#N/A,FALSE,"Plan2"}</definedName>
    <definedName name="jslrjer" localSheetId="9">{#N/A,#N/A,FALSE,"Plan1";#N/A,#N/A,FALSE,"Plan2"}</definedName>
    <definedName name="juklhkhdf" localSheetId="9">{#N/A,#N/A,FALSE,"Plan1";#N/A,#N/A,FALSE,"Plan2"}</definedName>
    <definedName name="jul17RJ" localSheetId="9">#REF!</definedName>
    <definedName name="JULHO" localSheetId="9">#REF!</definedName>
    <definedName name="JULHO2001" localSheetId="9">#REF!</definedName>
    <definedName name="JULHO99" localSheetId="9">{#N/A,#N/A,TRUE,"Quinzena 01 à 15-04-98 "}</definedName>
    <definedName name="jun17RJ" localSheetId="9">#REF!</definedName>
    <definedName name="JUNHO" localSheetId="9">#REF!</definedName>
    <definedName name="JUNHO2001" localSheetId="9">#REF!</definedName>
    <definedName name="JurosTpMes" localSheetId="9">#REF!</definedName>
    <definedName name="jwekljd" localSheetId="9">{#N/A,#N/A,FALSE,"Plan1";#N/A,#N/A,FALSE,"Plan2"}</definedName>
    <definedName name="JWEOITORU5Y" localSheetId="9">{#N/A,#N/A,FALSE,"Plan1";#N/A,#N/A,FALSE,"Plan2"}</definedName>
    <definedName name="jxdfjsrf" localSheetId="9">{#N/A,#N/A,FALSE,"Plan1";#N/A,#N/A,FALSE,"Plan2"}</definedName>
    <definedName name="jxdklfjv"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JY" localSheetId="9">#REF!</definedName>
    <definedName name="jzsdjkszl" localSheetId="9">{#N/A,#N/A,FALSE,"Plan1";#N/A,#N/A,FALSE,"Plan2"}</definedName>
    <definedName name="JZXFKLJLDJF" localSheetId="9">{#N/A,#N/A,FALSE,"Plan1";#N/A,#N/A,FALSE,"Plan2"}</definedName>
    <definedName name="jzxklfdlvgfg" localSheetId="9">{#N/A,#N/A,FALSE,"Plan1";#N/A,#N/A,FALSE,"Plan2"}</definedName>
    <definedName name="k" localSheetId="9">{#N/A,#N/A,FALSE,"Plan1";#N/A,#N/A,FALSE,"Plan2"}</definedName>
    <definedName name="K_1" localSheetId="9">#REF!</definedName>
    <definedName name="kaedkroswr" localSheetId="9">{"Econ Consolidado",#N/A,FALSE,"Econ Consol";"Fluxo de Caixa",#N/A,FALSE,"Fluxo Caixa";"Investimentos",#N/A,FALSE,"Investimentos"}</definedName>
    <definedName name="kapa" localSheetId="9">#REF!</definedName>
    <definedName name="kçdasekr" localSheetId="9">{#N/A,#N/A,FALSE,"Plan1";#N/A,#N/A,FALSE,"Plan2"}</definedName>
    <definedName name="kçfdljtredr" localSheetId="9">{#N/A,#N/A,FALSE,"Plan1";#N/A,#N/A,FALSE,"Plan2"}</definedName>
    <definedName name="KCIVIL" localSheetId="9">#REF!</definedName>
    <definedName name="kclçkglf" localSheetId="9">{#N/A,#N/A,FALSE,"Plan1";#N/A,#N/A,FALSE,"Plan2"}</definedName>
    <definedName name="kçlkasçkere" localSheetId="9">{#N/A,#N/A,FALSE,"Plan1";#N/A,#N/A,FALSE,"Plan2"}</definedName>
    <definedName name="kdfbngtjkbf" localSheetId="9">{#N/A,#N/A,FALSE,"Plan1";#N/A,#N/A,FALSE,"Plan2"}</definedName>
    <definedName name="kdfhkghkrh" localSheetId="9">{#N/A,#N/A,FALSE,"Plan1";#N/A,#N/A,FALSE,"Plan2"}</definedName>
    <definedName name="kdfiere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kdfkçrkf" localSheetId="9">{#N/A,#N/A,FALSE,"Plan1";#N/A,#N/A,FALSE,"Plan2"}</definedName>
    <definedName name="kdfljlfr" localSheetId="9">{#N/A,#N/A,FALSE,"Plan1";#N/A,#N/A,FALSE,"Plan2"}</definedName>
    <definedName name="kdhfgkdfhytgu" localSheetId="9">{#N/A,#N/A,FALSE,"Plan1";#N/A,#N/A,FALSE,"Plan2"}</definedName>
    <definedName name="kdhgftfg" localSheetId="9">{#N/A,#N/A,FALSE,"Plan1";#N/A,#N/A,FALSE,"Plan2"}</definedName>
    <definedName name="KDHKFGKKHGF" localSheetId="9">{#N/A,#N/A,FALSE,"Plan1";#N/A,#N/A,FALSE,"Plan2"}</definedName>
    <definedName name="kdjfdr" localSheetId="9">#REF!</definedName>
    <definedName name="kdjgkfjgd" localSheetId="9">{#N/A,#N/A,FALSE,"Plan1";#N/A,#N/A,FALSE,"Plan2"}</definedName>
    <definedName name="kdjglkdlgjd" localSheetId="9">{#N/A,#N/A,FALSE,"Plan1";#N/A,#N/A,FALSE,"Plan2"}</definedName>
    <definedName name="kdjsfkldjgkty" localSheetId="9">{#N/A,#N/A,FALSE,"Plan1";#N/A,#N/A,FALSE,"Plan2"}</definedName>
    <definedName name="KDJU" localSheetId="9">{"'장비'!$A$3:$M$12"}</definedName>
    <definedName name="kdkjhgdkfhjk" localSheetId="9">{#N/A,#N/A,FALSE,"Plan1";#N/A,#N/A,FALSE,"Plan2"}</definedName>
    <definedName name="kdsf" localSheetId="9">{#N/A,#N/A,FALSE,"Plan1";#N/A,#N/A,FALSE,"Plan2"}</definedName>
    <definedName name="kdsr" localSheetId="9">{#N/A,#N/A,FALSE,"Plan1";#N/A,#N/A,FALSE,"Plan2"}</definedName>
    <definedName name="kergtfdstr" localSheetId="9">{#N/A,#N/A,FALSE,"Plan1";#N/A,#N/A,FALSE,"Plan2"}</definedName>
    <definedName name="kesp" localSheetId="9">#REF!</definedName>
    <definedName name="KFDKTHGT" localSheetId="9">{#N/A,#N/A,FALSE,"Plan1";#N/A,#N/A,FALSE,"Plan2"}</definedName>
    <definedName name="kfdxlfdzs" localSheetId="9">{"Econ Consolidado",#N/A,FALSE,"Econ Consol";"Fluxo de Caixa",#N/A,FALSE,"Fluxo Caixa";"Investimentos",#N/A,FALSE,"Investimentos"}</definedName>
    <definedName name="kfgkhjkjhy" localSheetId="9">{#N/A,#N/A,FALSE,"Plan1";#N/A,#N/A,FALSE,"Plan2"}</definedName>
    <definedName name="KFJFDSDF" localSheetId="9">{#N/A,#N/A,FALSE,"Plan1";#N/A,#N/A,FALSE,"Plan2"}</definedName>
    <definedName name="kfnkeasd" localSheetId="9">{#N/A,#N/A,FALSE,"Plan1";#N/A,#N/A,FALSE,"Plan2"}</definedName>
    <definedName name="khdjkfkjhtg" localSheetId="9">{#N/A,#N/A,FALSE,"Plan1";#N/A,#N/A,FALSE,"Plan2"}</definedName>
    <definedName name="khdkfjhhfsdg" localSheetId="9">{#N/A,#N/A,FALSE,"Plan1";#N/A,#N/A,FALSE,"Plan2"}</definedName>
    <definedName name="khdkjfhgudytu" localSheetId="9">{#N/A,#N/A,FALSE,"Plan1";#N/A,#N/A,FALSE,"Plan2"}</definedName>
    <definedName name="khfdghhhgd" localSheetId="9">{#N/A,#N/A,FALSE,"Plan1";#N/A,#N/A,FALSE,"Plan2"}</definedName>
    <definedName name="khfdkjhsdjf" localSheetId="9">{#N/A,#N/A,FALSE,"Plan1";#N/A,#N/A,FALSE,"Plan2"}</definedName>
    <definedName name="khgdkftfy" localSheetId="9">{#N/A,#N/A,FALSE,"Plan1";#N/A,#N/A,FALSE,"Plan2"}</definedName>
    <definedName name="khgfhhtuhf" localSheetId="9">{#N/A,#N/A,FALSE,"Plan1";#N/A,#N/A,FALSE,"Plan2"}</definedName>
    <definedName name="khjkh"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KHJKLSDF" localSheetId="9">{#N/A,#N/A,FALSE,"Plan1";#N/A,#N/A,FALSE,"Plan2"}</definedName>
    <definedName name="kieret" localSheetId="9">{#N/A,#N/A,FALSE,"Plan1";#N/A,#N/A,FALSE,"Plan2"}</definedName>
    <definedName name="kiweokwr" localSheetId="9">#REF!</definedName>
    <definedName name="kjchkfhsezk" localSheetId="9">{#N/A,#N/A,FALSE,"Plan1";#N/A,#N/A,FALSE,"Plan2"}</definedName>
    <definedName name="kjdghksef" localSheetId="9">{#N/A,#N/A,FALSE,"Plan1";#N/A,#N/A,FALSE,"Plan2"}</definedName>
    <definedName name="kjdkftyhtert" localSheetId="9">{#N/A,#N/A,FALSE,"Plan1";#N/A,#N/A,FALSE,"Plan2"}</definedName>
    <definedName name="kjdlfkjds" localSheetId="9">{#N/A,#N/A,FALSE,"Plan1";#N/A,#N/A,FALSE,"Plan2"}</definedName>
    <definedName name="kjdzhfytrfy" localSheetId="9">{#N/A,#N/A,FALSE,"Plan1";#N/A,#N/A,FALSE,"Plan2"}</definedName>
    <definedName name="kjhdfgjthdft" localSheetId="9">{#N/A,#N/A,FALSE,"Plan1";#N/A,#N/A,FALSE,"Plan2"}</definedName>
    <definedName name="kjhsdfk"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kjhsiorf" localSheetId="9">{#N/A,#N/A,FALSE,"Plan1";#N/A,#N/A,FALSE,"Plan2"}</definedName>
    <definedName name="KJJ"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kjjwww" localSheetId="9">{#N/A,#N/A,FALSE,"Plan1";#N/A,#N/A,FALSE,"Plan2"}</definedName>
    <definedName name="kjl" localSheetId="9">{#N/A,#N/A,FALSE,"ENG'G(보호계전기)"}</definedName>
    <definedName name="KJOI" localSheetId="9">{#N/A,#N/A,FALSE,"Plan1";#N/A,#N/A,FALSE,"Plan2"}</definedName>
    <definedName name="kjqwerw" localSheetId="9">{#N/A,#N/A,FALSE,"Plan1";#N/A,#N/A,FALSE,"Plan2"}</definedName>
    <definedName name="kjsfert" localSheetId="9">{#N/A,#N/A,FALSE,"Plan1";#N/A,#N/A,FALSE,"Plan2"}</definedName>
    <definedName name="KJXCFKR" localSheetId="9">{#N/A,#N/A,FALSE,"Plan1";#N/A,#N/A,FALSE,"Plan2"}</definedName>
    <definedName name="KJXDFD" localSheetId="9">{#N/A,#N/A,FALSE,"Plan1";#N/A,#N/A,FALSE,"Plan2"}</definedName>
    <definedName name="kjydhfkjghkjfh" localSheetId="9">#REF!</definedName>
    <definedName name="kk" localSheetId="9">#REF!</definedName>
    <definedName name="kk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kkk" localSheetId="9">{#N/A,#N/A,FALSE,"Plan1";#N/A,#N/A,FALSE,"Plan2"}</definedName>
    <definedName name="kkkkk" localSheetId="9">{#N/A,#N/A,FALSE,"Plan1";#N/A,#N/A,FALSE,"Plan2"}</definedName>
    <definedName name="kkkkkk" localSheetId="9">{#N/A,#N/A,FALSE,"Plan1";#N/A,#N/A,FALSE,"Plan2"}</definedName>
    <definedName name="kko"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kksaklçer" localSheetId="9">{#N/A,#N/A,FALSE,"Plan1";#N/A,#N/A,FALSE,"Plan2"}</definedName>
    <definedName name="kksarde" localSheetId="9">{#N/A,#N/A,FALSE,"Plan1";#N/A,#N/A,FALSE,"Plan2"}</definedName>
    <definedName name="klaskldjsw" localSheetId="9">{#N/A,#N/A,FALSE,"Plan1";#N/A,#N/A,FALSE,"Plan2"}</definedName>
    <definedName name="klçkop" localSheetId="9">{#N/A,#N/A,FALSE,"Plan1";#N/A,#N/A,FALSE,"Plan2"}</definedName>
    <definedName name="KLDFNTRDT" localSheetId="9">{#N/A,#N/A,FALSE,"Plan1";#N/A,#N/A,FALSE,"Plan2"}</definedName>
    <definedName name="klhjsdklhdf" localSheetId="9">{#N/A,#N/A,FALSE,"Plan1";#N/A,#N/A,FALSE,"Plan2"}</definedName>
    <definedName name="KLHSKLRHWE" localSheetId="9">{#N/A,#N/A,FALSE,"Plan1";#N/A,#N/A,FALSE,"Plan2"}</definedName>
    <definedName name="KLJASKJD" localSheetId="9">{#N/A,#N/A,FALSE,"Plan1";#N/A,#N/A,FALSE,"Plan2"}</definedName>
    <definedName name="KLJDXLG"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kljeflwr" localSheetId="9">{#N/A,#N/A,FALSE,"Plan1";#N/A,#N/A,FALSE,"Plan2"}</definedName>
    <definedName name="kljflgjrf" localSheetId="9">{#N/A,#N/A,FALSE,"Plan1";#N/A,#N/A,FALSE,"Plan2"}</definedName>
    <definedName name="kljgfdfr" localSheetId="9">{#N/A,#N/A,FALSE,"Plan1";#N/A,#N/A,FALSE,"Plan2"}</definedName>
    <definedName name="kljgfjrt" localSheetId="9">{#N/A,#N/A,FALSE,"Plan1";#N/A,#N/A,FALSE,"Plan2"}</definedName>
    <definedName name="kljlkdfj" localSheetId="9">{#N/A,#N/A,FALSE,"Plan1";#N/A,#N/A,FALSE,"Plan2"}</definedName>
    <definedName name="kljsakjfr" localSheetId="9">{#N/A,#N/A,FALSE,"Plan1";#N/A,#N/A,FALSE,"Plan2"}</definedName>
    <definedName name="kljsdje" localSheetId="9">{#N/A,#N/A,FALSE,"Plan1";#N/A,#N/A,FALSE,"Plan2"}</definedName>
    <definedName name="kljsfwe" localSheetId="9">{#N/A,#N/A,FALSE,"Plan1";#N/A,#N/A,FALSE,"Plan2"}</definedName>
    <definedName name="klk" localSheetId="9">{#N/A,#N/A,FALSE,"Plan1";#N/A,#N/A,FALSE,"Plan2"}</definedName>
    <definedName name="KLKKLKÇJÇ" localSheetId="9">{#N/A,#N/A,FALSE,"Plan1";#N/A,#N/A,FALSE,"Plan2"}</definedName>
    <definedName name="KLSDFT" localSheetId="9">{#N/A,#N/A,FALSE,"Plan1";#N/A,#N/A,FALSE,"Plan2"}</definedName>
    <definedName name="KLSDHSJKHF" localSheetId="9">{#N/A,#N/A,FALSE,"Plan1";#N/A,#N/A,FALSE,"Plan2"}</definedName>
    <definedName name="klsdkre" localSheetId="9">{#N/A,#N/A,FALSE,"Plan1";#N/A,#N/A,FALSE,"Plan2"}</definedName>
    <definedName name="KLSIDJE" localSheetId="9">{#N/A,#N/A,FALSE,"Plan1";#N/A,#N/A,FALSE,"Plan2"}</definedName>
    <definedName name="klsjarsf" localSheetId="9">{#N/A,#N/A,FALSE,"Plan1";#N/A,#N/A,FALSE,"Plan2"}</definedName>
    <definedName name="klsjdwe" localSheetId="9">#REF!</definedName>
    <definedName name="klxhjfdkhser" localSheetId="9">{#N/A,#N/A,FALSE,"Plan1";#N/A,#N/A,FALSE,"Plan2"}</definedName>
    <definedName name="kopipnsdfne" localSheetId="9">{#N/A,#N/A,FALSE,"Plan1";#N/A,#N/A,FALSE,"Plan2"}</definedName>
    <definedName name="kp"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KSDLÇKSÇ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KSDLDF" localSheetId="9">{#N/A,#N/A,FALSE,"Plan1";#N/A,#N/A,FALSE,"Plan2"}</definedName>
    <definedName name="ksdlkfsçzd" localSheetId="9">{#N/A,#N/A,FALSE,"Plan1";#N/A,#N/A,FALSE,"Plan2"}</definedName>
    <definedName name="KSDNFK" localSheetId="9">#REF!</definedName>
    <definedName name="ksdoçierfe" localSheetId="9">{#N/A,#N/A,FALSE,"Plan1";#N/A,#N/A,FALSE,"Plan2"}</definedName>
    <definedName name="ksdtrdrkf" localSheetId="9">{#N/A,#N/A,FALSE,"Plan1";#N/A,#N/A,FALSE,"Plan2"}</definedName>
    <definedName name="KSFÇJDFJL" localSheetId="9">{#N/A,#N/A,FALSE,"Plan1";#N/A,#N/A,FALSE,"Plan2"}</definedName>
    <definedName name="ksfhse" localSheetId="9">{#N/A,#N/A,FALSE,"Plan1";#N/A,#N/A,FALSE,"Plan2"}</definedName>
    <definedName name="KSRKOE" localSheetId="9">{#N/A,#N/A,FALSE,"Plan1";#N/A,#N/A,FALSE,"Plan2"}</definedName>
    <definedName name="KSWKE" localSheetId="9">{#N/A,#N/A,FALSE,"Plan1";#N/A,#N/A,FALSE,"Plan2"}</definedName>
    <definedName name="kubus" localSheetId="9">#REF!</definedName>
    <definedName name="kubus1" localSheetId="9">#REF!</definedName>
    <definedName name="kysdusf" localSheetId="9">{#N/A,#N/A,FALSE,"Plan1";#N/A,#N/A,FALSE,"Plan2"}</definedName>
    <definedName name="kzslçdkçle" localSheetId="9">{#N/A,#N/A,FALSE,"Plan1";#N/A,#N/A,FALSE,"Plan2"}</definedName>
    <definedName name="L_" localSheetId="9">#REF!</definedName>
    <definedName name="LAEKWRK" localSheetId="9">{#N/A,#N/A,FALSE,"Plan1";#N/A,#N/A,FALSE,"Plan2"}</definedName>
    <definedName name="laeqwep" localSheetId="9">#REF!</definedName>
    <definedName name="LAKDEWRF" localSheetId="9">{#N/A,#N/A,FALSE,"Plan1";#N/A,#N/A,FALSE,"Plan2"}</definedName>
    <definedName name="Lancamentos" localSheetId="9">#REF!</definedName>
    <definedName name="LARGURA" localSheetId="9">#REF!</definedName>
    <definedName name="LASÇDSRLF" localSheetId="9">{#N/A,#N/A,FALSE,"Plan1";#N/A,#N/A,FALSE,"Plan2"}</definedName>
    <definedName name="lasrlswer" localSheetId="9">{#N/A,#N/A,FALSE,"Plan1";#N/A,#N/A,FALSE,"Plan2"}</definedName>
    <definedName name="LAZER" localSheetId="9">#REF!</definedName>
    <definedName name="lbla1" localSheetId="9">#REF!</definedName>
    <definedName name="lbla10" localSheetId="9">#REF!</definedName>
    <definedName name="lbla11" localSheetId="9">#REF!</definedName>
    <definedName name="lçadple4r" localSheetId="9">{#N/A,#N/A,FALSE,"Plan1";#N/A,#N/A,FALSE,"Plan2"}</definedName>
    <definedName name="lçasser" localSheetId="9">{#N/A,#N/A,FALSE,"Plan1";#N/A,#N/A,FALSE,"Plan2"}</definedName>
    <definedName name="lcdgjtklfrn" localSheetId="9">{#N/A,#N/A,FALSE,"Plan1";#N/A,#N/A,FALSE,"Plan2"}</definedName>
    <definedName name="lçfklsdkçaer" localSheetId="9">{#N/A,#N/A,FALSE,"Plan1";#N/A,#N/A,FALSE,"Plan2"}</definedName>
    <definedName name="lçjkgf" localSheetId="9">{#N/A,#N/A,FALSE,"Plan1";#N/A,#N/A,FALSE,"Plan2"}</definedName>
    <definedName name="LÇJSLDFJ" localSheetId="9">{#N/A,#N/A,FALSE,"Plan1";#N/A,#N/A,FALSE,"Plan2"}</definedName>
    <definedName name="LÇKÇSDRLK" localSheetId="9">{#N/A,#N/A,FALSE,"Plan1";#N/A,#N/A,FALSE,"Plan2"}</definedName>
    <definedName name="lçkl"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lçl"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lçlfklçdglfdgt" localSheetId="9">{#N/A,#N/A,FALSE,"Plan1";#N/A,#N/A,FALSE,"Plan2"}</definedName>
    <definedName name="lçslrr4r" localSheetId="9">{#N/A,#N/A,FALSE,"Plan1";#N/A,#N/A,FALSE,"Plan2"}</definedName>
    <definedName name="ldfjgry" localSheetId="9">{#N/A,#N/A,FALSE,"Plan1";#N/A,#N/A,FALSE,"Plan2"}</definedName>
    <definedName name="ldfjgtilrf" localSheetId="9">{#N/A,#N/A,FALSE,"Plan1";#N/A,#N/A,FALSE,"Plan2"}</definedName>
    <definedName name="ldk" localSheetId="9">{#N/A,#N/A,FALSE,"Plan1";#N/A,#N/A,FALSE,"Plan2"}</definedName>
    <definedName name="ldkgkdfjgkh" localSheetId="9">{#N/A,#N/A,FALSE,"Plan1";#N/A,#N/A,FALSE,"Plan2"}</definedName>
    <definedName name="LDTJGR" localSheetId="9">{#N/A,#N/A,FALSE,"Plan1";#N/A,#N/A,FALSE,"Plan2"}</definedName>
    <definedName name="Leg" localSheetId="9">#REF!</definedName>
    <definedName name="legr_cdi" localSheetId="9">#REF!</definedName>
    <definedName name="legr_hist" localSheetId="9">#REF!</definedName>
    <definedName name="legr_uss" localSheetId="9">#REF!</definedName>
    <definedName name="LEKG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LEVANTAMENTO" localSheetId="9">#REF!</definedName>
    <definedName name="lfjdjrt" localSheetId="9">{#N/A,#N/A,FALSE,"Plan1";#N/A,#N/A,FALSE,"Plan2"}</definedName>
    <definedName name="LI" localSheetId="9">#REF!</definedName>
    <definedName name="LIDER_OPER" localSheetId="9">#REF!</definedName>
    <definedName name="lidfjgklruf" localSheetId="9">{#N/A,#N/A,FALSE,"Plan1";#N/A,#N/A,FALSE,"Plan2"}</definedName>
    <definedName name="LII" localSheetId="9">#REF!</definedName>
    <definedName name="LIII" localSheetId="9">#REF!</definedName>
    <definedName name="LIMBO" localSheetId="9">#REF!</definedName>
    <definedName name="LIN" localSheetId="9">#REF!</definedName>
    <definedName name="list"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A" localSheetId="9">#REF!</definedName>
    <definedName name="LISTA_CONTAS" localSheetId="9">#REF!</definedName>
    <definedName name="lista_empresa" localSheetId="9">OFFSET(INDEX(#REF!,MATCH(#REF!,#REF!,0)),1,0,COUNTA(#REF!)-1)</definedName>
    <definedName name="LISTA_FORNECEDORES" localSheetId="9">#REF!</definedName>
    <definedName name="LISTSEL" localSheetId="9">#REF!</definedName>
    <definedName name="listt"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V" localSheetId="9">#REF!</definedName>
    <definedName name="LIX" localSheetId="9">#REF!</definedName>
    <definedName name="ljdfkgyt" localSheetId="9">{#N/A,#N/A,FALSE,"Plan1";#N/A,#N/A,FALSE,"Plan2"}</definedName>
    <definedName name="LJDFLJRL" localSheetId="9">{#N/A,#N/A,FALSE,"Plan1";#N/A,#N/A,FALSE,"Plan2"}</definedName>
    <definedName name="ljsdfrd" localSheetId="9">{#N/A,#N/A,FALSE,"Plan1";#N/A,#N/A,FALSE,"Plan2"}</definedName>
    <definedName name="LJSFLDJDLKFJG" localSheetId="9">#REF!</definedName>
    <definedName name="LK" localSheetId="9">{#N/A,#N/A,TRUE,"Quinzena 01 à 15-04-98 "}</definedName>
    <definedName name="lkasdkeo" localSheetId="9">{#N/A,#N/A,FALSE,"Plan1";#N/A,#N/A,FALSE,"Plan2"}</definedName>
    <definedName name="lkdeas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lkdzxfsdrf" localSheetId="9">{#N/A,#N/A,FALSE,"Plan1";#N/A,#N/A,FALSE,"Plan2"}</definedName>
    <definedName name="lkfdkçtktr" localSheetId="9">{#N/A,#N/A,FALSE,"Plan1";#N/A,#N/A,FALSE,"Plan2"}</definedName>
    <definedName name="lkt" localSheetId="9">{#N/A,#N/A,FALSE,"Plan1";#N/A,#N/A,FALSE,"Plan2"}</definedName>
    <definedName name="lktlyklt" localSheetId="9">{#N/A,#N/A,FALSE,"Plan1";#N/A,#N/A,FALSE,"Plan2"}</definedName>
    <definedName name="LKTTYT" localSheetId="9">{#N/A,#N/A,FALSE,"Plan1";#N/A,#N/A,FALSE,"Plan2"}</definedName>
    <definedName name="llgg" localSheetId="9">{#N/A,#N/A,FALSE,"Plan1";#N/A,#N/A,FALSE,"Plan2"}</definedName>
    <definedName name="LLL" localSheetId="9">{#N/A,#N/A,FALSE,"Plan1";#N/A,#N/A,FALSE,"Plan2"}</definedName>
    <definedName name="LM_AR" localSheetId="9">{#N/A,#N/A,FALSE,"F-01"}</definedName>
    <definedName name="LM_AT" localSheetId="9">{#N/A,#N/A,FALSE,"F-01"}</definedName>
    <definedName name="LM_INC" localSheetId="9">{#N/A,#N/A,FALSE,"F-01"}</definedName>
    <definedName name="LMPASD"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LO"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LOCALMENU" localSheetId="9">#REF!</definedName>
    <definedName name="LOCALOBRA" localSheetId="9">#REF!</definedName>
    <definedName name="LS" localSheetId="9">#REF!</definedName>
    <definedName name="LSDFKLDKFTR" localSheetId="9">{#N/A,#N/A,FALSE,"Plan1";#N/A,#N/A,FALSE,"Plan2"}</definedName>
    <definedName name="lsdjse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lsdkljfkg" localSheetId="9">{#N/A,#N/A,FALSE,"Plan1";#N/A,#N/A,FALSE,"Plan2"}</definedName>
    <definedName name="lsdsder" localSheetId="9">{#N/A,#N/A,FALSE,"Plan1";#N/A,#N/A,FALSE,"Plan2"}</definedName>
    <definedName name="ltj6ljyhdjhngças" localSheetId="9">{#N/A,#N/A,FALSE,"Plan1";#N/A,#N/A,FALSE,"Plan2"}</definedName>
    <definedName name="LUCRO" localSheetId="9">#REF!</definedName>
    <definedName name="luis_cdi" localSheetId="9">#REF!</definedName>
    <definedName name="luis_hist" localSheetId="9">#REF!</definedName>
    <definedName name="luis_uss" localSheetId="9">#REF!</definedName>
    <definedName name="LV" localSheetId="9">#REF!</definedName>
    <definedName name="LVI" localSheetId="9">#REF!</definedName>
    <definedName name="LVII" localSheetId="9">#REF!</definedName>
    <definedName name="LVIII" localSheetId="9">#REF!</definedName>
    <definedName name="LXX" localSheetId="9">#REF!</definedName>
    <definedName name="LXXI" localSheetId="9">#REF!</definedName>
    <definedName name="LXXII" localSheetId="9">#REF!</definedName>
    <definedName name="LXXIII" localSheetId="9">#REF!</definedName>
    <definedName name="LXXIV" localSheetId="9">#REF!</definedName>
    <definedName name="LXXIX" localSheetId="9">#REF!</definedName>
    <definedName name="LXXV" localSheetId="9">#REF!</definedName>
    <definedName name="LXXVI" localSheetId="9">#REF!</definedName>
    <definedName name="LXXVII" localSheetId="9">#REF!</definedName>
    <definedName name="LXXVIII" localSheetId="9">#REF!</definedName>
    <definedName name="LXXX" localSheetId="9">#REF!</definedName>
    <definedName name="LXXXI" localSheetId="9">#REF!</definedName>
    <definedName name="LXXXII" localSheetId="9">#REF!</definedName>
    <definedName name="LXXXIII" localSheetId="9">#REF!</definedName>
    <definedName name="LXXXIV" localSheetId="9">#REF!</definedName>
    <definedName name="LXXXV" localSheetId="9">#REF!</definedName>
    <definedName name="m"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MADRI" localSheetId="9">#REF!</definedName>
    <definedName name="mai17RJ" localSheetId="9">#REF!</definedName>
    <definedName name="MAIO" localSheetId="9">#REF!</definedName>
    <definedName name="MAIO2001" localSheetId="9">#REF!</definedName>
    <definedName name="MAISAP" localSheetId="9">{#N/A,#N/A,FALSE,"Plan1";#N/A,#N/A,FALSE,"Plan2"}</definedName>
    <definedName name="MANTO" localSheetId="9">{#N/A,#N/A,FALSE,"GERAL";#N/A,#N/A,FALSE,"012-96";#N/A,#N/A,FALSE,"018-96";#N/A,#N/A,FALSE,"027-96";#N/A,#N/A,FALSE,"059-96";#N/A,#N/A,FALSE,"076-96";#N/A,#N/A,FALSE,"019-97";#N/A,#N/A,FALSE,"021-97";#N/A,#N/A,FALSE,"022-97";#N/A,#N/A,FALSE,"028-97"}</definedName>
    <definedName name="MAO_DE_OBRA" localSheetId="9">#REF!</definedName>
    <definedName name="mar17RJ" localSheetId="9">#REF!</definedName>
    <definedName name="MARCAX" localSheetId="9">#REF!</definedName>
    <definedName name="MARÇO" localSheetId="9">#REF!</definedName>
    <definedName name="MARÇO2001" localSheetId="9">#REF!</definedName>
    <definedName name="martha" localSheetId="9">#REF!</definedName>
    <definedName name="MASTER" localSheetId="9">{#N/A,#N/A,FALSE,"GERAL";#N/A,#N/A,FALSE,"012-96";#N/A,#N/A,FALSE,"018-96";#N/A,#N/A,FALSE,"027-96";#N/A,#N/A,FALSE,"059-96";#N/A,#N/A,FALSE,"076-96";#N/A,#N/A,FALSE,"019-97";#N/A,#N/A,FALSE,"021-97";#N/A,#N/A,FALSE,"022-97";#N/A,#N/A,FALSE,"028-97"}</definedName>
    <definedName name="MATERIAL" localSheetId="9">#REF!</definedName>
    <definedName name="mattubcust" localSheetId="9">{#N/A,#N/A,FALSE,"GERAL";#N/A,#N/A,FALSE,"012-96";#N/A,#N/A,FALSE,"018-96";#N/A,#N/A,FALSE,"027-96";#N/A,#N/A,FALSE,"059-96";#N/A,#N/A,FALSE,"076-96";#N/A,#N/A,FALSE,"019-97";#N/A,#N/A,FALSE,"021-97";#N/A,#N/A,FALSE,"022-97";#N/A,#N/A,FALSE,"028-97"}</definedName>
    <definedName name="MAURILIO" localSheetId="9">{#N/A,#N/A,FALSE,"Plan1";#N/A,#N/A,FALSE,"Plan2"}</definedName>
    <definedName name="MC" localSheetId="9">{#N/A,#N/A,FALSE,"GERAL";#N/A,#N/A,FALSE,"012-96";#N/A,#N/A,FALSE,"018-96";#N/A,#N/A,FALSE,"027-96";#N/A,#N/A,FALSE,"059-96";#N/A,#N/A,FALSE,"076-96";#N/A,#N/A,FALSE,"019-97";#N/A,#N/A,FALSE,"021-97";#N/A,#N/A,FALSE,"022-97";#N/A,#N/A,FALSE,"028-97"}</definedName>
    <definedName name="MCM" localSheetId="9">{#N/A,#N/A,FALSE,"GERAL";#N/A,#N/A,FALSE,"012-96";#N/A,#N/A,FALSE,"018-96";#N/A,#N/A,FALSE,"027-96";#N/A,#N/A,FALSE,"059-96";#N/A,#N/A,FALSE,"076-96";#N/A,#N/A,FALSE,"019-97";#N/A,#N/A,FALSE,"021-97";#N/A,#N/A,FALSE,"022-97";#N/A,#N/A,FALSE,"028-97"}</definedName>
    <definedName name="MCMV" localSheetId="9">#REF!</definedName>
    <definedName name="mdfgtr" localSheetId="9">{#N/A,#N/A,FALSE,"Plan1";#N/A,#N/A,FALSE,"Plan2"}</definedName>
    <definedName name="MDSÇLFJKJSD" localSheetId="9">{#N/A,#N/A,FALSE,"Plan1";#N/A,#N/A,FALSE,"Plan2"}</definedName>
    <definedName name="ME" localSheetId="9">{"HW",#N/A,FALSE,"1998"}</definedName>
    <definedName name="Medido_Fin_Medições" localSheetId="9">#REF!</definedName>
    <definedName name="melo_cdi" localSheetId="9">#REF!</definedName>
    <definedName name="melo_hist" localSheetId="9">#REF!</definedName>
    <definedName name="melo_uss" localSheetId="9">#REF!</definedName>
    <definedName name="MEMÓRIA" localSheetId="9">#REF!</definedName>
    <definedName name="memória2" localSheetId="9">#REF!</definedName>
    <definedName name="mensal" localSheetId="9">#REF!</definedName>
    <definedName name="MENU" localSheetId="9">#REF!</definedName>
    <definedName name="MENU1" localSheetId="9">#REF!</definedName>
    <definedName name="MENU2" localSheetId="9">#REF!</definedName>
    <definedName name="MENU3" localSheetId="9">#REF!</definedName>
    <definedName name="MENU4" localSheetId="9">#REF!</definedName>
    <definedName name="MENU5" localSheetId="9">#REF!</definedName>
    <definedName name="MENU6" localSheetId="9">#REF!</definedName>
    <definedName name="MENUBOM" localSheetId="9">#REF!</definedName>
    <definedName name="MENUEQP" localSheetId="9">#REF!</definedName>
    <definedName name="MENUFIM" localSheetId="9">#REF!</definedName>
    <definedName name="MENUMED" localSheetId="9">#REF!</definedName>
    <definedName name="MENUOBRA" localSheetId="9">#REF!</definedName>
    <definedName name="MENUOUT" localSheetId="9">#REF!</definedName>
    <definedName name="MENUOUTRO" localSheetId="9">#REF!</definedName>
    <definedName name="menures" localSheetId="9">#REF!</definedName>
    <definedName name="Mês_data_base" localSheetId="9">#REF!</definedName>
    <definedName name="Mês_Medição_Fin_Medições" localSheetId="9">#REF!</definedName>
    <definedName name="mes_relatorio" localSheetId="9">#REF!</definedName>
    <definedName name="Meses" localSheetId="9">#REF!</definedName>
    <definedName name="MESTRE" localSheetId="9">{#N/A,#N/A,FALSE,"GERAL";#N/A,#N/A,FALSE,"012-96";#N/A,#N/A,FALSE,"018-96";#N/A,#N/A,FALSE,"027-96";#N/A,#N/A,FALSE,"059-96";#N/A,#N/A,FALSE,"076-96";#N/A,#N/A,FALSE,"019-97";#N/A,#N/A,FALSE,"021-97";#N/A,#N/A,FALSE,"022-97";#N/A,#N/A,FALSE,"028-97"}</definedName>
    <definedName name="meta_venda" localSheetId="9">#REF!</definedName>
    <definedName name="MetaBP" localSheetId="9">#REF!</definedName>
    <definedName name="Minha_Casa_Minha_Vida" localSheetId="9">#REF!</definedName>
    <definedName name="MLMÇLKJKI" localSheetId="9">{#N/A,#N/A,FALSE,"Plan1";#N/A,#N/A,FALSE,"Plan2"}</definedName>
    <definedName name="MM"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mmmmm" localSheetId="9">{"tabela",#N/A,FALSE,"Tabela";"decoração",#N/A,FALSE,"Decor.";"Informações",#N/A,FALSE,"Inform."}</definedName>
    <definedName name="mmmmmmm"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MNBXFKGS" localSheetId="9">{#N/A,#N/A,FALSE,"Plan1";#N/A,#N/A,FALSE,"Plan2"}</definedName>
    <definedName name="mncvbgcvmc" localSheetId="9">{#N/A,#N/A,FALSE,"Plan1";#N/A,#N/A,FALSE,"Plan2"}</definedName>
    <definedName name="MNDKZSFNCEA" localSheetId="9">{#N/A,#N/A,FALSE,"Plan1";#N/A,#N/A,FALSE,"Plan2"}</definedName>
    <definedName name="mnhdshfgfhd" localSheetId="9">{#N/A,#N/A,FALSE,"Plan1";#N/A,#N/A,FALSE,"Plan2"}</definedName>
    <definedName name="mo" localSheetId="9">#REF!</definedName>
    <definedName name="mobra" localSheetId="9">{#N/A,#N/A,FALSE,"GERAL";#N/A,#N/A,FALSE,"012-96";#N/A,#N/A,FALSE,"018-96";#N/A,#N/A,FALSE,"027-96";#N/A,#N/A,FALSE,"059-96";#N/A,#N/A,FALSE,"076-96";#N/A,#N/A,FALSE,"019-97";#N/A,#N/A,FALSE,"021-97";#N/A,#N/A,FALSE,"022-97";#N/A,#N/A,FALSE,"028-97"}</definedName>
    <definedName name="Modelo1" localSheetId="9">{#N/A,#N/A,FALSE,"cdi";#N/A,#N/A,FALSE,"debent";#N/A,#N/A,FALSE,"fdos";#N/A,#N/A,FALSE,"resumo"}</definedName>
    <definedName name="Modelo1a" localSheetId="9">{#N/A,#N/A,FALSE,"cdi";#N/A,#N/A,FALSE,"debent";#N/A,#N/A,FALSE,"fdos";#N/A,#N/A,FALSE,"resumo"}</definedName>
    <definedName name="Modelo2" localSheetId="9">{#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módulo" localSheetId="9">#REF!</definedName>
    <definedName name="mond_cdi" localSheetId="9">#REF!</definedName>
    <definedName name="mond_hist" localSheetId="9">#REF!</definedName>
    <definedName name="mond_uss" localSheetId="9">#REF!</definedName>
    <definedName name="MP" localSheetId="9">{#N/A,#N/A,FALSE,"CCTV"}</definedName>
    <definedName name="MSDRFSWER" localSheetId="9">{"Econ Consolidado",#N/A,FALSE,"Econ Consol";"Fluxo de Caixa",#N/A,FALSE,"Fluxo Caixa";"Investimentos",#N/A,FALSE,"Investimentos"}</definedName>
    <definedName name="MURBOMB" localSheetId="9">#REF!</definedName>
    <definedName name="mzshdjshjs" localSheetId="9">{#N/A,#N/A,FALSE,"Plan1";#N/A,#N/A,FALSE,"Plan2"}</definedName>
    <definedName name="na" localSheetId="9">{#N/A,#N/A,FALSE,"$170M Cash";#N/A,#N/A,FALSE,"$250M Cash";#N/A,#N/A,FALSE,"$325M Cash"}</definedName>
    <definedName name="ncdgrdhrtg" localSheetId="9">{#N/A,#N/A,FALSE,"Plan1";#N/A,#N/A,FALSE,"Plan2"}</definedName>
    <definedName name="nchngdfhgdh" localSheetId="9">{#N/A,#N/A,FALSE,"Plan1";#N/A,#N/A,FALSE,"Plan2"}</definedName>
    <definedName name="NCJFKNGJHF" localSheetId="9">{#N/A,#N/A,FALSE,"Plan1";#N/A,#N/A,FALSE,"Plan2"}</definedName>
    <definedName name="NDATA" localSheetId="9">#REF!</definedName>
    <definedName name="ndcxhgdhf" localSheetId="9">{#N/A,#N/A,FALSE,"Plan1";#N/A,#N/A,FALSE,"Plan2"}</definedName>
    <definedName name="ndfjnjkrhdgt" localSheetId="9">{#N/A,#N/A,FALSE,"Plan1";#N/A,#N/A,FALSE,"Plan2"}</definedName>
    <definedName name="ndfkghkjthfyst" localSheetId="9">{#N/A,#N/A,FALSE,"Plan1";#N/A,#N/A,FALSE,"Plan2"}</definedName>
    <definedName name="ndfldslvjnvberugberqubquierbv" localSheetId="9">#REF!</definedName>
    <definedName name="NDJGKFKGHUFG" localSheetId="9">{#N/A,#N/A,FALSE,"Plan1";#N/A,#N/A,FALSE,"Plan2"}</definedName>
    <definedName name="ndrjkt" localSheetId="9">{#N/A,#N/A,FALSE,"Plan1";#N/A,#N/A,FALSE,"Plan2"}</definedName>
    <definedName name="new" localSheetId="9">{#N/A,#N/A,FALSE,"Global by BU";#N/A,#N/A,FALSE,"U.S. by BU";#N/A,#N/A,FALSE,"Canada by BU";#N/A,#N/A,FALSE,"Europe by BU";#N/A,#N/A,FALSE,"Asia by BU";#N/A,#N/A,FALSE,"Cala by BU"}</definedName>
    <definedName name="NEWNAME" localSheetId="9">{#N/A,#N/A,FALSE,"CCTV"}</definedName>
    <definedName name="nfgjkhvhfghn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nfkhdjkthde" localSheetId="9">{#N/A,#N/A,FALSE,"Plan1";#N/A,#N/A,FALSE,"Plan2"}</definedName>
    <definedName name="nhj"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NHJHFDSHF" localSheetId="9">{#N/A,#N/A,FALSE,"Plan1";#N/A,#N/A,FALSE,"Plan2"}</definedName>
    <definedName name="NJSDFHERTG" localSheetId="9">{#N/A,#N/A,FALSE,"Plan1";#N/A,#N/A,FALSE,"Plan2"}</definedName>
    <definedName name="nkfnsskdn" localSheetId="9">{#N/A,#N/A,FALSE,"Plan1";#N/A,#N/A,FALSE,"Plan2"}</definedName>
    <definedName name="NKJL"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nl" localSheetId="9">#REF!</definedName>
    <definedName name="nlaksjdwe" localSheetId="9">{#N/A,#N/A,FALSE,"Plan1";#N/A,#N/A,FALSE,"Plan2"}</definedName>
    <definedName name="nljsdfljfdsfr" localSheetId="9">{#N/A,#N/A,FALSE,"Plan1";#N/A,#N/A,FALSE,"Plan2"}</definedName>
    <definedName name="nm_k1" localSheetId="9">#REF!</definedName>
    <definedName name="nm_k2" localSheetId="9">#REF!</definedName>
    <definedName name="nm_k3" localSheetId="9">#REF!</definedName>
    <definedName name="nmjdfhxj" localSheetId="9">{#N/A,#N/A,FALSE,"Plan1";#N/A,#N/A,FALSE,"Plan2"}</definedName>
    <definedName name="nnmn" localSheetId="9">{#N/A,#N/A,FALSE,"Plan1";#N/A,#N/A,FALSE,"Plan2"}</definedName>
    <definedName name="nnn" localSheetId="9">{#N/A,#N/A,FALSE,"Plan1";#N/A,#N/A,FALSE,"Plan2"}</definedName>
    <definedName name="nnnnnnnnnnn" localSheetId="9">{"HW",#N/A,FALSE,"1998"}</definedName>
    <definedName name="NNNNNNNNNNNNNNN" localSheetId="9">{#N/A,#N/A,FALSE,"Plan1";#N/A,#N/A,FALSE,"Plan2"}</definedName>
    <definedName name="nnnnnnnnnnnnnnnnnnnn" localSheetId="9">{#N/A,#N/A,FALSE,"Plan1";#N/A,#N/A,FALSE,"Plan2"}</definedName>
    <definedName name="NNXFT" localSheetId="9">{#N/A,#N/A,FALSE,"Plan1";#N/A,#N/A,FALSE,"Plan2"}</definedName>
    <definedName name="no" localSheetId="9">#REF!</definedName>
    <definedName name="NOME" localSheetId="9">#REF!</definedName>
    <definedName name="nome2" localSheetId="9">#REF!</definedName>
    <definedName name="NOMEITEM" localSheetId="9">#REF!</definedName>
    <definedName name="NOMEOBRA" localSheetId="9">#REF!</definedName>
    <definedName name="nov17RJ" localSheetId="9">#REF!</definedName>
    <definedName name="NOVE" localSheetId="9">#REF!</definedName>
    <definedName name="NOVEMBRO" localSheetId="9">#REF!</definedName>
    <definedName name="nsdkfndgfdnatf" localSheetId="9">{#N/A,#N/A,FALSE,"Plan1";#N/A,#N/A,FALSE,"Plan2"}</definedName>
    <definedName name="nsfljdiljrf" localSheetId="9">{#N/A,#N/A,FALSE,"Plan1";#N/A,#N/A,FALSE,"Plan2"}</definedName>
    <definedName name="NUCOPIAS" localSheetId="9">#REF!</definedName>
    <definedName name="NUMOBRA" localSheetId="9">#REF!</definedName>
    <definedName name="NutN" localSheetId="9">#REF!</definedName>
    <definedName name="nzxcnnjkd" localSheetId="9">{#N/A,#N/A,FALSE,"Plan1";#N/A,#N/A,FALSE,"Plan2"}</definedName>
    <definedName name="OAE" localSheetId="9">#REF!</definedName>
    <definedName name="OBRA" localSheetId="9">#REF!</definedName>
    <definedName name="Obra_Fin_Medição" localSheetId="9">#REF!</definedName>
    <definedName name="OBRA_PROJETADO" localSheetId="9">#REF!</definedName>
    <definedName name="Obra_Rel_Controladoria" localSheetId="9">#REF!</definedName>
    <definedName name="Obra_Sienge" localSheetId="9">#REF!</definedName>
    <definedName name="Obra2_Fin_Medição" localSheetId="9">#REF!</definedName>
    <definedName name="OBRALOC" localSheetId="9">#REF!</definedName>
    <definedName name="OBRAS" localSheetId="9">#REF!</definedName>
    <definedName name="Obras_Apoio_Rel_Controladoria" localSheetId="9">#REF!</definedName>
    <definedName name="OBRAS_REALIZADO" localSheetId="9">#REF!</definedName>
    <definedName name="OBRASEL" localSheetId="9">#REF!</definedName>
    <definedName name="odfuudor" localSheetId="9">{#N/A,#N/A,FALSE,"Plan1";#N/A,#N/A,FALSE,"Plan2"}</definedName>
    <definedName name="ODH" localSheetId="9">#REF!</definedName>
    <definedName name="oficial_mes" localSheetId="9">#REF!</definedName>
    <definedName name="oficial2_mes" localSheetId="9">#REF!</definedName>
    <definedName name="oiditrot" localSheetId="9">{#N/A,#N/A,FALSE,"Plan1";#N/A,#N/A,FALSE,"Plan2"}</definedName>
    <definedName name="oio" localSheetId="9">{#N/A,#N/A,FALSE,"Plan1";#N/A,#N/A,FALSE,"Plan2"}</definedName>
    <definedName name="OITO" localSheetId="9">#REF!</definedName>
    <definedName name="OJÇLJ" localSheetId="9">{#N/A,#N/A,FALSE,"Plan1";#N/A,#N/A,FALSE,"Plan2"}</definedName>
    <definedName name="ojkdfit" localSheetId="9">{#N/A,#N/A,FALSE,"Plan1";#N/A,#N/A,FALSE,"Plan2"}</definedName>
    <definedName name="ONZE" localSheetId="9">#REF!</definedName>
    <definedName name="ooo" localSheetId="9">{#N/A,#N/A,FALSE,"Plan1";#N/A,#N/A,FALSE,"Plan2"}</definedName>
    <definedName name="OPASEDWED" localSheetId="9">{"Econ Consolidado",#N/A,FALSE,"Econ Consol";"Fluxo de Caixa",#N/A,FALSE,"Fluxo Caixa";"Investimentos",#N/A,FALSE,"Investimentos"}</definedName>
    <definedName name="opcao_taxa_desconto" localSheetId="9">#REF!</definedName>
    <definedName name="opções" localSheetId="9">#REF!</definedName>
    <definedName name="opiwre" localSheetId="9">{#N/A,#N/A,FALSE,"Plan1";#N/A,#N/A,FALSE,"Plan2"}</definedName>
    <definedName name="ORCAMEN" localSheetId="9">#REF!</definedName>
    <definedName name="Orcamentistas" localSheetId="9">#REF!</definedName>
    <definedName name="origem_recebiveis" localSheetId="9">#REF!</definedName>
    <definedName name="origem_unidades" localSheetId="9">#REF!</definedName>
    <definedName name="Origem2_Recebimento_Fin_Medições" localSheetId="9">#REF!</definedName>
    <definedName name="os" localSheetId="9">{#N/A,#N/A,FALSE,"TABLE"}</definedName>
    <definedName name="osca_cdi" localSheetId="9">#REF!</definedName>
    <definedName name="osca_hist" localSheetId="9">#REF!</definedName>
    <definedName name="osca_uss" localSheetId="9">#REF!</definedName>
    <definedName name="otodgkrjglsrd" localSheetId="9">{#N/A,#N/A,FALSE,"Plan1";#N/A,#N/A,FALSE,"Plan2"}</definedName>
    <definedName name="OUERWRSR" localSheetId="9">{#N/A,#N/A,FALSE,"Plan1";#N/A,#N/A,FALSE,"Plan2"}</definedName>
    <definedName name="out17RJ" localSheetId="9">#REF!</definedName>
    <definedName name="outro" localSheetId="9">#REF!</definedName>
    <definedName name="OUTROS" localSheetId="9">#REF!</definedName>
    <definedName name="OUTROS_CCUSTO" localSheetId="9">#REF!</definedName>
    <definedName name="Outros_Pisos" localSheetId="9">#REF!</definedName>
    <definedName name="Outros1" localSheetId="9">#REF!</definedName>
    <definedName name="OUTUBRO" localSheetId="9">#REF!</definedName>
    <definedName name="overhaul"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oxfo_cdi" localSheetId="9">#REF!</definedName>
    <definedName name="oxfo_hist" localSheetId="9">#REF!</definedName>
    <definedName name="oxfo_uss" localSheetId="9">#REF!</definedName>
    <definedName name="P" localSheetId="9">#REF!</definedName>
    <definedName name="PA" localSheetId="9">#REF!</definedName>
    <definedName name="Padrao_A" localSheetId="9">#REF!</definedName>
    <definedName name="Padrao_B" localSheetId="9">#REF!</definedName>
    <definedName name="Padrao_C" localSheetId="9">#REF!</definedName>
    <definedName name="Padrao_D" localSheetId="9">#REF!</definedName>
    <definedName name="Padrao_E" localSheetId="9">#REF!</definedName>
    <definedName name="Padrao_F" localSheetId="9">#REF!</definedName>
    <definedName name="Pagamento_Num" localSheetId="9">ROW()-Linha_Cabeçalho</definedName>
    <definedName name="Pago_Até_2015_Controladoria" localSheetId="9">#REF!</definedName>
    <definedName name="PAP" localSheetId="9">#REF!</definedName>
    <definedName name="PARAM_FIS_1" localSheetId="9">#REF!</definedName>
    <definedName name="PARAM_FIS_2" localSheetId="9">#REF!</definedName>
    <definedName name="ParamValues1" localSheetId="9">#REF!</definedName>
    <definedName name="ParamValues2" localSheetId="9">#REF!</definedName>
    <definedName name="Parao_E" localSheetId="9">#REF!</definedName>
    <definedName name="Parede1" localSheetId="9">#REF!</definedName>
    <definedName name="Parede2" localSheetId="9">#REF!</definedName>
    <definedName name="PAREDES" localSheetId="9">#REF!</definedName>
    <definedName name="PAV" localSheetId="9">#REF!</definedName>
    <definedName name="PAVILHAO" localSheetId="9">#REF!</definedName>
    <definedName name="PAVT" localSheetId="9">#REF!</definedName>
    <definedName name="PDER" localSheetId="9">#REF!</definedName>
    <definedName name="PDIVERS" localSheetId="9">#REF!</definedName>
    <definedName name="PE" localSheetId="9">#REF!</definedName>
    <definedName name="PEMD" localSheetId="9">#REF!</definedName>
    <definedName name="Pendencias" localSheetId="9">{#N/A,#N/A,FALSE,"GERAL";#N/A,#N/A,FALSE,"012-96";#N/A,#N/A,FALSE,"018-96";#N/A,#N/A,FALSE,"027-96";#N/A,#N/A,FALSE,"059-96";#N/A,#N/A,FALSE,"076-96";#N/A,#N/A,FALSE,"019-97";#N/A,#N/A,FALSE,"021-97";#N/A,#N/A,FALSE,"022-97";#N/A,#N/A,FALSE,"028-97"}</definedName>
    <definedName name="pendencias2" localSheetId="9">{#N/A,#N/A,FALSE,"GERAL";#N/A,#N/A,FALSE,"012-96";#N/A,#N/A,FALSE,"018-96";#N/A,#N/A,FALSE,"027-96";#N/A,#N/A,FALSE,"059-96";#N/A,#N/A,FALSE,"076-96";#N/A,#N/A,FALSE,"019-97";#N/A,#N/A,FALSE,"021-97";#N/A,#N/A,FALSE,"022-97";#N/A,#N/A,FALSE,"028-97"}</definedName>
    <definedName name="pendencias3" localSheetId="9">{#N/A,#N/A,FALSE,"GERAL";#N/A,#N/A,FALSE,"012-96";#N/A,#N/A,FALSE,"018-96";#N/A,#N/A,FALSE,"027-96";#N/A,#N/A,FALSE,"059-96";#N/A,#N/A,FALSE,"076-96";#N/A,#N/A,FALSE,"019-97";#N/A,#N/A,FALSE,"021-97";#N/A,#N/A,FALSE,"022-97";#N/A,#N/A,FALSE,"028-97"}</definedName>
    <definedName name="perfura" localSheetId="9">#REF!</definedName>
    <definedName name="Perímetro_lajão" localSheetId="9">#REF!</definedName>
    <definedName name="Perímetro_Terreno" localSheetId="9">#REF!</definedName>
    <definedName name="Perímetro_torre" localSheetId="9">#REF!</definedName>
    <definedName name="pessoal" localSheetId="9">#REF!</definedName>
    <definedName name="PhyG" localSheetId="9">#REF!</definedName>
    <definedName name="PhyGS" localSheetId="9">#REF!</definedName>
    <definedName name="PI" localSheetId="9">#REF!</definedName>
    <definedName name="piaz"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PIEQUIP" localSheetId="9">#REF!</definedName>
    <definedName name="Pintura" localSheetId="9">#REF!</definedName>
    <definedName name="PIS_COFINS" localSheetId="9">#REF!</definedName>
    <definedName name="PisCofins" localSheetId="9">#REF!</definedName>
    <definedName name="Piso1" localSheetId="9">#REF!</definedName>
    <definedName name="Piso2" localSheetId="9">#REF!</definedName>
    <definedName name="PISOS" localSheetId="9">#REF!</definedName>
    <definedName name="PL" localSheetId="9">#REF!</definedName>
    <definedName name="PLACAS" localSheetId="9">{#N/A,#N/A,TRUE,"Quinzena 01 à 15-04-98 "}</definedName>
    <definedName name="Placas_Areas" localSheetId="9">{#N/A,#N/A,TRUE,"Quinzena 01 à 15-04-98 "}</definedName>
    <definedName name="PLAN" localSheetId="9">#REF!</definedName>
    <definedName name="plan2"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PLANILHA" localSheetId="9">#REF!</definedName>
    <definedName name="Planilha2" localSheetId="9">#REF!</definedName>
    <definedName name="plasçdeaw" localSheetId="9">{#N/A,#N/A,FALSE,"Plan1";#N/A,#N/A,FALSE,"Plan2"}</definedName>
    <definedName name="plaslrswe" localSheetId="9">{#N/A,#N/A,FALSE,"Plan1";#N/A,#N/A,FALSE,"Plan2"}</definedName>
    <definedName name="pls" localSheetId="9">#REF!</definedName>
    <definedName name="plsearpef" localSheetId="9">{#N/A,#N/A,FALSE,"Plan1";#N/A,#N/A,FALSE,"Plan2"}</definedName>
    <definedName name="plss" localSheetId="9">{#N/A,#N/A,FALSE,"Plan1";#N/A,#N/A,FALSE,"Plan2"}</definedName>
    <definedName name="PMUR" localSheetId="9">#REF!</definedName>
    <definedName name="PN2건축"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onderações" localSheetId="9">#REF!</definedName>
    <definedName name="Pós_Chaves" localSheetId="9">#REF!</definedName>
    <definedName name="pr" localSheetId="9">#REF!</definedName>
    <definedName name="PRAZO" localSheetId="9">#REF!</definedName>
    <definedName name="Prazo_da_Estrutura" localSheetId="9">#REF!</definedName>
    <definedName name="PRAZO_EDITAL" localSheetId="9">#REF!</definedName>
    <definedName name="Prazo_Obra" localSheetId="9">#REF!</definedName>
    <definedName name="PRAZO_ORC" localSheetId="9">#REF!</definedName>
    <definedName name="prazo2" localSheetId="9">#REF!</definedName>
    <definedName name="PRE" localSheetId="9">#REF!</definedName>
    <definedName name="PREÇ" localSheetId="9">OFFSET(#REF!,0,0,COUNTA(#REF!),1)</definedName>
    <definedName name="Previsão_Inicial_abr_16" localSheetId="9">#REF!</definedName>
    <definedName name="Previsão_Inicial_ago_16" localSheetId="9">#REF!</definedName>
    <definedName name="Previsão_Inicial_dez_16" localSheetId="9">#REF!</definedName>
    <definedName name="Previsão_Inicial_fev_16" localSheetId="9">#REF!</definedName>
    <definedName name="Previsão_Inicial_jan_16" localSheetId="9">#REF!</definedName>
    <definedName name="Previsão_Inicial_jul_16" localSheetId="9">#REF!</definedName>
    <definedName name="Previsão_Inicial_jun_16" localSheetId="9">#REF!</definedName>
    <definedName name="Previsão_Inicial_mai_16" localSheetId="9">#REF!</definedName>
    <definedName name="Previsão_Inicial_mar_16" localSheetId="9">#REF!</definedName>
    <definedName name="Previsão_Inicial_nov_16" localSheetId="9">#REF!</definedName>
    <definedName name="Previsão_Inicial_out_16" localSheetId="9">#REF!</definedName>
    <definedName name="Previsão_Inicial_set_16" localSheetId="9">#REF!</definedName>
    <definedName name="Previsão_Vento1" localSheetId="9">#REF!</definedName>
    <definedName name="Previsto_a_medir_Fin_Medições" localSheetId="9">#REF!</definedName>
    <definedName name="print" localSheetId="9">{#N/A,#N/A,FALSE,"$170M Cash";#N/A,#N/A,FALSE,"$250M Cash";#N/A,#N/A,FALSE,"$325M Cash"}</definedName>
    <definedName name="_xlnm.Print_Area" localSheetId="9">#REF!</definedName>
    <definedName name="Print_Area_MI" localSheetId="9">#REF!</definedName>
    <definedName name="_xlnm.Print_Titles" localSheetId="9">#REF!</definedName>
    <definedName name="PRINT_TITLES_MI" localSheetId="9">#REF!</definedName>
    <definedName name="programa" localSheetId="9">#REF!</definedName>
    <definedName name="Programaa" localSheetId="9">#REF!</definedName>
    <definedName name="Projeção_torre" localSheetId="9">#REF!</definedName>
    <definedName name="projeto_nome_com" localSheetId="9">IF((COUNTA(#REF!)-2)&gt;1,"TERRENO "&amp;VLOOKUP(#REF!,#REF!,8,0),VLOOKUP(#REF!,#REF!,3,0))</definedName>
    <definedName name="PROPAGANDA" localSheetId="9">#REF!</definedName>
    <definedName name="ptirigyiotut" localSheetId="9">{#N/A,#N/A,FALSE,"Plan1";#N/A,#N/A,FALSE,"Plan2"}</definedName>
    <definedName name="PWER3" localSheetId="9">{#N/A,#N/A,FALSE,"Plan1";#N/A,#N/A,FALSE,"Plan2"}</definedName>
    <definedName name="q" localSheetId="9">#REF!</definedName>
    <definedName name="QCLIENTE_PCLIENTE" localSheetId="9">#REF!</definedName>
    <definedName name="QCliente_PCliente1" localSheetId="9">#REF!</definedName>
    <definedName name="qe" localSheetId="9">#REF!</definedName>
    <definedName name="qee" localSheetId="9">#REF!</definedName>
    <definedName name="qkqh1" localSheetId="9">{#N/A,#N/A,FALSE,"명세표"}</definedName>
    <definedName name="QOAS_POAS" localSheetId="9">#REF!</definedName>
    <definedName name="QQ"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QQQ" localSheetId="9">#REF!:#REF!</definedName>
    <definedName name="QQQQQQQQ" localSheetId="9">#REF!</definedName>
    <definedName name="QREAL_PCLIENTE" localSheetId="9">#REF!</definedName>
    <definedName name="QReal_PCliente1" localSheetId="9">#REF!</definedName>
    <definedName name="QSQWSE" localSheetId="9">{#N/A,#N/A,FALSE,"Plan1";#N/A,#N/A,FALSE,"Plan2"}</definedName>
    <definedName name="qtd_mensal" localSheetId="9">#REF!</definedName>
    <definedName name="qtd3esta" localSheetId="9">#REF!</definedName>
    <definedName name="qtdbase" localSheetId="9">#REF!</definedName>
    <definedName name="qtdbltub" localSheetId="9">#REF!</definedName>
    <definedName name="qtdestac" localSheetId="9">#REF!</definedName>
    <definedName name="qtdsap" localSheetId="9">#REF!</definedName>
    <definedName name="qtdtub" localSheetId="9">#REF!</definedName>
    <definedName name="QTNULO" localSheetId="9">#REF!</definedName>
    <definedName name="QTPADRAO" localSheetId="9">#REF!</definedName>
    <definedName name="QTRES" localSheetId="9">#REF!</definedName>
    <definedName name="QuadraE" localSheetId="9">#REF!</definedName>
    <definedName name="quadrocompar." localSheetId="9">#REF!</definedName>
    <definedName name="QUANT" localSheetId="9">#REF!</definedName>
    <definedName name="Quant_Aptos" localSheetId="9">#REF!</definedName>
    <definedName name="Quant_Cremalheira" localSheetId="9">#REF!</definedName>
    <definedName name="Quant_grua" localSheetId="9">#REF!</definedName>
    <definedName name="Quant_pav_lajão" localSheetId="9">#REF!</definedName>
    <definedName name="Quant_tipo" localSheetId="9">#REF!</definedName>
    <definedName name="Quant_torres" localSheetId="9">#REF!</definedName>
    <definedName name="Quantidade_Elevadores" localSheetId="9">#REF!</definedName>
    <definedName name="QUANTP" localSheetId="9">#REF!</definedName>
    <definedName name="QUATRO" localSheetId="9">#REF!</definedName>
    <definedName name="QUINZE" localSheetId="9">#REF!</definedName>
    <definedName name="qwdqw" localSheetId="9">{#N/A,#N/A,FALSE,"Plan1";#N/A,#N/A,FALSE,"Plan2"}</definedName>
    <definedName name="qweqwe" localSheetId="9">{#N/A,#N/A,FALSE,"Plan1";#N/A,#N/A,FALSE,"Plan2"}</definedName>
    <definedName name="qweqwe4"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qwewqe" localSheetId="9">#REF!</definedName>
    <definedName name="R.imobAtualiz" localSheetId="9">#REF!</definedName>
    <definedName name="R_CorretAtualiz" localSheetId="9">#REF!</definedName>
    <definedName name="R_G.Cobr.Atualiz" localSheetId="9">#REF!</definedName>
    <definedName name="R_PmaisJAtualiz" localSheetId="9">#REF!</definedName>
    <definedName name="R_Prev.PerdaAtualiz" localSheetId="9">#REF!</definedName>
    <definedName name="RADIO" localSheetId="9">{"HW",#N/A,FALSE,"1998"}</definedName>
    <definedName name="RANGE" localSheetId="9">#REF!</definedName>
    <definedName name="RANGE1" localSheetId="9">#REF!</definedName>
    <definedName name="RANGE2" localSheetId="9">#REF!</definedName>
    <definedName name="RARQIMP" localSheetId="9">#REF!</definedName>
    <definedName name="RawData" localSheetId="9">#REF!</definedName>
    <definedName name="RE" localSheetId="9">#REF!</definedName>
    <definedName name="RECADUC" localSheetId="9">#REF!</definedName>
    <definedName name="Recebido_Acumulado_2015_Controladoria" localSheetId="9">#REF!</definedName>
    <definedName name="RE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reforsu" localSheetId="9">#REF!</definedName>
    <definedName name="REL_RJ" localSheetId="9">#REF!</definedName>
    <definedName name="REL_SP" localSheetId="9">#REF!</definedName>
    <definedName name="relat3" localSheetId="9">#REF!</definedName>
    <definedName name="ren" localSheetId="9">#REF!</definedName>
    <definedName name="REPETIÇÃO" localSheetId="9">#REF!</definedName>
    <definedName name="ReqC" localSheetId="9">#REF!</definedName>
    <definedName name="Responsável_Rel_Controladoria" localSheetId="9">#REF!</definedName>
    <definedName name="resum" localSheetId="9">{"'Ethernet Hubs'!$A$1:$F$14","'Licences'!$A$1:$F$16","'Ports and Converters'!$A$1:$F$46","'Standard Routers'!$A$1:$F$28","'Ports and Converters'!$A$1:$G$46","'Router Chassis'!$A$1:$F$21","'Cables and Connectors'!$A$1:$F$41","'Support, Training and Docs'!$A$1:$F$6","'Management'!$A$1:$F$8"}</definedName>
    <definedName name="RESUMO" localSheetId="9">#REF!</definedName>
    <definedName name="RESUMO2" localSheetId="9">{#N/A,#N/A,TRUE,"Quinzena 01 à 15-04-98 "}</definedName>
    <definedName name="REV" localSheetId="9">#REF!</definedName>
    <definedName name="RF" localSheetId="9">{#N/A,#N/A,FALSE,"CCTV"}</definedName>
    <definedName name="rgedrfrgfdg" localSheetId="9">{#N/A,#N/A,FALSE,"Plan1";#N/A,#N/A,FALSE,"Plan2"}</definedName>
    <definedName name="rhdrmq"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I" localSheetId="9">#REF!</definedName>
    <definedName name="ridbeb" localSheetId="9">#REF!</definedName>
    <definedName name="RIDCHAF" localSheetId="9">#REF!</definedName>
    <definedName name="ridres05" localSheetId="9">#REF!</definedName>
    <definedName name="RIDRES10" localSheetId="9">#REF!</definedName>
    <definedName name="RIDRES15" localSheetId="9">#REF!</definedName>
    <definedName name="RO" localSheetId="9">#REF!</definedName>
    <definedName name="Rodapé" localSheetId="9">#REF!</definedName>
    <definedName name="RODAPÉS" localSheetId="9">#REF!</definedName>
    <definedName name="ROMANO" localSheetId="9">#REF!</definedName>
    <definedName name="ROTCOMP" localSheetId="9">#REF!</definedName>
    <definedName name="ROTIMP" localSheetId="9">#REF!</definedName>
    <definedName name="ROTRES" localSheetId="9">#REF!</definedName>
    <definedName name="RQTADUC" localSheetId="9">#REF!</definedName>
    <definedName name="rqtbeb" localSheetId="9">#REF!</definedName>
    <definedName name="RQTCHAF" localSheetId="9">#REF!</definedName>
    <definedName name="RQTDERV" localSheetId="9">#REF!</definedName>
    <definedName name="rres05" localSheetId="9">#REF!</definedName>
    <definedName name="RRES10" localSheetId="9">#REF!</definedName>
    <definedName name="RRES15" localSheetId="9">#REF!</definedName>
    <definedName name="RRES20" localSheetId="9">#REF!</definedName>
    <definedName name="rrrrr" localSheetId="9">{"'장비'!$A$3:$M$12"}</definedName>
    <definedName name="rrrrrrrr" localSheetId="9">{"'장비'!$A$3:$M$12"}</definedName>
    <definedName name="rrrrrrrrrrr" localSheetId="9">{#N/A,#N/A,TRUE,"Quinzena 01 à 15-04-98 "}</definedName>
    <definedName name="RSEQ" localSheetId="9">#REF!</definedName>
    <definedName name="RSUBTOT" localSheetId="9">#REF!</definedName>
    <definedName name="rtitbeb" localSheetId="9">#REF!</definedName>
    <definedName name="RTITCHAF" localSheetId="9">#REF!</definedName>
    <definedName name="rtubos" localSheetId="9">#REF!</definedName>
    <definedName name="RTYE" localSheetId="9">{"'장비'!$A$3:$M$12"}</definedName>
    <definedName name="s" localSheetId="9">#REF!</definedName>
    <definedName name="sa"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aa" localSheetId="9">{#N/A,#N/A,FALSE,"GERAL";#N/A,#N/A,FALSE,"012-96";#N/A,#N/A,FALSE,"018-96";#N/A,#N/A,FALSE,"027-96";#N/A,#N/A,FALSE,"059-96";#N/A,#N/A,FALSE,"076-96";#N/A,#N/A,FALSE,"019-97";#N/A,#N/A,FALSE,"021-97";#N/A,#N/A,FALSE,"022-97";#N/A,#N/A,FALSE,"028-97"}</definedName>
    <definedName name="sad"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adasd" localSheetId="9">{#N/A,#N/A,FALSE,"Plan1";#N/A,#N/A,FALSE,"Plan2"}</definedName>
    <definedName name="sadked"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adkrjkedft" localSheetId="9">{#N/A,#N/A,FALSE,"Plan1";#N/A,#N/A,FALSE,"Plan2"}</definedName>
    <definedName name="SADSRTR" localSheetId="9">{#N/A,#N/A,FALSE,"Plan1";#N/A,#N/A,FALSE,"Plan2"}</definedName>
    <definedName name="sadwde" localSheetId="9">{#N/A,#N/A,FALSE,"Plan1";#N/A,#N/A,FALSE,"Plan2"}</definedName>
    <definedName name="Salas" localSheetId="9">#REF!</definedName>
    <definedName name="sanjay" localSheetId="9">{#N/A,#N/A,FALSE,"TABLE"}</definedName>
    <definedName name="sapata" localSheetId="9">#REF!</definedName>
    <definedName name="SAS" localSheetId="9">{#N/A,#N/A,FALSE,"Plan1";#N/A,#N/A,FALSE,"Plan2"}</definedName>
    <definedName name="sasads" localSheetId="9">{#N/A,#N/A,FALSE,"Plan1";#N/A,#N/A,FALSE,"Plan2"}</definedName>
    <definedName name="SC" localSheetId="9">#REF!</definedName>
    <definedName name="sda" localSheetId="9">#REF!</definedName>
    <definedName name="sdae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DAOTGFR" localSheetId="9">{#N/A,#N/A,FALSE,"Plan1";#N/A,#N/A,FALSE,"Plan2"}</definedName>
    <definedName name="sdckd" localSheetId="9">{#N/A,#N/A,FALSE,"Plan1";#N/A,#N/A,FALSE,"Plan2"}</definedName>
    <definedName name="SDDFKSEDE" localSheetId="9">{#N/A,#N/A,FALSE,"Plan1";#N/A,#N/A,FALSE,"Plan2"}</definedName>
    <definedName name="sddkslker" localSheetId="9">{#N/A,#N/A,FALSE,"Plan1";#N/A,#N/A,FALSE,"Plan2"}</definedName>
    <definedName name="sdefr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derj"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dert" localSheetId="9">#REF!</definedName>
    <definedName name="sdfd"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dfdds" localSheetId="9">{#N/A,#N/A,FALSE,"Plan1";#N/A,#N/A,FALSE,"Plan2"}</definedName>
    <definedName name="sdfdfc" localSheetId="9">{#N/A,#N/A,FALSE,"Plan1";#N/A,#N/A,FALSE,"Plan2"}</definedName>
    <definedName name="sdfdf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dfdgft" localSheetId="9">{#N/A,#N/A,FALSE,"Plan1";#N/A,#N/A,FALSE,"Plan2"}</definedName>
    <definedName name="sdfdsf" localSheetId="9">{#N/A,#N/A,FALSE,"Plan1";#N/A,#N/A,FALSE,"Plan2"}</definedName>
    <definedName name="SDFEDRT" localSheetId="9">{#N/A,#N/A,FALSE,"Plan1";#N/A,#N/A,FALSE,"Plan2"}</definedName>
    <definedName name="sdfer" localSheetId="9">{#N/A,#N/A,FALSE,"Plan1";#N/A,#N/A,FALSE,"Plan2"}</definedName>
    <definedName name="sdferr" localSheetId="9">{#N/A,#N/A,FALSE,"Plan1";#N/A,#N/A,FALSE,"Plan2"}</definedName>
    <definedName name="sdfe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DFGJFSRF" localSheetId="9">{#N/A,#N/A,FALSE,"Plan1";#N/A,#N/A,FALSE,"Plan2"}</definedName>
    <definedName name="sdfgtr" localSheetId="9">{#N/A,#N/A,FALSE,"Plan1";#N/A,#N/A,FALSE,"Plan2"}</definedName>
    <definedName name="sdfjdetrt" localSheetId="9">{#N/A,#N/A,FALSE,"Plan1";#N/A,#N/A,FALSE,"Plan2"}</definedName>
    <definedName name="SDFJDRTJEIDR" localSheetId="9">{#N/A,#N/A,FALSE,"Plan1";#N/A,#N/A,FALSE,"Plan2"}</definedName>
    <definedName name="sdfjergtij" localSheetId="9">{#N/A,#N/A,FALSE,"Plan1";#N/A,#N/A,FALSE,"Plan2"}</definedName>
    <definedName name="SDFOPJKWE" localSheetId="9">{#N/A,#N/A,FALSE,"Plan1";#N/A,#N/A,FALSE,"Plan2"}</definedName>
    <definedName name="sdfrdt5"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dfrt" localSheetId="9">{#N/A,#N/A,FALSE,"Plan1";#N/A,#N/A,FALSE,"Plan2"}</definedName>
    <definedName name="SDFRTKK" localSheetId="9">{#N/A,#N/A,FALSE,"Plan1";#N/A,#N/A,FALSE,"Plan2"}</definedName>
    <definedName name="SDFRTR" localSheetId="9">{#N/A,#N/A,FALSE,"Plan1";#N/A,#N/A,FALSE,"Plan2"}</definedName>
    <definedName name="sdfry6" localSheetId="9">{#N/A,#N/A,FALSE,"Plan1";#N/A,#N/A,FALSE,"Plan2"}</definedName>
    <definedName name="sdfsaf" localSheetId="9">{#N/A,#N/A,FALSE,"Plan1";#N/A,#N/A,FALSE,"Plan2"}</definedName>
    <definedName name="sdfsd" localSheetId="9">{"'Estimativa de Lançamento-JAN'!$A$1:$AI$85"}</definedName>
    <definedName name="sdfsdfg" localSheetId="9">{#N/A,#N/A,FALSE,"Plan1";#N/A,#N/A,FALSE,"Plan2"}</definedName>
    <definedName name="SDFSDFK" localSheetId="9">{#N/A,#N/A,FALSE,"Plan1";#N/A,#N/A,FALSE,"Plan2"}</definedName>
    <definedName name="sdfsdgftret" localSheetId="9">{#N/A,#N/A,FALSE,"Plan1";#N/A,#N/A,FALSE,"Plan2"}</definedName>
    <definedName name="sdfsf" localSheetId="9">{#N/A,#N/A,FALSE,"Plan1";#N/A,#N/A,FALSE,"Plan2"}</definedName>
    <definedName name="SDFSFRT" localSheetId="9">{"Econ Consolidado",#N/A,FALSE,"Econ Consol";"Fluxo de Caixa",#N/A,FALSE,"Fluxo Caixa";"Investimentos",#N/A,FALSE,"Investimentos"}</definedName>
    <definedName name="sdfsr" localSheetId="9">{#N/A,#N/A,FALSE,"Plan1";#N/A,#N/A,FALSE,"Plan2"}</definedName>
    <definedName name="sdfty" localSheetId="9">{#N/A,#N/A,FALSE,"Plan1";#N/A,#N/A,FALSE,"Plan2"}</definedName>
    <definedName name="sdgdf" localSheetId="9">{#N/A,#N/A,FALSE,"Plan1";#N/A,#N/A,FALSE,"Plan2"}</definedName>
    <definedName name="sdgfrt" localSheetId="9">{#N/A,#N/A,FALSE,"Plan1";#N/A,#N/A,FALSE,"Plan2"}</definedName>
    <definedName name="sdgft" localSheetId="9">{#N/A,#N/A,FALSE,"Plan1";#N/A,#N/A,FALSE,"Plan2"}</definedName>
    <definedName name="sdgt" localSheetId="9">{#N/A,#N/A,FALSE,"Plan1";#N/A,#N/A,FALSE,"Plan2"}</definedName>
    <definedName name="sdgtry" localSheetId="9">#REF!</definedName>
    <definedName name="sdhfghdsfg" localSheetId="9">{#N/A,#N/A,FALSE,"Plan1";#N/A,#N/A,FALSE,"Plan2"}</definedName>
    <definedName name="SDHFJKHDFJRE" localSheetId="9">{#N/A,#N/A,FALSE,"Plan1";#N/A,#N/A,FALSE,"Plan2"}</definedName>
    <definedName name="SDHKFDRKGTR" localSheetId="9">{#N/A,#N/A,FALSE,"Plan1";#N/A,#N/A,FALSE,"Plan2"}</definedName>
    <definedName name="sdjdswger" localSheetId="9">{#N/A,#N/A,FALSE,"Plan1";#N/A,#N/A,FALSE,"Plan2"}</definedName>
    <definedName name="sdjfdf" localSheetId="9">{#N/A,#N/A,FALSE,"Plan1";#N/A,#N/A,FALSE,"Plan2"}</definedName>
    <definedName name="sdjfhdjk" localSheetId="9">{#N/A,#N/A,FALSE,"Plan1";#N/A,#N/A,FALSE,"Plan2"}</definedName>
    <definedName name="SDJFJDER" localSheetId="9">{#N/A,#N/A,FALSE,"Plan1";#N/A,#N/A,FALSE,"Plan2"}</definedName>
    <definedName name="sdjflsdjfl" localSheetId="9">{#N/A,#N/A,FALSE,"Plan1";#N/A,#N/A,FALSE,"Plan2"}</definedName>
    <definedName name="SDJHF" localSheetId="9">{#N/A,#N/A,FALSE,"Plan1";#N/A,#N/A,FALSE,"Plan2"}</definedName>
    <definedName name="sdjrderertrr" localSheetId="9">{#N/A,#N/A,FALSE,"Plan1";#N/A,#N/A,FALSE,"Plan2"}</definedName>
    <definedName name="sdkdjk" localSheetId="9">{#N/A,#N/A,FALSE,"Plan1";#N/A,#N/A,FALSE,"Plan2"}</definedName>
    <definedName name="sdkfjhkdgfhk"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dkfnjd" localSheetId="9">{#N/A,#N/A,FALSE,"Plan1";#N/A,#N/A,FALSE,"Plan2"}</definedName>
    <definedName name="sdkk" localSheetId="9">{#N/A,#N/A,FALSE,"Plan1";#N/A,#N/A,FALSE,"Plan2"}</definedName>
    <definedName name="sdlfsdflj" localSheetId="9">{#N/A,#N/A,FALSE,"Plan1";#N/A,#N/A,FALSE,"Plan2"}</definedName>
    <definedName name="sdmfmdfsgfd" localSheetId="9">{#N/A,#N/A,FALSE,"Plan1";#N/A,#N/A,FALSE,"Plan2"}</definedName>
    <definedName name="sd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drfgt" localSheetId="9">{#N/A,#N/A,FALSE,"Plan1";#N/A,#N/A,FALSE,"Plan2"}</definedName>
    <definedName name="sdsd" localSheetId="9">{#N/A,#N/A,FALSE,"Plan1";#N/A,#N/A,FALSE,"Plan2"}</definedName>
    <definedName name="sdser" localSheetId="9">{#N/A,#N/A,FALSE,"Plan1";#N/A,#N/A,FALSE,"Plan2"}</definedName>
    <definedName name="sdsre" localSheetId="9">{#N/A,#N/A,FALSE,"Plan1";#N/A,#N/A,FALSE,"Plan2"}</definedName>
    <definedName name="sdss" localSheetId="9">{#N/A,#N/A,FALSE,"Plan1";#N/A,#N/A,FALSE,"Plan2"}</definedName>
    <definedName name="sdtrtg" localSheetId="9">#REF!</definedName>
    <definedName name="sdusi"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DWER" localSheetId="9">{"Econ Consolidado",#N/A,FALSE,"Econ Consol";"Fluxo de Caixa",#N/A,FALSE,"Fluxo Caixa";"Investimentos",#N/A,FALSE,"Investimentos"}</definedName>
    <definedName name="sdxfrt" localSheetId="9">{#N/A,#N/A,FALSE,"Plan1";#N/A,#N/A,FALSE,"Plan2"}</definedName>
    <definedName name="SDZFERF" localSheetId="9">{#N/A,#N/A,FALSE,"Plan1";#N/A,#N/A,FALSE,"Plan2"}</definedName>
    <definedName name="se" localSheetId="9">#REF!</definedName>
    <definedName name="SEDE" localSheetId="9">#REF!</definedName>
    <definedName name="sefret4r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EG" localSheetId="9">#REF!</definedName>
    <definedName name="segftru" localSheetId="9">{#N/A,#N/A,FALSE,"Plan1";#N/A,#N/A,FALSE,"Plan2"}</definedName>
    <definedName name="SEIS" localSheetId="9">#REF!</definedName>
    <definedName name="sencount" localSheetId="9">3</definedName>
    <definedName name="SEQUENCIA" localSheetId="9">#REF!</definedName>
    <definedName name="SEREWRSWE" localSheetId="9">{"tabela",#N/A,FALSE,"Tabela";"decoração",#N/A,FALSE,"Decor.";"Informações",#N/A,FALSE,"Inform."}</definedName>
    <definedName name="Set_17" localSheetId="9">#REF!</definedName>
    <definedName name="SETE" localSheetId="9">#REF!</definedName>
    <definedName name="SETEMBRO" localSheetId="9">#REF!</definedName>
    <definedName name="setRJ17" localSheetId="9">#REF!</definedName>
    <definedName name="severo" localSheetId="9">#REF!</definedName>
    <definedName name="sf" localSheetId="9">{#N/A,#N/A,FALSE,"Plan1";#N/A,#N/A,FALSE,"Plan2"}</definedName>
    <definedName name="sfcrer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fddfd" localSheetId="9">{#N/A,#N/A,FALSE,"Plan1";#N/A,#N/A,FALSE,"Plan2"}</definedName>
    <definedName name="sfds" localSheetId="9">{#N/A,#N/A,FALSE,"Plan1";#N/A,#N/A,FALSE,"Plan2"}</definedName>
    <definedName name="sfdsd" localSheetId="9">{#N/A,#N/A,FALSE,"Plan1";#N/A,#N/A,FALSE,"Plan2"}</definedName>
    <definedName name="sfrsdrgt" localSheetId="9">{#N/A,#N/A,FALSE,"Plan1";#N/A,#N/A,FALSE,"Plan2"}</definedName>
    <definedName name="SFRT" localSheetId="9">{#N/A,#N/A,FALSE,"Plan1";#N/A,#N/A,FALSE,"Plan2"}</definedName>
    <definedName name="sfsdferf" localSheetId="9">{#N/A,#N/A,FALSE,"Plan1";#N/A,#N/A,FALSE,"Plan2"}</definedName>
    <definedName name="SFSDS" localSheetId="9">{#N/A,#N/A,FALSE,"Plan1";#N/A,#N/A,FALSE,"Plan2"}</definedName>
    <definedName name="SGarantia" localSheetId="9">#REF!</definedName>
    <definedName name="sgtghty" localSheetId="9">{#N/A,#N/A,FALSE,"Plan1";#N/A,#N/A,FALSE,"Plan2"}</definedName>
    <definedName name="SH" localSheetId="9">{#N/A,#N/A,FALSE,"GERAL";#N/A,#N/A,FALSE,"012-96";#N/A,#N/A,FALSE,"018-96";#N/A,#N/A,FALSE,"027-96";#N/A,#N/A,FALSE,"059-96";#N/A,#N/A,FALSE,"076-96";#N/A,#N/A,FALSE,"019-97";#N/A,#N/A,FALSE,"021-97";#N/A,#N/A,FALSE,"022-97";#N/A,#N/A,FALSE,"028-97"}</definedName>
    <definedName name="SIH" localSheetId="9">#REF!</definedName>
    <definedName name="SISTEM1" localSheetId="9">#REF!</definedName>
    <definedName name="SISTEM2" localSheetId="9">#REF!</definedName>
    <definedName name="SIV" localSheetId="9">#REF!</definedName>
    <definedName name="sjawe" localSheetId="9">{#N/A,#N/A,FALSE,"Plan1";#N/A,#N/A,FALSE,"Plan2"}</definedName>
    <definedName name="sjdffd" localSheetId="9">{#N/A,#N/A,FALSE,"Plan1";#N/A,#N/A,FALSE,"Plan2"}</definedName>
    <definedName name="SJDFHDJS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SJDHFHRE" localSheetId="9">{#N/A,#N/A,FALSE,"Plan1";#N/A,#N/A,FALSE,"Plan2"}</definedName>
    <definedName name="SJDKJDE" localSheetId="9">{"Econ Consolidado",#N/A,FALSE,"Econ Consol";"Fluxo de Caixa",#N/A,FALSE,"Fluxo Caixa";"Investimentos",#N/A,FALSE,"Investimentos"}</definedName>
    <definedName name="sjekwjri" localSheetId="9">{#N/A,#N/A,FALSE,"Plan1";#N/A,#N/A,FALSE,"Plan2"}</definedName>
    <definedName name="sjfkdhsfds" localSheetId="9">{#N/A,#N/A,FALSE,"Plan1";#N/A,#N/A,FALSE,"Plan2"}</definedName>
    <definedName name="sjkdljslkrje" localSheetId="9">{#N/A,#N/A,FALSE,"Plan1";#N/A,#N/A,FALSE,"Plan2"}</definedName>
    <definedName name="skadadaszs" localSheetId="9">{#N/A,#N/A,FALSE,"Plan1";#N/A,#N/A,FALSE,"Plan2"}</definedName>
    <definedName name="SKASH" localSheetId="9">{#N/A,#N/A,FALSE,"Plan1";#N/A,#N/A,FALSE,"Plan2"}</definedName>
    <definedName name="skldfrde" localSheetId="9">{#N/A,#N/A,FALSE,"Plan1";#N/A,#N/A,FALSE,"Plan2"}</definedName>
    <definedName name="skosroer" localSheetId="9">{#N/A,#N/A,FALSE,"Plan1";#N/A,#N/A,FALSE,"Plan2"}</definedName>
    <definedName name="SO" localSheetId="9">#REF!</definedName>
    <definedName name="soma" localSheetId="9">#REF!</definedName>
    <definedName name="sp"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ARE"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QEWWE" localSheetId="9">{#N/A,#N/A,FALSE,"Plan1";#N/A,#N/A,FALSE,"Plan2"}</definedName>
    <definedName name="SR" localSheetId="9">#REF!</definedName>
    <definedName name="SRH" localSheetId="9">{#N/A,#N/A,FALSE,"GERAL";#N/A,#N/A,FALSE,"012-96";#N/A,#N/A,FALSE,"018-96";#N/A,#N/A,FALSE,"027-96";#N/A,#N/A,FALSE,"059-96";#N/A,#N/A,FALSE,"076-96";#N/A,#N/A,FALSE,"019-97";#N/A,#N/A,FALSE,"021-97";#N/A,#N/A,FALSE,"022-97";#N/A,#N/A,FALSE,"028-97"}</definedName>
    <definedName name="SRTSRT" localSheetId="9">{#N/A,#N/A,FALSE,"GERAL";#N/A,#N/A,FALSE,"012-96";#N/A,#N/A,FALSE,"018-96";#N/A,#N/A,FALSE,"027-96";#N/A,#N/A,FALSE,"059-96";#N/A,#N/A,FALSE,"076-96";#N/A,#N/A,FALSE,"019-97";#N/A,#N/A,FALSE,"021-97";#N/A,#N/A,FALSE,"022-97";#N/A,#N/A,FALSE,"028-97"}</definedName>
    <definedName name="SRTST" localSheetId="9">{#N/A,#N/A,FALSE,"GERAL";#N/A,#N/A,FALSE,"012-96";#N/A,#N/A,FALSE,"018-96";#N/A,#N/A,FALSE,"027-96";#N/A,#N/A,FALSE,"059-96";#N/A,#N/A,FALSE,"076-96";#N/A,#N/A,FALSE,"019-97";#N/A,#N/A,FALSE,"021-97";#N/A,#N/A,FALSE,"022-97";#N/A,#N/A,FALSE,"028-97"}</definedName>
    <definedName name="sssss" localSheetId="9">#REF!</definedName>
    <definedName name="stake_cury" localSheetId="9">#REF!</definedName>
    <definedName name="status_projeto" localSheetId="9">OFFSET(INDEX(#REF!,MATCH(#REF!,#REF!,0)),1,0,COUNTA(#REF!)-1)</definedName>
    <definedName name="SUB_TOTAL_1" localSheetId="9">#REF!</definedName>
    <definedName name="SUBDER" localSheetId="9">#REF!</definedName>
    <definedName name="SUBDIV" localSheetId="9">#REF!</definedName>
    <definedName name="SUBEQP" localSheetId="9">#REF!</definedName>
    <definedName name="SUBMUR" localSheetId="9">#REF!</definedName>
    <definedName name="susref" localSheetId="9">#REF!</definedName>
    <definedName name="T_actual" localSheetId="9">#REF!</definedName>
    <definedName name="t_cc" localSheetId="9">#REF!</definedName>
    <definedName name="t_KSB1_Transport" localSheetId="9">#REF!</definedName>
    <definedName name="tab"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TAB_GASTOS" localSheetId="9">#REF!</definedName>
    <definedName name="TABACABAMENTOS" localSheetId="9">#REF!</definedName>
    <definedName name="tabela" localSheetId="9">#REF!</definedName>
    <definedName name="Tabela_Atribuição" localSheetId="9">#REF!</definedName>
    <definedName name="TABELA_DE_REVESTIMENTOS" localSheetId="9">#REF!</definedName>
    <definedName name="Tabela_Recursos" localSheetId="9">#REF!</definedName>
    <definedName name="Tabela_Tarefas" localSheetId="9">#REF!</definedName>
    <definedName name="Tabela1" localSheetId="9">#REF!</definedName>
    <definedName name="Tabela2" localSheetId="9">#REF!</definedName>
    <definedName name="tabela3" localSheetId="9">#REF!</definedName>
    <definedName name="TABREF" localSheetId="9">#REF!</definedName>
    <definedName name="tania" localSheetId="9">#REF!</definedName>
    <definedName name="TAUX2" localSheetId="9">OFFSET(#REF!,0,0,COUNTA(#REF!)+1,1)</definedName>
    <definedName name="TAUX3" localSheetId="9">OFFSET(#REF!,0,0,COUNTA(#REF!)+1,1)</definedName>
    <definedName name="TAXA_VENTO" localSheetId="9">#REF!</definedName>
    <definedName name="TAXAS" localSheetId="9">#REF!</definedName>
    <definedName name="TbDin" localSheetId="9">OFFSET(#REF!,0,0,COUNTA(#REF!),13)</definedName>
    <definedName name="tc" localSheetId="9">#REF!</definedName>
    <definedName name="TE" localSheetId="9">#REF!</definedName>
    <definedName name="TECLA" localSheetId="9">#REF!</definedName>
    <definedName name="Tendência_Obra_Controladoria" localSheetId="9">#REF!</definedName>
    <definedName name="TERRENO" localSheetId="9">#REF!</definedName>
    <definedName name="Test" localSheetId="9">{"'Edit'!$A$1:$V$2277"}</definedName>
    <definedName name="TESTANDO" localSheetId="9">{#N/A,#N/A,TRUE,"Quinzena 01 à 15-04-98 "}</definedName>
    <definedName name="teste" localSheetId="9">#REF!</definedName>
    <definedName name="teste1" localSheetId="9">{#N/A,#N/A,FALSE,"GERAL";#N/A,#N/A,FALSE,"012-96";#N/A,#N/A,FALSE,"018-96";#N/A,#N/A,FALSE,"027-96";#N/A,#N/A,FALSE,"059-96";#N/A,#N/A,FALSE,"076-96";#N/A,#N/A,FALSE,"019-97";#N/A,#N/A,FALSE,"021-97";#N/A,#N/A,FALSE,"022-97";#N/A,#N/A,FALSE,"028-97"}</definedName>
    <definedName name="teste3" localSheetId="9">#REF!</definedName>
    <definedName name="TESTHKEY" localSheetId="9">#REF!</definedName>
    <definedName name="teto1" localSheetId="9">#REF!</definedName>
    <definedName name="Teto2" localSheetId="9">#REF!</definedName>
    <definedName name="tetuytw" localSheetId="9">#REF!</definedName>
    <definedName name="thjgsergsr" localSheetId="9">{#N/A,#N/A,FALSE,"Plan1";#N/A,#N/A,FALSE,"Plan2"}</definedName>
    <definedName name="THYJ" localSheetId="9">{#N/A,#N/A,FALSE,"Plan1";#N/A,#N/A,FALSE,"Plan2"}</definedName>
    <definedName name="tihjgih" localSheetId="9">{#N/A,#N/A,FALSE,"Plan1";#N/A,#N/A,FALSE,"Plan2"}</definedName>
    <definedName name="TIPO_CTT" localSheetId="9">#REF!</definedName>
    <definedName name="Tipo_de_Diretoria" localSheetId="9">#REF!</definedName>
    <definedName name="Tipo_de_Gestao" localSheetId="9">#REF!</definedName>
    <definedName name="Tipo_de_Padrao" localSheetId="9">#REF!</definedName>
    <definedName name="Tipo_de_Regiao" localSheetId="9">#REF!</definedName>
    <definedName name="Tipo_de_Segmento" localSheetId="9">#REF!</definedName>
    <definedName name="Tipo_de_Status" localSheetId="9">#REF!</definedName>
    <definedName name="Tipo_de_UF" localSheetId="9">#REF!</definedName>
    <definedName name="Tipo_de_Unidade_de_Negocio" localSheetId="9">#REF!</definedName>
    <definedName name="Tipo_do_cliente" localSheetId="9">#REF!</definedName>
    <definedName name="tipo_subtotal" localSheetId="9">#REF!</definedName>
    <definedName name="tipobloco" localSheetId="9">#REF!</definedName>
    <definedName name="titbeb" localSheetId="9">#REF!</definedName>
    <definedName name="TITCHAF" localSheetId="9">#REF!</definedName>
    <definedName name="TituloMkt" localSheetId="9">#REF!</definedName>
    <definedName name="titulos" localSheetId="9">#REF!</definedName>
    <definedName name="Títulos_impressão_IM" localSheetId="9">#REF!</definedName>
    <definedName name="TMO" localSheetId="9">#REF!</definedName>
    <definedName name="TOLTAL2" localSheetId="9">#REF!</definedName>
    <definedName name="TOT" localSheetId="9">#REF!</definedName>
    <definedName name="tot3estac" localSheetId="9">#REF!</definedName>
    <definedName name="TOTAIS" localSheetId="9">#REF!</definedName>
    <definedName name="Total" localSheetId="9">#REF!</definedName>
    <definedName name="Total_2016_Rel_Controladoria" localSheetId="9">#REF!</definedName>
    <definedName name="Total_Parcelas_MAP" localSheetId="9">#REF!</definedName>
    <definedName name="total_unid" localSheetId="9">#REF!</definedName>
    <definedName name="TOTAL1" localSheetId="9">#REF!</definedName>
    <definedName name="TOTAL10" localSheetId="9">#REF!</definedName>
    <definedName name="TOTAL11" localSheetId="9">#REF!</definedName>
    <definedName name="TOTAL12" localSheetId="9">#REF!</definedName>
    <definedName name="TOTAL13" localSheetId="9">#REF!</definedName>
    <definedName name="TOTAL14" localSheetId="9">#REF!</definedName>
    <definedName name="TOTAL15" localSheetId="9">#REF!</definedName>
    <definedName name="TOTAL16" localSheetId="9">#REF!</definedName>
    <definedName name="TOTAL2" localSheetId="9">#REF!</definedName>
    <definedName name="TOTAL3" localSheetId="9">#REF!</definedName>
    <definedName name="TOTAL4" localSheetId="9">#REF!</definedName>
    <definedName name="TOTAL5" localSheetId="9">#REF!</definedName>
    <definedName name="TOTAL6" localSheetId="9">#REF!</definedName>
    <definedName name="TOTAL7" localSheetId="9">#REF!</definedName>
    <definedName name="TOTAL8" localSheetId="9">#REF!</definedName>
    <definedName name="TOTAL9" localSheetId="9">#REF!</definedName>
    <definedName name="TOTALITEM" localSheetId="9">#REF!</definedName>
    <definedName name="totbase" localSheetId="9">#REF!</definedName>
    <definedName name="totestaca" localSheetId="9">#REF!</definedName>
    <definedName name="TOTG" localSheetId="9">OFFSET(#REF!,0,0,COUNTA(#REF!),1)</definedName>
    <definedName name="totperfura" localSheetId="9">#REF!</definedName>
    <definedName name="TOTQTS" localSheetId="9">#REF!</definedName>
    <definedName name="TOTT" localSheetId="9">OFFSET(#REF!,0,0,COUNTA(#REF!)+1,1)</definedName>
    <definedName name="TR" localSheetId="9">#REF!</definedName>
    <definedName name="Transferencia1" localSheetId="9">#REF!</definedName>
    <definedName name="TRES" localSheetId="9">#REF!</definedName>
    <definedName name="TREZE" localSheetId="9">#REF!</definedName>
    <definedName name="tri" localSheetId="9">#REF!</definedName>
    <definedName name="Trimestre_data_base" localSheetId="9">#REF!</definedName>
    <definedName name="trjyidih" localSheetId="9">{#N/A,#N/A,FALSE,"Plan1";#N/A,#N/A,FALSE,"Plan2"}</definedName>
    <definedName name="TRP" localSheetId="9">#REF!</definedName>
    <definedName name="TTT" localSheetId="9">#REF!</definedName>
    <definedName name="TURNO" localSheetId="9">#REF!</definedName>
    <definedName name="tuyedjsksj" localSheetId="9">{#N/A,#N/A,FALSE,"Plan1";#N/A,#N/A,FALSE,"Plan2"}</definedName>
    <definedName name="TX_ADM" localSheetId="9">#REF!</definedName>
    <definedName name="tx_desconto_real" localSheetId="9">#REF!</definedName>
    <definedName name="TxAplicMes" localSheetId="9">#REF!</definedName>
    <definedName name="TxCdiMes" localSheetId="9">#REF!</definedName>
    <definedName name="TxDescMes" localSheetId="9">#REF!</definedName>
    <definedName name="TxSecuritizacaoMes" localSheetId="9">#REF!</definedName>
    <definedName name="TxSfhEco" localSheetId="9">#REF!</definedName>
    <definedName name="TxSfhMap" localSheetId="9">#REF!</definedName>
    <definedName name="TXTEQUIP" localSheetId="9">#REF!</definedName>
    <definedName name="TXTMARCA" localSheetId="9">#REF!</definedName>
    <definedName name="TXTMOD" localSheetId="9">#REF!</definedName>
    <definedName name="TXTPOT" localSheetId="9">#REF!</definedName>
    <definedName name="TYHGFHFHG" localSheetId="9">{#N/A,#N/A,FALSE,"Plan1";#N/A,#N/A,FALSE,"Plan2"}</definedName>
    <definedName name="u" localSheetId="9">{#N/A,#N/A,FALSE,"ET-CAPA";#N/A,#N/A,FALSE,"ET-PAG1";#N/A,#N/A,FALSE,"ET-PAG2";#N/A,#N/A,FALSE,"ET-PAG3";#N/A,#N/A,FALSE,"ET-PAG4";#N/A,#N/A,FALSE,"ET-PAG5"}</definedName>
    <definedName name="udhgfhfg" localSheetId="9">{#N/A,#N/A,FALSE,"Plan1";#N/A,#N/A,FALSE,"Plan2"}</definedName>
    <definedName name="ueiutriuef" localSheetId="9">{#N/A,#N/A,FALSE,"Plan1";#N/A,#N/A,FALSE,"Plan2"}</definedName>
    <definedName name="UENSIT" localSheetId="9">#REF!</definedName>
    <definedName name="UENSITS" localSheetId="9">#REF!</definedName>
    <definedName name="UHGSDUS" localSheetId="9">{#N/A,#N/A,FALSE,"Plan1";#N/A,#N/A,FALSE,"Plan2"}</definedName>
    <definedName name="UI" localSheetId="9">#REF!</definedName>
    <definedName name="UIHWER45R" localSheetId="9">{#N/A,#N/A,FALSE,"Plan1";#N/A,#N/A,FALSE,"Plan2"}</definedName>
    <definedName name="uiosderuiu" localSheetId="9">{#N/A,#N/A,FALSE,"Plan1";#N/A,#N/A,FALSE,"Plan2"}</definedName>
    <definedName name="UIOURET" localSheetId="9">{#N/A,#N/A,FALSE,"Plan1";#N/A,#N/A,FALSE,"Plan2"}</definedName>
    <definedName name="uiwuer" localSheetId="9">{#N/A,#N/A,FALSE,"Plan1";#N/A,#N/A,FALSE,"Plan2"}</definedName>
    <definedName name="UKHDFDSGUDFKD" localSheetId="9">{#N/A,#N/A,FALSE,"Plan1";#N/A,#N/A,FALSE,"Plan2"}</definedName>
    <definedName name="UM" localSheetId="9">#REF!</definedName>
    <definedName name="UNID" localSheetId="9">OFFSET(#REF!,0,0,COUNTA(#REF!),1)</definedName>
    <definedName name="unit" localSheetId="9">{#N/A,#N/A,FALSE,"GERAL";#N/A,#N/A,FALSE,"012-96";#N/A,#N/A,FALSE,"018-96";#N/A,#N/A,FALSE,"027-96";#N/A,#N/A,FALSE,"059-96";#N/A,#N/A,FALSE,"076-96";#N/A,#N/A,FALSE,"019-97";#N/A,#N/A,FALSE,"021-97";#N/A,#N/A,FALSE,"022-97";#N/A,#N/A,FALSE,"028-97"}</definedName>
    <definedName name="univ_cdi" localSheetId="9">#REF!</definedName>
    <definedName name="univ_hist" localSheetId="9">#REF!</definedName>
    <definedName name="univ_uss" localSheetId="9">#REF!</definedName>
    <definedName name="UPS"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uryrtyt" localSheetId="9">{#N/A,#N/A,FALSE,"Plan1";#N/A,#N/A,FALSE,"Plan2"}</definedName>
    <definedName name="V" localSheetId="9">#REF!</definedName>
    <definedName name="VALIDADE_EXECUÇÃO" localSheetId="9">#REF!</definedName>
    <definedName name="Valor_PLS_Controladoria" localSheetId="9">#REF!</definedName>
    <definedName name="Valor_Previsto_Fin_Medições" localSheetId="9">#REF!</definedName>
    <definedName name="VALOR_REAIS" localSheetId="9">#REF!</definedName>
    <definedName name="Valor_Recebido_Fin_Medições" localSheetId="9">#REF!</definedName>
    <definedName name="Valor_Sienge" localSheetId="9">#REF!</definedName>
    <definedName name="VALOR_VENDA" localSheetId="9">#REF!</definedName>
    <definedName name="valores_diferidos" localSheetId="9">#REF!</definedName>
    <definedName name="valve"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VAOS" localSheetId="9">#REF!</definedName>
    <definedName name="vdsgfrhgfr" localSheetId="9">{#N/A,#N/A,FALSE,"Plan1";#N/A,#N/A,FALSE,"Plan2"}</definedName>
    <definedName name="Veiculos" localSheetId="9">#REF!</definedName>
    <definedName name="VENDA_ADOTADA" localSheetId="9">#REF!</definedName>
    <definedName name="VENDAFINAL_R" localSheetId="9">#REF!</definedName>
    <definedName name="VENDAFINAL_U" localSheetId="9">#REF!</definedName>
    <definedName name="Vendas" localSheetId="9">#REF!</definedName>
    <definedName name="vendas_" localSheetId="9">#REF!</definedName>
    <definedName name="VERIFICAR" localSheetId="9">{#N/A,#N/A,TRUE,"Quinzena 01 à 15-04-98 "}</definedName>
    <definedName name="versao_estudo" localSheetId="9">#REF!</definedName>
    <definedName name="vfbg" localSheetId="9">#REF!</definedName>
    <definedName name="vfnijfd"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VFV" localSheetId="9">{#N/A,#N/A,FALSE,"Plan1";#N/A,#N/A,FALSE,"Plan2"}</definedName>
    <definedName name="VI" localSheetId="9">#REF!</definedName>
    <definedName name="VINTE" localSheetId="9">#REF!</definedName>
    <definedName name="visao_cashflow" localSheetId="9">#REF!</definedName>
    <definedName name="visao_VL" localSheetId="9">#REF!</definedName>
    <definedName name="vl_cd" localSheetId="9">#REF!</definedName>
    <definedName name="vl_k1" localSheetId="9">#REF!</definedName>
    <definedName name="vl_k2" localSheetId="9">#REF!</definedName>
    <definedName name="vl_k3" localSheetId="9">#REF!</definedName>
    <definedName name="vld_classificacao" localSheetId="9">IF(#REF!="Ativa",OFFSET(INDEX(rng_list_classificacao,MATCH(#REF!,rng_list_classificacao,0)),1,0,COUNTA(rng_list_classificacao)-1),#REF!)</definedName>
    <definedName name="vld_regional" localSheetId="9">OFFSET(INDEX(rng_list_regional,MATCH(#REF!,rng_list_regional,0)),1,0,COUNTA(rng_list_regional)-1)</definedName>
    <definedName name="vld_segmento" localSheetId="9">IF(#REF!="Ativa",OFFSET(INDEX(rng_list_segmento,MATCH(#REF!,rng_list_segmento,0)),1,0,COUNTA(rng_list_segmento)-1),#REF!)</definedName>
    <definedName name="vld_sociedade" localSheetId="9">OFFSET(INDEX(rng_list_sociedade,MATCH(#REF!,rng_list_sociedade,0)),1,0,COUNTA(rng_list_sociedade)-1)</definedName>
    <definedName name="vld_status_empresa" localSheetId="9">OFFSET(INDEX(rng_list_status_empresa,MATCH(#REF!,rng_list_status_empresa,0)),1,0,COUNTA(rng_list_status_empresa)-1)</definedName>
    <definedName name="vld_status_lancamento" localSheetId="9">IF(#REF!="Ativa",OFFSET(INDEX(rng_list_status_lancamento,MATCH(#REF!,rng_list_status_lancamento,0)),1,0,COUNTA(rng_list_status_lancamento)-1),#REF!)</definedName>
    <definedName name="vld_status_projeto" localSheetId="9">IF(#REF!="Ativa",OFFSET(INDEX(rng_list_status_projeto,MATCH(#REF!,rng_list_status_projeto,0)),1,0,COUNTA(rng_list_status_projeto)-1),#REF!)</definedName>
    <definedName name="vld_status_viabilidade" localSheetId="9">OFFSET(INDEX(rng_list_status_viabilidade,MATCH(#REF!,rng_list_status_viabilidade,0)),1,0,COUNTA(rng_list_status_viabilidade)-1)</definedName>
    <definedName name="VOLUME1" localSheetId="9">#REF!</definedName>
    <definedName name="VOLUME2" localSheetId="9">#REF!</definedName>
    <definedName name="VOLUME3" localSheetId="9">#REF!</definedName>
    <definedName name="VSDHFGDFGR" localSheetId="9">{#N/A,#N/A,FALSE,"Plan1";#N/A,#N/A,FALSE,"Plan2"}</definedName>
    <definedName name="vvbb" localSheetId="9">{"tabela",#N/A,FALSE,"Tabela";"decoração",#N/A,FALSE,"Decor.";"Informações",#N/A,FALSE,"Inform."}</definedName>
    <definedName name="vvcbnb" localSheetId="9">{#N/A,#N/A,FALSE,"Plan1";#N/A,#N/A,FALSE,"Plan2"}</definedName>
    <definedName name="vvvvv" localSheetId="9">{"Econ Consolidado",#N/A,FALSE,"Econ Consol";"Fluxo de Caixa",#N/A,FALSE,"Fluxo Caixa";"Investimentos",#N/A,FALSE,"Investimentos"}</definedName>
    <definedName name="vvvvvv" localSheetId="9">{#N/A,#N/A,FALSE,"Plan1";#N/A,#N/A,FALSE,"Plan2"}</definedName>
    <definedName name="vvvvvvvvvvvvvvvvv" localSheetId="9">{"HW",#N/A,FALSE,"1998"}</definedName>
    <definedName name="VX" localSheetId="9">#REF!</definedName>
    <definedName name="w" localSheetId="9">#REF!</definedName>
    <definedName name="wacc" localSheetId="9">#REF!</definedName>
    <definedName name="wadalrdjlaev"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water"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dewr" localSheetId="9">#REF!</definedName>
    <definedName name="werw4tr" localSheetId="9">{#N/A,#N/A,FALSE,"Plan1";#N/A,#N/A,FALSE,"Plan2"}</definedName>
    <definedName name="wetoedjtkdr" localSheetId="9">{#N/A,#N/A,FALSE,"Plan1";#N/A,#N/A,FALSE,"Plan2"}</definedName>
    <definedName name="WHATS" localSheetId="9">{"'Edit'!$A$1:$V$2277"}</definedName>
    <definedName name="win.VESSEL"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TENS" localSheetId="9">#REF!</definedName>
    <definedName name="WKJHIR" localSheetId="9">{#N/A,#N/A,FALSE,"Plan1";#N/A,#N/A,FALSE,"Plan2"}</definedName>
    <definedName name="WLQ" localSheetId="9">{#N/A,#N/A,FALSE,"명세표"}</definedName>
    <definedName name="WNMLOCAL" localSheetId="9">#REF!</definedName>
    <definedName name="WNMMUN" localSheetId="9">#REF!</definedName>
    <definedName name="WNMSERV" localSheetId="9">#REF!</definedName>
    <definedName name="worl_cdi" localSheetId="9">#REF!</definedName>
    <definedName name="worl_hist" localSheetId="9">#REF!</definedName>
    <definedName name="worl_uss" localSheetId="9">#REF!</definedName>
    <definedName name="WRITE" localSheetId="9">{#N/A,#N/A,FALSE,"CCTV"}</definedName>
    <definedName name="wrn.BM." localSheetId="9">{#N/A,#N/A,FALSE,"CCTV"}</definedName>
    <definedName name="wrn.Brita98.xls." localSheetId="9">{#N/A,#N/A,TRUE,"Quinzena 01 à 15-04-98 "}</definedName>
    <definedName name="wrn.Completo." localSheetId="9">{"EconCons (Econômico - Consolidado)",#N/A,FALSE,"Econômico - Consolidado";"CaixaCons",#N/A,FALSE,"Caixa - Consolidado";"Rio Branco",#N/A,FALSE,"Rio Branco";"Itajaí",#N/A,FALSE,"Itajaí";"Esteio",#N/A,FALSE,"Esteio";"P. Machado",#N/A,FALSE,"P. Machado";"InvestCons (Invest Consolidado)",#N/A,FALSE,"Invest Consolidado"}</definedName>
    <definedName name="wrn.Cons." localSheetId="9">{"EconCons",#N/A,TRUE,"Econômico - Consolidado";"CaixaCons",#N/A,TRUE,"Caixa - Consolidado";"InvestCons",#N/A,TRUE,"Invest Consolidado"}</definedName>
    <definedName name="wrn.Consolidado." localSheetId="9">{"Econ Consolidado",#N/A,FALSE,"Econ Consol";"Fluxo de Caixa",#N/A,FALSE,"Fluxo Caixa";"Investimentos",#N/A,FALSE,"Investimentos"}</definedName>
    <definedName name="wrn.GERAL." localSheetId="9">{#N/A,#N/A,FALSE,"ET-CAPA";#N/A,#N/A,FALSE,"ET-PAG1";#N/A,#N/A,FALSE,"ET-PAG2";#N/A,#N/A,FALSE,"ET-PAG3";#N/A,#N/A,FALSE,"ET-PAG4";#N/A,#N/A,FALSE,"ET-PAG5"}</definedName>
    <definedName name="wrn.HAGE." localSheetId="9">{#N/A,#N/A,FALSE,"cdi";#N/A,#N/A,FALSE,"debent";#N/A,#N/A,FALSE,"fdos";#N/A,#N/A,FALSE,"resumo"}</definedName>
    <definedName name="wrn.HAGE01" localSheetId="9">{#N/A,#N/A,FALSE,"cdi";#N/A,#N/A,FALSE,"debent";#N/A,#N/A,FALSE,"fdos";#N/A,#N/A,FALSE,"resumo"}</definedName>
    <definedName name="wrn.HW." localSheetId="9">{"HW",#N/A,FALSE,"1998"}</definedName>
    <definedName name="wrn.imp_flx." localSheetId="9">{#N/A,#N/A,FALSE,"CONSOLID";#N/A,#N/A,FALSE,"CIMENTO";#N/A,#N/A,FALSE,"METALURGIA";#N/A,#N/A,FALSE,"PAPEL";#N/A,#N/A,FALSE,"QUÍMICA";#N/A,#N/A,FALSE,"AGROINDL";#N/A,#N/A,FALSE,"OUTROS";#N/A,#N/A,FALSE,"REAL_ORCADO"}</definedName>
    <definedName name="wrn.IMPRESSO." localSheetId="9">{#N/A,#N/A,FALSE,"Plan1";#N/A,#N/A,FALSE,"Plan2"}</definedName>
    <definedName name="wrn.Imprimir." localSheetId="9">{"tabela",#N/A,FALSE,"Tabela";"decoração",#N/A,FALSE,"Decor.";"Informações",#N/A,FALSE,"Inform."}</definedName>
    <definedName name="wrn.LPU._.MG." localSheetId="9">{"MG-2002-F1",#N/A,FALSE,"PPU-Telemig";"MG-2002-F2",#N/A,FALSE,"PPU-Telemig";"MG-2002-F3",#N/A,FALSE,"PPU-Telemig";"MG-2002-F4",#N/A,FALSE,"PPU-Telemig";"MG-2003-F1",#N/A,FALSE,"PPU-Telemig";"MG-2004-F1",#N/A,FALSE,"PPU-Telemig"}</definedName>
    <definedName name="wrn.MGM機器リスト." localSheetId="9">{#N/A,#N/A,TRUE,"表紙";#N/A,#N/A,TRUE,"DMC合成";#N/A,#N/A,TRUE,"DMC回収･精製";#N/A,#N/A,TRUE,"MPC工程";#N/A,#N/A,TRUE,"DPC工程";#N/A,#N/A,TRUE,"ANI工程";#N/A,#N/A,TRUE,"PHOｰ触媒工程";#N/A,#N/A,TRUE,"用役"}</definedName>
    <definedName name="wrn.Month._.Report._.Package." localSheetId="9">{#N/A,#N/A,FALSE,"Global Wls Trend";#N/A,#N/A,FALSE,"Region Trend";#N/A,#N/A,FALSE,"PBU Trend"}</definedName>
    <definedName name="wrn.Monthly._.Report._.Package." localSheetId="9">{#N/A,#N/A,FALSE,"Global by BU";#N/A,#N/A,FALSE,"U.S. by BU";#N/A,#N/A,FALSE,"Canada by BU";#N/A,#N/A,FALSE,"Europe by BU";#N/A,#N/A,FALSE,"Asia by BU";#N/A,#N/A,FALSE,"Cala by BU"}</definedName>
    <definedName name="wrn.PENDENCIAS." localSheetId="9">{#N/A,#N/A,FALSE,"GERAL";#N/A,#N/A,FALSE,"012-96";#N/A,#N/A,FALSE,"018-96";#N/A,#N/A,FALSE,"027-96";#N/A,#N/A,FALSE,"059-96";#N/A,#N/A,FALSE,"076-96";#N/A,#N/A,FALSE,"019-97";#N/A,#N/A,FALSE,"021-97";#N/A,#N/A,FALSE,"022-97";#N/A,#N/A,FALSE,"028-97"}</definedName>
    <definedName name="wrn.Planiha._.de._.Medição._.F._.01." localSheetId="9">{#N/A,#N/A,FALSE,"F-01"}</definedName>
    <definedName name="wrn.Planiha._.de._.Medição._.F._.01._1" localSheetId="9">{#N/A,#N/A,FALSE,"F-01"}</definedName>
    <definedName name="wrn.Planilha_de_Medição_F_02" localSheetId="9">{#N/A,#N/A,FALSE,"F-01"}</definedName>
    <definedName name="wrn.print._.all." localSheetId="9">{#N/A,#N/A,FALSE,"$170M Cash";#N/A,#N/A,FALSE,"$250M Cash";#N/A,#N/A,FALSE,"$325M Cash"}</definedName>
    <definedName name="wrn.PrintAll." localSheetId="9">{#N/A,#N/A,FALSE,"Sheet1";#N/A,#N/A,FALSE,"Sheet2";#N/A,#N/A,FALSE,"Sheet3";#N/A,#N/A,FALSE,"Sheet4";#N/A,#N/A,FALSE,"Sheet5";#N/A,#N/A,FALSE,"Sheet6";#N/A,#N/A,FALSE,"Sheet7";#N/A,#N/A,FALSE,"Sheet8";#N/A,#N/A,FALSE,"Sheet9"}</definedName>
    <definedName name="wrn.PrintCurr." localSheetId="9">{#N/A,#N/A,FALSE,"Sheet1";#N/A,#N/A,FALSE,"Sheet2";#N/A,#N/A,FALSE,"Sheet3"}</definedName>
    <definedName name="wrn.PrintPrev1." localSheetId="9">{#N/A,#N/A,FALSE,"Sheet4";#N/A,#N/A,FALSE,"Sheet5";#N/A,#N/A,FALSE,"Sheet6"}</definedName>
    <definedName name="wrn.PrintPrev2." localSheetId="9">{#N/A,#N/A,FALSE,"Sheet7";#N/A,#N/A,FALSE,"Sheet8";#N/A,#N/A,FALSE,"Sheet9"}</definedName>
    <definedName name="wrn.Quadros._.relatório." localSheetId="9">{#N/A,#N/A,FALSE,"QD_F1 Invest Detalhado";#N/A,#N/A,FALSE,"QD_F3 Invest_Comparado";#N/A,#N/A,FALSE,"QD_B Trafego";#N/A,#N/A,FALSE,"QD_D0 Custos Operacionais";#N/A,#N/A,FALSE,"QD_C Receita";#N/A,#N/A,FALSE,"QD_D Custos";#N/A,#N/A,FALSE,"QD_E Resultado";#N/A,#N/A,FALSE,"QD_G Fluxo Caixa"}</definedName>
    <definedName name="wrn.REPORT." localSheetId="9">{#N/A,#N/A,FALSE,"표지";#N/A,#N/A,FALSE,"목차";#N/A,#N/A,FALSE,"내용1";#N/A,#N/A,FALSE,"내용2";#N/A,#N/A,FALSE,"결론";#N/A,#N/A,FALSE,"첨부";#N/A,#N/A,FALSE,"진공도달시간";#N/A,#N/A,FALSE,"배가스속도"}</definedName>
    <definedName name="wrn.STAFFS." localSheetId="9">{#N/A,#N/A,FALSE,"TABLE"}</definedName>
    <definedName name="wrn.TERCEIRO." localSheetId="9">{#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RCEIRO01" localSheetId="9">{#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st1." localSheetId="9">{#N/A,#N/A,FALSE,"명세표"}</definedName>
    <definedName name="wrn.Unidades." localSheetId="9">{"Rio Branco",#N/A,FALSE,"Rio Branco";"Itajaí",#N/A,FALSE,"Itajaí";"Pinheiro Machado",#N/A,FALSE,"PMachado";"Esteio",#N/A,FALSE,"Esteio"}</definedName>
    <definedName name="wrn.VESSEL및N2._.구입사양서."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견적." localSheetId="9">{#N/A,#N/A,FALSE,"Sheet1";#N/A,#N/A,FALSE,"Sheet2";#N/A,#N/A,FALSE,"TAB96-1"}</definedName>
    <definedName name="wrn.보호계전기." localSheetId="9">{#N/A,#N/A,FALSE,"ENG'G(보호계전기)"}</definedName>
    <definedName name="wrn.현장._.NCR._.분석." localSheetId="9">{#N/A,#N/A,FALSE,"현장 NCR 분석";#N/A,#N/A,FALSE,"현장품질감사";#N/A,#N/A,FALSE,"현장품질감사"}</definedName>
    <definedName name="wrn1.Cons." localSheetId="9">{"EconCons",#N/A,TRUE,"Econômico - Consolidado";"CaixaCons",#N/A,TRUE,"Caixa - Consolidado";"InvestCons",#N/A,TRUE,"Invest Consolidado"}</definedName>
    <definedName name="wrn1.print._.all." localSheetId="9">{#N/A,#N/A,FALSE,"$170M Cash";#N/A,#N/A,FALSE,"$250M Cash";#N/A,#N/A,FALSE,"$325M Cash"}</definedName>
    <definedName name="WRS" localSheetId="9">{"'장비'!$A$3:$M$12"}</definedName>
    <definedName name="wrt" localSheetId="9">{#N/A,#N/A,FALSE,"$170M Cash";#N/A,#N/A,FALSE,"$250M Cash";#N/A,#N/A,FALSE,"$325M Cash"}</definedName>
    <definedName name="wvu.PLANILHA2."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ww"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wwwwwwwww" localSheetId="9">{"'Ethernet Hubs'!$A$1:$F$14","'Licences'!$A$1:$F$16","'Ports and Converters'!$A$1:$F$46","'Standard Routers'!$A$1:$F$28","'Ports and Converters'!$A$1:$G$46","'Router Chassis'!$A$1:$F$21","'Cables and Connectors'!$A$1:$F$41","'Support, Training and Docs'!$A$1:$F$6","'Management'!$A$1:$F$8"}</definedName>
    <definedName name="X" localSheetId="9">#REF!</definedName>
    <definedName name="XALFA" localSheetId="9">#REF!</definedName>
    <definedName name="XC" localSheetId="9">#REF!</definedName>
    <definedName name="xcfrt" localSheetId="9">{#N/A,#N/A,FALSE,"Plan1";#N/A,#N/A,FALSE,"Plan2"}</definedName>
    <definedName name="xcgjkfghf" localSheetId="9">{#N/A,#N/A,FALSE,"Plan1";#N/A,#N/A,FALSE,"Plan2"}</definedName>
    <definedName name="XCGJKVHFDG" localSheetId="9">{#N/A,#N/A,FALSE,"Plan1";#N/A,#N/A,FALSE,"Plan2"}</definedName>
    <definedName name="xcgtrty"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XCGVR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XCI" localSheetId="9">#REF!</definedName>
    <definedName name="XCII" localSheetId="9">#REF!</definedName>
    <definedName name="XCIII" localSheetId="9">#REF!</definedName>
    <definedName name="XCIV" localSheetId="9">#REF!</definedName>
    <definedName name="XCIX" localSheetId="9">#REF!</definedName>
    <definedName name="xçl" localSheetId="9">{#N/A,#N/A,FALSE,"Plan1";#N/A,#N/A,FALSE,"Plan2"}</definedName>
    <definedName name="xcndj" localSheetId="9">{#N/A,#N/A,FALSE,"Plan1";#N/A,#N/A,FALSE,"Plan2"}</definedName>
    <definedName name="XCV" localSheetId="9">#REF!</definedName>
    <definedName name="XCVGGT" localSheetId="9">{#N/A,#N/A,FALSE,"Plan1";#N/A,#N/A,FALSE,"Plan2"}</definedName>
    <definedName name="XCVI" localSheetId="9">#REF!</definedName>
    <definedName name="XCVII" localSheetId="9">#REF!</definedName>
    <definedName name="XCVIII" localSheetId="9">#REF!</definedName>
    <definedName name="xcvrg" localSheetId="9">{#N/A,#N/A,FALSE,"Plan1";#N/A,#N/A,FALSE,"Plan2"}</definedName>
    <definedName name="XDATA" localSheetId="9">#REF!</definedName>
    <definedName name="xdfef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xdgtyhyt" localSheetId="9">{#N/A,#N/A,FALSE,"Plan1";#N/A,#N/A,FALSE,"Plan2"}</definedName>
    <definedName name="xfdlfj" localSheetId="9">{#N/A,#N/A,FALSE,"Plan1";#N/A,#N/A,FALSE,"Plan2"}</definedName>
    <definedName name="xfdxfdf" localSheetId="9">{#N/A,#N/A,FALSE,"Plan1";#N/A,#N/A,FALSE,"Plan2"}</definedName>
    <definedName name="XFJKLDJKLGJ"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xfrty" localSheetId="9">{#N/A,#N/A,FALSE,"Plan1";#N/A,#N/A,FALSE,"Plan2"}</definedName>
    <definedName name="XFT"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xfvchdhhd" localSheetId="9">{"Econ Consolidado",#N/A,FALSE,"Econ Consol";"Fluxo de Caixa",#N/A,FALSE,"Fluxo Caixa";"Investimentos",#N/A,FALSE,"Investimentos"}</definedName>
    <definedName name="xfvgcfgt" localSheetId="9">{#N/A,#N/A,FALSE,"Plan1";#N/A,#N/A,FALSE,"Plan2"}</definedName>
    <definedName name="xgrg" localSheetId="9">{#N/A,#N/A,FALSE,"Plan1";#N/A,#N/A,FALSE,"Plan2"}</definedName>
    <definedName name="XI" localSheetId="9">#REF!</definedName>
    <definedName name="XII" localSheetId="9">#REF!</definedName>
    <definedName name="XIII" localSheetId="9">#REF!</definedName>
    <definedName name="XITEM" localSheetId="9">#REF!</definedName>
    <definedName name="XIV" localSheetId="9">#REF!</definedName>
    <definedName name="XLOC" localSheetId="9">#REF!</definedName>
    <definedName name="xmght" localSheetId="9">{#N/A,#N/A,FALSE,"Plan1";#N/A,#N/A,FALSE,"Plan2"}</definedName>
    <definedName name="xnInforme_quantos_bebedouros____bebqt__if_bebqt__0__xlQt.bebedouros_invalida___ENTER_p_reinformar__xresp__branch_rqtderv" localSheetId="9">#REF!</definedName>
    <definedName name="XNUCOPIAS" localSheetId="9">#REF!</definedName>
    <definedName name="xo" localSheetId="9">{#N/A,#N/A,FALSE,"Global by BU";#N/A,#N/A,FALSE,"U.S. by BU";#N/A,#N/A,FALSE,"Canada by BU";#N/A,#N/A,FALSE,"Europe by BU";#N/A,#N/A,FALSE,"Asia by BU";#N/A,#N/A,FALSE,"Cala by BU"}</definedName>
    <definedName name="XREF_COLUMN_1" localSheetId="9">#REF!</definedName>
    <definedName name="XREF_COLUMN_2" localSheetId="9">#REF!</definedName>
    <definedName name="XRefCopy2" localSheetId="9">#REF!</definedName>
    <definedName name="XRefCopy3Row" localSheetId="9">#REF!</definedName>
    <definedName name="XRefPaste2" localSheetId="9">#REF!</definedName>
    <definedName name="XRefPaste4" localSheetId="9">#REF!</definedName>
    <definedName name="XRESP" localSheetId="9">#REF!</definedName>
    <definedName name="XTITRES" localSheetId="9">#REF!</definedName>
    <definedName name="XV" localSheetId="9">#REF!</definedName>
    <definedName name="XX" localSheetId="9">#REF!</definedName>
    <definedName name="XXI" localSheetId="9">#REF!</definedName>
    <definedName name="XXII" localSheetId="9">#REF!</definedName>
    <definedName name="XXIII" localSheetId="9">#REF!</definedName>
    <definedName name="XXIV" localSheetId="9">#REF!</definedName>
    <definedName name="XXV" localSheetId="9">#REF!</definedName>
    <definedName name="XXX" localSheetId="9">#REF!</definedName>
    <definedName name="XXXI" localSheetId="9">#REF!</definedName>
    <definedName name="XXXII" localSheetId="9">#REF!</definedName>
    <definedName name="XXXIII" localSheetId="9">#REF!</definedName>
    <definedName name="XXXIV" localSheetId="9">#REF!</definedName>
    <definedName name="XXXIX" localSheetId="9">#REF!</definedName>
    <definedName name="XXXV" localSheetId="9">#REF!</definedName>
    <definedName name="XXXVI" localSheetId="9">#REF!</definedName>
    <definedName name="XXXVII" localSheetId="9">#REF!</definedName>
    <definedName name="XXXVIII" localSheetId="9">#REF!</definedName>
    <definedName name="xxxx"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XXXXX" localSheetId="9">{#N/A,#N/A,FALSE,"GERAL";#N/A,#N/A,FALSE,"012-96";#N/A,#N/A,FALSE,"018-96";#N/A,#N/A,FALSE,"027-96";#N/A,#N/A,FALSE,"059-96";#N/A,#N/A,FALSE,"076-96";#N/A,#N/A,FALSE,"019-97";#N/A,#N/A,FALSE,"021-97";#N/A,#N/A,FALSE,"022-97";#N/A,#N/A,FALSE,"028-97"}</definedName>
    <definedName name="xxxxxxxxxxxx" localSheetId="9">#REF!</definedName>
    <definedName name="xxxxxxxxxxxxxx" localSheetId="9">{#N/A,#N/A,FALSE,"Plan1";#N/A,#N/A,FALSE,"Plan2"}</definedName>
    <definedName name="xzfrt" localSheetId="9">{#N/A,#N/A,FALSE,"Plan1";#N/A,#N/A,FALSE,"Plan2"}</definedName>
    <definedName name="yeitrtged" localSheetId="9">{#N/A,#N/A,FALSE,"Plan1";#N/A,#N/A,FALSE,"Plan2"}</definedName>
    <definedName name="yhdfiuygrui" localSheetId="9">{#N/A,#N/A,FALSE,"Plan1";#N/A,#N/A,FALSE,"Plan2"}</definedName>
    <definedName name="YRGUYDRIY" localSheetId="9">{"Econ Consolidado",#N/A,FALSE,"Econ Consol";"Fluxo de Caixa",#N/A,FALSE,"Fluxo Caixa";"Investimentos",#N/A,FALSE,"Investimentos"}</definedName>
    <definedName name="ytdju" localSheetId="9">#REF!</definedName>
    <definedName name="yuegursdmksf" localSheetId="9">{#N/A,#N/A,FALSE,"Plan1";#N/A,#N/A,FALSE,"Plan2"}</definedName>
    <definedName name="yuekl4fr" localSheetId="9">{#N/A,#N/A,FALSE,"Plan1";#N/A,#N/A,FALSE,"Plan2"}</definedName>
    <definedName name="yureytuyrea" localSheetId="9">{#N/A,#N/A,FALSE,"Plan1";#N/A,#N/A,FALSE,"Plan2"}</definedName>
    <definedName name="z" localSheetId="9">{"'Estimativa de Lançamento-JAN'!$A$1:$AI$85"}</definedName>
    <definedName name="Z_15697660_066E_11D5_AF15_00010242ED40_.wvu.PrintArea" localSheetId="9">#REF!</definedName>
    <definedName name="Z_60DF8B29_1C1F_4B50_BDA8_B8E0C7DD04C3_.wvu.Cols" localSheetId="9">#REF!,#REF!</definedName>
    <definedName name="Z_E3FFE9E0_6C4F_4FB4_A56E_FBE96871B5C8_.wvu.Cols" localSheetId="9">#REF!,#REF!</definedName>
    <definedName name="zcdçskld" localSheetId="9">{#N/A,#N/A,FALSE,"Plan1";#N/A,#N/A,FALSE,"Plan2"}</definedName>
    <definedName name="zcsdrfrt" localSheetId="9">{#N/A,#N/A,FALSE,"Plan1";#N/A,#N/A,FALSE,"Plan2"}</definedName>
    <definedName name="ZDRE" localSheetId="9">{#N/A,#N/A,FALSE,"Plan1";#N/A,#N/A,FALSE,"Plan2"}</definedName>
    <definedName name="ZEZE" localSheetId="9">#REF!</definedName>
    <definedName name="ZIN" localSheetId="9">#REF!</definedName>
    <definedName name="ZINS" localSheetId="9">#REF!</definedName>
    <definedName name="ZSADF" localSheetId="9">{#N/A,#N/A,FALSE,"Plan1";#N/A,#N/A,FALSE,"Plan2"}</definedName>
    <definedName name="zsads" localSheetId="9">{#N/A,#N/A,FALSE,"Plan1";#N/A,#N/A,FALSE,"Plan2"}</definedName>
    <definedName name="ZSDFSETR" localSheetId="9">#REF!</definedName>
    <definedName name="zsds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zsdwer"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zxccdf" localSheetId="9">{#N/A,#N/A,FALSE,"Plan1";#N/A,#N/A,FALSE,"Plan2"}</definedName>
    <definedName name="zxcdsf" localSheetId="9">#REF!</definedName>
    <definedName name="zxcfdstrrt" localSheetId="9">{#N/A,#N/A,FALSE,"Plan1";#N/A,#N/A,FALSE,"Plan2"}</definedName>
    <definedName name="zxcx" localSheetId="9">{#N/A,#N/A,FALSE,"Plan1";#N/A,#N/A,FALSE,"Plan2"}</definedName>
    <definedName name="ZXFCRF" localSheetId="9">{TRUE,TRUE,-1.25,-15.5,604.5,366.75,FALSE,FALSE,TRUE,TRUE,0,1,#N/A,1,#N/A,9.0125,24.4117647058824,1,FALSE,FALSE,3,TRUE,1,FALSE,100,"Swvu.PLANILHA2.","ACwvu.PLANILHA2.",#N/A,FALSE,FALSE,0.787401575,0.34,0.46,0.5,1,"","",FALSE,FALSE,FALSE,FALSE,1,#N/A,1,1,FALSE,FALSE,#N/A,#N/A,FALSE,FALSE,FALSE,9,65532,65532,FALSE,FALSE,TRUE,TRUE,TRUE}</definedName>
    <definedName name="ZXFHDFRHDF" localSheetId="9">{#N/A,#N/A,FALSE,"Plan1";#N/A,#N/A,FALSE,"Plan2"}</definedName>
    <definedName name="ZZ" localSheetId="9">#REF!</definedName>
    <definedName name="zzdftr" localSheetId="9">{#N/A,#N/A,FALSE,"Plan1";#N/A,#N/A,FALSE,"Plan2"}</definedName>
    <definedName name="zzz" localSheetId="9">#REF!</definedName>
    <definedName name="ㄱ"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ㄱㄷㄱㄱㅎㄺㄷ" localSheetId="9">{"'장비'!$A$3:$M$12"}</definedName>
    <definedName name="검증"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가"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계약고햔황2" localSheetId="9">#REF!</definedName>
    <definedName name="고문" localSheetId="9">{#N/A,#N/A,FALSE,"현장 NCR 분석";#N/A,#N/A,FALSE,"현장품질감사";#N/A,#N/A,FALSE,"현장품질감사"}</definedName>
    <definedName name="고문2" localSheetId="9">{#N/A,#N/A,FALSE,"현장 NCR 분석";#N/A,#N/A,FALSE,"현장품질감사";#N/A,#N/A,FALSE,"현장품질감사"}</definedName>
    <definedName name="공공공표"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구분표_수정" localSheetId="9">{#N/A,#N/A,FALSE,"ENG'G(보호계전기)"}</definedName>
    <definedName name="공급표표"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진도율적용"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표"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양1소결합리화"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름"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분2"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3"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3"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두성"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내역" localSheetId="9">{#N/A,#N/A,FALSE,"CCTV"}</definedName>
    <definedName name="ㄷㄳ" localSheetId="9">{"'장비'!$A$3:$M$12"}</definedName>
    <definedName name="ㄷㄷㄷㄷ" localSheetId="9">{"'장비'!$A$3:$M$12"}</definedName>
    <definedName name="ㄷㅈㅂㄷ" localSheetId="9">{"'장비'!$A$3:$M$12"}</definedName>
    <definedName name="ㄹㄹ" localSheetId="9">{"'장비'!$A$3:$M$12"}</definedName>
    <definedName name="랄"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러러" localSheetId="9">{#N/A,#N/A,FALSE,"현장 NCR 분석";#N/A,#N/A,FALSE,"현장품질감사";#N/A,#N/A,FALSE,"현장품질감사"}</definedName>
    <definedName name="ㅁ" localSheetId="9">{#N/A,#N/A,FALSE,"명세표"}</definedName>
    <definedName name="ㅁㄴ"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ㄹ"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ㄻㄴㅇㄻㄴㅇ"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ㅁ"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ㅁ" localSheetId="9">{#N/A,#N/A,FALSE,"명세표"}</definedName>
    <definedName name="ㅁㅁㅁ" localSheetId="9">#REF!</definedName>
    <definedName name="ㅁㅁㅁㅁㅁㅁㅁㅁㅁㅁㅁㅁ"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ㅇㄻㄴ"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머" localSheetId="9">{#N/A,#N/A,FALSE,"명세표"}</definedName>
    <definedName name="ㅂㅂㅂㅂ" localSheetId="9">{#N/A,#N/A,FALSE,"명세표"}</definedName>
    <definedName name="ㅂㅂㅂㅂㅂㅂㅂ"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ㅈㄱㅂㅈㄷㄱ" localSheetId="9">{"'장비'!$A$3:$M$12"}</definedName>
    <definedName name="ㅂㅈㄷ" localSheetId="9">{"'장비'!$A$3:$M$12"}</definedName>
    <definedName name="ㅂㅈㄷㄷㅂㅈㅈㅂ" localSheetId="9">{"'장비'!$A$3:$M$12"}</definedName>
    <definedName name="ㅂㅈㄷㅂㅈ" localSheetId="9">{"'장비'!$A$3:$M$12"}</definedName>
    <definedName name="ㅂㅈㄷㅂㅈㅈㅂㄷ" localSheetId="9">{"'장비'!$A$3:$M$12"}</definedName>
    <definedName name="ㅂㅈㄷㅈㅂㄷ" localSheetId="9">{"'장비'!$A$3:$M$12"}</definedName>
    <definedName name="보"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보충" localSheetId="9">#REF!</definedName>
    <definedName name="보호" localSheetId="9">{#N/A,#N/A,FALSE,"ENG'G(보호계전기)"}</definedName>
    <definedName name="본공사공정표"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부대공사" localSheetId="9">#REF!</definedName>
    <definedName name="부손익" localSheetId="9">{#N/A,#N/A,FALSE,"현장 NCR 분석";#N/A,#N/A,FALSE,"현장품질감사";#N/A,#N/A,FALSE,"현장품질감사"}</definedName>
    <definedName name="분야"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ㅅㄱㄱㄷ" localSheetId="9">{"'장비'!$A$3:$M$12"}</definedName>
    <definedName name="ㅅㅅㅅㅅㅅ" localSheetId="9">{"'장비'!$A$3:$M$12"}</definedName>
    <definedName name="사업"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계획수정" localSheetId="9">#REF!</definedName>
    <definedName name="사업관리"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부양식2" localSheetId="9">#REF!</definedName>
    <definedName name="새안" localSheetId="9">{#N/A,#N/A,FALSE,"TABLE"}</definedName>
    <definedName name="석항" localSheetId="9">{#N/A,#N/A,FALSE,"명세표"}</definedName>
    <definedName name="설계현황"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손익계산서" localSheetId="9">#REF!</definedName>
    <definedName name="쇼ㅗㅎ로" localSheetId="9">{"'장비'!$A$3:$M$12"}</definedName>
    <definedName name="신설" localSheetId="9">{#N/A,#N/A,FALSE,"명세표"}</definedName>
    <definedName name="실적총괄1" localSheetId="9">#REF!</definedName>
    <definedName name="ㅇㅇ"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변경123"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적용"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구조건참조"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이"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월" localSheetId="9">#REF!</definedName>
    <definedName name="이이"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ㅈ" localSheetId="9">{#N/A,#N/A,FALSE,"명세표"}</definedName>
    <definedName name="ㅈㅈㅈㅈ" localSheetId="9">{#N/A,#N/A,FALSE,"명세표"}</definedName>
    <definedName name="자미" localSheetId="9">{#N/A,#N/A,FALSE,"명세표"}</definedName>
    <definedName name="자운" localSheetId="9">#REF!</definedName>
    <definedName name="자재3"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계장금액" localSheetId="9">#REF!</definedName>
    <definedName name="전기사양_SAMPLE"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상세공정"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선조장" localSheetId="9">#REF!</definedName>
    <definedName name="조직표현장" localSheetId="9">#REF!</definedName>
    <definedName name="종합1"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설계현황"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중량비교검토" localSheetId="9">{#N/A,#N/A,FALSE,"ENG'G(보호계전기)"}</definedName>
    <definedName name="집계" localSheetId="9">{#N/A,#N/A,FALSE,"명세표"}</definedName>
    <definedName name="철골공정"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2"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ㅋㅁ" localSheetId="9">{#N/A,#N/A,FALSE,"명세표"}</definedName>
    <definedName name="ㅋㅋㅋ" localSheetId="9">{#N/A,#N/A,FALSE,"명세표"}</definedName>
    <definedName name="ㅌㅌ" localSheetId="9">{#N/A,#N/A,FALSE,"명세표"}</definedName>
    <definedName name="토"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토목"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ㅎㅎ" localSheetId="9">{"'장비'!$A$3:$M$12"}</definedName>
    <definedName name="하하하" localSheetId="9">{#N/A,#N/A,FALSE,"명세표"}</definedName>
    <definedName name="한국"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장계기류"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1"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호호호" localSheetId="9">{#N/A,#N/A,FALSE,"명세표"}</definedName>
    <definedName name="ㅏㅏㅏ" localSheetId="9">{#N/A,#N/A,FALSE,"명세표"}</definedName>
    <definedName name="ㅔㅔ" localSheetId="9">{#N/A,#N/A,FALSE,"명세표"}</definedName>
    <definedName name="ㅔㅔㅔㅔㅔ"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홓ㅎ로" localSheetId="9">{"'장비'!$A$3:$M$12"}</definedName>
    <definedName name="ㅗㅗ" localSheetId="9">{#N/A,#N/A,FALSE,"명세표"}</definedName>
    <definedName name="ㅗㅗㅗㅗㅗ" localSheetId="9">{"'장비'!$A$3:$M$12"}</definedName>
    <definedName name="ㅛ" localSheetId="9">{"'장비'!$A$3:$M$12"}</definedName>
    <definedName name="ㅛㅕㅛㅕㅛ"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ㅛㅛㅛ" localSheetId="9">{"'장비'!$A$3:$M$12"}</definedName>
    <definedName name="ㅜ" localSheetId="9">{#N/A,#N/A,FALSE,"명세표"}</definedName>
    <definedName name="ㅠㅠ" localSheetId="9">{#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ㅡㅡ" localSheetId="9">{#N/A,#N/A,FALSE,"명세표"}</definedName>
    <definedName name="_xlnm._FilterDatabase" localSheetId="9" hidden="1">'Ger_Executivo_Cartesian'!$F$7:$P$3173</definedName>
    <definedName name="________________r1" localSheetId="10">{#N/A,#N/A,FALSE,"GERAL";#N/A,#N/A,FALSE,"012-96";#N/A,#N/A,FALSE,"018-96";#N/A,#N/A,FALSE,"027-96";#N/A,#N/A,FALSE,"059-96";#N/A,#N/A,FALSE,"076-96";#N/A,#N/A,FALSE,"019-97";#N/A,#N/A,FALSE,"021-97";#N/A,#N/A,FALSE,"022-97";#N/A,#N/A,FALSE,"028-97"}</definedName>
    <definedName name="______________r1" localSheetId="10">{#N/A,#N/A,FALSE,"GERAL";#N/A,#N/A,FALSE,"012-96";#N/A,#N/A,FALSE,"018-96";#N/A,#N/A,FALSE,"027-96";#N/A,#N/A,FALSE,"059-96";#N/A,#N/A,FALSE,"076-96";#N/A,#N/A,FALSE,"019-97";#N/A,#N/A,FALSE,"021-97";#N/A,#N/A,FALSE,"022-97";#N/A,#N/A,FALSE,"028-97"}</definedName>
    <definedName name="_____________r1" localSheetId="10">{#N/A,#N/A,FALSE,"GERAL";#N/A,#N/A,FALSE,"012-96";#N/A,#N/A,FALSE,"018-96";#N/A,#N/A,FALSE,"027-96";#N/A,#N/A,FALSE,"059-96";#N/A,#N/A,FALSE,"076-96";#N/A,#N/A,FALSE,"019-97";#N/A,#N/A,FALSE,"021-97";#N/A,#N/A,FALSE,"022-97";#N/A,#N/A,FALSE,"028-97"}</definedName>
    <definedName name="____________r1" localSheetId="10">{#N/A,#N/A,FALSE,"GERAL";#N/A,#N/A,FALSE,"012-96";#N/A,#N/A,FALSE,"018-96";#N/A,#N/A,FALSE,"027-96";#N/A,#N/A,FALSE,"059-96";#N/A,#N/A,FALSE,"076-96";#N/A,#N/A,FALSE,"019-97";#N/A,#N/A,FALSE,"021-97";#N/A,#N/A,FALSE,"022-97";#N/A,#N/A,FALSE,"028-97"}</definedName>
    <definedName name="___________r1" localSheetId="10">{#N/A,#N/A,FALSE,"GERAL";#N/A,#N/A,FALSE,"012-96";#N/A,#N/A,FALSE,"018-96";#N/A,#N/A,FALSE,"027-96";#N/A,#N/A,FALSE,"059-96";#N/A,#N/A,FALSE,"076-96";#N/A,#N/A,FALSE,"019-97";#N/A,#N/A,FALSE,"021-97";#N/A,#N/A,FALSE,"022-97";#N/A,#N/A,FALSE,"028-97"}</definedName>
    <definedName name="_________r1" localSheetId="10">{#N/A,#N/A,FALSE,"GERAL";#N/A,#N/A,FALSE,"012-96";#N/A,#N/A,FALSE,"018-96";#N/A,#N/A,FALSE,"027-96";#N/A,#N/A,FALSE,"059-96";#N/A,#N/A,FALSE,"076-96";#N/A,#N/A,FALSE,"019-97";#N/A,#N/A,FALSE,"021-97";#N/A,#N/A,FALSE,"022-97";#N/A,#N/A,FALSE,"028-97"}</definedName>
    <definedName name="________r1" localSheetId="10">{#N/A,#N/A,FALSE,"GERAL";#N/A,#N/A,FALSE,"012-96";#N/A,#N/A,FALSE,"018-96";#N/A,#N/A,FALSE,"027-96";#N/A,#N/A,FALSE,"059-96";#N/A,#N/A,FALSE,"076-96";#N/A,#N/A,FALSE,"019-97";#N/A,#N/A,FALSE,"021-97";#N/A,#N/A,FALSE,"022-97";#N/A,#N/A,FALSE,"028-97"}</definedName>
    <definedName name="_______r1" localSheetId="10">{#N/A,#N/A,FALSE,"GERAL";#N/A,#N/A,FALSE,"012-96";#N/A,#N/A,FALSE,"018-96";#N/A,#N/A,FALSE,"027-96";#N/A,#N/A,FALSE,"059-96";#N/A,#N/A,FALSE,"076-96";#N/A,#N/A,FALSE,"019-97";#N/A,#N/A,FALSE,"021-97";#N/A,#N/A,FALSE,"022-97";#N/A,#N/A,FALSE,"028-97"}</definedName>
    <definedName name="______r1" localSheetId="10">{#N/A,#N/A,FALSE,"GERAL";#N/A,#N/A,FALSE,"012-96";#N/A,#N/A,FALSE,"018-96";#N/A,#N/A,FALSE,"027-96";#N/A,#N/A,FALSE,"059-96";#N/A,#N/A,FALSE,"076-96";#N/A,#N/A,FALSE,"019-97";#N/A,#N/A,FALSE,"021-97";#N/A,#N/A,FALSE,"022-97";#N/A,#N/A,FALSE,"028-97"}</definedName>
    <definedName name="_____r1" localSheetId="10">{#N/A,#N/A,FALSE,"GERAL";#N/A,#N/A,FALSE,"012-96";#N/A,#N/A,FALSE,"018-96";#N/A,#N/A,FALSE,"027-96";#N/A,#N/A,FALSE,"059-96";#N/A,#N/A,FALSE,"076-96";#N/A,#N/A,FALSE,"019-97";#N/A,#N/A,FALSE,"021-97";#N/A,#N/A,FALSE,"022-97";#N/A,#N/A,FALSE,"028-97"}</definedName>
    <definedName name="____PK2" localSheetId="10">{"'장비'!$A$3:$M$12"}</definedName>
    <definedName name="____PKG3" localSheetId="10">{"'장비'!$A$3:$M$12"}</definedName>
    <definedName name="____qqq222" localSheetId="10">{"'장비'!$A$3:$M$12"}</definedName>
    <definedName name="____r1" localSheetId="10">{#N/A,#N/A,FALSE,"GERAL";#N/A,#N/A,FALSE,"012-96";#N/A,#N/A,FALSE,"018-96";#N/A,#N/A,FALSE,"027-96";#N/A,#N/A,FALSE,"059-96";#N/A,#N/A,FALSE,"076-96";#N/A,#N/A,FALSE,"019-97";#N/A,#N/A,FALSE,"021-97";#N/A,#N/A,FALSE,"022-97";#N/A,#N/A,FALSE,"028-97"}</definedName>
    <definedName name="___CO2"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ECS1"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PK2" localSheetId="10">{"'장비'!$A$3:$M$12"}</definedName>
    <definedName name="___PKG3" localSheetId="10">{"'장비'!$A$3:$M$12"}</definedName>
    <definedName name="___qqq222" localSheetId="10">{"'장비'!$A$3:$M$12"}</definedName>
    <definedName name="___r1" localSheetId="10">{#N/A,#N/A,FALSE,"GERAL";#N/A,#N/A,FALSE,"012-96";#N/A,#N/A,FALSE,"018-96";#N/A,#N/A,FALSE,"027-96";#N/A,#N/A,FALSE,"059-96";#N/A,#N/A,FALSE,"076-96";#N/A,#N/A,FALSE,"019-97";#N/A,#N/A,FALSE,"021-97";#N/A,#N/A,FALSE,"022-97";#N/A,#N/A,FALSE,"028-97"}</definedName>
    <definedName name="__CO2"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CS1"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PK2" localSheetId="10">{"'장비'!$A$3:$M$12"}</definedName>
    <definedName name="__PKG3" localSheetId="10">{"'장비'!$A$3:$M$12"}</definedName>
    <definedName name="__qqq222" localSheetId="10">{"'장비'!$A$3:$M$12"}</definedName>
    <definedName name="__r1" localSheetId="10">{#N/A,#N/A,FALSE,"GERAL";#N/A,#N/A,FALSE,"012-96";#N/A,#N/A,FALSE,"018-96";#N/A,#N/A,FALSE,"027-96";#N/A,#N/A,FALSE,"059-96";#N/A,#N/A,FALSE,"076-96";#N/A,#N/A,FALSE,"019-97";#N/A,#N/A,FALSE,"021-97";#N/A,#N/A,FALSE,"022-97";#N/A,#N/A,FALSE,"028-97"}</definedName>
    <definedName name="__r2" localSheetId="10">{#N/A,#N/A,FALSE,"GERAL";#N/A,#N/A,FALSE,"012-96";#N/A,#N/A,FALSE,"018-96";#N/A,#N/A,FALSE,"027-96";#N/A,#N/A,FALSE,"059-96";#N/A,#N/A,FALSE,"076-96";#N/A,#N/A,FALSE,"019-97";#N/A,#N/A,FALSE,"021-97";#N/A,#N/A,FALSE,"022-97";#N/A,#N/A,FALSE,"028-97"}</definedName>
    <definedName name="_CO2"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ECS1"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IA0542" localSheetId="10">{#N/A,#N/A,FALSE,"Plan1";#N/A,#N/A,FALSE,"Plan2"}</definedName>
    <definedName name="_new11" localSheetId="10">{#N/A,#N/A,FALSE,"Global by BU";#N/A,#N/A,FALSE,"U.S. by BU";#N/A,#N/A,FALSE,"Canada by BU";#N/A,#N/A,FALSE,"Europe by BU";#N/A,#N/A,FALSE,"Asia by BU";#N/A,#N/A,FALSE,"Cala by BU"}</definedName>
    <definedName name="_Order2" localSheetId="10">0</definedName>
    <definedName name="_PK2" localSheetId="10">{"'장비'!$A$3:$M$12"}</definedName>
    <definedName name="_PKG3" localSheetId="10">{"'장비'!$A$3:$M$12"}</definedName>
    <definedName name="_qqq222" localSheetId="10">{"'장비'!$A$3:$M$12"}</definedName>
    <definedName name="_r1" localSheetId="10">{#N/A,#N/A,FALSE,"GERAL";#N/A,#N/A,FALSE,"012-96";#N/A,#N/A,FALSE,"018-96";#N/A,#N/A,FALSE,"027-96";#N/A,#N/A,FALSE,"059-96";#N/A,#N/A,FALSE,"076-96";#N/A,#N/A,FALSE,"019-97";#N/A,#N/A,FALSE,"021-97";#N/A,#N/A,FALSE,"022-97";#N/A,#N/A,FALSE,"028-97"}</definedName>
    <definedName name="_R2" localSheetId="10">{#N/A,#N/A,FALSE,"GERAL";#N/A,#N/A,FALSE,"012-96";#N/A,#N/A,FALSE,"018-96";#N/A,#N/A,FALSE,"027-96";#N/A,#N/A,FALSE,"059-96";#N/A,#N/A,FALSE,"076-96";#N/A,#N/A,FALSE,"019-97";#N/A,#N/A,FALSE,"021-97";#N/A,#N/A,FALSE,"022-97";#N/A,#N/A,FALSE,"028-97"}</definedName>
    <definedName name="_sfe5"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_wer3" localSheetId="10">{#N/A,#N/A,FALSE,"Plan1";#N/A,#N/A,FALSE,"Plan2"}</definedName>
    <definedName name="_wrn.pendencias" localSheetId="10">{#N/A,#N/A,FALSE,"GERAL";#N/A,#N/A,FALSE,"012-96";#N/A,#N/A,FALSE,"018-96";#N/A,#N/A,FALSE,"027-96";#N/A,#N/A,FALSE,"059-96";#N/A,#N/A,FALSE,"076-96";#N/A,#N/A,FALSE,"019-97";#N/A,#N/A,FALSE,"021-97";#N/A,#N/A,FALSE,"022-97";#N/A,#N/A,FALSE,"028-97"}</definedName>
    <definedName name="aaaa" localSheetId="10">#REF!</definedName>
    <definedName name="aaaaaaaaa"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aaacccc" localSheetId="10">{#N/A,#N/A,FALSE,"Plan1";#N/A,#N/A,FALSE,"Plan2"}</definedName>
    <definedName name="AB"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bc"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çoeeer" localSheetId="10">{#N/A,#N/A,FALSE,"Plan1";#N/A,#N/A,FALSE,"Plan2"}</definedName>
    <definedName name="ad" localSheetId="10">{#N/A,#N/A,FALSE,"Plan1";#N/A,#N/A,FALSE,"Plan2"}</definedName>
    <definedName name="adads" localSheetId="10">{#N/A,#N/A,FALSE,"Plan1";#N/A,#N/A,FALSE,"Plan2"}</definedName>
    <definedName name="adads2" localSheetId="10">{#N/A,#N/A,FALSE,"Plan1";#N/A,#N/A,FALSE,"Plan2"}</definedName>
    <definedName name="adced" localSheetId="10">{#N/A,#N/A,FALSE,"Plan1";#N/A,#N/A,FALSE,"Plan2"}</definedName>
    <definedName name="adced2" localSheetId="10">{#N/A,#N/A,FALSE,"Plan1";#N/A,#N/A,FALSE,"Plan2"}</definedName>
    <definedName name="ader" localSheetId="10">{#N/A,#N/A,FALSE,"Plan1";#N/A,#N/A,FALSE,"Plan2"}</definedName>
    <definedName name="ader2" localSheetId="10">{#N/A,#N/A,FALSE,"Plan1";#N/A,#N/A,FALSE,"Plan2"}</definedName>
    <definedName name="adesr" localSheetId="10">{#N/A,#N/A,FALSE,"Plan1";#N/A,#N/A,FALSE,"Plan2"}</definedName>
    <definedName name="adewr" localSheetId="10">{#N/A,#N/A,FALSE,"Plan1";#N/A,#N/A,FALSE,"Plan2"}</definedName>
    <definedName name="adf" localSheetId="10">{#N/A,#N/A,FALSE,"Plan1";#N/A,#N/A,FALSE,"Plan2"}</definedName>
    <definedName name="adsfr" localSheetId="10">{#N/A,#N/A,FALSE,"Plan1";#N/A,#N/A,FALSE,"Plan2"}</definedName>
    <definedName name="adssrgtg" localSheetId="10">{#N/A,#N/A,FALSE,"Plan1";#N/A,#N/A,FALSE,"Plan2"}</definedName>
    <definedName name="adtsetrr6t" localSheetId="10">{#N/A,#N/A,FALSE,"Plan1";#N/A,#N/A,FALSE,"Plan2"}</definedName>
    <definedName name="adwr" localSheetId="10">{#N/A,#N/A,FALSE,"Plan1";#N/A,#N/A,FALSE,"Plan2"}</definedName>
    <definedName name="aeiresft" localSheetId="10">{#N/A,#N/A,FALSE,"Plan1";#N/A,#N/A,FALSE,"Plan2"}</definedName>
    <definedName name="aEL3QE" localSheetId="10">{#N/A,#N/A,FALSE,"Plan1";#N/A,#N/A,FALSE,"Plan2"}</definedName>
    <definedName name="afeasfre" localSheetId="10">{#N/A,#N/A,FALSE,"Plan1";#N/A,#N/A,FALSE,"Plan2"}</definedName>
    <definedName name="agua" localSheetId="10">{#N/A,#N/A,FALSE,"GERAL";#N/A,#N/A,FALSE,"012-96";#N/A,#N/A,FALSE,"018-96";#N/A,#N/A,FALSE,"027-96";#N/A,#N/A,FALSE,"059-96";#N/A,#N/A,FALSE,"076-96";#N/A,#N/A,FALSE,"019-97";#N/A,#N/A,FALSE,"021-97";#N/A,#N/A,FALSE,"022-97";#N/A,#N/A,FALSE,"028-97"}</definedName>
    <definedName name="AH" localSheetId="10">{#N/A,#N/A,FALSE,"CCTV"}</definedName>
    <definedName name="anscount" localSheetId="10">1</definedName>
    <definedName name="AQE" localSheetId="10">{"'장비'!$A$3:$M$12"}</definedName>
    <definedName name="ArComprimido" localSheetId="10">{"'Estimativa de Lançamento-JAN'!$A$1:$AI$85"}</definedName>
    <definedName name="area" localSheetId="10">#REF!</definedName>
    <definedName name="asawe3" localSheetId="10">{#N/A,#N/A,FALSE,"Plan1";#N/A,#N/A,FALSE,"Plan2"}</definedName>
    <definedName name="asd"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A" localSheetId="10">{#N/A,#N/A,FALSE,"Plan1";#N/A,#N/A,FALSE,"Plan2"}</definedName>
    <definedName name="asdade" localSheetId="10">{#N/A,#N/A,FALSE,"Plan1";#N/A,#N/A,FALSE,"Plan2"}</definedName>
    <definedName name="asdas" localSheetId="10">{#N/A,#N/A,FALSE,"Plan1";#N/A,#N/A,FALSE,"Plan2"}</definedName>
    <definedName name="asdawed" localSheetId="10">{#N/A,#N/A,FALSE,"Plan1";#N/A,#N/A,FALSE,"Plan2"}</definedName>
    <definedName name="ASDER" localSheetId="10">{#N/A,#N/A,FALSE,"Plan1";#N/A,#N/A,FALSE,"Plan2"}</definedName>
    <definedName name="asderr" localSheetId="10">{#N/A,#N/A,FALSE,"Plan1";#N/A,#N/A,FALSE,"Plan2"}</definedName>
    <definedName name="asdesre" localSheetId="10">{#N/A,#N/A,FALSE,"Plan1";#N/A,#N/A,FALSE,"Plan2"}</definedName>
    <definedName name="asdewr" localSheetId="10">{#N/A,#N/A,FALSE,"Plan1";#N/A,#N/A,FALSE,"Plan2"}</definedName>
    <definedName name="ASDFASDFA"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ASDFADF"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rrt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asdfs" localSheetId="10">{#N/A,#N/A,FALSE,"Plan1";#N/A,#N/A,FALSE,"Plan2"}</definedName>
    <definedName name="asdg" localSheetId="10">{#N/A,#N/A,FALSE,"Plan1";#N/A,#N/A,FALSE,"Plan2"}</definedName>
    <definedName name="asdked"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asdlas" localSheetId="10">{#N/A,#N/A,FALSE,"Plan1";#N/A,#N/A,FALSE,"Plan2"}</definedName>
    <definedName name="asdqwe" localSheetId="10">{#N/A,#N/A,FALSE,"Plan1";#N/A,#N/A,FALSE,"Plan2"}</definedName>
    <definedName name="asdsa" localSheetId="10">{#N/A,#N/A,FALSE,"Plan1";#N/A,#N/A,FALSE,"Plan2"}</definedName>
    <definedName name="asdser" localSheetId="10">{#N/A,#N/A,FALSE,"Plan1";#N/A,#N/A,FALSE,"Plan2"}</definedName>
    <definedName name="asdwef" localSheetId="10">{#N/A,#N/A,FALSE,"Plan1";#N/A,#N/A,FALSE,"Plan2"}</definedName>
    <definedName name="ASET" localSheetId="10">{#N/A,#N/A,FALSE,"Plan1";#N/A,#N/A,FALSE,"Plan2"}</definedName>
    <definedName name="asfDSF" localSheetId="10">{#N/A,#N/A,FALSE,"Plan1";#N/A,#N/A,FALSE,"Plan2"}</definedName>
    <definedName name="ASFERTE" localSheetId="10">{#N/A,#N/A,FALSE,"Plan1";#N/A,#N/A,FALSE,"Plan2"}</definedName>
    <definedName name="asfl" localSheetId="10">{#N/A,#N/A,FALSE,"Plan1";#N/A,#N/A,FALSE,"Plan2"}</definedName>
    <definedName name="asfsz" localSheetId="10">{#N/A,#N/A,FALSE,"Plan1";#N/A,#N/A,FALSE,"Plan2"}</definedName>
    <definedName name="askserf" localSheetId="10">{#N/A,#N/A,FALSE,"Plan1";#N/A,#N/A,FALSE,"Plan2"}</definedName>
    <definedName name="ASSFSDF" localSheetId="10">{#N/A,#N/A,FALSE,"Plan1";#N/A,#N/A,FALSE,"Plan2"}</definedName>
    <definedName name="asw" localSheetId="10">{#N/A,#N/A,FALSE,"Plan1";#N/A,#N/A,FALSE,"Plan2"}</definedName>
    <definedName name="ATIVOS" localSheetId="10">{#N/A,#N/A,FALSE,"F-01"}</definedName>
    <definedName name="awdjw" localSheetId="10">{#N/A,#N/A,FALSE,"Plan1";#N/A,#N/A,FALSE,"Plan2"}</definedName>
    <definedName name="aweqw4" localSheetId="10">{#N/A,#N/A,FALSE,"Plan1";#N/A,#N/A,FALSE,"Plan2"}</definedName>
    <definedName name="awssdwaer" localSheetId="10">{#N/A,#N/A,FALSE,"Plan1";#N/A,#N/A,FALSE,"Plan2"}</definedName>
    <definedName name="b" localSheetId="10">{#N/A,#N/A,FALSE,"Plan1";#N/A,#N/A,FALSE,"Plan2"}</definedName>
    <definedName name="bbbbbbbbbbbbbbb" localSheetId="10">{"'Edit'!$A$1:$V$2277"}</definedName>
    <definedName name="bdfjghf" localSheetId="10">{#N/A,#N/A,FALSE,"Plan1";#N/A,#N/A,FALSE,"Plan2"}</definedName>
    <definedName name="bdzbfbdr" localSheetId="10">{#N/A,#N/A,FALSE,"Plan1";#N/A,#N/A,FALSE,"Plan2"}</definedName>
    <definedName name="BGG" localSheetId="10">{#N/A,#N/A,FALSE,"Plan1";#N/A,#N/A,FALSE,"Plan2"}</definedName>
    <definedName name="bhjgfhfhg"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BJGO"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BJSDKHFE" localSheetId="10">{#N/A,#N/A,FALSE,"Plan1";#N/A,#N/A,FALSE,"Plan2"}</definedName>
    <definedName name="bmdgghrtfde" localSheetId="10">{#N/A,#N/A,FALSE,"Plan1";#N/A,#N/A,FALSE,"Plan2"}</definedName>
    <definedName name="bnkjhjhdfxgt" localSheetId="10">{#N/A,#N/A,FALSE,"Plan1";#N/A,#N/A,FALSE,"Plan2"}</definedName>
    <definedName name="bxnzfmkzxbhdf" localSheetId="10">{#N/A,#N/A,FALSE,"Plan1";#N/A,#N/A,FALSE,"Plan2"}</definedName>
    <definedName name="caixas" localSheetId="10">{#N/A,#N/A,FALSE,"GERAL";#N/A,#N/A,FALSE,"012-96";#N/A,#N/A,FALSE,"018-96";#N/A,#N/A,FALSE,"027-96";#N/A,#N/A,FALSE,"059-96";#N/A,#N/A,FALSE,"076-96";#N/A,#N/A,FALSE,"019-97";#N/A,#N/A,FALSE,"021-97";#N/A,#N/A,FALSE,"022-97";#N/A,#N/A,FALSE,"028-97"}</definedName>
    <definedName name="CAT6_IP" localSheetId="10">{#N/A,#N/A,FALSE,"F-01"}</definedName>
    <definedName name="ççç" localSheetId="10">{#N/A,#N/A,FALSE,"Plan1";#N/A,#N/A,FALSE,"Plan2"}</definedName>
    <definedName name="cccc" localSheetId="10">{#N/A,#N/A,FALSE,"Plan1";#N/A,#N/A,FALSE,"Plan2"}</definedName>
    <definedName name="ççççççç"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cccccccc"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cccccccccccccccc" localSheetId="10">{"HW",#N/A,FALSE,"1998"}</definedName>
    <definedName name="çcklfjk"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çdfmerf" localSheetId="10">{#N/A,#N/A,FALSE,"Plan1";#N/A,#N/A,FALSE,"Plan2"}</definedName>
    <definedName name="CDSGHE" localSheetId="10">{#N/A,#N/A,FALSE,"Plan1";#N/A,#N/A,FALSE,"Plan2"}</definedName>
    <definedName name="çfhjglkjhkljyhj"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çflçf" localSheetId="10">{#N/A,#N/A,FALSE,"Plan1";#N/A,#N/A,FALSE,"Plan2"}</definedName>
    <definedName name="chfch" localSheetId="10">{#N/A,#N/A,FALSE,"Plan1";#N/A,#N/A,FALSE,"Plan2"}</definedName>
    <definedName name="ÇJKRÇLFS" localSheetId="10">{"Econ Consolidado",#N/A,FALSE,"Econ Consol";"Fluxo de Caixa",#N/A,FALSE,"Fluxo Caixa";"Investimentos",#N/A,FALSE,"Investimentos"}</definedName>
    <definedName name="ÇJsrejtçe" localSheetId="10">{#N/A,#N/A,FALSE,"Plan1";#N/A,#N/A,FALSE,"Plan2"}</definedName>
    <definedName name="çkaçekow" localSheetId="10">{#N/A,#N/A,FALSE,"Plan1";#N/A,#N/A,FALSE,"Plan2"}</definedName>
    <definedName name="ÇKSDOEKR" localSheetId="10">{#N/A,#N/A,FALSE,"Plan1";#N/A,#N/A,FALSE,"Plan2"}</definedName>
    <definedName name="çl" localSheetId="10">{#N/A,#N/A,FALSE,"Plan1";#N/A,#N/A,FALSE,"Plan2"}</definedName>
    <definedName name="çlassde" localSheetId="10">{#N/A,#N/A,FALSE,"Plan1";#N/A,#N/A,FALSE,"Plan2"}</definedName>
    <definedName name="çlçlç" localSheetId="10">{#N/A,#N/A,FALSE,"Plan1";#N/A,#N/A,FALSE,"Plan2"}</definedName>
    <definedName name="çld" localSheetId="10">{#N/A,#N/A,FALSE,"Plan1";#N/A,#N/A,FALSE,"Plan2"}</definedName>
    <definedName name="çlererr" localSheetId="10">{#N/A,#N/A,FALSE,"Plan1";#N/A,#N/A,FALSE,"Plan2"}</definedName>
    <definedName name="çlertert" localSheetId="10">{#N/A,#N/A,FALSE,"Plan1";#N/A,#N/A,FALSE,"Plan2"}</definedName>
    <definedName name="çll" localSheetId="10">{#N/A,#N/A,FALSE,"Plan1";#N/A,#N/A,FALSE,"Plan2"}</definedName>
    <definedName name="CMC" localSheetId="10">{#N/A,#N/A,FALSE,"GERAL";#N/A,#N/A,FALSE,"012-96";#N/A,#N/A,FALSE,"018-96";#N/A,#N/A,FALSE,"027-96";#N/A,#N/A,FALSE,"059-96";#N/A,#N/A,FALSE,"076-96";#N/A,#N/A,FALSE,"019-97";#N/A,#N/A,FALSE,"021-97";#N/A,#N/A,FALSE,"022-97";#N/A,#N/A,FALSE,"028-97"}</definedName>
    <definedName name="CONFIRMAR" localSheetId="10">{#N/A,#N/A,TRUE,"Quinzena 01 à 15-04-98 "}</definedName>
    <definedName name="cont" localSheetId="10">{#N/A,#N/A,FALSE,"Plan1";#N/A,#N/A,FALSE,"Plan2"}</definedName>
    <definedName name="ÇSAÇDFW"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CSE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ÇSLÇDLFKD" localSheetId="10">{#N/A,#N/A,FALSE,"Plan1";#N/A,#N/A,FALSE,"Plan2"}</definedName>
    <definedName name="CTH" localSheetId="10">{#N/A,#N/A,FALSE,"GERAL";#N/A,#N/A,FALSE,"012-96";#N/A,#N/A,FALSE,"018-96";#N/A,#N/A,FALSE,"027-96";#N/A,#N/A,FALSE,"059-96";#N/A,#N/A,FALSE,"076-96";#N/A,#N/A,FALSE,"019-97";#N/A,#N/A,FALSE,"021-97";#N/A,#N/A,FALSE,"022-97";#N/A,#N/A,FALSE,"028-97"}</definedName>
    <definedName name="dalmo" localSheetId="10">{#N/A,#N/A,FALSE,"GERAL";#N/A,#N/A,FALSE,"012-96";#N/A,#N/A,FALSE,"018-96";#N/A,#N/A,FALSE,"027-96";#N/A,#N/A,FALSE,"059-96";#N/A,#N/A,FALSE,"076-96";#N/A,#N/A,FALSE,"019-97";#N/A,#N/A,FALSE,"021-97";#N/A,#N/A,FALSE,"022-97";#N/A,#N/A,FALSE,"028-97"}</definedName>
    <definedName name="dasfrt" localSheetId="10">{#N/A,#N/A,FALSE,"Plan1";#N/A,#N/A,FALSE,"Plan2"}</definedName>
    <definedName name="DÇDL" localSheetId="10">{#N/A,#N/A,FALSE,"Plan1";#N/A,#N/A,FALSE,"Plan2"}</definedName>
    <definedName name="dcnsfgdjkgb" localSheetId="10">{#N/A,#N/A,FALSE,"Plan1";#N/A,#N/A,FALSE,"Plan2"}</definedName>
    <definedName name="DÇWK" localSheetId="10">{#N/A,#N/A,FALSE,"Plan1";#N/A,#N/A,FALSE,"Plan2"}</definedName>
    <definedName name="DD"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dd" localSheetId="10">{"'장비'!$A$3:$M$12"}</definedName>
    <definedName name="ddddd" localSheetId="10">{#N/A,#N/A,FALSE,"Plan1";#N/A,#N/A,FALSE,"Plan2"}</definedName>
    <definedName name="dde" localSheetId="10">{#N/A,#N/A,FALSE,"Plan1";#N/A,#N/A,FALSE,"Plan2"}</definedName>
    <definedName name="ddgfdvgdg"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DGSFG" localSheetId="10">{#N/A,#N/A,FALSE,"Plan1";#N/A,#N/A,FALSE,"Plan2"}</definedName>
    <definedName name="dede" localSheetId="10">{#N/A,#N/A,FALSE,"Plan1";#N/A,#N/A,FALSE,"Plan2"}</definedName>
    <definedName name="des" localSheetId="10">{#N/A,#N/A,FALSE,"Plan1";#N/A,#N/A,FALSE,"Plan2"}</definedName>
    <definedName name="desc" localSheetId="10">{#N/A,#N/A,FALSE,"Plan1";#N/A,#N/A,FALSE,"Plan2"}</definedName>
    <definedName name="d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FD" localSheetId="10">{#N/A,#N/A,FALSE,"명세표"}</definedName>
    <definedName name="dfdfty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fdjgfdfgdf" localSheetId="10">{#N/A,#N/A,FALSE,"Plan1";#N/A,#N/A,FALSE,"Plan2"}</definedName>
    <definedName name="dfdrtrr" localSheetId="10">{#N/A,#N/A,FALSE,"Plan1";#N/A,#N/A,FALSE,"Plan2"}</definedName>
    <definedName name="DFDSG" localSheetId="10">{#N/A,#N/A,FALSE,"Plan1";#N/A,#N/A,FALSE,"Plan2"}</definedName>
    <definedName name="dfer" localSheetId="10">{#N/A,#N/A,FALSE,"Plan1";#N/A,#N/A,FALSE,"Plan2"}</definedName>
    <definedName name="dffbty" localSheetId="10">{#N/A,#N/A,FALSE,"Plan1";#N/A,#N/A,FALSE,"Plan2"}</definedName>
    <definedName name="dffgk"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ffhg" localSheetId="10">{#N/A,#N/A,FALSE,"Plan1";#N/A,#N/A,FALSE,"Plan2"}</definedName>
    <definedName name="dfg" localSheetId="10">{#N/A,#N/A,FALSE,"Plan1";#N/A,#N/A,FALSE,"Plan2"}</definedName>
    <definedName name="dfgdf" localSheetId="10">{#N/A,#N/A,FALSE,"Plan1";#N/A,#N/A,FALSE,"Plan2"}</definedName>
    <definedName name="dfgdytygr" localSheetId="10">{#N/A,#N/A,FALSE,"Plan1";#N/A,#N/A,FALSE,"Plan2"}</definedName>
    <definedName name="dfgftrrdt5" localSheetId="10">{#N/A,#N/A,FALSE,"Plan1";#N/A,#N/A,FALSE,"Plan2"}</definedName>
    <definedName name="dfghjfhsg" localSheetId="10">{#N/A,#N/A,FALSE,"Plan1";#N/A,#N/A,FALSE,"Plan2"}</definedName>
    <definedName name="dfgj" localSheetId="10">{#N/A,#N/A,FALSE,"Plan1";#N/A,#N/A,FALSE,"Plan2"}</definedName>
    <definedName name="dfgjfttyd" localSheetId="10">{#N/A,#N/A,FALSE,"Plan1";#N/A,#N/A,FALSE,"Plan2"}</definedName>
    <definedName name="dfgjjtdrtg" localSheetId="10">{#N/A,#N/A,FALSE,"Plan1";#N/A,#N/A,FALSE,"Plan2"}</definedName>
    <definedName name="dfgt" localSheetId="10">{#N/A,#N/A,FALSE,"Plan1";#N/A,#N/A,FALSE,"Plan2"}</definedName>
    <definedName name="dfgtrkjhk" localSheetId="10">{#N/A,#N/A,FALSE,"Plan1";#N/A,#N/A,FALSE,"Plan2"}</definedName>
    <definedName name="dfgty" localSheetId="10">{#N/A,#N/A,FALSE,"Plan1";#N/A,#N/A,FALSE,"Plan2"}</definedName>
    <definedName name="dfhdgfdgf" localSheetId="10">{#N/A,#N/A,FALSE,"Plan1";#N/A,#N/A,FALSE,"Plan2"}</definedName>
    <definedName name="DFHDJGJFHJGF" localSheetId="10">{#N/A,#N/A,FALSE,"Plan1";#N/A,#N/A,FALSE,"Plan2"}</definedName>
    <definedName name="dfhdyg" localSheetId="10">{#N/A,#N/A,FALSE,"Plan1";#N/A,#N/A,FALSE,"Plan2"}</definedName>
    <definedName name="DFHGDHUR" localSheetId="10">{#N/A,#N/A,FALSE,"Plan1";#N/A,#N/A,FALSE,"Plan2"}</definedName>
    <definedName name="dfhgjfgdhfjdrf" localSheetId="10">{#N/A,#N/A,FALSE,"Plan1";#N/A,#N/A,FALSE,"Plan2"}</definedName>
    <definedName name="dfhgkhfut" localSheetId="10">{#N/A,#N/A,FALSE,"Plan1";#N/A,#N/A,FALSE,"Plan2"}</definedName>
    <definedName name="dfhguitrhfg" localSheetId="10">{#N/A,#N/A,FALSE,"Plan1";#N/A,#N/A,FALSE,"Plan2"}</definedName>
    <definedName name="DFHKHDGKJHDKS" localSheetId="10">{#N/A,#N/A,FALSE,"Plan1";#N/A,#N/A,FALSE,"Plan2"}</definedName>
    <definedName name="dfjgjfhykj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fjkgtdftr" localSheetId="10">{#N/A,#N/A,FALSE,"Plan1";#N/A,#N/A,FALSE,"Plan2"}</definedName>
    <definedName name="dfkhgfg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fkj"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fknfhkdrj" localSheetId="10">{#N/A,#N/A,FALSE,"Plan1";#N/A,#N/A,FALSE,"Plan2"}</definedName>
    <definedName name="dfnert" localSheetId="10">{#N/A,#N/A,FALSE,"Plan1";#N/A,#N/A,FALSE,"Plan2"}</definedName>
    <definedName name="dfrt" localSheetId="10">{#N/A,#N/A,FALSE,"Plan1";#N/A,#N/A,FALSE,"Plan2"}</definedName>
    <definedName name="dfsdr5tt" localSheetId="10">{#N/A,#N/A,FALSE,"Plan1";#N/A,#N/A,FALSE,"Plan2"}</definedName>
    <definedName name="dfsd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fsdtr" localSheetId="10">{#N/A,#N/A,FALSE,"Plan1";#N/A,#N/A,FALSE,"Plan2"}</definedName>
    <definedName name="dfsf" localSheetId="10">{#N/A,#N/A,FALSE,"Plan1";#N/A,#N/A,FALSE,"Plan2"}</definedName>
    <definedName name="DFT" localSheetId="10">{#N/A,#N/A,FALSE,"Plan1";#N/A,#N/A,FALSE,"Plan2"}</definedName>
    <definedName name="DFTRTTY" localSheetId="10">{#N/A,#N/A,FALSE,"Plan1";#N/A,#N/A,FALSE,"Plan2"}</definedName>
    <definedName name="dfurghifdjyhits" localSheetId="10">{#N/A,#N/A,FALSE,"Plan1";#N/A,#N/A,FALSE,"Plan2"}</definedName>
    <definedName name="dfxgdrged" localSheetId="10">{#N/A,#N/A,FALSE,"Plan1";#N/A,#N/A,FALSE,"Plan2"}</definedName>
    <definedName name="dgfrtyt" localSheetId="10">{#N/A,#N/A,FALSE,"Plan1";#N/A,#N/A,FALSE,"Plan2"}</definedName>
    <definedName name="dggfdg" localSheetId="10">{#N/A,#N/A,FALSE,"Plan1";#N/A,#N/A,FALSE,"Plan2"}</definedName>
    <definedName name="dgldfhgkljslh" localSheetId="10">{#N/A,#N/A,FALSE,"Plan1";#N/A,#N/A,FALSE,"Plan2"}</definedName>
    <definedName name="dhfgdhrehrwe" localSheetId="10">{#N/A,#N/A,FALSE,"Plan1";#N/A,#N/A,FALSE,"Plan2"}</definedName>
    <definedName name="dhgfdgrfgdfgd" localSheetId="10">{#N/A,#N/A,FALSE,"Plan1";#N/A,#N/A,FALSE,"Plan2"}</definedName>
    <definedName name="dhkjfhdhfjdh" localSheetId="10">{#N/A,#N/A,FALSE,"Plan1";#N/A,#N/A,FALSE,"Plan2"}</definedName>
    <definedName name="DHTJRT" localSheetId="10">{#N/A,#N/A,FALSE,"Plan1";#N/A,#N/A,FALSE,"Plan2"}</definedName>
    <definedName name="dijghdhks" localSheetId="10">{#N/A,#N/A,FALSE,"Plan1";#N/A,#N/A,FALSE,"Plan2"}</definedName>
    <definedName name="djasdrjas" localSheetId="10">{#N/A,#N/A,FALSE,"Plan1";#N/A,#N/A,FALSE,"Plan2"}</definedName>
    <definedName name="dj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jfkhjhfgrgdfh" localSheetId="10">{#N/A,#N/A,FALSE,"Plan1";#N/A,#N/A,FALSE,"Plan2"}</definedName>
    <definedName name="djfkhsdkjhf" localSheetId="10">{#N/A,#N/A,FALSE,"Plan1";#N/A,#N/A,FALSE,"Plan2"}</definedName>
    <definedName name="djfldjsgljslkjtg" localSheetId="10">{#N/A,#N/A,FALSE,"Plan1";#N/A,#N/A,FALSE,"Plan2"}</definedName>
    <definedName name="djflkdjgdth" localSheetId="10">{#N/A,#N/A,FALSE,"Plan1";#N/A,#N/A,FALSE,"Plan2"}</definedName>
    <definedName name="DJFLKDJGKTJYJT" localSheetId="10">{#N/A,#N/A,FALSE,"Plan1";#N/A,#N/A,FALSE,"Plan2"}</definedName>
    <definedName name="djgkfjgtiyty" localSheetId="10">{#N/A,#N/A,FALSE,"Plan1";#N/A,#N/A,FALSE,"Plan2"}</definedName>
    <definedName name="djrkehrjfhng" localSheetId="10">{#N/A,#N/A,FALSE,"Plan1";#N/A,#N/A,FALSE,"Plan2"}</definedName>
    <definedName name="djtkjldfr" localSheetId="10">{#N/A,#N/A,FALSE,"Plan1";#N/A,#N/A,FALSE,"Plan2"}</definedName>
    <definedName name="DJXDLFGDFG" localSheetId="10">{#N/A,#N/A,FALSE,"Plan1";#N/A,#N/A,FALSE,"Plan2"}</definedName>
    <definedName name="dkdkdkdkd" localSheetId="10">{#N/A,#N/A,FALSE,"명세표"}</definedName>
    <definedName name="dkfhskgf" localSheetId="10">{#N/A,#N/A,FALSE,"Plan1";#N/A,#N/A,FALSE,"Plan2"}</definedName>
    <definedName name="dkjfk" localSheetId="10">{#N/A,#N/A,FALSE,"Plan1";#N/A,#N/A,FALSE,"Plan2"}</definedName>
    <definedName name="DKLD" localSheetId="10">{#N/A,#N/A,FALSE,"Plan1";#N/A,#N/A,FALSE,"Plan2"}</definedName>
    <definedName name="DKLFJDKFD" localSheetId="10">{#N/A,#N/A,FALSE,"Plan1";#N/A,#N/A,FALSE,"Plan2"}</definedName>
    <definedName name="dklfjgirtgid" localSheetId="10">{#N/A,#N/A,FALSE,"Plan1";#N/A,#N/A,FALSE,"Plan2"}</definedName>
    <definedName name="dklfm"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mbfmndbmtrhed" localSheetId="10">{#N/A,#N/A,FALSE,"Plan1";#N/A,#N/A,FALSE,"Plan2"}</definedName>
    <definedName name="DNFJKDHTKRE" localSheetId="10">{#N/A,#N/A,FALSE,"Plan1";#N/A,#N/A,FALSE,"Plan2"}</definedName>
    <definedName name="dng" localSheetId="10">{#N/A,#N/A,FALSE,"GERAL";#N/A,#N/A,FALSE,"012-96";#N/A,#N/A,FALSE,"018-96";#N/A,#N/A,FALSE,"027-96";#N/A,#N/A,FALSE,"059-96";#N/A,#N/A,FALSE,"076-96";#N/A,#N/A,FALSE,"019-97";#N/A,#N/A,FALSE,"021-97";#N/A,#N/A,FALSE,"022-97";#N/A,#N/A,FALSE,"028-97"}</definedName>
    <definedName name="drewr" localSheetId="10">{#N/A,#N/A,FALSE,"Plan1";#N/A,#N/A,FALSE,"Plan2"}</definedName>
    <definedName name="DRRJR" localSheetId="10">{#N/A,#N/A,FALSE,"Plan1";#N/A,#N/A,FALSE,"Plan2"}</definedName>
    <definedName name="drtrt" localSheetId="10">{"'Estimativa de Lançamento-JAN'!$A$1:$AI$85"}</definedName>
    <definedName name="dsdrf" localSheetId="10">{#N/A,#N/A,FALSE,"Plan1";#N/A,#N/A,FALSE,"Plan2"}</definedName>
    <definedName name="dsfdf" localSheetId="10">{#N/A,#N/A,FALSE,"Plan1";#N/A,#N/A,FALSE,"Plan2"}</definedName>
    <definedName name="dsfg" localSheetId="10">{#N/A,#N/A,FALSE,"Plan1";#N/A,#N/A,FALSE,"Plan2"}</definedName>
    <definedName name="DSFKDSKH" localSheetId="10">{#N/A,#N/A,FALSE,"Plan1";#N/A,#N/A,FALSE,"Plan2"}</definedName>
    <definedName name="DSFR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sfrtyy" localSheetId="10">{#N/A,#N/A,FALSE,"Plan1";#N/A,#N/A,FALSE,"Plan2"}</definedName>
    <definedName name="DSFSAD" localSheetId="10">{#N/A,#N/A,FALSE,"Plan1";#N/A,#N/A,FALSE,"Plan2"}</definedName>
    <definedName name="dsfsdf" localSheetId="10">{#N/A,#N/A,FALSE,"Plan1";#N/A,#N/A,FALSE,"Plan2"}</definedName>
    <definedName name="dsfsdgfb" localSheetId="10">{#N/A,#N/A,FALSE,"Plan1";#N/A,#N/A,FALSE,"Plan2"}</definedName>
    <definedName name="dsgfr" localSheetId="10">{#N/A,#N/A,FALSE,"Plan1";#N/A,#N/A,FALSE,"Plan2"}</definedName>
    <definedName name="dshfkhkrhesru" localSheetId="10">{#N/A,#N/A,FALSE,"Plan1";#N/A,#N/A,FALSE,"Plan2"}</definedName>
    <definedName name="dsjkthkr" localSheetId="10">{#N/A,#N/A,FALSE,"Plan1";#N/A,#N/A,FALSE,"Plan2"}</definedName>
    <definedName name="DSLFJSLFJ" localSheetId="10">{#N/A,#N/A,FALSE,"Plan1";#N/A,#N/A,FALSE,"Plan2"}</definedName>
    <definedName name="dsrffg"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srgdergdrg" localSheetId="10">{#N/A,#N/A,FALSE,"GERAL";#N/A,#N/A,FALSE,"012-96";#N/A,#N/A,FALSE,"018-96";#N/A,#N/A,FALSE,"027-96";#N/A,#N/A,FALSE,"059-96";#N/A,#N/A,FALSE,"076-96";#N/A,#N/A,FALSE,"019-97";#N/A,#N/A,FALSE,"021-97";#N/A,#N/A,FALSE,"022-97";#N/A,#N/A,FALSE,"028-97"}</definedName>
    <definedName name="dss" localSheetId="10">{#N/A,#N/A,FALSE,"Plan1";#N/A,#N/A,FALSE,"Plan2"}</definedName>
    <definedName name="dtgsrytt" localSheetId="10">{#N/A,#N/A,FALSE,"Plan1";#N/A,#N/A,FALSE,"Plan2"}</definedName>
    <definedName name="dtrjkhtrgkfh" localSheetId="10">{#N/A,#N/A,FALSE,"Plan1";#N/A,#N/A,FALSE,"Plan2"}</definedName>
    <definedName name="dttjuk" localSheetId="10">{#N/A,#N/A,FALSE,"Plan1";#N/A,#N/A,FALSE,"Plan2"}</definedName>
    <definedName name="dvtry"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dwetrt" localSheetId="10">{#N/A,#N/A,FALSE,"Plan1";#N/A,#N/A,FALSE,"Plan2"}</definedName>
    <definedName name="DY"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YHYGJDHZKGF" localSheetId="10">{#N/A,#N/A,FALSE,"Plan1";#N/A,#N/A,FALSE,"Plan2"}</definedName>
    <definedName name="dzdfr" localSheetId="10">{#N/A,#N/A,FALSE,"Plan1";#N/A,#N/A,FALSE,"Plan2"}</definedName>
    <definedName name="e"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EC"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EW" localSheetId="10">{#N/A,#N/A,FALSE,"F-01"}</definedName>
    <definedName name="ECEW_1" localSheetId="10">{#N/A,#N/A,FALSE,"F-01"}</definedName>
    <definedName name="ECS"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E" localSheetId="10">{#N/A,#N/A,FALSE,"Plan1";#N/A,#N/A,FALSE,"Plan2"}</definedName>
    <definedName name="eee" localSheetId="10">{#N/A,#N/A,FALSE,"ET-CAPA";#N/A,#N/A,FALSE,"ET-PAG1";#N/A,#N/A,FALSE,"ET-PAG2";#N/A,#N/A,FALSE,"ET-PAG3";#N/A,#N/A,FALSE,"ET-PAG4";#N/A,#N/A,FALSE,"ET-PAG5"}</definedName>
    <definedName name="efestfr" localSheetId="10">{#N/A,#N/A,FALSE,"Plan1";#N/A,#N/A,FALSE,"Plan2"}</definedName>
    <definedName name="efrdrt" localSheetId="10">{#N/A,#N/A,FALSE,"Plan1";#N/A,#N/A,FALSE,"Plan2"}</definedName>
    <definedName name="efrg" localSheetId="10">{#N/A,#N/A,FALSE,"Plan1";#N/A,#N/A,FALSE,"Plan2"}</definedName>
    <definedName name="efsgfr" localSheetId="10">{#N/A,#N/A,FALSE,"Plan1";#N/A,#N/A,FALSE,"Plan2"}</definedName>
    <definedName name="ER" localSheetId="10">{#N/A,#N/A,FALSE,"GERAL";#N/A,#N/A,FALSE,"012-96";#N/A,#N/A,FALSE,"018-96";#N/A,#N/A,FALSE,"027-96";#N/A,#N/A,FALSE,"059-96";#N/A,#N/A,FALSE,"076-96";#N/A,#N/A,FALSE,"019-97";#N/A,#N/A,FALSE,"021-97";#N/A,#N/A,FALSE,"022-97";#N/A,#N/A,FALSE,"028-97"}</definedName>
    <definedName name="ergerge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ergfhyu" localSheetId="10">{#N/A,#N/A,FALSE,"Plan1";#N/A,#N/A,FALSE,"Plan2"}</definedName>
    <definedName name="ESGFDSFD" localSheetId="10">{#N/A,#N/A,FALSE,"Plan1";#N/A,#N/A,FALSE,"Plan2"}</definedName>
    <definedName name="EU" localSheetId="10">{#N/A,#N/A,FALSE,"Plan1";#N/A,#N/A,FALSE,"Plan2"}</definedName>
    <definedName name="EVL" localSheetId="10">{"Econ Consolidado",#N/A,FALSE,"Econ Consol";"Fluxo de Caixa",#N/A,FALSE,"Fluxo Caixa";"Investimentos",#N/A,FALSE,"Investimentos"}</definedName>
    <definedName name="Evol." localSheetId="10">{"Econ Consolidado",#N/A,FALSE,"Econ Consol";"Fluxo de Caixa",#N/A,FALSE,"Fluxo Caixa";"Investimentos",#N/A,FALSE,"Investimentos"}</definedName>
    <definedName name="ewfr" localSheetId="10">{#N/A,#N/A,FALSE,"Plan1";#N/A,#N/A,FALSE,"Plan2"}</definedName>
    <definedName name="eyruieyteta" localSheetId="10">{#N/A,#N/A,FALSE,"Plan1";#N/A,#N/A,FALSE,"Plan2"}</definedName>
    <definedName name="f" localSheetId="10">{#N/A,#N/A,FALSE,"Plan1";#N/A,#N/A,FALSE,"Plan2"}</definedName>
    <definedName name="FAS" localSheetId="10">{"'Total'!$A$1","'Total'!$A$3"}</definedName>
    <definedName name="fasfasf" localSheetId="10">{#N/A,#N/A,TRUE,"Quinzena 01 à 15-04-98 "}</definedName>
    <definedName name="fddhght" localSheetId="10">{#N/A,#N/A,FALSE,"Plan1";#N/A,#N/A,FALSE,"Plan2"}</definedName>
    <definedName name="fdfgd" localSheetId="10">{#N/A,#N/A,FALSE,"Plan1";#N/A,#N/A,FALSE,"Plan2"}</definedName>
    <definedName name="fdfng" localSheetId="10">{#N/A,#N/A,FALSE,"GERAL";#N/A,#N/A,FALSE,"012-96";#N/A,#N/A,FALSE,"018-96";#N/A,#N/A,FALSE,"027-96";#N/A,#N/A,FALSE,"059-96";#N/A,#N/A,FALSE,"076-96";#N/A,#N/A,FALSE,"019-97";#N/A,#N/A,FALSE,"021-97";#N/A,#N/A,FALSE,"022-97";#N/A,#N/A,FALSE,"028-97"}</definedName>
    <definedName name="fdgaf" localSheetId="10">{#N/A,#N/A,FALSE,"Plan1";#N/A,#N/A,FALSE,"Plan2"}</definedName>
    <definedName name="fdgdfg"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FDGFDJHGZEDR" localSheetId="10">{#N/A,#N/A,FALSE,"Plan1";#N/A,#N/A,FALSE,"Plan2"}</definedName>
    <definedName name="fdgfyhygfuj" localSheetId="10">{#N/A,#N/A,FALSE,"Plan1";#N/A,#N/A,FALSE,"Plan2"}</definedName>
    <definedName name="fdhgfdf" localSheetId="10">{#N/A,#N/A,FALSE,"Plan1";#N/A,#N/A,FALSE,"Plan2"}</definedName>
    <definedName name="fdjfgdfjg" localSheetId="10">{#N/A,#N/A,FALSE,"Plan1";#N/A,#N/A,FALSE,"Plan2"}</definedName>
    <definedName name="fdjghkshtygt" localSheetId="10">{#N/A,#N/A,FALSE,"Plan1";#N/A,#N/A,FALSE,"Plan2"}</definedName>
    <definedName name="fdnhgf" localSheetId="10">{"'Estimativa de Lançamento-JAN'!$A$1:$AI$85"}</definedName>
    <definedName name="fdsf" localSheetId="10">{#N/A,#N/A,FALSE,"Plan1";#N/A,#N/A,FALSE,"Plan2"}</definedName>
    <definedName name="fffff" localSheetId="10">{#N/A,#N/A,FALSE,"Plan1";#N/A,#N/A,FALSE,"Plan2"}</definedName>
    <definedName name="FFTY" localSheetId="10">{#N/A,#N/A,FALSE,"GERAL";#N/A,#N/A,FALSE,"012-96";#N/A,#N/A,FALSE,"018-96";#N/A,#N/A,FALSE,"027-96";#N/A,#N/A,FALSE,"059-96";#N/A,#N/A,FALSE,"076-96";#N/A,#N/A,FALSE,"019-97";#N/A,#N/A,FALSE,"021-97";#N/A,#N/A,FALSE,"022-97";#N/A,#N/A,FALSE,"028-97"}</definedName>
    <definedName name="fg" localSheetId="10">{#N/A,#N/A,FALSE,"Plan1";#N/A,#N/A,FALSE,"Plan2"}</definedName>
    <definedName name="fgg" localSheetId="10">{"'장비'!$A$3:$M$12"}</definedName>
    <definedName name="fghfh" localSheetId="10">{"'Estimativa de Lançamento-JAN'!$A$1:$AI$85"}</definedName>
    <definedName name="fghgfh" localSheetId="10">{#N/A,#N/A,FALSE,"Plan1";#N/A,#N/A,FALSE,"Plan2"}</definedName>
    <definedName name="FGJHFGK" localSheetId="10">{#N/A,#N/A,FALSE,"Plan1";#N/A,#N/A,FALSE,"Plan2"}</definedName>
    <definedName name="fgktyhdf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fgtrgty" localSheetId="10">{#N/A,#N/A,FALSE,"Plan1";#N/A,#N/A,FALSE,"Plan2"}</definedName>
    <definedName name="fhgjfgyt" localSheetId="10">{#N/A,#N/A,FALSE,"Plan1";#N/A,#N/A,FALSE,"Plan2"}</definedName>
    <definedName name="fhgjkhtrfg" localSheetId="10">{#N/A,#N/A,FALSE,"Plan1";#N/A,#N/A,FALSE,"Plan2"}</definedName>
    <definedName name="FHGTGSRSG" localSheetId="10">{#N/A,#N/A,FALSE,"Plan1";#N/A,#N/A,FALSE,"Plan2"}</definedName>
    <definedName name="FIELD"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ILTRO" localSheetId="10">{#N/A,#N/A,TRUE,"Quinzena 01 à 15-04-98 "}</definedName>
    <definedName name="fjdhfgjdhtgu" localSheetId="10">{#N/A,#N/A,FALSE,"Plan1";#N/A,#N/A,FALSE,"Plan2"}</definedName>
    <definedName name="fjfjg" localSheetId="10">{#N/A,#N/A,FALSE,"명세표"}</definedName>
    <definedName name="FJGHJ"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FJHJHG" localSheetId="10">{#N/A,#N/A,FALSE,"Plan1";#N/A,#N/A,FALSE,"Plan2"}</definedName>
    <definedName name="fjtgfh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FKF"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kfw" localSheetId="10">{#N/A,#N/A,FALSE,"Plan1";#N/A,#N/A,FALSE,"Plan2"}</definedName>
    <definedName name="fl"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rçt4r" localSheetId="10">{#N/A,#N/A,FALSE,"Plan1";#N/A,#N/A,FALSE,"Plan2"}</definedName>
    <definedName name="frdtty" localSheetId="10">{#N/A,#N/A,FALSE,"Plan1";#N/A,#N/A,FALSE,"Plan2"}</definedName>
    <definedName name="fsdfsf" localSheetId="10">{#N/A,#N/A,FALSE,"GERAL";#N/A,#N/A,FALSE,"012-96";#N/A,#N/A,FALSE,"018-96";#N/A,#N/A,FALSE,"027-96";#N/A,#N/A,FALSE,"059-96";#N/A,#N/A,FALSE,"076-96";#N/A,#N/A,FALSE,"019-97";#N/A,#N/A,FALSE,"021-97";#N/A,#N/A,FALSE,"022-97";#N/A,#N/A,FALSE,"028-97"}</definedName>
    <definedName name="fuihgjk" localSheetId="10">{#N/A,#N/A,FALSE,"Plan1";#N/A,#N/A,FALSE,"Plan2"}</definedName>
    <definedName name="fxjghkfg" localSheetId="10">{#N/A,#N/A,FALSE,"Plan1";#N/A,#N/A,FALSE,"Plan2"}</definedName>
    <definedName name="galo" localSheetId="10">{#N/A,#N/A,FALSE,"GERAL";#N/A,#N/A,FALSE,"012-96";#N/A,#N/A,FALSE,"018-96";#N/A,#N/A,FALSE,"027-96";#N/A,#N/A,FALSE,"059-96";#N/A,#N/A,FALSE,"076-96";#N/A,#N/A,FALSE,"019-97";#N/A,#N/A,FALSE,"021-97";#N/A,#N/A,FALSE,"022-97";#N/A,#N/A,FALSE,"028-97"}</definedName>
    <definedName name="gbdjkvhgd" localSheetId="10">{#N/A,#N/A,FALSE,"Plan1";#N/A,#N/A,FALSE,"Plan2"}</definedName>
    <definedName name="gbdsjgsjfdgj" localSheetId="10">{#N/A,#N/A,FALSE,"Plan1";#N/A,#N/A,FALSE,"Plan2"}</definedName>
    <definedName name="gdfdhgfjgj" localSheetId="10">{#N/A,#N/A,FALSE,"Plan1";#N/A,#N/A,FALSE,"Plan2"}</definedName>
    <definedName name="gdfgdstggt" localSheetId="10">{#N/A,#N/A,FALSE,"Plan1";#N/A,#N/A,FALSE,"Plan2"}</definedName>
    <definedName name="GDFHGRJGFJDRF" localSheetId="10">{"Econ Consolidado",#N/A,FALSE,"Econ Consol";"Fluxo de Caixa",#N/A,FALSE,"Fluxo Caixa";"Investimentos",#N/A,FALSE,"Investimentos"}</definedName>
    <definedName name="gdfigfhuyuy" localSheetId="10">{#N/A,#N/A,FALSE,"Plan1";#N/A,#N/A,FALSE,"Plan2"}</definedName>
    <definedName name="gdfsgfew" localSheetId="10">{#N/A,#N/A,FALSE,"Plan1";#N/A,#N/A,FALSE,"Plan2"}</definedName>
    <definedName name="gdhfgdhfgf" localSheetId="10">{#N/A,#N/A,FALSE,"Plan1";#N/A,#N/A,FALSE,"Plan2"}</definedName>
    <definedName name="gdsfhefrwrw" localSheetId="10">{#N/A,#N/A,FALSE,"Plan1";#N/A,#N/A,FALSE,"Plan2"}</definedName>
    <definedName name="geshrjhed" localSheetId="10">{#N/A,#N/A,FALSE,"Plan1";#N/A,#N/A,FALSE,"Plan2"}</definedName>
    <definedName name="gfdcgnkf" localSheetId="10">{#N/A,#N/A,FALSE,"Plan1";#N/A,#N/A,FALSE,"Plan2"}</definedName>
    <definedName name="gfdjtgur" localSheetId="10">{#N/A,#N/A,FALSE,"Plan1";#N/A,#N/A,FALSE,"Plan2"}</definedName>
    <definedName name="gfgdhxgfdhf" localSheetId="10">{#N/A,#N/A,FALSE,"Plan1";#N/A,#N/A,FALSE,"Plan2"}</definedName>
    <definedName name="gfhfdtgjb" localSheetId="10">{#N/A,#N/A,FALSE,"Plan1";#N/A,#N/A,FALSE,"Plan2"}</definedName>
    <definedName name="gfjdshrtjhtged" localSheetId="10">{#N/A,#N/A,FALSE,"Plan1";#N/A,#N/A,FALSE,"Plan2"}</definedName>
    <definedName name="gfjgkddgfd" localSheetId="10">{#N/A,#N/A,FALSE,"Plan1";#N/A,#N/A,FALSE,"Plan2"}</definedName>
    <definedName name="gfsghjdgygr" localSheetId="10">{#N/A,#N/A,FALSE,"Plan1";#N/A,#N/A,FALSE,"Plan2"}</definedName>
    <definedName name="gftfy" localSheetId="10">{#N/A,#N/A,FALSE,"Plan1";#N/A,#N/A,FALSE,"Plan2"}</definedName>
    <definedName name="gfty" localSheetId="10">{#N/A,#N/A,FALSE,"Plan1";#N/A,#N/A,FALSE,"Plan2"}</definedName>
    <definedName name="GFUJU9" localSheetId="10">{#N/A,#N/A,FALSE,"Plan1";#N/A,#N/A,FALSE,"Plan2"}</definedName>
    <definedName name="ggg"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gggg" localSheetId="10">{"'장비'!$A$3:$M$12"}</definedName>
    <definedName name="gggggggggg"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gh" localSheetId="10">{"'장비'!$A$3:$M$12"}</definedName>
    <definedName name="ghfgdfrtert" localSheetId="10">{#N/A,#N/A,FALSE,"Plan1";#N/A,#N/A,FALSE,"Plan2"}</definedName>
    <definedName name="ghfhghft" localSheetId="10">{#N/A,#N/A,FALSE,"Plan1";#N/A,#N/A,FALSE,"Plan2"}</definedName>
    <definedName name="ghjg" localSheetId="10">{"'Estimativa de Lançamento-JAN'!$A$1:$AI$85"}</definedName>
    <definedName name="ghkfhgh" localSheetId="10">{#N/A,#N/A,FALSE,"Plan1";#N/A,#N/A,FALSE,"Plan2"}</definedName>
    <definedName name="ghkjh" localSheetId="10">{#N/A,#N/A,FALSE,"ENG'G(보호계전기)"}</definedName>
    <definedName name="GJ" localSheetId="10">{#N/A,#N/A,FALSE,"GERAL";#N/A,#N/A,FALSE,"012-96";#N/A,#N/A,FALSE,"018-96";#N/A,#N/A,FALSE,"027-96";#N/A,#N/A,FALSE,"059-96";#N/A,#N/A,FALSE,"076-96";#N/A,#N/A,FALSE,"019-97";#N/A,#N/A,FALSE,"021-97";#N/A,#N/A,FALSE,"022-97";#N/A,#N/A,FALSE,"028-97"}</definedName>
    <definedName name="gjfhjktgcf" localSheetId="10">{#N/A,#N/A,FALSE,"Plan1";#N/A,#N/A,FALSE,"Plan2"}</definedName>
    <definedName name="GJG"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gjgh" localSheetId="10">{#N/A,#N/A,FALSE,"GERAL";#N/A,#N/A,FALSE,"012-96";#N/A,#N/A,FALSE,"018-96";#N/A,#N/A,FALSE,"027-96";#N/A,#N/A,FALSE,"059-96";#N/A,#N/A,FALSE,"076-96";#N/A,#N/A,FALSE,"019-97";#N/A,#N/A,FALSE,"021-97";#N/A,#N/A,FALSE,"022-97";#N/A,#N/A,FALSE,"028-97"}</definedName>
    <definedName name="GJK" localSheetId="10">{#N/A,#N/A,FALSE,"GERAL";#N/A,#N/A,FALSE,"012-96";#N/A,#N/A,FALSE,"018-96";#N/A,#N/A,FALSE,"027-96";#N/A,#N/A,FALSE,"059-96";#N/A,#N/A,FALSE,"076-96";#N/A,#N/A,FALSE,"019-97";#N/A,#N/A,FALSE,"021-97";#N/A,#N/A,FALSE,"022-97";#N/A,#N/A,FALSE,"028-97"}</definedName>
    <definedName name="gjkhgjhjfggfjhfg" localSheetId="10">{#N/A,#N/A,FALSE,"Plan1";#N/A,#N/A,FALSE,"Plan2"}</definedName>
    <definedName name="glgl" localSheetId="10">{#N/A,#N/A,FALSE,"Plan1";#N/A,#N/A,FALSE,"Plan2"}</definedName>
    <definedName name="global" localSheetId="10">{"'Estimativa de Lançamento-JAN'!$A$1:$AI$85"}</definedName>
    <definedName name="gnfrth"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GSDWJSTGE"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gtuigsdyugsdf" localSheetId="10">{#N/A,#N/A,FALSE,"Plan1";#N/A,#N/A,FALSE,"Plan2"}</definedName>
    <definedName name="GUI" localSheetId="10">{#N/A,#N/A,FALSE,"GERAL";#N/A,#N/A,FALSE,"012-96";#N/A,#N/A,FALSE,"018-96";#N/A,#N/A,FALSE,"027-96";#N/A,#N/A,FALSE,"059-96";#N/A,#N/A,FALSE,"076-96";#N/A,#N/A,FALSE,"019-97";#N/A,#N/A,FALSE,"021-97";#N/A,#N/A,FALSE,"022-97";#N/A,#N/A,FALSE,"028-97"}</definedName>
    <definedName name="GV" localSheetId="10">{#N/A,#N/A,FALSE,"CCTV"}</definedName>
    <definedName name="hcjfkhdghfktg" localSheetId="10">{#N/A,#N/A,FALSE,"Plan1";#N/A,#N/A,FALSE,"Plan2"}</definedName>
    <definedName name="hddfndgdfg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HDFGHGST" localSheetId="10">{#N/A,#N/A,FALSE,"Plan1";#N/A,#N/A,FALSE,"Plan2"}</definedName>
    <definedName name="HDFGJKHKFDHTY" localSheetId="10">{#N/A,#N/A,FALSE,"Plan1";#N/A,#N/A,FALSE,"Plan2"}</definedName>
    <definedName name="hdfhdhrtgd" localSheetId="10">{#N/A,#N/A,FALSE,"Plan1";#N/A,#N/A,FALSE,"Plan2"}</definedName>
    <definedName name="hdfhftde" localSheetId="10">{#N/A,#N/A,FALSE,"Plan1";#N/A,#N/A,FALSE,"Plan2"}</definedName>
    <definedName name="hdfhgkdhgtrf" localSheetId="10">{#N/A,#N/A,FALSE,"Plan1";#N/A,#N/A,FALSE,"Plan2"}</definedName>
    <definedName name="hdfjhdkzhgdr" localSheetId="10">{#N/A,#N/A,FALSE,"Plan1";#N/A,#N/A,FALSE,"Plan2"}</definedName>
    <definedName name="hdfjkgvjgtd" localSheetId="10">{#N/A,#N/A,FALSE,"Plan1";#N/A,#N/A,FALSE,"Plan2"}</definedName>
    <definedName name="hdfjkhdhrute" localSheetId="10">{#N/A,#N/A,FALSE,"Plan1";#N/A,#N/A,FALSE,"Plan2"}</definedName>
    <definedName name="HDFKGVF" localSheetId="10">{#N/A,#N/A,FALSE,"Plan1";#N/A,#N/A,FALSE,"Plan2"}</definedName>
    <definedName name="hdgfhdgtdrt" localSheetId="10">{#N/A,#N/A,FALSE,"Plan1";#N/A,#N/A,FALSE,"Plan2"}</definedName>
    <definedName name="hdghgtgtrgd" localSheetId="10">{#N/A,#N/A,FALSE,"Plan1";#N/A,#N/A,FALSE,"Plan2"}</definedName>
    <definedName name="HDHDGHTUHDTG" localSheetId="10">{#N/A,#N/A,FALSE,"Plan1";#N/A,#N/A,FALSE,"Plan2"}</definedName>
    <definedName name="hdhghfthrrhy" localSheetId="10">{#N/A,#N/A,FALSE,"Plan1";#N/A,#N/A,FALSE,"Plan2"}</definedName>
    <definedName name="hdkfjhydjh" localSheetId="10">{#N/A,#N/A,FALSE,"Plan1";#N/A,#N/A,FALSE,"Plan2"}</definedName>
    <definedName name="hdsgfgrrdgr" localSheetId="10">{#N/A,#N/A,FALSE,"Plan1";#N/A,#N/A,FALSE,"Plan2"}</definedName>
    <definedName name="hdtertkkdsa" localSheetId="10">{#N/A,#N/A,FALSE,"Plan1";#N/A,#N/A,FALSE,"Plan2"}</definedName>
    <definedName name="HEDHA" localSheetId="10">{#N/A,#N/A,FALSE,"Plan1";#N/A,#N/A,FALSE,"Plan2"}</definedName>
    <definedName name="heife"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herkfdshfker" localSheetId="10">{#N/A,#N/A,FALSE,"Plan1";#N/A,#N/A,FALSE,"Plan2"}</definedName>
    <definedName name="hersdtretyt" localSheetId="10">{#N/A,#N/A,FALSE,"Plan1";#N/A,#N/A,FALSE,"Plan2"}</definedName>
    <definedName name="HFDJTHTRS"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HFDKHGFR" localSheetId="10">{#N/A,#N/A,FALSE,"Plan1";#N/A,#N/A,FALSE,"Plan2"}</definedName>
    <definedName name="hfdkhgkfdhtj" localSheetId="10">{#N/A,#N/A,FALSE,"Plan1";#N/A,#N/A,FALSE,"Plan2"}</definedName>
    <definedName name="hfgfktgkhyt" localSheetId="10">{#N/A,#N/A,FALSE,"Plan1";#N/A,#N/A,FALSE,"Plan2"}</definedName>
    <definedName name="hfghdkhrgkjg" localSheetId="10">{#N/A,#N/A,FALSE,"Plan1";#N/A,#N/A,FALSE,"Plan2"}</definedName>
    <definedName name="hfighfth" localSheetId="10">{#N/A,#N/A,FALSE,"Plan1";#N/A,#N/A,FALSE,"Plan2"}</definedName>
    <definedName name="hfjghtfuyrf" localSheetId="10">{#N/A,#N/A,FALSE,"Plan1";#N/A,#N/A,FALSE,"Plan2"}</definedName>
    <definedName name="HFKJHDJGHFJ" localSheetId="10">{#N/A,#N/A,FALSE,"Plan1";#N/A,#N/A,FALSE,"Plan2"}</definedName>
    <definedName name="hgdesgfgsj" localSheetId="10">{#N/A,#N/A,FALSE,"Plan1";#N/A,#N/A,FALSE,"Plan2"}</definedName>
    <definedName name="hgdgfd" localSheetId="10">{#N/A,#N/A,FALSE,"Plan1";#N/A,#N/A,FALSE,"Plan2"}</definedName>
    <definedName name="hgfhjkdfhj" localSheetId="10">{#N/A,#N/A,FALSE,"Plan1";#N/A,#N/A,FALSE,"Plan2"}</definedName>
    <definedName name="hgg" localSheetId="10">{#N/A,#N/A,FALSE,"Plan1";#N/A,#N/A,FALSE,"Plan2"}</definedName>
    <definedName name="hgjdfgghg" localSheetId="10">{#N/A,#N/A,FALSE,"Plan1";#N/A,#N/A,FALSE,"Plan2"}</definedName>
    <definedName name="hgjkfdhg" localSheetId="10">{#N/A,#N/A,FALSE,"Plan1";#N/A,#N/A,FALSE,"Plan2"}</definedName>
    <definedName name="hgkdfhkfk" localSheetId="10">{#N/A,#N/A,FALSE,"Plan1";#N/A,#N/A,FALSE,"Plan2"}</definedName>
    <definedName name="hgkjhdfhtrdyt" localSheetId="10">{#N/A,#N/A,FALSE,"Plan1";#N/A,#N/A,FALSE,"Plan2"}</definedName>
    <definedName name="hgkjhdfkhgtfhg" localSheetId="10">{#N/A,#N/A,FALSE,"Plan1";#N/A,#N/A,FALSE,"Plan2"}</definedName>
    <definedName name="hgkjhkfhsdkdhgk" localSheetId="10">{#N/A,#N/A,FALSE,"Plan1";#N/A,#N/A,FALSE,"Plan2"}</definedName>
    <definedName name="hgsufgdhghd" localSheetId="10">{#N/A,#N/A,FALSE,"Plan1";#N/A,#N/A,FALSE,"Plan2"}</definedName>
    <definedName name="HHGFHTYUT" localSheetId="10">{#N/A,#N/A,FALSE,"Plan1";#N/A,#N/A,FALSE,"Plan2"}</definedName>
    <definedName name="hhh" localSheetId="10">{"'Total'!$A$1","'Total'!$A$3"}</definedName>
    <definedName name="hik" localSheetId="10">{#N/A,#N/A,FALSE,"TABLE"}</definedName>
    <definedName name="hjdgtjdjxrfg" localSheetId="10">{#N/A,#N/A,FALSE,"Plan1";#N/A,#N/A,FALSE,"Plan2"}</definedName>
    <definedName name="HJFDGD" localSheetId="10">{#N/A,#N/A,FALSE,"Plan1";#N/A,#N/A,FALSE,"Plan2"}</definedName>
    <definedName name="HJGASD" localSheetId="10">{#N/A,#N/A,FALSE,"Plan1";#N/A,#N/A,FALSE,"Plan2"}</definedName>
    <definedName name="HJGFGTFDG" localSheetId="10">{#N/A,#N/A,FALSE,"Plan1";#N/A,#N/A,FALSE,"Plan2"}</definedName>
    <definedName name="hjgfhdsgfhsd" localSheetId="10">{#N/A,#N/A,FALSE,"Plan1";#N/A,#N/A,FALSE,"Plan2"}</definedName>
    <definedName name="hjgxfjgdjyftr" localSheetId="10">{#N/A,#N/A,FALSE,"Plan1";#N/A,#N/A,FALSE,"Plan2"}</definedName>
    <definedName name="hjgyugasd" localSheetId="10">{#N/A,#N/A,FALSE,"Plan1";#N/A,#N/A,FALSE,"Plan2"}</definedName>
    <definedName name="hjjfyfy" localSheetId="10">{#N/A,#N/A,FALSE,"Plan1";#N/A,#N/A,FALSE,"Plan2"}</definedName>
    <definedName name="hjkchkvjhdjkgh" localSheetId="10">{#N/A,#N/A,FALSE,"Plan1";#N/A,#N/A,FALSE,"Plan2"}</definedName>
    <definedName name="hjkfjdyht" localSheetId="10">{#N/A,#N/A,FALSE,"Plan1";#N/A,#N/A,FALSE,"Plan2"}</definedName>
    <definedName name="hjsdffe"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hjsdkhk" localSheetId="10">{#N/A,#N/A,FALSE,"Plan1";#N/A,#N/A,FALSE,"Plan2"}</definedName>
    <definedName name="hjsrdfre" localSheetId="10">{"Econ Consolidado",#N/A,FALSE,"Econ Consol";"Fluxo de Caixa",#N/A,FALSE,"Fluxo Caixa";"Investimentos",#N/A,FALSE,"Investimentos"}</definedName>
    <definedName name="HKewewsr" localSheetId="10">{#N/A,#N/A,FALSE,"Plan1";#N/A,#N/A,FALSE,"Plan2"}</definedName>
    <definedName name="hkhdskacd" localSheetId="10">{#N/A,#N/A,FALSE,"Plan1";#N/A,#N/A,FALSE,"Plan2"}</definedName>
    <definedName name="hkjfgfhgfh" localSheetId="10">{#N/A,#N/A,FALSE,"Plan1";#N/A,#N/A,FALSE,"Plan2"}</definedName>
    <definedName name="hkjfhgjkfhghfg" localSheetId="10">{#N/A,#N/A,FALSE,"Plan1";#N/A,#N/A,FALSE,"Plan2"}</definedName>
    <definedName name="HKLZHFRH" localSheetId="10">{#N/A,#N/A,FALSE,"Plan1";#N/A,#N/A,FALSE,"Plan2"}</definedName>
    <definedName name="ho" localSheetId="10">{#N/A,#N/A,FALSE,"TABLE"}</definedName>
    <definedName name="hrterte" localSheetId="10">{#N/A,#N/A,FALSE,"Plan1";#N/A,#N/A,FALSE,"Plan2"}</definedName>
    <definedName name="hsdf" localSheetId="10">{#N/A,#N/A,FALSE,"Plan1";#N/A,#N/A,FALSE,"Plan2"}</definedName>
    <definedName name="hsdfgdgudrt" localSheetId="10">{#N/A,#N/A,FALSE,"Plan1";#N/A,#N/A,FALSE,"Plan2"}</definedName>
    <definedName name="hsdfjkdhur" localSheetId="10">{#N/A,#N/A,FALSE,"Plan1";#N/A,#N/A,FALSE,"Plan2"}</definedName>
    <definedName name="hsdgftdht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hsdjffd" localSheetId="10">{#N/A,#N/A,FALSE,"Plan1";#N/A,#N/A,FALSE,"Plan2"}</definedName>
    <definedName name="hsdjffe" localSheetId="10">{#N/A,#N/A,FALSE,"Plan1";#N/A,#N/A,FALSE,"Plan2"}</definedName>
    <definedName name="HSFIHDTR" localSheetId="10">{"Econ Consolidado",#N/A,FALSE,"Econ Consol";"Fluxo de Caixa",#N/A,FALSE,"Fluxo Caixa";"Investimentos",#N/A,FALSE,"Investimentos"}</definedName>
    <definedName name="hsfjkdshrgf" localSheetId="10">{#N/A,#N/A,FALSE,"Plan1";#N/A,#N/A,FALSE,"Plan2"}</definedName>
    <definedName name="hthhrtetdre" localSheetId="10">{#N/A,#N/A,FALSE,"Plan1";#N/A,#N/A,FALSE,"Plan2"}</definedName>
    <definedName name="HTML_Control" localSheetId="10">{"'장비'!$A$3:$M$12"}</definedName>
    <definedName name="HTML2_CONTROL" localSheetId="10">{"'Estimativa de Lançamento-JAN'!$A$1:$AI$85"}</definedName>
    <definedName name="HTML3_CONTROL" localSheetId="10">{"'Estimativa de Lançamento-JAN'!$A$1:$AI$85"}</definedName>
    <definedName name="HTMLControl" localSheetId="10">{"'Edit'!$A$1:$V$2277"}</definedName>
    <definedName name="HVJKHGKFXHFD" localSheetId="10">{#N/A,#N/A,FALSE,"Plan1";#N/A,#N/A,FALSE,"Plan2"}</definedName>
    <definedName name="hwekjhekhf" localSheetId="10">{#N/A,#N/A,FALSE,"Plan1";#N/A,#N/A,FALSE,"Plan2"}</definedName>
    <definedName name="HXFRE" localSheetId="10">{#N/A,#N/A,FALSE,"Plan1";#N/A,#N/A,FALSE,"Plan2"}</definedName>
    <definedName name="HXKJFGDKHG" localSheetId="10">{#N/A,#N/A,FALSE,"Plan1";#N/A,#N/A,FALSE,"Plan2"}</definedName>
    <definedName name="idfhgkjhfkthy" localSheetId="10">{#N/A,#N/A,FALSE,"Plan1";#N/A,#N/A,FALSE,"Plan2"}</definedName>
    <definedName name="ieroweft" localSheetId="10">{#N/A,#N/A,FALSE,"Plan1";#N/A,#N/A,FALSE,"Plan2"}</definedName>
    <definedName name="iewpotqi5poejy" localSheetId="10">{#N/A,#N/A,FALSE,"Plan1";#N/A,#N/A,FALSE,"Plan2"}</definedName>
    <definedName name="ihdfifguhgfuiyh"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ihdsitrr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ihfdkjhktgrd" localSheetId="10">{#N/A,#N/A,FALSE,"Plan1";#N/A,#N/A,FALSE,"Plan2"}</definedName>
    <definedName name="ihrtetw4r" localSheetId="10">{#N/A,#N/A,FALSE,"Plan1";#N/A,#N/A,FALSE,"Plan2"}</definedName>
    <definedName name="IIASDSAWE" localSheetId="10">{"Econ Consolidado",#N/A,FALSE,"Econ Consol";"Fluxo de Caixa",#N/A,FALSE,"Fluxo Caixa";"Investimentos",#N/A,FALSE,"Investimentos"}</definedName>
    <definedName name="iinstalações" localSheetId="10">{#N/A,#N/A,FALSE,"GERAL";#N/A,#N/A,FALSE,"012-96";#N/A,#N/A,FALSE,"018-96";#N/A,#N/A,FALSE,"027-96";#N/A,#N/A,FALSE,"059-96";#N/A,#N/A,FALSE,"076-96";#N/A,#N/A,FALSE,"019-97";#N/A,#N/A,FALSE,"021-97";#N/A,#N/A,FALSE,"022-97";#N/A,#N/A,FALSE,"028-97"}</definedName>
    <definedName name="ilhweilrji4e" localSheetId="10">{#N/A,#N/A,FALSE,"Plan1";#N/A,#N/A,FALSE,"Plan2"}</definedName>
    <definedName name="ilsdr4wf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Insatalações" localSheetId="10">{#N/A,#N/A,FALSE,"GERAL";#N/A,#N/A,FALSE,"012-96";#N/A,#N/A,FALSE,"018-96";#N/A,#N/A,FALSE,"027-96";#N/A,#N/A,FALSE,"059-96";#N/A,#N/A,FALSE,"076-96";#N/A,#N/A,FALSE,"019-97";#N/A,#N/A,FALSE,"021-97";#N/A,#N/A,FALSE,"022-97";#N/A,#N/A,FALSE,"028-97"}</definedName>
    <definedName name="instalaçoes2" localSheetId="10">{#N/A,#N/A,FALSE,"GERAL";#N/A,#N/A,FALSE,"012-96";#N/A,#N/A,FALSE,"018-96";#N/A,#N/A,FALSE,"027-96";#N/A,#N/A,FALSE,"059-96";#N/A,#N/A,FALSE,"076-96";#N/A,#N/A,FALSE,"019-97";#N/A,#N/A,FALSE,"021-97";#N/A,#N/A,FALSE,"022-97";#N/A,#N/A,FALSE,"028-97"}</definedName>
    <definedName name="INTEGRA" localSheetId="10">{"'Edit'!$A$1:$V$2277"}</definedName>
    <definedName name="ioeriotyt" localSheetId="10">{#N/A,#N/A,FALSE,"Plan1";#N/A,#N/A,FALSE,"Plan2"}</definedName>
    <definedName name="iohudtorh" localSheetId="10">{#N/A,#N/A,FALSE,"Plan1";#N/A,#N/A,FALSE,"Plan2"}</definedName>
    <definedName name="iojtkheayed" localSheetId="10">{#N/A,#N/A,FALSE,"Plan1";#N/A,#N/A,FALSE,"Plan2"}</definedName>
    <definedName name="iouweroieuw4" localSheetId="10">{#N/A,#N/A,FALSE,"Plan1";#N/A,#N/A,FALSE,"Plan2"}</definedName>
    <definedName name="iphifpgh" localSheetId="10">{#N/A,#N/A,FALSE,"Plan1";#N/A,#N/A,FALSE,"Plan2"}</definedName>
    <definedName name="ipodsifgpds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ipotjrjketjr" localSheetId="10">{#N/A,#N/A,FALSE,"Plan1";#N/A,#N/A,FALSE,"Plan2"}</definedName>
    <definedName name="ITEM별상세업무분장"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UGFGDFUY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iyguygiyt" localSheetId="10">{#N/A,#N/A,FALSE,"Plan1";#N/A,#N/A,FALSE,"Plan2"}</definedName>
    <definedName name="iyuyheturtd" localSheetId="10">{#N/A,#N/A,FALSE,"Plan1";#N/A,#N/A,FALSE,"Plan2"}</definedName>
    <definedName name="j"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jalejdasjf" localSheetId="10">{#N/A,#N/A,FALSE,"Plan1";#N/A,#N/A,FALSE,"Plan2"}</definedName>
    <definedName name="JASDJS" localSheetId="10">{#N/A,#N/A,FALSE,"Plan1";#N/A,#N/A,FALSE,"Plan2"}</definedName>
    <definedName name="jaskldjlse" localSheetId="10">{#N/A,#N/A,FALSE,"Plan1";#N/A,#N/A,FALSE,"Plan2"}</definedName>
    <definedName name="JASLDKLD" localSheetId="10">{#N/A,#N/A,FALSE,"Plan1";#N/A,#N/A,FALSE,"Plan2"}</definedName>
    <definedName name="JÇDFHDF" localSheetId="10">{"Econ Consolidado",#N/A,FALSE,"Econ Consol";"Fluxo de Caixa",#N/A,FALSE,"Fluxo Caixa";"Investimentos",#N/A,FALSE,"Investimentos"}</definedName>
    <definedName name="jdbgftbhr" localSheetId="10">{#N/A,#N/A,FALSE,"Plan1";#N/A,#N/A,FALSE,"Plan2"}</definedName>
    <definedName name="jdfgldfjgklh" localSheetId="10">{#N/A,#N/A,FALSE,"Plan1";#N/A,#N/A,FALSE,"Plan2"}</definedName>
    <definedName name="jdfhjkdrhjtkg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jdfjdtrgt" localSheetId="10">{#N/A,#N/A,FALSE,"Plan1";#N/A,#N/A,FALSE,"Plan2"}</definedName>
    <definedName name="JDFJLDJR" localSheetId="10">{#N/A,#N/A,FALSE,"Plan1";#N/A,#N/A,FALSE,"Plan2"}</definedName>
    <definedName name="jdfkgitfgdrtt" localSheetId="10">{#N/A,#N/A,FALSE,"Plan1";#N/A,#N/A,FALSE,"Plan2"}</definedName>
    <definedName name="JDFKHFKJ" localSheetId="10">{#N/A,#N/A,FALSE,"Plan1";#N/A,#N/A,FALSE,"Plan2"}</definedName>
    <definedName name="jdfklgtdtr" localSheetId="10">{#N/A,#N/A,FALSE,"Plan1";#N/A,#N/A,FALSE,"Plan2"}</definedName>
    <definedName name="JDFKTHRT" localSheetId="10">{#N/A,#N/A,FALSE,"Plan1";#N/A,#N/A,FALSE,"Plan2"}</definedName>
    <definedName name="JDFLKJDRF" localSheetId="10">{#N/A,#N/A,FALSE,"Plan1";#N/A,#N/A,FALSE,"Plan2"}</definedName>
    <definedName name="jdfzlkjgfdht" localSheetId="10">{#N/A,#N/A,FALSE,"Plan1";#N/A,#N/A,FALSE,"Plan2"}</definedName>
    <definedName name="jdglhfghkt" localSheetId="10">{#N/A,#N/A,FALSE,"Plan1";#N/A,#N/A,FALSE,"Plan2"}</definedName>
    <definedName name="jdhfjdhgfd" localSheetId="10">{#N/A,#N/A,FALSE,"Plan1";#N/A,#N/A,FALSE,"Plan2"}</definedName>
    <definedName name="jdjdjdjd" localSheetId="10">{#N/A,#N/A,FALSE,"명세표"}</definedName>
    <definedName name="jdkfhgjhf" localSheetId="10">{#N/A,#N/A,FALSE,"Plan1";#N/A,#N/A,FALSE,"Plan2"}</definedName>
    <definedName name="jdkfjdtr" localSheetId="10">{#N/A,#N/A,FALSE,"Plan1";#N/A,#N/A,FALSE,"Plan2"}</definedName>
    <definedName name="jdljgftldjti5r" localSheetId="10">{#N/A,#N/A,FALSE,"Plan1";#N/A,#N/A,FALSE,"Plan2"}</definedName>
    <definedName name="JDLKJDASGF" localSheetId="10">{#N/A,#N/A,FALSE,"Plan1";#N/A,#N/A,FALSE,"Plan2"}</definedName>
    <definedName name="jdrfkdjfghrtfjg" localSheetId="10">{#N/A,#N/A,FALSE,"Plan1";#N/A,#N/A,FALSE,"Plan2"}</definedName>
    <definedName name="jdskfhdk" localSheetId="10">{#N/A,#N/A,FALSE,"Plan1";#N/A,#N/A,FALSE,"Plan2"}</definedName>
    <definedName name="JDSKLGKDRHGGF" localSheetId="10">{#N/A,#N/A,FALSE,"Plan1";#N/A,#N/A,FALSE,"Plan2"}</definedName>
    <definedName name="jefsgfr" localSheetId="10">{#N/A,#N/A,FALSE,"Plan1";#N/A,#N/A,FALSE,"Plan2"}</definedName>
    <definedName name="JERHIEHYURE" localSheetId="10">{#N/A,#N/A,FALSE,"Plan1";#N/A,#N/A,FALSE,"Plan2"}</definedName>
    <definedName name="jfddlsrtyty" localSheetId="10">{#N/A,#N/A,FALSE,"Plan1";#N/A,#N/A,FALSE,"Plan2"}</definedName>
    <definedName name="jfdjtgdjghitfyh" localSheetId="10">{#N/A,#N/A,FALSE,"Plan1";#N/A,#N/A,FALSE,"Plan2"}</definedName>
    <definedName name="jfdkgkftftg" localSheetId="10">{#N/A,#N/A,FALSE,"Plan1";#N/A,#N/A,FALSE,"Plan2"}</definedName>
    <definedName name="jfghjkfdhtkyru"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JFGJYHTY" localSheetId="10">{#N/A,#N/A,FALSE,"Plan1";#N/A,#N/A,FALSE,"Plan2"}</definedName>
    <definedName name="jfgkflcnjkglc" localSheetId="10">{#N/A,#N/A,FALSE,"Plan1";#N/A,#N/A,FALSE,"Plan2"}</definedName>
    <definedName name="JFHRE" localSheetId="10">{#N/A,#N/A,FALSE,"Plan1";#N/A,#N/A,FALSE,"Plan2"}</definedName>
    <definedName name="jfkdls5jtirjd" localSheetId="10">{#N/A,#N/A,FALSE,"Plan1";#N/A,#N/A,FALSE,"Plan2"}</definedName>
    <definedName name="jfkljdkfcj" localSheetId="10">{#N/A,#N/A,FALSE,"Plan1";#N/A,#N/A,FALSE,"Plan2"}</definedName>
    <definedName name="jfkrhdtghdut" localSheetId="10">{#N/A,#N/A,FALSE,"Plan1";#N/A,#N/A,FALSE,"Plan2"}</definedName>
    <definedName name="JFRESR" localSheetId="10">{#N/A,#N/A,FALSE,"Plan1";#N/A,#N/A,FALSE,"Plan2"}</definedName>
    <definedName name="jgdfdgfjgdj" localSheetId="10">{#N/A,#N/A,FALSE,"Plan1";#N/A,#N/A,FALSE,"Plan2"}</definedName>
    <definedName name="jgdfght" localSheetId="10">{#N/A,#N/A,FALSE,"Plan1";#N/A,#N/A,FALSE,"Plan2"}</definedName>
    <definedName name="jgfgdsgfdhrf" localSheetId="10">{#N/A,#N/A,FALSE,"Plan1";#N/A,#N/A,FALSE,"Plan2"}</definedName>
    <definedName name="JGFJGTFT" localSheetId="10">{#N/A,#N/A,FALSE,"Plan1";#N/A,#N/A,FALSE,"Plan2"}</definedName>
    <definedName name="jgkjkhjuftgi" localSheetId="10">{#N/A,#N/A,FALSE,"Plan1";#N/A,#N/A,FALSE,"Plan2"}</definedName>
    <definedName name="jhd"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jhdfjjhirft" localSheetId="10">{#N/A,#N/A,FALSE,"Plan1";#N/A,#N/A,FALSE,"Plan2"}</definedName>
    <definedName name="jhdfjkhtrdhf" localSheetId="10">{#N/A,#N/A,FALSE,"Plan1";#N/A,#N/A,FALSE,"Plan2"}</definedName>
    <definedName name="jhdfuthr" localSheetId="10">{#N/A,#N/A,FALSE,"Plan1";#N/A,#N/A,FALSE,"Plan2"}</definedName>
    <definedName name="JHDFZGRDHF" localSheetId="10">{"Econ Consolidado",#N/A,FALSE,"Econ Consol";"Fluxo de Caixa",#N/A,FALSE,"Fluxo Caixa";"Investimentos",#N/A,FALSE,"Investimentos"}</definedName>
    <definedName name="JHERKHKFGH" localSheetId="10">{#N/A,#N/A,FALSE,"Plan1";#N/A,#N/A,FALSE,"Plan2"}</definedName>
    <definedName name="JHGKJFJFJGL" localSheetId="10">{#N/A,#N/A,FALSE,"Plan1";#N/A,#N/A,FALSE,"Plan2"}</definedName>
    <definedName name="jhsdjkhfuks" localSheetId="10">{#N/A,#N/A,FALSE,"Plan1";#N/A,#N/A,FALSE,"Plan2"}</definedName>
    <definedName name="jisdrkje" localSheetId="10">{#N/A,#N/A,FALSE,"Plan1";#N/A,#N/A,FALSE,"Plan2"}</definedName>
    <definedName name="jishfrieyhtau" localSheetId="10">{#N/A,#N/A,FALSE,"Plan1";#N/A,#N/A,FALSE,"Plan2"}</definedName>
    <definedName name="jiu"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jj" localSheetId="10">{"'Apr-00'!$B$4:$AD$44"}</definedName>
    <definedName name="jjfdsktyhhy" localSheetId="10">{#N/A,#N/A,FALSE,"Plan1";#N/A,#N/A,FALSE,"Plan2"}</definedName>
    <definedName name="jjkjkjk" localSheetId="10">{#N/A,#N/A,FALSE,"Plan1";#N/A,#N/A,FALSE,"Plan2"}</definedName>
    <definedName name="JKDCK" localSheetId="10">{#N/A,#N/A,FALSE,"Plan1";#N/A,#N/A,FALSE,"Plan2"}</definedName>
    <definedName name="JKDFHKHFR" localSheetId="10">{#N/A,#N/A,FALSE,"Plan1";#N/A,#N/A,FALSE,"Plan2"}</definedName>
    <definedName name="JKDFTRDRJ" localSheetId="10">{#N/A,#N/A,FALSE,"Plan1";#N/A,#N/A,FALSE,"Plan2"}</definedName>
    <definedName name="jkdhfukhddf" localSheetId="10">{#N/A,#N/A,FALSE,"Plan1";#N/A,#N/A,FALSE,"Plan2"}</definedName>
    <definedName name="JKDRKGJHTDR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jkelsjreja" localSheetId="10">{#N/A,#N/A,FALSE,"Plan1";#N/A,#N/A,FALSE,"Plan2"}</definedName>
    <definedName name="jkfhjgkfhghh" localSheetId="10">{#N/A,#N/A,FALSE,"Plan1";#N/A,#N/A,FALSE,"Plan2"}</definedName>
    <definedName name="jkhderjkhes" localSheetId="10">{#N/A,#N/A,FALSE,"Plan1";#N/A,#N/A,FALSE,"Plan2"}</definedName>
    <definedName name="jkhdfhfd" localSheetId="10">{#N/A,#N/A,FALSE,"Plan1";#N/A,#N/A,FALSE,"Plan2"}</definedName>
    <definedName name="jkhfhest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JKHFKJHGKFTHUDET" localSheetId="10">{#N/A,#N/A,FALSE,"Plan1";#N/A,#N/A,FALSE,"Plan2"}</definedName>
    <definedName name="JKHGDHFUHTG" localSheetId="10">{#N/A,#N/A,FALSE,"Plan1";#N/A,#N/A,FALSE,"Plan2"}</definedName>
    <definedName name="jkhsdzjkfyiu" localSheetId="10">{#N/A,#N/A,FALSE,"Plan1";#N/A,#N/A,FALSE,"Plan2"}</definedName>
    <definedName name="jkjsdkhfdhrf" localSheetId="10">{#N/A,#N/A,FALSE,"Plan1";#N/A,#N/A,FALSE,"Plan2"}</definedName>
    <definedName name="jklgfsjgtjtg" localSheetId="10">{#N/A,#N/A,FALSE,"Plan1";#N/A,#N/A,FALSE,"Plan2"}</definedName>
    <definedName name="jksldfjsdhf" localSheetId="10">{#N/A,#N/A,FALSE,"Plan1";#N/A,#N/A,FALSE,"Plan2"}</definedName>
    <definedName name="jkxhcjkhfr" localSheetId="10">{#N/A,#N/A,FALSE,"Plan1";#N/A,#N/A,FALSE,"Plan2"}</definedName>
    <definedName name="JNGCKFKJFGH" localSheetId="10">{#N/A,#N/A,FALSE,"Plan1";#N/A,#N/A,FALSE,"Plan2"}</definedName>
    <definedName name="JREJRW" localSheetId="10">{#N/A,#N/A,FALSE,"Plan1";#N/A,#N/A,FALSE,"Plan2"}</definedName>
    <definedName name="JSADKAH" localSheetId="10">{"Econ Consolidado",#N/A,FALSE,"Econ Consol";"Fluxo de Caixa",#N/A,FALSE,"Fluxo Caixa";"Investimentos",#N/A,FALSE,"Investimentos"}</definedName>
    <definedName name="JSDAJRE" localSheetId="10">{#N/A,#N/A,FALSE,"Plan1";#N/A,#N/A,FALSE,"Plan2"}</definedName>
    <definedName name="jsdffsed"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jsdfjgx" localSheetId="10">{#N/A,#N/A,FALSE,"Plan1";#N/A,#N/A,FALSE,"Plan2"}</definedName>
    <definedName name="jsdfsdfd" localSheetId="10">{#N/A,#N/A,FALSE,"Plan1";#N/A,#N/A,FALSE,"Plan2"}</definedName>
    <definedName name="jsdljficd" localSheetId="10">{#N/A,#N/A,FALSE,"Plan1";#N/A,#N/A,FALSE,"Plan2"}</definedName>
    <definedName name="JSDTLFJDRG" localSheetId="10">{#N/A,#N/A,FALSE,"Plan1";#N/A,#N/A,FALSE,"Plan2"}</definedName>
    <definedName name="jsfjsjferwea" localSheetId="10">{#N/A,#N/A,FALSE,"Plan1";#N/A,#N/A,FALSE,"Plan2"}</definedName>
    <definedName name="jslrjer" localSheetId="10">{#N/A,#N/A,FALSE,"Plan1";#N/A,#N/A,FALSE,"Plan2"}</definedName>
    <definedName name="juklhkhdf" localSheetId="10">{#N/A,#N/A,FALSE,"Plan1";#N/A,#N/A,FALSE,"Plan2"}</definedName>
    <definedName name="JULHO99" localSheetId="10">{#N/A,#N/A,TRUE,"Quinzena 01 à 15-04-98 "}</definedName>
    <definedName name="jwekljd" localSheetId="10">{#N/A,#N/A,FALSE,"Plan1";#N/A,#N/A,FALSE,"Plan2"}</definedName>
    <definedName name="JWEOITORU5Y" localSheetId="10">{#N/A,#N/A,FALSE,"Plan1";#N/A,#N/A,FALSE,"Plan2"}</definedName>
    <definedName name="jxdfjsrf" localSheetId="10">{#N/A,#N/A,FALSE,"Plan1";#N/A,#N/A,FALSE,"Plan2"}</definedName>
    <definedName name="jxdklfjv"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jzsdjkszl" localSheetId="10">{#N/A,#N/A,FALSE,"Plan1";#N/A,#N/A,FALSE,"Plan2"}</definedName>
    <definedName name="JZXFKLJLDJF" localSheetId="10">{#N/A,#N/A,FALSE,"Plan1";#N/A,#N/A,FALSE,"Plan2"}</definedName>
    <definedName name="jzxklfdlvgfg" localSheetId="10">{#N/A,#N/A,FALSE,"Plan1";#N/A,#N/A,FALSE,"Plan2"}</definedName>
    <definedName name="k" localSheetId="10">{#N/A,#N/A,FALSE,"Plan1";#N/A,#N/A,FALSE,"Plan2"}</definedName>
    <definedName name="kaedkroswr" localSheetId="10">{"Econ Consolidado",#N/A,FALSE,"Econ Consol";"Fluxo de Caixa",#N/A,FALSE,"Fluxo Caixa";"Investimentos",#N/A,FALSE,"Investimentos"}</definedName>
    <definedName name="kçdasekr" localSheetId="10">{#N/A,#N/A,FALSE,"Plan1";#N/A,#N/A,FALSE,"Plan2"}</definedName>
    <definedName name="kçfdljtredr" localSheetId="10">{#N/A,#N/A,FALSE,"Plan1";#N/A,#N/A,FALSE,"Plan2"}</definedName>
    <definedName name="kclçkglf" localSheetId="10">{#N/A,#N/A,FALSE,"Plan1";#N/A,#N/A,FALSE,"Plan2"}</definedName>
    <definedName name="kçlkasçkere" localSheetId="10">{#N/A,#N/A,FALSE,"Plan1";#N/A,#N/A,FALSE,"Plan2"}</definedName>
    <definedName name="kdfbngtjkbf" localSheetId="10">{#N/A,#N/A,FALSE,"Plan1";#N/A,#N/A,FALSE,"Plan2"}</definedName>
    <definedName name="kdfhkghkrh" localSheetId="10">{#N/A,#N/A,FALSE,"Plan1";#N/A,#N/A,FALSE,"Plan2"}</definedName>
    <definedName name="kdfiere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kdfkçrkf" localSheetId="10">{#N/A,#N/A,FALSE,"Plan1";#N/A,#N/A,FALSE,"Plan2"}</definedName>
    <definedName name="kdfljlfr" localSheetId="10">{#N/A,#N/A,FALSE,"Plan1";#N/A,#N/A,FALSE,"Plan2"}</definedName>
    <definedName name="kdhfgkdfhytgu" localSheetId="10">{#N/A,#N/A,FALSE,"Plan1";#N/A,#N/A,FALSE,"Plan2"}</definedName>
    <definedName name="kdhgftfg" localSheetId="10">{#N/A,#N/A,FALSE,"Plan1";#N/A,#N/A,FALSE,"Plan2"}</definedName>
    <definedName name="KDHKFGKKHGF" localSheetId="10">{#N/A,#N/A,FALSE,"Plan1";#N/A,#N/A,FALSE,"Plan2"}</definedName>
    <definedName name="kdjgkfjgd" localSheetId="10">{#N/A,#N/A,FALSE,"Plan1";#N/A,#N/A,FALSE,"Plan2"}</definedName>
    <definedName name="kdjglkdlgjd" localSheetId="10">{#N/A,#N/A,FALSE,"Plan1";#N/A,#N/A,FALSE,"Plan2"}</definedName>
    <definedName name="kdjsfkldjgkty" localSheetId="10">{#N/A,#N/A,FALSE,"Plan1";#N/A,#N/A,FALSE,"Plan2"}</definedName>
    <definedName name="KDJU" localSheetId="10">{"'장비'!$A$3:$M$12"}</definedName>
    <definedName name="kdkjhgdkfhjk" localSheetId="10">{#N/A,#N/A,FALSE,"Plan1";#N/A,#N/A,FALSE,"Plan2"}</definedName>
    <definedName name="kdsf" localSheetId="10">{#N/A,#N/A,FALSE,"Plan1";#N/A,#N/A,FALSE,"Plan2"}</definedName>
    <definedName name="kdsr" localSheetId="10">{#N/A,#N/A,FALSE,"Plan1";#N/A,#N/A,FALSE,"Plan2"}</definedName>
    <definedName name="kergtfdstr" localSheetId="10">{#N/A,#N/A,FALSE,"Plan1";#N/A,#N/A,FALSE,"Plan2"}</definedName>
    <definedName name="KFDKTHGT" localSheetId="10">{#N/A,#N/A,FALSE,"Plan1";#N/A,#N/A,FALSE,"Plan2"}</definedName>
    <definedName name="kfdxlfdzs" localSheetId="10">{"Econ Consolidado",#N/A,FALSE,"Econ Consol";"Fluxo de Caixa",#N/A,FALSE,"Fluxo Caixa";"Investimentos",#N/A,FALSE,"Investimentos"}</definedName>
    <definedName name="kfgkhjkjhy" localSheetId="10">{#N/A,#N/A,FALSE,"Plan1";#N/A,#N/A,FALSE,"Plan2"}</definedName>
    <definedName name="KFJFDSDF" localSheetId="10">{#N/A,#N/A,FALSE,"Plan1";#N/A,#N/A,FALSE,"Plan2"}</definedName>
    <definedName name="kfnkeasd" localSheetId="10">{#N/A,#N/A,FALSE,"Plan1";#N/A,#N/A,FALSE,"Plan2"}</definedName>
    <definedName name="khdjkfkjhtg" localSheetId="10">{#N/A,#N/A,FALSE,"Plan1";#N/A,#N/A,FALSE,"Plan2"}</definedName>
    <definedName name="khdkfjhhfsdg" localSheetId="10">{#N/A,#N/A,FALSE,"Plan1";#N/A,#N/A,FALSE,"Plan2"}</definedName>
    <definedName name="khdkjfhgudytu" localSheetId="10">{#N/A,#N/A,FALSE,"Plan1";#N/A,#N/A,FALSE,"Plan2"}</definedName>
    <definedName name="khfdghhhgd" localSheetId="10">{#N/A,#N/A,FALSE,"Plan1";#N/A,#N/A,FALSE,"Plan2"}</definedName>
    <definedName name="khfdkjhsdjf" localSheetId="10">{#N/A,#N/A,FALSE,"Plan1";#N/A,#N/A,FALSE,"Plan2"}</definedName>
    <definedName name="khgdkftfy" localSheetId="10">{#N/A,#N/A,FALSE,"Plan1";#N/A,#N/A,FALSE,"Plan2"}</definedName>
    <definedName name="khgfhhtuhf" localSheetId="10">{#N/A,#N/A,FALSE,"Plan1";#N/A,#N/A,FALSE,"Plan2"}</definedName>
    <definedName name="khjkh"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KHJKLSDF" localSheetId="10">{#N/A,#N/A,FALSE,"Plan1";#N/A,#N/A,FALSE,"Plan2"}</definedName>
    <definedName name="kieret" localSheetId="10">{#N/A,#N/A,FALSE,"Plan1";#N/A,#N/A,FALSE,"Plan2"}</definedName>
    <definedName name="kjchkfhsezk" localSheetId="10">{#N/A,#N/A,FALSE,"Plan1";#N/A,#N/A,FALSE,"Plan2"}</definedName>
    <definedName name="kjdghksef" localSheetId="10">{#N/A,#N/A,FALSE,"Plan1";#N/A,#N/A,FALSE,"Plan2"}</definedName>
    <definedName name="kjdkftyhtert" localSheetId="10">{#N/A,#N/A,FALSE,"Plan1";#N/A,#N/A,FALSE,"Plan2"}</definedName>
    <definedName name="kjdlfkjds" localSheetId="10">{#N/A,#N/A,FALSE,"Plan1";#N/A,#N/A,FALSE,"Plan2"}</definedName>
    <definedName name="kjdzhfytrfy" localSheetId="10">{#N/A,#N/A,FALSE,"Plan1";#N/A,#N/A,FALSE,"Plan2"}</definedName>
    <definedName name="kjhdfgjthdft" localSheetId="10">{#N/A,#N/A,FALSE,"Plan1";#N/A,#N/A,FALSE,"Plan2"}</definedName>
    <definedName name="kjhsdfk"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kjhsiorf" localSheetId="10">{#N/A,#N/A,FALSE,"Plan1";#N/A,#N/A,FALSE,"Plan2"}</definedName>
    <definedName name="KJJ"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kjjwww" localSheetId="10">{#N/A,#N/A,FALSE,"Plan1";#N/A,#N/A,FALSE,"Plan2"}</definedName>
    <definedName name="kjl" localSheetId="10">{#N/A,#N/A,FALSE,"ENG'G(보호계전기)"}</definedName>
    <definedName name="KJOI" localSheetId="10">{#N/A,#N/A,FALSE,"Plan1";#N/A,#N/A,FALSE,"Plan2"}</definedName>
    <definedName name="kjqwerw" localSheetId="10">{#N/A,#N/A,FALSE,"Plan1";#N/A,#N/A,FALSE,"Plan2"}</definedName>
    <definedName name="kjsfert" localSheetId="10">{#N/A,#N/A,FALSE,"Plan1";#N/A,#N/A,FALSE,"Plan2"}</definedName>
    <definedName name="KJXCFKR" localSheetId="10">{#N/A,#N/A,FALSE,"Plan1";#N/A,#N/A,FALSE,"Plan2"}</definedName>
    <definedName name="KJXDFD" localSheetId="10">{#N/A,#N/A,FALSE,"Plan1";#N/A,#N/A,FALSE,"Plan2"}</definedName>
    <definedName name="kk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kkk" localSheetId="10">{#N/A,#N/A,FALSE,"Plan1";#N/A,#N/A,FALSE,"Plan2"}</definedName>
    <definedName name="kkkkk" localSheetId="10">{#N/A,#N/A,FALSE,"Plan1";#N/A,#N/A,FALSE,"Plan2"}</definedName>
    <definedName name="kkkkkk" localSheetId="10">{#N/A,#N/A,FALSE,"Plan1";#N/A,#N/A,FALSE,"Plan2"}</definedName>
    <definedName name="kko"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kksaklçer" localSheetId="10">{#N/A,#N/A,FALSE,"Plan1";#N/A,#N/A,FALSE,"Plan2"}</definedName>
    <definedName name="kksarde" localSheetId="10">{#N/A,#N/A,FALSE,"Plan1";#N/A,#N/A,FALSE,"Plan2"}</definedName>
    <definedName name="klaskldjsw" localSheetId="10">{#N/A,#N/A,FALSE,"Plan1";#N/A,#N/A,FALSE,"Plan2"}</definedName>
    <definedName name="klçkop" localSheetId="10">{#N/A,#N/A,FALSE,"Plan1";#N/A,#N/A,FALSE,"Plan2"}</definedName>
    <definedName name="KLDFNTRDT" localSheetId="10">{#N/A,#N/A,FALSE,"Plan1";#N/A,#N/A,FALSE,"Plan2"}</definedName>
    <definedName name="klhjsdklhdf" localSheetId="10">{#N/A,#N/A,FALSE,"Plan1";#N/A,#N/A,FALSE,"Plan2"}</definedName>
    <definedName name="KLHSKLRHWE" localSheetId="10">{#N/A,#N/A,FALSE,"Plan1";#N/A,#N/A,FALSE,"Plan2"}</definedName>
    <definedName name="KLJASKJD" localSheetId="10">{#N/A,#N/A,FALSE,"Plan1";#N/A,#N/A,FALSE,"Plan2"}</definedName>
    <definedName name="KLJDXLG"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kljeflwr" localSheetId="10">{#N/A,#N/A,FALSE,"Plan1";#N/A,#N/A,FALSE,"Plan2"}</definedName>
    <definedName name="kljflgjrf" localSheetId="10">{#N/A,#N/A,FALSE,"Plan1";#N/A,#N/A,FALSE,"Plan2"}</definedName>
    <definedName name="kljgfdfr" localSheetId="10">{#N/A,#N/A,FALSE,"Plan1";#N/A,#N/A,FALSE,"Plan2"}</definedName>
    <definedName name="kljgfjrt" localSheetId="10">{#N/A,#N/A,FALSE,"Plan1";#N/A,#N/A,FALSE,"Plan2"}</definedName>
    <definedName name="kljlkdfj" localSheetId="10">{#N/A,#N/A,FALSE,"Plan1";#N/A,#N/A,FALSE,"Plan2"}</definedName>
    <definedName name="kljsakjfr" localSheetId="10">{#N/A,#N/A,FALSE,"Plan1";#N/A,#N/A,FALSE,"Plan2"}</definedName>
    <definedName name="kljsdje" localSheetId="10">{#N/A,#N/A,FALSE,"Plan1";#N/A,#N/A,FALSE,"Plan2"}</definedName>
    <definedName name="kljsfwe" localSheetId="10">{#N/A,#N/A,FALSE,"Plan1";#N/A,#N/A,FALSE,"Plan2"}</definedName>
    <definedName name="klk" localSheetId="10">{#N/A,#N/A,FALSE,"Plan1";#N/A,#N/A,FALSE,"Plan2"}</definedName>
    <definedName name="KLKKLKÇJÇ" localSheetId="10">{#N/A,#N/A,FALSE,"Plan1";#N/A,#N/A,FALSE,"Plan2"}</definedName>
    <definedName name="KLSDFT" localSheetId="10">{#N/A,#N/A,FALSE,"Plan1";#N/A,#N/A,FALSE,"Plan2"}</definedName>
    <definedName name="KLSDHSJKHF" localSheetId="10">{#N/A,#N/A,FALSE,"Plan1";#N/A,#N/A,FALSE,"Plan2"}</definedName>
    <definedName name="klsdkre" localSheetId="10">{#N/A,#N/A,FALSE,"Plan1";#N/A,#N/A,FALSE,"Plan2"}</definedName>
    <definedName name="KLSIDJE" localSheetId="10">{#N/A,#N/A,FALSE,"Plan1";#N/A,#N/A,FALSE,"Plan2"}</definedName>
    <definedName name="klsjarsf" localSheetId="10">{#N/A,#N/A,FALSE,"Plan1";#N/A,#N/A,FALSE,"Plan2"}</definedName>
    <definedName name="klxhjfdkhser" localSheetId="10">{#N/A,#N/A,FALSE,"Plan1";#N/A,#N/A,FALSE,"Plan2"}</definedName>
    <definedName name="kopipnsdfne" localSheetId="10">{#N/A,#N/A,FALSE,"Plan1";#N/A,#N/A,FALSE,"Plan2"}</definedName>
    <definedName name="kp"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KSDLÇKSÇ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KSDLDF" localSheetId="10">{#N/A,#N/A,FALSE,"Plan1";#N/A,#N/A,FALSE,"Plan2"}</definedName>
    <definedName name="ksdlkfsçzd" localSheetId="10">{#N/A,#N/A,FALSE,"Plan1";#N/A,#N/A,FALSE,"Plan2"}</definedName>
    <definedName name="ksdoçierfe" localSheetId="10">{#N/A,#N/A,FALSE,"Plan1";#N/A,#N/A,FALSE,"Plan2"}</definedName>
    <definedName name="ksdtrdrkf" localSheetId="10">{#N/A,#N/A,FALSE,"Plan1";#N/A,#N/A,FALSE,"Plan2"}</definedName>
    <definedName name="KSFÇJDFJL" localSheetId="10">{#N/A,#N/A,FALSE,"Plan1";#N/A,#N/A,FALSE,"Plan2"}</definedName>
    <definedName name="ksfhse" localSheetId="10">{#N/A,#N/A,FALSE,"Plan1";#N/A,#N/A,FALSE,"Plan2"}</definedName>
    <definedName name="KSRKOE" localSheetId="10">{#N/A,#N/A,FALSE,"Plan1";#N/A,#N/A,FALSE,"Plan2"}</definedName>
    <definedName name="KSWKE" localSheetId="10">{#N/A,#N/A,FALSE,"Plan1";#N/A,#N/A,FALSE,"Plan2"}</definedName>
    <definedName name="kysdusf" localSheetId="10">{#N/A,#N/A,FALSE,"Plan1";#N/A,#N/A,FALSE,"Plan2"}</definedName>
    <definedName name="kzslçdkçle" localSheetId="10">{#N/A,#N/A,FALSE,"Plan1";#N/A,#N/A,FALSE,"Plan2"}</definedName>
    <definedName name="LAEKWRK" localSheetId="10">{#N/A,#N/A,FALSE,"Plan1";#N/A,#N/A,FALSE,"Plan2"}</definedName>
    <definedName name="LAKDEWRF" localSheetId="10">{#N/A,#N/A,FALSE,"Plan1";#N/A,#N/A,FALSE,"Plan2"}</definedName>
    <definedName name="LASÇDSRLF" localSheetId="10">{#N/A,#N/A,FALSE,"Plan1";#N/A,#N/A,FALSE,"Plan2"}</definedName>
    <definedName name="lasrlswer" localSheetId="10">{#N/A,#N/A,FALSE,"Plan1";#N/A,#N/A,FALSE,"Plan2"}</definedName>
    <definedName name="lçadple4r" localSheetId="10">{#N/A,#N/A,FALSE,"Plan1";#N/A,#N/A,FALSE,"Plan2"}</definedName>
    <definedName name="lçasser" localSheetId="10">{#N/A,#N/A,FALSE,"Plan1";#N/A,#N/A,FALSE,"Plan2"}</definedName>
    <definedName name="lcdgjtklfrn" localSheetId="10">{#N/A,#N/A,FALSE,"Plan1";#N/A,#N/A,FALSE,"Plan2"}</definedName>
    <definedName name="lçfklsdkçaer" localSheetId="10">{#N/A,#N/A,FALSE,"Plan1";#N/A,#N/A,FALSE,"Plan2"}</definedName>
    <definedName name="lçjkgf" localSheetId="10">{#N/A,#N/A,FALSE,"Plan1";#N/A,#N/A,FALSE,"Plan2"}</definedName>
    <definedName name="LÇJSLDFJ" localSheetId="10">{#N/A,#N/A,FALSE,"Plan1";#N/A,#N/A,FALSE,"Plan2"}</definedName>
    <definedName name="LÇKÇSDRLK" localSheetId="10">{#N/A,#N/A,FALSE,"Plan1";#N/A,#N/A,FALSE,"Plan2"}</definedName>
    <definedName name="lçkl"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lçl"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lçlfklçdglfdgt" localSheetId="10">{#N/A,#N/A,FALSE,"Plan1";#N/A,#N/A,FALSE,"Plan2"}</definedName>
    <definedName name="lçslrr4r" localSheetId="10">{#N/A,#N/A,FALSE,"Plan1";#N/A,#N/A,FALSE,"Plan2"}</definedName>
    <definedName name="ldfjgry" localSheetId="10">{#N/A,#N/A,FALSE,"Plan1";#N/A,#N/A,FALSE,"Plan2"}</definedName>
    <definedName name="ldfjgtilrf" localSheetId="10">{#N/A,#N/A,FALSE,"Plan1";#N/A,#N/A,FALSE,"Plan2"}</definedName>
    <definedName name="ldk" localSheetId="10">{#N/A,#N/A,FALSE,"Plan1";#N/A,#N/A,FALSE,"Plan2"}</definedName>
    <definedName name="ldkgkdfjgkh" localSheetId="10">{#N/A,#N/A,FALSE,"Plan1";#N/A,#N/A,FALSE,"Plan2"}</definedName>
    <definedName name="LDTJGR" localSheetId="10">{#N/A,#N/A,FALSE,"Plan1";#N/A,#N/A,FALSE,"Plan2"}</definedName>
    <definedName name="LEKG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lfjdjrt" localSheetId="10">{#N/A,#N/A,FALSE,"Plan1";#N/A,#N/A,FALSE,"Plan2"}</definedName>
    <definedName name="lidfjgklruf" localSheetId="10">{#N/A,#N/A,FALSE,"Plan1";#N/A,#N/A,FALSE,"Plan2"}</definedName>
    <definedName name="list"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t"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dfkgyt" localSheetId="10">{#N/A,#N/A,FALSE,"Plan1";#N/A,#N/A,FALSE,"Plan2"}</definedName>
    <definedName name="LJDFLJRL" localSheetId="10">{#N/A,#N/A,FALSE,"Plan1";#N/A,#N/A,FALSE,"Plan2"}</definedName>
    <definedName name="ljsdfrd" localSheetId="10">{#N/A,#N/A,FALSE,"Plan1";#N/A,#N/A,FALSE,"Plan2"}</definedName>
    <definedName name="LK" localSheetId="10">{#N/A,#N/A,TRUE,"Quinzena 01 à 15-04-98 "}</definedName>
    <definedName name="lkasdkeo" localSheetId="10">{#N/A,#N/A,FALSE,"Plan1";#N/A,#N/A,FALSE,"Plan2"}</definedName>
    <definedName name="lkdeas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lkdzxfsdrf" localSheetId="10">{#N/A,#N/A,FALSE,"Plan1";#N/A,#N/A,FALSE,"Plan2"}</definedName>
    <definedName name="lkfdkçtktr" localSheetId="10">{#N/A,#N/A,FALSE,"Plan1";#N/A,#N/A,FALSE,"Plan2"}</definedName>
    <definedName name="lkt" localSheetId="10">{#N/A,#N/A,FALSE,"Plan1";#N/A,#N/A,FALSE,"Plan2"}</definedName>
    <definedName name="lktlyklt" localSheetId="10">{#N/A,#N/A,FALSE,"Plan1";#N/A,#N/A,FALSE,"Plan2"}</definedName>
    <definedName name="LKTTYT" localSheetId="10">{#N/A,#N/A,FALSE,"Plan1";#N/A,#N/A,FALSE,"Plan2"}</definedName>
    <definedName name="llgg" localSheetId="10">{#N/A,#N/A,FALSE,"Plan1";#N/A,#N/A,FALSE,"Plan2"}</definedName>
    <definedName name="LLL" localSheetId="10">{#N/A,#N/A,FALSE,"Plan1";#N/A,#N/A,FALSE,"Plan2"}</definedName>
    <definedName name="LM_AR" localSheetId="10">{#N/A,#N/A,FALSE,"F-01"}</definedName>
    <definedName name="LM_AT" localSheetId="10">{#N/A,#N/A,FALSE,"F-01"}</definedName>
    <definedName name="LM_INC" localSheetId="10">{#N/A,#N/A,FALSE,"F-01"}</definedName>
    <definedName name="LMPASD"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LO"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LSDFKLDKFTR" localSheetId="10">{#N/A,#N/A,FALSE,"Plan1";#N/A,#N/A,FALSE,"Plan2"}</definedName>
    <definedName name="lsdjse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lsdkljfkg" localSheetId="10">{#N/A,#N/A,FALSE,"Plan1";#N/A,#N/A,FALSE,"Plan2"}</definedName>
    <definedName name="lsdsder" localSheetId="10">{#N/A,#N/A,FALSE,"Plan1";#N/A,#N/A,FALSE,"Plan2"}</definedName>
    <definedName name="ltj6ljyhdjhngças" localSheetId="10">{#N/A,#N/A,FALSE,"Plan1";#N/A,#N/A,FALSE,"Plan2"}</definedName>
    <definedName name="m"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MAISAP" localSheetId="10">{#N/A,#N/A,FALSE,"Plan1";#N/A,#N/A,FALSE,"Plan2"}</definedName>
    <definedName name="MANTO" localSheetId="10">{#N/A,#N/A,FALSE,"GERAL";#N/A,#N/A,FALSE,"012-96";#N/A,#N/A,FALSE,"018-96";#N/A,#N/A,FALSE,"027-96";#N/A,#N/A,FALSE,"059-96";#N/A,#N/A,FALSE,"076-96";#N/A,#N/A,FALSE,"019-97";#N/A,#N/A,FALSE,"021-97";#N/A,#N/A,FALSE,"022-97";#N/A,#N/A,FALSE,"028-97"}</definedName>
    <definedName name="MASTER" localSheetId="10">{#N/A,#N/A,FALSE,"GERAL";#N/A,#N/A,FALSE,"012-96";#N/A,#N/A,FALSE,"018-96";#N/A,#N/A,FALSE,"027-96";#N/A,#N/A,FALSE,"059-96";#N/A,#N/A,FALSE,"076-96";#N/A,#N/A,FALSE,"019-97";#N/A,#N/A,FALSE,"021-97";#N/A,#N/A,FALSE,"022-97";#N/A,#N/A,FALSE,"028-97"}</definedName>
    <definedName name="mattubcust" localSheetId="10">{#N/A,#N/A,FALSE,"GERAL";#N/A,#N/A,FALSE,"012-96";#N/A,#N/A,FALSE,"018-96";#N/A,#N/A,FALSE,"027-96";#N/A,#N/A,FALSE,"059-96";#N/A,#N/A,FALSE,"076-96";#N/A,#N/A,FALSE,"019-97";#N/A,#N/A,FALSE,"021-97";#N/A,#N/A,FALSE,"022-97";#N/A,#N/A,FALSE,"028-97"}</definedName>
    <definedName name="MAURILIO" localSheetId="10">{#N/A,#N/A,FALSE,"Plan1";#N/A,#N/A,FALSE,"Plan2"}</definedName>
    <definedName name="MC" localSheetId="10">{#N/A,#N/A,FALSE,"GERAL";#N/A,#N/A,FALSE,"012-96";#N/A,#N/A,FALSE,"018-96";#N/A,#N/A,FALSE,"027-96";#N/A,#N/A,FALSE,"059-96";#N/A,#N/A,FALSE,"076-96";#N/A,#N/A,FALSE,"019-97";#N/A,#N/A,FALSE,"021-97";#N/A,#N/A,FALSE,"022-97";#N/A,#N/A,FALSE,"028-97"}</definedName>
    <definedName name="MCM" localSheetId="10">{#N/A,#N/A,FALSE,"GERAL";#N/A,#N/A,FALSE,"012-96";#N/A,#N/A,FALSE,"018-96";#N/A,#N/A,FALSE,"027-96";#N/A,#N/A,FALSE,"059-96";#N/A,#N/A,FALSE,"076-96";#N/A,#N/A,FALSE,"019-97";#N/A,#N/A,FALSE,"021-97";#N/A,#N/A,FALSE,"022-97";#N/A,#N/A,FALSE,"028-97"}</definedName>
    <definedName name="mdfgtr" localSheetId="10">{#N/A,#N/A,FALSE,"Plan1";#N/A,#N/A,FALSE,"Plan2"}</definedName>
    <definedName name="MDSÇLFJKJSD" localSheetId="10">{#N/A,#N/A,FALSE,"Plan1";#N/A,#N/A,FALSE,"Plan2"}</definedName>
    <definedName name="ME" localSheetId="10">{"HW",#N/A,FALSE,"1998"}</definedName>
    <definedName name="MESTRE" localSheetId="10">{#N/A,#N/A,FALSE,"GERAL";#N/A,#N/A,FALSE,"012-96";#N/A,#N/A,FALSE,"018-96";#N/A,#N/A,FALSE,"027-96";#N/A,#N/A,FALSE,"059-96";#N/A,#N/A,FALSE,"076-96";#N/A,#N/A,FALSE,"019-97";#N/A,#N/A,FALSE,"021-97";#N/A,#N/A,FALSE,"022-97";#N/A,#N/A,FALSE,"028-97"}</definedName>
    <definedName name="MLMÇLKJKI" localSheetId="10">{#N/A,#N/A,FALSE,"Plan1";#N/A,#N/A,FALSE,"Plan2"}</definedName>
    <definedName name="MM"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mmmmm" localSheetId="10">{"tabela",#N/A,FALSE,"Tabela";"decoração",#N/A,FALSE,"Decor.";"Informações",#N/A,FALSE,"Inform."}</definedName>
    <definedName name="mmmmmmm" localSheetId="10">{#N/A,#N/A,FALSE,"QD_F1 Invest Detalhado";#N/A,#N/A,FALSE,"QD_F3 Invest_Comparado";#N/A,#N/A,FALSE,"QD_B Trafego";#N/A,#N/A,FALSE,"QD_D0 Custos Operacionais";#N/A,#N/A,FALSE,"QD_C Receita";#N/A,#N/A,FALSE,"QD_D Custos";#N/A,#N/A,FALSE,"QD_E Resultado";#N/A,#N/A,FALSE,"QD_G Fluxo Caixa"}</definedName>
    <definedName name="MNBXFKGS" localSheetId="10">{#N/A,#N/A,FALSE,"Plan1";#N/A,#N/A,FALSE,"Plan2"}</definedName>
    <definedName name="mncvbgcvmc" localSheetId="10">{#N/A,#N/A,FALSE,"Plan1";#N/A,#N/A,FALSE,"Plan2"}</definedName>
    <definedName name="MNDKZSFNCEA" localSheetId="10">{#N/A,#N/A,FALSE,"Plan1";#N/A,#N/A,FALSE,"Plan2"}</definedName>
    <definedName name="mnhdshfgfhd" localSheetId="10">{#N/A,#N/A,FALSE,"Plan1";#N/A,#N/A,FALSE,"Plan2"}</definedName>
    <definedName name="mobra" localSheetId="10">{#N/A,#N/A,FALSE,"GERAL";#N/A,#N/A,FALSE,"012-96";#N/A,#N/A,FALSE,"018-96";#N/A,#N/A,FALSE,"027-96";#N/A,#N/A,FALSE,"059-96";#N/A,#N/A,FALSE,"076-96";#N/A,#N/A,FALSE,"019-97";#N/A,#N/A,FALSE,"021-97";#N/A,#N/A,FALSE,"022-97";#N/A,#N/A,FALSE,"028-97"}</definedName>
    <definedName name="Modelo1" localSheetId="10">{#N/A,#N/A,FALSE,"cdi";#N/A,#N/A,FALSE,"debent";#N/A,#N/A,FALSE,"fdos";#N/A,#N/A,FALSE,"resumo"}</definedName>
    <definedName name="Modelo1a" localSheetId="10">{#N/A,#N/A,FALSE,"cdi";#N/A,#N/A,FALSE,"debent";#N/A,#N/A,FALSE,"fdos";#N/A,#N/A,FALSE,"resumo"}</definedName>
    <definedName name="Modelo2" localSheetId="10">{#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MP" localSheetId="10">{#N/A,#N/A,FALSE,"CCTV"}</definedName>
    <definedName name="MSDRFSWER" localSheetId="10">{"Econ Consolidado",#N/A,FALSE,"Econ Consol";"Fluxo de Caixa",#N/A,FALSE,"Fluxo Caixa";"Investimentos",#N/A,FALSE,"Investimentos"}</definedName>
    <definedName name="mzshdjshjs" localSheetId="10">{#N/A,#N/A,FALSE,"Plan1";#N/A,#N/A,FALSE,"Plan2"}</definedName>
    <definedName name="na" localSheetId="10">{#N/A,#N/A,FALSE,"$170M Cash";#N/A,#N/A,FALSE,"$250M Cash";#N/A,#N/A,FALSE,"$325M Cash"}</definedName>
    <definedName name="ncdgrdhrtg" localSheetId="10">{#N/A,#N/A,FALSE,"Plan1";#N/A,#N/A,FALSE,"Plan2"}</definedName>
    <definedName name="nchngdfhgdh" localSheetId="10">{#N/A,#N/A,FALSE,"Plan1";#N/A,#N/A,FALSE,"Plan2"}</definedName>
    <definedName name="NCJFKNGJHF" localSheetId="10">{#N/A,#N/A,FALSE,"Plan1";#N/A,#N/A,FALSE,"Plan2"}</definedName>
    <definedName name="ndcxhgdhf" localSheetId="10">{#N/A,#N/A,FALSE,"Plan1";#N/A,#N/A,FALSE,"Plan2"}</definedName>
    <definedName name="ndfjnjkrhdgt" localSheetId="10">{#N/A,#N/A,FALSE,"Plan1";#N/A,#N/A,FALSE,"Plan2"}</definedName>
    <definedName name="ndfkghkjthfyst" localSheetId="10">{#N/A,#N/A,FALSE,"Plan1";#N/A,#N/A,FALSE,"Plan2"}</definedName>
    <definedName name="NDJGKFKGHUFG" localSheetId="10">{#N/A,#N/A,FALSE,"Plan1";#N/A,#N/A,FALSE,"Plan2"}</definedName>
    <definedName name="ndrjkt" localSheetId="10">{#N/A,#N/A,FALSE,"Plan1";#N/A,#N/A,FALSE,"Plan2"}</definedName>
    <definedName name="new" localSheetId="10">{#N/A,#N/A,FALSE,"Global by BU";#N/A,#N/A,FALSE,"U.S. by BU";#N/A,#N/A,FALSE,"Canada by BU";#N/A,#N/A,FALSE,"Europe by BU";#N/A,#N/A,FALSE,"Asia by BU";#N/A,#N/A,FALSE,"Cala by BU"}</definedName>
    <definedName name="NEWNAME" localSheetId="10">{#N/A,#N/A,FALSE,"CCTV"}</definedName>
    <definedName name="nfgjkhvhfghn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nfkhdjkthde" localSheetId="10">{#N/A,#N/A,FALSE,"Plan1";#N/A,#N/A,FALSE,"Plan2"}</definedName>
    <definedName name="nhj"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NHJHFDSHF" localSheetId="10">{#N/A,#N/A,FALSE,"Plan1";#N/A,#N/A,FALSE,"Plan2"}</definedName>
    <definedName name="NJSDFHERTG" localSheetId="10">{#N/A,#N/A,FALSE,"Plan1";#N/A,#N/A,FALSE,"Plan2"}</definedName>
    <definedName name="nkfnsskdn" localSheetId="10">{#N/A,#N/A,FALSE,"Plan1";#N/A,#N/A,FALSE,"Plan2"}</definedName>
    <definedName name="NKJL"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nlaksjdwe" localSheetId="10">{#N/A,#N/A,FALSE,"Plan1";#N/A,#N/A,FALSE,"Plan2"}</definedName>
    <definedName name="nljsdfljfdsfr" localSheetId="10">{#N/A,#N/A,FALSE,"Plan1";#N/A,#N/A,FALSE,"Plan2"}</definedName>
    <definedName name="nmjdfhxj" localSheetId="10">{#N/A,#N/A,FALSE,"Plan1";#N/A,#N/A,FALSE,"Plan2"}</definedName>
    <definedName name="nnmn" localSheetId="10">{#N/A,#N/A,FALSE,"Plan1";#N/A,#N/A,FALSE,"Plan2"}</definedName>
    <definedName name="nnn" localSheetId="10">{#N/A,#N/A,FALSE,"$170M Cash";#N/A,#N/A,FALSE,"$250M Cash";#N/A,#N/A,FALSE,"$325M Cash"}</definedName>
    <definedName name="nnnnnnnnnnn" localSheetId="10">{"HW",#N/A,FALSE,"1998"}</definedName>
    <definedName name="NNNNNNNNNNNNNNN" localSheetId="10">{#N/A,#N/A,FALSE,"Plan1";#N/A,#N/A,FALSE,"Plan2"}</definedName>
    <definedName name="nnnnnnnnnnnnnnnnnnnn" localSheetId="10">{#N/A,#N/A,FALSE,"Plan1";#N/A,#N/A,FALSE,"Plan2"}</definedName>
    <definedName name="NNXFT" localSheetId="10">{#N/A,#N/A,FALSE,"Plan1";#N/A,#N/A,FALSE,"Plan2"}</definedName>
    <definedName name="nsdkfndgfdnatf" localSheetId="10">{#N/A,#N/A,FALSE,"Plan1";#N/A,#N/A,FALSE,"Plan2"}</definedName>
    <definedName name="nsfljdiljrf" localSheetId="10">{#N/A,#N/A,FALSE,"Plan1";#N/A,#N/A,FALSE,"Plan2"}</definedName>
    <definedName name="nzxcnnjkd" localSheetId="10">{#N/A,#N/A,FALSE,"Plan1";#N/A,#N/A,FALSE,"Plan2"}</definedName>
    <definedName name="odfuudor" localSheetId="10">{#N/A,#N/A,FALSE,"Plan1";#N/A,#N/A,FALSE,"Plan2"}</definedName>
    <definedName name="oiditrot" localSheetId="10">{#N/A,#N/A,FALSE,"Plan1";#N/A,#N/A,FALSE,"Plan2"}</definedName>
    <definedName name="oio" localSheetId="10">{#N/A,#N/A,FALSE,"Plan1";#N/A,#N/A,FALSE,"Plan2"}</definedName>
    <definedName name="OJÇLJ" localSheetId="10">{#N/A,#N/A,FALSE,"Plan1";#N/A,#N/A,FALSE,"Plan2"}</definedName>
    <definedName name="ojkdfit" localSheetId="10">{#N/A,#N/A,FALSE,"Plan1";#N/A,#N/A,FALSE,"Plan2"}</definedName>
    <definedName name="ooo" localSheetId="10">{#N/A,#N/A,FALSE,"Plan1";#N/A,#N/A,FALSE,"Plan2"}</definedName>
    <definedName name="OPASEDWED" localSheetId="10">{"Econ Consolidado",#N/A,FALSE,"Econ Consol";"Fluxo de Caixa",#N/A,FALSE,"Fluxo Caixa";"Investimentos",#N/A,FALSE,"Investimentos"}</definedName>
    <definedName name="opiwre" localSheetId="10">{#N/A,#N/A,FALSE,"Plan1";#N/A,#N/A,FALSE,"Plan2"}</definedName>
    <definedName name="os" localSheetId="10">{#N/A,#N/A,FALSE,"TABLE"}</definedName>
    <definedName name="otodgkrjglsrd" localSheetId="10">{#N/A,#N/A,FALSE,"Plan1";#N/A,#N/A,FALSE,"Plan2"}</definedName>
    <definedName name="OUERWRSR" localSheetId="10">{#N/A,#N/A,FALSE,"Plan1";#N/A,#N/A,FALSE,"Plan2"}</definedName>
    <definedName name="overhaul"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agamento_Num" localSheetId="10">ROW()-Linha_Cabeçalho</definedName>
    <definedName name="ParamValues1" localSheetId="10">#REF!</definedName>
    <definedName name="Pendencias" localSheetId="10">{#N/A,#N/A,FALSE,"GERAL";#N/A,#N/A,FALSE,"012-96";#N/A,#N/A,FALSE,"018-96";#N/A,#N/A,FALSE,"027-96";#N/A,#N/A,FALSE,"059-96";#N/A,#N/A,FALSE,"076-96";#N/A,#N/A,FALSE,"019-97";#N/A,#N/A,FALSE,"021-97";#N/A,#N/A,FALSE,"022-97";#N/A,#N/A,FALSE,"028-97"}</definedName>
    <definedName name="pendencias2" localSheetId="10">{#N/A,#N/A,FALSE,"GERAL";#N/A,#N/A,FALSE,"012-96";#N/A,#N/A,FALSE,"018-96";#N/A,#N/A,FALSE,"027-96";#N/A,#N/A,FALSE,"059-96";#N/A,#N/A,FALSE,"076-96";#N/A,#N/A,FALSE,"019-97";#N/A,#N/A,FALSE,"021-97";#N/A,#N/A,FALSE,"022-97";#N/A,#N/A,FALSE,"028-97"}</definedName>
    <definedName name="pendencias3" localSheetId="10">{#N/A,#N/A,FALSE,"GERAL";#N/A,#N/A,FALSE,"012-96";#N/A,#N/A,FALSE,"018-96";#N/A,#N/A,FALSE,"027-96";#N/A,#N/A,FALSE,"059-96";#N/A,#N/A,FALSE,"076-96";#N/A,#N/A,FALSE,"019-97";#N/A,#N/A,FALSE,"021-97";#N/A,#N/A,FALSE,"022-97";#N/A,#N/A,FALSE,"028-97"}</definedName>
    <definedName name="piaz"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PLACAS" localSheetId="10">{#N/A,#N/A,TRUE,"Quinzena 01 à 15-04-98 "}</definedName>
    <definedName name="Placas_Areas" localSheetId="10">{#N/A,#N/A,TRUE,"Quinzena 01 à 15-04-98 "}</definedName>
    <definedName name="plan2"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plasçdeaw" localSheetId="10">{#N/A,#N/A,FALSE,"Plan1";#N/A,#N/A,FALSE,"Plan2"}</definedName>
    <definedName name="plaslrswe" localSheetId="10">{#N/A,#N/A,FALSE,"Plan1";#N/A,#N/A,FALSE,"Plan2"}</definedName>
    <definedName name="plsearpef" localSheetId="10">{#N/A,#N/A,FALSE,"Plan1";#N/A,#N/A,FALSE,"Plan2"}</definedName>
    <definedName name="plss" localSheetId="10">{#N/A,#N/A,FALSE,"Plan1";#N/A,#N/A,FALSE,"Plan2"}</definedName>
    <definedName name="PN2건축"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rint" localSheetId="10">{#N/A,#N/A,FALSE,"$170M Cash";#N/A,#N/A,FALSE,"$250M Cash";#N/A,#N/A,FALSE,"$325M Cash"}</definedName>
    <definedName name="ptirigyiotut" localSheetId="10">{#N/A,#N/A,FALSE,"Plan1";#N/A,#N/A,FALSE,"Plan2"}</definedName>
    <definedName name="PWER3" localSheetId="10">{#N/A,#N/A,FALSE,"Plan1";#N/A,#N/A,FALSE,"Plan2"}</definedName>
    <definedName name="qkqh1" localSheetId="10">{#N/A,#N/A,FALSE,"명세표"}</definedName>
    <definedName name="QQ"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QSQWSE" localSheetId="10">{#N/A,#N/A,FALSE,"Plan1";#N/A,#N/A,FALSE,"Plan2"}</definedName>
    <definedName name="qwdqw" localSheetId="10">{#N/A,#N/A,FALSE,"Plan1";#N/A,#N/A,FALSE,"Plan2"}</definedName>
    <definedName name="qweqwe" localSheetId="10">{#N/A,#N/A,FALSE,"Plan1";#N/A,#N/A,FALSE,"Plan2"}</definedName>
    <definedName name="qweqwe4"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RADIO" localSheetId="10">{"HW",#N/A,FALSE,"1998"}</definedName>
    <definedName name="RE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resum" localSheetId="10">{"'Ethernet Hubs'!$A$1:$F$14","'Licences'!$A$1:$F$16","'Ports and Converters'!$A$1:$F$46","'Standard Routers'!$A$1:$F$28","'Ports and Converters'!$A$1:$G$46","'Router Chassis'!$A$1:$F$21","'Cables and Connectors'!$A$1:$F$41","'Support, Training and Docs'!$A$1:$F$6","'Management'!$A$1:$F$8"}</definedName>
    <definedName name="RESUMO2" localSheetId="10">{#N/A,#N/A,TRUE,"Quinzena 01 à 15-04-98 "}</definedName>
    <definedName name="RF" localSheetId="10">{#N/A,#N/A,FALSE,"CCTV"}</definedName>
    <definedName name="rgedrfrgfdg" localSheetId="10">{#N/A,#N/A,FALSE,"Plan1";#N/A,#N/A,FALSE,"Plan2"}</definedName>
    <definedName name="rhdrmq"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rrrr" localSheetId="10">{"'장비'!$A$3:$M$12"}</definedName>
    <definedName name="rrrrrrrr" localSheetId="10">{"'장비'!$A$3:$M$12"}</definedName>
    <definedName name="rrrrrrrrrrr" localSheetId="10">{#N/A,#N/A,TRUE,"Quinzena 01 à 15-04-98 "}</definedName>
    <definedName name="RTYE" localSheetId="10">{"'장비'!$A$3:$M$12"}</definedName>
    <definedName name="sa" localSheetId="10">#REF!</definedName>
    <definedName name="saa" localSheetId="10">{#N/A,#N/A,FALSE,"GERAL";#N/A,#N/A,FALSE,"012-96";#N/A,#N/A,FALSE,"018-96";#N/A,#N/A,FALSE,"027-96";#N/A,#N/A,FALSE,"059-96";#N/A,#N/A,FALSE,"076-96";#N/A,#N/A,FALSE,"019-97";#N/A,#N/A,FALSE,"021-97";#N/A,#N/A,FALSE,"022-97";#N/A,#N/A,FALSE,"028-97"}</definedName>
    <definedName name="sad"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adasd" localSheetId="10">{#N/A,#N/A,FALSE,"Plan1";#N/A,#N/A,FALSE,"Plan2"}</definedName>
    <definedName name="sadked"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adkrjkedft" localSheetId="10">{#N/A,#N/A,FALSE,"Plan1";#N/A,#N/A,FALSE,"Plan2"}</definedName>
    <definedName name="SADSRTR" localSheetId="10">{#N/A,#N/A,FALSE,"Plan1";#N/A,#N/A,FALSE,"Plan2"}</definedName>
    <definedName name="sadwde" localSheetId="10">{#N/A,#N/A,FALSE,"Plan1";#N/A,#N/A,FALSE,"Plan2"}</definedName>
    <definedName name="sanjay" localSheetId="10">{#N/A,#N/A,FALSE,"TABLE"}</definedName>
    <definedName name="SAS" localSheetId="10">{#N/A,#N/A,FALSE,"Plan1";#N/A,#N/A,FALSE,"Plan2"}</definedName>
    <definedName name="sasads" localSheetId="10">{#N/A,#N/A,FALSE,"Plan1";#N/A,#N/A,FALSE,"Plan2"}</definedName>
    <definedName name="sdae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DAOTGFR" localSheetId="10">{#N/A,#N/A,FALSE,"Plan1";#N/A,#N/A,FALSE,"Plan2"}</definedName>
    <definedName name="sdckd" localSheetId="10">{#N/A,#N/A,FALSE,"Plan1";#N/A,#N/A,FALSE,"Plan2"}</definedName>
    <definedName name="SDDFKSEDE" localSheetId="10">{#N/A,#N/A,FALSE,"Plan1";#N/A,#N/A,FALSE,"Plan2"}</definedName>
    <definedName name="sddkslker" localSheetId="10">{#N/A,#N/A,FALSE,"Plan1";#N/A,#N/A,FALSE,"Plan2"}</definedName>
    <definedName name="sdefr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derj"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dfd"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dfdds" localSheetId="10">{#N/A,#N/A,FALSE,"Plan1";#N/A,#N/A,FALSE,"Plan2"}</definedName>
    <definedName name="sdfdfc" localSheetId="10">{#N/A,#N/A,FALSE,"Plan1";#N/A,#N/A,FALSE,"Plan2"}</definedName>
    <definedName name="sdfdf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dfdgft" localSheetId="10">{#N/A,#N/A,FALSE,"Plan1";#N/A,#N/A,FALSE,"Plan2"}</definedName>
    <definedName name="sdfdsf" localSheetId="10">{#N/A,#N/A,FALSE,"Plan1";#N/A,#N/A,FALSE,"Plan2"}</definedName>
    <definedName name="SDFEDRT" localSheetId="10">{#N/A,#N/A,FALSE,"Plan1";#N/A,#N/A,FALSE,"Plan2"}</definedName>
    <definedName name="sdfer" localSheetId="10">{#N/A,#N/A,FALSE,"Plan1";#N/A,#N/A,FALSE,"Plan2"}</definedName>
    <definedName name="sdferr" localSheetId="10">{#N/A,#N/A,FALSE,"Plan1";#N/A,#N/A,FALSE,"Plan2"}</definedName>
    <definedName name="sdfe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DFGJFSRF" localSheetId="10">{#N/A,#N/A,FALSE,"Plan1";#N/A,#N/A,FALSE,"Plan2"}</definedName>
    <definedName name="sdfgtr" localSheetId="10">{#N/A,#N/A,FALSE,"Plan1";#N/A,#N/A,FALSE,"Plan2"}</definedName>
    <definedName name="sdfjdetrt" localSheetId="10">{#N/A,#N/A,FALSE,"Plan1";#N/A,#N/A,FALSE,"Plan2"}</definedName>
    <definedName name="SDFJDRTJEIDR" localSheetId="10">{#N/A,#N/A,FALSE,"Plan1";#N/A,#N/A,FALSE,"Plan2"}</definedName>
    <definedName name="sdfjergtij" localSheetId="10">{#N/A,#N/A,FALSE,"Plan1";#N/A,#N/A,FALSE,"Plan2"}</definedName>
    <definedName name="SDFOPJKWE" localSheetId="10">{#N/A,#N/A,FALSE,"Plan1";#N/A,#N/A,FALSE,"Plan2"}</definedName>
    <definedName name="sdfrdt5"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dfrt" localSheetId="10">{#N/A,#N/A,FALSE,"Plan1";#N/A,#N/A,FALSE,"Plan2"}</definedName>
    <definedName name="SDFRTKK" localSheetId="10">{#N/A,#N/A,FALSE,"Plan1";#N/A,#N/A,FALSE,"Plan2"}</definedName>
    <definedName name="SDFRTR" localSheetId="10">{#N/A,#N/A,FALSE,"Plan1";#N/A,#N/A,FALSE,"Plan2"}</definedName>
    <definedName name="sdfry6" localSheetId="10">{#N/A,#N/A,FALSE,"Plan1";#N/A,#N/A,FALSE,"Plan2"}</definedName>
    <definedName name="sdfsaf" localSheetId="10">{#N/A,#N/A,FALSE,"Plan1";#N/A,#N/A,FALSE,"Plan2"}</definedName>
    <definedName name="sdfsd" localSheetId="10">{"'Estimativa de Lançamento-JAN'!$A$1:$AI$85"}</definedName>
    <definedName name="sdfsdfg" localSheetId="10">{#N/A,#N/A,FALSE,"Plan1";#N/A,#N/A,FALSE,"Plan2"}</definedName>
    <definedName name="SDFSDFK" localSheetId="10">{#N/A,#N/A,FALSE,"Plan1";#N/A,#N/A,FALSE,"Plan2"}</definedName>
    <definedName name="sdfsdgftret" localSheetId="10">{#N/A,#N/A,FALSE,"Plan1";#N/A,#N/A,FALSE,"Plan2"}</definedName>
    <definedName name="SDFSF" localSheetId="10">{#N/A,#N/A,FALSE,"GERAL";#N/A,#N/A,FALSE,"012-96";#N/A,#N/A,FALSE,"018-96";#N/A,#N/A,FALSE,"027-96";#N/A,#N/A,FALSE,"059-96";#N/A,#N/A,FALSE,"076-96";#N/A,#N/A,FALSE,"019-97";#N/A,#N/A,FALSE,"021-97";#N/A,#N/A,FALSE,"022-97";#N/A,#N/A,FALSE,"028-97"}</definedName>
    <definedName name="SDFSFRT" localSheetId="10">{"Econ Consolidado",#N/A,FALSE,"Econ Consol";"Fluxo de Caixa",#N/A,FALSE,"Fluxo Caixa";"Investimentos",#N/A,FALSE,"Investimentos"}</definedName>
    <definedName name="sdfsr" localSheetId="10">{#N/A,#N/A,FALSE,"Plan1";#N/A,#N/A,FALSE,"Plan2"}</definedName>
    <definedName name="sdfty" localSheetId="10">{#N/A,#N/A,FALSE,"Plan1";#N/A,#N/A,FALSE,"Plan2"}</definedName>
    <definedName name="sdgdf" localSheetId="10">{#N/A,#N/A,FALSE,"Plan1";#N/A,#N/A,FALSE,"Plan2"}</definedName>
    <definedName name="sdgfrt" localSheetId="10">{#N/A,#N/A,FALSE,"Plan1";#N/A,#N/A,FALSE,"Plan2"}</definedName>
    <definedName name="sdgft" localSheetId="10">{#N/A,#N/A,FALSE,"Plan1";#N/A,#N/A,FALSE,"Plan2"}</definedName>
    <definedName name="sdgt" localSheetId="10">{#N/A,#N/A,FALSE,"Plan1";#N/A,#N/A,FALSE,"Plan2"}</definedName>
    <definedName name="sdhfghdsfg" localSheetId="10">{#N/A,#N/A,FALSE,"Plan1";#N/A,#N/A,FALSE,"Plan2"}</definedName>
    <definedName name="SDHFJKHDFJRE" localSheetId="10">{#N/A,#N/A,FALSE,"Plan1";#N/A,#N/A,FALSE,"Plan2"}</definedName>
    <definedName name="SDHKFDRKGTR" localSheetId="10">{#N/A,#N/A,FALSE,"Plan1";#N/A,#N/A,FALSE,"Plan2"}</definedName>
    <definedName name="sdjdswger" localSheetId="10">{#N/A,#N/A,FALSE,"Plan1";#N/A,#N/A,FALSE,"Plan2"}</definedName>
    <definedName name="sdjfdf" localSheetId="10">{#N/A,#N/A,FALSE,"Plan1";#N/A,#N/A,FALSE,"Plan2"}</definedName>
    <definedName name="sdjfhdjk" localSheetId="10">{#N/A,#N/A,FALSE,"Plan1";#N/A,#N/A,FALSE,"Plan2"}</definedName>
    <definedName name="SDJFJDER" localSheetId="10">{#N/A,#N/A,FALSE,"Plan1";#N/A,#N/A,FALSE,"Plan2"}</definedName>
    <definedName name="sdjflsdjfl" localSheetId="10">{#N/A,#N/A,FALSE,"Plan1";#N/A,#N/A,FALSE,"Plan2"}</definedName>
    <definedName name="SDJHF" localSheetId="10">{#N/A,#N/A,FALSE,"Plan1";#N/A,#N/A,FALSE,"Plan2"}</definedName>
    <definedName name="sdjrderertrr" localSheetId="10">{#N/A,#N/A,FALSE,"Plan1";#N/A,#N/A,FALSE,"Plan2"}</definedName>
    <definedName name="sdkdjk" localSheetId="10">{#N/A,#N/A,FALSE,"Plan1";#N/A,#N/A,FALSE,"Plan2"}</definedName>
    <definedName name="sdkfjhkdgfhk"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dkfnjd" localSheetId="10">{#N/A,#N/A,FALSE,"Plan1";#N/A,#N/A,FALSE,"Plan2"}</definedName>
    <definedName name="sdkk" localSheetId="10">{#N/A,#N/A,FALSE,"Plan1";#N/A,#N/A,FALSE,"Plan2"}</definedName>
    <definedName name="sdlfsdflj" localSheetId="10">{#N/A,#N/A,FALSE,"Plan1";#N/A,#N/A,FALSE,"Plan2"}</definedName>
    <definedName name="sdmfmdfsgfd" localSheetId="10">{#N/A,#N/A,FALSE,"Plan1";#N/A,#N/A,FALSE,"Plan2"}</definedName>
    <definedName name="sd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drfgt" localSheetId="10">{#N/A,#N/A,FALSE,"Plan1";#N/A,#N/A,FALSE,"Plan2"}</definedName>
    <definedName name="sdsd" localSheetId="10">{#N/A,#N/A,FALSE,"Plan1";#N/A,#N/A,FALSE,"Plan2"}</definedName>
    <definedName name="sdser" localSheetId="10">{#N/A,#N/A,FALSE,"Plan1";#N/A,#N/A,FALSE,"Plan2"}</definedName>
    <definedName name="sdsre" localSheetId="10">{#N/A,#N/A,FALSE,"Plan1";#N/A,#N/A,FALSE,"Plan2"}</definedName>
    <definedName name="sdss" localSheetId="10">{#N/A,#N/A,FALSE,"Plan1";#N/A,#N/A,FALSE,"Plan2"}</definedName>
    <definedName name="sdusi"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DWER" localSheetId="10">{"Econ Consolidado",#N/A,FALSE,"Econ Consol";"Fluxo de Caixa",#N/A,FALSE,"Fluxo Caixa";"Investimentos",#N/A,FALSE,"Investimentos"}</definedName>
    <definedName name="sdxfrt" localSheetId="10">{#N/A,#N/A,FALSE,"Plan1";#N/A,#N/A,FALSE,"Plan2"}</definedName>
    <definedName name="SDZFERF" localSheetId="10">{#N/A,#N/A,FALSE,"Plan1";#N/A,#N/A,FALSE,"Plan2"}</definedName>
    <definedName name="sefret4r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egftru" localSheetId="10">{#N/A,#N/A,FALSE,"Plan1";#N/A,#N/A,FALSE,"Plan2"}</definedName>
    <definedName name="sencount" localSheetId="10">1</definedName>
    <definedName name="SEREWRSWE" localSheetId="10">{"tabela",#N/A,FALSE,"Tabela";"decoração",#N/A,FALSE,"Decor.";"Informações",#N/A,FALSE,"Inform."}</definedName>
    <definedName name="sf" localSheetId="10">{#N/A,#N/A,FALSE,"Plan1";#N/A,#N/A,FALSE,"Plan2"}</definedName>
    <definedName name="sfcrer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fddfd" localSheetId="10">{#N/A,#N/A,FALSE,"Plan1";#N/A,#N/A,FALSE,"Plan2"}</definedName>
    <definedName name="sfds" localSheetId="10">{#N/A,#N/A,FALSE,"Plan1";#N/A,#N/A,FALSE,"Plan2"}</definedName>
    <definedName name="sfdsd" localSheetId="10">{#N/A,#N/A,FALSE,"Plan1";#N/A,#N/A,FALSE,"Plan2"}</definedName>
    <definedName name="sfrsdrgt" localSheetId="10">{#N/A,#N/A,FALSE,"Plan1";#N/A,#N/A,FALSE,"Plan2"}</definedName>
    <definedName name="SFRT" localSheetId="10">{#N/A,#N/A,FALSE,"Plan1";#N/A,#N/A,FALSE,"Plan2"}</definedName>
    <definedName name="sfsdferf" localSheetId="10">{#N/A,#N/A,FALSE,"Plan1";#N/A,#N/A,FALSE,"Plan2"}</definedName>
    <definedName name="SFSDS" localSheetId="10">{#N/A,#N/A,FALSE,"Plan1";#N/A,#N/A,FALSE,"Plan2"}</definedName>
    <definedName name="sgtghty" localSheetId="10">{#N/A,#N/A,FALSE,"Plan1";#N/A,#N/A,FALSE,"Plan2"}</definedName>
    <definedName name="SH" localSheetId="10">{#N/A,#N/A,FALSE,"GERAL";#N/A,#N/A,FALSE,"012-96";#N/A,#N/A,FALSE,"018-96";#N/A,#N/A,FALSE,"027-96";#N/A,#N/A,FALSE,"059-96";#N/A,#N/A,FALSE,"076-96";#N/A,#N/A,FALSE,"019-97";#N/A,#N/A,FALSE,"021-97";#N/A,#N/A,FALSE,"022-97";#N/A,#N/A,FALSE,"028-97"}</definedName>
    <definedName name="sjawe" localSheetId="10">{#N/A,#N/A,FALSE,"Plan1";#N/A,#N/A,FALSE,"Plan2"}</definedName>
    <definedName name="sjdffd" localSheetId="10">{#N/A,#N/A,FALSE,"Plan1";#N/A,#N/A,FALSE,"Plan2"}</definedName>
    <definedName name="SJDFHDJS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SJDHFHRE" localSheetId="10">{#N/A,#N/A,FALSE,"Plan1";#N/A,#N/A,FALSE,"Plan2"}</definedName>
    <definedName name="SJDKJDE" localSheetId="10">{"Econ Consolidado",#N/A,FALSE,"Econ Consol";"Fluxo de Caixa",#N/A,FALSE,"Fluxo Caixa";"Investimentos",#N/A,FALSE,"Investimentos"}</definedName>
    <definedName name="sjekwjri" localSheetId="10">{#N/A,#N/A,FALSE,"Plan1";#N/A,#N/A,FALSE,"Plan2"}</definedName>
    <definedName name="sjfkdhsfds" localSheetId="10">{#N/A,#N/A,FALSE,"Plan1";#N/A,#N/A,FALSE,"Plan2"}</definedName>
    <definedName name="sjkdljslkrje" localSheetId="10">{#N/A,#N/A,FALSE,"Plan1";#N/A,#N/A,FALSE,"Plan2"}</definedName>
    <definedName name="skadadaszs" localSheetId="10">{#N/A,#N/A,FALSE,"Plan1";#N/A,#N/A,FALSE,"Plan2"}</definedName>
    <definedName name="SKASH" localSheetId="10">{#N/A,#N/A,FALSE,"Plan1";#N/A,#N/A,FALSE,"Plan2"}</definedName>
    <definedName name="skldfrde" localSheetId="10">{#N/A,#N/A,FALSE,"Plan1";#N/A,#N/A,FALSE,"Plan2"}</definedName>
    <definedName name="skosroer" localSheetId="10">{#N/A,#N/A,FALSE,"Plan1";#N/A,#N/A,FALSE,"Plan2"}</definedName>
    <definedName name="sp"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ARE"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QEWWE" localSheetId="10">{#N/A,#N/A,FALSE,"Plan1";#N/A,#N/A,FALSE,"Plan2"}</definedName>
    <definedName name="SRH" localSheetId="10">{#N/A,#N/A,FALSE,"GERAL";#N/A,#N/A,FALSE,"012-96";#N/A,#N/A,FALSE,"018-96";#N/A,#N/A,FALSE,"027-96";#N/A,#N/A,FALSE,"059-96";#N/A,#N/A,FALSE,"076-96";#N/A,#N/A,FALSE,"019-97";#N/A,#N/A,FALSE,"021-97";#N/A,#N/A,FALSE,"022-97";#N/A,#N/A,FALSE,"028-97"}</definedName>
    <definedName name="SRTSRT" localSheetId="10">{#N/A,#N/A,FALSE,"GERAL";#N/A,#N/A,FALSE,"012-96";#N/A,#N/A,FALSE,"018-96";#N/A,#N/A,FALSE,"027-96";#N/A,#N/A,FALSE,"059-96";#N/A,#N/A,FALSE,"076-96";#N/A,#N/A,FALSE,"019-97";#N/A,#N/A,FALSE,"021-97";#N/A,#N/A,FALSE,"022-97";#N/A,#N/A,FALSE,"028-97"}</definedName>
    <definedName name="SRTST" localSheetId="10">{#N/A,#N/A,FALSE,"GERAL";#N/A,#N/A,FALSE,"012-96";#N/A,#N/A,FALSE,"018-96";#N/A,#N/A,FALSE,"027-96";#N/A,#N/A,FALSE,"059-96";#N/A,#N/A,FALSE,"076-96";#N/A,#N/A,FALSE,"019-97";#N/A,#N/A,FALSE,"021-97";#N/A,#N/A,FALSE,"022-97";#N/A,#N/A,FALSE,"028-97"}</definedName>
    <definedName name="tab"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Test" localSheetId="10">{"'Edit'!$A$1:$V$2277"}</definedName>
    <definedName name="TESTANDO" localSheetId="10">{#N/A,#N/A,TRUE,"Quinzena 01 à 15-04-98 "}</definedName>
    <definedName name="teste1" localSheetId="10">{#N/A,#N/A,FALSE,"GERAL";#N/A,#N/A,FALSE,"012-96";#N/A,#N/A,FALSE,"018-96";#N/A,#N/A,FALSE,"027-96";#N/A,#N/A,FALSE,"059-96";#N/A,#N/A,FALSE,"076-96";#N/A,#N/A,FALSE,"019-97";#N/A,#N/A,FALSE,"021-97";#N/A,#N/A,FALSE,"022-97";#N/A,#N/A,FALSE,"028-97"}</definedName>
    <definedName name="thjgsergsr" localSheetId="10">{#N/A,#N/A,FALSE,"Plan1";#N/A,#N/A,FALSE,"Plan2"}</definedName>
    <definedName name="THYJ" localSheetId="10">{#N/A,#N/A,FALSE,"Plan1";#N/A,#N/A,FALSE,"Plan2"}</definedName>
    <definedName name="tihjgih" localSheetId="10">{#N/A,#N/A,FALSE,"Plan1";#N/A,#N/A,FALSE,"Plan2"}</definedName>
    <definedName name="trjyidih" localSheetId="10">{#N/A,#N/A,FALSE,"Plan1";#N/A,#N/A,FALSE,"Plan2"}</definedName>
    <definedName name="tuyedjsksj" localSheetId="10">{#N/A,#N/A,FALSE,"Plan1";#N/A,#N/A,FALSE,"Plan2"}</definedName>
    <definedName name="TYHGFHFHG" localSheetId="10">{#N/A,#N/A,FALSE,"Plan1";#N/A,#N/A,FALSE,"Plan2"}</definedName>
    <definedName name="u" localSheetId="10">{#N/A,#N/A,FALSE,"ET-CAPA";#N/A,#N/A,FALSE,"ET-PAG1";#N/A,#N/A,FALSE,"ET-PAG2";#N/A,#N/A,FALSE,"ET-PAG3";#N/A,#N/A,FALSE,"ET-PAG4";#N/A,#N/A,FALSE,"ET-PAG5"}</definedName>
    <definedName name="udhgfhfg" localSheetId="10">{#N/A,#N/A,FALSE,"Plan1";#N/A,#N/A,FALSE,"Plan2"}</definedName>
    <definedName name="ueiutriuef" localSheetId="10">{#N/A,#N/A,FALSE,"Plan1";#N/A,#N/A,FALSE,"Plan2"}</definedName>
    <definedName name="UHGSDUS" localSheetId="10">{#N/A,#N/A,FALSE,"Plan1";#N/A,#N/A,FALSE,"Plan2"}</definedName>
    <definedName name="UIHWER45R" localSheetId="10">{#N/A,#N/A,FALSE,"Plan1";#N/A,#N/A,FALSE,"Plan2"}</definedName>
    <definedName name="uiosderuiu" localSheetId="10">{#N/A,#N/A,FALSE,"Plan1";#N/A,#N/A,FALSE,"Plan2"}</definedName>
    <definedName name="UIOURET" localSheetId="10">{#N/A,#N/A,FALSE,"Plan1";#N/A,#N/A,FALSE,"Plan2"}</definedName>
    <definedName name="uiwuer" localSheetId="10">{#N/A,#N/A,FALSE,"Plan1";#N/A,#N/A,FALSE,"Plan2"}</definedName>
    <definedName name="UKHDFDSGUDFKD" localSheetId="10">{#N/A,#N/A,FALSE,"Plan1";#N/A,#N/A,FALSE,"Plan2"}</definedName>
    <definedName name="um" localSheetId="10">0</definedName>
    <definedName name="unit" localSheetId="10">{#N/A,#N/A,FALSE,"GERAL";#N/A,#N/A,FALSE,"012-96";#N/A,#N/A,FALSE,"018-96";#N/A,#N/A,FALSE,"027-96";#N/A,#N/A,FALSE,"059-96";#N/A,#N/A,FALSE,"076-96";#N/A,#N/A,FALSE,"019-97";#N/A,#N/A,FALSE,"021-97";#N/A,#N/A,FALSE,"022-97";#N/A,#N/A,FALSE,"028-97"}</definedName>
    <definedName name="UPS"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uryrtyt" localSheetId="10">{#N/A,#N/A,FALSE,"Plan1";#N/A,#N/A,FALSE,"Plan2"}</definedName>
    <definedName name="valve"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vdsgfrhgfr" localSheetId="10">{#N/A,#N/A,FALSE,"Plan1";#N/A,#N/A,FALSE,"Plan2"}</definedName>
    <definedName name="VERIFICAR" localSheetId="10">{#N/A,#N/A,TRUE,"Quinzena 01 à 15-04-98 "}</definedName>
    <definedName name="vfnijfd"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VFV" localSheetId="10">{#N/A,#N/A,FALSE,"Plan1";#N/A,#N/A,FALSE,"Plan2"}</definedName>
    <definedName name="vld_classificacao" localSheetId="10">IF(#REF!="Ativa",OFFSET(INDEX(rng_list_classificacao,MATCH(#REF!,rng_list_classificacao,0)),1,0,COUNTA(rng_list_classificacao)-1),#REF!)</definedName>
    <definedName name="vld_regional" localSheetId="10">OFFSET(INDEX(rng_list_regional,MATCH(#REF!,rng_list_regional,0)),1,0,COUNTA(rng_list_regional)-1)</definedName>
    <definedName name="vld_segmento" localSheetId="10">IF(#REF!="Ativa",OFFSET(INDEX(rng_list_segmento,MATCH(#REF!,rng_list_segmento,0)),1,0,COUNTA(rng_list_segmento)-1),#REF!)</definedName>
    <definedName name="vld_sociedade" localSheetId="10">OFFSET(INDEX(rng_list_sociedade,MATCH(#REF!,rng_list_sociedade,0)),1,0,COUNTA(rng_list_sociedade)-1)</definedName>
    <definedName name="vld_status_empresa" localSheetId="10">OFFSET(INDEX(rng_list_status_empresa,MATCH(#REF!,rng_list_status_empresa,0)),1,0,COUNTA(rng_list_status_empresa)-1)</definedName>
    <definedName name="vld_status_lancamento" localSheetId="10">IF(#REF!="Ativa",OFFSET(INDEX(rng_list_status_lancamento,MATCH(#REF!,rng_list_status_lancamento,0)),1,0,COUNTA(rng_list_status_lancamento)-1),#REF!)</definedName>
    <definedName name="vld_status_projeto" localSheetId="10">IF(#REF!="Ativa",OFFSET(INDEX(rng_list_status_projeto,MATCH(#REF!,rng_list_status_projeto,0)),1,0,COUNTA(rng_list_status_projeto)-1),#REF!)</definedName>
    <definedName name="vld_status_viabilidade" localSheetId="10">OFFSET(INDEX(rng_list_status_viabilidade,MATCH(#REF!,rng_list_status_viabilidade,0)),1,0,COUNTA(rng_list_status_viabilidade)-1)</definedName>
    <definedName name="VSDHFGDFGR" localSheetId="10">{#N/A,#N/A,FALSE,"Plan1";#N/A,#N/A,FALSE,"Plan2"}</definedName>
    <definedName name="vvbb" localSheetId="10">{"tabela",#N/A,FALSE,"Tabela";"decoração",#N/A,FALSE,"Decor.";"Informações",#N/A,FALSE,"Inform."}</definedName>
    <definedName name="vvcbnb" localSheetId="10">{#N/A,#N/A,FALSE,"Plan1";#N/A,#N/A,FALSE,"Plan2"}</definedName>
    <definedName name="vvvvv" localSheetId="10">{"Econ Consolidado",#N/A,FALSE,"Econ Consol";"Fluxo de Caixa",#N/A,FALSE,"Fluxo Caixa";"Investimentos",#N/A,FALSE,"Investimentos"}</definedName>
    <definedName name="vvvvvv" localSheetId="10">{#N/A,#N/A,FALSE,"Plan1";#N/A,#N/A,FALSE,"Plan2"}</definedName>
    <definedName name="vvvvvvvvvvvvvvvvv" localSheetId="10">{"HW",#N/A,FALSE,"1998"}</definedName>
    <definedName name="w"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dalrdjlaev"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water"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erw4tr" localSheetId="10">{#N/A,#N/A,FALSE,"Plan1";#N/A,#N/A,FALSE,"Plan2"}</definedName>
    <definedName name="wetoedjtkdr" localSheetId="10">{#N/A,#N/A,FALSE,"Plan1";#N/A,#N/A,FALSE,"Plan2"}</definedName>
    <definedName name="WHATS" localSheetId="10">{"'Edit'!$A$1:$V$2277"}</definedName>
    <definedName name="win.VESSEL"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KJHIR" localSheetId="10">{#N/A,#N/A,FALSE,"Plan1";#N/A,#N/A,FALSE,"Plan2"}</definedName>
    <definedName name="WLQ" localSheetId="10">{#N/A,#N/A,FALSE,"명세표"}</definedName>
    <definedName name="WRITE" localSheetId="10">{#N/A,#N/A,FALSE,"CCTV"}</definedName>
    <definedName name="wrn.BM." localSheetId="10">{#N/A,#N/A,FALSE,"CCTV"}</definedName>
    <definedName name="wrn.Brita98.xls." localSheetId="10">{#N/A,#N/A,TRUE,"Quinzena 01 à 15-04-98 "}</definedName>
    <definedName name="wrn.Completo." localSheetId="10">{"EconCons (Econômico - Consolidado)",#N/A,FALSE,"Econômico - Consolidado";"CaixaCons",#N/A,FALSE,"Caixa - Consolidado";"Rio Branco",#N/A,FALSE,"Rio Branco";"Itajaí",#N/A,FALSE,"Itajaí";"Esteio",#N/A,FALSE,"Esteio";"P. Machado",#N/A,FALSE,"P. Machado";"InvestCons (Invest Consolidado)",#N/A,FALSE,"Invest Consolidado"}</definedName>
    <definedName name="wrn.Cons." localSheetId="10">{"EconCons",#N/A,TRUE,"Econômico - Consolidado";"CaixaCons",#N/A,TRUE,"Caixa - Consolidado";"InvestCons",#N/A,TRUE,"Invest Consolidado"}</definedName>
    <definedName name="wrn.Consolidado." localSheetId="10">{"Econ Consolidado",#N/A,FALSE,"Econ Consol";"Fluxo de Caixa",#N/A,FALSE,"Fluxo Caixa";"Investimentos",#N/A,FALSE,"Investimentos"}</definedName>
    <definedName name="wrn.GERAL." localSheetId="10">{#N/A,#N/A,FALSE,"ET-CAPA";#N/A,#N/A,FALSE,"ET-PAG1";#N/A,#N/A,FALSE,"ET-PAG2";#N/A,#N/A,FALSE,"ET-PAG3";#N/A,#N/A,FALSE,"ET-PAG4";#N/A,#N/A,FALSE,"ET-PAG5"}</definedName>
    <definedName name="wrn.HAGE." localSheetId="10">{#N/A,#N/A,FALSE,"cdi";#N/A,#N/A,FALSE,"debent";#N/A,#N/A,FALSE,"fdos";#N/A,#N/A,FALSE,"resumo"}</definedName>
    <definedName name="wrn.HAGE01" localSheetId="10">{#N/A,#N/A,FALSE,"cdi";#N/A,#N/A,FALSE,"debent";#N/A,#N/A,FALSE,"fdos";#N/A,#N/A,FALSE,"resumo"}</definedName>
    <definedName name="wrn.HW." localSheetId="10">{"HW",#N/A,FALSE,"1998"}</definedName>
    <definedName name="wrn.imp_flx." localSheetId="10">{#N/A,#N/A,FALSE,"CONSOLID";#N/A,#N/A,FALSE,"CIMENTO";#N/A,#N/A,FALSE,"METALURGIA";#N/A,#N/A,FALSE,"PAPEL";#N/A,#N/A,FALSE,"QUÍMICA";#N/A,#N/A,FALSE,"AGROINDL";#N/A,#N/A,FALSE,"OUTROS";#N/A,#N/A,FALSE,"REAL_ORCADO"}</definedName>
    <definedName name="wrn.IMPRESSO." localSheetId="10">{#N/A,#N/A,FALSE,"Plan1";#N/A,#N/A,FALSE,"Plan2"}</definedName>
    <definedName name="wrn.Imprimir." localSheetId="10">{"tabela",#N/A,FALSE,"Tabela";"decoração",#N/A,FALSE,"Decor.";"Informações",#N/A,FALSE,"Inform."}</definedName>
    <definedName name="wrn.LPU._.MG." localSheetId="10">{"MG-2002-F1",#N/A,FALSE,"PPU-Telemig";"MG-2002-F2",#N/A,FALSE,"PPU-Telemig";"MG-2002-F3",#N/A,FALSE,"PPU-Telemig";"MG-2002-F4",#N/A,FALSE,"PPU-Telemig";"MG-2003-F1",#N/A,FALSE,"PPU-Telemig";"MG-2004-F1",#N/A,FALSE,"PPU-Telemig"}</definedName>
    <definedName name="wrn.MGM機器リスト." localSheetId="10">{#N/A,#N/A,TRUE,"表紙";#N/A,#N/A,TRUE,"DMC合成";#N/A,#N/A,TRUE,"DMC回収･精製";#N/A,#N/A,TRUE,"MPC工程";#N/A,#N/A,TRUE,"DPC工程";#N/A,#N/A,TRUE,"ANI工程";#N/A,#N/A,TRUE,"PHOｰ触媒工程";#N/A,#N/A,TRUE,"用役"}</definedName>
    <definedName name="wrn.mode_lev.xls." localSheetId="10">{#N/A,#N/A,FALSE,"ALVENARIA";#N/A,#N/A,FALSE,"BLOCOS";#N/A,#N/A,FALSE,"CINTAS";#N/A,#N/A,FALSE,"CORTINA";#N/A,#N/A,FALSE,"LAJES";#N/A,#N/A,FALSE,"PILARES";#N/A,#N/A,FALSE,"VIGAS"}</definedName>
    <definedName name="wrn.Month._.Report._.Package." localSheetId="10">{#N/A,#N/A,FALSE,"Global Wls Trend";#N/A,#N/A,FALSE,"Region Trend";#N/A,#N/A,FALSE,"PBU Trend"}</definedName>
    <definedName name="wrn.Monthly._.Report._.Package." localSheetId="10">{#N/A,#N/A,FALSE,"Global by BU";#N/A,#N/A,FALSE,"U.S. by BU";#N/A,#N/A,FALSE,"Canada by BU";#N/A,#N/A,FALSE,"Europe by BU";#N/A,#N/A,FALSE,"Asia by BU";#N/A,#N/A,FALSE,"Cala by BU"}</definedName>
    <definedName name="wrn.PENDENCIAS." localSheetId="10">{#N/A,#N/A,FALSE,"GERAL";#N/A,#N/A,FALSE,"012-96";#N/A,#N/A,FALSE,"018-96";#N/A,#N/A,FALSE,"027-96";#N/A,#N/A,FALSE,"059-96";#N/A,#N/A,FALSE,"076-96";#N/A,#N/A,FALSE,"019-97";#N/A,#N/A,FALSE,"021-97";#N/A,#N/A,FALSE,"022-97";#N/A,#N/A,FALSE,"028-97"}</definedName>
    <definedName name="wrn.Planiha._.de._.Medição._.F._.01." localSheetId="10">{#N/A,#N/A,FALSE,"F-01"}</definedName>
    <definedName name="wrn.Planiha._.de._.Medição._.F._.01._1" localSheetId="10">{#N/A,#N/A,FALSE,"F-01"}</definedName>
    <definedName name="wrn.Planilha_de_Medição_F_02" localSheetId="10">{#N/A,#N/A,FALSE,"F-01"}</definedName>
    <definedName name="wrn.print._.all." localSheetId="10">{#N/A,#N/A,FALSE,"$170M Cash";#N/A,#N/A,FALSE,"$250M Cash";#N/A,#N/A,FALSE,"$325M Cash"}</definedName>
    <definedName name="wrn.PrintAll." localSheetId="10">{#N/A,#N/A,FALSE,"Sheet1";#N/A,#N/A,FALSE,"Sheet2";#N/A,#N/A,FALSE,"Sheet3";#N/A,#N/A,FALSE,"Sheet4";#N/A,#N/A,FALSE,"Sheet5";#N/A,#N/A,FALSE,"Sheet6";#N/A,#N/A,FALSE,"Sheet7";#N/A,#N/A,FALSE,"Sheet8";#N/A,#N/A,FALSE,"Sheet9"}</definedName>
    <definedName name="wrn.PrintCurr." localSheetId="10">{#N/A,#N/A,FALSE,"Sheet1";#N/A,#N/A,FALSE,"Sheet2";#N/A,#N/A,FALSE,"Sheet3"}</definedName>
    <definedName name="wrn.PrintPrev1." localSheetId="10">{#N/A,#N/A,FALSE,"Sheet4";#N/A,#N/A,FALSE,"Sheet5";#N/A,#N/A,FALSE,"Sheet6"}</definedName>
    <definedName name="wrn.PrintPrev2." localSheetId="10">{#N/A,#N/A,FALSE,"Sheet7";#N/A,#N/A,FALSE,"Sheet8";#N/A,#N/A,FALSE,"Sheet9"}</definedName>
    <definedName name="wrn.Quadros._.relatório." localSheetId="10">{#N/A,#N/A,FALSE,"QD_F1 Invest Detalhado";#N/A,#N/A,FALSE,"QD_F3 Invest_Comparado";#N/A,#N/A,FALSE,"QD_B Trafego";#N/A,#N/A,FALSE,"QD_D0 Custos Operacionais";#N/A,#N/A,FALSE,"QD_C Receita";#N/A,#N/A,FALSE,"QD_D Custos";#N/A,#N/A,FALSE,"QD_E Resultado";#N/A,#N/A,FALSE,"QD_G Fluxo Caixa"}</definedName>
    <definedName name="wrn.REPORT." localSheetId="10">{#N/A,#N/A,FALSE,"표지";#N/A,#N/A,FALSE,"목차";#N/A,#N/A,FALSE,"내용1";#N/A,#N/A,FALSE,"내용2";#N/A,#N/A,FALSE,"결론";#N/A,#N/A,FALSE,"첨부";#N/A,#N/A,FALSE,"진공도달시간";#N/A,#N/A,FALSE,"배가스속도"}</definedName>
    <definedName name="wrn.STAFFS." localSheetId="10">{#N/A,#N/A,FALSE,"TABLE"}</definedName>
    <definedName name="wrn.TERCEIRO." localSheetId="10">{#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RCEIRO01" localSheetId="10">{#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st1." localSheetId="10">{#N/A,#N/A,FALSE,"명세표"}</definedName>
    <definedName name="wrn.Unidades." localSheetId="10">{"Rio Branco",#N/A,FALSE,"Rio Branco";"Itajaí",#N/A,FALSE,"Itajaí";"Pinheiro Machado",#N/A,FALSE,"PMachado";"Esteio",#N/A,FALSE,"Esteio"}</definedName>
    <definedName name="wrn.VESSEL및N2._.구입사양서."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견적." localSheetId="10">{#N/A,#N/A,FALSE,"Sheet1";#N/A,#N/A,FALSE,"Sheet2";#N/A,#N/A,FALSE,"TAB96-1"}</definedName>
    <definedName name="wrn.보호계전기." localSheetId="10">{#N/A,#N/A,FALSE,"ENG'G(보호계전기)"}</definedName>
    <definedName name="wrn.현장._.NCR._.분석." localSheetId="10">{#N/A,#N/A,FALSE,"현장 NCR 분석";#N/A,#N/A,FALSE,"현장품질감사";#N/A,#N/A,FALSE,"현장품질감사"}</definedName>
    <definedName name="wrn1.Cons." localSheetId="10">{"EconCons",#N/A,TRUE,"Econômico - Consolidado";"CaixaCons",#N/A,TRUE,"Caixa - Consolidado";"InvestCons",#N/A,TRUE,"Invest Consolidado"}</definedName>
    <definedName name="wrn1.print._.all." localSheetId="10">{#N/A,#N/A,FALSE,"$170M Cash";#N/A,#N/A,FALSE,"$250M Cash";#N/A,#N/A,FALSE,"$325M Cash"}</definedName>
    <definedName name="WRS" localSheetId="10">{"'장비'!$A$3:$M$12"}</definedName>
    <definedName name="wrt" localSheetId="10">{#N/A,#N/A,FALSE,"$170M Cash";#N/A,#N/A,FALSE,"$250M Cash";#N/A,#N/A,FALSE,"$325M Cash"}</definedName>
    <definedName name="wvu.PLANILHA2."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ww"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wwwwwwwww" localSheetId="10">{"'Ethernet Hubs'!$A$1:$F$14","'Licences'!$A$1:$F$16","'Ports and Converters'!$A$1:$F$46","'Standard Routers'!$A$1:$F$28","'Ports and Converters'!$A$1:$G$46","'Router Chassis'!$A$1:$F$21","'Cables and Connectors'!$A$1:$F$41","'Support, Training and Docs'!$A$1:$F$6","'Management'!$A$1:$F$8"}</definedName>
    <definedName name="xcfrt" localSheetId="10">{#N/A,#N/A,FALSE,"Plan1";#N/A,#N/A,FALSE,"Plan2"}</definedName>
    <definedName name="xcgjkfghf" localSheetId="10">{#N/A,#N/A,FALSE,"Plan1";#N/A,#N/A,FALSE,"Plan2"}</definedName>
    <definedName name="XCGJKVHFDG" localSheetId="10">{#N/A,#N/A,FALSE,"Plan1";#N/A,#N/A,FALSE,"Plan2"}</definedName>
    <definedName name="xcgtrty"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XCGVR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xçl" localSheetId="10">{#N/A,#N/A,FALSE,"Plan1";#N/A,#N/A,FALSE,"Plan2"}</definedName>
    <definedName name="xcndj" localSheetId="10">{#N/A,#N/A,FALSE,"Plan1";#N/A,#N/A,FALSE,"Plan2"}</definedName>
    <definedName name="XCVGGT" localSheetId="10">{#N/A,#N/A,FALSE,"Plan1";#N/A,#N/A,FALSE,"Plan2"}</definedName>
    <definedName name="xcvrg" localSheetId="10">{#N/A,#N/A,FALSE,"Plan1";#N/A,#N/A,FALSE,"Plan2"}</definedName>
    <definedName name="xdfef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xdgtyhyt" localSheetId="10">{#N/A,#N/A,FALSE,"Plan1";#N/A,#N/A,FALSE,"Plan2"}</definedName>
    <definedName name="xfdlfj" localSheetId="10">{#N/A,#N/A,FALSE,"Plan1";#N/A,#N/A,FALSE,"Plan2"}</definedName>
    <definedName name="xfdxfdf" localSheetId="10">{#N/A,#N/A,FALSE,"Plan1";#N/A,#N/A,FALSE,"Plan2"}</definedName>
    <definedName name="XFJKLDJKLGJ"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xfrty" localSheetId="10">{#N/A,#N/A,FALSE,"Plan1";#N/A,#N/A,FALSE,"Plan2"}</definedName>
    <definedName name="XFT"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xfvchdhhd" localSheetId="10">{"Econ Consolidado",#N/A,FALSE,"Econ Consol";"Fluxo de Caixa",#N/A,FALSE,"Fluxo Caixa";"Investimentos",#N/A,FALSE,"Investimentos"}</definedName>
    <definedName name="xfvgcfgt" localSheetId="10">{#N/A,#N/A,FALSE,"Plan1";#N/A,#N/A,FALSE,"Plan2"}</definedName>
    <definedName name="xgrg" localSheetId="10">{#N/A,#N/A,FALSE,"Plan1";#N/A,#N/A,FALSE,"Plan2"}</definedName>
    <definedName name="xmght" localSheetId="10">{#N/A,#N/A,FALSE,"Plan1";#N/A,#N/A,FALSE,"Plan2"}</definedName>
    <definedName name="xo" localSheetId="10">{#N/A,#N/A,FALSE,"Global by BU";#N/A,#N/A,FALSE,"U.S. by BU";#N/A,#N/A,FALSE,"Canada by BU";#N/A,#N/A,FALSE,"Europe by BU";#N/A,#N/A,FALSE,"Asia by BU";#N/A,#N/A,FALSE,"Cala by BU"}</definedName>
    <definedName name="xxx" localSheetId="10">{#N/A,#N/A,FALSE,"GERAL";#N/A,#N/A,FALSE,"012-96";#N/A,#N/A,FALSE,"018-96";#N/A,#N/A,FALSE,"027-96";#N/A,#N/A,FALSE,"059-96";#N/A,#N/A,FALSE,"076-96";#N/A,#N/A,FALSE,"019-97";#N/A,#N/A,FALSE,"021-97";#N/A,#N/A,FALSE,"022-97";#N/A,#N/A,FALSE,"028-97"}</definedName>
    <definedName name="xxxx" localSheetId="10">#REF!</definedName>
    <definedName name="XXXXX" localSheetId="10">{#N/A,#N/A,FALSE,"GERAL";#N/A,#N/A,FALSE,"012-96";#N/A,#N/A,FALSE,"018-96";#N/A,#N/A,FALSE,"027-96";#N/A,#N/A,FALSE,"059-96";#N/A,#N/A,FALSE,"076-96";#N/A,#N/A,FALSE,"019-97";#N/A,#N/A,FALSE,"021-97";#N/A,#N/A,FALSE,"022-97";#N/A,#N/A,FALSE,"028-97"}</definedName>
    <definedName name="xxxxxxxxxxxx" localSheetId="10">{"'Edit'!$A$1:$V$2277"}</definedName>
    <definedName name="xxxxxxxxxxxxxx" localSheetId="10">{#N/A,#N/A,FALSE,"Plan1";#N/A,#N/A,FALSE,"Plan2"}</definedName>
    <definedName name="xzfrt" localSheetId="10">{#N/A,#N/A,FALSE,"Plan1";#N/A,#N/A,FALSE,"Plan2"}</definedName>
    <definedName name="yeitrtged" localSheetId="10">{#N/A,#N/A,FALSE,"Plan1";#N/A,#N/A,FALSE,"Plan2"}</definedName>
    <definedName name="yhdfiuygrui" localSheetId="10">{#N/A,#N/A,FALSE,"Plan1";#N/A,#N/A,FALSE,"Plan2"}</definedName>
    <definedName name="YRGUYDRIY" localSheetId="10">{"Econ Consolidado",#N/A,FALSE,"Econ Consol";"Fluxo de Caixa",#N/A,FALSE,"Fluxo Caixa";"Investimentos",#N/A,FALSE,"Investimentos"}</definedName>
    <definedName name="yuegursdmksf" localSheetId="10">{#N/A,#N/A,FALSE,"Plan1";#N/A,#N/A,FALSE,"Plan2"}</definedName>
    <definedName name="yuekl4fr" localSheetId="10">{#N/A,#N/A,FALSE,"Plan1";#N/A,#N/A,FALSE,"Plan2"}</definedName>
    <definedName name="yureytuyrea" localSheetId="10">{#N/A,#N/A,FALSE,"Plan1";#N/A,#N/A,FALSE,"Plan2"}</definedName>
    <definedName name="z" localSheetId="10">{"'Estimativa de Lançamento-JAN'!$A$1:$AI$85"}</definedName>
    <definedName name="zcdçskld" localSheetId="10">{#N/A,#N/A,FALSE,"Plan1";#N/A,#N/A,FALSE,"Plan2"}</definedName>
    <definedName name="zcsdrfrt" localSheetId="10">{#N/A,#N/A,FALSE,"Plan1";#N/A,#N/A,FALSE,"Plan2"}</definedName>
    <definedName name="ZDRE" localSheetId="10">{#N/A,#N/A,FALSE,"Plan1";#N/A,#N/A,FALSE,"Plan2"}</definedName>
    <definedName name="ZSADF" localSheetId="10">{#N/A,#N/A,FALSE,"Plan1";#N/A,#N/A,FALSE,"Plan2"}</definedName>
    <definedName name="zsads" localSheetId="10">{#N/A,#N/A,FALSE,"Plan1";#N/A,#N/A,FALSE,"Plan2"}</definedName>
    <definedName name="zsds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zsdwer"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zxccdf" localSheetId="10">{#N/A,#N/A,FALSE,"Plan1";#N/A,#N/A,FALSE,"Plan2"}</definedName>
    <definedName name="zxcfdstrrt" localSheetId="10">{#N/A,#N/A,FALSE,"Plan1";#N/A,#N/A,FALSE,"Plan2"}</definedName>
    <definedName name="zxcx" localSheetId="10">{#N/A,#N/A,FALSE,"Plan1";#N/A,#N/A,FALSE,"Plan2"}</definedName>
    <definedName name="ZXFCRF" localSheetId="10">{TRUE,TRUE,-1.25,-15.5,604.5,366.75,FALSE,FALSE,TRUE,TRUE,0,1,#N/A,1,#N/A,9.0125,24.4117647058824,1,FALSE,FALSE,3,TRUE,1,FALSE,100,"Swvu.PLANILHA2.","ACwvu.PLANILHA2.",#N/A,FALSE,FALSE,0.787401575,0.34,0.46,0.5,1,"","",FALSE,FALSE,FALSE,FALSE,1,#N/A,1,1,FALSE,FALSE,#N/A,#N/A,FALSE,FALSE,FALSE,9,65532,65532,FALSE,FALSE,TRUE,TRUE,TRUE}</definedName>
    <definedName name="ZXFHDFRHDF" localSheetId="10">{#N/A,#N/A,FALSE,"Plan1";#N/A,#N/A,FALSE,"Plan2"}</definedName>
    <definedName name="zzdftr" localSheetId="10">{#N/A,#N/A,FALSE,"Plan1";#N/A,#N/A,FALSE,"Plan2"}</definedName>
    <definedName name="zzz" localSheetId="10">{#N/A,#N/A,FALSE,"QD_F1 Invest Detalhado";#N/A,#N/A,FALSE,"QD_F3 Invest_Comparado";#N/A,#N/A,FALSE,"QD_B Trafego";#N/A,#N/A,FALSE,"QD_D0 Custos Operacionais";#N/A,#N/A,FALSE,"QD_C Receita";#N/A,#N/A,FALSE,"QD_D Custos";#N/A,#N/A,FALSE,"QD_E Resultado";#N/A,#N/A,FALSE,"QD_G Fluxo Caixa"}</definedName>
    <definedName name="ㄱ"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ㄱㄷㄱㄱㅎㄺㄷ" localSheetId="10">{"'장비'!$A$3:$M$12"}</definedName>
    <definedName name="검증"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가"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고문" localSheetId="10">{#N/A,#N/A,FALSE,"현장 NCR 분석";#N/A,#N/A,FALSE,"현장품질감사";#N/A,#N/A,FALSE,"현장품질감사"}</definedName>
    <definedName name="고문2" localSheetId="10">{#N/A,#N/A,FALSE,"현장 NCR 분석";#N/A,#N/A,FALSE,"현장품질감사";#N/A,#N/A,FALSE,"현장품질감사"}</definedName>
    <definedName name="공공공표"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구분표_수정" localSheetId="10">{#N/A,#N/A,FALSE,"ENG'G(보호계전기)"}</definedName>
    <definedName name="공급표표"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진도율적용"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표"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양1소결합리화"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름"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분2"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3"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3"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두성"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내역" localSheetId="10">{#N/A,#N/A,FALSE,"CCTV"}</definedName>
    <definedName name="ㄷㄳ" localSheetId="10">{"'장비'!$A$3:$M$12"}</definedName>
    <definedName name="ㄷㄷㄷㄷ" localSheetId="10">{"'장비'!$A$3:$M$12"}</definedName>
    <definedName name="ㄷㅈㅂㄷ" localSheetId="10">{"'장비'!$A$3:$M$12"}</definedName>
    <definedName name="ㄹㄹ" localSheetId="10">{"'장비'!$A$3:$M$12"}</definedName>
    <definedName name="랄"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러러" localSheetId="10">{#N/A,#N/A,FALSE,"현장 NCR 분석";#N/A,#N/A,FALSE,"현장품질감사";#N/A,#N/A,FALSE,"현장품질감사"}</definedName>
    <definedName name="ㅁ" localSheetId="10">{#N/A,#N/A,FALSE,"명세표"}</definedName>
    <definedName name="ㅁㄴ"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ㄹ"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ㄻㄴㅇㄻㄴㅇ"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ㅁ"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ㅁ" localSheetId="10">{#N/A,#N/A,FALSE,"명세표"}</definedName>
    <definedName name="ㅁㅁㅁㅁㅁㅁㅁㅁㅁㅁㅁㅁ"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ㅇㄻㄴ"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머" localSheetId="10">{#N/A,#N/A,FALSE,"명세표"}</definedName>
    <definedName name="ㅂㅂㅂㅂ" localSheetId="10">{#N/A,#N/A,FALSE,"명세표"}</definedName>
    <definedName name="ㅂㅂㅂㅂㅂㅂㅂ"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ㅈㄱㅂㅈㄷㄱ" localSheetId="10">{"'장비'!$A$3:$M$12"}</definedName>
    <definedName name="ㅂㅈㄷ" localSheetId="10">{"'장비'!$A$3:$M$12"}</definedName>
    <definedName name="ㅂㅈㄷㄷㅂㅈㅈㅂ" localSheetId="10">{"'장비'!$A$3:$M$12"}</definedName>
    <definedName name="ㅂㅈㄷㅂㅈ" localSheetId="10">{"'장비'!$A$3:$M$12"}</definedName>
    <definedName name="ㅂㅈㄷㅂㅈㅈㅂㄷ" localSheetId="10">{"'장비'!$A$3:$M$12"}</definedName>
    <definedName name="ㅂㅈㄷㅈㅂㄷ" localSheetId="10">{"'장비'!$A$3:$M$12"}</definedName>
    <definedName name="보"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보호" localSheetId="10">{#N/A,#N/A,FALSE,"ENG'G(보호계전기)"}</definedName>
    <definedName name="본공사공정표"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부손익" localSheetId="10">{#N/A,#N/A,FALSE,"현장 NCR 분석";#N/A,#N/A,FALSE,"현장품질감사";#N/A,#N/A,FALSE,"현장품질감사"}</definedName>
    <definedName name="분야"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ㅅㄱㄱㄷ" localSheetId="10">{"'장비'!$A$3:$M$12"}</definedName>
    <definedName name="ㅅㅅㅅㅅㅅ" localSheetId="10">{"'장비'!$A$3:$M$12"}</definedName>
    <definedName name="사업"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관리"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새안" localSheetId="10">{#N/A,#N/A,FALSE,"TABLE"}</definedName>
    <definedName name="석항" localSheetId="10">{#N/A,#N/A,FALSE,"명세표"}</definedName>
    <definedName name="설계현황"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쇼ㅗㅎ로" localSheetId="10">{"'장비'!$A$3:$M$12"}</definedName>
    <definedName name="신설" localSheetId="10">{#N/A,#N/A,FALSE,"명세표"}</definedName>
    <definedName name="ㅇㅇ"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변경123"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적용"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구조건참조"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이"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이"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ㅈ" localSheetId="10">{#N/A,#N/A,FALSE,"명세표"}</definedName>
    <definedName name="ㅈㅈㅈㅈ" localSheetId="10">{#N/A,#N/A,FALSE,"명세표"}</definedName>
    <definedName name="자미" localSheetId="10">{#N/A,#N/A,FALSE,"명세표"}</definedName>
    <definedName name="자재3"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사양_SAMPLE"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상세공정"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1"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설계현황"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중량비교검토" localSheetId="10">{#N/A,#N/A,FALSE,"ENG'G(보호계전기)"}</definedName>
    <definedName name="집계" localSheetId="10">{#N/A,#N/A,FALSE,"명세표"}</definedName>
    <definedName name="철골공정"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2"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ㅋㅁ" localSheetId="10">{#N/A,#N/A,FALSE,"명세표"}</definedName>
    <definedName name="ㅋㅋㅋ" localSheetId="10">{#N/A,#N/A,FALSE,"명세표"}</definedName>
    <definedName name="ㅌㅌ" localSheetId="10">{#N/A,#N/A,FALSE,"명세표"}</definedName>
    <definedName name="토"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토목"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ㅎㅎ" localSheetId="10">{"'장비'!$A$3:$M$12"}</definedName>
    <definedName name="하하하" localSheetId="10">{#N/A,#N/A,FALSE,"명세표"}</definedName>
    <definedName name="한국"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장계기류"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1"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호호호" localSheetId="10">{#N/A,#N/A,FALSE,"명세표"}</definedName>
    <definedName name="ㅏㅏㅏ" localSheetId="10">{#N/A,#N/A,FALSE,"명세표"}</definedName>
    <definedName name="ㅔㅔ" localSheetId="10">{#N/A,#N/A,FALSE,"명세표"}</definedName>
    <definedName name="ㅔㅔㅔㅔㅔ"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홓ㅎ로" localSheetId="10">{"'장비'!$A$3:$M$12"}</definedName>
    <definedName name="ㅗㅗ" localSheetId="10">{#N/A,#N/A,FALSE,"명세표"}</definedName>
    <definedName name="ㅗㅗㅗㅗㅗ" localSheetId="10">{"'장비'!$A$3:$M$12"}</definedName>
    <definedName name="ㅛ" localSheetId="10">{"'장비'!$A$3:$M$12"}</definedName>
    <definedName name="ㅛㅕㅛㅕㅛ"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ㅛㅛㅛ" localSheetId="10">{"'장비'!$A$3:$M$12"}</definedName>
    <definedName name="ㅜ" localSheetId="10">{#N/A,#N/A,FALSE,"명세표"}</definedName>
    <definedName name="ㅠㅠ" localSheetId="10">{#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ㅡㅡ" localSheetId="10">{#N/A,#N/A,FALSE,"명세표"}</definedName>
    <definedName name="_xlnm._FilterDatabase" localSheetId="10" hidden="1">'CPU'!$A$1:$Y$5027</definedName>
    <definedName name="________________r1" localSheetId="11">{#N/A,#N/A,FALSE,"GERAL";#N/A,#N/A,FALSE,"012-96";#N/A,#N/A,FALSE,"018-96";#N/A,#N/A,FALSE,"027-96";#N/A,#N/A,FALSE,"059-96";#N/A,#N/A,FALSE,"076-96";#N/A,#N/A,FALSE,"019-97";#N/A,#N/A,FALSE,"021-97";#N/A,#N/A,FALSE,"022-97";#N/A,#N/A,FALSE,"028-97"}</definedName>
    <definedName name="______________r1" localSheetId="11">{#N/A,#N/A,FALSE,"GERAL";#N/A,#N/A,FALSE,"012-96";#N/A,#N/A,FALSE,"018-96";#N/A,#N/A,FALSE,"027-96";#N/A,#N/A,FALSE,"059-96";#N/A,#N/A,FALSE,"076-96";#N/A,#N/A,FALSE,"019-97";#N/A,#N/A,FALSE,"021-97";#N/A,#N/A,FALSE,"022-97";#N/A,#N/A,FALSE,"028-97"}</definedName>
    <definedName name="_____________r1" localSheetId="11">{#N/A,#N/A,FALSE,"GERAL";#N/A,#N/A,FALSE,"012-96";#N/A,#N/A,FALSE,"018-96";#N/A,#N/A,FALSE,"027-96";#N/A,#N/A,FALSE,"059-96";#N/A,#N/A,FALSE,"076-96";#N/A,#N/A,FALSE,"019-97";#N/A,#N/A,FALSE,"021-97";#N/A,#N/A,FALSE,"022-97";#N/A,#N/A,FALSE,"028-97"}</definedName>
    <definedName name="____________r1" localSheetId="11">{#N/A,#N/A,FALSE,"GERAL";#N/A,#N/A,FALSE,"012-96";#N/A,#N/A,FALSE,"018-96";#N/A,#N/A,FALSE,"027-96";#N/A,#N/A,FALSE,"059-96";#N/A,#N/A,FALSE,"076-96";#N/A,#N/A,FALSE,"019-97";#N/A,#N/A,FALSE,"021-97";#N/A,#N/A,FALSE,"022-97";#N/A,#N/A,FALSE,"028-97"}</definedName>
    <definedName name="___________r1" localSheetId="11">{#N/A,#N/A,FALSE,"GERAL";#N/A,#N/A,FALSE,"012-96";#N/A,#N/A,FALSE,"018-96";#N/A,#N/A,FALSE,"027-96";#N/A,#N/A,FALSE,"059-96";#N/A,#N/A,FALSE,"076-96";#N/A,#N/A,FALSE,"019-97";#N/A,#N/A,FALSE,"021-97";#N/A,#N/A,FALSE,"022-97";#N/A,#N/A,FALSE,"028-97"}</definedName>
    <definedName name="_________r1" localSheetId="11">{#N/A,#N/A,FALSE,"GERAL";#N/A,#N/A,FALSE,"012-96";#N/A,#N/A,FALSE,"018-96";#N/A,#N/A,FALSE,"027-96";#N/A,#N/A,FALSE,"059-96";#N/A,#N/A,FALSE,"076-96";#N/A,#N/A,FALSE,"019-97";#N/A,#N/A,FALSE,"021-97";#N/A,#N/A,FALSE,"022-97";#N/A,#N/A,FALSE,"028-97"}</definedName>
    <definedName name="________r1" localSheetId="11">{#N/A,#N/A,FALSE,"GERAL";#N/A,#N/A,FALSE,"012-96";#N/A,#N/A,FALSE,"018-96";#N/A,#N/A,FALSE,"027-96";#N/A,#N/A,FALSE,"059-96";#N/A,#N/A,FALSE,"076-96";#N/A,#N/A,FALSE,"019-97";#N/A,#N/A,FALSE,"021-97";#N/A,#N/A,FALSE,"022-97";#N/A,#N/A,FALSE,"028-97"}</definedName>
    <definedName name="_______r1" localSheetId="11">{#N/A,#N/A,FALSE,"GERAL";#N/A,#N/A,FALSE,"012-96";#N/A,#N/A,FALSE,"018-96";#N/A,#N/A,FALSE,"027-96";#N/A,#N/A,FALSE,"059-96";#N/A,#N/A,FALSE,"076-96";#N/A,#N/A,FALSE,"019-97";#N/A,#N/A,FALSE,"021-97";#N/A,#N/A,FALSE,"022-97";#N/A,#N/A,FALSE,"028-97"}</definedName>
    <definedName name="______r1" localSheetId="11">{#N/A,#N/A,FALSE,"GERAL";#N/A,#N/A,FALSE,"012-96";#N/A,#N/A,FALSE,"018-96";#N/A,#N/A,FALSE,"027-96";#N/A,#N/A,FALSE,"059-96";#N/A,#N/A,FALSE,"076-96";#N/A,#N/A,FALSE,"019-97";#N/A,#N/A,FALSE,"021-97";#N/A,#N/A,FALSE,"022-97";#N/A,#N/A,FALSE,"028-97"}</definedName>
    <definedName name="_____r1" localSheetId="11">{#N/A,#N/A,FALSE,"GERAL";#N/A,#N/A,FALSE,"012-96";#N/A,#N/A,FALSE,"018-96";#N/A,#N/A,FALSE,"027-96";#N/A,#N/A,FALSE,"059-96";#N/A,#N/A,FALSE,"076-96";#N/A,#N/A,FALSE,"019-97";#N/A,#N/A,FALSE,"021-97";#N/A,#N/A,FALSE,"022-97";#N/A,#N/A,FALSE,"028-97"}</definedName>
    <definedName name="____PK2" localSheetId="11">{"'장비'!$A$3:$M$12"}</definedName>
    <definedName name="____PKG3" localSheetId="11">{"'장비'!$A$3:$M$12"}</definedName>
    <definedName name="____qqq222" localSheetId="11">{"'장비'!$A$3:$M$12"}</definedName>
    <definedName name="____r1" localSheetId="11">{#N/A,#N/A,FALSE,"GERAL";#N/A,#N/A,FALSE,"012-96";#N/A,#N/A,FALSE,"018-96";#N/A,#N/A,FALSE,"027-96";#N/A,#N/A,FALSE,"059-96";#N/A,#N/A,FALSE,"076-96";#N/A,#N/A,FALSE,"019-97";#N/A,#N/A,FALSE,"021-97";#N/A,#N/A,FALSE,"022-97";#N/A,#N/A,FALSE,"028-97"}</definedName>
    <definedName name="___CO2"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ECS1"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_PK2" localSheetId="11">{"'장비'!$A$3:$M$12"}</definedName>
    <definedName name="___PKG3" localSheetId="11">{"'장비'!$A$3:$M$12"}</definedName>
    <definedName name="___qqq222" localSheetId="11">{"'장비'!$A$3:$M$12"}</definedName>
    <definedName name="___r1" localSheetId="11">{#N/A,#N/A,FALSE,"GERAL";#N/A,#N/A,FALSE,"012-96";#N/A,#N/A,FALSE,"018-96";#N/A,#N/A,FALSE,"027-96";#N/A,#N/A,FALSE,"059-96";#N/A,#N/A,FALSE,"076-96";#N/A,#N/A,FALSE,"019-97";#N/A,#N/A,FALSE,"021-97";#N/A,#N/A,FALSE,"022-97";#N/A,#N/A,FALSE,"028-97"}</definedName>
    <definedName name="__CO2"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ECS1"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_PK2" localSheetId="11">{"'장비'!$A$3:$M$12"}</definedName>
    <definedName name="__PKG3" localSheetId="11">{"'장비'!$A$3:$M$12"}</definedName>
    <definedName name="__qqq222" localSheetId="11">{"'장비'!$A$3:$M$12"}</definedName>
    <definedName name="__r1" localSheetId="11">{#N/A,#N/A,FALSE,"GERAL";#N/A,#N/A,FALSE,"012-96";#N/A,#N/A,FALSE,"018-96";#N/A,#N/A,FALSE,"027-96";#N/A,#N/A,FALSE,"059-96";#N/A,#N/A,FALSE,"076-96";#N/A,#N/A,FALSE,"019-97";#N/A,#N/A,FALSE,"021-97";#N/A,#N/A,FALSE,"022-97";#N/A,#N/A,FALSE,"028-97"}</definedName>
    <definedName name="__r2" localSheetId="11">{#N/A,#N/A,FALSE,"GERAL";#N/A,#N/A,FALSE,"012-96";#N/A,#N/A,FALSE,"018-96";#N/A,#N/A,FALSE,"027-96";#N/A,#N/A,FALSE,"059-96";#N/A,#N/A,FALSE,"076-96";#N/A,#N/A,FALSE,"019-97";#N/A,#N/A,FALSE,"021-97";#N/A,#N/A,FALSE,"022-97";#N/A,#N/A,FALSE,"028-97"}</definedName>
    <definedName name="_CO2"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ECS1"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IA0542" localSheetId="11">{#N/A,#N/A,FALSE,"Plan1";#N/A,#N/A,FALSE,"Plan2"}</definedName>
    <definedName name="_new11" localSheetId="11">{#N/A,#N/A,FALSE,"Global by BU";#N/A,#N/A,FALSE,"U.S. by BU";#N/A,#N/A,FALSE,"Canada by BU";#N/A,#N/A,FALSE,"Europe by BU";#N/A,#N/A,FALSE,"Asia by BU";#N/A,#N/A,FALSE,"Cala by BU"}</definedName>
    <definedName name="_Order2" localSheetId="11">0</definedName>
    <definedName name="_PK2" localSheetId="11">{"'장비'!$A$3:$M$12"}</definedName>
    <definedName name="_PKG3" localSheetId="11">{"'장비'!$A$3:$M$12"}</definedName>
    <definedName name="_qqq222" localSheetId="11">{"'장비'!$A$3:$M$12"}</definedName>
    <definedName name="_r1" localSheetId="11">{#N/A,#N/A,FALSE,"GERAL";#N/A,#N/A,FALSE,"012-96";#N/A,#N/A,FALSE,"018-96";#N/A,#N/A,FALSE,"027-96";#N/A,#N/A,FALSE,"059-96";#N/A,#N/A,FALSE,"076-96";#N/A,#N/A,FALSE,"019-97";#N/A,#N/A,FALSE,"021-97";#N/A,#N/A,FALSE,"022-97";#N/A,#N/A,FALSE,"028-97"}</definedName>
    <definedName name="_R2" localSheetId="11">{#N/A,#N/A,FALSE,"GERAL";#N/A,#N/A,FALSE,"012-96";#N/A,#N/A,FALSE,"018-96";#N/A,#N/A,FALSE,"027-96";#N/A,#N/A,FALSE,"059-96";#N/A,#N/A,FALSE,"076-96";#N/A,#N/A,FALSE,"019-97";#N/A,#N/A,FALSE,"021-97";#N/A,#N/A,FALSE,"022-97";#N/A,#N/A,FALSE,"028-97"}</definedName>
    <definedName name="_sfe5"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_wer3" localSheetId="11">{#N/A,#N/A,FALSE,"Plan1";#N/A,#N/A,FALSE,"Plan2"}</definedName>
    <definedName name="_wrn.pendencias" localSheetId="11">{#N/A,#N/A,FALSE,"GERAL";#N/A,#N/A,FALSE,"012-96";#N/A,#N/A,FALSE,"018-96";#N/A,#N/A,FALSE,"027-96";#N/A,#N/A,FALSE,"059-96";#N/A,#N/A,FALSE,"076-96";#N/A,#N/A,FALSE,"019-97";#N/A,#N/A,FALSE,"021-97";#N/A,#N/A,FALSE,"022-97";#N/A,#N/A,FALSE,"028-97"}</definedName>
    <definedName name="aaaa" localSheetId="11">#REF!</definedName>
    <definedName name="aaaaaaaaa"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aaacccc" localSheetId="11">{#N/A,#N/A,FALSE,"Plan1";#N/A,#N/A,FALSE,"Plan2"}</definedName>
    <definedName name="AB"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bc"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çoeeer" localSheetId="11">{#N/A,#N/A,FALSE,"Plan1";#N/A,#N/A,FALSE,"Plan2"}</definedName>
    <definedName name="ad" localSheetId="11">{#N/A,#N/A,FALSE,"Plan1";#N/A,#N/A,FALSE,"Plan2"}</definedName>
    <definedName name="adads" localSheetId="11">{#N/A,#N/A,FALSE,"Plan1";#N/A,#N/A,FALSE,"Plan2"}</definedName>
    <definedName name="adads2" localSheetId="11">{#N/A,#N/A,FALSE,"Plan1";#N/A,#N/A,FALSE,"Plan2"}</definedName>
    <definedName name="adced" localSheetId="11">{#N/A,#N/A,FALSE,"Plan1";#N/A,#N/A,FALSE,"Plan2"}</definedName>
    <definedName name="adced2" localSheetId="11">{#N/A,#N/A,FALSE,"Plan1";#N/A,#N/A,FALSE,"Plan2"}</definedName>
    <definedName name="ader" localSheetId="11">{#N/A,#N/A,FALSE,"Plan1";#N/A,#N/A,FALSE,"Plan2"}</definedName>
    <definedName name="ader2" localSheetId="11">{#N/A,#N/A,FALSE,"Plan1";#N/A,#N/A,FALSE,"Plan2"}</definedName>
    <definedName name="adesr" localSheetId="11">{#N/A,#N/A,FALSE,"Plan1";#N/A,#N/A,FALSE,"Plan2"}</definedName>
    <definedName name="adewr" localSheetId="11">{#N/A,#N/A,FALSE,"Plan1";#N/A,#N/A,FALSE,"Plan2"}</definedName>
    <definedName name="adf" localSheetId="11">{#N/A,#N/A,FALSE,"Plan1";#N/A,#N/A,FALSE,"Plan2"}</definedName>
    <definedName name="adsfr" localSheetId="11">{#N/A,#N/A,FALSE,"Plan1";#N/A,#N/A,FALSE,"Plan2"}</definedName>
    <definedName name="adssrgtg" localSheetId="11">{#N/A,#N/A,FALSE,"Plan1";#N/A,#N/A,FALSE,"Plan2"}</definedName>
    <definedName name="adtsetrr6t" localSheetId="11">{#N/A,#N/A,FALSE,"Plan1";#N/A,#N/A,FALSE,"Plan2"}</definedName>
    <definedName name="adwr" localSheetId="11">{#N/A,#N/A,FALSE,"Plan1";#N/A,#N/A,FALSE,"Plan2"}</definedName>
    <definedName name="aeiresft" localSheetId="11">{#N/A,#N/A,FALSE,"Plan1";#N/A,#N/A,FALSE,"Plan2"}</definedName>
    <definedName name="aEL3QE" localSheetId="11">{#N/A,#N/A,FALSE,"Plan1";#N/A,#N/A,FALSE,"Plan2"}</definedName>
    <definedName name="afeasfre" localSheetId="11">{#N/A,#N/A,FALSE,"Plan1";#N/A,#N/A,FALSE,"Plan2"}</definedName>
    <definedName name="agua" localSheetId="11">{#N/A,#N/A,FALSE,"GERAL";#N/A,#N/A,FALSE,"012-96";#N/A,#N/A,FALSE,"018-96";#N/A,#N/A,FALSE,"027-96";#N/A,#N/A,FALSE,"059-96";#N/A,#N/A,FALSE,"076-96";#N/A,#N/A,FALSE,"019-97";#N/A,#N/A,FALSE,"021-97";#N/A,#N/A,FALSE,"022-97";#N/A,#N/A,FALSE,"028-97"}</definedName>
    <definedName name="AH" localSheetId="11">{#N/A,#N/A,FALSE,"CCTV"}</definedName>
    <definedName name="anscount" localSheetId="11">1</definedName>
    <definedName name="AQE" localSheetId="11">{"'장비'!$A$3:$M$12"}</definedName>
    <definedName name="ArComprimido" localSheetId="11">{"'Estimativa de Lançamento-JAN'!$A$1:$AI$85"}</definedName>
    <definedName name="area" localSheetId="11">#REF!</definedName>
    <definedName name="asawe3" localSheetId="11">{#N/A,#N/A,FALSE,"Plan1";#N/A,#N/A,FALSE,"Plan2"}</definedName>
    <definedName name="asd"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A" localSheetId="11">{#N/A,#N/A,FALSE,"Plan1";#N/A,#N/A,FALSE,"Plan2"}</definedName>
    <definedName name="asdade" localSheetId="11">{#N/A,#N/A,FALSE,"Plan1";#N/A,#N/A,FALSE,"Plan2"}</definedName>
    <definedName name="asdas" localSheetId="11">{#N/A,#N/A,FALSE,"Plan1";#N/A,#N/A,FALSE,"Plan2"}</definedName>
    <definedName name="asdawed" localSheetId="11">{#N/A,#N/A,FALSE,"Plan1";#N/A,#N/A,FALSE,"Plan2"}</definedName>
    <definedName name="ASDER" localSheetId="11">{#N/A,#N/A,FALSE,"Plan1";#N/A,#N/A,FALSE,"Plan2"}</definedName>
    <definedName name="asderr" localSheetId="11">{#N/A,#N/A,FALSE,"Plan1";#N/A,#N/A,FALSE,"Plan2"}</definedName>
    <definedName name="asdesre" localSheetId="11">{#N/A,#N/A,FALSE,"Plan1";#N/A,#N/A,FALSE,"Plan2"}</definedName>
    <definedName name="asdewr" localSheetId="11">{#N/A,#N/A,FALSE,"Plan1";#N/A,#N/A,FALSE,"Plan2"}</definedName>
    <definedName name="ASDFASDFA"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ASDFADF"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asdfrrt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asdfs" localSheetId="11">{#N/A,#N/A,FALSE,"Plan1";#N/A,#N/A,FALSE,"Plan2"}</definedName>
    <definedName name="asdg" localSheetId="11">{#N/A,#N/A,FALSE,"Plan1";#N/A,#N/A,FALSE,"Plan2"}</definedName>
    <definedName name="asdked"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asdlas" localSheetId="11">{#N/A,#N/A,FALSE,"Plan1";#N/A,#N/A,FALSE,"Plan2"}</definedName>
    <definedName name="asdqwe" localSheetId="11">{#N/A,#N/A,FALSE,"Plan1";#N/A,#N/A,FALSE,"Plan2"}</definedName>
    <definedName name="asdsa" localSheetId="11">{#N/A,#N/A,FALSE,"Plan1";#N/A,#N/A,FALSE,"Plan2"}</definedName>
    <definedName name="asdser" localSheetId="11">{#N/A,#N/A,FALSE,"Plan1";#N/A,#N/A,FALSE,"Plan2"}</definedName>
    <definedName name="asdwef" localSheetId="11">{#N/A,#N/A,FALSE,"Plan1";#N/A,#N/A,FALSE,"Plan2"}</definedName>
    <definedName name="ASET" localSheetId="11">{#N/A,#N/A,FALSE,"Plan1";#N/A,#N/A,FALSE,"Plan2"}</definedName>
    <definedName name="asfDSF" localSheetId="11">{#N/A,#N/A,FALSE,"Plan1";#N/A,#N/A,FALSE,"Plan2"}</definedName>
    <definedName name="ASFERTE" localSheetId="11">{#N/A,#N/A,FALSE,"Plan1";#N/A,#N/A,FALSE,"Plan2"}</definedName>
    <definedName name="asfl" localSheetId="11">{#N/A,#N/A,FALSE,"Plan1";#N/A,#N/A,FALSE,"Plan2"}</definedName>
    <definedName name="asfsz" localSheetId="11">{#N/A,#N/A,FALSE,"Plan1";#N/A,#N/A,FALSE,"Plan2"}</definedName>
    <definedName name="askserf" localSheetId="11">{#N/A,#N/A,FALSE,"Plan1";#N/A,#N/A,FALSE,"Plan2"}</definedName>
    <definedName name="ASSFSDF" localSheetId="11">{#N/A,#N/A,FALSE,"Plan1";#N/A,#N/A,FALSE,"Plan2"}</definedName>
    <definedName name="asw" localSheetId="11">{#N/A,#N/A,FALSE,"Plan1";#N/A,#N/A,FALSE,"Plan2"}</definedName>
    <definedName name="ATIVOS" localSheetId="11">{#N/A,#N/A,FALSE,"F-01"}</definedName>
    <definedName name="awdjw" localSheetId="11">{#N/A,#N/A,FALSE,"Plan1";#N/A,#N/A,FALSE,"Plan2"}</definedName>
    <definedName name="aweqw4" localSheetId="11">{#N/A,#N/A,FALSE,"Plan1";#N/A,#N/A,FALSE,"Plan2"}</definedName>
    <definedName name="awssdwaer" localSheetId="11">{#N/A,#N/A,FALSE,"Plan1";#N/A,#N/A,FALSE,"Plan2"}</definedName>
    <definedName name="b" localSheetId="11">{#N/A,#N/A,FALSE,"Plan1";#N/A,#N/A,FALSE,"Plan2"}</definedName>
    <definedName name="bbbbbbbbbbbbbbb" localSheetId="11">{"'Edit'!$A$1:$V$2277"}</definedName>
    <definedName name="bdfjghf" localSheetId="11">{#N/A,#N/A,FALSE,"Plan1";#N/A,#N/A,FALSE,"Plan2"}</definedName>
    <definedName name="bdzbfbdr" localSheetId="11">{#N/A,#N/A,FALSE,"Plan1";#N/A,#N/A,FALSE,"Plan2"}</definedName>
    <definedName name="BGG" localSheetId="11">{#N/A,#N/A,FALSE,"Plan1";#N/A,#N/A,FALSE,"Plan2"}</definedName>
    <definedName name="bhjgfhfhg"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BJGO"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BJSDKHFE" localSheetId="11">{#N/A,#N/A,FALSE,"Plan1";#N/A,#N/A,FALSE,"Plan2"}</definedName>
    <definedName name="bmdgghrtfde" localSheetId="11">{#N/A,#N/A,FALSE,"Plan1";#N/A,#N/A,FALSE,"Plan2"}</definedName>
    <definedName name="bnkjhjhdfxgt" localSheetId="11">{#N/A,#N/A,FALSE,"Plan1";#N/A,#N/A,FALSE,"Plan2"}</definedName>
    <definedName name="bxnzfmkzxbhdf" localSheetId="11">{#N/A,#N/A,FALSE,"Plan1";#N/A,#N/A,FALSE,"Plan2"}</definedName>
    <definedName name="caixas" localSheetId="11">{#N/A,#N/A,FALSE,"GERAL";#N/A,#N/A,FALSE,"012-96";#N/A,#N/A,FALSE,"018-96";#N/A,#N/A,FALSE,"027-96";#N/A,#N/A,FALSE,"059-96";#N/A,#N/A,FALSE,"076-96";#N/A,#N/A,FALSE,"019-97";#N/A,#N/A,FALSE,"021-97";#N/A,#N/A,FALSE,"022-97";#N/A,#N/A,FALSE,"028-97"}</definedName>
    <definedName name="CAT6_IP" localSheetId="11">{#N/A,#N/A,FALSE,"F-01"}</definedName>
    <definedName name="ççç" localSheetId="11">{#N/A,#N/A,FALSE,"Plan1";#N/A,#N/A,FALSE,"Plan2"}</definedName>
    <definedName name="cccc" localSheetId="11">{#N/A,#N/A,FALSE,"Plan1";#N/A,#N/A,FALSE,"Plan2"}</definedName>
    <definedName name="ççççççç"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cccccccc"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cccccccccccccccc" localSheetId="11">{"HW",#N/A,FALSE,"1998"}</definedName>
    <definedName name="çcklfjk"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çdfmerf" localSheetId="11">{#N/A,#N/A,FALSE,"Plan1";#N/A,#N/A,FALSE,"Plan2"}</definedName>
    <definedName name="CDSGHE" localSheetId="11">{#N/A,#N/A,FALSE,"Plan1";#N/A,#N/A,FALSE,"Plan2"}</definedName>
    <definedName name="çfhjglkjhkljyhj"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çflçf" localSheetId="11">{#N/A,#N/A,FALSE,"Plan1";#N/A,#N/A,FALSE,"Plan2"}</definedName>
    <definedName name="chfch" localSheetId="11">{#N/A,#N/A,FALSE,"Plan1";#N/A,#N/A,FALSE,"Plan2"}</definedName>
    <definedName name="ÇJKRÇLFS" localSheetId="11">{"Econ Consolidado",#N/A,FALSE,"Econ Consol";"Fluxo de Caixa",#N/A,FALSE,"Fluxo Caixa";"Investimentos",#N/A,FALSE,"Investimentos"}</definedName>
    <definedName name="ÇJsrejtçe" localSheetId="11">{#N/A,#N/A,FALSE,"Plan1";#N/A,#N/A,FALSE,"Plan2"}</definedName>
    <definedName name="çkaçekow" localSheetId="11">{#N/A,#N/A,FALSE,"Plan1";#N/A,#N/A,FALSE,"Plan2"}</definedName>
    <definedName name="ÇKSDOEKR" localSheetId="11">{#N/A,#N/A,FALSE,"Plan1";#N/A,#N/A,FALSE,"Plan2"}</definedName>
    <definedName name="çl" localSheetId="11">{#N/A,#N/A,FALSE,"Plan1";#N/A,#N/A,FALSE,"Plan2"}</definedName>
    <definedName name="çlassde" localSheetId="11">{#N/A,#N/A,FALSE,"Plan1";#N/A,#N/A,FALSE,"Plan2"}</definedName>
    <definedName name="çlçlç" localSheetId="11">{#N/A,#N/A,FALSE,"Plan1";#N/A,#N/A,FALSE,"Plan2"}</definedName>
    <definedName name="çld" localSheetId="11">{#N/A,#N/A,FALSE,"Plan1";#N/A,#N/A,FALSE,"Plan2"}</definedName>
    <definedName name="çlererr" localSheetId="11">{#N/A,#N/A,FALSE,"Plan1";#N/A,#N/A,FALSE,"Plan2"}</definedName>
    <definedName name="çlertert" localSheetId="11">{#N/A,#N/A,FALSE,"Plan1";#N/A,#N/A,FALSE,"Plan2"}</definedName>
    <definedName name="çll" localSheetId="11">{#N/A,#N/A,FALSE,"Plan1";#N/A,#N/A,FALSE,"Plan2"}</definedName>
    <definedName name="CMC" localSheetId="11">{#N/A,#N/A,FALSE,"GERAL";#N/A,#N/A,FALSE,"012-96";#N/A,#N/A,FALSE,"018-96";#N/A,#N/A,FALSE,"027-96";#N/A,#N/A,FALSE,"059-96";#N/A,#N/A,FALSE,"076-96";#N/A,#N/A,FALSE,"019-97";#N/A,#N/A,FALSE,"021-97";#N/A,#N/A,FALSE,"022-97";#N/A,#N/A,FALSE,"028-97"}</definedName>
    <definedName name="CONFIRMAR" localSheetId="11">{#N/A,#N/A,TRUE,"Quinzena 01 à 15-04-98 "}</definedName>
    <definedName name="cont" localSheetId="11">{#N/A,#N/A,FALSE,"Plan1";#N/A,#N/A,FALSE,"Plan2"}</definedName>
    <definedName name="ÇSAÇDFW"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CSE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ÇSLÇDLFKD" localSheetId="11">{#N/A,#N/A,FALSE,"Plan1";#N/A,#N/A,FALSE,"Plan2"}</definedName>
    <definedName name="CTH" localSheetId="11">{#N/A,#N/A,FALSE,"GERAL";#N/A,#N/A,FALSE,"012-96";#N/A,#N/A,FALSE,"018-96";#N/A,#N/A,FALSE,"027-96";#N/A,#N/A,FALSE,"059-96";#N/A,#N/A,FALSE,"076-96";#N/A,#N/A,FALSE,"019-97";#N/A,#N/A,FALSE,"021-97";#N/A,#N/A,FALSE,"022-97";#N/A,#N/A,FALSE,"028-97"}</definedName>
    <definedName name="dalmo" localSheetId="11">{#N/A,#N/A,FALSE,"GERAL";#N/A,#N/A,FALSE,"012-96";#N/A,#N/A,FALSE,"018-96";#N/A,#N/A,FALSE,"027-96";#N/A,#N/A,FALSE,"059-96";#N/A,#N/A,FALSE,"076-96";#N/A,#N/A,FALSE,"019-97";#N/A,#N/A,FALSE,"021-97";#N/A,#N/A,FALSE,"022-97";#N/A,#N/A,FALSE,"028-97"}</definedName>
    <definedName name="dasfrt" localSheetId="11">{#N/A,#N/A,FALSE,"Plan1";#N/A,#N/A,FALSE,"Plan2"}</definedName>
    <definedName name="DÇDL" localSheetId="11">{#N/A,#N/A,FALSE,"Plan1";#N/A,#N/A,FALSE,"Plan2"}</definedName>
    <definedName name="dcnsfgdjkgb" localSheetId="11">{#N/A,#N/A,FALSE,"Plan1";#N/A,#N/A,FALSE,"Plan2"}</definedName>
    <definedName name="DÇWK" localSheetId="11">{#N/A,#N/A,FALSE,"Plan1";#N/A,#N/A,FALSE,"Plan2"}</definedName>
    <definedName name="DD"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dd" localSheetId="11">{"'장비'!$A$3:$M$12"}</definedName>
    <definedName name="ddddd" localSheetId="11">{#N/A,#N/A,FALSE,"Plan1";#N/A,#N/A,FALSE,"Plan2"}</definedName>
    <definedName name="dde" localSheetId="11">{#N/A,#N/A,FALSE,"Plan1";#N/A,#N/A,FALSE,"Plan2"}</definedName>
    <definedName name="ddgfdvgdg"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DGSFG" localSheetId="11">{#N/A,#N/A,FALSE,"Plan1";#N/A,#N/A,FALSE,"Plan2"}</definedName>
    <definedName name="dede" localSheetId="11">{#N/A,#N/A,FALSE,"Plan1";#N/A,#N/A,FALSE,"Plan2"}</definedName>
    <definedName name="des" localSheetId="11">{#N/A,#N/A,FALSE,"Plan1";#N/A,#N/A,FALSE,"Plan2"}</definedName>
    <definedName name="desc" localSheetId="11">{#N/A,#N/A,FALSE,"Plan1";#N/A,#N/A,FALSE,"Plan2"}</definedName>
    <definedName name="d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FD" localSheetId="11">{#N/A,#N/A,FALSE,"명세표"}</definedName>
    <definedName name="dfdfty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fdjgfdfgdf" localSheetId="11">{#N/A,#N/A,FALSE,"Plan1";#N/A,#N/A,FALSE,"Plan2"}</definedName>
    <definedName name="dfdrtrr" localSheetId="11">{#N/A,#N/A,FALSE,"Plan1";#N/A,#N/A,FALSE,"Plan2"}</definedName>
    <definedName name="DFDSG" localSheetId="11">{#N/A,#N/A,FALSE,"Plan1";#N/A,#N/A,FALSE,"Plan2"}</definedName>
    <definedName name="dfer" localSheetId="11">{#N/A,#N/A,FALSE,"Plan1";#N/A,#N/A,FALSE,"Plan2"}</definedName>
    <definedName name="dffbty" localSheetId="11">{#N/A,#N/A,FALSE,"Plan1";#N/A,#N/A,FALSE,"Plan2"}</definedName>
    <definedName name="dffgk"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ffhg" localSheetId="11">{#N/A,#N/A,FALSE,"Plan1";#N/A,#N/A,FALSE,"Plan2"}</definedName>
    <definedName name="dfg" localSheetId="11">{#N/A,#N/A,FALSE,"Plan1";#N/A,#N/A,FALSE,"Plan2"}</definedName>
    <definedName name="dfgdf" localSheetId="11">{#N/A,#N/A,FALSE,"Plan1";#N/A,#N/A,FALSE,"Plan2"}</definedName>
    <definedName name="dfgdytygr" localSheetId="11">{#N/A,#N/A,FALSE,"Plan1";#N/A,#N/A,FALSE,"Plan2"}</definedName>
    <definedName name="dfgftrrdt5" localSheetId="11">{#N/A,#N/A,FALSE,"Plan1";#N/A,#N/A,FALSE,"Plan2"}</definedName>
    <definedName name="dfghjfhsg" localSheetId="11">{#N/A,#N/A,FALSE,"Plan1";#N/A,#N/A,FALSE,"Plan2"}</definedName>
    <definedName name="dfgj" localSheetId="11">{#N/A,#N/A,FALSE,"Plan1";#N/A,#N/A,FALSE,"Plan2"}</definedName>
    <definedName name="dfgjfttyd" localSheetId="11">{#N/A,#N/A,FALSE,"Plan1";#N/A,#N/A,FALSE,"Plan2"}</definedName>
    <definedName name="dfgjjtdrtg" localSheetId="11">{#N/A,#N/A,FALSE,"Plan1";#N/A,#N/A,FALSE,"Plan2"}</definedName>
    <definedName name="dfgt" localSheetId="11">{#N/A,#N/A,FALSE,"Plan1";#N/A,#N/A,FALSE,"Plan2"}</definedName>
    <definedName name="dfgtrkjhk" localSheetId="11">{#N/A,#N/A,FALSE,"Plan1";#N/A,#N/A,FALSE,"Plan2"}</definedName>
    <definedName name="dfgty" localSheetId="11">{#N/A,#N/A,FALSE,"Plan1";#N/A,#N/A,FALSE,"Plan2"}</definedName>
    <definedName name="dfhdgfdgf" localSheetId="11">{#N/A,#N/A,FALSE,"Plan1";#N/A,#N/A,FALSE,"Plan2"}</definedName>
    <definedName name="DFHDJGJFHJGF" localSheetId="11">{#N/A,#N/A,FALSE,"Plan1";#N/A,#N/A,FALSE,"Plan2"}</definedName>
    <definedName name="dfhdyg" localSheetId="11">{#N/A,#N/A,FALSE,"Plan1";#N/A,#N/A,FALSE,"Plan2"}</definedName>
    <definedName name="DFHGDHUR" localSheetId="11">{#N/A,#N/A,FALSE,"Plan1";#N/A,#N/A,FALSE,"Plan2"}</definedName>
    <definedName name="dfhgjfgdhfjdrf" localSheetId="11">{#N/A,#N/A,FALSE,"Plan1";#N/A,#N/A,FALSE,"Plan2"}</definedName>
    <definedName name="dfhgkhfut" localSheetId="11">{#N/A,#N/A,FALSE,"Plan1";#N/A,#N/A,FALSE,"Plan2"}</definedName>
    <definedName name="dfhguitrhfg" localSheetId="11">{#N/A,#N/A,FALSE,"Plan1";#N/A,#N/A,FALSE,"Plan2"}</definedName>
    <definedName name="DFHKHDGKJHDKS" localSheetId="11">{#N/A,#N/A,FALSE,"Plan1";#N/A,#N/A,FALSE,"Plan2"}</definedName>
    <definedName name="dfjgjfhykj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fjkgtdftr" localSheetId="11">{#N/A,#N/A,FALSE,"Plan1";#N/A,#N/A,FALSE,"Plan2"}</definedName>
    <definedName name="dfkhgfg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fkj"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fknfhkdrj" localSheetId="11">{#N/A,#N/A,FALSE,"Plan1";#N/A,#N/A,FALSE,"Plan2"}</definedName>
    <definedName name="dfnert" localSheetId="11">{#N/A,#N/A,FALSE,"Plan1";#N/A,#N/A,FALSE,"Plan2"}</definedName>
    <definedName name="dfrt" localSheetId="11">{#N/A,#N/A,FALSE,"Plan1";#N/A,#N/A,FALSE,"Plan2"}</definedName>
    <definedName name="dfsdr5tt" localSheetId="11">{#N/A,#N/A,FALSE,"Plan1";#N/A,#N/A,FALSE,"Plan2"}</definedName>
    <definedName name="dfsd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fsdtr" localSheetId="11">{#N/A,#N/A,FALSE,"Plan1";#N/A,#N/A,FALSE,"Plan2"}</definedName>
    <definedName name="dfsf" localSheetId="11">{#N/A,#N/A,FALSE,"Plan1";#N/A,#N/A,FALSE,"Plan2"}</definedName>
    <definedName name="DFT" localSheetId="11">{#N/A,#N/A,FALSE,"Plan1";#N/A,#N/A,FALSE,"Plan2"}</definedName>
    <definedName name="DFTRTTY" localSheetId="11">{#N/A,#N/A,FALSE,"Plan1";#N/A,#N/A,FALSE,"Plan2"}</definedName>
    <definedName name="dfurghifdjyhits" localSheetId="11">{#N/A,#N/A,FALSE,"Plan1";#N/A,#N/A,FALSE,"Plan2"}</definedName>
    <definedName name="dfxgdrged" localSheetId="11">{#N/A,#N/A,FALSE,"Plan1";#N/A,#N/A,FALSE,"Plan2"}</definedName>
    <definedName name="dgfrtyt" localSheetId="11">{#N/A,#N/A,FALSE,"Plan1";#N/A,#N/A,FALSE,"Plan2"}</definedName>
    <definedName name="dggfdg" localSheetId="11">{#N/A,#N/A,FALSE,"Plan1";#N/A,#N/A,FALSE,"Plan2"}</definedName>
    <definedName name="dgldfhgkljslh" localSheetId="11">{#N/A,#N/A,FALSE,"Plan1";#N/A,#N/A,FALSE,"Plan2"}</definedName>
    <definedName name="dhfgdhrehrwe" localSheetId="11">{#N/A,#N/A,FALSE,"Plan1";#N/A,#N/A,FALSE,"Plan2"}</definedName>
    <definedName name="dhgfdgrfgdfgd" localSheetId="11">{#N/A,#N/A,FALSE,"Plan1";#N/A,#N/A,FALSE,"Plan2"}</definedName>
    <definedName name="dhkjfhdhfjdh" localSheetId="11">{#N/A,#N/A,FALSE,"Plan1";#N/A,#N/A,FALSE,"Plan2"}</definedName>
    <definedName name="DHTJRT" localSheetId="11">{#N/A,#N/A,FALSE,"Plan1";#N/A,#N/A,FALSE,"Plan2"}</definedName>
    <definedName name="dijghdhks" localSheetId="11">{#N/A,#N/A,FALSE,"Plan1";#N/A,#N/A,FALSE,"Plan2"}</definedName>
    <definedName name="djasdrjas" localSheetId="11">{#N/A,#N/A,FALSE,"Plan1";#N/A,#N/A,FALSE,"Plan2"}</definedName>
    <definedName name="dj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jfkhjhfgrgdfh" localSheetId="11">{#N/A,#N/A,FALSE,"Plan1";#N/A,#N/A,FALSE,"Plan2"}</definedName>
    <definedName name="djfkhsdkjhf" localSheetId="11">{#N/A,#N/A,FALSE,"Plan1";#N/A,#N/A,FALSE,"Plan2"}</definedName>
    <definedName name="djfldjsgljslkjtg" localSheetId="11">{#N/A,#N/A,FALSE,"Plan1";#N/A,#N/A,FALSE,"Plan2"}</definedName>
    <definedName name="djflkdjgdth" localSheetId="11">{#N/A,#N/A,FALSE,"Plan1";#N/A,#N/A,FALSE,"Plan2"}</definedName>
    <definedName name="DJFLKDJGKTJYJT" localSheetId="11">{#N/A,#N/A,FALSE,"Plan1";#N/A,#N/A,FALSE,"Plan2"}</definedName>
    <definedName name="djgkfjgtiyty" localSheetId="11">{#N/A,#N/A,FALSE,"Plan1";#N/A,#N/A,FALSE,"Plan2"}</definedName>
    <definedName name="djrkehrjfhng" localSheetId="11">{#N/A,#N/A,FALSE,"Plan1";#N/A,#N/A,FALSE,"Plan2"}</definedName>
    <definedName name="djtkjldfr" localSheetId="11">{#N/A,#N/A,FALSE,"Plan1";#N/A,#N/A,FALSE,"Plan2"}</definedName>
    <definedName name="DJXDLFGDFG" localSheetId="11">{#N/A,#N/A,FALSE,"Plan1";#N/A,#N/A,FALSE,"Plan2"}</definedName>
    <definedName name="dkdkdkdkd" localSheetId="11">{#N/A,#N/A,FALSE,"명세표"}</definedName>
    <definedName name="dkfhskgf" localSheetId="11">{#N/A,#N/A,FALSE,"Plan1";#N/A,#N/A,FALSE,"Plan2"}</definedName>
    <definedName name="dkjfk" localSheetId="11">{#N/A,#N/A,FALSE,"Plan1";#N/A,#N/A,FALSE,"Plan2"}</definedName>
    <definedName name="DKLD" localSheetId="11">{#N/A,#N/A,FALSE,"Plan1";#N/A,#N/A,FALSE,"Plan2"}</definedName>
    <definedName name="DKLFJDKFD" localSheetId="11">{#N/A,#N/A,FALSE,"Plan1";#N/A,#N/A,FALSE,"Plan2"}</definedName>
    <definedName name="dklfjgirtgid" localSheetId="11">{#N/A,#N/A,FALSE,"Plan1";#N/A,#N/A,FALSE,"Plan2"}</definedName>
    <definedName name="dklfm"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mbfmndbmtrhed" localSheetId="11">{#N/A,#N/A,FALSE,"Plan1";#N/A,#N/A,FALSE,"Plan2"}</definedName>
    <definedName name="DNFJKDHTKRE" localSheetId="11">{#N/A,#N/A,FALSE,"Plan1";#N/A,#N/A,FALSE,"Plan2"}</definedName>
    <definedName name="dng" localSheetId="11">{#N/A,#N/A,FALSE,"GERAL";#N/A,#N/A,FALSE,"012-96";#N/A,#N/A,FALSE,"018-96";#N/A,#N/A,FALSE,"027-96";#N/A,#N/A,FALSE,"059-96";#N/A,#N/A,FALSE,"076-96";#N/A,#N/A,FALSE,"019-97";#N/A,#N/A,FALSE,"021-97";#N/A,#N/A,FALSE,"022-97";#N/A,#N/A,FALSE,"028-97"}</definedName>
    <definedName name="drewr" localSheetId="11">{#N/A,#N/A,FALSE,"Plan1";#N/A,#N/A,FALSE,"Plan2"}</definedName>
    <definedName name="DRRJR" localSheetId="11">{#N/A,#N/A,FALSE,"Plan1";#N/A,#N/A,FALSE,"Plan2"}</definedName>
    <definedName name="drtrt" localSheetId="11">{"'Estimativa de Lançamento-JAN'!$A$1:$AI$85"}</definedName>
    <definedName name="dsdrf" localSheetId="11">{#N/A,#N/A,FALSE,"Plan1";#N/A,#N/A,FALSE,"Plan2"}</definedName>
    <definedName name="dsfdf" localSheetId="11">{#N/A,#N/A,FALSE,"Plan1";#N/A,#N/A,FALSE,"Plan2"}</definedName>
    <definedName name="dsfg" localSheetId="11">{#N/A,#N/A,FALSE,"Plan1";#N/A,#N/A,FALSE,"Plan2"}</definedName>
    <definedName name="DSFKDSKH" localSheetId="11">{#N/A,#N/A,FALSE,"Plan1";#N/A,#N/A,FALSE,"Plan2"}</definedName>
    <definedName name="DSFR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sfrtyy" localSheetId="11">{#N/A,#N/A,FALSE,"Plan1";#N/A,#N/A,FALSE,"Plan2"}</definedName>
    <definedName name="DSFSAD" localSheetId="11">{#N/A,#N/A,FALSE,"Plan1";#N/A,#N/A,FALSE,"Plan2"}</definedName>
    <definedName name="dsfsdf" localSheetId="11">{#N/A,#N/A,FALSE,"Plan1";#N/A,#N/A,FALSE,"Plan2"}</definedName>
    <definedName name="dsfsdgfb" localSheetId="11">{#N/A,#N/A,FALSE,"Plan1";#N/A,#N/A,FALSE,"Plan2"}</definedName>
    <definedName name="dsgfr" localSheetId="11">{#N/A,#N/A,FALSE,"Plan1";#N/A,#N/A,FALSE,"Plan2"}</definedName>
    <definedName name="dshfkhkrhesru" localSheetId="11">{#N/A,#N/A,FALSE,"Plan1";#N/A,#N/A,FALSE,"Plan2"}</definedName>
    <definedName name="dsjkthkr" localSheetId="11">{#N/A,#N/A,FALSE,"Plan1";#N/A,#N/A,FALSE,"Plan2"}</definedName>
    <definedName name="DSLFJSLFJ" localSheetId="11">{#N/A,#N/A,FALSE,"Plan1";#N/A,#N/A,FALSE,"Plan2"}</definedName>
    <definedName name="dsrffg"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srgdergdrg" localSheetId="11">{#N/A,#N/A,FALSE,"GERAL";#N/A,#N/A,FALSE,"012-96";#N/A,#N/A,FALSE,"018-96";#N/A,#N/A,FALSE,"027-96";#N/A,#N/A,FALSE,"059-96";#N/A,#N/A,FALSE,"076-96";#N/A,#N/A,FALSE,"019-97";#N/A,#N/A,FALSE,"021-97";#N/A,#N/A,FALSE,"022-97";#N/A,#N/A,FALSE,"028-97"}</definedName>
    <definedName name="dss" localSheetId="11">{#N/A,#N/A,FALSE,"Plan1";#N/A,#N/A,FALSE,"Plan2"}</definedName>
    <definedName name="dtgsrytt" localSheetId="11">{#N/A,#N/A,FALSE,"Plan1";#N/A,#N/A,FALSE,"Plan2"}</definedName>
    <definedName name="dtrjkhtrgkfh" localSheetId="11">{#N/A,#N/A,FALSE,"Plan1";#N/A,#N/A,FALSE,"Plan2"}</definedName>
    <definedName name="dttjuk" localSheetId="11">{#N/A,#N/A,FALSE,"Plan1";#N/A,#N/A,FALSE,"Plan2"}</definedName>
    <definedName name="dvtry"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dwetrt" localSheetId="11">{#N/A,#N/A,FALSE,"Plan1";#N/A,#N/A,FALSE,"Plan2"}</definedName>
    <definedName name="DY"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DYHYGJDHZKGF" localSheetId="11">{#N/A,#N/A,FALSE,"Plan1";#N/A,#N/A,FALSE,"Plan2"}</definedName>
    <definedName name="dzdfr" localSheetId="11">{#N/A,#N/A,FALSE,"Plan1";#N/A,#N/A,FALSE,"Plan2"}</definedName>
    <definedName name="e"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EC"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EW" localSheetId="11">{#N/A,#N/A,FALSE,"F-01"}</definedName>
    <definedName name="ECEW_1" localSheetId="11">{#N/A,#N/A,FALSE,"F-01"}</definedName>
    <definedName name="ECS"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E" localSheetId="11">{#N/A,#N/A,FALSE,"Plan1";#N/A,#N/A,FALSE,"Plan2"}</definedName>
    <definedName name="eee" localSheetId="11">{#N/A,#N/A,FALSE,"ET-CAPA";#N/A,#N/A,FALSE,"ET-PAG1";#N/A,#N/A,FALSE,"ET-PAG2";#N/A,#N/A,FALSE,"ET-PAG3";#N/A,#N/A,FALSE,"ET-PAG4";#N/A,#N/A,FALSE,"ET-PAG5"}</definedName>
    <definedName name="efestfr" localSheetId="11">{#N/A,#N/A,FALSE,"Plan1";#N/A,#N/A,FALSE,"Plan2"}</definedName>
    <definedName name="efrdrt" localSheetId="11">{#N/A,#N/A,FALSE,"Plan1";#N/A,#N/A,FALSE,"Plan2"}</definedName>
    <definedName name="efrg" localSheetId="11">{#N/A,#N/A,FALSE,"Plan1";#N/A,#N/A,FALSE,"Plan2"}</definedName>
    <definedName name="efsgfr" localSheetId="11">{#N/A,#N/A,FALSE,"Plan1";#N/A,#N/A,FALSE,"Plan2"}</definedName>
    <definedName name="ER" localSheetId="11">{#N/A,#N/A,FALSE,"GERAL";#N/A,#N/A,FALSE,"012-96";#N/A,#N/A,FALSE,"018-96";#N/A,#N/A,FALSE,"027-96";#N/A,#N/A,FALSE,"059-96";#N/A,#N/A,FALSE,"076-96";#N/A,#N/A,FALSE,"019-97";#N/A,#N/A,FALSE,"021-97";#N/A,#N/A,FALSE,"022-97";#N/A,#N/A,FALSE,"028-97"}</definedName>
    <definedName name="ergerge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ergfhyu" localSheetId="11">{#N/A,#N/A,FALSE,"Plan1";#N/A,#N/A,FALSE,"Plan2"}</definedName>
    <definedName name="ESGFDSFD" localSheetId="11">{#N/A,#N/A,FALSE,"Plan1";#N/A,#N/A,FALSE,"Plan2"}</definedName>
    <definedName name="EU" localSheetId="11">{#N/A,#N/A,FALSE,"Plan1";#N/A,#N/A,FALSE,"Plan2"}</definedName>
    <definedName name="EVL" localSheetId="11">{"Econ Consolidado",#N/A,FALSE,"Econ Consol";"Fluxo de Caixa",#N/A,FALSE,"Fluxo Caixa";"Investimentos",#N/A,FALSE,"Investimentos"}</definedName>
    <definedName name="Evol." localSheetId="11">{"Econ Consolidado",#N/A,FALSE,"Econ Consol";"Fluxo de Caixa",#N/A,FALSE,"Fluxo Caixa";"Investimentos",#N/A,FALSE,"Investimentos"}</definedName>
    <definedName name="ewfr" localSheetId="11">{#N/A,#N/A,FALSE,"Plan1";#N/A,#N/A,FALSE,"Plan2"}</definedName>
    <definedName name="eyruieyteta" localSheetId="11">{#N/A,#N/A,FALSE,"Plan1";#N/A,#N/A,FALSE,"Plan2"}</definedName>
    <definedName name="f" localSheetId="11">{#N/A,#N/A,FALSE,"Plan1";#N/A,#N/A,FALSE,"Plan2"}</definedName>
    <definedName name="FAS" localSheetId="11">{"'Total'!$A$1","'Total'!$A$3"}</definedName>
    <definedName name="fasfasf" localSheetId="11">{#N/A,#N/A,TRUE,"Quinzena 01 à 15-04-98 "}</definedName>
    <definedName name="fddhght" localSheetId="11">{#N/A,#N/A,FALSE,"Plan1";#N/A,#N/A,FALSE,"Plan2"}</definedName>
    <definedName name="fdfgd" localSheetId="11">{#N/A,#N/A,FALSE,"Plan1";#N/A,#N/A,FALSE,"Plan2"}</definedName>
    <definedName name="fdfng" localSheetId="11">{#N/A,#N/A,FALSE,"GERAL";#N/A,#N/A,FALSE,"012-96";#N/A,#N/A,FALSE,"018-96";#N/A,#N/A,FALSE,"027-96";#N/A,#N/A,FALSE,"059-96";#N/A,#N/A,FALSE,"076-96";#N/A,#N/A,FALSE,"019-97";#N/A,#N/A,FALSE,"021-97";#N/A,#N/A,FALSE,"022-97";#N/A,#N/A,FALSE,"028-97"}</definedName>
    <definedName name="fdgaf" localSheetId="11">{#N/A,#N/A,FALSE,"Plan1";#N/A,#N/A,FALSE,"Plan2"}</definedName>
    <definedName name="fdgdfg"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FDGFDJHGZEDR" localSheetId="11">{#N/A,#N/A,FALSE,"Plan1";#N/A,#N/A,FALSE,"Plan2"}</definedName>
    <definedName name="fdgfyhygfuj" localSheetId="11">{#N/A,#N/A,FALSE,"Plan1";#N/A,#N/A,FALSE,"Plan2"}</definedName>
    <definedName name="fdhgfdf" localSheetId="11">{#N/A,#N/A,FALSE,"Plan1";#N/A,#N/A,FALSE,"Plan2"}</definedName>
    <definedName name="fdjfgdfjg" localSheetId="11">{#N/A,#N/A,FALSE,"Plan1";#N/A,#N/A,FALSE,"Plan2"}</definedName>
    <definedName name="fdjghkshtygt" localSheetId="11">{#N/A,#N/A,FALSE,"Plan1";#N/A,#N/A,FALSE,"Plan2"}</definedName>
    <definedName name="fdnhgf" localSheetId="11">{"'Estimativa de Lançamento-JAN'!$A$1:$AI$85"}</definedName>
    <definedName name="fdsf" localSheetId="11">{#N/A,#N/A,FALSE,"Plan1";#N/A,#N/A,FALSE,"Plan2"}</definedName>
    <definedName name="fffff" localSheetId="11">{#N/A,#N/A,FALSE,"Plan1";#N/A,#N/A,FALSE,"Plan2"}</definedName>
    <definedName name="FFTY" localSheetId="11">{#N/A,#N/A,FALSE,"GERAL";#N/A,#N/A,FALSE,"012-96";#N/A,#N/A,FALSE,"018-96";#N/A,#N/A,FALSE,"027-96";#N/A,#N/A,FALSE,"059-96";#N/A,#N/A,FALSE,"076-96";#N/A,#N/A,FALSE,"019-97";#N/A,#N/A,FALSE,"021-97";#N/A,#N/A,FALSE,"022-97";#N/A,#N/A,FALSE,"028-97"}</definedName>
    <definedName name="fg" localSheetId="11">{#N/A,#N/A,FALSE,"Plan1";#N/A,#N/A,FALSE,"Plan2"}</definedName>
    <definedName name="fgg" localSheetId="11">{"'장비'!$A$3:$M$12"}</definedName>
    <definedName name="fghfh" localSheetId="11">{"'Estimativa de Lançamento-JAN'!$A$1:$AI$85"}</definedName>
    <definedName name="fghgfh" localSheetId="11">{#N/A,#N/A,FALSE,"Plan1";#N/A,#N/A,FALSE,"Plan2"}</definedName>
    <definedName name="FGJHFGK" localSheetId="11">{#N/A,#N/A,FALSE,"Plan1";#N/A,#N/A,FALSE,"Plan2"}</definedName>
    <definedName name="fgktyhdf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fgtrgty" localSheetId="11">{#N/A,#N/A,FALSE,"Plan1";#N/A,#N/A,FALSE,"Plan2"}</definedName>
    <definedName name="fhgjfgyt" localSheetId="11">{#N/A,#N/A,FALSE,"Plan1";#N/A,#N/A,FALSE,"Plan2"}</definedName>
    <definedName name="fhgjkhtrfg" localSheetId="11">{#N/A,#N/A,FALSE,"Plan1";#N/A,#N/A,FALSE,"Plan2"}</definedName>
    <definedName name="FHGTGSRSG" localSheetId="11">{#N/A,#N/A,FALSE,"Plan1";#N/A,#N/A,FALSE,"Plan2"}</definedName>
    <definedName name="FIELD"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ILTRO" localSheetId="11">{#N/A,#N/A,TRUE,"Quinzena 01 à 15-04-98 "}</definedName>
    <definedName name="fjdhfgjdhtgu" localSheetId="11">{#N/A,#N/A,FALSE,"Plan1";#N/A,#N/A,FALSE,"Plan2"}</definedName>
    <definedName name="fjfjg" localSheetId="11">{#N/A,#N/A,FALSE,"명세표"}</definedName>
    <definedName name="FJGHJ"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FJHJHG" localSheetId="11">{#N/A,#N/A,FALSE,"Plan1";#N/A,#N/A,FALSE,"Plan2"}</definedName>
    <definedName name="fjtgfh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FKF"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kfw" localSheetId="11">{#N/A,#N/A,FALSE,"Plan1";#N/A,#N/A,FALSE,"Plan2"}</definedName>
    <definedName name="fl"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rçt4r" localSheetId="11">{#N/A,#N/A,FALSE,"Plan1";#N/A,#N/A,FALSE,"Plan2"}</definedName>
    <definedName name="frdtty" localSheetId="11">{#N/A,#N/A,FALSE,"Plan1";#N/A,#N/A,FALSE,"Plan2"}</definedName>
    <definedName name="fsdfsf" localSheetId="11">{#N/A,#N/A,FALSE,"GERAL";#N/A,#N/A,FALSE,"012-96";#N/A,#N/A,FALSE,"018-96";#N/A,#N/A,FALSE,"027-96";#N/A,#N/A,FALSE,"059-96";#N/A,#N/A,FALSE,"076-96";#N/A,#N/A,FALSE,"019-97";#N/A,#N/A,FALSE,"021-97";#N/A,#N/A,FALSE,"022-97";#N/A,#N/A,FALSE,"028-97"}</definedName>
    <definedName name="fuihgjk" localSheetId="11">{#N/A,#N/A,FALSE,"Plan1";#N/A,#N/A,FALSE,"Plan2"}</definedName>
    <definedName name="fxjghkfg" localSheetId="11">{#N/A,#N/A,FALSE,"Plan1";#N/A,#N/A,FALSE,"Plan2"}</definedName>
    <definedName name="galo" localSheetId="11">{#N/A,#N/A,FALSE,"GERAL";#N/A,#N/A,FALSE,"012-96";#N/A,#N/A,FALSE,"018-96";#N/A,#N/A,FALSE,"027-96";#N/A,#N/A,FALSE,"059-96";#N/A,#N/A,FALSE,"076-96";#N/A,#N/A,FALSE,"019-97";#N/A,#N/A,FALSE,"021-97";#N/A,#N/A,FALSE,"022-97";#N/A,#N/A,FALSE,"028-97"}</definedName>
    <definedName name="gbdjkvhgd" localSheetId="11">{#N/A,#N/A,FALSE,"Plan1";#N/A,#N/A,FALSE,"Plan2"}</definedName>
    <definedName name="gbdsjgsjfdgj" localSheetId="11">{#N/A,#N/A,FALSE,"Plan1";#N/A,#N/A,FALSE,"Plan2"}</definedName>
    <definedName name="gdfdhgfjgj" localSheetId="11">{#N/A,#N/A,FALSE,"Plan1";#N/A,#N/A,FALSE,"Plan2"}</definedName>
    <definedName name="gdfgdstggt" localSheetId="11">{#N/A,#N/A,FALSE,"Plan1";#N/A,#N/A,FALSE,"Plan2"}</definedName>
    <definedName name="GDFHGRJGFJDRF" localSheetId="11">{"Econ Consolidado",#N/A,FALSE,"Econ Consol";"Fluxo de Caixa",#N/A,FALSE,"Fluxo Caixa";"Investimentos",#N/A,FALSE,"Investimentos"}</definedName>
    <definedName name="gdfigfhuyuy" localSheetId="11">{#N/A,#N/A,FALSE,"Plan1";#N/A,#N/A,FALSE,"Plan2"}</definedName>
    <definedName name="gdfsgfew" localSheetId="11">{#N/A,#N/A,FALSE,"Plan1";#N/A,#N/A,FALSE,"Plan2"}</definedName>
    <definedName name="gdhfgdhfgf" localSheetId="11">{#N/A,#N/A,FALSE,"Plan1";#N/A,#N/A,FALSE,"Plan2"}</definedName>
    <definedName name="gdsfhefrwrw" localSheetId="11">{#N/A,#N/A,FALSE,"Plan1";#N/A,#N/A,FALSE,"Plan2"}</definedName>
    <definedName name="geshrjhed" localSheetId="11">{#N/A,#N/A,FALSE,"Plan1";#N/A,#N/A,FALSE,"Plan2"}</definedName>
    <definedName name="gfdcgnkf" localSheetId="11">{#N/A,#N/A,FALSE,"Plan1";#N/A,#N/A,FALSE,"Plan2"}</definedName>
    <definedName name="gfdjtgur" localSheetId="11">{#N/A,#N/A,FALSE,"Plan1";#N/A,#N/A,FALSE,"Plan2"}</definedName>
    <definedName name="gfgdhxgfdhf" localSheetId="11">{#N/A,#N/A,FALSE,"Plan1";#N/A,#N/A,FALSE,"Plan2"}</definedName>
    <definedName name="gfhfdtgjb" localSheetId="11">{#N/A,#N/A,FALSE,"Plan1";#N/A,#N/A,FALSE,"Plan2"}</definedName>
    <definedName name="gfjdshrtjhtged" localSheetId="11">{#N/A,#N/A,FALSE,"Plan1";#N/A,#N/A,FALSE,"Plan2"}</definedName>
    <definedName name="gfjgkddgfd" localSheetId="11">{#N/A,#N/A,FALSE,"Plan1";#N/A,#N/A,FALSE,"Plan2"}</definedName>
    <definedName name="gfsghjdgygr" localSheetId="11">{#N/A,#N/A,FALSE,"Plan1";#N/A,#N/A,FALSE,"Plan2"}</definedName>
    <definedName name="gftfy" localSheetId="11">{#N/A,#N/A,FALSE,"Plan1";#N/A,#N/A,FALSE,"Plan2"}</definedName>
    <definedName name="gfty" localSheetId="11">{#N/A,#N/A,FALSE,"Plan1";#N/A,#N/A,FALSE,"Plan2"}</definedName>
    <definedName name="GFUJU9" localSheetId="11">{#N/A,#N/A,FALSE,"Plan1";#N/A,#N/A,FALSE,"Plan2"}</definedName>
    <definedName name="ggg"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gggg" localSheetId="11">{"'장비'!$A$3:$M$12"}</definedName>
    <definedName name="gggggggggg"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gh" localSheetId="11">{"'장비'!$A$3:$M$12"}</definedName>
    <definedName name="ghfgdfrtert" localSheetId="11">{#N/A,#N/A,FALSE,"Plan1";#N/A,#N/A,FALSE,"Plan2"}</definedName>
    <definedName name="ghfhghft" localSheetId="11">{#N/A,#N/A,FALSE,"Plan1";#N/A,#N/A,FALSE,"Plan2"}</definedName>
    <definedName name="ghjg" localSheetId="11">{"'Estimativa de Lançamento-JAN'!$A$1:$AI$85"}</definedName>
    <definedName name="ghkfhgh" localSheetId="11">{#N/A,#N/A,FALSE,"Plan1";#N/A,#N/A,FALSE,"Plan2"}</definedName>
    <definedName name="ghkjh" localSheetId="11">{#N/A,#N/A,FALSE,"ENG'G(보호계전기)"}</definedName>
    <definedName name="GJ" localSheetId="11">{#N/A,#N/A,FALSE,"GERAL";#N/A,#N/A,FALSE,"012-96";#N/A,#N/A,FALSE,"018-96";#N/A,#N/A,FALSE,"027-96";#N/A,#N/A,FALSE,"059-96";#N/A,#N/A,FALSE,"076-96";#N/A,#N/A,FALSE,"019-97";#N/A,#N/A,FALSE,"021-97";#N/A,#N/A,FALSE,"022-97";#N/A,#N/A,FALSE,"028-97"}</definedName>
    <definedName name="gjfhjktgcf" localSheetId="11">{#N/A,#N/A,FALSE,"Plan1";#N/A,#N/A,FALSE,"Plan2"}</definedName>
    <definedName name="GJG"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gjgh" localSheetId="11">{#N/A,#N/A,FALSE,"GERAL";#N/A,#N/A,FALSE,"012-96";#N/A,#N/A,FALSE,"018-96";#N/A,#N/A,FALSE,"027-96";#N/A,#N/A,FALSE,"059-96";#N/A,#N/A,FALSE,"076-96";#N/A,#N/A,FALSE,"019-97";#N/A,#N/A,FALSE,"021-97";#N/A,#N/A,FALSE,"022-97";#N/A,#N/A,FALSE,"028-97"}</definedName>
    <definedName name="GJK" localSheetId="11">{#N/A,#N/A,FALSE,"GERAL";#N/A,#N/A,FALSE,"012-96";#N/A,#N/A,FALSE,"018-96";#N/A,#N/A,FALSE,"027-96";#N/A,#N/A,FALSE,"059-96";#N/A,#N/A,FALSE,"076-96";#N/A,#N/A,FALSE,"019-97";#N/A,#N/A,FALSE,"021-97";#N/A,#N/A,FALSE,"022-97";#N/A,#N/A,FALSE,"028-97"}</definedName>
    <definedName name="gjkhgjhjfggfjhfg" localSheetId="11">{#N/A,#N/A,FALSE,"Plan1";#N/A,#N/A,FALSE,"Plan2"}</definedName>
    <definedName name="glgl" localSheetId="11">{#N/A,#N/A,FALSE,"Plan1";#N/A,#N/A,FALSE,"Plan2"}</definedName>
    <definedName name="global" localSheetId="11">{"'Estimativa de Lançamento-JAN'!$A$1:$AI$85"}</definedName>
    <definedName name="gnfrth"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GSDWJSTGE"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gtuigsdyugsdf" localSheetId="11">{#N/A,#N/A,FALSE,"Plan1";#N/A,#N/A,FALSE,"Plan2"}</definedName>
    <definedName name="GUI" localSheetId="11">{#N/A,#N/A,FALSE,"GERAL";#N/A,#N/A,FALSE,"012-96";#N/A,#N/A,FALSE,"018-96";#N/A,#N/A,FALSE,"027-96";#N/A,#N/A,FALSE,"059-96";#N/A,#N/A,FALSE,"076-96";#N/A,#N/A,FALSE,"019-97";#N/A,#N/A,FALSE,"021-97";#N/A,#N/A,FALSE,"022-97";#N/A,#N/A,FALSE,"028-97"}</definedName>
    <definedName name="GV" localSheetId="11">{#N/A,#N/A,FALSE,"CCTV"}</definedName>
    <definedName name="hcjfkhdghfktg" localSheetId="11">{#N/A,#N/A,FALSE,"Plan1";#N/A,#N/A,FALSE,"Plan2"}</definedName>
    <definedName name="hddfndgdfg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HDFGHGST" localSheetId="11">{#N/A,#N/A,FALSE,"Plan1";#N/A,#N/A,FALSE,"Plan2"}</definedName>
    <definedName name="HDFGJKHKFDHTY" localSheetId="11">{#N/A,#N/A,FALSE,"Plan1";#N/A,#N/A,FALSE,"Plan2"}</definedName>
    <definedName name="hdfhdhrtgd" localSheetId="11">{#N/A,#N/A,FALSE,"Plan1";#N/A,#N/A,FALSE,"Plan2"}</definedName>
    <definedName name="hdfhftde" localSheetId="11">{#N/A,#N/A,FALSE,"Plan1";#N/A,#N/A,FALSE,"Plan2"}</definedName>
    <definedName name="hdfhgkdhgtrf" localSheetId="11">{#N/A,#N/A,FALSE,"Plan1";#N/A,#N/A,FALSE,"Plan2"}</definedName>
    <definedName name="hdfjhdkzhgdr" localSheetId="11">{#N/A,#N/A,FALSE,"Plan1";#N/A,#N/A,FALSE,"Plan2"}</definedName>
    <definedName name="hdfjkgvjgtd" localSheetId="11">{#N/A,#N/A,FALSE,"Plan1";#N/A,#N/A,FALSE,"Plan2"}</definedName>
    <definedName name="hdfjkhdhrute" localSheetId="11">{#N/A,#N/A,FALSE,"Plan1";#N/A,#N/A,FALSE,"Plan2"}</definedName>
    <definedName name="HDFKGVF" localSheetId="11">{#N/A,#N/A,FALSE,"Plan1";#N/A,#N/A,FALSE,"Plan2"}</definedName>
    <definedName name="hdgfhdgtdrt" localSheetId="11">{#N/A,#N/A,FALSE,"Plan1";#N/A,#N/A,FALSE,"Plan2"}</definedName>
    <definedName name="hdghgtgtrgd" localSheetId="11">{#N/A,#N/A,FALSE,"Plan1";#N/A,#N/A,FALSE,"Plan2"}</definedName>
    <definedName name="HDHDGHTUHDTG" localSheetId="11">{#N/A,#N/A,FALSE,"Plan1";#N/A,#N/A,FALSE,"Plan2"}</definedName>
    <definedName name="hdhghfthrrhy" localSheetId="11">{#N/A,#N/A,FALSE,"Plan1";#N/A,#N/A,FALSE,"Plan2"}</definedName>
    <definedName name="hdkfjhydjh" localSheetId="11">{#N/A,#N/A,FALSE,"Plan1";#N/A,#N/A,FALSE,"Plan2"}</definedName>
    <definedName name="hdsgfgrrdgr" localSheetId="11">{#N/A,#N/A,FALSE,"Plan1";#N/A,#N/A,FALSE,"Plan2"}</definedName>
    <definedName name="hdtertkkdsa" localSheetId="11">{#N/A,#N/A,FALSE,"Plan1";#N/A,#N/A,FALSE,"Plan2"}</definedName>
    <definedName name="HEDHA" localSheetId="11">{#N/A,#N/A,FALSE,"Plan1";#N/A,#N/A,FALSE,"Plan2"}</definedName>
    <definedName name="heife"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herkfdshfker" localSheetId="11">{#N/A,#N/A,FALSE,"Plan1";#N/A,#N/A,FALSE,"Plan2"}</definedName>
    <definedName name="hersdtretyt" localSheetId="11">{#N/A,#N/A,FALSE,"Plan1";#N/A,#N/A,FALSE,"Plan2"}</definedName>
    <definedName name="HFDJTHTRS"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HFDKHGFR" localSheetId="11">{#N/A,#N/A,FALSE,"Plan1";#N/A,#N/A,FALSE,"Plan2"}</definedName>
    <definedName name="hfdkhgkfdhtj" localSheetId="11">{#N/A,#N/A,FALSE,"Plan1";#N/A,#N/A,FALSE,"Plan2"}</definedName>
    <definedName name="hfgfktgkhyt" localSheetId="11">{#N/A,#N/A,FALSE,"Plan1";#N/A,#N/A,FALSE,"Plan2"}</definedName>
    <definedName name="hfghdkhrgkjg" localSheetId="11">{#N/A,#N/A,FALSE,"Plan1";#N/A,#N/A,FALSE,"Plan2"}</definedName>
    <definedName name="hfighfth" localSheetId="11">{#N/A,#N/A,FALSE,"Plan1";#N/A,#N/A,FALSE,"Plan2"}</definedName>
    <definedName name="hfjghtfuyrf" localSheetId="11">{#N/A,#N/A,FALSE,"Plan1";#N/A,#N/A,FALSE,"Plan2"}</definedName>
    <definedName name="HFKJHDJGHFJ" localSheetId="11">{#N/A,#N/A,FALSE,"Plan1";#N/A,#N/A,FALSE,"Plan2"}</definedName>
    <definedName name="hgdesgfgsj" localSheetId="11">{#N/A,#N/A,FALSE,"Plan1";#N/A,#N/A,FALSE,"Plan2"}</definedName>
    <definedName name="hgdgfd" localSheetId="11">{#N/A,#N/A,FALSE,"Plan1";#N/A,#N/A,FALSE,"Plan2"}</definedName>
    <definedName name="hgfhjkdfhj" localSheetId="11">{#N/A,#N/A,FALSE,"Plan1";#N/A,#N/A,FALSE,"Plan2"}</definedName>
    <definedName name="hgg" localSheetId="11">{#N/A,#N/A,FALSE,"Plan1";#N/A,#N/A,FALSE,"Plan2"}</definedName>
    <definedName name="hgjdfgghg" localSheetId="11">{#N/A,#N/A,FALSE,"Plan1";#N/A,#N/A,FALSE,"Plan2"}</definedName>
    <definedName name="hgjkfdhg" localSheetId="11">{#N/A,#N/A,FALSE,"Plan1";#N/A,#N/A,FALSE,"Plan2"}</definedName>
    <definedName name="hgkdfhkfk" localSheetId="11">{#N/A,#N/A,FALSE,"Plan1";#N/A,#N/A,FALSE,"Plan2"}</definedName>
    <definedName name="hgkjhdfhtrdyt" localSheetId="11">{#N/A,#N/A,FALSE,"Plan1";#N/A,#N/A,FALSE,"Plan2"}</definedName>
    <definedName name="hgkjhdfkhgtfhg" localSheetId="11">{#N/A,#N/A,FALSE,"Plan1";#N/A,#N/A,FALSE,"Plan2"}</definedName>
    <definedName name="hgkjhkfhsdkdhgk" localSheetId="11">{#N/A,#N/A,FALSE,"Plan1";#N/A,#N/A,FALSE,"Plan2"}</definedName>
    <definedName name="hgsufgdhghd" localSheetId="11">{#N/A,#N/A,FALSE,"Plan1";#N/A,#N/A,FALSE,"Plan2"}</definedName>
    <definedName name="HHGFHTYUT" localSheetId="11">{#N/A,#N/A,FALSE,"Plan1";#N/A,#N/A,FALSE,"Plan2"}</definedName>
    <definedName name="hhh" localSheetId="11">{"'Total'!$A$1","'Total'!$A$3"}</definedName>
    <definedName name="hik" localSheetId="11">{#N/A,#N/A,FALSE,"TABLE"}</definedName>
    <definedName name="hjdgtjdjxrfg" localSheetId="11">{#N/A,#N/A,FALSE,"Plan1";#N/A,#N/A,FALSE,"Plan2"}</definedName>
    <definedName name="HJFDGD" localSheetId="11">{#N/A,#N/A,FALSE,"Plan1";#N/A,#N/A,FALSE,"Plan2"}</definedName>
    <definedName name="HJGASD" localSheetId="11">{#N/A,#N/A,FALSE,"Plan1";#N/A,#N/A,FALSE,"Plan2"}</definedName>
    <definedName name="HJGFGTFDG" localSheetId="11">{#N/A,#N/A,FALSE,"Plan1";#N/A,#N/A,FALSE,"Plan2"}</definedName>
    <definedName name="hjgfhdsgfhsd" localSheetId="11">{#N/A,#N/A,FALSE,"Plan1";#N/A,#N/A,FALSE,"Plan2"}</definedName>
    <definedName name="hjgxfjgdjyftr" localSheetId="11">{#N/A,#N/A,FALSE,"Plan1";#N/A,#N/A,FALSE,"Plan2"}</definedName>
    <definedName name="hjgyugasd" localSheetId="11">{#N/A,#N/A,FALSE,"Plan1";#N/A,#N/A,FALSE,"Plan2"}</definedName>
    <definedName name="hjjfyfy" localSheetId="11">{#N/A,#N/A,FALSE,"Plan1";#N/A,#N/A,FALSE,"Plan2"}</definedName>
    <definedName name="hjkchkvjhdjkgh" localSheetId="11">{#N/A,#N/A,FALSE,"Plan1";#N/A,#N/A,FALSE,"Plan2"}</definedName>
    <definedName name="hjkfjdyht" localSheetId="11">{#N/A,#N/A,FALSE,"Plan1";#N/A,#N/A,FALSE,"Plan2"}</definedName>
    <definedName name="hjsdffe"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hjsdkhk" localSheetId="11">{#N/A,#N/A,FALSE,"Plan1";#N/A,#N/A,FALSE,"Plan2"}</definedName>
    <definedName name="hjsrdfre" localSheetId="11">{"Econ Consolidado",#N/A,FALSE,"Econ Consol";"Fluxo de Caixa",#N/A,FALSE,"Fluxo Caixa";"Investimentos",#N/A,FALSE,"Investimentos"}</definedName>
    <definedName name="HKewewsr" localSheetId="11">{#N/A,#N/A,FALSE,"Plan1";#N/A,#N/A,FALSE,"Plan2"}</definedName>
    <definedName name="hkhdskacd" localSheetId="11">{#N/A,#N/A,FALSE,"Plan1";#N/A,#N/A,FALSE,"Plan2"}</definedName>
    <definedName name="hkjfgfhgfh" localSheetId="11">{#N/A,#N/A,FALSE,"Plan1";#N/A,#N/A,FALSE,"Plan2"}</definedName>
    <definedName name="hkjfhgjkfhghfg" localSheetId="11">{#N/A,#N/A,FALSE,"Plan1";#N/A,#N/A,FALSE,"Plan2"}</definedName>
    <definedName name="HKLZHFRH" localSheetId="11">{#N/A,#N/A,FALSE,"Plan1";#N/A,#N/A,FALSE,"Plan2"}</definedName>
    <definedName name="ho" localSheetId="11">{#N/A,#N/A,FALSE,"TABLE"}</definedName>
    <definedName name="hrterte" localSheetId="11">{#N/A,#N/A,FALSE,"Plan1";#N/A,#N/A,FALSE,"Plan2"}</definedName>
    <definedName name="hsdf" localSheetId="11">{#N/A,#N/A,FALSE,"Plan1";#N/A,#N/A,FALSE,"Plan2"}</definedName>
    <definedName name="hsdfgdgudrt" localSheetId="11">{#N/A,#N/A,FALSE,"Plan1";#N/A,#N/A,FALSE,"Plan2"}</definedName>
    <definedName name="hsdfjkdhur" localSheetId="11">{#N/A,#N/A,FALSE,"Plan1";#N/A,#N/A,FALSE,"Plan2"}</definedName>
    <definedName name="hsdgftdht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hsdjffd" localSheetId="11">{#N/A,#N/A,FALSE,"Plan1";#N/A,#N/A,FALSE,"Plan2"}</definedName>
    <definedName name="hsdjffe" localSheetId="11">{#N/A,#N/A,FALSE,"Plan1";#N/A,#N/A,FALSE,"Plan2"}</definedName>
    <definedName name="HSFIHDTR" localSheetId="11">{"Econ Consolidado",#N/A,FALSE,"Econ Consol";"Fluxo de Caixa",#N/A,FALSE,"Fluxo Caixa";"Investimentos",#N/A,FALSE,"Investimentos"}</definedName>
    <definedName name="hsfjkdshrgf" localSheetId="11">{#N/A,#N/A,FALSE,"Plan1";#N/A,#N/A,FALSE,"Plan2"}</definedName>
    <definedName name="hthhrtetdre" localSheetId="11">{#N/A,#N/A,FALSE,"Plan1";#N/A,#N/A,FALSE,"Plan2"}</definedName>
    <definedName name="HTML_Control" localSheetId="11">{"'장비'!$A$3:$M$12"}</definedName>
    <definedName name="HTML2_CONTROL" localSheetId="11">{"'Estimativa de Lançamento-JAN'!$A$1:$AI$85"}</definedName>
    <definedName name="HTML3_CONTROL" localSheetId="11">{"'Estimativa de Lançamento-JAN'!$A$1:$AI$85"}</definedName>
    <definedName name="HTMLControl" localSheetId="11">{"'Edit'!$A$1:$V$2277"}</definedName>
    <definedName name="HVJKHGKFXHFD" localSheetId="11">{#N/A,#N/A,FALSE,"Plan1";#N/A,#N/A,FALSE,"Plan2"}</definedName>
    <definedName name="hwekjhekhf" localSheetId="11">{#N/A,#N/A,FALSE,"Plan1";#N/A,#N/A,FALSE,"Plan2"}</definedName>
    <definedName name="HXFRE" localSheetId="11">{#N/A,#N/A,FALSE,"Plan1";#N/A,#N/A,FALSE,"Plan2"}</definedName>
    <definedName name="HXKJFGDKHG" localSheetId="11">{#N/A,#N/A,FALSE,"Plan1";#N/A,#N/A,FALSE,"Plan2"}</definedName>
    <definedName name="idfhgkjhfkthy" localSheetId="11">{#N/A,#N/A,FALSE,"Plan1";#N/A,#N/A,FALSE,"Plan2"}</definedName>
    <definedName name="ieroweft" localSheetId="11">{#N/A,#N/A,FALSE,"Plan1";#N/A,#N/A,FALSE,"Plan2"}</definedName>
    <definedName name="iewpotqi5poejy" localSheetId="11">{#N/A,#N/A,FALSE,"Plan1";#N/A,#N/A,FALSE,"Plan2"}</definedName>
    <definedName name="ihdfifguhgfuiyh"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ihdsitrr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ihfdkjhktgrd" localSheetId="11">{#N/A,#N/A,FALSE,"Plan1";#N/A,#N/A,FALSE,"Plan2"}</definedName>
    <definedName name="ihrtetw4r" localSheetId="11">{#N/A,#N/A,FALSE,"Plan1";#N/A,#N/A,FALSE,"Plan2"}</definedName>
    <definedName name="IIASDSAWE" localSheetId="11">{"Econ Consolidado",#N/A,FALSE,"Econ Consol";"Fluxo de Caixa",#N/A,FALSE,"Fluxo Caixa";"Investimentos",#N/A,FALSE,"Investimentos"}</definedName>
    <definedName name="iinstalações" localSheetId="11">{#N/A,#N/A,FALSE,"GERAL";#N/A,#N/A,FALSE,"012-96";#N/A,#N/A,FALSE,"018-96";#N/A,#N/A,FALSE,"027-96";#N/A,#N/A,FALSE,"059-96";#N/A,#N/A,FALSE,"076-96";#N/A,#N/A,FALSE,"019-97";#N/A,#N/A,FALSE,"021-97";#N/A,#N/A,FALSE,"022-97";#N/A,#N/A,FALSE,"028-97"}</definedName>
    <definedName name="ilhweilrji4e" localSheetId="11">{#N/A,#N/A,FALSE,"Plan1";#N/A,#N/A,FALSE,"Plan2"}</definedName>
    <definedName name="ilsdr4wf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Insatalações" localSheetId="11">{#N/A,#N/A,FALSE,"GERAL";#N/A,#N/A,FALSE,"012-96";#N/A,#N/A,FALSE,"018-96";#N/A,#N/A,FALSE,"027-96";#N/A,#N/A,FALSE,"059-96";#N/A,#N/A,FALSE,"076-96";#N/A,#N/A,FALSE,"019-97";#N/A,#N/A,FALSE,"021-97";#N/A,#N/A,FALSE,"022-97";#N/A,#N/A,FALSE,"028-97"}</definedName>
    <definedName name="instalaçoes2" localSheetId="11">{#N/A,#N/A,FALSE,"GERAL";#N/A,#N/A,FALSE,"012-96";#N/A,#N/A,FALSE,"018-96";#N/A,#N/A,FALSE,"027-96";#N/A,#N/A,FALSE,"059-96";#N/A,#N/A,FALSE,"076-96";#N/A,#N/A,FALSE,"019-97";#N/A,#N/A,FALSE,"021-97";#N/A,#N/A,FALSE,"022-97";#N/A,#N/A,FALSE,"028-97"}</definedName>
    <definedName name="INTEGRA" localSheetId="11">{"'Edit'!$A$1:$V$2277"}</definedName>
    <definedName name="ioeriotyt" localSheetId="11">{#N/A,#N/A,FALSE,"Plan1";#N/A,#N/A,FALSE,"Plan2"}</definedName>
    <definedName name="iohudtorh" localSheetId="11">{#N/A,#N/A,FALSE,"Plan1";#N/A,#N/A,FALSE,"Plan2"}</definedName>
    <definedName name="iojtkheayed" localSheetId="11">{#N/A,#N/A,FALSE,"Plan1";#N/A,#N/A,FALSE,"Plan2"}</definedName>
    <definedName name="iouweroieuw4" localSheetId="11">{#N/A,#N/A,FALSE,"Plan1";#N/A,#N/A,FALSE,"Plan2"}</definedName>
    <definedName name="iphifpgh" localSheetId="11">{#N/A,#N/A,FALSE,"Plan1";#N/A,#N/A,FALSE,"Plan2"}</definedName>
    <definedName name="ipodsifgpds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ipotjrjketjr" localSheetId="11">{#N/A,#N/A,FALSE,"Plan1";#N/A,#N/A,FALSE,"Plan2"}</definedName>
    <definedName name="ITEM별상세업무분장"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UGFGDFUY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iyguygiyt" localSheetId="11">{#N/A,#N/A,FALSE,"Plan1";#N/A,#N/A,FALSE,"Plan2"}</definedName>
    <definedName name="iyuyheturtd" localSheetId="11">{#N/A,#N/A,FALSE,"Plan1";#N/A,#N/A,FALSE,"Plan2"}</definedName>
    <definedName name="j"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jalejdasjf" localSheetId="11">{#N/A,#N/A,FALSE,"Plan1";#N/A,#N/A,FALSE,"Plan2"}</definedName>
    <definedName name="JASDJS" localSheetId="11">{#N/A,#N/A,FALSE,"Plan1";#N/A,#N/A,FALSE,"Plan2"}</definedName>
    <definedName name="jaskldjlse" localSheetId="11">{#N/A,#N/A,FALSE,"Plan1";#N/A,#N/A,FALSE,"Plan2"}</definedName>
    <definedName name="JASLDKLD" localSheetId="11">{#N/A,#N/A,FALSE,"Plan1";#N/A,#N/A,FALSE,"Plan2"}</definedName>
    <definedName name="JÇDFHDF" localSheetId="11">{"Econ Consolidado",#N/A,FALSE,"Econ Consol";"Fluxo de Caixa",#N/A,FALSE,"Fluxo Caixa";"Investimentos",#N/A,FALSE,"Investimentos"}</definedName>
    <definedName name="jdbgftbhr" localSheetId="11">{#N/A,#N/A,FALSE,"Plan1";#N/A,#N/A,FALSE,"Plan2"}</definedName>
    <definedName name="jdfgldfjgklh" localSheetId="11">{#N/A,#N/A,FALSE,"Plan1";#N/A,#N/A,FALSE,"Plan2"}</definedName>
    <definedName name="jdfhjkdrhjtkg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jdfjdtrgt" localSheetId="11">{#N/A,#N/A,FALSE,"Plan1";#N/A,#N/A,FALSE,"Plan2"}</definedName>
    <definedName name="JDFJLDJR" localSheetId="11">{#N/A,#N/A,FALSE,"Plan1";#N/A,#N/A,FALSE,"Plan2"}</definedName>
    <definedName name="jdfkgitfgdrtt" localSheetId="11">{#N/A,#N/A,FALSE,"Plan1";#N/A,#N/A,FALSE,"Plan2"}</definedName>
    <definedName name="JDFKHFKJ" localSheetId="11">{#N/A,#N/A,FALSE,"Plan1";#N/A,#N/A,FALSE,"Plan2"}</definedName>
    <definedName name="jdfklgtdtr" localSheetId="11">{#N/A,#N/A,FALSE,"Plan1";#N/A,#N/A,FALSE,"Plan2"}</definedName>
    <definedName name="JDFKTHRT" localSheetId="11">{#N/A,#N/A,FALSE,"Plan1";#N/A,#N/A,FALSE,"Plan2"}</definedName>
    <definedName name="JDFLKJDRF" localSheetId="11">{#N/A,#N/A,FALSE,"Plan1";#N/A,#N/A,FALSE,"Plan2"}</definedName>
    <definedName name="jdfzlkjgfdht" localSheetId="11">{#N/A,#N/A,FALSE,"Plan1";#N/A,#N/A,FALSE,"Plan2"}</definedName>
    <definedName name="jdglhfghkt" localSheetId="11">{#N/A,#N/A,FALSE,"Plan1";#N/A,#N/A,FALSE,"Plan2"}</definedName>
    <definedName name="jdhfjdhgfd" localSheetId="11">{#N/A,#N/A,FALSE,"Plan1";#N/A,#N/A,FALSE,"Plan2"}</definedName>
    <definedName name="jdjdjdjd" localSheetId="11">{#N/A,#N/A,FALSE,"명세표"}</definedName>
    <definedName name="jdkfhgjhf" localSheetId="11">{#N/A,#N/A,FALSE,"Plan1";#N/A,#N/A,FALSE,"Plan2"}</definedName>
    <definedName name="jdkfjdtr" localSheetId="11">{#N/A,#N/A,FALSE,"Plan1";#N/A,#N/A,FALSE,"Plan2"}</definedName>
    <definedName name="jdljgftldjti5r" localSheetId="11">{#N/A,#N/A,FALSE,"Plan1";#N/A,#N/A,FALSE,"Plan2"}</definedName>
    <definedName name="JDLKJDASGF" localSheetId="11">{#N/A,#N/A,FALSE,"Plan1";#N/A,#N/A,FALSE,"Plan2"}</definedName>
    <definedName name="jdrfkdjfghrtfjg" localSheetId="11">{#N/A,#N/A,FALSE,"Plan1";#N/A,#N/A,FALSE,"Plan2"}</definedName>
    <definedName name="jdskfhdk" localSheetId="11">{#N/A,#N/A,FALSE,"Plan1";#N/A,#N/A,FALSE,"Plan2"}</definedName>
    <definedName name="JDSKLGKDRHGGF" localSheetId="11">{#N/A,#N/A,FALSE,"Plan1";#N/A,#N/A,FALSE,"Plan2"}</definedName>
    <definedName name="jefsgfr" localSheetId="11">{#N/A,#N/A,FALSE,"Plan1";#N/A,#N/A,FALSE,"Plan2"}</definedName>
    <definedName name="JERHIEHYURE" localSheetId="11">{#N/A,#N/A,FALSE,"Plan1";#N/A,#N/A,FALSE,"Plan2"}</definedName>
    <definedName name="jfddlsrtyty" localSheetId="11">{#N/A,#N/A,FALSE,"Plan1";#N/A,#N/A,FALSE,"Plan2"}</definedName>
    <definedName name="jfdjtgdjghitfyh" localSheetId="11">{#N/A,#N/A,FALSE,"Plan1";#N/A,#N/A,FALSE,"Plan2"}</definedName>
    <definedName name="jfdkgkftftg" localSheetId="11">{#N/A,#N/A,FALSE,"Plan1";#N/A,#N/A,FALSE,"Plan2"}</definedName>
    <definedName name="jfghjkfdhtkyru"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JFGJYHTY" localSheetId="11">{#N/A,#N/A,FALSE,"Plan1";#N/A,#N/A,FALSE,"Plan2"}</definedName>
    <definedName name="jfgkflcnjkglc" localSheetId="11">{#N/A,#N/A,FALSE,"Plan1";#N/A,#N/A,FALSE,"Plan2"}</definedName>
    <definedName name="JFHRE" localSheetId="11">{#N/A,#N/A,FALSE,"Plan1";#N/A,#N/A,FALSE,"Plan2"}</definedName>
    <definedName name="jfkdls5jtirjd" localSheetId="11">{#N/A,#N/A,FALSE,"Plan1";#N/A,#N/A,FALSE,"Plan2"}</definedName>
    <definedName name="jfkljdkfcj" localSheetId="11">{#N/A,#N/A,FALSE,"Plan1";#N/A,#N/A,FALSE,"Plan2"}</definedName>
    <definedName name="jfkrhdtghdut" localSheetId="11">{#N/A,#N/A,FALSE,"Plan1";#N/A,#N/A,FALSE,"Plan2"}</definedName>
    <definedName name="JFRESR" localSheetId="11">{#N/A,#N/A,FALSE,"Plan1";#N/A,#N/A,FALSE,"Plan2"}</definedName>
    <definedName name="jgdfdgfjgdj" localSheetId="11">{#N/A,#N/A,FALSE,"Plan1";#N/A,#N/A,FALSE,"Plan2"}</definedName>
    <definedName name="jgdfght" localSheetId="11">{#N/A,#N/A,FALSE,"Plan1";#N/A,#N/A,FALSE,"Plan2"}</definedName>
    <definedName name="jgfgdsgfdhrf" localSheetId="11">{#N/A,#N/A,FALSE,"Plan1";#N/A,#N/A,FALSE,"Plan2"}</definedName>
    <definedName name="JGFJGTFT" localSheetId="11">{#N/A,#N/A,FALSE,"Plan1";#N/A,#N/A,FALSE,"Plan2"}</definedName>
    <definedName name="jgkjkhjuftgi" localSheetId="11">{#N/A,#N/A,FALSE,"Plan1";#N/A,#N/A,FALSE,"Plan2"}</definedName>
    <definedName name="jhd"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jhdfjjhirft" localSheetId="11">{#N/A,#N/A,FALSE,"Plan1";#N/A,#N/A,FALSE,"Plan2"}</definedName>
    <definedName name="jhdfjkhtrdhf" localSheetId="11">{#N/A,#N/A,FALSE,"Plan1";#N/A,#N/A,FALSE,"Plan2"}</definedName>
    <definedName name="jhdfuthr" localSheetId="11">{#N/A,#N/A,FALSE,"Plan1";#N/A,#N/A,FALSE,"Plan2"}</definedName>
    <definedName name="JHDFZGRDHF" localSheetId="11">{"Econ Consolidado",#N/A,FALSE,"Econ Consol";"Fluxo de Caixa",#N/A,FALSE,"Fluxo Caixa";"Investimentos",#N/A,FALSE,"Investimentos"}</definedName>
    <definedName name="JHERKHKFGH" localSheetId="11">{#N/A,#N/A,FALSE,"Plan1";#N/A,#N/A,FALSE,"Plan2"}</definedName>
    <definedName name="JHGKJFJFJGL" localSheetId="11">{#N/A,#N/A,FALSE,"Plan1";#N/A,#N/A,FALSE,"Plan2"}</definedName>
    <definedName name="jhsdjkhfuks" localSheetId="11">{#N/A,#N/A,FALSE,"Plan1";#N/A,#N/A,FALSE,"Plan2"}</definedName>
    <definedName name="jisdrkje" localSheetId="11">{#N/A,#N/A,FALSE,"Plan1";#N/A,#N/A,FALSE,"Plan2"}</definedName>
    <definedName name="jishfrieyhtau" localSheetId="11">{#N/A,#N/A,FALSE,"Plan1";#N/A,#N/A,FALSE,"Plan2"}</definedName>
    <definedName name="jiu"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jj" localSheetId="11">{"'Apr-00'!$B$4:$AD$44"}</definedName>
    <definedName name="jjfdsktyhhy" localSheetId="11">{#N/A,#N/A,FALSE,"Plan1";#N/A,#N/A,FALSE,"Plan2"}</definedName>
    <definedName name="jjkjkjk" localSheetId="11">{#N/A,#N/A,FALSE,"Plan1";#N/A,#N/A,FALSE,"Plan2"}</definedName>
    <definedName name="JKDCK" localSheetId="11">{#N/A,#N/A,FALSE,"Plan1";#N/A,#N/A,FALSE,"Plan2"}</definedName>
    <definedName name="JKDFHKHFR" localSheetId="11">{#N/A,#N/A,FALSE,"Plan1";#N/A,#N/A,FALSE,"Plan2"}</definedName>
    <definedName name="JKDFTRDRJ" localSheetId="11">{#N/A,#N/A,FALSE,"Plan1";#N/A,#N/A,FALSE,"Plan2"}</definedName>
    <definedName name="jkdhfukhddf" localSheetId="11">{#N/A,#N/A,FALSE,"Plan1";#N/A,#N/A,FALSE,"Plan2"}</definedName>
    <definedName name="JKDRKGJHTDR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jkelsjreja" localSheetId="11">{#N/A,#N/A,FALSE,"Plan1";#N/A,#N/A,FALSE,"Plan2"}</definedName>
    <definedName name="jkfhjgkfhghh" localSheetId="11">{#N/A,#N/A,FALSE,"Plan1";#N/A,#N/A,FALSE,"Plan2"}</definedName>
    <definedName name="jkhderjkhes" localSheetId="11">{#N/A,#N/A,FALSE,"Plan1";#N/A,#N/A,FALSE,"Plan2"}</definedName>
    <definedName name="jkhdfhfd" localSheetId="11">{#N/A,#N/A,FALSE,"Plan1";#N/A,#N/A,FALSE,"Plan2"}</definedName>
    <definedName name="jkhfhest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JKHFKJHGKFTHUDET" localSheetId="11">{#N/A,#N/A,FALSE,"Plan1";#N/A,#N/A,FALSE,"Plan2"}</definedName>
    <definedName name="JKHGDHFUHTG" localSheetId="11">{#N/A,#N/A,FALSE,"Plan1";#N/A,#N/A,FALSE,"Plan2"}</definedName>
    <definedName name="jkhsdzjkfyiu" localSheetId="11">{#N/A,#N/A,FALSE,"Plan1";#N/A,#N/A,FALSE,"Plan2"}</definedName>
    <definedName name="jkjsdkhfdhrf" localSheetId="11">{#N/A,#N/A,FALSE,"Plan1";#N/A,#N/A,FALSE,"Plan2"}</definedName>
    <definedName name="jklgfsjgtjtg" localSheetId="11">{#N/A,#N/A,FALSE,"Plan1";#N/A,#N/A,FALSE,"Plan2"}</definedName>
    <definedName name="jksldfjsdhf" localSheetId="11">{#N/A,#N/A,FALSE,"Plan1";#N/A,#N/A,FALSE,"Plan2"}</definedName>
    <definedName name="jkxhcjkhfr" localSheetId="11">{#N/A,#N/A,FALSE,"Plan1";#N/A,#N/A,FALSE,"Plan2"}</definedName>
    <definedName name="JNGCKFKJFGH" localSheetId="11">{#N/A,#N/A,FALSE,"Plan1";#N/A,#N/A,FALSE,"Plan2"}</definedName>
    <definedName name="JREJRW" localSheetId="11">{#N/A,#N/A,FALSE,"Plan1";#N/A,#N/A,FALSE,"Plan2"}</definedName>
    <definedName name="JSADKAH" localSheetId="11">{"Econ Consolidado",#N/A,FALSE,"Econ Consol";"Fluxo de Caixa",#N/A,FALSE,"Fluxo Caixa";"Investimentos",#N/A,FALSE,"Investimentos"}</definedName>
    <definedName name="JSDAJRE" localSheetId="11">{#N/A,#N/A,FALSE,"Plan1";#N/A,#N/A,FALSE,"Plan2"}</definedName>
    <definedName name="jsdffsed"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jsdfjgx" localSheetId="11">{#N/A,#N/A,FALSE,"Plan1";#N/A,#N/A,FALSE,"Plan2"}</definedName>
    <definedName name="jsdfsdfd" localSheetId="11">{#N/A,#N/A,FALSE,"Plan1";#N/A,#N/A,FALSE,"Plan2"}</definedName>
    <definedName name="jsdljficd" localSheetId="11">{#N/A,#N/A,FALSE,"Plan1";#N/A,#N/A,FALSE,"Plan2"}</definedName>
    <definedName name="JSDTLFJDRG" localSheetId="11">{#N/A,#N/A,FALSE,"Plan1";#N/A,#N/A,FALSE,"Plan2"}</definedName>
    <definedName name="jsfjsjferwea" localSheetId="11">{#N/A,#N/A,FALSE,"Plan1";#N/A,#N/A,FALSE,"Plan2"}</definedName>
    <definedName name="jslrjer" localSheetId="11">{#N/A,#N/A,FALSE,"Plan1";#N/A,#N/A,FALSE,"Plan2"}</definedName>
    <definedName name="juklhkhdf" localSheetId="11">{#N/A,#N/A,FALSE,"Plan1";#N/A,#N/A,FALSE,"Plan2"}</definedName>
    <definedName name="JULHO99" localSheetId="11">{#N/A,#N/A,TRUE,"Quinzena 01 à 15-04-98 "}</definedName>
    <definedName name="jwekljd" localSheetId="11">{#N/A,#N/A,FALSE,"Plan1";#N/A,#N/A,FALSE,"Plan2"}</definedName>
    <definedName name="JWEOITORU5Y" localSheetId="11">{#N/A,#N/A,FALSE,"Plan1";#N/A,#N/A,FALSE,"Plan2"}</definedName>
    <definedName name="jxdfjsrf" localSheetId="11">{#N/A,#N/A,FALSE,"Plan1";#N/A,#N/A,FALSE,"Plan2"}</definedName>
    <definedName name="jxdklfjv"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jzsdjkszl" localSheetId="11">{#N/A,#N/A,FALSE,"Plan1";#N/A,#N/A,FALSE,"Plan2"}</definedName>
    <definedName name="JZXFKLJLDJF" localSheetId="11">{#N/A,#N/A,FALSE,"Plan1";#N/A,#N/A,FALSE,"Plan2"}</definedName>
    <definedName name="jzxklfdlvgfg" localSheetId="11">{#N/A,#N/A,FALSE,"Plan1";#N/A,#N/A,FALSE,"Plan2"}</definedName>
    <definedName name="k" localSheetId="11">{#N/A,#N/A,FALSE,"Plan1";#N/A,#N/A,FALSE,"Plan2"}</definedName>
    <definedName name="kaedkroswr" localSheetId="11">{"Econ Consolidado",#N/A,FALSE,"Econ Consol";"Fluxo de Caixa",#N/A,FALSE,"Fluxo Caixa";"Investimentos",#N/A,FALSE,"Investimentos"}</definedName>
    <definedName name="kçdasekr" localSheetId="11">{#N/A,#N/A,FALSE,"Plan1";#N/A,#N/A,FALSE,"Plan2"}</definedName>
    <definedName name="kçfdljtredr" localSheetId="11">{#N/A,#N/A,FALSE,"Plan1";#N/A,#N/A,FALSE,"Plan2"}</definedName>
    <definedName name="kclçkglf" localSheetId="11">{#N/A,#N/A,FALSE,"Plan1";#N/A,#N/A,FALSE,"Plan2"}</definedName>
    <definedName name="kçlkasçkere" localSheetId="11">{#N/A,#N/A,FALSE,"Plan1";#N/A,#N/A,FALSE,"Plan2"}</definedName>
    <definedName name="kdfbngtjkbf" localSheetId="11">{#N/A,#N/A,FALSE,"Plan1";#N/A,#N/A,FALSE,"Plan2"}</definedName>
    <definedName name="kdfhkghkrh" localSheetId="11">{#N/A,#N/A,FALSE,"Plan1";#N/A,#N/A,FALSE,"Plan2"}</definedName>
    <definedName name="kdfiere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kdfkçrkf" localSheetId="11">{#N/A,#N/A,FALSE,"Plan1";#N/A,#N/A,FALSE,"Plan2"}</definedName>
    <definedName name="kdfljlfr" localSheetId="11">{#N/A,#N/A,FALSE,"Plan1";#N/A,#N/A,FALSE,"Plan2"}</definedName>
    <definedName name="kdhfgkdfhytgu" localSheetId="11">{#N/A,#N/A,FALSE,"Plan1";#N/A,#N/A,FALSE,"Plan2"}</definedName>
    <definedName name="kdhgftfg" localSheetId="11">{#N/A,#N/A,FALSE,"Plan1";#N/A,#N/A,FALSE,"Plan2"}</definedName>
    <definedName name="KDHKFGKKHGF" localSheetId="11">{#N/A,#N/A,FALSE,"Plan1";#N/A,#N/A,FALSE,"Plan2"}</definedName>
    <definedName name="kdjgkfjgd" localSheetId="11">{#N/A,#N/A,FALSE,"Plan1";#N/A,#N/A,FALSE,"Plan2"}</definedName>
    <definedName name="kdjglkdlgjd" localSheetId="11">{#N/A,#N/A,FALSE,"Plan1";#N/A,#N/A,FALSE,"Plan2"}</definedName>
    <definedName name="kdjsfkldjgkty" localSheetId="11">{#N/A,#N/A,FALSE,"Plan1";#N/A,#N/A,FALSE,"Plan2"}</definedName>
    <definedName name="KDJU" localSheetId="11">{"'장비'!$A$3:$M$12"}</definedName>
    <definedName name="kdkjhgdkfhjk" localSheetId="11">{#N/A,#N/A,FALSE,"Plan1";#N/A,#N/A,FALSE,"Plan2"}</definedName>
    <definedName name="kdsf" localSheetId="11">{#N/A,#N/A,FALSE,"Plan1";#N/A,#N/A,FALSE,"Plan2"}</definedName>
    <definedName name="kdsr" localSheetId="11">{#N/A,#N/A,FALSE,"Plan1";#N/A,#N/A,FALSE,"Plan2"}</definedName>
    <definedName name="kergtfdstr" localSheetId="11">{#N/A,#N/A,FALSE,"Plan1";#N/A,#N/A,FALSE,"Plan2"}</definedName>
    <definedName name="KFDKTHGT" localSheetId="11">{#N/A,#N/A,FALSE,"Plan1";#N/A,#N/A,FALSE,"Plan2"}</definedName>
    <definedName name="kfdxlfdzs" localSheetId="11">{"Econ Consolidado",#N/A,FALSE,"Econ Consol";"Fluxo de Caixa",#N/A,FALSE,"Fluxo Caixa";"Investimentos",#N/A,FALSE,"Investimentos"}</definedName>
    <definedName name="kfgkhjkjhy" localSheetId="11">{#N/A,#N/A,FALSE,"Plan1";#N/A,#N/A,FALSE,"Plan2"}</definedName>
    <definedName name="KFJFDSDF" localSheetId="11">{#N/A,#N/A,FALSE,"Plan1";#N/A,#N/A,FALSE,"Plan2"}</definedName>
    <definedName name="kfnkeasd" localSheetId="11">{#N/A,#N/A,FALSE,"Plan1";#N/A,#N/A,FALSE,"Plan2"}</definedName>
    <definedName name="khdjkfkjhtg" localSheetId="11">{#N/A,#N/A,FALSE,"Plan1";#N/A,#N/A,FALSE,"Plan2"}</definedName>
    <definedName name="khdkfjhhfsdg" localSheetId="11">{#N/A,#N/A,FALSE,"Plan1";#N/A,#N/A,FALSE,"Plan2"}</definedName>
    <definedName name="khdkjfhgudytu" localSheetId="11">{#N/A,#N/A,FALSE,"Plan1";#N/A,#N/A,FALSE,"Plan2"}</definedName>
    <definedName name="khfdghhhgd" localSheetId="11">{#N/A,#N/A,FALSE,"Plan1";#N/A,#N/A,FALSE,"Plan2"}</definedName>
    <definedName name="khfdkjhsdjf" localSheetId="11">{#N/A,#N/A,FALSE,"Plan1";#N/A,#N/A,FALSE,"Plan2"}</definedName>
    <definedName name="khgdkftfy" localSheetId="11">{#N/A,#N/A,FALSE,"Plan1";#N/A,#N/A,FALSE,"Plan2"}</definedName>
    <definedName name="khgfhhtuhf" localSheetId="11">{#N/A,#N/A,FALSE,"Plan1";#N/A,#N/A,FALSE,"Plan2"}</definedName>
    <definedName name="khjkh"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KHJKLSDF" localSheetId="11">{#N/A,#N/A,FALSE,"Plan1";#N/A,#N/A,FALSE,"Plan2"}</definedName>
    <definedName name="kieret" localSheetId="11">{#N/A,#N/A,FALSE,"Plan1";#N/A,#N/A,FALSE,"Plan2"}</definedName>
    <definedName name="kjchkfhsezk" localSheetId="11">{#N/A,#N/A,FALSE,"Plan1";#N/A,#N/A,FALSE,"Plan2"}</definedName>
    <definedName name="kjdghksef" localSheetId="11">{#N/A,#N/A,FALSE,"Plan1";#N/A,#N/A,FALSE,"Plan2"}</definedName>
    <definedName name="kjdkftyhtert" localSheetId="11">{#N/A,#N/A,FALSE,"Plan1";#N/A,#N/A,FALSE,"Plan2"}</definedName>
    <definedName name="kjdlfkjds" localSheetId="11">{#N/A,#N/A,FALSE,"Plan1";#N/A,#N/A,FALSE,"Plan2"}</definedName>
    <definedName name="kjdzhfytrfy" localSheetId="11">{#N/A,#N/A,FALSE,"Plan1";#N/A,#N/A,FALSE,"Plan2"}</definedName>
    <definedName name="kjhdfgjthdft" localSheetId="11">{#N/A,#N/A,FALSE,"Plan1";#N/A,#N/A,FALSE,"Plan2"}</definedName>
    <definedName name="kjhsdfk"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kjhsiorf" localSheetId="11">{#N/A,#N/A,FALSE,"Plan1";#N/A,#N/A,FALSE,"Plan2"}</definedName>
    <definedName name="KJJ"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kjjwww" localSheetId="11">{#N/A,#N/A,FALSE,"Plan1";#N/A,#N/A,FALSE,"Plan2"}</definedName>
    <definedName name="kjl" localSheetId="11">{#N/A,#N/A,FALSE,"ENG'G(보호계전기)"}</definedName>
    <definedName name="KJOI" localSheetId="11">{#N/A,#N/A,FALSE,"Plan1";#N/A,#N/A,FALSE,"Plan2"}</definedName>
    <definedName name="kjqwerw" localSheetId="11">{#N/A,#N/A,FALSE,"Plan1";#N/A,#N/A,FALSE,"Plan2"}</definedName>
    <definedName name="kjsfert" localSheetId="11">{#N/A,#N/A,FALSE,"Plan1";#N/A,#N/A,FALSE,"Plan2"}</definedName>
    <definedName name="KJXCFKR" localSheetId="11">{#N/A,#N/A,FALSE,"Plan1";#N/A,#N/A,FALSE,"Plan2"}</definedName>
    <definedName name="KJXDFD" localSheetId="11">{#N/A,#N/A,FALSE,"Plan1";#N/A,#N/A,FALSE,"Plan2"}</definedName>
    <definedName name="kk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kkk" localSheetId="11">{#N/A,#N/A,FALSE,"Plan1";#N/A,#N/A,FALSE,"Plan2"}</definedName>
    <definedName name="kkkkk" localSheetId="11">{#N/A,#N/A,FALSE,"Plan1";#N/A,#N/A,FALSE,"Plan2"}</definedName>
    <definedName name="kkkkkk" localSheetId="11">{#N/A,#N/A,FALSE,"Plan1";#N/A,#N/A,FALSE,"Plan2"}</definedName>
    <definedName name="kko"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kksaklçer" localSheetId="11">{#N/A,#N/A,FALSE,"Plan1";#N/A,#N/A,FALSE,"Plan2"}</definedName>
    <definedName name="kksarde" localSheetId="11">{#N/A,#N/A,FALSE,"Plan1";#N/A,#N/A,FALSE,"Plan2"}</definedName>
    <definedName name="klaskldjsw" localSheetId="11">{#N/A,#N/A,FALSE,"Plan1";#N/A,#N/A,FALSE,"Plan2"}</definedName>
    <definedName name="klçkop" localSheetId="11">{#N/A,#N/A,FALSE,"Plan1";#N/A,#N/A,FALSE,"Plan2"}</definedName>
    <definedName name="KLDFNTRDT" localSheetId="11">{#N/A,#N/A,FALSE,"Plan1";#N/A,#N/A,FALSE,"Plan2"}</definedName>
    <definedName name="klhjsdklhdf" localSheetId="11">{#N/A,#N/A,FALSE,"Plan1";#N/A,#N/A,FALSE,"Plan2"}</definedName>
    <definedName name="KLHSKLRHWE" localSheetId="11">{#N/A,#N/A,FALSE,"Plan1";#N/A,#N/A,FALSE,"Plan2"}</definedName>
    <definedName name="KLJASKJD" localSheetId="11">{#N/A,#N/A,FALSE,"Plan1";#N/A,#N/A,FALSE,"Plan2"}</definedName>
    <definedName name="KLJDXLG"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kljeflwr" localSheetId="11">{#N/A,#N/A,FALSE,"Plan1";#N/A,#N/A,FALSE,"Plan2"}</definedName>
    <definedName name="kljflgjrf" localSheetId="11">{#N/A,#N/A,FALSE,"Plan1";#N/A,#N/A,FALSE,"Plan2"}</definedName>
    <definedName name="kljgfdfr" localSheetId="11">{#N/A,#N/A,FALSE,"Plan1";#N/A,#N/A,FALSE,"Plan2"}</definedName>
    <definedName name="kljgfjrt" localSheetId="11">{#N/A,#N/A,FALSE,"Plan1";#N/A,#N/A,FALSE,"Plan2"}</definedName>
    <definedName name="kljlkdfj" localSheetId="11">{#N/A,#N/A,FALSE,"Plan1";#N/A,#N/A,FALSE,"Plan2"}</definedName>
    <definedName name="kljsakjfr" localSheetId="11">{#N/A,#N/A,FALSE,"Plan1";#N/A,#N/A,FALSE,"Plan2"}</definedName>
    <definedName name="kljsdje" localSheetId="11">{#N/A,#N/A,FALSE,"Plan1";#N/A,#N/A,FALSE,"Plan2"}</definedName>
    <definedName name="kljsfwe" localSheetId="11">{#N/A,#N/A,FALSE,"Plan1";#N/A,#N/A,FALSE,"Plan2"}</definedName>
    <definedName name="klk" localSheetId="11">{#N/A,#N/A,FALSE,"Plan1";#N/A,#N/A,FALSE,"Plan2"}</definedName>
    <definedName name="KLKKLKÇJÇ" localSheetId="11">{#N/A,#N/A,FALSE,"Plan1";#N/A,#N/A,FALSE,"Plan2"}</definedName>
    <definedName name="KLSDFT" localSheetId="11">{#N/A,#N/A,FALSE,"Plan1";#N/A,#N/A,FALSE,"Plan2"}</definedName>
    <definedName name="KLSDHSJKHF" localSheetId="11">{#N/A,#N/A,FALSE,"Plan1";#N/A,#N/A,FALSE,"Plan2"}</definedName>
    <definedName name="klsdkre" localSheetId="11">{#N/A,#N/A,FALSE,"Plan1";#N/A,#N/A,FALSE,"Plan2"}</definedName>
    <definedName name="KLSIDJE" localSheetId="11">{#N/A,#N/A,FALSE,"Plan1";#N/A,#N/A,FALSE,"Plan2"}</definedName>
    <definedName name="klsjarsf" localSheetId="11">{#N/A,#N/A,FALSE,"Plan1";#N/A,#N/A,FALSE,"Plan2"}</definedName>
    <definedName name="klxhjfdkhser" localSheetId="11">{#N/A,#N/A,FALSE,"Plan1";#N/A,#N/A,FALSE,"Plan2"}</definedName>
    <definedName name="kopipnsdfne" localSheetId="11">{#N/A,#N/A,FALSE,"Plan1";#N/A,#N/A,FALSE,"Plan2"}</definedName>
    <definedName name="kp"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KSDLÇKSÇ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KSDLDF" localSheetId="11">{#N/A,#N/A,FALSE,"Plan1";#N/A,#N/A,FALSE,"Plan2"}</definedName>
    <definedName name="ksdlkfsçzd" localSheetId="11">{#N/A,#N/A,FALSE,"Plan1";#N/A,#N/A,FALSE,"Plan2"}</definedName>
    <definedName name="ksdoçierfe" localSheetId="11">{#N/A,#N/A,FALSE,"Plan1";#N/A,#N/A,FALSE,"Plan2"}</definedName>
    <definedName name="ksdtrdrkf" localSheetId="11">{#N/A,#N/A,FALSE,"Plan1";#N/A,#N/A,FALSE,"Plan2"}</definedName>
    <definedName name="KSFÇJDFJL" localSheetId="11">{#N/A,#N/A,FALSE,"Plan1";#N/A,#N/A,FALSE,"Plan2"}</definedName>
    <definedName name="ksfhse" localSheetId="11">{#N/A,#N/A,FALSE,"Plan1";#N/A,#N/A,FALSE,"Plan2"}</definedName>
    <definedName name="KSRKOE" localSheetId="11">{#N/A,#N/A,FALSE,"Plan1";#N/A,#N/A,FALSE,"Plan2"}</definedName>
    <definedName name="KSWKE" localSheetId="11">{#N/A,#N/A,FALSE,"Plan1";#N/A,#N/A,FALSE,"Plan2"}</definedName>
    <definedName name="kysdusf" localSheetId="11">{#N/A,#N/A,FALSE,"Plan1";#N/A,#N/A,FALSE,"Plan2"}</definedName>
    <definedName name="kzslçdkçle" localSheetId="11">{#N/A,#N/A,FALSE,"Plan1";#N/A,#N/A,FALSE,"Plan2"}</definedName>
    <definedName name="LAEKWRK" localSheetId="11">{#N/A,#N/A,FALSE,"Plan1";#N/A,#N/A,FALSE,"Plan2"}</definedName>
    <definedName name="LAKDEWRF" localSheetId="11">{#N/A,#N/A,FALSE,"Plan1";#N/A,#N/A,FALSE,"Plan2"}</definedName>
    <definedName name="LASÇDSRLF" localSheetId="11">{#N/A,#N/A,FALSE,"Plan1";#N/A,#N/A,FALSE,"Plan2"}</definedName>
    <definedName name="lasrlswer" localSheetId="11">{#N/A,#N/A,FALSE,"Plan1";#N/A,#N/A,FALSE,"Plan2"}</definedName>
    <definedName name="lçadple4r" localSheetId="11">{#N/A,#N/A,FALSE,"Plan1";#N/A,#N/A,FALSE,"Plan2"}</definedName>
    <definedName name="lçasser" localSheetId="11">{#N/A,#N/A,FALSE,"Plan1";#N/A,#N/A,FALSE,"Plan2"}</definedName>
    <definedName name="lcdgjtklfrn" localSheetId="11">{#N/A,#N/A,FALSE,"Plan1";#N/A,#N/A,FALSE,"Plan2"}</definedName>
    <definedName name="lçfklsdkçaer" localSheetId="11">{#N/A,#N/A,FALSE,"Plan1";#N/A,#N/A,FALSE,"Plan2"}</definedName>
    <definedName name="lçjkgf" localSheetId="11">{#N/A,#N/A,FALSE,"Plan1";#N/A,#N/A,FALSE,"Plan2"}</definedName>
    <definedName name="LÇJSLDFJ" localSheetId="11">{#N/A,#N/A,FALSE,"Plan1";#N/A,#N/A,FALSE,"Plan2"}</definedName>
    <definedName name="LÇKÇSDRLK" localSheetId="11">{#N/A,#N/A,FALSE,"Plan1";#N/A,#N/A,FALSE,"Plan2"}</definedName>
    <definedName name="lçkl"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lçl"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lçlfklçdglfdgt" localSheetId="11">{#N/A,#N/A,FALSE,"Plan1";#N/A,#N/A,FALSE,"Plan2"}</definedName>
    <definedName name="lçslrr4r" localSheetId="11">{#N/A,#N/A,FALSE,"Plan1";#N/A,#N/A,FALSE,"Plan2"}</definedName>
    <definedName name="ldfjgry" localSheetId="11">{#N/A,#N/A,FALSE,"Plan1";#N/A,#N/A,FALSE,"Plan2"}</definedName>
    <definedName name="ldfjgtilrf" localSheetId="11">{#N/A,#N/A,FALSE,"Plan1";#N/A,#N/A,FALSE,"Plan2"}</definedName>
    <definedName name="ldk" localSheetId="11">{#N/A,#N/A,FALSE,"Plan1";#N/A,#N/A,FALSE,"Plan2"}</definedName>
    <definedName name="ldkgkdfjgkh" localSheetId="11">{#N/A,#N/A,FALSE,"Plan1";#N/A,#N/A,FALSE,"Plan2"}</definedName>
    <definedName name="LDTJGR" localSheetId="11">{#N/A,#N/A,FALSE,"Plan1";#N/A,#N/A,FALSE,"Plan2"}</definedName>
    <definedName name="LEKG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lfjdjrt" localSheetId="11">{#N/A,#N/A,FALSE,"Plan1";#N/A,#N/A,FALSE,"Plan2"}</definedName>
    <definedName name="lidfjgklruf" localSheetId="11">{#N/A,#N/A,FALSE,"Plan1";#N/A,#N/A,FALSE,"Plan2"}</definedName>
    <definedName name="list"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t"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dfkgyt" localSheetId="11">{#N/A,#N/A,FALSE,"Plan1";#N/A,#N/A,FALSE,"Plan2"}</definedName>
    <definedName name="LJDFLJRL" localSheetId="11">{#N/A,#N/A,FALSE,"Plan1";#N/A,#N/A,FALSE,"Plan2"}</definedName>
    <definedName name="ljsdfrd" localSheetId="11">{#N/A,#N/A,FALSE,"Plan1";#N/A,#N/A,FALSE,"Plan2"}</definedName>
    <definedName name="LK" localSheetId="11">{#N/A,#N/A,TRUE,"Quinzena 01 à 15-04-98 "}</definedName>
    <definedName name="lkasdkeo" localSheetId="11">{#N/A,#N/A,FALSE,"Plan1";#N/A,#N/A,FALSE,"Plan2"}</definedName>
    <definedName name="lkdeas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lkdzxfsdrf" localSheetId="11">{#N/A,#N/A,FALSE,"Plan1";#N/A,#N/A,FALSE,"Plan2"}</definedName>
    <definedName name="lkfdkçtktr" localSheetId="11">{#N/A,#N/A,FALSE,"Plan1";#N/A,#N/A,FALSE,"Plan2"}</definedName>
    <definedName name="lkt" localSheetId="11">{#N/A,#N/A,FALSE,"Plan1";#N/A,#N/A,FALSE,"Plan2"}</definedName>
    <definedName name="lktlyklt" localSheetId="11">{#N/A,#N/A,FALSE,"Plan1";#N/A,#N/A,FALSE,"Plan2"}</definedName>
    <definedName name="LKTTYT" localSheetId="11">{#N/A,#N/A,FALSE,"Plan1";#N/A,#N/A,FALSE,"Plan2"}</definedName>
    <definedName name="llgg" localSheetId="11">{#N/A,#N/A,FALSE,"Plan1";#N/A,#N/A,FALSE,"Plan2"}</definedName>
    <definedName name="LLL" localSheetId="11">{#N/A,#N/A,FALSE,"Plan1";#N/A,#N/A,FALSE,"Plan2"}</definedName>
    <definedName name="LM_AR" localSheetId="11">{#N/A,#N/A,FALSE,"F-01"}</definedName>
    <definedName name="LM_AT" localSheetId="11">{#N/A,#N/A,FALSE,"F-01"}</definedName>
    <definedName name="LM_INC" localSheetId="11">{#N/A,#N/A,FALSE,"F-01"}</definedName>
    <definedName name="LMPASD"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LO"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LSDFKLDKFTR" localSheetId="11">{#N/A,#N/A,FALSE,"Plan1";#N/A,#N/A,FALSE,"Plan2"}</definedName>
    <definedName name="lsdjse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lsdkljfkg" localSheetId="11">{#N/A,#N/A,FALSE,"Plan1";#N/A,#N/A,FALSE,"Plan2"}</definedName>
    <definedName name="lsdsder" localSheetId="11">{#N/A,#N/A,FALSE,"Plan1";#N/A,#N/A,FALSE,"Plan2"}</definedName>
    <definedName name="ltj6ljyhdjhngças" localSheetId="11">{#N/A,#N/A,FALSE,"Plan1";#N/A,#N/A,FALSE,"Plan2"}</definedName>
    <definedName name="m"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MAISAP" localSheetId="11">{#N/A,#N/A,FALSE,"Plan1";#N/A,#N/A,FALSE,"Plan2"}</definedName>
    <definedName name="MANTO" localSheetId="11">{#N/A,#N/A,FALSE,"GERAL";#N/A,#N/A,FALSE,"012-96";#N/A,#N/A,FALSE,"018-96";#N/A,#N/A,FALSE,"027-96";#N/A,#N/A,FALSE,"059-96";#N/A,#N/A,FALSE,"076-96";#N/A,#N/A,FALSE,"019-97";#N/A,#N/A,FALSE,"021-97";#N/A,#N/A,FALSE,"022-97";#N/A,#N/A,FALSE,"028-97"}</definedName>
    <definedName name="MASTER" localSheetId="11">{#N/A,#N/A,FALSE,"GERAL";#N/A,#N/A,FALSE,"012-96";#N/A,#N/A,FALSE,"018-96";#N/A,#N/A,FALSE,"027-96";#N/A,#N/A,FALSE,"059-96";#N/A,#N/A,FALSE,"076-96";#N/A,#N/A,FALSE,"019-97";#N/A,#N/A,FALSE,"021-97";#N/A,#N/A,FALSE,"022-97";#N/A,#N/A,FALSE,"028-97"}</definedName>
    <definedName name="mattubcust" localSheetId="11">{#N/A,#N/A,FALSE,"GERAL";#N/A,#N/A,FALSE,"012-96";#N/A,#N/A,FALSE,"018-96";#N/A,#N/A,FALSE,"027-96";#N/A,#N/A,FALSE,"059-96";#N/A,#N/A,FALSE,"076-96";#N/A,#N/A,FALSE,"019-97";#N/A,#N/A,FALSE,"021-97";#N/A,#N/A,FALSE,"022-97";#N/A,#N/A,FALSE,"028-97"}</definedName>
    <definedName name="MAURILIO" localSheetId="11">{#N/A,#N/A,FALSE,"Plan1";#N/A,#N/A,FALSE,"Plan2"}</definedName>
    <definedName name="MC" localSheetId="11">{#N/A,#N/A,FALSE,"GERAL";#N/A,#N/A,FALSE,"012-96";#N/A,#N/A,FALSE,"018-96";#N/A,#N/A,FALSE,"027-96";#N/A,#N/A,FALSE,"059-96";#N/A,#N/A,FALSE,"076-96";#N/A,#N/A,FALSE,"019-97";#N/A,#N/A,FALSE,"021-97";#N/A,#N/A,FALSE,"022-97";#N/A,#N/A,FALSE,"028-97"}</definedName>
    <definedName name="MCM" localSheetId="11">{#N/A,#N/A,FALSE,"GERAL";#N/A,#N/A,FALSE,"012-96";#N/A,#N/A,FALSE,"018-96";#N/A,#N/A,FALSE,"027-96";#N/A,#N/A,FALSE,"059-96";#N/A,#N/A,FALSE,"076-96";#N/A,#N/A,FALSE,"019-97";#N/A,#N/A,FALSE,"021-97";#N/A,#N/A,FALSE,"022-97";#N/A,#N/A,FALSE,"028-97"}</definedName>
    <definedName name="mdfgtr" localSheetId="11">{#N/A,#N/A,FALSE,"Plan1";#N/A,#N/A,FALSE,"Plan2"}</definedName>
    <definedName name="MDSÇLFJKJSD" localSheetId="11">{#N/A,#N/A,FALSE,"Plan1";#N/A,#N/A,FALSE,"Plan2"}</definedName>
    <definedName name="ME" localSheetId="11">{"HW",#N/A,FALSE,"1998"}</definedName>
    <definedName name="MESTRE" localSheetId="11">{#N/A,#N/A,FALSE,"GERAL";#N/A,#N/A,FALSE,"012-96";#N/A,#N/A,FALSE,"018-96";#N/A,#N/A,FALSE,"027-96";#N/A,#N/A,FALSE,"059-96";#N/A,#N/A,FALSE,"076-96";#N/A,#N/A,FALSE,"019-97";#N/A,#N/A,FALSE,"021-97";#N/A,#N/A,FALSE,"022-97";#N/A,#N/A,FALSE,"028-97"}</definedName>
    <definedName name="MLMÇLKJKI" localSheetId="11">{#N/A,#N/A,FALSE,"Plan1";#N/A,#N/A,FALSE,"Plan2"}</definedName>
    <definedName name="MM"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mmmmm" localSheetId="11">{"tabela",#N/A,FALSE,"Tabela";"decoração",#N/A,FALSE,"Decor.";"Informações",#N/A,FALSE,"Inform."}</definedName>
    <definedName name="mmmmmmm" localSheetId="11">{#N/A,#N/A,FALSE,"QD_F1 Invest Detalhado";#N/A,#N/A,FALSE,"QD_F3 Invest_Comparado";#N/A,#N/A,FALSE,"QD_B Trafego";#N/A,#N/A,FALSE,"QD_D0 Custos Operacionais";#N/A,#N/A,FALSE,"QD_C Receita";#N/A,#N/A,FALSE,"QD_D Custos";#N/A,#N/A,FALSE,"QD_E Resultado";#N/A,#N/A,FALSE,"QD_G Fluxo Caixa"}</definedName>
    <definedName name="MNBXFKGS" localSheetId="11">{#N/A,#N/A,FALSE,"Plan1";#N/A,#N/A,FALSE,"Plan2"}</definedName>
    <definedName name="mncvbgcvmc" localSheetId="11">{#N/A,#N/A,FALSE,"Plan1";#N/A,#N/A,FALSE,"Plan2"}</definedName>
    <definedName name="MNDKZSFNCEA" localSheetId="11">{#N/A,#N/A,FALSE,"Plan1";#N/A,#N/A,FALSE,"Plan2"}</definedName>
    <definedName name="mnhdshfgfhd" localSheetId="11">{#N/A,#N/A,FALSE,"Plan1";#N/A,#N/A,FALSE,"Plan2"}</definedName>
    <definedName name="mobra" localSheetId="11">{#N/A,#N/A,FALSE,"GERAL";#N/A,#N/A,FALSE,"012-96";#N/A,#N/A,FALSE,"018-96";#N/A,#N/A,FALSE,"027-96";#N/A,#N/A,FALSE,"059-96";#N/A,#N/A,FALSE,"076-96";#N/A,#N/A,FALSE,"019-97";#N/A,#N/A,FALSE,"021-97";#N/A,#N/A,FALSE,"022-97";#N/A,#N/A,FALSE,"028-97"}</definedName>
    <definedName name="Modelo1" localSheetId="11">{#N/A,#N/A,FALSE,"cdi";#N/A,#N/A,FALSE,"debent";#N/A,#N/A,FALSE,"fdos";#N/A,#N/A,FALSE,"resumo"}</definedName>
    <definedName name="Modelo1a" localSheetId="11">{#N/A,#N/A,FALSE,"cdi";#N/A,#N/A,FALSE,"debent";#N/A,#N/A,FALSE,"fdos";#N/A,#N/A,FALSE,"resumo"}</definedName>
    <definedName name="Modelo2" localSheetId="1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MP" localSheetId="11">{#N/A,#N/A,FALSE,"CCTV"}</definedName>
    <definedName name="MSDRFSWER" localSheetId="11">{"Econ Consolidado",#N/A,FALSE,"Econ Consol";"Fluxo de Caixa",#N/A,FALSE,"Fluxo Caixa";"Investimentos",#N/A,FALSE,"Investimentos"}</definedName>
    <definedName name="mzshdjshjs" localSheetId="11">{#N/A,#N/A,FALSE,"Plan1";#N/A,#N/A,FALSE,"Plan2"}</definedName>
    <definedName name="na" localSheetId="11">{#N/A,#N/A,FALSE,"$170M Cash";#N/A,#N/A,FALSE,"$250M Cash";#N/A,#N/A,FALSE,"$325M Cash"}</definedName>
    <definedName name="ncdgrdhrtg" localSheetId="11">{#N/A,#N/A,FALSE,"Plan1";#N/A,#N/A,FALSE,"Plan2"}</definedName>
    <definedName name="nchngdfhgdh" localSheetId="11">{#N/A,#N/A,FALSE,"Plan1";#N/A,#N/A,FALSE,"Plan2"}</definedName>
    <definedName name="NCJFKNGJHF" localSheetId="11">{#N/A,#N/A,FALSE,"Plan1";#N/A,#N/A,FALSE,"Plan2"}</definedName>
    <definedName name="ndcxhgdhf" localSheetId="11">{#N/A,#N/A,FALSE,"Plan1";#N/A,#N/A,FALSE,"Plan2"}</definedName>
    <definedName name="ndfjnjkrhdgt" localSheetId="11">{#N/A,#N/A,FALSE,"Plan1";#N/A,#N/A,FALSE,"Plan2"}</definedName>
    <definedName name="ndfkghkjthfyst" localSheetId="11">{#N/A,#N/A,FALSE,"Plan1";#N/A,#N/A,FALSE,"Plan2"}</definedName>
    <definedName name="NDJGKFKGHUFG" localSheetId="11">{#N/A,#N/A,FALSE,"Plan1";#N/A,#N/A,FALSE,"Plan2"}</definedName>
    <definedName name="ndrjkt" localSheetId="11">{#N/A,#N/A,FALSE,"Plan1";#N/A,#N/A,FALSE,"Plan2"}</definedName>
    <definedName name="new" localSheetId="11">{#N/A,#N/A,FALSE,"Global by BU";#N/A,#N/A,FALSE,"U.S. by BU";#N/A,#N/A,FALSE,"Canada by BU";#N/A,#N/A,FALSE,"Europe by BU";#N/A,#N/A,FALSE,"Asia by BU";#N/A,#N/A,FALSE,"Cala by BU"}</definedName>
    <definedName name="NEWNAME" localSheetId="11">{#N/A,#N/A,FALSE,"CCTV"}</definedName>
    <definedName name="nfgjkhvhfghn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nfkhdjkthde" localSheetId="11">{#N/A,#N/A,FALSE,"Plan1";#N/A,#N/A,FALSE,"Plan2"}</definedName>
    <definedName name="nhj"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NHJHFDSHF" localSheetId="11">{#N/A,#N/A,FALSE,"Plan1";#N/A,#N/A,FALSE,"Plan2"}</definedName>
    <definedName name="NJSDFHERTG" localSheetId="11">{#N/A,#N/A,FALSE,"Plan1";#N/A,#N/A,FALSE,"Plan2"}</definedName>
    <definedName name="nkfnsskdn" localSheetId="11">{#N/A,#N/A,FALSE,"Plan1";#N/A,#N/A,FALSE,"Plan2"}</definedName>
    <definedName name="NKJL"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nlaksjdwe" localSheetId="11">{#N/A,#N/A,FALSE,"Plan1";#N/A,#N/A,FALSE,"Plan2"}</definedName>
    <definedName name="nljsdfljfdsfr" localSheetId="11">{#N/A,#N/A,FALSE,"Plan1";#N/A,#N/A,FALSE,"Plan2"}</definedName>
    <definedName name="nmjdfhxj" localSheetId="11">{#N/A,#N/A,FALSE,"Plan1";#N/A,#N/A,FALSE,"Plan2"}</definedName>
    <definedName name="nnmn" localSheetId="11">{#N/A,#N/A,FALSE,"Plan1";#N/A,#N/A,FALSE,"Plan2"}</definedName>
    <definedName name="nnn" localSheetId="11">{#N/A,#N/A,FALSE,"$170M Cash";#N/A,#N/A,FALSE,"$250M Cash";#N/A,#N/A,FALSE,"$325M Cash"}</definedName>
    <definedName name="nnnnnnnnnnn" localSheetId="11">{"HW",#N/A,FALSE,"1998"}</definedName>
    <definedName name="NNNNNNNNNNNNNNN" localSheetId="11">{#N/A,#N/A,FALSE,"Plan1";#N/A,#N/A,FALSE,"Plan2"}</definedName>
    <definedName name="nnnnnnnnnnnnnnnnnnnn" localSheetId="11">{#N/A,#N/A,FALSE,"Plan1";#N/A,#N/A,FALSE,"Plan2"}</definedName>
    <definedName name="NNXFT" localSheetId="11">{#N/A,#N/A,FALSE,"Plan1";#N/A,#N/A,FALSE,"Plan2"}</definedName>
    <definedName name="nsdkfndgfdnatf" localSheetId="11">{#N/A,#N/A,FALSE,"Plan1";#N/A,#N/A,FALSE,"Plan2"}</definedName>
    <definedName name="nsfljdiljrf" localSheetId="11">{#N/A,#N/A,FALSE,"Plan1";#N/A,#N/A,FALSE,"Plan2"}</definedName>
    <definedName name="nzxcnnjkd" localSheetId="11">{#N/A,#N/A,FALSE,"Plan1";#N/A,#N/A,FALSE,"Plan2"}</definedName>
    <definedName name="odfuudor" localSheetId="11">{#N/A,#N/A,FALSE,"Plan1";#N/A,#N/A,FALSE,"Plan2"}</definedName>
    <definedName name="oiditrot" localSheetId="11">{#N/A,#N/A,FALSE,"Plan1";#N/A,#N/A,FALSE,"Plan2"}</definedName>
    <definedName name="oio" localSheetId="11">{#N/A,#N/A,FALSE,"Plan1";#N/A,#N/A,FALSE,"Plan2"}</definedName>
    <definedName name="OJÇLJ" localSheetId="11">{#N/A,#N/A,FALSE,"Plan1";#N/A,#N/A,FALSE,"Plan2"}</definedName>
    <definedName name="ojkdfit" localSheetId="11">{#N/A,#N/A,FALSE,"Plan1";#N/A,#N/A,FALSE,"Plan2"}</definedName>
    <definedName name="ooo" localSheetId="11">{#N/A,#N/A,FALSE,"Plan1";#N/A,#N/A,FALSE,"Plan2"}</definedName>
    <definedName name="OPASEDWED" localSheetId="11">{"Econ Consolidado",#N/A,FALSE,"Econ Consol";"Fluxo de Caixa",#N/A,FALSE,"Fluxo Caixa";"Investimentos",#N/A,FALSE,"Investimentos"}</definedName>
    <definedName name="opiwre" localSheetId="11">{#N/A,#N/A,FALSE,"Plan1";#N/A,#N/A,FALSE,"Plan2"}</definedName>
    <definedName name="os" localSheetId="11">{#N/A,#N/A,FALSE,"TABLE"}</definedName>
    <definedName name="otodgkrjglsrd" localSheetId="11">{#N/A,#N/A,FALSE,"Plan1";#N/A,#N/A,FALSE,"Plan2"}</definedName>
    <definedName name="OUERWRSR" localSheetId="11">{#N/A,#N/A,FALSE,"Plan1";#N/A,#N/A,FALSE,"Plan2"}</definedName>
    <definedName name="overhaul"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agamento_Num" localSheetId="11">ROW()-Linha_Cabeçalho</definedName>
    <definedName name="ParamValues1" localSheetId="11">#REF!</definedName>
    <definedName name="Pendencias" localSheetId="11">{#N/A,#N/A,FALSE,"GERAL";#N/A,#N/A,FALSE,"012-96";#N/A,#N/A,FALSE,"018-96";#N/A,#N/A,FALSE,"027-96";#N/A,#N/A,FALSE,"059-96";#N/A,#N/A,FALSE,"076-96";#N/A,#N/A,FALSE,"019-97";#N/A,#N/A,FALSE,"021-97";#N/A,#N/A,FALSE,"022-97";#N/A,#N/A,FALSE,"028-97"}</definedName>
    <definedName name="pendencias2" localSheetId="11">{#N/A,#N/A,FALSE,"GERAL";#N/A,#N/A,FALSE,"012-96";#N/A,#N/A,FALSE,"018-96";#N/A,#N/A,FALSE,"027-96";#N/A,#N/A,FALSE,"059-96";#N/A,#N/A,FALSE,"076-96";#N/A,#N/A,FALSE,"019-97";#N/A,#N/A,FALSE,"021-97";#N/A,#N/A,FALSE,"022-97";#N/A,#N/A,FALSE,"028-97"}</definedName>
    <definedName name="pendencias3" localSheetId="11">{#N/A,#N/A,FALSE,"GERAL";#N/A,#N/A,FALSE,"012-96";#N/A,#N/A,FALSE,"018-96";#N/A,#N/A,FALSE,"027-96";#N/A,#N/A,FALSE,"059-96";#N/A,#N/A,FALSE,"076-96";#N/A,#N/A,FALSE,"019-97";#N/A,#N/A,FALSE,"021-97";#N/A,#N/A,FALSE,"022-97";#N/A,#N/A,FALSE,"028-97"}</definedName>
    <definedName name="piaz"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PLACAS" localSheetId="11">{#N/A,#N/A,TRUE,"Quinzena 01 à 15-04-98 "}</definedName>
    <definedName name="Placas_Areas" localSheetId="11">{#N/A,#N/A,TRUE,"Quinzena 01 à 15-04-98 "}</definedName>
    <definedName name="plan2"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plasçdeaw" localSheetId="11">{#N/A,#N/A,FALSE,"Plan1";#N/A,#N/A,FALSE,"Plan2"}</definedName>
    <definedName name="plaslrswe" localSheetId="11">{#N/A,#N/A,FALSE,"Plan1";#N/A,#N/A,FALSE,"Plan2"}</definedName>
    <definedName name="plsearpef" localSheetId="11">{#N/A,#N/A,FALSE,"Plan1";#N/A,#N/A,FALSE,"Plan2"}</definedName>
    <definedName name="plss" localSheetId="11">{#N/A,#N/A,FALSE,"Plan1";#N/A,#N/A,FALSE,"Plan2"}</definedName>
    <definedName name="PN2건축"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rint" localSheetId="11">{#N/A,#N/A,FALSE,"$170M Cash";#N/A,#N/A,FALSE,"$250M Cash";#N/A,#N/A,FALSE,"$325M Cash"}</definedName>
    <definedName name="ptirigyiotut" localSheetId="11">{#N/A,#N/A,FALSE,"Plan1";#N/A,#N/A,FALSE,"Plan2"}</definedName>
    <definedName name="PWER3" localSheetId="11">{#N/A,#N/A,FALSE,"Plan1";#N/A,#N/A,FALSE,"Plan2"}</definedName>
    <definedName name="qkqh1" localSheetId="11">{#N/A,#N/A,FALSE,"명세표"}</definedName>
    <definedName name="QQ"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QSQWSE" localSheetId="11">{#N/A,#N/A,FALSE,"Plan1";#N/A,#N/A,FALSE,"Plan2"}</definedName>
    <definedName name="qwdqw" localSheetId="11">{#N/A,#N/A,FALSE,"Plan1";#N/A,#N/A,FALSE,"Plan2"}</definedName>
    <definedName name="qweqwe" localSheetId="11">{#N/A,#N/A,FALSE,"Plan1";#N/A,#N/A,FALSE,"Plan2"}</definedName>
    <definedName name="qweqwe4"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RADIO" localSheetId="11">{"HW",#N/A,FALSE,"1998"}</definedName>
    <definedName name="RE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resum" localSheetId="11">{"'Ethernet Hubs'!$A$1:$F$14","'Licences'!$A$1:$F$16","'Ports and Converters'!$A$1:$F$46","'Standard Routers'!$A$1:$F$28","'Ports and Converters'!$A$1:$G$46","'Router Chassis'!$A$1:$F$21","'Cables and Connectors'!$A$1:$F$41","'Support, Training and Docs'!$A$1:$F$6","'Management'!$A$1:$F$8"}</definedName>
    <definedName name="RESUMO2" localSheetId="11">{#N/A,#N/A,TRUE,"Quinzena 01 à 15-04-98 "}</definedName>
    <definedName name="RF" localSheetId="11">{#N/A,#N/A,FALSE,"CCTV"}</definedName>
    <definedName name="rgedrfrgfdg" localSheetId="11">{#N/A,#N/A,FALSE,"Plan1";#N/A,#N/A,FALSE,"Plan2"}</definedName>
    <definedName name="rhdrmq"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rrrr" localSheetId="11">{"'장비'!$A$3:$M$12"}</definedName>
    <definedName name="rrrrrrrr" localSheetId="11">{"'장비'!$A$3:$M$12"}</definedName>
    <definedName name="rrrrrrrrrrr" localSheetId="11">{#N/A,#N/A,TRUE,"Quinzena 01 à 15-04-98 "}</definedName>
    <definedName name="RTYE" localSheetId="11">{"'장비'!$A$3:$M$12"}</definedName>
    <definedName name="sa" localSheetId="11">#REF!</definedName>
    <definedName name="saa" localSheetId="11">{#N/A,#N/A,FALSE,"GERAL";#N/A,#N/A,FALSE,"012-96";#N/A,#N/A,FALSE,"018-96";#N/A,#N/A,FALSE,"027-96";#N/A,#N/A,FALSE,"059-96";#N/A,#N/A,FALSE,"076-96";#N/A,#N/A,FALSE,"019-97";#N/A,#N/A,FALSE,"021-97";#N/A,#N/A,FALSE,"022-97";#N/A,#N/A,FALSE,"028-97"}</definedName>
    <definedName name="sad"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adasd" localSheetId="11">{#N/A,#N/A,FALSE,"Plan1";#N/A,#N/A,FALSE,"Plan2"}</definedName>
    <definedName name="sadked"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adkrjkedft" localSheetId="11">{#N/A,#N/A,FALSE,"Plan1";#N/A,#N/A,FALSE,"Plan2"}</definedName>
    <definedName name="SADSRTR" localSheetId="11">{#N/A,#N/A,FALSE,"Plan1";#N/A,#N/A,FALSE,"Plan2"}</definedName>
    <definedName name="sadwde" localSheetId="11">{#N/A,#N/A,FALSE,"Plan1";#N/A,#N/A,FALSE,"Plan2"}</definedName>
    <definedName name="sanjay" localSheetId="11">{#N/A,#N/A,FALSE,"TABLE"}</definedName>
    <definedName name="SAS" localSheetId="11">{#N/A,#N/A,FALSE,"Plan1";#N/A,#N/A,FALSE,"Plan2"}</definedName>
    <definedName name="sasads" localSheetId="11">{#N/A,#N/A,FALSE,"Plan1";#N/A,#N/A,FALSE,"Plan2"}</definedName>
    <definedName name="sdae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DAOTGFR" localSheetId="11">{#N/A,#N/A,FALSE,"Plan1";#N/A,#N/A,FALSE,"Plan2"}</definedName>
    <definedName name="sdckd" localSheetId="11">{#N/A,#N/A,FALSE,"Plan1";#N/A,#N/A,FALSE,"Plan2"}</definedName>
    <definedName name="SDDFKSEDE" localSheetId="11">{#N/A,#N/A,FALSE,"Plan1";#N/A,#N/A,FALSE,"Plan2"}</definedName>
    <definedName name="sddkslker" localSheetId="11">{#N/A,#N/A,FALSE,"Plan1";#N/A,#N/A,FALSE,"Plan2"}</definedName>
    <definedName name="sdefr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derj"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dfd"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dfdds" localSheetId="11">{#N/A,#N/A,FALSE,"Plan1";#N/A,#N/A,FALSE,"Plan2"}</definedName>
    <definedName name="sdfdfc" localSheetId="11">{#N/A,#N/A,FALSE,"Plan1";#N/A,#N/A,FALSE,"Plan2"}</definedName>
    <definedName name="sdfdf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dfdgft" localSheetId="11">{#N/A,#N/A,FALSE,"Plan1";#N/A,#N/A,FALSE,"Plan2"}</definedName>
    <definedName name="sdfdsf" localSheetId="11">{#N/A,#N/A,FALSE,"Plan1";#N/A,#N/A,FALSE,"Plan2"}</definedName>
    <definedName name="SDFEDRT" localSheetId="11">{#N/A,#N/A,FALSE,"Plan1";#N/A,#N/A,FALSE,"Plan2"}</definedName>
    <definedName name="sdfer" localSheetId="11">{#N/A,#N/A,FALSE,"Plan1";#N/A,#N/A,FALSE,"Plan2"}</definedName>
    <definedName name="sdferr" localSheetId="11">{#N/A,#N/A,FALSE,"Plan1";#N/A,#N/A,FALSE,"Plan2"}</definedName>
    <definedName name="sdfe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DFGJFSRF" localSheetId="11">{#N/A,#N/A,FALSE,"Plan1";#N/A,#N/A,FALSE,"Plan2"}</definedName>
    <definedName name="sdfgtr" localSheetId="11">{#N/A,#N/A,FALSE,"Plan1";#N/A,#N/A,FALSE,"Plan2"}</definedName>
    <definedName name="sdfjdetrt" localSheetId="11">{#N/A,#N/A,FALSE,"Plan1";#N/A,#N/A,FALSE,"Plan2"}</definedName>
    <definedName name="SDFJDRTJEIDR" localSheetId="11">{#N/A,#N/A,FALSE,"Plan1";#N/A,#N/A,FALSE,"Plan2"}</definedName>
    <definedName name="sdfjergtij" localSheetId="11">{#N/A,#N/A,FALSE,"Plan1";#N/A,#N/A,FALSE,"Plan2"}</definedName>
    <definedName name="SDFOPJKWE" localSheetId="11">{#N/A,#N/A,FALSE,"Plan1";#N/A,#N/A,FALSE,"Plan2"}</definedName>
    <definedName name="sdfrdt5"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dfrt" localSheetId="11">{#N/A,#N/A,FALSE,"Plan1";#N/A,#N/A,FALSE,"Plan2"}</definedName>
    <definedName name="SDFRTKK" localSheetId="11">{#N/A,#N/A,FALSE,"Plan1";#N/A,#N/A,FALSE,"Plan2"}</definedName>
    <definedName name="SDFRTR" localSheetId="11">{#N/A,#N/A,FALSE,"Plan1";#N/A,#N/A,FALSE,"Plan2"}</definedName>
    <definedName name="sdfry6" localSheetId="11">{#N/A,#N/A,FALSE,"Plan1";#N/A,#N/A,FALSE,"Plan2"}</definedName>
    <definedName name="sdfsaf" localSheetId="11">{#N/A,#N/A,FALSE,"Plan1";#N/A,#N/A,FALSE,"Plan2"}</definedName>
    <definedName name="sdfsd" localSheetId="11">{"'Estimativa de Lançamento-JAN'!$A$1:$AI$85"}</definedName>
    <definedName name="sdfsdfg" localSheetId="11">{#N/A,#N/A,FALSE,"Plan1";#N/A,#N/A,FALSE,"Plan2"}</definedName>
    <definedName name="SDFSDFK" localSheetId="11">{#N/A,#N/A,FALSE,"Plan1";#N/A,#N/A,FALSE,"Plan2"}</definedName>
    <definedName name="sdfsdgftret" localSheetId="11">{#N/A,#N/A,FALSE,"Plan1";#N/A,#N/A,FALSE,"Plan2"}</definedName>
    <definedName name="SDFSF" localSheetId="11">{#N/A,#N/A,FALSE,"GERAL";#N/A,#N/A,FALSE,"012-96";#N/A,#N/A,FALSE,"018-96";#N/A,#N/A,FALSE,"027-96";#N/A,#N/A,FALSE,"059-96";#N/A,#N/A,FALSE,"076-96";#N/A,#N/A,FALSE,"019-97";#N/A,#N/A,FALSE,"021-97";#N/A,#N/A,FALSE,"022-97";#N/A,#N/A,FALSE,"028-97"}</definedName>
    <definedName name="SDFSFRT" localSheetId="11">{"Econ Consolidado",#N/A,FALSE,"Econ Consol";"Fluxo de Caixa",#N/A,FALSE,"Fluxo Caixa";"Investimentos",#N/A,FALSE,"Investimentos"}</definedName>
    <definedName name="sdfsr" localSheetId="11">{#N/A,#N/A,FALSE,"Plan1";#N/A,#N/A,FALSE,"Plan2"}</definedName>
    <definedName name="sdfty" localSheetId="11">{#N/A,#N/A,FALSE,"Plan1";#N/A,#N/A,FALSE,"Plan2"}</definedName>
    <definedName name="sdgdf" localSheetId="11">{#N/A,#N/A,FALSE,"Plan1";#N/A,#N/A,FALSE,"Plan2"}</definedName>
    <definedName name="sdgfrt" localSheetId="11">{#N/A,#N/A,FALSE,"Plan1";#N/A,#N/A,FALSE,"Plan2"}</definedName>
    <definedName name="sdgft" localSheetId="11">{#N/A,#N/A,FALSE,"Plan1";#N/A,#N/A,FALSE,"Plan2"}</definedName>
    <definedName name="sdgt" localSheetId="11">{#N/A,#N/A,FALSE,"Plan1";#N/A,#N/A,FALSE,"Plan2"}</definedName>
    <definedName name="sdhfghdsfg" localSheetId="11">{#N/A,#N/A,FALSE,"Plan1";#N/A,#N/A,FALSE,"Plan2"}</definedName>
    <definedName name="SDHFJKHDFJRE" localSheetId="11">{#N/A,#N/A,FALSE,"Plan1";#N/A,#N/A,FALSE,"Plan2"}</definedName>
    <definedName name="SDHKFDRKGTR" localSheetId="11">{#N/A,#N/A,FALSE,"Plan1";#N/A,#N/A,FALSE,"Plan2"}</definedName>
    <definedName name="sdjdswger" localSheetId="11">{#N/A,#N/A,FALSE,"Plan1";#N/A,#N/A,FALSE,"Plan2"}</definedName>
    <definedName name="sdjfdf" localSheetId="11">{#N/A,#N/A,FALSE,"Plan1";#N/A,#N/A,FALSE,"Plan2"}</definedName>
    <definedName name="sdjfhdjk" localSheetId="11">{#N/A,#N/A,FALSE,"Plan1";#N/A,#N/A,FALSE,"Plan2"}</definedName>
    <definedName name="SDJFJDER" localSheetId="11">{#N/A,#N/A,FALSE,"Plan1";#N/A,#N/A,FALSE,"Plan2"}</definedName>
    <definedName name="sdjflsdjfl" localSheetId="11">{#N/A,#N/A,FALSE,"Plan1";#N/A,#N/A,FALSE,"Plan2"}</definedName>
    <definedName name="SDJHF" localSheetId="11">{#N/A,#N/A,FALSE,"Plan1";#N/A,#N/A,FALSE,"Plan2"}</definedName>
    <definedName name="sdjrderertrr" localSheetId="11">{#N/A,#N/A,FALSE,"Plan1";#N/A,#N/A,FALSE,"Plan2"}</definedName>
    <definedName name="sdkdjk" localSheetId="11">{#N/A,#N/A,FALSE,"Plan1";#N/A,#N/A,FALSE,"Plan2"}</definedName>
    <definedName name="sdkfjhkdgfhk"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dkfnjd" localSheetId="11">{#N/A,#N/A,FALSE,"Plan1";#N/A,#N/A,FALSE,"Plan2"}</definedName>
    <definedName name="sdkk" localSheetId="11">{#N/A,#N/A,FALSE,"Plan1";#N/A,#N/A,FALSE,"Plan2"}</definedName>
    <definedName name="sdlfsdflj" localSheetId="11">{#N/A,#N/A,FALSE,"Plan1";#N/A,#N/A,FALSE,"Plan2"}</definedName>
    <definedName name="sdmfmdfsgfd" localSheetId="11">{#N/A,#N/A,FALSE,"Plan1";#N/A,#N/A,FALSE,"Plan2"}</definedName>
    <definedName name="sd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drfgt" localSheetId="11">{#N/A,#N/A,FALSE,"Plan1";#N/A,#N/A,FALSE,"Plan2"}</definedName>
    <definedName name="sdsd" localSheetId="11">{#N/A,#N/A,FALSE,"Plan1";#N/A,#N/A,FALSE,"Plan2"}</definedName>
    <definedName name="sdser" localSheetId="11">{#N/A,#N/A,FALSE,"Plan1";#N/A,#N/A,FALSE,"Plan2"}</definedName>
    <definedName name="sdsre" localSheetId="11">{#N/A,#N/A,FALSE,"Plan1";#N/A,#N/A,FALSE,"Plan2"}</definedName>
    <definedName name="sdss" localSheetId="11">{#N/A,#N/A,FALSE,"Plan1";#N/A,#N/A,FALSE,"Plan2"}</definedName>
    <definedName name="sdusi"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DWER" localSheetId="11">{"Econ Consolidado",#N/A,FALSE,"Econ Consol";"Fluxo de Caixa",#N/A,FALSE,"Fluxo Caixa";"Investimentos",#N/A,FALSE,"Investimentos"}</definedName>
    <definedName name="sdxfrt" localSheetId="11">{#N/A,#N/A,FALSE,"Plan1";#N/A,#N/A,FALSE,"Plan2"}</definedName>
    <definedName name="SDZFERF" localSheetId="11">{#N/A,#N/A,FALSE,"Plan1";#N/A,#N/A,FALSE,"Plan2"}</definedName>
    <definedName name="sefret4r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egftru" localSheetId="11">{#N/A,#N/A,FALSE,"Plan1";#N/A,#N/A,FALSE,"Plan2"}</definedName>
    <definedName name="sencount" localSheetId="11">1</definedName>
    <definedName name="SEREWRSWE" localSheetId="11">{"tabela",#N/A,FALSE,"Tabela";"decoração",#N/A,FALSE,"Decor.";"Informações",#N/A,FALSE,"Inform."}</definedName>
    <definedName name="sf" localSheetId="11">{#N/A,#N/A,FALSE,"Plan1";#N/A,#N/A,FALSE,"Plan2"}</definedName>
    <definedName name="sfcrer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fddfd" localSheetId="11">{#N/A,#N/A,FALSE,"Plan1";#N/A,#N/A,FALSE,"Plan2"}</definedName>
    <definedName name="sfds" localSheetId="11">{#N/A,#N/A,FALSE,"Plan1";#N/A,#N/A,FALSE,"Plan2"}</definedName>
    <definedName name="sfdsd" localSheetId="11">{#N/A,#N/A,FALSE,"Plan1";#N/A,#N/A,FALSE,"Plan2"}</definedName>
    <definedName name="sfrsdrgt" localSheetId="11">{#N/A,#N/A,FALSE,"Plan1";#N/A,#N/A,FALSE,"Plan2"}</definedName>
    <definedName name="SFRT" localSheetId="11">{#N/A,#N/A,FALSE,"Plan1";#N/A,#N/A,FALSE,"Plan2"}</definedName>
    <definedName name="sfsdferf" localSheetId="11">{#N/A,#N/A,FALSE,"Plan1";#N/A,#N/A,FALSE,"Plan2"}</definedName>
    <definedName name="SFSDS" localSheetId="11">{#N/A,#N/A,FALSE,"Plan1";#N/A,#N/A,FALSE,"Plan2"}</definedName>
    <definedName name="sgtghty" localSheetId="11">{#N/A,#N/A,FALSE,"Plan1";#N/A,#N/A,FALSE,"Plan2"}</definedName>
    <definedName name="SH" localSheetId="11">{#N/A,#N/A,FALSE,"GERAL";#N/A,#N/A,FALSE,"012-96";#N/A,#N/A,FALSE,"018-96";#N/A,#N/A,FALSE,"027-96";#N/A,#N/A,FALSE,"059-96";#N/A,#N/A,FALSE,"076-96";#N/A,#N/A,FALSE,"019-97";#N/A,#N/A,FALSE,"021-97";#N/A,#N/A,FALSE,"022-97";#N/A,#N/A,FALSE,"028-97"}</definedName>
    <definedName name="sjawe" localSheetId="11">{#N/A,#N/A,FALSE,"Plan1";#N/A,#N/A,FALSE,"Plan2"}</definedName>
    <definedName name="sjdffd" localSheetId="11">{#N/A,#N/A,FALSE,"Plan1";#N/A,#N/A,FALSE,"Plan2"}</definedName>
    <definedName name="SJDFHDJS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SJDHFHRE" localSheetId="11">{#N/A,#N/A,FALSE,"Plan1";#N/A,#N/A,FALSE,"Plan2"}</definedName>
    <definedName name="SJDKJDE" localSheetId="11">{"Econ Consolidado",#N/A,FALSE,"Econ Consol";"Fluxo de Caixa",#N/A,FALSE,"Fluxo Caixa";"Investimentos",#N/A,FALSE,"Investimentos"}</definedName>
    <definedName name="sjekwjri" localSheetId="11">{#N/A,#N/A,FALSE,"Plan1";#N/A,#N/A,FALSE,"Plan2"}</definedName>
    <definedName name="sjfkdhsfds" localSheetId="11">{#N/A,#N/A,FALSE,"Plan1";#N/A,#N/A,FALSE,"Plan2"}</definedName>
    <definedName name="sjkdljslkrje" localSheetId="11">{#N/A,#N/A,FALSE,"Plan1";#N/A,#N/A,FALSE,"Plan2"}</definedName>
    <definedName name="skadadaszs" localSheetId="11">{#N/A,#N/A,FALSE,"Plan1";#N/A,#N/A,FALSE,"Plan2"}</definedName>
    <definedName name="SKASH" localSheetId="11">{#N/A,#N/A,FALSE,"Plan1";#N/A,#N/A,FALSE,"Plan2"}</definedName>
    <definedName name="skldfrde" localSheetId="11">{#N/A,#N/A,FALSE,"Plan1";#N/A,#N/A,FALSE,"Plan2"}</definedName>
    <definedName name="skosroer" localSheetId="11">{#N/A,#N/A,FALSE,"Plan1";#N/A,#N/A,FALSE,"Plan2"}</definedName>
    <definedName name="sp"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ARE"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QEWWE" localSheetId="11">{#N/A,#N/A,FALSE,"Plan1";#N/A,#N/A,FALSE,"Plan2"}</definedName>
    <definedName name="SRH" localSheetId="11">{#N/A,#N/A,FALSE,"GERAL";#N/A,#N/A,FALSE,"012-96";#N/A,#N/A,FALSE,"018-96";#N/A,#N/A,FALSE,"027-96";#N/A,#N/A,FALSE,"059-96";#N/A,#N/A,FALSE,"076-96";#N/A,#N/A,FALSE,"019-97";#N/A,#N/A,FALSE,"021-97";#N/A,#N/A,FALSE,"022-97";#N/A,#N/A,FALSE,"028-97"}</definedName>
    <definedName name="SRTSRT" localSheetId="11">{#N/A,#N/A,FALSE,"GERAL";#N/A,#N/A,FALSE,"012-96";#N/A,#N/A,FALSE,"018-96";#N/A,#N/A,FALSE,"027-96";#N/A,#N/A,FALSE,"059-96";#N/A,#N/A,FALSE,"076-96";#N/A,#N/A,FALSE,"019-97";#N/A,#N/A,FALSE,"021-97";#N/A,#N/A,FALSE,"022-97";#N/A,#N/A,FALSE,"028-97"}</definedName>
    <definedName name="SRTST" localSheetId="11">{#N/A,#N/A,FALSE,"GERAL";#N/A,#N/A,FALSE,"012-96";#N/A,#N/A,FALSE,"018-96";#N/A,#N/A,FALSE,"027-96";#N/A,#N/A,FALSE,"059-96";#N/A,#N/A,FALSE,"076-96";#N/A,#N/A,FALSE,"019-97";#N/A,#N/A,FALSE,"021-97";#N/A,#N/A,FALSE,"022-97";#N/A,#N/A,FALSE,"028-97"}</definedName>
    <definedName name="tab"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Test" localSheetId="11">{"'Edit'!$A$1:$V$2277"}</definedName>
    <definedName name="TESTANDO" localSheetId="11">{#N/A,#N/A,TRUE,"Quinzena 01 à 15-04-98 "}</definedName>
    <definedName name="teste1" localSheetId="11">{#N/A,#N/A,FALSE,"GERAL";#N/A,#N/A,FALSE,"012-96";#N/A,#N/A,FALSE,"018-96";#N/A,#N/A,FALSE,"027-96";#N/A,#N/A,FALSE,"059-96";#N/A,#N/A,FALSE,"076-96";#N/A,#N/A,FALSE,"019-97";#N/A,#N/A,FALSE,"021-97";#N/A,#N/A,FALSE,"022-97";#N/A,#N/A,FALSE,"028-97"}</definedName>
    <definedName name="thjgsergsr" localSheetId="11">{#N/A,#N/A,FALSE,"Plan1";#N/A,#N/A,FALSE,"Plan2"}</definedName>
    <definedName name="THYJ" localSheetId="11">{#N/A,#N/A,FALSE,"Plan1";#N/A,#N/A,FALSE,"Plan2"}</definedName>
    <definedName name="tihjgih" localSheetId="11">{#N/A,#N/A,FALSE,"Plan1";#N/A,#N/A,FALSE,"Plan2"}</definedName>
    <definedName name="trjyidih" localSheetId="11">{#N/A,#N/A,FALSE,"Plan1";#N/A,#N/A,FALSE,"Plan2"}</definedName>
    <definedName name="tuyedjsksj" localSheetId="11">{#N/A,#N/A,FALSE,"Plan1";#N/A,#N/A,FALSE,"Plan2"}</definedName>
    <definedName name="TYHGFHFHG" localSheetId="11">{#N/A,#N/A,FALSE,"Plan1";#N/A,#N/A,FALSE,"Plan2"}</definedName>
    <definedName name="u" localSheetId="11">{#N/A,#N/A,FALSE,"ET-CAPA";#N/A,#N/A,FALSE,"ET-PAG1";#N/A,#N/A,FALSE,"ET-PAG2";#N/A,#N/A,FALSE,"ET-PAG3";#N/A,#N/A,FALSE,"ET-PAG4";#N/A,#N/A,FALSE,"ET-PAG5"}</definedName>
    <definedName name="udhgfhfg" localSheetId="11">{#N/A,#N/A,FALSE,"Plan1";#N/A,#N/A,FALSE,"Plan2"}</definedName>
    <definedName name="ueiutriuef" localSheetId="11">{#N/A,#N/A,FALSE,"Plan1";#N/A,#N/A,FALSE,"Plan2"}</definedName>
    <definedName name="UHGSDUS" localSheetId="11">{#N/A,#N/A,FALSE,"Plan1";#N/A,#N/A,FALSE,"Plan2"}</definedName>
    <definedName name="UIHWER45R" localSheetId="11">{#N/A,#N/A,FALSE,"Plan1";#N/A,#N/A,FALSE,"Plan2"}</definedName>
    <definedName name="uiosderuiu" localSheetId="11">{#N/A,#N/A,FALSE,"Plan1";#N/A,#N/A,FALSE,"Plan2"}</definedName>
    <definedName name="UIOURET" localSheetId="11">{#N/A,#N/A,FALSE,"Plan1";#N/A,#N/A,FALSE,"Plan2"}</definedName>
    <definedName name="uiwuer" localSheetId="11">{#N/A,#N/A,FALSE,"Plan1";#N/A,#N/A,FALSE,"Plan2"}</definedName>
    <definedName name="UKHDFDSGUDFKD" localSheetId="11">{#N/A,#N/A,FALSE,"Plan1";#N/A,#N/A,FALSE,"Plan2"}</definedName>
    <definedName name="um" localSheetId="11">0</definedName>
    <definedName name="unit" localSheetId="11">{#N/A,#N/A,FALSE,"GERAL";#N/A,#N/A,FALSE,"012-96";#N/A,#N/A,FALSE,"018-96";#N/A,#N/A,FALSE,"027-96";#N/A,#N/A,FALSE,"059-96";#N/A,#N/A,FALSE,"076-96";#N/A,#N/A,FALSE,"019-97";#N/A,#N/A,FALSE,"021-97";#N/A,#N/A,FALSE,"022-97";#N/A,#N/A,FALSE,"028-97"}</definedName>
    <definedName name="UPS"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uryrtyt" localSheetId="11">{#N/A,#N/A,FALSE,"Plan1";#N/A,#N/A,FALSE,"Plan2"}</definedName>
    <definedName name="valve"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vdsgfrhgfr" localSheetId="11">{#N/A,#N/A,FALSE,"Plan1";#N/A,#N/A,FALSE,"Plan2"}</definedName>
    <definedName name="VERIFICAR" localSheetId="11">{#N/A,#N/A,TRUE,"Quinzena 01 à 15-04-98 "}</definedName>
    <definedName name="vfnijfd"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VFV" localSheetId="11">{#N/A,#N/A,FALSE,"Plan1";#N/A,#N/A,FALSE,"Plan2"}</definedName>
    <definedName name="vld_classificacao" localSheetId="11">IF(#REF!="Ativa",OFFSET(INDEX(rng_list_classificacao,MATCH(#REF!,rng_list_classificacao,0)),1,0,COUNTA(rng_list_classificacao)-1),#REF!)</definedName>
    <definedName name="vld_regional" localSheetId="11">OFFSET(INDEX(rng_list_regional,MATCH(#REF!,rng_list_regional,0)),1,0,COUNTA(rng_list_regional)-1)</definedName>
    <definedName name="vld_segmento" localSheetId="11">IF(#REF!="Ativa",OFFSET(INDEX(rng_list_segmento,MATCH(#REF!,rng_list_segmento,0)),1,0,COUNTA(rng_list_segmento)-1),#REF!)</definedName>
    <definedName name="vld_sociedade" localSheetId="11">OFFSET(INDEX(rng_list_sociedade,MATCH(#REF!,rng_list_sociedade,0)),1,0,COUNTA(rng_list_sociedade)-1)</definedName>
    <definedName name="vld_status_empresa" localSheetId="11">OFFSET(INDEX(rng_list_status_empresa,MATCH(#REF!,rng_list_status_empresa,0)),1,0,COUNTA(rng_list_status_empresa)-1)</definedName>
    <definedName name="vld_status_lancamento" localSheetId="11">IF(#REF!="Ativa",OFFSET(INDEX(rng_list_status_lancamento,MATCH(#REF!,rng_list_status_lancamento,0)),1,0,COUNTA(rng_list_status_lancamento)-1),#REF!)</definedName>
    <definedName name="vld_status_projeto" localSheetId="11">IF(#REF!="Ativa",OFFSET(INDEX(rng_list_status_projeto,MATCH(#REF!,rng_list_status_projeto,0)),1,0,COUNTA(rng_list_status_projeto)-1),#REF!)</definedName>
    <definedName name="vld_status_viabilidade" localSheetId="11">OFFSET(INDEX(rng_list_status_viabilidade,MATCH(#REF!,rng_list_status_viabilidade,0)),1,0,COUNTA(rng_list_status_viabilidade)-1)</definedName>
    <definedName name="VSDHFGDFGR" localSheetId="11">{#N/A,#N/A,FALSE,"Plan1";#N/A,#N/A,FALSE,"Plan2"}</definedName>
    <definedName name="vvbb" localSheetId="11">{"tabela",#N/A,FALSE,"Tabela";"decoração",#N/A,FALSE,"Decor.";"Informações",#N/A,FALSE,"Inform."}</definedName>
    <definedName name="vvcbnb" localSheetId="11">{#N/A,#N/A,FALSE,"Plan1";#N/A,#N/A,FALSE,"Plan2"}</definedName>
    <definedName name="vvvvv" localSheetId="11">{"Econ Consolidado",#N/A,FALSE,"Econ Consol";"Fluxo de Caixa",#N/A,FALSE,"Fluxo Caixa";"Investimentos",#N/A,FALSE,"Investimentos"}</definedName>
    <definedName name="vvvvvv" localSheetId="11">{#N/A,#N/A,FALSE,"Plan1";#N/A,#N/A,FALSE,"Plan2"}</definedName>
    <definedName name="vvvvvvvvvvvvvvvvv" localSheetId="11">{"HW",#N/A,FALSE,"1998"}</definedName>
    <definedName name="w"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dalrdjlaev"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water"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erw4tr" localSheetId="11">{#N/A,#N/A,FALSE,"Plan1";#N/A,#N/A,FALSE,"Plan2"}</definedName>
    <definedName name="wetoedjtkdr" localSheetId="11">{#N/A,#N/A,FALSE,"Plan1";#N/A,#N/A,FALSE,"Plan2"}</definedName>
    <definedName name="WHATS" localSheetId="11">{"'Edit'!$A$1:$V$2277"}</definedName>
    <definedName name="win.VESSEL"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KJHIR" localSheetId="11">{#N/A,#N/A,FALSE,"Plan1";#N/A,#N/A,FALSE,"Plan2"}</definedName>
    <definedName name="WLQ" localSheetId="11">{#N/A,#N/A,FALSE,"명세표"}</definedName>
    <definedName name="WRITE" localSheetId="11">{#N/A,#N/A,FALSE,"CCTV"}</definedName>
    <definedName name="wrn.BM." localSheetId="11">{#N/A,#N/A,FALSE,"CCTV"}</definedName>
    <definedName name="wrn.Brita98.xls." localSheetId="11">{#N/A,#N/A,TRUE,"Quinzena 01 à 15-04-98 "}</definedName>
    <definedName name="wrn.Completo." localSheetId="11">{"EconCons (Econômico - Consolidado)",#N/A,FALSE,"Econômico - Consolidado";"CaixaCons",#N/A,FALSE,"Caixa - Consolidado";"Rio Branco",#N/A,FALSE,"Rio Branco";"Itajaí",#N/A,FALSE,"Itajaí";"Esteio",#N/A,FALSE,"Esteio";"P. Machado",#N/A,FALSE,"P. Machado";"InvestCons (Invest Consolidado)",#N/A,FALSE,"Invest Consolidado"}</definedName>
    <definedName name="wrn.Cons." localSheetId="11">{"EconCons",#N/A,TRUE,"Econômico - Consolidado";"CaixaCons",#N/A,TRUE,"Caixa - Consolidado";"InvestCons",#N/A,TRUE,"Invest Consolidado"}</definedName>
    <definedName name="wrn.Consolidado." localSheetId="11">{"Econ Consolidado",#N/A,FALSE,"Econ Consol";"Fluxo de Caixa",#N/A,FALSE,"Fluxo Caixa";"Investimentos",#N/A,FALSE,"Investimentos"}</definedName>
    <definedName name="wrn.GERAL." localSheetId="11">{#N/A,#N/A,FALSE,"ET-CAPA";#N/A,#N/A,FALSE,"ET-PAG1";#N/A,#N/A,FALSE,"ET-PAG2";#N/A,#N/A,FALSE,"ET-PAG3";#N/A,#N/A,FALSE,"ET-PAG4";#N/A,#N/A,FALSE,"ET-PAG5"}</definedName>
    <definedName name="wrn.HAGE." localSheetId="11">{#N/A,#N/A,FALSE,"cdi";#N/A,#N/A,FALSE,"debent";#N/A,#N/A,FALSE,"fdos";#N/A,#N/A,FALSE,"resumo"}</definedName>
    <definedName name="wrn.HAGE01" localSheetId="11">{#N/A,#N/A,FALSE,"cdi";#N/A,#N/A,FALSE,"debent";#N/A,#N/A,FALSE,"fdos";#N/A,#N/A,FALSE,"resumo"}</definedName>
    <definedName name="wrn.HW." localSheetId="11">{"HW",#N/A,FALSE,"1998"}</definedName>
    <definedName name="wrn.imp_flx." localSheetId="11">{#N/A,#N/A,FALSE,"CONSOLID";#N/A,#N/A,FALSE,"CIMENTO";#N/A,#N/A,FALSE,"METALURGIA";#N/A,#N/A,FALSE,"PAPEL";#N/A,#N/A,FALSE,"QUÍMICA";#N/A,#N/A,FALSE,"AGROINDL";#N/A,#N/A,FALSE,"OUTROS";#N/A,#N/A,FALSE,"REAL_ORCADO"}</definedName>
    <definedName name="wrn.IMPRESSO." localSheetId="11">{#N/A,#N/A,FALSE,"Plan1";#N/A,#N/A,FALSE,"Plan2"}</definedName>
    <definedName name="wrn.Imprimir." localSheetId="11">{"tabela",#N/A,FALSE,"Tabela";"decoração",#N/A,FALSE,"Decor.";"Informações",#N/A,FALSE,"Inform."}</definedName>
    <definedName name="wrn.LPU._.MG." localSheetId="11">{"MG-2002-F1",#N/A,FALSE,"PPU-Telemig";"MG-2002-F2",#N/A,FALSE,"PPU-Telemig";"MG-2002-F3",#N/A,FALSE,"PPU-Telemig";"MG-2002-F4",#N/A,FALSE,"PPU-Telemig";"MG-2003-F1",#N/A,FALSE,"PPU-Telemig";"MG-2004-F1",#N/A,FALSE,"PPU-Telemig"}</definedName>
    <definedName name="wrn.MGM機器リスト." localSheetId="11">{#N/A,#N/A,TRUE,"表紙";#N/A,#N/A,TRUE,"DMC合成";#N/A,#N/A,TRUE,"DMC回収･精製";#N/A,#N/A,TRUE,"MPC工程";#N/A,#N/A,TRUE,"DPC工程";#N/A,#N/A,TRUE,"ANI工程";#N/A,#N/A,TRUE,"PHOｰ触媒工程";#N/A,#N/A,TRUE,"用役"}</definedName>
    <definedName name="wrn.mode_lev.xls." localSheetId="11">{#N/A,#N/A,FALSE,"ALVENARIA";#N/A,#N/A,FALSE,"BLOCOS";#N/A,#N/A,FALSE,"CINTAS";#N/A,#N/A,FALSE,"CORTINA";#N/A,#N/A,FALSE,"LAJES";#N/A,#N/A,FALSE,"PILARES";#N/A,#N/A,FALSE,"VIGAS"}</definedName>
    <definedName name="wrn.Month._.Report._.Package." localSheetId="11">{#N/A,#N/A,FALSE,"Global Wls Trend";#N/A,#N/A,FALSE,"Region Trend";#N/A,#N/A,FALSE,"PBU Trend"}</definedName>
    <definedName name="wrn.Monthly._.Report._.Package." localSheetId="11">{#N/A,#N/A,FALSE,"Global by BU";#N/A,#N/A,FALSE,"U.S. by BU";#N/A,#N/A,FALSE,"Canada by BU";#N/A,#N/A,FALSE,"Europe by BU";#N/A,#N/A,FALSE,"Asia by BU";#N/A,#N/A,FALSE,"Cala by BU"}</definedName>
    <definedName name="wrn.PENDENCIAS." localSheetId="11">{#N/A,#N/A,FALSE,"GERAL";#N/A,#N/A,FALSE,"012-96";#N/A,#N/A,FALSE,"018-96";#N/A,#N/A,FALSE,"027-96";#N/A,#N/A,FALSE,"059-96";#N/A,#N/A,FALSE,"076-96";#N/A,#N/A,FALSE,"019-97";#N/A,#N/A,FALSE,"021-97";#N/A,#N/A,FALSE,"022-97";#N/A,#N/A,FALSE,"028-97"}</definedName>
    <definedName name="wrn.Planiha._.de._.Medição._.F._.01." localSheetId="11">{#N/A,#N/A,FALSE,"F-01"}</definedName>
    <definedName name="wrn.Planiha._.de._.Medição._.F._.01._1" localSheetId="11">{#N/A,#N/A,FALSE,"F-01"}</definedName>
    <definedName name="wrn.Planilha_de_Medição_F_02" localSheetId="11">{#N/A,#N/A,FALSE,"F-01"}</definedName>
    <definedName name="wrn.print._.all." localSheetId="11">{#N/A,#N/A,FALSE,"$170M Cash";#N/A,#N/A,FALSE,"$250M Cash";#N/A,#N/A,FALSE,"$325M Cash"}</definedName>
    <definedName name="wrn.PrintAll." localSheetId="11">{#N/A,#N/A,FALSE,"Sheet1";#N/A,#N/A,FALSE,"Sheet2";#N/A,#N/A,FALSE,"Sheet3";#N/A,#N/A,FALSE,"Sheet4";#N/A,#N/A,FALSE,"Sheet5";#N/A,#N/A,FALSE,"Sheet6";#N/A,#N/A,FALSE,"Sheet7";#N/A,#N/A,FALSE,"Sheet8";#N/A,#N/A,FALSE,"Sheet9"}</definedName>
    <definedName name="wrn.PrintCurr." localSheetId="11">{#N/A,#N/A,FALSE,"Sheet1";#N/A,#N/A,FALSE,"Sheet2";#N/A,#N/A,FALSE,"Sheet3"}</definedName>
    <definedName name="wrn.PrintPrev1." localSheetId="11">{#N/A,#N/A,FALSE,"Sheet4";#N/A,#N/A,FALSE,"Sheet5";#N/A,#N/A,FALSE,"Sheet6"}</definedName>
    <definedName name="wrn.PrintPrev2." localSheetId="11">{#N/A,#N/A,FALSE,"Sheet7";#N/A,#N/A,FALSE,"Sheet8";#N/A,#N/A,FALSE,"Sheet9"}</definedName>
    <definedName name="wrn.Quadros._.relatório." localSheetId="11">{#N/A,#N/A,FALSE,"QD_F1 Invest Detalhado";#N/A,#N/A,FALSE,"QD_F3 Invest_Comparado";#N/A,#N/A,FALSE,"QD_B Trafego";#N/A,#N/A,FALSE,"QD_D0 Custos Operacionais";#N/A,#N/A,FALSE,"QD_C Receita";#N/A,#N/A,FALSE,"QD_D Custos";#N/A,#N/A,FALSE,"QD_E Resultado";#N/A,#N/A,FALSE,"QD_G Fluxo Caixa"}</definedName>
    <definedName name="wrn.REPORT." localSheetId="11">{#N/A,#N/A,FALSE,"표지";#N/A,#N/A,FALSE,"목차";#N/A,#N/A,FALSE,"내용1";#N/A,#N/A,FALSE,"내용2";#N/A,#N/A,FALSE,"결론";#N/A,#N/A,FALSE,"첨부";#N/A,#N/A,FALSE,"진공도달시간";#N/A,#N/A,FALSE,"배가스속도"}</definedName>
    <definedName name="wrn.STAFFS." localSheetId="11">{#N/A,#N/A,FALSE,"TABLE"}</definedName>
    <definedName name="wrn.TERCEIRO." localSheetId="1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RCEIRO01" localSheetId="11">{#N/A,#N/A,FALSE,"corret.gmotors";#N/A,#N/A,FALSE,"front.gv";#N/A,#N/A,FALSE,"correto.sandi";#N/A,#N/A,FALSE,"agrorio.rod.agric";#N/A,#N/A,FALSE,"promo.postop";#N/A,#N/A,FALSE,"rodocred.sandi";#N/A,#N/A,FALSE,"correto.front";#N/A,#N/A,FALSE,"correto.j.piratini";#N/A,#N/A,FALSE,"riocamp.dm";#N/A,#N/A,FALSE,"campos.daihatsu ";#N/A,#N/A,FALSE,"cuiabá.daihatsu ";#N/A,#N/A,FALSE,"cirasa.daihatsu ";#N/A,#N/A,FALSE,"front.daihatsu";#N/A,#N/A,FALSE,"g.motors.daihatsu ";#N/A,#N/A,FALSE,"belem.daihatsu ";#N/A,#N/A,FALSE,"rioverm.daihatsu";#N/A,#N/A,FALSE,"rodocred.g.motors";#N/A,#N/A,FALSE,"rondo.sandi";#N/A,#N/A,FALSE,"promo.rodoren.";#N/A,#N/A,FALSE,"link.promo";#N/A,#N/A,FALSE,"verd.com.verd.sa";#N/A,#N/A,FALSE,"frigo.ruy";#N/A,#N/A,FALSE,"correto.daihatsu";#N/A,#N/A,FALSE,"gv.belem";#N/A,#N/A,FALSE,"front.dm";#N/A,#N/A,FALSE,"rond.corret";#N/A,#N/A,FALSE,"rioverm.corret";#N/A,#N/A,FALSE,"corret.cuiabá";#N/A,#N/A,FALSE,"agro.fazbacuri";#N/A,#N/A,FALSE,"corret.dm";#N/A,#N/A,FALSE,"verdade.dm";#N/A,#N/A,FALSE,"rioverm.dm";#N/A,#N/A,FALSE,"rond.dm";#N/A,#N/A,FALSE,"cuiabá.dm";#N/A,#N/A,FALSE,"verdcom.dm";#N/A,#N/A,FALSE,"gv.gmotors";#N/A,#N/A,FALSE,"lavínia.dm";#N/A,#N/A,FALSE,"gv.sandíesel";#N/A,#N/A,FALSE,"corret.wvjr";#N/A,#N/A,FALSE,"daihatsu.factoring";#N/A,#N/A,FALSE,"sadive.dm";#N/A,#N/A,FALSE,"corret.cuiabá";#N/A,#N/A,FALSE,"corret.hsf";#N/A,#N/A,FALSE,"cirasa.gminas";#N/A,#N/A,FALSE,"fazbac.rodagric"}</definedName>
    <definedName name="wrn.test1." localSheetId="11">{#N/A,#N/A,FALSE,"명세표"}</definedName>
    <definedName name="wrn.Unidades." localSheetId="11">{"Rio Branco",#N/A,FALSE,"Rio Branco";"Itajaí",#N/A,FALSE,"Itajaí";"Pinheiro Machado",#N/A,FALSE,"PMachado";"Esteio",#N/A,FALSE,"Esteio"}</definedName>
    <definedName name="wrn.VESSEL및N2._.구입사양서."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견적." localSheetId="11">{#N/A,#N/A,FALSE,"Sheet1";#N/A,#N/A,FALSE,"Sheet2";#N/A,#N/A,FALSE,"TAB96-1"}</definedName>
    <definedName name="wrn.보호계전기." localSheetId="11">{#N/A,#N/A,FALSE,"ENG'G(보호계전기)"}</definedName>
    <definedName name="wrn.현장._.NCR._.분석." localSheetId="11">{#N/A,#N/A,FALSE,"현장 NCR 분석";#N/A,#N/A,FALSE,"현장품질감사";#N/A,#N/A,FALSE,"현장품질감사"}</definedName>
    <definedName name="wrn1.Cons." localSheetId="11">{"EconCons",#N/A,TRUE,"Econômico - Consolidado";"CaixaCons",#N/A,TRUE,"Caixa - Consolidado";"InvestCons",#N/A,TRUE,"Invest Consolidado"}</definedName>
    <definedName name="wrn1.print._.all." localSheetId="11">{#N/A,#N/A,FALSE,"$170M Cash";#N/A,#N/A,FALSE,"$250M Cash";#N/A,#N/A,FALSE,"$325M Cash"}</definedName>
    <definedName name="WRS" localSheetId="11">{"'장비'!$A$3:$M$12"}</definedName>
    <definedName name="wrt" localSheetId="11">{#N/A,#N/A,FALSE,"$170M Cash";#N/A,#N/A,FALSE,"$250M Cash";#N/A,#N/A,FALSE,"$325M Cash"}</definedName>
    <definedName name="wvu.PLANILHA2."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ww"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wwwwwwwww" localSheetId="11">{"'Ethernet Hubs'!$A$1:$F$14","'Licences'!$A$1:$F$16","'Ports and Converters'!$A$1:$F$46","'Standard Routers'!$A$1:$F$28","'Ports and Converters'!$A$1:$G$46","'Router Chassis'!$A$1:$F$21","'Cables and Connectors'!$A$1:$F$41","'Support, Training and Docs'!$A$1:$F$6","'Management'!$A$1:$F$8"}</definedName>
    <definedName name="xcfrt" localSheetId="11">{#N/A,#N/A,FALSE,"Plan1";#N/A,#N/A,FALSE,"Plan2"}</definedName>
    <definedName name="xcgjkfghf" localSheetId="11">{#N/A,#N/A,FALSE,"Plan1";#N/A,#N/A,FALSE,"Plan2"}</definedName>
    <definedName name="XCGJKVHFDG" localSheetId="11">{#N/A,#N/A,FALSE,"Plan1";#N/A,#N/A,FALSE,"Plan2"}</definedName>
    <definedName name="xcgtrty"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XCGVR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xçl" localSheetId="11">{#N/A,#N/A,FALSE,"Plan1";#N/A,#N/A,FALSE,"Plan2"}</definedName>
    <definedName name="xcndj" localSheetId="11">{#N/A,#N/A,FALSE,"Plan1";#N/A,#N/A,FALSE,"Plan2"}</definedName>
    <definedName name="XCVGGT" localSheetId="11">{#N/A,#N/A,FALSE,"Plan1";#N/A,#N/A,FALSE,"Plan2"}</definedName>
    <definedName name="xcvrg" localSheetId="11">{#N/A,#N/A,FALSE,"Plan1";#N/A,#N/A,FALSE,"Plan2"}</definedName>
    <definedName name="xdfef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xdgtyhyt" localSheetId="11">{#N/A,#N/A,FALSE,"Plan1";#N/A,#N/A,FALSE,"Plan2"}</definedName>
    <definedName name="xfdlfj" localSheetId="11">{#N/A,#N/A,FALSE,"Plan1";#N/A,#N/A,FALSE,"Plan2"}</definedName>
    <definedName name="xfdxfdf" localSheetId="11">{#N/A,#N/A,FALSE,"Plan1";#N/A,#N/A,FALSE,"Plan2"}</definedName>
    <definedName name="XFJKLDJKLGJ"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xfrty" localSheetId="11">{#N/A,#N/A,FALSE,"Plan1";#N/A,#N/A,FALSE,"Plan2"}</definedName>
    <definedName name="XFT"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xfvchdhhd" localSheetId="11">{"Econ Consolidado",#N/A,FALSE,"Econ Consol";"Fluxo de Caixa",#N/A,FALSE,"Fluxo Caixa";"Investimentos",#N/A,FALSE,"Investimentos"}</definedName>
    <definedName name="xfvgcfgt" localSheetId="11">{#N/A,#N/A,FALSE,"Plan1";#N/A,#N/A,FALSE,"Plan2"}</definedName>
    <definedName name="xgrg" localSheetId="11">{#N/A,#N/A,FALSE,"Plan1";#N/A,#N/A,FALSE,"Plan2"}</definedName>
    <definedName name="xmght" localSheetId="11">{#N/A,#N/A,FALSE,"Plan1";#N/A,#N/A,FALSE,"Plan2"}</definedName>
    <definedName name="xo" localSheetId="11">{#N/A,#N/A,FALSE,"Global by BU";#N/A,#N/A,FALSE,"U.S. by BU";#N/A,#N/A,FALSE,"Canada by BU";#N/A,#N/A,FALSE,"Europe by BU";#N/A,#N/A,FALSE,"Asia by BU";#N/A,#N/A,FALSE,"Cala by BU"}</definedName>
    <definedName name="xxx" localSheetId="11">{#N/A,#N/A,FALSE,"GERAL";#N/A,#N/A,FALSE,"012-96";#N/A,#N/A,FALSE,"018-96";#N/A,#N/A,FALSE,"027-96";#N/A,#N/A,FALSE,"059-96";#N/A,#N/A,FALSE,"076-96";#N/A,#N/A,FALSE,"019-97";#N/A,#N/A,FALSE,"021-97";#N/A,#N/A,FALSE,"022-97";#N/A,#N/A,FALSE,"028-97"}</definedName>
    <definedName name="xxxx" localSheetId="11">#REF!</definedName>
    <definedName name="XXXXX" localSheetId="11">{#N/A,#N/A,FALSE,"GERAL";#N/A,#N/A,FALSE,"012-96";#N/A,#N/A,FALSE,"018-96";#N/A,#N/A,FALSE,"027-96";#N/A,#N/A,FALSE,"059-96";#N/A,#N/A,FALSE,"076-96";#N/A,#N/A,FALSE,"019-97";#N/A,#N/A,FALSE,"021-97";#N/A,#N/A,FALSE,"022-97";#N/A,#N/A,FALSE,"028-97"}</definedName>
    <definedName name="xxxxxxxxxxxx" localSheetId="11">{"'Edit'!$A$1:$V$2277"}</definedName>
    <definedName name="xxxxxxxxxxxxxx" localSheetId="11">{#N/A,#N/A,FALSE,"Plan1";#N/A,#N/A,FALSE,"Plan2"}</definedName>
    <definedName name="xzfrt" localSheetId="11">{#N/A,#N/A,FALSE,"Plan1";#N/A,#N/A,FALSE,"Plan2"}</definedName>
    <definedName name="yeitrtged" localSheetId="11">{#N/A,#N/A,FALSE,"Plan1";#N/A,#N/A,FALSE,"Plan2"}</definedName>
    <definedName name="yhdfiuygrui" localSheetId="11">{#N/A,#N/A,FALSE,"Plan1";#N/A,#N/A,FALSE,"Plan2"}</definedName>
    <definedName name="YRGUYDRIY" localSheetId="11">{"Econ Consolidado",#N/A,FALSE,"Econ Consol";"Fluxo de Caixa",#N/A,FALSE,"Fluxo Caixa";"Investimentos",#N/A,FALSE,"Investimentos"}</definedName>
    <definedName name="yuegursdmksf" localSheetId="11">{#N/A,#N/A,FALSE,"Plan1";#N/A,#N/A,FALSE,"Plan2"}</definedName>
    <definedName name="yuekl4fr" localSheetId="11">{#N/A,#N/A,FALSE,"Plan1";#N/A,#N/A,FALSE,"Plan2"}</definedName>
    <definedName name="yureytuyrea" localSheetId="11">{#N/A,#N/A,FALSE,"Plan1";#N/A,#N/A,FALSE,"Plan2"}</definedName>
    <definedName name="z" localSheetId="11">{"'Estimativa de Lançamento-JAN'!$A$1:$AI$85"}</definedName>
    <definedName name="zcdçskld" localSheetId="11">{#N/A,#N/A,FALSE,"Plan1";#N/A,#N/A,FALSE,"Plan2"}</definedName>
    <definedName name="zcsdrfrt" localSheetId="11">{#N/A,#N/A,FALSE,"Plan1";#N/A,#N/A,FALSE,"Plan2"}</definedName>
    <definedName name="ZDRE" localSheetId="11">{#N/A,#N/A,FALSE,"Plan1";#N/A,#N/A,FALSE,"Plan2"}</definedName>
    <definedName name="ZSADF" localSheetId="11">{#N/A,#N/A,FALSE,"Plan1";#N/A,#N/A,FALSE,"Plan2"}</definedName>
    <definedName name="zsads" localSheetId="11">{#N/A,#N/A,FALSE,"Plan1";#N/A,#N/A,FALSE,"Plan2"}</definedName>
    <definedName name="zsds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zsdwer"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zxccdf" localSheetId="11">{#N/A,#N/A,FALSE,"Plan1";#N/A,#N/A,FALSE,"Plan2"}</definedName>
    <definedName name="zxcfdstrrt" localSheetId="11">{#N/A,#N/A,FALSE,"Plan1";#N/A,#N/A,FALSE,"Plan2"}</definedName>
    <definedName name="zxcx" localSheetId="11">{#N/A,#N/A,FALSE,"Plan1";#N/A,#N/A,FALSE,"Plan2"}</definedName>
    <definedName name="ZXFCRF" localSheetId="11">{TRUE,TRUE,-1.25,-15.5,604.5,366.75,FALSE,FALSE,TRUE,TRUE,0,1,#N/A,1,#N/A,9.0125,24.4117647058824,1,FALSE,FALSE,3,TRUE,1,FALSE,100,"Swvu.PLANILHA2.","ACwvu.PLANILHA2.",#N/A,FALSE,FALSE,0.787401575,0.34,0.46,0.5,1,"","",FALSE,FALSE,FALSE,FALSE,1,#N/A,1,1,FALSE,FALSE,#N/A,#N/A,FALSE,FALSE,FALSE,9,65532,65532,FALSE,FALSE,TRUE,TRUE,TRUE}</definedName>
    <definedName name="ZXFHDFRHDF" localSheetId="11">{#N/A,#N/A,FALSE,"Plan1";#N/A,#N/A,FALSE,"Plan2"}</definedName>
    <definedName name="zzdftr" localSheetId="11">{#N/A,#N/A,FALSE,"Plan1";#N/A,#N/A,FALSE,"Plan2"}</definedName>
    <definedName name="zzz" localSheetId="11">{#N/A,#N/A,FALSE,"QD_F1 Invest Detalhado";#N/A,#N/A,FALSE,"QD_F3 Invest_Comparado";#N/A,#N/A,FALSE,"QD_B Trafego";#N/A,#N/A,FALSE,"QD_D0 Custos Operacionais";#N/A,#N/A,FALSE,"QD_C Receita";#N/A,#N/A,FALSE,"QD_D Custos";#N/A,#N/A,FALSE,"QD_E Resultado";#N/A,#N/A,FALSE,"QD_G Fluxo Caixa"}</definedName>
    <definedName name="ㄱ"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ㄷㄱㄷㄱㄱㅎㄺㄷ" localSheetId="11">{"'장비'!$A$3:$M$12"}</definedName>
    <definedName name="검증"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견적가"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고문" localSheetId="11">{#N/A,#N/A,FALSE,"현장 NCR 분석";#N/A,#N/A,FALSE,"현장품질감사";#N/A,#N/A,FALSE,"현장품질감사"}</definedName>
    <definedName name="고문2" localSheetId="11">{#N/A,#N/A,FALSE,"현장 NCR 분석";#N/A,#N/A,FALSE,"현장품질감사";#N/A,#N/A,FALSE,"현장품질감사"}</definedName>
    <definedName name="공공공표"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구분표_수정" localSheetId="11">{#N/A,#N/A,FALSE,"ENG'G(보호계전기)"}</definedName>
    <definedName name="공급표표"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진도율적용"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표"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광양1소결합리화"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름"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분2"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3"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자재3"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두성"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ㄴㄴ"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내역" localSheetId="11">{#N/A,#N/A,FALSE,"CCTV"}</definedName>
    <definedName name="ㄷㄳ" localSheetId="11">{"'장비'!$A$3:$M$12"}</definedName>
    <definedName name="ㄷㄷㄷㄷ" localSheetId="11">{"'장비'!$A$3:$M$12"}</definedName>
    <definedName name="ㄷㅈㅂㄷ" localSheetId="11">{"'장비'!$A$3:$M$12"}</definedName>
    <definedName name="ㄹㄹ" localSheetId="11">{"'장비'!$A$3:$M$12"}</definedName>
    <definedName name="랄"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러러러" localSheetId="11">{#N/A,#N/A,FALSE,"현장 NCR 분석";#N/A,#N/A,FALSE,"현장품질감사";#N/A,#N/A,FALSE,"현장품질감사"}</definedName>
    <definedName name="ㅁ" localSheetId="11">{#N/A,#N/A,FALSE,"명세표"}</definedName>
    <definedName name="ㅁㄴ"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ㄹ"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ㄴㅇㄻㄴㅇㄻㄴㅇ"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ㄴㅇㄻㅁㅁ"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ㅁ" localSheetId="11">{#N/A,#N/A,FALSE,"명세표"}</definedName>
    <definedName name="ㅁㅁㅁㅁㅁㅁㅁㅁㅁㅁㅁㅁ"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ㅁㅇㄻㄴ"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머" localSheetId="11">{#N/A,#N/A,FALSE,"명세표"}</definedName>
    <definedName name="ㅂㅂㅂㅂ" localSheetId="11">{#N/A,#N/A,FALSE,"명세표"}</definedName>
    <definedName name="ㅂㅂㅂㅂㅂㅂㅂ"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ㅂㅈㄱㅂㅈㄷㄱ" localSheetId="11">{"'장비'!$A$3:$M$12"}</definedName>
    <definedName name="ㅂㅈㄷ" localSheetId="11">{"'장비'!$A$3:$M$12"}</definedName>
    <definedName name="ㅂㅈㄷㄷㅂㅈㅈㅂ" localSheetId="11">{"'장비'!$A$3:$M$12"}</definedName>
    <definedName name="ㅂㅈㄷㅂㅈ" localSheetId="11">{"'장비'!$A$3:$M$12"}</definedName>
    <definedName name="ㅂㅈㄷㅂㅈㅈㅂㄷ" localSheetId="11">{"'장비'!$A$3:$M$12"}</definedName>
    <definedName name="ㅂㅈㄷㅈㅂㄷ" localSheetId="11">{"'장비'!$A$3:$M$12"}</definedName>
    <definedName name="보"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보호" localSheetId="11">{#N/A,#N/A,FALSE,"ENG'G(보호계전기)"}</definedName>
    <definedName name="본공사공정표"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부손익" localSheetId="11">{#N/A,#N/A,FALSE,"현장 NCR 분석";#N/A,#N/A,FALSE,"현장품질감사";#N/A,#N/A,FALSE,"현장품질감사"}</definedName>
    <definedName name="분야"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ㅅㄱㄱㄷ" localSheetId="11">{"'장비'!$A$3:$M$12"}</definedName>
    <definedName name="ㅅㅅㅅㅅㅅ" localSheetId="11">{"'장비'!$A$3:$M$12"}</definedName>
    <definedName name="사업"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관리"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새안" localSheetId="11">{#N/A,#N/A,FALSE,"TABLE"}</definedName>
    <definedName name="석항" localSheetId="11">{#N/A,#N/A,FALSE,"명세표"}</definedName>
    <definedName name="설계현황"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쇼ㅗㅎ로" localSheetId="11">{"'장비'!$A$3:$M$12"}</definedName>
    <definedName name="신설" localSheetId="11">{#N/A,#N/A,FALSE,"명세표"}</definedName>
    <definedName name="ㅇㅇ"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변경123"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양식적용"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구조건참조"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이"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이"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ㅈ" localSheetId="11">{#N/A,#N/A,FALSE,"명세표"}</definedName>
    <definedName name="ㅈㅈㅈㅈ" localSheetId="11">{#N/A,#N/A,FALSE,"명세표"}</definedName>
    <definedName name="자미" localSheetId="11">{#N/A,#N/A,FALSE,"명세표"}</definedName>
    <definedName name="자재3"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사양_SAMPLE"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상세공정"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1"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종합설계현황"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중량비교검토" localSheetId="11">{#N/A,#N/A,FALSE,"ENG'G(보호계전기)"}</definedName>
    <definedName name="집계" localSheetId="11">{#N/A,#N/A,FALSE,"명세표"}</definedName>
    <definedName name="철골공정"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2"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ㅋㅁ" localSheetId="11">{#N/A,#N/A,FALSE,"명세표"}</definedName>
    <definedName name="ㅋㅋㅋ" localSheetId="11">{#N/A,#N/A,FALSE,"명세표"}</definedName>
    <definedName name="ㅌㅌ" localSheetId="11">{#N/A,#N/A,FALSE,"명세표"}</definedName>
    <definedName name="토"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토목"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ㅎㅎㅎㅎ" localSheetId="11">{"'장비'!$A$3:$M$12"}</definedName>
    <definedName name="하하하" localSheetId="11">{#N/A,#N/A,FALSE,"명세표"}</definedName>
    <definedName name="한국"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현장계기류"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1"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호호호" localSheetId="11">{#N/A,#N/A,FALSE,"명세표"}</definedName>
    <definedName name="ㅏㅏㅏ" localSheetId="11">{#N/A,#N/A,FALSE,"명세표"}</definedName>
    <definedName name="ㅔㅔ" localSheetId="11">{#N/A,#N/A,FALSE,"명세표"}</definedName>
    <definedName name="ㅔㅔㅔㅔㅔ"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홓ㅎ로" localSheetId="11">{"'장비'!$A$3:$M$12"}</definedName>
    <definedName name="ㅗㅗ" localSheetId="11">{#N/A,#N/A,FALSE,"명세표"}</definedName>
    <definedName name="ㅗㅗㅗㅗㅗ" localSheetId="11">{"'장비'!$A$3:$M$12"}</definedName>
    <definedName name="ㅛ" localSheetId="11">{"'장비'!$A$3:$M$12"}</definedName>
    <definedName name="ㅛㅕㅛㅕㅛ"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ㅛㅛㅛ" localSheetId="11">{"'장비'!$A$3:$M$12"}</definedName>
    <definedName name="ㅜ" localSheetId="11">{#N/A,#N/A,FALSE,"명세표"}</definedName>
    <definedName name="ㅠㅠ" localSheetId="1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ㅡㅡ" localSheetId="11">{#N/A,#N/A,FALSE,"명세표"}</definedName>
    <definedName name="_xlnm._FilterDatabase" localSheetId="11" hidden="1">'Insumos'!$A$1:$G$996</definedName>
  </definedNames>
  <calcPr calcId="191029" fullCalcOnLoad="1"/>
</workbook>
</file>

<file path=xl/styles.xml><?xml version="1.0" encoding="utf-8"?>
<styleSheet xmlns="http://schemas.openxmlformats.org/spreadsheetml/2006/main">
  <numFmts count="36">
    <numFmt numFmtId="164" formatCode="_-* #,##0.00_-;\-* #,##0.00_-;_-* &quot;-&quot;??_-;_-@"/>
    <numFmt numFmtId="165" formatCode="_-* #,##0.000_-;\-* #,##0.000_-;_-* &quot;-&quot;??_-;_-@"/>
    <numFmt numFmtId="166" formatCode="_-* #,##0.00000_-;\-* #,##0.00000_-;_-* &quot;-&quot;??_-;_-@"/>
    <numFmt numFmtId="167" formatCode="_0.000\-&quot;Correção&quot;"/>
    <numFmt numFmtId="168" formatCode="dd/mm/yy"/>
    <numFmt numFmtId="169" formatCode="0#"/>
    <numFmt numFmtId="170" formatCode="00#"/>
    <numFmt numFmtId="171" formatCode="_(&quot;R$&quot;* #,##0.00_);_(&quot;R$&quot;* \(#,##0.00\);_(&quot;R$&quot;* &quot;-&quot;??_);_(@_)"/>
    <numFmt numFmtId="172" formatCode="dd/mm/yy;@"/>
    <numFmt numFmtId="173" formatCode="_-* #,##0.00_-;\-* #,##0.00_-;_-* &quot;-&quot;??_-;_-@_-"/>
    <numFmt numFmtId="174" formatCode="_-* #,##0.00000_-;\-* #,##0.00000_-;_-* &quot;-&quot;??_-;_-@_-"/>
    <numFmt numFmtId="175" formatCode="_-&quot;R$&quot;\ * #,##0.00_-;\-&quot;R$&quot;\ * #,##0.00_-;_-&quot;R$&quot;\ * &quot;-&quot;??_-;_-@_-"/>
    <numFmt numFmtId="176" formatCode="00\ &quot;Meses&quot;"/>
    <numFmt numFmtId="177" formatCode="00\ &quot;un&quot;"/>
    <numFmt numFmtId="178" formatCode="#,##0.0"/>
    <numFmt numFmtId="179" formatCode="_-&quot;R$&quot;\ * #,##0.0000_-;\-&quot;R$&quot;\ * #,##0.0000_-;_-&quot;R$&quot;\ * &quot;-&quot;??_-;_-@_-"/>
    <numFmt numFmtId="180" formatCode="0.000%"/>
    <numFmt numFmtId="181" formatCode="0\ &quot;Mpa&quot;"/>
    <numFmt numFmtId="182" formatCode="_-&quot;R$&quot;\ * #,##0.00_-;\-&quot;R$&quot;\ * #,##0.00_-;_-&quot;R$&quot;\ * &quot;-&quot;??_-;_-@"/>
    <numFmt numFmtId="183" formatCode="_-* #,##0_-;\-* #,##0_-;_-* &quot;-&quot;??_-;_-@"/>
    <numFmt numFmtId="184" formatCode="_(* #,##0.0000_);_(* \(#,##0.0000\);_(* &quot;-&quot;??_);_(@_)"/>
    <numFmt numFmtId="185" formatCode="0.0000"/>
    <numFmt numFmtId="186" formatCode="&quot;R$&quot;\ #,##0.00;[Red]\-&quot;R$&quot;\ #,##0.00"/>
    <numFmt numFmtId="187" formatCode="mm/dd/yyyy;@"/>
    <numFmt numFmtId="188" formatCode="0.0"/>
    <numFmt numFmtId="189" formatCode="dd/mm/yyyy;@"/>
    <numFmt numFmtId="190" formatCode="00.00\ &quot;M²&quot;"/>
    <numFmt numFmtId="191" formatCode="#,##0.00&quot; m²&quot;"/>
    <numFmt numFmtId="192" formatCode="0.0000000000"/>
    <numFmt numFmtId="193" formatCode="_-* #,##0.0000_-;\-* #,##0.0000_-;_-* &quot;-&quot;??_-;_-@"/>
    <numFmt numFmtId="194" formatCode="\R&quot;R$&quot;&quot; &quot;#,##0.00"/>
    <numFmt numFmtId="195" formatCode="0%;0%;&quot;-&quot;"/>
    <numFmt numFmtId="196" formatCode="0.0%"/>
    <numFmt numFmtId="197" formatCode="_-[$R$-416]\ * #,##0.00_-;\-[$R$-416]\ * #,##0.00_-;_-[$R$-416]\ * &quot;-&quot;??_-;_-@_-"/>
    <numFmt numFmtId="198" formatCode="#,##0.0000"/>
    <numFmt numFmtId="199" formatCode="_-&quot;R$&quot;* #,##0.00_-;\-&quot;R$&quot;* #,##0.00_-;_-&quot;R$&quot;* &quot;-&quot;??_-;_-@_-"/>
  </numFmts>
  <fonts count="234">
    <font>
      <name val="Arial"/>
      <color rgb="FF000000"/>
      <sz val="10"/>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Arial"/>
      <family val="2"/>
      <color theme="1"/>
      <sz val="11"/>
      <scheme val="minor"/>
    </font>
    <font>
      <name val="Calibri"/>
      <family val="2"/>
      <b val="1"/>
      <color theme="1"/>
      <sz val="10"/>
    </font>
    <font>
      <name val="Calibri"/>
      <family val="2"/>
      <color theme="1"/>
      <sz val="10"/>
    </font>
    <font>
      <name val="Arial"/>
      <family val="2"/>
      <sz val="10"/>
    </font>
    <font>
      <name val="Calibri"/>
      <family val="2"/>
      <color theme="1"/>
      <sz val="9"/>
    </font>
    <font>
      <name val="Calibri"/>
      <family val="2"/>
      <color theme="1"/>
      <sz val="11"/>
    </font>
    <font>
      <name val="Arial"/>
      <family val="2"/>
      <color theme="1"/>
      <sz val="10"/>
    </font>
    <font>
      <name val="Calibri"/>
      <family val="2"/>
      <b val="1"/>
      <color theme="0"/>
      <sz val="8"/>
    </font>
    <font>
      <name val="Calibri"/>
      <family val="2"/>
      <color theme="1"/>
      <sz val="8"/>
    </font>
    <font>
      <name val="Arial"/>
      <family val="2"/>
      <b val="1"/>
      <color theme="0"/>
      <sz val="7"/>
    </font>
    <font>
      <name val="Arial"/>
      <family val="2"/>
      <color theme="1"/>
      <sz val="7"/>
    </font>
    <font>
      <name val="Arial"/>
      <family val="2"/>
      <color rgb="FF0000FF"/>
      <sz val="7"/>
      <u val="single"/>
    </font>
    <font>
      <name val="Calibri"/>
      <family val="2"/>
      <color rgb="FF121212"/>
      <sz val="8"/>
    </font>
    <font>
      <name val="Arial"/>
      <family val="2"/>
      <b val="1"/>
      <color theme="1"/>
      <sz val="14"/>
    </font>
    <font>
      <name val="Arial"/>
      <family val="2"/>
      <color theme="1"/>
      <sz val="14"/>
    </font>
    <font>
      <name val="Calibri"/>
      <family val="2"/>
      <b val="1"/>
      <color theme="1"/>
      <sz val="9"/>
    </font>
    <font>
      <name val="Calibri"/>
      <family val="2"/>
      <color rgb="FF7F7F7F"/>
      <sz val="8"/>
    </font>
    <font>
      <name val="Calibri"/>
      <family val="2"/>
      <b val="1"/>
      <color theme="0"/>
      <sz val="10"/>
    </font>
    <font>
      <name val="Arial"/>
      <family val="2"/>
      <color rgb="FF7F7F7F"/>
      <sz val="8"/>
    </font>
    <font>
      <name val="Calibri"/>
      <family val="2"/>
      <b val="1"/>
      <color theme="0"/>
      <sz val="9"/>
    </font>
    <font>
      <name val="Calibri"/>
      <family val="2"/>
      <color rgb="FFFF0000"/>
      <sz val="8"/>
    </font>
    <font>
      <name val="Arial"/>
      <family val="2"/>
      <color theme="1"/>
      <sz val="8"/>
    </font>
    <font>
      <name val="Arial"/>
      <family val="2"/>
      <b val="1"/>
      <color theme="1"/>
      <sz val="8"/>
    </font>
    <font>
      <name val="Calibri"/>
      <family val="2"/>
      <color rgb="FF000000"/>
      <sz val="8"/>
    </font>
    <font>
      <name val="Arial"/>
      <family val="2"/>
      <b val="1"/>
      <color theme="0"/>
      <sz val="10"/>
    </font>
    <font>
      <name val="Poppins"/>
      <b val="1"/>
      <color theme="0"/>
      <sz val="18"/>
    </font>
    <font>
      <name val="Arial"/>
      <family val="2"/>
      <b val="1"/>
      <color theme="0"/>
      <sz val="14"/>
    </font>
    <font>
      <name val="Arial"/>
      <family val="2"/>
      <color theme="1"/>
      <sz val="12"/>
    </font>
    <font>
      <name val="Poppins"/>
      <b val="1"/>
      <color rgb="FF121212"/>
      <sz val="14"/>
    </font>
    <font>
      <name val="Poppins"/>
      <color rgb="FF121212"/>
      <sz val="14"/>
    </font>
    <font>
      <name val="Poppins"/>
      <color rgb="FF121212"/>
      <sz val="10"/>
    </font>
    <font>
      <name val="Poppins"/>
      <color rgb="FF121212"/>
      <sz val="8"/>
    </font>
    <font>
      <name val="Roboto"/>
      <color theme="1"/>
      <sz val="5"/>
    </font>
    <font>
      <name val="Roboto"/>
      <color theme="1"/>
      <sz val="10"/>
    </font>
    <font>
      <name val="Arial"/>
      <family val="2"/>
      <color rgb="FFFF0000"/>
      <sz val="7"/>
    </font>
    <font>
      <name val="Arial"/>
      <family val="2"/>
      <color rgb="FF000000"/>
      <sz val="10"/>
      <scheme val="minor"/>
    </font>
    <font>
      <name val="Arial"/>
      <family val="2"/>
      <sz val="11"/>
      <scheme val="minor"/>
    </font>
    <font>
      <name val="Arial"/>
      <family val="2"/>
      <sz val="10"/>
    </font>
    <font>
      <name val="Arial"/>
      <family val="2"/>
      <color theme="0" tint="-0.499984740745262"/>
      <sz val="8"/>
    </font>
    <font>
      <name val="Arial"/>
      <family val="2"/>
      <color rgb="FF000000"/>
      <sz val="10"/>
      <scheme val="minor"/>
    </font>
    <font>
      <name val="Arial"/>
      <family val="2"/>
      <sz val="8"/>
    </font>
    <font>
      <name val="Arial"/>
      <family val="2"/>
      <sz val="10"/>
      <scheme val="minor"/>
    </font>
    <font>
      <name val="Trebuchet MS"/>
      <family val="2"/>
      <sz val="8"/>
    </font>
    <font>
      <name val="Arial"/>
      <family val="2"/>
      <sz val="9"/>
      <scheme val="minor"/>
    </font>
    <font>
      <name val="Arial"/>
      <family val="2"/>
      <sz val="9.5"/>
      <scheme val="minor"/>
    </font>
    <font>
      <name val="Arial"/>
      <family val="2"/>
      <sz val="8"/>
      <scheme val="minor"/>
    </font>
    <font>
      <name val="Arial"/>
      <family val="2"/>
      <b val="1"/>
      <color theme="0"/>
      <sz val="8"/>
      <scheme val="minor"/>
    </font>
    <font>
      <name val="Arial"/>
      <family val="2"/>
      <b val="1"/>
      <color theme="0"/>
      <sz val="14"/>
      <scheme val="minor"/>
    </font>
    <font>
      <name val="Arial"/>
      <family val="2"/>
      <color rgb="FF121212"/>
      <sz val="8"/>
      <scheme val="minor"/>
    </font>
    <font>
      <name val="Arial"/>
      <family val="2"/>
      <color theme="1"/>
      <sz val="8"/>
      <scheme val="minor"/>
    </font>
    <font>
      <name val="Arial"/>
      <family val="2"/>
      <sz val="10"/>
    </font>
    <font>
      <name val="Arial"/>
      <family val="2"/>
      <b val="1"/>
      <color theme="0"/>
      <sz val="10"/>
      <scheme val="minor"/>
    </font>
    <font>
      <name val="Arial"/>
      <family val="2"/>
      <b val="1"/>
      <color theme="8" tint="-0.499984740745262"/>
      <sz val="10"/>
      <scheme val="minor"/>
    </font>
    <font>
      <name val="Arial"/>
      <family val="2"/>
      <b val="1"/>
      <sz val="8"/>
    </font>
    <font>
      <name val="Arial"/>
      <family val="2"/>
      <sz val="1"/>
      <scheme val="minor"/>
    </font>
    <font>
      <name val="Arial"/>
      <family val="2"/>
      <b val="1"/>
      <color theme="0"/>
      <sz val="9"/>
      <scheme val="minor"/>
    </font>
    <font>
      <name val="Arial"/>
      <family val="2"/>
      <color rgb="FF000000"/>
      <sz val="10"/>
      <scheme val="minor"/>
    </font>
    <font>
      <name val="Arial"/>
      <family val="2"/>
      <b val="1"/>
      <sz val="9"/>
      <scheme val="minor"/>
    </font>
    <font>
      <name val="Poppins"/>
      <color theme="1"/>
      <sz val="11"/>
    </font>
    <font>
      <name val="Poppins"/>
      <b val="1"/>
      <color theme="1"/>
      <sz val="11"/>
    </font>
    <font>
      <name val="Poppins"/>
      <b val="1"/>
      <color theme="0"/>
      <sz val="11"/>
    </font>
    <font>
      <name val="Arial"/>
      <family val="2"/>
      <sz val="7"/>
    </font>
    <font>
      <name val="Arial"/>
      <family val="2"/>
      <b val="1"/>
      <sz val="14"/>
    </font>
    <font>
      <name val="Arial"/>
      <family val="2"/>
      <sz val="14"/>
    </font>
    <font>
      <name val="Arial"/>
      <family val="2"/>
      <b val="1"/>
      <sz val="9.5"/>
      <scheme val="minor"/>
    </font>
    <font>
      <name val="Arial"/>
      <family val="2"/>
      <color theme="0" tint="-0.499984740745262"/>
      <sz val="8"/>
      <scheme val="minor"/>
    </font>
    <font>
      <name val="Arial"/>
      <family val="2"/>
      <color theme="10"/>
      <sz val="10"/>
      <u val="single"/>
    </font>
    <font>
      <name val="Arial"/>
      <family val="2"/>
      <color theme="10"/>
      <sz val="8"/>
      <u val="single"/>
    </font>
    <font>
      <name val="Arial"/>
      <family val="2"/>
      <color rgb="FFFF0000"/>
      <sz val="8"/>
      <scheme val="minor"/>
    </font>
    <font>
      <name val="Arial"/>
      <family val="2"/>
      <b val="1"/>
      <sz val="8"/>
      <scheme val="minor"/>
    </font>
    <font>
      <name val="Calibri"/>
      <family val="2"/>
      <sz val="11"/>
    </font>
    <font>
      <name val="Calibri"/>
      <family val="2"/>
      <b val="1"/>
      <color theme="1"/>
      <sz val="11"/>
    </font>
    <font>
      <name val="Poppins"/>
      <b val="1"/>
      <color rgb="FF121212"/>
      <sz val="10"/>
    </font>
    <font>
      <name val="Poppins"/>
      <b val="1"/>
      <color theme="0"/>
      <sz val="15"/>
    </font>
    <font>
      <name val="Poppins"/>
      <color rgb="FF121212"/>
      <sz val="11"/>
    </font>
    <font>
      <name val="Poppins"/>
      <b val="1"/>
      <color theme="0"/>
      <sz val="8"/>
    </font>
    <font>
      <name val="Poppins"/>
      <color rgb="FFFF0000"/>
      <sz val="8"/>
    </font>
    <font>
      <name val="Poppins"/>
      <color theme="1"/>
      <sz val="8"/>
    </font>
    <font>
      <name val="Poppins"/>
      <b val="1"/>
      <color rgb="FF121212"/>
      <sz val="8"/>
    </font>
    <font>
      <name val="Poppins"/>
      <b val="1"/>
      <color rgb="FFFF0000"/>
      <sz val="8"/>
    </font>
    <font>
      <name val="Poppins"/>
      <color theme="1"/>
      <sz val="9"/>
    </font>
    <font>
      <name val="Poppins"/>
      <b val="1"/>
      <color theme="1"/>
      <sz val="9"/>
    </font>
    <font>
      <name val="Poppins"/>
      <b val="1"/>
      <color theme="0"/>
      <sz val="9"/>
    </font>
    <font>
      <name val="Poppins"/>
      <color rgb="FFA5A5A5"/>
      <sz val="9"/>
    </font>
    <font>
      <name val="Poppins"/>
      <b val="1"/>
      <color rgb="FF7F7F7F"/>
      <sz val="9"/>
    </font>
    <font>
      <name val="Poppins"/>
      <color rgb="FF7F7F7F"/>
      <sz val="9"/>
    </font>
    <font>
      <name val="Poppins"/>
      <b val="1"/>
      <color theme="1"/>
      <sz val="9"/>
      <u val="single"/>
    </font>
    <font>
      <name val="Poppins"/>
      <color theme="0"/>
      <sz val="9"/>
    </font>
    <font>
      <name val="Arial"/>
      <family val="2"/>
      <b val="1"/>
      <color theme="0"/>
      <sz val="20"/>
      <scheme val="minor"/>
    </font>
    <font>
      <name val="Arial"/>
      <family val="2"/>
      <i val="1"/>
      <sz val="10"/>
      <scheme val="minor"/>
    </font>
    <font>
      <name val="Arial"/>
      <family val="2"/>
      <b val="1"/>
      <i val="1"/>
      <color theme="0"/>
      <sz val="9"/>
      <scheme val="minor"/>
    </font>
    <font>
      <name val="Arial"/>
      <family val="2"/>
      <i val="1"/>
      <color rgb="FF121212"/>
      <sz val="10"/>
      <scheme val="minor"/>
    </font>
    <font>
      <name val="Arial"/>
      <family val="2"/>
      <i val="1"/>
      <sz val="9"/>
      <scheme val="minor"/>
    </font>
    <font>
      <name val="Arial"/>
      <family val="2"/>
      <sz val="10"/>
    </font>
    <font>
      <name val="Poppins"/>
      <b val="1"/>
      <sz val="9"/>
    </font>
    <font>
      <name val="Poppins"/>
      <sz val="9"/>
    </font>
    <font>
      <name val="Arial"/>
      <family val="2"/>
      <b val="1"/>
      <sz val="10"/>
      <scheme val="minor"/>
    </font>
    <font>
      <name val="Arial"/>
      <family val="2"/>
      <b val="1"/>
      <color rgb="FF000000"/>
      <sz val="10"/>
      <scheme val="minor"/>
    </font>
    <font>
      <name val="Arial"/>
      <family val="2"/>
      <color theme="0"/>
      <sz val="10"/>
      <scheme val="minor"/>
    </font>
    <font>
      <name val="Arial"/>
      <family val="2"/>
      <b val="1"/>
      <sz val="14"/>
      <scheme val="minor"/>
    </font>
    <font>
      <name val="Arial"/>
      <family val="2"/>
      <color rgb="FF1851D6"/>
      <sz val="11"/>
      <scheme val="minor"/>
    </font>
    <font>
      <name val="Arial"/>
      <family val="2"/>
      <color theme="0"/>
      <sz val="10"/>
    </font>
    <font>
      <name val="Arial"/>
      <family val="2"/>
      <b val="1"/>
      <sz val="10"/>
    </font>
    <font>
      <name val="Arial"/>
      <family val="2"/>
      <color theme="8" tint="-0.499984740745262"/>
      <sz val="10"/>
      <scheme val="minor"/>
    </font>
    <font>
      <name val="MS Sans Serif"/>
      <family val="2"/>
      <sz val="10"/>
    </font>
    <font>
      <name val="Arial"/>
      <family val="2"/>
      <b val="1"/>
      <color theme="0"/>
      <sz val="8"/>
    </font>
    <font>
      <name val="Arial"/>
      <family val="2"/>
      <color rgb="FF0000FF"/>
      <sz val="9"/>
      <scheme val="minor"/>
    </font>
    <font>
      <name val="Arial"/>
      <family val="2"/>
      <color theme="1"/>
      <sz val="12"/>
      <scheme val="minor"/>
    </font>
    <font>
      <name val="Arial"/>
      <family val="2"/>
      <color theme="1"/>
      <sz val="1"/>
      <scheme val="minor"/>
    </font>
    <font>
      <name val="Arial"/>
      <family val="2"/>
      <color theme="1"/>
      <sz val="10"/>
      <scheme val="minor"/>
    </font>
    <font>
      <name val="Arial"/>
      <family val="2"/>
      <b val="1"/>
      <color theme="0"/>
      <sz val="12"/>
      <scheme val="minor"/>
    </font>
    <font>
      <name val="Arial"/>
      <family val="2"/>
      <b val="1"/>
      <color theme="0"/>
      <sz val="18"/>
      <scheme val="minor"/>
    </font>
    <font>
      <name val="Arial"/>
      <family val="2"/>
      <b val="1"/>
      <i val="1"/>
      <color theme="1"/>
      <sz val="12"/>
      <scheme val="minor"/>
    </font>
    <font>
      <name val="Arial"/>
      <family val="2"/>
      <b val="1"/>
      <color theme="1"/>
      <sz val="10"/>
      <scheme val="minor"/>
    </font>
    <font>
      <name val="Arial"/>
      <family val="2"/>
      <b val="1"/>
      <i val="1"/>
      <sz val="10"/>
      <scheme val="minor"/>
    </font>
    <font>
      <name val="Arial"/>
      <family val="2"/>
      <b val="1"/>
      <color rgb="FF121212"/>
      <sz val="14"/>
      <scheme val="minor"/>
    </font>
    <font>
      <name val="Arial"/>
      <family val="2"/>
      <color rgb="FF121212"/>
      <sz val="10"/>
      <scheme val="minor"/>
    </font>
    <font>
      <name val="Arial"/>
      <family val="2"/>
      <sz val="12"/>
      <scheme val="minor"/>
    </font>
    <font>
      <name val="Arial"/>
      <family val="2"/>
      <color theme="1"/>
      <sz val="14"/>
      <scheme val="minor"/>
    </font>
    <font>
      <name val="Arial Narrow"/>
      <family val="2"/>
      <color theme="1"/>
      <sz val="12"/>
    </font>
    <font>
      <name val="Roboto"/>
      <color theme="1"/>
      <sz val="14"/>
    </font>
    <font>
      <name val="Arial"/>
      <family val="2"/>
      <b val="1"/>
      <color theme="1"/>
      <sz val="12"/>
    </font>
    <font>
      <name val="Arial"/>
      <family val="2"/>
      <b val="1"/>
      <sz val="12"/>
    </font>
    <font>
      <name val="Arial"/>
      <family val="2"/>
      <b val="1"/>
      <color theme="0"/>
      <sz val="12"/>
    </font>
    <font>
      <name val="Arial"/>
      <family val="2"/>
      <sz val="12"/>
    </font>
    <font>
      <name val="Arial"/>
      <family val="2"/>
      <color rgb="FF1851D6"/>
      <sz val="9"/>
      <scheme val="minor"/>
    </font>
    <font>
      <name val="Calibri"/>
      <family val="2"/>
      <b val="1"/>
      <color theme="0"/>
      <sz val="11"/>
    </font>
    <font>
      <name val="Arial"/>
      <family val="2"/>
      <color rgb="FFFF0000"/>
      <sz val="12"/>
    </font>
    <font>
      <name val="Calibri"/>
      <family val="2"/>
      <sz val="8"/>
    </font>
    <font>
      <name val="Arial"/>
      <family val="2"/>
      <b val="1"/>
      <color theme="0"/>
      <sz val="11"/>
      <scheme val="minor"/>
    </font>
    <font>
      <name val="Times New Roman"/>
      <family val="1"/>
      <color rgb="FF000000"/>
      <sz val="10"/>
    </font>
    <font>
      <name val="Calibri"/>
      <family val="2"/>
      <color rgb="FF000000"/>
      <sz val="11"/>
    </font>
    <font>
      <name val="Calibri"/>
      <family val="2"/>
      <color rgb="FF205867"/>
      <sz val="11"/>
    </font>
    <font>
      <name val="Calibri"/>
      <family val="2"/>
      <i val="1"/>
      <color theme="1"/>
      <sz val="11"/>
    </font>
    <font>
      <name val="Arial"/>
      <color rgb="FF000000"/>
      <sz val="10"/>
      <scheme val="minor"/>
    </font>
    <font>
      <name val="Arial"/>
      <family val="2"/>
      <b val="1"/>
      <color theme="1"/>
      <sz val="11"/>
      <scheme val="minor"/>
    </font>
    <font>
      <name val="Arial"/>
      <family val="2"/>
      <b val="1"/>
      <color rgb="FF1851D6"/>
      <sz val="11"/>
      <scheme val="minor"/>
    </font>
    <font>
      <name val="Segoe UI"/>
      <family val="2"/>
      <b val="1"/>
      <color indexed="81"/>
      <sz val="9"/>
    </font>
    <font>
      <name val="Segoe UI"/>
      <family val="2"/>
      <color indexed="81"/>
      <sz val="9"/>
    </font>
    <font>
      <name val="Arial"/>
      <family val="2"/>
      <b val="1"/>
      <color theme="1"/>
      <sz val="14"/>
      <scheme val="minor"/>
    </font>
    <font>
      <name val="Arial"/>
      <family val="2"/>
      <color rgb="FF0000FF"/>
      <sz val="7"/>
    </font>
    <font>
      <name val="Arial"/>
      <family val="2"/>
      <color rgb="FFFF0000"/>
      <sz val="11"/>
      <scheme val="minor"/>
    </font>
    <font>
      <name val="Poppins"/>
      <b val="1"/>
      <color theme="0"/>
      <sz val="10"/>
    </font>
    <font>
      <name val="Roboto"/>
      <b val="1"/>
      <sz val="8"/>
    </font>
    <font>
      <name val="Roboto"/>
      <sz val="8"/>
    </font>
    <font>
      <name val="Roboto"/>
      <b val="1"/>
      <sz val="7.5"/>
    </font>
    <font>
      <name val="Roboto"/>
      <sz val="7.5"/>
    </font>
    <font>
      <name val="Roboto"/>
      <family val="2"/>
      <color rgb="FF000000"/>
      <sz val="7.5"/>
    </font>
    <font>
      <name val="Arial"/>
      <color theme="1"/>
      <sz val="11"/>
      <scheme val="minor"/>
    </font>
    <font>
      <name val="Arial"/>
      <family val="2"/>
      <color theme="0" tint="-0.499984740745262"/>
      <sz val="11"/>
      <scheme val="minor"/>
    </font>
    <font>
      <name val="Poppins"/>
      <b val="1"/>
      <color rgb="FFFE3400"/>
      <sz val="18"/>
    </font>
    <font>
      <name val="Poppins"/>
      <b val="1"/>
      <color rgb="FF0000FF"/>
      <sz val="12"/>
    </font>
    <font>
      <name val="Poppins"/>
      <b val="1"/>
      <color rgb="FF002060"/>
      <sz val="11"/>
    </font>
    <font>
      <name val="Poppins"/>
      <sz val="10"/>
    </font>
    <font>
      <name val="Poppins"/>
      <b val="1"/>
      <color rgb="FFF5F5F5"/>
      <sz val="10"/>
    </font>
    <font>
      <name val="Poppins"/>
      <color theme="1"/>
      <sz val="10"/>
    </font>
    <font>
      <name val="Poppins"/>
      <b val="1"/>
      <color rgb="FF010000"/>
      <sz val="10"/>
    </font>
    <font>
      <name val="Poppins"/>
      <color rgb="FF010000"/>
      <sz val="10"/>
    </font>
    <font>
      <name val="Poppins"/>
      <b val="1"/>
      <color theme="1"/>
      <sz val="10"/>
    </font>
    <font>
      <name val="Arial"/>
      <family val="2"/>
      <color theme="0" tint="-0.499984740745262"/>
      <sz val="10"/>
    </font>
    <font>
      <name val="Calibri"/>
      <i val="1"/>
      <color rgb="FF666666"/>
      <sz val="8"/>
    </font>
    <font>
      <name val="Calibri"/>
      <b val="1"/>
      <color rgb="FF1F3864"/>
      <sz val="11"/>
    </font>
    <font>
      <name val="Calibri"/>
      <b val="1"/>
      <color rgb="FF1F3864"/>
      <sz val="9"/>
    </font>
    <font>
      <name val="Calibri"/>
      <b val="1"/>
      <color rgb="FFED7D31"/>
      <sz val="9"/>
    </font>
    <font>
      <name val="Calibri"/>
      <b val="1"/>
      <color rgb="FF4472C4"/>
      <sz val="9"/>
    </font>
    <font>
      <name val="Calibri"/>
      <color rgb="FF333333"/>
      <sz val="9"/>
    </font>
    <font>
      <name val="Calibri"/>
      <b val="1"/>
      <color rgb="FF333333"/>
      <sz val="9"/>
    </font>
    <font>
      <name val="Calibri"/>
      <b val="1"/>
      <color rgb="FFFFFFFF"/>
      <sz val="10"/>
    </font>
    <font>
      <name val="Calibri"/>
      <i val="1"/>
      <color rgb="FF666666"/>
      <sz val="9"/>
    </font>
    <font>
      <name val="Calibri"/>
      <color rgb="FF666666"/>
      <sz val="8"/>
    </font>
    <font>
      <name val="Calibri"/>
      <b val="1"/>
      <color rgb="FFFFFFFF"/>
      <sz val="11"/>
    </font>
    <font>
      <name val="Calibri"/>
      <b val="1"/>
      <color rgb="FFFFFFFF"/>
      <sz val="14"/>
    </font>
    <font>
      <name val="Calibri"/>
      <b val="1"/>
      <sz val="10"/>
    </font>
    <font>
      <name val="Calibri"/>
      <b val="1"/>
      <sz val="11"/>
    </font>
    <font>
      <name val="Calibri"/>
      <b val="1"/>
      <color rgb="FF1A3A6E"/>
      <sz val="10"/>
    </font>
    <font>
      <name val="Calibri"/>
      <b val="1"/>
      <color rgb="FF2F5496"/>
      <sz val="10"/>
    </font>
    <font>
      <name val="Calibri"/>
      <b val="1"/>
      <i val="1"/>
      <color rgb="FF7F6000"/>
      <sz val="10"/>
    </font>
    <font>
      <name val="Calibri"/>
      <sz val="10"/>
    </font>
    <font>
      <name val="Calibri"/>
      <color rgb="FF333333"/>
      <sz val="10"/>
    </font>
    <font>
      <name val="Calibri"/>
      <color theme="8" tint="-0.499984740745262"/>
      <sz val="10"/>
    </font>
    <font>
      <name val="Calibri"/>
      <b val="1"/>
      <color rgb="FFFFFFFF"/>
      <sz val="11.5"/>
    </font>
    <font>
      <name val="Calibri"/>
      <b val="1"/>
      <color rgb="FF000000"/>
      <sz val="10"/>
    </font>
    <font>
      <name val="Poppins"/>
      <b val="1"/>
      <color rgb="FFFFFFFF"/>
      <sz val="10"/>
    </font>
    <font>
      <name val="Arial"/>
      <color rgb="FF333333"/>
      <sz val="11"/>
    </font>
    <font>
      <name val="Arial"/>
      <i val="1"/>
      <color rgb="FF666666"/>
      <sz val="9"/>
    </font>
    <font>
      <name val="Arial"/>
      <b val="1"/>
      <color rgb="FF666666"/>
      <sz val="9"/>
    </font>
    <font>
      <name val="Arial"/>
      <b val="1"/>
      <color rgb="FFFFFFFF"/>
      <sz val="12"/>
    </font>
    <font>
      <name val="Arial"/>
      <b val="1"/>
      <color rgb="FF000000"/>
      <sz val="11"/>
    </font>
    <font>
      <name val="Arial"/>
      <b val="1"/>
      <color rgb="FF333333"/>
      <sz val="11"/>
    </font>
    <font>
      <name val="Arial"/>
      <sz val="10"/>
    </font>
    <font>
      <name val="Arial"/>
      <b val="1"/>
      <sz val="10"/>
    </font>
    <font>
      <name val="Arial"/>
      <sz val="9.5"/>
    </font>
    <font>
      <name val="Calibri"/>
      <sz val="9"/>
    </font>
    <font>
      <name val="Calibri"/>
      <b val="1"/>
      <color rgb="FF2F5496"/>
      <sz val="11"/>
    </font>
    <font>
      <name val="Calibri"/>
      <b val="1"/>
      <color rgb="FF2F5496"/>
      <sz val="12"/>
    </font>
    <font>
      <name val="Arial"/>
      <family val="2"/>
      <i val="1"/>
      <color rgb="FF999999"/>
      <sz val="10"/>
      <scheme val="minor"/>
    </font>
    <font>
      <name val="Calibri"/>
      <family val="2"/>
      <color rgb="FFFFFFFF"/>
      <sz val="8"/>
    </font>
    <font>
      <name val="Calibri"/>
      <family val="2"/>
      <b val="1"/>
      <color rgb="FFFFFFFF"/>
      <sz val="8"/>
    </font>
    <font>
      <name val="Calibri"/>
      <family val="2"/>
      <b val="1"/>
      <color rgb="FF000000"/>
      <sz val="8"/>
    </font>
    <font>
      <name val="Arial"/>
      <family val="2"/>
      <b val="1"/>
      <color rgb="FFFFFFFF"/>
      <sz val="8"/>
      <scheme val="minor"/>
    </font>
    <font>
      <name val="Arial"/>
      <family val="2"/>
      <color rgb="FF000000"/>
      <sz val="8"/>
      <scheme val="minor"/>
    </font>
    <font>
      <name val="Arial"/>
      <family val="2"/>
      <b val="1"/>
      <color rgb="FF000000"/>
      <sz val="8"/>
      <scheme val="minor"/>
    </font>
    <font>
      <name val="Calibri"/>
      <family val="2"/>
      <b val="1"/>
      <color rgb="FF000000"/>
      <sz val="8"/>
      <u val="single"/>
    </font>
    <font>
      <name val="Calibri"/>
      <b val="1"/>
      <color rgb="FFFFFFFF"/>
      <sz val="12"/>
    </font>
    <font>
      <name val="Calibri"/>
      <i val="1"/>
      <sz val="10"/>
    </font>
    <font>
      <name val="Calibri"/>
      <b val="1"/>
      <sz val="12"/>
    </font>
  </fonts>
  <fills count="98">
    <fill>
      <patternFill/>
    </fill>
    <fill>
      <patternFill patternType="gray125"/>
    </fill>
    <fill>
      <patternFill patternType="solid">
        <fgColor rgb="FF1851D6"/>
        <bgColor rgb="FF1851D6"/>
      </patternFill>
    </fill>
    <fill>
      <patternFill patternType="solid">
        <fgColor rgb="FF255AE5"/>
        <bgColor rgb="FF255AE5"/>
      </patternFill>
    </fill>
    <fill>
      <patternFill patternType="solid">
        <fgColor theme="0"/>
        <bgColor theme="0"/>
      </patternFill>
    </fill>
    <fill>
      <patternFill patternType="solid">
        <fgColor rgb="FFBFBFBF"/>
        <bgColor rgb="FFBFBFBF"/>
      </patternFill>
    </fill>
    <fill>
      <patternFill patternType="solid">
        <fgColor theme="1"/>
        <bgColor theme="1"/>
      </patternFill>
    </fill>
    <fill>
      <patternFill patternType="solid">
        <fgColor rgb="FF71A0DB"/>
        <bgColor rgb="FF71A0DB"/>
      </patternFill>
    </fill>
    <fill>
      <patternFill patternType="solid">
        <fgColor rgb="FFFFFF00"/>
        <bgColor rgb="FFFFFF00"/>
      </patternFill>
    </fill>
    <fill>
      <patternFill patternType="solid">
        <fgColor rgb="FF29292F"/>
        <bgColor rgb="FF29292F"/>
      </patternFill>
    </fill>
    <fill>
      <patternFill patternType="solid">
        <fgColor rgb="FFF2F2F2"/>
        <bgColor rgb="FFF2F2F2"/>
      </patternFill>
    </fill>
    <fill>
      <patternFill patternType="solid">
        <fgColor rgb="FFA5A5A5"/>
        <bgColor rgb="FFA5A5A5"/>
      </patternFill>
    </fill>
    <fill>
      <patternFill patternType="solid">
        <fgColor rgb="FFFFFFFF"/>
        <bgColor rgb="FFFFFFFF"/>
      </patternFill>
    </fill>
    <fill>
      <patternFill patternType="solid">
        <fgColor rgb="FF121212"/>
        <bgColor rgb="FF121212"/>
      </patternFill>
    </fill>
    <fill>
      <patternFill patternType="solid">
        <fgColor rgb="FF00B050"/>
        <bgColor indexed="64"/>
      </patternFill>
    </fill>
    <fill>
      <patternFill patternType="solid">
        <fgColor theme="0" tint="-0.1499984740745262"/>
        <bgColor indexed="64"/>
      </patternFill>
    </fill>
    <fill>
      <patternFill patternType="solid">
        <fgColor rgb="FF1851D6"/>
        <bgColor indexed="64"/>
      </patternFill>
    </fill>
    <fill>
      <patternFill patternType="solid">
        <fgColor rgb="FF255AE5"/>
        <bgColor indexed="64"/>
      </patternFill>
    </fill>
    <fill>
      <patternFill patternType="solid">
        <fgColor rgb="FFFFFF00"/>
        <bgColor indexed="64"/>
      </patternFill>
    </fill>
    <fill>
      <patternFill patternType="solid">
        <fgColor rgb="FF29292F"/>
        <bgColor indexed="64"/>
      </patternFill>
    </fill>
    <fill>
      <patternFill patternType="solid">
        <fgColor theme="0"/>
        <bgColor rgb="FFDCDCDC"/>
      </patternFill>
    </fill>
    <fill>
      <patternFill patternType="solid">
        <fgColor theme="0" tint="-0.09997863704336681"/>
        <bgColor theme="0"/>
      </patternFill>
    </fill>
    <fill>
      <patternFill patternType="solid">
        <fgColor rgb="FF3F3F3F"/>
        <bgColor rgb="FF3F3F3F"/>
      </patternFill>
    </fill>
    <fill>
      <patternFill patternType="solid">
        <fgColor rgb="FF7F7F7F"/>
        <bgColor rgb="FF7F7F7F"/>
      </patternFill>
    </fill>
    <fill>
      <patternFill patternType="solid">
        <fgColor theme="1" tint="0.249977111117893"/>
        <bgColor indexed="64"/>
      </patternFill>
    </fill>
    <fill>
      <patternFill patternType="solid">
        <fgColor rgb="FF92D050"/>
        <bgColor theme="0"/>
      </patternFill>
    </fill>
    <fill>
      <patternFill patternType="solid">
        <fgColor rgb="FF000000"/>
        <bgColor rgb="FF000000"/>
      </patternFill>
    </fill>
    <fill>
      <patternFill patternType="solid">
        <fgColor theme="0" tint="-0.1499984740745262"/>
        <bgColor rgb="FF000000"/>
      </patternFill>
    </fill>
    <fill>
      <patternFill patternType="solid">
        <fgColor theme="0" tint="-0.1499984740745262"/>
        <bgColor rgb="FFF2F2F2"/>
      </patternFill>
    </fill>
    <fill>
      <patternFill patternType="solid">
        <fgColor rgb="FF255AE5"/>
        <bgColor rgb="FFFC3400"/>
      </patternFill>
    </fill>
    <fill>
      <patternFill patternType="solid">
        <fgColor theme="0" tint="-0.1499984740745262"/>
        <bgColor rgb="FFFC3400"/>
      </patternFill>
    </fill>
    <fill>
      <patternFill patternType="solid">
        <fgColor theme="2" tint="-0.09997863704336681"/>
        <bgColor indexed="64"/>
      </patternFill>
    </fill>
    <fill>
      <patternFill patternType="solid">
        <fgColor theme="0"/>
        <bgColor indexed="64"/>
      </patternFill>
    </fill>
    <fill>
      <patternFill patternType="solid">
        <fgColor rgb="FFF6F4F6"/>
        <bgColor indexed="64"/>
      </patternFill>
    </fill>
    <fill>
      <patternFill patternType="solid">
        <fgColor rgb="FF989DD0"/>
        <bgColor indexed="64"/>
      </patternFill>
    </fill>
    <fill>
      <patternFill patternType="solid">
        <fgColor rgb="FF571078"/>
        <bgColor indexed="64"/>
      </patternFill>
    </fill>
    <fill>
      <patternFill patternType="solid">
        <fgColor rgb="FF800080"/>
        <bgColor indexed="64"/>
      </patternFill>
    </fill>
    <fill>
      <patternFill patternType="solid">
        <fgColor theme="0" tint="-0.249977111117893"/>
        <bgColor indexed="64"/>
      </patternFill>
    </fill>
    <fill>
      <patternFill patternType="mediumGray">
        <fgColor indexed="9"/>
        <bgColor indexed="22"/>
      </patternFill>
    </fill>
    <fill>
      <patternFill patternType="solid">
        <fgColor indexed="9"/>
        <bgColor indexed="64"/>
      </patternFill>
    </fill>
    <fill>
      <patternFill patternType="solid">
        <fgColor indexed="9"/>
        <bgColor indexed="26"/>
      </patternFill>
    </fill>
    <fill>
      <patternFill patternType="solid">
        <fgColor theme="0" tint="-0.0499893185216834"/>
        <bgColor indexed="64"/>
      </patternFill>
    </fill>
    <fill>
      <patternFill patternType="solid">
        <fgColor rgb="FFFF0000"/>
        <bgColor indexed="64"/>
      </patternFill>
    </fill>
    <fill>
      <patternFill patternType="solid">
        <fgColor theme="6" tint="-0.499984740745262"/>
        <bgColor indexed="64"/>
      </patternFill>
    </fill>
    <fill>
      <patternFill patternType="solid">
        <fgColor theme="3"/>
        <bgColor rgb="FFFC3400"/>
      </patternFill>
    </fill>
    <fill>
      <patternFill patternType="solid">
        <fgColor theme="4" tint="-0.249977111117893"/>
        <bgColor indexed="64"/>
      </patternFill>
    </fill>
    <fill>
      <patternFill patternType="solid">
        <fgColor rgb="FF121212"/>
        <bgColor indexed="64"/>
      </patternFill>
    </fill>
    <fill>
      <patternFill patternType="solid">
        <fgColor rgb="FFA077B5"/>
        <bgColor indexed="64"/>
      </patternFill>
    </fill>
    <fill>
      <patternFill patternType="solid">
        <fgColor theme="6" tint="0.3999755851924192"/>
        <bgColor indexed="64"/>
      </patternFill>
    </fill>
    <fill>
      <patternFill patternType="solid">
        <fgColor theme="5" tint="-0.499984740745262"/>
        <bgColor indexed="64"/>
      </patternFill>
    </fill>
    <fill>
      <patternFill patternType="solid">
        <fgColor theme="9" tint="0.3999755851924192"/>
        <bgColor indexed="64"/>
      </patternFill>
    </fill>
    <fill>
      <patternFill patternType="solid">
        <fgColor theme="4" tint="0.7999816888943144"/>
        <bgColor indexed="64"/>
      </patternFill>
    </fill>
    <fill>
      <patternFill patternType="solid">
        <fgColor theme="4" tint="0.3999755851924192"/>
        <bgColor indexed="64"/>
      </patternFill>
    </fill>
    <fill>
      <patternFill patternType="solid">
        <fgColor theme="6" tint="0.7999816888943144"/>
        <bgColor indexed="64"/>
      </patternFill>
    </fill>
    <fill>
      <patternFill patternType="solid">
        <fgColor rgb="FFBBCEF7"/>
        <bgColor indexed="64"/>
      </patternFill>
    </fill>
    <fill>
      <patternFill patternType="solid">
        <fgColor theme="1"/>
        <bgColor indexed="64"/>
      </patternFill>
    </fill>
    <fill>
      <patternFill patternType="solid">
        <fgColor theme="1"/>
        <bgColor rgb="FFBFBFBF"/>
      </patternFill>
    </fill>
    <fill>
      <patternFill patternType="solid">
        <fgColor theme="0" tint="-0.1499984740745262"/>
        <bgColor rgb="FFFFFF00"/>
      </patternFill>
    </fill>
    <fill>
      <patternFill patternType="solid">
        <fgColor theme="0" tint="-0.249977111117893"/>
        <bgColor rgb="FF71A0DB"/>
      </patternFill>
    </fill>
    <fill>
      <patternFill patternType="solid">
        <fgColor theme="1" tint="0.0499893185216834"/>
        <bgColor indexed="64"/>
      </patternFill>
    </fill>
    <fill>
      <patternFill patternType="solid">
        <fgColor theme="4" tint="0.5999938962981048"/>
        <bgColor indexed="64"/>
      </patternFill>
    </fill>
    <fill>
      <patternFill patternType="solid">
        <fgColor rgb="FFCCCCCC"/>
      </patternFill>
    </fill>
    <fill>
      <patternFill patternType="solid">
        <fgColor rgb="FFDDDDDD"/>
      </patternFill>
    </fill>
    <fill>
      <patternFill patternType="solid">
        <fgColor rgb="FFEDEDED"/>
      </patternFill>
    </fill>
    <fill>
      <patternFill patternType="solid">
        <fgColor theme="2" tint="-0.1499984740745262"/>
        <bgColor indexed="64"/>
      </patternFill>
    </fill>
    <fill>
      <patternFill patternType="solid">
        <fgColor rgb="FFD6E4F0"/>
        <bgColor rgb="FFD6E4F0"/>
      </patternFill>
    </fill>
    <fill>
      <patternFill patternType="solid">
        <fgColor rgb="FFFCE4D6"/>
        <bgColor rgb="FFFCE4D6"/>
      </patternFill>
    </fill>
    <fill>
      <patternFill patternType="solid">
        <fgColor rgb="FFDAE3F3"/>
        <bgColor rgb="FFDAE3F3"/>
      </patternFill>
    </fill>
    <fill>
      <patternFill patternType="solid">
        <fgColor rgb="FFC00000"/>
        <bgColor rgb="FFC00000"/>
      </patternFill>
    </fill>
    <fill>
      <patternFill patternType="solid">
        <fgColor rgb="FF7030A0"/>
        <bgColor rgb="FF7030A0"/>
      </patternFill>
    </fill>
    <fill>
      <patternFill patternType="solid">
        <fgColor rgb="FFBF8F00"/>
        <bgColor rgb="FFBF8F00"/>
      </patternFill>
    </fill>
    <fill>
      <patternFill patternType="solid">
        <fgColor rgb="FF548235"/>
        <bgColor rgb="FF548235"/>
      </patternFill>
    </fill>
    <fill>
      <patternFill patternType="solid">
        <fgColor rgb="FF2E75B6"/>
        <bgColor rgb="FF2E75B6"/>
      </patternFill>
    </fill>
    <fill>
      <patternFill patternType="solid">
        <fgColor rgb="FFED7D31"/>
        <bgColor rgb="FFED7D31"/>
      </patternFill>
    </fill>
    <fill>
      <patternFill patternType="solid">
        <fgColor rgb="FF4472C4"/>
        <bgColor rgb="FF4472C4"/>
      </patternFill>
    </fill>
    <fill>
      <patternFill patternType="solid">
        <fgColor rgb="FF1F3864"/>
        <bgColor rgb="FF1F3864"/>
      </patternFill>
    </fill>
    <fill>
      <patternFill patternType="solid">
        <fgColor rgb="FF2F5496"/>
        <bgColor rgb="FF2F5496"/>
      </patternFill>
    </fill>
    <fill>
      <patternFill patternType="solid">
        <fgColor rgb="FF1A1A2E"/>
        <bgColor indexed="64"/>
      </patternFill>
    </fill>
    <fill>
      <patternFill patternType="solid">
        <fgColor rgb="FF2F5496"/>
        <bgColor indexed="64"/>
      </patternFill>
    </fill>
    <fill>
      <patternFill patternType="solid">
        <fgColor rgb="FFD6E4F0"/>
        <bgColor indexed="64"/>
      </patternFill>
    </fill>
    <fill>
      <patternFill patternType="solid">
        <fgColor rgb="FFE8EEF5"/>
        <bgColor indexed="64"/>
      </patternFill>
    </fill>
    <fill>
      <patternFill patternType="solid">
        <fgColor rgb="FFFFF2CC"/>
        <bgColor indexed="64"/>
      </patternFill>
    </fill>
    <fill>
      <patternFill patternType="solid">
        <fgColor rgb="FFFFFFFF"/>
        <bgColor indexed="64"/>
      </patternFill>
    </fill>
    <fill>
      <patternFill patternType="solid">
        <fgColor rgb="FFF5F8FC"/>
        <bgColor indexed="64"/>
      </patternFill>
    </fill>
    <fill>
      <patternFill patternType="solid">
        <fgColor rgb="FFF0F4FA"/>
        <bgColor indexed="64"/>
      </patternFill>
    </fill>
    <fill>
      <patternFill patternType="solid">
        <fgColor rgb="FFEBF0F7"/>
        <bgColor indexed="64"/>
      </patternFill>
    </fill>
    <fill>
      <patternFill patternType="solid">
        <fgColor rgb="FFB8CCE4"/>
        <bgColor rgb="FFB8CCE4"/>
      </patternFill>
    </fill>
    <fill>
      <patternFill patternType="solid">
        <fgColor rgb="FFDCE6F1"/>
        <bgColor rgb="FFDCE6F1"/>
      </patternFill>
    </fill>
    <fill>
      <patternFill patternType="solid">
        <fgColor rgb="FF8DB4E2"/>
        <bgColor rgb="FF8DB4E2"/>
      </patternFill>
    </fill>
    <fill>
      <patternFill patternType="solid">
        <fgColor rgb="FF333333"/>
        <bgColor rgb="FF333333"/>
      </patternFill>
    </fill>
    <fill>
      <patternFill patternType="solid">
        <fgColor rgb="FF3F3F3F"/>
        <bgColor indexed="64"/>
      </patternFill>
    </fill>
    <fill>
      <patternFill patternType="solid">
        <fgColor rgb="FF7F7F7F"/>
        <bgColor indexed="64"/>
      </patternFill>
    </fill>
    <fill>
      <patternFill patternType="solid">
        <fgColor rgb="FFD8D8D8"/>
        <bgColor indexed="64"/>
      </patternFill>
    </fill>
    <fill>
      <patternFill patternType="solid">
        <fgColor theme="2"/>
        <bgColor indexed="64"/>
      </patternFill>
    </fill>
    <fill>
      <patternFill patternType="solid">
        <fgColor theme="5" tint="0.5999938962981048"/>
        <bgColor indexed="64"/>
      </patternFill>
    </fill>
    <fill>
      <patternFill patternType="solid">
        <fgColor rgb="FF00B0F0"/>
        <bgColor rgb="FF00B0F0"/>
      </patternFill>
    </fill>
    <fill>
      <patternFill patternType="solid">
        <fgColor rgb="FFFFC000"/>
        <bgColor rgb="FFFFC000"/>
      </patternFill>
    </fill>
    <fill>
      <patternFill patternType="solid">
        <fgColor rgb="FF808080"/>
        <bgColor rgb="FF808080"/>
      </patternFill>
    </fill>
  </fills>
  <borders count="478">
    <border>
      <left/>
      <right/>
      <top/>
      <bottom/>
      <diagonal/>
    </border>
    <border>
      <left/>
      <right style="thin">
        <color rgb="FF000000"/>
      </right>
      <top style="thin">
        <color rgb="FF000000"/>
      </top>
      <bottom/>
      <diagonal/>
    </border>
    <border>
      <left style="thin">
        <color rgb="FF29292F"/>
      </left>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hair">
        <color rgb="FF000000"/>
      </top>
      <bottom style="hair">
        <color rgb="FF000000"/>
      </bottom>
      <diagonal/>
    </border>
    <border>
      <left/>
      <right/>
      <top style="thin">
        <color rgb="FF000000"/>
      </top>
      <bottom/>
      <diagonal/>
    </border>
    <border>
      <left/>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hair">
        <color rgb="FF7F7F7F"/>
      </left>
      <right style="hair">
        <color rgb="FF7F7F7F"/>
      </right>
      <top style="hair">
        <color rgb="FF7F7F7F"/>
      </top>
      <bottom style="hair">
        <color rgb="FF7F7F7F"/>
      </bottom>
      <diagonal/>
    </border>
    <border>
      <left/>
      <right/>
      <top style="thin">
        <color rgb="FF7F7F7F"/>
      </top>
      <bottom style="thin">
        <color rgb="FF7F7F7F"/>
      </bottom>
      <diagonal/>
    </border>
    <border>
      <left style="thin">
        <color rgb="FF29292F"/>
      </left>
      <right/>
      <top style="thin">
        <color rgb="FF29292F"/>
      </top>
      <bottom/>
      <diagonal/>
    </border>
    <border>
      <left/>
      <right style="medium">
        <color rgb="FF000000"/>
      </right>
      <top style="medium">
        <color rgb="FF000000"/>
      </top>
      <bottom style="thin">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rgb="FF000000"/>
      </left>
      <right style="medium">
        <color rgb="FF000000"/>
      </right>
      <top style="hair">
        <color rgb="FF000000"/>
      </top>
      <bottom style="hair">
        <color rgb="FF000000"/>
      </bottom>
      <diagonal/>
    </border>
    <border>
      <left style="medium">
        <color rgb="FF000000"/>
      </left>
      <right style="thin">
        <color rgb="FF000000"/>
      </right>
      <top style="hair">
        <color rgb="FF000000"/>
      </top>
      <bottom style="hair">
        <color rgb="FF000000"/>
      </bottom>
      <diagonal/>
    </border>
    <border>
      <left style="medium">
        <color rgb="FF000000"/>
      </left>
      <right style="thin">
        <color rgb="FF000000"/>
      </right>
      <top style="hair">
        <color rgb="FF000000"/>
      </top>
      <bottom/>
      <diagonal/>
    </border>
    <border>
      <left style="medium">
        <color rgb="FF000000"/>
      </left>
      <right style="thin">
        <color rgb="FF000000"/>
      </right>
      <top style="hair">
        <color rgb="FF000000"/>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medium">
        <color rgb="FF000000"/>
      </top>
      <bottom/>
      <diagonal/>
    </border>
    <border>
      <left style="thin">
        <color rgb="FF000000"/>
      </left>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top style="thin">
        <color rgb="FF7F7F7F"/>
      </top>
      <bottom style="thin">
        <color rgb="FF7F7F7F"/>
      </bottom>
      <diagonal/>
    </border>
    <border>
      <left/>
      <right/>
      <top style="thin">
        <color rgb="FF29292F"/>
      </top>
      <bottom style="thin">
        <color rgb="FF29292F"/>
      </bottom>
      <diagonal/>
    </border>
    <border>
      <left/>
      <right style="thin">
        <color rgb="FF000000"/>
      </right>
      <top style="thin">
        <color rgb="FF29292F"/>
      </top>
      <bottom style="thin">
        <color rgb="FF29292F"/>
      </bottom>
      <diagonal/>
    </border>
    <border>
      <left/>
      <right/>
      <top style="thin">
        <color rgb="FF29292F"/>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thin">
        <color rgb="FF000000"/>
      </right>
      <top/>
      <bottom style="thin">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style="thin">
        <color rgb="FF000000"/>
      </right>
      <top style="thin">
        <color rgb="FF000000"/>
      </top>
      <bottom/>
      <diagonal/>
    </border>
    <border>
      <left/>
      <right style="medium">
        <color rgb="FF000000"/>
      </right>
      <top/>
      <bottom/>
      <diagonal/>
    </border>
    <border>
      <left style="medium">
        <color rgb="FF000000"/>
      </left>
      <right style="thin">
        <color rgb="FF000000"/>
      </right>
      <top style="medium">
        <color rgb="FF000000"/>
      </top>
      <bottom style="hair">
        <color rgb="FF000000"/>
      </bottom>
      <diagonal/>
    </border>
    <border>
      <left style="thin">
        <color rgb="FF000000"/>
      </left>
      <right style="medium">
        <color rgb="FF000000"/>
      </right>
      <top style="medium">
        <color rgb="FF000000"/>
      </top>
      <bottom style="hair">
        <color rgb="FF000000"/>
      </bottom>
      <diagonal/>
    </border>
    <border>
      <left/>
      <right style="medium">
        <color rgb="FF000000"/>
      </right>
      <top style="thin">
        <color rgb="FF000000"/>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medium">
        <color rgb="FF000000"/>
      </right>
      <top style="thin">
        <color rgb="FF000000"/>
      </top>
      <bottom style="hair">
        <color rgb="FF000000"/>
      </bottom>
      <diagonal/>
    </border>
    <border>
      <left style="thin">
        <color rgb="FF000000"/>
      </left>
      <right style="medium">
        <color rgb="FF000000"/>
      </right>
      <top/>
      <bottom style="hair">
        <color rgb="FF000000"/>
      </bottom>
      <diagonal/>
    </border>
    <border>
      <left style="thin">
        <color rgb="FF000000"/>
      </left>
      <right style="thin">
        <color rgb="FF000000"/>
      </right>
      <top/>
      <bottom style="hair">
        <color rgb="FF000000"/>
      </bottom>
      <diagonal/>
    </border>
    <border>
      <left/>
      <right/>
      <top style="medium">
        <color rgb="FF000000"/>
      </top>
      <bottom style="thin">
        <color rgb="FF000000"/>
      </bottom>
      <diagonal/>
    </border>
    <border>
      <left style="medium">
        <color rgb="FF000000"/>
      </left>
      <right/>
      <top/>
      <bottom/>
      <diagonal/>
    </border>
    <border>
      <left style="thin">
        <color rgb="FF29292F"/>
      </left>
      <right/>
      <top style="thin">
        <color rgb="FF29292F"/>
      </top>
      <bottom style="thin">
        <color rgb="FF29292F"/>
      </bottom>
      <diagonal/>
    </border>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rgb="FF646464"/>
      </right>
      <top style="hair">
        <color rgb="FF000000"/>
      </top>
      <bottom style="hair">
        <color rgb="FF000000"/>
      </bottom>
      <diagonal/>
    </border>
    <border>
      <left/>
      <right/>
      <top style="thin">
        <color indexed="64"/>
      </top>
      <bottom style="thin">
        <color indexed="64"/>
      </bottom>
      <diagonal/>
    </border>
    <border>
      <left/>
      <right/>
      <top style="thin">
        <color theme="1" tint="0.499984740745262"/>
      </top>
      <bottom style="thin">
        <color theme="1" tint="0.499984740745262"/>
      </bottom>
      <diagonal/>
    </border>
    <border>
      <left style="thin">
        <color indexed="64"/>
      </left>
      <right style="thin">
        <color indexed="64"/>
      </right>
      <top style="thin">
        <color indexed="64"/>
      </top>
      <bottom/>
      <diagonal/>
    </border>
    <border>
      <left/>
      <right style="medium">
        <color indexed="64"/>
      </right>
      <top/>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thin">
        <color indexed="64"/>
      </left>
      <right/>
      <top/>
      <bottom style="thin">
        <color rgb="FF000000"/>
      </bottom>
      <diagonal/>
    </border>
    <border>
      <left style="medium">
        <color rgb="FF000000"/>
      </left>
      <right style="thin">
        <color rgb="FF000000"/>
      </right>
      <top style="thin">
        <color rgb="FF000000"/>
      </top>
      <bottom style="hair">
        <color rgb="FF000000"/>
      </bottom>
      <diagonal/>
    </border>
    <border>
      <left style="medium">
        <color rgb="FF000000"/>
      </left>
      <right style="thin">
        <color rgb="FF000000"/>
      </right>
      <top style="hair">
        <color rgb="FF000000"/>
      </top>
      <bottom style="thin">
        <color rgb="FF000000"/>
      </bottom>
      <diagonal/>
    </border>
    <border>
      <left style="thin">
        <color rgb="FF000000"/>
      </left>
      <right style="thin">
        <color rgb="FF000000"/>
      </right>
      <top style="hair">
        <color rgb="FF000000"/>
      </top>
      <bottom style="thin">
        <color rgb="FF000000"/>
      </bottom>
      <diagonal/>
    </border>
    <border>
      <left style="thin">
        <color rgb="FF000000"/>
      </left>
      <right style="medium">
        <color rgb="FF000000"/>
      </right>
      <top style="hair">
        <color rgb="FF000000"/>
      </top>
      <bottom style="thin">
        <color rgb="FF000000"/>
      </bottom>
      <diagonal/>
    </border>
    <border>
      <left style="medium">
        <color rgb="FF000000"/>
      </left>
      <right style="thin">
        <color rgb="FF000000"/>
      </right>
      <top/>
      <bottom style="hair">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hair">
        <color rgb="FF000000"/>
      </top>
      <bottom style="hair">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diagonal/>
    </border>
    <border>
      <left/>
      <right/>
      <top style="medium">
        <color auto="1"/>
      </top>
      <bottom/>
      <diagonal/>
    </border>
    <border>
      <left/>
      <right/>
      <top style="hair">
        <color rgb="FF29292F"/>
      </top>
      <bottom style="medium">
        <color auto="1"/>
      </bottom>
      <diagonal/>
    </border>
    <border>
      <left/>
      <right/>
      <top style="hair">
        <color rgb="FF29292F"/>
      </top>
      <bottom style="hair">
        <color rgb="FF29292F"/>
      </bottom>
      <diagonal/>
    </border>
    <border>
      <left/>
      <right style="thin">
        <color indexed="64"/>
      </right>
      <top style="medium">
        <color auto="1"/>
      </top>
      <bottom style="thin">
        <color indexed="64"/>
      </bottom>
      <diagonal/>
    </border>
    <border>
      <left/>
      <right/>
      <top style="medium">
        <color auto="1"/>
      </top>
      <bottom style="thin">
        <color indexed="64"/>
      </bottom>
      <diagonal/>
    </border>
    <border>
      <left style="thin">
        <color indexed="64"/>
      </left>
      <right/>
      <top style="medium">
        <color auto="1"/>
      </top>
      <bottom style="thin">
        <color indexed="64"/>
      </bottom>
      <diagonal/>
    </border>
    <border>
      <left/>
      <right/>
      <top style="thin">
        <color rgb="FF29292F"/>
      </top>
      <bottom style="hair">
        <color rgb="FF29292F"/>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style="thin">
        <color indexed="64"/>
      </top>
      <bottom/>
      <diagonal/>
    </border>
    <border>
      <left/>
      <right style="thin">
        <color indexed="64"/>
      </right>
      <top style="thin">
        <color indexed="64"/>
      </top>
      <bottom/>
      <diagonal/>
    </border>
    <border>
      <left style="thin">
        <color theme="1" tint="0.499984740745262"/>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right/>
      <top style="hair">
        <color rgb="FF000000"/>
      </top>
      <bottom style="hair">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thin">
        <color rgb="FF000000"/>
      </right>
      <top style="medium">
        <color rgb="FF000000"/>
      </top>
      <bottom style="double">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thin">
        <color rgb="FF000000"/>
      </left>
      <right style="thin">
        <color rgb="FF000000"/>
      </right>
      <top style="medium">
        <color rgb="FF000000"/>
      </top>
      <bottom style="hair">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style="medium">
        <color rgb="FF000000"/>
      </bottom>
      <diagonal/>
    </border>
    <border>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hair">
        <color rgb="FF7F7F7F"/>
      </left>
      <right/>
      <top style="hair">
        <color rgb="FF7F7F7F"/>
      </top>
      <bottom style="hair">
        <color rgb="FF7F7F7F"/>
      </bottom>
      <diagonal/>
    </border>
    <border>
      <left/>
      <right style="hair">
        <color rgb="FF7F7F7F"/>
      </right>
      <top style="hair">
        <color rgb="FF7F7F7F"/>
      </top>
      <bottom style="hair">
        <color rgb="FF7F7F7F"/>
      </bottom>
      <diagonal/>
    </border>
    <border>
      <left style="hair">
        <color rgb="FF7F7F7F"/>
      </left>
      <right style="hair">
        <color rgb="FF7F7F7F"/>
      </right>
      <top style="hair">
        <color rgb="FF7F7F7F"/>
      </top>
      <bottom/>
      <diagonal/>
    </border>
    <border>
      <left style="hair">
        <color rgb="FF7F7F7F"/>
      </left>
      <right/>
      <top style="hair">
        <color rgb="FF7F7F7F"/>
      </top>
      <bottom/>
      <diagonal/>
    </border>
    <border>
      <left/>
      <right style="hair">
        <color rgb="FF7F7F7F"/>
      </right>
      <top style="hair">
        <color rgb="FF7F7F7F"/>
      </top>
      <bottom/>
      <diagonal/>
    </border>
    <border>
      <left/>
      <right/>
      <top style="hair">
        <color rgb="FF7F7F7F"/>
      </top>
      <bottom style="hair">
        <color rgb="FF7F7F7F"/>
      </bottom>
      <diagonal/>
    </border>
    <border>
      <left style="hair">
        <color rgb="FF7F7F7F"/>
      </left>
      <right style="hair">
        <color rgb="FF7F7F7F"/>
      </right>
      <top/>
      <bottom style="hair">
        <color rgb="FF7F7F7F"/>
      </bottom>
      <diagonal/>
    </border>
    <border>
      <left/>
      <right style="hair">
        <color rgb="FF7F7F7F"/>
      </right>
      <top/>
      <bottom style="hair">
        <color rgb="FF7F7F7F"/>
      </bottom>
      <diagonal/>
    </border>
    <border>
      <left style="medium">
        <color indexed="64"/>
      </left>
      <right/>
      <top style="medium">
        <color indexed="64"/>
      </top>
      <bottom/>
      <diagonal/>
    </border>
    <border>
      <left/>
      <right/>
      <top style="medium">
        <color indexed="64"/>
      </top>
      <bottom style="thin">
        <color rgb="FF29292F"/>
      </bottom>
      <diagonal/>
    </border>
    <border>
      <left/>
      <right style="medium">
        <color indexed="64"/>
      </right>
      <top style="medium">
        <color indexed="64"/>
      </top>
      <bottom style="thin">
        <color rgb="FF29292F"/>
      </bottom>
      <diagonal/>
    </border>
    <border>
      <left style="medium">
        <color indexed="64"/>
      </left>
      <right/>
      <top style="thin">
        <color rgb="FF29292F"/>
      </top>
      <bottom style="hair">
        <color rgb="FF29292F"/>
      </bottom>
      <diagonal/>
    </border>
    <border>
      <left style="medium">
        <color indexed="64"/>
      </left>
      <right/>
      <top style="hair">
        <color rgb="FF29292F"/>
      </top>
      <bottom style="hair">
        <color rgb="FF29292F"/>
      </bottom>
      <diagonal/>
    </border>
    <border>
      <left/>
      <right style="medium">
        <color indexed="64"/>
      </right>
      <top style="hair">
        <color rgb="FF29292F"/>
      </top>
      <bottom style="hair">
        <color rgb="FF29292F"/>
      </bottom>
      <diagonal/>
    </border>
    <border>
      <left style="medium">
        <color indexed="64"/>
      </left>
      <right/>
      <top style="hair">
        <color rgb="FF29292F"/>
      </top>
      <bottom style="medium">
        <color indexed="64"/>
      </bottom>
      <diagonal/>
    </border>
    <border>
      <left/>
      <right style="medium">
        <color indexed="64"/>
      </right>
      <top style="hair">
        <color rgb="FF29292F"/>
      </top>
      <bottom style="medium">
        <color indexed="64"/>
      </bottom>
      <diagonal/>
    </border>
    <border>
      <left style="thin">
        <color rgb="FF000000"/>
      </left>
      <right style="thin">
        <color indexed="64"/>
      </right>
      <top style="thin">
        <color indexed="64"/>
      </top>
      <bottom style="thin">
        <color indexed="64"/>
      </bottom>
      <diagonal/>
    </border>
    <border>
      <left/>
      <right style="medium">
        <color indexed="64"/>
      </right>
      <top style="medium">
        <color indexed="64"/>
      </top>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style="medium">
        <color indexed="64"/>
      </right>
      <top style="hair">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medium">
        <color indexed="64"/>
      </left>
      <right/>
      <top style="medium">
        <color rgb="FF000000"/>
      </top>
      <bottom style="medium">
        <color indexed="64"/>
      </bottom>
      <diagonal/>
    </border>
    <border>
      <left/>
      <right/>
      <top style="medium">
        <color rgb="FF000000"/>
      </top>
      <bottom style="medium">
        <color indexed="64"/>
      </bottom>
      <diagonal/>
    </border>
    <border>
      <left/>
      <right style="medium">
        <color indexed="64"/>
      </right>
      <top style="medium">
        <color rgb="FF000000"/>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rgb="FF000000"/>
      </bottom>
      <diagonal/>
    </border>
    <border>
      <left style="thin">
        <color rgb="FF000000"/>
      </left>
      <right style="medium">
        <color rgb="FF000000"/>
      </right>
      <top style="medium">
        <color rgb="FF000000"/>
      </top>
      <bottom/>
      <diagonal/>
    </border>
    <border>
      <left style="thin">
        <color rgb="FF000000"/>
      </left>
      <right style="thin">
        <color rgb="FF000000"/>
      </right>
      <top style="hair">
        <color rgb="FF000000"/>
      </top>
      <bottom style="medium">
        <color rgb="FF000000"/>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hair">
        <color rgb="FF000000"/>
      </bottom>
      <diagonal/>
    </border>
    <border>
      <left style="thin">
        <color rgb="FF000000"/>
      </left>
      <right style="medium">
        <color indexed="64"/>
      </right>
      <top style="thin">
        <color rgb="FF000000"/>
      </top>
      <bottom style="hair">
        <color rgb="FF000000"/>
      </bottom>
      <diagonal/>
    </border>
    <border>
      <left style="medium">
        <color indexed="64"/>
      </left>
      <right style="thin">
        <color rgb="FF000000"/>
      </right>
      <top style="hair">
        <color rgb="FF000000"/>
      </top>
      <bottom style="hair">
        <color indexed="64"/>
      </bottom>
      <diagonal/>
    </border>
    <border>
      <left style="thin">
        <color rgb="FF000000"/>
      </left>
      <right style="medium">
        <color indexed="64"/>
      </right>
      <top style="hair">
        <color rgb="FF000000"/>
      </top>
      <bottom style="hair">
        <color indexed="64"/>
      </bottom>
      <diagonal/>
    </border>
    <border>
      <left style="medium">
        <color indexed="64"/>
      </left>
      <right style="thin">
        <color rgb="FF000000"/>
      </right>
      <top/>
      <bottom style="hair">
        <color rgb="FF000000"/>
      </bottom>
      <diagonal/>
    </border>
    <border>
      <left style="thin">
        <color rgb="FF000000"/>
      </left>
      <right style="medium">
        <color indexed="64"/>
      </right>
      <top/>
      <bottom style="hair">
        <color rgb="FF000000"/>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thin">
        <color rgb="FF000000"/>
      </right>
      <top style="hair">
        <color rgb="FF000000"/>
      </top>
      <bottom style="medium">
        <color rgb="FF000000"/>
      </bottom>
      <diagonal/>
    </border>
    <border>
      <left style="thin">
        <color rgb="FF000000"/>
      </left>
      <right style="medium">
        <color indexed="64"/>
      </right>
      <top style="hair">
        <color rgb="FF000000"/>
      </top>
      <bottom style="medium">
        <color rgb="FF000000"/>
      </bottom>
      <diagonal/>
    </border>
    <border>
      <left style="thin">
        <color indexed="64"/>
      </left>
      <right/>
      <top/>
      <bottom style="medium">
        <color rgb="FF000000"/>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rgb="FF29292F"/>
      </left>
      <right/>
      <top style="medium">
        <color indexed="64"/>
      </top>
      <bottom style="hair">
        <color rgb="FF29292F"/>
      </bottom>
      <diagonal/>
    </border>
    <border>
      <left/>
      <right/>
      <top style="medium">
        <color indexed="64"/>
      </top>
      <bottom style="hair">
        <color rgb="FF29292F"/>
      </bottom>
      <diagonal/>
    </border>
    <border>
      <left/>
      <right style="medium">
        <color indexed="64"/>
      </right>
      <top style="medium">
        <color indexed="64"/>
      </top>
      <bottom style="hair">
        <color rgb="FF29292F"/>
      </bottom>
      <diagonal/>
    </border>
    <border>
      <left style="thin">
        <color rgb="FF29292F"/>
      </left>
      <right/>
      <top style="hair">
        <color rgb="FF29292F"/>
      </top>
      <bottom style="hair">
        <color rgb="FF29292F"/>
      </bottom>
      <diagonal/>
    </border>
    <border>
      <left style="thin">
        <color rgb="FF29292F"/>
      </left>
      <right/>
      <top style="hair">
        <color rgb="FF29292F"/>
      </top>
      <bottom style="medium">
        <color auto="1"/>
      </bottom>
      <diagonal/>
    </border>
    <border>
      <left style="medium">
        <color indexed="64"/>
      </left>
      <right style="thin">
        <color indexed="64"/>
      </right>
      <top style="medium">
        <color auto="1"/>
      </top>
      <bottom/>
      <diagonal/>
    </border>
    <border>
      <left/>
      <right style="thin">
        <color indexed="64"/>
      </right>
      <top style="medium">
        <color auto="1"/>
      </top>
      <bottom/>
      <diagonal/>
    </border>
    <border>
      <left style="medium">
        <color indexed="64"/>
      </left>
      <right style="hair">
        <color indexed="64"/>
      </right>
      <top style="double">
        <color indexed="64"/>
      </top>
      <bottom style="hair">
        <color indexed="64"/>
      </bottom>
      <diagonal/>
    </border>
    <border>
      <left style="hair">
        <color indexed="64"/>
      </left>
      <right style="hair">
        <color indexed="64"/>
      </right>
      <top style="double">
        <color indexed="64"/>
      </top>
      <bottom style="hair">
        <color indexed="64"/>
      </bottom>
      <diagonal/>
    </border>
    <border>
      <left style="hair">
        <color indexed="64"/>
      </left>
      <right style="medium">
        <color indexed="64"/>
      </right>
      <top style="double">
        <color indexed="64"/>
      </top>
      <bottom style="hair">
        <color indexed="64"/>
      </bottom>
      <diagonal/>
    </border>
    <border>
      <left style="medium">
        <color indexed="64"/>
      </left>
      <right style="hair">
        <color indexed="64"/>
      </right>
      <top style="hair">
        <color indexed="64"/>
      </top>
      <bottom style="double">
        <color indexed="64"/>
      </bottom>
      <diagonal/>
    </border>
    <border>
      <left style="hair">
        <color indexed="64"/>
      </left>
      <right style="hair">
        <color indexed="64"/>
      </right>
      <top style="hair">
        <color indexed="64"/>
      </top>
      <bottom style="double">
        <color indexed="64"/>
      </bottom>
      <diagonal/>
    </border>
    <border>
      <left style="hair">
        <color indexed="64"/>
      </left>
      <right style="medium">
        <color indexed="64"/>
      </right>
      <top style="hair">
        <color indexed="64"/>
      </top>
      <bottom style="double">
        <color indexed="64"/>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indexed="64"/>
      </left>
      <right style="thin">
        <color indexed="64"/>
      </right>
      <top/>
      <bottom style="thin">
        <color indexed="64"/>
      </bottom>
      <diagonal/>
    </border>
    <border>
      <left/>
      <right style="thin">
        <color theme="2" tint="-0.09997863704336681"/>
      </right>
      <top/>
      <bottom/>
      <diagonal/>
    </border>
    <border>
      <left style="thin">
        <color theme="2" tint="-0.09997863704336681"/>
      </left>
      <right/>
      <top/>
      <bottom/>
      <diagonal/>
    </border>
    <border>
      <left/>
      <right style="thin">
        <color theme="0" tint="-0.0499893185216834"/>
      </right>
      <top/>
      <bottom style="thin">
        <color theme="0" tint="-0.0499893185216834"/>
      </bottom>
      <diagonal/>
    </border>
    <border>
      <left style="thin">
        <color theme="0" tint="-0.0499893185216834"/>
      </left>
      <right/>
      <top/>
      <bottom style="thin">
        <color theme="0" tint="-0.0499893185216834"/>
      </bottom>
      <diagonal/>
    </border>
    <border>
      <left style="thin">
        <color theme="2" tint="-0.09997863704336681"/>
      </left>
      <right/>
      <top style="thin">
        <color theme="2" tint="-0.09997863704336681"/>
      </top>
      <bottom style="thin">
        <color theme="2" tint="-0.09997863704336681"/>
      </bottom>
      <diagonal/>
    </border>
    <border>
      <left style="thin">
        <color theme="2" tint="-0.09997863704336681"/>
      </left>
      <right style="thin">
        <color theme="2" tint="-0.09997863704336681"/>
      </right>
      <top style="thin">
        <color theme="2" tint="-0.09997863704336681"/>
      </top>
      <bottom style="thin">
        <color theme="2" tint="-0.09997863704336681"/>
      </bottom>
      <diagonal/>
    </border>
    <border>
      <left/>
      <right style="thin">
        <color theme="0" tint="-0.0499893185216834"/>
      </right>
      <top/>
      <bottom/>
      <diagonal/>
    </border>
    <border>
      <left style="thin">
        <color theme="0" tint="-0.0499893185216834"/>
      </left>
      <right/>
      <top/>
      <bottom/>
      <diagonal/>
    </border>
    <border>
      <left/>
      <right style="thin">
        <color theme="0" tint="-0.0499893185216834"/>
      </right>
      <top style="thin">
        <color theme="0" tint="-0.0499893185216834"/>
      </top>
      <bottom/>
      <diagonal/>
    </border>
    <border>
      <left style="thin">
        <color theme="0" tint="-0.0499893185216834"/>
      </left>
      <right/>
      <top style="thin">
        <color theme="0" tint="-0.0499893185216834"/>
      </top>
      <bottom/>
      <diagonal/>
    </border>
    <border>
      <left/>
      <right style="thin">
        <color theme="0" tint="-0.0499893185216834"/>
      </right>
      <top style="thin">
        <color theme="0" tint="-0.0499893185216834"/>
      </top>
      <bottom style="thin">
        <color theme="0" tint="-0.0499893185216834"/>
      </bottom>
      <diagonal/>
    </border>
    <border>
      <left style="thin">
        <color theme="0" tint="-0.0499893185216834"/>
      </left>
      <right/>
      <top style="thin">
        <color theme="0" tint="-0.0499893185216834"/>
      </top>
      <bottom style="thin">
        <color theme="0" tint="-0.0499893185216834"/>
      </bottom>
      <diagonal/>
    </border>
    <border>
      <left style="thin">
        <color rgb="FF29292F"/>
      </left>
      <right/>
      <top style="thin">
        <color rgb="FF29292F"/>
      </top>
      <bottom style="hair">
        <color rgb="FF29292F"/>
      </bottom>
      <diagonal/>
    </border>
    <border>
      <left style="thin">
        <color rgb="FF29292F"/>
      </left>
      <right/>
      <top style="medium">
        <color rgb="FF1851D6"/>
      </top>
      <bottom/>
      <diagonal/>
    </border>
    <border>
      <left/>
      <right/>
      <top style="medium">
        <color rgb="FF1851D6"/>
      </top>
      <bottom/>
      <diagonal/>
    </border>
    <border>
      <left style="hair">
        <color indexed="64"/>
      </left>
      <right/>
      <top/>
      <bottom style="hair">
        <color indexed="64"/>
      </bottom>
      <diagonal/>
    </border>
    <border>
      <left style="hair">
        <color indexed="64"/>
      </left>
      <right style="hair">
        <color indexed="64"/>
      </right>
      <top/>
      <bottom/>
      <diagonal/>
    </border>
    <border>
      <left style="hair">
        <color indexed="64"/>
      </left>
      <right/>
      <top/>
      <bottom/>
      <diagonal/>
    </border>
    <border>
      <left style="thin">
        <color auto="1"/>
      </left>
      <right style="hair">
        <color indexed="64"/>
      </right>
      <top/>
      <bottom/>
      <diagonal/>
    </border>
    <border>
      <left/>
      <right style="hair">
        <color indexed="64"/>
      </right>
      <top/>
      <bottom/>
      <diagonal/>
    </border>
    <border>
      <left style="hair">
        <color indexed="64"/>
      </left>
      <right style="thin">
        <color theme="0" tint="-0.499984740745262"/>
      </right>
      <top/>
      <bottom style="hair">
        <color indexed="64"/>
      </bottom>
      <diagonal/>
    </border>
    <border>
      <left style="hair">
        <color auto="1"/>
      </left>
      <right/>
      <top style="hair">
        <color auto="1"/>
      </top>
      <bottom style="hair">
        <color auto="1"/>
      </bottom>
      <diagonal/>
    </border>
    <border>
      <left/>
      <right style="hair">
        <color indexed="64"/>
      </right>
      <top/>
      <bottom style="double">
        <color indexed="64"/>
      </bottom>
      <diagonal/>
    </border>
    <border>
      <left/>
      <right/>
      <top/>
      <bottom style="double">
        <color indexed="64"/>
      </bottom>
      <diagonal/>
    </border>
    <border>
      <left/>
      <right/>
      <top style="double">
        <color auto="1"/>
      </top>
      <bottom/>
      <diagonal/>
    </border>
    <border>
      <left style="thin">
        <color rgb="FF29292F"/>
      </left>
      <right/>
      <top style="thin">
        <color theme="0"/>
      </top>
      <bottom/>
      <diagonal/>
    </border>
    <border>
      <left/>
      <right/>
      <top style="thin">
        <color theme="0"/>
      </top>
      <bottom/>
      <diagonal/>
    </border>
    <border>
      <left style="thin">
        <color auto="1"/>
      </left>
      <right style="hair">
        <color indexed="64"/>
      </right>
      <top/>
      <bottom style="double">
        <color auto="1"/>
      </bottom>
      <diagonal/>
    </border>
    <border>
      <left/>
      <right/>
      <top/>
      <bottom style="hair">
        <color indexed="64"/>
      </bottom>
      <diagonal/>
    </border>
    <border>
      <left style="hair">
        <color indexed="64"/>
      </left>
      <right style="hair">
        <color indexed="64"/>
      </right>
      <top/>
      <bottom style="double">
        <color auto="1"/>
      </bottom>
      <diagonal/>
    </border>
    <border>
      <left style="thin">
        <color rgb="FF29292F"/>
      </left>
      <right style="thin">
        <color rgb="FF29292F"/>
      </right>
      <top style="thin">
        <color rgb="FF29292F"/>
      </top>
      <bottom/>
      <diagonal/>
    </border>
    <border>
      <left/>
      <right style="thin">
        <color indexed="64"/>
      </right>
      <top style="thin">
        <color rgb="FF29292F"/>
      </top>
      <bottom style="hair">
        <color rgb="FF29292F"/>
      </bottom>
      <diagonal/>
    </border>
    <border>
      <left style="thin">
        <color rgb="FF29292F"/>
      </left>
      <right style="thin">
        <color rgb="FF29292F"/>
      </right>
      <top/>
      <bottom/>
      <diagonal/>
    </border>
    <border>
      <left/>
      <right style="thin">
        <color indexed="64"/>
      </right>
      <top style="hair">
        <color rgb="FF29292F"/>
      </top>
      <bottom style="hair">
        <color rgb="FF29292F"/>
      </bottom>
      <diagonal/>
    </border>
    <border>
      <left style="thin">
        <color rgb="FF29292F"/>
      </left>
      <right style="thin">
        <color rgb="FF29292F"/>
      </right>
      <top/>
      <bottom style="medium">
        <color rgb="FF29292F"/>
      </bottom>
      <diagonal/>
    </border>
    <border>
      <left style="thin">
        <color rgb="FF29292F"/>
      </left>
      <right/>
      <top style="hair">
        <color rgb="FF29292F"/>
      </top>
      <bottom style="medium">
        <color rgb="FF29292F"/>
      </bottom>
      <diagonal/>
    </border>
    <border>
      <left/>
      <right/>
      <top style="hair">
        <color rgb="FF29292F"/>
      </top>
      <bottom style="medium">
        <color rgb="FF29292F"/>
      </bottom>
      <diagonal/>
    </border>
    <border>
      <left/>
      <right style="thin">
        <color indexed="64"/>
      </right>
      <top style="hair">
        <color rgb="FF29292F"/>
      </top>
      <bottom style="medium">
        <color rgb="FF29292F"/>
      </bottom>
      <diagonal/>
    </border>
    <border>
      <left/>
      <right style="thin">
        <color rgb="FF29292F"/>
      </right>
      <top style="medium">
        <color rgb="FF29292F"/>
      </top>
      <bottom style="thin">
        <color rgb="FF29292F"/>
      </bottom>
      <diagonal/>
    </border>
    <border>
      <left style="thin">
        <color rgb="FF29292F"/>
      </left>
      <right style="thin">
        <color rgb="FF29292F"/>
      </right>
      <top style="medium">
        <color rgb="FF29292F"/>
      </top>
      <bottom style="thin">
        <color rgb="FF29292F"/>
      </bottom>
      <diagonal/>
    </border>
    <border>
      <left style="thin">
        <color rgb="FF29292F"/>
      </left>
      <right/>
      <top style="medium">
        <color rgb="FF29292F"/>
      </top>
      <bottom style="thin">
        <color rgb="FF29292F"/>
      </bottom>
      <diagonal/>
    </border>
    <border>
      <left/>
      <right style="thin">
        <color rgb="FF29292F"/>
      </right>
      <top style="thin">
        <color rgb="FF29292F"/>
      </top>
      <bottom style="medium">
        <color rgb="FF1851D6"/>
      </bottom>
      <diagonal/>
    </border>
    <border>
      <left style="thin">
        <color rgb="FF29292F"/>
      </left>
      <right style="thin">
        <color rgb="FF29292F"/>
      </right>
      <top style="thin">
        <color rgb="FF29292F"/>
      </top>
      <bottom style="medium">
        <color rgb="FF1851D6"/>
      </bottom>
      <diagonal/>
    </border>
    <border>
      <left style="thin">
        <color rgb="FF29292F"/>
      </left>
      <right/>
      <top style="thin">
        <color rgb="FF29292F"/>
      </top>
      <bottom style="medium">
        <color rgb="FF1851D6"/>
      </bottom>
      <diagonal/>
    </border>
    <border>
      <left style="thin">
        <color rgb="FF29292F"/>
      </left>
      <right/>
      <top style="medium">
        <color rgb="FF1851D6"/>
      </top>
      <bottom style="hair">
        <color indexed="64"/>
      </bottom>
      <diagonal/>
    </border>
    <border>
      <left/>
      <right/>
      <top style="medium">
        <color rgb="FF1851D6"/>
      </top>
      <bottom style="hair">
        <color indexed="64"/>
      </bottom>
      <diagonal/>
    </border>
    <border>
      <left style="medium">
        <color indexed="64"/>
      </left>
      <right style="medium">
        <color indexed="64"/>
      </right>
      <top style="medium">
        <color indexed="64"/>
      </top>
      <bottom style="thin">
        <color theme="0"/>
      </bottom>
      <diagonal/>
    </border>
    <border>
      <left style="medium">
        <color indexed="64"/>
      </left>
      <right style="medium">
        <color indexed="64"/>
      </right>
      <top style="thin">
        <color theme="0"/>
      </top>
      <bottom style="thin">
        <color theme="0"/>
      </bottom>
      <diagonal/>
    </border>
    <border>
      <left style="medium">
        <color indexed="64"/>
      </left>
      <right style="medium">
        <color indexed="64"/>
      </right>
      <top style="thin">
        <color theme="0"/>
      </top>
      <bottom style="medium">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diagonal/>
    </border>
    <border>
      <left style="medium">
        <color indexed="64"/>
      </left>
      <right/>
      <top style="medium">
        <color indexed="64"/>
      </top>
      <bottom style="thin">
        <color rgb="FF29292F"/>
      </bottom>
      <diagonal/>
    </border>
    <border>
      <left style="medium">
        <color indexed="64"/>
      </left>
      <right style="thin">
        <color rgb="FF000000"/>
      </right>
      <top style="medium">
        <color rgb="FF000000"/>
      </top>
      <bottom style="thin">
        <color rgb="FF000000"/>
      </bottom>
      <diagonal/>
    </border>
    <border>
      <left/>
      <right style="medium">
        <color indexed="64"/>
      </right>
      <top style="medium">
        <color rgb="FF000000"/>
      </top>
      <bottom style="thin">
        <color rgb="FF000000"/>
      </bottom>
      <diagonal/>
    </border>
    <border>
      <left style="medium">
        <color indexed="64"/>
      </left>
      <right style="thin">
        <color rgb="FF000000"/>
      </right>
      <top style="thin">
        <color rgb="FF000000"/>
      </top>
      <bottom style="thin">
        <color rgb="FF000000"/>
      </bottom>
      <diagonal/>
    </border>
    <border>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style="thin">
        <color auto="1"/>
      </left>
      <right style="thin">
        <color auto="1"/>
      </right>
      <top style="hair">
        <color auto="1"/>
      </top>
      <bottom style="thin">
        <color auto="1"/>
      </bottom>
      <diagonal/>
    </border>
    <border>
      <left style="thin">
        <color indexed="64"/>
      </left>
      <right style="thin">
        <color indexed="64"/>
      </right>
      <top/>
      <bottom style="hair">
        <color indexed="64"/>
      </bottom>
      <diagonal/>
    </border>
    <border>
      <left style="thin">
        <color auto="1"/>
      </left>
      <right style="thin">
        <color auto="1"/>
      </right>
      <top style="medium">
        <color rgb="FF1851D6"/>
      </top>
      <bottom style="medium">
        <color rgb="FF1851D6"/>
      </bottom>
      <diagonal/>
    </border>
    <border>
      <left style="thin">
        <color auto="1"/>
      </left>
      <right/>
      <top style="medium">
        <color rgb="FF1851D6"/>
      </top>
      <bottom style="medium">
        <color rgb="FF1851D6"/>
      </bottom>
      <diagonal/>
    </border>
    <border>
      <left/>
      <right/>
      <top style="medium">
        <color rgb="FF1851D6"/>
      </top>
      <bottom style="medium">
        <color rgb="FF1851D6"/>
      </bottom>
      <diagonal/>
    </border>
    <border>
      <left/>
      <right style="thin">
        <color auto="1"/>
      </right>
      <top style="medium">
        <color rgb="FF1851D6"/>
      </top>
      <bottom style="medium">
        <color rgb="FF1851D6"/>
      </bottom>
      <diagonal/>
    </border>
    <border>
      <left style="medium">
        <color indexed="64"/>
      </left>
      <right style="thin">
        <color indexed="64"/>
      </right>
      <top style="double">
        <color indexed="64"/>
      </top>
      <bottom/>
      <diagonal/>
    </border>
    <border>
      <left style="thin">
        <color indexed="64"/>
      </left>
      <right style="thin">
        <color indexed="64"/>
      </right>
      <top style="double">
        <color indexed="64"/>
      </top>
      <bottom/>
      <diagonal/>
    </border>
    <border>
      <left style="thin">
        <color indexed="64"/>
      </left>
      <right/>
      <top style="double">
        <color indexed="64"/>
      </top>
      <bottom/>
      <diagonal/>
    </border>
    <border>
      <left/>
      <right style="medium">
        <color indexed="64"/>
      </right>
      <top style="medium">
        <color indexed="64"/>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hair">
        <color rgb="FF000000"/>
      </right>
      <top/>
      <bottom style="hair">
        <color rgb="FF000000"/>
      </bottom>
      <diagonal/>
    </border>
    <border>
      <left style="hair">
        <color rgb="FF000000"/>
      </left>
      <right style="medium">
        <color indexed="64"/>
      </right>
      <top/>
      <bottom style="hair">
        <color rgb="FF000000"/>
      </bottom>
      <diagonal/>
    </border>
    <border>
      <left style="medium">
        <color indexed="64"/>
      </left>
      <right style="hair">
        <color rgb="FF000000"/>
      </right>
      <top style="hair">
        <color rgb="FF000000"/>
      </top>
      <bottom style="hair">
        <color rgb="FF000000"/>
      </bottom>
      <diagonal/>
    </border>
    <border>
      <left style="hair">
        <color rgb="FF000000"/>
      </left>
      <right style="medium">
        <color indexed="64"/>
      </right>
      <top style="hair">
        <color rgb="FF000000"/>
      </top>
      <bottom style="hair">
        <color rgb="FF000000"/>
      </bottom>
      <diagonal/>
    </border>
    <border>
      <left style="medium">
        <color indexed="64"/>
      </left>
      <right style="hair">
        <color rgb="FF000000"/>
      </right>
      <top style="hair">
        <color rgb="FF000000"/>
      </top>
      <bottom style="double">
        <color indexed="64"/>
      </bottom>
      <diagonal/>
    </border>
    <border>
      <left style="hair">
        <color rgb="FF000000"/>
      </left>
      <right style="hair">
        <color rgb="FF000000"/>
      </right>
      <top style="hair">
        <color rgb="FF000000"/>
      </top>
      <bottom style="double">
        <color indexed="64"/>
      </bottom>
      <diagonal/>
    </border>
    <border>
      <left style="hair">
        <color rgb="FF000000"/>
      </left>
      <right style="medium">
        <color indexed="64"/>
      </right>
      <top style="hair">
        <color rgb="FF000000"/>
      </top>
      <bottom style="double">
        <color indexed="64"/>
      </bottom>
      <diagonal/>
    </border>
    <border>
      <left style="medium">
        <color indexed="64"/>
      </left>
      <right style="hair">
        <color rgb="FF000000"/>
      </right>
      <top style="hair">
        <color rgb="FF000000"/>
      </top>
      <bottom/>
      <diagonal/>
    </border>
    <border>
      <left style="hair">
        <color rgb="FF000000"/>
      </left>
      <right style="medium">
        <color indexed="64"/>
      </right>
      <top style="hair">
        <color rgb="FF000000"/>
      </top>
      <bottom/>
      <diagonal/>
    </border>
    <border>
      <left style="medium">
        <color indexed="64"/>
      </left>
      <right style="hair">
        <color rgb="FF000000"/>
      </right>
      <top/>
      <bottom/>
      <diagonal/>
    </border>
    <border>
      <left style="hair">
        <color rgb="FF000000"/>
      </left>
      <right style="hair">
        <color rgb="FF000000"/>
      </right>
      <top/>
      <bottom/>
      <diagonal/>
    </border>
    <border>
      <left style="hair">
        <color rgb="FF000000"/>
      </left>
      <right style="medium">
        <color indexed="64"/>
      </right>
      <top/>
      <bottom/>
      <diagonal/>
    </border>
    <border>
      <left style="medium">
        <color indexed="64"/>
      </left>
      <right style="hair">
        <color rgb="FF000000"/>
      </right>
      <top style="hair">
        <color rgb="FF000000"/>
      </top>
      <bottom style="medium">
        <color indexed="64"/>
      </bottom>
      <diagonal/>
    </border>
    <border>
      <left style="hair">
        <color rgb="FF000000"/>
      </left>
      <right style="hair">
        <color rgb="FF000000"/>
      </right>
      <top style="hair">
        <color rgb="FF000000"/>
      </top>
      <bottom style="medium">
        <color indexed="64"/>
      </bottom>
      <diagonal/>
    </border>
    <border>
      <left style="hair">
        <color rgb="FF000000"/>
      </left>
      <right style="medium">
        <color indexed="64"/>
      </right>
      <top style="hair">
        <color rgb="FF000000"/>
      </top>
      <bottom style="medium">
        <color indexed="64"/>
      </bottom>
      <diagonal/>
    </border>
    <border>
      <left style="thin">
        <color rgb="FF000000"/>
      </left>
      <right/>
      <top style="thin">
        <color rgb="FF29292F"/>
      </top>
      <bottom style="thin">
        <color rgb="FF29292F"/>
      </bottom>
      <diagonal/>
    </border>
    <border>
      <left style="thin">
        <color rgb="FF000000"/>
      </left>
      <right/>
      <top style="thin">
        <color rgb="FF29292F"/>
      </top>
      <bottom style="thin">
        <color rgb="FF000000"/>
      </bottom>
      <diagonal/>
    </border>
    <border>
      <left/>
      <right/>
      <top style="thin">
        <color rgb="FF29292F"/>
      </top>
      <bottom style="thin">
        <color rgb="FF000000"/>
      </bottom>
      <diagonal/>
    </border>
    <border>
      <left/>
      <right style="thin">
        <color rgb="FF000000"/>
      </right>
      <top style="thin">
        <color rgb="FF29292F"/>
      </top>
      <bottom style="thin">
        <color rgb="FF000000"/>
      </bottom>
      <diagonal/>
    </border>
    <border>
      <left/>
      <right/>
      <top style="thin">
        <color rgb="FF7F7F7F"/>
      </top>
      <bottom style="thin">
        <color rgb="FF262626"/>
      </bottom>
      <diagonal/>
    </border>
    <border>
      <left/>
      <right style="thin">
        <color rgb="FF262626"/>
      </right>
      <top style="thin">
        <color rgb="FF7F7F7F"/>
      </top>
      <bottom style="thin">
        <color rgb="FF262626"/>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indexed="64"/>
      </left>
      <right style="thin">
        <color rgb="FF000000"/>
      </right>
      <top style="hair">
        <color rgb="FF000000"/>
      </top>
      <bottom style="hair">
        <color rgb="FF000000"/>
      </bottom>
      <diagonal/>
    </border>
    <border>
      <left style="thin">
        <color rgb="FF000000"/>
      </left>
      <right style="thin">
        <color indexed="64"/>
      </right>
      <top style="hair">
        <color rgb="FF000000"/>
      </top>
      <bottom style="hair">
        <color rgb="FF000000"/>
      </bottom>
      <diagonal/>
    </border>
    <border>
      <left style="thin">
        <color indexed="64"/>
      </left>
      <right/>
      <top style="hair">
        <color rgb="FF000000"/>
      </top>
      <bottom style="hair">
        <color rgb="FF000000"/>
      </bottom>
      <diagonal/>
    </border>
    <border>
      <left/>
      <right style="thin">
        <color indexed="64"/>
      </right>
      <top style="hair">
        <color rgb="FF000000"/>
      </top>
      <bottom style="hair">
        <color rgb="FF000000"/>
      </bottom>
      <diagonal/>
    </border>
    <border>
      <left style="thin">
        <color indexed="64"/>
      </left>
      <right style="medium">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style="thin">
        <color indexed="64"/>
      </right>
      <top style="hair">
        <color indexed="64"/>
      </top>
      <bottom/>
      <diagonal/>
    </border>
    <border>
      <left style="thin">
        <color indexed="64"/>
      </left>
      <right/>
      <top style="hair">
        <color indexed="64"/>
      </top>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medium">
        <color indexed="64"/>
      </top>
      <bottom style="hair">
        <color indexed="64"/>
      </bottom>
      <diagonal/>
    </border>
    <border>
      <left style="thin">
        <color indexed="64"/>
      </left>
      <right/>
      <top style="thin">
        <color rgb="FF29292F"/>
      </top>
      <bottom style="thin">
        <color rgb="FF29292F"/>
      </bottom>
      <diagonal/>
    </border>
    <border>
      <left style="thin">
        <color indexed="64"/>
      </left>
      <right/>
      <top style="thin">
        <color rgb="FF29292F"/>
      </top>
      <bottom style="thin">
        <color indexed="64"/>
      </bottom>
      <diagonal/>
    </border>
    <border>
      <left/>
      <right/>
      <top style="thin">
        <color rgb="FF29292F"/>
      </top>
      <bottom style="thin">
        <color indexed="64"/>
      </bottom>
      <diagonal/>
    </border>
    <border>
      <left style="thin">
        <color rgb="FF29292F"/>
      </left>
      <right/>
      <top/>
      <bottom style="thin">
        <color rgb="FF29292F"/>
      </bottom>
      <diagonal/>
    </border>
    <border>
      <left style="thin">
        <color theme="2" tint="-0.499984740745262"/>
      </left>
      <right style="thin">
        <color theme="2" tint="-0.499984740745262"/>
      </right>
      <top/>
      <bottom/>
      <diagonal/>
    </border>
    <border>
      <left/>
      <right/>
      <top style="hair">
        <color indexed="64"/>
      </top>
      <bottom style="hair">
        <color indexed="64"/>
      </bottom>
      <diagonal/>
    </border>
    <border>
      <left style="thin">
        <color rgb="FF000000"/>
      </left>
      <right/>
      <top style="thin">
        <color rgb="FF7F7F7F"/>
      </top>
      <bottom style="thin">
        <color rgb="FF7F7F7F"/>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hair">
        <color indexed="64"/>
      </left>
      <right/>
      <top style="hair">
        <color indexed="64"/>
      </top>
      <bottom style="double">
        <color indexed="64"/>
      </bottom>
      <diagonal/>
    </border>
    <border>
      <left style="medium">
        <color indexed="64"/>
      </left>
      <right style="hair">
        <color indexed="64"/>
      </right>
      <top style="double">
        <color auto="1"/>
      </top>
      <bottom style="double">
        <color indexed="64"/>
      </bottom>
      <diagonal/>
    </border>
    <border>
      <left style="hair">
        <color indexed="64"/>
      </left>
      <right style="hair">
        <color indexed="64"/>
      </right>
      <top style="double">
        <color indexed="64"/>
      </top>
      <bottom style="double">
        <color indexed="64"/>
      </bottom>
      <diagonal/>
    </border>
    <border>
      <left style="hair">
        <color indexed="64"/>
      </left>
      <right style="thin">
        <color indexed="64"/>
      </right>
      <top style="double">
        <color indexed="64"/>
      </top>
      <bottom style="double">
        <color indexed="64"/>
      </bottom>
      <diagonal/>
    </border>
    <border>
      <left/>
      <right style="hair">
        <color indexed="64"/>
      </right>
      <top style="double">
        <color indexed="64"/>
      </top>
      <bottom style="double">
        <color indexed="64"/>
      </bottom>
      <diagonal/>
    </border>
    <border>
      <left style="hair">
        <color indexed="64"/>
      </left>
      <right style="medium">
        <color indexed="64"/>
      </right>
      <top style="double">
        <color auto="1"/>
      </top>
      <bottom style="double">
        <color indexed="64"/>
      </bottom>
      <diagonal/>
    </border>
    <border>
      <left style="medium">
        <color indexed="64"/>
      </left>
      <right style="hair">
        <color indexed="64"/>
      </right>
      <top/>
      <bottom style="double">
        <color indexed="64"/>
      </bottom>
      <diagonal/>
    </border>
    <border>
      <left style="hair">
        <color indexed="64"/>
      </left>
      <right/>
      <top/>
      <bottom style="double">
        <color indexed="64"/>
      </bottom>
      <diagonal/>
    </border>
    <border>
      <left style="hair">
        <color indexed="64"/>
      </left>
      <right style="medium">
        <color indexed="64"/>
      </right>
      <top/>
      <bottom style="double">
        <color indexed="64"/>
      </bottom>
      <diagonal/>
    </border>
    <border>
      <left style="hair">
        <color indexed="64"/>
      </left>
      <right style="thin">
        <color indexed="64"/>
      </right>
      <top/>
      <bottom style="double">
        <color indexed="64"/>
      </bottom>
      <diagonal/>
    </border>
    <border>
      <left style="hair">
        <color indexed="64"/>
      </left>
      <right/>
      <top style="double">
        <color auto="1"/>
      </top>
      <bottom style="double">
        <color indexed="64"/>
      </bottom>
      <diagonal/>
    </border>
    <border>
      <left style="hair">
        <color indexed="64"/>
      </left>
      <right style="medium">
        <color indexed="64"/>
      </right>
      <top/>
      <bottom/>
      <diagonal/>
    </border>
    <border>
      <left style="hair">
        <color indexed="64"/>
      </left>
      <right/>
      <top style="double">
        <color indexed="64"/>
      </top>
      <bottom style="hair">
        <color indexed="64"/>
      </bottom>
      <diagonal/>
    </border>
    <border>
      <left style="hair">
        <color indexed="64"/>
      </left>
      <right/>
      <top style="hair">
        <color indexed="64"/>
      </top>
      <bottom/>
      <diagonal/>
    </border>
    <border>
      <left style="medium">
        <color indexed="64"/>
      </left>
      <right style="hair">
        <color indexed="64"/>
      </right>
      <top/>
      <bottom style="medium">
        <color indexed="64"/>
      </bottom>
      <diagonal/>
    </border>
    <border>
      <left style="hair">
        <color indexed="64"/>
      </left>
      <right style="hair">
        <color indexed="64"/>
      </right>
      <top/>
      <bottom style="medium">
        <color indexed="64"/>
      </bottom>
      <diagonal/>
    </border>
    <border>
      <left style="hair">
        <color indexed="64"/>
      </left>
      <right style="thin">
        <color indexed="64"/>
      </right>
      <top style="double">
        <color indexed="64"/>
      </top>
      <bottom style="medium">
        <color indexed="64"/>
      </bottom>
      <diagonal/>
    </border>
    <border>
      <left/>
      <right style="hair">
        <color indexed="64"/>
      </right>
      <top/>
      <bottom style="medium">
        <color indexed="64"/>
      </bottom>
      <diagonal/>
    </border>
    <border>
      <left style="hair">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rgb="FF29292F"/>
      </top>
      <bottom style="thin">
        <color rgb="FF29292F"/>
      </bottom>
      <diagonal/>
    </border>
    <border>
      <left/>
      <right/>
      <top/>
      <bottom style="thin">
        <color rgb="FF29292F"/>
      </bottom>
      <diagonal/>
    </border>
    <border>
      <left/>
      <right style="thin">
        <color indexed="64"/>
      </right>
      <top style="thin">
        <color rgb="FF29292F"/>
      </top>
      <bottom style="thin">
        <color indexed="64"/>
      </bottom>
      <diagonal/>
    </border>
    <border>
      <left style="thin">
        <color indexed="64"/>
      </left>
      <right style="thin">
        <color indexed="64"/>
      </right>
      <top style="medium">
        <color indexed="64"/>
      </top>
      <bottom/>
      <diagonal/>
    </border>
    <border>
      <left/>
      <right style="thin">
        <color indexed="64"/>
      </right>
      <top style="hair">
        <color indexed="64"/>
      </top>
      <bottom style="hair">
        <color indexed="64"/>
      </bottom>
      <diagonal/>
    </border>
    <border>
      <left style="thin">
        <color indexed="64"/>
      </left>
      <right style="thin">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thin">
        <color indexed="64"/>
      </left>
      <right style="thin">
        <color indexed="64"/>
      </right>
      <top style="double">
        <color indexed="64"/>
      </top>
      <bottom style="hair">
        <color indexed="64"/>
      </bottom>
      <diagonal/>
    </border>
    <border>
      <left style="thin">
        <color indexed="64"/>
      </left>
      <right/>
      <top style="double">
        <color indexed="64"/>
      </top>
      <bottom style="hair">
        <color indexed="64"/>
      </bottom>
      <diagonal/>
    </border>
    <border>
      <left/>
      <right/>
      <top style="double">
        <color indexed="64"/>
      </top>
      <bottom style="hair">
        <color indexed="64"/>
      </bottom>
      <diagonal/>
    </border>
    <border>
      <left/>
      <right style="thin">
        <color indexed="64"/>
      </right>
      <top style="double">
        <color indexed="64"/>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style="thin">
        <color indexed="64"/>
      </right>
      <top style="thin">
        <color indexed="64"/>
      </top>
      <bottom style="hair">
        <color indexed="64"/>
      </bottom>
      <diagonal/>
    </border>
    <border>
      <left style="medium">
        <color indexed="64"/>
      </left>
      <right style="medium">
        <color indexed="64"/>
      </right>
      <top style="medium">
        <color indexed="64"/>
      </top>
      <bottom/>
      <diagonal/>
    </border>
    <border>
      <left style="thin">
        <color indexed="64"/>
      </left>
      <right/>
      <top style="medium">
        <color indexed="64"/>
      </top>
      <bottom/>
      <diagonal/>
    </border>
    <border>
      <left style="thin">
        <color rgb="FFDDDDDD"/>
      </left>
      <right/>
      <top/>
      <bottom style="thin">
        <color rgb="FFDDDDDD"/>
      </bottom>
      <diagonal/>
    </border>
    <border>
      <left/>
      <right/>
      <top/>
      <bottom style="thin">
        <color rgb="FFDDDDDD"/>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DDDDDD"/>
      </left>
      <right/>
      <top style="thin">
        <color rgb="FFDDDDDD"/>
      </top>
      <bottom style="thin">
        <color rgb="FFDDDDDD"/>
      </bottom>
      <diagonal/>
    </border>
    <border>
      <left/>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style="thin">
        <color rgb="FFDDDDDD"/>
      </right>
      <top style="thin">
        <color rgb="FFDDDDDD"/>
      </top>
      <bottom style="thin">
        <color rgb="FFDDDDDD"/>
      </bottom>
      <diagonal/>
    </border>
    <border>
      <left/>
      <right/>
      <top style="thin">
        <color rgb="FFDDDDDD"/>
      </top>
      <bottom/>
      <diagonal/>
    </border>
    <border>
      <left style="medium">
        <color indexed="64"/>
      </left>
      <right/>
      <top style="hair">
        <color indexed="64"/>
      </top>
      <bottom style="hair">
        <color indexed="64"/>
      </bottom>
      <diagonal/>
    </border>
    <border>
      <left style="thin">
        <color indexed="64"/>
      </left>
      <right style="thin">
        <color indexed="64"/>
      </right>
      <top style="hair">
        <color indexed="64"/>
      </top>
      <bottom style="double">
        <color indexed="64"/>
      </bottom>
      <diagonal/>
    </border>
    <border>
      <left/>
      <right/>
      <top style="thin">
        <color theme="1" tint="0.499984740745262"/>
      </top>
      <bottom style="double">
        <color indexed="64"/>
      </bottom>
      <diagonal/>
    </border>
    <border>
      <left style="thin">
        <color indexed="64"/>
      </left>
      <right style="medium">
        <color indexed="64"/>
      </right>
      <top style="hair">
        <color indexed="64"/>
      </top>
      <bottom style="double">
        <color indexed="64"/>
      </bottom>
      <diagonal/>
    </border>
    <border>
      <left/>
      <right/>
      <top/>
      <bottom style="thin">
        <color theme="1" tint="0.499984740745262"/>
      </bottom>
      <diagonal/>
    </border>
    <border>
      <left style="thin">
        <color indexed="64"/>
      </left>
      <right style="medium">
        <color indexed="64"/>
      </right>
      <top/>
      <bottom style="hair">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theme="4"/>
      </bottom>
      <diagonal/>
    </border>
    <border>
      <left/>
      <right/>
      <top/>
      <bottom style="thin">
        <color theme="4"/>
      </bottom>
      <diagonal/>
    </border>
    <border>
      <left/>
      <right style="medium">
        <color indexed="64"/>
      </right>
      <top/>
      <bottom style="thin">
        <color theme="4"/>
      </bottom>
      <diagonal/>
    </border>
    <border>
      <left/>
      <right/>
      <top style="thin">
        <color theme="4"/>
      </top>
      <bottom/>
      <diagonal/>
    </border>
    <border>
      <left style="medium">
        <color indexed="64"/>
      </left>
      <right style="hair">
        <color theme="2" tint="-0.499984740745262"/>
      </right>
      <top style="hair">
        <color theme="2" tint="-0.499984740745262"/>
      </top>
      <bottom style="hair">
        <color theme="2" tint="-0.499984740745262"/>
      </bottom>
      <diagonal/>
    </border>
    <border>
      <left style="hair">
        <color theme="2" tint="-0.499984740745262"/>
      </left>
      <right style="hair">
        <color theme="2" tint="-0.499984740745262"/>
      </right>
      <top style="hair">
        <color theme="2" tint="-0.499984740745262"/>
      </top>
      <bottom style="hair">
        <color theme="2" tint="-0.499984740745262"/>
      </bottom>
      <diagonal/>
    </border>
    <border>
      <left style="hair">
        <color theme="2" tint="-0.499984740745262"/>
      </left>
      <right style="medium">
        <color indexed="64"/>
      </right>
      <top style="hair">
        <color theme="2" tint="-0.499984740745262"/>
      </top>
      <bottom style="hair">
        <color theme="2" tint="-0.499984740745262"/>
      </bottom>
      <diagonal/>
    </border>
    <border>
      <left style="medium">
        <color indexed="64"/>
      </left>
      <right style="hair">
        <color theme="2" tint="-0.499984740745262"/>
      </right>
      <top style="hair">
        <color theme="2" tint="-0.499984740745262"/>
      </top>
      <bottom style="medium">
        <color indexed="64"/>
      </bottom>
      <diagonal/>
    </border>
    <border>
      <left style="hair">
        <color theme="2" tint="-0.499984740745262"/>
      </left>
      <right style="hair">
        <color theme="2" tint="-0.499984740745262"/>
      </right>
      <top style="hair">
        <color theme="2" tint="-0.499984740745262"/>
      </top>
      <bottom style="medium">
        <color indexed="64"/>
      </bottom>
      <diagonal/>
    </border>
    <border>
      <left style="hair">
        <color theme="2" tint="-0.499984740745262"/>
      </left>
      <right style="medium">
        <color indexed="64"/>
      </right>
      <top style="hair">
        <color theme="2" tint="-0.499984740745262"/>
      </top>
      <bottom style="medium">
        <color indexed="64"/>
      </bottom>
      <diagonal/>
    </border>
    <border>
      <left style="medium">
        <color indexed="64"/>
      </left>
      <right style="medium">
        <color indexed="64"/>
      </right>
      <top/>
      <bottom style="thin">
        <color theme="4"/>
      </bottom>
      <diagonal/>
    </border>
    <border>
      <left style="thin">
        <color rgb="FFD9D9D9"/>
      </left>
      <right style="thin">
        <color rgb="FFD9D9D9"/>
      </right>
      <top style="thin">
        <color rgb="FFD9D9D9"/>
      </top>
      <bottom style="thin">
        <color rgb="FFD9D9D9"/>
      </bottom>
      <diagonal/>
    </border>
    <border>
      <left style="thin">
        <color rgb="FF7F7F7F"/>
      </left>
      <right style="thin">
        <color rgb="FF262626"/>
      </right>
      <top style="thin">
        <color rgb="FF7F7F7F"/>
      </top>
      <bottom style="thin">
        <color rgb="FF262626"/>
      </bottom>
      <diagonal/>
    </border>
    <border>
      <left/>
      <right/>
      <top style="medium">
        <color rgb="FF2F5496"/>
      </top>
      <bottom/>
      <diagonal/>
    </border>
    <border>
      <left style="thin">
        <color rgb="FFB0C4DE"/>
      </left>
      <right style="medium">
        <color rgb="FF2F5496"/>
      </right>
      <top style="medium">
        <color rgb="FF2F5496"/>
      </top>
      <bottom/>
      <diagonal/>
    </border>
    <border>
      <left style="thin">
        <color rgb="FFB0C4DE"/>
      </left>
      <right style="medium">
        <color rgb="FF2F5496"/>
      </right>
      <top/>
      <bottom/>
      <diagonal/>
    </border>
    <border>
      <left style="medium">
        <color rgb="FF2F5496"/>
      </left>
      <right/>
      <top style="medium">
        <color rgb="FF2F5496"/>
      </top>
      <bottom/>
      <diagonal/>
    </border>
    <border>
      <left style="medium">
        <color rgb="FF2F5496"/>
      </left>
      <right/>
      <top/>
      <bottom/>
      <diagonal/>
    </border>
    <border>
      <left/>
      <right/>
      <top/>
      <bottom style="medium">
        <color rgb="FF2F5496"/>
      </bottom>
      <diagonal/>
    </border>
    <border>
      <left style="medium">
        <color rgb="FF2F5496"/>
      </left>
      <right/>
      <top style="hair">
        <color rgb="FFDCE6F1"/>
      </top>
      <bottom style="hair">
        <color rgb="FFDCE6F1"/>
      </bottom>
      <diagonal/>
    </border>
    <border>
      <left/>
      <right/>
      <top style="hair">
        <color rgb="FFDCE6F1"/>
      </top>
      <bottom style="hair">
        <color rgb="FFDCE6F1"/>
      </bottom>
      <diagonal/>
    </border>
    <border>
      <left style="thin">
        <color rgb="FFB0C4DE"/>
      </left>
      <right style="medium">
        <color rgb="FF2F5496"/>
      </right>
      <top style="hair">
        <color rgb="FFDCE6F1"/>
      </top>
      <bottom style="hair">
        <color rgb="FFDCE6F1"/>
      </bottom>
      <diagonal/>
    </border>
    <border>
      <left style="medium">
        <color rgb="FF2F5496"/>
      </left>
      <right/>
      <top style="hair">
        <color rgb="FFDCE6F1"/>
      </top>
      <bottom/>
      <diagonal/>
    </border>
    <border>
      <left/>
      <right/>
      <top style="hair">
        <color rgb="FFDCE6F1"/>
      </top>
      <bottom/>
      <diagonal/>
    </border>
    <border>
      <left style="thin">
        <color rgb="FFB0C4DE"/>
      </left>
      <right style="medium">
        <color rgb="FF2F5496"/>
      </right>
      <top style="hair">
        <color rgb="FFDCE6F1"/>
      </top>
      <bottom/>
      <diagonal/>
    </border>
    <border>
      <left style="thin">
        <color rgb="FFCCCCCC"/>
      </left>
      <right style="thin">
        <color rgb="FFCCCCCC"/>
      </right>
      <top style="thin">
        <color rgb="FFCCCCCC"/>
      </top>
      <bottom style="thin">
        <color rgb="FFCCCCCC"/>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2" tint="-0.499984740745262"/>
      </left>
      <right/>
      <top style="thin">
        <color theme="2" tint="-0.499984740745262"/>
      </top>
      <bottom style="thin">
        <color theme="2" tint="-0.499984740745262"/>
      </bottom>
      <diagonal/>
    </border>
    <border>
      <left/>
      <right/>
      <top style="thin">
        <color theme="2" tint="-0.499984740745262"/>
      </top>
      <bottom style="thin">
        <color theme="2" tint="-0.499984740745262"/>
      </bottom>
      <diagonal/>
    </border>
    <border>
      <left/>
      <right style="thin">
        <color theme="2" tint="-0.499984740745262"/>
      </right>
      <top style="thin">
        <color theme="2" tint="-0.499984740745262"/>
      </top>
      <bottom style="thin">
        <color theme="2" tint="-0.499984740745262"/>
      </bottom>
      <diagonal/>
    </border>
    <border>
      <left/>
      <right/>
      <top style="thin">
        <color indexed="64"/>
      </top>
      <bottom style="thin">
        <color theme="2" tint="-0.499984740745262"/>
      </bottom>
      <diagonal/>
    </border>
    <border>
      <left style="thin">
        <color theme="2" tint="-0.499984740745262"/>
      </left>
      <right/>
      <top style="thin">
        <color indexed="64"/>
      </top>
      <bottom style="thin">
        <color theme="2" tint="-0.499984740745262"/>
      </bottom>
      <diagonal/>
    </border>
    <border>
      <left style="thin">
        <color theme="2" tint="-0.249977111117893"/>
      </left>
      <right style="thin">
        <color theme="2" tint="-0.249977111117893"/>
      </right>
      <top style="thin">
        <color theme="2" tint="-0.249977111117893"/>
      </top>
      <bottom style="thin">
        <color theme="2" tint="-0.249977111117893"/>
      </bottom>
      <diagonal/>
    </border>
    <border>
      <left/>
      <right/>
      <top/>
      <bottom style="thin">
        <color theme="2" tint="-0.249977111117893"/>
      </bottom>
      <diagonal/>
    </border>
    <border>
      <left style="thin">
        <color indexed="64"/>
      </left>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top/>
      <bottom style="thin">
        <color theme="2" tint="-0.249977111117893"/>
      </bottom>
      <diagonal/>
    </border>
    <border>
      <left/>
      <right/>
      <top style="thin">
        <color theme="2" tint="-0.09997863704336681"/>
      </top>
      <bottom style="thin">
        <color theme="2" tint="-0.09997863704336681"/>
      </bottom>
      <diagonal/>
    </border>
    <border>
      <left/>
      <right style="thin">
        <color theme="2" tint="-0.249977111117893"/>
      </right>
      <top/>
      <bottom/>
      <diagonal/>
    </border>
    <border>
      <left style="thin">
        <color theme="2" tint="-0.249977111117893"/>
      </left>
      <right/>
      <top/>
      <bottom/>
      <diagonal/>
    </border>
    <border>
      <left/>
      <right style="thin">
        <color theme="2" tint="-0.249977111117893"/>
      </right>
      <top style="thin">
        <color theme="2" tint="-0.249977111117893"/>
      </top>
      <bottom/>
      <diagonal/>
    </border>
    <border>
      <left style="thin">
        <color theme="2" tint="-0.249977111117893"/>
      </left>
      <right/>
      <top style="thin">
        <color theme="2" tint="-0.249977111117893"/>
      </top>
      <bottom/>
      <diagonal/>
    </border>
    <border>
      <left/>
      <right style="thin">
        <color theme="0" tint="-0.499984740745262"/>
      </right>
      <top style="thin">
        <color theme="0" tint="-0.499984740745262"/>
      </top>
      <bottom style="thin">
        <color theme="2" tint="-0.499984740745262"/>
      </bottom>
      <diagonal/>
    </border>
    <border>
      <left style="thin">
        <color theme="0" tint="-0.499984740745262"/>
      </left>
      <right style="thin">
        <color theme="2" tint="-0.499984740745262"/>
      </right>
      <top style="thin">
        <color theme="0" tint="-0.499984740745262"/>
      </top>
      <bottom style="thin">
        <color theme="2" tint="-0.499984740745262"/>
      </bottom>
      <diagonal/>
    </border>
    <border>
      <left style="thin">
        <color theme="0" tint="-0.499984740745262"/>
      </left>
      <right/>
      <top style="thin">
        <color theme="0" tint="-0.499984740745262"/>
      </top>
      <bottom style="thin">
        <color theme="2" tint="-0.499984740745262"/>
      </bottom>
      <diagonal/>
    </border>
    <border>
      <left style="thin">
        <color theme="2" tint="-0.499984740745262"/>
      </left>
      <right style="thin">
        <color theme="0" tint="-0.499984740745262"/>
      </right>
      <top style="thin">
        <color theme="2" tint="-0.499984740745262"/>
      </top>
      <bottom style="thin">
        <color theme="0" tint="-0.499984740745262"/>
      </bottom>
      <diagonal/>
    </border>
    <border>
      <left style="thin">
        <color theme="2" tint="-0.499984740745262"/>
      </left>
      <right style="thin">
        <color theme="2" tint="-0.499984740745262"/>
      </right>
      <top style="thin">
        <color theme="2" tint="-0.499984740745262"/>
      </top>
      <bottom style="thin">
        <color theme="0" tint="-0.499984740745262"/>
      </bottom>
      <diagonal/>
    </border>
    <border>
      <left style="thin">
        <color theme="0" tint="-0.499984740745262"/>
      </left>
      <right style="thin">
        <color theme="2" tint="-0.499984740745262"/>
      </right>
      <top style="thin">
        <color theme="2"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indexed="64"/>
      </left>
      <right style="thin">
        <color theme="0" tint="-0.499984740745262"/>
      </right>
      <top style="thin">
        <color indexed="64"/>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style="thin">
        <color theme="0" tint="-0.499984740745262"/>
      </bottom>
      <diagonal/>
    </border>
    <border>
      <left/>
      <right/>
      <top/>
      <bottom style="thin">
        <color theme="0" tint="-0.499984740745262"/>
      </bottom>
      <diagonal/>
    </border>
    <border>
      <left style="thin">
        <color theme="2" tint="-0.249977111117893"/>
      </left>
      <right/>
      <top/>
      <bottom style="thin">
        <color theme="0" tint="-0.499984740745262"/>
      </bottom>
      <diagonal/>
    </border>
    <border>
      <left style="thin">
        <color theme="0" tint="-0.499984740745262"/>
      </left>
      <right style="thin">
        <color theme="2" tint="-0.249977111117893"/>
      </right>
      <top style="thin">
        <color theme="2" tint="-0.249977111117893"/>
      </top>
      <bottom style="thin">
        <color theme="0" tint="-0.499984740745262"/>
      </bottom>
      <diagonal/>
    </border>
    <border>
      <left/>
      <right style="thin">
        <color theme="0" tint="-0.499984740745262"/>
      </right>
      <top/>
      <bottom/>
      <diagonal/>
    </border>
    <border>
      <left style="thin">
        <color theme="0" tint="-0.499984740745262"/>
      </left>
      <right/>
      <top/>
      <bottom/>
      <diagonal/>
    </border>
    <border>
      <left style="thin">
        <color theme="0" tint="-0.499984740745262"/>
      </left>
      <right style="thin">
        <color theme="2" tint="-0.249977111117893"/>
      </right>
      <top style="thin">
        <color theme="2" tint="-0.249977111117893"/>
      </top>
      <bottom style="thin">
        <color theme="2" tint="-0.249977111117893"/>
      </bottom>
      <diagonal/>
    </border>
    <border>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right/>
      <top style="thin">
        <color theme="0" tint="-0.499984740745262"/>
      </top>
      <bottom/>
      <diagonal/>
    </border>
    <border>
      <left/>
      <right/>
      <top style="thin">
        <color theme="2" tint="-0.09997863704336681"/>
      </top>
      <bottom/>
      <diagonal/>
    </border>
    <border>
      <left/>
      <right/>
      <top style="thin">
        <color theme="2" tint="-0.249977111117893"/>
      </top>
      <bottom/>
      <diagonal/>
    </border>
    <border>
      <left/>
      <right style="thin">
        <color theme="2" tint="-0.249977111117893"/>
      </right>
      <top style="thin">
        <color theme="2" tint="-0.249977111117893"/>
      </top>
      <bottom style="thin">
        <color theme="2" tint="-0.249977111117893"/>
      </bottom>
      <diagonal/>
    </border>
    <border>
      <left style="thin">
        <color theme="0" tint="-0.499984740745262"/>
      </left>
      <right style="thin">
        <color theme="0" tint="-0.499984740745262"/>
      </right>
      <top style="thin">
        <color theme="0" tint="-0.499984740745262"/>
      </top>
      <bottom/>
      <diagonal/>
    </border>
    <border>
      <left/>
      <right/>
      <top style="medium">
        <color indexed="64"/>
      </top>
      <bottom/>
      <diagonal/>
    </border>
    <border>
      <left style="medium">
        <color rgb="FF000000"/>
      </left>
      <right style="thin">
        <color rgb="FF000000"/>
      </right>
      <top style="medium">
        <color rgb="FF000000"/>
      </top>
      <bottom style="double">
        <color rgb="FF000000"/>
      </bottom>
      <diagonal/>
    </border>
    <border>
      <left/>
      <right style="thin">
        <color rgb="FF000000"/>
      </right>
      <top style="medium">
        <color rgb="FF000000"/>
      </top>
      <bottom/>
      <diagonal/>
    </border>
    <border>
      <left style="medium">
        <color rgb="FF000000"/>
      </left>
      <right style="thin">
        <color rgb="FF000000"/>
      </right>
      <top style="medium">
        <color rgb="FF000000"/>
      </top>
      <bottom style="medium">
        <color rgb="FF000000"/>
      </bottom>
      <diagonal/>
    </border>
    <border>
      <left/>
      <right/>
      <top style="hair">
        <color rgb="FF7F7F7F"/>
      </top>
      <bottom/>
      <diagonal/>
    </border>
    <border>
      <left style="medium">
        <color indexed="64"/>
      </left>
      <right style="medium">
        <color indexed="64"/>
      </right>
      <top style="medium">
        <color rgb="FF000000"/>
      </top>
      <bottom style="medium">
        <color indexed="64"/>
      </bottom>
      <diagonal/>
    </border>
    <border>
      <left/>
      <right style="medium">
        <color indexed="64"/>
      </right>
      <top style="medium">
        <color rgb="FF000000"/>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hair">
        <color indexed="64"/>
      </left>
      <right style="hair">
        <color indexed="64"/>
      </right>
      <top style="hair">
        <color indexed="64"/>
      </top>
      <bottom style="double">
        <color auto="1"/>
      </bottom>
      <diagonal/>
    </border>
    <border>
      <left/>
      <right style="thin">
        <color rgb="FF29292F"/>
      </right>
      <top/>
      <bottom/>
      <diagonal/>
    </border>
    <border>
      <left/>
      <right style="thin">
        <color rgb="FF29292F"/>
      </right>
      <top/>
      <bottom style="thin">
        <color rgb="FF29292F"/>
      </bottom>
      <diagonal/>
    </border>
    <border>
      <left style="thin">
        <color rgb="FF29292F"/>
      </left>
      <right style="thin">
        <color rgb="FF29292F"/>
      </right>
      <top/>
      <bottom style="thin">
        <color rgb="FF29292F"/>
      </bottom>
      <diagonal/>
    </border>
    <border>
      <left/>
      <right/>
      <top style="medium">
        <color rgb="FF29292F"/>
      </top>
      <bottom/>
      <diagonal/>
    </border>
    <border>
      <left/>
      <right style="thin">
        <color rgb="FF29292F"/>
      </right>
      <top style="medium">
        <color rgb="FF29292F"/>
      </top>
      <bottom/>
      <diagonal/>
    </border>
    <border>
      <left style="thin">
        <color indexed="64"/>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theme="2" tint="-0.09997863704336681"/>
      </left>
      <right style="thin">
        <color theme="2" tint="-0.09997863704336681"/>
      </right>
      <top/>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135">
    <xf numFmtId="0" fontId="162" fillId="0" borderId="72"/>
    <xf numFmtId="43" fontId="28" fillId="0" borderId="72"/>
    <xf numFmtId="171" fontId="121" fillId="0" borderId="72"/>
    <xf numFmtId="0" fontId="121" fillId="0" borderId="72"/>
    <xf numFmtId="44" fontId="84" fillId="0" borderId="72"/>
    <xf numFmtId="0" fontId="121" fillId="0" borderId="72"/>
    <xf numFmtId="9" fontId="121" fillId="0" borderId="72"/>
    <xf numFmtId="0" fontId="84" fillId="0" borderId="72"/>
    <xf numFmtId="0" fontId="28" fillId="0" borderId="72"/>
    <xf numFmtId="0" fontId="121" fillId="0" borderId="72"/>
    <xf numFmtId="44" fontId="121" fillId="0" borderId="72"/>
    <xf numFmtId="44" fontId="28" fillId="0" borderId="72"/>
    <xf numFmtId="43" fontId="28" fillId="0" borderId="72"/>
    <xf numFmtId="0" fontId="68" fillId="0" borderId="72"/>
    <xf numFmtId="0" fontId="70" fillId="0" borderId="72"/>
    <xf numFmtId="43" fontId="121" fillId="0" borderId="72"/>
    <xf numFmtId="0" fontId="121" fillId="0" borderId="72"/>
    <xf numFmtId="0" fontId="28" fillId="0" borderId="72"/>
    <xf numFmtId="43" fontId="68" fillId="0" borderId="72"/>
    <xf numFmtId="43" fontId="28" fillId="0" borderId="72"/>
    <xf numFmtId="43" fontId="28" fillId="0" borderId="72"/>
    <xf numFmtId="171" fontId="121" fillId="0" borderId="72"/>
    <xf numFmtId="0" fontId="121" fillId="0" borderId="72"/>
    <xf numFmtId="43" fontId="84" fillId="0" borderId="72"/>
    <xf numFmtId="0" fontId="28" fillId="0" borderId="72"/>
    <xf numFmtId="43" fontId="28" fillId="0" borderId="72"/>
    <xf numFmtId="43" fontId="70" fillId="0" borderId="72"/>
    <xf numFmtId="43" fontId="70" fillId="0" borderId="72"/>
    <xf numFmtId="0" fontId="121" fillId="0" borderId="72"/>
    <xf numFmtId="0" fontId="121" fillId="0" borderId="72"/>
    <xf numFmtId="0" fontId="84" fillId="0" borderId="72"/>
    <xf numFmtId="43" fontId="28" fillId="0" borderId="72"/>
    <xf numFmtId="0" fontId="28" fillId="0" borderId="72"/>
    <xf numFmtId="43" fontId="121" fillId="0" borderId="72"/>
    <xf numFmtId="0" fontId="121" fillId="0" borderId="72"/>
    <xf numFmtId="0" fontId="94" fillId="0" borderId="72"/>
    <xf numFmtId="0" fontId="28" fillId="0" borderId="72"/>
    <xf numFmtId="0" fontId="28" fillId="0" borderId="72"/>
    <xf numFmtId="43" fontId="28" fillId="0" borderId="72"/>
    <xf numFmtId="0" fontId="28" fillId="0" borderId="72"/>
    <xf numFmtId="0" fontId="121" fillId="0" borderId="72"/>
    <xf numFmtId="171" fontId="121" fillId="0" borderId="72"/>
    <xf numFmtId="0" fontId="28" fillId="0" borderId="72"/>
    <xf numFmtId="43" fontId="28" fillId="0" borderId="72"/>
    <xf numFmtId="43" fontId="121" fillId="0" borderId="72"/>
    <xf numFmtId="0" fontId="28" fillId="0" borderId="72"/>
    <xf numFmtId="43" fontId="28" fillId="0" borderId="72"/>
    <xf numFmtId="0" fontId="121" fillId="0" borderId="72"/>
    <xf numFmtId="0" fontId="132" fillId="0" borderId="72"/>
    <xf numFmtId="0" fontId="28" fillId="0" borderId="72"/>
    <xf numFmtId="43" fontId="28" fillId="0" borderId="72"/>
    <xf numFmtId="43" fontId="28" fillId="0" borderId="72"/>
    <xf numFmtId="43" fontId="28" fillId="0" borderId="72"/>
    <xf numFmtId="43" fontId="28" fillId="0" borderId="72"/>
    <xf numFmtId="44" fontId="28" fillId="0" borderId="72"/>
    <xf numFmtId="0" fontId="28" fillId="0" borderId="72"/>
    <xf numFmtId="43" fontId="28" fillId="0" borderId="72"/>
    <xf numFmtId="0" fontId="28" fillId="0" borderId="72"/>
    <xf numFmtId="0" fontId="121" fillId="0" borderId="72"/>
    <xf numFmtId="0" fontId="84" fillId="0" borderId="72"/>
    <xf numFmtId="0" fontId="28" fillId="0" borderId="72"/>
    <xf numFmtId="44" fontId="28" fillId="0" borderId="72"/>
    <xf numFmtId="43" fontId="28" fillId="0" borderId="72"/>
    <xf numFmtId="0" fontId="28" fillId="0" borderId="72"/>
    <xf numFmtId="43" fontId="28" fillId="0" borderId="72"/>
    <xf numFmtId="9" fontId="121" fillId="0" borderId="72"/>
    <xf numFmtId="0" fontId="28" fillId="0" borderId="72"/>
    <xf numFmtId="0" fontId="28" fillId="0" borderId="72"/>
    <xf numFmtId="43" fontId="28" fillId="0" borderId="72"/>
    <xf numFmtId="0" fontId="28" fillId="0" borderId="72"/>
    <xf numFmtId="0" fontId="28" fillId="0" borderId="72"/>
    <xf numFmtId="43" fontId="28" fillId="0" borderId="72"/>
    <xf numFmtId="0" fontId="28" fillId="0" borderId="72"/>
    <xf numFmtId="0" fontId="84" fillId="0" borderId="72"/>
    <xf numFmtId="43" fontId="28" fillId="0" borderId="72"/>
    <xf numFmtId="0" fontId="28" fillId="0" borderId="72"/>
    <xf numFmtId="0" fontId="28" fillId="0" borderId="72"/>
    <xf numFmtId="43" fontId="28" fillId="0" borderId="72"/>
    <xf numFmtId="44" fontId="28" fillId="0" borderId="72"/>
    <xf numFmtId="0" fontId="158" fillId="0" borderId="72"/>
    <xf numFmtId="0" fontId="84" fillId="0" borderId="72"/>
    <xf numFmtId="0" fontId="28" fillId="0" borderId="72"/>
    <xf numFmtId="43" fontId="28" fillId="0" borderId="72"/>
    <xf numFmtId="44" fontId="28" fillId="0" borderId="72"/>
    <xf numFmtId="44" fontId="121" fillId="0" borderId="72"/>
    <xf numFmtId="0" fontId="28" fillId="0" borderId="72"/>
    <xf numFmtId="43" fontId="28" fillId="0" borderId="72"/>
    <xf numFmtId="44" fontId="28" fillId="0" borderId="72"/>
    <xf numFmtId="0" fontId="28" fillId="0" borderId="72"/>
    <xf numFmtId="43" fontId="28" fillId="0" borderId="72"/>
    <xf numFmtId="43" fontId="28" fillId="0" borderId="72"/>
    <xf numFmtId="0" fontId="28" fillId="0" borderId="72"/>
    <xf numFmtId="0" fontId="162" fillId="0" borderId="72"/>
    <xf numFmtId="0" fontId="28" fillId="0" borderId="72"/>
    <xf numFmtId="0" fontId="28" fillId="0" borderId="72"/>
    <xf numFmtId="0" fontId="162" fillId="0" borderId="72"/>
    <xf numFmtId="43" fontId="84" fillId="0" borderId="72"/>
    <xf numFmtId="0" fontId="28" fillId="0" borderId="72"/>
    <xf numFmtId="0" fontId="28" fillId="0" borderId="72"/>
    <xf numFmtId="43" fontId="28" fillId="0" borderId="72"/>
    <xf numFmtId="0" fontId="28" fillId="0" borderId="72"/>
    <xf numFmtId="43" fontId="28" fillId="0" borderId="72"/>
    <xf numFmtId="44" fontId="28" fillId="0" borderId="72"/>
    <xf numFmtId="0" fontId="28" fillId="0" borderId="72"/>
    <xf numFmtId="43" fontId="28" fillId="0" borderId="72"/>
    <xf numFmtId="44" fontId="28" fillId="0" borderId="72"/>
    <xf numFmtId="44" fontId="84" fillId="0" borderId="72"/>
    <xf numFmtId="0" fontId="28" fillId="0" borderId="72"/>
    <xf numFmtId="43" fontId="28" fillId="0" borderId="72"/>
    <xf numFmtId="44" fontId="28" fillId="0" borderId="72"/>
    <xf numFmtId="9" fontId="162" fillId="0" borderId="72"/>
    <xf numFmtId="0" fontId="162" fillId="0" borderId="72"/>
    <xf numFmtId="0" fontId="28" fillId="0" borderId="72"/>
    <xf numFmtId="43" fontId="28" fillId="0" borderId="72"/>
    <xf numFmtId="44" fontId="28" fillId="0" borderId="72"/>
    <xf numFmtId="0" fontId="176" fillId="0" borderId="72"/>
    <xf numFmtId="0" fontId="162" fillId="0" borderId="72"/>
    <xf numFmtId="0" fontId="28" fillId="0" borderId="72"/>
    <xf numFmtId="0" fontId="28" fillId="0" borderId="72"/>
    <xf numFmtId="0" fontId="28" fillId="0" borderId="72"/>
    <xf numFmtId="0" fontId="121" fillId="0" borderId="72"/>
    <xf numFmtId="44" fontId="121" fillId="0" borderId="72"/>
    <xf numFmtId="43" fontId="28" fillId="0" borderId="72"/>
    <xf numFmtId="44" fontId="28" fillId="0" borderId="72"/>
    <xf numFmtId="43" fontId="121" fillId="0" borderId="72"/>
    <xf numFmtId="43" fontId="121" fillId="0" borderId="72"/>
    <xf numFmtId="0" fontId="28" fillId="0" borderId="72"/>
    <xf numFmtId="0" fontId="28" fillId="0" borderId="72"/>
    <xf numFmtId="43" fontId="28" fillId="0" borderId="72"/>
    <xf numFmtId="44" fontId="28" fillId="0" borderId="72"/>
    <xf numFmtId="0" fontId="28" fillId="0" borderId="72"/>
    <xf numFmtId="0" fontId="28" fillId="0" borderId="72"/>
    <xf numFmtId="0" fontId="28" fillId="0" borderId="72"/>
    <xf numFmtId="199" fontId="121" fillId="0" borderId="72"/>
    <xf numFmtId="0" fontId="28" fillId="0" borderId="72"/>
  </cellStyleXfs>
  <cellXfs count="2179">
    <xf numFmtId="0" fontId="0" fillId="0" borderId="0" pivotButton="0" quotePrefix="0" xfId="0"/>
    <xf numFmtId="0" fontId="30" fillId="0" borderId="0" applyAlignment="1" pivotButton="0" quotePrefix="0" xfId="0">
      <alignment vertical="center"/>
    </xf>
    <xf numFmtId="0" fontId="32" fillId="0" borderId="0" applyAlignment="1" pivotButton="0" quotePrefix="0" xfId="0">
      <alignment vertical="center"/>
    </xf>
    <xf numFmtId="0" fontId="32" fillId="0" borderId="0" pivotButton="0" quotePrefix="0" xfId="0"/>
    <xf numFmtId="0" fontId="33" fillId="0" borderId="0" pivotButton="0" quotePrefix="0" xfId="0"/>
    <xf numFmtId="0" fontId="33" fillId="0" borderId="0" applyAlignment="1" pivotButton="0" quotePrefix="0" xfId="0">
      <alignment horizontal="center"/>
    </xf>
    <xf numFmtId="164" fontId="34" fillId="0" borderId="0" applyAlignment="1" pivotButton="0" quotePrefix="0" xfId="0">
      <alignment horizontal="center"/>
    </xf>
    <xf numFmtId="3" fontId="37" fillId="7" borderId="16" applyAlignment="1" pivotButton="0" quotePrefix="0" xfId="0">
      <alignment horizontal="left" vertical="center"/>
    </xf>
    <xf numFmtId="3" fontId="37" fillId="7" borderId="16" applyAlignment="1" pivotButton="0" quotePrefix="0" xfId="0">
      <alignment horizontal="center" vertical="center"/>
    </xf>
    <xf numFmtId="164" fontId="37" fillId="7" borderId="16" applyAlignment="1" pivotButton="0" quotePrefix="0" xfId="0">
      <alignment horizontal="left" vertical="center"/>
    </xf>
    <xf numFmtId="3" fontId="38" fillId="0" borderId="16" applyAlignment="1" pivotButton="0" quotePrefix="0" xfId="0">
      <alignment horizontal="left" vertical="center"/>
    </xf>
    <xf numFmtId="3" fontId="38" fillId="0" borderId="16" applyAlignment="1" pivotButton="0" quotePrefix="0" xfId="0">
      <alignment horizontal="center" vertical="center"/>
    </xf>
    <xf numFmtId="165" fontId="38" fillId="0" borderId="16" applyAlignment="1" pivotButton="0" quotePrefix="0" xfId="0">
      <alignment horizontal="left" vertical="center"/>
    </xf>
    <xf numFmtId="164" fontId="38" fillId="0" borderId="16" applyAlignment="1" pivotButton="0" quotePrefix="0" xfId="0">
      <alignment horizontal="left" vertical="center"/>
    </xf>
    <xf numFmtId="166" fontId="38" fillId="0" borderId="16" applyAlignment="1" pivotButton="0" quotePrefix="0" xfId="0">
      <alignment horizontal="left" vertical="center"/>
    </xf>
    <xf numFmtId="3" fontId="38" fillId="0" borderId="16" applyAlignment="1" pivotButton="0" quotePrefix="0" xfId="0">
      <alignment horizontal="left" vertical="center" wrapText="1"/>
    </xf>
    <xf numFmtId="3" fontId="39" fillId="0" borderId="16" applyAlignment="1" pivotButton="0" quotePrefix="0" xfId="0">
      <alignment horizontal="left" vertical="center"/>
    </xf>
    <xf numFmtId="0" fontId="36" fillId="0" borderId="17" applyAlignment="1" pivotButton="0" quotePrefix="0" xfId="0">
      <alignment vertical="center"/>
    </xf>
    <xf numFmtId="167" fontId="32" fillId="0" borderId="0" applyAlignment="1" pivotButton="0" quotePrefix="0" xfId="0">
      <alignment horizontal="center"/>
    </xf>
    <xf numFmtId="0" fontId="34" fillId="0" borderId="0" pivotButton="0" quotePrefix="0" xfId="0"/>
    <xf numFmtId="49" fontId="34" fillId="0" borderId="29" pivotButton="0" quotePrefix="0" xfId="0"/>
    <xf numFmtId="0" fontId="34" fillId="0" borderId="29" applyAlignment="1" pivotButton="0" quotePrefix="0" xfId="0">
      <alignment horizontal="center" vertical="center"/>
    </xf>
    <xf numFmtId="0" fontId="34" fillId="0" borderId="29" pivotButton="0" quotePrefix="0" xfId="0"/>
    <xf numFmtId="0" fontId="34" fillId="0" borderId="29"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vertical="center"/>
    </xf>
    <xf numFmtId="0" fontId="34" fillId="0" borderId="30" applyAlignment="1" pivotButton="0" quotePrefix="0" xfId="0">
      <alignment vertical="center"/>
    </xf>
    <xf numFmtId="0" fontId="34" fillId="0" borderId="6" applyAlignment="1" pivotButton="0" quotePrefix="0" xfId="0">
      <alignment vertical="center"/>
    </xf>
    <xf numFmtId="0" fontId="41" fillId="0" borderId="6" applyAlignment="1" pivotButton="0" quotePrefix="0" xfId="0">
      <alignment vertical="center"/>
    </xf>
    <xf numFmtId="0" fontId="41" fillId="0" borderId="6" applyAlignment="1" pivotButton="0" quotePrefix="0" xfId="0">
      <alignment horizontal="right" vertical="center"/>
    </xf>
    <xf numFmtId="0" fontId="42" fillId="0" borderId="6" applyAlignment="1" pivotButton="0" quotePrefix="0" xfId="0">
      <alignment horizontal="center" vertical="center"/>
    </xf>
    <xf numFmtId="0" fontId="34" fillId="0" borderId="1" applyAlignment="1" pivotButton="0" quotePrefix="0" xfId="0">
      <alignment vertical="center"/>
    </xf>
    <xf numFmtId="0" fontId="34" fillId="0" borderId="31" applyAlignment="1" pivotButton="0" quotePrefix="0" xfId="0">
      <alignment vertical="center"/>
    </xf>
    <xf numFmtId="0" fontId="34" fillId="0" borderId="7" applyAlignment="1" pivotButton="0" quotePrefix="0" xfId="0">
      <alignment vertical="center"/>
    </xf>
    <xf numFmtId="0" fontId="41" fillId="0" borderId="7" applyAlignment="1" pivotButton="0" quotePrefix="0" xfId="0">
      <alignment vertical="center"/>
    </xf>
    <xf numFmtId="0" fontId="41" fillId="0" borderId="7" applyAlignment="1" pivotButton="0" quotePrefix="0" xfId="0">
      <alignment horizontal="right" vertical="center"/>
    </xf>
    <xf numFmtId="0" fontId="42" fillId="0" borderId="7" applyAlignment="1" pivotButton="0" quotePrefix="0" xfId="0">
      <alignment horizontal="center" vertical="center"/>
    </xf>
    <xf numFmtId="0" fontId="34" fillId="0" borderId="32" applyAlignment="1" pivotButton="0" quotePrefix="0" xfId="0">
      <alignment vertical="center"/>
    </xf>
    <xf numFmtId="0" fontId="43" fillId="0" borderId="33" applyAlignment="1" pivotButton="0" quotePrefix="0" xfId="0">
      <alignment vertical="center"/>
    </xf>
    <xf numFmtId="0" fontId="43" fillId="0" borderId="0" applyAlignment="1" pivotButton="0" quotePrefix="0" xfId="0">
      <alignment vertical="center"/>
    </xf>
    <xf numFmtId="0" fontId="32" fillId="0" borderId="0" applyAlignment="1" pivotButton="0" quotePrefix="0" xfId="0">
      <alignment horizontal="right"/>
    </xf>
    <xf numFmtId="168" fontId="43" fillId="0" borderId="3" applyAlignment="1" pivotButton="0" quotePrefix="1" xfId="0">
      <alignment horizontal="left" vertical="center"/>
    </xf>
    <xf numFmtId="168" fontId="43" fillId="0" borderId="33" applyAlignment="1" pivotButton="0" quotePrefix="1" xfId="0">
      <alignment horizontal="left" vertical="center"/>
    </xf>
    <xf numFmtId="168" fontId="43" fillId="0" borderId="0" applyAlignment="1" pivotButton="0" quotePrefix="0" xfId="0">
      <alignment horizontal="left" vertical="center"/>
    </xf>
    <xf numFmtId="0" fontId="32" fillId="0" borderId="0" applyAlignment="1" pivotButton="0" quotePrefix="0" xfId="0">
      <alignment horizontal="right" vertical="center"/>
    </xf>
    <xf numFmtId="17" fontId="32" fillId="0" borderId="0" applyAlignment="1" pivotButton="0" quotePrefix="0" xfId="0">
      <alignment vertical="center"/>
    </xf>
    <xf numFmtId="168" fontId="32" fillId="0" borderId="3" applyAlignment="1" pivotButton="0" quotePrefix="0" xfId="0">
      <alignment horizontal="left" vertical="center"/>
    </xf>
    <xf numFmtId="0" fontId="44" fillId="0" borderId="0" pivotButton="0" quotePrefix="0" xfId="0"/>
    <xf numFmtId="169" fontId="46" fillId="0" borderId="0" applyAlignment="1" pivotButton="0" quotePrefix="0" xfId="0">
      <alignment horizontal="left" vertical="center"/>
    </xf>
    <xf numFmtId="170" fontId="46" fillId="0" borderId="0" applyAlignment="1" pivotButton="0" quotePrefix="0" xfId="0">
      <alignment horizontal="left" vertical="center"/>
    </xf>
    <xf numFmtId="49" fontId="35" fillId="9" borderId="37" applyAlignment="1" pivotButton="0" quotePrefix="0" xfId="0">
      <alignment horizontal="center" vertical="center" wrapText="1"/>
    </xf>
    <xf numFmtId="49" fontId="35" fillId="9" borderId="37" applyAlignment="1" pivotButton="0" quotePrefix="0" xfId="0">
      <alignment horizontal="center" vertical="center"/>
    </xf>
    <xf numFmtId="49" fontId="47" fillId="9" borderId="37" applyAlignment="1" pivotButton="0" quotePrefix="0" xfId="0">
      <alignment horizontal="center" vertical="center" wrapText="1"/>
    </xf>
    <xf numFmtId="2" fontId="47" fillId="9" borderId="38" applyAlignment="1" pivotButton="0" quotePrefix="0" xfId="0">
      <alignment horizontal="center" vertical="center" wrapText="1"/>
    </xf>
    <xf numFmtId="0" fontId="47" fillId="9" borderId="4" applyAlignment="1" pivotButton="0" quotePrefix="0" xfId="0">
      <alignment horizontal="center" vertical="center" wrapText="1"/>
    </xf>
    <xf numFmtId="0" fontId="47" fillId="9" borderId="39" applyAlignment="1" pivotButton="0" quotePrefix="0" xfId="0">
      <alignment horizontal="center" vertical="center" wrapText="1"/>
    </xf>
    <xf numFmtId="0" fontId="47" fillId="9" borderId="40" applyAlignment="1" pivotButton="0" quotePrefix="0" xfId="0">
      <alignment horizontal="center" vertical="center" wrapText="1"/>
    </xf>
    <xf numFmtId="0" fontId="47" fillId="9" borderId="41" applyAlignment="1" pivotButton="0" quotePrefix="0" xfId="0">
      <alignment horizontal="center" vertical="center" wrapText="1"/>
    </xf>
    <xf numFmtId="4" fontId="36" fillId="0" borderId="17" applyAlignment="1" pivotButton="0" quotePrefix="0" xfId="0">
      <alignment horizontal="left" vertical="center"/>
    </xf>
    <xf numFmtId="49" fontId="49" fillId="0" borderId="0" applyAlignment="1" pivotButton="0" quotePrefix="0" xfId="0">
      <alignment vertical="center"/>
    </xf>
    <xf numFmtId="0" fontId="49" fillId="0" borderId="0" applyAlignment="1" pivotButton="0" quotePrefix="0" xfId="0">
      <alignment horizontal="center" vertical="center"/>
    </xf>
    <xf numFmtId="0" fontId="50" fillId="0" borderId="0" applyAlignment="1" pivotButton="0" quotePrefix="0" xfId="0">
      <alignment horizontal="left" vertical="center"/>
    </xf>
    <xf numFmtId="0" fontId="49" fillId="0" borderId="0" applyAlignment="1" pivotButton="0" quotePrefix="0" xfId="0">
      <alignment vertical="center"/>
    </xf>
    <xf numFmtId="0" fontId="50" fillId="0" borderId="0" applyAlignment="1" pivotButton="0" quotePrefix="0" xfId="0">
      <alignment horizontal="center" vertical="center"/>
    </xf>
    <xf numFmtId="164" fontId="50" fillId="0" borderId="0" applyAlignment="1" pivotButton="0" quotePrefix="0" xfId="0">
      <alignment vertical="center"/>
    </xf>
    <xf numFmtId="164" fontId="38" fillId="14" borderId="16" applyAlignment="1" pivotButton="0" quotePrefix="0" xfId="0">
      <alignment horizontal="left" vertical="center"/>
    </xf>
    <xf numFmtId="0" fontId="69" fillId="0" borderId="72" applyAlignment="1" pivotButton="0" quotePrefix="0" xfId="13">
      <alignment vertical="center"/>
    </xf>
    <xf numFmtId="0" fontId="71" fillId="0" borderId="72" applyAlignment="1" pivotButton="0" quotePrefix="0" xfId="13">
      <alignment vertical="center"/>
    </xf>
    <xf numFmtId="0" fontId="73" fillId="0" borderId="86" applyAlignment="1" pivotButton="0" quotePrefix="0" xfId="16">
      <alignment horizontal="center" vertical="center" wrapText="1"/>
    </xf>
    <xf numFmtId="171" fontId="76" fillId="4" borderId="65" applyAlignment="1" pivotButton="0" quotePrefix="0" xfId="21">
      <alignment horizontal="center" vertical="center" wrapText="1"/>
    </xf>
    <xf numFmtId="171" fontId="76" fillId="4" borderId="102" applyAlignment="1" pivotButton="0" quotePrefix="0" xfId="21">
      <alignment horizontal="center" vertical="center" wrapText="1"/>
    </xf>
    <xf numFmtId="171" fontId="76" fillId="4" borderId="68" applyAlignment="1" pivotButton="0" quotePrefix="0" xfId="21">
      <alignment horizontal="center" vertical="center" wrapText="1"/>
    </xf>
    <xf numFmtId="171" fontId="76" fillId="4" borderId="51" applyAlignment="1" pivotButton="0" quotePrefix="0" xfId="21">
      <alignment horizontal="center" vertical="center" wrapText="1"/>
    </xf>
    <xf numFmtId="164" fontId="38" fillId="18" borderId="16" applyAlignment="1" pivotButton="0" quotePrefix="0" xfId="0">
      <alignment horizontal="left" vertical="center"/>
    </xf>
    <xf numFmtId="0" fontId="69" fillId="0" borderId="110" applyAlignment="1" pivotButton="0" quotePrefix="0" xfId="13">
      <alignment vertical="center"/>
    </xf>
    <xf numFmtId="0" fontId="69" fillId="0" borderId="110" applyAlignment="1" pivotButton="0" quotePrefix="0" xfId="13">
      <alignment horizontal="right" vertical="center"/>
    </xf>
    <xf numFmtId="0" fontId="69" fillId="0" borderId="111" applyAlignment="1" pivotButton="0" quotePrefix="0" xfId="13">
      <alignment vertical="center"/>
    </xf>
    <xf numFmtId="172" fontId="72" fillId="0" borderId="111" applyAlignment="1" pivotButton="0" quotePrefix="1" xfId="15">
      <alignment horizontal="left" vertical="center"/>
    </xf>
    <xf numFmtId="0" fontId="69" fillId="0" borderId="115" applyAlignment="1" pivotButton="0" quotePrefix="0" xfId="13">
      <alignment vertical="center"/>
    </xf>
    <xf numFmtId="0" fontId="74" fillId="3" borderId="80" applyAlignment="1" pivotButton="0" quotePrefix="0" xfId="29">
      <alignment horizontal="center" vertical="center"/>
    </xf>
    <xf numFmtId="0" fontId="74" fillId="3" borderId="73" applyAlignment="1" pivotButton="0" quotePrefix="0" xfId="29">
      <alignment horizontal="center" vertical="center"/>
    </xf>
    <xf numFmtId="0" fontId="74" fillId="3" borderId="81" applyAlignment="1" pivotButton="0" quotePrefix="0" xfId="29">
      <alignment horizontal="center" vertical="center"/>
    </xf>
    <xf numFmtId="3" fontId="89" fillId="0" borderId="118" applyAlignment="1" pivotButton="0" quotePrefix="0" xfId="3">
      <alignment horizontal="left" vertical="center"/>
    </xf>
    <xf numFmtId="3" fontId="89" fillId="0" borderId="118" applyAlignment="1" pivotButton="0" quotePrefix="0" xfId="3">
      <alignment horizontal="center" vertical="center"/>
    </xf>
    <xf numFmtId="173" fontId="89" fillId="0" borderId="118" applyAlignment="1" pivotButton="0" quotePrefix="0" xfId="31">
      <alignment horizontal="left" vertical="center"/>
    </xf>
    <xf numFmtId="0" fontId="24" fillId="0" borderId="72" pivotButton="0" quotePrefix="0" xfId="32"/>
    <xf numFmtId="174" fontId="89" fillId="0" borderId="118" applyAlignment="1" pivotButton="0" quotePrefix="0" xfId="31">
      <alignment horizontal="left" vertical="center"/>
    </xf>
    <xf numFmtId="3" fontId="89" fillId="0" borderId="118" applyAlignment="1" pivotButton="0" quotePrefix="0" xfId="3">
      <alignment horizontal="left" vertical="center" wrapText="1"/>
    </xf>
    <xf numFmtId="174" fontId="89" fillId="0" borderId="118" applyAlignment="1" pivotButton="0" quotePrefix="0" xfId="23">
      <alignment horizontal="left" vertical="center"/>
    </xf>
    <xf numFmtId="3" fontId="89" fillId="0" borderId="118" applyAlignment="1" pivotButton="0" quotePrefix="0" xfId="0">
      <alignment horizontal="left" vertical="center"/>
    </xf>
    <xf numFmtId="174" fontId="89" fillId="0" borderId="118" applyAlignment="1" pivotButton="0" quotePrefix="0" xfId="33">
      <alignment horizontal="left" vertical="center"/>
    </xf>
    <xf numFmtId="2" fontId="37" fillId="7" borderId="16" applyAlignment="1" pivotButton="0" quotePrefix="0" xfId="4">
      <alignment horizontal="left" vertical="center"/>
    </xf>
    <xf numFmtId="2" fontId="38" fillId="0" borderId="16" applyAlignment="1" pivotButton="0" quotePrefix="0" xfId="4">
      <alignment horizontal="left" vertical="center"/>
    </xf>
    <xf numFmtId="2" fontId="89" fillId="0" borderId="118" applyAlignment="1" pivotButton="0" quotePrefix="0" xfId="4">
      <alignment horizontal="left" vertical="center"/>
    </xf>
    <xf numFmtId="0" fontId="31" fillId="0" borderId="72" pivotButton="0" quotePrefix="0" xfId="16"/>
    <xf numFmtId="49" fontId="31" fillId="0" borderId="109" pivotButton="0" quotePrefix="0" xfId="16"/>
    <xf numFmtId="0" fontId="31" fillId="0" borderId="109" applyAlignment="1" pivotButton="0" quotePrefix="0" xfId="16">
      <alignment horizontal="left"/>
    </xf>
    <xf numFmtId="0" fontId="31" fillId="0" borderId="109" applyAlignment="1" pivotButton="0" quotePrefix="0" xfId="16">
      <alignment horizontal="center" vertical="center"/>
    </xf>
    <xf numFmtId="0" fontId="31" fillId="0" borderId="109" pivotButton="0" quotePrefix="0" xfId="16"/>
    <xf numFmtId="0" fontId="31" fillId="0" borderId="109" applyAlignment="1" pivotButton="0" quotePrefix="0" xfId="16">
      <alignment horizontal="right"/>
    </xf>
    <xf numFmtId="0" fontId="31" fillId="0" borderId="72" applyAlignment="1" pivotButton="0" quotePrefix="0" xfId="16">
      <alignment horizontal="center"/>
    </xf>
    <xf numFmtId="0" fontId="31" fillId="0" borderId="72" applyAlignment="1" pivotButton="0" quotePrefix="0" xfId="16">
      <alignment vertical="center"/>
    </xf>
    <xf numFmtId="0" fontId="31" fillId="0" borderId="75" applyAlignment="1" pivotButton="0" quotePrefix="0" xfId="16">
      <alignment vertical="center"/>
    </xf>
    <xf numFmtId="0" fontId="31" fillId="0" borderId="119" applyAlignment="1" pivotButton="0" quotePrefix="0" xfId="16">
      <alignment vertical="center"/>
    </xf>
    <xf numFmtId="0" fontId="31" fillId="0" borderId="119" applyAlignment="1" pivotButton="0" quotePrefix="0" xfId="16">
      <alignment horizontal="left" vertical="center"/>
    </xf>
    <xf numFmtId="0" fontId="90" fillId="0" borderId="119" applyAlignment="1" pivotButton="0" quotePrefix="0" xfId="16">
      <alignment vertical="center"/>
    </xf>
    <xf numFmtId="0" fontId="90" fillId="0" borderId="119" applyAlignment="1" pivotButton="0" quotePrefix="0" xfId="16">
      <alignment horizontal="right" vertical="center"/>
    </xf>
    <xf numFmtId="0" fontId="91" fillId="0" borderId="119" applyAlignment="1" pivotButton="0" quotePrefix="0" xfId="16">
      <alignment horizontal="center" vertical="center"/>
    </xf>
    <xf numFmtId="0" fontId="31" fillId="0" borderId="120" applyAlignment="1" pivotButton="0" quotePrefix="0" xfId="16">
      <alignment vertical="center"/>
    </xf>
    <xf numFmtId="0" fontId="31" fillId="0" borderId="77" applyAlignment="1" pivotButton="0" quotePrefix="0" xfId="16">
      <alignment vertical="center"/>
    </xf>
    <xf numFmtId="0" fontId="31" fillId="0" borderId="78" applyAlignment="1" pivotButton="0" quotePrefix="0" xfId="16">
      <alignment vertical="center"/>
    </xf>
    <xf numFmtId="0" fontId="31" fillId="0" borderId="78" applyAlignment="1" pivotButton="0" quotePrefix="0" xfId="16">
      <alignment horizontal="left" vertical="center"/>
    </xf>
    <xf numFmtId="0" fontId="90" fillId="0" borderId="78" applyAlignment="1" pivotButton="0" quotePrefix="0" xfId="16">
      <alignment vertical="center"/>
    </xf>
    <xf numFmtId="0" fontId="90" fillId="0" borderId="78" applyAlignment="1" pivotButton="0" quotePrefix="0" xfId="16">
      <alignment horizontal="right" vertical="center"/>
    </xf>
    <xf numFmtId="0" fontId="91" fillId="0" borderId="78" applyAlignment="1" pivotButton="0" quotePrefix="0" xfId="16">
      <alignment horizontal="center" vertical="center"/>
    </xf>
    <xf numFmtId="0" fontId="31" fillId="0" borderId="79" applyAlignment="1" pivotButton="0" quotePrefix="0" xfId="16">
      <alignment vertical="center"/>
    </xf>
    <xf numFmtId="0" fontId="72" fillId="0" borderId="72" pivotButton="0" quotePrefix="0" xfId="13"/>
    <xf numFmtId="0" fontId="85" fillId="0" borderId="76" applyAlignment="1" pivotButton="0" quotePrefix="0" xfId="13">
      <alignment vertical="center"/>
    </xf>
    <xf numFmtId="0" fontId="85" fillId="0" borderId="72" applyAlignment="1" pivotButton="0" quotePrefix="0" xfId="13">
      <alignment vertical="center"/>
    </xf>
    <xf numFmtId="0" fontId="92" fillId="0" borderId="72" applyAlignment="1" pivotButton="0" quotePrefix="0" xfId="13">
      <alignment horizontal="left"/>
    </xf>
    <xf numFmtId="0" fontId="72" fillId="0" borderId="72" applyAlignment="1" pivotButton="0" quotePrefix="0" xfId="13">
      <alignment horizontal="right"/>
    </xf>
    <xf numFmtId="172" fontId="85" fillId="0" borderId="93" applyAlignment="1" pivotButton="0" quotePrefix="1" xfId="15">
      <alignment horizontal="left" vertical="center"/>
    </xf>
    <xf numFmtId="0" fontId="72" fillId="0" borderId="72" applyAlignment="1" pivotButton="0" quotePrefix="0" xfId="13">
      <alignment vertical="center"/>
    </xf>
    <xf numFmtId="172" fontId="85" fillId="0" borderId="76" applyAlignment="1" pivotButton="0" quotePrefix="1" xfId="15">
      <alignment horizontal="left" vertical="center"/>
    </xf>
    <xf numFmtId="172" fontId="85" fillId="0" borderId="72" applyAlignment="1" pivotButton="0" quotePrefix="1" xfId="15">
      <alignment horizontal="left" vertical="center"/>
    </xf>
    <xf numFmtId="17" fontId="71" fillId="0" borderId="72" applyAlignment="1" pivotButton="0" quotePrefix="0" xfId="13">
      <alignment horizontal="left" vertical="center"/>
    </xf>
    <xf numFmtId="17" fontId="72" fillId="0" borderId="72" applyAlignment="1" pivotButton="0" quotePrefix="0" xfId="13">
      <alignment horizontal="left" vertical="center"/>
    </xf>
    <xf numFmtId="0" fontId="72" fillId="0" borderId="72" applyAlignment="1" pivotButton="0" quotePrefix="0" xfId="13">
      <alignment horizontal="right" vertical="center"/>
    </xf>
    <xf numFmtId="17" fontId="71" fillId="0" borderId="72" applyAlignment="1" pivotButton="0" quotePrefix="0" xfId="13">
      <alignment vertical="center"/>
    </xf>
    <xf numFmtId="172" fontId="71" fillId="0" borderId="93" applyAlignment="1" pivotButton="0" quotePrefix="1" xfId="15">
      <alignment horizontal="left" vertical="center"/>
    </xf>
    <xf numFmtId="0" fontId="73" fillId="0" borderId="72" applyAlignment="1" pivotButton="0" quotePrefix="0" xfId="16">
      <alignment vertical="center"/>
    </xf>
    <xf numFmtId="0" fontId="69" fillId="0" borderId="72" applyAlignment="1" pivotButton="0" quotePrefix="0" xfId="16">
      <alignment vertical="center"/>
    </xf>
    <xf numFmtId="49" fontId="74" fillId="19" borderId="87" applyAlignment="1" pivotButton="0" quotePrefix="0" xfId="16">
      <alignment horizontal="center" vertical="center" wrapText="1"/>
    </xf>
    <xf numFmtId="49" fontId="74" fillId="19" borderId="87" applyAlignment="1" pivotButton="0" quotePrefix="0" xfId="16">
      <alignment horizontal="center" vertical="center"/>
    </xf>
    <xf numFmtId="49" fontId="83" fillId="19" borderId="87" applyAlignment="1" pivotButton="0" quotePrefix="0" xfId="16">
      <alignment horizontal="center" vertical="center" wrapText="1"/>
    </xf>
    <xf numFmtId="2" fontId="83" fillId="19" borderId="75" applyAlignment="1" pivotButton="0" quotePrefix="0" xfId="16">
      <alignment horizontal="center" vertical="center" wrapText="1"/>
    </xf>
    <xf numFmtId="0" fontId="83" fillId="19" borderId="74" applyAlignment="1" pivotButton="0" quotePrefix="0" xfId="16">
      <alignment horizontal="center" vertical="center" wrapText="1"/>
    </xf>
    <xf numFmtId="0" fontId="83" fillId="19" borderId="116" applyAlignment="1" pivotButton="0" quotePrefix="0" xfId="33">
      <alignment horizontal="center" vertical="center" wrapText="1"/>
    </xf>
    <xf numFmtId="0" fontId="83" fillId="19" borderId="119" applyAlignment="1" pivotButton="0" quotePrefix="0" xfId="33">
      <alignment horizontal="center" vertical="center" wrapText="1"/>
    </xf>
    <xf numFmtId="0" fontId="83" fillId="19" borderId="120" applyAlignment="1" pivotButton="0" quotePrefix="0" xfId="33">
      <alignment horizontal="center" vertical="center" wrapText="1"/>
    </xf>
    <xf numFmtId="49" fontId="73" fillId="0" borderId="121" applyAlignment="1" pivotButton="0" quotePrefix="0" xfId="16">
      <alignment horizontal="left" vertical="center" wrapText="1"/>
    </xf>
    <xf numFmtId="49" fontId="73" fillId="0" borderId="86" applyAlignment="1" pivotButton="0" quotePrefix="0" xfId="16">
      <alignment horizontal="left" vertical="center"/>
    </xf>
    <xf numFmtId="49" fontId="73" fillId="0" borderId="86" applyAlignment="1" pivotButton="0" quotePrefix="1" xfId="16">
      <alignment horizontal="left" vertical="center" wrapText="1"/>
    </xf>
    <xf numFmtId="0" fontId="73" fillId="0" borderId="86" applyAlignment="1" pivotButton="0" quotePrefix="0" xfId="16">
      <alignment horizontal="left" vertical="center"/>
    </xf>
    <xf numFmtId="4" fontId="73" fillId="0" borderId="86" applyAlignment="1" pivotButton="0" quotePrefix="0" xfId="33">
      <alignment horizontal="center" vertical="center" wrapText="1"/>
    </xf>
    <xf numFmtId="4" fontId="73" fillId="0" borderId="86" applyAlignment="1" pivotButton="0" quotePrefix="0" xfId="33">
      <alignment horizontal="right" vertical="center" wrapText="1"/>
    </xf>
    <xf numFmtId="4" fontId="73" fillId="0" borderId="86" applyAlignment="1" pivotButton="0" quotePrefix="0" xfId="33">
      <alignment horizontal="left" vertical="center"/>
    </xf>
    <xf numFmtId="4" fontId="73" fillId="0" borderId="122" applyAlignment="1" pivotButton="0" quotePrefix="0" xfId="16">
      <alignment horizontal="center" vertical="center" wrapText="1"/>
    </xf>
    <xf numFmtId="0" fontId="73" fillId="0" borderId="86" applyAlignment="1" pivotButton="0" quotePrefix="0" xfId="16">
      <alignment vertical="center"/>
    </xf>
    <xf numFmtId="0" fontId="73" fillId="0" borderId="72" applyAlignment="1" pivotButton="0" quotePrefix="0" xfId="16">
      <alignment horizontal="center" vertical="center"/>
    </xf>
    <xf numFmtId="0" fontId="73" fillId="0" borderId="86" applyAlignment="1" pivotButton="0" quotePrefix="1" xfId="16">
      <alignment horizontal="left" vertical="center" wrapText="1"/>
    </xf>
    <xf numFmtId="4" fontId="96" fillId="0" borderId="86" applyAlignment="1" pivotButton="0" quotePrefix="0" xfId="33">
      <alignment horizontal="center" vertical="center" wrapText="1"/>
    </xf>
    <xf numFmtId="49" fontId="74" fillId="24" borderId="72" applyAlignment="1" pivotButton="0" quotePrefix="0" xfId="16">
      <alignment vertical="center"/>
    </xf>
    <xf numFmtId="0" fontId="74" fillId="24" borderId="72" applyAlignment="1" pivotButton="0" quotePrefix="0" xfId="16">
      <alignment horizontal="left" vertical="center"/>
    </xf>
    <xf numFmtId="0" fontId="74" fillId="24" borderId="72" applyAlignment="1" pivotButton="0" quotePrefix="0" xfId="16">
      <alignment horizontal="center" vertical="center"/>
    </xf>
    <xf numFmtId="0" fontId="74" fillId="24" borderId="72" applyAlignment="1" pivotButton="0" quotePrefix="0" xfId="33">
      <alignment vertical="center"/>
    </xf>
    <xf numFmtId="175" fontId="74" fillId="24" borderId="72" applyAlignment="1" pivotButton="0" quotePrefix="0" xfId="10">
      <alignment vertical="center"/>
    </xf>
    <xf numFmtId="49" fontId="97" fillId="0" borderId="72" applyAlignment="1" pivotButton="0" quotePrefix="0" xfId="16">
      <alignment vertical="center"/>
    </xf>
    <xf numFmtId="49" fontId="68" fillId="0" borderId="72" applyAlignment="1" pivotButton="0" quotePrefix="0" xfId="16">
      <alignment vertical="center"/>
    </xf>
    <xf numFmtId="0" fontId="68" fillId="0" borderId="72" applyAlignment="1" pivotButton="0" quotePrefix="0" xfId="16">
      <alignment horizontal="left" vertical="center"/>
    </xf>
    <xf numFmtId="0" fontId="68" fillId="0" borderId="72" applyAlignment="1" pivotButton="0" quotePrefix="0" xfId="16">
      <alignment horizontal="center" vertical="center"/>
    </xf>
    <xf numFmtId="0" fontId="81" fillId="0" borderId="72" applyAlignment="1" pivotButton="0" quotePrefix="0" xfId="33">
      <alignment vertical="center"/>
    </xf>
    <xf numFmtId="43" fontId="81" fillId="0" borderId="72" applyAlignment="1" pivotButton="0" quotePrefix="0" xfId="33">
      <alignment vertical="center"/>
    </xf>
    <xf numFmtId="0" fontId="81" fillId="0" borderId="72" applyAlignment="1" pivotButton="0" quotePrefix="0" xfId="33">
      <alignment horizontal="left" vertical="center"/>
    </xf>
    <xf numFmtId="0" fontId="68" fillId="0" borderId="72" applyAlignment="1" pivotButton="0" quotePrefix="0" xfId="33">
      <alignment vertical="center"/>
    </xf>
    <xf numFmtId="0" fontId="81" fillId="0" borderId="72" applyAlignment="1" pivotButton="0" quotePrefix="0" xfId="16">
      <alignment horizontal="center" vertical="center"/>
    </xf>
    <xf numFmtId="0" fontId="68" fillId="0" borderId="72" applyAlignment="1" pivotButton="0" quotePrefix="0" xfId="16">
      <alignment vertical="center"/>
    </xf>
    <xf numFmtId="173" fontId="68" fillId="0" borderId="72" applyAlignment="1" pivotButton="0" quotePrefix="0" xfId="16">
      <alignment horizontal="left" vertical="center"/>
    </xf>
    <xf numFmtId="2" fontId="68" fillId="0" borderId="72" applyAlignment="1" pivotButton="0" quotePrefix="0" xfId="10">
      <alignment horizontal="left" vertical="center"/>
    </xf>
    <xf numFmtId="175" fontId="81" fillId="0" borderId="72" applyAlignment="1" pivotButton="0" quotePrefix="0" xfId="33">
      <alignment vertical="center"/>
    </xf>
    <xf numFmtId="0" fontId="81" fillId="0" borderId="72" applyAlignment="1" pivotButton="0" quotePrefix="0" xfId="33">
      <alignment horizontal="right" vertical="center"/>
    </xf>
    <xf numFmtId="0" fontId="71" fillId="0" borderId="72" pivotButton="0" quotePrefix="0" xfId="13"/>
    <xf numFmtId="0" fontId="69" fillId="0" borderId="145" applyAlignment="1" pivotButton="0" quotePrefix="0" xfId="13">
      <alignment vertical="center"/>
    </xf>
    <xf numFmtId="0" fontId="117" fillId="0" borderId="115" applyAlignment="1" pivotButton="0" quotePrefix="0" xfId="13">
      <alignment horizontal="right" vertical="center"/>
    </xf>
    <xf numFmtId="0" fontId="69" fillId="0" borderId="115" applyAlignment="1" pivotButton="0" quotePrefix="0" xfId="13">
      <alignment horizontal="right" vertical="center"/>
    </xf>
    <xf numFmtId="0" fontId="69" fillId="0" borderId="115" applyAlignment="1" pivotButton="0" quotePrefix="0" xfId="13">
      <alignment horizontal="left" vertical="center"/>
    </xf>
    <xf numFmtId="0" fontId="69" fillId="0" borderId="146" applyAlignment="1" pivotButton="0" quotePrefix="0" xfId="13">
      <alignment vertical="center"/>
    </xf>
    <xf numFmtId="0" fontId="117" fillId="0" borderId="111" applyAlignment="1" pivotButton="0" quotePrefix="0" xfId="13">
      <alignment horizontal="right" vertical="center"/>
    </xf>
    <xf numFmtId="0" fontId="69" fillId="0" borderId="111" applyAlignment="1" pivotButton="0" quotePrefix="0" xfId="13">
      <alignment horizontal="right" vertical="center"/>
    </xf>
    <xf numFmtId="0" fontId="69" fillId="0" borderId="111" applyAlignment="1" pivotButton="0" quotePrefix="0" xfId="13">
      <alignment horizontal="left" vertical="center"/>
    </xf>
    <xf numFmtId="0" fontId="69" fillId="0" borderId="148" applyAlignment="1" pivotButton="0" quotePrefix="0" xfId="13">
      <alignment vertical="center"/>
    </xf>
    <xf numFmtId="0" fontId="117" fillId="0" borderId="110" applyAlignment="1" pivotButton="0" quotePrefix="0" xfId="13">
      <alignment horizontal="right" vertical="center"/>
    </xf>
    <xf numFmtId="0" fontId="69" fillId="0" borderId="110" applyAlignment="1" pivotButton="0" quotePrefix="0" xfId="13">
      <alignment horizontal="left" vertical="center"/>
    </xf>
    <xf numFmtId="0" fontId="69" fillId="0" borderId="149" applyAlignment="1" pivotButton="0" quotePrefix="0" xfId="13">
      <alignment vertical="center"/>
    </xf>
    <xf numFmtId="0" fontId="82" fillId="0" borderId="72" pivotButton="0" quotePrefix="0" xfId="29"/>
    <xf numFmtId="0" fontId="69" fillId="0" borderId="72" pivotButton="0" quotePrefix="0" xfId="29"/>
    <xf numFmtId="0" fontId="118" fillId="3" borderId="117" applyAlignment="1" pivotButton="0" quotePrefix="0" xfId="29">
      <alignment vertical="center"/>
    </xf>
    <xf numFmtId="176" fontId="119" fillId="4" borderId="150" applyAlignment="1" pivotButton="0" quotePrefix="0" xfId="29">
      <alignment vertical="center" wrapText="1"/>
    </xf>
    <xf numFmtId="0" fontId="118" fillId="3" borderId="117" applyAlignment="1" pivotButton="0" quotePrefix="0" xfId="29">
      <alignment horizontal="right" vertical="center"/>
    </xf>
    <xf numFmtId="177" fontId="119" fillId="4" borderId="150" applyAlignment="1" pivotButton="0" quotePrefix="0" xfId="29">
      <alignment vertical="center" wrapText="1"/>
    </xf>
    <xf numFmtId="0" fontId="120" fillId="0" borderId="72" pivotButton="0" quotePrefix="0" xfId="29"/>
    <xf numFmtId="0" fontId="69" fillId="0" borderId="89" pivotButton="0" quotePrefix="0" xfId="29"/>
    <xf numFmtId="0" fontId="69" fillId="0" borderId="152" applyAlignment="1" pivotButton="0" quotePrefix="0" xfId="29">
      <alignment horizontal="center"/>
    </xf>
    <xf numFmtId="0" fontId="69" fillId="0" borderId="106" applyAlignment="1" pivotButton="0" quotePrefix="0" xfId="29">
      <alignment horizontal="center"/>
    </xf>
    <xf numFmtId="0" fontId="69" fillId="0" borderId="153" applyAlignment="1" pivotButton="0" quotePrefix="0" xfId="29">
      <alignment horizontal="center"/>
    </xf>
    <xf numFmtId="0" fontId="69" fillId="0" borderId="156" pivotButton="0" quotePrefix="0" xfId="29"/>
    <xf numFmtId="0" fontId="74" fillId="3" borderId="159" applyAlignment="1" pivotButton="0" quotePrefix="0" xfId="29">
      <alignment horizontal="center" vertical="center"/>
    </xf>
    <xf numFmtId="0" fontId="77" fillId="20" borderId="84" applyAlignment="1" pivotButton="0" quotePrefix="0" xfId="29">
      <alignment horizontal="left" vertical="center" indent="1"/>
    </xf>
    <xf numFmtId="0" fontId="77" fillId="21" borderId="84" applyAlignment="1" pivotButton="0" quotePrefix="0" xfId="29">
      <alignment horizontal="left" vertical="center" indent="1"/>
    </xf>
    <xf numFmtId="0" fontId="74" fillId="3" borderId="82" applyAlignment="1" pivotButton="0" quotePrefix="0" xfId="29">
      <alignment horizontal="left" vertical="center" indent="2"/>
    </xf>
    <xf numFmtId="0" fontId="69" fillId="0" borderId="160" applyAlignment="1" pivotButton="0" quotePrefix="0" xfId="29">
      <alignment horizontal="center"/>
    </xf>
    <xf numFmtId="0" fontId="69" fillId="0" borderId="161" applyAlignment="1" pivotButton="0" quotePrefix="0" xfId="29">
      <alignment horizontal="left"/>
    </xf>
    <xf numFmtId="0" fontId="69" fillId="0" borderId="161" applyAlignment="1" pivotButton="0" quotePrefix="0" xfId="29">
      <alignment horizontal="center"/>
    </xf>
    <xf numFmtId="0" fontId="69" fillId="0" borderId="162" applyAlignment="1" pivotButton="0" quotePrefix="0" xfId="29">
      <alignment horizontal="center"/>
    </xf>
    <xf numFmtId="0" fontId="74" fillId="3" borderId="90" applyAlignment="1" pivotButton="0" quotePrefix="0" xfId="29">
      <alignment horizontal="left" vertical="center" indent="2"/>
    </xf>
    <xf numFmtId="4" fontId="95" fillId="0" borderId="86" applyAlignment="1" pivotButton="0" quotePrefix="0" xfId="35">
      <alignment horizontal="center" vertical="center"/>
    </xf>
    <xf numFmtId="0" fontId="124" fillId="0" borderId="194" applyAlignment="1" pivotButton="0" quotePrefix="0" xfId="13">
      <alignment vertical="center"/>
    </xf>
    <xf numFmtId="0" fontId="69" fillId="0" borderId="195" applyAlignment="1" pivotButton="0" quotePrefix="0" xfId="13">
      <alignment vertical="center"/>
    </xf>
    <xf numFmtId="0" fontId="69" fillId="0" borderId="196" applyAlignment="1" pivotButton="0" quotePrefix="0" xfId="13">
      <alignment vertical="center"/>
    </xf>
    <xf numFmtId="0" fontId="124" fillId="0" borderId="197" applyAlignment="1" pivotButton="0" quotePrefix="0" xfId="13">
      <alignment vertical="center"/>
    </xf>
    <xf numFmtId="172" fontId="69" fillId="0" borderId="111" applyAlignment="1" pivotButton="0" quotePrefix="1" xfId="15">
      <alignment horizontal="left" vertical="center"/>
    </xf>
    <xf numFmtId="172" fontId="69" fillId="0" borderId="147" applyAlignment="1" pivotButton="0" quotePrefix="1" xfId="15">
      <alignment horizontal="left" vertical="center"/>
    </xf>
    <xf numFmtId="0" fontId="124" fillId="0" borderId="198" applyAlignment="1" pivotButton="0" quotePrefix="0" xfId="13">
      <alignment vertical="center"/>
    </xf>
    <xf numFmtId="0" fontId="126" fillId="16" borderId="199" applyAlignment="1" pivotButton="0" quotePrefix="0" xfId="14">
      <alignment horizontal="center" vertical="center"/>
    </xf>
    <xf numFmtId="0" fontId="126" fillId="16" borderId="200" applyAlignment="1" pivotButton="0" quotePrefix="0" xfId="14">
      <alignment horizontal="center" vertical="center"/>
    </xf>
    <xf numFmtId="0" fontId="126" fillId="16" borderId="200" applyAlignment="1" pivotButton="0" quotePrefix="0" xfId="14">
      <alignment horizontal="center" vertical="center" wrapText="1"/>
    </xf>
    <xf numFmtId="0" fontId="126" fillId="16" borderId="151" applyAlignment="1" pivotButton="0" quotePrefix="0" xfId="14">
      <alignment horizontal="center" vertical="center" wrapText="1"/>
    </xf>
    <xf numFmtId="0" fontId="127" fillId="31" borderId="89" applyAlignment="1" pivotButton="0" quotePrefix="0" xfId="14">
      <alignment horizontal="left" vertical="center"/>
    </xf>
    <xf numFmtId="0" fontId="31" fillId="0" borderId="72" pivotButton="0" quotePrefix="0" xfId="28"/>
    <xf numFmtId="0" fontId="31" fillId="0" borderId="72" applyAlignment="1" pivotButton="0" quotePrefix="0" xfId="28">
      <alignment horizontal="center" vertical="center"/>
    </xf>
    <xf numFmtId="0" fontId="31" fillId="0" borderId="72" applyAlignment="1" pivotButton="0" quotePrefix="0" xfId="28">
      <alignment horizontal="center"/>
    </xf>
    <xf numFmtId="0" fontId="31" fillId="33" borderId="207" applyAlignment="1" pivotButton="0" quotePrefix="0" xfId="28">
      <alignment horizontal="left" vertical="center" wrapText="1"/>
    </xf>
    <xf numFmtId="0" fontId="31" fillId="34" borderId="207" applyAlignment="1" pivotButton="0" quotePrefix="0" xfId="28">
      <alignment horizontal="left" vertical="center"/>
    </xf>
    <xf numFmtId="0" fontId="129" fillId="35" borderId="207" applyAlignment="1" pivotButton="0" quotePrefix="0" xfId="28">
      <alignment horizontal="left" vertical="center" wrapText="1"/>
    </xf>
    <xf numFmtId="2" fontId="129" fillId="35" borderId="207" applyAlignment="1" pivotButton="0" quotePrefix="0" xfId="28">
      <alignment horizontal="center" vertical="center"/>
    </xf>
    <xf numFmtId="0" fontId="52" fillId="36" borderId="72" applyAlignment="1" pivotButton="0" quotePrefix="0" xfId="28">
      <alignment horizontal="center" vertical="center"/>
    </xf>
    <xf numFmtId="0" fontId="130" fillId="32" borderId="211" applyAlignment="1" pivotButton="0" quotePrefix="0" xfId="28">
      <alignment horizontal="center" vertical="center"/>
    </xf>
    <xf numFmtId="0" fontId="130" fillId="32" borderId="212" applyAlignment="1" pivotButton="0" quotePrefix="0" xfId="28">
      <alignment horizontal="center"/>
    </xf>
    <xf numFmtId="0" fontId="31" fillId="32" borderId="213" pivotButton="0" quotePrefix="0" xfId="28"/>
    <xf numFmtId="0" fontId="130" fillId="32" borderId="214" pivotButton="0" quotePrefix="0" xfId="28"/>
    <xf numFmtId="0" fontId="130" fillId="32" borderId="215" applyAlignment="1" pivotButton="0" quotePrefix="0" xfId="28">
      <alignment horizontal="center" vertical="center"/>
    </xf>
    <xf numFmtId="0" fontId="130" fillId="32" borderId="216" applyAlignment="1" pivotButton="0" quotePrefix="0" xfId="28">
      <alignment horizontal="center"/>
    </xf>
    <xf numFmtId="0" fontId="31" fillId="32" borderId="215" applyAlignment="1" pivotButton="0" quotePrefix="0" xfId="28">
      <alignment horizontal="center" vertical="center"/>
    </xf>
    <xf numFmtId="0" fontId="31" fillId="32" borderId="216" applyAlignment="1" pivotButton="0" quotePrefix="0" xfId="28">
      <alignment horizontal="center"/>
    </xf>
    <xf numFmtId="0" fontId="31" fillId="32" borderId="217" applyAlignment="1" pivotButton="0" quotePrefix="0" xfId="28">
      <alignment horizontal="center" vertical="center"/>
    </xf>
    <xf numFmtId="0" fontId="130" fillId="32" borderId="218" applyAlignment="1" pivotButton="0" quotePrefix="0" xfId="28">
      <alignment horizontal="center"/>
    </xf>
    <xf numFmtId="9" fontId="0" fillId="32" borderId="219" applyAlignment="1" pivotButton="0" quotePrefix="0" xfId="6">
      <alignment horizontal="center" vertical="center"/>
    </xf>
    <xf numFmtId="0" fontId="130" fillId="32" borderId="220" applyAlignment="1" pivotButton="0" quotePrefix="0" xfId="28">
      <alignment horizontal="center"/>
    </xf>
    <xf numFmtId="0" fontId="131" fillId="0" borderId="18" applyAlignment="1" pivotButton="0" quotePrefix="0" xfId="13">
      <alignment vertical="center"/>
    </xf>
    <xf numFmtId="0" fontId="124" fillId="0" borderId="221" applyAlignment="1" pivotButton="0" quotePrefix="0" xfId="13">
      <alignment vertical="center"/>
    </xf>
    <xf numFmtId="0" fontId="131" fillId="0" borderId="115" applyAlignment="1" pivotButton="0" quotePrefix="0" xfId="13">
      <alignment vertical="center"/>
    </xf>
    <xf numFmtId="0" fontId="69" fillId="0" borderId="2" applyAlignment="1" pivotButton="0" quotePrefix="0" xfId="13">
      <alignment vertical="center"/>
    </xf>
    <xf numFmtId="0" fontId="68" fillId="0" borderId="72" applyAlignment="1" pivotButton="0" quotePrefix="0" xfId="14">
      <alignment horizontal="center" vertical="center"/>
    </xf>
    <xf numFmtId="17" fontId="124" fillId="15" borderId="222" applyAlignment="1" pivotButton="0" quotePrefix="0" xfId="13">
      <alignment vertical="center"/>
    </xf>
    <xf numFmtId="17" fontId="124" fillId="15" borderId="223" applyAlignment="1" pivotButton="0" quotePrefix="0" xfId="13">
      <alignment horizontal="left" vertical="center"/>
    </xf>
    <xf numFmtId="17" fontId="124" fillId="15" borderId="223" applyAlignment="1" pivotButton="0" quotePrefix="0" xfId="13">
      <alignment vertical="center"/>
    </xf>
    <xf numFmtId="0" fontId="124" fillId="15" borderId="223" applyAlignment="1" pivotButton="0" quotePrefix="0" xfId="14">
      <alignment vertical="center"/>
    </xf>
    <xf numFmtId="0" fontId="68" fillId="0" borderId="72" applyAlignment="1" pivotButton="0" quotePrefix="0" xfId="14">
      <alignment vertical="center"/>
    </xf>
    <xf numFmtId="0" fontId="69" fillId="0" borderId="72" pivotButton="0" quotePrefix="0" xfId="13"/>
    <xf numFmtId="17" fontId="69" fillId="0" borderId="224" applyAlignment="1" pivotButton="0" quotePrefix="0" xfId="14">
      <alignment horizontal="left" vertical="center"/>
    </xf>
    <xf numFmtId="3" fontId="69" fillId="0" borderId="225" applyAlignment="1" pivotButton="0" quotePrefix="0" xfId="26">
      <alignment horizontal="left" vertical="center"/>
    </xf>
    <xf numFmtId="4" fontId="69" fillId="37" borderId="226" applyAlignment="1" pivotButton="0" quotePrefix="0" xfId="26">
      <alignment vertical="center" wrapText="1"/>
    </xf>
    <xf numFmtId="4" fontId="69" fillId="38" borderId="107" applyAlignment="1" pivotButton="0" quotePrefix="0" xfId="26">
      <alignment vertical="center"/>
    </xf>
    <xf numFmtId="4" fontId="69" fillId="38" borderId="225" applyAlignment="1" pivotButton="0" quotePrefix="0" xfId="26">
      <alignment vertical="center"/>
    </xf>
    <xf numFmtId="4" fontId="69" fillId="39" borderId="107" applyAlignment="1" pivotButton="0" quotePrefix="0" xfId="27">
      <alignment horizontal="center" vertical="center"/>
    </xf>
    <xf numFmtId="4" fontId="69" fillId="38" borderId="107" applyAlignment="1" pivotButton="0" quotePrefix="0" xfId="26">
      <alignment vertical="center" wrapText="1"/>
    </xf>
    <xf numFmtId="0" fontId="69" fillId="0" borderId="72" applyAlignment="1" pivotButton="0" quotePrefix="0" xfId="14">
      <alignment vertical="center"/>
    </xf>
    <xf numFmtId="3" fontId="69" fillId="0" borderId="106" applyAlignment="1" pivotButton="0" quotePrefix="0" xfId="26">
      <alignment horizontal="left" vertical="center"/>
    </xf>
    <xf numFmtId="4" fontId="69" fillId="38" borderId="106" applyAlignment="1" pivotButton="0" quotePrefix="0" xfId="26">
      <alignment vertical="center"/>
    </xf>
    <xf numFmtId="4" fontId="69" fillId="39" borderId="106" applyAlignment="1" pivotButton="0" quotePrefix="0" xfId="27">
      <alignment horizontal="center" vertical="center"/>
    </xf>
    <xf numFmtId="4" fontId="69" fillId="38" borderId="108" applyAlignment="1" pivotButton="0" quotePrefix="0" xfId="26">
      <alignment vertical="center"/>
    </xf>
    <xf numFmtId="0" fontId="31" fillId="39" borderId="233" applyAlignment="1" pivotButton="0" quotePrefix="0" xfId="14">
      <alignment vertical="center"/>
    </xf>
    <xf numFmtId="0" fontId="31" fillId="39" borderId="233" applyAlignment="1" pivotButton="0" quotePrefix="0" xfId="14">
      <alignment horizontal="left" vertical="center"/>
    </xf>
    <xf numFmtId="0" fontId="31" fillId="0" borderId="233" applyAlignment="1" pivotButton="0" quotePrefix="0" xfId="14">
      <alignment vertical="center"/>
    </xf>
    <xf numFmtId="17" fontId="124" fillId="15" borderId="234" applyAlignment="1" pivotButton="0" quotePrefix="0" xfId="13">
      <alignment vertical="center"/>
    </xf>
    <xf numFmtId="17" fontId="124" fillId="15" borderId="235" applyAlignment="1" pivotButton="0" quotePrefix="0" xfId="13">
      <alignment horizontal="left" vertical="center"/>
    </xf>
    <xf numFmtId="17" fontId="124" fillId="15" borderId="235" applyAlignment="1" pivotButton="0" quotePrefix="0" xfId="13">
      <alignment vertical="center"/>
    </xf>
    <xf numFmtId="0" fontId="124" fillId="15" borderId="235" applyAlignment="1" pivotButton="0" quotePrefix="0" xfId="14">
      <alignment vertical="center"/>
    </xf>
    <xf numFmtId="0" fontId="69" fillId="0" borderId="230" applyAlignment="1" pivotButton="0" quotePrefix="0" xfId="14">
      <alignment horizontal="left" vertical="center"/>
    </xf>
    <xf numFmtId="0" fontId="31" fillId="37" borderId="72" applyAlignment="1" pivotButton="0" quotePrefix="0" xfId="14">
      <alignment vertical="center"/>
    </xf>
    <xf numFmtId="0" fontId="31" fillId="0" borderId="72" applyAlignment="1" pivotButton="0" quotePrefix="0" xfId="14">
      <alignment vertical="center"/>
    </xf>
    <xf numFmtId="3" fontId="69" fillId="40" borderId="107" applyAlignment="1" pivotButton="0" quotePrefix="0" xfId="26">
      <alignment horizontal="left" vertical="center"/>
    </xf>
    <xf numFmtId="4" fontId="69" fillId="38" borderId="229" applyAlignment="1" pivotButton="0" quotePrefix="0" xfId="26">
      <alignment vertical="center"/>
    </xf>
    <xf numFmtId="0" fontId="69" fillId="39" borderId="237" applyAlignment="1" pivotButton="0" quotePrefix="1" xfId="14">
      <alignment vertical="center"/>
    </xf>
    <xf numFmtId="17" fontId="69" fillId="39" borderId="237" applyAlignment="1" pivotButton="0" quotePrefix="1" xfId="14">
      <alignment vertical="center"/>
    </xf>
    <xf numFmtId="17" fontId="69" fillId="39" borderId="224" applyAlignment="1" pivotButton="0" quotePrefix="1" xfId="14">
      <alignment horizontal="left" vertical="center"/>
    </xf>
    <xf numFmtId="17" fontId="69" fillId="39" borderId="107" applyAlignment="1" pivotButton="0" quotePrefix="1" xfId="14">
      <alignment horizontal="left" vertical="center"/>
    </xf>
    <xf numFmtId="17" fontId="69" fillId="39" borderId="238" applyAlignment="1" pivotButton="0" quotePrefix="1" xfId="14">
      <alignment horizontal="left" vertical="center"/>
    </xf>
    <xf numFmtId="0" fontId="68" fillId="39" borderId="233" applyAlignment="1" pivotButton="0" quotePrefix="0" xfId="14">
      <alignment vertical="center"/>
    </xf>
    <xf numFmtId="0" fontId="68" fillId="0" borderId="233" applyAlignment="1" pivotButton="0" quotePrefix="0" xfId="14">
      <alignment vertical="center"/>
    </xf>
    <xf numFmtId="0" fontId="131" fillId="0" borderId="239" applyAlignment="1" pivotButton="0" quotePrefix="0" xfId="13">
      <alignment vertical="center"/>
    </xf>
    <xf numFmtId="0" fontId="131" fillId="0" borderId="240" applyAlignment="1" pivotButton="0" quotePrefix="0" xfId="13">
      <alignment vertical="center"/>
    </xf>
    <xf numFmtId="0" fontId="69" fillId="0" borderId="241" applyAlignment="1" pivotButton="0" quotePrefix="0" xfId="13">
      <alignment vertical="center"/>
    </xf>
    <xf numFmtId="0" fontId="69" fillId="0" borderId="242" applyAlignment="1" pivotButton="0" quotePrefix="0" xfId="13">
      <alignment vertical="center"/>
    </xf>
    <xf numFmtId="17" fontId="69" fillId="0" borderId="243" applyAlignment="1" pivotButton="0" quotePrefix="0" xfId="13">
      <alignment horizontal="left" vertical="center"/>
    </xf>
    <xf numFmtId="0" fontId="124" fillId="0" borderId="244" applyAlignment="1" pivotButton="0" quotePrefix="0" xfId="13">
      <alignment vertical="center"/>
    </xf>
    <xf numFmtId="0" fontId="69" fillId="0" borderId="245" applyAlignment="1" pivotButton="0" quotePrefix="0" xfId="13">
      <alignment vertical="center"/>
    </xf>
    <xf numFmtId="17" fontId="69" fillId="0" borderId="245" applyAlignment="1" pivotButton="0" quotePrefix="0" xfId="13">
      <alignment horizontal="left" vertical="center"/>
    </xf>
    <xf numFmtId="17" fontId="69" fillId="0" borderId="246" applyAlignment="1" pivotButton="0" quotePrefix="0" xfId="13">
      <alignment horizontal="left" vertical="center"/>
    </xf>
    <xf numFmtId="0" fontId="83" fillId="16" borderId="248" applyAlignment="1" pivotButton="0" quotePrefix="0" xfId="14">
      <alignment horizontal="center" vertical="center" wrapText="1"/>
    </xf>
    <xf numFmtId="4" fontId="133" fillId="16" borderId="248" applyAlignment="1" pivotButton="0" quotePrefix="0" xfId="48">
      <alignment horizontal="center" vertical="center"/>
    </xf>
    <xf numFmtId="0" fontId="83" fillId="16" borderId="249" applyAlignment="1" pivotButton="0" quotePrefix="0" xfId="14">
      <alignment horizontal="center" vertical="center" wrapText="1"/>
    </xf>
    <xf numFmtId="0" fontId="83" fillId="16" borderId="251" applyAlignment="1" pivotButton="0" quotePrefix="0" xfId="14">
      <alignment horizontal="center" vertical="center" wrapText="1"/>
    </xf>
    <xf numFmtId="178" fontId="133" fillId="16" borderId="251" applyAlignment="1" pivotButton="0" quotePrefix="0" xfId="48">
      <alignment horizontal="center" vertical="center"/>
    </xf>
    <xf numFmtId="4" fontId="83" fillId="16" borderId="252" applyAlignment="1" pivotButton="0" quotePrefix="0" xfId="14">
      <alignment horizontal="center" vertical="center" wrapText="1"/>
    </xf>
    <xf numFmtId="17" fontId="124" fillId="15" borderId="253" applyAlignment="1" pivotButton="0" quotePrefix="0" xfId="13">
      <alignment vertical="center"/>
    </xf>
    <xf numFmtId="17" fontId="124" fillId="15" borderId="254" applyAlignment="1" pivotButton="0" quotePrefix="0" xfId="13">
      <alignment vertical="center"/>
    </xf>
    <xf numFmtId="0" fontId="130" fillId="0" borderId="72" applyAlignment="1" pivotButton="0" quotePrefix="0" xfId="14">
      <alignment vertical="center"/>
    </xf>
    <xf numFmtId="171" fontId="68" fillId="0" borderId="72" applyAlignment="1" pivotButton="0" quotePrefix="0" xfId="14">
      <alignment vertical="center"/>
    </xf>
    <xf numFmtId="171" fontId="81" fillId="0" borderId="72" applyAlignment="1" pivotButton="0" quotePrefix="0" xfId="14">
      <alignment vertical="center"/>
    </xf>
    <xf numFmtId="179" fontId="68" fillId="0" borderId="72" applyAlignment="1" pivotButton="0" quotePrefix="0" xfId="14">
      <alignment vertical="center"/>
    </xf>
    <xf numFmtId="17" fontId="75" fillId="16" borderId="143" applyAlignment="1" pivotButton="0" quotePrefix="0" xfId="13">
      <alignment vertical="center"/>
    </xf>
    <xf numFmtId="17" fontId="75" fillId="16" borderId="144" applyAlignment="1" pivotButton="0" quotePrefix="0" xfId="13">
      <alignment vertical="center"/>
    </xf>
    <xf numFmtId="17" fontId="116" fillId="16" borderId="143" applyAlignment="1" pivotButton="0" quotePrefix="0" xfId="13">
      <alignment horizontal="left" vertical="center" indent="2"/>
    </xf>
    <xf numFmtId="17" fontId="75" fillId="16" borderId="260" applyAlignment="1" pivotButton="0" quotePrefix="0" xfId="13">
      <alignment horizontal="left" vertical="center" indent="2"/>
    </xf>
    <xf numFmtId="17" fontId="69" fillId="0" borderId="258" applyAlignment="1" pivotButton="0" quotePrefix="0" xfId="13">
      <alignment horizontal="center" vertical="center"/>
    </xf>
    <xf numFmtId="17" fontId="69" fillId="0" borderId="268" applyAlignment="1" pivotButton="0" quotePrefix="0" xfId="13">
      <alignment horizontal="center" vertical="center"/>
    </xf>
    <xf numFmtId="17" fontId="69" fillId="0" borderId="269" applyAlignment="1" pivotButton="0" quotePrefix="0" xfId="13">
      <alignment horizontal="center" vertical="center"/>
    </xf>
    <xf numFmtId="17" fontId="69" fillId="15" borderId="272" applyAlignment="1" pivotButton="0" quotePrefix="0" xfId="13">
      <alignment horizontal="center" vertical="center"/>
    </xf>
    <xf numFmtId="17" fontId="69" fillId="15" borderId="273" applyAlignment="1" pivotButton="0" quotePrefix="0" xfId="13">
      <alignment vertical="center"/>
    </xf>
    <xf numFmtId="17" fontId="142" fillId="15" borderId="271" applyAlignment="1" pivotButton="0" quotePrefix="0" xfId="13">
      <alignment horizontal="left" vertical="center" indent="1"/>
    </xf>
    <xf numFmtId="17" fontId="69" fillId="15" borderId="272" applyAlignment="1" pivotButton="0" quotePrefix="0" xfId="13">
      <alignment horizontal="left" vertical="center"/>
    </xf>
    <xf numFmtId="43" fontId="135" fillId="0" borderId="72" pivotButton="0" quotePrefix="0" xfId="15"/>
    <xf numFmtId="43" fontId="135" fillId="0" borderId="54" applyAlignment="1" pivotButton="0" quotePrefix="0" xfId="15">
      <alignment horizontal="center"/>
    </xf>
    <xf numFmtId="43" fontId="135" fillId="0" borderId="286" applyAlignment="1" pivotButton="0" quotePrefix="0" xfId="15">
      <alignment horizontal="center"/>
    </xf>
    <xf numFmtId="43" fontId="135" fillId="41" borderId="287" applyAlignment="1" pivotButton="0" quotePrefix="0" xfId="15">
      <alignment horizontal="center"/>
    </xf>
    <xf numFmtId="43" fontId="135" fillId="0" borderId="55" applyAlignment="1" pivotButton="0" quotePrefix="0" xfId="15">
      <alignment horizontal="center"/>
    </xf>
    <xf numFmtId="43" fontId="135" fillId="0" borderId="288" applyAlignment="1" pivotButton="0" quotePrefix="0" xfId="15">
      <alignment horizontal="center"/>
    </xf>
    <xf numFmtId="43" fontId="135" fillId="41" borderId="289" applyAlignment="1" pivotButton="0" quotePrefix="0" xfId="15">
      <alignment horizontal="center"/>
    </xf>
    <xf numFmtId="43" fontId="135" fillId="0" borderId="291" applyAlignment="1" pivotButton="0" quotePrefix="0" xfId="15">
      <alignment horizontal="center"/>
    </xf>
    <xf numFmtId="43" fontId="135" fillId="0" borderId="290" applyAlignment="1" pivotButton="0" quotePrefix="0" xfId="15">
      <alignment horizontal="center"/>
    </xf>
    <xf numFmtId="43" fontId="135" fillId="41" borderId="292" applyAlignment="1" pivotButton="0" quotePrefix="0" xfId="15">
      <alignment horizontal="center"/>
    </xf>
    <xf numFmtId="43" fontId="135" fillId="37" borderId="55" applyAlignment="1" pivotButton="0" quotePrefix="0" xfId="15">
      <alignment horizontal="center"/>
    </xf>
    <xf numFmtId="43" fontId="135" fillId="0" borderId="56" applyAlignment="1" pivotButton="0" quotePrefix="0" xfId="15">
      <alignment horizontal="center"/>
    </xf>
    <xf numFmtId="43" fontId="135" fillId="37" borderId="56" applyAlignment="1" pivotButton="0" quotePrefix="0" xfId="15">
      <alignment horizontal="center"/>
    </xf>
    <xf numFmtId="43" fontId="135" fillId="0" borderId="293" applyAlignment="1" pivotButton="0" quotePrefix="0" xfId="15">
      <alignment horizontal="center"/>
    </xf>
    <xf numFmtId="43" fontId="135" fillId="41" borderId="294" applyAlignment="1" pivotButton="0" quotePrefix="0" xfId="15">
      <alignment horizontal="center"/>
    </xf>
    <xf numFmtId="43" fontId="135" fillId="37" borderId="291" applyAlignment="1" pivotButton="0" quotePrefix="0" xfId="15">
      <alignment horizontal="center"/>
    </xf>
    <xf numFmtId="43" fontId="135" fillId="0" borderId="296" applyAlignment="1" pivotButton="0" quotePrefix="0" xfId="15">
      <alignment horizontal="center"/>
    </xf>
    <xf numFmtId="43" fontId="135" fillId="0" borderId="295" applyAlignment="1" pivotButton="0" quotePrefix="0" xfId="15">
      <alignment horizontal="center"/>
    </xf>
    <xf numFmtId="43" fontId="135" fillId="41" borderId="297" applyAlignment="1" pivotButton="0" quotePrefix="0" xfId="15">
      <alignment horizontal="center"/>
    </xf>
    <xf numFmtId="43" fontId="135" fillId="0" borderId="232" pivotButton="0" quotePrefix="0" xfId="15"/>
    <xf numFmtId="43" fontId="135" fillId="0" borderId="299" applyAlignment="1" pivotButton="0" quotePrefix="0" xfId="15">
      <alignment horizontal="center"/>
    </xf>
    <xf numFmtId="43" fontId="135" fillId="37" borderId="299" applyAlignment="1" pivotButton="0" quotePrefix="0" xfId="15">
      <alignment horizontal="center"/>
    </xf>
    <xf numFmtId="43" fontId="135" fillId="0" borderId="298" applyAlignment="1" pivotButton="0" quotePrefix="0" xfId="15">
      <alignment horizontal="center"/>
    </xf>
    <xf numFmtId="43" fontId="135" fillId="41" borderId="300" applyAlignment="1" pivotButton="0" quotePrefix="0" xfId="15">
      <alignment horizontal="center"/>
    </xf>
    <xf numFmtId="43" fontId="137" fillId="0" borderId="72" pivotButton="0" quotePrefix="0" xfId="15"/>
    <xf numFmtId="43" fontId="136" fillId="0" borderId="72" pivotButton="0" quotePrefix="0" xfId="15"/>
    <xf numFmtId="43" fontId="145" fillId="0" borderId="288" applyAlignment="1" pivotButton="0" quotePrefix="0" xfId="15">
      <alignment horizontal="center"/>
    </xf>
    <xf numFmtId="43" fontId="145" fillId="0" borderId="298" applyAlignment="1" pivotButton="0" quotePrefix="0" xfId="15">
      <alignment horizontal="center"/>
    </xf>
    <xf numFmtId="0" fontId="126" fillId="16" borderId="259" applyAlignment="1" pivotButton="0" quotePrefix="0" xfId="14">
      <alignment horizontal="center" vertical="center"/>
    </xf>
    <xf numFmtId="0" fontId="79" fillId="16" borderId="259" applyAlignment="1" pivotButton="0" quotePrefix="0" xfId="14">
      <alignment horizontal="center" vertical="center" wrapText="1"/>
    </xf>
    <xf numFmtId="0" fontId="130" fillId="32" borderId="74" applyAlignment="1" pivotButton="0" quotePrefix="0" xfId="0">
      <alignment horizontal="center" vertical="center"/>
    </xf>
    <xf numFmtId="0" fontId="129" fillId="35" borderId="207" applyAlignment="1" pivotButton="0" quotePrefix="0" xfId="0">
      <alignment horizontal="left" vertical="center"/>
    </xf>
    <xf numFmtId="0" fontId="129" fillId="35" borderId="207" applyAlignment="1" pivotButton="0" quotePrefix="0" xfId="0">
      <alignment horizontal="left" vertical="center" wrapText="1"/>
    </xf>
    <xf numFmtId="1" fontId="129" fillId="35" borderId="207" applyAlignment="1" pivotButton="0" quotePrefix="0" xfId="0">
      <alignment horizontal="center" vertical="center"/>
    </xf>
    <xf numFmtId="2" fontId="129" fillId="35" borderId="207" applyAlignment="1" pivotButton="0" quotePrefix="0" xfId="0">
      <alignment horizontal="center" vertical="center"/>
    </xf>
    <xf numFmtId="0" fontId="0" fillId="34" borderId="207" applyAlignment="1" pivotButton="0" quotePrefix="0" xfId="0">
      <alignment horizontal="left" vertical="center"/>
    </xf>
    <xf numFmtId="0" fontId="0" fillId="34" borderId="207" applyAlignment="1" pivotButton="0" quotePrefix="0" xfId="0">
      <alignment horizontal="left" vertical="center" wrapText="1"/>
    </xf>
    <xf numFmtId="1" fontId="0" fillId="34" borderId="207" applyAlignment="1" pivotButton="0" quotePrefix="0" xfId="0">
      <alignment horizontal="center" vertical="center"/>
    </xf>
    <xf numFmtId="2" fontId="0" fillId="34" borderId="207" applyAlignment="1" pivotButton="0" quotePrefix="0" xfId="0">
      <alignment horizontal="center" vertical="center"/>
    </xf>
    <xf numFmtId="0" fontId="0" fillId="33" borderId="207" applyAlignment="1" pivotButton="0" quotePrefix="0" xfId="0">
      <alignment horizontal="left" vertical="center"/>
    </xf>
    <xf numFmtId="0" fontId="0" fillId="33" borderId="207" applyAlignment="1" pivotButton="0" quotePrefix="0" xfId="0">
      <alignment horizontal="left" vertical="center" wrapText="1"/>
    </xf>
    <xf numFmtId="1" fontId="0" fillId="33" borderId="207" applyAlignment="1" pivotButton="0" quotePrefix="0" xfId="0">
      <alignment horizontal="center" vertical="center"/>
    </xf>
    <xf numFmtId="2" fontId="0" fillId="33" borderId="207" applyAlignment="1" pivotButton="0" quotePrefix="0" xfId="0">
      <alignment horizontal="center" vertical="center"/>
    </xf>
    <xf numFmtId="0" fontId="0" fillId="32" borderId="207" applyAlignment="1" pivotButton="0" quotePrefix="0" xfId="0">
      <alignment horizontal="left" vertical="center"/>
    </xf>
    <xf numFmtId="0" fontId="0" fillId="32" borderId="207" applyAlignment="1" pivotButton="0" quotePrefix="0" xfId="0">
      <alignment horizontal="left" vertical="center" wrapText="1"/>
    </xf>
    <xf numFmtId="1" fontId="0" fillId="32" borderId="207" applyAlignment="1" pivotButton="0" quotePrefix="0" xfId="0">
      <alignment horizontal="center" vertical="center"/>
    </xf>
    <xf numFmtId="2" fontId="0" fillId="32" borderId="207" applyAlignment="1" pivotButton="0" quotePrefix="0" xfId="0">
      <alignment horizontal="center" vertical="center"/>
    </xf>
    <xf numFmtId="0" fontId="61" fillId="0" borderId="72" applyAlignment="1" pivotButton="0" quotePrefix="0" xfId="60">
      <alignment vertical="center"/>
    </xf>
    <xf numFmtId="175" fontId="61" fillId="0" borderId="72" applyAlignment="1" pivotButton="0" quotePrefix="0" xfId="61">
      <alignment vertical="center"/>
    </xf>
    <xf numFmtId="0" fontId="61" fillId="0" borderId="72" applyAlignment="1" pivotButton="0" quotePrefix="0" xfId="60">
      <alignment vertical="center" wrapText="1"/>
    </xf>
    <xf numFmtId="0" fontId="61" fillId="0" borderId="72" applyAlignment="1" pivotButton="0" quotePrefix="0" xfId="60">
      <alignment horizontal="center" vertical="center"/>
    </xf>
    <xf numFmtId="0" fontId="61" fillId="0" borderId="72" applyAlignment="1" pivotButton="0" quotePrefix="0" xfId="60">
      <alignment horizontal="left" vertical="center"/>
    </xf>
    <xf numFmtId="0" fontId="60" fillId="0" borderId="72" applyAlignment="1" pivotButton="0" quotePrefix="0" xfId="60">
      <alignment vertical="center"/>
    </xf>
    <xf numFmtId="175" fontId="147" fillId="4" borderId="313" applyAlignment="1" pivotButton="0" quotePrefix="0" xfId="10">
      <alignment horizontal="center"/>
    </xf>
    <xf numFmtId="173" fontId="147" fillId="4" borderId="313" applyAlignment="1" pivotButton="0" quotePrefix="0" xfId="64">
      <alignment horizontal="center"/>
    </xf>
    <xf numFmtId="180" fontId="61" fillId="0" borderId="72" applyAlignment="1" pivotButton="0" quotePrefix="0" xfId="65">
      <alignment horizontal="center" vertical="center"/>
    </xf>
    <xf numFmtId="173" fontId="147" fillId="4" borderId="321" applyAlignment="1" pivotButton="0" quotePrefix="0" xfId="64">
      <alignment horizontal="center"/>
    </xf>
    <xf numFmtId="0" fontId="18" fillId="0" borderId="72" pivotButton="0" quotePrefix="0" xfId="66"/>
    <xf numFmtId="0" fontId="59" fillId="4" borderId="61" applyAlignment="1" pivotButton="0" quotePrefix="0" xfId="67">
      <alignment horizontal="center" vertical="center" wrapText="1"/>
    </xf>
    <xf numFmtId="0" fontId="58" fillId="4" borderId="40" applyAlignment="1" pivotButton="0" quotePrefix="0" xfId="67">
      <alignment horizontal="center" vertical="center" wrapText="1"/>
    </xf>
    <xf numFmtId="0" fontId="57" fillId="4" borderId="58" applyAlignment="1" pivotButton="0" quotePrefix="0" xfId="67">
      <alignment horizontal="left" vertical="center" wrapText="1"/>
    </xf>
    <xf numFmtId="0" fontId="56" fillId="12" borderId="60" applyAlignment="1" pivotButton="0" quotePrefix="0" xfId="67">
      <alignment vertical="center" wrapText="1"/>
    </xf>
    <xf numFmtId="0" fontId="59" fillId="4" borderId="64" applyAlignment="1" pivotButton="0" quotePrefix="0" xfId="67">
      <alignment horizontal="center" vertical="center" wrapText="1"/>
    </xf>
    <xf numFmtId="0" fontId="58" fillId="4" borderId="59" applyAlignment="1" pivotButton="0" quotePrefix="0" xfId="67">
      <alignment horizontal="center" vertical="center" wrapText="1"/>
    </xf>
    <xf numFmtId="0" fontId="56" fillId="12" borderId="11" applyAlignment="1" pivotButton="0" quotePrefix="0" xfId="67">
      <alignment vertical="center" wrapText="1"/>
    </xf>
    <xf numFmtId="0" fontId="59" fillId="4" borderId="19" applyAlignment="1" pivotButton="0" quotePrefix="0" xfId="67">
      <alignment horizontal="center" vertical="center" wrapText="1"/>
    </xf>
    <xf numFmtId="0" fontId="58" fillId="4" borderId="69" applyAlignment="1" pivotButton="0" quotePrefix="0" xfId="67">
      <alignment horizontal="center" vertical="center" wrapText="1"/>
    </xf>
    <xf numFmtId="0" fontId="57" fillId="4" borderId="57" applyAlignment="1" pivotButton="0" quotePrefix="0" xfId="67">
      <alignment horizontal="left" vertical="center" wrapText="1"/>
    </xf>
    <xf numFmtId="0" fontId="56" fillId="12" borderId="8" applyAlignment="1" pivotButton="0" quotePrefix="0" xfId="67">
      <alignment vertical="center" wrapText="1"/>
    </xf>
    <xf numFmtId="0" fontId="54" fillId="46" borderId="159" applyAlignment="1" pivotButton="0" quotePrefix="0" xfId="60">
      <alignment horizontal="center" vertical="center" wrapText="1"/>
    </xf>
    <xf numFmtId="0" fontId="54" fillId="46" borderId="73" applyAlignment="1" pivotButton="0" quotePrefix="0" xfId="60">
      <alignment horizontal="center" vertical="center" wrapText="1"/>
    </xf>
    <xf numFmtId="175" fontId="54" fillId="46" borderId="114" applyAlignment="1" pivotButton="0" quotePrefix="0" xfId="61">
      <alignment horizontal="center" vertical="center" wrapText="1"/>
    </xf>
    <xf numFmtId="175" fontId="54" fillId="46" borderId="81" applyAlignment="1" pivotButton="0" quotePrefix="0" xfId="61">
      <alignment horizontal="center" vertical="center" wrapText="1"/>
    </xf>
    <xf numFmtId="0" fontId="148" fillId="0" borderId="72" applyAlignment="1" pivotButton="0" quotePrefix="0" xfId="60">
      <alignment vertical="center"/>
    </xf>
    <xf numFmtId="0" fontId="147" fillId="4" borderId="322" applyAlignment="1" pivotButton="0" quotePrefix="0" xfId="63">
      <alignment horizontal="right"/>
    </xf>
    <xf numFmtId="0" fontId="147" fillId="4" borderId="320" applyAlignment="1" pivotButton="0" quotePrefix="0" xfId="63">
      <alignment horizontal="right"/>
    </xf>
    <xf numFmtId="0" fontId="149" fillId="15" borderId="319" applyAlignment="1" pivotButton="0" quotePrefix="0" xfId="60">
      <alignment vertical="center" wrapText="1"/>
    </xf>
    <xf numFmtId="0" fontId="149" fillId="15" borderId="85" applyAlignment="1" pivotButton="0" quotePrefix="0" xfId="60">
      <alignment horizontal="left" vertical="center"/>
    </xf>
    <xf numFmtId="0" fontId="149" fillId="15" borderId="85" applyAlignment="1" pivotButton="0" quotePrefix="0" xfId="60">
      <alignment vertical="center" wrapText="1"/>
    </xf>
    <xf numFmtId="173" fontId="150" fillId="15" borderId="85" applyAlignment="1" pivotButton="0" quotePrefix="0" xfId="62">
      <alignment vertical="center"/>
    </xf>
    <xf numFmtId="175" fontId="150" fillId="15" borderId="116" applyAlignment="1" pivotButton="0" quotePrefix="0" xfId="61">
      <alignment vertical="center"/>
    </xf>
    <xf numFmtId="175" fontId="150" fillId="15" borderId="83" applyAlignment="1" pivotButton="0" quotePrefix="0" xfId="61">
      <alignment vertical="center"/>
    </xf>
    <xf numFmtId="0" fontId="55" fillId="41" borderId="316" applyAlignment="1" pivotButton="0" quotePrefix="0" xfId="60">
      <alignment vertical="center" wrapText="1"/>
    </xf>
    <xf numFmtId="0" fontId="151" fillId="45" borderId="117" applyAlignment="1" pivotButton="0" quotePrefix="0" xfId="60">
      <alignment horizontal="left" vertical="center"/>
    </xf>
    <xf numFmtId="0" fontId="149" fillId="0" borderId="85" applyAlignment="1" pivotButton="0" quotePrefix="0" xfId="60">
      <alignment horizontal="right" vertical="center" wrapText="1"/>
    </xf>
    <xf numFmtId="173" fontId="150" fillId="0" borderId="85" applyAlignment="1" pivotButton="0" quotePrefix="0" xfId="62">
      <alignment vertical="center"/>
    </xf>
    <xf numFmtId="175" fontId="150" fillId="0" borderId="85" applyAlignment="1" pivotButton="0" quotePrefix="0" xfId="61">
      <alignment vertical="center"/>
    </xf>
    <xf numFmtId="175" fontId="150" fillId="0" borderId="318" applyAlignment="1" pivotButton="0" quotePrefix="0" xfId="61">
      <alignment vertical="center"/>
    </xf>
    <xf numFmtId="175" fontId="150" fillId="0" borderId="318" applyAlignment="1" pivotButton="0" quotePrefix="0" xfId="61">
      <alignment vertical="center" wrapText="1"/>
    </xf>
    <xf numFmtId="0" fontId="55" fillId="41" borderId="315" applyAlignment="1" pivotButton="0" quotePrefix="0" xfId="60">
      <alignment horizontal="left" vertical="center"/>
    </xf>
    <xf numFmtId="0" fontId="55" fillId="0" borderId="269" applyAlignment="1" pivotButton="0" quotePrefix="0" xfId="60">
      <alignment vertical="center" wrapText="1"/>
    </xf>
    <xf numFmtId="173" fontId="152" fillId="0" borderId="269" applyAlignment="1" pivotButton="0" quotePrefix="0" xfId="62">
      <alignment vertical="center"/>
    </xf>
    <xf numFmtId="171" fontId="152" fillId="0" borderId="317" applyAlignment="1" pivotButton="0" quotePrefix="0" xfId="41">
      <alignment vertical="center"/>
    </xf>
    <xf numFmtId="175" fontId="55" fillId="0" borderId="313" applyAlignment="1" pivotButton="0" quotePrefix="0" xfId="61">
      <alignment vertical="center"/>
    </xf>
    <xf numFmtId="171" fontId="152" fillId="0" borderId="314" applyAlignment="1" pivotButton="0" quotePrefix="0" xfId="41">
      <alignment vertical="center"/>
    </xf>
    <xf numFmtId="173" fontId="152" fillId="0" borderId="315" applyAlignment="1" pivotButton="0" quotePrefix="0" xfId="62">
      <alignment vertical="center"/>
    </xf>
    <xf numFmtId="0" fontId="55" fillId="41" borderId="258" applyAlignment="1" pivotButton="0" quotePrefix="0" xfId="60">
      <alignment horizontal="left" vertical="center"/>
    </xf>
    <xf numFmtId="0" fontId="54" fillId="46" borderId="113" applyAlignment="1" pivotButton="0" quotePrefix="0" xfId="60">
      <alignment horizontal="center" vertical="center"/>
    </xf>
    <xf numFmtId="0" fontId="57" fillId="4" borderId="69" applyAlignment="1" pivotButton="0" quotePrefix="0" xfId="67">
      <alignment horizontal="left" vertical="center"/>
    </xf>
    <xf numFmtId="0" fontId="57" fillId="4" borderId="59" applyAlignment="1" pivotButton="0" quotePrefix="0" xfId="67">
      <alignment horizontal="left" vertical="center"/>
    </xf>
    <xf numFmtId="0" fontId="57" fillId="4" borderId="40" applyAlignment="1" pivotButton="0" quotePrefix="0" xfId="67">
      <alignment horizontal="left" vertical="center"/>
    </xf>
    <xf numFmtId="0" fontId="149" fillId="15" borderId="85" applyAlignment="1" pivotButton="0" quotePrefix="0" xfId="60">
      <alignment vertical="center"/>
    </xf>
    <xf numFmtId="0" fontId="149" fillId="0" borderId="85" applyAlignment="1" pivotButton="0" quotePrefix="0" xfId="60">
      <alignment horizontal="right" vertical="center"/>
    </xf>
    <xf numFmtId="0" fontId="74" fillId="3" borderId="142" applyAlignment="1" pivotButton="0" quotePrefix="0" xfId="29">
      <alignment horizontal="left" vertical="center"/>
    </xf>
    <xf numFmtId="0" fontId="124" fillId="0" borderId="323" applyAlignment="1" pivotButton="0" quotePrefix="0" xfId="13">
      <alignment horizontal="left" vertical="center"/>
    </xf>
    <xf numFmtId="0" fontId="69" fillId="0" borderId="45" applyAlignment="1" pivotButton="0" quotePrefix="0" xfId="13">
      <alignment horizontal="left" vertical="center"/>
    </xf>
    <xf numFmtId="0" fontId="80" fillId="0" borderId="45" applyAlignment="1" pivotButton="0" quotePrefix="0" xfId="13">
      <alignment vertical="center"/>
    </xf>
    <xf numFmtId="172" fontId="124" fillId="0" borderId="324" applyAlignment="1" pivotButton="0" quotePrefix="1" xfId="15">
      <alignment horizontal="left" vertical="center"/>
    </xf>
    <xf numFmtId="172" fontId="69" fillId="0" borderId="325" applyAlignment="1" pivotButton="0" quotePrefix="1" xfId="15">
      <alignment horizontal="left" vertical="center"/>
    </xf>
    <xf numFmtId="0" fontId="71" fillId="0" borderId="45" applyAlignment="1" pivotButton="0" quotePrefix="0" xfId="13">
      <alignment vertical="center"/>
    </xf>
    <xf numFmtId="17" fontId="69" fillId="0" borderId="326" applyAlignment="1" pivotButton="0" quotePrefix="0" xfId="13">
      <alignment horizontal="left" vertical="center"/>
    </xf>
    <xf numFmtId="0" fontId="69" fillId="0" borderId="45" applyAlignment="1" pivotButton="0" quotePrefix="0" xfId="13">
      <alignment horizontal="right" vertical="center"/>
    </xf>
    <xf numFmtId="14" fontId="69" fillId="0" borderId="45" applyAlignment="1" pivotButton="0" quotePrefix="0" xfId="13">
      <alignment horizontal="center" vertical="center"/>
    </xf>
    <xf numFmtId="0" fontId="68" fillId="39" borderId="72" applyAlignment="1" pivotButton="0" quotePrefix="0" xfId="14">
      <alignment vertical="center"/>
    </xf>
    <xf numFmtId="0" fontId="68" fillId="39" borderId="72" applyAlignment="1" pivotButton="0" quotePrefix="0" xfId="14">
      <alignment horizontal="left" vertical="center"/>
    </xf>
    <xf numFmtId="0" fontId="126" fillId="16" borderId="120" applyAlignment="1" pivotButton="0" quotePrefix="0" xfId="14">
      <alignment horizontal="center" vertical="center"/>
    </xf>
    <xf numFmtId="0" fontId="126" fillId="16" borderId="120" applyAlignment="1" pivotButton="0" quotePrefix="0" xfId="14">
      <alignment horizontal="center" vertical="center" wrapText="1"/>
    </xf>
    <xf numFmtId="0" fontId="126" fillId="16" borderId="87" applyAlignment="1" pivotButton="0" quotePrefix="0" xfId="14">
      <alignment horizontal="center" vertical="center" wrapText="1"/>
    </xf>
    <xf numFmtId="0" fontId="126" fillId="16" borderId="87" applyAlignment="1" pivotButton="0" quotePrefix="0" xfId="47">
      <alignment horizontal="center" vertical="center"/>
    </xf>
    <xf numFmtId="0" fontId="126" fillId="16" borderId="117" applyAlignment="1" pivotButton="0" quotePrefix="0" xfId="47">
      <alignment horizontal="center" vertical="center"/>
    </xf>
    <xf numFmtId="0" fontId="126" fillId="16" borderId="85" applyAlignment="1" pivotButton="0" quotePrefix="0" xfId="47">
      <alignment horizontal="center" vertical="center" wrapText="1"/>
    </xf>
    <xf numFmtId="0" fontId="126" fillId="16" borderId="116" applyAlignment="1" pivotButton="0" quotePrefix="0" xfId="47">
      <alignment horizontal="center" vertical="center" wrapText="1"/>
    </xf>
    <xf numFmtId="0" fontId="126" fillId="16" borderId="116" applyAlignment="1" pivotButton="0" quotePrefix="0" xfId="47">
      <alignment horizontal="center" vertical="center"/>
    </xf>
    <xf numFmtId="0" fontId="126" fillId="16" borderId="93" applyAlignment="1" pivotButton="0" quotePrefix="0" xfId="14">
      <alignment vertical="center"/>
    </xf>
    <xf numFmtId="0" fontId="126" fillId="16" borderId="259" applyAlignment="1" pivotButton="0" quotePrefix="0" xfId="14">
      <alignment horizontal="left" vertical="center"/>
    </xf>
    <xf numFmtId="0" fontId="126" fillId="16" borderId="259" applyAlignment="1" pivotButton="0" quotePrefix="0" xfId="47">
      <alignment horizontal="center" vertical="center" wrapText="1"/>
    </xf>
    <xf numFmtId="0" fontId="126" fillId="16" borderId="87" applyAlignment="1" pivotButton="0" quotePrefix="0" xfId="47">
      <alignment horizontal="center" vertical="center" wrapText="1"/>
    </xf>
    <xf numFmtId="0" fontId="126" fillId="16" borderId="120" applyAlignment="1" pivotButton="0" quotePrefix="0" xfId="28">
      <alignment horizontal="center" vertical="center"/>
    </xf>
    <xf numFmtId="0" fontId="79" fillId="16" borderId="259" applyAlignment="1" pivotButton="0" quotePrefix="0" xfId="47">
      <alignment horizontal="center" vertical="center" wrapText="1"/>
    </xf>
    <xf numFmtId="0" fontId="129" fillId="16" borderId="76" applyAlignment="1" pivotButton="0" quotePrefix="0" xfId="14">
      <alignment vertical="center"/>
    </xf>
    <xf numFmtId="0" fontId="68" fillId="39" borderId="233" applyAlignment="1" pivotButton="0" quotePrefix="0" xfId="14">
      <alignment horizontal="left" vertical="center"/>
    </xf>
    <xf numFmtId="0" fontId="68" fillId="0" borderId="72" applyAlignment="1" pivotButton="0" quotePrefix="0" xfId="14">
      <alignment horizontal="left" vertical="center"/>
    </xf>
    <xf numFmtId="0" fontId="69" fillId="0" borderId="152" applyAlignment="1" pivotButton="0" quotePrefix="0" xfId="29">
      <alignment horizontal="center" wrapText="1"/>
    </xf>
    <xf numFmtId="0" fontId="69" fillId="0" borderId="106" applyAlignment="1" pivotButton="0" quotePrefix="0" xfId="29">
      <alignment horizontal="left" wrapText="1"/>
    </xf>
    <xf numFmtId="0" fontId="69" fillId="0" borderId="106" applyAlignment="1" pivotButton="0" quotePrefix="0" xfId="29">
      <alignment horizontal="center" wrapText="1"/>
    </xf>
    <xf numFmtId="0" fontId="69" fillId="0" borderId="153" applyAlignment="1" pivotButton="0" quotePrefix="0" xfId="29">
      <alignment horizontal="center" wrapText="1"/>
    </xf>
    <xf numFmtId="0" fontId="69" fillId="0" borderId="72" applyAlignment="1" pivotButton="0" quotePrefix="0" xfId="29">
      <alignment wrapText="1"/>
    </xf>
    <xf numFmtId="0" fontId="69" fillId="0" borderId="89" applyAlignment="1" pivotButton="0" quotePrefix="0" xfId="29">
      <alignment wrapText="1"/>
    </xf>
    <xf numFmtId="4" fontId="69" fillId="0" borderId="106" applyAlignment="1" pivotButton="0" quotePrefix="0" xfId="29">
      <alignment horizontal="center" wrapText="1"/>
    </xf>
    <xf numFmtId="0" fontId="74" fillId="3" borderId="80" applyAlignment="1" pivotButton="0" quotePrefix="0" xfId="29">
      <alignment horizontal="center" vertical="center" wrapText="1"/>
    </xf>
    <xf numFmtId="0" fontId="74" fillId="3" borderId="73" applyAlignment="1" pivotButton="0" quotePrefix="0" xfId="29">
      <alignment horizontal="center" vertical="center" wrapText="1"/>
    </xf>
    <xf numFmtId="0" fontId="74" fillId="3" borderId="81" applyAlignment="1" pivotButton="0" quotePrefix="0" xfId="29">
      <alignment horizontal="center" vertical="center" wrapText="1"/>
    </xf>
    <xf numFmtId="0" fontId="69" fillId="0" borderId="160" applyAlignment="1" pivotButton="0" quotePrefix="0" xfId="29">
      <alignment horizontal="center" wrapText="1"/>
    </xf>
    <xf numFmtId="0" fontId="69" fillId="0" borderId="161" applyAlignment="1" pivotButton="0" quotePrefix="0" xfId="29">
      <alignment horizontal="left" wrapText="1"/>
    </xf>
    <xf numFmtId="0" fontId="69" fillId="0" borderId="161" applyAlignment="1" pivotButton="0" quotePrefix="0" xfId="29">
      <alignment horizontal="center" wrapText="1"/>
    </xf>
    <xf numFmtId="0" fontId="69" fillId="0" borderId="162" applyAlignment="1" pivotButton="0" quotePrefix="0" xfId="29">
      <alignment horizontal="center" wrapText="1"/>
    </xf>
    <xf numFmtId="0" fontId="74" fillId="3" borderId="208" applyAlignment="1" pivotButton="0" quotePrefix="0" xfId="29">
      <alignment horizontal="center" vertical="center" wrapText="1"/>
    </xf>
    <xf numFmtId="169" fontId="66" fillId="0" borderId="72" applyAlignment="1" pivotButton="0" quotePrefix="0" xfId="58">
      <alignment horizontal="left" vertical="center"/>
    </xf>
    <xf numFmtId="170" fontId="66" fillId="0" borderId="72" applyAlignment="1" pivotButton="0" quotePrefix="0" xfId="58">
      <alignment horizontal="left" vertical="center"/>
    </xf>
    <xf numFmtId="0" fontId="149" fillId="15" borderId="85" applyAlignment="1" pivotButton="0" quotePrefix="0" xfId="60">
      <alignment horizontal="left" vertical="center" wrapText="1"/>
    </xf>
    <xf numFmtId="173" fontId="150" fillId="15" borderId="85" applyAlignment="1" pivotButton="0" quotePrefix="0" xfId="62">
      <alignment vertical="center" wrapText="1"/>
    </xf>
    <xf numFmtId="175" fontId="150" fillId="15" borderId="116" applyAlignment="1" pivotButton="0" quotePrefix="0" xfId="61">
      <alignment vertical="center" wrapText="1"/>
    </xf>
    <xf numFmtId="175" fontId="150" fillId="15" borderId="83" applyAlignment="1" pivotButton="0" quotePrefix="0" xfId="61">
      <alignment vertical="center" wrapText="1"/>
    </xf>
    <xf numFmtId="0" fontId="124" fillId="31" borderId="72" applyAlignment="1" pivotButton="0" quotePrefix="0" xfId="14">
      <alignment horizontal="center" vertical="center"/>
    </xf>
    <xf numFmtId="0" fontId="124" fillId="31" borderId="72" applyAlignment="1" pivotButton="0" quotePrefix="0" xfId="14">
      <alignment horizontal="center" vertical="center" wrapText="1"/>
    </xf>
    <xf numFmtId="0" fontId="0" fillId="47" borderId="327" applyAlignment="1" pivotButton="0" quotePrefix="0" xfId="0">
      <alignment horizontal="left" vertical="center"/>
    </xf>
    <xf numFmtId="0" fontId="0" fillId="47" borderId="327" applyAlignment="1" pivotButton="0" quotePrefix="0" xfId="0">
      <alignment horizontal="left" vertical="center" wrapText="1"/>
    </xf>
    <xf numFmtId="1" fontId="0" fillId="47" borderId="327" applyAlignment="1" pivotButton="0" quotePrefix="0" xfId="0">
      <alignment horizontal="center" vertical="center"/>
    </xf>
    <xf numFmtId="2" fontId="0" fillId="47" borderId="327" applyAlignment="1" pivotButton="0" quotePrefix="0" xfId="0">
      <alignment horizontal="center" vertical="center"/>
    </xf>
    <xf numFmtId="3" fontId="89" fillId="0" borderId="118" applyAlignment="1" pivotButton="0" quotePrefix="0" xfId="58">
      <alignment horizontal="left" vertical="center"/>
    </xf>
    <xf numFmtId="3" fontId="89" fillId="0" borderId="118" applyAlignment="1" pivotButton="0" quotePrefix="0" xfId="58">
      <alignment horizontal="center" vertical="center"/>
    </xf>
    <xf numFmtId="0" fontId="31" fillId="0" borderId="72" applyAlignment="1" pivotButton="0" quotePrefix="0" xfId="28">
      <alignment wrapText="1"/>
    </xf>
    <xf numFmtId="0" fontId="30" fillId="14" borderId="0" applyAlignment="1" pivotButton="0" quotePrefix="0" xfId="0">
      <alignment vertical="center"/>
    </xf>
    <xf numFmtId="2" fontId="63" fillId="33" borderId="207" applyAlignment="1" pivotButton="0" quotePrefix="0" xfId="0">
      <alignment horizontal="center" vertical="center"/>
    </xf>
    <xf numFmtId="0" fontId="52" fillId="36" borderId="72" applyAlignment="1" pivotButton="0" quotePrefix="0" xfId="28">
      <alignment horizontal="center" vertical="center" wrapText="1"/>
    </xf>
    <xf numFmtId="0" fontId="143" fillId="12" borderId="8" applyAlignment="1" pivotButton="0" quotePrefix="0" xfId="72">
      <alignment vertical="center" wrapText="1"/>
    </xf>
    <xf numFmtId="0" fontId="86" fillId="4" borderId="57" applyAlignment="1" pivotButton="0" quotePrefix="0" xfId="73">
      <alignment horizontal="left" vertical="center"/>
    </xf>
    <xf numFmtId="164" fontId="144" fillId="4" borderId="69" applyAlignment="1" pivotButton="0" quotePrefix="0" xfId="72">
      <alignment horizontal="left" vertical="center" wrapText="1"/>
    </xf>
    <xf numFmtId="0" fontId="76" fillId="4" borderId="69" applyAlignment="1" pivotButton="0" quotePrefix="0" xfId="72">
      <alignment horizontal="center" vertical="center" wrapText="1"/>
    </xf>
    <xf numFmtId="173" fontId="76" fillId="4" borderId="69" applyAlignment="1" pivotButton="0" quotePrefix="0" xfId="74">
      <alignment horizontal="center" vertical="center" wrapText="1"/>
    </xf>
    <xf numFmtId="0" fontId="15" fillId="4" borderId="20" pivotButton="0" quotePrefix="0" xfId="72"/>
    <xf numFmtId="0" fontId="15" fillId="4" borderId="29" pivotButton="0" quotePrefix="0" xfId="72"/>
    <xf numFmtId="0" fontId="15" fillId="4" borderId="21" pivotButton="0" quotePrefix="0" xfId="72"/>
    <xf numFmtId="0" fontId="15" fillId="0" borderId="72" pivotButton="0" quotePrefix="0" xfId="75"/>
    <xf numFmtId="0" fontId="143" fillId="12" borderId="11" applyAlignment="1" pivotButton="0" quotePrefix="0" xfId="72">
      <alignment vertical="center" wrapText="1"/>
    </xf>
    <xf numFmtId="0" fontId="86" fillId="4" borderId="58" applyAlignment="1" pivotButton="0" quotePrefix="0" xfId="73">
      <alignment horizontal="left" vertical="center"/>
    </xf>
    <xf numFmtId="164" fontId="144" fillId="4" borderId="59" applyAlignment="1" pivotButton="0" quotePrefix="0" xfId="72">
      <alignment horizontal="left" vertical="center" wrapText="1"/>
    </xf>
    <xf numFmtId="0" fontId="76" fillId="4" borderId="59" applyAlignment="1" pivotButton="0" quotePrefix="0" xfId="72">
      <alignment horizontal="center" vertical="center" wrapText="1"/>
    </xf>
    <xf numFmtId="173" fontId="76" fillId="4" borderId="59" applyAlignment="1" pivotButton="0" quotePrefix="0" xfId="74">
      <alignment horizontal="center" vertical="center" wrapText="1"/>
    </xf>
    <xf numFmtId="0" fontId="15" fillId="4" borderId="70" pivotButton="0" quotePrefix="0" xfId="72"/>
    <xf numFmtId="0" fontId="15" fillId="4" borderId="72" pivotButton="0" quotePrefix="0" xfId="72"/>
    <xf numFmtId="0" fontId="15" fillId="4" borderId="61" pivotButton="0" quotePrefix="0" xfId="72"/>
    <xf numFmtId="173" fontId="76" fillId="4" borderId="72" applyAlignment="1" pivotButton="0" quotePrefix="0" xfId="74">
      <alignment horizontal="center" vertical="center" wrapText="1"/>
    </xf>
    <xf numFmtId="0" fontId="76" fillId="4" borderId="72" applyAlignment="1" pivotButton="0" quotePrefix="0" xfId="72">
      <alignment horizontal="center" vertical="center" wrapText="1"/>
    </xf>
    <xf numFmtId="0" fontId="136" fillId="0" borderId="72" pivotButton="0" quotePrefix="0" xfId="75"/>
    <xf numFmtId="0" fontId="137" fillId="0" borderId="72" pivotButton="0" quotePrefix="0" xfId="75"/>
    <xf numFmtId="0" fontId="135" fillId="0" borderId="72" pivotButton="0" quotePrefix="0" xfId="75"/>
    <xf numFmtId="0" fontId="135" fillId="37" borderId="279" applyAlignment="1" pivotButton="0" quotePrefix="0" xfId="75">
      <alignment horizontal="center" vertical="center" wrapText="1"/>
    </xf>
    <xf numFmtId="0" fontId="135" fillId="37" borderId="87" applyAlignment="1" pivotButton="0" quotePrefix="0" xfId="75">
      <alignment horizontal="center" vertical="center" wrapText="1"/>
    </xf>
    <xf numFmtId="0" fontId="135" fillId="37" borderId="280" applyAlignment="1" pivotButton="0" quotePrefix="0" xfId="75">
      <alignment horizontal="center" vertical="center" wrapText="1"/>
    </xf>
    <xf numFmtId="0" fontId="145" fillId="0" borderId="80" applyAlignment="1" pivotButton="0" quotePrefix="0" xfId="75">
      <alignment horizontal="center"/>
    </xf>
    <xf numFmtId="0" fontId="145" fillId="0" borderId="73" applyAlignment="1" pivotButton="0" quotePrefix="0" xfId="75">
      <alignment horizontal="center" vertical="center"/>
    </xf>
    <xf numFmtId="0" fontId="145" fillId="0" borderId="81" applyAlignment="1" pivotButton="0" quotePrefix="0" xfId="75">
      <alignment horizontal="center" vertical="center"/>
    </xf>
    <xf numFmtId="0" fontId="145" fillId="0" borderId="286" pivotButton="0" quotePrefix="0" xfId="75"/>
    <xf numFmtId="0" fontId="135" fillId="0" borderId="55" applyAlignment="1" pivotButton="0" quotePrefix="0" xfId="75">
      <alignment vertical="center"/>
    </xf>
    <xf numFmtId="173" fontId="135" fillId="41" borderId="55" applyAlignment="1" pivotButton="0" quotePrefix="0" xfId="74">
      <alignment horizontal="center"/>
    </xf>
    <xf numFmtId="173" fontId="135" fillId="41" borderId="287" applyAlignment="1" pivotButton="0" quotePrefix="0" xfId="74">
      <alignment horizontal="center"/>
    </xf>
    <xf numFmtId="0" fontId="145" fillId="0" borderId="286" applyAlignment="1" pivotButton="0" quotePrefix="0" xfId="75">
      <alignment horizontal="center" vertical="center"/>
    </xf>
    <xf numFmtId="0" fontId="145" fillId="0" borderId="54" applyAlignment="1" pivotButton="0" quotePrefix="0" xfId="75">
      <alignment horizontal="center" vertical="center"/>
    </xf>
    <xf numFmtId="0" fontId="145" fillId="0" borderId="287" applyAlignment="1" pivotButton="0" quotePrefix="0" xfId="75">
      <alignment horizontal="center" vertical="center"/>
    </xf>
    <xf numFmtId="0" fontId="145" fillId="0" borderId="288" pivotButton="0" quotePrefix="0" xfId="75"/>
    <xf numFmtId="0" fontId="145" fillId="0" borderId="288" applyAlignment="1" pivotButton="0" quotePrefix="0" xfId="75">
      <alignment horizontal="center"/>
    </xf>
    <xf numFmtId="0" fontId="145" fillId="0" borderId="55" applyAlignment="1" pivotButton="0" quotePrefix="0" xfId="75">
      <alignment horizontal="center" vertical="center"/>
    </xf>
    <xf numFmtId="0" fontId="145" fillId="0" borderId="289" applyAlignment="1" pivotButton="0" quotePrefix="0" xfId="75">
      <alignment horizontal="center" vertical="center"/>
    </xf>
    <xf numFmtId="0" fontId="135" fillId="41" borderId="289" applyAlignment="1" pivotButton="0" quotePrefix="0" xfId="75">
      <alignment horizontal="center"/>
    </xf>
    <xf numFmtId="173" fontId="135" fillId="41" borderId="289" applyAlignment="1" pivotButton="0" quotePrefix="0" xfId="74">
      <alignment horizontal="center"/>
    </xf>
    <xf numFmtId="0" fontId="145" fillId="0" borderId="290" pivotButton="0" quotePrefix="0" xfId="75"/>
    <xf numFmtId="0" fontId="135" fillId="0" borderId="291" applyAlignment="1" pivotButton="0" quotePrefix="0" xfId="75">
      <alignment horizontal="left" vertical="center"/>
    </xf>
    <xf numFmtId="173" fontId="135" fillId="41" borderId="291" applyAlignment="1" pivotButton="0" quotePrefix="0" xfId="74">
      <alignment horizontal="center"/>
    </xf>
    <xf numFmtId="173" fontId="135" fillId="41" borderId="292" applyAlignment="1" pivotButton="0" quotePrefix="0" xfId="74">
      <alignment horizontal="center"/>
    </xf>
    <xf numFmtId="0" fontId="145" fillId="0" borderId="290" applyAlignment="1" pivotButton="0" quotePrefix="0" xfId="75">
      <alignment horizontal="center"/>
    </xf>
    <xf numFmtId="0" fontId="145" fillId="0" borderId="291" applyAlignment="1" pivotButton="0" quotePrefix="0" xfId="75">
      <alignment horizontal="center" vertical="center"/>
    </xf>
    <xf numFmtId="0" fontId="145" fillId="0" borderId="292" applyAlignment="1" pivotButton="0" quotePrefix="0" xfId="75">
      <alignment horizontal="center" vertical="center"/>
    </xf>
    <xf numFmtId="0" fontId="135" fillId="41" borderId="292" applyAlignment="1" pivotButton="0" quotePrefix="0" xfId="75">
      <alignment horizontal="center"/>
    </xf>
    <xf numFmtId="0" fontId="145" fillId="0" borderId="293" pivotButton="0" quotePrefix="0" xfId="75"/>
    <xf numFmtId="0" fontId="135" fillId="0" borderId="56" applyAlignment="1" pivotButton="0" quotePrefix="0" xfId="75">
      <alignment vertical="center"/>
    </xf>
    <xf numFmtId="173" fontId="135" fillId="41" borderId="56" applyAlignment="1" pivotButton="0" quotePrefix="0" xfId="74">
      <alignment horizontal="center"/>
    </xf>
    <xf numFmtId="173" fontId="135" fillId="41" borderId="294" applyAlignment="1" pivotButton="0" quotePrefix="0" xfId="74">
      <alignment horizontal="center"/>
    </xf>
    <xf numFmtId="0" fontId="145" fillId="0" borderId="293" applyAlignment="1" pivotButton="0" quotePrefix="0" xfId="75">
      <alignment horizontal="center"/>
    </xf>
    <xf numFmtId="0" fontId="145" fillId="0" borderId="56" applyAlignment="1" pivotButton="0" quotePrefix="0" xfId="75">
      <alignment horizontal="center" vertical="center"/>
    </xf>
    <xf numFmtId="0" fontId="145" fillId="0" borderId="294" applyAlignment="1" pivotButton="0" quotePrefix="0" xfId="75">
      <alignment horizontal="center" vertical="center"/>
    </xf>
    <xf numFmtId="0" fontId="135" fillId="41" borderId="294" applyAlignment="1" pivotButton="0" quotePrefix="0" xfId="75">
      <alignment horizontal="center"/>
    </xf>
    <xf numFmtId="0" fontId="145" fillId="0" borderId="295" pivotButton="0" quotePrefix="0" xfId="75"/>
    <xf numFmtId="0" fontId="135" fillId="0" borderId="296" applyAlignment="1" pivotButton="0" quotePrefix="0" xfId="75">
      <alignment vertical="center"/>
    </xf>
    <xf numFmtId="173" fontId="135" fillId="41" borderId="296" applyAlignment="1" pivotButton="0" quotePrefix="0" xfId="74">
      <alignment horizontal="center"/>
    </xf>
    <xf numFmtId="173" fontId="135" fillId="41" borderId="297" applyAlignment="1" pivotButton="0" quotePrefix="0" xfId="74">
      <alignment horizontal="center"/>
    </xf>
    <xf numFmtId="0" fontId="145" fillId="0" borderId="295" applyAlignment="1" pivotButton="0" quotePrefix="0" xfId="75">
      <alignment horizontal="center"/>
    </xf>
    <xf numFmtId="0" fontId="145" fillId="0" borderId="296" applyAlignment="1" pivotButton="0" quotePrefix="0" xfId="75">
      <alignment horizontal="center" vertical="center"/>
    </xf>
    <xf numFmtId="0" fontId="145" fillId="0" borderId="297" applyAlignment="1" pivotButton="0" quotePrefix="0" xfId="75">
      <alignment horizontal="center" vertical="center"/>
    </xf>
    <xf numFmtId="0" fontId="135" fillId="0" borderId="291" applyAlignment="1" pivotButton="0" quotePrefix="0" xfId="75">
      <alignment vertical="center"/>
    </xf>
    <xf numFmtId="0" fontId="135" fillId="0" borderId="232" pivotButton="0" quotePrefix="0" xfId="75"/>
    <xf numFmtId="0" fontId="137" fillId="0" borderId="232" pivotButton="0" quotePrefix="0" xfId="75"/>
    <xf numFmtId="0" fontId="135" fillId="0" borderId="54" applyAlignment="1" pivotButton="0" quotePrefix="0" xfId="75">
      <alignment vertical="center"/>
    </xf>
    <xf numFmtId="0" fontId="145" fillId="0" borderId="298" pivotButton="0" quotePrefix="0" xfId="75"/>
    <xf numFmtId="0" fontId="135" fillId="0" borderId="299" applyAlignment="1" pivotButton="0" quotePrefix="0" xfId="75">
      <alignment horizontal="left" vertical="center"/>
    </xf>
    <xf numFmtId="173" fontId="135" fillId="41" borderId="299" applyAlignment="1" pivotButton="0" quotePrefix="0" xfId="74">
      <alignment horizontal="center"/>
    </xf>
    <xf numFmtId="173" fontId="135" fillId="41" borderId="300" applyAlignment="1" pivotButton="0" quotePrefix="0" xfId="74">
      <alignment horizontal="center"/>
    </xf>
    <xf numFmtId="0" fontId="145" fillId="0" borderId="298" applyAlignment="1" pivotButton="0" quotePrefix="0" xfId="75">
      <alignment horizontal="center"/>
    </xf>
    <xf numFmtId="0" fontId="145" fillId="0" borderId="299" applyAlignment="1" pivotButton="0" quotePrefix="0" xfId="75">
      <alignment horizontal="center" vertical="center"/>
    </xf>
    <xf numFmtId="0" fontId="145" fillId="0" borderId="300" applyAlignment="1" pivotButton="0" quotePrefix="0" xfId="75">
      <alignment horizontal="center" vertical="center"/>
    </xf>
    <xf numFmtId="0" fontId="135" fillId="41" borderId="300" applyAlignment="1" pivotButton="0" quotePrefix="0" xfId="75">
      <alignment horizontal="center"/>
    </xf>
    <xf numFmtId="43" fontId="15" fillId="0" borderId="72" pivotButton="0" quotePrefix="0" xfId="15"/>
    <xf numFmtId="173" fontId="146" fillId="0" borderId="72" applyAlignment="1" pivotButton="0" quotePrefix="0" xfId="74">
      <alignment horizontal="right"/>
    </xf>
    <xf numFmtId="173" fontId="146" fillId="0" borderId="72" pivotButton="0" quotePrefix="0" xfId="74"/>
    <xf numFmtId="2" fontId="136" fillId="0" borderId="72" pivotButton="0" quotePrefix="0" xfId="75"/>
    <xf numFmtId="173" fontId="15" fillId="0" borderId="72" pivotButton="0" quotePrefix="0" xfId="74"/>
    <xf numFmtId="0" fontId="145" fillId="15" borderId="54" applyAlignment="1" pivotButton="0" quotePrefix="0" xfId="75">
      <alignment horizontal="center" vertical="center"/>
    </xf>
    <xf numFmtId="0" fontId="145" fillId="15" borderId="287" applyAlignment="1" pivotButton="0" quotePrefix="0" xfId="75">
      <alignment horizontal="center" vertical="center"/>
    </xf>
    <xf numFmtId="0" fontId="145" fillId="15" borderId="55" applyAlignment="1" pivotButton="0" quotePrefix="0" xfId="75">
      <alignment horizontal="center" vertical="center"/>
    </xf>
    <xf numFmtId="0" fontId="145" fillId="15" borderId="289" applyAlignment="1" pivotButton="0" quotePrefix="0" xfId="75">
      <alignment horizontal="center" vertical="center"/>
    </xf>
    <xf numFmtId="0" fontId="145" fillId="15" borderId="291" applyAlignment="1" pivotButton="0" quotePrefix="0" xfId="75">
      <alignment horizontal="center" vertical="center"/>
    </xf>
    <xf numFmtId="0" fontId="145" fillId="15" borderId="292" applyAlignment="1" pivotButton="0" quotePrefix="0" xfId="75">
      <alignment horizontal="center" vertical="center"/>
    </xf>
    <xf numFmtId="0" fontId="145" fillId="15" borderId="293" applyAlignment="1" pivotButton="0" quotePrefix="0" xfId="75">
      <alignment horizontal="center"/>
    </xf>
    <xf numFmtId="0" fontId="145" fillId="15" borderId="290" applyAlignment="1" pivotButton="0" quotePrefix="0" xfId="75">
      <alignment horizontal="center"/>
    </xf>
    <xf numFmtId="0" fontId="145" fillId="15" borderId="56" applyAlignment="1" pivotButton="0" quotePrefix="0" xfId="75">
      <alignment horizontal="center" vertical="center"/>
    </xf>
    <xf numFmtId="0" fontId="145" fillId="15" borderId="294" applyAlignment="1" pivotButton="0" quotePrefix="0" xfId="75">
      <alignment horizontal="center" vertical="center"/>
    </xf>
    <xf numFmtId="0" fontId="145" fillId="15" borderId="288" applyAlignment="1" pivotButton="0" quotePrefix="0" xfId="75">
      <alignment horizontal="center"/>
    </xf>
    <xf numFmtId="0" fontId="73" fillId="14" borderId="72" applyAlignment="1" pivotButton="0" quotePrefix="0" xfId="16">
      <alignment vertical="center"/>
    </xf>
    <xf numFmtId="0" fontId="69" fillId="0" borderId="45" applyAlignment="1" pivotButton="0" quotePrefix="0" xfId="13">
      <alignment vertical="center"/>
    </xf>
    <xf numFmtId="0" fontId="33" fillId="0" borderId="72" pivotButton="0" quotePrefix="0" xfId="80"/>
    <xf numFmtId="0" fontId="159" fillId="0" borderId="72" pivotButton="0" quotePrefix="0" xfId="80"/>
    <xf numFmtId="0" fontId="160" fillId="4" borderId="18" applyAlignment="1" pivotButton="0" quotePrefix="0" xfId="80">
      <alignment vertical="center"/>
    </xf>
    <xf numFmtId="0" fontId="99" fillId="4" borderId="71" applyAlignment="1" pivotButton="0" quotePrefix="0" xfId="80">
      <alignment vertical="center"/>
    </xf>
    <xf numFmtId="0" fontId="33" fillId="4" borderId="2" applyAlignment="1" pivotButton="0" quotePrefix="0" xfId="80">
      <alignment vertical="center"/>
    </xf>
    <xf numFmtId="17" fontId="33" fillId="4" borderId="2" applyAlignment="1" pivotButton="0" quotePrefix="0" xfId="80">
      <alignment horizontal="left" vertical="center"/>
    </xf>
    <xf numFmtId="0" fontId="99" fillId="4" borderId="18" applyAlignment="1" pivotButton="0" quotePrefix="0" xfId="80">
      <alignment vertical="center"/>
    </xf>
    <xf numFmtId="164" fontId="154" fillId="6" borderId="31" applyAlignment="1" pivotButton="0" quotePrefix="0" xfId="80">
      <alignment horizontal="left" vertical="center" wrapText="1"/>
    </xf>
    <xf numFmtId="164" fontId="154" fillId="6" borderId="53" applyAlignment="1" pivotButton="0" quotePrefix="0" xfId="80">
      <alignment horizontal="center" vertical="center" wrapText="1"/>
    </xf>
    <xf numFmtId="164" fontId="99" fillId="5" borderId="38" applyAlignment="1" pivotButton="0" quotePrefix="0" xfId="80">
      <alignment vertical="center"/>
    </xf>
    <xf numFmtId="164" fontId="99" fillId="5" borderId="40" applyAlignment="1" pivotButton="0" quotePrefix="0" xfId="80">
      <alignment vertical="center"/>
    </xf>
    <xf numFmtId="164" fontId="33" fillId="0" borderId="329" applyAlignment="1" pivotButton="0" quotePrefix="0" xfId="80">
      <alignment horizontal="left" vertical="center"/>
    </xf>
    <xf numFmtId="0" fontId="33" fillId="0" borderId="44" applyAlignment="1" pivotButton="0" quotePrefix="0" xfId="80">
      <alignment horizontal="center" vertical="center"/>
    </xf>
    <xf numFmtId="164" fontId="33" fillId="0" borderId="44" applyAlignment="1" pivotButton="0" quotePrefix="0" xfId="80">
      <alignment horizontal="center" vertical="center"/>
    </xf>
    <xf numFmtId="164" fontId="161" fillId="0" borderId="329" applyAlignment="1" pivotButton="0" quotePrefix="0" xfId="80">
      <alignment horizontal="left" vertical="center"/>
    </xf>
    <xf numFmtId="0" fontId="11" fillId="0" borderId="142" pivotButton="0" quotePrefix="0" xfId="88"/>
    <xf numFmtId="0" fontId="69" fillId="0" borderId="195" applyAlignment="1" pivotButton="0" quotePrefix="0" xfId="13">
      <alignment horizontal="left" vertical="center"/>
    </xf>
    <xf numFmtId="0" fontId="11" fillId="0" borderId="72" pivotButton="0" quotePrefix="0" xfId="88"/>
    <xf numFmtId="0" fontId="11" fillId="0" borderId="89" pivotButton="0" quotePrefix="0" xfId="88"/>
    <xf numFmtId="0" fontId="124" fillId="31" borderId="72" applyAlignment="1" pivotButton="0" quotePrefix="0" xfId="14">
      <alignment horizontal="left" vertical="center" wrapText="1"/>
    </xf>
    <xf numFmtId="0" fontId="11" fillId="0" borderId="330" pivotButton="0" quotePrefix="0" xfId="88"/>
    <xf numFmtId="0" fontId="11" fillId="0" borderId="107" pivotButton="0" quotePrefix="0" xfId="88"/>
    <xf numFmtId="181" fontId="11" fillId="0" borderId="107" applyAlignment="1" pivotButton="0" quotePrefix="0" xfId="88">
      <alignment horizontal="left"/>
    </xf>
    <xf numFmtId="181" fontId="11" fillId="0" borderId="107" applyAlignment="1" pivotButton="0" quotePrefix="0" xfId="88">
      <alignment horizontal="center"/>
    </xf>
    <xf numFmtId="181" fontId="128" fillId="0" borderId="107" applyAlignment="1" pivotButton="0" quotePrefix="0" xfId="88">
      <alignment horizontal="center"/>
    </xf>
    <xf numFmtId="173" fontId="0" fillId="0" borderId="107" pivotButton="0" quotePrefix="0" xfId="89"/>
    <xf numFmtId="173" fontId="0" fillId="0" borderId="224" pivotButton="0" quotePrefix="0" xfId="89"/>
    <xf numFmtId="173" fontId="0" fillId="0" borderId="331" pivotButton="0" quotePrefix="0" xfId="89"/>
    <xf numFmtId="0" fontId="11" fillId="0" borderId="204" pivotButton="0" quotePrefix="0" xfId="88"/>
    <xf numFmtId="0" fontId="11" fillId="0" borderId="205" pivotButton="0" quotePrefix="0" xfId="88"/>
    <xf numFmtId="181" fontId="11" fillId="0" borderId="205" applyAlignment="1" pivotButton="0" quotePrefix="0" xfId="88">
      <alignment horizontal="left"/>
    </xf>
    <xf numFmtId="181" fontId="11" fillId="0" borderId="205" applyAlignment="1" pivotButton="0" quotePrefix="0" xfId="88">
      <alignment horizontal="center"/>
    </xf>
    <xf numFmtId="181" fontId="128" fillId="0" borderId="205" applyAlignment="1" pivotButton="0" quotePrefix="0" xfId="88">
      <alignment horizontal="center"/>
    </xf>
    <xf numFmtId="173" fontId="0" fillId="0" borderId="205" pivotButton="0" quotePrefix="0" xfId="89"/>
    <xf numFmtId="173" fontId="0" fillId="0" borderId="332" pivotButton="0" quotePrefix="0" xfId="89"/>
    <xf numFmtId="173" fontId="0" fillId="0" borderId="206" pivotButton="0" quotePrefix="0" xfId="89"/>
    <xf numFmtId="0" fontId="163" fillId="16" borderId="333" pivotButton="0" quotePrefix="0" xfId="88"/>
    <xf numFmtId="0" fontId="163" fillId="16" borderId="334" pivotButton="0" quotePrefix="0" xfId="88"/>
    <xf numFmtId="0" fontId="157" fillId="16" borderId="334" applyAlignment="1" pivotButton="0" quotePrefix="0" xfId="88">
      <alignment vertical="center"/>
    </xf>
    <xf numFmtId="0" fontId="157" fillId="16" borderId="334" pivotButton="0" quotePrefix="0" xfId="88"/>
    <xf numFmtId="181" fontId="163" fillId="16" borderId="334" applyAlignment="1" pivotButton="0" quotePrefix="0" xfId="88">
      <alignment horizontal="left"/>
    </xf>
    <xf numFmtId="181" fontId="163" fillId="16" borderId="334" applyAlignment="1" pivotButton="0" quotePrefix="0" xfId="88">
      <alignment horizontal="center"/>
    </xf>
    <xf numFmtId="181" fontId="164" fillId="16" borderId="335" applyAlignment="1" pivotButton="0" quotePrefix="0" xfId="88">
      <alignment horizontal="center"/>
    </xf>
    <xf numFmtId="173" fontId="0" fillId="51" borderId="336" pivotButton="0" quotePrefix="0" xfId="89"/>
    <xf numFmtId="173" fontId="0" fillId="51" borderId="337" pivotButton="0" quotePrefix="0" xfId="89"/>
    <xf numFmtId="0" fontId="11" fillId="0" borderId="338" pivotButton="0" quotePrefix="0" xfId="88"/>
    <xf numFmtId="0" fontId="11" fillId="0" borderId="238" pivotButton="0" quotePrefix="0" xfId="88"/>
    <xf numFmtId="181" fontId="11" fillId="0" borderId="238" applyAlignment="1" pivotButton="0" quotePrefix="0" xfId="88">
      <alignment horizontal="left"/>
    </xf>
    <xf numFmtId="181" fontId="11" fillId="0" borderId="238" applyAlignment="1" pivotButton="0" quotePrefix="0" xfId="88">
      <alignment horizontal="center"/>
    </xf>
    <xf numFmtId="181" fontId="128" fillId="0" borderId="238" applyAlignment="1" pivotButton="0" quotePrefix="0" xfId="88">
      <alignment horizontal="center"/>
    </xf>
    <xf numFmtId="173" fontId="0" fillId="0" borderId="238" pivotButton="0" quotePrefix="0" xfId="89"/>
    <xf numFmtId="173" fontId="0" fillId="0" borderId="339" pivotButton="0" quotePrefix="0" xfId="89"/>
    <xf numFmtId="173" fontId="0" fillId="0" borderId="340" pivotButton="0" quotePrefix="0" xfId="89"/>
    <xf numFmtId="0" fontId="163" fillId="16" borderId="338" pivotButton="0" quotePrefix="0" xfId="88"/>
    <xf numFmtId="0" fontId="163" fillId="16" borderId="238" pivotButton="0" quotePrefix="0" xfId="88"/>
    <xf numFmtId="0" fontId="157" fillId="16" borderId="238" applyAlignment="1" pivotButton="0" quotePrefix="0" xfId="88">
      <alignment vertical="center"/>
    </xf>
    <xf numFmtId="0" fontId="157" fillId="16" borderId="238" pivotButton="0" quotePrefix="0" xfId="88"/>
    <xf numFmtId="181" fontId="163" fillId="16" borderId="238" applyAlignment="1" pivotButton="0" quotePrefix="0" xfId="88">
      <alignment horizontal="left"/>
    </xf>
    <xf numFmtId="181" fontId="163" fillId="16" borderId="238" applyAlignment="1" pivotButton="0" quotePrefix="0" xfId="88">
      <alignment horizontal="center"/>
    </xf>
    <xf numFmtId="181" fontId="164" fillId="16" borderId="341" applyAlignment="1" pivotButton="0" quotePrefix="0" xfId="88">
      <alignment horizontal="center"/>
    </xf>
    <xf numFmtId="173" fontId="0" fillId="51" borderId="231" pivotButton="0" quotePrefix="0" xfId="89"/>
    <xf numFmtId="173" fontId="0" fillId="51" borderId="340" pivotButton="0" quotePrefix="0" xfId="89"/>
    <xf numFmtId="0" fontId="11" fillId="0" borderId="333" pivotButton="0" quotePrefix="0" xfId="88"/>
    <xf numFmtId="0" fontId="11" fillId="0" borderId="334" pivotButton="0" quotePrefix="0" xfId="88"/>
    <xf numFmtId="181" fontId="11" fillId="0" borderId="334" applyAlignment="1" pivotButton="0" quotePrefix="0" xfId="88">
      <alignment horizontal="left"/>
    </xf>
    <xf numFmtId="181" fontId="11" fillId="0" borderId="334" applyAlignment="1" pivotButton="0" quotePrefix="0" xfId="88">
      <alignment horizontal="center"/>
    </xf>
    <xf numFmtId="181" fontId="128" fillId="0" borderId="334" applyAlignment="1" pivotButton="0" quotePrefix="0" xfId="88">
      <alignment horizontal="center"/>
    </xf>
    <xf numFmtId="173" fontId="0" fillId="0" borderId="334" pivotButton="0" quotePrefix="0" xfId="89"/>
    <xf numFmtId="173" fontId="0" fillId="0" borderId="342" pivotButton="0" quotePrefix="0" xfId="89"/>
    <xf numFmtId="173" fontId="0" fillId="0" borderId="337" pivotButton="0" quotePrefix="0" xfId="89"/>
    <xf numFmtId="0" fontId="11" fillId="0" borderId="152" pivotButton="0" quotePrefix="0" xfId="88"/>
    <xf numFmtId="0" fontId="11" fillId="0" borderId="106" pivotButton="0" quotePrefix="0" xfId="88"/>
    <xf numFmtId="181" fontId="11" fillId="0" borderId="106" applyAlignment="1" pivotButton="0" quotePrefix="0" xfId="88">
      <alignment horizontal="left"/>
    </xf>
    <xf numFmtId="181" fontId="11" fillId="0" borderId="106" applyAlignment="1" pivotButton="0" quotePrefix="0" xfId="88">
      <alignment horizontal="center"/>
    </xf>
    <xf numFmtId="181" fontId="128" fillId="0" borderId="106" applyAlignment="1" pivotButton="0" quotePrefix="0" xfId="88">
      <alignment horizontal="center"/>
    </xf>
    <xf numFmtId="173" fontId="0" fillId="0" borderId="106" pivotButton="0" quotePrefix="0" xfId="89"/>
    <xf numFmtId="173" fontId="0" fillId="0" borderId="230" pivotButton="0" quotePrefix="0" xfId="89"/>
    <xf numFmtId="173" fontId="0" fillId="0" borderId="153" pivotButton="0" quotePrefix="0" xfId="89"/>
    <xf numFmtId="173" fontId="0" fillId="0" borderId="106" pivotButton="0" quotePrefix="0" xfId="89"/>
    <xf numFmtId="173" fontId="0" fillId="51" borderId="228" pivotButton="0" quotePrefix="0" xfId="89"/>
    <xf numFmtId="173" fontId="0" fillId="51" borderId="225" pivotButton="0" quotePrefix="0" xfId="89"/>
    <xf numFmtId="173" fontId="0" fillId="51" borderId="226" pivotButton="0" quotePrefix="0" xfId="89"/>
    <xf numFmtId="173" fontId="0" fillId="51" borderId="343" pivotButton="0" quotePrefix="0" xfId="89"/>
    <xf numFmtId="0" fontId="11" fillId="0" borderId="201" pivotButton="0" quotePrefix="0" xfId="88"/>
    <xf numFmtId="0" fontId="11" fillId="0" borderId="202" pivotButton="0" quotePrefix="0" xfId="88"/>
    <xf numFmtId="181" fontId="11" fillId="0" borderId="202" applyAlignment="1" pivotButton="0" quotePrefix="0" xfId="88">
      <alignment horizontal="left"/>
    </xf>
    <xf numFmtId="181" fontId="11" fillId="0" borderId="202" applyAlignment="1" pivotButton="0" quotePrefix="0" xfId="88">
      <alignment horizontal="center"/>
    </xf>
    <xf numFmtId="181" fontId="128" fillId="0" borderId="202" applyAlignment="1" pivotButton="0" quotePrefix="0" xfId="88">
      <alignment horizontal="center"/>
    </xf>
    <xf numFmtId="173" fontId="0" fillId="0" borderId="202" pivotButton="0" quotePrefix="0" xfId="89"/>
    <xf numFmtId="173" fontId="0" fillId="0" borderId="344" pivotButton="0" quotePrefix="0" xfId="89"/>
    <xf numFmtId="173" fontId="0" fillId="0" borderId="203" pivotButton="0" quotePrefix="0" xfId="89"/>
    <xf numFmtId="173" fontId="0" fillId="0" borderId="108" pivotButton="0" quotePrefix="0" xfId="89"/>
    <xf numFmtId="173" fontId="0" fillId="0" borderId="108" pivotButton="0" quotePrefix="0" xfId="89"/>
    <xf numFmtId="173" fontId="0" fillId="0" borderId="345" pivotButton="0" quotePrefix="0" xfId="89"/>
    <xf numFmtId="173" fontId="0" fillId="0" borderId="155" pivotButton="0" quotePrefix="0" xfId="89"/>
    <xf numFmtId="173" fontId="0" fillId="0" borderId="205" pivotButton="0" quotePrefix="0" xfId="89"/>
    <xf numFmtId="173" fontId="63" fillId="0" borderId="106" pivotButton="0" quotePrefix="0" xfId="89"/>
    <xf numFmtId="173" fontId="0" fillId="0" borderId="328" pivotButton="0" quotePrefix="0" xfId="89"/>
    <xf numFmtId="0" fontId="11" fillId="0" borderId="160" pivotButton="0" quotePrefix="0" xfId="88"/>
    <xf numFmtId="0" fontId="11" fillId="0" borderId="161" pivotButton="0" quotePrefix="0" xfId="88"/>
    <xf numFmtId="181" fontId="11" fillId="0" borderId="161" applyAlignment="1" pivotButton="0" quotePrefix="0" xfId="88">
      <alignment horizontal="left"/>
    </xf>
    <xf numFmtId="181" fontId="11" fillId="0" borderId="161" applyAlignment="1" pivotButton="0" quotePrefix="0" xfId="88">
      <alignment horizontal="center"/>
    </xf>
    <xf numFmtId="181" fontId="128" fillId="0" borderId="161" applyAlignment="1" pivotButton="0" quotePrefix="0" xfId="88">
      <alignment horizontal="center"/>
    </xf>
    <xf numFmtId="0" fontId="163" fillId="16" borderId="346" pivotButton="0" quotePrefix="0" xfId="88"/>
    <xf numFmtId="0" fontId="163" fillId="16" borderId="347" pivotButton="0" quotePrefix="0" xfId="88"/>
    <xf numFmtId="0" fontId="157" fillId="16" borderId="347" applyAlignment="1" pivotButton="0" quotePrefix="0" xfId="88">
      <alignment vertical="center"/>
    </xf>
    <xf numFmtId="0" fontId="157" fillId="16" borderId="347" pivotButton="0" quotePrefix="0" xfId="88"/>
    <xf numFmtId="181" fontId="163" fillId="16" borderId="347" applyAlignment="1" pivotButton="0" quotePrefix="0" xfId="88">
      <alignment horizontal="left"/>
    </xf>
    <xf numFmtId="181" fontId="163" fillId="16" borderId="347" applyAlignment="1" pivotButton="0" quotePrefix="0" xfId="88">
      <alignment horizontal="center"/>
    </xf>
    <xf numFmtId="181" fontId="164" fillId="16" borderId="348" applyAlignment="1" pivotButton="0" quotePrefix="0" xfId="88">
      <alignment horizontal="center"/>
    </xf>
    <xf numFmtId="173" fontId="0" fillId="51" borderId="349" pivotButton="0" quotePrefix="0" xfId="89"/>
    <xf numFmtId="173" fontId="0" fillId="51" borderId="350" pivotButton="0" quotePrefix="0" xfId="89"/>
    <xf numFmtId="0" fontId="11" fillId="0" borderId="72" applyAlignment="1" pivotButton="0" quotePrefix="0" xfId="88">
      <alignment horizontal="left"/>
    </xf>
    <xf numFmtId="0" fontId="11" fillId="0" borderId="72" applyAlignment="1" pivotButton="0" quotePrefix="0" xfId="88">
      <alignment horizontal="center"/>
    </xf>
    <xf numFmtId="173" fontId="0" fillId="0" borderId="72" pivotButton="0" quotePrefix="0" xfId="89"/>
    <xf numFmtId="4" fontId="71" fillId="39" borderId="205" applyAlignment="1" pivotButton="0" quotePrefix="1" xfId="14">
      <alignment vertical="center" wrapText="1"/>
    </xf>
    <xf numFmtId="0" fontId="71" fillId="39" borderId="205" applyAlignment="1" pivotButton="0" quotePrefix="1" xfId="14">
      <alignment vertical="center" wrapText="1"/>
    </xf>
    <xf numFmtId="0" fontId="71" fillId="39" borderId="205" applyAlignment="1" pivotButton="0" quotePrefix="0" xfId="14">
      <alignment vertical="center"/>
    </xf>
    <xf numFmtId="4" fontId="71" fillId="39" borderId="205" applyAlignment="1" pivotButton="0" quotePrefix="0" xfId="26">
      <alignment horizontal="center" vertical="center" wrapText="1"/>
    </xf>
    <xf numFmtId="3" fontId="71" fillId="39" borderId="205" applyAlignment="1" pivotButton="0" quotePrefix="0" xfId="26">
      <alignment horizontal="center" vertical="center" wrapText="1"/>
    </xf>
    <xf numFmtId="4" fontId="71" fillId="38" borderId="205" applyAlignment="1" pivotButton="0" quotePrefix="0" xfId="26">
      <alignment vertical="center" wrapText="1"/>
    </xf>
    <xf numFmtId="4" fontId="71" fillId="38" borderId="332" applyAlignment="1" pivotButton="0" quotePrefix="0" xfId="26">
      <alignment vertical="center" wrapText="1"/>
    </xf>
    <xf numFmtId="4" fontId="134" fillId="0" borderId="332" applyAlignment="1" pivotButton="0" quotePrefix="0" xfId="26">
      <alignment vertical="center" wrapText="1"/>
    </xf>
    <xf numFmtId="173" fontId="69" fillId="0" borderId="45" applyAlignment="1" pivotButton="0" quotePrefix="0" xfId="90">
      <alignment vertical="center"/>
    </xf>
    <xf numFmtId="173" fontId="131" fillId="0" borderId="45" applyAlignment="1" pivotButton="0" quotePrefix="0" xfId="90">
      <alignment vertical="center"/>
    </xf>
    <xf numFmtId="172" fontId="69" fillId="0" borderId="325" applyAlignment="1" pivotButton="0" quotePrefix="1" xfId="15">
      <alignment vertical="center"/>
    </xf>
    <xf numFmtId="173" fontId="72" fillId="0" borderId="325" applyAlignment="1" pivotButton="0" quotePrefix="1" xfId="90">
      <alignment horizontal="left" vertical="center"/>
    </xf>
    <xf numFmtId="173" fontId="69" fillId="0" borderId="45" applyAlignment="1" pivotButton="0" quotePrefix="0" xfId="90">
      <alignment horizontal="left" vertical="center"/>
    </xf>
    <xf numFmtId="0" fontId="31" fillId="39" borderId="72" applyAlignment="1" pivotButton="0" quotePrefix="0" xfId="14">
      <alignment vertical="center"/>
    </xf>
    <xf numFmtId="173" fontId="68" fillId="39" borderId="72" applyAlignment="1" pivotButton="0" quotePrefix="0" xfId="90">
      <alignment vertical="center"/>
    </xf>
    <xf numFmtId="173" fontId="126" fillId="16" borderId="259" applyAlignment="1" pivotButton="0" quotePrefix="0" xfId="90">
      <alignment horizontal="center" vertical="center"/>
    </xf>
    <xf numFmtId="173" fontId="126" fillId="16" borderId="120" applyAlignment="1" pivotButton="0" quotePrefix="0" xfId="90">
      <alignment horizontal="center" vertical="center"/>
    </xf>
    <xf numFmtId="173" fontId="126" fillId="16" borderId="87" applyAlignment="1" pivotButton="0" quotePrefix="0" xfId="90">
      <alignment horizontal="center" vertical="center"/>
    </xf>
    <xf numFmtId="173" fontId="126" fillId="16" borderId="120" applyAlignment="1" pivotButton="0" quotePrefix="0" xfId="90">
      <alignment horizontal="center" vertical="center" wrapText="1"/>
    </xf>
    <xf numFmtId="173" fontId="126" fillId="16" borderId="87" applyAlignment="1" pivotButton="0" quotePrefix="0" xfId="90">
      <alignment horizontal="center" vertical="center" wrapText="1"/>
    </xf>
    <xf numFmtId="0" fontId="79" fillId="16" borderId="259" applyAlignment="1" pivotButton="0" quotePrefix="0" xfId="14">
      <alignment vertical="center" wrapText="1"/>
    </xf>
    <xf numFmtId="173" fontId="126" fillId="16" borderId="93" applyAlignment="1" pivotButton="0" quotePrefix="0" xfId="90">
      <alignment horizontal="center" vertical="center"/>
    </xf>
    <xf numFmtId="173" fontId="124" fillId="15" borderId="223" applyAlignment="1" pivotButton="0" quotePrefix="0" xfId="90">
      <alignment vertical="center"/>
    </xf>
    <xf numFmtId="3" fontId="69" fillId="0" borderId="226" applyAlignment="1" pivotButton="0" quotePrefix="0" xfId="26">
      <alignment vertical="center" wrapText="1"/>
    </xf>
    <xf numFmtId="173" fontId="69" fillId="37" borderId="226" applyAlignment="1" pivotButton="0" quotePrefix="0" xfId="90">
      <alignment vertical="center" wrapText="1"/>
    </xf>
    <xf numFmtId="173" fontId="69" fillId="0" borderId="227" applyAlignment="1" pivotButton="0" quotePrefix="0" xfId="90">
      <alignment horizontal="center" vertical="center" wrapText="1"/>
    </xf>
    <xf numFmtId="173" fontId="69" fillId="0" borderId="225" applyAlignment="1" pivotButton="0" quotePrefix="0" xfId="90">
      <alignment vertical="center" wrapText="1"/>
    </xf>
    <xf numFmtId="173" fontId="69" fillId="37" borderId="228" applyAlignment="1" pivotButton="0" quotePrefix="0" xfId="90">
      <alignment vertical="center" wrapText="1"/>
    </xf>
    <xf numFmtId="173" fontId="69" fillId="0" borderId="106" applyAlignment="1" pivotButton="0" quotePrefix="0" xfId="90">
      <alignment vertical="center" wrapText="1"/>
    </xf>
    <xf numFmtId="173" fontId="69" fillId="37" borderId="72" applyAlignment="1" pivotButton="0" quotePrefix="0" xfId="90">
      <alignment vertical="center" wrapText="1"/>
    </xf>
    <xf numFmtId="181" fontId="153" fillId="0" borderId="186" applyAlignment="1" pivotButton="0" quotePrefix="0" xfId="91">
      <alignment horizontal="center"/>
    </xf>
    <xf numFmtId="17" fontId="69" fillId="0" borderId="230" applyAlignment="1" pivotButton="0" quotePrefix="0" xfId="14">
      <alignment horizontal="left" vertical="center"/>
    </xf>
    <xf numFmtId="3" fontId="69" fillId="0" borderId="230" applyAlignment="1" pivotButton="0" quotePrefix="0" xfId="26">
      <alignment vertical="center" wrapText="1"/>
    </xf>
    <xf numFmtId="173" fontId="69" fillId="0" borderId="185" applyAlignment="1" pivotButton="0" quotePrefix="0" xfId="90">
      <alignment horizontal="center" vertical="center" wrapText="1"/>
    </xf>
    <xf numFmtId="173" fontId="31" fillId="39" borderId="233" applyAlignment="1" pivotButton="0" quotePrefix="0" xfId="90">
      <alignment vertical="center"/>
    </xf>
    <xf numFmtId="173" fontId="124" fillId="15" borderId="235" applyAlignment="1" pivotButton="0" quotePrefix="0" xfId="90">
      <alignment vertical="center"/>
    </xf>
    <xf numFmtId="0" fontId="69" fillId="0" borderId="230" applyAlignment="1" pivotButton="0" quotePrefix="0" xfId="14">
      <alignment vertical="center"/>
    </xf>
    <xf numFmtId="173" fontId="69" fillId="0" borderId="185" applyAlignment="1" pivotButton="0" quotePrefix="0" xfId="90">
      <alignment horizontal="left" vertical="center"/>
    </xf>
    <xf numFmtId="173" fontId="69" fillId="0" borderId="230" applyAlignment="1" pivotButton="0" quotePrefix="0" xfId="90">
      <alignment horizontal="center" vertical="center"/>
    </xf>
    <xf numFmtId="173" fontId="69" fillId="0" borderId="230" applyAlignment="1" pivotButton="0" quotePrefix="0" xfId="90">
      <alignment horizontal="left" vertical="center"/>
    </xf>
    <xf numFmtId="3" fontId="69" fillId="40" borderId="224" applyAlignment="1" pivotButton="0" quotePrefix="0" xfId="26">
      <alignment vertical="center" wrapText="1"/>
    </xf>
    <xf numFmtId="173" fontId="31" fillId="37" borderId="72" applyAlignment="1" pivotButton="0" quotePrefix="0" xfId="90">
      <alignment vertical="center"/>
    </xf>
    <xf numFmtId="173" fontId="69" fillId="40" borderId="189" applyAlignment="1" pivotButton="0" quotePrefix="0" xfId="90">
      <alignment horizontal="center" vertical="center" wrapText="1"/>
    </xf>
    <xf numFmtId="173" fontId="69" fillId="39" borderId="107" applyAlignment="1" pivotButton="0" quotePrefix="0" xfId="90">
      <alignment vertical="center" wrapText="1"/>
    </xf>
    <xf numFmtId="173" fontId="69" fillId="0" borderId="107" applyAlignment="1" pivotButton="0" quotePrefix="0" xfId="90">
      <alignment vertical="center" wrapText="1"/>
    </xf>
    <xf numFmtId="173" fontId="69" fillId="39" borderId="107" applyAlignment="1" pivotButton="0" quotePrefix="0" xfId="90">
      <alignment horizontal="center" vertical="center"/>
    </xf>
    <xf numFmtId="173" fontId="69" fillId="40" borderId="236" applyAlignment="1" pivotButton="0" quotePrefix="0" xfId="90">
      <alignment horizontal="center" vertical="center" wrapText="1"/>
    </xf>
    <xf numFmtId="17" fontId="69" fillId="39" borderId="339" applyAlignment="1" pivotButton="0" quotePrefix="1" xfId="14">
      <alignment horizontal="left" vertical="center"/>
    </xf>
    <xf numFmtId="3" fontId="69" fillId="40" borderId="224" applyAlignment="1" pivotButton="0" quotePrefix="0" xfId="26">
      <alignment vertical="center"/>
    </xf>
    <xf numFmtId="173" fontId="31" fillId="0" borderId="190" applyAlignment="1" pivotButton="0" quotePrefix="0" xfId="90">
      <alignment vertical="center"/>
    </xf>
    <xf numFmtId="173" fontId="68" fillId="39" borderId="233" applyAlignment="1" pivotButton="0" quotePrefix="0" xfId="90">
      <alignment vertical="center"/>
    </xf>
    <xf numFmtId="173" fontId="68" fillId="0" borderId="72" applyAlignment="1" pivotButton="0" quotePrefix="0" xfId="90">
      <alignment vertical="center"/>
    </xf>
    <xf numFmtId="4" fontId="68" fillId="0" borderId="72" applyAlignment="1" pivotButton="0" quotePrefix="0" xfId="14">
      <alignment vertical="center"/>
    </xf>
    <xf numFmtId="0" fontId="141" fillId="52" borderId="157" applyAlignment="1" pivotButton="0" quotePrefix="0" xfId="92">
      <alignment vertical="center"/>
    </xf>
    <xf numFmtId="0" fontId="167" fillId="52" borderId="157" applyAlignment="1" pivotButton="0" quotePrefix="0" xfId="92">
      <alignment horizontal="center" vertical="center"/>
    </xf>
    <xf numFmtId="0" fontId="162" fillId="0" borderId="72" pivotButton="0" quotePrefix="0" xfId="92"/>
    <xf numFmtId="0" fontId="126" fillId="16" borderId="351" applyAlignment="1" pivotButton="0" quotePrefix="0" xfId="14">
      <alignment horizontal="center" vertical="center"/>
    </xf>
    <xf numFmtId="0" fontId="126" fillId="16" borderId="352" applyAlignment="1" pivotButton="0" quotePrefix="0" xfId="14">
      <alignment horizontal="center" vertical="center"/>
    </xf>
    <xf numFmtId="0" fontId="126" fillId="16" borderId="352" applyAlignment="1" pivotButton="0" quotePrefix="0" xfId="14">
      <alignment horizontal="center" vertical="center" wrapText="1"/>
    </xf>
    <xf numFmtId="0" fontId="126" fillId="45" borderId="352" applyAlignment="1" pivotButton="0" quotePrefix="0" xfId="14">
      <alignment horizontal="center" vertical="center" wrapText="1"/>
    </xf>
    <xf numFmtId="0" fontId="126" fillId="16" borderId="105" applyAlignment="1" pivotButton="0" quotePrefix="0" xfId="14">
      <alignment horizontal="center" vertical="center" wrapText="1"/>
    </xf>
    <xf numFmtId="0" fontId="11" fillId="0" borderId="152" applyAlignment="1" pivotButton="0" quotePrefix="0" xfId="88">
      <alignment horizontal="center"/>
    </xf>
    <xf numFmtId="0" fontId="11" fillId="0" borderId="106" applyAlignment="1" pivotButton="0" quotePrefix="0" xfId="88">
      <alignment horizontal="center"/>
    </xf>
    <xf numFmtId="2" fontId="0" fillId="0" borderId="106" applyAlignment="1" pivotButton="0" quotePrefix="0" xfId="89">
      <alignment horizontal="center"/>
    </xf>
    <xf numFmtId="2" fontId="0" fillId="53" borderId="106" applyAlignment="1" pivotButton="0" quotePrefix="0" xfId="89">
      <alignment horizontal="center"/>
    </xf>
    <xf numFmtId="2" fontId="0" fillId="0" borderId="153" applyAlignment="1" pivotButton="0" quotePrefix="0" xfId="89">
      <alignment horizontal="center"/>
    </xf>
    <xf numFmtId="2" fontId="63" fillId="0" borderId="106" applyAlignment="1" pivotButton="0" quotePrefix="0" xfId="89">
      <alignment horizontal="center"/>
    </xf>
    <xf numFmtId="2" fontId="0" fillId="0" borderId="108" applyAlignment="1" pivotButton="0" quotePrefix="0" xfId="89">
      <alignment horizontal="center"/>
    </xf>
    <xf numFmtId="2" fontId="0" fillId="0" borderId="155" applyAlignment="1" pivotButton="0" quotePrefix="0" xfId="89">
      <alignment horizontal="center"/>
    </xf>
    <xf numFmtId="0" fontId="163" fillId="54" borderId="152" applyAlignment="1" pivotButton="0" quotePrefix="0" xfId="88">
      <alignment horizontal="center"/>
    </xf>
    <xf numFmtId="0" fontId="163" fillId="54" borderId="106" applyAlignment="1" pivotButton="0" quotePrefix="0" xfId="88">
      <alignment horizontal="center"/>
    </xf>
    <xf numFmtId="181" fontId="163" fillId="54" borderId="106" applyAlignment="1" pivotButton="0" quotePrefix="0" xfId="88">
      <alignment horizontal="center"/>
    </xf>
    <xf numFmtId="2" fontId="125" fillId="54" borderId="106" applyAlignment="1" pivotButton="0" quotePrefix="0" xfId="89">
      <alignment horizontal="center"/>
    </xf>
    <xf numFmtId="2" fontId="125" fillId="54" borderId="153" applyAlignment="1" pivotButton="0" quotePrefix="0" xfId="89">
      <alignment horizontal="center"/>
    </xf>
    <xf numFmtId="0" fontId="163" fillId="55" borderId="330" applyAlignment="1" pivotButton="0" quotePrefix="0" xfId="88">
      <alignment horizontal="center"/>
    </xf>
    <xf numFmtId="0" fontId="163" fillId="55" borderId="107" applyAlignment="1" pivotButton="0" quotePrefix="0" xfId="88">
      <alignment horizontal="center"/>
    </xf>
    <xf numFmtId="181" fontId="163" fillId="55" borderId="107" applyAlignment="1" pivotButton="0" quotePrefix="0" xfId="88">
      <alignment horizontal="center"/>
    </xf>
    <xf numFmtId="2" fontId="125" fillId="55" borderId="107" applyAlignment="1" pivotButton="0" quotePrefix="0" xfId="89">
      <alignment horizontal="center"/>
    </xf>
    <xf numFmtId="2" fontId="125" fillId="55" borderId="331" applyAlignment="1" pivotButton="0" quotePrefix="0" xfId="89">
      <alignment horizontal="center"/>
    </xf>
    <xf numFmtId="0" fontId="162" fillId="0" borderId="72" applyAlignment="1" pivotButton="0" quotePrefix="0" xfId="92">
      <alignment horizontal="center"/>
    </xf>
    <xf numFmtId="0" fontId="87" fillId="4" borderId="8" applyAlignment="1" pivotButton="0" quotePrefix="0" xfId="73">
      <alignment horizontal="left"/>
    </xf>
    <xf numFmtId="0" fontId="31" fillId="0" borderId="69" pivotButton="0" quotePrefix="0" xfId="73"/>
    <xf numFmtId="0" fontId="86" fillId="4" borderId="72" pivotButton="0" quotePrefix="0" xfId="73"/>
    <xf numFmtId="0" fontId="63" fillId="0" borderId="72" pivotButton="0" quotePrefix="0" xfId="73"/>
    <xf numFmtId="0" fontId="87" fillId="4" borderId="11" applyAlignment="1" pivotButton="0" quotePrefix="0" xfId="73">
      <alignment horizontal="left"/>
    </xf>
    <xf numFmtId="0" fontId="31" fillId="0" borderId="59" pivotButton="0" quotePrefix="0" xfId="73"/>
    <xf numFmtId="164" fontId="88" fillId="13" borderId="53" applyAlignment="1" pivotButton="0" quotePrefix="0" xfId="73">
      <alignment horizontal="center" vertical="center"/>
    </xf>
    <xf numFmtId="164" fontId="88" fillId="13" borderId="32" applyAlignment="1" pivotButton="0" quotePrefix="0" xfId="73">
      <alignment horizontal="center" vertical="center"/>
    </xf>
    <xf numFmtId="164" fontId="88" fillId="13" borderId="4" applyAlignment="1" pivotButton="0" quotePrefix="0" xfId="73">
      <alignment horizontal="center" vertical="center"/>
    </xf>
    <xf numFmtId="9" fontId="88" fillId="13" borderId="4" applyAlignment="1" pivotButton="0" quotePrefix="0" xfId="73">
      <alignment horizontal="center" vertical="center"/>
    </xf>
    <xf numFmtId="0" fontId="86" fillId="4" borderId="4" applyAlignment="1" pivotButton="0" quotePrefix="0" xfId="73">
      <alignment horizontal="center"/>
    </xf>
    <xf numFmtId="164" fontId="86" fillId="4" borderId="4" pivotButton="0" quotePrefix="0" xfId="73"/>
    <xf numFmtId="182" fontId="86" fillId="4" borderId="4" pivotButton="0" quotePrefix="0" xfId="73"/>
    <xf numFmtId="182" fontId="86" fillId="5" borderId="4" pivotButton="0" quotePrefix="0" xfId="73"/>
    <xf numFmtId="183" fontId="86" fillId="4" borderId="4" pivotButton="0" quotePrefix="0" xfId="73"/>
    <xf numFmtId="182" fontId="86" fillId="6" borderId="4" pivotButton="0" quotePrefix="0" xfId="73"/>
    <xf numFmtId="182" fontId="86" fillId="56" borderId="4" pivotButton="0" quotePrefix="0" xfId="73"/>
    <xf numFmtId="164" fontId="86" fillId="5" borderId="4" pivotButton="0" quotePrefix="0" xfId="73"/>
    <xf numFmtId="164" fontId="86" fillId="4" borderId="72" pivotButton="0" quotePrefix="0" xfId="73"/>
    <xf numFmtId="182" fontId="87" fillId="4" borderId="4" pivotButton="0" quotePrefix="0" xfId="73"/>
    <xf numFmtId="0" fontId="86" fillId="4" borderId="191" pivotButton="0" quotePrefix="0" xfId="73"/>
    <xf numFmtId="0" fontId="86" fillId="4" borderId="193" pivotButton="0" quotePrefix="0" xfId="73"/>
    <xf numFmtId="0" fontId="86" fillId="4" borderId="192" pivotButton="0" quotePrefix="0" xfId="73"/>
    <xf numFmtId="0" fontId="86" fillId="4" borderId="189" pivotButton="0" quotePrefix="0" xfId="73"/>
    <xf numFmtId="164" fontId="86" fillId="4" borderId="107" pivotButton="0" quotePrefix="0" xfId="73"/>
    <xf numFmtId="164" fontId="86" fillId="4" borderId="190" pivotButton="0" quotePrefix="0" xfId="73"/>
    <xf numFmtId="0" fontId="86" fillId="4" borderId="185" pivotButton="0" quotePrefix="0" xfId="73"/>
    <xf numFmtId="164" fontId="86" fillId="4" borderId="106" pivotButton="0" quotePrefix="0" xfId="73"/>
    <xf numFmtId="164" fontId="86" fillId="4" borderId="186" pivotButton="0" quotePrefix="0" xfId="73"/>
    <xf numFmtId="14" fontId="86" fillId="4" borderId="72" pivotButton="0" quotePrefix="0" xfId="73"/>
    <xf numFmtId="164" fontId="87" fillId="30" borderId="4" pivotButton="0" quotePrefix="0" xfId="73"/>
    <xf numFmtId="0" fontId="86" fillId="4" borderId="187" pivotButton="0" quotePrefix="0" xfId="73"/>
    <xf numFmtId="164" fontId="86" fillId="4" borderId="154" pivotButton="0" quotePrefix="0" xfId="73"/>
    <xf numFmtId="164" fontId="86" fillId="4" borderId="188" pivotButton="0" quotePrefix="0" xfId="73"/>
    <xf numFmtId="0" fontId="10" fillId="0" borderId="72" pivotButton="0" quotePrefix="0" xfId="94"/>
    <xf numFmtId="0" fontId="33" fillId="0" borderId="72" pivotButton="0" quotePrefix="0" xfId="94"/>
    <xf numFmtId="0" fontId="100" fillId="12" borderId="8" applyAlignment="1" pivotButton="0" quotePrefix="0" xfId="94">
      <alignment vertical="center" wrapText="1"/>
    </xf>
    <xf numFmtId="168" fontId="58" fillId="4" borderId="57" applyAlignment="1" pivotButton="0" quotePrefix="0" xfId="94">
      <alignment horizontal="left" vertical="center" wrapText="1"/>
    </xf>
    <xf numFmtId="0" fontId="58" fillId="4" borderId="69" applyAlignment="1" pivotButton="0" quotePrefix="0" xfId="94">
      <alignment horizontal="center" vertical="center" wrapText="1"/>
    </xf>
    <xf numFmtId="164" fontId="58" fillId="4" borderId="69" applyAlignment="1" pivotButton="0" quotePrefix="0" xfId="94">
      <alignment horizontal="left" vertical="center" wrapText="1"/>
    </xf>
    <xf numFmtId="0" fontId="59" fillId="4" borderId="69" applyAlignment="1" pivotButton="0" quotePrefix="0" xfId="94">
      <alignment horizontal="center" vertical="center" wrapText="1"/>
    </xf>
    <xf numFmtId="0" fontId="59" fillId="4" borderId="20" applyAlignment="1" pivotButton="0" quotePrefix="0" xfId="94">
      <alignment horizontal="center" vertical="center" wrapText="1"/>
    </xf>
    <xf numFmtId="0" fontId="86" fillId="4" borderId="21" pivotButton="0" quotePrefix="0" xfId="94"/>
    <xf numFmtId="0" fontId="100" fillId="12" borderId="11" applyAlignment="1" pivotButton="0" quotePrefix="0" xfId="94">
      <alignment vertical="center" wrapText="1"/>
    </xf>
    <xf numFmtId="0" fontId="58" fillId="4" borderId="58" applyAlignment="1" pivotButton="0" quotePrefix="0" xfId="94">
      <alignment horizontal="left" vertical="center" wrapText="1"/>
    </xf>
    <xf numFmtId="0" fontId="58" fillId="4" borderId="59" applyAlignment="1" pivotButton="0" quotePrefix="0" xfId="94">
      <alignment horizontal="center" vertical="center" wrapText="1"/>
    </xf>
    <xf numFmtId="164" fontId="58" fillId="4" borderId="59" applyAlignment="1" pivotButton="0" quotePrefix="0" xfId="94">
      <alignment horizontal="left" vertical="center" wrapText="1"/>
    </xf>
    <xf numFmtId="0" fontId="59" fillId="4" borderId="59" applyAlignment="1" pivotButton="0" quotePrefix="0" xfId="94">
      <alignment horizontal="center" vertical="center" wrapText="1"/>
    </xf>
    <xf numFmtId="0" fontId="59" fillId="4" borderId="70" applyAlignment="1" pivotButton="0" quotePrefix="0" xfId="94">
      <alignment horizontal="center" vertical="center" wrapText="1"/>
    </xf>
    <xf numFmtId="0" fontId="86" fillId="4" borderId="61" pivotButton="0" quotePrefix="0" xfId="94"/>
    <xf numFmtId="0" fontId="59" fillId="4" borderId="26" applyAlignment="1" pivotButton="0" quotePrefix="0" xfId="94">
      <alignment horizontal="center" vertical="center" wrapText="1"/>
    </xf>
    <xf numFmtId="0" fontId="33" fillId="0" borderId="4" applyAlignment="1" pivotButton="0" quotePrefix="0" xfId="94">
      <alignment horizontal="center"/>
    </xf>
    <xf numFmtId="0" fontId="59" fillId="4" borderId="127" pivotButton="0" quotePrefix="0" xfId="94"/>
    <xf numFmtId="0" fontId="102" fillId="4" borderId="7" applyAlignment="1" pivotButton="0" quotePrefix="0" xfId="94">
      <alignment horizontal="center"/>
    </xf>
    <xf numFmtId="164" fontId="102" fillId="4" borderId="7" applyAlignment="1" pivotButton="0" quotePrefix="0" xfId="94">
      <alignment horizontal="center"/>
    </xf>
    <xf numFmtId="0" fontId="59" fillId="4" borderId="7" applyAlignment="1" pivotButton="0" quotePrefix="0" xfId="94">
      <alignment horizontal="center"/>
    </xf>
    <xf numFmtId="0" fontId="102" fillId="4" borderId="128" pivotButton="0" quotePrefix="0" xfId="94"/>
    <xf numFmtId="0" fontId="33" fillId="0" borderId="4" pivotButton="0" quotePrefix="0" xfId="94"/>
    <xf numFmtId="164" fontId="33" fillId="0" borderId="4" pivotButton="0" quotePrefix="0" xfId="94"/>
    <xf numFmtId="0" fontId="59" fillId="4" borderId="70" pivotButton="0" quotePrefix="0" xfId="94"/>
    <xf numFmtId="0" fontId="102" fillId="4" borderId="72" applyAlignment="1" pivotButton="0" quotePrefix="0" xfId="94">
      <alignment horizontal="center"/>
    </xf>
    <xf numFmtId="164" fontId="102" fillId="4" borderId="72" applyAlignment="1" pivotButton="0" quotePrefix="0" xfId="94">
      <alignment horizontal="center"/>
    </xf>
    <xf numFmtId="0" fontId="59" fillId="4" borderId="72" applyAlignment="1" pivotButton="0" quotePrefix="0" xfId="94">
      <alignment horizontal="center"/>
    </xf>
    <xf numFmtId="0" fontId="102" fillId="4" borderId="61" pivotButton="0" quotePrefix="0" xfId="94"/>
    <xf numFmtId="0" fontId="103" fillId="3" borderId="8" applyAlignment="1" pivotButton="0" quotePrefix="0" xfId="94">
      <alignment horizontal="center" vertical="center"/>
    </xf>
    <xf numFmtId="0" fontId="103" fillId="3" borderId="9" applyAlignment="1" pivotButton="0" quotePrefix="0" xfId="94">
      <alignment horizontal="center" vertical="center" wrapText="1"/>
    </xf>
    <xf numFmtId="164" fontId="103" fillId="3" borderId="10" applyAlignment="1" pivotButton="0" quotePrefix="0" xfId="94">
      <alignment horizontal="center" vertical="center" wrapText="1"/>
    </xf>
    <xf numFmtId="0" fontId="59" fillId="4" borderId="23" applyAlignment="1" pivotButton="0" quotePrefix="0" xfId="94">
      <alignment vertical="center" wrapText="1"/>
    </xf>
    <xf numFmtId="164" fontId="59" fillId="4" borderId="5" applyAlignment="1" pivotButton="0" quotePrefix="0" xfId="94">
      <alignment horizontal="center" vertical="center" wrapText="1"/>
    </xf>
    <xf numFmtId="164" fontId="59" fillId="4" borderId="67" applyAlignment="1" pivotButton="0" quotePrefix="0" xfId="94">
      <alignment vertical="center" wrapText="1"/>
    </xf>
    <xf numFmtId="0" fontId="103" fillId="22" borderId="13" applyAlignment="1" pivotButton="0" quotePrefix="0" xfId="94">
      <alignment vertical="center" wrapText="1"/>
    </xf>
    <xf numFmtId="164" fontId="103" fillId="22" borderId="14" applyAlignment="1" pivotButton="0" quotePrefix="0" xfId="94">
      <alignment horizontal="center" vertical="center" wrapText="1"/>
    </xf>
    <xf numFmtId="164" fontId="103" fillId="22" borderId="15" applyAlignment="1" pivotButton="0" quotePrefix="0" xfId="94">
      <alignment vertical="center" wrapText="1"/>
    </xf>
    <xf numFmtId="0" fontId="104" fillId="4" borderId="7" applyAlignment="1" pivotButton="0" quotePrefix="0" xfId="94">
      <alignment horizontal="left"/>
    </xf>
    <xf numFmtId="0" fontId="102" fillId="4" borderId="70" pivotButton="0" quotePrefix="0" xfId="94"/>
    <xf numFmtId="0" fontId="103" fillId="3" borderId="62" applyAlignment="1" pivotButton="0" quotePrefix="0" xfId="94">
      <alignment horizontal="center" vertical="center"/>
    </xf>
    <xf numFmtId="0" fontId="103" fillId="3" borderId="129" applyAlignment="1" pivotButton="0" quotePrefix="0" xfId="94">
      <alignment horizontal="center" vertical="center" wrapText="1"/>
    </xf>
    <xf numFmtId="164" fontId="103" fillId="3" borderId="63" applyAlignment="1" pivotButton="0" quotePrefix="0" xfId="94">
      <alignment horizontal="center" vertical="center" wrapText="1"/>
    </xf>
    <xf numFmtId="0" fontId="105" fillId="4" borderId="95" applyAlignment="1" pivotButton="0" quotePrefix="0" xfId="94">
      <alignment vertical="center" wrapText="1"/>
    </xf>
    <xf numFmtId="164" fontId="105" fillId="4" borderId="65" applyAlignment="1" pivotButton="0" quotePrefix="0" xfId="94">
      <alignment horizontal="center" vertical="center" wrapText="1"/>
    </xf>
    <xf numFmtId="164" fontId="105" fillId="0" borderId="66" applyAlignment="1" pivotButton="0" quotePrefix="0" xfId="94">
      <alignment vertical="center" wrapText="1"/>
    </xf>
    <xf numFmtId="0" fontId="103" fillId="22" borderId="60" applyAlignment="1" pivotButton="0" quotePrefix="0" xfId="94">
      <alignment vertical="center" wrapText="1"/>
    </xf>
    <xf numFmtId="164" fontId="103" fillId="22" borderId="37" applyAlignment="1" pivotButton="0" quotePrefix="0" xfId="94">
      <alignment horizontal="center" vertical="center" wrapText="1"/>
    </xf>
    <xf numFmtId="164" fontId="103" fillId="22" borderId="130" applyAlignment="1" pivotButton="0" quotePrefix="0" xfId="94">
      <alignment vertical="center" wrapText="1"/>
    </xf>
    <xf numFmtId="0" fontId="59" fillId="4" borderId="7" applyAlignment="1" pivotButton="0" quotePrefix="0" xfId="94">
      <alignment horizontal="left"/>
    </xf>
    <xf numFmtId="0" fontId="102" fillId="4" borderId="128" applyAlignment="1" pivotButton="0" quotePrefix="0" xfId="94">
      <alignment horizontal="left"/>
    </xf>
    <xf numFmtId="0" fontId="40" fillId="4" borderId="95" applyAlignment="1" pivotButton="0" quotePrefix="0" xfId="94">
      <alignment vertical="center" wrapText="1"/>
    </xf>
    <xf numFmtId="164" fontId="40" fillId="4" borderId="65" applyAlignment="1" pivotButton="0" quotePrefix="0" xfId="94">
      <alignment horizontal="center" vertical="center" wrapText="1"/>
    </xf>
    <xf numFmtId="164" fontId="40" fillId="4" borderId="66" applyAlignment="1" pivotButton="0" quotePrefix="0" xfId="94">
      <alignment vertical="center" wrapText="1"/>
    </xf>
    <xf numFmtId="0" fontId="40" fillId="4" borderId="96" applyAlignment="1" pivotButton="0" quotePrefix="0" xfId="94">
      <alignment vertical="center" wrapText="1"/>
    </xf>
    <xf numFmtId="164" fontId="40" fillId="4" borderId="97" applyAlignment="1" pivotButton="0" quotePrefix="0" xfId="94">
      <alignment horizontal="center" vertical="center" wrapText="1"/>
    </xf>
    <xf numFmtId="164" fontId="48" fillId="4" borderId="98" applyAlignment="1" pivotButton="0" quotePrefix="0" xfId="94">
      <alignment vertical="center" wrapText="1"/>
    </xf>
    <xf numFmtId="0" fontId="35" fillId="22" borderId="11" applyAlignment="1" pivotButton="0" quotePrefix="0" xfId="94">
      <alignment vertical="center" wrapText="1"/>
    </xf>
    <xf numFmtId="164" fontId="35" fillId="22" borderId="4" applyAlignment="1" pivotButton="0" quotePrefix="0" xfId="94">
      <alignment horizontal="center" vertical="center" wrapText="1"/>
    </xf>
    <xf numFmtId="164" fontId="35" fillId="22" borderId="12" applyAlignment="1" pivotButton="0" quotePrefix="0" xfId="94">
      <alignment vertical="center" wrapText="1"/>
    </xf>
    <xf numFmtId="164" fontId="59" fillId="4" borderId="72" applyAlignment="1" pivotButton="0" quotePrefix="0" xfId="94">
      <alignment horizontal="center"/>
    </xf>
    <xf numFmtId="0" fontId="59" fillId="4" borderId="61" pivotButton="0" quotePrefix="0" xfId="94"/>
    <xf numFmtId="164" fontId="105" fillId="4" borderId="22" applyAlignment="1" pivotButton="0" quotePrefix="0" xfId="94">
      <alignment vertical="center" wrapText="1"/>
    </xf>
    <xf numFmtId="0" fontId="103" fillId="22" borderId="96" applyAlignment="1" pivotButton="0" quotePrefix="0" xfId="94">
      <alignment vertical="center" wrapText="1"/>
    </xf>
    <xf numFmtId="164" fontId="103" fillId="22" borderId="97" applyAlignment="1" pivotButton="0" quotePrefix="0" xfId="94">
      <alignment horizontal="center" vertical="center" wrapText="1"/>
    </xf>
    <xf numFmtId="164" fontId="103" fillId="22" borderId="98" applyAlignment="1" pivotButton="0" quotePrefix="0" xfId="94">
      <alignment vertical="center" wrapText="1"/>
    </xf>
    <xf numFmtId="0" fontId="59" fillId="4" borderId="95" applyAlignment="1" pivotButton="0" quotePrefix="0" xfId="94">
      <alignment vertical="center" wrapText="1"/>
    </xf>
    <xf numFmtId="164" fontId="59" fillId="4" borderId="65" applyAlignment="1" pivotButton="0" quotePrefix="0" xfId="94">
      <alignment horizontal="center" vertical="center" wrapText="1"/>
    </xf>
    <xf numFmtId="164" fontId="59" fillId="4" borderId="98" applyAlignment="1" pivotButton="0" quotePrefix="0" xfId="94">
      <alignment vertical="center" wrapText="1"/>
    </xf>
    <xf numFmtId="0" fontId="103" fillId="22" borderId="11" applyAlignment="1" pivotButton="0" quotePrefix="0" xfId="94">
      <alignment vertical="center" wrapText="1"/>
    </xf>
    <xf numFmtId="164" fontId="103" fillId="22" borderId="4" applyAlignment="1" pivotButton="0" quotePrefix="0" xfId="94">
      <alignment horizontal="center" vertical="center" wrapText="1"/>
    </xf>
    <xf numFmtId="164" fontId="103" fillId="22" borderId="12" applyAlignment="1" pivotButton="0" quotePrefix="0" xfId="94">
      <alignment vertical="center" wrapText="1"/>
    </xf>
    <xf numFmtId="164" fontId="59" fillId="4" borderId="22" applyAlignment="1" pivotButton="0" quotePrefix="0" xfId="94">
      <alignment vertical="center" wrapText="1"/>
    </xf>
    <xf numFmtId="0" fontId="102" fillId="4" borderId="26" pivotButton="0" quotePrefix="0" xfId="94"/>
    <xf numFmtId="0" fontId="102" fillId="4" borderId="27" applyAlignment="1" pivotButton="0" quotePrefix="0" xfId="94">
      <alignment horizontal="center"/>
    </xf>
    <xf numFmtId="164" fontId="102" fillId="4" borderId="27" applyAlignment="1" pivotButton="0" quotePrefix="0" xfId="94">
      <alignment horizontal="center"/>
    </xf>
    <xf numFmtId="0" fontId="59" fillId="4" borderId="27" applyAlignment="1" pivotButton="0" quotePrefix="0" xfId="94">
      <alignment horizontal="center"/>
    </xf>
    <xf numFmtId="0" fontId="102" fillId="4" borderId="28" pivotButton="0" quotePrefix="0" xfId="94"/>
    <xf numFmtId="164" fontId="59" fillId="4" borderId="66" applyAlignment="1" pivotButton="0" quotePrefix="0" xfId="94">
      <alignment vertical="center" wrapText="1"/>
    </xf>
    <xf numFmtId="0" fontId="59" fillId="4" borderId="96" applyAlignment="1" pivotButton="0" quotePrefix="0" xfId="94">
      <alignment vertical="center" wrapText="1"/>
    </xf>
    <xf numFmtId="164" fontId="59" fillId="4" borderId="97" applyAlignment="1" pivotButton="0" quotePrefix="0" xfId="94">
      <alignment horizontal="center" vertical="center" wrapText="1"/>
    </xf>
    <xf numFmtId="164" fontId="104" fillId="4" borderId="22" applyAlignment="1" pivotButton="0" quotePrefix="0" xfId="94">
      <alignment vertical="center" wrapText="1"/>
    </xf>
    <xf numFmtId="0" fontId="100" fillId="12" borderId="8" applyAlignment="1" pivotButton="0" quotePrefix="0" xfId="97">
      <alignment vertical="center" wrapText="1"/>
    </xf>
    <xf numFmtId="0" fontId="58" fillId="4" borderId="69" applyAlignment="1" pivotButton="0" quotePrefix="0" xfId="97">
      <alignment horizontal="center" vertical="center" wrapText="1"/>
    </xf>
    <xf numFmtId="164" fontId="58" fillId="4" borderId="69" applyAlignment="1" pivotButton="0" quotePrefix="0" xfId="97">
      <alignment horizontal="left" vertical="center" wrapText="1"/>
    </xf>
    <xf numFmtId="0" fontId="59" fillId="4" borderId="69" applyAlignment="1" pivotButton="0" quotePrefix="0" xfId="97">
      <alignment horizontal="center" vertical="center" wrapText="1"/>
    </xf>
    <xf numFmtId="0" fontId="86" fillId="4" borderId="169" pivotButton="0" quotePrefix="0" xfId="97"/>
    <xf numFmtId="0" fontId="10" fillId="0" borderId="72" pivotButton="0" quotePrefix="0" xfId="97"/>
    <xf numFmtId="164" fontId="33" fillId="0" borderId="72" pivotButton="0" quotePrefix="0" xfId="97"/>
    <xf numFmtId="0" fontId="100" fillId="12" borderId="11" applyAlignment="1" pivotButton="0" quotePrefix="0" xfId="97">
      <alignment vertical="center" wrapText="1"/>
    </xf>
    <xf numFmtId="0" fontId="58" fillId="4" borderId="59" applyAlignment="1" pivotButton="0" quotePrefix="0" xfId="97">
      <alignment horizontal="center" vertical="center" wrapText="1"/>
    </xf>
    <xf numFmtId="164" fontId="58" fillId="4" borderId="59" applyAlignment="1" pivotButton="0" quotePrefix="0" xfId="97">
      <alignment horizontal="left" vertical="center" wrapText="1"/>
    </xf>
    <xf numFmtId="0" fontId="59" fillId="4" borderId="59" applyAlignment="1" pivotButton="0" quotePrefix="0" xfId="97">
      <alignment horizontal="center" vertical="center" wrapText="1"/>
    </xf>
    <xf numFmtId="0" fontId="86" fillId="4" borderId="52" pivotButton="0" quotePrefix="0" xfId="97"/>
    <xf numFmtId="0" fontId="59" fillId="4" borderId="72" applyAlignment="1" pivotButton="0" quotePrefix="0" xfId="97">
      <alignment horizontal="center" vertical="center" wrapText="1"/>
    </xf>
    <xf numFmtId="0" fontId="86" fillId="4" borderId="131" pivotButton="0" quotePrefix="0" xfId="97"/>
    <xf numFmtId="0" fontId="33" fillId="0" borderId="72" pivotButton="0" quotePrefix="0" xfId="97"/>
    <xf numFmtId="0" fontId="59" fillId="4" borderId="127" pivotButton="0" quotePrefix="0" xfId="97"/>
    <xf numFmtId="0" fontId="102" fillId="4" borderId="7" applyAlignment="1" pivotButton="0" quotePrefix="0" xfId="97">
      <alignment horizontal="center"/>
    </xf>
    <xf numFmtId="164" fontId="102" fillId="4" borderId="7" applyAlignment="1" pivotButton="0" quotePrefix="0" xfId="97">
      <alignment horizontal="center"/>
    </xf>
    <xf numFmtId="0" fontId="59" fillId="4" borderId="7" applyAlignment="1" pivotButton="0" quotePrefix="0" xfId="97">
      <alignment horizontal="center"/>
    </xf>
    <xf numFmtId="0" fontId="102" fillId="4" borderId="128" pivotButton="0" quotePrefix="0" xfId="97"/>
    <xf numFmtId="0" fontId="59" fillId="4" borderId="70" pivotButton="0" quotePrefix="0" xfId="97"/>
    <xf numFmtId="0" fontId="102" fillId="4" borderId="72" applyAlignment="1" pivotButton="0" quotePrefix="0" xfId="97">
      <alignment horizontal="center"/>
    </xf>
    <xf numFmtId="164" fontId="102" fillId="4" borderId="72" applyAlignment="1" pivotButton="0" quotePrefix="0" xfId="97">
      <alignment horizontal="center"/>
    </xf>
    <xf numFmtId="0" fontId="59" fillId="4" borderId="72" applyAlignment="1" pivotButton="0" quotePrefix="0" xfId="97">
      <alignment horizontal="center"/>
    </xf>
    <xf numFmtId="0" fontId="102" fillId="4" borderId="61" pivotButton="0" quotePrefix="0" xfId="97"/>
    <xf numFmtId="0" fontId="103" fillId="3" borderId="8" applyAlignment="1" pivotButton="0" quotePrefix="0" xfId="97">
      <alignment horizontal="center" vertical="center"/>
    </xf>
    <xf numFmtId="0" fontId="103" fillId="3" borderId="9" applyAlignment="1" pivotButton="0" quotePrefix="0" xfId="97">
      <alignment horizontal="center" vertical="center" wrapText="1"/>
    </xf>
    <xf numFmtId="164" fontId="103" fillId="3" borderId="10" applyAlignment="1" pivotButton="0" quotePrefix="0" xfId="97">
      <alignment horizontal="center" vertical="center" wrapText="1"/>
    </xf>
    <xf numFmtId="0" fontId="59" fillId="4" borderId="95" applyAlignment="1" pivotButton="0" quotePrefix="0" xfId="97">
      <alignment vertical="center" wrapText="1"/>
    </xf>
    <xf numFmtId="164" fontId="59" fillId="4" borderId="65" applyAlignment="1" pivotButton="0" quotePrefix="0" xfId="97">
      <alignment horizontal="center" vertical="center" wrapText="1"/>
    </xf>
    <xf numFmtId="164" fontId="59" fillId="4" borderId="66" applyAlignment="1" pivotButton="0" quotePrefix="0" xfId="97">
      <alignment horizontal="center" vertical="center" wrapText="1"/>
    </xf>
    <xf numFmtId="0" fontId="33" fillId="8" borderId="72" pivotButton="0" quotePrefix="0" xfId="97"/>
    <xf numFmtId="164" fontId="33" fillId="8" borderId="72" pivotButton="0" quotePrefix="0" xfId="97"/>
    <xf numFmtId="0" fontId="59" fillId="4" borderId="96" applyAlignment="1" pivotButton="0" quotePrefix="0" xfId="97">
      <alignment vertical="center" wrapText="1"/>
    </xf>
    <xf numFmtId="164" fontId="59" fillId="4" borderId="97" applyAlignment="1" pivotButton="0" quotePrefix="0" xfId="97">
      <alignment horizontal="center" vertical="center" wrapText="1"/>
    </xf>
    <xf numFmtId="164" fontId="59" fillId="11" borderId="98" applyAlignment="1" pivotButton="0" quotePrefix="0" xfId="97">
      <alignment horizontal="center" vertical="center" wrapText="1"/>
    </xf>
    <xf numFmtId="0" fontId="106" fillId="4" borderId="95" applyAlignment="1" pivotButton="0" quotePrefix="0" xfId="97">
      <alignment vertical="center" wrapText="1"/>
    </xf>
    <xf numFmtId="164" fontId="106" fillId="4" borderId="65" applyAlignment="1" pivotButton="0" quotePrefix="0" xfId="97">
      <alignment horizontal="center" vertical="center" wrapText="1"/>
    </xf>
    <xf numFmtId="164" fontId="106" fillId="4" borderId="66" applyAlignment="1" pivotButton="0" quotePrefix="0" xfId="97">
      <alignment horizontal="center" vertical="center" wrapText="1"/>
    </xf>
    <xf numFmtId="0" fontId="106" fillId="4" borderId="96" applyAlignment="1" pivotButton="0" quotePrefix="0" xfId="97">
      <alignment vertical="center" wrapText="1"/>
    </xf>
    <xf numFmtId="164" fontId="106" fillId="4" borderId="97" applyAlignment="1" pivotButton="0" quotePrefix="0" xfId="97">
      <alignment horizontal="center" vertical="center" wrapText="1"/>
    </xf>
    <xf numFmtId="164" fontId="106" fillId="4" borderId="98" applyAlignment="1" pivotButton="0" quotePrefix="0" xfId="97">
      <alignment horizontal="center" vertical="center" wrapText="1"/>
    </xf>
    <xf numFmtId="0" fontId="102" fillId="4" borderId="70" pivotButton="0" quotePrefix="0" xfId="97"/>
    <xf numFmtId="0" fontId="59" fillId="4" borderId="99" applyAlignment="1" pivotButton="0" quotePrefix="0" xfId="97">
      <alignment vertical="center" wrapText="1"/>
    </xf>
    <xf numFmtId="164" fontId="59" fillId="4" borderId="68" applyAlignment="1" pivotButton="0" quotePrefix="0" xfId="97">
      <alignment horizontal="center" vertical="center" wrapText="1"/>
    </xf>
    <xf numFmtId="182" fontId="59" fillId="4" borderId="67" applyAlignment="1" pivotButton="0" quotePrefix="0" xfId="97">
      <alignment horizontal="center" vertical="center" wrapText="1"/>
    </xf>
    <xf numFmtId="0" fontId="59" fillId="4" borderId="72" pivotButton="0" quotePrefix="0" xfId="97"/>
    <xf numFmtId="164" fontId="99" fillId="0" borderId="72" pivotButton="0" quotePrefix="0" xfId="97"/>
    <xf numFmtId="0" fontId="33" fillId="4" borderId="70" pivotButton="0" quotePrefix="0" xfId="97"/>
    <xf numFmtId="0" fontId="59" fillId="25" borderId="72" pivotButton="0" quotePrefix="0" xfId="97"/>
    <xf numFmtId="182" fontId="59" fillId="4" borderId="72" pivotButton="0" quotePrefix="0" xfId="97"/>
    <xf numFmtId="0" fontId="33" fillId="4" borderId="61" pivotButton="0" quotePrefix="0" xfId="97"/>
    <xf numFmtId="0" fontId="59" fillId="4" borderId="100" applyAlignment="1" pivotButton="0" quotePrefix="0" xfId="97">
      <alignment vertical="center" wrapText="1"/>
    </xf>
    <xf numFmtId="164" fontId="59" fillId="4" borderId="101" applyAlignment="1" pivotButton="0" quotePrefix="0" xfId="97">
      <alignment horizontal="center" vertical="center" wrapText="1"/>
    </xf>
    <xf numFmtId="164" fontId="59" fillId="4" borderId="131" applyAlignment="1" pivotButton="0" quotePrefix="0" xfId="97">
      <alignment horizontal="center" vertical="center" wrapText="1"/>
    </xf>
    <xf numFmtId="0" fontId="33" fillId="4" borderId="72" pivotButton="0" quotePrefix="0" xfId="97"/>
    <xf numFmtId="0" fontId="76" fillId="4" borderId="94" pivotButton="0" quotePrefix="0" xfId="98"/>
    <xf numFmtId="0" fontId="103" fillId="3" borderId="171" applyAlignment="1" pivotButton="0" quotePrefix="0" xfId="97">
      <alignment horizontal="center" vertical="center"/>
    </xf>
    <xf numFmtId="0" fontId="103" fillId="3" borderId="172" applyAlignment="1" pivotButton="0" quotePrefix="0" xfId="97">
      <alignment horizontal="center" vertical="center"/>
    </xf>
    <xf numFmtId="0" fontId="103" fillId="3" borderId="172" applyAlignment="1" pivotButton="0" quotePrefix="0" xfId="97">
      <alignment horizontal="center" vertical="center" wrapText="1"/>
    </xf>
    <xf numFmtId="0" fontId="74" fillId="3" borderId="173" applyAlignment="1" pivotButton="0" quotePrefix="0" xfId="98">
      <alignment horizontal="center" vertical="center" wrapText="1"/>
    </xf>
    <xf numFmtId="0" fontId="76" fillId="4" borderId="174" applyAlignment="1" pivotButton="0" quotePrefix="0" xfId="98">
      <alignment vertical="center"/>
    </xf>
    <xf numFmtId="164" fontId="76" fillId="4" borderId="65" applyAlignment="1" pivotButton="0" quotePrefix="0" xfId="98">
      <alignment horizontal="center" vertical="center"/>
    </xf>
    <xf numFmtId="164" fontId="76" fillId="4" borderId="65" applyAlignment="1" pivotButton="0" quotePrefix="0" xfId="98">
      <alignment horizontal="center" vertical="center" wrapText="1"/>
    </xf>
    <xf numFmtId="164" fontId="76" fillId="4" borderId="175" applyAlignment="1" pivotButton="0" quotePrefix="0" xfId="98">
      <alignment horizontal="center" vertical="center" wrapText="1"/>
    </xf>
    <xf numFmtId="0" fontId="76" fillId="4" borderId="176" applyAlignment="1" pivotButton="0" quotePrefix="0" xfId="98">
      <alignment vertical="center"/>
    </xf>
    <xf numFmtId="164" fontId="76" fillId="4" borderId="102" applyAlignment="1" pivotButton="0" quotePrefix="0" xfId="98">
      <alignment horizontal="center" vertical="center"/>
    </xf>
    <xf numFmtId="164" fontId="76" fillId="4" borderId="68" applyAlignment="1" pivotButton="0" quotePrefix="0" xfId="98">
      <alignment horizontal="center" vertical="center" wrapText="1"/>
    </xf>
    <xf numFmtId="164" fontId="76" fillId="4" borderId="177" applyAlignment="1" pivotButton="0" quotePrefix="0" xfId="98">
      <alignment horizontal="center" vertical="center" wrapText="1"/>
    </xf>
    <xf numFmtId="0" fontId="76" fillId="4" borderId="178" applyAlignment="1" pivotButton="0" quotePrefix="0" xfId="98">
      <alignment vertical="center"/>
    </xf>
    <xf numFmtId="164" fontId="76" fillId="4" borderId="68" applyAlignment="1" pivotButton="0" quotePrefix="0" xfId="98">
      <alignment horizontal="center" vertical="center"/>
    </xf>
    <xf numFmtId="164" fontId="76" fillId="4" borderId="179" applyAlignment="1" pivotButton="0" quotePrefix="0" xfId="98">
      <alignment horizontal="center" vertical="center" wrapText="1"/>
    </xf>
    <xf numFmtId="164" fontId="76" fillId="4" borderId="102" applyAlignment="1" pivotButton="0" quotePrefix="0" xfId="98">
      <alignment horizontal="center" vertical="center" wrapText="1"/>
    </xf>
    <xf numFmtId="0" fontId="76" fillId="4" borderId="180" applyAlignment="1" pivotButton="0" quotePrefix="0" xfId="98">
      <alignment vertical="center"/>
    </xf>
    <xf numFmtId="164" fontId="76" fillId="4" borderId="51" applyAlignment="1" pivotButton="0" quotePrefix="0" xfId="98">
      <alignment horizontal="center" vertical="center"/>
    </xf>
    <xf numFmtId="164" fontId="76" fillId="4" borderId="51" applyAlignment="1" pivotButton="0" quotePrefix="0" xfId="98">
      <alignment horizontal="center" vertical="center" wrapText="1"/>
    </xf>
    <xf numFmtId="164" fontId="76" fillId="4" borderId="181" applyAlignment="1" pivotButton="0" quotePrefix="0" xfId="98">
      <alignment horizontal="center" vertical="center" wrapText="1"/>
    </xf>
    <xf numFmtId="0" fontId="76" fillId="4" borderId="182" applyAlignment="1" pivotButton="0" quotePrefix="0" xfId="98">
      <alignment vertical="center"/>
    </xf>
    <xf numFmtId="164" fontId="76" fillId="4" borderId="170" applyAlignment="1" pivotButton="0" quotePrefix="0" xfId="98">
      <alignment horizontal="center" vertical="center"/>
    </xf>
    <xf numFmtId="164" fontId="76" fillId="4" borderId="183" applyAlignment="1" pivotButton="0" quotePrefix="0" xfId="98">
      <alignment horizontal="center" vertical="center" wrapText="1"/>
    </xf>
    <xf numFmtId="0" fontId="33" fillId="0" borderId="70" pivotButton="0" quotePrefix="0" xfId="97"/>
    <xf numFmtId="164" fontId="103" fillId="23" borderId="164" applyAlignment="1" pivotButton="0" quotePrefix="0" xfId="97">
      <alignment horizontal="center" vertical="center" wrapText="1"/>
    </xf>
    <xf numFmtId="164" fontId="103" fillId="23" borderId="165" applyAlignment="1" pivotButton="0" quotePrefix="0" xfId="97">
      <alignment horizontal="center" vertical="center" wrapText="1"/>
    </xf>
    <xf numFmtId="0" fontId="103" fillId="0" borderId="72" applyAlignment="1" pivotButton="0" quotePrefix="0" xfId="97">
      <alignment horizontal="center" vertical="center" wrapText="1"/>
    </xf>
    <xf numFmtId="0" fontId="107" fillId="0" borderId="72" applyAlignment="1" pivotButton="0" quotePrefix="0" xfId="97">
      <alignment horizontal="center" vertical="center" wrapText="1"/>
    </xf>
    <xf numFmtId="164" fontId="103" fillId="0" borderId="72" applyAlignment="1" pivotButton="0" quotePrefix="0" xfId="97">
      <alignment horizontal="center" vertical="center" wrapText="1"/>
    </xf>
    <xf numFmtId="0" fontId="105" fillId="0" borderId="72" applyAlignment="1" pivotButton="0" quotePrefix="0" xfId="97">
      <alignment horizontal="center" vertical="center" wrapText="1"/>
    </xf>
    <xf numFmtId="0" fontId="103" fillId="3" borderId="10" applyAlignment="1" pivotButton="0" quotePrefix="0" xfId="97">
      <alignment horizontal="center" vertical="center" wrapText="1"/>
    </xf>
    <xf numFmtId="164" fontId="59" fillId="4" borderId="67" applyAlignment="1" pivotButton="0" quotePrefix="0" xfId="97">
      <alignment horizontal="center" vertical="center" wrapText="1"/>
    </xf>
    <xf numFmtId="0" fontId="59" fillId="4" borderId="23" applyAlignment="1" pivotButton="0" quotePrefix="0" xfId="97">
      <alignment vertical="center" wrapText="1"/>
    </xf>
    <xf numFmtId="0" fontId="59" fillId="4" borderId="25" applyAlignment="1" pivotButton="0" quotePrefix="0" xfId="97">
      <alignment vertical="center" wrapText="1"/>
    </xf>
    <xf numFmtId="164" fontId="103" fillId="23" borderId="133" applyAlignment="1" pivotButton="0" quotePrefix="0" xfId="97">
      <alignment horizontal="center" vertical="center" wrapText="1"/>
    </xf>
    <xf numFmtId="0" fontId="59" fillId="4" borderId="24" applyAlignment="1" pivotButton="0" quotePrefix="0" xfId="97">
      <alignment vertical="center" wrapText="1"/>
    </xf>
    <xf numFmtId="164" fontId="59" fillId="4" borderId="51" applyAlignment="1" pivotButton="0" quotePrefix="0" xfId="97">
      <alignment horizontal="center" vertical="center" wrapText="1"/>
    </xf>
    <xf numFmtId="164" fontId="59" fillId="4" borderId="52" applyAlignment="1" pivotButton="0" quotePrefix="0" xfId="97">
      <alignment horizontal="center" vertical="center" wrapText="1"/>
    </xf>
    <xf numFmtId="0" fontId="33" fillId="0" borderId="61" pivotButton="0" quotePrefix="0" xfId="97"/>
    <xf numFmtId="0" fontId="33" fillId="4" borderId="26" pivotButton="0" quotePrefix="0" xfId="97"/>
    <xf numFmtId="0" fontId="33" fillId="4" borderId="27" pivotButton="0" quotePrefix="0" xfId="97"/>
    <xf numFmtId="0" fontId="33" fillId="4" borderId="28" pivotButton="0" quotePrefix="0" xfId="97"/>
    <xf numFmtId="0" fontId="100" fillId="12" borderId="80" applyAlignment="1" pivotButton="0" quotePrefix="0" xfId="97">
      <alignment vertical="center" wrapText="1"/>
    </xf>
    <xf numFmtId="168" fontId="58" fillId="4" borderId="114" applyAlignment="1" pivotButton="0" quotePrefix="0" xfId="94">
      <alignment horizontal="left" vertical="center" wrapText="1"/>
    </xf>
    <xf numFmtId="0" fontId="58" fillId="4" borderId="113" applyAlignment="1" pivotButton="0" quotePrefix="0" xfId="97">
      <alignment horizontal="center" vertical="center" wrapText="1"/>
    </xf>
    <xf numFmtId="0" fontId="59" fillId="4" borderId="113" applyAlignment="1" pivotButton="0" quotePrefix="0" xfId="97">
      <alignment horizontal="center" vertical="center" wrapText="1"/>
    </xf>
    <xf numFmtId="164" fontId="58" fillId="4" borderId="113" applyAlignment="1" pivotButton="0" quotePrefix="0" xfId="97">
      <alignment horizontal="left" vertical="center" wrapText="1"/>
    </xf>
    <xf numFmtId="0" fontId="59" fillId="4" borderId="112" applyAlignment="1" pivotButton="0" quotePrefix="0" xfId="97">
      <alignment horizontal="center" vertical="center" wrapText="1"/>
    </xf>
    <xf numFmtId="0" fontId="59" fillId="4" borderId="166" applyAlignment="1" pivotButton="0" quotePrefix="0" xfId="97">
      <alignment vertical="center" wrapText="1"/>
    </xf>
    <xf numFmtId="0" fontId="108" fillId="0" borderId="72" pivotButton="0" quotePrefix="0" xfId="94"/>
    <xf numFmtId="0" fontId="100" fillId="12" borderId="82" applyAlignment="1" pivotButton="0" quotePrefix="0" xfId="97">
      <alignment vertical="center" wrapText="1"/>
    </xf>
    <xf numFmtId="0" fontId="58" fillId="4" borderId="117" applyAlignment="1" pivotButton="0" quotePrefix="0" xfId="94">
      <alignment horizontal="left" vertical="center" wrapText="1"/>
    </xf>
    <xf numFmtId="0" fontId="58" fillId="4" borderId="85" applyAlignment="1" pivotButton="0" quotePrefix="0" xfId="97">
      <alignment horizontal="center" vertical="center" wrapText="1"/>
    </xf>
    <xf numFmtId="0" fontId="59" fillId="4" borderId="85" applyAlignment="1" pivotButton="0" quotePrefix="0" xfId="97">
      <alignment horizontal="center" vertical="center" wrapText="1"/>
    </xf>
    <xf numFmtId="164" fontId="58" fillId="4" borderId="85" applyAlignment="1" pivotButton="0" quotePrefix="0" xfId="97">
      <alignment horizontal="left" vertical="center" wrapText="1"/>
    </xf>
    <xf numFmtId="0" fontId="59" fillId="4" borderId="116" applyAlignment="1" pivotButton="0" quotePrefix="0" xfId="97">
      <alignment horizontal="center" vertical="center" wrapText="1"/>
    </xf>
    <xf numFmtId="0" fontId="59" fillId="4" borderId="167" applyAlignment="1" pivotButton="0" quotePrefix="0" xfId="97">
      <alignment vertical="center" wrapText="1"/>
    </xf>
    <xf numFmtId="0" fontId="59" fillId="4" borderId="168" applyAlignment="1" pivotButton="0" quotePrefix="0" xfId="97">
      <alignment vertical="center" wrapText="1"/>
    </xf>
    <xf numFmtId="0" fontId="110" fillId="26" borderId="136" applyAlignment="1" pivotButton="0" quotePrefix="0" xfId="94">
      <alignment horizontal="center" vertical="center"/>
    </xf>
    <xf numFmtId="0" fontId="110" fillId="26" borderId="136" applyAlignment="1" pivotButton="0" quotePrefix="0" xfId="94">
      <alignment horizontal="center" vertical="center" wrapText="1"/>
    </xf>
    <xf numFmtId="4" fontId="110" fillId="26" borderId="136" applyAlignment="1" pivotButton="0" quotePrefix="0" xfId="94">
      <alignment horizontal="center" vertical="center" wrapText="1"/>
    </xf>
    <xf numFmtId="0" fontId="110" fillId="26" borderId="137" applyAlignment="1" pivotButton="0" quotePrefix="0" xfId="94">
      <alignment horizontal="center" vertical="center" wrapText="1"/>
    </xf>
    <xf numFmtId="182" fontId="110" fillId="26" borderId="136" applyAlignment="1" pivotButton="0" quotePrefix="0" xfId="94">
      <alignment horizontal="center" vertical="center" wrapText="1"/>
    </xf>
    <xf numFmtId="0" fontId="110" fillId="26" borderId="138" applyAlignment="1" pivotButton="0" quotePrefix="0" xfId="94">
      <alignment horizontal="center" vertical="center"/>
    </xf>
    <xf numFmtId="0" fontId="111" fillId="0" borderId="72" applyAlignment="1" pivotButton="0" quotePrefix="0" xfId="94">
      <alignment vertical="center"/>
    </xf>
    <xf numFmtId="0" fontId="108" fillId="0" borderId="72" applyAlignment="1" pivotButton="0" quotePrefix="0" xfId="94">
      <alignment vertical="center"/>
    </xf>
    <xf numFmtId="0" fontId="123" fillId="28" borderId="16" applyAlignment="1" pivotButton="0" quotePrefix="0" xfId="94">
      <alignment horizontal="center" vertical="center"/>
    </xf>
    <xf numFmtId="4" fontId="123" fillId="28" borderId="16" applyAlignment="1" pivotButton="0" quotePrefix="0" xfId="94">
      <alignment horizontal="center" vertical="center"/>
    </xf>
    <xf numFmtId="175" fontId="64" fillId="15" borderId="72" pivotButton="0" quotePrefix="0" xfId="94"/>
    <xf numFmtId="182" fontId="123" fillId="15" borderId="72" applyAlignment="1" pivotButton="0" quotePrefix="0" xfId="94">
      <alignment vertical="center"/>
    </xf>
    <xf numFmtId="0" fontId="123" fillId="15" borderId="72" applyAlignment="1" pivotButton="0" quotePrefix="0" xfId="94">
      <alignment vertical="center"/>
    </xf>
    <xf numFmtId="184" fontId="111" fillId="0" borderId="72" applyAlignment="1" pivotButton="0" quotePrefix="0" xfId="94">
      <alignment vertical="center"/>
    </xf>
    <xf numFmtId="0" fontId="108" fillId="10" borderId="16" applyAlignment="1" pivotButton="0" quotePrefix="0" xfId="94">
      <alignment horizontal="center" vertical="center"/>
    </xf>
    <xf numFmtId="0" fontId="108" fillId="10" borderId="16" applyAlignment="1" pivotButton="0" quotePrefix="0" xfId="94">
      <alignment vertical="center" wrapText="1"/>
    </xf>
    <xf numFmtId="4" fontId="108" fillId="10" borderId="16" applyAlignment="1" pivotButton="0" quotePrefix="0" xfId="94">
      <alignment horizontal="center" vertical="center"/>
    </xf>
    <xf numFmtId="182" fontId="108" fillId="0" borderId="16" applyAlignment="1" pivotButton="0" quotePrefix="0" xfId="94">
      <alignment vertical="center"/>
    </xf>
    <xf numFmtId="182" fontId="108" fillId="10" borderId="16" applyAlignment="1" pivotButton="0" quotePrefix="0" xfId="94">
      <alignment vertical="center"/>
    </xf>
    <xf numFmtId="4" fontId="112" fillId="0" borderId="16" applyAlignment="1" pivotButton="0" quotePrefix="0" xfId="94">
      <alignment vertical="center" wrapText="1"/>
    </xf>
    <xf numFmtId="182" fontId="111" fillId="0" borderId="72" applyAlignment="1" pivotButton="0" quotePrefix="0" xfId="94">
      <alignment vertical="center"/>
    </xf>
    <xf numFmtId="0" fontId="108" fillId="0" borderId="72" applyAlignment="1" pivotButton="0" quotePrefix="0" xfId="94">
      <alignment vertical="center" wrapText="1"/>
    </xf>
    <xf numFmtId="0" fontId="108" fillId="10" borderId="136" applyAlignment="1" pivotButton="0" quotePrefix="0" xfId="94">
      <alignment horizontal="center" vertical="center"/>
    </xf>
    <xf numFmtId="182" fontId="108" fillId="0" borderId="136" applyAlignment="1" pivotButton="0" quotePrefix="0" xfId="94">
      <alignment vertical="center"/>
    </xf>
    <xf numFmtId="182" fontId="108" fillId="10" borderId="136" applyAlignment="1" pivotButton="0" quotePrefix="0" xfId="94">
      <alignment vertical="center"/>
    </xf>
    <xf numFmtId="4" fontId="112" fillId="0" borderId="136" applyAlignment="1" pivotButton="0" quotePrefix="0" xfId="94">
      <alignment vertical="center" wrapText="1"/>
    </xf>
    <xf numFmtId="182" fontId="108" fillId="0" borderId="72" applyAlignment="1" pivotButton="0" quotePrefix="0" xfId="94">
      <alignment vertical="center"/>
    </xf>
    <xf numFmtId="0" fontId="108" fillId="10" borderId="140" applyAlignment="1" pivotButton="0" quotePrefix="0" xfId="94">
      <alignment horizontal="center" vertical="center"/>
    </xf>
    <xf numFmtId="0" fontId="108" fillId="10" borderId="140" applyAlignment="1" pivotButton="0" quotePrefix="0" xfId="94">
      <alignment vertical="center" wrapText="1"/>
    </xf>
    <xf numFmtId="4" fontId="108" fillId="10" borderId="140" applyAlignment="1" pivotButton="0" quotePrefix="0" xfId="94">
      <alignment horizontal="center" vertical="center"/>
    </xf>
    <xf numFmtId="182" fontId="108" fillId="0" borderId="140" applyAlignment="1" pivotButton="0" quotePrefix="0" xfId="94">
      <alignment vertical="center"/>
    </xf>
    <xf numFmtId="182" fontId="108" fillId="10" borderId="141" applyAlignment="1" pivotButton="0" quotePrefix="0" xfId="94">
      <alignment vertical="center"/>
    </xf>
    <xf numFmtId="4" fontId="112" fillId="0" borderId="140" applyAlignment="1" pivotButton="0" quotePrefix="0" xfId="94">
      <alignment vertical="center" wrapText="1"/>
    </xf>
    <xf numFmtId="4" fontId="108" fillId="0" borderId="16" applyAlignment="1" pivotButton="0" quotePrefix="0" xfId="94">
      <alignment horizontal="center" vertical="center"/>
    </xf>
    <xf numFmtId="0" fontId="114" fillId="0" borderId="72" applyAlignment="1" pivotButton="0" quotePrefix="0" xfId="94">
      <alignment vertical="center" wrapText="1"/>
    </xf>
    <xf numFmtId="0" fontId="110" fillId="26" borderId="139" applyAlignment="1" pivotButton="0" quotePrefix="0" xfId="94">
      <alignment vertical="center" wrapText="1"/>
    </xf>
    <xf numFmtId="0" fontId="110" fillId="26" borderId="139" applyAlignment="1" pivotButton="0" quotePrefix="0" xfId="94">
      <alignment horizontal="right" vertical="center" wrapText="1"/>
    </xf>
    <xf numFmtId="182" fontId="110" fillId="26" borderId="139" applyAlignment="1" pivotButton="0" quotePrefix="0" xfId="94">
      <alignment vertical="center"/>
    </xf>
    <xf numFmtId="182" fontId="115" fillId="26" borderId="135" pivotButton="0" quotePrefix="0" xfId="94"/>
    <xf numFmtId="0" fontId="110" fillId="26" borderId="139" applyAlignment="1" pivotButton="0" quotePrefix="0" xfId="94">
      <alignment horizontal="right" vertical="center"/>
    </xf>
    <xf numFmtId="173" fontId="110" fillId="26" borderId="139" applyAlignment="1" pivotButton="0" quotePrefix="0" xfId="99">
      <alignment vertical="center"/>
    </xf>
    <xf numFmtId="0" fontId="108" fillId="0" borderId="72" applyAlignment="1" pivotButton="0" quotePrefix="0" xfId="94">
      <alignment horizontal="center" vertical="center"/>
    </xf>
    <xf numFmtId="4" fontId="108" fillId="0" borderId="72" applyAlignment="1" pivotButton="0" quotePrefix="0" xfId="94">
      <alignment vertical="center"/>
    </xf>
    <xf numFmtId="182" fontId="108" fillId="0" borderId="72" pivotButton="0" quotePrefix="0" xfId="94"/>
    <xf numFmtId="0" fontId="108" fillId="0" borderId="4" applyAlignment="1" pivotButton="0" quotePrefix="0" xfId="94">
      <alignment horizontal="center" vertical="center"/>
    </xf>
    <xf numFmtId="0" fontId="108" fillId="0" borderId="4" applyAlignment="1" pivotButton="0" quotePrefix="0" xfId="94">
      <alignment horizontal="center" vertical="center" wrapText="1"/>
    </xf>
    <xf numFmtId="0" fontId="108" fillId="0" borderId="4" applyAlignment="1" pivotButton="0" quotePrefix="0" xfId="94">
      <alignment vertical="center"/>
    </xf>
    <xf numFmtId="4" fontId="108" fillId="10" borderId="4" applyAlignment="1" pivotButton="0" quotePrefix="0" xfId="94">
      <alignment horizontal="center" vertical="center"/>
    </xf>
    <xf numFmtId="4" fontId="108" fillId="10" borderId="4" applyAlignment="1" pivotButton="0" quotePrefix="0" xfId="94">
      <alignment vertical="center"/>
    </xf>
    <xf numFmtId="0" fontId="108" fillId="0" borderId="4" pivotButton="0" quotePrefix="0" xfId="94"/>
    <xf numFmtId="4" fontId="108" fillId="0" borderId="72" pivotButton="0" quotePrefix="0" xfId="94"/>
    <xf numFmtId="0" fontId="108" fillId="0" borderId="72" applyAlignment="1" pivotButton="0" quotePrefix="0" xfId="94">
      <alignment horizontal="center"/>
    </xf>
    <xf numFmtId="0" fontId="108" fillId="0" borderId="58" pivotButton="0" quotePrefix="0" xfId="94"/>
    <xf numFmtId="0" fontId="98" fillId="0" borderId="39" applyAlignment="1" pivotButton="0" quotePrefix="0" xfId="94">
      <alignment horizontal="center"/>
    </xf>
    <xf numFmtId="0" fontId="10" fillId="0" borderId="72" applyAlignment="1" pivotButton="0" quotePrefix="0" xfId="94">
      <alignment horizontal="center"/>
    </xf>
    <xf numFmtId="3" fontId="89" fillId="0" borderId="118" applyAlignment="1" pivotButton="0" quotePrefix="0" xfId="58">
      <alignment horizontal="left" vertical="center" wrapText="1"/>
    </xf>
    <xf numFmtId="0" fontId="129" fillId="35" borderId="207" applyAlignment="1" pivotButton="0" quotePrefix="0" xfId="28">
      <alignment horizontal="center" vertical="center" wrapText="1"/>
    </xf>
    <xf numFmtId="0" fontId="31" fillId="33" borderId="207" applyAlignment="1" pivotButton="0" quotePrefix="0" xfId="28">
      <alignment horizontal="center" vertical="center" wrapText="1"/>
    </xf>
    <xf numFmtId="2" fontId="0" fillId="50" borderId="207" applyAlignment="1" pivotButton="0" quotePrefix="0" xfId="0">
      <alignment horizontal="center" vertical="center"/>
    </xf>
    <xf numFmtId="2" fontId="0" fillId="49" borderId="207" applyAlignment="1" pivotButton="0" quotePrefix="0" xfId="0">
      <alignment horizontal="center" vertical="center"/>
    </xf>
    <xf numFmtId="164" fontId="38" fillId="0" borderId="16" applyAlignment="1" pivotButton="0" quotePrefix="1" xfId="0">
      <alignment horizontal="left" vertical="center"/>
    </xf>
    <xf numFmtId="0" fontId="33" fillId="37" borderId="0" pivotButton="0" quotePrefix="0" xfId="0"/>
    <xf numFmtId="0" fontId="33" fillId="37" borderId="0" applyAlignment="1" pivotButton="0" quotePrefix="0" xfId="0">
      <alignment horizontal="center"/>
    </xf>
    <xf numFmtId="166" fontId="34" fillId="37" borderId="0" applyAlignment="1" pivotButton="0" quotePrefix="0" xfId="0">
      <alignment horizontal="center"/>
    </xf>
    <xf numFmtId="2" fontId="33" fillId="37" borderId="0" pivotButton="0" quotePrefix="0" xfId="4"/>
    <xf numFmtId="164" fontId="34" fillId="37" borderId="0" applyAlignment="1" pivotButton="0" quotePrefix="0" xfId="0">
      <alignment horizontal="center"/>
    </xf>
    <xf numFmtId="0" fontId="0" fillId="37" borderId="0" pivotButton="0" quotePrefix="0" xfId="0"/>
    <xf numFmtId="2" fontId="89" fillId="37" borderId="118" applyAlignment="1" pivotButton="0" quotePrefix="0" xfId="4">
      <alignment horizontal="left" vertical="center"/>
    </xf>
    <xf numFmtId="2" fontId="0" fillId="37" borderId="0" pivotButton="0" quotePrefix="0" xfId="4"/>
    <xf numFmtId="3" fontId="38" fillId="15" borderId="16" applyAlignment="1" pivotButton="0" quotePrefix="0" xfId="0">
      <alignment horizontal="left" vertical="center"/>
    </xf>
    <xf numFmtId="3" fontId="38" fillId="15" borderId="16" applyAlignment="1" pivotButton="0" quotePrefix="0" xfId="0">
      <alignment horizontal="center" vertical="center"/>
    </xf>
    <xf numFmtId="2" fontId="38" fillId="15" borderId="16" applyAlignment="1" pivotButton="0" quotePrefix="0" xfId="4">
      <alignment horizontal="left" vertical="center"/>
    </xf>
    <xf numFmtId="164" fontId="38" fillId="15" borderId="16" applyAlignment="1" pivotButton="0" quotePrefix="0" xfId="0">
      <alignment horizontal="left" vertical="center"/>
    </xf>
    <xf numFmtId="3" fontId="89" fillId="15" borderId="118" applyAlignment="1" pivotButton="0" quotePrefix="0" xfId="3">
      <alignment horizontal="left" vertical="center"/>
    </xf>
    <xf numFmtId="3" fontId="89" fillId="15" borderId="118" applyAlignment="1" pivotButton="0" quotePrefix="0" xfId="3">
      <alignment horizontal="center" vertical="center"/>
    </xf>
    <xf numFmtId="2" fontId="89" fillId="15" borderId="118" applyAlignment="1" pivotButton="0" quotePrefix="0" xfId="4">
      <alignment horizontal="left" vertical="center"/>
    </xf>
    <xf numFmtId="173" fontId="89" fillId="15" borderId="118" applyAlignment="1" pivotButton="0" quotePrefix="0" xfId="31">
      <alignment horizontal="left" vertical="center"/>
    </xf>
    <xf numFmtId="166" fontId="38" fillId="15" borderId="16" applyAlignment="1" pivotButton="0" quotePrefix="0" xfId="0">
      <alignment horizontal="left" vertical="center"/>
    </xf>
    <xf numFmtId="3" fontId="89" fillId="15" borderId="118" applyAlignment="1" pivotButton="0" quotePrefix="0" xfId="58">
      <alignment horizontal="left" vertical="center"/>
    </xf>
    <xf numFmtId="3" fontId="89" fillId="15" borderId="118" applyAlignment="1" pivotButton="0" quotePrefix="0" xfId="58">
      <alignment horizontal="left" vertical="center" wrapText="1"/>
    </xf>
    <xf numFmtId="3" fontId="89" fillId="15" borderId="118" applyAlignment="1" pivotButton="0" quotePrefix="0" xfId="58">
      <alignment horizontal="center" vertical="center"/>
    </xf>
    <xf numFmtId="173" fontId="168" fillId="15" borderId="118" applyAlignment="1" pivotButton="0" quotePrefix="0" xfId="31">
      <alignment horizontal="left" vertical="center"/>
    </xf>
    <xf numFmtId="164" fontId="89" fillId="15" borderId="16" applyAlignment="1" pivotButton="0" quotePrefix="0" xfId="0">
      <alignment horizontal="left" vertical="center"/>
    </xf>
    <xf numFmtId="3" fontId="38" fillId="57" borderId="16" applyAlignment="1" pivotButton="0" quotePrefix="0" xfId="0">
      <alignment horizontal="left" vertical="center"/>
    </xf>
    <xf numFmtId="164" fontId="38" fillId="57" borderId="16" applyAlignment="1" pivotButton="0" quotePrefix="0" xfId="0">
      <alignment horizontal="left" vertical="center"/>
    </xf>
    <xf numFmtId="3" fontId="38" fillId="15" borderId="16" applyAlignment="1" pivotButton="0" quotePrefix="0" xfId="0">
      <alignment horizontal="left" vertical="center" wrapText="1"/>
    </xf>
    <xf numFmtId="0" fontId="38" fillId="15" borderId="16" applyAlignment="1" pivotButton="0" quotePrefix="0" xfId="0">
      <alignment vertical="center"/>
    </xf>
    <xf numFmtId="4" fontId="38" fillId="15" borderId="16" applyAlignment="1" pivotButton="0" quotePrefix="0" xfId="0">
      <alignment vertical="center"/>
    </xf>
    <xf numFmtId="164" fontId="38" fillId="15" borderId="16" applyAlignment="1" pivotButton="0" quotePrefix="0" xfId="0">
      <alignment vertical="center"/>
    </xf>
    <xf numFmtId="0" fontId="89" fillId="15" borderId="118" applyAlignment="1" pivotButton="0" quotePrefix="0" xfId="3">
      <alignment vertical="center"/>
    </xf>
    <xf numFmtId="4" fontId="89" fillId="15" borderId="118" applyAlignment="1" pivotButton="0" quotePrefix="0" xfId="3">
      <alignment vertical="center"/>
    </xf>
    <xf numFmtId="173" fontId="89" fillId="15" borderId="118" applyAlignment="1" pivotButton="0" quotePrefix="0" xfId="31">
      <alignment vertical="center"/>
    </xf>
    <xf numFmtId="3" fontId="37" fillId="58" borderId="16" applyAlignment="1" pivotButton="0" quotePrefix="0" xfId="0">
      <alignment horizontal="left" vertical="center"/>
    </xf>
    <xf numFmtId="3" fontId="37" fillId="58" borderId="16" applyAlignment="1" pivotButton="0" quotePrefix="0" xfId="0">
      <alignment horizontal="center" vertical="center"/>
    </xf>
    <xf numFmtId="164" fontId="37" fillId="58" borderId="16" applyAlignment="1" pivotButton="0" quotePrefix="0" xfId="0">
      <alignment horizontal="left" vertical="center"/>
    </xf>
    <xf numFmtId="0" fontId="131" fillId="0" borderId="47" applyAlignment="1" pivotButton="0" quotePrefix="0" xfId="13">
      <alignment vertical="center"/>
    </xf>
    <xf numFmtId="0" fontId="124" fillId="0" borderId="71" applyAlignment="1" pivotButton="0" quotePrefix="0" xfId="13">
      <alignment vertical="center"/>
    </xf>
    <xf numFmtId="0" fontId="131" fillId="0" borderId="45" applyAlignment="1" pivotButton="0" quotePrefix="0" xfId="13">
      <alignment vertical="center"/>
    </xf>
    <xf numFmtId="0" fontId="131" fillId="0" borderId="353" applyAlignment="1" pivotButton="0" quotePrefix="0" xfId="13">
      <alignment vertical="center"/>
    </xf>
    <xf numFmtId="172" fontId="72" fillId="0" borderId="325" applyAlignment="1" pivotButton="0" quotePrefix="1" xfId="15">
      <alignment horizontal="left" vertical="center"/>
    </xf>
    <xf numFmtId="0" fontId="69" fillId="0" borderId="353" applyAlignment="1" pivotButton="0" quotePrefix="0" xfId="13">
      <alignment vertical="center"/>
    </xf>
    <xf numFmtId="17" fontId="69" fillId="0" borderId="354" applyAlignment="1" pivotButton="0" quotePrefix="0" xfId="13">
      <alignment horizontal="left" vertical="center"/>
    </xf>
    <xf numFmtId="17" fontId="69" fillId="0" borderId="355" applyAlignment="1" pivotButton="0" quotePrefix="0" xfId="13">
      <alignment horizontal="left" vertical="center"/>
    </xf>
    <xf numFmtId="0" fontId="170" fillId="59" borderId="356" applyAlignment="1" pivotButton="0" quotePrefix="0" xfId="100">
      <alignment horizontal="center" vertical="center"/>
    </xf>
    <xf numFmtId="0" fontId="9" fillId="0" borderId="72" applyAlignment="1" pivotButton="0" quotePrefix="0" xfId="100">
      <alignment vertical="center"/>
    </xf>
    <xf numFmtId="0" fontId="170" fillId="59" borderId="199" applyAlignment="1" pivotButton="0" quotePrefix="0" xfId="33">
      <alignment horizontal="center" vertical="center"/>
    </xf>
    <xf numFmtId="0" fontId="170" fillId="59" borderId="356" applyAlignment="1" pivotButton="0" quotePrefix="0" xfId="33">
      <alignment horizontal="center" vertical="center" wrapText="1"/>
    </xf>
    <xf numFmtId="0" fontId="170" fillId="59" borderId="356" applyAlignment="1" pivotButton="0" quotePrefix="0" xfId="33">
      <alignment horizontal="center" vertical="center"/>
    </xf>
    <xf numFmtId="0" fontId="170" fillId="59" borderId="166" applyAlignment="1" pivotButton="0" quotePrefix="0" xfId="33">
      <alignment horizontal="center" vertical="center"/>
    </xf>
    <xf numFmtId="0" fontId="9" fillId="60" borderId="258" applyAlignment="1" pivotButton="0" quotePrefix="0" xfId="100">
      <alignment vertical="center"/>
    </xf>
    <xf numFmtId="0" fontId="9" fillId="60" borderId="314" applyAlignment="1" pivotButton="0" quotePrefix="0" xfId="100">
      <alignment vertical="center"/>
    </xf>
    <xf numFmtId="0" fontId="9" fillId="60" borderId="328" applyAlignment="1" pivotButton="0" quotePrefix="0" xfId="100">
      <alignment vertical="center"/>
    </xf>
    <xf numFmtId="173" fontId="0" fillId="60" borderId="328" applyAlignment="1" pivotButton="0" quotePrefix="0" xfId="101">
      <alignment vertical="center"/>
    </xf>
    <xf numFmtId="173" fontId="64" fillId="60" borderId="328" applyAlignment="1" pivotButton="0" quotePrefix="0" xfId="101">
      <alignment vertical="center"/>
    </xf>
    <xf numFmtId="175" fontId="0" fillId="60" borderId="357" applyAlignment="1" pivotButton="0" quotePrefix="0" xfId="102">
      <alignment vertical="center"/>
    </xf>
    <xf numFmtId="173" fontId="0" fillId="60" borderId="313" applyAlignment="1" pivotButton="0" quotePrefix="0" xfId="101">
      <alignment vertical="center"/>
    </xf>
    <xf numFmtId="173" fontId="64" fillId="0" borderId="322" applyAlignment="1" pivotButton="0" quotePrefix="0" xfId="101">
      <alignment vertical="center"/>
    </xf>
    <xf numFmtId="173" fontId="64" fillId="41" borderId="358" applyAlignment="1" pivotButton="0" quotePrefix="0" xfId="101">
      <alignment vertical="center"/>
    </xf>
    <xf numFmtId="173" fontId="64" fillId="41" borderId="321" applyAlignment="1" pivotButton="0" quotePrefix="0" xfId="101">
      <alignment vertical="center"/>
    </xf>
    <xf numFmtId="0" fontId="9" fillId="0" borderId="258" applyAlignment="1" pivotButton="0" quotePrefix="0" xfId="100">
      <alignment vertical="center"/>
    </xf>
    <xf numFmtId="173" fontId="0" fillId="0" borderId="258" applyAlignment="1" pivotButton="0" quotePrefix="0" xfId="101">
      <alignment vertical="center"/>
    </xf>
    <xf numFmtId="173" fontId="0" fillId="0" borderId="269" applyAlignment="1" pivotButton="0" quotePrefix="0" xfId="101">
      <alignment vertical="center"/>
    </xf>
    <xf numFmtId="173" fontId="64" fillId="0" borderId="258" applyAlignment="1" pivotButton="0" quotePrefix="0" xfId="101">
      <alignment vertical="center"/>
    </xf>
    <xf numFmtId="175" fontId="0" fillId="0" borderId="258" applyAlignment="1" pivotButton="0" quotePrefix="0" xfId="102">
      <alignment vertical="center"/>
    </xf>
    <xf numFmtId="173" fontId="0" fillId="15" borderId="313" applyAlignment="1" pivotButton="0" quotePrefix="0" xfId="101">
      <alignment vertical="center"/>
    </xf>
    <xf numFmtId="173" fontId="64" fillId="0" borderId="320" applyAlignment="1" pivotButton="0" quotePrefix="0" xfId="101">
      <alignment vertical="center"/>
    </xf>
    <xf numFmtId="173" fontId="64" fillId="41" borderId="258" applyAlignment="1" pivotButton="0" quotePrefix="0" xfId="101">
      <alignment vertical="center"/>
    </xf>
    <xf numFmtId="173" fontId="64" fillId="41" borderId="313" applyAlignment="1" pivotButton="0" quotePrefix="0" xfId="101">
      <alignment vertical="center"/>
    </xf>
    <xf numFmtId="173" fontId="64" fillId="0" borderId="359" applyAlignment="1" pivotButton="0" quotePrefix="0" xfId="101">
      <alignment vertical="center"/>
    </xf>
    <xf numFmtId="173" fontId="64" fillId="41" borderId="360" applyAlignment="1" pivotButton="0" quotePrefix="0" xfId="101">
      <alignment vertical="center"/>
    </xf>
    <xf numFmtId="173" fontId="64" fillId="41" borderId="361" applyAlignment="1" pivotButton="0" quotePrefix="0" xfId="101">
      <alignment vertical="center"/>
    </xf>
    <xf numFmtId="0" fontId="31" fillId="0" borderId="72" pivotButton="0" quotePrefix="0" xfId="29"/>
    <xf numFmtId="0" fontId="31" fillId="0" borderId="72" applyAlignment="1" pivotButton="0" quotePrefix="0" xfId="29">
      <alignment wrapText="1"/>
    </xf>
    <xf numFmtId="0" fontId="31" fillId="0" borderId="72" applyAlignment="1" pivotButton="0" quotePrefix="0" xfId="29">
      <alignment vertical="center"/>
    </xf>
    <xf numFmtId="173" fontId="31" fillId="0" borderId="72" applyAlignment="1" pivotButton="0" quotePrefix="0" xfId="29">
      <alignment vertical="center"/>
    </xf>
    <xf numFmtId="0" fontId="9" fillId="60" borderId="362" applyAlignment="1" pivotButton="0" quotePrefix="0" xfId="100">
      <alignment vertical="center"/>
    </xf>
    <xf numFmtId="0" fontId="9" fillId="60" borderId="363" applyAlignment="1" pivotButton="0" quotePrefix="0" xfId="100">
      <alignment vertical="center"/>
    </xf>
    <xf numFmtId="0" fontId="9" fillId="60" borderId="364" applyAlignment="1" pivotButton="0" quotePrefix="0" xfId="100">
      <alignment vertical="center"/>
    </xf>
    <xf numFmtId="173" fontId="0" fillId="60" borderId="364" applyAlignment="1" pivotButton="0" quotePrefix="0" xfId="101">
      <alignment vertical="center"/>
    </xf>
    <xf numFmtId="173" fontId="64" fillId="60" borderId="364" applyAlignment="1" pivotButton="0" quotePrefix="0" xfId="101">
      <alignment vertical="center"/>
    </xf>
    <xf numFmtId="175" fontId="0" fillId="60" borderId="365" applyAlignment="1" pivotButton="0" quotePrefix="0" xfId="102">
      <alignment vertical="center"/>
    </xf>
    <xf numFmtId="173" fontId="0" fillId="60" borderId="366" applyAlignment="1" pivotButton="0" quotePrefix="0" xfId="101">
      <alignment vertical="center"/>
    </xf>
    <xf numFmtId="173" fontId="0" fillId="0" borderId="367" applyAlignment="1" pivotButton="0" quotePrefix="0" xfId="101">
      <alignment vertical="center"/>
    </xf>
    <xf numFmtId="0" fontId="9" fillId="59" borderId="72" applyAlignment="1" pivotButton="0" quotePrefix="0" xfId="100">
      <alignment vertical="center"/>
    </xf>
    <xf numFmtId="0" fontId="157" fillId="59" borderId="72" applyAlignment="1" pivotButton="0" quotePrefix="0" xfId="100">
      <alignment horizontal="right" vertical="center"/>
    </xf>
    <xf numFmtId="173" fontId="157" fillId="59" borderId="72" applyAlignment="1" pivotButton="0" quotePrefix="0" xfId="101">
      <alignment vertical="center"/>
    </xf>
    <xf numFmtId="175" fontId="9" fillId="0" borderId="72" applyAlignment="1" pivotButton="0" quotePrefix="0" xfId="10">
      <alignment vertical="center"/>
    </xf>
    <xf numFmtId="0" fontId="170" fillId="59" borderId="200" applyAlignment="1" pivotButton="0" quotePrefix="0" xfId="33">
      <alignment horizontal="center" vertical="center"/>
    </xf>
    <xf numFmtId="0" fontId="158" fillId="0" borderId="72" applyAlignment="1" pivotButton="0" quotePrefix="0" xfId="79">
      <alignment vertical="center"/>
    </xf>
    <xf numFmtId="0" fontId="158" fillId="0" borderId="72" applyAlignment="1" pivotButton="0" quotePrefix="0" xfId="79">
      <alignment horizontal="left" vertical="top"/>
    </xf>
    <xf numFmtId="0" fontId="173" fillId="61" borderId="72" applyAlignment="1" pivotButton="0" quotePrefix="0" xfId="79">
      <alignment vertical="top"/>
    </xf>
    <xf numFmtId="0" fontId="158" fillId="0" borderId="72" applyAlignment="1" pivotButton="0" quotePrefix="0" xfId="79">
      <alignment horizontal="left" vertical="center"/>
    </xf>
    <xf numFmtId="0" fontId="173" fillId="62" borderId="72" applyAlignment="1" pivotButton="0" quotePrefix="0" xfId="79">
      <alignment vertical="top"/>
    </xf>
    <xf numFmtId="0" fontId="173" fillId="63" borderId="72" applyAlignment="1" pivotButton="0" quotePrefix="0" xfId="79">
      <alignment vertical="top"/>
    </xf>
    <xf numFmtId="0" fontId="173" fillId="63" borderId="72" applyAlignment="1" pivotButton="0" quotePrefix="0" xfId="79">
      <alignment horizontal="center" vertical="top"/>
    </xf>
    <xf numFmtId="0" fontId="173" fillId="63" borderId="72" applyAlignment="1" pivotButton="0" quotePrefix="0" xfId="79">
      <alignment horizontal="right" vertical="top"/>
    </xf>
    <xf numFmtId="0" fontId="174" fillId="48" borderId="370" applyAlignment="1" pivotButton="0" quotePrefix="0" xfId="79">
      <alignment vertical="top"/>
    </xf>
    <xf numFmtId="0" fontId="174" fillId="48" borderId="371" applyAlignment="1" pivotButton="0" quotePrefix="0" xfId="79">
      <alignment vertical="top"/>
    </xf>
    <xf numFmtId="0" fontId="158" fillId="48" borderId="372" applyAlignment="1" pivotButton="0" quotePrefix="0" xfId="79">
      <alignment horizontal="left" vertical="center"/>
    </xf>
    <xf numFmtId="2" fontId="175" fillId="48" borderId="370" applyAlignment="1" pivotButton="0" quotePrefix="0" xfId="79">
      <alignment vertical="top" shrinkToFit="1"/>
    </xf>
    <xf numFmtId="185" fontId="175" fillId="48" borderId="372" applyAlignment="1" pivotButton="0" quotePrefix="0" xfId="79">
      <alignment horizontal="right" vertical="top" shrinkToFit="1"/>
    </xf>
    <xf numFmtId="0" fontId="174" fillId="48" borderId="373" applyAlignment="1" pivotButton="0" quotePrefix="0" xfId="79">
      <alignment vertical="top"/>
    </xf>
    <xf numFmtId="185" fontId="175" fillId="48" borderId="370" applyAlignment="1" pivotButton="0" quotePrefix="0" xfId="79">
      <alignment vertical="top" shrinkToFit="1"/>
    </xf>
    <xf numFmtId="0" fontId="174" fillId="48" borderId="372" applyAlignment="1" pivotButton="0" quotePrefix="0" xfId="79">
      <alignment horizontal="right" vertical="top"/>
    </xf>
    <xf numFmtId="186" fontId="174" fillId="48" borderId="370" applyAlignment="1" pivotButton="0" quotePrefix="0" xfId="79">
      <alignment vertical="top"/>
    </xf>
    <xf numFmtId="186" fontId="174" fillId="48" borderId="373" applyAlignment="1" pivotButton="0" quotePrefix="0" xfId="79">
      <alignment vertical="top"/>
    </xf>
    <xf numFmtId="0" fontId="158" fillId="48" borderId="370" applyAlignment="1" pivotButton="0" quotePrefix="0" xfId="79">
      <alignment vertical="center"/>
    </xf>
    <xf numFmtId="0" fontId="174" fillId="0" borderId="374" applyAlignment="1" pivotButton="0" quotePrefix="0" xfId="79">
      <alignment vertical="top"/>
    </xf>
    <xf numFmtId="0" fontId="174" fillId="0" borderId="375" applyAlignment="1" pivotButton="0" quotePrefix="0" xfId="79">
      <alignment vertical="top"/>
    </xf>
    <xf numFmtId="0" fontId="174" fillId="0" borderId="376" applyAlignment="1" pivotButton="0" quotePrefix="0" xfId="79">
      <alignment horizontal="center" vertical="top"/>
    </xf>
    <xf numFmtId="4" fontId="175" fillId="0" borderId="374" applyAlignment="1" pivotButton="0" quotePrefix="0" xfId="79">
      <alignment vertical="top" shrinkToFit="1"/>
    </xf>
    <xf numFmtId="185" fontId="175" fillId="0" borderId="376" applyAlignment="1" pivotButton="0" quotePrefix="0" xfId="79">
      <alignment horizontal="right" vertical="top" shrinkToFit="1"/>
    </xf>
    <xf numFmtId="0" fontId="174" fillId="0" borderId="377" applyAlignment="1" pivotButton="0" quotePrefix="0" xfId="79">
      <alignment vertical="top"/>
    </xf>
    <xf numFmtId="185" fontId="175" fillId="0" borderId="374" applyAlignment="1" pivotButton="0" quotePrefix="0" xfId="79">
      <alignment vertical="top" shrinkToFit="1"/>
    </xf>
    <xf numFmtId="0" fontId="174" fillId="0" borderId="376" applyAlignment="1" pivotButton="0" quotePrefix="0" xfId="79">
      <alignment horizontal="right" vertical="top"/>
    </xf>
    <xf numFmtId="186" fontId="174" fillId="0" borderId="374" applyAlignment="1" pivotButton="0" quotePrefix="0" xfId="79">
      <alignment vertical="top"/>
    </xf>
    <xf numFmtId="1" fontId="175" fillId="0" borderId="376" applyAlignment="1" pivotButton="0" quotePrefix="0" xfId="79">
      <alignment horizontal="center" vertical="top" shrinkToFit="1"/>
    </xf>
    <xf numFmtId="3" fontId="175" fillId="0" borderId="374" applyAlignment="1" pivotButton="0" quotePrefix="0" xfId="79">
      <alignment vertical="top" shrinkToFit="1"/>
    </xf>
    <xf numFmtId="2" fontId="175" fillId="0" borderId="374" applyAlignment="1" pivotButton="0" quotePrefix="0" xfId="79">
      <alignment vertical="top" shrinkToFit="1"/>
    </xf>
    <xf numFmtId="0" fontId="173" fillId="63" borderId="371" applyAlignment="1" pivotButton="0" quotePrefix="0" xfId="79">
      <alignment vertical="top"/>
    </xf>
    <xf numFmtId="0" fontId="173" fillId="63" borderId="371" applyAlignment="1" pivotButton="0" quotePrefix="0" xfId="79">
      <alignment horizontal="center" vertical="top"/>
    </xf>
    <xf numFmtId="0" fontId="173" fillId="63" borderId="371" applyAlignment="1" pivotButton="0" quotePrefix="0" xfId="79">
      <alignment horizontal="right" vertical="top"/>
    </xf>
    <xf numFmtId="0" fontId="158" fillId="0" borderId="374" applyAlignment="1" pivotButton="0" quotePrefix="0" xfId="79">
      <alignment vertical="center"/>
    </xf>
    <xf numFmtId="0" fontId="158" fillId="0" borderId="375" applyAlignment="1" pivotButton="0" quotePrefix="0" xfId="79">
      <alignment vertical="center"/>
    </xf>
    <xf numFmtId="0" fontId="158" fillId="0" borderId="377" applyAlignment="1" pivotButton="0" quotePrefix="0" xfId="79">
      <alignment vertical="center"/>
    </xf>
    <xf numFmtId="0" fontId="174" fillId="48" borderId="374" applyAlignment="1" pivotButton="0" quotePrefix="0" xfId="79">
      <alignment vertical="top"/>
    </xf>
    <xf numFmtId="0" fontId="158" fillId="0" borderId="72" applyAlignment="1" pivotButton="0" quotePrefix="0" xfId="79">
      <alignment horizontal="left"/>
    </xf>
    <xf numFmtId="0" fontId="173" fillId="62" borderId="72" applyAlignment="1" pivotButton="0" quotePrefix="0" xfId="79">
      <alignment horizontal="center" vertical="top"/>
    </xf>
    <xf numFmtId="0" fontId="174" fillId="0" borderId="72" applyAlignment="1" pivotButton="0" quotePrefix="0" xfId="79">
      <alignment vertical="top"/>
    </xf>
    <xf numFmtId="0" fontId="173" fillId="63" borderId="72" applyAlignment="1" pivotButton="0" quotePrefix="0" xfId="79">
      <alignment horizontal="left" vertical="top"/>
    </xf>
    <xf numFmtId="187" fontId="175" fillId="0" borderId="372" applyAlignment="1" pivotButton="0" quotePrefix="0" xfId="79">
      <alignment horizontal="left" vertical="center" shrinkToFit="1"/>
    </xf>
    <xf numFmtId="4" fontId="175" fillId="0" borderId="372" applyAlignment="1" pivotButton="0" quotePrefix="0" xfId="79">
      <alignment horizontal="right" vertical="center" shrinkToFit="1"/>
    </xf>
    <xf numFmtId="4" fontId="175" fillId="0" borderId="370" applyAlignment="1" pivotButton="0" quotePrefix="0" xfId="79">
      <alignment vertical="center" shrinkToFit="1"/>
    </xf>
    <xf numFmtId="4" fontId="175" fillId="0" borderId="373" applyAlignment="1" pivotButton="0" quotePrefix="0" xfId="79">
      <alignment vertical="center" shrinkToFit="1"/>
    </xf>
    <xf numFmtId="0" fontId="174" fillId="0" borderId="371" applyAlignment="1" pivotButton="0" quotePrefix="0" xfId="79">
      <alignment vertical="center"/>
    </xf>
    <xf numFmtId="187" fontId="175" fillId="0" borderId="370" applyAlignment="1" pivotButton="0" quotePrefix="0" xfId="79">
      <alignment vertical="center" shrinkToFit="1"/>
    </xf>
    <xf numFmtId="187" fontId="175" fillId="0" borderId="373" applyAlignment="1" pivotButton="0" quotePrefix="0" xfId="79">
      <alignment vertical="center" shrinkToFit="1"/>
    </xf>
    <xf numFmtId="4" fontId="175" fillId="0" borderId="371" applyAlignment="1" pivotButton="0" quotePrefix="0" xfId="79">
      <alignment vertical="center" shrinkToFit="1"/>
    </xf>
    <xf numFmtId="0" fontId="174" fillId="0" borderId="373" applyAlignment="1" pivotButton="0" quotePrefix="0" xfId="79">
      <alignment vertical="center"/>
    </xf>
    <xf numFmtId="187" fontId="175" fillId="0" borderId="371" applyAlignment="1" pivotButton="0" quotePrefix="0" xfId="79">
      <alignment vertical="center" shrinkToFit="1"/>
    </xf>
    <xf numFmtId="187" fontId="175" fillId="0" borderId="376" applyAlignment="1" pivotButton="0" quotePrefix="0" xfId="79">
      <alignment horizontal="left" vertical="top" shrinkToFit="1"/>
    </xf>
    <xf numFmtId="4" fontId="175" fillId="0" borderId="376" applyAlignment="1" pivotButton="0" quotePrefix="0" xfId="79">
      <alignment horizontal="right" vertical="top" shrinkToFit="1"/>
    </xf>
    <xf numFmtId="4" fontId="175" fillId="0" borderId="377" applyAlignment="1" pivotButton="0" quotePrefix="0" xfId="79">
      <alignment vertical="top" shrinkToFit="1"/>
    </xf>
    <xf numFmtId="187" fontId="175" fillId="0" borderId="374" applyAlignment="1" pivotButton="0" quotePrefix="0" xfId="79">
      <alignment vertical="top" shrinkToFit="1"/>
    </xf>
    <xf numFmtId="187" fontId="175" fillId="0" borderId="377" applyAlignment="1" pivotButton="0" quotePrefix="0" xfId="79">
      <alignment vertical="top" shrinkToFit="1"/>
    </xf>
    <xf numFmtId="4" fontId="175" fillId="0" borderId="375" applyAlignment="1" pivotButton="0" quotePrefix="0" xfId="79">
      <alignment vertical="top" shrinkToFit="1"/>
    </xf>
    <xf numFmtId="187" fontId="175" fillId="0" borderId="375" applyAlignment="1" pivotButton="0" quotePrefix="0" xfId="79">
      <alignment vertical="top" shrinkToFit="1"/>
    </xf>
    <xf numFmtId="0" fontId="173" fillId="63" borderId="371" applyAlignment="1" pivotButton="0" quotePrefix="0" xfId="79">
      <alignment horizontal="left" vertical="top"/>
    </xf>
    <xf numFmtId="4" fontId="175" fillId="0" borderId="376" applyAlignment="1" pivotButton="0" quotePrefix="0" xfId="79">
      <alignment horizontal="right" vertical="center" shrinkToFit="1"/>
    </xf>
    <xf numFmtId="4" fontId="175" fillId="0" borderId="374" applyAlignment="1" pivotButton="0" quotePrefix="0" xfId="79">
      <alignment vertical="center" shrinkToFit="1"/>
    </xf>
    <xf numFmtId="4" fontId="175" fillId="0" borderId="377" applyAlignment="1" pivotButton="0" quotePrefix="0" xfId="79">
      <alignment vertical="center" shrinkToFit="1"/>
    </xf>
    <xf numFmtId="0" fontId="174" fillId="0" borderId="375" applyAlignment="1" pivotButton="0" quotePrefix="0" xfId="79">
      <alignment vertical="center"/>
    </xf>
    <xf numFmtId="187" fontId="175" fillId="0" borderId="374" applyAlignment="1" pivotButton="0" quotePrefix="0" xfId="79">
      <alignment vertical="center" shrinkToFit="1"/>
    </xf>
    <xf numFmtId="187" fontId="175" fillId="0" borderId="377" applyAlignment="1" pivotButton="0" quotePrefix="0" xfId="79">
      <alignment vertical="center" shrinkToFit="1"/>
    </xf>
    <xf numFmtId="4" fontId="175" fillId="0" borderId="375" applyAlignment="1" pivotButton="0" quotePrefix="0" xfId="79">
      <alignment vertical="center" shrinkToFit="1"/>
    </xf>
    <xf numFmtId="0" fontId="174" fillId="0" borderId="377" applyAlignment="1" pivotButton="0" quotePrefix="0" xfId="79">
      <alignment vertical="center"/>
    </xf>
    <xf numFmtId="187" fontId="175" fillId="0" borderId="375" applyAlignment="1" pivotButton="0" quotePrefix="0" xfId="79">
      <alignment vertical="center" shrinkToFit="1"/>
    </xf>
    <xf numFmtId="187" fontId="175" fillId="0" borderId="376" applyAlignment="1" pivotButton="0" quotePrefix="0" xfId="79">
      <alignment horizontal="left" vertical="center" shrinkToFit="1"/>
    </xf>
    <xf numFmtId="0" fontId="158" fillId="0" borderId="378" applyAlignment="1" pivotButton="0" quotePrefix="0" xfId="79">
      <alignment vertical="center"/>
    </xf>
    <xf numFmtId="0" fontId="158" fillId="0" borderId="72" pivotButton="0" quotePrefix="0" xfId="79"/>
    <xf numFmtId="0" fontId="158" fillId="0" borderId="72" applyAlignment="1" pivotButton="0" quotePrefix="0" xfId="79">
      <alignment vertical="top"/>
    </xf>
    <xf numFmtId="0" fontId="158" fillId="0" borderId="373" applyAlignment="1" pivotButton="0" quotePrefix="0" xfId="79">
      <alignment vertical="center"/>
    </xf>
    <xf numFmtId="186" fontId="174" fillId="0" borderId="373" applyAlignment="1" pivotButton="0" quotePrefix="0" xfId="79">
      <alignment vertical="top"/>
    </xf>
    <xf numFmtId="0" fontId="158" fillId="48" borderId="376" applyAlignment="1" pivotButton="0" quotePrefix="0" xfId="79">
      <alignment horizontal="left" vertical="center"/>
    </xf>
    <xf numFmtId="186" fontId="174" fillId="48" borderId="374" applyAlignment="1" pivotButton="0" quotePrefix="0" xfId="79">
      <alignment vertical="top"/>
    </xf>
    <xf numFmtId="0" fontId="158" fillId="48" borderId="374" applyAlignment="1" pivotButton="0" quotePrefix="0" xfId="79">
      <alignment vertical="center"/>
    </xf>
    <xf numFmtId="186" fontId="174" fillId="0" borderId="377" applyAlignment="1" pivotButton="0" quotePrefix="0" xfId="79">
      <alignment vertical="top"/>
    </xf>
    <xf numFmtId="186" fontId="174" fillId="48" borderId="377" applyAlignment="1" pivotButton="0" quotePrefix="0" xfId="79">
      <alignment vertical="top"/>
    </xf>
    <xf numFmtId="188" fontId="175" fillId="0" borderId="72" applyAlignment="1" pivotButton="0" quotePrefix="0" xfId="79">
      <alignment vertical="top" shrinkToFit="1"/>
    </xf>
    <xf numFmtId="189" fontId="175" fillId="0" borderId="372" applyAlignment="1" pivotButton="0" quotePrefix="0" xfId="79">
      <alignment horizontal="left" vertical="center" shrinkToFit="1"/>
    </xf>
    <xf numFmtId="189" fontId="175" fillId="0" borderId="371" applyAlignment="1" pivotButton="0" quotePrefix="0" xfId="79">
      <alignment vertical="center" shrinkToFit="1"/>
    </xf>
    <xf numFmtId="0" fontId="174" fillId="0" borderId="370" applyAlignment="1" pivotButton="0" quotePrefix="0" xfId="79">
      <alignment vertical="center"/>
    </xf>
    <xf numFmtId="189" fontId="175" fillId="0" borderId="373" applyAlignment="1" pivotButton="0" quotePrefix="0" xfId="79">
      <alignment vertical="center" shrinkToFit="1"/>
    </xf>
    <xf numFmtId="0" fontId="174" fillId="0" borderId="372" applyAlignment="1" pivotButton="0" quotePrefix="0" xfId="79">
      <alignment horizontal="left" vertical="top"/>
    </xf>
    <xf numFmtId="189" fontId="175" fillId="0" borderId="376" applyAlignment="1" pivotButton="0" quotePrefix="0" xfId="79">
      <alignment horizontal="left" vertical="top" shrinkToFit="1"/>
    </xf>
    <xf numFmtId="189" fontId="175" fillId="0" borderId="375" applyAlignment="1" pivotButton="0" quotePrefix="0" xfId="79">
      <alignment vertical="top" shrinkToFit="1"/>
    </xf>
    <xf numFmtId="189" fontId="175" fillId="0" borderId="377" applyAlignment="1" pivotButton="0" quotePrefix="0" xfId="79">
      <alignment vertical="top" shrinkToFit="1"/>
    </xf>
    <xf numFmtId="0" fontId="174" fillId="0" borderId="376" applyAlignment="1" pivotButton="0" quotePrefix="0" xfId="79">
      <alignment horizontal="left" vertical="top"/>
    </xf>
    <xf numFmtId="189" fontId="175" fillId="0" borderId="376" applyAlignment="1" pivotButton="0" quotePrefix="0" xfId="79">
      <alignment horizontal="left" vertical="center" shrinkToFit="1"/>
    </xf>
    <xf numFmtId="189" fontId="175" fillId="0" borderId="375" applyAlignment="1" pivotButton="0" quotePrefix="0" xfId="79">
      <alignment vertical="center" shrinkToFit="1"/>
    </xf>
    <xf numFmtId="0" fontId="174" fillId="0" borderId="374" applyAlignment="1" pivotButton="0" quotePrefix="0" xfId="79">
      <alignment vertical="center"/>
    </xf>
    <xf numFmtId="189" fontId="175" fillId="0" borderId="377" applyAlignment="1" pivotButton="0" quotePrefix="0" xfId="79">
      <alignment vertical="center" shrinkToFit="1"/>
    </xf>
    <xf numFmtId="189" fontId="175" fillId="0" borderId="370" applyAlignment="1" pivotButton="0" quotePrefix="0" xfId="79">
      <alignment vertical="top" shrinkToFit="1"/>
    </xf>
    <xf numFmtId="0" fontId="174" fillId="0" borderId="371" applyAlignment="1" pivotButton="0" quotePrefix="0" xfId="79">
      <alignment vertical="top"/>
    </xf>
    <xf numFmtId="0" fontId="174" fillId="0" borderId="373" applyAlignment="1" pivotButton="0" quotePrefix="0" xfId="79">
      <alignment vertical="top"/>
    </xf>
    <xf numFmtId="189" fontId="175" fillId="0" borderId="371" applyAlignment="1" pivotButton="0" quotePrefix="0" xfId="79">
      <alignment vertical="top" shrinkToFit="1"/>
    </xf>
    <xf numFmtId="189" fontId="175" fillId="0" borderId="373" applyAlignment="1" pivotButton="0" quotePrefix="0" xfId="79">
      <alignment vertical="top" shrinkToFit="1"/>
    </xf>
    <xf numFmtId="0" fontId="173" fillId="61" borderId="378" applyAlignment="1" pivotButton="0" quotePrefix="0" xfId="79">
      <alignment vertical="top"/>
    </xf>
    <xf numFmtId="0" fontId="158" fillId="62" borderId="72" applyAlignment="1" pivotButton="0" quotePrefix="0" xfId="79">
      <alignment vertical="top"/>
    </xf>
    <xf numFmtId="0" fontId="158" fillId="62" borderId="371" applyAlignment="1" pivotButton="0" quotePrefix="0" xfId="79">
      <alignment vertical="top"/>
    </xf>
    <xf numFmtId="0" fontId="173" fillId="61" borderId="375" applyAlignment="1" pivotButton="0" quotePrefix="0" xfId="79">
      <alignment vertical="top"/>
    </xf>
    <xf numFmtId="0" fontId="173" fillId="61" borderId="371" applyAlignment="1" pivotButton="0" quotePrefix="0" xfId="79">
      <alignment vertical="top"/>
    </xf>
    <xf numFmtId="0" fontId="173" fillId="62" borderId="371" applyAlignment="1" pivotButton="0" quotePrefix="0" xfId="79">
      <alignment vertical="top"/>
    </xf>
    <xf numFmtId="0" fontId="158" fillId="62" borderId="375" applyAlignment="1" pivotButton="0" quotePrefix="0" xfId="79">
      <alignment vertical="center"/>
    </xf>
    <xf numFmtId="0" fontId="173" fillId="62" borderId="375" applyAlignment="1" pivotButton="0" quotePrefix="0" xfId="79">
      <alignment vertical="top"/>
    </xf>
    <xf numFmtId="189" fontId="175" fillId="0" borderId="374" applyAlignment="1" pivotButton="0" quotePrefix="0" xfId="79">
      <alignment vertical="top" shrinkToFit="1"/>
    </xf>
    <xf numFmtId="1" fontId="175" fillId="0" borderId="374" applyAlignment="1" pivotButton="0" quotePrefix="0" xfId="79">
      <alignment vertical="top" shrinkToFit="1"/>
    </xf>
    <xf numFmtId="1" fontId="175" fillId="0" borderId="375" applyAlignment="1" pivotButton="0" quotePrefix="0" xfId="79">
      <alignment vertical="top" shrinkToFit="1"/>
    </xf>
    <xf numFmtId="0" fontId="173" fillId="62" borderId="378" applyAlignment="1" pivotButton="0" quotePrefix="0" xfId="79">
      <alignment vertical="top"/>
    </xf>
    <xf numFmtId="0" fontId="158" fillId="62" borderId="371" applyAlignment="1" pivotButton="0" quotePrefix="0" xfId="79">
      <alignment vertical="center"/>
    </xf>
    <xf numFmtId="173" fontId="64" fillId="0" borderId="358" applyAlignment="1" pivotButton="0" quotePrefix="0" xfId="101">
      <alignment vertical="center"/>
    </xf>
    <xf numFmtId="173" fontId="64" fillId="0" borderId="360" applyAlignment="1" pivotButton="0" quotePrefix="0" xfId="101">
      <alignment vertical="center"/>
    </xf>
    <xf numFmtId="164" fontId="33" fillId="64" borderId="329" applyAlignment="1" pivotButton="0" quotePrefix="0" xfId="80">
      <alignment horizontal="left" vertical="center"/>
    </xf>
    <xf numFmtId="0" fontId="33" fillId="64" borderId="44" applyAlignment="1" pivotButton="0" quotePrefix="0" xfId="80">
      <alignment horizontal="center" vertical="center"/>
    </xf>
    <xf numFmtId="164" fontId="33" fillId="64" borderId="44" applyAlignment="1" pivotButton="0" quotePrefix="0" xfId="80">
      <alignment horizontal="center" vertical="center"/>
    </xf>
    <xf numFmtId="173" fontId="0" fillId="0" borderId="315" applyAlignment="1" pivotButton="0" quotePrefix="0" xfId="101">
      <alignment vertical="center"/>
    </xf>
    <xf numFmtId="0" fontId="131" fillId="0" borderId="354" applyAlignment="1" pivotButton="0" quotePrefix="0" xfId="13">
      <alignment vertical="center"/>
    </xf>
    <xf numFmtId="0" fontId="131" fillId="0" borderId="76" applyAlignment="1" pivotButton="0" quotePrefix="0" xfId="13">
      <alignment vertical="center"/>
    </xf>
    <xf numFmtId="0" fontId="131" fillId="0" borderId="72" applyAlignment="1" pivotButton="0" quotePrefix="0" xfId="13">
      <alignment vertical="center"/>
    </xf>
    <xf numFmtId="172" fontId="72" fillId="0" borderId="354" applyAlignment="1" pivotButton="0" quotePrefix="1" xfId="15">
      <alignment vertical="center" wrapText="1"/>
    </xf>
    <xf numFmtId="0" fontId="69" fillId="0" borderId="76" applyAlignment="1" pivotButton="0" quotePrefix="0" xfId="13">
      <alignment vertical="center"/>
    </xf>
    <xf numFmtId="17" fontId="69" fillId="0" borderId="325" applyAlignment="1" pivotButton="0" quotePrefix="0" xfId="13">
      <alignment horizontal="left" vertical="center"/>
    </xf>
    <xf numFmtId="17" fontId="69" fillId="0" borderId="72" applyAlignment="1" pivotButton="0" quotePrefix="0" xfId="13">
      <alignment horizontal="left" vertical="center"/>
    </xf>
    <xf numFmtId="0" fontId="138" fillId="16" borderId="72" applyAlignment="1" pivotButton="0" quotePrefix="0" xfId="14">
      <alignment vertical="center"/>
    </xf>
    <xf numFmtId="0" fontId="138" fillId="16" borderId="120" applyAlignment="1" pivotButton="0" quotePrefix="0" xfId="14">
      <alignment vertical="center"/>
    </xf>
    <xf numFmtId="0" fontId="138" fillId="0" borderId="72" applyAlignment="1" pivotButton="0" quotePrefix="0" xfId="14">
      <alignment vertical="center"/>
    </xf>
    <xf numFmtId="0" fontId="170" fillId="59" borderId="356" applyAlignment="1" pivotButton="0" quotePrefix="0" xfId="107">
      <alignment horizontal="center" vertical="center"/>
    </xf>
    <xf numFmtId="0" fontId="170" fillId="59" borderId="369" applyAlignment="1" pivotButton="0" quotePrefix="0" xfId="107">
      <alignment horizontal="center" vertical="center"/>
    </xf>
    <xf numFmtId="0" fontId="170" fillId="59" borderId="199" applyAlignment="1" pivotButton="0" quotePrefix="0" xfId="107">
      <alignment horizontal="center" vertical="center"/>
    </xf>
    <xf numFmtId="0" fontId="170" fillId="59" borderId="166" applyAlignment="1" pivotButton="0" quotePrefix="0" xfId="107">
      <alignment horizontal="center" vertical="center"/>
    </xf>
    <xf numFmtId="0" fontId="9" fillId="0" borderId="88" applyAlignment="1" pivotButton="0" quotePrefix="0" xfId="107">
      <alignment vertical="center"/>
    </xf>
    <xf numFmtId="0" fontId="9" fillId="0" borderId="72" applyAlignment="1" pivotButton="0" quotePrefix="0" xfId="107">
      <alignment vertical="center"/>
    </xf>
    <xf numFmtId="0" fontId="9" fillId="0" borderId="258" applyAlignment="1" pivotButton="0" quotePrefix="0" xfId="107">
      <alignment vertical="center"/>
    </xf>
    <xf numFmtId="0" fontId="9" fillId="0" borderId="314" applyAlignment="1" pivotButton="0" quotePrefix="0" xfId="107">
      <alignment vertical="center"/>
    </xf>
    <xf numFmtId="0" fontId="9" fillId="0" borderId="379" applyAlignment="1" pivotButton="0" quotePrefix="0" xfId="107">
      <alignment vertical="center"/>
    </xf>
    <xf numFmtId="0" fontId="9" fillId="0" borderId="328" applyAlignment="1" pivotButton="0" quotePrefix="0" xfId="107">
      <alignment vertical="center"/>
    </xf>
    <xf numFmtId="173" fontId="0" fillId="0" borderId="328" applyAlignment="1" pivotButton="0" quotePrefix="0" xfId="108">
      <alignment vertical="center"/>
    </xf>
    <xf numFmtId="173" fontId="64" fillId="0" borderId="328" applyAlignment="1" pivotButton="0" quotePrefix="0" xfId="108">
      <alignment vertical="center"/>
    </xf>
    <xf numFmtId="175" fontId="0" fillId="0" borderId="357" applyAlignment="1" pivotButton="0" quotePrefix="0" xfId="109">
      <alignment vertical="center"/>
    </xf>
    <xf numFmtId="175" fontId="0" fillId="0" borderId="313" applyAlignment="1" pivotButton="0" quotePrefix="0" xfId="84">
      <alignment vertical="center"/>
    </xf>
    <xf numFmtId="173" fontId="64" fillId="0" borderId="322" applyAlignment="1" pivotButton="0" quotePrefix="0" xfId="108">
      <alignment vertical="center"/>
    </xf>
    <xf numFmtId="173" fontId="64" fillId="0" borderId="320" applyAlignment="1" pivotButton="0" quotePrefix="0" xfId="108">
      <alignment vertical="center"/>
    </xf>
    <xf numFmtId="175" fontId="64" fillId="0" borderId="313" applyAlignment="1" pivotButton="0" quotePrefix="0" xfId="84">
      <alignment vertical="center"/>
    </xf>
    <xf numFmtId="175" fontId="64" fillId="0" borderId="321" applyAlignment="1" pivotButton="0" quotePrefix="0" xfId="84">
      <alignment vertical="center"/>
    </xf>
    <xf numFmtId="0" fontId="137" fillId="0" borderId="258" applyAlignment="1" pivotButton="0" quotePrefix="0" xfId="107">
      <alignment vertical="center"/>
    </xf>
    <xf numFmtId="173" fontId="0" fillId="0" borderId="258" applyAlignment="1" pivotButton="0" quotePrefix="0" xfId="108">
      <alignment vertical="center"/>
    </xf>
    <xf numFmtId="175" fontId="0" fillId="0" borderId="258" applyAlignment="1" pivotButton="0" quotePrefix="0" xfId="109">
      <alignment vertical="center"/>
    </xf>
    <xf numFmtId="0" fontId="137" fillId="0" borderId="380" applyAlignment="1" pivotButton="0" quotePrefix="0" xfId="107">
      <alignment vertical="center"/>
    </xf>
    <xf numFmtId="0" fontId="73" fillId="0" borderId="381" applyAlignment="1" pivotButton="0" quotePrefix="0" xfId="16">
      <alignment vertical="center"/>
    </xf>
    <xf numFmtId="173" fontId="0" fillId="0" borderId="380" applyAlignment="1" pivotButton="0" quotePrefix="0" xfId="108">
      <alignment vertical="center"/>
    </xf>
    <xf numFmtId="175" fontId="0" fillId="0" borderId="380" applyAlignment="1" pivotButton="0" quotePrefix="0" xfId="109">
      <alignment vertical="center"/>
    </xf>
    <xf numFmtId="175" fontId="0" fillId="0" borderId="382" applyAlignment="1" pivotButton="0" quotePrefix="0" xfId="84">
      <alignment vertical="center"/>
    </xf>
    <xf numFmtId="0" fontId="137" fillId="0" borderId="269" applyAlignment="1" pivotButton="0" quotePrefix="0" xfId="107">
      <alignment vertical="center"/>
    </xf>
    <xf numFmtId="0" fontId="73" fillId="0" borderId="383" applyAlignment="1" pivotButton="0" quotePrefix="0" xfId="16">
      <alignment vertical="center"/>
    </xf>
    <xf numFmtId="173" fontId="0" fillId="0" borderId="269" applyAlignment="1" pivotButton="0" quotePrefix="0" xfId="108">
      <alignment vertical="center"/>
    </xf>
    <xf numFmtId="175" fontId="0" fillId="0" borderId="269" applyAlignment="1" pivotButton="0" quotePrefix="0" xfId="109">
      <alignment vertical="center"/>
    </xf>
    <xf numFmtId="175" fontId="0" fillId="0" borderId="384" applyAlignment="1" pivotButton="0" quotePrefix="0" xfId="84">
      <alignment vertical="center"/>
    </xf>
    <xf numFmtId="175" fontId="9" fillId="0" borderId="72" applyAlignment="1" pivotButton="0" quotePrefix="0" xfId="107">
      <alignment vertical="center"/>
    </xf>
    <xf numFmtId="0" fontId="157" fillId="0" borderId="72" applyAlignment="1" pivotButton="0" quotePrefix="0" xfId="107">
      <alignment horizontal="right" vertical="center"/>
    </xf>
    <xf numFmtId="0" fontId="157" fillId="0" borderId="72" applyAlignment="1" pivotButton="0" quotePrefix="0" xfId="107">
      <alignment horizontal="center" vertical="center"/>
    </xf>
    <xf numFmtId="175" fontId="157" fillId="0" borderId="72" applyAlignment="1" pivotButton="0" quotePrefix="0" xfId="84">
      <alignment vertical="center"/>
    </xf>
    <xf numFmtId="0" fontId="169" fillId="0" borderId="72" applyAlignment="1" pivotButton="0" quotePrefix="0" xfId="107">
      <alignment vertical="center"/>
    </xf>
    <xf numFmtId="175" fontId="173" fillId="61" borderId="72" applyAlignment="1" pivotButton="0" quotePrefix="0" xfId="4">
      <alignment vertical="top"/>
    </xf>
    <xf numFmtId="173" fontId="69" fillId="0" borderId="106" pivotButton="0" quotePrefix="0" xfId="89"/>
    <xf numFmtId="173" fontId="69" fillId="0" borderId="205" pivotButton="0" quotePrefix="0" xfId="89"/>
    <xf numFmtId="173" fontId="69" fillId="0" borderId="202" pivotButton="0" quotePrefix="0" xfId="89"/>
    <xf numFmtId="0" fontId="170" fillId="59" borderId="356" applyAlignment="1" pivotButton="0" quotePrefix="0" xfId="112">
      <alignment horizontal="center" vertical="center"/>
    </xf>
    <xf numFmtId="0" fontId="8" fillId="0" borderId="72" applyAlignment="1" pivotButton="0" quotePrefix="0" xfId="112">
      <alignment vertical="center"/>
    </xf>
    <xf numFmtId="0" fontId="8" fillId="60" borderId="258" applyAlignment="1" pivotButton="0" quotePrefix="0" xfId="112">
      <alignment vertical="center"/>
    </xf>
    <xf numFmtId="0" fontId="8" fillId="60" borderId="314" applyAlignment="1" pivotButton="0" quotePrefix="0" xfId="112">
      <alignment vertical="center"/>
    </xf>
    <xf numFmtId="0" fontId="8" fillId="60" borderId="328" applyAlignment="1" pivotButton="0" quotePrefix="0" xfId="112">
      <alignment vertical="center"/>
    </xf>
    <xf numFmtId="173" fontId="0" fillId="60" borderId="328" applyAlignment="1" pivotButton="0" quotePrefix="0" xfId="113">
      <alignment vertical="center"/>
    </xf>
    <xf numFmtId="173" fontId="64" fillId="60" borderId="328" applyAlignment="1" pivotButton="0" quotePrefix="0" xfId="113">
      <alignment vertical="center"/>
    </xf>
    <xf numFmtId="175" fontId="0" fillId="60" borderId="357" applyAlignment="1" pivotButton="0" quotePrefix="0" xfId="114">
      <alignment vertical="center"/>
    </xf>
    <xf numFmtId="173" fontId="0" fillId="60" borderId="313" applyAlignment="1" pivotButton="0" quotePrefix="0" xfId="113">
      <alignment vertical="center"/>
    </xf>
    <xf numFmtId="173" fontId="64" fillId="0" borderId="322" applyAlignment="1" pivotButton="0" quotePrefix="0" xfId="113">
      <alignment vertical="center"/>
    </xf>
    <xf numFmtId="173" fontId="64" fillId="0" borderId="358" applyAlignment="1" pivotButton="0" quotePrefix="0" xfId="113">
      <alignment vertical="center" wrapText="1"/>
    </xf>
    <xf numFmtId="173" fontId="64" fillId="0" borderId="258" applyAlignment="1" pivotButton="0" quotePrefix="0" xfId="113">
      <alignment vertical="center" wrapText="1"/>
    </xf>
    <xf numFmtId="173" fontId="64" fillId="0" borderId="360" applyAlignment="1" pivotButton="0" quotePrefix="0" xfId="113">
      <alignment vertical="center" wrapText="1"/>
    </xf>
    <xf numFmtId="173" fontId="64" fillId="41" borderId="358" applyAlignment="1" pivotButton="0" quotePrefix="0" xfId="113">
      <alignment vertical="center"/>
    </xf>
    <xf numFmtId="173" fontId="64" fillId="41" borderId="321" applyAlignment="1" pivotButton="0" quotePrefix="0" xfId="113">
      <alignment vertical="center"/>
    </xf>
    <xf numFmtId="0" fontId="8" fillId="0" borderId="258" applyAlignment="1" pivotButton="0" quotePrefix="0" xfId="112">
      <alignment vertical="center"/>
    </xf>
    <xf numFmtId="173" fontId="0" fillId="0" borderId="258" applyAlignment="1" pivotButton="0" quotePrefix="0" xfId="113">
      <alignment vertical="center"/>
    </xf>
    <xf numFmtId="173" fontId="0" fillId="0" borderId="269" applyAlignment="1" pivotButton="0" quotePrefix="0" xfId="113">
      <alignment vertical="center"/>
    </xf>
    <xf numFmtId="173" fontId="64" fillId="0" borderId="258" applyAlignment="1" pivotButton="0" quotePrefix="0" xfId="113">
      <alignment vertical="center"/>
    </xf>
    <xf numFmtId="175" fontId="0" fillId="0" borderId="258" applyAlignment="1" pivotButton="0" quotePrefix="0" xfId="114">
      <alignment vertical="center"/>
    </xf>
    <xf numFmtId="173" fontId="0" fillId="15" borderId="313" applyAlignment="1" pivotButton="0" quotePrefix="0" xfId="113">
      <alignment vertical="center"/>
    </xf>
    <xf numFmtId="173" fontId="64" fillId="0" borderId="320" applyAlignment="1" pivotButton="0" quotePrefix="0" xfId="113">
      <alignment vertical="center"/>
    </xf>
    <xf numFmtId="173" fontId="64" fillId="41" borderId="258" applyAlignment="1" pivotButton="0" quotePrefix="0" xfId="113">
      <alignment vertical="center"/>
    </xf>
    <xf numFmtId="173" fontId="64" fillId="41" borderId="313" applyAlignment="1" pivotButton="0" quotePrefix="0" xfId="113">
      <alignment vertical="center"/>
    </xf>
    <xf numFmtId="173" fontId="64" fillId="0" borderId="359" applyAlignment="1" pivotButton="0" quotePrefix="0" xfId="113">
      <alignment vertical="center"/>
    </xf>
    <xf numFmtId="173" fontId="64" fillId="41" borderId="360" applyAlignment="1" pivotButton="0" quotePrefix="0" xfId="113">
      <alignment vertical="center"/>
    </xf>
    <xf numFmtId="173" fontId="64" fillId="41" borderId="361" applyAlignment="1" pivotButton="0" quotePrefix="0" xfId="113">
      <alignment vertical="center"/>
    </xf>
    <xf numFmtId="0" fontId="8" fillId="60" borderId="362" applyAlignment="1" pivotButton="0" quotePrefix="0" xfId="112">
      <alignment vertical="center"/>
    </xf>
    <xf numFmtId="0" fontId="8" fillId="60" borderId="363" applyAlignment="1" pivotButton="0" quotePrefix="0" xfId="112">
      <alignment vertical="center"/>
    </xf>
    <xf numFmtId="0" fontId="8" fillId="60" borderId="364" applyAlignment="1" pivotButton="0" quotePrefix="0" xfId="112">
      <alignment vertical="center"/>
    </xf>
    <xf numFmtId="173" fontId="0" fillId="60" borderId="364" applyAlignment="1" pivotButton="0" quotePrefix="0" xfId="113">
      <alignment vertical="center"/>
    </xf>
    <xf numFmtId="173" fontId="64" fillId="60" borderId="364" applyAlignment="1" pivotButton="0" quotePrefix="0" xfId="113">
      <alignment vertical="center"/>
    </xf>
    <xf numFmtId="175" fontId="0" fillId="60" borderId="365" applyAlignment="1" pivotButton="0" quotePrefix="0" xfId="114">
      <alignment vertical="center"/>
    </xf>
    <xf numFmtId="0" fontId="8" fillId="59" borderId="72" applyAlignment="1" pivotButton="0" quotePrefix="0" xfId="112">
      <alignment vertical="center"/>
    </xf>
    <xf numFmtId="0" fontId="157" fillId="59" borderId="72" applyAlignment="1" pivotButton="0" quotePrefix="0" xfId="112">
      <alignment horizontal="right" vertical="center"/>
    </xf>
    <xf numFmtId="173" fontId="157" fillId="59" borderId="72" applyAlignment="1" pivotButton="0" quotePrefix="0" xfId="113">
      <alignment vertical="center"/>
    </xf>
    <xf numFmtId="175" fontId="8" fillId="0" borderId="72" applyAlignment="1" pivotButton="0" quotePrefix="0" xfId="10">
      <alignment vertical="center"/>
    </xf>
    <xf numFmtId="43" fontId="135" fillId="5" borderId="275" applyAlignment="1" pivotButton="0" quotePrefix="0" xfId="15">
      <alignment horizontal="center" vertical="center"/>
    </xf>
    <xf numFmtId="43" fontId="135" fillId="5" borderId="259" applyAlignment="1" pivotButton="0" quotePrefix="0" xfId="15">
      <alignment horizontal="center" vertical="center"/>
    </xf>
    <xf numFmtId="43" fontId="135" fillId="5" borderId="208" applyAlignment="1" pivotButton="0" quotePrefix="0" xfId="15">
      <alignment horizontal="center" vertical="center"/>
    </xf>
    <xf numFmtId="10" fontId="124" fillId="31" borderId="72" applyAlignment="1" pivotButton="0" quotePrefix="0" xfId="110">
      <alignment horizontal="center" vertical="center" wrapText="1"/>
    </xf>
    <xf numFmtId="10" fontId="124" fillId="31" borderId="88" applyAlignment="1" pivotButton="0" quotePrefix="0" xfId="110">
      <alignment horizontal="center" vertical="center" wrapText="1"/>
    </xf>
    <xf numFmtId="173" fontId="69" fillId="51" borderId="231" pivotButton="0" quotePrefix="0" xfId="89"/>
    <xf numFmtId="9" fontId="7" fillId="0" borderId="72" pivotButton="0" quotePrefix="0" xfId="110"/>
    <xf numFmtId="173" fontId="11" fillId="0" borderId="72" pivotButton="0" quotePrefix="0" xfId="88"/>
    <xf numFmtId="0" fontId="11" fillId="0" borderId="202" applyAlignment="1" pivotButton="0" quotePrefix="0" xfId="88">
      <alignment horizontal="center" vertical="center" wrapText="1"/>
    </xf>
    <xf numFmtId="0" fontId="11" fillId="0" borderId="202" applyAlignment="1" pivotButton="0" quotePrefix="0" xfId="88">
      <alignment horizontal="center" vertical="center"/>
    </xf>
    <xf numFmtId="190" fontId="119" fillId="4" borderId="150" applyAlignment="1" pivotButton="0" quotePrefix="0" xfId="29">
      <alignment vertical="center" wrapText="1"/>
    </xf>
    <xf numFmtId="190" fontId="69" fillId="0" borderId="72" pivotButton="0" quotePrefix="0" xfId="29"/>
    <xf numFmtId="0" fontId="53" fillId="3" borderId="103" applyAlignment="1" pivotButton="0" quotePrefix="0" xfId="67">
      <alignment vertical="center"/>
    </xf>
    <xf numFmtId="0" fontId="53" fillId="3" borderId="104" applyAlignment="1" pivotButton="0" quotePrefix="0" xfId="67">
      <alignment vertical="center"/>
    </xf>
    <xf numFmtId="0" fontId="53" fillId="3" borderId="105" applyAlignment="1" pivotButton="0" quotePrefix="0" xfId="67">
      <alignment vertical="center"/>
    </xf>
    <xf numFmtId="0" fontId="156" fillId="0" borderId="106" applyAlignment="1" pivotButton="0" quotePrefix="0" xfId="29">
      <alignment horizontal="center" vertical="center" wrapText="1"/>
    </xf>
    <xf numFmtId="191" fontId="156" fillId="0" borderId="153" applyAlignment="1" pivotButton="0" quotePrefix="0" xfId="29">
      <alignment horizontal="center"/>
    </xf>
    <xf numFmtId="0" fontId="156" fillId="0" borderId="161" applyAlignment="1" pivotButton="0" quotePrefix="0" xfId="29">
      <alignment horizontal="center" vertical="center" wrapText="1"/>
    </xf>
    <xf numFmtId="191" fontId="156" fillId="0" borderId="162" applyAlignment="1" pivotButton="0" quotePrefix="0" xfId="29">
      <alignment horizontal="center"/>
    </xf>
    <xf numFmtId="192" fontId="38" fillId="15" borderId="16" applyAlignment="1" pivotButton="0" quotePrefix="0" xfId="4">
      <alignment horizontal="left" vertical="center"/>
    </xf>
    <xf numFmtId="0" fontId="156" fillId="0" borderId="152" applyAlignment="1" pivotButton="0" quotePrefix="0" xfId="29">
      <alignment horizontal="center" vertical="center" wrapText="1"/>
    </xf>
    <xf numFmtId="0" fontId="156" fillId="0" borderId="160" applyAlignment="1" pivotButton="0" quotePrefix="0" xfId="29">
      <alignment horizontal="center" vertical="center" wrapText="1"/>
    </xf>
    <xf numFmtId="0" fontId="69" fillId="0" borderId="72" applyAlignment="1" pivotButton="0" quotePrefix="0" xfId="29">
      <alignment horizontal="center"/>
    </xf>
    <xf numFmtId="0" fontId="156" fillId="0" borderId="72" applyAlignment="1" pivotButton="0" quotePrefix="0" xfId="29">
      <alignment horizontal="center" vertical="center" wrapText="1"/>
    </xf>
    <xf numFmtId="191" fontId="156" fillId="0" borderId="72" applyAlignment="1" pivotButton="0" quotePrefix="0" xfId="29">
      <alignment horizontal="center"/>
    </xf>
    <xf numFmtId="175" fontId="31" fillId="0" borderId="72" applyAlignment="1" pivotButton="0" quotePrefix="0" xfId="4">
      <alignment vertical="center"/>
    </xf>
    <xf numFmtId="175" fontId="64" fillId="41" borderId="351" applyAlignment="1" pivotButton="0" quotePrefix="0" xfId="4">
      <alignment vertical="center"/>
    </xf>
    <xf numFmtId="175" fontId="64" fillId="41" borderId="386" applyAlignment="1" pivotButton="0" quotePrefix="0" xfId="4">
      <alignment vertical="center"/>
    </xf>
    <xf numFmtId="175" fontId="64" fillId="41" borderId="387" applyAlignment="1" pivotButton="0" quotePrefix="0" xfId="4">
      <alignment vertical="center"/>
    </xf>
    <xf numFmtId="10" fontId="31" fillId="0" borderId="72" applyAlignment="1" pivotButton="0" quotePrefix="0" xfId="110">
      <alignment vertical="center"/>
    </xf>
    <xf numFmtId="175" fontId="31" fillId="0" borderId="72" applyAlignment="1" pivotButton="0" quotePrefix="0" xfId="29">
      <alignment vertical="center"/>
    </xf>
    <xf numFmtId="0" fontId="138" fillId="16" borderId="72" applyAlignment="1" pivotButton="0" quotePrefix="0" xfId="14">
      <alignment horizontal="center" vertical="center"/>
    </xf>
    <xf numFmtId="175" fontId="8" fillId="0" borderId="72" applyAlignment="1" pivotButton="0" quotePrefix="0" xfId="112">
      <alignment vertical="center"/>
    </xf>
    <xf numFmtId="0" fontId="8" fillId="0" borderId="74" applyAlignment="1" pivotButton="0" quotePrefix="0" xfId="112">
      <alignment horizontal="center" vertical="center"/>
    </xf>
    <xf numFmtId="175" fontId="8" fillId="0" borderId="74" applyAlignment="1" pivotButton="0" quotePrefix="0" xfId="112">
      <alignment horizontal="center" vertical="center"/>
    </xf>
    <xf numFmtId="0" fontId="8" fillId="0" borderId="80" applyAlignment="1" pivotButton="0" quotePrefix="0" xfId="112">
      <alignment horizontal="center" vertical="center"/>
    </xf>
    <xf numFmtId="0" fontId="8" fillId="0" borderId="73" applyAlignment="1" pivotButton="0" quotePrefix="0" xfId="112">
      <alignment horizontal="center" vertical="center"/>
    </xf>
    <xf numFmtId="175" fontId="8" fillId="0" borderId="73" applyAlignment="1" pivotButton="0" quotePrefix="0" xfId="112">
      <alignment horizontal="center" vertical="center"/>
    </xf>
    <xf numFmtId="175" fontId="8" fillId="0" borderId="81" applyAlignment="1" pivotButton="0" quotePrefix="0" xfId="112">
      <alignment horizontal="center" vertical="center"/>
    </xf>
    <xf numFmtId="0" fontId="8" fillId="0" borderId="82" applyAlignment="1" pivotButton="0" quotePrefix="0" xfId="112">
      <alignment horizontal="center" vertical="center"/>
    </xf>
    <xf numFmtId="175" fontId="8" fillId="0" borderId="83" applyAlignment="1" pivotButton="0" quotePrefix="0" xfId="112">
      <alignment horizontal="center" vertical="center"/>
    </xf>
    <xf numFmtId="0" fontId="8" fillId="0" borderId="90" applyAlignment="1" pivotButton="0" quotePrefix="0" xfId="112">
      <alignment horizontal="center" vertical="center"/>
    </xf>
    <xf numFmtId="0" fontId="8" fillId="0" borderId="91" applyAlignment="1" pivotButton="0" quotePrefix="0" xfId="112">
      <alignment horizontal="center" vertical="center"/>
    </xf>
    <xf numFmtId="175" fontId="8" fillId="0" borderId="91" applyAlignment="1" pivotButton="0" quotePrefix="0" xfId="112">
      <alignment horizontal="center" vertical="center"/>
    </xf>
    <xf numFmtId="175" fontId="8" fillId="0" borderId="92" applyAlignment="1" pivotButton="0" quotePrefix="0" xfId="112">
      <alignment horizontal="center" vertical="center"/>
    </xf>
    <xf numFmtId="0" fontId="7" fillId="0" borderId="105" applyAlignment="1" pivotButton="0" quotePrefix="0" xfId="112">
      <alignment horizontal="center" vertical="center"/>
    </xf>
    <xf numFmtId="0" fontId="7" fillId="0" borderId="385" applyAlignment="1" pivotButton="0" quotePrefix="0" xfId="112">
      <alignment horizontal="center" vertical="center"/>
    </xf>
    <xf numFmtId="173" fontId="64" fillId="0" borderId="93" applyAlignment="1" pivotButton="0" quotePrefix="0" xfId="113">
      <alignment horizontal="center" vertical="center" wrapText="1"/>
    </xf>
    <xf numFmtId="173" fontId="64" fillId="0" borderId="259" applyAlignment="1" pivotButton="0" quotePrefix="0" xfId="113">
      <alignment horizontal="center" vertical="center" wrapText="1"/>
    </xf>
    <xf numFmtId="175" fontId="8" fillId="0" borderId="103" applyAlignment="1" pivotButton="0" quotePrefix="0" xfId="4">
      <alignment vertical="center"/>
    </xf>
    <xf numFmtId="175" fontId="8" fillId="0" borderId="104" applyAlignment="1" pivotButton="0" quotePrefix="0" xfId="4">
      <alignment vertical="center"/>
    </xf>
    <xf numFmtId="175" fontId="8" fillId="0" borderId="105" applyAlignment="1" pivotButton="0" quotePrefix="0" xfId="4">
      <alignment vertical="center"/>
    </xf>
    <xf numFmtId="173" fontId="135" fillId="41" borderId="289" applyAlignment="1" pivotButton="0" quotePrefix="0" xfId="75">
      <alignment horizontal="center"/>
    </xf>
    <xf numFmtId="173" fontId="145" fillId="0" borderId="56" applyAlignment="1" pivotButton="0" quotePrefix="0" xfId="75">
      <alignment horizontal="center" vertical="center"/>
    </xf>
    <xf numFmtId="0" fontId="177" fillId="0" borderId="72" pivotButton="0" quotePrefix="0" xfId="115"/>
    <xf numFmtId="0" fontId="177" fillId="0" borderId="88" pivotButton="0" quotePrefix="0" xfId="115"/>
    <xf numFmtId="0" fontId="176" fillId="0" borderId="72" pivotButton="0" quotePrefix="0" xfId="115"/>
    <xf numFmtId="0" fontId="93" fillId="0" borderId="72" pivotButton="0" quotePrefix="0" xfId="115"/>
    <xf numFmtId="0" fontId="93" fillId="0" borderId="88" pivotButton="0" quotePrefix="0" xfId="115"/>
    <xf numFmtId="169" fontId="66" fillId="0" borderId="72" applyAlignment="1" pivotButton="0" quotePrefix="0" xfId="5">
      <alignment horizontal="left" vertical="center"/>
    </xf>
    <xf numFmtId="170" fontId="66" fillId="0" borderId="72" applyAlignment="1" pivotButton="0" quotePrefix="0" xfId="5">
      <alignment horizontal="left" vertical="center"/>
    </xf>
    <xf numFmtId="170" fontId="66" fillId="0" borderId="88" applyAlignment="1" pivotButton="0" quotePrefix="0" xfId="5">
      <alignment horizontal="left" vertical="center"/>
    </xf>
    <xf numFmtId="49" fontId="180" fillId="0" borderId="89" applyAlignment="1" pivotButton="0" quotePrefix="0" xfId="115">
      <alignment horizontal="center" vertical="center"/>
    </xf>
    <xf numFmtId="49" fontId="180" fillId="0" borderId="391" applyAlignment="1" pivotButton="0" quotePrefix="0" xfId="115">
      <alignment horizontal="center" vertical="center" wrapText="1"/>
    </xf>
    <xf numFmtId="0" fontId="180" fillId="0" borderId="88" applyAlignment="1" pivotButton="0" quotePrefix="0" xfId="115">
      <alignment horizontal="center" vertical="center" wrapText="1"/>
    </xf>
    <xf numFmtId="49" fontId="170" fillId="0" borderId="392" applyAlignment="1" pivotButton="0" quotePrefix="0" xfId="115">
      <alignment horizontal="left" vertical="center"/>
    </xf>
    <xf numFmtId="0" fontId="181" fillId="0" borderId="393" applyAlignment="1" pivotButton="0" quotePrefix="1" xfId="5">
      <alignment horizontal="left" vertical="center"/>
    </xf>
    <xf numFmtId="0" fontId="182" fillId="0" borderId="394" applyAlignment="1" pivotButton="0" quotePrefix="0" xfId="115">
      <alignment horizontal="left" vertical="center" wrapText="1"/>
    </xf>
    <xf numFmtId="49" fontId="184" fillId="0" borderId="392" applyAlignment="1" pivotButton="0" quotePrefix="0" xfId="115">
      <alignment horizontal="left" vertical="center"/>
    </xf>
    <xf numFmtId="0" fontId="184" fillId="0" borderId="394" applyAlignment="1" pivotButton="0" quotePrefix="0" xfId="115">
      <alignment horizontal="left" vertical="center" wrapText="1"/>
    </xf>
    <xf numFmtId="49" fontId="185" fillId="0" borderId="392" applyAlignment="1" pivotButton="0" quotePrefix="0" xfId="115">
      <alignment horizontal="left" vertical="center"/>
    </xf>
    <xf numFmtId="0" fontId="185" fillId="0" borderId="394" applyAlignment="1" pivotButton="0" quotePrefix="0" xfId="115">
      <alignment horizontal="left" vertical="center" wrapText="1"/>
    </xf>
    <xf numFmtId="0" fontId="183" fillId="0" borderId="394" applyAlignment="1" pivotButton="0" quotePrefix="0" xfId="115">
      <alignment vertical="center"/>
    </xf>
    <xf numFmtId="0" fontId="58" fillId="0" borderId="394" applyAlignment="1" pivotButton="0" quotePrefix="0" xfId="115">
      <alignment vertical="center"/>
    </xf>
    <xf numFmtId="0" fontId="170" fillId="0" borderId="394" applyAlignment="1" pivotButton="0" quotePrefix="0" xfId="115">
      <alignment horizontal="left" vertical="center" wrapText="1"/>
    </xf>
    <xf numFmtId="0" fontId="100" fillId="0" borderId="394" applyAlignment="1" pivotButton="0" quotePrefix="0" xfId="115">
      <alignment vertical="center"/>
    </xf>
    <xf numFmtId="0" fontId="186" fillId="0" borderId="394" applyAlignment="1" pivotButton="0" quotePrefix="0" xfId="115">
      <alignment vertical="center"/>
    </xf>
    <xf numFmtId="49" fontId="183" fillId="0" borderId="395" applyAlignment="1" pivotButton="0" quotePrefix="1" xfId="115">
      <alignment vertical="center"/>
    </xf>
    <xf numFmtId="0" fontId="181" fillId="0" borderId="396" applyAlignment="1" pivotButton="0" quotePrefix="1" xfId="5">
      <alignment horizontal="left" vertical="center"/>
    </xf>
    <xf numFmtId="0" fontId="185" fillId="0" borderId="397" applyAlignment="1" pivotButton="0" quotePrefix="0" xfId="115">
      <alignment horizontal="left" vertical="center" wrapText="1"/>
    </xf>
    <xf numFmtId="0" fontId="187" fillId="0" borderId="72" applyAlignment="1" pivotButton="0" quotePrefix="0" xfId="5">
      <alignment vertical="center"/>
    </xf>
    <xf numFmtId="0" fontId="187" fillId="0" borderId="72" applyAlignment="1" pivotButton="0" quotePrefix="0" xfId="5">
      <alignment horizontal="left" vertical="center"/>
    </xf>
    <xf numFmtId="0" fontId="181" fillId="0" borderId="72" applyAlignment="1" pivotButton="0" quotePrefix="0" xfId="5">
      <alignment vertical="center"/>
    </xf>
    <xf numFmtId="0" fontId="31" fillId="0" borderId="72" pivotButton="0" quotePrefix="0" xfId="5"/>
    <xf numFmtId="0" fontId="162" fillId="0" borderId="72" pivotButton="0" quotePrefix="0" xfId="116"/>
    <xf numFmtId="0" fontId="162" fillId="0" borderId="258" pivotButton="0" quotePrefix="0" xfId="116"/>
    <xf numFmtId="0" fontId="162" fillId="0" borderId="258" applyAlignment="1" pivotButton="0" quotePrefix="0" xfId="116">
      <alignment horizontal="left"/>
    </xf>
    <xf numFmtId="0" fontId="162" fillId="0" borderId="269" pivotButton="0" quotePrefix="0" xfId="116"/>
    <xf numFmtId="17" fontId="162" fillId="0" borderId="269" applyAlignment="1" pivotButton="0" quotePrefix="0" xfId="116">
      <alignment horizontal="left"/>
    </xf>
    <xf numFmtId="0" fontId="162" fillId="15" borderId="270" pivotButton="0" quotePrefix="0" xfId="116"/>
    <xf numFmtId="0" fontId="162" fillId="0" borderId="268" pivotButton="0" quotePrefix="0" xfId="116"/>
    <xf numFmtId="0" fontId="162" fillId="0" borderId="268" applyAlignment="1" pivotButton="0" quotePrefix="0" xfId="116">
      <alignment horizontal="left"/>
    </xf>
    <xf numFmtId="0" fontId="162" fillId="0" borderId="269" applyAlignment="1" pivotButton="0" quotePrefix="0" xfId="116">
      <alignment horizontal="left"/>
    </xf>
    <xf numFmtId="0" fontId="141" fillId="14" borderId="257" applyAlignment="1" applyProtection="1" pivotButton="0" quotePrefix="0" xfId="116">
      <alignment horizontal="center" vertical="center"/>
      <protection locked="1" hidden="1"/>
    </xf>
    <xf numFmtId="0" fontId="79" fillId="43" borderId="256" applyAlignment="1" applyProtection="1" pivotButton="0" quotePrefix="0" xfId="116">
      <alignment horizontal="center" vertical="center"/>
      <protection locked="1" hidden="1"/>
    </xf>
    <xf numFmtId="0" fontId="59" fillId="4" borderId="158" applyAlignment="1" pivotButton="0" quotePrefix="0" xfId="117">
      <alignment horizontal="center" vertical="center" wrapText="1"/>
    </xf>
    <xf numFmtId="0" fontId="59" fillId="4" borderId="267" applyAlignment="1" pivotButton="0" quotePrefix="0" xfId="117">
      <alignment horizontal="center" vertical="center" wrapText="1"/>
    </xf>
    <xf numFmtId="164" fontId="58" fillId="4" borderId="267" applyAlignment="1" pivotButton="0" quotePrefix="0" xfId="117">
      <alignment horizontal="left" vertical="center" wrapText="1"/>
    </xf>
    <xf numFmtId="0" fontId="58" fillId="4" borderId="267" applyAlignment="1" pivotButton="0" quotePrefix="0" xfId="117">
      <alignment horizontal="center" vertical="center" wrapText="1"/>
    </xf>
    <xf numFmtId="0" fontId="58" fillId="4" borderId="266" applyAlignment="1" pivotButton="0" quotePrefix="0" xfId="118">
      <alignment horizontal="left" vertical="center" wrapText="1"/>
    </xf>
    <xf numFmtId="0" fontId="100" fillId="12" borderId="265" applyAlignment="1" pivotButton="0" quotePrefix="0" xfId="117">
      <alignment vertical="center" wrapText="1"/>
    </xf>
    <xf numFmtId="0" fontId="79" fillId="42" borderId="256" applyAlignment="1" applyProtection="1" pivotButton="0" quotePrefix="0" xfId="116">
      <alignment horizontal="center" vertical="center"/>
      <protection locked="1" hidden="1"/>
    </xf>
    <xf numFmtId="0" fontId="59" fillId="4" borderId="264" applyAlignment="1" pivotButton="0" quotePrefix="0" xfId="117">
      <alignment horizontal="center" vertical="center" wrapText="1"/>
    </xf>
    <xf numFmtId="0" fontId="59" fillId="4" borderId="59" applyAlignment="1" pivotButton="0" quotePrefix="0" xfId="117">
      <alignment horizontal="center" vertical="center" wrapText="1"/>
    </xf>
    <xf numFmtId="164" fontId="58" fillId="4" borderId="59" applyAlignment="1" pivotButton="0" quotePrefix="0" xfId="117">
      <alignment horizontal="left" vertical="center" wrapText="1"/>
    </xf>
    <xf numFmtId="0" fontId="58" fillId="4" borderId="59" applyAlignment="1" pivotButton="0" quotePrefix="0" xfId="117">
      <alignment horizontal="center" vertical="center" wrapText="1"/>
    </xf>
    <xf numFmtId="0" fontId="58" fillId="4" borderId="58" applyAlignment="1" pivotButton="0" quotePrefix="0" xfId="118">
      <alignment horizontal="left" vertical="center" wrapText="1"/>
    </xf>
    <xf numFmtId="0" fontId="100" fillId="12" borderId="263" applyAlignment="1" pivotButton="0" quotePrefix="0" xfId="117">
      <alignment vertical="center" wrapText="1"/>
    </xf>
    <xf numFmtId="0" fontId="63" fillId="0" borderId="256" applyAlignment="1" pivotButton="0" quotePrefix="0" xfId="116">
      <alignment horizontal="center" vertical="center"/>
    </xf>
    <xf numFmtId="0" fontId="59" fillId="4" borderId="262" applyAlignment="1" pivotButton="0" quotePrefix="0" xfId="117">
      <alignment horizontal="center" vertical="center" wrapText="1"/>
    </xf>
    <xf numFmtId="0" fontId="59" fillId="4" borderId="69" applyAlignment="1" pivotButton="0" quotePrefix="0" xfId="117">
      <alignment horizontal="center" vertical="center" wrapText="1"/>
    </xf>
    <xf numFmtId="164" fontId="58" fillId="4" borderId="69" applyAlignment="1" pivotButton="0" quotePrefix="0" xfId="117">
      <alignment horizontal="left" vertical="center" wrapText="1"/>
    </xf>
    <xf numFmtId="0" fontId="58" fillId="4" borderId="69" applyAlignment="1" pivotButton="0" quotePrefix="0" xfId="117">
      <alignment horizontal="center" vertical="center" wrapText="1"/>
    </xf>
    <xf numFmtId="168" fontId="58" fillId="4" borderId="57" applyAlignment="1" pivotButton="0" quotePrefix="0" xfId="118">
      <alignment horizontal="left" vertical="center" wrapText="1"/>
    </xf>
    <xf numFmtId="0" fontId="100" fillId="12" borderId="261" applyAlignment="1" pivotButton="0" quotePrefix="0" xfId="117">
      <alignment vertical="center" wrapText="1"/>
    </xf>
    <xf numFmtId="0" fontId="140" fillId="41" borderId="255" applyAlignment="1" applyProtection="1" pivotButton="0" quotePrefix="0" xfId="116">
      <alignment horizontal="center" vertical="center"/>
      <protection locked="1" hidden="1"/>
    </xf>
    <xf numFmtId="0" fontId="181" fillId="0" borderId="393" applyAlignment="1" pivotButton="0" quotePrefix="0" xfId="118">
      <alignment horizontal="left" vertical="center"/>
    </xf>
    <xf numFmtId="170" fontId="66" fillId="0" borderId="72" applyAlignment="1" pivotButton="0" quotePrefix="0" xfId="118">
      <alignment horizontal="left" vertical="center"/>
    </xf>
    <xf numFmtId="169" fontId="66" fillId="0" borderId="72" applyAlignment="1" pivotButton="0" quotePrefix="0" xfId="118">
      <alignment horizontal="left" vertical="center"/>
    </xf>
    <xf numFmtId="49" fontId="185" fillId="0" borderId="392" applyAlignment="1" pivotButton="0" quotePrefix="1" xfId="115">
      <alignment horizontal="left" vertical="center"/>
    </xf>
    <xf numFmtId="0" fontId="5" fillId="0" borderId="72" pivotButton="0" quotePrefix="0" xfId="126"/>
    <xf numFmtId="173" fontId="5" fillId="15" borderId="313" applyAlignment="1" pivotButton="0" quotePrefix="0" xfId="126">
      <alignment vertical="center"/>
    </xf>
    <xf numFmtId="175" fontId="5" fillId="0" borderId="258" applyAlignment="1" pivotButton="0" quotePrefix="0" xfId="126">
      <alignment vertical="center"/>
    </xf>
    <xf numFmtId="173" fontId="5" fillId="0" borderId="258" applyAlignment="1" pivotButton="0" quotePrefix="0" xfId="126">
      <alignment vertical="center"/>
    </xf>
    <xf numFmtId="173" fontId="64" fillId="0" borderId="258" applyAlignment="1" pivotButton="0" quotePrefix="0" xfId="126">
      <alignment vertical="center"/>
    </xf>
    <xf numFmtId="173" fontId="5" fillId="0" borderId="269" applyAlignment="1" pivotButton="0" quotePrefix="0" xfId="126">
      <alignment vertical="center"/>
    </xf>
    <xf numFmtId="0" fontId="5" fillId="0" borderId="258" applyAlignment="1" pivotButton="0" quotePrefix="0" xfId="126">
      <alignment vertical="center"/>
    </xf>
    <xf numFmtId="0" fontId="5" fillId="0" borderId="119" pivotButton="0" quotePrefix="0" xfId="126"/>
    <xf numFmtId="0" fontId="5" fillId="0" borderId="354" pivotButton="0" quotePrefix="0" xfId="126"/>
    <xf numFmtId="3" fontId="189" fillId="65" borderId="399" pivotButton="0" quotePrefix="0" xfId="126"/>
    <xf numFmtId="3" fontId="189" fillId="66" borderId="399" pivotButton="0" quotePrefix="0" xfId="126"/>
    <xf numFmtId="3" fontId="189" fillId="67" borderId="399" pivotButton="0" quotePrefix="0" xfId="126"/>
    <xf numFmtId="0" fontId="189" fillId="0" borderId="72" pivotButton="0" quotePrefix="0" xfId="126"/>
    <xf numFmtId="3" fontId="190" fillId="65" borderId="399" pivotButton="0" quotePrefix="0" xfId="126"/>
    <xf numFmtId="3" fontId="190" fillId="66" borderId="399" pivotButton="0" quotePrefix="0" xfId="126"/>
    <xf numFmtId="3" fontId="190" fillId="67" borderId="399" pivotButton="0" quotePrefix="0" xfId="126"/>
    <xf numFmtId="0" fontId="190" fillId="0" borderId="399" pivotButton="0" quotePrefix="0" xfId="126"/>
    <xf numFmtId="3" fontId="190" fillId="65" borderId="399" applyAlignment="1" pivotButton="0" quotePrefix="0" xfId="126">
      <alignment horizontal="center" vertical="center" wrapText="1"/>
    </xf>
    <xf numFmtId="3" fontId="191" fillId="66" borderId="399" applyAlignment="1" pivotButton="0" quotePrefix="0" xfId="126">
      <alignment horizontal="center" vertical="center" wrapText="1"/>
    </xf>
    <xf numFmtId="3" fontId="192" fillId="67" borderId="399" applyAlignment="1" pivotButton="0" quotePrefix="0" xfId="126">
      <alignment horizontal="center" vertical="center" wrapText="1"/>
    </xf>
    <xf numFmtId="0" fontId="5" fillId="12" borderId="399" applyAlignment="1" pivotButton="0" quotePrefix="0" xfId="126">
      <alignment horizontal="center" vertical="center" wrapText="1"/>
    </xf>
    <xf numFmtId="3" fontId="193" fillId="12" borderId="399" applyAlignment="1" pivotButton="0" quotePrefix="0" xfId="126">
      <alignment horizontal="center" vertical="center" wrapText="1"/>
    </xf>
    <xf numFmtId="0" fontId="193" fillId="12" borderId="399" applyAlignment="1" pivotButton="0" quotePrefix="0" xfId="126">
      <alignment horizontal="center" vertical="center" wrapText="1"/>
    </xf>
    <xf numFmtId="0" fontId="194" fillId="12" borderId="399" applyAlignment="1" pivotButton="0" quotePrefix="0" xfId="126">
      <alignment horizontal="left" vertical="center" wrapText="1"/>
    </xf>
    <xf numFmtId="3" fontId="193" fillId="10" borderId="399" applyAlignment="1" pivotButton="0" quotePrefix="0" xfId="126">
      <alignment horizontal="center" vertical="center" wrapText="1"/>
    </xf>
    <xf numFmtId="0" fontId="193" fillId="10" borderId="399" applyAlignment="1" pivotButton="0" quotePrefix="0" xfId="126">
      <alignment horizontal="center" vertical="center" wrapText="1"/>
    </xf>
    <xf numFmtId="0" fontId="194" fillId="10" borderId="399" applyAlignment="1" pivotButton="0" quotePrefix="0" xfId="126">
      <alignment horizontal="left" vertical="center" wrapText="1"/>
    </xf>
    <xf numFmtId="3" fontId="196" fillId="10" borderId="399" applyAlignment="1" pivotButton="0" quotePrefix="0" xfId="126">
      <alignment horizontal="center" vertical="center" wrapText="1"/>
    </xf>
    <xf numFmtId="3" fontId="196" fillId="12" borderId="399" applyAlignment="1" pivotButton="0" quotePrefix="0" xfId="126">
      <alignment horizontal="center" vertical="center" wrapText="1"/>
    </xf>
    <xf numFmtId="0" fontId="5" fillId="10" borderId="399" pivotButton="0" quotePrefix="0" xfId="126"/>
    <xf numFmtId="0" fontId="197" fillId="10" borderId="399" applyAlignment="1" pivotButton="0" quotePrefix="0" xfId="126">
      <alignment horizontal="center" vertical="center" wrapText="1"/>
    </xf>
    <xf numFmtId="0" fontId="197" fillId="10" borderId="399" pivotButton="0" quotePrefix="0" xfId="126"/>
    <xf numFmtId="0" fontId="195" fillId="72" borderId="399" applyAlignment="1" pivotButton="0" quotePrefix="0" xfId="126">
      <alignment horizontal="center" vertical="center" wrapText="1"/>
    </xf>
    <xf numFmtId="0" fontId="5" fillId="72" borderId="72" pivotButton="0" quotePrefix="0" xfId="126"/>
    <xf numFmtId="0" fontId="5" fillId="72" borderId="399" pivotButton="0" quotePrefix="0" xfId="126"/>
    <xf numFmtId="0" fontId="5" fillId="0" borderId="399" pivotButton="0" quotePrefix="0" xfId="126"/>
    <xf numFmtId="0" fontId="190" fillId="12" borderId="72" pivotButton="0" quotePrefix="0" xfId="126"/>
    <xf numFmtId="0" fontId="200" fillId="0" borderId="72" pivotButton="0" quotePrefix="0" xfId="126"/>
    <xf numFmtId="4" fontId="201" fillId="0" borderId="72" pivotButton="0" quotePrefix="0" xfId="126"/>
    <xf numFmtId="0" fontId="201" fillId="0" borderId="72" pivotButton="0" quotePrefix="0" xfId="126"/>
    <xf numFmtId="193" fontId="30" fillId="0" borderId="310" pivotButton="0" quotePrefix="0" xfId="126"/>
    <xf numFmtId="4" fontId="30" fillId="0" borderId="5" applyAlignment="1" pivotButton="0" quotePrefix="0" xfId="126">
      <alignment horizontal="center"/>
    </xf>
    <xf numFmtId="173" fontId="30" fillId="0" borderId="5" applyAlignment="1" pivotButton="0" quotePrefix="0" xfId="126">
      <alignment horizontal="center"/>
    </xf>
    <xf numFmtId="0" fontId="33" fillId="0" borderId="309" applyAlignment="1" pivotButton="0" quotePrefix="0" xfId="126">
      <alignment horizontal="left"/>
    </xf>
    <xf numFmtId="193" fontId="30" fillId="15" borderId="312" pivotButton="0" quotePrefix="0" xfId="126"/>
    <xf numFmtId="4" fontId="30" fillId="15" borderId="123" pivotButton="0" quotePrefix="0" xfId="126"/>
    <xf numFmtId="173" fontId="30" fillId="15" borderId="123" applyAlignment="1" pivotButton="0" quotePrefix="0" xfId="126">
      <alignment horizontal="center"/>
    </xf>
    <xf numFmtId="0" fontId="33" fillId="15" borderId="123" pivotButton="0" quotePrefix="0" xfId="126"/>
    <xf numFmtId="0" fontId="201" fillId="15" borderId="311" applyAlignment="1" pivotButton="0" quotePrefix="0" xfId="126">
      <alignment horizontal="left"/>
    </xf>
    <xf numFmtId="173" fontId="35" fillId="9" borderId="169" applyAlignment="1" pivotButton="0" quotePrefix="0" xfId="126">
      <alignment horizontal="center" vertical="center" wrapText="1"/>
    </xf>
    <xf numFmtId="193" fontId="35" fillId="9" borderId="308" applyAlignment="1" pivotButton="0" quotePrefix="0" xfId="126">
      <alignment horizontal="center" vertical="center"/>
    </xf>
    <xf numFmtId="173" fontId="35" fillId="9" borderId="308" applyAlignment="1" pivotButton="0" quotePrefix="0" xfId="126">
      <alignment horizontal="center" vertical="center"/>
    </xf>
    <xf numFmtId="0" fontId="35" fillId="9" borderId="308" applyAlignment="1" pivotButton="0" quotePrefix="0" xfId="126">
      <alignment horizontal="center" vertical="center" wrapText="1"/>
    </xf>
    <xf numFmtId="0" fontId="35" fillId="9" borderId="307" applyAlignment="1" pivotButton="0" quotePrefix="0" xfId="126">
      <alignment horizontal="center" vertical="center" wrapText="1"/>
    </xf>
    <xf numFmtId="0" fontId="5" fillId="0" borderId="306" pivotButton="0" quotePrefix="0" xfId="126"/>
    <xf numFmtId="0" fontId="5" fillId="0" borderId="305" pivotButton="0" quotePrefix="0" xfId="126"/>
    <xf numFmtId="164" fontId="201" fillId="2" borderId="400" applyAlignment="1" pivotButton="0" quotePrefix="0" xfId="126">
      <alignment horizontal="center" vertical="center"/>
    </xf>
    <xf numFmtId="0" fontId="30" fillId="4" borderId="304" applyAlignment="1" pivotButton="0" quotePrefix="0" xfId="126">
      <alignment vertical="center"/>
    </xf>
    <xf numFmtId="17" fontId="30" fillId="4" borderId="303" applyAlignment="1" pivotButton="0" quotePrefix="0" xfId="126">
      <alignment vertical="center"/>
    </xf>
    <xf numFmtId="0" fontId="29" fillId="4" borderId="302" applyAlignment="1" pivotButton="0" quotePrefix="0" xfId="126">
      <alignment vertical="center"/>
    </xf>
    <xf numFmtId="17" fontId="30" fillId="4" borderId="31" applyAlignment="1" pivotButton="0" quotePrefix="0" xfId="126">
      <alignment horizontal="left" vertical="center"/>
    </xf>
    <xf numFmtId="0" fontId="30" fillId="4" borderId="46" applyAlignment="1" pivotButton="0" quotePrefix="0" xfId="126">
      <alignment vertical="center"/>
    </xf>
    <xf numFmtId="0" fontId="30" fillId="4" borderId="45" applyAlignment="1" pivotButton="0" quotePrefix="0" xfId="126">
      <alignment vertical="center"/>
    </xf>
    <xf numFmtId="0" fontId="29" fillId="4" borderId="301" applyAlignment="1" pivotButton="0" quotePrefix="0" xfId="126">
      <alignment vertical="center"/>
    </xf>
    <xf numFmtId="0" fontId="30" fillId="4" borderId="33" applyAlignment="1" pivotButton="0" quotePrefix="0" xfId="126">
      <alignment vertical="center"/>
    </xf>
    <xf numFmtId="0" fontId="198" fillId="76" borderId="72" pivotButton="0" quotePrefix="0" xfId="126"/>
    <xf numFmtId="0" fontId="138" fillId="16" borderId="87" applyAlignment="1" pivotButton="0" quotePrefix="0" xfId="126">
      <alignment horizontal="center" vertical="center"/>
    </xf>
    <xf numFmtId="0" fontId="69" fillId="0" borderId="45" applyAlignment="1" pivotButton="0" quotePrefix="0" xfId="126">
      <alignment vertical="center"/>
    </xf>
    <xf numFmtId="0" fontId="124" fillId="0" borderId="71" applyAlignment="1" pivotButton="0" quotePrefix="0" xfId="126">
      <alignment vertical="center"/>
    </xf>
    <xf numFmtId="0" fontId="69" fillId="0" borderId="354" applyAlignment="1" pivotButton="0" quotePrefix="0" xfId="126">
      <alignment horizontal="left" vertical="center"/>
    </xf>
    <xf numFmtId="0" fontId="69" fillId="0" borderId="326" applyAlignment="1" pivotButton="0" quotePrefix="0" xfId="126">
      <alignment horizontal="left" vertical="center"/>
    </xf>
    <xf numFmtId="0" fontId="72" fillId="0" borderId="354" applyAlignment="1" pivotButton="0" quotePrefix="0" xfId="126">
      <alignment horizontal="left" vertical="center" wrapText="1"/>
    </xf>
    <xf numFmtId="0" fontId="69" fillId="0" borderId="72" applyAlignment="1" pivotButton="0" quotePrefix="0" xfId="126">
      <alignment vertical="center"/>
    </xf>
    <xf numFmtId="0" fontId="69" fillId="0" borderId="2" applyAlignment="1" pivotButton="0" quotePrefix="0" xfId="126">
      <alignment vertical="center"/>
    </xf>
    <xf numFmtId="0" fontId="72" fillId="0" borderId="325" applyAlignment="1" pivotButton="0" quotePrefix="0" xfId="126">
      <alignment horizontal="left" vertical="center"/>
    </xf>
    <xf numFmtId="0" fontId="131" fillId="0" borderId="45" applyAlignment="1" pivotButton="0" quotePrefix="0" xfId="126">
      <alignment vertical="center"/>
    </xf>
    <xf numFmtId="0" fontId="131" fillId="0" borderId="47" applyAlignment="1" pivotButton="0" quotePrefix="0" xfId="126">
      <alignment vertical="center"/>
    </xf>
    <xf numFmtId="0" fontId="131" fillId="0" borderId="18" applyAlignment="1" pivotButton="0" quotePrefix="0" xfId="126">
      <alignment vertical="center"/>
    </xf>
    <xf numFmtId="0" fontId="195" fillId="77" borderId="356" applyAlignment="1" pivotButton="0" quotePrefix="0" xfId="126">
      <alignment horizontal="center" vertical="center"/>
    </xf>
    <xf numFmtId="0" fontId="198" fillId="78" borderId="401" pivotButton="0" quotePrefix="0" xfId="126"/>
    <xf numFmtId="0" fontId="202" fillId="79" borderId="72" applyAlignment="1" pivotButton="0" quotePrefix="0" xfId="126">
      <alignment vertical="center"/>
    </xf>
    <xf numFmtId="0" fontId="203" fillId="80" borderId="72" applyAlignment="1" pivotButton="0" quotePrefix="0" xfId="126">
      <alignment vertical="center"/>
    </xf>
    <xf numFmtId="0" fontId="204" fillId="81" borderId="72" applyAlignment="1" pivotButton="0" quotePrefix="0" xfId="126">
      <alignment vertical="center"/>
    </xf>
    <xf numFmtId="0" fontId="206" fillId="82" borderId="72" applyAlignment="1" pivotButton="0" quotePrefix="0" xfId="126">
      <alignment vertical="center"/>
    </xf>
    <xf numFmtId="4" fontId="202" fillId="79" borderId="72" applyAlignment="1" pivotButton="0" quotePrefix="0" xfId="126">
      <alignment horizontal="center" vertical="center"/>
    </xf>
    <xf numFmtId="4" fontId="206" fillId="82" borderId="72" applyAlignment="1" pivotButton="0" quotePrefix="0" xfId="126">
      <alignment horizontal="center" vertical="center"/>
    </xf>
    <xf numFmtId="4" fontId="203" fillId="80" borderId="72" applyAlignment="1" pivotButton="0" quotePrefix="0" xfId="126">
      <alignment horizontal="center" vertical="center"/>
    </xf>
    <xf numFmtId="4" fontId="204" fillId="81" borderId="72" applyAlignment="1" pivotButton="0" quotePrefix="0" xfId="126">
      <alignment horizontal="center" vertical="center"/>
    </xf>
    <xf numFmtId="173" fontId="202" fillId="79" borderId="72" applyAlignment="1" pivotButton="0" quotePrefix="0" xfId="126">
      <alignment horizontal="center" vertical="center"/>
    </xf>
    <xf numFmtId="173" fontId="206" fillId="82" borderId="72" applyAlignment="1" pivotButton="0" quotePrefix="0" xfId="126">
      <alignment horizontal="center" vertical="center"/>
    </xf>
    <xf numFmtId="173" fontId="203" fillId="80" borderId="72" applyAlignment="1" pivotButton="0" quotePrefix="0" xfId="126">
      <alignment horizontal="center" vertical="center"/>
    </xf>
    <xf numFmtId="173" fontId="204" fillId="81" borderId="72" applyAlignment="1" pivotButton="0" quotePrefix="0" xfId="126">
      <alignment horizontal="center" vertical="center"/>
    </xf>
    <xf numFmtId="0" fontId="202" fillId="79" borderId="72" applyAlignment="1" pivotButton="0" quotePrefix="0" xfId="126">
      <alignment horizontal="left" vertical="center"/>
    </xf>
    <xf numFmtId="0" fontId="206" fillId="82" borderId="72" applyAlignment="1" pivotButton="0" quotePrefix="0" xfId="126">
      <alignment horizontal="left" vertical="center"/>
    </xf>
    <xf numFmtId="0" fontId="203" fillId="80" borderId="72" applyAlignment="1" pivotButton="0" quotePrefix="0" xfId="126">
      <alignment horizontal="left" vertical="center"/>
    </xf>
    <xf numFmtId="0" fontId="204" fillId="81" borderId="72" applyAlignment="1" pivotButton="0" quotePrefix="0" xfId="126">
      <alignment horizontal="left" vertical="center"/>
    </xf>
    <xf numFmtId="0" fontId="198" fillId="78" borderId="402" pivotButton="0" quotePrefix="0" xfId="126"/>
    <xf numFmtId="4" fontId="202" fillId="79" borderId="403" applyAlignment="1" pivotButton="0" quotePrefix="0" xfId="126">
      <alignment horizontal="right" vertical="center"/>
    </xf>
    <xf numFmtId="4" fontId="203" fillId="80" borderId="403" applyAlignment="1" pivotButton="0" quotePrefix="0" xfId="126">
      <alignment horizontal="right" vertical="center"/>
    </xf>
    <xf numFmtId="4" fontId="204" fillId="81" borderId="403" applyAlignment="1" pivotButton="0" quotePrefix="0" xfId="126">
      <alignment horizontal="right" vertical="center"/>
    </xf>
    <xf numFmtId="0" fontId="198" fillId="78" borderId="404" pivotButton="0" quotePrefix="0" xfId="126"/>
    <xf numFmtId="0" fontId="202" fillId="79" borderId="405" applyAlignment="1" pivotButton="0" quotePrefix="0" xfId="126">
      <alignment horizontal="left" vertical="center"/>
    </xf>
    <xf numFmtId="0" fontId="206" fillId="82" borderId="405" applyAlignment="1" pivotButton="0" quotePrefix="0" xfId="126">
      <alignment horizontal="left" vertical="center"/>
    </xf>
    <xf numFmtId="0" fontId="203" fillId="80" borderId="405" applyAlignment="1" pivotButton="0" quotePrefix="0" xfId="126">
      <alignment horizontal="left" vertical="center"/>
    </xf>
    <xf numFmtId="0" fontId="204" fillId="81" borderId="405" applyAlignment="1" pivotButton="0" quotePrefix="0" xfId="126">
      <alignment horizontal="left" vertical="center"/>
    </xf>
    <xf numFmtId="0" fontId="206" fillId="82" borderId="406" applyAlignment="1" pivotButton="0" quotePrefix="0" xfId="126">
      <alignment vertical="center"/>
    </xf>
    <xf numFmtId="0" fontId="205" fillId="82" borderId="72" applyAlignment="1" pivotButton="0" quotePrefix="0" xfId="126">
      <alignment vertical="center"/>
    </xf>
    <xf numFmtId="0" fontId="206" fillId="82" borderId="72" applyAlignment="1" pivotButton="0" quotePrefix="0" xfId="126">
      <alignment horizontal="left" vertical="center" wrapText="1"/>
    </xf>
    <xf numFmtId="0" fontId="206" fillId="82" borderId="72" pivotButton="0" quotePrefix="0" xfId="126"/>
    <xf numFmtId="0" fontId="138" fillId="16" borderId="259" applyAlignment="1" pivotButton="0" quotePrefix="0" xfId="126">
      <alignment horizontal="center" vertical="center"/>
    </xf>
    <xf numFmtId="0" fontId="200" fillId="82" borderId="72" applyAlignment="1" pivotButton="0" quotePrefix="0" xfId="126">
      <alignment vertical="center"/>
    </xf>
    <xf numFmtId="0" fontId="207" fillId="82" borderId="72" applyAlignment="1" pivotButton="0" quotePrefix="0" xfId="126">
      <alignment vertical="center"/>
    </xf>
    <xf numFmtId="0" fontId="203" fillId="82" borderId="72" applyAlignment="1" pivotButton="0" quotePrefix="0" xfId="126">
      <alignment vertical="center"/>
    </xf>
    <xf numFmtId="0" fontId="203" fillId="82" borderId="406" applyAlignment="1" pivotButton="0" quotePrefix="0" xfId="126">
      <alignment horizontal="left" vertical="center"/>
    </xf>
    <xf numFmtId="0" fontId="205" fillId="82" borderId="406" applyAlignment="1" pivotButton="0" quotePrefix="0" xfId="126">
      <alignment horizontal="left" vertical="center"/>
    </xf>
    <xf numFmtId="0" fontId="200" fillId="82" borderId="406" applyAlignment="1" pivotButton="0" quotePrefix="0" xfId="126">
      <alignment vertical="center"/>
    </xf>
    <xf numFmtId="0" fontId="205" fillId="82" borderId="406" applyAlignment="1" pivotButton="0" quotePrefix="0" xfId="126">
      <alignment vertical="center"/>
    </xf>
    <xf numFmtId="4" fontId="206" fillId="84" borderId="403" applyAlignment="1" pivotButton="0" quotePrefix="0" xfId="126">
      <alignment horizontal="right" vertical="center"/>
    </xf>
    <xf numFmtId="0" fontId="206" fillId="83" borderId="407" applyAlignment="1" pivotButton="0" quotePrefix="0" xfId="126">
      <alignment horizontal="left" vertical="center"/>
    </xf>
    <xf numFmtId="0" fontId="206" fillId="83" borderId="408" applyAlignment="1" pivotButton="0" quotePrefix="0" xfId="126">
      <alignment horizontal="left" vertical="center"/>
    </xf>
    <xf numFmtId="0" fontId="206" fillId="83" borderId="408" applyAlignment="1" pivotButton="0" quotePrefix="0" xfId="126">
      <alignment vertical="center"/>
    </xf>
    <xf numFmtId="4" fontId="206" fillId="83" borderId="408" applyAlignment="1" pivotButton="0" quotePrefix="0" xfId="126">
      <alignment horizontal="center" vertical="center"/>
    </xf>
    <xf numFmtId="173" fontId="206" fillId="83" borderId="408" applyAlignment="1" pivotButton="0" quotePrefix="0" xfId="126">
      <alignment horizontal="center" vertical="center"/>
    </xf>
    <xf numFmtId="4" fontId="206" fillId="85" borderId="409" applyAlignment="1" pivotButton="0" quotePrefix="0" xfId="126">
      <alignment horizontal="right" vertical="center"/>
    </xf>
    <xf numFmtId="0" fontId="206" fillId="83" borderId="410" applyAlignment="1" pivotButton="0" quotePrefix="0" xfId="126">
      <alignment horizontal="left" vertical="center"/>
    </xf>
    <xf numFmtId="0" fontId="206" fillId="83" borderId="411" applyAlignment="1" pivotButton="0" quotePrefix="0" xfId="126">
      <alignment horizontal="left" vertical="center"/>
    </xf>
    <xf numFmtId="0" fontId="206" fillId="83" borderId="411" applyAlignment="1" pivotButton="0" quotePrefix="0" xfId="126">
      <alignment vertical="center"/>
    </xf>
    <xf numFmtId="4" fontId="206" fillId="83" borderId="411" applyAlignment="1" pivotButton="0" quotePrefix="0" xfId="126">
      <alignment horizontal="center" vertical="center"/>
    </xf>
    <xf numFmtId="173" fontId="206" fillId="83" borderId="411" applyAlignment="1" pivotButton="0" quotePrefix="0" xfId="126">
      <alignment horizontal="center" vertical="center"/>
    </xf>
    <xf numFmtId="4" fontId="206" fillId="85" borderId="412" applyAlignment="1" pivotButton="0" quotePrefix="0" xfId="126">
      <alignment horizontal="right" vertical="center"/>
    </xf>
    <xf numFmtId="0" fontId="206" fillId="82" borderId="407" applyAlignment="1" pivotButton="0" quotePrefix="0" xfId="126">
      <alignment horizontal="left" vertical="center"/>
    </xf>
    <xf numFmtId="0" fontId="206" fillId="82" borderId="408" applyAlignment="1" pivotButton="0" quotePrefix="0" xfId="126">
      <alignment horizontal="left" vertical="center"/>
    </xf>
    <xf numFmtId="0" fontId="206" fillId="82" borderId="408" applyAlignment="1" pivotButton="0" quotePrefix="0" xfId="126">
      <alignment vertical="center"/>
    </xf>
    <xf numFmtId="4" fontId="206" fillId="82" borderId="408" applyAlignment="1" pivotButton="0" quotePrefix="0" xfId="126">
      <alignment horizontal="center" vertical="center"/>
    </xf>
    <xf numFmtId="173" fontId="206" fillId="82" borderId="408" applyAlignment="1" pivotButton="0" quotePrefix="0" xfId="126">
      <alignment horizontal="center" vertical="center"/>
    </xf>
    <xf numFmtId="4" fontId="206" fillId="84" borderId="409" applyAlignment="1" pivotButton="0" quotePrefix="0" xfId="126">
      <alignment horizontal="right" vertical="center"/>
    </xf>
    <xf numFmtId="0" fontId="206" fillId="82" borderId="410" applyAlignment="1" pivotButton="0" quotePrefix="0" xfId="126">
      <alignment horizontal="left" vertical="center"/>
    </xf>
    <xf numFmtId="0" fontId="206" fillId="82" borderId="411" applyAlignment="1" pivotButton="0" quotePrefix="0" xfId="126">
      <alignment horizontal="left" vertical="center"/>
    </xf>
    <xf numFmtId="0" fontId="206" fillId="82" borderId="411" applyAlignment="1" pivotButton="0" quotePrefix="0" xfId="126">
      <alignment vertical="center"/>
    </xf>
    <xf numFmtId="4" fontId="206" fillId="82" borderId="411" applyAlignment="1" pivotButton="0" quotePrefix="0" xfId="126">
      <alignment horizontal="center" vertical="center"/>
    </xf>
    <xf numFmtId="173" fontId="206" fillId="82" borderId="411" applyAlignment="1" pivotButton="0" quotePrefix="0" xfId="126">
      <alignment horizontal="center" vertical="center"/>
    </xf>
    <xf numFmtId="4" fontId="206" fillId="84" borderId="412" applyAlignment="1" pivotButton="0" quotePrefix="0" xfId="126">
      <alignment horizontal="right" vertical="center"/>
    </xf>
    <xf numFmtId="0" fontId="208" fillId="78" borderId="405" applyAlignment="1" pivotButton="0" quotePrefix="0" xfId="126">
      <alignment horizontal="left"/>
    </xf>
    <xf numFmtId="0" fontId="208" fillId="78" borderId="72" applyAlignment="1" pivotButton="0" quotePrefix="0" xfId="126">
      <alignment horizontal="left"/>
    </xf>
    <xf numFmtId="0" fontId="208" fillId="78" borderId="72" pivotButton="0" quotePrefix="0" xfId="126"/>
    <xf numFmtId="4" fontId="208" fillId="78" borderId="72" applyAlignment="1" pivotButton="0" quotePrefix="0" xfId="126">
      <alignment horizontal="center"/>
    </xf>
    <xf numFmtId="0" fontId="208" fillId="78" borderId="72" applyAlignment="1" pivotButton="0" quotePrefix="0" xfId="126">
      <alignment horizontal="center"/>
    </xf>
    <xf numFmtId="4" fontId="208" fillId="78" borderId="403" applyAlignment="1" pivotButton="0" quotePrefix="0" xfId="126">
      <alignment horizontal="right"/>
    </xf>
    <xf numFmtId="0" fontId="5" fillId="82" borderId="72" pivotButton="0" quotePrefix="0" xfId="126"/>
    <xf numFmtId="194" fontId="202" fillId="79" borderId="72" applyAlignment="1" pivotButton="0" quotePrefix="0" xfId="126">
      <alignment horizontal="right" vertical="center"/>
    </xf>
    <xf numFmtId="194" fontId="206" fillId="82" borderId="72" applyAlignment="1" pivotButton="0" quotePrefix="0" xfId="126">
      <alignment horizontal="right" vertical="center"/>
    </xf>
    <xf numFmtId="194" fontId="206" fillId="83" borderId="411" applyAlignment="1" pivotButton="0" quotePrefix="0" xfId="126">
      <alignment horizontal="right" vertical="center"/>
    </xf>
    <xf numFmtId="194" fontId="206" fillId="82" borderId="411" applyAlignment="1" pivotButton="0" quotePrefix="0" xfId="126">
      <alignment horizontal="right" vertical="center"/>
    </xf>
    <xf numFmtId="194" fontId="206" fillId="83" borderId="408" applyAlignment="1" pivotButton="0" quotePrefix="0" xfId="126">
      <alignment horizontal="right" vertical="center"/>
    </xf>
    <xf numFmtId="194" fontId="206" fillId="82" borderId="408" applyAlignment="1" pivotButton="0" quotePrefix="0" xfId="126">
      <alignment horizontal="right" vertical="center"/>
    </xf>
    <xf numFmtId="194" fontId="203" fillId="80" borderId="72" applyAlignment="1" pivotButton="0" quotePrefix="0" xfId="126">
      <alignment horizontal="right" vertical="center"/>
    </xf>
    <xf numFmtId="194" fontId="204" fillId="81" borderId="72" applyAlignment="1" pivotButton="0" quotePrefix="0" xfId="126">
      <alignment horizontal="right" vertical="center"/>
    </xf>
    <xf numFmtId="194" fontId="208" fillId="78" borderId="72" applyAlignment="1" pivotButton="0" quotePrefix="0" xfId="126">
      <alignment horizontal="right"/>
    </xf>
    <xf numFmtId="195" fontId="202" fillId="79" borderId="72" applyAlignment="1" pivotButton="0" quotePrefix="0" xfId="126">
      <alignment horizontal="center" vertical="center"/>
    </xf>
    <xf numFmtId="195" fontId="206" fillId="82" borderId="72" applyAlignment="1" pivotButton="0" quotePrefix="0" xfId="126">
      <alignment horizontal="center" vertical="center"/>
    </xf>
    <xf numFmtId="195" fontId="206" fillId="83" borderId="411" applyAlignment="1" pivotButton="0" quotePrefix="0" xfId="126">
      <alignment horizontal="center" vertical="center"/>
    </xf>
    <xf numFmtId="195" fontId="206" fillId="82" borderId="411" applyAlignment="1" pivotButton="0" quotePrefix="0" xfId="126">
      <alignment horizontal="center" vertical="center"/>
    </xf>
    <xf numFmtId="195" fontId="206" fillId="83" borderId="408" applyAlignment="1" pivotButton="0" quotePrefix="0" xfId="126">
      <alignment horizontal="center" vertical="center"/>
    </xf>
    <xf numFmtId="195" fontId="206" fillId="82" borderId="408" applyAlignment="1" pivotButton="0" quotePrefix="0" xfId="126">
      <alignment horizontal="center" vertical="center"/>
    </xf>
    <xf numFmtId="195" fontId="203" fillId="80" borderId="72" applyAlignment="1" pivotButton="0" quotePrefix="0" xfId="126">
      <alignment horizontal="center" vertical="center"/>
    </xf>
    <xf numFmtId="195" fontId="204" fillId="81" borderId="72" applyAlignment="1" pivotButton="0" quotePrefix="0" xfId="126">
      <alignment horizontal="center" vertical="center"/>
    </xf>
    <xf numFmtId="195" fontId="208" fillId="78" borderId="72" applyAlignment="1" pivotButton="0" quotePrefix="0" xfId="126">
      <alignment horizontal="center"/>
    </xf>
    <xf numFmtId="0" fontId="209" fillId="65" borderId="72" pivotButton="0" quotePrefix="0" xfId="126"/>
    <xf numFmtId="0" fontId="195" fillId="74" borderId="356" applyAlignment="1" pivotButton="0" quotePrefix="0" xfId="126">
      <alignment horizontal="center" vertical="center" wrapText="1"/>
    </xf>
    <xf numFmtId="0" fontId="3" fillId="0" borderId="72" pivotButton="0" quotePrefix="0" xfId="131"/>
    <xf numFmtId="0" fontId="211" fillId="0" borderId="72" pivotButton="0" quotePrefix="0" xfId="131"/>
    <xf numFmtId="0" fontId="212" fillId="0" borderId="72" pivotButton="0" quotePrefix="0" xfId="131"/>
    <xf numFmtId="0" fontId="213" fillId="0" borderId="72" pivotButton="0" quotePrefix="0" xfId="131"/>
    <xf numFmtId="4" fontId="214" fillId="2" borderId="413" pivotButton="0" quotePrefix="0" xfId="131"/>
    <xf numFmtId="0" fontId="214" fillId="2" borderId="413" pivotButton="0" quotePrefix="0" xfId="131"/>
    <xf numFmtId="4" fontId="215" fillId="86" borderId="413" pivotButton="0" quotePrefix="0" xfId="131"/>
    <xf numFmtId="0" fontId="215" fillId="86" borderId="413" pivotButton="0" quotePrefix="0" xfId="131"/>
    <xf numFmtId="0" fontId="215" fillId="86" borderId="413" applyAlignment="1" pivotButton="0" quotePrefix="0" xfId="131">
      <alignment horizontal="right"/>
    </xf>
    <xf numFmtId="4" fontId="216" fillId="87" borderId="413" pivotButton="0" quotePrefix="0" xfId="131"/>
    <xf numFmtId="0" fontId="216" fillId="87" borderId="413" pivotButton="0" quotePrefix="0" xfId="131"/>
    <xf numFmtId="0" fontId="216" fillId="87" borderId="413" applyAlignment="1" pivotButton="0" quotePrefix="0" xfId="131">
      <alignment horizontal="right"/>
    </xf>
    <xf numFmtId="4" fontId="211" fillId="0" borderId="413" pivotButton="0" quotePrefix="0" xfId="131"/>
    <xf numFmtId="0" fontId="211" fillId="0" borderId="413" pivotButton="0" quotePrefix="0" xfId="131"/>
    <xf numFmtId="0" fontId="215" fillId="88" borderId="413" pivotButton="0" quotePrefix="0" xfId="131"/>
    <xf numFmtId="4" fontId="211" fillId="0" borderId="72" pivotButton="0" quotePrefix="0" xfId="131"/>
    <xf numFmtId="0" fontId="210" fillId="89" borderId="413" applyAlignment="1" pivotButton="0" quotePrefix="0" xfId="131">
      <alignment horizontal="center" vertical="center" wrapText="1"/>
    </xf>
    <xf numFmtId="0" fontId="217" fillId="0" borderId="72" pivotButton="0" quotePrefix="0" xfId="131"/>
    <xf numFmtId="0" fontId="218" fillId="0" borderId="72" pivotButton="0" quotePrefix="0" xfId="131"/>
    <xf numFmtId="0" fontId="2" fillId="0" borderId="72" pivotButton="0" quotePrefix="0" xfId="132"/>
    <xf numFmtId="173" fontId="2" fillId="15" borderId="313" applyAlignment="1" pivotButton="0" quotePrefix="0" xfId="132">
      <alignment vertical="center"/>
    </xf>
    <xf numFmtId="175" fontId="2" fillId="0" borderId="258" applyAlignment="1" pivotButton="0" quotePrefix="0" xfId="132">
      <alignment vertical="center"/>
    </xf>
    <xf numFmtId="173" fontId="2" fillId="0" borderId="258" applyAlignment="1" pivotButton="0" quotePrefix="0" xfId="132">
      <alignment vertical="center"/>
    </xf>
    <xf numFmtId="173" fontId="64" fillId="0" borderId="258" applyAlignment="1" pivotButton="0" quotePrefix="0" xfId="132">
      <alignment vertical="center"/>
    </xf>
    <xf numFmtId="173" fontId="2" fillId="0" borderId="269" applyAlignment="1" pivotButton="0" quotePrefix="0" xfId="132">
      <alignment vertical="center"/>
    </xf>
    <xf numFmtId="0" fontId="2" fillId="0" borderId="258" applyAlignment="1" pivotButton="0" quotePrefix="0" xfId="132">
      <alignment vertical="center"/>
    </xf>
    <xf numFmtId="173" fontId="2" fillId="60" borderId="313" applyAlignment="1" pivotButton="0" quotePrefix="0" xfId="132">
      <alignment vertical="center"/>
    </xf>
    <xf numFmtId="175" fontId="2" fillId="60" borderId="357" applyAlignment="1" pivotButton="0" quotePrefix="0" xfId="132">
      <alignment vertical="center"/>
    </xf>
    <xf numFmtId="173" fontId="2" fillId="60" borderId="328" applyAlignment="1" pivotButton="0" quotePrefix="0" xfId="132">
      <alignment vertical="center"/>
    </xf>
    <xf numFmtId="173" fontId="64" fillId="60" borderId="328" applyAlignment="1" pivotButton="0" quotePrefix="0" xfId="132">
      <alignment vertical="center"/>
    </xf>
    <xf numFmtId="0" fontId="2" fillId="60" borderId="328" applyAlignment="1" pivotButton="0" quotePrefix="0" xfId="132">
      <alignment vertical="center"/>
    </xf>
    <xf numFmtId="0" fontId="2" fillId="60" borderId="314" applyAlignment="1" pivotButton="0" quotePrefix="0" xfId="132">
      <alignment vertical="center"/>
    </xf>
    <xf numFmtId="0" fontId="2" fillId="60" borderId="258" applyAlignment="1" pivotButton="0" quotePrefix="0" xfId="132">
      <alignment vertical="center"/>
    </xf>
    <xf numFmtId="173" fontId="217" fillId="0" borderId="72" applyAlignment="1" pivotButton="0" quotePrefix="0" xfId="132">
      <alignment horizontal="center" vertical="center"/>
    </xf>
    <xf numFmtId="0" fontId="217" fillId="0" borderId="72" applyAlignment="1" pivotButton="0" quotePrefix="0" xfId="132">
      <alignment horizontal="center" vertical="center"/>
    </xf>
    <xf numFmtId="0" fontId="170" fillId="59" borderId="356" applyAlignment="1" pivotButton="0" quotePrefix="0" xfId="132">
      <alignment horizontal="center" vertical="center" wrapText="1"/>
    </xf>
    <xf numFmtId="0" fontId="170" fillId="59" borderId="356" applyAlignment="1" pivotButton="0" quotePrefix="0" xfId="132">
      <alignment horizontal="center" vertical="center"/>
    </xf>
    <xf numFmtId="0" fontId="170" fillId="59" borderId="199" applyAlignment="1" pivotButton="0" quotePrefix="0" xfId="132">
      <alignment horizontal="center" vertical="center"/>
    </xf>
    <xf numFmtId="0" fontId="69" fillId="0" borderId="45" applyAlignment="1" pivotButton="0" quotePrefix="0" xfId="132">
      <alignment vertical="center"/>
    </xf>
    <xf numFmtId="0" fontId="217" fillId="0" borderId="45" applyAlignment="1" pivotButton="0" quotePrefix="0" xfId="132">
      <alignment vertical="center"/>
    </xf>
    <xf numFmtId="0" fontId="218" fillId="0" borderId="71" applyAlignment="1" pivotButton="0" quotePrefix="0" xfId="132">
      <alignment vertical="center"/>
    </xf>
    <xf numFmtId="17" fontId="69" fillId="0" borderId="354" applyAlignment="1" pivotButton="0" quotePrefix="0" xfId="132">
      <alignment horizontal="left" vertical="center"/>
    </xf>
    <xf numFmtId="17" fontId="69" fillId="0" borderId="326" applyAlignment="1" pivotButton="0" quotePrefix="0" xfId="132">
      <alignment horizontal="left" vertical="center"/>
    </xf>
    <xf numFmtId="0" fontId="69" fillId="0" borderId="72" applyAlignment="1" pivotButton="0" quotePrefix="0" xfId="132">
      <alignment vertical="center"/>
    </xf>
    <xf numFmtId="0" fontId="69" fillId="0" borderId="2" applyAlignment="1" pivotButton="0" quotePrefix="0" xfId="132">
      <alignment vertical="center"/>
    </xf>
    <xf numFmtId="172" fontId="72" fillId="0" borderId="325" applyAlignment="1" pivotButton="0" quotePrefix="0" xfId="132">
      <alignment horizontal="left" vertical="center"/>
    </xf>
    <xf numFmtId="172" fontId="219" fillId="0" borderId="325" applyAlignment="1" pivotButton="0" quotePrefix="0" xfId="132">
      <alignment horizontal="left" vertical="center"/>
    </xf>
    <xf numFmtId="0" fontId="131" fillId="0" borderId="45" applyAlignment="1" pivotButton="0" quotePrefix="0" xfId="132">
      <alignment vertical="center"/>
    </xf>
    <xf numFmtId="0" fontId="131" fillId="0" borderId="47" applyAlignment="1" pivotButton="0" quotePrefix="0" xfId="132">
      <alignment vertical="center"/>
    </xf>
    <xf numFmtId="0" fontId="131" fillId="0" borderId="18" applyAlignment="1" pivotButton="0" quotePrefix="0" xfId="132">
      <alignment vertical="center"/>
    </xf>
    <xf numFmtId="0" fontId="220" fillId="0" borderId="72" pivotButton="0" quotePrefix="0" xfId="132"/>
    <xf numFmtId="0" fontId="200" fillId="0" borderId="72" pivotButton="0" quotePrefix="0" xfId="132"/>
    <xf numFmtId="0" fontId="221" fillId="0" borderId="72" pivotButton="0" quotePrefix="0" xfId="132"/>
    <xf numFmtId="0" fontId="2" fillId="0" borderId="74" pivotButton="0" quotePrefix="0" xfId="132"/>
    <xf numFmtId="0" fontId="203" fillId="0" borderId="74" pivotButton="0" quotePrefix="0" xfId="132"/>
    <xf numFmtId="4" fontId="205" fillId="0" borderId="74" pivotButton="0" quotePrefix="0" xfId="132"/>
    <xf numFmtId="0" fontId="205" fillId="0" borderId="74" pivotButton="0" quotePrefix="0" xfId="132"/>
    <xf numFmtId="9" fontId="205" fillId="0" borderId="74" pivotButton="0" quotePrefix="0" xfId="132"/>
    <xf numFmtId="0" fontId="2" fillId="65" borderId="74" pivotButton="0" quotePrefix="0" xfId="132"/>
    <xf numFmtId="0" fontId="200" fillId="65" borderId="74" pivotButton="0" quotePrefix="0" xfId="132"/>
    <xf numFmtId="0" fontId="195" fillId="76" borderId="74" applyAlignment="1" pivotButton="0" quotePrefix="0" xfId="132">
      <alignment horizontal="center" vertical="center" wrapText="1"/>
    </xf>
    <xf numFmtId="0" fontId="222" fillId="0" borderId="72" pivotButton="0" quotePrefix="0" xfId="132"/>
    <xf numFmtId="0" fontId="205" fillId="0" borderId="72" pivotButton="0" quotePrefix="0" xfId="132"/>
    <xf numFmtId="0" fontId="74" fillId="3" borderId="142" applyAlignment="1" pivotButton="0" quotePrefix="0" xfId="29">
      <alignment horizontal="center" vertical="center"/>
    </xf>
    <xf numFmtId="17" fontId="75" fillId="16" borderId="260" applyAlignment="1" pivotButton="0" quotePrefix="0" xfId="13">
      <alignment horizontal="center" vertical="center"/>
    </xf>
    <xf numFmtId="17" fontId="75" fillId="16" borderId="143" applyAlignment="1" pivotButton="0" quotePrefix="0" xfId="13">
      <alignment horizontal="center" vertical="center"/>
    </xf>
    <xf numFmtId="0" fontId="33" fillId="0" borderId="72" applyAlignment="1" pivotButton="0" quotePrefix="0" xfId="97">
      <alignment horizontal="center"/>
    </xf>
    <xf numFmtId="0" fontId="129" fillId="16" borderId="76" applyAlignment="1" pivotButton="0" quotePrefix="0" xfId="14">
      <alignment horizontal="center" vertical="center"/>
    </xf>
    <xf numFmtId="0" fontId="33" fillId="4" borderId="58" applyAlignment="1" pivotButton="0" quotePrefix="0" xfId="80">
      <alignment horizontal="left" vertical="center"/>
    </xf>
    <xf numFmtId="0" fontId="98" fillId="0" borderId="59" pivotButton="0" quotePrefix="0" xfId="80"/>
    <xf numFmtId="164" fontId="154" fillId="2" borderId="38" applyAlignment="1" pivotButton="0" quotePrefix="0" xfId="80">
      <alignment horizontal="center" vertical="center"/>
    </xf>
    <xf numFmtId="0" fontId="98" fillId="0" borderId="40" pivotButton="0" quotePrefix="0" xfId="80"/>
    <xf numFmtId="172" fontId="219" fillId="0" borderId="354" applyAlignment="1" pivotButton="0" quotePrefix="0" xfId="132">
      <alignment horizontal="left" vertical="center" wrapText="1"/>
    </xf>
    <xf numFmtId="0" fontId="2" fillId="0" borderId="354" pivotButton="0" quotePrefix="0" xfId="132"/>
    <xf numFmtId="0" fontId="214" fillId="2" borderId="72" pivotButton="0" quotePrefix="0" xfId="132"/>
    <xf numFmtId="0" fontId="2" fillId="2" borderId="72" pivotButton="0" quotePrefix="0" xfId="132"/>
    <xf numFmtId="0" fontId="223" fillId="0" borderId="72" applyAlignment="1" pivotButton="0" quotePrefix="0" xfId="16">
      <alignment vertical="center"/>
    </xf>
    <xf numFmtId="0" fontId="63" fillId="0" borderId="0" pivotButton="0" quotePrefix="0" xfId="0"/>
    <xf numFmtId="4" fontId="225" fillId="90" borderId="43" applyAlignment="1" pivotButton="0" quotePrefix="0" xfId="0">
      <alignment horizontal="center" vertical="center" wrapText="1"/>
    </xf>
    <xf numFmtId="4" fontId="226" fillId="91" borderId="43" applyAlignment="1" pivotButton="0" quotePrefix="0" xfId="0">
      <alignment horizontal="center" vertical="center" wrapText="1"/>
    </xf>
    <xf numFmtId="4" fontId="226" fillId="92" borderId="43" applyAlignment="1" pivotButton="0" quotePrefix="0" xfId="0">
      <alignment horizontal="center" vertical="center" wrapText="1"/>
    </xf>
    <xf numFmtId="4" fontId="224" fillId="42" borderId="43" applyAlignment="1" pivotButton="0" quotePrefix="0" xfId="0">
      <alignment horizontal="center" vertical="center" wrapText="1"/>
    </xf>
    <xf numFmtId="4" fontId="226" fillId="91" borderId="44" applyAlignment="1" pivotButton="0" quotePrefix="0" xfId="0">
      <alignment horizontal="left" vertical="center"/>
    </xf>
    <xf numFmtId="4" fontId="225" fillId="90" borderId="44" applyAlignment="1" pivotButton="0" quotePrefix="0" xfId="0">
      <alignment horizontal="left" vertical="center"/>
    </xf>
    <xf numFmtId="4" fontId="227" fillId="90" borderId="122" applyAlignment="1" pivotButton="0" quotePrefix="0" xfId="16">
      <alignment horizontal="center" vertical="center" wrapText="1"/>
    </xf>
    <xf numFmtId="4" fontId="229" fillId="91" borderId="122" applyAlignment="1" pivotButton="0" quotePrefix="0" xfId="16">
      <alignment horizontal="center" vertical="center" wrapText="1"/>
    </xf>
    <xf numFmtId="49" fontId="225" fillId="90" borderId="42" applyAlignment="1" pivotButton="0" quotePrefix="0" xfId="0">
      <alignment horizontal="left" vertical="center" wrapText="1"/>
    </xf>
    <xf numFmtId="49" fontId="225" fillId="90" borderId="44" applyAlignment="1" pivotButton="0" quotePrefix="0" xfId="0">
      <alignment horizontal="left" vertical="center"/>
    </xf>
    <xf numFmtId="49" fontId="225" fillId="90" borderId="44" applyAlignment="1" pivotButton="0" quotePrefix="0" xfId="0">
      <alignment horizontal="left" vertical="center" wrapText="1"/>
    </xf>
    <xf numFmtId="0" fontId="225" fillId="90" borderId="44" applyAlignment="1" pivotButton="0" quotePrefix="0" xfId="0">
      <alignment vertical="center"/>
    </xf>
    <xf numFmtId="0" fontId="225" fillId="90" borderId="44" applyAlignment="1" pivotButton="0" quotePrefix="0" xfId="0">
      <alignment horizontal="center" vertical="center" wrapText="1"/>
    </xf>
    <xf numFmtId="4" fontId="225" fillId="90" borderId="44" applyAlignment="1" pivotButton="0" quotePrefix="0" xfId="0">
      <alignment horizontal="center" vertical="center" wrapText="1"/>
    </xf>
    <xf numFmtId="4" fontId="225" fillId="90" borderId="44" applyAlignment="1" pivotButton="0" quotePrefix="0" xfId="0">
      <alignment horizontal="right" vertical="center" wrapText="1"/>
    </xf>
    <xf numFmtId="49" fontId="226" fillId="91" borderId="42" applyAlignment="1" pivotButton="0" quotePrefix="0" xfId="0">
      <alignment horizontal="left" vertical="center" wrapText="1"/>
    </xf>
    <xf numFmtId="49" fontId="226" fillId="91" borderId="44" applyAlignment="1" pivotButton="0" quotePrefix="0" xfId="0">
      <alignment horizontal="left" vertical="center"/>
    </xf>
    <xf numFmtId="49" fontId="226" fillId="91" borderId="44" applyAlignment="1" pivotButton="0" quotePrefix="0" xfId="0">
      <alignment horizontal="left" vertical="center" wrapText="1"/>
    </xf>
    <xf numFmtId="0" fontId="226" fillId="91" borderId="44" applyAlignment="1" pivotButton="0" quotePrefix="0" xfId="0">
      <alignment vertical="center"/>
    </xf>
    <xf numFmtId="0" fontId="226" fillId="91" borderId="44" applyAlignment="1" pivotButton="0" quotePrefix="0" xfId="0">
      <alignment horizontal="center" vertical="center" wrapText="1"/>
    </xf>
    <xf numFmtId="4" fontId="226" fillId="91" borderId="44" applyAlignment="1" pivotButton="0" quotePrefix="0" xfId="0">
      <alignment horizontal="center" vertical="center" wrapText="1"/>
    </xf>
    <xf numFmtId="4" fontId="226" fillId="91" borderId="44" applyAlignment="1" pivotButton="0" quotePrefix="0" xfId="0">
      <alignment horizontal="right" vertical="center" wrapText="1"/>
    </xf>
    <xf numFmtId="49" fontId="226" fillId="92" borderId="42" applyAlignment="1" pivotButton="0" quotePrefix="0" xfId="0">
      <alignment horizontal="left" vertical="center" wrapText="1"/>
    </xf>
    <xf numFmtId="49" fontId="226" fillId="92" borderId="44" applyAlignment="1" pivotButton="0" quotePrefix="0" xfId="0">
      <alignment horizontal="left" vertical="center"/>
    </xf>
    <xf numFmtId="49" fontId="226" fillId="92" borderId="44" applyAlignment="1" pivotButton="0" quotePrefix="0" xfId="0">
      <alignment horizontal="left" vertical="center" wrapText="1"/>
    </xf>
    <xf numFmtId="0" fontId="226" fillId="92" borderId="44" applyAlignment="1" pivotButton="0" quotePrefix="0" xfId="0">
      <alignment vertical="center"/>
    </xf>
    <xf numFmtId="0" fontId="226" fillId="92" borderId="44" applyAlignment="1" pivotButton="0" quotePrefix="0" xfId="0">
      <alignment horizontal="center" vertical="center" wrapText="1"/>
    </xf>
    <xf numFmtId="4" fontId="226" fillId="92" borderId="44" applyAlignment="1" pivotButton="0" quotePrefix="0" xfId="0">
      <alignment horizontal="center" vertical="center" wrapText="1"/>
    </xf>
    <xf numFmtId="4" fontId="226" fillId="92" borderId="44" applyAlignment="1" pivotButton="0" quotePrefix="0" xfId="0">
      <alignment horizontal="right" vertical="center" wrapText="1"/>
    </xf>
    <xf numFmtId="4" fontId="226" fillId="92" borderId="44" applyAlignment="1" pivotButton="0" quotePrefix="0" xfId="0">
      <alignment horizontal="left" vertical="center"/>
    </xf>
    <xf numFmtId="49" fontId="51" fillId="82" borderId="42" applyAlignment="1" pivotButton="0" quotePrefix="0" xfId="0">
      <alignment horizontal="left" vertical="center"/>
    </xf>
    <xf numFmtId="49" fontId="51" fillId="82" borderId="44" applyAlignment="1" pivotButton="0" quotePrefix="0" xfId="0">
      <alignment horizontal="left" vertical="center"/>
    </xf>
    <xf numFmtId="49" fontId="51" fillId="82" borderId="44" applyAlignment="1" pivotButton="0" quotePrefix="0" xfId="0">
      <alignment horizontal="left" vertical="center" wrapText="1"/>
    </xf>
    <xf numFmtId="0" fontId="51" fillId="82" borderId="44" applyAlignment="1" pivotButton="0" quotePrefix="0" xfId="0">
      <alignment vertical="center"/>
    </xf>
    <xf numFmtId="0" fontId="51" fillId="82" borderId="44" applyAlignment="1" pivotButton="0" quotePrefix="0" xfId="0">
      <alignment horizontal="center" vertical="center" wrapText="1"/>
    </xf>
    <xf numFmtId="4" fontId="51" fillId="82" borderId="44" applyAlignment="1" pivotButton="0" quotePrefix="0" xfId="0">
      <alignment horizontal="center" vertical="center" wrapText="1"/>
    </xf>
    <xf numFmtId="4" fontId="51" fillId="82" borderId="44" applyAlignment="1" pivotButton="0" quotePrefix="0" xfId="0">
      <alignment horizontal="right" vertical="center" wrapText="1"/>
    </xf>
    <xf numFmtId="4" fontId="51" fillId="82" borderId="44" applyAlignment="1" pivotButton="0" quotePrefix="0" xfId="0">
      <alignment horizontal="left" vertical="center"/>
    </xf>
    <xf numFmtId="0" fontId="229" fillId="91" borderId="86" applyAlignment="1" pivotButton="0" quotePrefix="0" xfId="16">
      <alignment vertical="center"/>
    </xf>
    <xf numFmtId="0" fontId="229" fillId="91" borderId="86" applyAlignment="1" pivotButton="0" quotePrefix="0" xfId="16">
      <alignment horizontal="center" vertical="center" wrapText="1"/>
    </xf>
    <xf numFmtId="0" fontId="229" fillId="92" borderId="86" applyAlignment="1" pivotButton="0" quotePrefix="0" xfId="16">
      <alignment vertical="center"/>
    </xf>
    <xf numFmtId="0" fontId="229" fillId="92" borderId="86" applyAlignment="1" pivotButton="0" quotePrefix="0" xfId="16">
      <alignment horizontal="center" vertical="center" wrapText="1"/>
    </xf>
    <xf numFmtId="0" fontId="228" fillId="82" borderId="86" applyAlignment="1" pivotButton="0" quotePrefix="0" xfId="16">
      <alignment vertical="center"/>
    </xf>
    <xf numFmtId="4" fontId="228" fillId="82" borderId="86" applyAlignment="1" pivotButton="0" quotePrefix="0" xfId="33">
      <alignment horizontal="center" vertical="center" wrapText="1"/>
    </xf>
    <xf numFmtId="4" fontId="229" fillId="92" borderId="86" applyAlignment="1" pivotButton="0" quotePrefix="0" xfId="33">
      <alignment horizontal="center" vertical="center" wrapText="1"/>
    </xf>
    <xf numFmtId="49" fontId="226" fillId="91" borderId="42" applyAlignment="1" pivotButton="0" quotePrefix="0" xfId="0">
      <alignment horizontal="left" vertical="center"/>
    </xf>
    <xf numFmtId="49" fontId="226" fillId="92" borderId="42" applyAlignment="1" pivotButton="0" quotePrefix="0" xfId="0">
      <alignment horizontal="left" vertical="center"/>
    </xf>
    <xf numFmtId="4" fontId="51" fillId="82" borderId="44" applyAlignment="1" pivotButton="0" quotePrefix="0" xfId="0">
      <alignment horizontal="left" vertical="center" wrapText="1"/>
    </xf>
    <xf numFmtId="49" fontId="225" fillId="90" borderId="17" applyAlignment="1" pivotButton="0" quotePrefix="0" xfId="0">
      <alignment horizontal="left" vertical="center"/>
    </xf>
    <xf numFmtId="49" fontId="225" fillId="90" borderId="17" applyAlignment="1" pivotButton="0" quotePrefix="0" xfId="0">
      <alignment horizontal="left" vertical="center" wrapText="1"/>
    </xf>
    <xf numFmtId="0" fontId="225" fillId="90" borderId="17" applyAlignment="1" pivotButton="0" quotePrefix="0" xfId="0">
      <alignment horizontal="center" vertical="center" wrapText="1"/>
    </xf>
    <xf numFmtId="4" fontId="225" fillId="90" borderId="17" applyAlignment="1" pivotButton="0" quotePrefix="0" xfId="0">
      <alignment horizontal="center" vertical="center" wrapText="1"/>
    </xf>
    <xf numFmtId="4" fontId="225" fillId="90" borderId="17" applyAlignment="1" pivotButton="0" quotePrefix="0" xfId="0">
      <alignment horizontal="left" vertical="center"/>
    </xf>
    <xf numFmtId="49" fontId="226" fillId="91" borderId="17" applyAlignment="1" pivotButton="0" quotePrefix="0" xfId="0">
      <alignment horizontal="left" vertical="center"/>
    </xf>
    <xf numFmtId="49" fontId="226" fillId="91" borderId="17" applyAlignment="1" pivotButton="0" quotePrefix="0" xfId="0">
      <alignment horizontal="left" vertical="center" wrapText="1"/>
    </xf>
    <xf numFmtId="0" fontId="226" fillId="91" borderId="17" applyAlignment="1" pivotButton="0" quotePrefix="0" xfId="0">
      <alignment vertical="center"/>
    </xf>
    <xf numFmtId="0" fontId="226" fillId="91" borderId="17" applyAlignment="1" pivotButton="0" quotePrefix="0" xfId="0">
      <alignment horizontal="center" vertical="center" wrapText="1"/>
    </xf>
    <xf numFmtId="4" fontId="226" fillId="91" borderId="17" applyAlignment="1" pivotButton="0" quotePrefix="0" xfId="0">
      <alignment horizontal="center" vertical="center" wrapText="1"/>
    </xf>
    <xf numFmtId="4" fontId="226" fillId="91" borderId="17" applyAlignment="1" pivotButton="0" quotePrefix="0" xfId="0">
      <alignment horizontal="left" vertical="center"/>
    </xf>
    <xf numFmtId="49" fontId="226" fillId="92" borderId="17" applyAlignment="1" pivotButton="0" quotePrefix="0" xfId="0">
      <alignment horizontal="left" vertical="center"/>
    </xf>
    <xf numFmtId="49" fontId="226" fillId="92" borderId="17" applyAlignment="1" pivotButton="0" quotePrefix="0" xfId="0">
      <alignment horizontal="left" vertical="center" wrapText="1"/>
    </xf>
    <xf numFmtId="0" fontId="226" fillId="92" borderId="17" applyAlignment="1" pivotButton="0" quotePrefix="0" xfId="0">
      <alignment vertical="center"/>
    </xf>
    <xf numFmtId="0" fontId="226" fillId="92" borderId="17" applyAlignment="1" pivotButton="0" quotePrefix="0" xfId="0">
      <alignment horizontal="center" vertical="center" wrapText="1"/>
    </xf>
    <xf numFmtId="4" fontId="226" fillId="92" borderId="17" applyAlignment="1" pivotButton="0" quotePrefix="0" xfId="0">
      <alignment horizontal="center" vertical="center" wrapText="1"/>
    </xf>
    <xf numFmtId="4" fontId="226" fillId="92" borderId="17" applyAlignment="1" pivotButton="0" quotePrefix="0" xfId="0">
      <alignment horizontal="left" vertical="center"/>
    </xf>
    <xf numFmtId="49" fontId="51" fillId="82" borderId="17" applyAlignment="1" pivotButton="0" quotePrefix="0" xfId="0">
      <alignment horizontal="left" vertical="center"/>
    </xf>
    <xf numFmtId="49" fontId="51" fillId="82" borderId="17" applyAlignment="1" pivotButton="0" quotePrefix="0" xfId="0">
      <alignment horizontal="left" vertical="center" wrapText="1"/>
    </xf>
    <xf numFmtId="0" fontId="51" fillId="82" borderId="17" applyAlignment="1" pivotButton="0" quotePrefix="0" xfId="0">
      <alignment vertical="center"/>
    </xf>
    <xf numFmtId="0" fontId="51" fillId="82" borderId="17" applyAlignment="1" pivotButton="0" quotePrefix="0" xfId="0">
      <alignment horizontal="center" vertical="center" wrapText="1"/>
    </xf>
    <xf numFmtId="4" fontId="51" fillId="82" borderId="17" applyAlignment="1" pivotButton="0" quotePrefix="0" xfId="0">
      <alignment horizontal="center" vertical="center" wrapText="1"/>
    </xf>
    <xf numFmtId="4" fontId="51" fillId="82" borderId="17" applyAlignment="1" pivotButton="0" quotePrefix="0" xfId="0">
      <alignment horizontal="left" vertical="center"/>
    </xf>
    <xf numFmtId="0" fontId="230" fillId="92" borderId="17" applyAlignment="1" pivotButton="0" quotePrefix="0" xfId="0">
      <alignment vertical="center"/>
    </xf>
    <xf numFmtId="49" fontId="51" fillId="82" borderId="42" applyAlignment="1" pivotButton="0" quotePrefix="0" xfId="0">
      <alignment horizontal="left" vertical="center" wrapText="1"/>
    </xf>
    <xf numFmtId="49" fontId="225" fillId="90" borderId="42" applyAlignment="1" pivotButton="0" quotePrefix="0" xfId="0">
      <alignment horizontal="left" vertical="center"/>
    </xf>
    <xf numFmtId="4" fontId="229" fillId="91" borderId="86" applyAlignment="1" pivotButton="0" quotePrefix="0" xfId="33">
      <alignment horizontal="center" vertical="center" wrapText="1"/>
    </xf>
    <xf numFmtId="4" fontId="226" fillId="92" borderId="44" applyAlignment="1" pivotButton="0" quotePrefix="0" xfId="0">
      <alignment horizontal="left" vertical="center" wrapText="1"/>
    </xf>
    <xf numFmtId="0" fontId="225" fillId="90" borderId="42" applyAlignment="1" pivotButton="0" quotePrefix="0" xfId="0">
      <alignment horizontal="left" vertical="center"/>
    </xf>
    <xf numFmtId="0" fontId="225" fillId="90" borderId="17" applyAlignment="1" pivotButton="0" quotePrefix="0" xfId="0">
      <alignment vertical="center"/>
    </xf>
    <xf numFmtId="0" fontId="226" fillId="91" borderId="42" applyAlignment="1" pivotButton="0" quotePrefix="0" xfId="0">
      <alignment horizontal="left" vertical="center"/>
    </xf>
    <xf numFmtId="0" fontId="226" fillId="92" borderId="42" applyAlignment="1" pivotButton="0" quotePrefix="0" xfId="0">
      <alignment horizontal="left" vertical="center"/>
    </xf>
    <xf numFmtId="0" fontId="51" fillId="82" borderId="42" applyAlignment="1" pivotButton="0" quotePrefix="0" xfId="0">
      <alignment horizontal="left" vertical="center"/>
    </xf>
    <xf numFmtId="3" fontId="181" fillId="0" borderId="393" applyAlignment="1" pivotButton="0" quotePrefix="1" xfId="5">
      <alignment horizontal="left" vertical="center"/>
    </xf>
    <xf numFmtId="49" fontId="181" fillId="0" borderId="393" applyAlignment="1" pivotButton="0" quotePrefix="1" xfId="5">
      <alignment horizontal="left" vertical="center"/>
    </xf>
    <xf numFmtId="0" fontId="130" fillId="32" borderId="72" applyAlignment="1" pivotButton="0" quotePrefix="0" xfId="28">
      <alignment horizontal="center"/>
    </xf>
    <xf numFmtId="0" fontId="130" fillId="32" borderId="74" applyAlignment="1" pivotButton="0" quotePrefix="0" xfId="28">
      <alignment horizontal="center" vertical="center"/>
    </xf>
    <xf numFmtId="0" fontId="31" fillId="32" borderId="414" applyAlignment="1" pivotButton="0" quotePrefix="0" xfId="28">
      <alignment horizontal="center" vertical="center"/>
    </xf>
    <xf numFmtId="196" fontId="0" fillId="32" borderId="414" applyAlignment="1" pivotButton="0" quotePrefix="0" xfId="6">
      <alignment horizontal="center" vertical="center"/>
    </xf>
    <xf numFmtId="197" fontId="0" fillId="32" borderId="414" applyAlignment="1" pivotButton="0" quotePrefix="0" xfId="133">
      <alignment vertical="center"/>
    </xf>
    <xf numFmtId="0" fontId="31" fillId="32" borderId="415" applyAlignment="1" pivotButton="0" quotePrefix="0" xfId="28">
      <alignment vertical="center" wrapText="1"/>
    </xf>
    <xf numFmtId="0" fontId="31" fillId="32" borderId="207" applyAlignment="1" pivotButton="0" quotePrefix="0" xfId="28">
      <alignment horizontal="center" vertical="center"/>
    </xf>
    <xf numFmtId="0" fontId="31" fillId="32" borderId="207" applyAlignment="1" pivotButton="0" quotePrefix="0" xfId="28">
      <alignment horizontal="center" vertical="center" wrapText="1"/>
    </xf>
    <xf numFmtId="0" fontId="31" fillId="32" borderId="207" applyAlignment="1" pivotButton="0" quotePrefix="0" xfId="28">
      <alignment horizontal="left" vertical="center"/>
    </xf>
    <xf numFmtId="0" fontId="31" fillId="33" borderId="414" applyAlignment="1" pivotButton="0" quotePrefix="0" xfId="28">
      <alignment horizontal="center" vertical="center"/>
    </xf>
    <xf numFmtId="196" fontId="0" fillId="33" borderId="414" applyAlignment="1" pivotButton="0" quotePrefix="0" xfId="6">
      <alignment horizontal="center" vertical="center"/>
    </xf>
    <xf numFmtId="197" fontId="0" fillId="33" borderId="414" applyAlignment="1" pivotButton="0" quotePrefix="0" xfId="133">
      <alignment vertical="center"/>
    </xf>
    <xf numFmtId="0" fontId="31" fillId="33" borderId="416" applyAlignment="1" pivotButton="0" quotePrefix="0" xfId="28">
      <alignment vertical="center" wrapText="1"/>
    </xf>
    <xf numFmtId="0" fontId="31" fillId="33" borderId="417" applyAlignment="1" pivotButton="0" quotePrefix="0" xfId="28">
      <alignment horizontal="center" vertical="center"/>
    </xf>
    <xf numFmtId="0" fontId="31" fillId="33" borderId="417" applyAlignment="1" pivotButton="0" quotePrefix="0" xfId="28">
      <alignment horizontal="center" vertical="center" wrapText="1"/>
    </xf>
    <xf numFmtId="0" fontId="31" fillId="33" borderId="207" applyAlignment="1" pivotButton="0" quotePrefix="0" xfId="28">
      <alignment horizontal="left" vertical="center"/>
    </xf>
    <xf numFmtId="0" fontId="31" fillId="34" borderId="414" applyAlignment="1" pivotButton="0" quotePrefix="0" xfId="28">
      <alignment horizontal="center" vertical="center"/>
    </xf>
    <xf numFmtId="196" fontId="0" fillId="34" borderId="414" applyAlignment="1" pivotButton="0" quotePrefix="0" xfId="6">
      <alignment horizontal="center" vertical="center"/>
    </xf>
    <xf numFmtId="197" fontId="0" fillId="34" borderId="414" applyAlignment="1" pivotButton="0" quotePrefix="0" xfId="133">
      <alignment vertical="center"/>
    </xf>
    <xf numFmtId="0" fontId="31" fillId="34" borderId="416" applyAlignment="1" pivotButton="0" quotePrefix="0" xfId="28">
      <alignment horizontal="left" vertical="center" wrapText="1"/>
    </xf>
    <xf numFmtId="0" fontId="31" fillId="47" borderId="414" applyAlignment="1" pivotButton="0" quotePrefix="0" xfId="28">
      <alignment horizontal="center" vertical="center"/>
    </xf>
    <xf numFmtId="196" fontId="0" fillId="47" borderId="414" applyAlignment="1" pivotButton="0" quotePrefix="0" xfId="6">
      <alignment horizontal="center" vertical="center"/>
    </xf>
    <xf numFmtId="197" fontId="0" fillId="47" borderId="414" applyAlignment="1" pivotButton="0" quotePrefix="0" xfId="133">
      <alignment vertical="center"/>
    </xf>
    <xf numFmtId="0" fontId="31" fillId="47" borderId="416" applyAlignment="1" pivotButton="0" quotePrefix="0" xfId="28">
      <alignment horizontal="left" vertical="center" wrapText="1"/>
    </xf>
    <xf numFmtId="0" fontId="31" fillId="47" borderId="415" applyAlignment="1" pivotButton="0" quotePrefix="0" xfId="28">
      <alignment horizontal="left" vertical="center" wrapText="1"/>
    </xf>
    <xf numFmtId="0" fontId="31" fillId="47" borderId="327" applyAlignment="1" pivotButton="0" quotePrefix="0" xfId="28">
      <alignment horizontal="left" vertical="center"/>
    </xf>
    <xf numFmtId="0" fontId="129" fillId="35" borderId="414" applyAlignment="1" pivotButton="0" quotePrefix="0" xfId="28">
      <alignment horizontal="center" vertical="center"/>
    </xf>
    <xf numFmtId="196" fontId="129" fillId="35" borderId="414" applyAlignment="1" pivotButton="0" quotePrefix="0" xfId="6">
      <alignment horizontal="center" vertical="center"/>
    </xf>
    <xf numFmtId="197" fontId="129" fillId="35" borderId="414" applyAlignment="1" pivotButton="0" quotePrefix="0" xfId="133">
      <alignment vertical="center"/>
    </xf>
    <xf numFmtId="0" fontId="129" fillId="35" borderId="418" applyAlignment="1" pivotButton="0" quotePrefix="0" xfId="28">
      <alignment horizontal="left" vertical="center" wrapText="1"/>
    </xf>
    <xf numFmtId="0" fontId="129" fillId="35" borderId="419" applyAlignment="1" pivotButton="0" quotePrefix="0" xfId="28">
      <alignment horizontal="left" vertical="center" wrapText="1"/>
    </xf>
    <xf numFmtId="0" fontId="129" fillId="35" borderId="207" applyAlignment="1" pivotButton="0" quotePrefix="0" xfId="28">
      <alignment horizontal="left" vertical="center"/>
    </xf>
    <xf numFmtId="0" fontId="52" fillId="32" borderId="72" applyAlignment="1" pivotButton="0" quotePrefix="0" xfId="28">
      <alignment vertical="center"/>
    </xf>
    <xf numFmtId="0" fontId="31" fillId="93" borderId="420" applyAlignment="1" pivotButton="0" quotePrefix="0" xfId="28">
      <alignment horizontal="left"/>
    </xf>
    <xf numFmtId="0" fontId="130" fillId="32" borderId="420" applyAlignment="1" pivotButton="0" quotePrefix="0" xfId="28">
      <alignment horizontal="center" vertical="center"/>
    </xf>
    <xf numFmtId="0" fontId="130" fillId="32" borderId="72" applyAlignment="1" pivotButton="0" quotePrefix="0" xfId="28">
      <alignment horizontal="center" vertical="center"/>
    </xf>
    <xf numFmtId="0" fontId="31" fillId="32" borderId="72" applyAlignment="1" pivotButton="0" quotePrefix="0" xfId="28">
      <alignment horizontal="left"/>
    </xf>
    <xf numFmtId="0" fontId="130" fillId="32" borderId="72" pivotButton="0" quotePrefix="0" xfId="28"/>
    <xf numFmtId="0" fontId="130" fillId="32" borderId="423" applyAlignment="1" pivotButton="0" quotePrefix="0" xfId="28">
      <alignment horizontal="center" vertical="center"/>
    </xf>
    <xf numFmtId="0" fontId="130" fillId="32" borderId="424" applyAlignment="1" pivotButton="0" quotePrefix="0" xfId="28">
      <alignment horizontal="center"/>
    </xf>
    <xf numFmtId="0" fontId="130" fillId="41" borderId="420" pivotButton="0" quotePrefix="0" xfId="28"/>
    <xf numFmtId="0" fontId="130" fillId="32" borderId="426" applyAlignment="1" pivotButton="0" quotePrefix="0" xfId="28">
      <alignment horizontal="center" vertical="center"/>
    </xf>
    <xf numFmtId="0" fontId="130" fillId="32" borderId="427" applyAlignment="1" pivotButton="0" quotePrefix="0" xfId="28">
      <alignment horizontal="center"/>
    </xf>
    <xf numFmtId="0" fontId="130" fillId="32" borderId="420" pivotButton="0" quotePrefix="0" xfId="28"/>
    <xf numFmtId="0" fontId="31" fillId="32" borderId="72" applyAlignment="1" pivotButton="0" quotePrefix="0" xfId="28">
      <alignment horizontal="center" vertical="center"/>
    </xf>
    <xf numFmtId="0" fontId="31" fillId="32" borderId="426" applyAlignment="1" pivotButton="0" quotePrefix="0" xfId="28">
      <alignment horizontal="center" vertical="center"/>
    </xf>
    <xf numFmtId="0" fontId="31" fillId="32" borderId="427" applyAlignment="1" pivotButton="0" quotePrefix="0" xfId="28">
      <alignment horizontal="center"/>
    </xf>
    <xf numFmtId="9" fontId="0" fillId="32" borderId="72" applyAlignment="1" pivotButton="0" quotePrefix="0" xfId="6">
      <alignment horizontal="center" vertical="center"/>
    </xf>
    <xf numFmtId="9" fontId="0" fillId="32" borderId="428" applyAlignment="1" pivotButton="0" quotePrefix="0" xfId="6">
      <alignment horizontal="center" vertical="center"/>
    </xf>
    <xf numFmtId="0" fontId="130" fillId="32" borderId="429" applyAlignment="1" pivotButton="0" quotePrefix="0" xfId="28">
      <alignment horizontal="center"/>
    </xf>
    <xf numFmtId="196" fontId="0" fillId="33" borderId="414" applyAlignment="1" pivotButton="0" quotePrefix="0" xfId="6">
      <alignment horizontal="left" vertical="top" wrapText="1"/>
    </xf>
    <xf numFmtId="0" fontId="31" fillId="33" borderId="430" applyAlignment="1" pivotButton="0" quotePrefix="0" xfId="28">
      <alignment vertical="center" wrapText="1"/>
    </xf>
    <xf numFmtId="0" fontId="31" fillId="33" borderId="431" applyAlignment="1" pivotButton="0" quotePrefix="0" xfId="28">
      <alignment horizontal="center" vertical="center" wrapText="1"/>
    </xf>
    <xf numFmtId="0" fontId="31" fillId="33" borderId="432" applyAlignment="1" pivotButton="0" quotePrefix="0" xfId="28">
      <alignment horizontal="center" vertical="center" wrapText="1"/>
    </xf>
    <xf numFmtId="0" fontId="31" fillId="33" borderId="415" applyAlignment="1" pivotButton="0" quotePrefix="0" xfId="28">
      <alignment horizontal="left" vertical="center"/>
    </xf>
    <xf numFmtId="196" fontId="0" fillId="32" borderId="414" applyAlignment="1" pivotButton="0" quotePrefix="0" xfId="6">
      <alignment horizontal="left" vertical="top" wrapText="1"/>
    </xf>
    <xf numFmtId="0" fontId="31" fillId="32" borderId="433" applyAlignment="1" pivotButton="0" quotePrefix="0" xfId="28">
      <alignment vertical="center" wrapText="1"/>
    </xf>
    <xf numFmtId="0" fontId="31" fillId="32" borderId="434" applyAlignment="1" pivotButton="0" quotePrefix="0" xfId="28">
      <alignment horizontal="center" vertical="center" wrapText="1"/>
    </xf>
    <xf numFmtId="0" fontId="31" fillId="32" borderId="435" applyAlignment="1" pivotButton="0" quotePrefix="0" xfId="28">
      <alignment horizontal="center" vertical="center" wrapText="1"/>
    </xf>
    <xf numFmtId="0" fontId="31" fillId="32" borderId="415" applyAlignment="1" pivotButton="0" quotePrefix="0" xfId="28">
      <alignment horizontal="left" vertical="center"/>
    </xf>
    <xf numFmtId="196" fontId="0" fillId="94" borderId="414" applyAlignment="1" pivotButton="0" quotePrefix="0" xfId="6">
      <alignment horizontal="left" vertical="top" wrapText="1"/>
    </xf>
    <xf numFmtId="0" fontId="31" fillId="94" borderId="87" applyAlignment="1" pivotButton="0" quotePrefix="0" xfId="28">
      <alignment horizontal="left" vertical="center" wrapText="1"/>
    </xf>
    <xf numFmtId="196" fontId="0" fillId="94" borderId="414" applyAlignment="1" pivotButton="0" quotePrefix="0" xfId="6">
      <alignment horizontal="center" vertical="center"/>
    </xf>
    <xf numFmtId="197" fontId="0" fillId="94" borderId="414" applyAlignment="1" pivotButton="0" quotePrefix="0" xfId="133">
      <alignment vertical="center"/>
    </xf>
    <xf numFmtId="0" fontId="31" fillId="94" borderId="414" applyAlignment="1" pivotButton="0" quotePrefix="0" xfId="28">
      <alignment horizontal="center" vertical="center"/>
    </xf>
    <xf numFmtId="0" fontId="31" fillId="94" borderId="436" applyAlignment="1" pivotButton="0" quotePrefix="0" xfId="28">
      <alignment horizontal="center" vertical="center"/>
    </xf>
    <xf numFmtId="0" fontId="31" fillId="94" borderId="120" applyAlignment="1" pivotButton="0" quotePrefix="0" xfId="28">
      <alignment horizontal="center" vertical="center" wrapText="1"/>
    </xf>
    <xf numFmtId="0" fontId="31" fillId="94" borderId="437" applyAlignment="1" pivotButton="0" quotePrefix="0" xfId="28">
      <alignment horizontal="center" vertical="center" wrapText="1"/>
    </xf>
    <xf numFmtId="0" fontId="31" fillId="94" borderId="415" applyAlignment="1" pivotButton="0" quotePrefix="0" xfId="28">
      <alignment horizontal="left" vertical="center"/>
    </xf>
    <xf numFmtId="0" fontId="31" fillId="33" borderId="430" applyAlignment="1" pivotButton="0" quotePrefix="0" xfId="28">
      <alignment horizontal="left" vertical="center" wrapText="1"/>
    </xf>
    <xf numFmtId="0" fontId="31" fillId="33" borderId="435" applyAlignment="1" pivotButton="0" quotePrefix="0" xfId="28">
      <alignment horizontal="center" vertical="center" wrapText="1"/>
    </xf>
    <xf numFmtId="0" fontId="31" fillId="32" borderId="430" applyAlignment="1" pivotButton="0" quotePrefix="0" xfId="28">
      <alignment horizontal="left" vertical="center" wrapText="1"/>
    </xf>
    <xf numFmtId="0" fontId="130" fillId="32" borderId="442" pivotButton="0" quotePrefix="0" xfId="28"/>
    <xf numFmtId="0" fontId="130" fillId="32" borderId="445" pivotButton="0" quotePrefix="0" xfId="28"/>
    <xf numFmtId="0" fontId="130" fillId="41" borderId="445" pivotButton="0" quotePrefix="0" xfId="28"/>
    <xf numFmtId="198" fontId="71" fillId="0" borderId="205" applyAlignment="1" pivotButton="0" quotePrefix="0" xfId="26">
      <alignment vertical="center" wrapText="1"/>
    </xf>
    <xf numFmtId="0" fontId="1" fillId="0" borderId="72" pivotButton="0" quotePrefix="0" xfId="134"/>
    <xf numFmtId="0" fontId="231" fillId="2" borderId="72" pivotButton="0" quotePrefix="0" xfId="134"/>
    <xf numFmtId="0" fontId="1" fillId="2" borderId="72" pivotButton="0" quotePrefix="0" xfId="134"/>
    <xf numFmtId="0" fontId="195" fillId="74" borderId="72" applyAlignment="1" pivotButton="0" quotePrefix="0" xfId="134">
      <alignment horizontal="center" wrapText="1"/>
    </xf>
    <xf numFmtId="0" fontId="198" fillId="76" borderId="72" pivotButton="0" quotePrefix="0" xfId="134"/>
    <xf numFmtId="0" fontId="205" fillId="0" borderId="74" pivotButton="0" quotePrefix="0" xfId="134"/>
    <xf numFmtId="173" fontId="205" fillId="0" borderId="74" pivotButton="0" quotePrefix="0" xfId="134"/>
    <xf numFmtId="175" fontId="205" fillId="0" borderId="74" pivotButton="0" quotePrefix="0" xfId="134"/>
    <xf numFmtId="0" fontId="200" fillId="65" borderId="72" pivotButton="0" quotePrefix="0" xfId="134"/>
    <xf numFmtId="175" fontId="200" fillId="65" borderId="72" pivotButton="0" quotePrefix="0" xfId="134"/>
    <xf numFmtId="0" fontId="198" fillId="73" borderId="72" pivotButton="0" quotePrefix="0" xfId="134"/>
    <xf numFmtId="0" fontId="198" fillId="71" borderId="72" pivotButton="0" quotePrefix="0" xfId="134"/>
    <xf numFmtId="0" fontId="198" fillId="68" borderId="72" pivotButton="0" quotePrefix="0" xfId="134"/>
    <xf numFmtId="0" fontId="198" fillId="69" borderId="72" pivotButton="0" quotePrefix="0" xfId="134"/>
    <xf numFmtId="0" fontId="198" fillId="95" borderId="72" pivotButton="0" quotePrefix="0" xfId="134"/>
    <xf numFmtId="0" fontId="198" fillId="96" borderId="72" pivotButton="0" quotePrefix="0" xfId="134"/>
    <xf numFmtId="0" fontId="198" fillId="97" borderId="72" pivotButton="0" quotePrefix="0" xfId="134"/>
    <xf numFmtId="0" fontId="232" fillId="0" borderId="74" pivotButton="0" quotePrefix="0" xfId="134"/>
    <xf numFmtId="0" fontId="233" fillId="0" borderId="72" pivotButton="0" quotePrefix="0" xfId="134"/>
    <xf numFmtId="175" fontId="233" fillId="0" borderId="72" pivotButton="0" quotePrefix="0" xfId="134"/>
    <xf numFmtId="49" fontId="45" fillId="2" borderId="34" applyAlignment="1" pivotButton="0" quotePrefix="0" xfId="0">
      <alignment horizontal="center" vertical="center" wrapText="1"/>
    </xf>
    <xf numFmtId="0" fontId="31" fillId="0" borderId="35" pivotButton="0" quotePrefix="0" xfId="0"/>
    <xf numFmtId="0" fontId="31" fillId="0" borderId="36" pivotButton="0" quotePrefix="0" xfId="0"/>
    <xf numFmtId="0" fontId="52" fillId="36" borderId="422" applyAlignment="1" pivotButton="0" quotePrefix="0" xfId="28">
      <alignment horizontal="center" vertical="center"/>
    </xf>
    <xf numFmtId="0" fontId="52" fillId="36" borderId="421" applyAlignment="1" pivotButton="0" quotePrefix="0" xfId="28">
      <alignment horizontal="center" vertical="center"/>
    </xf>
    <xf numFmtId="197" fontId="0" fillId="93" borderId="420" applyAlignment="1" pivotButton="0" quotePrefix="0" xfId="133">
      <alignment horizontal="center" vertical="center"/>
    </xf>
    <xf numFmtId="0" fontId="130" fillId="32" borderId="74" applyAlignment="1" pivotButton="0" quotePrefix="0" xfId="28">
      <alignment horizontal="center" vertical="center"/>
    </xf>
    <xf numFmtId="197" fontId="0" fillId="93" borderId="420" applyAlignment="1" pivotButton="0" quotePrefix="0" xfId="133">
      <alignment horizontal="left" vertical="center"/>
    </xf>
    <xf numFmtId="0" fontId="31" fillId="41" borderId="213" applyAlignment="1" pivotButton="0" quotePrefix="0" xfId="28">
      <alignment horizontal="left"/>
    </xf>
    <xf numFmtId="0" fontId="31" fillId="41" borderId="425" applyAlignment="1" pivotButton="0" quotePrefix="0" xfId="28">
      <alignment horizontal="left"/>
    </xf>
    <xf numFmtId="0" fontId="31" fillId="32" borderId="213" applyAlignment="1" pivotButton="0" quotePrefix="0" xfId="28">
      <alignment horizontal="left"/>
    </xf>
    <xf numFmtId="0" fontId="31" fillId="32" borderId="425" applyAlignment="1" pivotButton="0" quotePrefix="0" xfId="28">
      <alignment horizontal="left"/>
    </xf>
    <xf numFmtId="0" fontId="130" fillId="32" borderId="87" applyAlignment="1" pivotButton="0" quotePrefix="0" xfId="28">
      <alignment horizontal="center" vertical="center" wrapText="1"/>
    </xf>
    <xf numFmtId="0" fontId="130" fillId="32" borderId="208" applyAlignment="1" pivotButton="0" quotePrefix="0" xfId="28">
      <alignment horizontal="center" vertical="center" wrapText="1"/>
    </xf>
    <xf numFmtId="0" fontId="130" fillId="32" borderId="208" applyAlignment="1" pivotButton="0" quotePrefix="0" xfId="28">
      <alignment horizontal="center" vertical="center"/>
    </xf>
    <xf numFmtId="0" fontId="130" fillId="32" borderId="420" applyAlignment="1" pivotButton="0" quotePrefix="0" xfId="28">
      <alignment horizontal="center" vertical="center"/>
    </xf>
    <xf numFmtId="0" fontId="52" fillId="36" borderId="76" applyAlignment="1" pivotButton="0" quotePrefix="0" xfId="28">
      <alignment horizontal="center" vertical="center"/>
    </xf>
    <xf numFmtId="0" fontId="52" fillId="36" borderId="72" applyAlignment="1" pivotButton="0" quotePrefix="0" xfId="28">
      <alignment horizontal="center" vertical="center"/>
    </xf>
    <xf numFmtId="0" fontId="52" fillId="36" borderId="77" applyAlignment="1" pivotButton="0" quotePrefix="0" xfId="28">
      <alignment horizontal="center" vertical="center"/>
    </xf>
    <xf numFmtId="0" fontId="52" fillId="36" borderId="78" applyAlignment="1" pivotButton="0" quotePrefix="0" xfId="28">
      <alignment horizontal="center" vertical="center"/>
    </xf>
    <xf numFmtId="0" fontId="52" fillId="36" borderId="447" applyAlignment="1" pivotButton="0" quotePrefix="0" xfId="28">
      <alignment horizontal="center" vertical="center"/>
    </xf>
    <xf numFmtId="0" fontId="52" fillId="36" borderId="448" applyAlignment="1" pivotButton="0" quotePrefix="0" xfId="28">
      <alignment horizontal="center" vertical="center"/>
    </xf>
    <xf numFmtId="0" fontId="52" fillId="36" borderId="446" applyAlignment="1" pivotButton="0" quotePrefix="0" xfId="28">
      <alignment horizontal="center" vertical="center"/>
    </xf>
    <xf numFmtId="0" fontId="31" fillId="41" borderId="427" applyAlignment="1" pivotButton="0" quotePrefix="0" xfId="28">
      <alignment horizontal="left"/>
    </xf>
    <xf numFmtId="0" fontId="31" fillId="41" borderId="72" applyAlignment="1" pivotButton="0" quotePrefix="0" xfId="28">
      <alignment horizontal="left"/>
    </xf>
    <xf numFmtId="9" fontId="0" fillId="32" borderId="447" applyAlignment="1" pivotButton="0" quotePrefix="0" xfId="6">
      <alignment horizontal="center" vertical="center"/>
    </xf>
    <xf numFmtId="9" fontId="0" fillId="32" borderId="446" applyAlignment="1" pivotButton="0" quotePrefix="0" xfId="6">
      <alignment horizontal="center" vertical="center"/>
    </xf>
    <xf numFmtId="9" fontId="0" fillId="32" borderId="444" applyAlignment="1" pivotButton="0" quotePrefix="0" xfId="6">
      <alignment horizontal="center" vertical="center"/>
    </xf>
    <xf numFmtId="9" fontId="0" fillId="32" borderId="443" applyAlignment="1" pivotButton="0" quotePrefix="0" xfId="6">
      <alignment horizontal="center" vertical="center"/>
    </xf>
    <xf numFmtId="9" fontId="0" fillId="32" borderId="439" applyAlignment="1" pivotButton="0" quotePrefix="0" xfId="6">
      <alignment horizontal="center" vertical="center"/>
    </xf>
    <xf numFmtId="9" fontId="0" fillId="32" borderId="438" applyAlignment="1" pivotButton="0" quotePrefix="0" xfId="6">
      <alignment horizontal="center" vertical="center"/>
    </xf>
    <xf numFmtId="0" fontId="31" fillId="32" borderId="427" applyAlignment="1" pivotButton="0" quotePrefix="0" xfId="28">
      <alignment horizontal="left"/>
    </xf>
    <xf numFmtId="0" fontId="31" fillId="32" borderId="72" applyAlignment="1" pivotButton="0" quotePrefix="0" xfId="28">
      <alignment horizontal="left"/>
    </xf>
    <xf numFmtId="0" fontId="31" fillId="32" borderId="441" applyAlignment="1" pivotButton="0" quotePrefix="0" xfId="28">
      <alignment horizontal="left"/>
    </xf>
    <xf numFmtId="0" fontId="31" fillId="32" borderId="440" applyAlignment="1" pivotButton="0" quotePrefix="0" xfId="28">
      <alignment horizontal="left"/>
    </xf>
    <xf numFmtId="0" fontId="79" fillId="16" borderId="259" applyAlignment="1" pivotButton="0" quotePrefix="0" xfId="14">
      <alignment horizontal="center" vertical="center" wrapText="1"/>
    </xf>
    <xf numFmtId="0" fontId="162" fillId="0" borderId="259" pivotButton="0" quotePrefix="0" xfId="116"/>
    <xf numFmtId="0" fontId="126" fillId="16" borderId="259" applyAlignment="1" pivotButton="0" quotePrefix="0" xfId="14">
      <alignment horizontal="center" vertical="center"/>
    </xf>
    <xf numFmtId="49" fontId="79" fillId="16" borderId="74" applyAlignment="1" pivotButton="0" quotePrefix="0" xfId="16">
      <alignment horizontal="center" vertical="center" wrapText="1"/>
    </xf>
    <xf numFmtId="0" fontId="178" fillId="0" borderId="142" applyAlignment="1" pivotButton="0" quotePrefix="0" xfId="115">
      <alignment horizontal="left" vertical="center"/>
    </xf>
    <xf numFmtId="0" fontId="178" fillId="0" borderId="109" applyAlignment="1" pivotButton="0" quotePrefix="0" xfId="115">
      <alignment horizontal="left" vertical="center"/>
    </xf>
    <xf numFmtId="0" fontId="178" fillId="0" borderId="151" applyAlignment="1" pivotButton="0" quotePrefix="0" xfId="115">
      <alignment horizontal="left" vertical="center"/>
    </xf>
    <xf numFmtId="0" fontId="178" fillId="0" borderId="89" applyAlignment="1" pivotButton="0" quotePrefix="0" xfId="115">
      <alignment horizontal="left" vertical="center"/>
    </xf>
    <xf numFmtId="0" fontId="178" fillId="0" borderId="72" applyAlignment="1" pivotButton="0" quotePrefix="0" xfId="115">
      <alignment horizontal="left" vertical="center"/>
    </xf>
    <xf numFmtId="0" fontId="178" fillId="0" borderId="88" applyAlignment="1" pivotButton="0" quotePrefix="0" xfId="115">
      <alignment horizontal="left" vertical="center"/>
    </xf>
    <xf numFmtId="0" fontId="179" fillId="0" borderId="388" applyAlignment="1" pivotButton="0" quotePrefix="0" xfId="115">
      <alignment horizontal="left" vertical="center"/>
    </xf>
    <xf numFmtId="0" fontId="179" fillId="0" borderId="389" applyAlignment="1" pivotButton="0" quotePrefix="0" xfId="115">
      <alignment horizontal="left" vertical="center"/>
    </xf>
    <xf numFmtId="0" fontId="179" fillId="0" borderId="390" applyAlignment="1" pivotButton="0" quotePrefix="0" xfId="115">
      <alignment horizontal="left" vertical="center"/>
    </xf>
    <xf numFmtId="0" fontId="178" fillId="0" borderId="368" applyAlignment="1" pivotButton="0" quotePrefix="0" xfId="115">
      <alignment horizontal="left" vertical="center"/>
    </xf>
    <xf numFmtId="0" fontId="6" fillId="0" borderId="109" pivotButton="0" quotePrefix="0" xfId="118"/>
    <xf numFmtId="0" fontId="6" fillId="0" borderId="151" pivotButton="0" quotePrefix="0" xfId="118"/>
    <xf numFmtId="0" fontId="6" fillId="0" borderId="89" pivotButton="0" quotePrefix="0" xfId="118"/>
    <xf numFmtId="0" fontId="176" fillId="0" borderId="72" pivotButton="0" quotePrefix="0" xfId="115"/>
    <xf numFmtId="0" fontId="6" fillId="0" borderId="88" pivotButton="0" quotePrefix="0" xfId="118"/>
    <xf numFmtId="0" fontId="179" fillId="0" borderId="398" applyAlignment="1" pivotButton="0" quotePrefix="0" xfId="115">
      <alignment horizontal="left" vertical="center"/>
    </xf>
    <xf numFmtId="0" fontId="6" fillId="0" borderId="389" pivotButton="0" quotePrefix="0" xfId="118"/>
    <xf numFmtId="0" fontId="6" fillId="0" borderId="390" pivotButton="0" quotePrefix="0" xfId="118"/>
    <xf numFmtId="0" fontId="101" fillId="3" borderId="124" applyAlignment="1" pivotButton="0" quotePrefix="0" xfId="94">
      <alignment horizontal="center" vertical="center"/>
    </xf>
    <xf numFmtId="0" fontId="98" fillId="0" borderId="125" pivotButton="0" quotePrefix="0" xfId="94"/>
    <xf numFmtId="0" fontId="98" fillId="0" borderId="126" pivotButton="0" quotePrefix="0" xfId="94"/>
    <xf numFmtId="0" fontId="103" fillId="23" borderId="48" applyAlignment="1" pivotButton="0" quotePrefix="0" xfId="97">
      <alignment horizontal="center" vertical="center" wrapText="1"/>
    </xf>
    <xf numFmtId="0" fontId="98" fillId="0" borderId="49" pivotButton="0" quotePrefix="0" xfId="97"/>
    <xf numFmtId="0" fontId="98" fillId="0" borderId="132" pivotButton="0" quotePrefix="0" xfId="97"/>
    <xf numFmtId="0" fontId="33" fillId="0" borderId="72" applyAlignment="1" pivotButton="0" quotePrefix="0" xfId="97">
      <alignment horizontal="center"/>
    </xf>
    <xf numFmtId="0" fontId="10" fillId="0" borderId="72" pivotButton="0" quotePrefix="0" xfId="97"/>
    <xf numFmtId="0" fontId="101" fillId="3" borderId="124" applyAlignment="1" pivotButton="0" quotePrefix="0" xfId="97">
      <alignment horizontal="center" vertical="center"/>
    </xf>
    <xf numFmtId="0" fontId="101" fillId="3" borderId="125" applyAlignment="1" pivotButton="0" quotePrefix="0" xfId="97">
      <alignment horizontal="center" vertical="center"/>
    </xf>
    <xf numFmtId="0" fontId="101" fillId="3" borderId="126" applyAlignment="1" pivotButton="0" quotePrefix="0" xfId="97">
      <alignment horizontal="center" vertical="center"/>
    </xf>
    <xf numFmtId="0" fontId="103" fillId="23" borderId="163" applyAlignment="1" pivotButton="0" quotePrefix="0" xfId="97">
      <alignment horizontal="center" vertical="center" wrapText="1"/>
    </xf>
    <xf numFmtId="0" fontId="98" fillId="0" borderId="164" pivotButton="0" quotePrefix="0" xfId="97"/>
    <xf numFmtId="0" fontId="122" fillId="27" borderId="134" applyAlignment="1" pivotButton="0" quotePrefix="0" xfId="94">
      <alignment horizontal="left" vertical="center" wrapText="1"/>
    </xf>
    <xf numFmtId="0" fontId="122" fillId="27" borderId="135" applyAlignment="1" pivotButton="0" quotePrefix="0" xfId="94">
      <alignment horizontal="left" vertical="center" wrapText="1"/>
    </xf>
    <xf numFmtId="0" fontId="101" fillId="3" borderId="163" applyAlignment="1" pivotButton="0" quotePrefix="0" xfId="97">
      <alignment horizontal="center" vertical="center"/>
    </xf>
    <xf numFmtId="0" fontId="101" fillId="3" borderId="164" applyAlignment="1" pivotButton="0" quotePrefix="0" xfId="97">
      <alignment horizontal="center" vertical="center"/>
    </xf>
    <xf numFmtId="0" fontId="101" fillId="3" borderId="165" applyAlignment="1" pivotButton="0" quotePrefix="0" xfId="97">
      <alignment horizontal="center" vertical="center"/>
    </xf>
    <xf numFmtId="43" fontId="135" fillId="5" borderId="281" applyAlignment="1" pivotButton="0" quotePrefix="0" xfId="15">
      <alignment horizontal="center" vertical="center" wrapText="1"/>
    </xf>
    <xf numFmtId="43" fontId="135" fillId="5" borderId="284" applyAlignment="1" pivotButton="0" quotePrefix="0" xfId="15">
      <alignment horizontal="center" vertical="center"/>
    </xf>
    <xf numFmtId="43" fontId="135" fillId="5" borderId="282" applyAlignment="1" pivotButton="0" quotePrefix="0" xfId="15">
      <alignment horizontal="center" vertical="center" wrapText="1"/>
    </xf>
    <xf numFmtId="43" fontId="135" fillId="5" borderId="285" applyAlignment="1" pivotButton="0" quotePrefix="0" xfId="15">
      <alignment horizontal="center" vertical="center"/>
    </xf>
    <xf numFmtId="0" fontId="139" fillId="3" borderId="70" applyAlignment="1" pivotButton="0" quotePrefix="0" xfId="72">
      <alignment horizontal="left" vertical="center"/>
    </xf>
    <xf numFmtId="0" fontId="139" fillId="3" borderId="72" applyAlignment="1" pivotButton="0" quotePrefix="0" xfId="72">
      <alignment horizontal="left" vertical="center"/>
    </xf>
    <xf numFmtId="43" fontId="135" fillId="5" borderId="274" applyAlignment="1" pivotButton="0" quotePrefix="0" xfId="15">
      <alignment horizontal="center" vertical="center"/>
    </xf>
    <xf numFmtId="43" fontId="135" fillId="5" borderId="278" applyAlignment="1" pivotButton="0" quotePrefix="0" xfId="15">
      <alignment horizontal="center" vertical="center"/>
    </xf>
    <xf numFmtId="43" fontId="135" fillId="5" borderId="283" applyAlignment="1" pivotButton="0" quotePrefix="0" xfId="15">
      <alignment horizontal="center" vertical="center"/>
    </xf>
    <xf numFmtId="43" fontId="135" fillId="5" borderId="275" applyAlignment="1" pivotButton="0" quotePrefix="0" xfId="15">
      <alignment horizontal="center" vertical="center"/>
    </xf>
    <xf numFmtId="43" fontId="135" fillId="5" borderId="259" applyAlignment="1" pivotButton="0" quotePrefix="0" xfId="15">
      <alignment horizontal="center" vertical="center"/>
    </xf>
    <xf numFmtId="43" fontId="135" fillId="5" borderId="208" applyAlignment="1" pivotButton="0" quotePrefix="0" xfId="15">
      <alignment horizontal="center" vertical="center"/>
    </xf>
    <xf numFmtId="173" fontId="135" fillId="5" borderId="275" applyAlignment="1" pivotButton="0" quotePrefix="0" xfId="74">
      <alignment horizontal="center" vertical="center"/>
    </xf>
    <xf numFmtId="173" fontId="135" fillId="5" borderId="259" applyAlignment="1" pivotButton="0" quotePrefix="0" xfId="74">
      <alignment horizontal="center" vertical="center"/>
    </xf>
    <xf numFmtId="173" fontId="135" fillId="5" borderId="208" applyAlignment="1" pivotButton="0" quotePrefix="0" xfId="74">
      <alignment horizontal="center" vertical="center"/>
    </xf>
    <xf numFmtId="173" fontId="135" fillId="5" borderId="276" applyAlignment="1" pivotButton="0" quotePrefix="0" xfId="74">
      <alignment horizontal="center" vertical="center"/>
    </xf>
    <xf numFmtId="173" fontId="135" fillId="5" borderId="76" applyAlignment="1" pivotButton="0" quotePrefix="0" xfId="74">
      <alignment horizontal="center" vertical="center"/>
    </xf>
    <xf numFmtId="173" fontId="135" fillId="5" borderId="77" applyAlignment="1" pivotButton="0" quotePrefix="0" xfId="74">
      <alignment horizontal="center" vertical="center"/>
    </xf>
    <xf numFmtId="0" fontId="138" fillId="44" borderId="159" applyAlignment="1" pivotButton="0" quotePrefix="0" xfId="75">
      <alignment horizontal="center" vertical="center" wrapText="1"/>
    </xf>
    <xf numFmtId="0" fontId="138" fillId="44" borderId="113" applyAlignment="1" pivotButton="0" quotePrefix="0" xfId="75">
      <alignment horizontal="center" vertical="center" wrapText="1"/>
    </xf>
    <xf numFmtId="0" fontId="138" fillId="44" borderId="277" applyAlignment="1" pivotButton="0" quotePrefix="0" xfId="75">
      <alignment horizontal="center" vertical="center" wrapText="1"/>
    </xf>
    <xf numFmtId="43" fontId="138" fillId="44" borderId="159" applyAlignment="1" pivotButton="0" quotePrefix="0" xfId="15">
      <alignment horizontal="center" vertical="center" wrapText="1"/>
    </xf>
    <xf numFmtId="43" fontId="138" fillId="44" borderId="113" applyAlignment="1" pivotButton="0" quotePrefix="0" xfId="15">
      <alignment horizontal="center" vertical="center" wrapText="1"/>
    </xf>
    <xf numFmtId="43" fontId="138" fillId="44" borderId="277" applyAlignment="1" pivotButton="0" quotePrefix="0" xfId="15">
      <alignment horizontal="center" vertical="center" wrapText="1"/>
    </xf>
    <xf numFmtId="43" fontId="135" fillId="5" borderId="284" applyAlignment="1" pivotButton="0" quotePrefix="0" xfId="15">
      <alignment horizontal="center" vertical="center" wrapText="1"/>
    </xf>
    <xf numFmtId="43" fontId="135" fillId="5" borderId="285" applyAlignment="1" pivotButton="0" quotePrefix="0" xfId="15">
      <alignment horizontal="center" vertical="center" wrapText="1"/>
    </xf>
    <xf numFmtId="4" fontId="71" fillId="0" borderId="108" applyAlignment="1" pivotButton="0" quotePrefix="0" xfId="26">
      <alignment horizontal="center" vertical="center" wrapText="1"/>
    </xf>
    <xf numFmtId="4" fontId="71" fillId="0" borderId="238" applyAlignment="1" pivotButton="0" quotePrefix="0" xfId="26">
      <alignment horizontal="center" vertical="center" wrapText="1"/>
    </xf>
    <xf numFmtId="4" fontId="71" fillId="38" borderId="108" applyAlignment="1" pivotButton="0" quotePrefix="0" xfId="26">
      <alignment horizontal="center" vertical="center" wrapText="1"/>
    </xf>
    <xf numFmtId="4" fontId="71" fillId="38" borderId="107" applyAlignment="1" pivotButton="0" quotePrefix="0" xfId="26">
      <alignment horizontal="center" vertical="center" wrapText="1"/>
    </xf>
    <xf numFmtId="0" fontId="126" fillId="16" borderId="247" applyAlignment="1" pivotButton="0" quotePrefix="0" xfId="14">
      <alignment horizontal="center" vertical="center"/>
    </xf>
    <xf numFmtId="0" fontId="126" fillId="16" borderId="250" applyAlignment="1" pivotButton="0" quotePrefix="0" xfId="14">
      <alignment horizontal="center" vertical="center"/>
    </xf>
    <xf numFmtId="0" fontId="83" fillId="16" borderId="248" applyAlignment="1" pivotButton="0" quotePrefix="0" xfId="14">
      <alignment horizontal="center" vertical="center" wrapText="1"/>
    </xf>
    <xf numFmtId="0" fontId="83" fillId="16" borderId="251" applyAlignment="1" pivotButton="0" quotePrefix="0" xfId="14">
      <alignment horizontal="center" vertical="center" wrapText="1"/>
    </xf>
    <xf numFmtId="0" fontId="83" fillId="16" borderId="249" applyAlignment="1" pivotButton="0" quotePrefix="0" xfId="14">
      <alignment horizontal="center" vertical="center" wrapText="1"/>
    </xf>
    <xf numFmtId="0" fontId="83" fillId="16" borderId="247" applyAlignment="1" pivotButton="0" quotePrefix="0" xfId="14">
      <alignment horizontal="center" vertical="center" wrapText="1"/>
    </xf>
    <xf numFmtId="0" fontId="125" fillId="0" borderId="74" applyAlignment="1" pivotButton="0" quotePrefix="0" xfId="73">
      <alignment horizontal="center"/>
    </xf>
    <xf numFmtId="164" fontId="88" fillId="13" borderId="58" applyAlignment="1" pivotButton="0" quotePrefix="0" xfId="73">
      <alignment horizontal="center"/>
    </xf>
    <xf numFmtId="0" fontId="31" fillId="0" borderId="59" pivotButton="0" quotePrefix="0" xfId="73"/>
    <xf numFmtId="0" fontId="31" fillId="0" borderId="39" pivotButton="0" quotePrefix="0" xfId="73"/>
    <xf numFmtId="0" fontId="59" fillId="4" borderId="76" applyAlignment="1" pivotButton="0" quotePrefix="0" xfId="93">
      <alignment horizontal="center" vertical="center" wrapText="1"/>
    </xf>
    <xf numFmtId="0" fontId="59" fillId="4" borderId="61" applyAlignment="1" pivotButton="0" quotePrefix="0" xfId="93">
      <alignment horizontal="center" vertical="center" wrapText="1"/>
    </xf>
    <xf numFmtId="0" fontId="59" fillId="4" borderId="184" applyAlignment="1" pivotButton="0" quotePrefix="0" xfId="93">
      <alignment horizontal="center" vertical="center" wrapText="1"/>
    </xf>
    <xf numFmtId="0" fontId="59" fillId="4" borderId="28" applyAlignment="1" pivotButton="0" quotePrefix="0" xfId="93">
      <alignment horizontal="center" vertical="center" wrapText="1"/>
    </xf>
    <xf numFmtId="0" fontId="53" fillId="29" borderId="48" applyAlignment="1" pivotButton="0" quotePrefix="0" xfId="73">
      <alignment horizontal="center" vertical="center"/>
    </xf>
    <xf numFmtId="0" fontId="31" fillId="17" borderId="49" applyAlignment="1" pivotButton="0" quotePrefix="0" xfId="73">
      <alignment vertical="center"/>
    </xf>
    <xf numFmtId="0" fontId="31" fillId="17" borderId="50" applyAlignment="1" pivotButton="0" quotePrefix="0" xfId="73">
      <alignment vertical="center"/>
    </xf>
    <xf numFmtId="0" fontId="88" fillId="13" borderId="51" applyAlignment="1" pivotButton="0" quotePrefix="0" xfId="73">
      <alignment horizontal="center" vertical="center"/>
    </xf>
    <xf numFmtId="0" fontId="31" fillId="0" borderId="53" pivotButton="0" quotePrefix="0" xfId="73"/>
    <xf numFmtId="164" fontId="88" fillId="13" borderId="51" applyAlignment="1" pivotButton="0" quotePrefix="0" xfId="73">
      <alignment horizontal="center" vertical="center"/>
    </xf>
    <xf numFmtId="164" fontId="88" fillId="13" borderId="31" applyAlignment="1" pivotButton="0" quotePrefix="0" xfId="73">
      <alignment horizontal="center" vertical="center"/>
    </xf>
    <xf numFmtId="0" fontId="31" fillId="0" borderId="7" pivotButton="0" quotePrefix="0" xfId="73"/>
    <xf numFmtId="0" fontId="31" fillId="0" borderId="32" pivotButton="0" quotePrefix="0" xfId="73"/>
    <xf numFmtId="0" fontId="130" fillId="32" borderId="74" applyAlignment="1" pivotButton="0" quotePrefix="0" xfId="0">
      <alignment horizontal="center" vertical="center"/>
    </xf>
    <xf numFmtId="0" fontId="130" fillId="32" borderId="74" applyAlignment="1" pivotButton="0" quotePrefix="0" xfId="28">
      <alignment horizontal="center" vertical="center" wrapText="1"/>
    </xf>
    <xf numFmtId="0" fontId="130" fillId="32" borderId="210" applyAlignment="1" pivotButton="0" quotePrefix="0" xfId="28">
      <alignment horizontal="center"/>
    </xf>
    <xf numFmtId="0" fontId="130" fillId="32" borderId="72" applyAlignment="1" pivotButton="0" quotePrefix="0" xfId="28">
      <alignment horizontal="center"/>
    </xf>
    <xf numFmtId="0" fontId="130" fillId="32" borderId="209" applyAlignment="1" pivotButton="0" quotePrefix="0" xfId="28">
      <alignment horizontal="center"/>
    </xf>
    <xf numFmtId="0" fontId="188" fillId="0" borderId="72" pivotButton="0" quotePrefix="0" xfId="126"/>
    <xf numFmtId="0" fontId="5" fillId="0" borderId="72" pivotButton="0" quotePrefix="0" xfId="126"/>
    <xf numFmtId="0" fontId="195" fillId="72" borderId="399" applyAlignment="1" pivotButton="0" quotePrefix="0" xfId="126">
      <alignment horizontal="center" vertical="center" wrapText="1"/>
    </xf>
    <xf numFmtId="0" fontId="5" fillId="72" borderId="399" pivotButton="0" quotePrefix="0" xfId="126"/>
    <xf numFmtId="0" fontId="193" fillId="12" borderId="72" pivotButton="0" quotePrefix="0" xfId="126"/>
    <xf numFmtId="0" fontId="5" fillId="12" borderId="72" pivotButton="0" quotePrefix="0" xfId="126"/>
    <xf numFmtId="0" fontId="195" fillId="69" borderId="399" applyAlignment="1" pivotButton="0" quotePrefix="0" xfId="126">
      <alignment horizontal="left" vertical="center" wrapText="1"/>
    </xf>
    <xf numFmtId="0" fontId="5" fillId="69" borderId="399" pivotButton="0" quotePrefix="0" xfId="126"/>
    <xf numFmtId="0" fontId="199" fillId="75" borderId="72" applyAlignment="1" pivotButton="0" quotePrefix="0" xfId="126">
      <alignment horizontal="center" vertical="center" wrapText="1"/>
    </xf>
    <xf numFmtId="0" fontId="5" fillId="75" borderId="72" pivotButton="0" quotePrefix="0" xfId="126"/>
    <xf numFmtId="0" fontId="195" fillId="68" borderId="399" applyAlignment="1" pivotButton="0" quotePrefix="0" xfId="126">
      <alignment horizontal="left" vertical="center" wrapText="1"/>
    </xf>
    <xf numFmtId="0" fontId="5" fillId="68" borderId="399" pivotButton="0" quotePrefix="0" xfId="126"/>
    <xf numFmtId="0" fontId="195" fillId="70" borderId="399" applyAlignment="1" pivotButton="0" quotePrefix="0" xfId="126">
      <alignment horizontal="left" vertical="center" wrapText="1"/>
    </xf>
    <xf numFmtId="0" fontId="5" fillId="70" borderId="399" pivotButton="0" quotePrefix="0" xfId="126"/>
    <xf numFmtId="0" fontId="195" fillId="71" borderId="399" applyAlignment="1" pivotButton="0" quotePrefix="0" xfId="126">
      <alignment horizontal="left" vertical="center" wrapText="1"/>
    </xf>
    <xf numFmtId="0" fontId="5" fillId="71" borderId="399" pivotButton="0" quotePrefix="0" xfId="126"/>
    <xf numFmtId="0" fontId="198" fillId="74" borderId="399" applyAlignment="1" pivotButton="0" quotePrefix="0" xfId="126">
      <alignment horizontal="center" vertical="center" wrapText="1"/>
    </xf>
    <xf numFmtId="0" fontId="5" fillId="74" borderId="399" pivotButton="0" quotePrefix="0" xfId="126"/>
    <xf numFmtId="0" fontId="198" fillId="73" borderId="399" applyAlignment="1" pivotButton="0" quotePrefix="0" xfId="126">
      <alignment horizontal="center" vertical="center" wrapText="1"/>
    </xf>
    <xf numFmtId="0" fontId="5" fillId="73" borderId="399" pivotButton="0" quotePrefix="0" xfId="126"/>
    <xf numFmtId="0" fontId="214" fillId="2" borderId="72" applyAlignment="1" pivotButton="0" quotePrefix="0" xfId="131">
      <alignment horizontal="center" vertical="center"/>
    </xf>
    <xf numFmtId="0" fontId="3" fillId="0" borderId="72" pivotButton="0" quotePrefix="0" xfId="131"/>
    <xf numFmtId="172" fontId="72" fillId="0" borderId="354" applyAlignment="1" pivotButton="0" quotePrefix="1" xfId="15">
      <alignment horizontal="left" vertical="center" wrapText="1"/>
    </xf>
    <xf numFmtId="0" fontId="138" fillId="16" borderId="75" applyAlignment="1" pivotButton="0" quotePrefix="0" xfId="14">
      <alignment horizontal="center" vertical="center"/>
    </xf>
    <xf numFmtId="0" fontId="138" fillId="16" borderId="119" applyAlignment="1" pivotButton="0" quotePrefix="0" xfId="14">
      <alignment horizontal="center" vertical="center"/>
    </xf>
    <xf numFmtId="0" fontId="138" fillId="16" borderId="120" applyAlignment="1" pivotButton="0" quotePrefix="0" xfId="14">
      <alignment horizontal="center" vertical="center"/>
    </xf>
    <xf numFmtId="172" fontId="72" fillId="0" borderId="111" applyAlignment="1" pivotButton="0" quotePrefix="1" xfId="15">
      <alignment horizontal="left" vertical="center"/>
    </xf>
    <xf numFmtId="176" fontId="119" fillId="4" borderId="150" applyAlignment="1" pivotButton="0" quotePrefix="0" xfId="29">
      <alignment vertical="center" wrapText="1"/>
    </xf>
    <xf numFmtId="177" fontId="119" fillId="4" borderId="150" applyAlignment="1" pivotButton="0" quotePrefix="0" xfId="29">
      <alignment vertical="center" wrapText="1"/>
    </xf>
    <xf numFmtId="190" fontId="119" fillId="4" borderId="150" applyAlignment="1" pivotButton="0" quotePrefix="0" xfId="29">
      <alignment vertical="center" wrapText="1"/>
    </xf>
    <xf numFmtId="190" fontId="69" fillId="0" borderId="72" pivotButton="0" quotePrefix="0" xfId="29"/>
    <xf numFmtId="191" fontId="156" fillId="0" borderId="153" applyAlignment="1" pivotButton="0" quotePrefix="0" xfId="29">
      <alignment horizontal="center"/>
    </xf>
    <xf numFmtId="191" fontId="156" fillId="0" borderId="162" applyAlignment="1" pivotButton="0" quotePrefix="0" xfId="29">
      <alignment horizontal="center"/>
    </xf>
    <xf numFmtId="191" fontId="156" fillId="0" borderId="72" applyAlignment="1" pivotButton="0" quotePrefix="0" xfId="29">
      <alignment horizontal="center"/>
    </xf>
    <xf numFmtId="0" fontId="0" fillId="0" borderId="453" pivotButton="0" quotePrefix="0" xfId="0"/>
    <xf numFmtId="0" fontId="0" fillId="0" borderId="151" pivotButton="0" quotePrefix="0" xfId="0"/>
    <xf numFmtId="0" fontId="0" fillId="0" borderId="89" pivotButton="0" quotePrefix="0" xfId="0"/>
    <xf numFmtId="0" fontId="0" fillId="0" borderId="88" pivotButton="0" quotePrefix="0" xfId="0"/>
    <xf numFmtId="0" fontId="0" fillId="0" borderId="389" pivotButton="0" quotePrefix="0" xfId="0"/>
    <xf numFmtId="0" fontId="0" fillId="0" borderId="390" pivotButton="0" quotePrefix="0" xfId="0"/>
    <xf numFmtId="168" fontId="58" fillId="4" borderId="57" applyAlignment="1" pivotButton="0" quotePrefix="0" xfId="94">
      <alignment horizontal="left" vertical="center" wrapText="1"/>
    </xf>
    <xf numFmtId="164" fontId="58" fillId="4" borderId="69" applyAlignment="1" pivotButton="0" quotePrefix="0" xfId="94">
      <alignment horizontal="left" vertical="center" wrapText="1"/>
    </xf>
    <xf numFmtId="164" fontId="58" fillId="4" borderId="59" applyAlignment="1" pivotButton="0" quotePrefix="0" xfId="94">
      <alignment horizontal="left" vertical="center" wrapText="1"/>
    </xf>
    <xf numFmtId="0" fontId="101" fillId="3" borderId="454" applyAlignment="1" pivotButton="0" quotePrefix="0" xfId="94">
      <alignment horizontal="center" vertical="center"/>
    </xf>
    <xf numFmtId="0" fontId="0" fillId="0" borderId="125" pivotButton="0" quotePrefix="0" xfId="0"/>
    <xf numFmtId="0" fontId="0" fillId="0" borderId="126" pivotButton="0" quotePrefix="0" xfId="0"/>
    <xf numFmtId="164" fontId="102" fillId="4" borderId="7" applyAlignment="1" pivotButton="0" quotePrefix="0" xfId="94">
      <alignment horizontal="center"/>
    </xf>
    <xf numFmtId="164" fontId="33" fillId="0" borderId="4" pivotButton="0" quotePrefix="0" xfId="94"/>
    <xf numFmtId="164" fontId="102" fillId="4" borderId="72" applyAlignment="1" pivotButton="0" quotePrefix="0" xfId="94">
      <alignment horizontal="center"/>
    </xf>
    <xf numFmtId="164" fontId="103" fillId="3" borderId="10" applyAlignment="1" pivotButton="0" quotePrefix="0" xfId="94">
      <alignment horizontal="center" vertical="center" wrapText="1"/>
    </xf>
    <xf numFmtId="164" fontId="59" fillId="4" borderId="5" applyAlignment="1" pivotButton="0" quotePrefix="0" xfId="94">
      <alignment horizontal="center" vertical="center" wrapText="1"/>
    </xf>
    <xf numFmtId="164" fontId="59" fillId="4" borderId="67" applyAlignment="1" pivotButton="0" quotePrefix="0" xfId="94">
      <alignment vertical="center" wrapText="1"/>
    </xf>
    <xf numFmtId="164" fontId="103" fillId="22" borderId="14" applyAlignment="1" pivotButton="0" quotePrefix="0" xfId="94">
      <alignment horizontal="center" vertical="center" wrapText="1"/>
    </xf>
    <xf numFmtId="164" fontId="103" fillId="22" borderId="15" applyAlignment="1" pivotButton="0" quotePrefix="0" xfId="94">
      <alignment vertical="center" wrapText="1"/>
    </xf>
    <xf numFmtId="164" fontId="103" fillId="3" borderId="63" applyAlignment="1" pivotButton="0" quotePrefix="0" xfId="94">
      <alignment horizontal="center" vertical="center" wrapText="1"/>
    </xf>
    <xf numFmtId="164" fontId="105" fillId="4" borderId="65" applyAlignment="1" pivotButton="0" quotePrefix="0" xfId="94">
      <alignment horizontal="center" vertical="center" wrapText="1"/>
    </xf>
    <xf numFmtId="164" fontId="105" fillId="0" borderId="66" applyAlignment="1" pivotButton="0" quotePrefix="0" xfId="94">
      <alignment vertical="center" wrapText="1"/>
    </xf>
    <xf numFmtId="164" fontId="103" fillId="22" borderId="37" applyAlignment="1" pivotButton="0" quotePrefix="0" xfId="94">
      <alignment horizontal="center" vertical="center" wrapText="1"/>
    </xf>
    <xf numFmtId="164" fontId="103" fillId="22" borderId="130" applyAlignment="1" pivotButton="0" quotePrefix="0" xfId="94">
      <alignment vertical="center" wrapText="1"/>
    </xf>
    <xf numFmtId="164" fontId="40" fillId="4" borderId="65" applyAlignment="1" pivotButton="0" quotePrefix="0" xfId="94">
      <alignment horizontal="center" vertical="center" wrapText="1"/>
    </xf>
    <xf numFmtId="164" fontId="40" fillId="4" borderId="66" applyAlignment="1" pivotButton="0" quotePrefix="0" xfId="94">
      <alignment vertical="center" wrapText="1"/>
    </xf>
    <xf numFmtId="164" fontId="40" fillId="4" borderId="97" applyAlignment="1" pivotButton="0" quotePrefix="0" xfId="94">
      <alignment horizontal="center" vertical="center" wrapText="1"/>
    </xf>
    <xf numFmtId="164" fontId="48" fillId="4" borderId="98" applyAlignment="1" pivotButton="0" quotePrefix="0" xfId="94">
      <alignment vertical="center" wrapText="1"/>
    </xf>
    <xf numFmtId="164" fontId="35" fillId="22" borderId="4" applyAlignment="1" pivotButton="0" quotePrefix="0" xfId="94">
      <alignment horizontal="center" vertical="center" wrapText="1"/>
    </xf>
    <xf numFmtId="164" fontId="35" fillId="22" borderId="12" applyAlignment="1" pivotButton="0" quotePrefix="0" xfId="94">
      <alignment vertical="center" wrapText="1"/>
    </xf>
    <xf numFmtId="164" fontId="59" fillId="4" borderId="72" applyAlignment="1" pivotButton="0" quotePrefix="0" xfId="94">
      <alignment horizontal="center"/>
    </xf>
    <xf numFmtId="164" fontId="105" fillId="4" borderId="22" applyAlignment="1" pivotButton="0" quotePrefix="0" xfId="94">
      <alignment vertical="center" wrapText="1"/>
    </xf>
    <xf numFmtId="164" fontId="103" fillId="22" borderId="97" applyAlignment="1" pivotButton="0" quotePrefix="0" xfId="94">
      <alignment horizontal="center" vertical="center" wrapText="1"/>
    </xf>
    <xf numFmtId="164" fontId="103" fillId="22" borderId="98" applyAlignment="1" pivotButton="0" quotePrefix="0" xfId="94">
      <alignment vertical="center" wrapText="1"/>
    </xf>
    <xf numFmtId="164" fontId="59" fillId="4" borderId="65" applyAlignment="1" pivotButton="0" quotePrefix="0" xfId="94">
      <alignment horizontal="center" vertical="center" wrapText="1"/>
    </xf>
    <xf numFmtId="164" fontId="59" fillId="4" borderId="98" applyAlignment="1" pivotButton="0" quotePrefix="0" xfId="94">
      <alignment vertical="center" wrapText="1"/>
    </xf>
    <xf numFmtId="164" fontId="103" fillId="22" borderId="4" applyAlignment="1" pivotButton="0" quotePrefix="0" xfId="94">
      <alignment horizontal="center" vertical="center" wrapText="1"/>
    </xf>
    <xf numFmtId="164" fontId="103" fillId="22" borderId="12" applyAlignment="1" pivotButton="0" quotePrefix="0" xfId="94">
      <alignment vertical="center" wrapText="1"/>
    </xf>
    <xf numFmtId="164" fontId="59" fillId="4" borderId="22" applyAlignment="1" pivotButton="0" quotePrefix="0" xfId="94">
      <alignment vertical="center" wrapText="1"/>
    </xf>
    <xf numFmtId="164" fontId="102" fillId="4" borderId="27" applyAlignment="1" pivotButton="0" quotePrefix="0" xfId="94">
      <alignment horizontal="center"/>
    </xf>
    <xf numFmtId="164" fontId="59" fillId="4" borderId="66" applyAlignment="1" pivotButton="0" quotePrefix="0" xfId="94">
      <alignment vertical="center" wrapText="1"/>
    </xf>
    <xf numFmtId="164" fontId="59" fillId="4" borderId="97" applyAlignment="1" pivotButton="0" quotePrefix="0" xfId="94">
      <alignment horizontal="center" vertical="center" wrapText="1"/>
    </xf>
    <xf numFmtId="164" fontId="104" fillId="4" borderId="22" applyAlignment="1" pivotButton="0" quotePrefix="0" xfId="94">
      <alignment vertical="center" wrapText="1"/>
    </xf>
    <xf numFmtId="168" fontId="43" fillId="0" borderId="3" applyAlignment="1" pivotButton="0" quotePrefix="1" xfId="0">
      <alignment horizontal="left" vertical="center"/>
    </xf>
    <xf numFmtId="168" fontId="43" fillId="0" borderId="33" applyAlignment="1" pivotButton="0" quotePrefix="1" xfId="0">
      <alignment horizontal="left" vertical="center"/>
    </xf>
    <xf numFmtId="168" fontId="43" fillId="0" borderId="0" applyAlignment="1" pivotButton="0" quotePrefix="0" xfId="0">
      <alignment horizontal="left" vertical="center"/>
    </xf>
    <xf numFmtId="168" fontId="32" fillId="0" borderId="3" applyAlignment="1" pivotButton="0" quotePrefix="0" xfId="0">
      <alignment horizontal="left" vertical="center"/>
    </xf>
    <xf numFmtId="49" fontId="45" fillId="2" borderId="4" applyAlignment="1" pivotButton="0" quotePrefix="0" xfId="0">
      <alignment horizontal="center" vertical="center" wrapText="1"/>
    </xf>
    <xf numFmtId="0" fontId="0" fillId="0" borderId="59" pivotButton="0" quotePrefix="0" xfId="0"/>
    <xf numFmtId="0" fontId="0" fillId="0" borderId="39" pivotButton="0" quotePrefix="0" xfId="0"/>
    <xf numFmtId="169" fontId="46" fillId="0" borderId="0" applyAlignment="1" pivotButton="0" quotePrefix="0" xfId="0">
      <alignment horizontal="left" vertical="center"/>
    </xf>
    <xf numFmtId="170" fontId="46" fillId="0" borderId="0" applyAlignment="1" pivotButton="0" quotePrefix="0" xfId="0">
      <alignment horizontal="left" vertical="center"/>
    </xf>
    <xf numFmtId="169" fontId="66" fillId="0" borderId="72" applyAlignment="1" pivotButton="0" quotePrefix="0" xfId="58">
      <alignment horizontal="left" vertical="center"/>
    </xf>
    <xf numFmtId="170" fontId="66" fillId="0" borderId="72" applyAlignment="1" pivotButton="0" quotePrefix="0" xfId="58">
      <alignment horizontal="left" vertical="center"/>
    </xf>
    <xf numFmtId="164" fontId="50" fillId="0" borderId="0" applyAlignment="1" pivotButton="0" quotePrefix="0" xfId="0">
      <alignment vertical="center"/>
    </xf>
    <xf numFmtId="0" fontId="0" fillId="0" borderId="421" pivotButton="0" quotePrefix="0" xfId="0"/>
    <xf numFmtId="0" fontId="0" fillId="0" borderId="425" pivotButton="0" quotePrefix="0" xfId="0"/>
    <xf numFmtId="0" fontId="0" fillId="0" borderId="451" pivotButton="0" quotePrefix="0" xfId="0"/>
    <xf numFmtId="0" fontId="0" fillId="0" borderId="208" pivotButton="0" quotePrefix="0" xfId="0"/>
    <xf numFmtId="196" fontId="129" fillId="35" borderId="414" applyAlignment="1" pivotButton="0" quotePrefix="0" xfId="6">
      <alignment horizontal="center" vertical="center"/>
    </xf>
    <xf numFmtId="196" fontId="0" fillId="47" borderId="414" applyAlignment="1" pivotButton="0" quotePrefix="0" xfId="6">
      <alignment horizontal="center" vertical="center"/>
    </xf>
    <xf numFmtId="196" fontId="0" fillId="34" borderId="414" applyAlignment="1" pivotButton="0" quotePrefix="0" xfId="6">
      <alignment horizontal="center" vertical="center"/>
    </xf>
    <xf numFmtId="196" fontId="0" fillId="33" borderId="414" applyAlignment="1" pivotButton="0" quotePrefix="0" xfId="6">
      <alignment horizontal="center" vertical="center"/>
    </xf>
    <xf numFmtId="196" fontId="0" fillId="32" borderId="414" applyAlignment="1" pivotButton="0" quotePrefix="0" xfId="6">
      <alignment horizontal="center" vertical="center"/>
    </xf>
    <xf numFmtId="0" fontId="0" fillId="0" borderId="78" pivotButton="0" quotePrefix="0" xfId="0"/>
    <xf numFmtId="0" fontId="0" fillId="0" borderId="116" pivotButton="0" quotePrefix="0" xfId="0"/>
    <xf numFmtId="196" fontId="0" fillId="94" borderId="414" applyAlignment="1" pivotButton="0" quotePrefix="0" xfId="6">
      <alignment horizontal="center" vertical="center"/>
    </xf>
    <xf numFmtId="196" fontId="0" fillId="94" borderId="414" applyAlignment="1" pivotButton="0" quotePrefix="0" xfId="6">
      <alignment horizontal="left" vertical="top" wrapText="1"/>
    </xf>
    <xf numFmtId="196" fontId="0" fillId="32" borderId="414" applyAlignment="1" pivotButton="0" quotePrefix="0" xfId="6">
      <alignment horizontal="left" vertical="top" wrapText="1"/>
    </xf>
    <xf numFmtId="196" fontId="0" fillId="33" borderId="414" applyAlignment="1" pivotButton="0" quotePrefix="0" xfId="6">
      <alignment horizontal="left" vertical="top" wrapText="1"/>
    </xf>
    <xf numFmtId="0" fontId="52" fillId="36" borderId="452" applyAlignment="1" pivotButton="0" quotePrefix="0" xfId="28">
      <alignment horizontal="center" vertical="center"/>
    </xf>
    <xf numFmtId="0" fontId="0" fillId="0" borderId="448" pivotButton="0" quotePrefix="0" xfId="0"/>
    <xf numFmtId="0" fontId="0" fillId="0" borderId="446" pivotButton="0" quotePrefix="0" xfId="0"/>
    <xf numFmtId="9" fontId="0" fillId="32" borderId="414" applyAlignment="1" pivotButton="0" quotePrefix="0" xfId="6">
      <alignment horizontal="center" vertical="center"/>
    </xf>
    <xf numFmtId="0" fontId="0" fillId="0" borderId="444" pivotButton="0" quotePrefix="0" xfId="0"/>
    <xf numFmtId="0" fontId="0" fillId="0" borderId="443" pivotButton="0" quotePrefix="0" xfId="0"/>
    <xf numFmtId="0" fontId="0" fillId="0" borderId="440" pivotButton="0" quotePrefix="0" xfId="0"/>
    <xf numFmtId="0" fontId="0" fillId="0" borderId="439" pivotButton="0" quotePrefix="0" xfId="0"/>
    <xf numFmtId="0" fontId="0" fillId="0" borderId="438" pivotButton="0" quotePrefix="0" xfId="0"/>
    <xf numFmtId="168" fontId="58" fillId="4" borderId="57" applyAlignment="1" pivotButton="0" quotePrefix="0" xfId="118">
      <alignment horizontal="left" vertical="center" wrapText="1"/>
    </xf>
    <xf numFmtId="164" fontId="58" fillId="4" borderId="69" applyAlignment="1" pivotButton="0" quotePrefix="0" xfId="117">
      <alignment horizontal="left" vertical="center" wrapText="1"/>
    </xf>
    <xf numFmtId="164" fontId="58" fillId="4" borderId="59" applyAlignment="1" pivotButton="0" quotePrefix="0" xfId="117">
      <alignment horizontal="left" vertical="center" wrapText="1"/>
    </xf>
    <xf numFmtId="164" fontId="58" fillId="4" borderId="267" applyAlignment="1" pivotButton="0" quotePrefix="0" xfId="117">
      <alignment horizontal="left" vertical="center" wrapText="1"/>
    </xf>
    <xf numFmtId="0" fontId="0" fillId="0" borderId="259" pivotButton="0" quotePrefix="0" xfId="0"/>
    <xf numFmtId="172" fontId="85" fillId="0" borderId="93" applyAlignment="1" pivotButton="0" quotePrefix="1" xfId="15">
      <alignment horizontal="left" vertical="center"/>
    </xf>
    <xf numFmtId="172" fontId="85" fillId="0" borderId="76" applyAlignment="1" pivotButton="0" quotePrefix="1" xfId="15">
      <alignment horizontal="left" vertical="center"/>
    </xf>
    <xf numFmtId="172" fontId="85" fillId="0" borderId="72" applyAlignment="1" pivotButton="0" quotePrefix="1" xfId="15">
      <alignment horizontal="left" vertical="center"/>
    </xf>
    <xf numFmtId="172" fontId="71" fillId="0" borderId="93" applyAlignment="1" pivotButton="0" quotePrefix="1" xfId="15">
      <alignment horizontal="left" vertical="center"/>
    </xf>
    <xf numFmtId="0" fontId="0" fillId="0" borderId="85" pivotButton="0" quotePrefix="0" xfId="0"/>
    <xf numFmtId="175" fontId="74" fillId="24" borderId="72" applyAlignment="1" pivotButton="0" quotePrefix="0" xfId="10">
      <alignment vertical="center"/>
    </xf>
    <xf numFmtId="43" fontId="81" fillId="0" borderId="72" applyAlignment="1" pivotButton="0" quotePrefix="0" xfId="33">
      <alignment vertical="center"/>
    </xf>
    <xf numFmtId="173" fontId="68" fillId="0" borderId="72" applyAlignment="1" pivotButton="0" quotePrefix="0" xfId="16">
      <alignment horizontal="left" vertical="center"/>
    </xf>
    <xf numFmtId="175" fontId="81" fillId="0" borderId="72" applyAlignment="1" pivotButton="0" quotePrefix="0" xfId="33">
      <alignment vertical="center"/>
    </xf>
    <xf numFmtId="164" fontId="34" fillId="37" borderId="0" applyAlignment="1" pivotButton="0" quotePrefix="0" xfId="0">
      <alignment horizontal="center"/>
    </xf>
    <xf numFmtId="164" fontId="37" fillId="7" borderId="16" applyAlignment="1" pivotButton="0" quotePrefix="0" xfId="0">
      <alignment horizontal="left" vertical="center"/>
    </xf>
    <xf numFmtId="164" fontId="37" fillId="58" borderId="16" applyAlignment="1" pivotButton="0" quotePrefix="0" xfId="0">
      <alignment horizontal="left" vertical="center"/>
    </xf>
    <xf numFmtId="164" fontId="38" fillId="15" borderId="16" applyAlignment="1" pivotButton="0" quotePrefix="0" xfId="0">
      <alignment horizontal="left" vertical="center"/>
    </xf>
    <xf numFmtId="164" fontId="38" fillId="0" borderId="16" applyAlignment="1" pivotButton="0" quotePrefix="0" xfId="0">
      <alignment horizontal="left" vertical="center"/>
    </xf>
    <xf numFmtId="173" fontId="89" fillId="15" borderId="118" applyAlignment="1" pivotButton="0" quotePrefix="0" xfId="31">
      <alignment horizontal="left" vertical="center"/>
    </xf>
    <xf numFmtId="174" fontId="89" fillId="0" borderId="118" applyAlignment="1" pivotButton="0" quotePrefix="0" xfId="31">
      <alignment horizontal="left" vertical="center"/>
    </xf>
    <xf numFmtId="173" fontId="89" fillId="0" borderId="118" applyAlignment="1" pivotButton="0" quotePrefix="0" xfId="31">
      <alignment horizontal="left" vertical="center"/>
    </xf>
    <xf numFmtId="165" fontId="38" fillId="0" borderId="16" applyAlignment="1" pivotButton="0" quotePrefix="0" xfId="0">
      <alignment horizontal="left" vertical="center"/>
    </xf>
    <xf numFmtId="173" fontId="168" fillId="15" borderId="118" applyAlignment="1" pivotButton="0" quotePrefix="0" xfId="31">
      <alignment horizontal="left" vertical="center"/>
    </xf>
    <xf numFmtId="164" fontId="89" fillId="15" borderId="16" applyAlignment="1" pivotButton="0" quotePrefix="0" xfId="0">
      <alignment horizontal="left" vertical="center"/>
    </xf>
    <xf numFmtId="174" fontId="89" fillId="0" borderId="118" applyAlignment="1" pivotButton="0" quotePrefix="0" xfId="23">
      <alignment horizontal="left" vertical="center"/>
    </xf>
    <xf numFmtId="164" fontId="38" fillId="57" borderId="16" applyAlignment="1" pivotButton="0" quotePrefix="0" xfId="0">
      <alignment horizontal="left" vertical="center"/>
    </xf>
    <xf numFmtId="174" fontId="89" fillId="0" borderId="118" applyAlignment="1" pivotButton="0" quotePrefix="0" xfId="33">
      <alignment horizontal="left" vertical="center"/>
    </xf>
    <xf numFmtId="164" fontId="38" fillId="15" borderId="16" applyAlignment="1" pivotButton="0" quotePrefix="0" xfId="0">
      <alignment vertical="center"/>
    </xf>
    <xf numFmtId="173" fontId="89" fillId="15" borderId="118" applyAlignment="1" pivotButton="0" quotePrefix="0" xfId="31">
      <alignment vertical="center"/>
    </xf>
    <xf numFmtId="167" fontId="32" fillId="0" borderId="0" applyAlignment="1" pivotButton="0" quotePrefix="0" xfId="0">
      <alignment horizontal="center"/>
    </xf>
    <xf numFmtId="164" fontId="34" fillId="0" borderId="0" applyAlignment="1" pivotButton="0" quotePrefix="0" xfId="0">
      <alignment horizontal="center"/>
    </xf>
    <xf numFmtId="164" fontId="38" fillId="18" borderId="16" applyAlignment="1" pivotButton="0" quotePrefix="0" xfId="0">
      <alignment horizontal="left" vertical="center"/>
    </xf>
    <xf numFmtId="164" fontId="38" fillId="14" borderId="16" applyAlignment="1" pivotButton="0" quotePrefix="0" xfId="0">
      <alignment horizontal="left" vertical="center"/>
    </xf>
    <xf numFmtId="164" fontId="38" fillId="0" borderId="16" applyAlignment="1" pivotButton="0" quotePrefix="1" xfId="0">
      <alignment horizontal="left" vertical="center"/>
    </xf>
  </cellXfs>
  <cellStyles count="135">
    <cellStyle name="Normal" xfId="0" builtinId="0"/>
    <cellStyle name="Vírgula 31" xfId="1"/>
    <cellStyle name="Moeda 9" xfId="2"/>
    <cellStyle name="Normal 2 2 2 2" xfId="3"/>
    <cellStyle name="Moeda" xfId="4" builtinId="4"/>
    <cellStyle name="Normal 2" xfId="5"/>
    <cellStyle name="Porcentagem 2" xfId="6"/>
    <cellStyle name="Normal 3" xfId="7"/>
    <cellStyle name="Normal 34 2" xfId="8"/>
    <cellStyle name="Normal 4" xfId="9"/>
    <cellStyle name="Moeda 2" xfId="10"/>
    <cellStyle name="Moeda 16" xfId="11"/>
    <cellStyle name="Vírgula 31 2" xfId="12"/>
    <cellStyle name="Normal 10" xfId="13"/>
    <cellStyle name="Normal 8" xfId="14"/>
    <cellStyle name="Vírgula 3 2" xfId="15"/>
    <cellStyle name="Normal 4 2" xfId="16"/>
    <cellStyle name="Normal 27 2" xfId="17"/>
    <cellStyle name="Vírgula 2 2" xfId="18"/>
    <cellStyle name="Vírgula 23 3" xfId="19"/>
    <cellStyle name="Vírgula 3 4 2" xfId="20"/>
    <cellStyle name="Moeda 3" xfId="21"/>
    <cellStyle name="Normal 5" xfId="22"/>
    <cellStyle name="Vírgula" xfId="23" builtinId="3"/>
    <cellStyle name="Normal 39" xfId="24"/>
    <cellStyle name="Vírgula 30" xfId="25"/>
    <cellStyle name="Vírgula 8" xfId="26"/>
    <cellStyle name="Separador de milhares 4" xfId="27"/>
    <cellStyle name="Normal 11 2" xfId="28"/>
    <cellStyle name="Normal 2 4" xfId="29"/>
    <cellStyle name="Normal 6" xfId="30"/>
    <cellStyle name="Vírgula 26 2" xfId="31"/>
    <cellStyle name="Normal 31 2" xfId="32"/>
    <cellStyle name="Vírgula 5 2" xfId="33"/>
    <cellStyle name="Normal 2 2 2" xfId="34"/>
    <cellStyle name="Hiperlink 2" xfId="35"/>
    <cellStyle name="Normal 36" xfId="36"/>
    <cellStyle name="Normal 37" xfId="37"/>
    <cellStyle name="Vírgula 26" xfId="38"/>
    <cellStyle name="Normal 28" xfId="39"/>
    <cellStyle name="Normal 7" xfId="40"/>
    <cellStyle name="Moeda 9 2" xfId="41"/>
    <cellStyle name="Normal 14 6 2" xfId="42"/>
    <cellStyle name="Vírgula 9 4 2" xfId="43"/>
    <cellStyle name="Vírgula 26 3" xfId="44"/>
    <cellStyle name="Normal 39 2" xfId="45"/>
    <cellStyle name="Vírgula 30 2" xfId="46"/>
    <cellStyle name="Normal_LD_01_estruturas" xfId="47"/>
    <cellStyle name="Normal_LD_estrutura_arm_escadas" xfId="48"/>
    <cellStyle name="Normal 9" xfId="49"/>
    <cellStyle name="Vírgula 2" xfId="50"/>
    <cellStyle name="Vírgula 4" xfId="51"/>
    <cellStyle name="Vírgula 2 2 2" xfId="52"/>
    <cellStyle name="Vírgula 3" xfId="53"/>
    <cellStyle name="Moeda 2 2" xfId="54"/>
    <cellStyle name="Normal 28 2" xfId="55"/>
    <cellStyle name="Vírgula 7 4" xfId="56"/>
    <cellStyle name="Normal 14 5" xfId="57"/>
    <cellStyle name="Normal 2 2 2 2 2" xfId="58"/>
    <cellStyle name="Normal 31" xfId="59"/>
    <cellStyle name="Normal 9 2 2 2" xfId="60"/>
    <cellStyle name="Moeda 3 2 2" xfId="61"/>
    <cellStyle name="Vírgula 20 4 2" xfId="62"/>
    <cellStyle name="Normal 16 4 2" xfId="63"/>
    <cellStyle name="Vírgula 10 3 2" xfId="64"/>
    <cellStyle name="Porcentagem 3" xfId="65"/>
    <cellStyle name="Normal 14 4 2" xfId="66"/>
    <cellStyle name="Normal 28 4" xfId="67"/>
    <cellStyle name="Vírgula 33" xfId="68"/>
    <cellStyle name="Normal 39 3" xfId="69"/>
    <cellStyle name="Normal 7 2" xfId="70"/>
    <cellStyle name="Vírgula 23 2" xfId="71"/>
    <cellStyle name="Normal 28 2 2" xfId="72"/>
    <cellStyle name="Normal 6 2" xfId="73"/>
    <cellStyle name="Vírgula 7 4 2" xfId="74"/>
    <cellStyle name="Normal 14 5 2" xfId="75"/>
    <cellStyle name="Normal 34 2 2" xfId="76"/>
    <cellStyle name="Vírgula 31 3" xfId="77"/>
    <cellStyle name="Moeda 16 2" xfId="78"/>
    <cellStyle name="Normal 11" xfId="79"/>
    <cellStyle name="Normal 18" xfId="80"/>
    <cellStyle name="Normal 34 2 4" xfId="81"/>
    <cellStyle name="Vírgula 31 4" xfId="82"/>
    <cellStyle name="Moeda 16 5" xfId="83"/>
    <cellStyle name="Moeda 2 2 2" xfId="84"/>
    <cellStyle name="Normal 34 2 3" xfId="85"/>
    <cellStyle name="Vírgula 31 5" xfId="86"/>
    <cellStyle name="Moeda 16 3" xfId="87"/>
    <cellStyle name="Normal 39 2 2" xfId="88"/>
    <cellStyle name="Vírgula 30 2 2" xfId="89"/>
    <cellStyle name="Vírgula 33 2" xfId="90"/>
    <cellStyle name="Normal 39 3 2" xfId="91"/>
    <cellStyle name="Normal 12" xfId="92"/>
    <cellStyle name="Normal 37 2" xfId="93"/>
    <cellStyle name="Normal 36 2" xfId="94"/>
    <cellStyle name="Normal 13" xfId="95"/>
    <cellStyle name="Vírgula 5" xfId="96"/>
    <cellStyle name="Normal 37 3" xfId="97"/>
    <cellStyle name="Normal 27 2 2" xfId="98"/>
    <cellStyle name="Vírgula 26 4" xfId="99"/>
    <cellStyle name="Normal 34 2 2 2" xfId="100"/>
    <cellStyle name="Vírgula 31 3 2" xfId="101"/>
    <cellStyle name="Moeda 16 2 2" xfId="102"/>
    <cellStyle name="Normal 34 2 3 2" xfId="103"/>
    <cellStyle name="Vírgula 31 5 2" xfId="104"/>
    <cellStyle name="Moeda 16 3 2" xfId="105"/>
    <cellStyle name="Moeda 4" xfId="106"/>
    <cellStyle name="Normal 34 2 4 2" xfId="107"/>
    <cellStyle name="Vírgula 31 4 2" xfId="108"/>
    <cellStyle name="Moeda 16 5 2" xfId="109"/>
    <cellStyle name="Porcentagem" xfId="110" builtinId="5"/>
    <cellStyle name="Normal 14" xfId="111"/>
    <cellStyle name="Normal 34 2 2 2 2" xfId="112"/>
    <cellStyle name="Vírgula 31 3 2 2" xfId="113"/>
    <cellStyle name="Moeda 16 2 2 2" xfId="114"/>
    <cellStyle name="Normal 11 3" xfId="115"/>
    <cellStyle name="Normal 15" xfId="116"/>
    <cellStyle name="Normal 37 4" xfId="117"/>
    <cellStyle name="Normal 36 3" xfId="118"/>
    <cellStyle name="Normal 34 2 2 2 3" xfId="119"/>
    <cellStyle name="Normal 2 4 2" xfId="120"/>
    <cellStyle name="Moeda 2 3" xfId="121"/>
    <cellStyle name="Vírgula 31 3 2 3" xfId="122"/>
    <cellStyle name="Moeda 16 2 2 3" xfId="123"/>
    <cellStyle name="Vírgula 5 2 2" xfId="124"/>
    <cellStyle name="Vírgula 3 2 2" xfId="125"/>
    <cellStyle name="Normal 16" xfId="126"/>
    <cellStyle name="Normal 34 2 2 2 4" xfId="127"/>
    <cellStyle name="Vírgula 31 3 2 4" xfId="128"/>
    <cellStyle name="Moeda 16 2 2 4" xfId="129"/>
    <cellStyle name="Normal 17" xfId="130"/>
    <cellStyle name="Normal 19" xfId="131"/>
    <cellStyle name="Normal 20" xfId="132"/>
    <cellStyle name="Moeda 5" xfId="133"/>
    <cellStyle name="Normal 21" xfId="134"/>
  </cellStyles>
  <dxfs count="20292">
    <dxf>
      <font>
        <color rgb="FFFFFFFF"/>
      </font>
      <fill>
        <patternFill patternType="solid">
          <fgColor indexed="64"/>
          <bgColor rgb="FF00B050"/>
        </patternFill>
      </fill>
    </dxf>
    <dxf>
      <font>
        <color rgb="FF000000"/>
      </font>
      <fill>
        <patternFill patternType="solid">
          <fgColor indexed="64"/>
          <bgColor rgb="FFFFD700"/>
        </patternFill>
      </fill>
    </dxf>
    <dxf>
      <font>
        <color rgb="FFFFFFFF"/>
      </font>
      <fill>
        <patternFill patternType="solid">
          <fgColor indexed="64"/>
          <bgColor rgb="FFFF0000"/>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auto="1"/>
      </font>
      <fill>
        <patternFill>
          <bgColor theme="0" tint="-0.1499679555650502"/>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theme="0"/>
      </font>
      <fill>
        <patternFill>
          <bgColor theme="1" tint="0.249946592608417"/>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patternFill>
      </fill>
    </dxf>
    <dxf>
      <font>
        <b val="1"/>
      </font>
      <fill>
        <patternFill patternType="solid">
          <fgColor rgb="FFBABABA"/>
          <bgColor rgb="FFBABABA"/>
        </patternFill>
      </fill>
    </dxf>
    <dxf>
      <font>
        <color rgb="FFFF0000"/>
      </font>
      <fill>
        <patternFill>
          <bgColor rgb="FFFECAD1"/>
        </patternFill>
      </fill>
    </dxf>
    <dxf>
      <font>
        <color rgb="FFFF0000"/>
      </font>
      <fill>
        <patternFill>
          <bgColor rgb="FFFECAD1"/>
        </patternFill>
      </fill>
    </dxf>
    <dxf>
      <font>
        <color rgb="FFFF0000"/>
      </font>
      <fill>
        <patternFill>
          <bgColor rgb="FFFECAD1"/>
        </patternFill>
      </fill>
    </dxf>
    <dxf>
      <font>
        <color rgb="FFFF0000"/>
      </font>
      <fill>
        <patternFill>
          <bgColor rgb="FFFECAD1"/>
        </patternFill>
      </fill>
    </dxf>
    <dxf>
      <font>
        <color rgb="FF3F3151"/>
      </font>
      <fill>
        <patternFill patternType="solid">
          <fgColor rgb="FFCCC0D9"/>
          <bgColor rgb="FFCCC0D9"/>
        </patternFill>
      </fill>
    </dxf>
    <dxf>
      <font>
        <color rgb="FF9C5700"/>
      </font>
      <fill>
        <patternFill patternType="solid">
          <fgColor rgb="FFFFEB9C"/>
          <bgColor rgb="FFFFEB9C"/>
        </patternFill>
      </fill>
    </dxf>
    <dxf>
      <font>
        <color rgb="FF31859B"/>
      </font>
      <fill>
        <patternFill patternType="solid">
          <fgColor rgb="FFB6DDE8"/>
          <bgColor rgb="FFB6DDE8"/>
        </patternFill>
      </fill>
    </dxf>
    <dxf>
      <font>
        <color rgb="FF006100"/>
      </font>
      <fill>
        <patternFill patternType="solid">
          <fgColor rgb="FFC6EFCE"/>
          <bgColor rgb="FFC6EFCE"/>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ill>
        <patternFill patternType="solid">
          <fgColor rgb="FFD7D7D7"/>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color rgb="FFFF0000"/>
      </font>
      <fill>
        <patternFill patternType="solid">
          <fgColor rgb="FFFECAD1"/>
          <bgColor rgb="FFFECAD1"/>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color rgb="FFFF0000"/>
      </font>
      <fill>
        <patternFill>
          <bgColor rgb="FFFECAD1"/>
        </patternFill>
      </fill>
    </dxf>
    <dxf>
      <font>
        <b val="1"/>
      </font>
      <fill>
        <patternFill patternType="solid">
          <bgColor rgb="FFBABABA"/>
        </patternFill>
      </fill>
    </dxf>
    <dxf>
      <font/>
      <fill>
        <patternFill patternType="solid">
          <bgColor rgb="FFD7D7D7"/>
        </patternFill>
      </fill>
    </dxf>
    <dxf>
      <font>
        <color rgb="FFFF0000"/>
      </font>
      <fill>
        <patternFill>
          <bgColor rgb="FFFECAD1"/>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bgColor auto="1"/>
        </patternFill>
      </fill>
    </dxf>
    <dxf>
      <font/>
      <fill>
        <patternFill>
          <bgColor auto="1"/>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bgColor auto="1"/>
        </patternFill>
      </fill>
    </dxf>
    <dxf>
      <font/>
      <fill>
        <patternFill>
          <bgColor auto="1"/>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fgColor rgb="FFBABABA"/>
          <bgColor rgb="FFBABABA"/>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D8D8D8"/>
          <bgColor rgb="FFD8D8D8"/>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color rgb="FFFF0000"/>
      </font>
      <fill>
        <patternFill patternType="solid">
          <fgColor rgb="FFFECAD1"/>
          <bgColor rgb="FFFECAD1"/>
        </patternFill>
      </fill>
    </dxf>
    <dxf>
      <font>
        <b val="1"/>
      </font>
      <fill>
        <patternFill patternType="solid">
          <fgColor rgb="FFBABABA"/>
          <bgColor rgb="FFBABABA"/>
        </patternFill>
      </fill>
    </dxf>
    <dxf>
      <font>
        <color rgb="FFFF0000"/>
      </font>
      <fill>
        <patternFill patternType="solid">
          <fgColor rgb="FFFECAD1"/>
          <bgColor rgb="FFFECAD1"/>
        </patternFill>
      </fill>
    </dxf>
    <dxf>
      <font>
        <color rgb="FFFF0000"/>
      </font>
      <fill>
        <patternFill patternType="solid">
          <fgColor rgb="FFFECAD1"/>
          <bgColor rgb="FFFECAD1"/>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color rgb="FFFF0000"/>
      </font>
      <fill>
        <patternFill patternType="solid">
          <fgColor rgb="FFFECAD1"/>
          <bgColor rgb="FFFECAD1"/>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color rgb="FFFF0000"/>
      </font>
      <fill>
        <patternFill patternType="solid">
          <fgColor rgb="FFFECAD1"/>
          <bgColor rgb="FFFECAD1"/>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color rgb="FFFF0000"/>
      </font>
      <fill>
        <patternFill patternType="solid">
          <fgColor rgb="FFFECAD1"/>
          <bgColor rgb="FFFECAD1"/>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bgColor rgb="FFBABABA"/>
        </patternFill>
      </fill>
    </dxf>
    <dxf>
      <font/>
      <fill>
        <patternFill patternType="solid">
          <bgColor rgb="FFD7D7D7"/>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bgColor rgb="FFBABABA"/>
        </patternFill>
      </fill>
    </dxf>
    <dxf>
      <font/>
      <fill>
        <patternFill patternType="solid">
          <bgColor rgb="FFD7D7D7"/>
        </patternFill>
      </fill>
    </dxf>
    <dxf>
      <font>
        <b val="1"/>
      </font>
      <fill>
        <patternFill patternType="solid">
          <fgColor rgb="FFBABABA"/>
          <bgColor rgb="FFBABABA"/>
        </patternFill>
      </fill>
    </dxf>
    <dxf>
      <font/>
      <fill>
        <patternFill patternType="solid">
          <bgColor rgb="FFD7D7D7"/>
        </patternFill>
      </fill>
    </dxf>
    <dxf>
      <font>
        <b val="1"/>
      </font>
      <fill>
        <patternFill patternType="solid">
          <bgColor rgb="FFBABABA"/>
        </patternFill>
      </fill>
    </dxf>
    <dxf>
      <font>
        <b val="1"/>
      </font>
      <fill>
        <patternFill patternType="solid">
          <fgColor rgb="FFBABABA"/>
          <bgColor rgb="FFBABAB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b val="1"/>
      </font>
      <fill>
        <patternFill>
          <bgColor auto="1"/>
        </patternFill>
      </fill>
    </dxf>
    <dxf>
      <font>
        <b val="1"/>
        <color theme="0"/>
      </font>
      <fill>
        <patternFill>
          <bgColor rgb="FF255AE5"/>
        </patternFill>
      </fill>
    </dxf>
    <dxf>
      <font>
        <b val="1"/>
      </font>
      <fill>
        <patternFill>
          <bgColor auto="1"/>
        </patternFill>
      </fill>
    </dxf>
    <dxf>
      <font>
        <color theme="1" tint="0.499984740745262"/>
      </font>
      <fill>
        <patternFill>
          <bgColor auto="1"/>
        </patternFill>
      </fill>
    </dxf>
    <dxf>
      <font>
        <b val="1"/>
      </font>
      <fill>
        <patternFill>
          <bgColor auto="1"/>
        </patternFill>
      </fill>
    </dxf>
    <dxf>
      <font>
        <b val="1"/>
        <color theme="0"/>
      </font>
      <fill>
        <patternFill>
          <bgColor rgb="FF255AE5"/>
        </patternFill>
      </fill>
    </dxf>
    <dxf>
      <font>
        <b val="1"/>
      </font>
      <fill>
        <patternFill>
          <bgColor auto="1"/>
        </patternFill>
      </fill>
    </dxf>
    <dxf>
      <font>
        <color theme="1" tint="0.499984740745262"/>
      </font>
      <fill>
        <patternFill>
          <bgColor auto="1"/>
        </patternFill>
      </fill>
    </dxf>
    <dxf>
      <font>
        <b val="1"/>
      </font>
      <fill>
        <patternFill>
          <bgColor auto="1"/>
        </patternFill>
      </fill>
    </dxf>
    <dxf>
      <font>
        <b val="1"/>
        <color theme="0"/>
      </font>
      <fill>
        <patternFill>
          <bgColor rgb="FF255AE5"/>
        </patternFill>
      </fill>
    </dxf>
    <dxf>
      <font>
        <b val="1"/>
      </font>
      <fill>
        <patternFill>
          <bgColor auto="1"/>
        </patternFill>
      </fill>
    </dxf>
    <dxf>
      <font>
        <color theme="1" tint="0.499984740745262"/>
      </font>
      <fill>
        <patternFill>
          <bgColor auto="1"/>
        </patternFill>
      </fill>
    </dxf>
    <dxf>
      <font>
        <color rgb="FF000000"/>
      </font>
      <fill>
        <patternFill patternType="solid">
          <fgColor indexed="64"/>
          <bgColor rgb="FFFFD7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auto="1"/>
      </font>
      <fill>
        <patternFill>
          <bgColor theme="0" tint="-0.149967955565050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7F7F7F"/>
          <bgColor rgb="FF7F7F7F"/>
        </patternFill>
      </fill>
    </dxf>
    <dxf>
      <font>
        <b val="1"/>
      </font>
      <fill>
        <patternFill patternType="solid">
          <fgColor rgb="FFD8D8D8"/>
          <bgColor rgb="FFD8D8D8"/>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font>
      <fill>
        <patternFill patternType="solid">
          <fgColor rgb="FFD8D8D8"/>
          <bgColor rgb="FFD8D8D8"/>
        </patternFill>
      </fill>
    </dxf>
    <dxf>
      <font>
        <b val="1"/>
      </font>
      <fill>
        <patternFill patternType="solid">
          <fgColor rgb="FF7F7F7F"/>
          <bgColor rgb="FF7F7F7F"/>
        </patternFill>
      </fill>
    </dxf>
    <dxf>
      <font>
        <b val="1"/>
        <color theme="0"/>
      </font>
      <fill>
        <patternFill patternType="solid">
          <fgColor rgb="FF3F3F3F"/>
          <bgColor rgb="FF3F3F3F"/>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49998474074526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theme="0"/>
      </font>
      <fill>
        <patternFill>
          <bgColor theme="1" tint="0.249946592608417"/>
        </patternFill>
      </fill>
    </dxf>
    <dxf>
      <font>
        <b val="1"/>
        <color theme="0"/>
      </font>
      <fill>
        <patternFill>
          <bgColor theme="1" tint="0.249946592608417"/>
        </patternFill>
      </fill>
    </dxf>
    <dxf>
      <font>
        <b val="1"/>
        <color theme="0"/>
      </font>
      <fill>
        <patternFill>
          <bgColor theme="1" tint="0.249946592608417"/>
        </patternFill>
      </fill>
    </dxf>
    <dxf>
      <font>
        <b val="1"/>
        <color auto="1"/>
      </font>
      <fill>
        <patternFill>
          <bgColor theme="0" tint="-0.49998474074526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auto="1"/>
      </font>
      <fill>
        <patternFill>
          <bgColor theme="0" tint="-0.1499679555650502"/>
        </patternFill>
      </fill>
    </dxf>
    <dxf>
      <font>
        <b val="1"/>
        <color theme="0"/>
      </font>
      <fill>
        <patternFill>
          <bgColor theme="1" tint="0.249946592608417"/>
        </patternFill>
      </fill>
    </dxf>
    <dxf>
      <font>
        <b val="1"/>
        <color auto="1"/>
      </font>
      <fill>
        <patternFill>
          <bgColor theme="0" tint="-0.1499679555650502"/>
        </patternFill>
      </fill>
    </dxf>
    <dxf>
      <font>
        <b val="1"/>
        <color theme="0"/>
      </font>
      <fill>
        <patternFill>
          <bgColor theme="1" tint="0.249946592608417"/>
        </patternFill>
      </fill>
    </dxf>
    <dxf>
      <font>
        <b val="1"/>
        <color theme="0"/>
      </font>
      <fill>
        <patternFill>
          <bgColor theme="1" tint="0.249946592608417"/>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499984740745262"/>
        </patternFill>
      </fill>
    </dxf>
    <dxf>
      <font>
        <b val="1"/>
        <color auto="1"/>
      </font>
      <fill>
        <patternFill>
          <bgColor theme="0" tint="-0.1499679555650502"/>
        </patternFill>
      </fill>
    </dxf>
    <dxf>
      <font>
        <b val="1"/>
        <color auto="1"/>
      </font>
      <fill>
        <patternFill>
          <bgColor theme="0" tint="-0.1499679555650502"/>
        </patternFill>
      </fill>
    </dxf>
    <dxf>
      <font>
        <b val="1"/>
      </font>
    </dxf>
    <dxf>
      <font>
        <b val="1"/>
        <color theme="0"/>
      </font>
      <fill>
        <patternFill>
          <fgColor theme="0"/>
          <bgColor rgb="FFFF0000"/>
        </patternFill>
      </fill>
    </dxf>
    <dxf>
      <font>
        <b val="1"/>
        <color theme="0"/>
      </font>
      <fill>
        <patternFill>
          <bgColor theme="6" tint="-0.499984740745262"/>
        </patternFill>
      </fill>
    </dxf>
    <dxf>
      <font>
        <b val="1"/>
      </font>
      <fill>
        <patternFill>
          <bgColor rgb="FF00B05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F218" authorId="0" shapeId="0">
      <text>
        <t>Valquiria
nº equipamentos x áreas</t>
      </text>
    </comment>
    <comment ref="F219" authorId="0" shapeId="0">
      <text>
        <t>Valquiria
nº equipamentos x áreas</t>
      </text>
    </comment>
  </commentList>
</comments>
</file>

<file path=xl/comments/comment2.xml><?xml version="1.0" encoding="utf-8"?>
<comments xmlns="http://schemas.openxmlformats.org/spreadsheetml/2006/main">
  <authors>
    <author>None</author>
  </authors>
  <commentList>
    <comment ref="B620" authorId="0" shapeId="0">
      <text>
        <t>======
ID#AAABmoovRTY
tc={3BE85C88-755B-4E4B-852F-FD0B2A3DFAE4}    (2025-07-22 13:40:40)
[Comentário encadeado]
Sua versão do Excel permite que você leia este comentário encadeado, no entanto, as edições serão removidas se o arquivo for aberto em uma versão mais recente do Excel. Saiba mais: https://go.microsoft.com/fwlink/?linkid=870924
Comentário:
    Pedra Portuguesa Natural para Calçadas Branca - 1 m²</t>
      </text>
    </comment>
    <comment ref="B621" authorId="0" shapeId="0">
      <text>
        <t>======
ID#AAABmoovRSc
tc={1E04281B-84D4-44F9-A7B5-9EBEB69FD18D}    (2025-07-22 13:40:40)
[Comentário encadeado]
Sua versão do Excel permite que você leia este comentário encadeado, no entanto, as edições serão removidas se o arquivo for aberto em uma versão mais recente do Excel. Saiba mais: https://go.microsoft.com/fwlink/?linkid=870924
Comentário:
    Conforme as imagens, considerado - Miracema cinza 11,5x23cm m²</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_rels/drawing2.xml.rels><Relationships xmlns="http://schemas.openxmlformats.org/package/2006/relationships"><Relationship Type="http://schemas.openxmlformats.org/officeDocument/2006/relationships/image" Target="/xl/media/image4.png" Id="rId1"/></Relationships>
</file>

<file path=xl/drawings/_rels/drawing3.xml.rels><Relationships xmlns="http://schemas.openxmlformats.org/package/2006/relationships"><Relationship Type="http://schemas.openxmlformats.org/officeDocument/2006/relationships/image" Target="/xl/media/image5.png" Id="rId1"/></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drawing1.xml><?xml version="1.0" encoding="utf-8"?>
<wsDr xmlns="http://schemas.openxmlformats.org/drawingml/2006/spreadsheetDrawing">
  <twoCellAnchor editAs="oneCell">
    <from>
      <col>0</col>
      <colOff>0</colOff>
      <row>0</row>
      <rowOff>0</rowOff>
    </from>
    <to>
      <col>2</col>
      <colOff>423657</colOff>
      <row>1</row>
      <rowOff>98221</rowOff>
    </to>
    <pic>
      <nvPicPr>
        <cNvPr id="2" name="Imagem 1"/>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
        <a:srcRect xmlns:a="http://schemas.openxmlformats.org/drawingml/2006/main" t="39283" b="39658"/>
        <a:stretch xmlns:a="http://schemas.openxmlformats.org/drawingml/2006/main">
          <a:fillRect/>
        </a:stretch>
      </blipFill>
      <spPr bwMode="auto">
        <a:xfrm xmlns:a="http://schemas.openxmlformats.org/drawingml/2006/main">
          <a:off x="0" y="0"/>
          <a:ext cx="1566657" cy="322339"/>
        </a:xfrm>
        <a:prstGeom xmlns:a="http://schemas.openxmlformats.org/drawingml/2006/main" prst="rect">
          <avLst/>
        </a:prstGeom>
        <a:noFill xmlns:a="http://schemas.openxmlformats.org/drawingml/2006/main"/>
        <a:ln xmlns:a="http://schemas.openxmlformats.org/drawingml/2006/main">
          <a:prstDash val="solid"/>
        </a:ln>
      </spPr>
    </pic>
    <clientData/>
  </twoCellAnchor>
  <twoCellAnchor editAs="oneCell">
    <from>
      <col>8</col>
      <colOff>0</colOff>
      <row>5</row>
      <rowOff>171450</rowOff>
    </from>
    <to>
      <col>11</col>
      <colOff>370671</colOff>
      <row>33</row>
      <rowOff>124829</rowOff>
    </to>
    <pic>
      <nvPicPr>
        <cNvPr id="3" name="Imagem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6610350" y="1152525"/>
          <a:ext cx="5625110" cy="6859005"/>
        </a:xfrm>
        <a:prstGeom xmlns:a="http://schemas.openxmlformats.org/drawingml/2006/main" prst="rect">
          <avLst/>
        </a:prstGeom>
        <a:ln xmlns:a="http://schemas.openxmlformats.org/drawingml/2006/main">
          <a:prstDash val="solid"/>
        </a:ln>
      </spPr>
    </pic>
    <clientData/>
  </twoCellAnchor>
  <twoCellAnchor editAs="oneCell">
    <from>
      <col>8</col>
      <colOff>190501</colOff>
      <row>76</row>
      <rowOff>70671</rowOff>
    </from>
    <to>
      <col>11</col>
      <colOff>569820</colOff>
      <row>98</row>
      <rowOff>46565</rowOff>
    </to>
    <pic>
      <nvPicPr>
        <cNvPr id="4" name="Imagem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7734301" y="13986696"/>
          <a:ext cx="5638800" cy="386377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6</col>
      <colOff>291353</colOff>
      <row>0</row>
      <rowOff>100854</rowOff>
    </from>
    <ext cx="1837615" cy="369794"/>
    <pic>
      <nvPicPr>
        <cNvPr id="2" name="image3.png"/>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a:xfrm xmlns:a="http://schemas.openxmlformats.org/drawingml/2006/main">
          <a:off x="8995298" y="102759"/>
          <a:ext cx="1837615" cy="369794"/>
        </a:xfrm>
        <a:prstGeom xmlns:a="http://schemas.openxmlformats.org/drawingml/2006/main" prst="rect">
          <avLst/>
        </a:prstGeom>
        <a:ln xmlns:a="http://schemas.openxmlformats.org/drawingml/2006/main">
          <a:prstDash val="solid"/>
        </a:ln>
      </spPr>
    </pic>
    <clientData/>
  </oneCellAnchor>
</wsDr>
</file>

<file path=xl/drawings/drawing3.xml><?xml version="1.0" encoding="utf-8"?>
<wsDr xmlns="http://schemas.openxmlformats.org/drawingml/2006/spreadsheetDrawing">
  <oneCellAnchor>
    <from>
      <col>7</col>
      <colOff>0</colOff>
      <row>1</row>
      <rowOff>76200</rowOff>
    </from>
    <ext cx="1724025" cy="276225"/>
    <pic>
      <nvPicPr>
        <cNvPr id="5"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57225" y="161925"/>
          <a:ext cx="1724025" cy="276225"/>
        </a:xfrm>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5</col>
      <colOff>239806</colOff>
      <row>1</row>
      <rowOff>152402</rowOff>
    </from>
    <ext cx="869577" cy="945774"/>
    <pic>
      <nvPicPr>
        <cNvPr id="2" name="Imagem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097431" y="314327"/>
          <a:ext cx="869577" cy="945774"/>
        </a:xfrm>
        <a:prstGeom xmlns:a="http://schemas.openxmlformats.org/drawingml/2006/main" prst="rect">
          <avLst/>
        </a:prstGeom>
        <a:ln xmlns:a="http://schemas.openxmlformats.org/drawingml/2006/main">
          <a:prstDash val="solid"/>
        </a:ln>
      </spPr>
    </pic>
    <clientData/>
  </oneCellAnchor>
</wsDr>
</file>

<file path=xl/drawings/drawing5.xml><?xml version="1.0" encoding="utf-8"?>
<wsDr xmlns="http://schemas.openxmlformats.org/drawingml/2006/spreadsheetDrawing">
  <oneCellAnchor>
    <from>
      <col>5</col>
      <colOff>11205</colOff>
      <row>1</row>
      <rowOff>69477</rowOff>
    </from>
    <ext cx="1390651" cy="993961"/>
    <pic>
      <nvPicPr>
        <cNvPr id="2" name="Imagem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3868830" y="231402"/>
          <a:ext cx="1390651" cy="993961"/>
        </a:xfrm>
        <a:prstGeom xmlns:a="http://schemas.openxmlformats.org/drawingml/2006/main" prst="rect">
          <avLst/>
        </a:prstGeom>
        <a:ln xmlns:a="http://schemas.openxmlformats.org/drawingml/2006/main">
          <a:prstDash val="solid"/>
        </a:ln>
      </spPr>
    </pic>
    <clientData/>
  </oneCellAnchor>
</wsDr>
</file>

<file path=xl/drawings/drawing6.xml><?xml version="1.0" encoding="utf-8"?>
<wsDr xmlns="http://schemas.openxmlformats.org/drawingml/2006/spreadsheetDrawing">
  <oneCellAnchor>
    <from>
      <col>5</col>
      <colOff>427169</colOff>
      <row>1</row>
      <rowOff>38998</rowOff>
    </from>
    <ext cx="886117" cy="1039906"/>
    <pic>
      <nvPicPr>
        <cNvPr id="2" name="Imagem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284794" y="200923"/>
          <a:ext cx="886117" cy="1039906"/>
        </a:xfrm>
        <a:prstGeom xmlns:a="http://schemas.openxmlformats.org/drawingml/2006/main" prst="rect">
          <avLst/>
        </a:prstGeom>
        <a:ln xmlns:a="http://schemas.openxmlformats.org/drawingml/2006/main">
          <a:prstDash val="solid"/>
        </a:ln>
      </spPr>
    </pic>
    <clientData/>
  </oneCellAnchor>
</wsDr>
</file>

<file path=xl/drawings/drawing7.xml><?xml version="1.0" encoding="utf-8"?>
<wsDr xmlns="http://schemas.openxmlformats.org/drawingml/2006/spreadsheetDrawing">
  <oneCellAnchor>
    <from>
      <col>6</col>
      <colOff>1181100</colOff>
      <row>0</row>
      <rowOff>9525</rowOff>
    </from>
    <ext cx="1457325" cy="315226"/>
    <pic>
      <nvPicPr>
        <cNvPr id="2" name="Imagem 1"/>
        <cNvPicPr>
          <a:picLocks xmlns:a="http://schemas.openxmlformats.org/drawingml/2006/main" noChangeAspect="1" noChangeArrowheads="1"/>
        </cNvPicPr>
      </nvPicPr>
      <blipFill rotWithShape="1">
        <a:blip xmlns:a="http://schemas.openxmlformats.org/drawingml/2006/main" xmlns:r="http://schemas.openxmlformats.org/officeDocument/2006/relationships" cstate="print" r:embed="rId1"/>
        <a:srcRect xmlns:a="http://schemas.openxmlformats.org/drawingml/2006/main" t="39283" b="39658"/>
        <a:stretch xmlns:a="http://schemas.openxmlformats.org/drawingml/2006/main">
          <a:fillRect/>
        </a:stretch>
      </blipFill>
      <spPr bwMode="auto">
        <a:xfrm xmlns:a="http://schemas.openxmlformats.org/drawingml/2006/main">
          <a:off x="4267200" y="9525"/>
          <a:ext cx="1457325" cy="315226"/>
        </a:xfrm>
        <a:prstGeom xmlns:a="http://schemas.openxmlformats.org/drawingml/2006/main" prst="rect">
          <avLst/>
        </a:prstGeom>
        <a:noFill xmlns:a="http://schemas.openxmlformats.org/drawingml/2006/main"/>
        <a:ln xmlns:a="http://schemas.openxmlformats.org/drawingml/2006/main">
          <a:prstDash val="solid"/>
        </a:ln>
      </spPr>
    </pic>
    <clientData/>
  </oneCellAnchor>
</wsDr>
</file>

<file path=xl/drawings/drawing8.xml><?xml version="1.0" encoding="utf-8"?>
<wsDr xmlns="http://schemas.openxmlformats.org/drawingml/2006/spreadsheetDrawing">
  <oneCellAnchor>
    <from>
      <col>0</col>
      <colOff>45720</colOff>
      <row>1</row>
      <rowOff>91440</rowOff>
    </from>
    <ext cx="1579880" cy="276225"/>
    <pic>
      <nvPicPr>
        <cNvPr id="3" name="image3.png"/>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a:xfrm xmlns:a="http://schemas.openxmlformats.org/drawingml/2006/main">
          <a:off x="1588770" y="177165"/>
          <a:ext cx="1579880" cy="276225"/>
        </a:xfrm>
        <a:prstGeom xmlns:a="http://schemas.openxmlformats.org/drawingml/2006/main" prst="rect">
          <avLst/>
        </a:prstGeom>
        <a:ln xmlns:a="http://schemas.openxmlformats.org/drawingml/2006/main">
          <a:prstDash val="solid"/>
        </a:ln>
      </spPr>
    </pic>
    <clientData/>
  </oneCellAnchor>
</wsDr>
</file>

<file path=xl/drawings/drawing9.xml><?xml version="1.0" encoding="utf-8"?>
<wsDr xmlns="http://schemas.openxmlformats.org/drawingml/2006/spreadsheetDrawing">
  <oneCellAnchor>
    <from>
      <col>7</col>
      <colOff>0</colOff>
      <row>1</row>
      <rowOff>76200</rowOff>
    </from>
    <ext cx="1724025" cy="276225"/>
    <pic>
      <nvPicPr>
        <cNvPr id="3"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95325" y="161925"/>
          <a:ext cx="1724025" cy="276225"/>
        </a:xfrm>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10.xml><?xml version="1.0" encoding="utf-8"?>
<wsDr xmlns="http://schemas.openxmlformats.org/drawingml/2006/spreadsheetDrawing">
  <twoCellAnchor editAs="oneCell">
    <from>
      <col>10</col>
      <colOff>428625</colOff>
      <row>749</row>
      <rowOff>95665</rowOff>
    </from>
    <to>
      <col>27</col>
      <colOff>131245</colOff>
      <row>753</row>
      <rowOff>56985</rowOff>
    </to>
    <pic>
      <nvPicPr>
        <cNvPr id="2" name="Imagem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3735050" y="146380615"/>
          <a:ext cx="9684820" cy="76142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hyperlink" Target="https://www.google.com/aclk?sa=l&amp;ai=DChcSEwiE9NbFvbKLAxV20sIEHWzsKVUYABAnGgJwdg&amp;co=1&amp;gclid=Cj0KCQiA-5a9BhCBARIsACwMkJ6mW9Xf8EEJipNUyqJzW2YCHDGaSgz6LA9l0n3I7NTk56Hc-GIf_SwaAkDqEALw_wcB&amp;sig=AOD64_0MgBtzPPr6UGA5uHDcGh3RSs4gzA&amp;ctype=5&amp;q=&amp;ved=2ahUKEwi6uMvFvbKLAxVTpJUCHa-5BCoQ9aACKAB6BAgEECo&amp;adurl=" TargetMode="External" Id="rId1"/><Relationship Type="http://schemas.openxmlformats.org/officeDocument/2006/relationships/hyperlink" Target="https://www.google.com/aclk?sa=l&amp;ai=DChcSEwiE9NbFvbKLAxV20sIEHWzsKVUYABAnGgJwdg&amp;co=1&amp;gclid=Cj0KCQiA-5a9BhCBARIsACwMkJ6mW9Xf8EEJipNUyqJzW2YCHDGaSgz6LA9l0n3I7NTk56Hc-GIf_SwaAkDqEALw_wcB&amp;sig=AOD64_0MgBtzPPr6UGA5uHDcGh3RSs4gzA&amp;ctype=5&amp;q=&amp;ved=2ahUKEwi6uMvFvbKLAxVTpJUCHa-5BCoQ9aACKAB6BAgEECo&amp;adurl=" TargetMode="External" Id="rId2"/><Relationship Type="http://schemas.openxmlformats.org/officeDocument/2006/relationships/drawing" Target="/xl/drawings/drawing10.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codeName="Planilha2">
    <tabColor rgb="FFC00000"/>
    <outlinePr summaryBelow="1" summaryRight="1"/>
    <pageSetUpPr fitToPage="1"/>
  </sheetPr>
  <dimension ref="A1:AL112"/>
  <sheetViews>
    <sheetView showGridLines="0" zoomScale="85" zoomScaleNormal="85" zoomScaleSheetLayoutView="90" workbookViewId="0">
      <pane ySplit="4" topLeftCell="A5" activePane="bottomLeft" state="frozen"/>
      <selection pane="bottomLeft" activeCell="G25" sqref="G25"/>
    </sheetView>
  </sheetViews>
  <sheetFormatPr baseColWidth="8" defaultColWidth="9.140625" defaultRowHeight="12.75"/>
  <cols>
    <col width="1.85546875" customWidth="1" style="185" min="1" max="1"/>
    <col width="15.28515625" customWidth="1" style="185" min="2" max="2"/>
    <col width="22.85546875" bestFit="1" customWidth="1" style="185" min="3" max="3"/>
    <col width="24.85546875" customWidth="1" style="185" min="4" max="4"/>
    <col width="18.140625" customWidth="1" style="185" min="5" max="5"/>
    <col width="12.42578125" customWidth="1" style="185" min="6" max="6"/>
    <col width="14.28515625" customWidth="1" style="185" min="7" max="7"/>
    <col width="3.42578125" customWidth="1" style="185" min="8" max="8"/>
    <col width="43" bestFit="1" customWidth="1" style="185" min="9" max="9"/>
    <col width="22" customWidth="1" style="185" min="10" max="10"/>
    <col width="13.85546875" customWidth="1" style="185" min="11" max="11"/>
    <col width="15.42578125" customWidth="1" style="185" min="12" max="12"/>
    <col width="1.85546875" customWidth="1" style="185" min="13" max="13"/>
    <col width="9.140625" customWidth="1" style="185" min="14" max="38"/>
  </cols>
  <sheetData>
    <row r="1" ht="18" customHeight="1">
      <c r="A1" s="1704" t="inlineStr">
        <is>
          <t>DADOS DO EMPREENDIMENTO</t>
        </is>
      </c>
      <c r="B1" s="1705" t="n"/>
      <c r="C1" s="1705" t="n"/>
      <c r="D1" s="1705" t="n"/>
      <c r="E1" s="1705" t="n"/>
      <c r="F1" s="1705" t="n"/>
      <c r="G1" s="1705" t="n"/>
      <c r="H1" s="1705" t="n"/>
      <c r="I1" s="1705" t="n"/>
    </row>
    <row r="2" ht="15" customHeight="1">
      <c r="A2" s="172" t="n"/>
      <c r="B2" s="173" t="inlineStr">
        <is>
          <t xml:space="preserve">Projeto: </t>
        </is>
      </c>
      <c r="C2" s="78" t="inlineStr">
        <is>
          <t>Elizabeth II Royal Home</t>
        </is>
      </c>
      <c r="D2" s="174" t="n"/>
      <c r="E2" s="173" t="inlineStr">
        <is>
          <t>ENDEREÇO DA OBRA:</t>
        </is>
      </c>
      <c r="F2" s="175" t="inlineStr">
        <is>
          <t>Rua 247, 85, Meia Praia, Itapema, SC</t>
        </is>
      </c>
      <c r="G2" s="78" t="n"/>
      <c r="H2" s="175" t="n"/>
      <c r="I2" s="78" t="n"/>
    </row>
    <row r="3" ht="15" customHeight="1">
      <c r="A3" s="176" t="n"/>
      <c r="B3" s="177" t="inlineStr">
        <is>
          <t xml:space="preserve">Empresa: </t>
        </is>
      </c>
      <c r="C3" s="76" t="inlineStr">
        <is>
          <t>Gessele</t>
        </is>
      </c>
      <c r="D3" s="178" t="n"/>
      <c r="E3" s="177" t="inlineStr">
        <is>
          <t>Cidade/ES:</t>
        </is>
      </c>
      <c r="F3" s="179" t="inlineStr">
        <is>
          <t>Itapema, SC</t>
        </is>
      </c>
      <c r="G3" s="2056" t="n"/>
      <c r="H3" s="179" t="n"/>
      <c r="I3" s="76" t="n"/>
    </row>
    <row r="4" ht="15" customHeight="1" thickBot="1">
      <c r="A4" s="180" t="n"/>
      <c r="B4" s="181" t="inlineStr">
        <is>
          <t xml:space="preserve">Revisão: </t>
        </is>
      </c>
      <c r="C4" s="74" t="inlineStr">
        <is>
          <t xml:space="preserve">R00 </t>
        </is>
      </c>
      <c r="D4" s="75" t="n"/>
      <c r="E4" s="181" t="inlineStr">
        <is>
          <t>CNPJ:</t>
        </is>
      </c>
      <c r="F4" s="182" t="inlineStr">
        <is>
          <t>17.010.495/0001-32</t>
        </is>
      </c>
      <c r="G4" s="74" t="n"/>
      <c r="H4" s="182" t="n"/>
      <c r="I4" s="74" t="n"/>
    </row>
    <row r="5" ht="13.5" customHeight="1" thickBot="1">
      <c r="A5" s="184" t="n"/>
      <c r="B5" s="184" t="n"/>
      <c r="C5" s="184" t="n"/>
      <c r="D5" s="184" t="n"/>
      <c r="E5" s="184" t="n"/>
      <c r="F5" s="184" t="n"/>
      <c r="G5" s="184" t="n"/>
      <c r="H5" s="184" t="n"/>
      <c r="I5" s="184" t="n"/>
    </row>
    <row r="6" ht="14.25" customHeight="1">
      <c r="B6" s="186" t="inlineStr">
        <is>
          <t xml:space="preserve">Pazo de Obra: </t>
        </is>
      </c>
      <c r="C6" s="2057" t="n">
        <v>48</v>
      </c>
      <c r="E6" s="188" t="inlineStr">
        <is>
          <t xml:space="preserve">Nº Unid. Residenciais: </t>
        </is>
      </c>
      <c r="F6" s="2058" t="n">
        <v>41</v>
      </c>
      <c r="I6" s="1703" t="inlineStr">
        <is>
          <t>Imagens</t>
        </is>
      </c>
    </row>
    <row r="7" ht="14.25" customHeight="1">
      <c r="B7" s="190" t="n"/>
      <c r="E7" s="190" t="n"/>
      <c r="I7" s="191" t="n"/>
    </row>
    <row r="8" ht="14.25" customHeight="1">
      <c r="B8" s="186" t="inlineStr">
        <is>
          <t xml:space="preserve">Área do Terreno: </t>
        </is>
      </c>
      <c r="C8" s="2059" t="n">
        <v>1040</v>
      </c>
      <c r="E8" s="188" t="inlineStr">
        <is>
          <t xml:space="preserve">Nº Unid. Comerciais: </t>
        </is>
      </c>
      <c r="F8" s="2058" t="n">
        <v>5</v>
      </c>
      <c r="I8" s="191" t="n"/>
    </row>
    <row r="9" ht="14.25" customHeight="1">
      <c r="B9" s="190" t="n"/>
      <c r="E9" s="190" t="n"/>
      <c r="I9" s="191" t="n"/>
    </row>
    <row r="10" ht="14.25" customHeight="1">
      <c r="B10" s="186" t="inlineStr">
        <is>
          <t xml:space="preserve">Área Construída: </t>
        </is>
      </c>
      <c r="C10" s="2059">
        <f>SUM($D$19:$D$36)</f>
        <v/>
      </c>
      <c r="E10" s="188" t="inlineStr">
        <is>
          <t xml:space="preserve">Nº Pavimentos: </t>
        </is>
      </c>
      <c r="F10" s="2058" t="n">
        <v>44</v>
      </c>
      <c r="I10" s="191" t="n"/>
    </row>
    <row r="11" ht="14.25" customHeight="1">
      <c r="B11" s="190" t="n"/>
      <c r="E11" s="190" t="n"/>
      <c r="I11" s="191" t="n"/>
    </row>
    <row r="12" ht="14.25" customHeight="1">
      <c r="B12" s="186" t="inlineStr">
        <is>
          <t xml:space="preserve">Área Privativa: </t>
        </is>
      </c>
      <c r="C12" s="2059">
        <f>SUM($E$19:$E$36)</f>
        <v/>
      </c>
      <c r="E12" s="188" t="inlineStr">
        <is>
          <t xml:space="preserve">Total de Dormitórios: </t>
        </is>
      </c>
      <c r="F12" s="2058">
        <f>G83</f>
        <v/>
      </c>
      <c r="I12" s="191" t="n"/>
    </row>
    <row r="13" ht="14.25" customHeight="1">
      <c r="B13" s="190" t="n"/>
      <c r="E13" s="190" t="n"/>
      <c r="I13" s="191" t="n"/>
    </row>
    <row r="14" ht="14.25" customHeight="1">
      <c r="B14" s="186" t="inlineStr">
        <is>
          <t>Área de Lazer:</t>
        </is>
      </c>
      <c r="C14" s="2059">
        <f>SUM($E$38:$E$75)</f>
        <v/>
      </c>
      <c r="E14" s="188" t="inlineStr">
        <is>
          <t xml:space="preserve">Nº Subsolos: </t>
        </is>
      </c>
      <c r="F14" s="2058" t="n">
        <v>0</v>
      </c>
      <c r="I14" s="191" t="n"/>
    </row>
    <row r="15">
      <c r="C15" s="2060" t="n"/>
      <c r="I15" s="191" t="n"/>
    </row>
    <row r="16" ht="14.25" customHeight="1">
      <c r="B16" s="186" t="inlineStr">
        <is>
          <t>Área Comercial:</t>
        </is>
      </c>
      <c r="C16" s="2059">
        <f>D92</f>
        <v/>
      </c>
      <c r="E16" s="188" t="inlineStr">
        <is>
          <t xml:space="preserve">Nº Vagas: </t>
        </is>
      </c>
      <c r="F16" s="2058">
        <f>F83</f>
        <v/>
      </c>
      <c r="I16" s="191" t="n"/>
    </row>
    <row r="17" ht="13.5" customHeight="1" thickBot="1">
      <c r="I17" s="191" t="n"/>
    </row>
    <row r="18" ht="18" customHeight="1">
      <c r="B18" s="79" t="inlineStr">
        <is>
          <t xml:space="preserve">Torre </t>
        </is>
      </c>
      <c r="C18" s="80" t="inlineStr">
        <is>
          <t>Pavimento</t>
        </is>
      </c>
      <c r="D18" s="80" t="inlineStr">
        <is>
          <t>Área</t>
        </is>
      </c>
      <c r="E18" s="80" t="inlineStr">
        <is>
          <t>Área Privativa</t>
        </is>
      </c>
      <c r="F18" s="80" t="inlineStr">
        <is>
          <t>Perímetro</t>
        </is>
      </c>
      <c r="G18" s="81" t="inlineStr">
        <is>
          <t>Pé direito</t>
        </is>
      </c>
      <c r="I18" s="191" t="n"/>
    </row>
    <row r="19" ht="25.5" customHeight="1">
      <c r="A19" s="448" t="n"/>
      <c r="B19" s="444" t="inlineStr">
        <is>
          <t>Torre 1</t>
        </is>
      </c>
      <c r="C19" s="445" t="inlineStr">
        <is>
          <t>ÁREA – 1º PAVTO. (TÉRREO)</t>
        </is>
      </c>
      <c r="D19" s="446" t="n">
        <v>784.58</v>
      </c>
      <c r="E19" s="446" t="n">
        <v>491.89</v>
      </c>
      <c r="F19" s="446" t="n">
        <v>151.72</v>
      </c>
      <c r="G19" s="447" t="n">
        <v>3.49</v>
      </c>
      <c r="H19" s="448" t="n"/>
      <c r="I19" s="449" t="n"/>
    </row>
    <row r="20" ht="25.5" customHeight="1">
      <c r="A20" s="448" t="n"/>
      <c r="B20" s="444" t="inlineStr">
        <is>
          <t>Torre 1</t>
        </is>
      </c>
      <c r="C20" s="445" t="inlineStr">
        <is>
          <t>ÁREA – MEZANINO DO 1º PAVTO.</t>
        </is>
      </c>
      <c r="D20" s="446" t="n">
        <v>801.15</v>
      </c>
      <c r="E20" s="446" t="n">
        <v>240.38</v>
      </c>
      <c r="F20" s="446" t="n">
        <v>151.72</v>
      </c>
      <c r="G20" s="447" t="n">
        <v>2.7</v>
      </c>
      <c r="H20" s="448" t="n"/>
      <c r="I20" s="449" t="n"/>
    </row>
    <row r="21">
      <c r="A21" s="448" t="n"/>
      <c r="B21" s="444" t="inlineStr">
        <is>
          <t>Torre 1</t>
        </is>
      </c>
      <c r="C21" s="445" t="inlineStr">
        <is>
          <t>ÁREA – 2º PAVIMENTO</t>
        </is>
      </c>
      <c r="D21" s="446" t="n">
        <v>878.5</v>
      </c>
      <c r="E21" s="446" t="n">
        <v>287.5</v>
      </c>
      <c r="F21" s="446" t="n">
        <v>151.72</v>
      </c>
      <c r="G21" s="447" t="n">
        <v>2.7</v>
      </c>
      <c r="H21" s="448" t="n"/>
      <c r="I21" s="449" t="n"/>
    </row>
    <row r="22" ht="25.5" customHeight="1">
      <c r="A22" s="448" t="n"/>
      <c r="B22" s="444" t="inlineStr">
        <is>
          <t>Torre 1</t>
        </is>
      </c>
      <c r="C22" s="445" t="inlineStr">
        <is>
          <t>ÁREA – MEZANINO DO 2º PAVTO.</t>
        </is>
      </c>
      <c r="D22" s="446" t="n">
        <v>878.5</v>
      </c>
      <c r="E22" s="446" t="n">
        <v>287.5</v>
      </c>
      <c r="F22" s="446" t="n">
        <v>151.72</v>
      </c>
      <c r="G22" s="447" t="n">
        <v>2.699999999999999</v>
      </c>
      <c r="H22" s="448" t="n"/>
      <c r="I22" s="449" t="n"/>
    </row>
    <row r="23">
      <c r="A23" s="448" t="n"/>
      <c r="B23" s="444" t="inlineStr">
        <is>
          <t>Torre 1</t>
        </is>
      </c>
      <c r="C23" s="445" t="inlineStr">
        <is>
          <t>ÁREA – 3º PAVIMENTO</t>
        </is>
      </c>
      <c r="D23" s="446" t="n">
        <v>878.5</v>
      </c>
      <c r="E23" s="446" t="n">
        <v>287.5</v>
      </c>
      <c r="F23" s="446" t="n">
        <v>151.72</v>
      </c>
      <c r="G23" s="447" t="n">
        <v>2.699999999999999</v>
      </c>
      <c r="H23" s="448" t="n"/>
      <c r="I23" s="449" t="n"/>
    </row>
    <row r="24" ht="25.5" customHeight="1">
      <c r="A24" s="448" t="n"/>
      <c r="B24" s="444" t="inlineStr">
        <is>
          <t>Torre 1</t>
        </is>
      </c>
      <c r="C24" s="445" t="inlineStr">
        <is>
          <t>ÁREA – MEZANINO DO 3º PAVTO.</t>
        </is>
      </c>
      <c r="D24" s="446" t="n">
        <v>892.45</v>
      </c>
      <c r="E24" s="446" t="n">
        <v>287.5</v>
      </c>
      <c r="F24" s="446" t="n">
        <v>151.72</v>
      </c>
      <c r="G24" s="447" t="n">
        <v>2.699999999999999</v>
      </c>
      <c r="H24" s="448" t="n"/>
      <c r="I24" s="449" t="n"/>
    </row>
    <row r="25" ht="25.5" customHeight="1">
      <c r="A25" s="448" t="n"/>
      <c r="B25" s="444" t="inlineStr">
        <is>
          <t>Torre 1</t>
        </is>
      </c>
      <c r="C25" s="445" t="inlineStr">
        <is>
          <t>ÁREA – 4º PAVIMENTO GARAGEM/LAZER</t>
        </is>
      </c>
      <c r="D25" s="446" t="n">
        <v>892.45</v>
      </c>
      <c r="E25" s="450" t="n">
        <v>175</v>
      </c>
      <c r="F25" s="446" t="n">
        <v>151.72</v>
      </c>
      <c r="G25" s="447" t="n">
        <v>5.040000000000003</v>
      </c>
      <c r="H25" s="448" t="n"/>
      <c r="I25" s="449" t="n"/>
    </row>
    <row r="26" ht="25.5" customHeight="1">
      <c r="A26" s="448" t="n"/>
      <c r="B26" s="444" t="inlineStr">
        <is>
          <t>Torre 1</t>
        </is>
      </c>
      <c r="C26" s="445" t="inlineStr">
        <is>
          <t>ÁREA – 5º PAVIMENTO LAZER</t>
        </is>
      </c>
      <c r="D26" s="450" t="n">
        <v>499.27</v>
      </c>
      <c r="E26" s="450" t="n">
        <v>0</v>
      </c>
      <c r="F26" s="446" t="n">
        <v>151.72</v>
      </c>
      <c r="G26" s="447" t="n">
        <v>3.239999999999998</v>
      </c>
      <c r="H26" s="448" t="n"/>
      <c r="I26" s="449" t="n"/>
    </row>
    <row r="27" ht="25.5" customHeight="1">
      <c r="A27" s="448" t="n"/>
      <c r="B27" s="444" t="inlineStr">
        <is>
          <t>Torre 1</t>
        </is>
      </c>
      <c r="C27" s="445" t="inlineStr">
        <is>
          <t>ÁREA – 6º PAVIMENTO TIPO - DIFERENCIADO</t>
        </is>
      </c>
      <c r="D27" s="446" t="n">
        <v>345.53</v>
      </c>
      <c r="E27" s="446" t="n">
        <v>303.01</v>
      </c>
      <c r="F27" s="446" t="n">
        <v>108.2</v>
      </c>
      <c r="G27" s="447" t="n">
        <v>3.150000000000002</v>
      </c>
      <c r="H27" s="448" t="n"/>
      <c r="I27" s="449" t="n"/>
    </row>
    <row r="28" ht="25.5" customHeight="1">
      <c r="A28" s="448" t="n"/>
      <c r="B28" s="444" t="inlineStr">
        <is>
          <t>Torre 1</t>
        </is>
      </c>
      <c r="C28" s="445" t="inlineStr">
        <is>
          <t>ÁREA – 7º AO 14° PAVIMENTO TIPO - X8</t>
        </is>
      </c>
      <c r="D28" s="446" t="n">
        <v>2427.28</v>
      </c>
      <c r="E28" s="446" t="n">
        <v>2087.12</v>
      </c>
      <c r="F28" s="446" t="n">
        <v>108.2</v>
      </c>
      <c r="G28" s="447">
        <f>SUM(EPCs!N14:N21)</f>
        <v/>
      </c>
      <c r="H28" s="448" t="n"/>
      <c r="I28" s="449" t="n"/>
    </row>
    <row r="29" ht="25.5" customHeight="1">
      <c r="A29" s="448" t="n"/>
      <c r="B29" s="444" t="inlineStr">
        <is>
          <t>Torre 1</t>
        </is>
      </c>
      <c r="C29" s="445" t="inlineStr">
        <is>
          <t>ÁREA – 15º AO 35° PAVIMENTO TIPO - X21</t>
        </is>
      </c>
      <c r="D29" s="446" t="n">
        <v>6374.97</v>
      </c>
      <c r="E29" s="446" t="n">
        <v>5482.05</v>
      </c>
      <c r="F29" s="446" t="n">
        <v>108.2</v>
      </c>
      <c r="G29" s="447">
        <f>SUM(EPCs!N22:N42)</f>
        <v/>
      </c>
      <c r="H29" s="448" t="n"/>
      <c r="I29" s="449" t="n"/>
    </row>
    <row r="30" ht="25.5" customHeight="1">
      <c r="A30" s="448" t="n"/>
      <c r="B30" s="444" t="inlineStr">
        <is>
          <t>Torre 1</t>
        </is>
      </c>
      <c r="C30" s="445" t="inlineStr">
        <is>
          <t>ÁREA – 36º PAVTO TIPO</t>
        </is>
      </c>
      <c r="D30" s="446" t="n">
        <v>303.57</v>
      </c>
      <c r="E30" s="446" t="n">
        <v>261.05</v>
      </c>
      <c r="F30" s="446" t="n">
        <v>108.2</v>
      </c>
      <c r="G30" s="447" t="n">
        <v>3.149999999999999</v>
      </c>
      <c r="H30" s="448" t="n"/>
      <c r="I30" s="449" t="n"/>
    </row>
    <row r="31" ht="25.5" customHeight="1">
      <c r="A31" s="448" t="n"/>
      <c r="B31" s="444" t="inlineStr">
        <is>
          <t>Torre 1</t>
        </is>
      </c>
      <c r="C31" s="445" t="inlineStr">
        <is>
          <t>ÁREA – 37º PAVTO DUPLEX INFERIOR</t>
        </is>
      </c>
      <c r="D31" s="446" t="n">
        <v>292.96</v>
      </c>
      <c r="E31" s="446" t="n">
        <v>248.63</v>
      </c>
      <c r="F31" s="446" t="n">
        <v>108.2</v>
      </c>
      <c r="G31" s="447" t="n">
        <v>3.150000000000006</v>
      </c>
      <c r="H31" s="448" t="n"/>
      <c r="I31" s="449" t="n"/>
    </row>
    <row r="32" ht="25.5" customHeight="1">
      <c r="B32" s="192" t="inlineStr">
        <is>
          <t>Torre 1</t>
        </is>
      </c>
      <c r="C32" s="445" t="inlineStr">
        <is>
          <t>ÁREA – 38º PAVTO DUPLEX SUPERIOR</t>
        </is>
      </c>
      <c r="D32" s="193" t="n">
        <v>278.8</v>
      </c>
      <c r="E32" s="193" t="n">
        <v>234.47</v>
      </c>
      <c r="F32" s="193" t="n">
        <v>108.2</v>
      </c>
      <c r="G32" s="194" t="n">
        <v>3.239999999999995</v>
      </c>
      <c r="I32" s="191" t="n"/>
    </row>
    <row r="33" ht="25.5" customHeight="1">
      <c r="B33" s="192" t="inlineStr">
        <is>
          <t>Torre 1</t>
        </is>
      </c>
      <c r="C33" s="445" t="inlineStr">
        <is>
          <t>CASA DE MÁQUINAS/TELHADO</t>
        </is>
      </c>
      <c r="D33" s="193" t="n">
        <v>73.72</v>
      </c>
      <c r="E33" s="193" t="n"/>
      <c r="F33" s="193" t="n">
        <v>81.12</v>
      </c>
      <c r="G33" s="194" t="n">
        <v>3.239999999999981</v>
      </c>
      <c r="I33" s="191" t="n"/>
    </row>
    <row r="34">
      <c r="B34" s="192" t="inlineStr">
        <is>
          <t>Torre 1</t>
        </is>
      </c>
      <c r="C34" s="445" t="inlineStr">
        <is>
          <t>BARRILETE</t>
        </is>
      </c>
      <c r="D34" s="193" t="n">
        <v>73.72</v>
      </c>
      <c r="E34" s="193" t="n"/>
      <c r="F34" s="193" t="n">
        <v>39.16</v>
      </c>
      <c r="G34" s="194" t="n">
        <v>2</v>
      </c>
      <c r="I34" s="191" t="n"/>
    </row>
    <row r="35" ht="13.5" customHeight="1" thickBot="1">
      <c r="B35" s="200" t="inlineStr">
        <is>
          <t>Torre 1</t>
        </is>
      </c>
      <c r="C35" s="201" t="inlineStr">
        <is>
          <t>RESERVATÓRIO</t>
        </is>
      </c>
      <c r="D35" s="202" t="n">
        <v>73.72</v>
      </c>
      <c r="E35" s="202" t="n"/>
      <c r="F35" s="202" t="n">
        <v>39.16</v>
      </c>
      <c r="G35" s="203" t="n">
        <v>2.5</v>
      </c>
      <c r="I35" s="195" t="n"/>
    </row>
    <row r="36" ht="13.5" customHeight="1" thickBot="1"/>
    <row r="37">
      <c r="B37" s="79" t="inlineStr">
        <is>
          <t>Torre</t>
        </is>
      </c>
      <c r="C37" s="80" t="inlineStr">
        <is>
          <t>Pavimento</t>
        </is>
      </c>
      <c r="D37" s="80" t="inlineStr">
        <is>
          <t>Descrição</t>
        </is>
      </c>
      <c r="E37" s="81" t="inlineStr">
        <is>
          <t xml:space="preserve">Área </t>
        </is>
      </c>
      <c r="I37" s="196" t="inlineStr">
        <is>
          <t>ETAPA</t>
        </is>
      </c>
    </row>
    <row r="38">
      <c r="B38" s="192" t="inlineStr">
        <is>
          <t>Áreas Comuns</t>
        </is>
      </c>
      <c r="C38" s="1366">
        <f>_xlfn.XLOOKUP(D38,MOBILIÁRIO!C:C,MOBILIÁRIO!B:B)</f>
        <v/>
      </c>
      <c r="D38" s="1366">
        <f t="array" ref="D38:D72">_xlfn.UNIQUE(_xlfn._xlws.FILTER(MOBILIÁRIO!C7:C316,MOBILIÁRIO!C7:C316&lt;&gt;""))</f>
        <v/>
      </c>
      <c r="E38" s="2061">
        <f>_xlfn.XLOOKUP(D38,MOBILIÁRIO!C:C,MOBILIÁRIO!F:F)</f>
        <v/>
      </c>
      <c r="I38" s="197" t="inlineStr">
        <is>
          <t>GERENCIAMENTO TÉCNICO E ADMINISTRATIVO</t>
        </is>
      </c>
    </row>
    <row r="39">
      <c r="B39" s="192" t="inlineStr">
        <is>
          <t>Áreas Comuns</t>
        </is>
      </c>
      <c r="C39" s="1366">
        <f>_xlfn.XLOOKUP(D39,MOBILIÁRIO!C:C,MOBILIÁRIO!B:B)</f>
        <v/>
      </c>
      <c r="D39" s="1366" t="inlineStr">
        <is>
          <t>Hall Térreo</t>
        </is>
      </c>
      <c r="E39" s="2061">
        <f>_xlfn.XLOOKUP(D39,MOBILIÁRIO!C:C,MOBILIÁRIO!F:F)</f>
        <v/>
      </c>
      <c r="I39" s="198" t="inlineStr">
        <is>
          <t>MOVIMENTAÇÃO DE TERRA</t>
        </is>
      </c>
    </row>
    <row r="40">
      <c r="B40" s="192" t="inlineStr">
        <is>
          <t>Áreas Comuns</t>
        </is>
      </c>
      <c r="C40" s="1366">
        <f>_xlfn.XLOOKUP(D40,MOBILIÁRIO!C:C,MOBILIÁRIO!B:B)</f>
        <v/>
      </c>
      <c r="D40" s="1366" t="inlineStr">
        <is>
          <t>Guarita</t>
        </is>
      </c>
      <c r="E40" s="2061">
        <f>_xlfn.XLOOKUP(D40,MOBILIÁRIO!C:C,MOBILIÁRIO!F:F)</f>
        <v/>
      </c>
      <c r="I40" s="197" t="inlineStr">
        <is>
          <t>CONTENÇÃO</t>
        </is>
      </c>
    </row>
    <row r="41">
      <c r="B41" s="192" t="inlineStr">
        <is>
          <t>Áreas Comuns</t>
        </is>
      </c>
      <c r="C41" s="1366">
        <f>_xlfn.XLOOKUP(D41,MOBILIÁRIO!C:C,MOBILIÁRIO!B:B)</f>
        <v/>
      </c>
      <c r="D41" s="1366" t="inlineStr">
        <is>
          <t>Lavapés</t>
        </is>
      </c>
      <c r="E41" s="2061">
        <f>_xlfn.XLOOKUP(D41,MOBILIÁRIO!C:C,MOBILIÁRIO!F:F)</f>
        <v/>
      </c>
      <c r="I41" s="198" t="inlineStr">
        <is>
          <t>INFRAESTRUTURA</t>
        </is>
      </c>
    </row>
    <row r="42">
      <c r="B42" s="192" t="inlineStr">
        <is>
          <t>Áreas Comuns</t>
        </is>
      </c>
      <c r="C42" s="1366">
        <f>_xlfn.XLOOKUP(D42,MOBILIÁRIO!C:C,MOBILIÁRIO!B:B)</f>
        <v/>
      </c>
      <c r="D42" s="1366" t="inlineStr">
        <is>
          <t>Lavabo Pne - Térreo</t>
        </is>
      </c>
      <c r="E42" s="2061">
        <f>_xlfn.XLOOKUP(D42,MOBILIÁRIO!C:C,MOBILIÁRIO!F:F)</f>
        <v/>
      </c>
      <c r="I42" s="197" t="inlineStr">
        <is>
          <t>SUPRAESTRUTURA</t>
        </is>
      </c>
    </row>
    <row r="43">
      <c r="B43" s="192" t="inlineStr">
        <is>
          <t>Áreas Comuns</t>
        </is>
      </c>
      <c r="C43" s="1366">
        <f>_xlfn.XLOOKUP(D43,MOBILIÁRIO!C:C,MOBILIÁRIO!B:B)</f>
        <v/>
      </c>
      <c r="D43" s="1366" t="inlineStr">
        <is>
          <t>Bicicletário/Box</t>
        </is>
      </c>
      <c r="E43" s="2061">
        <f>_xlfn.XLOOKUP(D43,MOBILIÁRIO!C:C,MOBILIÁRIO!F:F)</f>
        <v/>
      </c>
      <c r="I43" s="198" t="inlineStr">
        <is>
          <t>ALVENARIAS E VEDAÇÕES</t>
        </is>
      </c>
    </row>
    <row r="44">
      <c r="B44" s="192" t="inlineStr">
        <is>
          <t>Áreas Comuns</t>
        </is>
      </c>
      <c r="C44" s="1366">
        <f>_xlfn.XLOOKUP(D44,MOBILIÁRIO!C:C,MOBILIÁRIO!B:B)</f>
        <v/>
      </c>
      <c r="D44" s="1366" t="inlineStr">
        <is>
          <t>Antecâmara - Térreo</t>
        </is>
      </c>
      <c r="E44" s="2061">
        <f>_xlfn.XLOOKUP(D44,MOBILIÁRIO!C:C,MOBILIÁRIO!F:F)</f>
        <v/>
      </c>
      <c r="I44" s="197" t="inlineStr">
        <is>
          <t>SISTEMAS E INSTALAÇÕES ELÉTRICAS</t>
        </is>
      </c>
    </row>
    <row r="45" ht="22.5" customHeight="1">
      <c r="B45" s="192" t="inlineStr">
        <is>
          <t>Áreas Comuns</t>
        </is>
      </c>
      <c r="C45" s="1366">
        <f>_xlfn.XLOOKUP(D45,MOBILIÁRIO!C:C,MOBILIÁRIO!B:B)</f>
        <v/>
      </c>
      <c r="D45" s="1366" t="inlineStr">
        <is>
          <t>Antecâmara - Garagens (x5)</t>
        </is>
      </c>
      <c r="E45" s="2061">
        <f>_xlfn.XLOOKUP(D45,MOBILIÁRIO!C:C,MOBILIÁRIO!F:F)</f>
        <v/>
      </c>
      <c r="I45" s="198" t="inlineStr">
        <is>
          <t>SISTEMAS E INSTALAÇÕES HIDROSSANITÁRIAS E DRENAGEM</t>
        </is>
      </c>
    </row>
    <row r="46" ht="22.5" customHeight="1">
      <c r="B46" s="192" t="inlineStr">
        <is>
          <t>Áreas Comuns</t>
        </is>
      </c>
      <c r="C46" s="1366">
        <f>_xlfn.XLOOKUP(D46,MOBILIÁRIO!C:C,MOBILIÁRIO!B:B)</f>
        <v/>
      </c>
      <c r="D46" s="1366" t="inlineStr">
        <is>
          <t>Sala de massagem</t>
        </is>
      </c>
      <c r="E46" s="2061">
        <f>_xlfn.XLOOKUP(D46,MOBILIÁRIO!C:C,MOBILIÁRIO!F:F)</f>
        <v/>
      </c>
      <c r="I46" s="197" t="inlineStr">
        <is>
          <t>INSTALAÇÕES PREVENTIVAS</t>
        </is>
      </c>
    </row>
    <row r="47" ht="22.5" customHeight="1">
      <c r="B47" s="192" t="inlineStr">
        <is>
          <t>Áreas Comuns</t>
        </is>
      </c>
      <c r="C47" s="1366">
        <f>_xlfn.XLOOKUP(D47,MOBILIÁRIO!C:C,MOBILIÁRIO!B:B)</f>
        <v/>
      </c>
      <c r="D47" s="1366" t="inlineStr">
        <is>
          <t>Banheiro - Lazer/Garagem</t>
        </is>
      </c>
      <c r="E47" s="2061">
        <f>_xlfn.XLOOKUP(D47,MOBILIÁRIO!C:C,MOBILIÁRIO!F:F)</f>
        <v/>
      </c>
      <c r="I47" s="198" t="inlineStr">
        <is>
          <t>INSTALAÇÕES DE GÁS</t>
        </is>
      </c>
    </row>
    <row r="48" ht="22.5" customHeight="1">
      <c r="B48" s="192" t="inlineStr">
        <is>
          <t>Áreas Comuns</t>
        </is>
      </c>
      <c r="C48" s="1366">
        <f>_xlfn.XLOOKUP(D48,MOBILIÁRIO!C:C,MOBILIÁRIO!B:B)</f>
        <v/>
      </c>
      <c r="D48" s="1366" t="inlineStr">
        <is>
          <t>Lavabo - Lazer/Garagem</t>
        </is>
      </c>
      <c r="E48" s="2061">
        <f>_xlfn.XLOOKUP(D48,MOBILIÁRIO!C:C,MOBILIÁRIO!F:F)</f>
        <v/>
      </c>
      <c r="I48" s="197" t="inlineStr">
        <is>
          <t>EQUIPAMENTOS E SISTEMAS ESPECIAIS</t>
        </is>
      </c>
    </row>
    <row r="49" ht="22.5" customHeight="1">
      <c r="B49" s="192" t="inlineStr">
        <is>
          <t>Áreas Comuns</t>
        </is>
      </c>
      <c r="C49" s="1366">
        <f>_xlfn.XLOOKUP(D49,MOBILIÁRIO!C:C,MOBILIÁRIO!B:B)</f>
        <v/>
      </c>
      <c r="D49" s="1366" t="inlineStr">
        <is>
          <t>Lavabo Pne - Lazer/Garagem</t>
        </is>
      </c>
      <c r="E49" s="2061">
        <f>_xlfn.XLOOKUP(D49,MOBILIÁRIO!C:C,MOBILIÁRIO!F:F)</f>
        <v/>
      </c>
      <c r="I49" s="198" t="inlineStr">
        <is>
          <t>CLIMATIZAÇÃO, EXAUSTÃO MECÂNICA</t>
        </is>
      </c>
    </row>
    <row r="50" ht="22.5" customHeight="1">
      <c r="B50" s="192" t="inlineStr">
        <is>
          <t>Áreas Comuns</t>
        </is>
      </c>
      <c r="C50" s="1366">
        <f>_xlfn.XLOOKUP(D50,MOBILIÁRIO!C:C,MOBILIÁRIO!B:B)</f>
        <v/>
      </c>
      <c r="D50" s="1366" t="inlineStr">
        <is>
          <t>Circulação - Lazer/garagem</t>
        </is>
      </c>
      <c r="E50" s="2061">
        <f>_xlfn.XLOOKUP(D50,MOBILIÁRIO!C:C,MOBILIÁRIO!F:F)</f>
        <v/>
      </c>
      <c r="I50" s="197" t="inlineStr">
        <is>
          <t>INSTALAÇÕES ESPECIAIS</t>
        </is>
      </c>
    </row>
    <row r="51" ht="22.5" customHeight="1">
      <c r="B51" s="192" t="inlineStr">
        <is>
          <t>Áreas Comuns</t>
        </is>
      </c>
      <c r="C51" s="1366">
        <f>_xlfn.XLOOKUP(D51,MOBILIÁRIO!C:C,MOBILIÁRIO!B:B)</f>
        <v/>
      </c>
      <c r="D51" s="1366" t="inlineStr">
        <is>
          <t>Área interna Piscina coberta - Lazer/garagem</t>
        </is>
      </c>
      <c r="E51" s="2061">
        <f>_xlfn.XLOOKUP(D51,MOBILIÁRIO!C:C,MOBILIÁRIO!F:F)</f>
        <v/>
      </c>
      <c r="I51" s="198" t="inlineStr">
        <is>
          <t>IMPERMEABILIZAÇÃO E TRATAMENTOS</t>
        </is>
      </c>
    </row>
    <row r="52" ht="22.5" customHeight="1">
      <c r="B52" s="192" t="inlineStr">
        <is>
          <t>Áreas Comuns</t>
        </is>
      </c>
      <c r="C52" s="1366">
        <f>_xlfn.XLOOKUP(D52,MOBILIÁRIO!C:C,MOBILIÁRIO!B:B)</f>
        <v/>
      </c>
      <c r="D52" s="1366" t="inlineStr">
        <is>
          <t>Área externa Piscina coberta - Lazer/garagem</t>
        </is>
      </c>
      <c r="E52" s="2061">
        <f>_xlfn.XLOOKUP(D52,MOBILIÁRIO!C:C,MOBILIÁRIO!F:F)</f>
        <v/>
      </c>
      <c r="I52" s="197" t="inlineStr">
        <is>
          <t>REVESTIMENTOS INTERNOS DE PAREDE</t>
        </is>
      </c>
    </row>
    <row r="53" ht="22.5" customHeight="1">
      <c r="B53" s="192" t="inlineStr">
        <is>
          <t>Áreas Comuns</t>
        </is>
      </c>
      <c r="C53" s="1366">
        <f>_xlfn.XLOOKUP(D53,MOBILIÁRIO!C:C,MOBILIÁRIO!B:B)</f>
        <v/>
      </c>
      <c r="D53" s="1366" t="inlineStr">
        <is>
          <t>Terraço descoberto - Lazer/garagem</t>
        </is>
      </c>
      <c r="E53" s="2061">
        <f>_xlfn.XLOOKUP(D53,MOBILIÁRIO!C:C,MOBILIÁRIO!F:F)</f>
        <v/>
      </c>
      <c r="I53" s="198" t="inlineStr">
        <is>
          <t>REVESTIMENTOS E ACABAMENTOS INTERNOS EM TETO</t>
        </is>
      </c>
    </row>
    <row r="54" ht="22.5" customHeight="1">
      <c r="B54" s="192" t="inlineStr">
        <is>
          <t>Áreas Comuns</t>
        </is>
      </c>
      <c r="C54" s="1366">
        <f>_xlfn.XLOOKUP(D54,MOBILIÁRIO!C:C,MOBILIÁRIO!B:B)</f>
        <v/>
      </c>
      <c r="D54" s="1366" t="inlineStr">
        <is>
          <t>Terraço - Lazer/garagem</t>
        </is>
      </c>
      <c r="E54" s="2061">
        <f>_xlfn.XLOOKUP(D54,MOBILIÁRIO!C:C,MOBILIÁRIO!F:F)</f>
        <v/>
      </c>
      <c r="I54" s="197" t="inlineStr">
        <is>
          <t>PISOS E PAVIMENTAÇÕES</t>
        </is>
      </c>
    </row>
    <row r="55" ht="22.5" customHeight="1">
      <c r="B55" s="192" t="inlineStr">
        <is>
          <t>Áreas Comuns</t>
        </is>
      </c>
      <c r="C55" s="1366">
        <f>_xlfn.XLOOKUP(D55,MOBILIÁRIO!C:C,MOBILIÁRIO!B:B)</f>
        <v/>
      </c>
      <c r="D55" s="1366" t="inlineStr">
        <is>
          <t>Estar do fogo</t>
        </is>
      </c>
      <c r="E55" s="2061">
        <f>_xlfn.XLOOKUP(D55,MOBILIÁRIO!C:C,MOBILIÁRIO!F:F)</f>
        <v/>
      </c>
      <c r="I55" s="198" t="inlineStr">
        <is>
          <t>PINTURA</t>
        </is>
      </c>
    </row>
    <row r="56" ht="22.5" customHeight="1">
      <c r="B56" s="192" t="inlineStr">
        <is>
          <t>Áreas Comuns</t>
        </is>
      </c>
      <c r="C56" s="1366">
        <f>_xlfn.XLOOKUP(D56,MOBILIÁRIO!C:C,MOBILIÁRIO!B:B)</f>
        <v/>
      </c>
      <c r="D56" s="1366" t="inlineStr">
        <is>
          <t>Sauna</t>
        </is>
      </c>
      <c r="E56" s="2061">
        <f>_xlfn.XLOOKUP(D56,MOBILIÁRIO!C:C,MOBILIÁRIO!F:F)</f>
        <v/>
      </c>
      <c r="I56" s="197" t="inlineStr">
        <is>
          <t>ESQUADRIAS, VIDROS E FERRAGENS</t>
        </is>
      </c>
    </row>
    <row r="57" ht="22.5" customHeight="1">
      <c r="B57" s="192" t="inlineStr">
        <is>
          <t>Áreas Comuns</t>
        </is>
      </c>
      <c r="C57" s="1366">
        <f>_xlfn.XLOOKUP(D57,MOBILIÁRIO!C:C,MOBILIÁRIO!B:B)</f>
        <v/>
      </c>
      <c r="D57" s="1366" t="inlineStr">
        <is>
          <t>Sala de Apoio Sauna</t>
        </is>
      </c>
      <c r="E57" s="2061">
        <f>_xlfn.XLOOKUP(D57,MOBILIÁRIO!C:C,MOBILIÁRIO!F:F)</f>
        <v/>
      </c>
      <c r="I57" s="198" t="inlineStr">
        <is>
          <t>LOUÇAS E METAIS</t>
        </is>
      </c>
    </row>
    <row r="58" ht="22.5" customHeight="1">
      <c r="B58" s="192" t="inlineStr">
        <is>
          <t>Áreas Comuns</t>
        </is>
      </c>
      <c r="C58" s="1366">
        <f>_xlfn.XLOOKUP(D58,MOBILIÁRIO!C:C,MOBILIÁRIO!B:B)</f>
        <v/>
      </c>
      <c r="D58" s="1366" t="inlineStr">
        <is>
          <t>Antecâmara - Lazer/garagem</t>
        </is>
      </c>
      <c r="E58" s="2061">
        <f>_xlfn.XLOOKUP(D58,MOBILIÁRIO!C:C,MOBILIÁRIO!F:F)</f>
        <v/>
      </c>
      <c r="I58" s="197" t="inlineStr">
        <is>
          <t>COBERTURA</t>
        </is>
      </c>
    </row>
    <row r="59">
      <c r="B59" s="192" t="inlineStr">
        <is>
          <t>Áreas Comuns</t>
        </is>
      </c>
      <c r="C59" s="1366">
        <f>_xlfn.XLOOKUP(D59,MOBILIÁRIO!C:C,MOBILIÁRIO!B:B)</f>
        <v/>
      </c>
      <c r="D59" s="1366" t="inlineStr">
        <is>
          <t>Circulação - Lazer</t>
        </is>
      </c>
      <c r="E59" s="2061">
        <f>_xlfn.XLOOKUP(D59,MOBILIÁRIO!C:C,MOBILIÁRIO!F:F)</f>
        <v/>
      </c>
      <c r="I59" s="198" t="inlineStr">
        <is>
          <t>REVESTIMENTOS E ACABAMENTOS EM FACHADA</t>
        </is>
      </c>
    </row>
    <row r="60">
      <c r="B60" s="192" t="inlineStr">
        <is>
          <t>Áreas Comuns</t>
        </is>
      </c>
      <c r="C60" s="1366">
        <f>_xlfn.XLOOKUP(D60,MOBILIÁRIO!C:C,MOBILIÁRIO!B:B)</f>
        <v/>
      </c>
      <c r="D60" s="1366" t="inlineStr">
        <is>
          <t>Lavabo PNE - lazer</t>
        </is>
      </c>
      <c r="E60" s="2061">
        <f>_xlfn.XLOOKUP(D60,MOBILIÁRIO!C:C,MOBILIÁRIO!F:F)</f>
        <v/>
      </c>
      <c r="I60" s="197" t="inlineStr">
        <is>
          <t>SERVIÇOS COMPLEMENTARES E FINAIS</t>
        </is>
      </c>
    </row>
    <row r="61">
      <c r="B61" s="192" t="inlineStr">
        <is>
          <t>Áreas Comuns</t>
        </is>
      </c>
      <c r="C61" s="1366">
        <f>_xlfn.XLOOKUP(D61,MOBILIÁRIO!C:C,MOBILIÁRIO!B:B)</f>
        <v/>
      </c>
      <c r="D61" s="1366" t="inlineStr">
        <is>
          <t>Lavabo - lazer</t>
        </is>
      </c>
      <c r="E61" s="2061">
        <f>_xlfn.XLOOKUP(D61,MOBILIÁRIO!C:C,MOBILIÁRIO!F:F)</f>
        <v/>
      </c>
      <c r="I61" s="198" t="inlineStr">
        <is>
          <t>IMPREVISTOS E CONTINGÊNCIAS</t>
        </is>
      </c>
    </row>
    <row r="62">
      <c r="B62" s="192" t="inlineStr">
        <is>
          <t>Áreas Comuns</t>
        </is>
      </c>
      <c r="C62" s="1366">
        <f>_xlfn.XLOOKUP(D62,MOBILIÁRIO!C:C,MOBILIÁRIO!B:B)</f>
        <v/>
      </c>
      <c r="D62" s="1366" t="inlineStr">
        <is>
          <t>CPD - lazer</t>
        </is>
      </c>
      <c r="E62" s="2061">
        <f>_xlfn.XLOOKUP(D62,MOBILIÁRIO!C:C,MOBILIÁRIO!F:F)</f>
        <v/>
      </c>
      <c r="I62" s="199" t="inlineStr">
        <is>
          <t>TOTAL</t>
        </is>
      </c>
    </row>
    <row r="63" ht="13.5" customHeight="1" thickBot="1">
      <c r="B63" s="192" t="inlineStr">
        <is>
          <t>Áreas Comuns</t>
        </is>
      </c>
      <c r="C63" s="1366">
        <f>_xlfn.XLOOKUP(D63,MOBILIÁRIO!C:C,MOBILIÁRIO!B:B)</f>
        <v/>
      </c>
      <c r="D63" s="1366" t="inlineStr">
        <is>
          <t>Laje Verde</t>
        </is>
      </c>
      <c r="E63" s="2061">
        <f>_xlfn.XLOOKUP(D63,MOBILIÁRIO!C:C,MOBILIÁRIO!F:F)</f>
        <v/>
      </c>
      <c r="I63" s="204" t="inlineStr">
        <is>
          <t>CUB/SC</t>
        </is>
      </c>
    </row>
    <row r="64" ht="13.5" customHeight="1" thickBot="1">
      <c r="B64" s="192" t="inlineStr">
        <is>
          <t>Áreas Comuns</t>
        </is>
      </c>
      <c r="C64" s="1366">
        <f>_xlfn.XLOOKUP(D64,MOBILIÁRIO!C:C,MOBILIÁRIO!B:B)</f>
        <v/>
      </c>
      <c r="D64" s="1366" t="inlineStr">
        <is>
          <t>Brinquedoteca</t>
        </is>
      </c>
      <c r="E64" s="2061">
        <f>_xlfn.XLOOKUP(D64,MOBILIÁRIO!C:C,MOBILIÁRIO!F:F)</f>
        <v/>
      </c>
    </row>
    <row r="65">
      <c r="B65" s="192" t="inlineStr">
        <is>
          <t>Áreas Comuns</t>
        </is>
      </c>
      <c r="C65" s="1366">
        <f>_xlfn.XLOOKUP(D65,MOBILIÁRIO!C:C,MOBILIÁRIO!B:B)</f>
        <v/>
      </c>
      <c r="D65" s="1366" t="inlineStr">
        <is>
          <t>Game Center</t>
        </is>
      </c>
      <c r="E65" s="2061">
        <f>_xlfn.XLOOKUP(D65,MOBILIÁRIO!C:C,MOBILIÁRIO!F:F)</f>
        <v/>
      </c>
      <c r="I65" s="451" t="inlineStr">
        <is>
          <t>DESCRIÇÃO</t>
        </is>
      </c>
    </row>
    <row r="66">
      <c r="B66" s="192" t="inlineStr">
        <is>
          <t>Áreas Comuns</t>
        </is>
      </c>
      <c r="C66" s="1366">
        <f>_xlfn.XLOOKUP(D66,MOBILIÁRIO!C:C,MOBILIÁRIO!B:B)</f>
        <v/>
      </c>
      <c r="D66" s="1366" t="inlineStr">
        <is>
          <t>Sala de Festas</t>
        </is>
      </c>
      <c r="E66" s="2061">
        <f>_xlfn.XLOOKUP(D66,MOBILIÁRIO!C:C,MOBILIÁRIO!F:F)</f>
        <v/>
      </c>
      <c r="I66" s="1371" t="inlineStr">
        <is>
          <t>VALOR POR ÁREA PRIVATIVA (R$/m²)</t>
        </is>
      </c>
    </row>
    <row r="67">
      <c r="B67" s="192" t="inlineStr">
        <is>
          <t>Áreas Comuns</t>
        </is>
      </c>
      <c r="C67" s="1366">
        <f>_xlfn.XLOOKUP(D67,MOBILIÁRIO!C:C,MOBILIÁRIO!B:B)</f>
        <v/>
      </c>
      <c r="D67" s="1366" t="inlineStr">
        <is>
          <t>Terraço</t>
        </is>
      </c>
      <c r="E67" s="2061">
        <f>_xlfn.XLOOKUP(D67,MOBILIÁRIO!C:C,MOBILIÁRIO!F:F)</f>
        <v/>
      </c>
      <c r="I67" s="1371" t="inlineStr">
        <is>
          <t>Tipo diferenciado Apart. 1</t>
        </is>
      </c>
    </row>
    <row r="68">
      <c r="B68" s="192" t="inlineStr">
        <is>
          <t>Áreas Comuns</t>
        </is>
      </c>
      <c r="C68" s="1366">
        <f>_xlfn.XLOOKUP(D68,MOBILIÁRIO!C:C,MOBILIÁRIO!B:B)</f>
        <v/>
      </c>
      <c r="D68" s="1366" t="inlineStr">
        <is>
          <t>Wine Bar</t>
        </is>
      </c>
      <c r="E68" s="2061">
        <f>_xlfn.XLOOKUP(D68,MOBILIÁRIO!C:C,MOBILIÁRIO!F:F)</f>
        <v/>
      </c>
      <c r="I68" s="1371" t="inlineStr">
        <is>
          <t>Tipo diferenciado Apart. 2</t>
        </is>
      </c>
    </row>
    <row r="69">
      <c r="B69" s="192" t="inlineStr">
        <is>
          <t>Áreas Comuns</t>
        </is>
      </c>
      <c r="C69" s="1366">
        <f>_xlfn.XLOOKUP(D69,MOBILIÁRIO!C:C,MOBILIÁRIO!B:B)</f>
        <v/>
      </c>
      <c r="D69" s="1366" t="inlineStr">
        <is>
          <t>Academia</t>
        </is>
      </c>
      <c r="E69" s="2061">
        <f>_xlfn.XLOOKUP(D69,MOBILIÁRIO!C:C,MOBILIÁRIO!F:F)</f>
        <v/>
      </c>
      <c r="I69" s="1371" t="inlineStr">
        <is>
          <t>Tipo Apart. 01</t>
        </is>
      </c>
    </row>
    <row r="70">
      <c r="B70" s="192" t="inlineStr">
        <is>
          <t>Áreas Comuns</t>
        </is>
      </c>
      <c r="C70" s="1366">
        <f>_xlfn.XLOOKUP(D70,MOBILIÁRIO!C:C,MOBILIÁRIO!B:B)</f>
        <v/>
      </c>
      <c r="D70" s="1366" t="inlineStr">
        <is>
          <t>Espaço Crossfit</t>
        </is>
      </c>
      <c r="E70" s="2061">
        <f>_xlfn.XLOOKUP(D70,MOBILIÁRIO!C:C,MOBILIÁRIO!F:F)</f>
        <v/>
      </c>
      <c r="I70" s="1371" t="inlineStr">
        <is>
          <t>Tipo Apart. 02</t>
        </is>
      </c>
    </row>
    <row r="71">
      <c r="B71" s="192" t="inlineStr">
        <is>
          <t>Áreas Comuns</t>
        </is>
      </c>
      <c r="C71" s="1366">
        <f>_xlfn.XLOOKUP(D71,MOBILIÁRIO!C:C,MOBILIÁRIO!B:B)</f>
        <v/>
      </c>
      <c r="D71" s="1366" t="inlineStr">
        <is>
          <t>Antecâmara - Lazer</t>
        </is>
      </c>
      <c r="E71" s="2061">
        <f>_xlfn.XLOOKUP(D71,MOBILIÁRIO!C:C,MOBILIÁRIO!F:F)</f>
        <v/>
      </c>
      <c r="I71" s="1371" t="inlineStr">
        <is>
          <t>Penthouse</t>
        </is>
      </c>
    </row>
    <row r="72" ht="23.25" customHeight="1" thickBot="1">
      <c r="B72" s="200" t="inlineStr">
        <is>
          <t>Áreas Comuns</t>
        </is>
      </c>
      <c r="C72" s="1368">
        <f>_xlfn.XLOOKUP(D72,MOBILIÁRIO!C:C,MOBILIÁRIO!B:B)</f>
        <v/>
      </c>
      <c r="D72" s="1368" t="inlineStr">
        <is>
          <t>Antecâmara - Tipos (x33)</t>
        </is>
      </c>
      <c r="E72" s="2062">
        <f>_xlfn.XLOOKUP(D72,MOBILIÁRIO!C:C,MOBILIÁRIO!F:F)</f>
        <v/>
      </c>
      <c r="I72" s="1371" t="inlineStr">
        <is>
          <t>Penthouse diferenciado</t>
        </is>
      </c>
    </row>
    <row r="73" ht="13.5" customHeight="1" thickBot="1">
      <c r="B73" s="1373" t="n"/>
      <c r="C73" s="1374" t="n"/>
      <c r="D73" s="1374" t="n"/>
      <c r="E73" s="2063" t="n"/>
      <c r="I73" s="1372" t="inlineStr">
        <is>
          <t>Duplex</t>
        </is>
      </c>
    </row>
    <row r="74">
      <c r="B74" s="1373" t="n"/>
      <c r="C74" s="1374" t="n"/>
      <c r="D74" s="1374" t="n"/>
      <c r="E74" s="2063" t="n"/>
    </row>
    <row r="75" ht="13.5" customHeight="1" thickBot="1"/>
    <row r="76" ht="22.5" customHeight="1">
      <c r="B76" s="451" t="inlineStr">
        <is>
          <t xml:space="preserve">Torre </t>
        </is>
      </c>
      <c r="C76" s="452" t="inlineStr">
        <is>
          <t>Apartamentos</t>
        </is>
      </c>
      <c r="D76" s="452" t="inlineStr">
        <is>
          <t>Área</t>
        </is>
      </c>
      <c r="E76" s="452" t="inlineStr">
        <is>
          <t>Quantidade</t>
        </is>
      </c>
      <c r="F76" s="452" t="inlineStr">
        <is>
          <t>Total vagas</t>
        </is>
      </c>
      <c r="G76" s="453" t="inlineStr">
        <is>
          <t>Total apartamentos</t>
        </is>
      </c>
      <c r="I76" s="415" t="inlineStr">
        <is>
          <t>QUADRO DE ÁREAS</t>
        </is>
      </c>
    </row>
    <row r="77">
      <c r="B77" s="444" t="inlineStr">
        <is>
          <t>Torre 1</t>
        </is>
      </c>
      <c r="C77" s="445" t="inlineStr">
        <is>
          <t>Tipo 1</t>
        </is>
      </c>
      <c r="D77" s="446" t="n">
        <v>102.67</v>
      </c>
      <c r="E77" s="446" t="n">
        <v>9</v>
      </c>
      <c r="F77" s="446" t="n">
        <v>18</v>
      </c>
      <c r="G77" s="447">
        <f>E77</f>
        <v/>
      </c>
      <c r="I77" s="191" t="n"/>
    </row>
    <row r="78">
      <c r="B78" s="444" t="inlineStr">
        <is>
          <t>Torre 1</t>
        </is>
      </c>
      <c r="C78" s="445" t="inlineStr">
        <is>
          <t>Tipo 2</t>
        </is>
      </c>
      <c r="D78" s="446" t="n">
        <v>108.38</v>
      </c>
      <c r="E78" s="446" t="n">
        <v>9</v>
      </c>
      <c r="F78" s="446" t="n">
        <v>18</v>
      </c>
      <c r="G78" s="447">
        <f>E78</f>
        <v/>
      </c>
      <c r="I78" s="191" t="n"/>
    </row>
    <row r="79" ht="25.5" customHeight="1">
      <c r="B79" s="444" t="inlineStr">
        <is>
          <t>Torre 1</t>
        </is>
      </c>
      <c r="C79" s="445" t="inlineStr">
        <is>
          <t>Tipo 3 penthouse (outorga)</t>
        </is>
      </c>
      <c r="D79" s="446" t="n">
        <v>202.02</v>
      </c>
      <c r="E79" s="446" t="n">
        <v>9</v>
      </c>
      <c r="F79" s="446" t="n">
        <v>18</v>
      </c>
      <c r="G79" s="447">
        <f>E79</f>
        <v/>
      </c>
      <c r="I79" s="191" t="n"/>
    </row>
    <row r="80">
      <c r="B80" s="444" t="inlineStr">
        <is>
          <t>Torre 1</t>
        </is>
      </c>
      <c r="C80" s="445" t="inlineStr">
        <is>
          <t>Tipo 3 penthouse</t>
        </is>
      </c>
      <c r="D80" s="446" t="n">
        <v>202.02</v>
      </c>
      <c r="E80" s="446" t="n">
        <v>12</v>
      </c>
      <c r="F80" s="446" t="n">
        <v>36</v>
      </c>
      <c r="G80" s="447">
        <f>E80</f>
        <v/>
      </c>
      <c r="I80" s="191" t="n"/>
    </row>
    <row r="81">
      <c r="B81" s="444" t="inlineStr">
        <is>
          <t>Torre 1</t>
        </is>
      </c>
      <c r="C81" s="445" t="inlineStr">
        <is>
          <t>Tipo 4 penthouse</t>
        </is>
      </c>
      <c r="D81" s="446" t="n">
        <v>199.18</v>
      </c>
      <c r="E81" s="446" t="n">
        <v>1</v>
      </c>
      <c r="F81" s="446" t="n">
        <v>3</v>
      </c>
      <c r="G81" s="447">
        <f>E81</f>
        <v/>
      </c>
      <c r="I81" s="191" t="n"/>
    </row>
    <row r="82" ht="13.5" customHeight="1" thickBot="1">
      <c r="B82" s="454" t="inlineStr">
        <is>
          <t>Torre 1</t>
        </is>
      </c>
      <c r="C82" s="455" t="inlineStr">
        <is>
          <t>duplex 1</t>
        </is>
      </c>
      <c r="D82" s="456" t="n">
        <v>329.41</v>
      </c>
      <c r="E82" s="456" t="n">
        <v>1</v>
      </c>
      <c r="F82" s="456" t="n">
        <v>4</v>
      </c>
      <c r="G82" s="447">
        <f>E82</f>
        <v/>
      </c>
      <c r="I82" s="191" t="n"/>
    </row>
    <row r="83">
      <c r="D83" s="452">
        <f>SUMPRODUCT(D77:E82)</f>
        <v/>
      </c>
      <c r="E83" s="452">
        <f>SUM(E77:E82)</f>
        <v/>
      </c>
      <c r="F83" s="452">
        <f>SUM(F77:F82)</f>
        <v/>
      </c>
      <c r="G83" s="452">
        <f>SUM(G77:G82)</f>
        <v/>
      </c>
      <c r="I83" s="191" t="n"/>
    </row>
    <row r="84">
      <c r="I84" s="191" t="n"/>
    </row>
    <row r="85" ht="13.5" customHeight="1" thickBot="1">
      <c r="I85" s="191" t="n"/>
    </row>
    <row r="86" ht="22.5" customHeight="1">
      <c r="B86" s="451" t="inlineStr">
        <is>
          <t xml:space="preserve">Torre </t>
        </is>
      </c>
      <c r="C86" s="452" t="inlineStr">
        <is>
          <t>Sala comercial</t>
        </is>
      </c>
      <c r="D86" s="452" t="inlineStr">
        <is>
          <t>Área</t>
        </is>
      </c>
      <c r="E86" s="452" t="inlineStr">
        <is>
          <t>Total vagas</t>
        </is>
      </c>
      <c r="F86" s="453" t="inlineStr">
        <is>
          <t>Total banheiros</t>
        </is>
      </c>
      <c r="I86" s="191" t="n"/>
    </row>
    <row r="87">
      <c r="B87" s="444" t="inlineStr">
        <is>
          <t>Torre 1</t>
        </is>
      </c>
      <c r="C87" s="445" t="inlineStr">
        <is>
          <t>Sala comercial 1</t>
        </is>
      </c>
      <c r="D87" s="446" t="n">
        <v>176.43</v>
      </c>
      <c r="E87" s="446" t="n">
        <v>2</v>
      </c>
      <c r="F87" s="447" t="n">
        <v>1</v>
      </c>
      <c r="I87" s="191" t="n"/>
    </row>
    <row r="88">
      <c r="B88" s="444" t="inlineStr">
        <is>
          <t>Torre 1</t>
        </is>
      </c>
      <c r="C88" s="445" t="inlineStr">
        <is>
          <t>Sala comercial 2</t>
        </is>
      </c>
      <c r="D88" s="446" t="n">
        <v>84.08</v>
      </c>
      <c r="E88" s="446" t="n">
        <v>1</v>
      </c>
      <c r="F88" s="447" t="n">
        <v>1</v>
      </c>
      <c r="I88" s="191" t="n"/>
    </row>
    <row r="89">
      <c r="B89" s="444" t="inlineStr">
        <is>
          <t>Torre 1</t>
        </is>
      </c>
      <c r="C89" s="445" t="inlineStr">
        <is>
          <t>Sala comercial 3</t>
        </is>
      </c>
      <c r="D89" s="446" t="n">
        <v>60.82</v>
      </c>
      <c r="E89" s="446" t="n">
        <v>1</v>
      </c>
      <c r="F89" s="447" t="n">
        <v>1</v>
      </c>
      <c r="I89" s="191" t="n"/>
    </row>
    <row r="90">
      <c r="B90" s="444" t="inlineStr">
        <is>
          <t>Torre 1</t>
        </is>
      </c>
      <c r="C90" s="445" t="inlineStr">
        <is>
          <t>Sala comercial 4</t>
        </is>
      </c>
      <c r="D90" s="446" t="n">
        <v>132.86</v>
      </c>
      <c r="E90" s="446" t="n">
        <v>2</v>
      </c>
      <c r="F90" s="447" t="n">
        <v>1</v>
      </c>
      <c r="I90" s="191" t="n"/>
    </row>
    <row r="91" ht="13.5" customHeight="1" thickBot="1">
      <c r="B91" s="454" t="inlineStr">
        <is>
          <t>Torre 1</t>
        </is>
      </c>
      <c r="C91" s="455" t="inlineStr">
        <is>
          <t>Sala comercial 5</t>
        </is>
      </c>
      <c r="D91" s="456" t="n">
        <v>83.77</v>
      </c>
      <c r="E91" s="456" t="n">
        <v>1</v>
      </c>
      <c r="F91" s="457" t="n">
        <v>1</v>
      </c>
      <c r="I91" s="191" t="n"/>
    </row>
    <row r="92">
      <c r="D92" s="458">
        <f>SUM(D87:D91)</f>
        <v/>
      </c>
      <c r="E92" s="458">
        <f>SUM(E87:E91)</f>
        <v/>
      </c>
      <c r="F92" s="458">
        <f>SUM(F87:F91)</f>
        <v/>
      </c>
      <c r="I92" s="191" t="n"/>
    </row>
    <row r="93">
      <c r="I93" s="191" t="n"/>
    </row>
    <row r="94">
      <c r="I94" s="191" t="n"/>
    </row>
    <row r="95">
      <c r="I95" s="191" t="n"/>
    </row>
    <row r="96">
      <c r="I96" s="191" t="n"/>
    </row>
    <row r="97">
      <c r="I97" s="191" t="n"/>
    </row>
    <row r="98">
      <c r="I98" s="191" t="n"/>
    </row>
    <row r="99">
      <c r="I99" s="191" t="n"/>
    </row>
    <row r="100" ht="13.5" customHeight="1" thickBot="1">
      <c r="I100" s="195" t="n"/>
    </row>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sheetData>
  <pageMargins left="0.511811024" right="0.511811024" top="0.787401575" bottom="0.787401575" header="0.31496062" footer="0.31496062"/>
  <pageSetup orientation="portrait" paperSize="9" scale="49" fitToHeight="0"/>
  <colBreaks count="1" manualBreakCount="1">
    <brk id="13" min="0" max="1048575" man="1"/>
  </colBreaks>
  <drawing xmlns:r="http://schemas.openxmlformats.org/officeDocument/2006/relationships" r:id="rId1"/>
</worksheet>
</file>

<file path=xl/worksheets/sheet2.xml><?xml version="1.0" encoding="utf-8"?>
<worksheet xmlns="http://schemas.openxmlformats.org/spreadsheetml/2006/main">
  <sheetPr>
    <tabColor rgb="FF1851D6"/>
    <outlinePr summaryBelow="0" summaryRight="0"/>
    <pageSetUpPr fitToPage="1"/>
  </sheetPr>
  <dimension ref="A1:AF496"/>
  <sheetViews>
    <sheetView showGridLines="0" zoomScale="90" zoomScaleNormal="90" workbookViewId="0">
      <pane xSplit="3" ySplit="3" topLeftCell="D158" activePane="bottomRight" state="frozen"/>
      <selection activeCell="B1" sqref="B1:D3"/>
      <selection pane="topRight" activeCell="B1" sqref="B1:D3"/>
      <selection pane="bottomLeft" activeCell="B1" sqref="B1:D3"/>
      <selection pane="bottomRight" activeCell="C354" sqref="C354"/>
    </sheetView>
  </sheetViews>
  <sheetFormatPr baseColWidth="8" defaultColWidth="8.85546875" defaultRowHeight="19.5"/>
  <cols>
    <col width="23.7109375" bestFit="1" customWidth="1" style="1949" min="1" max="1"/>
    <col width="23.5703125" customWidth="1" style="1433" min="2" max="2"/>
    <col width="84.7109375" bestFit="1" customWidth="1" style="1949" min="3" max="3"/>
    <col width="9.140625" customWidth="1" style="1949" min="4" max="4"/>
    <col width="8.85546875" customWidth="1" style="1434" min="5" max="32"/>
  </cols>
  <sheetData>
    <row r="1" ht="21.75" customHeight="1">
      <c r="A1" s="1945" t="inlineStr">
        <is>
          <t>EAP DE ORÇAMENTO</t>
        </is>
      </c>
      <c r="B1" s="2064" t="n"/>
      <c r="C1" s="2065" t="n"/>
    </row>
    <row r="2" ht="21.75" customHeight="1">
      <c r="A2" s="2066" t="n"/>
      <c r="C2" s="2067" t="n"/>
    </row>
    <row r="3" ht="21.75" customHeight="1">
      <c r="A3" s="1951" t="inlineStr">
        <is>
          <t>Contrutora - Obra</t>
        </is>
      </c>
      <c r="B3" s="2068" t="n"/>
      <c r="C3" s="2069" t="n"/>
    </row>
    <row r="4" ht="12" customHeight="1">
      <c r="A4" s="1413" t="n"/>
      <c r="B4" s="1414" t="n"/>
      <c r="C4" s="1415" t="n"/>
    </row>
    <row r="5" ht="20.45" customHeight="1">
      <c r="A5" s="1416" t="inlineStr">
        <is>
          <t>UNIDADE CONSTRUTIVA</t>
        </is>
      </c>
      <c r="B5" s="1417" t="n">
        <v>1</v>
      </c>
      <c r="C5" s="1418" t="inlineStr">
        <is>
          <t>GERENCIAMENTO TÉCNICO E ADMINISTRATIVO</t>
        </is>
      </c>
    </row>
    <row r="6" ht="20.45" customHeight="1">
      <c r="A6" s="1419" t="inlineStr">
        <is>
          <t>CÉLULA CONSTRUTIVA</t>
        </is>
      </c>
      <c r="B6" s="1417" t="n">
        <v>1</v>
      </c>
      <c r="C6" s="1420" t="inlineStr">
        <is>
          <t>SERVIÇOS TÉCNICOS</t>
        </is>
      </c>
    </row>
    <row r="7" ht="20.45" customHeight="1">
      <c r="A7" s="1419" t="inlineStr">
        <is>
          <t>ETAPA</t>
        </is>
      </c>
      <c r="B7" s="1800" t="inlineStr">
        <is>
          <t>1.001</t>
        </is>
      </c>
      <c r="C7" s="1420" t="inlineStr">
        <is>
          <t>ESTUDOS, PROJETOS E CONSULTORIAS</t>
        </is>
      </c>
    </row>
    <row r="8" ht="20.45" customHeight="1">
      <c r="A8" s="1421" t="inlineStr">
        <is>
          <t>Subetapa</t>
        </is>
      </c>
      <c r="B8" s="1417" t="inlineStr">
        <is>
          <t>01.001.001</t>
        </is>
      </c>
      <c r="C8" s="1422" t="inlineStr">
        <is>
          <t>Estudos</t>
        </is>
      </c>
    </row>
    <row r="9" ht="20.45" customHeight="1">
      <c r="A9" s="1421" t="inlineStr">
        <is>
          <t>Subetapa</t>
        </is>
      </c>
      <c r="B9" s="1417" t="inlineStr">
        <is>
          <t>01.001.002</t>
        </is>
      </c>
      <c r="C9" s="1422" t="inlineStr">
        <is>
          <t>Projetos</t>
        </is>
      </c>
    </row>
    <row r="10" ht="20.45" customHeight="1">
      <c r="A10" s="1421" t="inlineStr">
        <is>
          <t>Subetapa</t>
        </is>
      </c>
      <c r="B10" s="1417" t="inlineStr">
        <is>
          <t>01.001.003</t>
        </is>
      </c>
      <c r="C10" s="1422" t="inlineStr">
        <is>
          <t>Consultorias</t>
        </is>
      </c>
    </row>
    <row r="11" ht="20.45" customHeight="1">
      <c r="A11" s="1421" t="inlineStr">
        <is>
          <t>Subetapa</t>
        </is>
      </c>
      <c r="B11" s="1417" t="inlineStr">
        <is>
          <t>01.001.004</t>
        </is>
      </c>
      <c r="C11" s="1422" t="inlineStr">
        <is>
          <t>Ensaios</t>
        </is>
      </c>
    </row>
    <row r="12" ht="20.45" customHeight="1">
      <c r="A12" s="1419" t="inlineStr">
        <is>
          <t>ETAPA</t>
        </is>
      </c>
      <c r="B12" s="1800" t="inlineStr">
        <is>
          <t>1.002</t>
        </is>
      </c>
      <c r="C12" s="1420" t="inlineStr">
        <is>
          <t xml:space="preserve">TAXAS E DOCUMENTOS </t>
        </is>
      </c>
    </row>
    <row r="13" ht="20.45" customHeight="1">
      <c r="A13" s="1421" t="inlineStr">
        <is>
          <t>Subetapa</t>
        </is>
      </c>
      <c r="B13" s="1417" t="inlineStr">
        <is>
          <t>01.002.001</t>
        </is>
      </c>
      <c r="C13" s="1422" t="inlineStr">
        <is>
          <t xml:space="preserve">Licenciamentos, Taxas, Impostos, Aprovações e Seguros </t>
        </is>
      </c>
    </row>
    <row r="14" ht="20.45" customHeight="1">
      <c r="A14" s="1421" t="inlineStr">
        <is>
          <t>Subetapa</t>
        </is>
      </c>
      <c r="B14" s="1417" t="inlineStr">
        <is>
          <t>01.002.002</t>
        </is>
      </c>
      <c r="C14" s="1422" t="inlineStr">
        <is>
          <t>Documentos</t>
        </is>
      </c>
    </row>
    <row r="15" ht="20.45" customHeight="1">
      <c r="A15" s="1419" t="inlineStr">
        <is>
          <t>CÉLULA CONSTRUTIVA</t>
        </is>
      </c>
      <c r="B15" s="1417" t="n">
        <v>2</v>
      </c>
      <c r="C15" s="1420" t="inlineStr">
        <is>
          <t>SERVIÇOS INICIAIS</t>
        </is>
      </c>
    </row>
    <row r="16" ht="20.45" customHeight="1">
      <c r="A16" s="1419" t="inlineStr">
        <is>
          <t>ETAPA</t>
        </is>
      </c>
      <c r="B16" s="1800" t="inlineStr">
        <is>
          <t>2.001</t>
        </is>
      </c>
      <c r="C16" s="1420" t="inlineStr">
        <is>
          <t>SEGURANÇA, MEIO AMBIENTE, SAÚDE</t>
        </is>
      </c>
    </row>
    <row r="17" ht="20.45" customHeight="1">
      <c r="A17" s="1421" t="inlineStr">
        <is>
          <t>Subetapa</t>
        </is>
      </c>
      <c r="B17" s="1417" t="inlineStr">
        <is>
          <t>02.001.001</t>
        </is>
      </c>
      <c r="C17" s="1422" t="inlineStr">
        <is>
          <t>Segurança do trabalho</t>
        </is>
      </c>
    </row>
    <row r="18" ht="20.45" customHeight="1">
      <c r="A18" s="1421" t="inlineStr">
        <is>
          <t>Subetapa</t>
        </is>
      </c>
      <c r="B18" s="1417" t="inlineStr">
        <is>
          <t>02.001.002</t>
        </is>
      </c>
      <c r="C18" s="1422" t="inlineStr">
        <is>
          <t>Equipamentos de proteção</t>
        </is>
      </c>
    </row>
    <row r="19" ht="20.45" customHeight="1">
      <c r="A19" s="1421" t="inlineStr">
        <is>
          <t>Subetapa</t>
        </is>
      </c>
      <c r="B19" s="1417" t="inlineStr">
        <is>
          <t>02.001.003</t>
        </is>
      </c>
      <c r="C19" s="1422" t="inlineStr">
        <is>
          <t>Meio ambiente</t>
        </is>
      </c>
      <c r="F19" s="1717" t="n"/>
    </row>
    <row r="20" ht="20.45" customHeight="1">
      <c r="A20" s="1421" t="inlineStr">
        <is>
          <t>Subetapa</t>
        </is>
      </c>
      <c r="B20" s="1417" t="inlineStr">
        <is>
          <t>02.001.004</t>
        </is>
      </c>
      <c r="C20" s="1422" t="inlineStr">
        <is>
          <t>Saúde ocupacional</t>
        </is>
      </c>
    </row>
    <row r="21" ht="20.45" customHeight="1">
      <c r="A21" s="1419" t="inlineStr">
        <is>
          <t>ETAPA</t>
        </is>
      </c>
      <c r="B21" s="1800" t="inlineStr">
        <is>
          <t>2.002</t>
        </is>
      </c>
      <c r="C21" s="1420" t="inlineStr">
        <is>
          <t>ADMINISTRAÇÃO E CANTEIRO DE OBRA</t>
        </is>
      </c>
    </row>
    <row r="22" ht="20.45" customHeight="1">
      <c r="A22" s="1421" t="inlineStr">
        <is>
          <t>Subetapa</t>
        </is>
      </c>
      <c r="B22" s="1417" t="inlineStr">
        <is>
          <t>02.002.001</t>
        </is>
      </c>
      <c r="C22" s="1423" t="inlineStr">
        <is>
          <t>Equipe de Gestão e Apoio</t>
        </is>
      </c>
    </row>
    <row r="23" ht="20.45" customHeight="1">
      <c r="A23" s="1421" t="inlineStr">
        <is>
          <t>Subetapa</t>
        </is>
      </c>
      <c r="B23" s="1417" t="inlineStr">
        <is>
          <t>02.002.002</t>
        </is>
      </c>
      <c r="C23" s="1424" t="inlineStr">
        <is>
          <t>Operação inicial de canteiro</t>
        </is>
      </c>
    </row>
    <row r="24" ht="20.45" customHeight="1">
      <c r="A24" s="1421" t="inlineStr">
        <is>
          <t>Subetapa</t>
        </is>
      </c>
      <c r="B24" s="1417" t="inlineStr">
        <is>
          <t>02.002.003</t>
        </is>
      </c>
      <c r="C24" s="1423" t="inlineStr">
        <is>
          <t>Despesas de consumo e manutenção</t>
        </is>
      </c>
    </row>
    <row r="25" ht="20.45" customHeight="1">
      <c r="A25" s="1421" t="inlineStr">
        <is>
          <t>Subetapa</t>
        </is>
      </c>
      <c r="B25" s="1417" t="inlineStr">
        <is>
          <t>02.002.004</t>
        </is>
      </c>
      <c r="C25" s="1423" t="inlineStr">
        <is>
          <t>Instalações provisórias</t>
        </is>
      </c>
    </row>
    <row r="26" ht="20.45" customHeight="1">
      <c r="A26" s="1421" t="inlineStr">
        <is>
          <t>Subetapa</t>
        </is>
      </c>
      <c r="B26" s="1417" t="inlineStr">
        <is>
          <t>02.002.005</t>
        </is>
      </c>
      <c r="C26" s="1423" t="inlineStr">
        <is>
          <t>Ligações Provisórias</t>
        </is>
      </c>
    </row>
    <row r="27" ht="20.45" customHeight="1">
      <c r="A27" s="1419" t="inlineStr">
        <is>
          <t>ETAPA</t>
        </is>
      </c>
      <c r="B27" s="1800" t="inlineStr">
        <is>
          <t>2.003</t>
        </is>
      </c>
      <c r="C27" s="1420" t="inlineStr">
        <is>
          <t>SERVIÇOS PRELIMINARES</t>
        </is>
      </c>
    </row>
    <row r="28" ht="20.45" customHeight="1">
      <c r="A28" s="1421" t="inlineStr">
        <is>
          <t>Subetapa</t>
        </is>
      </c>
      <c r="B28" s="1417" t="inlineStr">
        <is>
          <t>02.003.001</t>
        </is>
      </c>
      <c r="C28" s="1423" t="inlineStr">
        <is>
          <t xml:space="preserve">Demolições </t>
        </is>
      </c>
    </row>
    <row r="29" ht="20.45" customHeight="1">
      <c r="A29" s="1421" t="inlineStr">
        <is>
          <t>Subetapa</t>
        </is>
      </c>
      <c r="B29" s="1417" t="inlineStr">
        <is>
          <t>02.003.002</t>
        </is>
      </c>
      <c r="C29" s="1423" t="inlineStr">
        <is>
          <t>Limpeza de terreno</t>
        </is>
      </c>
    </row>
    <row r="30" ht="20.45" customHeight="1">
      <c r="A30" s="1419" t="inlineStr">
        <is>
          <t>CÉLULA CONSTRUTIVA</t>
        </is>
      </c>
      <c r="B30" s="1417" t="n">
        <v>3</v>
      </c>
      <c r="C30" s="1420" t="inlineStr">
        <is>
          <t>EQUIPAMENTOS</t>
        </is>
      </c>
    </row>
    <row r="31" ht="20.45" customHeight="1">
      <c r="A31" s="1419" t="inlineStr">
        <is>
          <t>ETAPA</t>
        </is>
      </c>
      <c r="B31" s="1800" t="inlineStr">
        <is>
          <t>3.001</t>
        </is>
      </c>
      <c r="C31" s="1420" t="inlineStr">
        <is>
          <t>EQUIPAMENTOS</t>
        </is>
      </c>
    </row>
    <row r="32" ht="20.45" customHeight="1">
      <c r="A32" s="1421" t="inlineStr">
        <is>
          <t>Subetapa</t>
        </is>
      </c>
      <c r="B32" s="1417" t="inlineStr">
        <is>
          <t>03.001.001</t>
        </is>
      </c>
      <c r="C32" s="1423" t="inlineStr">
        <is>
          <t>Equipamentos de Carga e Transporte</t>
        </is>
      </c>
    </row>
    <row r="33" ht="20.45" customHeight="1">
      <c r="A33" s="1421" t="inlineStr">
        <is>
          <t>Subetapa</t>
        </is>
      </c>
      <c r="B33" s="1417" t="inlineStr">
        <is>
          <t>03.001.002</t>
        </is>
      </c>
      <c r="C33" s="1423" t="inlineStr">
        <is>
          <t>Equipamentos de obra</t>
        </is>
      </c>
    </row>
    <row r="34" ht="20.45" customHeight="1">
      <c r="A34" s="1421" t="inlineStr">
        <is>
          <t>Subetapa</t>
        </is>
      </c>
      <c r="B34" s="1417" t="inlineStr">
        <is>
          <t>03.001.003</t>
        </is>
      </c>
      <c r="C34" s="1424" t="inlineStr">
        <is>
          <t>Balancins e Andaimes</t>
        </is>
      </c>
    </row>
    <row r="35" ht="20.45" customHeight="1">
      <c r="A35" s="1416" t="inlineStr">
        <is>
          <t>UNIDADE CONSTRUTIVA</t>
        </is>
      </c>
      <c r="B35" s="1417" t="n">
        <v>2</v>
      </c>
      <c r="C35" s="1425" t="inlineStr">
        <is>
          <t>GERENCIAMENTO EXECUTIVO</t>
        </is>
      </c>
    </row>
    <row r="36" ht="20.45" customHeight="1">
      <c r="A36" s="1419" t="inlineStr">
        <is>
          <t>CÉLULA CONSTRUTIVA</t>
        </is>
      </c>
      <c r="B36" s="1417" t="n">
        <v>1</v>
      </c>
      <c r="C36" s="1420" t="inlineStr">
        <is>
          <t>INFRAESTRUTURA</t>
        </is>
      </c>
    </row>
    <row r="37" ht="20.45" customHeight="1">
      <c r="A37" s="1419" t="inlineStr">
        <is>
          <t>ETAPA</t>
        </is>
      </c>
      <c r="B37" s="1800" t="inlineStr">
        <is>
          <t>1.001</t>
        </is>
      </c>
      <c r="C37" s="1420" t="inlineStr">
        <is>
          <t>MOVIMENTAÇÃO DE TERRA</t>
        </is>
      </c>
    </row>
    <row r="38" ht="20.45" customHeight="1">
      <c r="A38" s="1421" t="inlineStr">
        <is>
          <t>Subetapa</t>
        </is>
      </c>
      <c r="B38" s="1417" t="inlineStr">
        <is>
          <t>01.001.001</t>
        </is>
      </c>
      <c r="C38" s="1422" t="inlineStr">
        <is>
          <t>Corte e aterro</t>
        </is>
      </c>
    </row>
    <row r="39" ht="20.45" customHeight="1">
      <c r="A39" s="1421" t="inlineStr">
        <is>
          <t>Subetapa</t>
        </is>
      </c>
      <c r="B39" s="1417" t="inlineStr">
        <is>
          <t>01.001.002</t>
        </is>
      </c>
      <c r="C39" s="1422" t="inlineStr">
        <is>
          <t>Rebaixamento de lençol</t>
        </is>
      </c>
    </row>
    <row r="40" ht="20.45" customHeight="1">
      <c r="A40" s="1421" t="inlineStr">
        <is>
          <t>Subetapa</t>
        </is>
      </c>
      <c r="B40" s="1417" t="inlineStr">
        <is>
          <t>01.001.003</t>
        </is>
      </c>
      <c r="C40" s="1422" t="inlineStr">
        <is>
          <t>Escavação e Reaterro de Valas</t>
        </is>
      </c>
    </row>
    <row r="41" ht="20.45" customHeight="1">
      <c r="A41" s="1421" t="inlineStr">
        <is>
          <t>Subetapa</t>
        </is>
      </c>
      <c r="B41" s="1417" t="inlineStr">
        <is>
          <t>01.001.004</t>
        </is>
      </c>
      <c r="C41" s="1422" t="inlineStr">
        <is>
          <t>Lastro de estrutura de concreto</t>
        </is>
      </c>
    </row>
    <row r="42" ht="20.45" customHeight="1">
      <c r="A42" s="1421" t="inlineStr">
        <is>
          <t>Subetapa</t>
        </is>
      </c>
      <c r="B42" s="1417" t="inlineStr">
        <is>
          <t>01.001.005</t>
        </is>
      </c>
      <c r="C42" s="1422" t="inlineStr">
        <is>
          <t>Movimentação de bota - fora</t>
        </is>
      </c>
    </row>
    <row r="43" ht="20.45" customHeight="1">
      <c r="A43" s="1419" t="inlineStr">
        <is>
          <t>ETAPA</t>
        </is>
      </c>
      <c r="B43" s="1800" t="inlineStr">
        <is>
          <t>1.002</t>
        </is>
      </c>
      <c r="C43" s="1420" t="inlineStr">
        <is>
          <t>FUNDAÇÃO PROFUNDA</t>
        </is>
      </c>
    </row>
    <row r="44" ht="20.45" customHeight="1">
      <c r="A44" s="1421" t="inlineStr">
        <is>
          <t>Subetapa</t>
        </is>
      </c>
      <c r="B44" s="1417" t="inlineStr">
        <is>
          <t>01.002.001</t>
        </is>
      </c>
      <c r="C44" s="1422" t="inlineStr">
        <is>
          <t>Perfuração</t>
        </is>
      </c>
    </row>
    <row r="45" ht="20.45" customHeight="1">
      <c r="A45" s="1421" t="inlineStr">
        <is>
          <t>Subetapa</t>
        </is>
      </c>
      <c r="B45" s="1417" t="inlineStr">
        <is>
          <t>01.002.002</t>
        </is>
      </c>
      <c r="C45" s="1422" t="inlineStr">
        <is>
          <t>Armadura</t>
        </is>
      </c>
    </row>
    <row r="46" ht="20.45" customHeight="1">
      <c r="A46" s="1421" t="inlineStr">
        <is>
          <t>Subetapa</t>
        </is>
      </c>
      <c r="B46" s="1417" t="inlineStr">
        <is>
          <t>01.002.003</t>
        </is>
      </c>
      <c r="C46" s="1422" t="inlineStr">
        <is>
          <t>Acessórios</t>
        </is>
      </c>
    </row>
    <row r="47" ht="20.45" customHeight="1">
      <c r="A47" s="1421" t="inlineStr">
        <is>
          <t>Subetapa</t>
        </is>
      </c>
      <c r="B47" s="1417" t="inlineStr">
        <is>
          <t>01.002.004</t>
        </is>
      </c>
      <c r="C47" s="1422" t="inlineStr">
        <is>
          <t>Concreto</t>
        </is>
      </c>
    </row>
    <row r="48" ht="20.45" customHeight="1">
      <c r="A48" s="1421" t="inlineStr">
        <is>
          <t>Subetapa</t>
        </is>
      </c>
      <c r="B48" s="1417" t="inlineStr">
        <is>
          <t>01.002.005</t>
        </is>
      </c>
      <c r="C48" s="1422" t="inlineStr">
        <is>
          <t>Mão de obra</t>
        </is>
      </c>
    </row>
    <row r="49" ht="20.45" customHeight="1">
      <c r="A49" s="1419" t="inlineStr">
        <is>
          <t>ETAPA</t>
        </is>
      </c>
      <c r="B49" s="1800" t="inlineStr">
        <is>
          <t>1.003</t>
        </is>
      </c>
      <c r="C49" s="1420" t="inlineStr">
        <is>
          <t>FUNDAÇÃO RASA</t>
        </is>
      </c>
    </row>
    <row r="50" ht="20.45" customHeight="1">
      <c r="A50" s="1421" t="inlineStr">
        <is>
          <t>Subetapa</t>
        </is>
      </c>
      <c r="B50" s="1417" t="inlineStr">
        <is>
          <t>01.003.001</t>
        </is>
      </c>
      <c r="C50" s="1422" t="inlineStr">
        <is>
          <t>Forma</t>
        </is>
      </c>
    </row>
    <row r="51" ht="20.45" customHeight="1">
      <c r="A51" s="1421" t="inlineStr">
        <is>
          <t>Subetapa</t>
        </is>
      </c>
      <c r="B51" s="1417" t="inlineStr">
        <is>
          <t>01.003.002</t>
        </is>
      </c>
      <c r="C51" s="1422" t="inlineStr">
        <is>
          <t>Armadura</t>
        </is>
      </c>
    </row>
    <row r="52" ht="20.45" customHeight="1">
      <c r="A52" s="1421" t="inlineStr">
        <is>
          <t>Subetapa</t>
        </is>
      </c>
      <c r="B52" s="1417" t="inlineStr">
        <is>
          <t>01.003.003</t>
        </is>
      </c>
      <c r="C52" s="1422" t="inlineStr">
        <is>
          <t>Concreto</t>
        </is>
      </c>
    </row>
    <row r="53" ht="20.45" customHeight="1">
      <c r="A53" s="1421" t="inlineStr">
        <is>
          <t>Subetapa</t>
        </is>
      </c>
      <c r="B53" s="1417" t="inlineStr">
        <is>
          <t>01.003.004</t>
        </is>
      </c>
      <c r="C53" s="1422" t="inlineStr">
        <is>
          <t>Mão de obra</t>
        </is>
      </c>
    </row>
    <row r="54" ht="20.45" customHeight="1">
      <c r="A54" s="1419" t="inlineStr">
        <is>
          <t>CÉLULA CONSTRUTIVA</t>
        </is>
      </c>
      <c r="B54" s="1417" t="n">
        <v>2</v>
      </c>
      <c r="C54" s="1420" t="inlineStr">
        <is>
          <t>SUPRAESTRUTURA</t>
        </is>
      </c>
    </row>
    <row r="55" ht="20.45" customHeight="1">
      <c r="A55" s="1419" t="inlineStr">
        <is>
          <t>ETAPA</t>
        </is>
      </c>
      <c r="B55" s="1800" t="inlineStr">
        <is>
          <t>2.001</t>
        </is>
      </c>
      <c r="C55" s="1426" t="inlineStr">
        <is>
          <t>SUPRAESTRUTURA - EMBASAMENTO</t>
        </is>
      </c>
    </row>
    <row r="56" ht="20.45" customHeight="1">
      <c r="A56" s="1421" t="inlineStr">
        <is>
          <t>Subetapa</t>
        </is>
      </c>
      <c r="B56" s="1417" t="inlineStr">
        <is>
          <t>02.001.001</t>
        </is>
      </c>
      <c r="C56" s="1422" t="inlineStr">
        <is>
          <t>Forma</t>
        </is>
      </c>
    </row>
    <row r="57" ht="20.45" customHeight="1">
      <c r="A57" s="1421" t="inlineStr">
        <is>
          <t>Subetapa</t>
        </is>
      </c>
      <c r="B57" s="1417" t="inlineStr">
        <is>
          <t>02.001.002</t>
        </is>
      </c>
      <c r="C57" s="1422" t="inlineStr">
        <is>
          <t>Armadura</t>
        </is>
      </c>
    </row>
    <row r="58" ht="20.45" customHeight="1">
      <c r="A58" s="1421" t="inlineStr">
        <is>
          <t>Subetapa</t>
        </is>
      </c>
      <c r="B58" s="1417" t="inlineStr">
        <is>
          <t>02.001.003</t>
        </is>
      </c>
      <c r="C58" s="1422" t="inlineStr">
        <is>
          <t xml:space="preserve">Concreto </t>
        </is>
      </c>
    </row>
    <row r="59" ht="20.45" customHeight="1">
      <c r="A59" s="1421" t="inlineStr">
        <is>
          <t>Subetapa</t>
        </is>
      </c>
      <c r="B59" s="1417" t="inlineStr">
        <is>
          <t>02.001.004</t>
        </is>
      </c>
      <c r="C59" s="1422" t="inlineStr">
        <is>
          <t>Complementares</t>
        </is>
      </c>
    </row>
    <row r="60" ht="20.45" customHeight="1">
      <c r="A60" s="1421" t="inlineStr">
        <is>
          <t>Subetapa</t>
        </is>
      </c>
      <c r="B60" s="1417" t="inlineStr">
        <is>
          <t>02.001.005</t>
        </is>
      </c>
      <c r="C60" s="1422" t="inlineStr">
        <is>
          <t>Mão de obra</t>
        </is>
      </c>
    </row>
    <row r="61" ht="20.45" customHeight="1">
      <c r="A61" s="1419" t="inlineStr">
        <is>
          <t>ETAPA</t>
        </is>
      </c>
      <c r="B61" s="1800" t="inlineStr">
        <is>
          <t>2.002</t>
        </is>
      </c>
      <c r="C61" s="1426" t="inlineStr">
        <is>
          <t>SUPRAESTRUTURA - TORRE A</t>
        </is>
      </c>
    </row>
    <row r="62" ht="20.45" customHeight="1">
      <c r="A62" s="1421" t="inlineStr">
        <is>
          <t>Subetapa</t>
        </is>
      </c>
      <c r="B62" s="1417" t="inlineStr">
        <is>
          <t>02.002.001</t>
        </is>
      </c>
      <c r="C62" s="1422" t="inlineStr">
        <is>
          <t>Forma</t>
        </is>
      </c>
    </row>
    <row r="63" ht="20.45" customHeight="1">
      <c r="A63" s="1421" t="inlineStr">
        <is>
          <t>Subetapa</t>
        </is>
      </c>
      <c r="B63" s="1417" t="inlineStr">
        <is>
          <t>02.002.002</t>
        </is>
      </c>
      <c r="C63" s="1422" t="inlineStr">
        <is>
          <t>Armadura</t>
        </is>
      </c>
    </row>
    <row r="64" ht="20.45" customHeight="1">
      <c r="A64" s="1421" t="inlineStr">
        <is>
          <t>Subetapa</t>
        </is>
      </c>
      <c r="B64" s="1417" t="inlineStr">
        <is>
          <t>02.002.003</t>
        </is>
      </c>
      <c r="C64" s="1422" t="inlineStr">
        <is>
          <t xml:space="preserve">Concreto </t>
        </is>
      </c>
    </row>
    <row r="65" ht="20.45" customHeight="1">
      <c r="A65" s="1421" t="inlineStr">
        <is>
          <t>Subetapa</t>
        </is>
      </c>
      <c r="B65" s="1417" t="inlineStr">
        <is>
          <t>02.002.004</t>
        </is>
      </c>
      <c r="C65" s="1422" t="inlineStr">
        <is>
          <t>Complementares</t>
        </is>
      </c>
    </row>
    <row r="66" ht="20.45" customHeight="1">
      <c r="A66" s="1421" t="inlineStr">
        <is>
          <t>Subetapa</t>
        </is>
      </c>
      <c r="B66" s="1417" t="inlineStr">
        <is>
          <t>02.002.005</t>
        </is>
      </c>
      <c r="C66" s="1422" t="inlineStr">
        <is>
          <t>Mão de obra</t>
        </is>
      </c>
    </row>
    <row r="67" ht="20.45" customHeight="1">
      <c r="A67" s="1419" t="inlineStr">
        <is>
          <t>ETAPA</t>
        </is>
      </c>
      <c r="B67" s="1800" t="inlineStr">
        <is>
          <t>2.003</t>
        </is>
      </c>
      <c r="C67" s="1426" t="inlineStr">
        <is>
          <t>SUPRAESTRUTURA - TORRE B</t>
        </is>
      </c>
    </row>
    <row r="68" ht="20.45" customHeight="1">
      <c r="A68" s="1421" t="inlineStr">
        <is>
          <t>Subetapa</t>
        </is>
      </c>
      <c r="B68" s="1417" t="inlineStr">
        <is>
          <t>02.003.001</t>
        </is>
      </c>
      <c r="C68" s="1422" t="inlineStr">
        <is>
          <t>Forma</t>
        </is>
      </c>
    </row>
    <row r="69" ht="20.45" customHeight="1">
      <c r="A69" s="1421" t="inlineStr">
        <is>
          <t>Subetapa</t>
        </is>
      </c>
      <c r="B69" s="1417" t="inlineStr">
        <is>
          <t>02.003.002</t>
        </is>
      </c>
      <c r="C69" s="1422" t="inlineStr">
        <is>
          <t>Armadura</t>
        </is>
      </c>
    </row>
    <row r="70" ht="20.45" customHeight="1">
      <c r="A70" s="1421" t="inlineStr">
        <is>
          <t>Subetapa</t>
        </is>
      </c>
      <c r="B70" s="1417" t="inlineStr">
        <is>
          <t>02.003.003</t>
        </is>
      </c>
      <c r="C70" s="1422" t="inlineStr">
        <is>
          <t xml:space="preserve">Concreto </t>
        </is>
      </c>
    </row>
    <row r="71" ht="20.45" customHeight="1">
      <c r="A71" s="1421" t="inlineStr">
        <is>
          <t>Subetapa</t>
        </is>
      </c>
      <c r="B71" s="1417" t="inlineStr">
        <is>
          <t>02.003.004</t>
        </is>
      </c>
      <c r="C71" s="1422" t="inlineStr">
        <is>
          <t>Complementares</t>
        </is>
      </c>
    </row>
    <row r="72" ht="20.45" customHeight="1">
      <c r="A72" s="1421" t="inlineStr">
        <is>
          <t>Subetapa</t>
        </is>
      </c>
      <c r="B72" s="1417" t="inlineStr">
        <is>
          <t>02.003.005</t>
        </is>
      </c>
      <c r="C72" s="1422" t="inlineStr">
        <is>
          <t>Mão de obra</t>
        </is>
      </c>
    </row>
    <row r="73" ht="20.45" customHeight="1">
      <c r="A73" s="1419" t="inlineStr">
        <is>
          <t>CÉLULA CONSTRUTIVA</t>
        </is>
      </c>
      <c r="B73" s="1417" t="n">
        <v>3</v>
      </c>
      <c r="C73" s="1420" t="inlineStr">
        <is>
          <t>PAREDES E PAINÉIS</t>
        </is>
      </c>
    </row>
    <row r="74" ht="20.45" customHeight="1">
      <c r="A74" s="1419" t="inlineStr">
        <is>
          <t>ETAPA</t>
        </is>
      </c>
      <c r="B74" s="1800" t="inlineStr">
        <is>
          <t>3.001</t>
        </is>
      </c>
      <c r="C74" s="1427" t="inlineStr">
        <is>
          <t>PAREDES E PAINÉIS - EMBASAMENTO</t>
        </is>
      </c>
    </row>
    <row r="75" ht="20.45" customHeight="1">
      <c r="A75" s="1421" t="inlineStr">
        <is>
          <t>Subetapa</t>
        </is>
      </c>
      <c r="B75" s="1417" t="inlineStr">
        <is>
          <t>03.001.001</t>
        </is>
      </c>
      <c r="C75" s="1422" t="inlineStr">
        <is>
          <t>Alvenaria de vedação com blocos cerâmicos</t>
        </is>
      </c>
    </row>
    <row r="76" ht="20.45" customHeight="1">
      <c r="A76" s="1421" t="inlineStr">
        <is>
          <t>Subetapa</t>
        </is>
      </c>
      <c r="B76" s="1417" t="inlineStr">
        <is>
          <t>03.001.002</t>
        </is>
      </c>
      <c r="C76" s="1422" t="inlineStr">
        <is>
          <t>Alvenaria de vedação com bocos de concreto</t>
        </is>
      </c>
    </row>
    <row r="77" ht="20.45" customHeight="1">
      <c r="A77" s="1421" t="inlineStr">
        <is>
          <t>Subetapa</t>
        </is>
      </c>
      <c r="B77" s="1417" t="inlineStr">
        <is>
          <t>03.001.003</t>
        </is>
      </c>
      <c r="C77" s="1422" t="inlineStr">
        <is>
          <t>Serviços complementares para alvenaria de vedação</t>
        </is>
      </c>
    </row>
    <row r="78" ht="20.45" customHeight="1">
      <c r="A78" s="1421" t="inlineStr">
        <is>
          <t>Subetapa</t>
        </is>
      </c>
      <c r="B78" s="1417" t="inlineStr">
        <is>
          <t>03.001.004</t>
        </is>
      </c>
      <c r="C78" s="1422" t="inlineStr">
        <is>
          <t>Drywall</t>
        </is>
      </c>
    </row>
    <row r="79" ht="20.45" customHeight="1">
      <c r="A79" s="1421" t="inlineStr">
        <is>
          <t>Subetapa</t>
        </is>
      </c>
      <c r="B79" s="1417" t="inlineStr">
        <is>
          <t>03.001.005</t>
        </is>
      </c>
      <c r="C79" s="1422" t="inlineStr">
        <is>
          <t>Mão de obra</t>
        </is>
      </c>
    </row>
    <row r="80" ht="20.45" customHeight="1">
      <c r="A80" s="1419" t="inlineStr">
        <is>
          <t>ETAPA</t>
        </is>
      </c>
      <c r="B80" s="1800" t="inlineStr">
        <is>
          <t>3.002</t>
        </is>
      </c>
      <c r="C80" s="1427" t="inlineStr">
        <is>
          <t>PAREDES E PAINÉIS - TORRE A</t>
        </is>
      </c>
    </row>
    <row r="81" ht="20.45" customHeight="1">
      <c r="A81" s="1421" t="inlineStr">
        <is>
          <t>Subetapa</t>
        </is>
      </c>
      <c r="B81" s="1417" t="inlineStr">
        <is>
          <t>03.002.001</t>
        </is>
      </c>
      <c r="C81" s="1422" t="inlineStr">
        <is>
          <t>Alvenaria de vedação com blocos cerâmicos</t>
        </is>
      </c>
    </row>
    <row r="82" ht="20.45" customHeight="1">
      <c r="A82" s="1421" t="inlineStr">
        <is>
          <t>Subetapa</t>
        </is>
      </c>
      <c r="B82" s="1417" t="inlineStr">
        <is>
          <t>03.002.002</t>
        </is>
      </c>
      <c r="C82" s="1422" t="inlineStr">
        <is>
          <t>Alvenaria de vedação com bocos de concreto</t>
        </is>
      </c>
    </row>
    <row r="83" ht="20.45" customHeight="1">
      <c r="A83" s="1421" t="inlineStr">
        <is>
          <t>Subetapa</t>
        </is>
      </c>
      <c r="B83" s="1417" t="inlineStr">
        <is>
          <t>03.002.003</t>
        </is>
      </c>
      <c r="C83" s="1422" t="inlineStr">
        <is>
          <t>Serviços complementares para alvenaria de vedação</t>
        </is>
      </c>
    </row>
    <row r="84" ht="20.45" customHeight="1">
      <c r="A84" s="1421" t="inlineStr">
        <is>
          <t>Subetapa</t>
        </is>
      </c>
      <c r="B84" s="1417" t="inlineStr">
        <is>
          <t>03.002.004</t>
        </is>
      </c>
      <c r="C84" s="1422" t="inlineStr">
        <is>
          <t>Drywall</t>
        </is>
      </c>
    </row>
    <row r="85" ht="20.45" customHeight="1">
      <c r="A85" s="1421" t="inlineStr">
        <is>
          <t>Subetapa</t>
        </is>
      </c>
      <c r="B85" s="1417" t="inlineStr">
        <is>
          <t>03.002.005</t>
        </is>
      </c>
      <c r="C85" s="1422" t="inlineStr">
        <is>
          <t>Mão de obra</t>
        </is>
      </c>
    </row>
    <row r="86" ht="20.45" customHeight="1">
      <c r="A86" s="1419" t="inlineStr">
        <is>
          <t>ETAPA</t>
        </is>
      </c>
      <c r="B86" s="1800" t="inlineStr">
        <is>
          <t>3.003</t>
        </is>
      </c>
      <c r="C86" s="1427" t="inlineStr">
        <is>
          <t>PAREDES E PAINÉIS - TORRE B</t>
        </is>
      </c>
    </row>
    <row r="87" ht="20.45" customHeight="1">
      <c r="A87" s="1421" t="inlineStr">
        <is>
          <t>Subetapa</t>
        </is>
      </c>
      <c r="B87" s="1417" t="inlineStr">
        <is>
          <t>03.003.001</t>
        </is>
      </c>
      <c r="C87" s="1422" t="inlineStr">
        <is>
          <t>Alvenaria de vedação com blocos cerâmicos</t>
        </is>
      </c>
    </row>
    <row r="88" ht="20.45" customHeight="1">
      <c r="A88" s="1421" t="inlineStr">
        <is>
          <t>Subetapa</t>
        </is>
      </c>
      <c r="B88" s="1417" t="inlineStr">
        <is>
          <t>03.003.002</t>
        </is>
      </c>
      <c r="C88" s="1422" t="inlineStr">
        <is>
          <t>Alvenaria de vedação com bocos de concreto</t>
        </is>
      </c>
    </row>
    <row r="89" ht="20.45" customHeight="1">
      <c r="A89" s="1421" t="inlineStr">
        <is>
          <t>Subetapa</t>
        </is>
      </c>
      <c r="B89" s="1417" t="inlineStr">
        <is>
          <t>03.003.003</t>
        </is>
      </c>
      <c r="C89" s="1422" t="inlineStr">
        <is>
          <t>Serviços complementares para alvenaria de vedação</t>
        </is>
      </c>
    </row>
    <row r="90" ht="20.45" customHeight="1">
      <c r="A90" s="1421" t="inlineStr">
        <is>
          <t>Subetapa</t>
        </is>
      </c>
      <c r="B90" s="1417" t="inlineStr">
        <is>
          <t>03.003.004</t>
        </is>
      </c>
      <c r="C90" s="1422" t="inlineStr">
        <is>
          <t>Drywall</t>
        </is>
      </c>
    </row>
    <row r="91" ht="20.45" customHeight="1">
      <c r="A91" s="1421" t="inlineStr">
        <is>
          <t>Subetapa</t>
        </is>
      </c>
      <c r="B91" s="1417" t="inlineStr">
        <is>
          <t>03.003.005</t>
        </is>
      </c>
      <c r="C91" s="1422" t="inlineStr">
        <is>
          <t>Mão de obra</t>
        </is>
      </c>
    </row>
    <row r="92" ht="20.45" customHeight="1">
      <c r="A92" s="1419" t="inlineStr">
        <is>
          <t>CÉLULA CONSTRUTIVA</t>
        </is>
      </c>
      <c r="B92" s="1417" t="n">
        <v>4</v>
      </c>
      <c r="C92" s="1420" t="inlineStr">
        <is>
          <t>IMPERMEABILIZAÇÃO E TRATAMENTOS</t>
        </is>
      </c>
    </row>
    <row r="93" ht="20.45" customHeight="1">
      <c r="A93" s="1419" t="inlineStr">
        <is>
          <t>ETAPA</t>
        </is>
      </c>
      <c r="B93" s="1800" t="inlineStr">
        <is>
          <t>4.001</t>
        </is>
      </c>
      <c r="C93" s="1427" t="inlineStr">
        <is>
          <t>IMPERMEABILIZAÇÃO E TRATAMENTOS - EMBASAMENTO</t>
        </is>
      </c>
    </row>
    <row r="94" ht="20.45" customHeight="1">
      <c r="A94" s="1421" t="inlineStr">
        <is>
          <t>Subetapa</t>
        </is>
      </c>
      <c r="B94" s="1417" t="inlineStr">
        <is>
          <t>04.001.001</t>
        </is>
      </c>
      <c r="C94" s="1422" t="inlineStr">
        <is>
          <t>Regularização e proteção mecânica</t>
        </is>
      </c>
    </row>
    <row r="95" ht="20.45" customHeight="1">
      <c r="A95" s="1421" t="inlineStr">
        <is>
          <t>Subetapa</t>
        </is>
      </c>
      <c r="B95" s="1417" t="inlineStr">
        <is>
          <t>04.001.002</t>
        </is>
      </c>
      <c r="C95" s="1422" t="inlineStr">
        <is>
          <t xml:space="preserve">Impermeabilização de cisternas </t>
        </is>
      </c>
    </row>
    <row r="96" ht="20.45" customHeight="1">
      <c r="A96" s="1421" t="inlineStr">
        <is>
          <t>Subetapa</t>
        </is>
      </c>
      <c r="B96" s="1417" t="inlineStr">
        <is>
          <t>04.001.003</t>
        </is>
      </c>
      <c r="C96" s="1422" t="inlineStr">
        <is>
          <t>Impermeabilização de fundação e contenção</t>
        </is>
      </c>
    </row>
    <row r="97" ht="20.45" customHeight="1">
      <c r="A97" s="1421" t="inlineStr">
        <is>
          <t>Subetapa</t>
        </is>
      </c>
      <c r="B97" s="1417" t="inlineStr">
        <is>
          <t>04.001.004</t>
        </is>
      </c>
      <c r="C97" s="1422" t="inlineStr">
        <is>
          <t>Impermeabilização de lajes e terraços</t>
        </is>
      </c>
    </row>
    <row r="98" ht="20.45" customHeight="1">
      <c r="A98" s="1421" t="inlineStr">
        <is>
          <t>Subetapa</t>
        </is>
      </c>
      <c r="B98" s="1417" t="inlineStr">
        <is>
          <t>04.001.005</t>
        </is>
      </c>
      <c r="C98" s="1422" t="inlineStr">
        <is>
          <t>Impermeabilização de piscinas e espelhos d´água</t>
        </is>
      </c>
    </row>
    <row r="99" ht="20.45" customHeight="1">
      <c r="A99" s="1421" t="inlineStr">
        <is>
          <t>Subetapa</t>
        </is>
      </c>
      <c r="B99" s="1417" t="inlineStr">
        <is>
          <t>04.001.006</t>
        </is>
      </c>
      <c r="C99" s="1422" t="inlineStr">
        <is>
          <t>Impermeabilização de banheiro, cozinha e sacada</t>
        </is>
      </c>
    </row>
    <row r="100" ht="20.45" customHeight="1">
      <c r="A100" s="1421" t="inlineStr">
        <is>
          <t>Subetapa</t>
        </is>
      </c>
      <c r="B100" s="1417" t="inlineStr">
        <is>
          <t>04.001.007</t>
        </is>
      </c>
      <c r="C100" s="1422" t="inlineStr">
        <is>
          <t>Impermeabilização de esquadrias</t>
        </is>
      </c>
    </row>
    <row r="101" ht="20.45" customHeight="1">
      <c r="A101" s="1421" t="inlineStr">
        <is>
          <t>Subetapa</t>
        </is>
      </c>
      <c r="B101" s="1417" t="inlineStr">
        <is>
          <t>04.001.008</t>
        </is>
      </c>
      <c r="C101" s="1422" t="inlineStr">
        <is>
          <t>Impermeabilização de ralos</t>
        </is>
      </c>
    </row>
    <row r="102" ht="20.45" customHeight="1">
      <c r="A102" s="1421" t="inlineStr">
        <is>
          <t>Subetapa</t>
        </is>
      </c>
      <c r="B102" s="1417" t="inlineStr">
        <is>
          <t>04.001.009</t>
        </is>
      </c>
      <c r="C102" s="1422" t="inlineStr">
        <is>
          <t>Impermeabilização de floreiras</t>
        </is>
      </c>
    </row>
    <row r="103" ht="20.45" customHeight="1">
      <c r="A103" s="1421" t="inlineStr">
        <is>
          <t>Subetapa</t>
        </is>
      </c>
      <c r="B103" s="1417" t="inlineStr">
        <is>
          <t>04.001.010</t>
        </is>
      </c>
      <c r="C103" s="1422" t="inlineStr">
        <is>
          <t>Impermeabilização de reservatórios</t>
        </is>
      </c>
    </row>
    <row r="104" ht="20.45" customHeight="1">
      <c r="A104" s="1421" t="inlineStr">
        <is>
          <t>Subetapa</t>
        </is>
      </c>
      <c r="B104" s="1417" t="inlineStr">
        <is>
          <t>04.001.011</t>
        </is>
      </c>
      <c r="C104" s="1422" t="inlineStr">
        <is>
          <t>Mão de obra</t>
        </is>
      </c>
    </row>
    <row r="105" ht="20.45" customHeight="1">
      <c r="A105" s="1419" t="inlineStr">
        <is>
          <t>ETAPA</t>
        </is>
      </c>
      <c r="B105" s="1800" t="inlineStr">
        <is>
          <t>4.002</t>
        </is>
      </c>
      <c r="C105" s="1427" t="inlineStr">
        <is>
          <t>IMPERMEABILIZAÇÃO E TRATAMENTOS - TORRE A</t>
        </is>
      </c>
    </row>
    <row r="106" ht="20.45" customHeight="1">
      <c r="A106" s="1421" t="inlineStr">
        <is>
          <t>Subetapa</t>
        </is>
      </c>
      <c r="B106" s="1417" t="inlineStr">
        <is>
          <t>04.002.001</t>
        </is>
      </c>
      <c r="C106" s="1422" t="inlineStr">
        <is>
          <t>Regularização e proteção mecânica</t>
        </is>
      </c>
    </row>
    <row r="107" ht="20.45" customHeight="1">
      <c r="A107" s="1421" t="inlineStr">
        <is>
          <t>Subetapa</t>
        </is>
      </c>
      <c r="B107" s="1417" t="inlineStr">
        <is>
          <t>04.002.002</t>
        </is>
      </c>
      <c r="C107" s="1422" t="inlineStr">
        <is>
          <t xml:space="preserve">Impermeabilização de cisternas </t>
        </is>
      </c>
    </row>
    <row r="108" ht="20.45" customHeight="1">
      <c r="A108" s="1421" t="inlineStr">
        <is>
          <t>Subetapa</t>
        </is>
      </c>
      <c r="B108" s="1417" t="inlineStr">
        <is>
          <t>04.002.003</t>
        </is>
      </c>
      <c r="C108" s="1422" t="inlineStr">
        <is>
          <t>Impermeabilização de fundação e contenção</t>
        </is>
      </c>
    </row>
    <row r="109" ht="20.45" customHeight="1">
      <c r="A109" s="1421" t="inlineStr">
        <is>
          <t>Subetapa</t>
        </is>
      </c>
      <c r="B109" s="1417" t="inlineStr">
        <is>
          <t>04.002.004</t>
        </is>
      </c>
      <c r="C109" s="1422" t="inlineStr">
        <is>
          <t>Impermeabilização de lajes e terraços</t>
        </is>
      </c>
    </row>
    <row r="110" ht="20.45" customHeight="1">
      <c r="A110" s="1421" t="inlineStr">
        <is>
          <t>Subetapa</t>
        </is>
      </c>
      <c r="B110" s="1417" t="inlineStr">
        <is>
          <t>04.002.005</t>
        </is>
      </c>
      <c r="C110" s="1422" t="inlineStr">
        <is>
          <t>Impermeabilização de piscinas e espelhos d´água</t>
        </is>
      </c>
    </row>
    <row r="111" ht="20.45" customHeight="1">
      <c r="A111" s="1421" t="inlineStr">
        <is>
          <t>Subetapa</t>
        </is>
      </c>
      <c r="B111" s="1417" t="inlineStr">
        <is>
          <t>04.002.006</t>
        </is>
      </c>
      <c r="C111" s="1422" t="inlineStr">
        <is>
          <t>Impermeabilização de banheiro, cozinha e sacada</t>
        </is>
      </c>
    </row>
    <row r="112" ht="20.45" customHeight="1">
      <c r="A112" s="1421" t="inlineStr">
        <is>
          <t>Subetapa</t>
        </is>
      </c>
      <c r="B112" s="1417" t="inlineStr">
        <is>
          <t>04.002.007</t>
        </is>
      </c>
      <c r="C112" s="1422" t="inlineStr">
        <is>
          <t>Impermeabilização de esquadrias</t>
        </is>
      </c>
    </row>
    <row r="113" ht="20.45" customHeight="1">
      <c r="A113" s="1421" t="inlineStr">
        <is>
          <t>Subetapa</t>
        </is>
      </c>
      <c r="B113" s="1417" t="inlineStr">
        <is>
          <t>04.002.008</t>
        </is>
      </c>
      <c r="C113" s="1422" t="inlineStr">
        <is>
          <t>Impermeabilização de ralos</t>
        </is>
      </c>
    </row>
    <row r="114" ht="20.45" customHeight="1">
      <c r="A114" s="1421" t="inlineStr">
        <is>
          <t>Subetapa</t>
        </is>
      </c>
      <c r="B114" s="1417" t="inlineStr">
        <is>
          <t>04.002.009</t>
        </is>
      </c>
      <c r="C114" s="1422" t="inlineStr">
        <is>
          <t>Impermeabilização de floreiras</t>
        </is>
      </c>
    </row>
    <row r="115" ht="20.45" customHeight="1">
      <c r="A115" s="1421" t="inlineStr">
        <is>
          <t>Subetapa</t>
        </is>
      </c>
      <c r="B115" s="1417" t="inlineStr">
        <is>
          <t>04.002.010</t>
        </is>
      </c>
      <c r="C115" s="1422" t="inlineStr">
        <is>
          <t>Impermeabilização de reservatórios</t>
        </is>
      </c>
    </row>
    <row r="116" ht="20.45" customHeight="1">
      <c r="A116" s="1421" t="inlineStr">
        <is>
          <t>Subetapa</t>
        </is>
      </c>
      <c r="B116" s="1417" t="inlineStr">
        <is>
          <t>04.002.011</t>
        </is>
      </c>
      <c r="C116" s="1422" t="inlineStr">
        <is>
          <t>Mão de obra</t>
        </is>
      </c>
    </row>
    <row r="117" ht="20.45" customHeight="1">
      <c r="A117" s="1419" t="inlineStr">
        <is>
          <t>ETAPA</t>
        </is>
      </c>
      <c r="B117" s="1800" t="inlineStr">
        <is>
          <t>4.003</t>
        </is>
      </c>
      <c r="C117" s="1427" t="inlineStr">
        <is>
          <t>IMPERMEABILIZAÇÃO E TRATAMENTOS - TORRE B</t>
        </is>
      </c>
    </row>
    <row r="118" ht="20.45" customHeight="1">
      <c r="A118" s="1421" t="inlineStr">
        <is>
          <t>Subetapa</t>
        </is>
      </c>
      <c r="B118" s="1417" t="inlineStr">
        <is>
          <t>04.003.001</t>
        </is>
      </c>
      <c r="C118" s="1422" t="inlineStr">
        <is>
          <t>Regularização e proteção mecânica</t>
        </is>
      </c>
    </row>
    <row r="119" ht="20.45" customHeight="1">
      <c r="A119" s="1421" t="inlineStr">
        <is>
          <t>Subetapa</t>
        </is>
      </c>
      <c r="B119" s="1417" t="inlineStr">
        <is>
          <t>04.003.002</t>
        </is>
      </c>
      <c r="C119" s="1422" t="inlineStr">
        <is>
          <t xml:space="preserve">Impermeabilização de cisternas </t>
        </is>
      </c>
    </row>
    <row r="120" ht="20.45" customHeight="1">
      <c r="A120" s="1421" t="inlineStr">
        <is>
          <t>Subetapa</t>
        </is>
      </c>
      <c r="B120" s="1417" t="inlineStr">
        <is>
          <t>04.003.003</t>
        </is>
      </c>
      <c r="C120" s="1422" t="inlineStr">
        <is>
          <t>Impermeabilização de fundação e contenção</t>
        </is>
      </c>
    </row>
    <row r="121" ht="20.45" customHeight="1">
      <c r="A121" s="1421" t="inlineStr">
        <is>
          <t>Subetapa</t>
        </is>
      </c>
      <c r="B121" s="1417" t="inlineStr">
        <is>
          <t>04.003.004</t>
        </is>
      </c>
      <c r="C121" s="1422" t="inlineStr">
        <is>
          <t>Impermeabilização de lajes e terraços</t>
        </is>
      </c>
    </row>
    <row r="122" ht="20.45" customHeight="1">
      <c r="A122" s="1421" t="inlineStr">
        <is>
          <t>Subetapa</t>
        </is>
      </c>
      <c r="B122" s="1417" t="inlineStr">
        <is>
          <t>04.003.005</t>
        </is>
      </c>
      <c r="C122" s="1422" t="inlineStr">
        <is>
          <t>Impermeabilização de piscinas e espelhos d´água</t>
        </is>
      </c>
    </row>
    <row r="123" ht="20.45" customHeight="1">
      <c r="A123" s="1421" t="inlineStr">
        <is>
          <t>Subetapa</t>
        </is>
      </c>
      <c r="B123" s="1417" t="inlineStr">
        <is>
          <t>04.003.006</t>
        </is>
      </c>
      <c r="C123" s="1422" t="inlineStr">
        <is>
          <t>Impermeabilização de banheiro, cozinha e sacada</t>
        </is>
      </c>
    </row>
    <row r="124" ht="20.45" customHeight="1">
      <c r="A124" s="1421" t="inlineStr">
        <is>
          <t>Subetapa</t>
        </is>
      </c>
      <c r="B124" s="1417" t="inlineStr">
        <is>
          <t>04.003.007</t>
        </is>
      </c>
      <c r="C124" s="1422" t="inlineStr">
        <is>
          <t>Impermeabilização de esquadrias</t>
        </is>
      </c>
    </row>
    <row r="125" ht="20.45" customHeight="1">
      <c r="A125" s="1421" t="inlineStr">
        <is>
          <t>Subetapa</t>
        </is>
      </c>
      <c r="B125" s="1417" t="inlineStr">
        <is>
          <t>04.003.008</t>
        </is>
      </c>
      <c r="C125" s="1422" t="inlineStr">
        <is>
          <t>Impermeabilização de ralos</t>
        </is>
      </c>
    </row>
    <row r="126" ht="20.45" customHeight="1">
      <c r="A126" s="1421" t="inlineStr">
        <is>
          <t>Subetapa</t>
        </is>
      </c>
      <c r="B126" s="1417" t="inlineStr">
        <is>
          <t>04.003.009</t>
        </is>
      </c>
      <c r="C126" s="1422" t="inlineStr">
        <is>
          <t>Impermeabilização de floreiras</t>
        </is>
      </c>
    </row>
    <row r="127" ht="20.45" customHeight="1">
      <c r="A127" s="1421" t="inlineStr">
        <is>
          <t>Subetapa</t>
        </is>
      </c>
      <c r="B127" s="1417" t="inlineStr">
        <is>
          <t>04.003.010</t>
        </is>
      </c>
      <c r="C127" s="1422" t="inlineStr">
        <is>
          <t>Impermeabilização de reservatórios</t>
        </is>
      </c>
    </row>
    <row r="128" ht="20.45" customHeight="1">
      <c r="A128" s="1421" t="inlineStr">
        <is>
          <t>Subetapa</t>
        </is>
      </c>
      <c r="B128" s="1417" t="inlineStr">
        <is>
          <t>04.003.011</t>
        </is>
      </c>
      <c r="C128" s="1422" t="inlineStr">
        <is>
          <t>Mão de obra</t>
        </is>
      </c>
    </row>
    <row r="129" ht="20.45" customHeight="1">
      <c r="A129" s="1419" t="inlineStr">
        <is>
          <t>CÉLULA CONSTRUTIVA</t>
        </is>
      </c>
      <c r="B129" s="1417" t="n">
        <v>5</v>
      </c>
      <c r="C129" s="1420" t="inlineStr">
        <is>
          <t>SISTEMAS E INSTALAÇÕES HIDROSSANITÁRIAS E DRENAGEM</t>
        </is>
      </c>
    </row>
    <row r="130" ht="20.45" customHeight="1">
      <c r="A130" s="1419" t="inlineStr">
        <is>
          <t>ETAPA</t>
        </is>
      </c>
      <c r="B130" s="1800" t="inlineStr">
        <is>
          <t>5.001</t>
        </is>
      </c>
      <c r="C130" s="1427" t="inlineStr">
        <is>
          <t>SISTEMAS E INSTALAÇÕES HIDROSSANITÁRIAS E DRENAGEM - EMBASAMENTO</t>
        </is>
      </c>
    </row>
    <row r="131" ht="20.45" customHeight="1">
      <c r="A131" s="1421" t="inlineStr">
        <is>
          <t>Subetapa</t>
        </is>
      </c>
      <c r="B131" s="1417" t="inlineStr">
        <is>
          <t>05.001.001</t>
        </is>
      </c>
      <c r="C131" s="1422" t="inlineStr">
        <is>
          <t>Instalações de água fria</t>
        </is>
      </c>
    </row>
    <row r="132" ht="20.45" customHeight="1">
      <c r="A132" s="1421" t="inlineStr">
        <is>
          <t>Subetapa</t>
        </is>
      </c>
      <c r="B132" s="1417" t="inlineStr">
        <is>
          <t>05.001.002</t>
        </is>
      </c>
      <c r="C132" s="1422" t="inlineStr">
        <is>
          <t>Instalações de água quente</t>
        </is>
      </c>
    </row>
    <row r="133" ht="20.45" customHeight="1">
      <c r="A133" s="1421" t="inlineStr">
        <is>
          <t>Subetapa</t>
        </is>
      </c>
      <c r="B133" s="1417" t="inlineStr">
        <is>
          <t>05.001.003</t>
        </is>
      </c>
      <c r="C133" s="1422" t="inlineStr">
        <is>
          <t>Instalações de esgoto e pluviais</t>
        </is>
      </c>
    </row>
    <row r="134" ht="20.45" customHeight="1">
      <c r="A134" s="1421" t="inlineStr">
        <is>
          <t>Subetapa</t>
        </is>
      </c>
      <c r="B134" s="1417" t="inlineStr">
        <is>
          <t>05.001.004</t>
        </is>
      </c>
      <c r="C134" s="1422" t="inlineStr">
        <is>
          <t>Cisterna</t>
        </is>
      </c>
    </row>
    <row r="135" ht="20.45" customHeight="1">
      <c r="A135" s="1421" t="inlineStr">
        <is>
          <t>Subetapa</t>
        </is>
      </c>
      <c r="B135" s="1417" t="inlineStr">
        <is>
          <t>05.001.005</t>
        </is>
      </c>
      <c r="C135" s="1422" t="inlineStr">
        <is>
          <t>Hidrômetros</t>
        </is>
      </c>
    </row>
    <row r="136" ht="20.45" customHeight="1">
      <c r="A136" s="1421" t="inlineStr">
        <is>
          <t>Subetapa</t>
        </is>
      </c>
      <c r="B136" s="1417" t="inlineStr">
        <is>
          <t>05.001.006</t>
        </is>
      </c>
      <c r="C136" s="1422" t="inlineStr">
        <is>
          <t>Reservatórios</t>
        </is>
      </c>
    </row>
    <row r="137" ht="20.45" customHeight="1">
      <c r="A137" s="1421" t="inlineStr">
        <is>
          <t>Subetapa</t>
        </is>
      </c>
      <c r="B137" s="1417" t="inlineStr">
        <is>
          <t>05.001.007</t>
        </is>
      </c>
      <c r="C137" s="1422" t="inlineStr">
        <is>
          <t>Sistema de bombas</t>
        </is>
      </c>
    </row>
    <row r="138" ht="20.45" customHeight="1">
      <c r="A138" s="1421" t="inlineStr">
        <is>
          <t>Subetapa</t>
        </is>
      </c>
      <c r="B138" s="1417" t="inlineStr">
        <is>
          <t>05.001.008</t>
        </is>
      </c>
      <c r="C138" s="1422" t="inlineStr">
        <is>
          <t>Mão de obra</t>
        </is>
      </c>
    </row>
    <row r="139" ht="20.45" customHeight="1">
      <c r="A139" s="1419" t="inlineStr">
        <is>
          <t>ETAPA</t>
        </is>
      </c>
      <c r="B139" s="1800" t="inlineStr">
        <is>
          <t>5.002</t>
        </is>
      </c>
      <c r="C139" s="1427" t="inlineStr">
        <is>
          <t>SISTEMAS E INSTALAÇÕES HIDROSSANITÁRIAS E DRENAGEM - TORRE A</t>
        </is>
      </c>
    </row>
    <row r="140" ht="20.45" customHeight="1">
      <c r="A140" s="1421" t="inlineStr">
        <is>
          <t>Subetapa</t>
        </is>
      </c>
      <c r="B140" s="1417" t="inlineStr">
        <is>
          <t>05.002.001</t>
        </is>
      </c>
      <c r="C140" s="1422" t="inlineStr">
        <is>
          <t>Instalações de água fria</t>
        </is>
      </c>
    </row>
    <row r="141" ht="20.45" customHeight="1">
      <c r="A141" s="1421" t="inlineStr">
        <is>
          <t>Subetapa</t>
        </is>
      </c>
      <c r="B141" s="1417" t="inlineStr">
        <is>
          <t>05.002.002</t>
        </is>
      </c>
      <c r="C141" s="1422" t="inlineStr">
        <is>
          <t>Instalações de água quente</t>
        </is>
      </c>
    </row>
    <row r="142" ht="20.45" customHeight="1">
      <c r="A142" s="1421" t="inlineStr">
        <is>
          <t>Subetapa</t>
        </is>
      </c>
      <c r="B142" s="1417" t="inlineStr">
        <is>
          <t>05.002.003</t>
        </is>
      </c>
      <c r="C142" s="1422" t="inlineStr">
        <is>
          <t>Instalações de esgoto e pluviais</t>
        </is>
      </c>
    </row>
    <row r="143" ht="20.45" customHeight="1">
      <c r="A143" s="1421" t="inlineStr">
        <is>
          <t>Subetapa</t>
        </is>
      </c>
      <c r="B143" s="1417" t="inlineStr">
        <is>
          <t>05.002.004</t>
        </is>
      </c>
      <c r="C143" s="1422" t="inlineStr">
        <is>
          <t>Cisterna</t>
        </is>
      </c>
    </row>
    <row r="144" ht="20.45" customHeight="1">
      <c r="A144" s="1421" t="inlineStr">
        <is>
          <t>Subetapa</t>
        </is>
      </c>
      <c r="B144" s="1417" t="inlineStr">
        <is>
          <t>05.002.005</t>
        </is>
      </c>
      <c r="C144" s="1422" t="inlineStr">
        <is>
          <t>Hidrômetros</t>
        </is>
      </c>
    </row>
    <row r="145" ht="20.45" customHeight="1">
      <c r="A145" s="1421" t="inlineStr">
        <is>
          <t>Subetapa</t>
        </is>
      </c>
      <c r="B145" s="1417" t="inlineStr">
        <is>
          <t>05.002.006</t>
        </is>
      </c>
      <c r="C145" s="1422" t="inlineStr">
        <is>
          <t>Reservatórios</t>
        </is>
      </c>
    </row>
    <row r="146" ht="20.45" customHeight="1">
      <c r="A146" s="1421" t="inlineStr">
        <is>
          <t>Subetapa</t>
        </is>
      </c>
      <c r="B146" s="1417" t="inlineStr">
        <is>
          <t>05.002.007</t>
        </is>
      </c>
      <c r="C146" s="1422" t="inlineStr">
        <is>
          <t>Sistema de bombas</t>
        </is>
      </c>
    </row>
    <row r="147" ht="20.45" customHeight="1">
      <c r="A147" s="1421" t="inlineStr">
        <is>
          <t>Subetapa</t>
        </is>
      </c>
      <c r="B147" s="1417" t="inlineStr">
        <is>
          <t>05.002.008</t>
        </is>
      </c>
      <c r="C147" s="1422" t="inlineStr">
        <is>
          <t>Mão de obra</t>
        </is>
      </c>
    </row>
    <row r="148" ht="20.45" customHeight="1">
      <c r="A148" s="1419" t="inlineStr">
        <is>
          <t>ETAPA</t>
        </is>
      </c>
      <c r="B148" s="1800" t="inlineStr">
        <is>
          <t>5.003</t>
        </is>
      </c>
      <c r="C148" s="1427" t="inlineStr">
        <is>
          <t>SISTEMAS E INSTALAÇÕES HIDROSSANITÁRIAS E DRENAGEM - TORRE B</t>
        </is>
      </c>
    </row>
    <row r="149" ht="20.45" customHeight="1">
      <c r="A149" s="1421" t="inlineStr">
        <is>
          <t>Subetapa</t>
        </is>
      </c>
      <c r="B149" s="1417" t="inlineStr">
        <is>
          <t>05.003.001</t>
        </is>
      </c>
      <c r="C149" s="1422" t="inlineStr">
        <is>
          <t>Instalações de água fria</t>
        </is>
      </c>
    </row>
    <row r="150" ht="20.45" customHeight="1">
      <c r="A150" s="1421" t="inlineStr">
        <is>
          <t>Subetapa</t>
        </is>
      </c>
      <c r="B150" s="1417" t="inlineStr">
        <is>
          <t>05.003.002</t>
        </is>
      </c>
      <c r="C150" s="1422" t="inlineStr">
        <is>
          <t>Instalações de água quente</t>
        </is>
      </c>
    </row>
    <row r="151" ht="20.45" customHeight="1">
      <c r="A151" s="1421" t="inlineStr">
        <is>
          <t>Subetapa</t>
        </is>
      </c>
      <c r="B151" s="1417" t="inlineStr">
        <is>
          <t>05.003.003</t>
        </is>
      </c>
      <c r="C151" s="1422" t="inlineStr">
        <is>
          <t>Instalações de esgoto e pluviais</t>
        </is>
      </c>
    </row>
    <row r="152" ht="20.45" customHeight="1">
      <c r="A152" s="1421" t="inlineStr">
        <is>
          <t>Subetapa</t>
        </is>
      </c>
      <c r="B152" s="1417" t="inlineStr">
        <is>
          <t>05.003.004</t>
        </is>
      </c>
      <c r="C152" s="1422" t="inlineStr">
        <is>
          <t>Cisterna</t>
        </is>
      </c>
    </row>
    <row r="153" ht="20.45" customHeight="1">
      <c r="A153" s="1421" t="inlineStr">
        <is>
          <t>Subetapa</t>
        </is>
      </c>
      <c r="B153" s="1417" t="inlineStr">
        <is>
          <t>05.003.005</t>
        </is>
      </c>
      <c r="C153" s="1422" t="inlineStr">
        <is>
          <t>Hidrômetros</t>
        </is>
      </c>
    </row>
    <row r="154" ht="20.45" customHeight="1">
      <c r="A154" s="1421" t="inlineStr">
        <is>
          <t>Subetapa</t>
        </is>
      </c>
      <c r="B154" s="1417" t="inlineStr">
        <is>
          <t>05.003.006</t>
        </is>
      </c>
      <c r="C154" s="1422" t="inlineStr">
        <is>
          <t>Reservatórios</t>
        </is>
      </c>
    </row>
    <row r="155" ht="20.45" customHeight="1">
      <c r="A155" s="1421" t="inlineStr">
        <is>
          <t>Subetapa</t>
        </is>
      </c>
      <c r="B155" s="1417" t="inlineStr">
        <is>
          <t>05.003.007</t>
        </is>
      </c>
      <c r="C155" s="1422" t="inlineStr">
        <is>
          <t>Sistema de bombas</t>
        </is>
      </c>
    </row>
    <row r="156" ht="20.45" customHeight="1">
      <c r="A156" s="1421" t="inlineStr">
        <is>
          <t>Subetapa</t>
        </is>
      </c>
      <c r="B156" s="1417" t="inlineStr">
        <is>
          <t>05.003.008</t>
        </is>
      </c>
      <c r="C156" s="1422" t="inlineStr">
        <is>
          <t>Mão de obra</t>
        </is>
      </c>
    </row>
    <row r="157" ht="20.45" customHeight="1">
      <c r="A157" s="1419" t="inlineStr">
        <is>
          <t>CÉLULA CONSTRUTIVA</t>
        </is>
      </c>
      <c r="B157" s="1417" t="n">
        <v>6</v>
      </c>
      <c r="C157" s="1420" t="inlineStr">
        <is>
          <t>SISTEMAS E INSTALAÇÕES ELÉTRICAS</t>
        </is>
      </c>
    </row>
    <row r="158" ht="20.45" customHeight="1">
      <c r="A158" s="1419" t="inlineStr">
        <is>
          <t>ETAPA</t>
        </is>
      </c>
      <c r="B158" s="1800" t="inlineStr">
        <is>
          <t>6.001</t>
        </is>
      </c>
      <c r="C158" s="1427" t="inlineStr">
        <is>
          <t>SISTEMAS E INSTALAÇÕES ELÉTRICAS  - EMBASAMENTO</t>
        </is>
      </c>
    </row>
    <row r="159" ht="20.45" customHeight="1">
      <c r="A159" s="1421" t="inlineStr">
        <is>
          <t>Subetapa</t>
        </is>
      </c>
      <c r="B159" s="1417" t="inlineStr">
        <is>
          <t>06.001.001</t>
        </is>
      </c>
      <c r="C159" s="1422" t="inlineStr">
        <is>
          <t>Entrada de Energia</t>
        </is>
      </c>
    </row>
    <row r="160" ht="20.45" customHeight="1">
      <c r="A160" s="1421" t="inlineStr">
        <is>
          <t>Subetapa</t>
        </is>
      </c>
      <c r="B160" s="1417" t="inlineStr">
        <is>
          <t>06.001.002</t>
        </is>
      </c>
      <c r="C160" s="1422" t="inlineStr">
        <is>
          <t xml:space="preserve">Subestação de Energia </t>
        </is>
      </c>
    </row>
    <row r="161" ht="20.45" customHeight="1">
      <c r="A161" s="1421" t="inlineStr">
        <is>
          <t>Subetapa</t>
        </is>
      </c>
      <c r="B161" s="1417" t="inlineStr">
        <is>
          <t>06.001.003</t>
        </is>
      </c>
      <c r="C161" s="1422" t="inlineStr">
        <is>
          <t>Grupo gerador</t>
        </is>
      </c>
    </row>
    <row r="162" ht="20.45" customHeight="1">
      <c r="A162" s="1421" t="inlineStr">
        <is>
          <t>Subetapa</t>
        </is>
      </c>
      <c r="B162" s="1417" t="inlineStr">
        <is>
          <t>06.001.004</t>
        </is>
      </c>
      <c r="C162" s="1422" t="inlineStr">
        <is>
          <t>Quadros elétricos e disjuntores</t>
        </is>
      </c>
    </row>
    <row r="163" ht="20.45" customHeight="1">
      <c r="A163" s="1421" t="inlineStr">
        <is>
          <t>Subetapa</t>
        </is>
      </c>
      <c r="B163" s="1417" t="inlineStr">
        <is>
          <t>06.001.005</t>
        </is>
      </c>
      <c r="C163" s="1422" t="inlineStr">
        <is>
          <t>Eletrodutos e eletrocalhas</t>
        </is>
      </c>
    </row>
    <row r="164" ht="20.45" customHeight="1">
      <c r="A164" s="1421" t="inlineStr">
        <is>
          <t>Subetapa</t>
        </is>
      </c>
      <c r="B164" s="1417" t="inlineStr">
        <is>
          <t>06.001.006</t>
        </is>
      </c>
      <c r="C164" s="1422" t="inlineStr">
        <is>
          <t>Fios e cabos elétricos</t>
        </is>
      </c>
    </row>
    <row r="165" ht="20.45" customHeight="1">
      <c r="A165" s="1421" t="inlineStr">
        <is>
          <t>Subetapa</t>
        </is>
      </c>
      <c r="B165" s="1417" t="inlineStr">
        <is>
          <t>06.001.007</t>
        </is>
      </c>
      <c r="C165" s="1422" t="inlineStr">
        <is>
          <t>Pontos de tomadas e interruptores</t>
        </is>
      </c>
    </row>
    <row r="166" ht="20.45" customHeight="1">
      <c r="A166" s="1421" t="inlineStr">
        <is>
          <t>Subetapa</t>
        </is>
      </c>
      <c r="B166" s="1417" t="inlineStr">
        <is>
          <t>06.001.008</t>
        </is>
      </c>
      <c r="C166" s="1422" t="inlineStr">
        <is>
          <t xml:space="preserve">Luminárias, lâmpadas e acessórios </t>
        </is>
      </c>
    </row>
    <row r="167" ht="20.45" customHeight="1">
      <c r="A167" s="1421" t="inlineStr">
        <is>
          <t>Subetapa</t>
        </is>
      </c>
      <c r="B167" s="1417" t="inlineStr">
        <is>
          <t>06.001.009</t>
        </is>
      </c>
      <c r="C167" s="1422" t="inlineStr">
        <is>
          <t>Mão de obra</t>
        </is>
      </c>
    </row>
    <row r="168" ht="20.45" customHeight="1">
      <c r="A168" s="1419" t="inlineStr">
        <is>
          <t>ETAPA</t>
        </is>
      </c>
      <c r="B168" s="1800" t="inlineStr">
        <is>
          <t>6.002</t>
        </is>
      </c>
      <c r="C168" s="1427" t="inlineStr">
        <is>
          <t>SISTEMAS E INSTALAÇÕES ELÉTRICAS  - TORRE A</t>
        </is>
      </c>
    </row>
    <row r="169" ht="20.45" customHeight="1">
      <c r="A169" s="1421" t="inlineStr">
        <is>
          <t>Subetapa</t>
        </is>
      </c>
      <c r="B169" s="1417" t="inlineStr">
        <is>
          <t>06.002.001</t>
        </is>
      </c>
      <c r="C169" s="1422" t="inlineStr">
        <is>
          <t>Entrada de Energia</t>
        </is>
      </c>
    </row>
    <row r="170" ht="20.45" customHeight="1">
      <c r="A170" s="1421" t="inlineStr">
        <is>
          <t>Subetapa</t>
        </is>
      </c>
      <c r="B170" s="1417" t="inlineStr">
        <is>
          <t>06.002.002</t>
        </is>
      </c>
      <c r="C170" s="1422" t="inlineStr">
        <is>
          <t xml:space="preserve">Subestação de Energia </t>
        </is>
      </c>
    </row>
    <row r="171" ht="20.45" customHeight="1">
      <c r="A171" s="1421" t="inlineStr">
        <is>
          <t>Subetapa</t>
        </is>
      </c>
      <c r="B171" s="1417" t="inlineStr">
        <is>
          <t>06.002.003</t>
        </is>
      </c>
      <c r="C171" s="1422" t="inlineStr">
        <is>
          <t>Grupo gerador</t>
        </is>
      </c>
    </row>
    <row r="172" ht="20.45" customHeight="1">
      <c r="A172" s="1421" t="inlineStr">
        <is>
          <t>Subetapa</t>
        </is>
      </c>
      <c r="B172" s="1417" t="inlineStr">
        <is>
          <t>06.002.004</t>
        </is>
      </c>
      <c r="C172" s="1422" t="inlineStr">
        <is>
          <t>Quadros elétricos e disjuntores</t>
        </is>
      </c>
    </row>
    <row r="173" ht="20.45" customHeight="1">
      <c r="A173" s="1421" t="inlineStr">
        <is>
          <t>Subetapa</t>
        </is>
      </c>
      <c r="B173" s="1417" t="inlineStr">
        <is>
          <t>06.002.005</t>
        </is>
      </c>
      <c r="C173" s="1422" t="inlineStr">
        <is>
          <t>Eletrodutos e eletrocalhas</t>
        </is>
      </c>
    </row>
    <row r="174" ht="20.45" customHeight="1">
      <c r="A174" s="1421" t="inlineStr">
        <is>
          <t>Subetapa</t>
        </is>
      </c>
      <c r="B174" s="1417" t="inlineStr">
        <is>
          <t>06.002.006</t>
        </is>
      </c>
      <c r="C174" s="1422" t="inlineStr">
        <is>
          <t>Fios e cabos elétricos</t>
        </is>
      </c>
    </row>
    <row r="175" ht="20.45" customHeight="1">
      <c r="A175" s="1421" t="inlineStr">
        <is>
          <t>Subetapa</t>
        </is>
      </c>
      <c r="B175" s="1417" t="inlineStr">
        <is>
          <t>06.002.007</t>
        </is>
      </c>
      <c r="C175" s="1422" t="inlineStr">
        <is>
          <t>Pontos de tomadas e interruptores</t>
        </is>
      </c>
    </row>
    <row r="176" ht="20.45" customHeight="1">
      <c r="A176" s="1421" t="inlineStr">
        <is>
          <t>Subetapa</t>
        </is>
      </c>
      <c r="B176" s="1417" t="inlineStr">
        <is>
          <t>06.002.008</t>
        </is>
      </c>
      <c r="C176" s="1422" t="inlineStr">
        <is>
          <t xml:space="preserve">Luminárias, lâmpadas e acessórios </t>
        </is>
      </c>
    </row>
    <row r="177" ht="20.45" customHeight="1">
      <c r="A177" s="1421" t="inlineStr">
        <is>
          <t>Subetapa</t>
        </is>
      </c>
      <c r="B177" s="1417" t="inlineStr">
        <is>
          <t>06.002.009</t>
        </is>
      </c>
      <c r="C177" s="1422" t="inlineStr">
        <is>
          <t>Mão de obra</t>
        </is>
      </c>
    </row>
    <row r="178" ht="20.45" customHeight="1">
      <c r="A178" s="1419" t="inlineStr">
        <is>
          <t>ETAPA</t>
        </is>
      </c>
      <c r="B178" s="1800" t="inlineStr">
        <is>
          <t>6.003</t>
        </is>
      </c>
      <c r="C178" s="1427" t="inlineStr">
        <is>
          <t>SISTEMAS E INSTALAÇÕES ELÉTRICAS  - TORRE B</t>
        </is>
      </c>
    </row>
    <row r="179" ht="20.45" customHeight="1">
      <c r="A179" s="1421" t="inlineStr">
        <is>
          <t>Subetapa</t>
        </is>
      </c>
      <c r="B179" s="1417" t="inlineStr">
        <is>
          <t>06.003.001</t>
        </is>
      </c>
      <c r="C179" s="1422" t="inlineStr">
        <is>
          <t>Entrada de Energia</t>
        </is>
      </c>
    </row>
    <row r="180" ht="20.45" customHeight="1">
      <c r="A180" s="1421" t="inlineStr">
        <is>
          <t>Subetapa</t>
        </is>
      </c>
      <c r="B180" s="1417" t="inlineStr">
        <is>
          <t>06.003.002</t>
        </is>
      </c>
      <c r="C180" s="1422" t="inlineStr">
        <is>
          <t xml:space="preserve">Subestação de Energia </t>
        </is>
      </c>
    </row>
    <row r="181" ht="20.45" customHeight="1">
      <c r="A181" s="1421" t="inlineStr">
        <is>
          <t>Subetapa</t>
        </is>
      </c>
      <c r="B181" s="1417" t="inlineStr">
        <is>
          <t>06.003.003</t>
        </is>
      </c>
      <c r="C181" s="1422" t="inlineStr">
        <is>
          <t>Grupo gerador</t>
        </is>
      </c>
    </row>
    <row r="182" ht="20.45" customHeight="1">
      <c r="A182" s="1421" t="inlineStr">
        <is>
          <t>Subetapa</t>
        </is>
      </c>
      <c r="B182" s="1417" t="inlineStr">
        <is>
          <t>06.003.004</t>
        </is>
      </c>
      <c r="C182" s="1422" t="inlineStr">
        <is>
          <t>Quadros elétricos e disjuntores</t>
        </is>
      </c>
    </row>
    <row r="183" ht="20.45" customHeight="1">
      <c r="A183" s="1421" t="inlineStr">
        <is>
          <t>Subetapa</t>
        </is>
      </c>
      <c r="B183" s="1417" t="inlineStr">
        <is>
          <t>06.003.005</t>
        </is>
      </c>
      <c r="C183" s="1422" t="inlineStr">
        <is>
          <t>Eletrodutos e eletrocalhas</t>
        </is>
      </c>
    </row>
    <row r="184" ht="20.45" customHeight="1">
      <c r="A184" s="1421" t="inlineStr">
        <is>
          <t>Subetapa</t>
        </is>
      </c>
      <c r="B184" s="1417" t="inlineStr">
        <is>
          <t>06.003.006</t>
        </is>
      </c>
      <c r="C184" s="1422" t="inlineStr">
        <is>
          <t>Fios e cabos elétricos</t>
        </is>
      </c>
    </row>
    <row r="185" ht="20.45" customHeight="1">
      <c r="A185" s="1421" t="inlineStr">
        <is>
          <t>Subetapa</t>
        </is>
      </c>
      <c r="B185" s="1417" t="inlineStr">
        <is>
          <t>06.003.007</t>
        </is>
      </c>
      <c r="C185" s="1422" t="inlineStr">
        <is>
          <t>Pontos de tomadas e interruptores</t>
        </is>
      </c>
    </row>
    <row r="186" ht="20.45" customHeight="1">
      <c r="A186" s="1421" t="inlineStr">
        <is>
          <t>Subetapa</t>
        </is>
      </c>
      <c r="B186" s="1417" t="inlineStr">
        <is>
          <t>06.003.008</t>
        </is>
      </c>
      <c r="C186" s="1422" t="inlineStr">
        <is>
          <t xml:space="preserve">Luminárias, lâmpadas e acessórios </t>
        </is>
      </c>
    </row>
    <row r="187" ht="20.45" customHeight="1">
      <c r="A187" s="1421" t="inlineStr">
        <is>
          <t>Subetapa</t>
        </is>
      </c>
      <c r="B187" s="1417" t="inlineStr">
        <is>
          <t>06.003.009</t>
        </is>
      </c>
      <c r="C187" s="1422" t="inlineStr">
        <is>
          <t>Mão de obra</t>
        </is>
      </c>
    </row>
    <row r="188" ht="20.45" customHeight="1">
      <c r="A188" s="1419" t="inlineStr">
        <is>
          <t>CÉLULA CONSTRUTIVA</t>
        </is>
      </c>
      <c r="B188" s="1417" t="n">
        <v>7</v>
      </c>
      <c r="C188" s="1420" t="inlineStr">
        <is>
          <t>INSTALAÇÕES PREVENTIVAS</t>
        </is>
      </c>
    </row>
    <row r="189" ht="20.45" customHeight="1">
      <c r="A189" s="1419" t="inlineStr">
        <is>
          <t>ETAPA</t>
        </is>
      </c>
      <c r="B189" s="1800" t="inlineStr">
        <is>
          <t>7.001</t>
        </is>
      </c>
      <c r="C189" s="1427" t="inlineStr">
        <is>
          <t>INSTALAÇÕES PREVENTIVAS  - EMBASAMENTO</t>
        </is>
      </c>
    </row>
    <row r="190" ht="20.45" customHeight="1">
      <c r="A190" s="1421" t="inlineStr">
        <is>
          <t>Subetapa</t>
        </is>
      </c>
      <c r="B190" s="1417" t="inlineStr">
        <is>
          <t>07.001.001</t>
        </is>
      </c>
      <c r="C190" s="1422" t="inlineStr">
        <is>
          <t>Hidrantes</t>
        </is>
      </c>
    </row>
    <row r="191" ht="20.45" customHeight="1">
      <c r="A191" s="1421" t="inlineStr">
        <is>
          <t>Subetapa</t>
        </is>
      </c>
      <c r="B191" s="1417" t="inlineStr">
        <is>
          <t>07.001.002</t>
        </is>
      </c>
      <c r="C191" s="1422" t="inlineStr">
        <is>
          <t xml:space="preserve">Sinalização de emergência e extintores </t>
        </is>
      </c>
    </row>
    <row r="192" ht="20.45" customHeight="1">
      <c r="A192" s="1421" t="inlineStr">
        <is>
          <t>Subetapa</t>
        </is>
      </c>
      <c r="B192" s="1417" t="inlineStr">
        <is>
          <t>07.001.003</t>
        </is>
      </c>
      <c r="C192" s="1422" t="inlineStr">
        <is>
          <t>Instalações de proteção e aterramento -SPDA</t>
        </is>
      </c>
    </row>
    <row r="193" ht="20.45" customHeight="1">
      <c r="A193" s="1421" t="inlineStr">
        <is>
          <t>Subetapa</t>
        </is>
      </c>
      <c r="B193" s="1417" t="inlineStr">
        <is>
          <t>07.001.004</t>
        </is>
      </c>
      <c r="C193" s="1422" t="inlineStr">
        <is>
          <t>Central de Alarmes</t>
        </is>
      </c>
    </row>
    <row r="194" ht="20.45" customHeight="1">
      <c r="A194" s="1421" t="inlineStr">
        <is>
          <t>Subetapa</t>
        </is>
      </c>
      <c r="B194" s="1417" t="inlineStr">
        <is>
          <t>07.001.005</t>
        </is>
      </c>
      <c r="C194" s="1422" t="inlineStr">
        <is>
          <t>Sistema de bombas</t>
        </is>
      </c>
    </row>
    <row r="195" ht="20.45" customHeight="1">
      <c r="A195" s="1421" t="inlineStr">
        <is>
          <t>Subetapa</t>
        </is>
      </c>
      <c r="B195" s="1417" t="inlineStr">
        <is>
          <t>07.001.006</t>
        </is>
      </c>
      <c r="C195" s="1422" t="inlineStr">
        <is>
          <t>Mão de obra</t>
        </is>
      </c>
    </row>
    <row r="196" ht="20.45" customHeight="1">
      <c r="A196" s="1419" t="inlineStr">
        <is>
          <t>ETAPA</t>
        </is>
      </c>
      <c r="B196" s="1800" t="inlineStr">
        <is>
          <t>7.002</t>
        </is>
      </c>
      <c r="C196" s="1427" t="inlineStr">
        <is>
          <t>INSTALAÇÕES PREVENTIVAS  - TORRE A</t>
        </is>
      </c>
    </row>
    <row r="197" ht="20.45" customHeight="1">
      <c r="A197" s="1421" t="inlineStr">
        <is>
          <t>Subetapa</t>
        </is>
      </c>
      <c r="B197" s="1417" t="inlineStr">
        <is>
          <t>07.002.001</t>
        </is>
      </c>
      <c r="C197" s="1422" t="inlineStr">
        <is>
          <t>Hidrantes</t>
        </is>
      </c>
    </row>
    <row r="198" ht="20.45" customHeight="1">
      <c r="A198" s="1421" t="inlineStr">
        <is>
          <t>Subetapa</t>
        </is>
      </c>
      <c r="B198" s="1417" t="inlineStr">
        <is>
          <t>07.002.002</t>
        </is>
      </c>
      <c r="C198" s="1422" t="inlineStr">
        <is>
          <t xml:space="preserve">Sinalização de emergência e extintores </t>
        </is>
      </c>
    </row>
    <row r="199" ht="20.45" customHeight="1">
      <c r="A199" s="1421" t="inlineStr">
        <is>
          <t>Subetapa</t>
        </is>
      </c>
      <c r="B199" s="1417" t="inlineStr">
        <is>
          <t>07.002.003</t>
        </is>
      </c>
      <c r="C199" s="1422" t="inlineStr">
        <is>
          <t>Instalações de proteção e aterramento -SPDA</t>
        </is>
      </c>
    </row>
    <row r="200" ht="20.45" customHeight="1">
      <c r="A200" s="1421" t="inlineStr">
        <is>
          <t>Subetapa</t>
        </is>
      </c>
      <c r="B200" s="1417" t="inlineStr">
        <is>
          <t>07.002.004</t>
        </is>
      </c>
      <c r="C200" s="1422" t="inlineStr">
        <is>
          <t>Central de Alarmes</t>
        </is>
      </c>
    </row>
    <row r="201" ht="20.45" customHeight="1">
      <c r="A201" s="1421" t="inlineStr">
        <is>
          <t>Subetapa</t>
        </is>
      </c>
      <c r="B201" s="1417" t="inlineStr">
        <is>
          <t>07.002.005</t>
        </is>
      </c>
      <c r="C201" s="1422" t="inlineStr">
        <is>
          <t>Sistema de bombas</t>
        </is>
      </c>
    </row>
    <row r="202" ht="20.45" customHeight="1">
      <c r="A202" s="1421" t="inlineStr">
        <is>
          <t>Subetapa</t>
        </is>
      </c>
      <c r="B202" s="1417" t="inlineStr">
        <is>
          <t>07.002.006</t>
        </is>
      </c>
      <c r="C202" s="1422" t="inlineStr">
        <is>
          <t>Mão de obra</t>
        </is>
      </c>
    </row>
    <row r="203" ht="20.45" customHeight="1">
      <c r="A203" s="1419" t="inlineStr">
        <is>
          <t>ETAPA</t>
        </is>
      </c>
      <c r="B203" s="1800" t="inlineStr">
        <is>
          <t>7.003</t>
        </is>
      </c>
      <c r="C203" s="1427" t="inlineStr">
        <is>
          <t>INSTALAÇÕES PREVENTIVAS  - TORRE B</t>
        </is>
      </c>
    </row>
    <row r="204" ht="20.45" customHeight="1">
      <c r="A204" s="1421" t="inlineStr">
        <is>
          <t>Subetapa</t>
        </is>
      </c>
      <c r="B204" s="1417" t="inlineStr">
        <is>
          <t>07.003.001</t>
        </is>
      </c>
      <c r="C204" s="1422" t="inlineStr">
        <is>
          <t>Hidrantes</t>
        </is>
      </c>
    </row>
    <row r="205" ht="20.45" customHeight="1">
      <c r="A205" s="1421" t="inlineStr">
        <is>
          <t>Subetapa</t>
        </is>
      </c>
      <c r="B205" s="1417" t="inlineStr">
        <is>
          <t>07.003.002</t>
        </is>
      </c>
      <c r="C205" s="1422" t="inlineStr">
        <is>
          <t xml:space="preserve">Sinalização de emergência e extintores </t>
        </is>
      </c>
    </row>
    <row r="206" ht="20.45" customHeight="1">
      <c r="A206" s="1421" t="inlineStr">
        <is>
          <t>Subetapa</t>
        </is>
      </c>
      <c r="B206" s="1417" t="inlineStr">
        <is>
          <t>07.003.003</t>
        </is>
      </c>
      <c r="C206" s="1422" t="inlineStr">
        <is>
          <t>Instalações de proteção e aterramento -SPDA</t>
        </is>
      </c>
    </row>
    <row r="207" ht="20.45" customHeight="1">
      <c r="A207" s="1421" t="inlineStr">
        <is>
          <t>Subetapa</t>
        </is>
      </c>
      <c r="B207" s="1417" t="inlineStr">
        <is>
          <t>07.003.004</t>
        </is>
      </c>
      <c r="C207" s="1422" t="inlineStr">
        <is>
          <t>Central de Alarmes</t>
        </is>
      </c>
    </row>
    <row r="208" ht="20.45" customHeight="1">
      <c r="A208" s="1421" t="inlineStr">
        <is>
          <t>Subetapa</t>
        </is>
      </c>
      <c r="B208" s="1417" t="inlineStr">
        <is>
          <t>07.003.005</t>
        </is>
      </c>
      <c r="C208" s="1422" t="inlineStr">
        <is>
          <t>Sistema de bombas</t>
        </is>
      </c>
    </row>
    <row r="209" ht="20.45" customHeight="1">
      <c r="A209" s="1421" t="inlineStr">
        <is>
          <t>Subetapa</t>
        </is>
      </c>
      <c r="B209" s="1417" t="inlineStr">
        <is>
          <t>07.003.006</t>
        </is>
      </c>
      <c r="C209" s="1422" t="inlineStr">
        <is>
          <t>Mão de obra</t>
        </is>
      </c>
    </row>
    <row r="210" ht="20.45" customHeight="1">
      <c r="A210" s="1419" t="inlineStr">
        <is>
          <t>CÉLULA CONSTRUTIVA</t>
        </is>
      </c>
      <c r="B210" s="1417" t="n">
        <v>8</v>
      </c>
      <c r="C210" s="1420" t="inlineStr">
        <is>
          <t>INSTALAÇÕES DE GÁS</t>
        </is>
      </c>
    </row>
    <row r="211" ht="20.45" customHeight="1">
      <c r="A211" s="1419" t="inlineStr">
        <is>
          <t>ETAPA</t>
        </is>
      </c>
      <c r="B211" s="1800" t="inlineStr">
        <is>
          <t>8.001</t>
        </is>
      </c>
      <c r="C211" s="1427" t="inlineStr">
        <is>
          <t>INSTALAÇÕES DE GÁS  - EMBASAMENTO</t>
        </is>
      </c>
    </row>
    <row r="212" ht="20.45" customHeight="1">
      <c r="A212" s="1421" t="inlineStr">
        <is>
          <t>Subetapa</t>
        </is>
      </c>
      <c r="B212" s="1417" t="inlineStr">
        <is>
          <t>08.001.001</t>
        </is>
      </c>
      <c r="C212" s="1422" t="inlineStr">
        <is>
          <t>Medidores</t>
        </is>
      </c>
    </row>
    <row r="213" ht="20.45" customHeight="1">
      <c r="A213" s="1421" t="inlineStr">
        <is>
          <t>Subetapa</t>
        </is>
      </c>
      <c r="B213" s="1417" t="inlineStr">
        <is>
          <t>08.001.002</t>
        </is>
      </c>
      <c r="C213" s="1422" t="inlineStr">
        <is>
          <t>Central de Gás</t>
        </is>
      </c>
    </row>
    <row r="214" ht="20.45" customHeight="1">
      <c r="A214" s="1421" t="inlineStr">
        <is>
          <t>Subetapa</t>
        </is>
      </c>
      <c r="B214" s="1417" t="inlineStr">
        <is>
          <t>08.001.003</t>
        </is>
      </c>
      <c r="C214" s="1422" t="inlineStr">
        <is>
          <t>Rede Primária</t>
        </is>
      </c>
    </row>
    <row r="215" ht="20.45" customHeight="1">
      <c r="A215" s="1421" t="inlineStr">
        <is>
          <t>Subetapa</t>
        </is>
      </c>
      <c r="B215" s="1417" t="inlineStr">
        <is>
          <t>08.001.004</t>
        </is>
      </c>
      <c r="C215" s="1422" t="inlineStr">
        <is>
          <t>Rede Secundária</t>
        </is>
      </c>
    </row>
    <row r="216" ht="20.45" customHeight="1">
      <c r="A216" s="1421" t="inlineStr">
        <is>
          <t>Subetapa</t>
        </is>
      </c>
      <c r="B216" s="1417" t="inlineStr">
        <is>
          <t>08.001.005</t>
        </is>
      </c>
      <c r="C216" s="1422" t="inlineStr">
        <is>
          <t>Mão de obra</t>
        </is>
      </c>
    </row>
    <row r="217" ht="20.45" customHeight="1">
      <c r="A217" s="1419" t="inlineStr">
        <is>
          <t>ETAPA</t>
        </is>
      </c>
      <c r="B217" s="1800" t="inlineStr">
        <is>
          <t>8.002</t>
        </is>
      </c>
      <c r="C217" s="1427" t="inlineStr">
        <is>
          <t>INSTALAÇÕES DE GÁS  - TORRE A</t>
        </is>
      </c>
    </row>
    <row r="218" ht="20.45" customHeight="1">
      <c r="A218" s="1421" t="inlineStr">
        <is>
          <t>Subetapa</t>
        </is>
      </c>
      <c r="B218" s="1417" t="inlineStr">
        <is>
          <t>08.002.001</t>
        </is>
      </c>
      <c r="C218" s="1422" t="inlineStr">
        <is>
          <t>Medidores</t>
        </is>
      </c>
    </row>
    <row r="219" ht="20.45" customHeight="1">
      <c r="A219" s="1421" t="inlineStr">
        <is>
          <t>Subetapa</t>
        </is>
      </c>
      <c r="B219" s="1417" t="inlineStr">
        <is>
          <t>08.002.002</t>
        </is>
      </c>
      <c r="C219" s="1422" t="inlineStr">
        <is>
          <t>Central de Gás</t>
        </is>
      </c>
    </row>
    <row r="220" ht="20.45" customHeight="1">
      <c r="A220" s="1421" t="inlineStr">
        <is>
          <t>Subetapa</t>
        </is>
      </c>
      <c r="B220" s="1417" t="inlineStr">
        <is>
          <t>08.002.003</t>
        </is>
      </c>
      <c r="C220" s="1422" t="inlineStr">
        <is>
          <t>Rede Primária</t>
        </is>
      </c>
    </row>
    <row r="221" ht="20.45" customHeight="1">
      <c r="A221" s="1421" t="inlineStr">
        <is>
          <t>Subetapa</t>
        </is>
      </c>
      <c r="B221" s="1417" t="inlineStr">
        <is>
          <t>08.002.004</t>
        </is>
      </c>
      <c r="C221" s="1422" t="inlineStr">
        <is>
          <t>Rede Secundária</t>
        </is>
      </c>
    </row>
    <row r="222" ht="20.45" customHeight="1">
      <c r="A222" s="1421" t="inlineStr">
        <is>
          <t>Subetapa</t>
        </is>
      </c>
      <c r="B222" s="1417" t="inlineStr">
        <is>
          <t>08.002.005</t>
        </is>
      </c>
      <c r="C222" s="1422" t="inlineStr">
        <is>
          <t>Mão de obra</t>
        </is>
      </c>
    </row>
    <row r="223" ht="20.45" customHeight="1">
      <c r="A223" s="1419" t="inlineStr">
        <is>
          <t>ETAPA</t>
        </is>
      </c>
      <c r="B223" s="1800" t="inlineStr">
        <is>
          <t>8.003</t>
        </is>
      </c>
      <c r="C223" s="1427" t="inlineStr">
        <is>
          <t>INSTALAÇÕES DE GÁS  - TORRE B</t>
        </is>
      </c>
    </row>
    <row r="224" ht="20.45" customHeight="1">
      <c r="A224" s="1421" t="inlineStr">
        <is>
          <t>Subetapa</t>
        </is>
      </c>
      <c r="B224" s="1417" t="inlineStr">
        <is>
          <t>08.003.001</t>
        </is>
      </c>
      <c r="C224" s="1422" t="inlineStr">
        <is>
          <t>Medidores</t>
        </is>
      </c>
    </row>
    <row r="225" ht="20.45" customHeight="1">
      <c r="A225" s="1421" t="inlineStr">
        <is>
          <t>Subetapa</t>
        </is>
      </c>
      <c r="B225" s="1417" t="inlineStr">
        <is>
          <t>08.003.002</t>
        </is>
      </c>
      <c r="C225" s="1422" t="inlineStr">
        <is>
          <t>Central de Gás</t>
        </is>
      </c>
    </row>
    <row r="226" ht="20.45" customHeight="1">
      <c r="A226" s="1421" t="inlineStr">
        <is>
          <t>Subetapa</t>
        </is>
      </c>
      <c r="B226" s="1417" t="inlineStr">
        <is>
          <t>08.003.003</t>
        </is>
      </c>
      <c r="C226" s="1422" t="inlineStr">
        <is>
          <t>Rede Primária</t>
        </is>
      </c>
    </row>
    <row r="227" ht="20.45" customHeight="1">
      <c r="A227" s="1421" t="inlineStr">
        <is>
          <t>Subetapa</t>
        </is>
      </c>
      <c r="B227" s="1417" t="inlineStr">
        <is>
          <t>08.003.004</t>
        </is>
      </c>
      <c r="C227" s="1422" t="inlineStr">
        <is>
          <t>Rede Secundária</t>
        </is>
      </c>
    </row>
    <row r="228" ht="20.45" customHeight="1">
      <c r="A228" s="1421" t="inlineStr">
        <is>
          <t>Subetapa</t>
        </is>
      </c>
      <c r="B228" s="1417" t="inlineStr">
        <is>
          <t>08.003.005</t>
        </is>
      </c>
      <c r="C228" s="1422" t="inlineStr">
        <is>
          <t>Mão de obra</t>
        </is>
      </c>
    </row>
    <row r="229" ht="20.45" customHeight="1">
      <c r="A229" s="1419" t="inlineStr">
        <is>
          <t>CÉLULA CONSTRUTIVA</t>
        </is>
      </c>
      <c r="B229" s="1417" t="n">
        <v>9</v>
      </c>
      <c r="C229" s="1420" t="inlineStr">
        <is>
          <t>INSTALAÇÕES DE COMUNICAÇÕES</t>
        </is>
      </c>
    </row>
    <row r="230" ht="20.45" customHeight="1">
      <c r="A230" s="1419" t="inlineStr">
        <is>
          <t>ETAPA</t>
        </is>
      </c>
      <c r="B230" s="1800" t="inlineStr">
        <is>
          <t>9.001</t>
        </is>
      </c>
      <c r="C230" s="1420" t="inlineStr">
        <is>
          <t>INSTALAÇÕES DE COMUNICAÇÕES  - EMBASAMENTO</t>
        </is>
      </c>
    </row>
    <row r="231" ht="20.45" customHeight="1">
      <c r="A231" s="1421" t="inlineStr">
        <is>
          <t>Subetapa</t>
        </is>
      </c>
      <c r="B231" s="1417" t="inlineStr">
        <is>
          <t>09.001.001</t>
        </is>
      </c>
      <c r="C231" s="1422" t="inlineStr">
        <is>
          <t>Sistema de interfone / controle de acesso</t>
        </is>
      </c>
    </row>
    <row r="232" ht="20.45" customHeight="1">
      <c r="A232" s="1421" t="inlineStr">
        <is>
          <t>Subetapa</t>
        </is>
      </c>
      <c r="B232" s="1417" t="inlineStr">
        <is>
          <t>09.001.002</t>
        </is>
      </c>
      <c r="C232" s="1422" t="inlineStr">
        <is>
          <t>Instalação de CFTV</t>
        </is>
      </c>
    </row>
    <row r="233" ht="20.45" customHeight="1">
      <c r="A233" s="1421" t="inlineStr">
        <is>
          <t>Subetapa</t>
        </is>
      </c>
      <c r="B233" s="1417" t="inlineStr">
        <is>
          <t>09.001.003</t>
        </is>
      </c>
      <c r="C233" s="1422" t="inlineStr">
        <is>
          <t>TV VHF/CABO/SATÉLITE</t>
        </is>
      </c>
    </row>
    <row r="234" ht="20.45" customHeight="1">
      <c r="A234" s="1421" t="inlineStr">
        <is>
          <t>Subetapa</t>
        </is>
      </c>
      <c r="B234" s="1417" t="inlineStr">
        <is>
          <t>09.001.004</t>
        </is>
      </c>
      <c r="C234" s="1422" t="inlineStr">
        <is>
          <t>Telefonia/lógica/internet</t>
        </is>
      </c>
    </row>
    <row r="235" ht="20.45" customHeight="1">
      <c r="A235" s="1419" t="inlineStr">
        <is>
          <t>ETAPA</t>
        </is>
      </c>
      <c r="B235" s="1800" t="inlineStr">
        <is>
          <t>9.002</t>
        </is>
      </c>
      <c r="C235" s="1420" t="inlineStr">
        <is>
          <t>INSTALAÇÕES DE COMUNICAÇÕES  - TORRE A</t>
        </is>
      </c>
    </row>
    <row r="236" ht="20.45" customHeight="1">
      <c r="A236" s="1421" t="inlineStr">
        <is>
          <t>Subetapa</t>
        </is>
      </c>
      <c r="B236" s="1417" t="inlineStr">
        <is>
          <t>09.002.001</t>
        </is>
      </c>
      <c r="C236" s="1422" t="inlineStr">
        <is>
          <t>Sistema de interfone / controle de acesso</t>
        </is>
      </c>
    </row>
    <row r="237" ht="20.45" customHeight="1">
      <c r="A237" s="1421" t="inlineStr">
        <is>
          <t>Subetapa</t>
        </is>
      </c>
      <c r="B237" s="1417" t="inlineStr">
        <is>
          <t>09.002.002</t>
        </is>
      </c>
      <c r="C237" s="1422" t="inlineStr">
        <is>
          <t>Instalação de CFTV</t>
        </is>
      </c>
    </row>
    <row r="238" ht="20.45" customHeight="1">
      <c r="A238" s="1421" t="inlineStr">
        <is>
          <t>Subetapa</t>
        </is>
      </c>
      <c r="B238" s="1417" t="inlineStr">
        <is>
          <t>09.002.003</t>
        </is>
      </c>
      <c r="C238" s="1422" t="inlineStr">
        <is>
          <t>TV VHF/CABO/SATÉLITE</t>
        </is>
      </c>
    </row>
    <row r="239" ht="20.45" customHeight="1">
      <c r="A239" s="1421" t="inlineStr">
        <is>
          <t>Subetapa</t>
        </is>
      </c>
      <c r="B239" s="1417" t="inlineStr">
        <is>
          <t>09.002.004</t>
        </is>
      </c>
      <c r="C239" s="1422" t="inlineStr">
        <is>
          <t>Telefonia/lógica/internet</t>
        </is>
      </c>
    </row>
    <row r="240" ht="20.45" customHeight="1">
      <c r="A240" s="1419" t="inlineStr">
        <is>
          <t>ETAPA</t>
        </is>
      </c>
      <c r="B240" s="1800" t="inlineStr">
        <is>
          <t>9.003</t>
        </is>
      </c>
      <c r="C240" s="1420" t="inlineStr">
        <is>
          <t>INSTALAÇÕES DE COMUNICAÇÕES  - TORRE B</t>
        </is>
      </c>
    </row>
    <row r="241" ht="20.45" customHeight="1">
      <c r="A241" s="1421" t="inlineStr">
        <is>
          <t>Subetapa</t>
        </is>
      </c>
      <c r="B241" s="1417" t="inlineStr">
        <is>
          <t>09.003.001</t>
        </is>
      </c>
      <c r="C241" s="1422" t="inlineStr">
        <is>
          <t>Sistema de interfone / controle de acesso</t>
        </is>
      </c>
    </row>
    <row r="242" ht="20.45" customHeight="1">
      <c r="A242" s="1421" t="inlineStr">
        <is>
          <t>Subetapa</t>
        </is>
      </c>
      <c r="B242" s="1417" t="inlineStr">
        <is>
          <t>09.003.002</t>
        </is>
      </c>
      <c r="C242" s="1422" t="inlineStr">
        <is>
          <t>Instalação de CFTV</t>
        </is>
      </c>
    </row>
    <row r="243" ht="20.45" customHeight="1">
      <c r="A243" s="1421" t="inlineStr">
        <is>
          <t>Subetapa</t>
        </is>
      </c>
      <c r="B243" s="1417" t="inlineStr">
        <is>
          <t>09.003.003</t>
        </is>
      </c>
      <c r="C243" s="1422" t="inlineStr">
        <is>
          <t>TV VHF/CABO/SATÉLITE</t>
        </is>
      </c>
    </row>
    <row r="244" ht="20.45" customHeight="1">
      <c r="A244" s="1421" t="inlineStr">
        <is>
          <t>Subetapa</t>
        </is>
      </c>
      <c r="B244" s="1417" t="inlineStr">
        <is>
          <t>09.003.004</t>
        </is>
      </c>
      <c r="C244" s="1422" t="inlineStr">
        <is>
          <t>Telefonia/lógica/internet</t>
        </is>
      </c>
    </row>
    <row r="245" ht="20.45" customHeight="1">
      <c r="A245" s="1419" t="inlineStr">
        <is>
          <t>ETAPA</t>
        </is>
      </c>
      <c r="B245" s="1800" t="inlineStr">
        <is>
          <t>9.004</t>
        </is>
      </c>
      <c r="C245" s="1420" t="inlineStr">
        <is>
          <t>AUTOMAÇÕES</t>
        </is>
      </c>
    </row>
    <row r="246" ht="20.45" customHeight="1">
      <c r="A246" s="1421" t="inlineStr">
        <is>
          <t>Subetapa</t>
        </is>
      </c>
      <c r="B246" s="1417" t="inlineStr">
        <is>
          <t>09.004.001</t>
        </is>
      </c>
      <c r="C246" s="1422" t="inlineStr">
        <is>
          <t>Infraestrutura de automação dos apartamentos (Iluminação, cortinas, áudio, ar cond.)</t>
        </is>
      </c>
    </row>
    <row r="247" ht="20.45" customHeight="1">
      <c r="A247" s="1419" t="inlineStr">
        <is>
          <t>CÉLULA CONSTRUTIVA</t>
        </is>
      </c>
      <c r="B247" s="1417" t="n">
        <v>10</v>
      </c>
      <c r="C247" s="1420" t="inlineStr">
        <is>
          <t>EQUIPAMENTOS E SISTEMAS ESPECIAIS</t>
        </is>
      </c>
    </row>
    <row r="248" ht="20.45" customHeight="1">
      <c r="A248" s="1419" t="inlineStr">
        <is>
          <t>ETAPA</t>
        </is>
      </c>
      <c r="B248" s="1800" t="inlineStr">
        <is>
          <t>10.001</t>
        </is>
      </c>
      <c r="C248" s="1420" t="inlineStr">
        <is>
          <t>PISCINA</t>
        </is>
      </c>
    </row>
    <row r="249" ht="20.45" customHeight="1">
      <c r="A249" s="1421" t="inlineStr">
        <is>
          <t>Subetapa</t>
        </is>
      </c>
      <c r="B249" s="1417" t="inlineStr">
        <is>
          <t>10.001.001</t>
        </is>
      </c>
      <c r="C249" s="1422" t="inlineStr">
        <is>
          <t>Equipamentos de piscina</t>
        </is>
      </c>
    </row>
    <row r="250" ht="20.45" customHeight="1">
      <c r="A250" s="1419" t="inlineStr">
        <is>
          <t>ETAPA</t>
        </is>
      </c>
      <c r="B250" s="1800" t="inlineStr">
        <is>
          <t>10.002</t>
        </is>
      </c>
      <c r="C250" s="1420" t="inlineStr">
        <is>
          <t>ELEVADORES</t>
        </is>
      </c>
    </row>
    <row r="251" ht="20.45" customHeight="1">
      <c r="A251" s="1421" t="inlineStr">
        <is>
          <t>Subetapa</t>
        </is>
      </c>
      <c r="B251" s="1417" t="inlineStr">
        <is>
          <t>10.002.001</t>
        </is>
      </c>
      <c r="C251" s="1422" t="inlineStr">
        <is>
          <t>Elevadores</t>
        </is>
      </c>
    </row>
    <row r="252" ht="20.45" customHeight="1">
      <c r="A252" s="1419" t="inlineStr">
        <is>
          <t>CÉLULA CONSTRUTIVA</t>
        </is>
      </c>
      <c r="B252" s="1417" t="n">
        <v>11</v>
      </c>
      <c r="C252" s="1420" t="inlineStr">
        <is>
          <t>CLIMATIZAÇÃO, EXAUSTÃO MECÂNICA E PRESSURIZAÇÃO</t>
        </is>
      </c>
    </row>
    <row r="253" ht="20.45" customHeight="1">
      <c r="A253" s="1419" t="inlineStr">
        <is>
          <t>ETAPA</t>
        </is>
      </c>
      <c r="B253" s="1800" t="inlineStr">
        <is>
          <t>11.001</t>
        </is>
      </c>
      <c r="C253" s="1420" t="inlineStr">
        <is>
          <t>CLIMATIZAÇÃO, EXAUSTÃO MECÂNICA E PRESSURIZAÇÃO  - EMBASAMENTO</t>
        </is>
      </c>
    </row>
    <row r="254" ht="20.45" customHeight="1">
      <c r="A254" s="1421" t="inlineStr">
        <is>
          <t>Subetapa</t>
        </is>
      </c>
      <c r="B254" s="1417" t="inlineStr">
        <is>
          <t>11.001.001</t>
        </is>
      </c>
      <c r="C254" s="1422" t="inlineStr">
        <is>
          <t>Climatização</t>
        </is>
      </c>
    </row>
    <row r="255" ht="20.45" customHeight="1">
      <c r="A255" s="1421" t="inlineStr">
        <is>
          <t>Subetapa</t>
        </is>
      </c>
      <c r="B255" s="1417" t="inlineStr">
        <is>
          <t>11.001.002</t>
        </is>
      </c>
      <c r="C255" s="1422" t="inlineStr">
        <is>
          <t>Exaustão mecânica</t>
        </is>
      </c>
    </row>
    <row r="256" ht="20.45" customHeight="1">
      <c r="A256" s="1421" t="inlineStr">
        <is>
          <t>Subetapa</t>
        </is>
      </c>
      <c r="B256" s="1417" t="inlineStr">
        <is>
          <t>11.001.003</t>
        </is>
      </c>
      <c r="C256" s="1422" t="inlineStr">
        <is>
          <t>Exaustão de churrasqueiras</t>
        </is>
      </c>
    </row>
    <row r="257" ht="20.45" customHeight="1">
      <c r="A257" s="1421" t="inlineStr">
        <is>
          <t>Subetapa</t>
        </is>
      </c>
      <c r="B257" s="1417" t="inlineStr">
        <is>
          <t>11.001.004</t>
        </is>
      </c>
      <c r="C257" s="1422" t="inlineStr">
        <is>
          <t>Pressurização das escadas</t>
        </is>
      </c>
    </row>
    <row r="258" ht="20.45" customHeight="1">
      <c r="A258" s="1419" t="inlineStr">
        <is>
          <t>ETAPA</t>
        </is>
      </c>
      <c r="B258" s="1800" t="inlineStr">
        <is>
          <t>11.002</t>
        </is>
      </c>
      <c r="C258" s="1420" t="inlineStr">
        <is>
          <t>CLIMATIZAÇÃO, EXAUSTÃO MECÂNICA E PRESSURIZAÇÃO  - TORRE A</t>
        </is>
      </c>
    </row>
    <row r="259" ht="20.45" customHeight="1">
      <c r="A259" s="1421" t="inlineStr">
        <is>
          <t>Subetapa</t>
        </is>
      </c>
      <c r="B259" s="1417" t="inlineStr">
        <is>
          <t>11.002.001</t>
        </is>
      </c>
      <c r="C259" s="1422" t="inlineStr">
        <is>
          <t>Climatização</t>
        </is>
      </c>
    </row>
    <row r="260" ht="20.45" customHeight="1">
      <c r="A260" s="1421" t="inlineStr">
        <is>
          <t>Subetapa</t>
        </is>
      </c>
      <c r="B260" s="1417" t="inlineStr">
        <is>
          <t>11.002.002</t>
        </is>
      </c>
      <c r="C260" s="1422" t="inlineStr">
        <is>
          <t>Exaustão mecânica</t>
        </is>
      </c>
    </row>
    <row r="261" ht="20.45" customHeight="1">
      <c r="A261" s="1421" t="inlineStr">
        <is>
          <t>Subetapa</t>
        </is>
      </c>
      <c r="B261" s="1417" t="inlineStr">
        <is>
          <t>11.002.003</t>
        </is>
      </c>
      <c r="C261" s="1422" t="inlineStr">
        <is>
          <t>Exaustão de churrasqueiras</t>
        </is>
      </c>
    </row>
    <row r="262" ht="20.45" customHeight="1">
      <c r="A262" s="1421" t="inlineStr">
        <is>
          <t>Subetapa</t>
        </is>
      </c>
      <c r="B262" s="1417" t="inlineStr">
        <is>
          <t>11.002.004</t>
        </is>
      </c>
      <c r="C262" s="1422" t="inlineStr">
        <is>
          <t>Pressurização das escadas</t>
        </is>
      </c>
    </row>
    <row r="263" ht="20.45" customHeight="1">
      <c r="A263" s="1419" t="inlineStr">
        <is>
          <t>ETAPA</t>
        </is>
      </c>
      <c r="B263" s="1800" t="inlineStr">
        <is>
          <t>11.003</t>
        </is>
      </c>
      <c r="C263" s="1420" t="inlineStr">
        <is>
          <t>CLIMATIZAÇÃO, EXAUSTÃO MECÂNICA E PRESSURIZAÇÃO  - TORRE B</t>
        </is>
      </c>
    </row>
    <row r="264" ht="20.45" customHeight="1">
      <c r="A264" s="1421" t="inlineStr">
        <is>
          <t>Subetapa</t>
        </is>
      </c>
      <c r="B264" s="1417" t="inlineStr">
        <is>
          <t>11.003.001</t>
        </is>
      </c>
      <c r="C264" s="1422" t="inlineStr">
        <is>
          <t>Climatização</t>
        </is>
      </c>
    </row>
    <row r="265" ht="20.45" customHeight="1">
      <c r="A265" s="1421" t="inlineStr">
        <is>
          <t>Subetapa</t>
        </is>
      </c>
      <c r="B265" s="1417" t="inlineStr">
        <is>
          <t>11.003.002</t>
        </is>
      </c>
      <c r="C265" s="1422" t="inlineStr">
        <is>
          <t>Exaustão mecânica</t>
        </is>
      </c>
    </row>
    <row r="266" ht="20.45" customHeight="1">
      <c r="A266" s="1421" t="inlineStr">
        <is>
          <t>Subetapa</t>
        </is>
      </c>
      <c r="B266" s="1417" t="inlineStr">
        <is>
          <t>11.003.003</t>
        </is>
      </c>
      <c r="C266" s="1422" t="inlineStr">
        <is>
          <t>Exaustão de churrasqueiras</t>
        </is>
      </c>
    </row>
    <row r="267" ht="20.45" customHeight="1">
      <c r="A267" s="1421" t="inlineStr">
        <is>
          <t>Subetapa</t>
        </is>
      </c>
      <c r="B267" s="1417" t="inlineStr">
        <is>
          <t>11.003.004</t>
        </is>
      </c>
      <c r="C267" s="1422" t="inlineStr">
        <is>
          <t>Pressurização das escadas</t>
        </is>
      </c>
    </row>
    <row r="268" ht="20.45" customHeight="1">
      <c r="A268" s="1419" t="inlineStr">
        <is>
          <t>CÉLULA CONSTRUTIVA</t>
        </is>
      </c>
      <c r="B268" s="1417" t="n">
        <v>12</v>
      </c>
      <c r="C268" s="1420" t="inlineStr">
        <is>
          <t>REVESTIMENTOS ARGAMASSADOS INTERNOS DE PAREDE</t>
        </is>
      </c>
    </row>
    <row r="269" ht="20.45" customHeight="1">
      <c r="A269" s="1419" t="inlineStr">
        <is>
          <t>ETAPA</t>
        </is>
      </c>
      <c r="B269" s="1800" t="inlineStr">
        <is>
          <t>12.001</t>
        </is>
      </c>
      <c r="C269" s="1420" t="inlineStr">
        <is>
          <t>REVESTIMENTOS ARGAMASSADOS INTERNOS DE PAREDE  - EMBASAMENTO</t>
        </is>
      </c>
    </row>
    <row r="270" ht="20.45" customHeight="1">
      <c r="A270" s="1421" t="inlineStr">
        <is>
          <t>Subetapa</t>
        </is>
      </c>
      <c r="B270" s="1417" t="inlineStr">
        <is>
          <t>12.001.001</t>
        </is>
      </c>
      <c r="C270" s="1422" t="inlineStr">
        <is>
          <t>Reboco interno</t>
        </is>
      </c>
    </row>
    <row r="271" ht="20.45" customHeight="1">
      <c r="A271" s="1421" t="inlineStr">
        <is>
          <t>Subetapa</t>
        </is>
      </c>
      <c r="B271" s="1417" t="inlineStr">
        <is>
          <t>12.001.002</t>
        </is>
      </c>
      <c r="C271" s="1422" t="inlineStr">
        <is>
          <t>Isolamento térmico</t>
        </is>
      </c>
    </row>
    <row r="272" ht="20.45" customHeight="1">
      <c r="A272" s="1421" t="inlineStr">
        <is>
          <t>Subetapa</t>
        </is>
      </c>
      <c r="B272" s="1417" t="inlineStr">
        <is>
          <t>12.001.003</t>
        </is>
      </c>
      <c r="C272" s="1422" t="inlineStr">
        <is>
          <t>Isolamento acústico</t>
        </is>
      </c>
    </row>
    <row r="273" ht="20.45" customHeight="1">
      <c r="A273" s="1421" t="inlineStr">
        <is>
          <t>Subetapa</t>
        </is>
      </c>
      <c r="B273" s="1417" t="inlineStr">
        <is>
          <t>12.001.004</t>
        </is>
      </c>
      <c r="C273" s="1422" t="inlineStr">
        <is>
          <t>Mão de obra</t>
        </is>
      </c>
    </row>
    <row r="274" ht="20.45" customHeight="1">
      <c r="A274" s="1419" t="inlineStr">
        <is>
          <t>ETAPA</t>
        </is>
      </c>
      <c r="B274" s="1800" t="inlineStr">
        <is>
          <t>12.002</t>
        </is>
      </c>
      <c r="C274" s="1420" t="inlineStr">
        <is>
          <t>REVESTIMENTOS ARGAMASSADOS INTERNOS DE PAREDE  - TORRE A</t>
        </is>
      </c>
    </row>
    <row r="275" ht="20.45" customHeight="1">
      <c r="A275" s="1421" t="inlineStr">
        <is>
          <t>Subetapa</t>
        </is>
      </c>
      <c r="B275" s="1417" t="inlineStr">
        <is>
          <t>12.002.001</t>
        </is>
      </c>
      <c r="C275" s="1422" t="inlineStr">
        <is>
          <t>Reboco interno</t>
        </is>
      </c>
    </row>
    <row r="276" ht="20.45" customHeight="1">
      <c r="A276" s="1421" t="inlineStr">
        <is>
          <t>Subetapa</t>
        </is>
      </c>
      <c r="B276" s="1417" t="inlineStr">
        <is>
          <t>12.002.002</t>
        </is>
      </c>
      <c r="C276" s="1422" t="inlineStr">
        <is>
          <t>Isolamento térmico</t>
        </is>
      </c>
    </row>
    <row r="277" ht="20.45" customHeight="1">
      <c r="A277" s="1421" t="inlineStr">
        <is>
          <t>Subetapa</t>
        </is>
      </c>
      <c r="B277" s="1417" t="inlineStr">
        <is>
          <t>12.002.003</t>
        </is>
      </c>
      <c r="C277" s="1422" t="inlineStr">
        <is>
          <t>Isolamento acústico</t>
        </is>
      </c>
    </row>
    <row r="278" ht="20.45" customHeight="1">
      <c r="A278" s="1421" t="inlineStr">
        <is>
          <t>Subetapa</t>
        </is>
      </c>
      <c r="B278" s="1417" t="inlineStr">
        <is>
          <t>12.002.004</t>
        </is>
      </c>
      <c r="C278" s="1422" t="inlineStr">
        <is>
          <t>Mão de obra</t>
        </is>
      </c>
    </row>
    <row r="279" ht="20.45" customHeight="1">
      <c r="A279" s="1419" t="inlineStr">
        <is>
          <t>ETAPA</t>
        </is>
      </c>
      <c r="B279" s="1800" t="inlineStr">
        <is>
          <t>12.003</t>
        </is>
      </c>
      <c r="C279" s="1420" t="inlineStr">
        <is>
          <t>REVESTIMENTOS ARGAMASSADOS INTERNOS DE PAREDE  - TORRE B</t>
        </is>
      </c>
    </row>
    <row r="280" ht="20.45" customHeight="1">
      <c r="A280" s="1421" t="inlineStr">
        <is>
          <t>Subetapa</t>
        </is>
      </c>
      <c r="B280" s="1417" t="inlineStr">
        <is>
          <t>12.003.001</t>
        </is>
      </c>
      <c r="C280" s="1422" t="inlineStr">
        <is>
          <t>Reboco interno</t>
        </is>
      </c>
    </row>
    <row r="281" ht="20.45" customHeight="1">
      <c r="A281" s="1421" t="inlineStr">
        <is>
          <t>Subetapa</t>
        </is>
      </c>
      <c r="B281" s="1417" t="inlineStr">
        <is>
          <t>12.003.002</t>
        </is>
      </c>
      <c r="C281" s="1422" t="inlineStr">
        <is>
          <t>Isolamento térmico</t>
        </is>
      </c>
    </row>
    <row r="282" ht="20.45" customHeight="1">
      <c r="A282" s="1421" t="inlineStr">
        <is>
          <t>Subetapa</t>
        </is>
      </c>
      <c r="B282" s="1417" t="inlineStr">
        <is>
          <t>12.003.003</t>
        </is>
      </c>
      <c r="C282" s="1422" t="inlineStr">
        <is>
          <t>Isolamento acústico</t>
        </is>
      </c>
    </row>
    <row r="283" ht="20.45" customHeight="1">
      <c r="A283" s="1421" t="inlineStr">
        <is>
          <t>Subetapa</t>
        </is>
      </c>
      <c r="B283" s="1417" t="inlineStr">
        <is>
          <t>12.003.004</t>
        </is>
      </c>
      <c r="C283" s="1422" t="inlineStr">
        <is>
          <t>Mão de obra</t>
        </is>
      </c>
    </row>
    <row r="284" ht="20.45" customHeight="1">
      <c r="A284" s="1419" t="inlineStr">
        <is>
          <t>CÉLULA CONSTRUTIVA</t>
        </is>
      </c>
      <c r="B284" s="1417" t="n">
        <v>13</v>
      </c>
      <c r="C284" s="1420" t="inlineStr">
        <is>
          <t>ACABAMENTOS INTERNOS DE PAREDE</t>
        </is>
      </c>
    </row>
    <row r="285" ht="20.45" customHeight="1">
      <c r="A285" s="1419" t="inlineStr">
        <is>
          <t>ETAPA</t>
        </is>
      </c>
      <c r="B285" s="1800" t="inlineStr">
        <is>
          <t>13.001</t>
        </is>
      </c>
      <c r="C285" s="1420" t="inlineStr">
        <is>
          <t>ACABAMENTOS INTERNOS DE PAREDE  - EMBASAMENTO</t>
        </is>
      </c>
    </row>
    <row r="286" ht="20.45" customHeight="1">
      <c r="A286" s="1421" t="inlineStr">
        <is>
          <t>Subetapa</t>
        </is>
      </c>
      <c r="B286" s="1417" t="inlineStr">
        <is>
          <t>13.001.001</t>
        </is>
      </c>
      <c r="C286" s="1422" t="inlineStr">
        <is>
          <t>Acabamentos cerâmicos</t>
        </is>
      </c>
    </row>
    <row r="287" ht="20.45" customHeight="1">
      <c r="A287" s="1421" t="inlineStr">
        <is>
          <t>Subetapa</t>
        </is>
      </c>
      <c r="B287" s="1417" t="inlineStr">
        <is>
          <t>13.001.002</t>
        </is>
      </c>
      <c r="C287" s="1422" t="inlineStr">
        <is>
          <t>Acabamentos especiais</t>
        </is>
      </c>
    </row>
    <row r="288" ht="20.45" customHeight="1">
      <c r="A288" s="1421" t="inlineStr">
        <is>
          <t>Subetapa</t>
        </is>
      </c>
      <c r="B288" s="1417" t="inlineStr">
        <is>
          <t>13.001.003</t>
        </is>
      </c>
      <c r="C288" s="1422" t="inlineStr">
        <is>
          <t>Peitoris</t>
        </is>
      </c>
    </row>
    <row r="289" ht="20.45" customHeight="1">
      <c r="A289" s="1421" t="inlineStr">
        <is>
          <t>Subetapa</t>
        </is>
      </c>
      <c r="B289" s="1417" t="inlineStr">
        <is>
          <t>13.001.004</t>
        </is>
      </c>
      <c r="C289" s="1422" t="inlineStr">
        <is>
          <t>Mão de obra</t>
        </is>
      </c>
    </row>
    <row r="290" ht="20.45" customHeight="1">
      <c r="A290" s="1419" t="inlineStr">
        <is>
          <t>ETAPA</t>
        </is>
      </c>
      <c r="B290" s="1800" t="inlineStr">
        <is>
          <t>13.002</t>
        </is>
      </c>
      <c r="C290" s="1420" t="inlineStr">
        <is>
          <t>ACABAMENTOS INTERNOS DE PAREDE  - TORRE A</t>
        </is>
      </c>
    </row>
    <row r="291" ht="20.45" customHeight="1">
      <c r="A291" s="1421" t="inlineStr">
        <is>
          <t>Subetapa</t>
        </is>
      </c>
      <c r="B291" s="1417" t="inlineStr">
        <is>
          <t>13.002.001</t>
        </is>
      </c>
      <c r="C291" s="1422" t="inlineStr">
        <is>
          <t>Acabamentos cerâmicos</t>
        </is>
      </c>
    </row>
    <row r="292" ht="20.45" customHeight="1">
      <c r="A292" s="1421" t="inlineStr">
        <is>
          <t>Subetapa</t>
        </is>
      </c>
      <c r="B292" s="1417" t="inlineStr">
        <is>
          <t>13.002.002</t>
        </is>
      </c>
      <c r="C292" s="1422" t="inlineStr">
        <is>
          <t>Acabamentos especiais</t>
        </is>
      </c>
    </row>
    <row r="293" ht="20.45" customHeight="1">
      <c r="A293" s="1421" t="inlineStr">
        <is>
          <t>Subetapa</t>
        </is>
      </c>
      <c r="B293" s="1417" t="inlineStr">
        <is>
          <t>13.002.003</t>
        </is>
      </c>
      <c r="C293" s="1422" t="inlineStr">
        <is>
          <t>Peitoris</t>
        </is>
      </c>
    </row>
    <row r="294" ht="20.45" customHeight="1">
      <c r="A294" s="1421" t="inlineStr">
        <is>
          <t>Subetapa</t>
        </is>
      </c>
      <c r="B294" s="1417" t="inlineStr">
        <is>
          <t>13.002.004</t>
        </is>
      </c>
      <c r="C294" s="1422" t="inlineStr">
        <is>
          <t>Mão de obra</t>
        </is>
      </c>
    </row>
    <row r="295" ht="20.45" customHeight="1">
      <c r="A295" s="1419" t="inlineStr">
        <is>
          <t>ETAPA</t>
        </is>
      </c>
      <c r="B295" s="1800" t="inlineStr">
        <is>
          <t>13.003</t>
        </is>
      </c>
      <c r="C295" s="1420" t="inlineStr">
        <is>
          <t>ACABAMENTOS INTERNOS DE PAREDE  - TORRE B</t>
        </is>
      </c>
    </row>
    <row r="296" ht="20.45" customHeight="1">
      <c r="A296" s="1421" t="inlineStr">
        <is>
          <t>Subetapa</t>
        </is>
      </c>
      <c r="B296" s="1417" t="inlineStr">
        <is>
          <t>13.003.001</t>
        </is>
      </c>
      <c r="C296" s="1422" t="inlineStr">
        <is>
          <t>Acabamentos cerâmicos</t>
        </is>
      </c>
    </row>
    <row r="297" ht="20.45" customHeight="1">
      <c r="A297" s="1421" t="inlineStr">
        <is>
          <t>Subetapa</t>
        </is>
      </c>
      <c r="B297" s="1417" t="inlineStr">
        <is>
          <t>13.003.002</t>
        </is>
      </c>
      <c r="C297" s="1422" t="inlineStr">
        <is>
          <t>Acabamentos especiais</t>
        </is>
      </c>
    </row>
    <row r="298" ht="20.45" customHeight="1">
      <c r="A298" s="1421" t="inlineStr">
        <is>
          <t>Subetapa</t>
        </is>
      </c>
      <c r="B298" s="1417" t="inlineStr">
        <is>
          <t>13.003.003</t>
        </is>
      </c>
      <c r="C298" s="1422" t="inlineStr">
        <is>
          <t>Peitoris</t>
        </is>
      </c>
    </row>
    <row r="299" ht="20.45" customHeight="1">
      <c r="A299" s="1421" t="inlineStr">
        <is>
          <t>Subetapa</t>
        </is>
      </c>
      <c r="B299" s="1417" t="inlineStr">
        <is>
          <t>13.003.004</t>
        </is>
      </c>
      <c r="C299" s="1422" t="inlineStr">
        <is>
          <t>Mão de obra</t>
        </is>
      </c>
    </row>
    <row r="300" ht="20.45" customHeight="1">
      <c r="A300" s="1419" t="inlineStr">
        <is>
          <t>CÉLULA CONSTRUTIVA</t>
        </is>
      </c>
      <c r="B300" s="1417" t="n">
        <v>14</v>
      </c>
      <c r="C300" s="1420" t="inlineStr">
        <is>
          <t>REVESTIMENTOS INTERNOS EM TETO</t>
        </is>
      </c>
    </row>
    <row r="301" ht="20.45" customHeight="1">
      <c r="A301" s="1419" t="inlineStr">
        <is>
          <t>ETAPA</t>
        </is>
      </c>
      <c r="B301" s="1800" t="inlineStr">
        <is>
          <t>14.001</t>
        </is>
      </c>
      <c r="C301" s="1427" t="inlineStr">
        <is>
          <t>REVESTIMENTOS ARGAMASSADOS E ACABAMENTO INTERNOS EM TETO  - EMBASAMENTO</t>
        </is>
      </c>
    </row>
    <row r="302" ht="20.45" customHeight="1">
      <c r="A302" s="1421" t="inlineStr">
        <is>
          <t>Subetapa</t>
        </is>
      </c>
      <c r="B302" s="1417" t="inlineStr">
        <is>
          <t>14.001.001</t>
        </is>
      </c>
      <c r="C302" s="1422" t="inlineStr">
        <is>
          <t>Revestimento interno argamassado em teto</t>
        </is>
      </c>
    </row>
    <row r="303" ht="20.45" customHeight="1">
      <c r="A303" s="1421" t="inlineStr">
        <is>
          <t>Subetapa</t>
        </is>
      </c>
      <c r="B303" s="1417" t="inlineStr">
        <is>
          <t>14.001.002</t>
        </is>
      </c>
      <c r="C303" s="1422" t="inlineStr">
        <is>
          <t>Mão de obra</t>
        </is>
      </c>
    </row>
    <row r="304" ht="20.45" customHeight="1">
      <c r="A304" s="1419" t="inlineStr">
        <is>
          <t>ETAPA</t>
        </is>
      </c>
      <c r="B304" s="1800" t="inlineStr">
        <is>
          <t>14.002</t>
        </is>
      </c>
      <c r="C304" s="1427" t="inlineStr">
        <is>
          <t>REVESTIMENTOS ARGAMASSADOS E ACABAMENTO INTERNOS EM TETO  - TORRE A</t>
        </is>
      </c>
    </row>
    <row r="305" ht="20.45" customHeight="1">
      <c r="A305" s="1421" t="inlineStr">
        <is>
          <t>Subetapa</t>
        </is>
      </c>
      <c r="B305" s="1417" t="inlineStr">
        <is>
          <t>14.002.001</t>
        </is>
      </c>
      <c r="C305" s="1422" t="inlineStr">
        <is>
          <t>Revestimento interno argamassado em teto</t>
        </is>
      </c>
    </row>
    <row r="306" ht="20.45" customHeight="1">
      <c r="A306" s="1421" t="inlineStr">
        <is>
          <t>Subetapa</t>
        </is>
      </c>
      <c r="B306" s="1799" t="inlineStr">
        <is>
          <t>14.002.002</t>
        </is>
      </c>
      <c r="C306" s="1422" t="inlineStr">
        <is>
          <t>Mão de obra</t>
        </is>
      </c>
    </row>
    <row r="307" ht="20.45" customHeight="1">
      <c r="A307" s="1419" t="inlineStr">
        <is>
          <t>ETAPA</t>
        </is>
      </c>
      <c r="B307" s="1800" t="inlineStr">
        <is>
          <t>14.003</t>
        </is>
      </c>
      <c r="C307" s="1427" t="inlineStr">
        <is>
          <t>REVESTIMENTOS ARGAMASSADOS E ACABAMENTO INTERNOS EM TETO  - TORRE B</t>
        </is>
      </c>
    </row>
    <row r="308" ht="20.45" customHeight="1">
      <c r="A308" s="1421" t="inlineStr">
        <is>
          <t>Subetapa</t>
        </is>
      </c>
      <c r="B308" s="1417" t="inlineStr">
        <is>
          <t>14.003.001</t>
        </is>
      </c>
      <c r="C308" s="1422" t="inlineStr">
        <is>
          <t>Revestimento interno argamassado em teto</t>
        </is>
      </c>
    </row>
    <row r="309" ht="20.45" customHeight="1">
      <c r="A309" s="1421" t="inlineStr">
        <is>
          <t>Subetapa</t>
        </is>
      </c>
      <c r="B309" s="1417" t="inlineStr">
        <is>
          <t>14.003.002</t>
        </is>
      </c>
      <c r="C309" s="1422" t="inlineStr">
        <is>
          <t>Mão de obra</t>
        </is>
      </c>
    </row>
    <row r="310" ht="20.45" customHeight="1">
      <c r="A310" s="1419" t="inlineStr">
        <is>
          <t>CÉLULA CONSTRUTIVA</t>
        </is>
      </c>
      <c r="B310" s="1417" t="n">
        <v>15</v>
      </c>
      <c r="C310" s="1420" t="inlineStr">
        <is>
          <t>ACABAMENTOS INTERNOS EM TETO</t>
        </is>
      </c>
    </row>
    <row r="311" ht="20.45" customHeight="1">
      <c r="A311" s="1419" t="inlineStr">
        <is>
          <t>ETAPA</t>
        </is>
      </c>
      <c r="B311" s="1800" t="inlineStr">
        <is>
          <t>15.001</t>
        </is>
      </c>
      <c r="C311" s="1427" t="inlineStr">
        <is>
          <t>ACABAMENTOS INTERNOS EM TETO  - EMBASAMENTO</t>
        </is>
      </c>
    </row>
    <row r="312" ht="20.45" customHeight="1">
      <c r="A312" s="1421" t="inlineStr">
        <is>
          <t>Subetapa</t>
        </is>
      </c>
      <c r="B312" s="1417" t="inlineStr">
        <is>
          <t>15.001.001</t>
        </is>
      </c>
      <c r="C312" s="1422" t="inlineStr">
        <is>
          <t>Acabamento de gesso em teto</t>
        </is>
      </c>
    </row>
    <row r="313" ht="20.45" customHeight="1">
      <c r="A313" s="1421" t="inlineStr">
        <is>
          <t>Subetapa</t>
        </is>
      </c>
      <c r="B313" s="1417" t="inlineStr">
        <is>
          <t>15.001.002</t>
        </is>
      </c>
      <c r="C313" s="1422" t="inlineStr">
        <is>
          <t>Mão de obra</t>
        </is>
      </c>
    </row>
    <row r="314" ht="20.45" customHeight="1">
      <c r="A314" s="1419" t="inlineStr">
        <is>
          <t>ETAPA</t>
        </is>
      </c>
      <c r="B314" s="1800" t="inlineStr">
        <is>
          <t>15.002</t>
        </is>
      </c>
      <c r="C314" s="1427" t="inlineStr">
        <is>
          <t>ACABAMENTOS INTERNOS EM TETO  - TORRE A</t>
        </is>
      </c>
    </row>
    <row r="315" ht="20.45" customHeight="1">
      <c r="A315" s="1421" t="inlineStr">
        <is>
          <t>Subetapa</t>
        </is>
      </c>
      <c r="B315" s="1417" t="inlineStr">
        <is>
          <t>15.002.001</t>
        </is>
      </c>
      <c r="C315" s="1422" t="inlineStr">
        <is>
          <t>Acabamento de gesso em teto</t>
        </is>
      </c>
    </row>
    <row r="316" ht="20.45" customHeight="1">
      <c r="A316" s="1421" t="inlineStr">
        <is>
          <t>Subetapa</t>
        </is>
      </c>
      <c r="B316" s="1417" t="inlineStr">
        <is>
          <t>15.002.002</t>
        </is>
      </c>
      <c r="C316" s="1422" t="inlineStr">
        <is>
          <t>Mão de obra</t>
        </is>
      </c>
    </row>
    <row r="317" ht="20.45" customHeight="1">
      <c r="A317" s="1419" t="inlineStr">
        <is>
          <t>ETAPA</t>
        </is>
      </c>
      <c r="B317" s="1800" t="inlineStr">
        <is>
          <t>15.003</t>
        </is>
      </c>
      <c r="C317" s="1427" t="inlineStr">
        <is>
          <t>ACABAMENTOS INTERNOS EM TETO  - TORRE B</t>
        </is>
      </c>
    </row>
    <row r="318" ht="20.45" customHeight="1">
      <c r="A318" s="1421" t="inlineStr">
        <is>
          <t>Subetapa</t>
        </is>
      </c>
      <c r="B318" s="1417" t="inlineStr">
        <is>
          <t>15.003.001</t>
        </is>
      </c>
      <c r="C318" s="1422" t="inlineStr">
        <is>
          <t>Acabamento de gesso em teto</t>
        </is>
      </c>
    </row>
    <row r="319" ht="20.45" customHeight="1">
      <c r="A319" s="1421" t="inlineStr">
        <is>
          <t>Subetapa</t>
        </is>
      </c>
      <c r="B319" s="1417" t="inlineStr">
        <is>
          <t>15.003.002</t>
        </is>
      </c>
      <c r="C319" s="1422" t="inlineStr">
        <is>
          <t>Mão de obra</t>
        </is>
      </c>
    </row>
    <row r="320" ht="20.45" customHeight="1">
      <c r="A320" s="1419" t="inlineStr">
        <is>
          <t>CÉLULA CONSTRUTIVA</t>
        </is>
      </c>
      <c r="B320" s="1417" t="n">
        <v>16</v>
      </c>
      <c r="C320" s="1420" t="inlineStr">
        <is>
          <t>REVESTIMENTOS ARGAMASSADOS EM PISO E PAVIMENTAÇÕES</t>
        </is>
      </c>
    </row>
    <row r="321" ht="20.45" customHeight="1">
      <c r="A321" s="1419" t="inlineStr">
        <is>
          <t>ETAPA</t>
        </is>
      </c>
      <c r="B321" s="1800" t="inlineStr">
        <is>
          <t>16.001</t>
        </is>
      </c>
      <c r="C321" s="1420" t="inlineStr">
        <is>
          <t>REVESTIMENTOS ARGAMASSADOS EM PISO E PAVIMENTAÇÕES  - EMBASAMENTO</t>
        </is>
      </c>
    </row>
    <row r="322" ht="20.45" customHeight="1">
      <c r="A322" s="1421" t="inlineStr">
        <is>
          <t>Subetapa</t>
        </is>
      </c>
      <c r="B322" s="1417" t="inlineStr">
        <is>
          <t>16.001.001</t>
        </is>
      </c>
      <c r="C322" s="1422" t="inlineStr">
        <is>
          <t>Contrapiso</t>
        </is>
      </c>
    </row>
    <row r="323" ht="20.45" customHeight="1">
      <c r="A323" s="1421" t="inlineStr">
        <is>
          <t>Subetapa</t>
        </is>
      </c>
      <c r="B323" s="1417" t="inlineStr">
        <is>
          <t>16.001.002</t>
        </is>
      </c>
      <c r="C323" s="1422" t="inlineStr">
        <is>
          <t>Isolamento térmico</t>
        </is>
      </c>
    </row>
    <row r="324" ht="20.45" customHeight="1">
      <c r="A324" s="1421" t="inlineStr">
        <is>
          <t>Subetapa</t>
        </is>
      </c>
      <c r="B324" s="1417" t="inlineStr">
        <is>
          <t>16.001.003</t>
        </is>
      </c>
      <c r="C324" s="1422" t="inlineStr">
        <is>
          <t>Isolamento acústico</t>
        </is>
      </c>
    </row>
    <row r="325" ht="20.45" customHeight="1">
      <c r="A325" s="1421" t="inlineStr">
        <is>
          <t>Subetapa</t>
        </is>
      </c>
      <c r="B325" s="1417" t="inlineStr">
        <is>
          <t>16.001.004</t>
        </is>
      </c>
      <c r="C325" s="1422" t="inlineStr">
        <is>
          <t>Acabamentos cimentados em piso</t>
        </is>
      </c>
    </row>
    <row r="326" ht="20.45" customHeight="1">
      <c r="A326" s="1421" t="inlineStr">
        <is>
          <t>Subetapa</t>
        </is>
      </c>
      <c r="B326" s="1417" t="inlineStr">
        <is>
          <t>16.001.005</t>
        </is>
      </c>
      <c r="C326" s="1422" t="inlineStr">
        <is>
          <t>Mão de obra</t>
        </is>
      </c>
    </row>
    <row r="327" ht="20.45" customHeight="1">
      <c r="A327" s="1419" t="inlineStr">
        <is>
          <t>ETAPA</t>
        </is>
      </c>
      <c r="B327" s="1800" t="inlineStr">
        <is>
          <t>16.002</t>
        </is>
      </c>
      <c r="C327" s="1420" t="inlineStr">
        <is>
          <t>REVESTIMENTOS ARGAMASSADOS EM PISO E PAVIMENTAÇÕES  - TORRE A</t>
        </is>
      </c>
    </row>
    <row r="328" ht="20.45" customHeight="1">
      <c r="A328" s="1421" t="inlineStr">
        <is>
          <t>Subetapa</t>
        </is>
      </c>
      <c r="B328" s="1417" t="inlineStr">
        <is>
          <t>16.002.001</t>
        </is>
      </c>
      <c r="C328" s="1422" t="inlineStr">
        <is>
          <t>Contrapiso</t>
        </is>
      </c>
    </row>
    <row r="329" ht="20.45" customHeight="1">
      <c r="A329" s="1421" t="inlineStr">
        <is>
          <t>Subetapa</t>
        </is>
      </c>
      <c r="B329" s="1417" t="inlineStr">
        <is>
          <t>16.002.002</t>
        </is>
      </c>
      <c r="C329" s="1422" t="inlineStr">
        <is>
          <t>Isolamento térmico</t>
        </is>
      </c>
    </row>
    <row r="330" ht="20.45" customHeight="1">
      <c r="A330" s="1421" t="inlineStr">
        <is>
          <t>Subetapa</t>
        </is>
      </c>
      <c r="B330" s="1417" t="inlineStr">
        <is>
          <t>16.002.003</t>
        </is>
      </c>
      <c r="C330" s="1422" t="inlineStr">
        <is>
          <t>Isolamento acústico</t>
        </is>
      </c>
    </row>
    <row r="331" ht="20.45" customHeight="1">
      <c r="A331" s="1421" t="inlineStr">
        <is>
          <t>Subetapa</t>
        </is>
      </c>
      <c r="B331" s="1417" t="inlineStr">
        <is>
          <t>16.002.004</t>
        </is>
      </c>
      <c r="C331" s="1422" t="inlineStr">
        <is>
          <t>Acabamentos cimentados em piso</t>
        </is>
      </c>
    </row>
    <row r="332" ht="20.45" customHeight="1">
      <c r="A332" s="1421" t="inlineStr">
        <is>
          <t>Subetapa</t>
        </is>
      </c>
      <c r="B332" s="1417" t="inlineStr">
        <is>
          <t>16.002.005</t>
        </is>
      </c>
      <c r="C332" s="1422" t="inlineStr">
        <is>
          <t>Mão de obra</t>
        </is>
      </c>
    </row>
    <row r="333" ht="20.45" customHeight="1">
      <c r="A333" s="1419" t="inlineStr">
        <is>
          <t>ETAPA</t>
        </is>
      </c>
      <c r="B333" s="1800" t="inlineStr">
        <is>
          <t>16.003</t>
        </is>
      </c>
      <c r="C333" s="1420" t="inlineStr">
        <is>
          <t>REVESTIMENTOS ARGAMASSADOS EM PISO E PAVIMENTAÇÕES  - TORRE B</t>
        </is>
      </c>
    </row>
    <row r="334" ht="20.45" customHeight="1">
      <c r="A334" s="1421" t="inlineStr">
        <is>
          <t>Subetapa</t>
        </is>
      </c>
      <c r="B334" s="1417" t="inlineStr">
        <is>
          <t>16.003.001</t>
        </is>
      </c>
      <c r="C334" s="1422" t="inlineStr">
        <is>
          <t>Contrapiso</t>
        </is>
      </c>
    </row>
    <row r="335" ht="20.45" customHeight="1">
      <c r="A335" s="1421" t="inlineStr">
        <is>
          <t>Subetapa</t>
        </is>
      </c>
      <c r="B335" s="1417" t="inlineStr">
        <is>
          <t>16.003.002</t>
        </is>
      </c>
      <c r="C335" s="1422" t="inlineStr">
        <is>
          <t>Isolamento térmico</t>
        </is>
      </c>
    </row>
    <row r="336" ht="20.45" customHeight="1">
      <c r="A336" s="1421" t="inlineStr">
        <is>
          <t>Subetapa</t>
        </is>
      </c>
      <c r="B336" s="1417" t="inlineStr">
        <is>
          <t>16.003.003</t>
        </is>
      </c>
      <c r="C336" s="1422" t="inlineStr">
        <is>
          <t>Isolamento acústico</t>
        </is>
      </c>
    </row>
    <row r="337" ht="20.45" customHeight="1">
      <c r="A337" s="1421" t="inlineStr">
        <is>
          <t>Subetapa</t>
        </is>
      </c>
      <c r="B337" s="1417" t="inlineStr">
        <is>
          <t>16.003.004</t>
        </is>
      </c>
      <c r="C337" s="1422" t="inlineStr">
        <is>
          <t>Acabamentos cimentados em piso</t>
        </is>
      </c>
    </row>
    <row r="338" ht="20.45" customHeight="1">
      <c r="A338" s="1421" t="inlineStr">
        <is>
          <t>Subetapa</t>
        </is>
      </c>
      <c r="B338" s="1417" t="inlineStr">
        <is>
          <t>16.003.005</t>
        </is>
      </c>
      <c r="C338" s="1422" t="inlineStr">
        <is>
          <t>Mão de obra</t>
        </is>
      </c>
    </row>
    <row r="339" ht="20.45" customHeight="1">
      <c r="A339" s="1419" t="inlineStr">
        <is>
          <t>CÉLULA CONSTRUTIVA</t>
        </is>
      </c>
      <c r="B339" s="1417" t="n">
        <v>17</v>
      </c>
      <c r="C339" s="1420" t="inlineStr">
        <is>
          <t>ACABAMENTOS EM PISO E PAVIMENTAÇÕES</t>
        </is>
      </c>
    </row>
    <row r="340" ht="20.45" customHeight="1">
      <c r="A340" s="1419" t="inlineStr">
        <is>
          <t>ETAPA</t>
        </is>
      </c>
      <c r="B340" s="1800" t="inlineStr">
        <is>
          <t>17.001</t>
        </is>
      </c>
      <c r="C340" s="1420" t="inlineStr">
        <is>
          <t>ACABAMENTOS EM PISO E PAVIMENTAÇÕES  - EMBASAMENTO</t>
        </is>
      </c>
    </row>
    <row r="341" ht="20.45" customHeight="1">
      <c r="A341" s="1421" t="inlineStr">
        <is>
          <t>Subetapa</t>
        </is>
      </c>
      <c r="B341" s="1417" t="inlineStr">
        <is>
          <t>17.001.001</t>
        </is>
      </c>
      <c r="C341" s="1422" t="inlineStr">
        <is>
          <t>Acabamentos cerâmicos em piso</t>
        </is>
      </c>
    </row>
    <row r="342" ht="20.45" customHeight="1">
      <c r="A342" s="1421" t="inlineStr">
        <is>
          <t>Subetapa</t>
        </is>
      </c>
      <c r="B342" s="1417" t="inlineStr">
        <is>
          <t>17.001.002</t>
        </is>
      </c>
      <c r="C342" s="1422" t="inlineStr">
        <is>
          <t>Acabamentos de madeira</t>
        </is>
      </c>
    </row>
    <row r="343" ht="20.45" customHeight="1">
      <c r="A343" s="1421" t="inlineStr">
        <is>
          <t>Subetapa</t>
        </is>
      </c>
      <c r="B343" s="1417" t="inlineStr">
        <is>
          <t>17.001.003</t>
        </is>
      </c>
      <c r="C343" s="1422" t="inlineStr">
        <is>
          <t>Acabamentos em pedra</t>
        </is>
      </c>
    </row>
    <row r="344" ht="20.45" customHeight="1">
      <c r="A344" s="1421" t="inlineStr">
        <is>
          <t>Subetapa</t>
        </is>
      </c>
      <c r="B344" s="1417" t="inlineStr">
        <is>
          <t>17.001.004</t>
        </is>
      </c>
      <c r="C344" s="1422" t="inlineStr">
        <is>
          <t>Acabamentos especiais</t>
        </is>
      </c>
    </row>
    <row r="345" ht="20.45" customHeight="1">
      <c r="A345" s="1421" t="inlineStr">
        <is>
          <t>Subetapa</t>
        </is>
      </c>
      <c r="B345" s="1417" t="inlineStr">
        <is>
          <t>17.001.005</t>
        </is>
      </c>
      <c r="C345" s="1422" t="inlineStr">
        <is>
          <t>Rodapés</t>
        </is>
      </c>
    </row>
    <row r="346" ht="20.45" customHeight="1">
      <c r="A346" s="1421" t="inlineStr">
        <is>
          <t>Subetapa</t>
        </is>
      </c>
      <c r="B346" s="1417" t="inlineStr">
        <is>
          <t>17.001.006</t>
        </is>
      </c>
      <c r="C346" s="1422" t="inlineStr">
        <is>
          <t>Soleiras</t>
        </is>
      </c>
    </row>
    <row r="347" ht="20.45" customHeight="1">
      <c r="A347" s="1421" t="inlineStr">
        <is>
          <t>Subetapa</t>
        </is>
      </c>
      <c r="B347" s="1417" t="inlineStr">
        <is>
          <t>17.001.007</t>
        </is>
      </c>
      <c r="C347" s="1422" t="inlineStr">
        <is>
          <t>Mão de obra</t>
        </is>
      </c>
    </row>
    <row r="348" ht="20.45" customHeight="1">
      <c r="A348" s="1419" t="inlineStr">
        <is>
          <t>ETAPA</t>
        </is>
      </c>
      <c r="B348" s="1800" t="inlineStr">
        <is>
          <t>17.002</t>
        </is>
      </c>
      <c r="C348" s="1420" t="inlineStr">
        <is>
          <t>ACABAMENTOS EM PISO E PAVIMENTAÇÕES  - TORRE A</t>
        </is>
      </c>
    </row>
    <row r="349" ht="20.45" customHeight="1">
      <c r="A349" s="1421" t="inlineStr">
        <is>
          <t>Subetapa</t>
        </is>
      </c>
      <c r="B349" s="1417" t="inlineStr">
        <is>
          <t>17.002.001</t>
        </is>
      </c>
      <c r="C349" s="1422" t="inlineStr">
        <is>
          <t>Acabamentos cerâmicos em piso</t>
        </is>
      </c>
    </row>
    <row r="350" ht="20.45" customHeight="1">
      <c r="A350" s="1421" t="inlineStr">
        <is>
          <t>Subetapa</t>
        </is>
      </c>
      <c r="B350" s="1417" t="inlineStr">
        <is>
          <t>17.002.002</t>
        </is>
      </c>
      <c r="C350" s="1422" t="inlineStr">
        <is>
          <t>Acabamentos de madeira</t>
        </is>
      </c>
    </row>
    <row r="351" ht="20.45" customHeight="1">
      <c r="A351" s="1421" t="inlineStr">
        <is>
          <t>Subetapa</t>
        </is>
      </c>
      <c r="B351" s="1417" t="inlineStr">
        <is>
          <t>17.002.003</t>
        </is>
      </c>
      <c r="C351" s="1422" t="inlineStr">
        <is>
          <t>Acabamentos em pedra</t>
        </is>
      </c>
    </row>
    <row r="352" ht="20.45" customHeight="1">
      <c r="A352" s="1421" t="inlineStr">
        <is>
          <t>Subetapa</t>
        </is>
      </c>
      <c r="B352" s="1417" t="inlineStr">
        <is>
          <t>17.002.004</t>
        </is>
      </c>
      <c r="C352" s="1422" t="inlineStr">
        <is>
          <t>Acabamentos especiais</t>
        </is>
      </c>
    </row>
    <row r="353" ht="20.45" customHeight="1">
      <c r="A353" s="1421" t="inlineStr">
        <is>
          <t>Subetapa</t>
        </is>
      </c>
      <c r="B353" s="1417" t="inlineStr">
        <is>
          <t>17.002.005</t>
        </is>
      </c>
      <c r="C353" s="1422" t="inlineStr">
        <is>
          <t>Rodapés</t>
        </is>
      </c>
    </row>
    <row r="354" ht="20.45" customHeight="1">
      <c r="A354" s="1421" t="inlineStr">
        <is>
          <t>Subetapa</t>
        </is>
      </c>
      <c r="B354" s="1417" t="inlineStr">
        <is>
          <t>17.002.006</t>
        </is>
      </c>
      <c r="C354" s="1422" t="inlineStr">
        <is>
          <t>Soleiras</t>
        </is>
      </c>
    </row>
    <row r="355" ht="20.45" customHeight="1">
      <c r="A355" s="1421" t="inlineStr">
        <is>
          <t>Subetapa</t>
        </is>
      </c>
      <c r="B355" s="1417" t="inlineStr">
        <is>
          <t>17.002.007</t>
        </is>
      </c>
      <c r="C355" s="1422" t="inlineStr">
        <is>
          <t>Mão de obra</t>
        </is>
      </c>
    </row>
    <row r="356" ht="20.45" customHeight="1">
      <c r="A356" s="1419" t="inlineStr">
        <is>
          <t>ETAPA</t>
        </is>
      </c>
      <c r="B356" s="1800" t="inlineStr">
        <is>
          <t>17.003</t>
        </is>
      </c>
      <c r="C356" s="1420" t="inlineStr">
        <is>
          <t>ACABAMENTOS EM PISO E PAVIMENTAÇÕES  - TORRE B</t>
        </is>
      </c>
    </row>
    <row r="357" ht="20.45" customHeight="1">
      <c r="A357" s="1421" t="inlineStr">
        <is>
          <t>Subetapa</t>
        </is>
      </c>
      <c r="B357" s="1417" t="inlineStr">
        <is>
          <t>17.003.001</t>
        </is>
      </c>
      <c r="C357" s="1422" t="inlineStr">
        <is>
          <t>Acabamentos cerâmicos em piso</t>
        </is>
      </c>
    </row>
    <row r="358" ht="20.45" customHeight="1">
      <c r="A358" s="1421" t="inlineStr">
        <is>
          <t>Subetapa</t>
        </is>
      </c>
      <c r="B358" s="1417" t="inlineStr">
        <is>
          <t>17.003.002</t>
        </is>
      </c>
      <c r="C358" s="1422" t="inlineStr">
        <is>
          <t>Acabamentos de madeira</t>
        </is>
      </c>
    </row>
    <row r="359" ht="20.45" customHeight="1">
      <c r="A359" s="1421" t="inlineStr">
        <is>
          <t>Subetapa</t>
        </is>
      </c>
      <c r="B359" s="1417" t="inlineStr">
        <is>
          <t>17.003.003</t>
        </is>
      </c>
      <c r="C359" s="1422" t="inlineStr">
        <is>
          <t>Acabamentos em pedra</t>
        </is>
      </c>
    </row>
    <row r="360" ht="20.45" customHeight="1">
      <c r="A360" s="1421" t="inlineStr">
        <is>
          <t>Subetapa</t>
        </is>
      </c>
      <c r="B360" s="1417" t="inlineStr">
        <is>
          <t>17.003.004</t>
        </is>
      </c>
      <c r="C360" s="1422" t="inlineStr">
        <is>
          <t>Acabamentos especiais</t>
        </is>
      </c>
    </row>
    <row r="361" ht="20.45" customHeight="1">
      <c r="A361" s="1421" t="inlineStr">
        <is>
          <t>Subetapa</t>
        </is>
      </c>
      <c r="B361" s="1417" t="inlineStr">
        <is>
          <t>17.003.005</t>
        </is>
      </c>
      <c r="C361" s="1422" t="inlineStr">
        <is>
          <t>Rodapés</t>
        </is>
      </c>
    </row>
    <row r="362" ht="20.45" customHeight="1">
      <c r="A362" s="1421" t="inlineStr">
        <is>
          <t>Subetapa</t>
        </is>
      </c>
      <c r="B362" s="1417" t="inlineStr">
        <is>
          <t>17.003.006</t>
        </is>
      </c>
      <c r="C362" s="1422" t="inlineStr">
        <is>
          <t>Soleiras</t>
        </is>
      </c>
    </row>
    <row r="363" ht="20.45" customHeight="1">
      <c r="A363" s="1421" t="inlineStr">
        <is>
          <t>Subetapa</t>
        </is>
      </c>
      <c r="B363" s="1417" t="inlineStr">
        <is>
          <t>17.003.007</t>
        </is>
      </c>
      <c r="C363" s="1422" t="inlineStr">
        <is>
          <t>Mão de obra</t>
        </is>
      </c>
    </row>
    <row r="364" ht="20.45" customHeight="1">
      <c r="A364" s="1419" t="inlineStr">
        <is>
          <t>CÉLULA CONSTRUTIVA</t>
        </is>
      </c>
      <c r="B364" s="1417" t="n">
        <v>18</v>
      </c>
      <c r="C364" s="1420" t="inlineStr">
        <is>
          <t>SISTEMAS DE PINTURA INTERNA</t>
        </is>
      </c>
    </row>
    <row r="365" ht="20.45" customHeight="1">
      <c r="A365" s="1419" t="inlineStr">
        <is>
          <t>ETAPA</t>
        </is>
      </c>
      <c r="B365" s="1800" t="inlineStr">
        <is>
          <t>18.001</t>
        </is>
      </c>
      <c r="C365" s="1427" t="inlineStr">
        <is>
          <t>PINTURA INTERNA  - EMBASAMENTO</t>
        </is>
      </c>
    </row>
    <row r="366" ht="20.45" customHeight="1">
      <c r="A366" s="1421" t="inlineStr">
        <is>
          <t>Subetapa</t>
        </is>
      </c>
      <c r="B366" s="1417" t="inlineStr">
        <is>
          <t>18.001.001</t>
        </is>
      </c>
      <c r="C366" s="1422" t="inlineStr">
        <is>
          <t>Sistema de pintura em piso</t>
        </is>
      </c>
    </row>
    <row r="367" ht="20.45" customHeight="1">
      <c r="A367" s="1421" t="inlineStr">
        <is>
          <t>Subetapa</t>
        </is>
      </c>
      <c r="B367" s="1417" t="inlineStr">
        <is>
          <t>18.001.002</t>
        </is>
      </c>
      <c r="C367" s="1422" t="inlineStr">
        <is>
          <t>Sistema de pintura em parede</t>
        </is>
      </c>
    </row>
    <row r="368" ht="20.45" customHeight="1">
      <c r="A368" s="1421" t="inlineStr">
        <is>
          <t>Subetapa</t>
        </is>
      </c>
      <c r="B368" s="1417" t="inlineStr">
        <is>
          <t>18.001.003</t>
        </is>
      </c>
      <c r="C368" s="1422" t="inlineStr">
        <is>
          <t>Sistema de pintura em teto</t>
        </is>
      </c>
    </row>
    <row r="369" ht="20.45" customHeight="1">
      <c r="A369" s="1421" t="inlineStr">
        <is>
          <t>Subetapa</t>
        </is>
      </c>
      <c r="B369" s="1417" t="inlineStr">
        <is>
          <t>18.001.004</t>
        </is>
      </c>
      <c r="C369" s="1422" t="inlineStr">
        <is>
          <t>Pinturas diversas</t>
        </is>
      </c>
    </row>
    <row r="370" ht="20.45" customHeight="1">
      <c r="A370" s="1421" t="inlineStr">
        <is>
          <t>Subetapa</t>
        </is>
      </c>
      <c r="B370" s="1417" t="inlineStr">
        <is>
          <t>18.001.005</t>
        </is>
      </c>
      <c r="C370" s="1422" t="inlineStr">
        <is>
          <t>Mão de obra</t>
        </is>
      </c>
    </row>
    <row r="371" ht="20.45" customHeight="1">
      <c r="A371" s="1419" t="inlineStr">
        <is>
          <t>ETAPA</t>
        </is>
      </c>
      <c r="B371" s="1800" t="inlineStr">
        <is>
          <t>18.002</t>
        </is>
      </c>
      <c r="C371" s="1427" t="inlineStr">
        <is>
          <t>PINTURA INTERNA  - TORRE A</t>
        </is>
      </c>
    </row>
    <row r="372" ht="20.45" customHeight="1">
      <c r="A372" s="1421" t="inlineStr">
        <is>
          <t>Subetapa</t>
        </is>
      </c>
      <c r="B372" s="1417" t="inlineStr">
        <is>
          <t>18.002.001</t>
        </is>
      </c>
      <c r="C372" s="1422" t="inlineStr">
        <is>
          <t>Sistema de pintura em piso</t>
        </is>
      </c>
    </row>
    <row r="373" ht="20.45" customHeight="1">
      <c r="A373" s="1421" t="inlineStr">
        <is>
          <t>Subetapa</t>
        </is>
      </c>
      <c r="B373" s="1417" t="inlineStr">
        <is>
          <t>18.002.002</t>
        </is>
      </c>
      <c r="C373" s="1422" t="inlineStr">
        <is>
          <t>Sistema de pintura em parede</t>
        </is>
      </c>
    </row>
    <row r="374" ht="20.45" customHeight="1">
      <c r="A374" s="1421" t="inlineStr">
        <is>
          <t>Subetapa</t>
        </is>
      </c>
      <c r="B374" s="1417" t="inlineStr">
        <is>
          <t>18.002.003</t>
        </is>
      </c>
      <c r="C374" s="1422" t="inlineStr">
        <is>
          <t>Sistema de pintura em teto</t>
        </is>
      </c>
    </row>
    <row r="375" ht="20.45" customHeight="1">
      <c r="A375" s="1421" t="inlineStr">
        <is>
          <t>Subetapa</t>
        </is>
      </c>
      <c r="B375" s="1417" t="inlineStr">
        <is>
          <t>18.002.004</t>
        </is>
      </c>
      <c r="C375" s="1422" t="inlineStr">
        <is>
          <t>Pinturas diversas</t>
        </is>
      </c>
    </row>
    <row r="376" ht="20.45" customHeight="1">
      <c r="A376" s="1421" t="inlineStr">
        <is>
          <t>Subetapa</t>
        </is>
      </c>
      <c r="B376" s="1417" t="inlineStr">
        <is>
          <t>18.002.005</t>
        </is>
      </c>
      <c r="C376" s="1422" t="inlineStr">
        <is>
          <t>Mão de obra</t>
        </is>
      </c>
    </row>
    <row r="377" ht="20.45" customHeight="1">
      <c r="A377" s="1419" t="inlineStr">
        <is>
          <t>ETAPA</t>
        </is>
      </c>
      <c r="B377" s="1800" t="inlineStr">
        <is>
          <t>18.003</t>
        </is>
      </c>
      <c r="C377" s="1427" t="inlineStr">
        <is>
          <t>PINTURA INTERNA  - TORRE B</t>
        </is>
      </c>
    </row>
    <row r="378" ht="20.45" customHeight="1">
      <c r="A378" s="1421" t="inlineStr">
        <is>
          <t>Subetapa</t>
        </is>
      </c>
      <c r="B378" s="1417" t="inlineStr">
        <is>
          <t>18.003.001</t>
        </is>
      </c>
      <c r="C378" s="1422" t="inlineStr">
        <is>
          <t>Sistema de pintura em piso</t>
        </is>
      </c>
    </row>
    <row r="379" ht="20.45" customHeight="1">
      <c r="A379" s="1421" t="inlineStr">
        <is>
          <t>Subetapa</t>
        </is>
      </c>
      <c r="B379" s="1417" t="inlineStr">
        <is>
          <t>18.003.002</t>
        </is>
      </c>
      <c r="C379" s="1422" t="inlineStr">
        <is>
          <t>Sistema de pintura em parede</t>
        </is>
      </c>
    </row>
    <row r="380" ht="20.45" customHeight="1">
      <c r="A380" s="1421" t="inlineStr">
        <is>
          <t>Subetapa</t>
        </is>
      </c>
      <c r="B380" s="1417" t="inlineStr">
        <is>
          <t>18.003.003</t>
        </is>
      </c>
      <c r="C380" s="1422" t="inlineStr">
        <is>
          <t>Sistema de pintura em teto</t>
        </is>
      </c>
    </row>
    <row r="381" ht="20.45" customHeight="1">
      <c r="A381" s="1421" t="inlineStr">
        <is>
          <t>Subetapa</t>
        </is>
      </c>
      <c r="B381" s="1417" t="inlineStr">
        <is>
          <t>18.003.004</t>
        </is>
      </c>
      <c r="C381" s="1422" t="inlineStr">
        <is>
          <t>Pinturas diversas</t>
        </is>
      </c>
    </row>
    <row r="382" ht="20.45" customHeight="1">
      <c r="A382" s="1421" t="inlineStr">
        <is>
          <t>Subetapa</t>
        </is>
      </c>
      <c r="B382" s="1417" t="inlineStr">
        <is>
          <t>18.003.005</t>
        </is>
      </c>
      <c r="C382" s="1422" t="inlineStr">
        <is>
          <t>Mão de obra</t>
        </is>
      </c>
    </row>
    <row r="383" ht="20.45" customHeight="1">
      <c r="A383" s="1419" t="inlineStr">
        <is>
          <t>CÉLULA CONSTRUTIVA</t>
        </is>
      </c>
      <c r="B383" s="1417" t="n">
        <v>19</v>
      </c>
      <c r="C383" s="1420" t="inlineStr">
        <is>
          <t>ESQUADRIAS DE ALUMÍNIO, VIDROS E FERRAGENS</t>
        </is>
      </c>
    </row>
    <row r="384" ht="20.45" customHeight="1">
      <c r="A384" s="1419" t="inlineStr">
        <is>
          <t>ETAPA</t>
        </is>
      </c>
      <c r="B384" s="1800" t="inlineStr">
        <is>
          <t>19.001</t>
        </is>
      </c>
      <c r="C384" s="1426" t="inlineStr">
        <is>
          <t>ESQUADRIAS DE ALUMÍNIO  - EMBASAMENTO</t>
        </is>
      </c>
    </row>
    <row r="385" ht="20.45" customHeight="1">
      <c r="A385" s="1421" t="inlineStr">
        <is>
          <t>Subetapa</t>
        </is>
      </c>
      <c r="B385" s="1417" t="inlineStr">
        <is>
          <t>19.001.001</t>
        </is>
      </c>
      <c r="C385" s="1422" t="inlineStr">
        <is>
          <t>Contramarco</t>
        </is>
      </c>
    </row>
    <row r="386" ht="20.45" customHeight="1">
      <c r="A386" s="1421" t="inlineStr">
        <is>
          <t>Subetapa</t>
        </is>
      </c>
      <c r="B386" s="1417" t="inlineStr">
        <is>
          <t>19.001.002</t>
        </is>
      </c>
      <c r="C386" s="1422" t="inlineStr">
        <is>
          <t>Esquadrias de alumínio</t>
        </is>
      </c>
    </row>
    <row r="387" ht="20.45" customHeight="1">
      <c r="A387" s="1421" t="inlineStr">
        <is>
          <t>Subetapa</t>
        </is>
      </c>
      <c r="B387" s="1417" t="inlineStr">
        <is>
          <t>19.001.003</t>
        </is>
      </c>
      <c r="C387" s="1422" t="inlineStr">
        <is>
          <t>Guarda corpo</t>
        </is>
      </c>
    </row>
    <row r="388" ht="20.45" customHeight="1">
      <c r="A388" s="1421" t="inlineStr">
        <is>
          <t>Subetapa</t>
        </is>
      </c>
      <c r="B388" s="1417" t="inlineStr">
        <is>
          <t>19.001.004</t>
        </is>
      </c>
      <c r="C388" s="1422" t="inlineStr">
        <is>
          <t>Pele de vidro</t>
        </is>
      </c>
    </row>
    <row r="389" ht="20.45" customHeight="1">
      <c r="A389" s="1421" t="inlineStr">
        <is>
          <t>Subetapa</t>
        </is>
      </c>
      <c r="B389" s="1417" t="inlineStr">
        <is>
          <t>19.001.005</t>
        </is>
      </c>
      <c r="C389" s="1424" t="inlineStr">
        <is>
          <t>Mão de obra</t>
        </is>
      </c>
    </row>
    <row r="390" ht="20.45" customHeight="1">
      <c r="A390" s="1419" t="inlineStr">
        <is>
          <t>ETAPA</t>
        </is>
      </c>
      <c r="B390" s="1800" t="inlineStr">
        <is>
          <t>19.002</t>
        </is>
      </c>
      <c r="C390" s="1426" t="inlineStr">
        <is>
          <t>ESQUADRIAS DE ALUMÍNIO  - TORRE A</t>
        </is>
      </c>
    </row>
    <row r="391" ht="20.45" customHeight="1">
      <c r="A391" s="1421" t="inlineStr">
        <is>
          <t>Subetapa</t>
        </is>
      </c>
      <c r="B391" s="1417" t="inlineStr">
        <is>
          <t>19.002.001</t>
        </is>
      </c>
      <c r="C391" s="1422" t="inlineStr">
        <is>
          <t>Contramarco</t>
        </is>
      </c>
    </row>
    <row r="392" ht="20.45" customHeight="1">
      <c r="A392" s="1421" t="inlineStr">
        <is>
          <t>Subetapa</t>
        </is>
      </c>
      <c r="B392" s="1417" t="inlineStr">
        <is>
          <t>19.002.002</t>
        </is>
      </c>
      <c r="C392" s="1422" t="inlineStr">
        <is>
          <t>Esquadrias de alumínio</t>
        </is>
      </c>
    </row>
    <row r="393" ht="20.45" customHeight="1">
      <c r="A393" s="1421" t="inlineStr">
        <is>
          <t>Subetapa</t>
        </is>
      </c>
      <c r="B393" s="1417" t="inlineStr">
        <is>
          <t>19.002.003</t>
        </is>
      </c>
      <c r="C393" s="1422" t="inlineStr">
        <is>
          <t>Guarda corpo</t>
        </is>
      </c>
    </row>
    <row r="394" ht="20.45" customHeight="1">
      <c r="A394" s="1421" t="inlineStr">
        <is>
          <t>Subetapa</t>
        </is>
      </c>
      <c r="B394" s="1417" t="inlineStr">
        <is>
          <t>19.002.004</t>
        </is>
      </c>
      <c r="C394" s="1422" t="inlineStr">
        <is>
          <t>Pele de vidro</t>
        </is>
      </c>
    </row>
    <row r="395" ht="20.45" customHeight="1">
      <c r="A395" s="1421" t="inlineStr">
        <is>
          <t>Subetapa</t>
        </is>
      </c>
      <c r="B395" s="1417" t="inlineStr">
        <is>
          <t>19.002.005</t>
        </is>
      </c>
      <c r="C395" s="1424" t="inlineStr">
        <is>
          <t>Mão de obra</t>
        </is>
      </c>
    </row>
    <row r="396" ht="20.45" customHeight="1">
      <c r="A396" s="1419" t="inlineStr">
        <is>
          <t>ETAPA</t>
        </is>
      </c>
      <c r="B396" s="1800" t="inlineStr">
        <is>
          <t>19.003</t>
        </is>
      </c>
      <c r="C396" s="1426" t="inlineStr">
        <is>
          <t>ESQUADRIAS DE ALUMÍNIO  - TORRE B</t>
        </is>
      </c>
    </row>
    <row r="397" ht="20.45" customHeight="1">
      <c r="A397" s="1421" t="inlineStr">
        <is>
          <t>Subetapa</t>
        </is>
      </c>
      <c r="B397" s="1417" t="inlineStr">
        <is>
          <t>19.003.001</t>
        </is>
      </c>
      <c r="C397" s="1422" t="inlineStr">
        <is>
          <t>Contramarco</t>
        </is>
      </c>
    </row>
    <row r="398" ht="20.45" customHeight="1">
      <c r="A398" s="1421" t="inlineStr">
        <is>
          <t>Subetapa</t>
        </is>
      </c>
      <c r="B398" s="1417" t="inlineStr">
        <is>
          <t>19.003.002</t>
        </is>
      </c>
      <c r="C398" s="1422" t="inlineStr">
        <is>
          <t>Esquadrias de alumínio</t>
        </is>
      </c>
    </row>
    <row r="399" ht="20.45" customHeight="1">
      <c r="A399" s="1421" t="inlineStr">
        <is>
          <t>Subetapa</t>
        </is>
      </c>
      <c r="B399" s="1417" t="inlineStr">
        <is>
          <t>19.003.003</t>
        </is>
      </c>
      <c r="C399" s="1422" t="inlineStr">
        <is>
          <t>Guarda corpo</t>
        </is>
      </c>
    </row>
    <row r="400" ht="20.45" customHeight="1">
      <c r="A400" s="1421" t="inlineStr">
        <is>
          <t>Subetapa</t>
        </is>
      </c>
      <c r="B400" s="1417" t="inlineStr">
        <is>
          <t>19.003.004</t>
        </is>
      </c>
      <c r="C400" s="1422" t="inlineStr">
        <is>
          <t>Pele de vidro</t>
        </is>
      </c>
    </row>
    <row r="401" ht="20.45" customHeight="1">
      <c r="A401" s="1421" t="inlineStr">
        <is>
          <t>Subetapa</t>
        </is>
      </c>
      <c r="B401" s="1417" t="inlineStr">
        <is>
          <t>19.003.005</t>
        </is>
      </c>
      <c r="C401" s="1424" t="inlineStr">
        <is>
          <t>Mão de obra</t>
        </is>
      </c>
    </row>
    <row r="402" ht="20.45" customHeight="1">
      <c r="A402" s="1419" t="inlineStr">
        <is>
          <t>CÉLULA CONSTRUTIVA</t>
        </is>
      </c>
      <c r="B402" s="1417" t="n">
        <v>20</v>
      </c>
      <c r="C402" s="1420" t="inlineStr">
        <is>
          <t>ESQUADRIAS DE MADEIRA</t>
        </is>
      </c>
    </row>
    <row r="403" ht="20.45" customHeight="1">
      <c r="A403" s="1419" t="inlineStr">
        <is>
          <t>ETAPA</t>
        </is>
      </c>
      <c r="B403" s="1800" t="inlineStr">
        <is>
          <t>20.001</t>
        </is>
      </c>
      <c r="C403" s="1426" t="inlineStr">
        <is>
          <t>ESQUADRIAS DE MADEIRA  - EMBASAMENTO</t>
        </is>
      </c>
    </row>
    <row r="404" ht="20.45" customHeight="1">
      <c r="A404" s="1421" t="inlineStr">
        <is>
          <t>Subetapa</t>
        </is>
      </c>
      <c r="B404" s="1417" t="inlineStr">
        <is>
          <t>20.001.001</t>
        </is>
      </c>
      <c r="C404" s="1422" t="inlineStr">
        <is>
          <t>Esquadrias de madeira</t>
        </is>
      </c>
    </row>
    <row r="405" ht="20.45" customHeight="1">
      <c r="A405" s="1421" t="inlineStr">
        <is>
          <t>Subetapa</t>
        </is>
      </c>
      <c r="B405" s="1417" t="inlineStr">
        <is>
          <t>20.001.002</t>
        </is>
      </c>
      <c r="C405" s="1422" t="inlineStr">
        <is>
          <t xml:space="preserve">Corrimão de madeira </t>
        </is>
      </c>
    </row>
    <row r="406" ht="20.45" customHeight="1">
      <c r="A406" s="1421" t="inlineStr">
        <is>
          <t>Subetapa</t>
        </is>
      </c>
      <c r="B406" s="1417" t="inlineStr">
        <is>
          <t>20.001.003</t>
        </is>
      </c>
      <c r="C406" s="1422" t="inlineStr">
        <is>
          <t>Acessórios e ferragens</t>
        </is>
      </c>
    </row>
    <row r="407" ht="20.45" customHeight="1">
      <c r="A407" s="1421" t="inlineStr">
        <is>
          <t>Subetapa</t>
        </is>
      </c>
      <c r="B407" s="1417" t="inlineStr">
        <is>
          <t>20.001.004</t>
        </is>
      </c>
      <c r="C407" s="1422" t="inlineStr">
        <is>
          <t>Marcenaria</t>
        </is>
      </c>
    </row>
    <row r="408" ht="20.45" customHeight="1">
      <c r="A408" s="1421" t="inlineStr">
        <is>
          <t>Subetapa</t>
        </is>
      </c>
      <c r="B408" s="1417" t="inlineStr">
        <is>
          <t>20.001.005</t>
        </is>
      </c>
      <c r="C408" s="1422" t="inlineStr">
        <is>
          <t>Mão de obra</t>
        </is>
      </c>
    </row>
    <row r="409" ht="20.45" customHeight="1">
      <c r="A409" s="1419" t="inlineStr">
        <is>
          <t>ETAPA</t>
        </is>
      </c>
      <c r="B409" s="1800" t="inlineStr">
        <is>
          <t>20.002</t>
        </is>
      </c>
      <c r="C409" s="1426" t="inlineStr">
        <is>
          <t>ESQUADRIAS DE MADEIRA  - TORRE A</t>
        </is>
      </c>
    </row>
    <row r="410" ht="20.45" customHeight="1">
      <c r="A410" s="1421" t="inlineStr">
        <is>
          <t>Subetapa</t>
        </is>
      </c>
      <c r="B410" s="1417" t="inlineStr">
        <is>
          <t>20.002.001</t>
        </is>
      </c>
      <c r="C410" s="1422" t="inlineStr">
        <is>
          <t>Esquadrias de madeira</t>
        </is>
      </c>
    </row>
    <row r="411" ht="20.45" customHeight="1">
      <c r="A411" s="1421" t="inlineStr">
        <is>
          <t>Subetapa</t>
        </is>
      </c>
      <c r="B411" s="1417" t="inlineStr">
        <is>
          <t>20.002.002</t>
        </is>
      </c>
      <c r="C411" s="1422" t="inlineStr">
        <is>
          <t xml:space="preserve">Corrimão de madeira </t>
        </is>
      </c>
    </row>
    <row r="412" ht="20.45" customHeight="1">
      <c r="A412" s="1421" t="inlineStr">
        <is>
          <t>Subetapa</t>
        </is>
      </c>
      <c r="B412" s="1417" t="inlineStr">
        <is>
          <t>20.002.003</t>
        </is>
      </c>
      <c r="C412" s="1422" t="inlineStr">
        <is>
          <t>Acessórios e ferragens</t>
        </is>
      </c>
    </row>
    <row r="413" ht="20.45" customHeight="1">
      <c r="A413" s="1421" t="inlineStr">
        <is>
          <t>Subetapa</t>
        </is>
      </c>
      <c r="B413" s="1417" t="inlineStr">
        <is>
          <t>20.002.004</t>
        </is>
      </c>
      <c r="C413" s="1422" t="inlineStr">
        <is>
          <t>Marcenaria</t>
        </is>
      </c>
    </row>
    <row r="414" ht="20.45" customHeight="1">
      <c r="A414" s="1421" t="inlineStr">
        <is>
          <t>Subetapa</t>
        </is>
      </c>
      <c r="B414" s="1417" t="inlineStr">
        <is>
          <t>20.002.005</t>
        </is>
      </c>
      <c r="C414" s="1422" t="inlineStr">
        <is>
          <t>Mão de obra</t>
        </is>
      </c>
    </row>
    <row r="415" ht="20.45" customHeight="1">
      <c r="A415" s="1419" t="inlineStr">
        <is>
          <t>ETAPA</t>
        </is>
      </c>
      <c r="B415" s="1800" t="inlineStr">
        <is>
          <t>20.003</t>
        </is>
      </c>
      <c r="C415" s="1426" t="inlineStr">
        <is>
          <t>ESQUADRIAS DE MADEIRA  - TORRE B</t>
        </is>
      </c>
    </row>
    <row r="416" ht="20.45" customHeight="1">
      <c r="A416" s="1421" t="inlineStr">
        <is>
          <t>Subetapa</t>
        </is>
      </c>
      <c r="B416" s="1417" t="inlineStr">
        <is>
          <t>20.003.001</t>
        </is>
      </c>
      <c r="C416" s="1422" t="inlineStr">
        <is>
          <t>Esquadrias de madeira</t>
        </is>
      </c>
    </row>
    <row r="417" ht="20.45" customHeight="1">
      <c r="A417" s="1421" t="inlineStr">
        <is>
          <t>Subetapa</t>
        </is>
      </c>
      <c r="B417" s="1417" t="inlineStr">
        <is>
          <t>20.003.002</t>
        </is>
      </c>
      <c r="C417" s="1422" t="inlineStr">
        <is>
          <t xml:space="preserve">Corrimão de madeira </t>
        </is>
      </c>
    </row>
    <row r="418" ht="20.45" customHeight="1">
      <c r="A418" s="1421" t="inlineStr">
        <is>
          <t>Subetapa</t>
        </is>
      </c>
      <c r="B418" s="1417" t="inlineStr">
        <is>
          <t>20.003.003</t>
        </is>
      </c>
      <c r="C418" s="1422" t="inlineStr">
        <is>
          <t>Acessórios e ferragens</t>
        </is>
      </c>
    </row>
    <row r="419" ht="20.45" customHeight="1">
      <c r="A419" s="1421" t="inlineStr">
        <is>
          <t>Subetapa</t>
        </is>
      </c>
      <c r="B419" s="1417" t="inlineStr">
        <is>
          <t>20.003.004</t>
        </is>
      </c>
      <c r="C419" s="1422" t="inlineStr">
        <is>
          <t>Marcenaria</t>
        </is>
      </c>
    </row>
    <row r="420" ht="20.45" customHeight="1">
      <c r="A420" s="1421" t="inlineStr">
        <is>
          <t>Subetapa</t>
        </is>
      </c>
      <c r="B420" s="1417" t="inlineStr">
        <is>
          <t>20.003.005</t>
        </is>
      </c>
      <c r="C420" s="1422" t="inlineStr">
        <is>
          <t>Mão de obra</t>
        </is>
      </c>
    </row>
    <row r="421" ht="20.45" customHeight="1">
      <c r="A421" s="1419" t="inlineStr">
        <is>
          <t>CÉLULA CONSTRUTIVA</t>
        </is>
      </c>
      <c r="B421" s="1417" t="n">
        <v>21</v>
      </c>
      <c r="C421" s="1420" t="inlineStr">
        <is>
          <t>ESQUADRIAS METÁLICAS</t>
        </is>
      </c>
    </row>
    <row r="422" ht="20.45" customHeight="1">
      <c r="A422" s="1419" t="inlineStr">
        <is>
          <t>ETAPA</t>
        </is>
      </c>
      <c r="B422" s="1800" t="inlineStr">
        <is>
          <t>21.001</t>
        </is>
      </c>
      <c r="C422" s="1426" t="inlineStr">
        <is>
          <t>ESQUADRIAS METÁLICAS  - EMBASAMENTO</t>
        </is>
      </c>
    </row>
    <row r="423" ht="20.45" customHeight="1">
      <c r="A423" s="1421" t="inlineStr">
        <is>
          <t>Subetapa</t>
        </is>
      </c>
      <c r="B423" s="1417" t="inlineStr">
        <is>
          <t>21.001.001</t>
        </is>
      </c>
      <c r="C423" s="1422" t="inlineStr">
        <is>
          <t>Esquadrias metálicas</t>
        </is>
      </c>
    </row>
    <row r="424" ht="20.45" customHeight="1">
      <c r="A424" s="1421" t="inlineStr">
        <is>
          <t>Subetapa</t>
        </is>
      </c>
      <c r="B424" s="1417" t="inlineStr">
        <is>
          <t>21.001.002</t>
        </is>
      </c>
      <c r="C424" s="1422" t="inlineStr">
        <is>
          <t>Serralheria</t>
        </is>
      </c>
    </row>
    <row r="425" ht="20.45" customHeight="1">
      <c r="A425" s="1419" t="inlineStr">
        <is>
          <t>ETAPA</t>
        </is>
      </c>
      <c r="B425" s="1800" t="inlineStr">
        <is>
          <t>21.002</t>
        </is>
      </c>
      <c r="C425" s="1426" t="inlineStr">
        <is>
          <t>ESQUADRIAS METÁLICAS  - TORRE A</t>
        </is>
      </c>
    </row>
    <row r="426" ht="20.45" customHeight="1">
      <c r="A426" s="1421" t="inlineStr">
        <is>
          <t>Subetapa</t>
        </is>
      </c>
      <c r="B426" s="1417" t="inlineStr">
        <is>
          <t>21.002.001</t>
        </is>
      </c>
      <c r="C426" s="1422" t="inlineStr">
        <is>
          <t>Esquadrias metálicas</t>
        </is>
      </c>
    </row>
    <row r="427" ht="20.45" customHeight="1">
      <c r="A427" s="1421" t="inlineStr">
        <is>
          <t>Subetapa</t>
        </is>
      </c>
      <c r="B427" s="1417" t="inlineStr">
        <is>
          <t>21.002.002</t>
        </is>
      </c>
      <c r="C427" s="1422" t="inlineStr">
        <is>
          <t>Serralheria</t>
        </is>
      </c>
    </row>
    <row r="428" ht="20.45" customHeight="1">
      <c r="A428" s="1419" t="inlineStr">
        <is>
          <t>ETAPA</t>
        </is>
      </c>
      <c r="B428" s="1800" t="inlineStr">
        <is>
          <t>21.003</t>
        </is>
      </c>
      <c r="C428" s="1426" t="inlineStr">
        <is>
          <t>ESQUADRIAS METÁLICAS  - TORRE B</t>
        </is>
      </c>
    </row>
    <row r="429" ht="20.45" customHeight="1">
      <c r="A429" s="1421" t="inlineStr">
        <is>
          <t>Subetapa</t>
        </is>
      </c>
      <c r="B429" s="1417" t="inlineStr">
        <is>
          <t>21.003.001</t>
        </is>
      </c>
      <c r="C429" s="1422" t="inlineStr">
        <is>
          <t>Esquadrias metálicas</t>
        </is>
      </c>
    </row>
    <row r="430" ht="20.45" customHeight="1">
      <c r="A430" s="1421" t="inlineStr">
        <is>
          <t>Subetapa</t>
        </is>
      </c>
      <c r="B430" s="1417" t="inlineStr">
        <is>
          <t>21.003.002</t>
        </is>
      </c>
      <c r="C430" s="1422" t="inlineStr">
        <is>
          <t>Serralheria</t>
        </is>
      </c>
    </row>
    <row r="431" ht="20.45" customHeight="1">
      <c r="A431" s="1419" t="inlineStr">
        <is>
          <t>CÉLULA CONSTRUTIVA</t>
        </is>
      </c>
      <c r="B431" s="1417" t="n">
        <v>22</v>
      </c>
      <c r="C431" s="1420" t="inlineStr">
        <is>
          <t>LOUÇAS E METAIS</t>
        </is>
      </c>
    </row>
    <row r="432" ht="20.45" customHeight="1">
      <c r="A432" s="1419" t="inlineStr">
        <is>
          <t>ETAPA</t>
        </is>
      </c>
      <c r="B432" s="1800" t="inlineStr">
        <is>
          <t>22.001</t>
        </is>
      </c>
      <c r="C432" s="1427" t="inlineStr">
        <is>
          <t>LOUÇAS E METAIS  - EMBASAMENTO</t>
        </is>
      </c>
    </row>
    <row r="433" ht="20.45" customHeight="1">
      <c r="A433" s="1421" t="inlineStr">
        <is>
          <t>Subetapa</t>
        </is>
      </c>
      <c r="B433" s="1417" t="inlineStr">
        <is>
          <t>22.001.001</t>
        </is>
      </c>
      <c r="C433" s="1422" t="inlineStr">
        <is>
          <t>Louças</t>
        </is>
      </c>
    </row>
    <row r="434" ht="20.45" customHeight="1">
      <c r="A434" s="1421" t="inlineStr">
        <is>
          <t>Subetapa</t>
        </is>
      </c>
      <c r="B434" s="1417" t="inlineStr">
        <is>
          <t>22.001.002</t>
        </is>
      </c>
      <c r="C434" s="1422" t="inlineStr">
        <is>
          <t>Metais e acessórios</t>
        </is>
      </c>
    </row>
    <row r="435" ht="20.45" customHeight="1">
      <c r="A435" s="1421" t="inlineStr">
        <is>
          <t>Subetapa</t>
        </is>
      </c>
      <c r="B435" s="1417" t="inlineStr">
        <is>
          <t>22.001.003</t>
        </is>
      </c>
      <c r="C435" s="1422" t="inlineStr">
        <is>
          <t>Bancadas, pias e divisórias</t>
        </is>
      </c>
    </row>
    <row r="436" ht="20.45" customHeight="1">
      <c r="A436" s="1421" t="inlineStr">
        <is>
          <t>Subetapa</t>
        </is>
      </c>
      <c r="B436" s="1417" t="inlineStr">
        <is>
          <t>22.001.004</t>
        </is>
      </c>
      <c r="C436" s="1422" t="inlineStr">
        <is>
          <t>Mão de obra</t>
        </is>
      </c>
    </row>
    <row r="437" ht="20.45" customHeight="1">
      <c r="A437" s="1419" t="inlineStr">
        <is>
          <t>ETAPA</t>
        </is>
      </c>
      <c r="B437" s="1800" t="inlineStr">
        <is>
          <t>22.002</t>
        </is>
      </c>
      <c r="C437" s="1427" t="inlineStr">
        <is>
          <t>LOUÇAS E METAIS  - TORRE A</t>
        </is>
      </c>
    </row>
    <row r="438" ht="20.45" customHeight="1">
      <c r="A438" s="1421" t="inlineStr">
        <is>
          <t>Subetapa</t>
        </is>
      </c>
      <c r="B438" s="1417" t="inlineStr">
        <is>
          <t>22.002.001</t>
        </is>
      </c>
      <c r="C438" s="1422" t="inlineStr">
        <is>
          <t>Louças</t>
        </is>
      </c>
    </row>
    <row r="439" ht="20.45" customHeight="1">
      <c r="A439" s="1421" t="inlineStr">
        <is>
          <t>Subetapa</t>
        </is>
      </c>
      <c r="B439" s="1417" t="inlineStr">
        <is>
          <t>22.002.002</t>
        </is>
      </c>
      <c r="C439" s="1422" t="inlineStr">
        <is>
          <t>Metais e acessórios</t>
        </is>
      </c>
    </row>
    <row r="440" ht="20.45" customHeight="1">
      <c r="A440" s="1421" t="inlineStr">
        <is>
          <t>Subetapa</t>
        </is>
      </c>
      <c r="B440" s="1417" t="inlineStr">
        <is>
          <t>22.002.003</t>
        </is>
      </c>
      <c r="C440" s="1422" t="inlineStr">
        <is>
          <t>Bancadas, pias e divisórias</t>
        </is>
      </c>
    </row>
    <row r="441" ht="20.45" customHeight="1">
      <c r="A441" s="1421" t="inlineStr">
        <is>
          <t>Subetapa</t>
        </is>
      </c>
      <c r="B441" s="1417" t="inlineStr">
        <is>
          <t>22.002.004</t>
        </is>
      </c>
      <c r="C441" s="1422" t="inlineStr">
        <is>
          <t>Mão de obra</t>
        </is>
      </c>
    </row>
    <row r="442" ht="20.45" customHeight="1">
      <c r="A442" s="1419" t="inlineStr">
        <is>
          <t>ETAPA</t>
        </is>
      </c>
      <c r="B442" s="1800" t="inlineStr">
        <is>
          <t>22.003</t>
        </is>
      </c>
      <c r="C442" s="1427" t="inlineStr">
        <is>
          <t>LOUÇAS E METAIS  - TORRE B</t>
        </is>
      </c>
    </row>
    <row r="443" ht="20.45" customHeight="1">
      <c r="A443" s="1421" t="inlineStr">
        <is>
          <t>Subetapa</t>
        </is>
      </c>
      <c r="B443" s="1417" t="inlineStr">
        <is>
          <t>22.003.001</t>
        </is>
      </c>
      <c r="C443" s="1422" t="inlineStr">
        <is>
          <t>Louças</t>
        </is>
      </c>
    </row>
    <row r="444" ht="20.45" customHeight="1">
      <c r="A444" s="1421" t="inlineStr">
        <is>
          <t>Subetapa</t>
        </is>
      </c>
      <c r="B444" s="1417" t="inlineStr">
        <is>
          <t>22.003.002</t>
        </is>
      </c>
      <c r="C444" s="1422" t="inlineStr">
        <is>
          <t>Metais e acessórios</t>
        </is>
      </c>
    </row>
    <row r="445" ht="20.45" customHeight="1">
      <c r="A445" s="1421" t="inlineStr">
        <is>
          <t>Subetapa</t>
        </is>
      </c>
      <c r="B445" s="1417" t="inlineStr">
        <is>
          <t>22.003.003</t>
        </is>
      </c>
      <c r="C445" s="1422" t="inlineStr">
        <is>
          <t>Bancadas, pias e divisórias</t>
        </is>
      </c>
    </row>
    <row r="446" ht="20.45" customHeight="1">
      <c r="A446" s="1421" t="inlineStr">
        <is>
          <t>Subetapa</t>
        </is>
      </c>
      <c r="B446" s="1417" t="inlineStr">
        <is>
          <t>22.003.004</t>
        </is>
      </c>
      <c r="C446" s="1422" t="inlineStr">
        <is>
          <t>Mão de obra</t>
        </is>
      </c>
    </row>
    <row r="447" ht="20.45" customHeight="1">
      <c r="A447" s="1419" t="inlineStr">
        <is>
          <t>CÉLULA CONSTRUTIVA</t>
        </is>
      </c>
      <c r="B447" s="1417" t="n">
        <v>23</v>
      </c>
      <c r="C447" s="1420" t="inlineStr">
        <is>
          <t>COBERTURA</t>
        </is>
      </c>
    </row>
    <row r="448" ht="20.45" customHeight="1">
      <c r="A448" s="1419" t="inlineStr">
        <is>
          <t>ETAPA</t>
        </is>
      </c>
      <c r="B448" s="1800" t="inlineStr">
        <is>
          <t>23.001</t>
        </is>
      </c>
      <c r="C448" s="1427" t="inlineStr">
        <is>
          <t>COBERTURA</t>
        </is>
      </c>
    </row>
    <row r="449" ht="20.45" customHeight="1">
      <c r="A449" s="1421" t="inlineStr">
        <is>
          <t>Subetapa</t>
        </is>
      </c>
      <c r="B449" s="1417" t="inlineStr">
        <is>
          <t>23.001.001</t>
        </is>
      </c>
      <c r="C449" s="1422" t="inlineStr">
        <is>
          <t>Estrutura e trama para cobertura</t>
        </is>
      </c>
    </row>
    <row r="450" ht="20.45" customHeight="1">
      <c r="A450" s="1421" t="inlineStr">
        <is>
          <t>Subetapa</t>
        </is>
      </c>
      <c r="B450" s="1417" t="inlineStr">
        <is>
          <t>23.001.002</t>
        </is>
      </c>
      <c r="C450" s="1422" t="inlineStr">
        <is>
          <t>Telhamento para cobertura</t>
        </is>
      </c>
    </row>
    <row r="451" ht="20.45" customHeight="1">
      <c r="A451" s="1421" t="inlineStr">
        <is>
          <t>Subetapa</t>
        </is>
      </c>
      <c r="B451" s="1417" t="inlineStr">
        <is>
          <t>23.001.003</t>
        </is>
      </c>
      <c r="C451" s="1422" t="inlineStr">
        <is>
          <t>Serviços complementares</t>
        </is>
      </c>
    </row>
    <row r="452" ht="20.45" customHeight="1">
      <c r="A452" s="1421" t="inlineStr">
        <is>
          <t>Subetapa</t>
        </is>
      </c>
      <c r="B452" s="1417" t="inlineStr">
        <is>
          <t>23.001.004</t>
        </is>
      </c>
      <c r="C452" s="1422" t="inlineStr">
        <is>
          <t>Coberturas especiais</t>
        </is>
      </c>
    </row>
    <row r="453" ht="20.45" customHeight="1">
      <c r="A453" s="1421" t="inlineStr">
        <is>
          <t>Subetapa</t>
        </is>
      </c>
      <c r="B453" s="1417" t="inlineStr">
        <is>
          <t>23.001.005</t>
        </is>
      </c>
      <c r="C453" s="1422" t="inlineStr">
        <is>
          <t>Mão de obra</t>
        </is>
      </c>
    </row>
    <row r="454" ht="20.45" customHeight="1">
      <c r="A454" s="1419" t="inlineStr">
        <is>
          <t>CÉLULA CONSTRUTIVA</t>
        </is>
      </c>
      <c r="B454" s="1417" t="n">
        <v>24</v>
      </c>
      <c r="C454" s="1420" t="inlineStr">
        <is>
          <t>REVESTIMENTOS E ACABAMENTOS EM FACHADA</t>
        </is>
      </c>
    </row>
    <row r="455" ht="20.45" customHeight="1">
      <c r="A455" s="1419" t="inlineStr">
        <is>
          <t>ETAPA</t>
        </is>
      </c>
      <c r="B455" s="1800" t="inlineStr">
        <is>
          <t>24.001</t>
        </is>
      </c>
      <c r="C455" s="1427" t="inlineStr">
        <is>
          <t>REVESTIMENTOS E ACABAMENTOS EM FACHADA  - EMBASAMENTO</t>
        </is>
      </c>
    </row>
    <row r="456" ht="20.45" customHeight="1">
      <c r="A456" s="1421" t="inlineStr">
        <is>
          <t>Subetapa</t>
        </is>
      </c>
      <c r="B456" s="1417" t="inlineStr">
        <is>
          <t>24.001.001</t>
        </is>
      </c>
      <c r="C456" s="1422" t="inlineStr">
        <is>
          <t>Revestimento argamassado em fachada</t>
        </is>
      </c>
    </row>
    <row r="457" ht="20.45" customHeight="1">
      <c r="A457" s="1421" t="inlineStr">
        <is>
          <t>Subetapa</t>
        </is>
      </c>
      <c r="B457" s="1417" t="inlineStr">
        <is>
          <t>24.001.002</t>
        </is>
      </c>
      <c r="C457" s="1422" t="inlineStr">
        <is>
          <t>Pintura e textura em fachada</t>
        </is>
      </c>
    </row>
    <row r="458" ht="20.45" customHeight="1">
      <c r="A458" s="1421" t="inlineStr">
        <is>
          <t>Subetapa</t>
        </is>
      </c>
      <c r="B458" s="1417" t="inlineStr">
        <is>
          <t>24.001.003</t>
        </is>
      </c>
      <c r="C458" s="1422" t="inlineStr">
        <is>
          <t>Acabamentos especiais em fachada</t>
        </is>
      </c>
    </row>
    <row r="459" ht="20.45" customHeight="1">
      <c r="A459" s="1421" t="inlineStr">
        <is>
          <t>Subetapa</t>
        </is>
      </c>
      <c r="B459" s="1417" t="inlineStr">
        <is>
          <t>24.001.004</t>
        </is>
      </c>
      <c r="C459" s="1422" t="inlineStr">
        <is>
          <t>Tratamentos de fachada</t>
        </is>
      </c>
    </row>
    <row r="460" ht="20.45" customHeight="1">
      <c r="A460" s="1421" t="inlineStr">
        <is>
          <t>Subetapa</t>
        </is>
      </c>
      <c r="B460" s="1417" t="inlineStr">
        <is>
          <t>24.001.005</t>
        </is>
      </c>
      <c r="C460" s="1422" t="inlineStr">
        <is>
          <t>Mão de obra</t>
        </is>
      </c>
    </row>
    <row r="461" ht="20.45" customHeight="1">
      <c r="A461" s="1419" t="inlineStr">
        <is>
          <t>ETAPA</t>
        </is>
      </c>
      <c r="B461" s="1800" t="inlineStr">
        <is>
          <t>24.002</t>
        </is>
      </c>
      <c r="C461" s="1427" t="inlineStr">
        <is>
          <t>REVESTIMENTOS E ACABAMENTOS EM FACHADA  - TORRE A</t>
        </is>
      </c>
    </row>
    <row r="462" ht="20.45" customHeight="1">
      <c r="A462" s="1421" t="inlineStr">
        <is>
          <t>Subetapa</t>
        </is>
      </c>
      <c r="B462" s="1417" t="inlineStr">
        <is>
          <t>24.002.001</t>
        </is>
      </c>
      <c r="C462" s="1422" t="inlineStr">
        <is>
          <t>Revestimento argamassado em fachada</t>
        </is>
      </c>
    </row>
    <row r="463" ht="20.45" customHeight="1">
      <c r="A463" s="1421" t="inlineStr">
        <is>
          <t>Subetapa</t>
        </is>
      </c>
      <c r="B463" s="1417" t="inlineStr">
        <is>
          <t>24.002.002</t>
        </is>
      </c>
      <c r="C463" s="1422" t="inlineStr">
        <is>
          <t>Pintura e textura em fachada</t>
        </is>
      </c>
    </row>
    <row r="464" ht="20.45" customHeight="1">
      <c r="A464" s="1421" t="inlineStr">
        <is>
          <t>Subetapa</t>
        </is>
      </c>
      <c r="B464" s="1417" t="inlineStr">
        <is>
          <t>24.002.003</t>
        </is>
      </c>
      <c r="C464" s="1422" t="inlineStr">
        <is>
          <t>Acabamentos especiais em fachada</t>
        </is>
      </c>
    </row>
    <row r="465" ht="20.45" customHeight="1">
      <c r="A465" s="1421" t="inlineStr">
        <is>
          <t>Subetapa</t>
        </is>
      </c>
      <c r="B465" s="1417" t="inlineStr">
        <is>
          <t>24.002.004</t>
        </is>
      </c>
      <c r="C465" s="1422" t="inlineStr">
        <is>
          <t>Tratamentos de fachada</t>
        </is>
      </c>
    </row>
    <row r="466" ht="20.45" customHeight="1">
      <c r="A466" s="1421" t="inlineStr">
        <is>
          <t>Subetapa</t>
        </is>
      </c>
      <c r="B466" s="1417" t="inlineStr">
        <is>
          <t>24.002.005</t>
        </is>
      </c>
      <c r="C466" s="1422" t="inlineStr">
        <is>
          <t>Mão de obra</t>
        </is>
      </c>
    </row>
    <row r="467" ht="20.45" customHeight="1">
      <c r="A467" s="1419" t="inlineStr">
        <is>
          <t>ETAPA</t>
        </is>
      </c>
      <c r="B467" s="1800" t="inlineStr">
        <is>
          <t>24.003</t>
        </is>
      </c>
      <c r="C467" s="1427" t="inlineStr">
        <is>
          <t>REVESTIMENTOS E ACABAMENTOS EM FACHADA  - TORRE B</t>
        </is>
      </c>
    </row>
    <row r="468" ht="20.45" customHeight="1">
      <c r="A468" s="1421" t="inlineStr">
        <is>
          <t>Subetapa</t>
        </is>
      </c>
      <c r="B468" s="1417" t="inlineStr">
        <is>
          <t>24.003.001</t>
        </is>
      </c>
      <c r="C468" s="1422" t="inlineStr">
        <is>
          <t>Revestimento argamassado em fachada</t>
        </is>
      </c>
    </row>
    <row r="469" ht="20.45" customHeight="1">
      <c r="A469" s="1421" t="inlineStr">
        <is>
          <t>Subetapa</t>
        </is>
      </c>
      <c r="B469" s="1417" t="inlineStr">
        <is>
          <t>24.003.002</t>
        </is>
      </c>
      <c r="C469" s="1422" t="inlineStr">
        <is>
          <t>Pintura e textura em fachada</t>
        </is>
      </c>
    </row>
    <row r="470" ht="20.45" customHeight="1">
      <c r="A470" s="1421" t="inlineStr">
        <is>
          <t>Subetapa</t>
        </is>
      </c>
      <c r="B470" s="1417" t="inlineStr">
        <is>
          <t>24.003.003</t>
        </is>
      </c>
      <c r="C470" s="1422" t="inlineStr">
        <is>
          <t>Acabamentos especiais em fachada</t>
        </is>
      </c>
    </row>
    <row r="471" ht="20.45" customHeight="1">
      <c r="A471" s="1421" t="inlineStr">
        <is>
          <t>Subetapa</t>
        </is>
      </c>
      <c r="B471" s="1417" t="inlineStr">
        <is>
          <t>24.003.004</t>
        </is>
      </c>
      <c r="C471" s="1422" t="inlineStr">
        <is>
          <t>Tratamentos de fachada</t>
        </is>
      </c>
    </row>
    <row r="472" ht="20.45" customHeight="1">
      <c r="A472" s="1421" t="inlineStr">
        <is>
          <t>Subetapa</t>
        </is>
      </c>
      <c r="B472" s="1417" t="inlineStr">
        <is>
          <t>24.003.005</t>
        </is>
      </c>
      <c r="C472" s="1422" t="inlineStr">
        <is>
          <t>Mão de obra</t>
        </is>
      </c>
    </row>
    <row r="473" ht="20.45" customHeight="1">
      <c r="A473" s="1419" t="inlineStr">
        <is>
          <t>CÉLULA CONSTRUTIVA</t>
        </is>
      </c>
      <c r="B473" s="1417" t="n">
        <v>25</v>
      </c>
      <c r="C473" s="1420" t="inlineStr">
        <is>
          <t>SERVIÇOS COMPLEMENTARES E FINAIS</t>
        </is>
      </c>
    </row>
    <row r="474" ht="20.45" customHeight="1">
      <c r="A474" s="1419" t="inlineStr">
        <is>
          <t>ETAPA</t>
        </is>
      </c>
      <c r="B474" s="1800" t="inlineStr">
        <is>
          <t>25.001</t>
        </is>
      </c>
      <c r="C474" s="1427" t="inlineStr">
        <is>
          <t>SERVIÇOS COMPLEMENTARES EXTERNOS</t>
        </is>
      </c>
    </row>
    <row r="475" ht="20.45" customHeight="1">
      <c r="A475" s="1421" t="inlineStr">
        <is>
          <t>Subetapa</t>
        </is>
      </c>
      <c r="B475" s="1417" t="inlineStr">
        <is>
          <t>25.001.001</t>
        </is>
      </c>
      <c r="C475" s="1422" t="inlineStr">
        <is>
          <t>Calçadas e Passeios</t>
        </is>
      </c>
    </row>
    <row r="476" ht="20.45" customHeight="1">
      <c r="A476" s="1421" t="inlineStr">
        <is>
          <t>Subetapa</t>
        </is>
      </c>
      <c r="B476" s="1417" t="inlineStr">
        <is>
          <t>25.001.002</t>
        </is>
      </c>
      <c r="C476" s="1422" t="inlineStr">
        <is>
          <t>Muros externos</t>
        </is>
      </c>
    </row>
    <row r="477" ht="20.45" customHeight="1">
      <c r="A477" s="1421" t="inlineStr">
        <is>
          <t>Subetapa</t>
        </is>
      </c>
      <c r="B477" s="1417" t="inlineStr">
        <is>
          <t>25.001.003</t>
        </is>
      </c>
      <c r="C477" s="1422" t="inlineStr">
        <is>
          <t>Rede de drenagem</t>
        </is>
      </c>
    </row>
    <row r="478" ht="20.45" customHeight="1">
      <c r="A478" s="1421" t="inlineStr">
        <is>
          <t>Subetapa</t>
        </is>
      </c>
      <c r="B478" s="1417" t="inlineStr">
        <is>
          <t>25.001.004</t>
        </is>
      </c>
      <c r="C478" s="1422" t="inlineStr">
        <is>
          <t>Reforço de rede elétrica</t>
        </is>
      </c>
    </row>
    <row r="479" ht="20.45" customHeight="1">
      <c r="A479" s="1419" t="inlineStr">
        <is>
          <t>ETAPA</t>
        </is>
      </c>
      <c r="B479" s="1800" t="inlineStr">
        <is>
          <t>25.002</t>
        </is>
      </c>
      <c r="C479" s="1427" t="inlineStr">
        <is>
          <t>SERVIÇOS COMPLEMENTARES E FINAIS</t>
        </is>
      </c>
    </row>
    <row r="480" ht="20.45" customHeight="1">
      <c r="A480" s="1421" t="inlineStr">
        <is>
          <t>Subetapa</t>
        </is>
      </c>
      <c r="B480" s="1417" t="inlineStr">
        <is>
          <t>25.002.001</t>
        </is>
      </c>
      <c r="C480" s="1422" t="inlineStr">
        <is>
          <t>Mobiliário e decoração</t>
        </is>
      </c>
    </row>
    <row r="481" ht="20.45" customHeight="1">
      <c r="A481" s="1421" t="inlineStr">
        <is>
          <t>Subetapa</t>
        </is>
      </c>
      <c r="B481" s="1417" t="inlineStr">
        <is>
          <t>25.002.002</t>
        </is>
      </c>
      <c r="C481" s="1422" t="inlineStr">
        <is>
          <t>Paisagismo</t>
        </is>
      </c>
    </row>
    <row r="482" ht="20.45" customHeight="1">
      <c r="A482" s="1421" t="inlineStr">
        <is>
          <t>Subetapa</t>
        </is>
      </c>
      <c r="B482" s="1417" t="inlineStr">
        <is>
          <t>25.002.003</t>
        </is>
      </c>
      <c r="C482" s="1422" t="inlineStr">
        <is>
          <t>Serviços Finais</t>
        </is>
      </c>
    </row>
    <row r="483" ht="20.45" customHeight="1">
      <c r="A483" s="1421" t="inlineStr">
        <is>
          <t>Subetapa</t>
        </is>
      </c>
      <c r="B483" s="1417" t="inlineStr">
        <is>
          <t>25.002.004</t>
        </is>
      </c>
      <c r="C483" s="1422" t="inlineStr">
        <is>
          <t>Ligações definitivas</t>
        </is>
      </c>
    </row>
    <row r="484" ht="20.45" customHeight="1">
      <c r="A484" s="1419" t="inlineStr">
        <is>
          <t>CÉLULA CONSTRUTIVA</t>
        </is>
      </c>
      <c r="B484" s="1417" t="n">
        <v>26</v>
      </c>
      <c r="C484" s="1420" t="inlineStr">
        <is>
          <t xml:space="preserve">IMPREVISTOS E CONTINGÊNCIAS </t>
        </is>
      </c>
    </row>
    <row r="485" ht="20.45" customHeight="1">
      <c r="A485" s="1419" t="inlineStr">
        <is>
          <t>ETAPA</t>
        </is>
      </c>
      <c r="B485" s="1800" t="inlineStr">
        <is>
          <t>26.001</t>
        </is>
      </c>
      <c r="C485" s="1420" t="inlineStr">
        <is>
          <t xml:space="preserve">IMPREVISTOS E CONTINGÊNCIAS </t>
        </is>
      </c>
    </row>
    <row r="486" ht="20.45" customHeight="1" thickBot="1">
      <c r="A486" s="1428" t="inlineStr">
        <is>
          <t>Subetapa</t>
        </is>
      </c>
      <c r="B486" s="1429" t="inlineStr">
        <is>
          <t>26.001.001</t>
        </is>
      </c>
      <c r="C486" s="1430" t="inlineStr">
        <is>
          <t>Imprevistos e contingências</t>
        </is>
      </c>
    </row>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row r="1007" ht="12.75" customHeight="1"/>
    <row r="1008" ht="12.75" customHeight="1"/>
    <row r="1009" ht="12.75" customHeight="1"/>
    <row r="1010" ht="12.75" customHeight="1"/>
    <row r="1011" ht="12.75" customHeight="1"/>
    <row r="1012" ht="12.75" customHeight="1"/>
    <row r="1013" ht="12.75" customHeight="1"/>
    <row r="1014" ht="12.75" customHeight="1"/>
    <row r="1015" ht="12.75" customHeight="1"/>
    <row r="1016" ht="12.75" customHeight="1"/>
    <row r="1017" ht="12.75" customHeight="1"/>
    <row r="1018" ht="12.75" customHeight="1"/>
    <row r="1019" ht="12.75" customHeight="1"/>
    <row r="1020" ht="12.75" customHeight="1"/>
    <row r="1021" ht="12.75" customHeight="1"/>
    <row r="1022" ht="12.75" customHeight="1"/>
    <row r="1023" ht="12.75" customHeight="1"/>
    <row r="1024" ht="12.75" customHeight="1"/>
    <row r="1025" ht="12.75" customHeight="1"/>
    <row r="1026" ht="12.75" customHeight="1"/>
    <row r="1027" ht="12.75" customHeight="1"/>
    <row r="1028" ht="12.75" customHeight="1"/>
    <row r="1029" ht="12.75" customHeight="1"/>
    <row r="1030" ht="12.75" customHeight="1"/>
    <row r="1031" ht="12.75" customHeight="1"/>
    <row r="1032" ht="12.75" customHeight="1"/>
    <row r="1033" ht="12.75" customHeight="1"/>
    <row r="1034" ht="12.75" customHeight="1"/>
    <row r="1035" ht="12.75" customHeight="1"/>
    <row r="1036" ht="12.75" customHeight="1"/>
    <row r="1037" ht="12.75" customHeight="1"/>
    <row r="1038" ht="12.75" customHeight="1"/>
    <row r="1039" ht="12.75" customHeight="1"/>
    <row r="1040" ht="12.75" customHeight="1"/>
    <row r="1041" ht="12.75" customHeight="1"/>
    <row r="1042" ht="12.75" customHeight="1"/>
    <row r="1043" ht="12.75" customHeight="1"/>
    <row r="1044" ht="12.75" customHeight="1"/>
    <row r="1045" ht="12.75" customHeight="1"/>
    <row r="1046" ht="12.75" customHeight="1"/>
    <row r="1047" ht="12.75" customHeight="1"/>
    <row r="1048" ht="12.75" customHeight="1"/>
    <row r="1049" ht="12.75" customHeight="1"/>
    <row r="1050" ht="12.75" customHeight="1"/>
    <row r="1051" ht="12.75" customHeight="1"/>
    <row r="1052" ht="12.75" customHeight="1"/>
    <row r="1053" ht="12.75" customHeight="1"/>
    <row r="1054" ht="12.75" customHeight="1"/>
    <row r="1055" ht="12.75" customHeight="1"/>
    <row r="1056" ht="12.75" customHeight="1"/>
    <row r="1057" ht="12.75" customHeight="1"/>
    <row r="1058" ht="12.75" customHeight="1"/>
    <row r="1059" ht="12.75" customHeight="1"/>
    <row r="1060" ht="12.75" customHeight="1"/>
    <row r="1061" ht="12.75" customHeight="1"/>
    <row r="1062" ht="12.75" customHeight="1"/>
    <row r="1063" ht="12.75" customHeight="1"/>
    <row r="1064" ht="12.75" customHeight="1"/>
    <row r="1065" ht="12.75" customHeight="1"/>
    <row r="1066" ht="12.75" customHeight="1"/>
    <row r="1067" ht="12.75" customHeight="1"/>
    <row r="1068" ht="12.75" customHeight="1"/>
    <row r="1069" ht="12.75" customHeight="1"/>
    <row r="1070" ht="12.75" customHeight="1"/>
    <row r="1071" ht="12.75" customHeight="1"/>
    <row r="1072" ht="12.75" customHeight="1"/>
    <row r="1073" ht="12.75" customHeight="1"/>
    <row r="1074" ht="12.75" customHeight="1"/>
    <row r="1075" ht="12.75" customHeight="1"/>
    <row r="1076" ht="12.75" customHeight="1"/>
    <row r="1077" ht="12.75" customHeight="1"/>
    <row r="1078" ht="12.75" customHeight="1"/>
    <row r="1079" ht="12.75" customHeight="1"/>
    <row r="1080" ht="12.75" customHeight="1"/>
    <row r="1081" ht="12.75" customHeight="1"/>
    <row r="1082" ht="12.75" customHeight="1"/>
    <row r="1083" ht="12.75" customHeight="1"/>
    <row r="1084" ht="12.75" customHeight="1"/>
    <row r="1085" ht="12.75" customHeight="1"/>
    <row r="1086" ht="12.75" customHeight="1"/>
    <row r="1087" ht="12.75" customHeight="1"/>
    <row r="1088" ht="12.75" customHeight="1"/>
    <row r="1089" ht="12.75" customHeight="1"/>
    <row r="1090" ht="12.75" customHeight="1"/>
    <row r="1091" ht="12.75" customHeight="1"/>
    <row r="1092" ht="12.75" customHeight="1"/>
    <row r="1093" ht="12.75" customHeight="1"/>
    <row r="1094" ht="12.75" customHeight="1"/>
    <row r="1095" ht="12.75" customHeight="1"/>
    <row r="1096" ht="12.75" customHeight="1"/>
    <row r="1097" ht="12.75" customHeight="1"/>
    <row r="1098" ht="12.75" customHeight="1"/>
    <row r="1099" ht="12.75" customHeight="1"/>
    <row r="1100" ht="12.75" customHeight="1"/>
    <row r="1101" ht="12.75" customHeight="1"/>
    <row r="1102" ht="12.75" customHeight="1"/>
    <row r="1103" ht="12.75" customHeight="1"/>
    <row r="1104" ht="12.75" customHeight="1"/>
    <row r="1105" ht="12.75" customHeight="1"/>
    <row r="1106" ht="12.75" customHeight="1"/>
    <row r="1107" ht="12.75" customHeight="1"/>
    <row r="1108" ht="12.75" customHeight="1"/>
    <row r="1109" ht="12.75" customHeight="1"/>
    <row r="1110" ht="12.75" customHeight="1"/>
    <row r="1111" ht="12.75" customHeight="1"/>
    <row r="1112" ht="12.75" customHeight="1"/>
    <row r="1113" ht="12.75" customHeight="1"/>
    <row r="1114" ht="12.75" customHeight="1"/>
    <row r="1115" ht="12.75" customHeight="1"/>
    <row r="1116" ht="12.75" customHeight="1"/>
    <row r="1117" ht="12.75" customHeight="1"/>
    <row r="1118" ht="12.75" customHeight="1"/>
    <row r="1119" ht="12.75" customHeight="1"/>
    <row r="1120" ht="12.75" customHeight="1"/>
    <row r="1121" ht="12.75" customHeight="1"/>
    <row r="1122" ht="12.75" customHeight="1"/>
    <row r="1123" ht="12.75" customHeight="1"/>
    <row r="1124" ht="12.75" customHeight="1"/>
    <row r="1125" ht="12.75" customHeight="1"/>
    <row r="1126" ht="12.75" customHeight="1"/>
    <row r="1127" ht="12.75" customHeight="1"/>
    <row r="1128" ht="12.75" customHeight="1"/>
    <row r="1129" ht="12.75" customHeight="1"/>
    <row r="1130" ht="12.75" customHeight="1"/>
    <row r="1131" ht="12.75" customHeight="1"/>
    <row r="1132" ht="12.75" customHeight="1"/>
    <row r="1133" ht="12.75" customHeight="1"/>
    <row r="1134" ht="12.75" customHeight="1"/>
    <row r="1135" ht="12.75" customHeight="1"/>
    <row r="1136" ht="12.75" customHeight="1"/>
    <row r="1137" ht="12.75" customHeight="1"/>
    <row r="1138" ht="12.75" customHeight="1"/>
    <row r="1139" ht="12.75" customHeight="1"/>
    <row r="1140" ht="12.75" customHeight="1"/>
    <row r="1141" ht="12.75" customHeight="1"/>
    <row r="1142" ht="12.75" customHeight="1"/>
    <row r="1143" ht="12.75" customHeight="1"/>
    <row r="1144" ht="12.75" customHeight="1"/>
    <row r="1145" ht="12.75" customHeight="1"/>
    <row r="1146" ht="12.75" customHeight="1"/>
    <row r="1147" ht="12.75" customHeight="1"/>
    <row r="1148" ht="12.75" customHeight="1"/>
    <row r="1149" ht="12.75" customHeight="1"/>
    <row r="1150" ht="12.75" customHeight="1"/>
    <row r="1151" ht="12.75" customHeight="1"/>
    <row r="1152" ht="12.75" customHeight="1"/>
    <row r="1153" ht="12.75" customHeight="1"/>
    <row r="1154" ht="12.75" customHeight="1"/>
    <row r="1155" ht="12.75" customHeight="1"/>
    <row r="1156" ht="12.75" customHeight="1"/>
    <row r="1157" ht="12.75" customHeight="1"/>
    <row r="1158" ht="12.75" customHeight="1"/>
    <row r="1159" ht="12.75" customHeight="1"/>
    <row r="1160" ht="12.75" customHeight="1"/>
    <row r="1161" ht="12.75" customHeight="1"/>
    <row r="1162" ht="12.75" customHeight="1"/>
    <row r="1163" ht="12.75" customHeight="1"/>
    <row r="1164" ht="12.75" customHeight="1"/>
    <row r="1165" ht="12.75" customHeight="1"/>
    <row r="1166" ht="12.75" customHeight="1"/>
    <row r="1167" ht="12.75" customHeight="1"/>
    <row r="1168" ht="12.75" customHeight="1"/>
    <row r="1169" ht="12.75" customHeight="1"/>
    <row r="1170" ht="12.75" customHeight="1"/>
    <row r="1171" ht="12.75" customHeight="1"/>
    <row r="1172" ht="12.75" customHeight="1"/>
    <row r="1173" ht="12.75" customHeight="1"/>
    <row r="1174" ht="12.75" customHeight="1"/>
    <row r="1175" ht="12.75" customHeight="1"/>
    <row r="1176" ht="12.75" customHeight="1"/>
    <row r="1177" ht="12.75" customHeight="1"/>
    <row r="1178" ht="12.75" customHeight="1"/>
    <row r="1179" ht="12.75" customHeight="1"/>
    <row r="1180" ht="12.75" customHeight="1"/>
    <row r="1181" ht="12.75" customHeight="1"/>
    <row r="1182" ht="12.75" customHeight="1"/>
    <row r="1183" ht="12.75" customHeight="1"/>
    <row r="1184" ht="12.75" customHeight="1"/>
    <row r="1185" ht="12.75" customHeight="1"/>
    <row r="1186" ht="12.75" customHeight="1"/>
    <row r="1187" ht="12.75" customHeight="1"/>
    <row r="1188" ht="12.75" customHeight="1"/>
    <row r="1189" ht="12.75" customHeight="1"/>
    <row r="1190" ht="12.75" customHeight="1"/>
    <row r="1191" ht="12.75" customHeight="1"/>
    <row r="1192" ht="12.75" customHeight="1"/>
    <row r="1193" ht="12.75" customHeight="1"/>
    <row r="1194" ht="12.75" customHeight="1"/>
    <row r="1195" ht="12.75" customHeight="1"/>
    <row r="1196" ht="12.75" customHeight="1"/>
    <row r="1197" ht="12.75" customHeight="1"/>
    <row r="1198" ht="12.75" customHeight="1"/>
    <row r="1199" ht="12.75" customHeight="1"/>
    <row r="1200" ht="12.75" customHeight="1"/>
    <row r="1201" ht="12.75" customHeight="1"/>
    <row r="1202" ht="12.75" customHeight="1"/>
    <row r="1203" ht="12.75" customHeight="1"/>
    <row r="1204" ht="12.75" customHeight="1"/>
    <row r="1205" ht="12.75" customHeight="1"/>
    <row r="1206" ht="12.75" customHeight="1"/>
    <row r="1207" ht="12.75" customHeight="1"/>
    <row r="1208" ht="12.75" customHeight="1"/>
    <row r="1209" ht="12.75" customHeight="1"/>
    <row r="1210" ht="12.75" customHeight="1"/>
    <row r="1211" ht="12.75" customHeight="1"/>
    <row r="1212" ht="12.75" customHeight="1"/>
    <row r="1213" ht="12.75" customHeight="1"/>
    <row r="1214" ht="12.75" customHeight="1"/>
    <row r="1215" ht="12.75" customHeight="1"/>
    <row r="1216" ht="12.75" customHeight="1"/>
    <row r="1217" ht="12.75" customHeight="1"/>
    <row r="1218" ht="12.75" customHeight="1"/>
    <row r="1219" ht="12.75" customHeight="1"/>
    <row r="1220" ht="12.75" customHeight="1"/>
    <row r="1221" ht="12.75" customHeight="1"/>
    <row r="1222" ht="12.75" customHeight="1"/>
    <row r="1223" ht="12.75" customHeight="1"/>
    <row r="1224" ht="12.75" customHeight="1"/>
    <row r="1225" ht="12.75" customHeight="1"/>
    <row r="1226" ht="12.75" customHeight="1"/>
    <row r="1227" ht="12.75" customHeight="1"/>
    <row r="1228" ht="12.75" customHeight="1"/>
    <row r="1229" ht="12.75" customHeight="1"/>
    <row r="1230" ht="12.75" customHeight="1"/>
    <row r="1231" ht="12.75" customHeight="1"/>
    <row r="1232" ht="12.75" customHeight="1"/>
    <row r="1233" ht="12.75" customHeight="1"/>
    <row r="1234" ht="12.75" customHeight="1"/>
    <row r="1235" ht="12.75" customHeight="1"/>
    <row r="1236" ht="12.75" customHeight="1"/>
    <row r="1237" ht="12.75" customHeight="1"/>
    <row r="1238" ht="12.75" customHeight="1"/>
    <row r="1239" ht="12.75" customHeight="1"/>
    <row r="1240" ht="12.75" customHeight="1"/>
    <row r="1241" ht="12.75" customHeight="1"/>
    <row r="1242" ht="12.75" customHeight="1"/>
    <row r="1243" ht="12.75" customHeight="1"/>
    <row r="1244" ht="12.75" customHeight="1"/>
    <row r="1245" ht="12.75" customHeight="1"/>
    <row r="1246" ht="12.75" customHeight="1"/>
    <row r="1247" ht="12.75" customHeight="1"/>
    <row r="1248" ht="12.75" customHeight="1"/>
    <row r="1249" ht="12.75" customHeight="1"/>
    <row r="1250" ht="12.75" customHeight="1"/>
    <row r="1251" ht="12.75" customHeight="1"/>
    <row r="1252" ht="12.75" customHeight="1"/>
    <row r="1253" ht="12.75" customHeight="1"/>
    <row r="1254" ht="12.75" customHeight="1"/>
    <row r="1255" ht="12.75" customHeight="1"/>
    <row r="1256" ht="12.75" customHeight="1"/>
    <row r="1257" ht="12.75" customHeight="1"/>
    <row r="1258" ht="12.75" customHeight="1"/>
    <row r="1259" ht="12.75" customHeight="1"/>
    <row r="1260" ht="12.75" customHeight="1"/>
    <row r="1261" ht="12.75" customHeight="1"/>
    <row r="1262" ht="12.75" customHeight="1"/>
    <row r="1263" ht="12.75" customHeight="1"/>
    <row r="1264" ht="12.75" customHeight="1"/>
    <row r="1265" ht="12.75" customHeight="1"/>
    <row r="1266" ht="12.75" customHeight="1"/>
    <row r="1267" ht="12.75" customHeight="1"/>
    <row r="1268" ht="12.75" customHeight="1"/>
    <row r="1269" ht="12.75" customHeight="1"/>
    <row r="1270" ht="12.75" customHeight="1"/>
    <row r="1271" ht="12.75" customHeight="1"/>
    <row r="1272" ht="12.75" customHeight="1"/>
    <row r="1273" ht="12.75" customHeight="1"/>
    <row r="1274" ht="12.75" customHeight="1"/>
    <row r="1275" ht="12.75" customHeight="1"/>
    <row r="1276" ht="12.75" customHeight="1"/>
    <row r="1277" ht="12.75" customHeight="1"/>
    <row r="1278" ht="12.75" customHeight="1"/>
    <row r="1279" ht="12.75" customHeight="1"/>
    <row r="1280" ht="12.75" customHeight="1"/>
    <row r="1281" ht="12.75" customHeight="1"/>
    <row r="1282" ht="12.75" customHeight="1"/>
    <row r="1283" ht="12.75" customHeight="1"/>
    <row r="1284" ht="12.75" customHeight="1"/>
    <row r="1285" ht="12.75" customHeight="1"/>
    <row r="1286" ht="12.75" customHeight="1"/>
    <row r="1287" ht="12.75" customHeight="1"/>
    <row r="1288" ht="12.75" customHeight="1"/>
    <row r="1289" ht="12.75" customHeight="1"/>
    <row r="1290" ht="12.75" customHeight="1"/>
    <row r="1291" ht="12.75" customHeight="1"/>
    <row r="1292" ht="12.75" customHeight="1"/>
    <row r="1293" ht="12.75" customHeight="1"/>
    <row r="1294" ht="12.75" customHeight="1"/>
    <row r="1295" ht="12.75" customHeight="1"/>
    <row r="1296" ht="12.75" customHeight="1"/>
    <row r="1297" ht="12.75" customHeight="1"/>
    <row r="1298" ht="12.75" customHeight="1"/>
    <row r="1299" ht="12.75" customHeight="1"/>
    <row r="1300" ht="12.75" customHeight="1"/>
    <row r="1301" ht="12.75" customHeight="1"/>
    <row r="1302" ht="12.75" customHeight="1"/>
    <row r="1303" ht="12.75" customHeight="1"/>
    <row r="1304" ht="12.75" customHeight="1"/>
    <row r="1305" ht="12.75" customHeight="1"/>
    <row r="1306" ht="12.75" customHeight="1"/>
    <row r="1307" ht="12.75" customHeight="1"/>
    <row r="1308" ht="12.75" customHeight="1"/>
    <row r="1309" ht="12.75" customHeight="1"/>
    <row r="1310" ht="12.75" customHeight="1"/>
    <row r="1311" ht="12.75" customHeight="1"/>
    <row r="1312" ht="12.75" customHeight="1"/>
    <row r="1313" ht="12.75" customHeight="1"/>
    <row r="1314" ht="12.75" customHeight="1"/>
    <row r="1315" ht="12.75" customHeight="1"/>
    <row r="1316" ht="12.75" customHeight="1"/>
    <row r="1317" ht="12.75" customHeight="1"/>
    <row r="1318" ht="12.75" customHeight="1"/>
    <row r="1319" ht="12.75" customHeight="1"/>
    <row r="1320" ht="12.75" customHeight="1"/>
    <row r="1321" ht="12.75" customHeight="1"/>
    <row r="1322" ht="12.75" customHeight="1"/>
    <row r="1323" ht="12.75" customHeight="1"/>
    <row r="1324" ht="12.75" customHeight="1"/>
    <row r="1325" ht="12.75" customHeight="1"/>
    <row r="1326" ht="12.75" customHeight="1"/>
    <row r="1327" ht="12.75" customHeight="1"/>
    <row r="1328" ht="12.75" customHeight="1"/>
    <row r="1329" ht="12.75" customHeight="1"/>
    <row r="1330" ht="12.75" customHeight="1"/>
    <row r="1331" ht="12.75" customHeight="1"/>
    <row r="1332" ht="12.75" customHeight="1"/>
    <row r="1333" ht="12.75" customHeight="1"/>
    <row r="1334" ht="12.75" customHeight="1"/>
    <row r="1335" ht="12.75" customHeight="1"/>
    <row r="1336" ht="12.75" customHeight="1"/>
    <row r="1337" ht="12.75" customHeight="1"/>
    <row r="1338" ht="12.75" customHeight="1"/>
    <row r="1339" ht="12.75" customHeight="1"/>
    <row r="1340" ht="12.75" customHeight="1"/>
    <row r="1341" ht="12.75" customHeight="1"/>
    <row r="1342" ht="12.75" customHeight="1"/>
    <row r="1343" ht="12.75" customHeight="1"/>
    <row r="1344" ht="12.75" customHeight="1"/>
    <row r="1345" ht="12.75" customHeight="1"/>
    <row r="1346" ht="12.75" customHeight="1"/>
    <row r="1347" ht="12.75" customHeight="1"/>
    <row r="1348" ht="12.75" customHeight="1"/>
    <row r="1349" ht="12.75" customHeight="1"/>
    <row r="1350" ht="12.75" customHeight="1"/>
    <row r="1351" ht="12.75" customHeight="1"/>
    <row r="1352" ht="12.75" customHeight="1"/>
    <row r="1353" ht="12.75" customHeight="1"/>
    <row r="1354" ht="12.75" customHeight="1"/>
    <row r="1355" ht="12.75" customHeight="1"/>
    <row r="1356" ht="12.75" customHeight="1"/>
    <row r="1357" ht="12.75" customHeight="1"/>
    <row r="1358" ht="12.75" customHeight="1"/>
    <row r="1359" ht="12.75" customHeight="1"/>
    <row r="1360" ht="12.75" customHeight="1"/>
    <row r="1361" ht="12.75" customHeight="1"/>
    <row r="1362" ht="12.75" customHeight="1"/>
    <row r="1363" ht="12.75" customHeight="1"/>
    <row r="1364" ht="12.75" customHeight="1"/>
    <row r="1365" ht="12.75" customHeight="1"/>
    <row r="1366" ht="12.75" customHeight="1"/>
    <row r="1367" ht="12.75" customHeight="1"/>
    <row r="1368" ht="12.75" customHeight="1"/>
    <row r="1369" ht="12.75" customHeight="1"/>
    <row r="1370" ht="12.75" customHeight="1"/>
    <row r="1371" ht="12.75" customHeight="1"/>
    <row r="1372" ht="12.75" customHeight="1"/>
    <row r="1373" ht="12.75" customHeight="1"/>
    <row r="1374" ht="12.75" customHeight="1"/>
    <row r="1375" ht="12.75" customHeight="1"/>
    <row r="1376" ht="12.75" customHeight="1"/>
    <row r="1377" ht="12.75" customHeight="1"/>
    <row r="1378" ht="12.75" customHeight="1"/>
    <row r="1379" ht="12.75" customHeight="1"/>
    <row r="1380" ht="12.75" customHeight="1"/>
    <row r="1381" ht="12.75" customHeight="1"/>
    <row r="1382" ht="12.75" customHeight="1"/>
    <row r="1383" ht="12.75" customHeight="1"/>
    <row r="1384" ht="12.75" customHeight="1"/>
    <row r="1385" ht="12.75" customHeight="1"/>
    <row r="1386" ht="12.75" customHeight="1"/>
    <row r="1387" ht="12.75" customHeight="1"/>
    <row r="1388" ht="12.75" customHeight="1"/>
    <row r="1389" ht="12.75" customHeight="1"/>
    <row r="1390" ht="12.75" customHeight="1"/>
    <row r="1391" ht="12.75" customHeight="1"/>
    <row r="1392" ht="12.75" customHeight="1"/>
    <row r="1393" ht="12.75" customHeight="1"/>
    <row r="1394" ht="12.75" customHeight="1"/>
    <row r="1395" ht="12.75" customHeight="1"/>
    <row r="1396" ht="12.75" customHeight="1"/>
    <row r="1397" ht="12.75" customHeight="1"/>
    <row r="1398" ht="12.75" customHeight="1"/>
    <row r="1399" ht="12.75" customHeight="1"/>
    <row r="1400" ht="12.75" customHeight="1"/>
    <row r="1401" ht="12.75" customHeight="1"/>
    <row r="1402" ht="12.75" customHeight="1"/>
    <row r="1403" ht="12.75" customHeight="1"/>
    <row r="1404" ht="12.75" customHeight="1"/>
    <row r="1405" ht="12.75" customHeight="1"/>
    <row r="1406" ht="12.75" customHeight="1"/>
    <row r="1407" ht="12.75" customHeight="1"/>
    <row r="1408" ht="12.75" customHeight="1"/>
    <row r="1409" ht="12.75" customHeight="1"/>
    <row r="1410" ht="12.75" customHeight="1"/>
    <row r="1411" ht="12.75" customHeight="1"/>
    <row r="1412" ht="12.75" customHeight="1"/>
    <row r="1413" ht="12.75" customHeight="1"/>
    <row r="1414" ht="12.75" customHeight="1"/>
    <row r="1415" ht="12.75" customHeight="1"/>
    <row r="1416" ht="12.75" customHeight="1"/>
    <row r="1417" ht="12.75" customHeight="1"/>
    <row r="1418" ht="12.75" customHeight="1"/>
    <row r="1419" ht="12.75" customHeight="1"/>
    <row r="1420" ht="12.75" customHeight="1"/>
    <row r="1421" ht="12.75" customHeight="1"/>
    <row r="1422" ht="12.75" customHeight="1"/>
    <row r="1423" ht="12.75" customHeight="1"/>
    <row r="1424" ht="12.75" customHeight="1"/>
    <row r="1425" ht="12.75" customHeight="1"/>
    <row r="1426" ht="12.75" customHeight="1"/>
    <row r="1427" ht="12.75" customHeight="1"/>
    <row r="1428" ht="12.75" customHeight="1"/>
    <row r="1429" ht="12.75" customHeight="1"/>
    <row r="1430" ht="12.75" customHeight="1"/>
    <row r="1431" ht="12.75" customHeight="1"/>
    <row r="1432" ht="12.75" customHeight="1"/>
    <row r="1433" ht="12.75" customHeight="1"/>
    <row r="1434" ht="12.75" customHeight="1"/>
    <row r="1435" ht="12.75" customHeight="1"/>
    <row r="1436" ht="12.75" customHeight="1"/>
    <row r="1437" ht="12.75" customHeight="1"/>
    <row r="1438" ht="12.75" customHeight="1"/>
    <row r="1439" ht="12.75" customHeight="1"/>
    <row r="1440" ht="12.75" customHeight="1"/>
    <row r="1441" ht="12.75" customHeight="1"/>
    <row r="1442" ht="12.75" customHeight="1"/>
    <row r="1443" ht="12.75" customHeight="1"/>
    <row r="1444" ht="12.75" customHeight="1"/>
    <row r="1445" ht="12.75" customHeight="1"/>
    <row r="1446" ht="12.75" customHeight="1"/>
    <row r="1447" ht="12.75" customHeight="1"/>
    <row r="1448" ht="12.75" customHeight="1"/>
    <row r="1449" ht="12.75" customHeight="1"/>
    <row r="1450" ht="12.75" customHeight="1"/>
    <row r="1451" ht="12.75" customHeight="1"/>
    <row r="1452" ht="12.75" customHeight="1"/>
    <row r="1453" ht="12.75" customHeight="1"/>
    <row r="1454" ht="12.75" customHeight="1"/>
    <row r="1455" ht="12.75" customHeight="1"/>
    <row r="1456" ht="12.75" customHeight="1"/>
    <row r="1457" ht="12.75" customHeight="1"/>
    <row r="1458" ht="12.75" customHeight="1"/>
    <row r="1459" ht="12.75" customHeight="1"/>
    <row r="1460" ht="12.75" customHeight="1"/>
    <row r="1461" ht="12.75" customHeight="1"/>
    <row r="1462" ht="12.75" customHeight="1"/>
    <row r="1463" ht="12.75" customHeight="1"/>
    <row r="1464" ht="12.75" customHeight="1"/>
    <row r="1465" ht="12.75" customHeight="1"/>
    <row r="1466" ht="12.75" customHeight="1"/>
    <row r="1467" ht="12.75" customHeight="1"/>
    <row r="1468" ht="12.75" customHeight="1"/>
    <row r="1469" ht="12.75" customHeight="1"/>
    <row r="1470" ht="12.75" customHeight="1"/>
    <row r="1471" ht="12.75" customHeight="1"/>
    <row r="1472" ht="12.75" customHeight="1"/>
    <row r="1473" ht="12.75" customHeight="1"/>
    <row r="1474" ht="12.75" customHeight="1"/>
    <row r="1475" ht="12.75" customHeight="1"/>
    <row r="1476" ht="12.75" customHeight="1"/>
    <row r="1477" ht="12.75" customHeight="1"/>
    <row r="1478" ht="12.75" customHeight="1"/>
    <row r="1479" ht="12.75" customHeight="1"/>
    <row r="1480" ht="12.75" customHeight="1"/>
    <row r="1481" ht="12.75" customHeight="1"/>
    <row r="1482" ht="12.75" customHeight="1"/>
    <row r="1483" ht="12.75" customHeight="1"/>
    <row r="1484" ht="12.75" customHeight="1"/>
    <row r="1485" ht="12.75" customHeight="1"/>
    <row r="1486" ht="12.75" customHeight="1"/>
    <row r="1487" ht="12.75" customHeight="1"/>
    <row r="1488" ht="12.75" customHeight="1"/>
    <row r="1489" ht="12.75" customHeight="1"/>
    <row r="1490" ht="12.75" customHeight="1"/>
    <row r="1491" ht="12.75" customHeight="1"/>
    <row r="1492" ht="12.75" customHeight="1"/>
    <row r="1493" ht="12.75" customHeight="1"/>
    <row r="1494" ht="12.75" customHeight="1"/>
    <row r="1495" ht="12.75" customHeight="1"/>
    <row r="1496" ht="12.75" customHeight="1"/>
    <row r="1497" ht="12.75" customHeight="1"/>
    <row r="1498" ht="12.75" customHeight="1"/>
    <row r="1499" ht="12.75" customHeight="1"/>
    <row r="1500" ht="12.75" customHeight="1"/>
    <row r="1501" ht="12.75" customHeight="1"/>
    <row r="1502" ht="12.75" customHeight="1"/>
    <row r="1503" ht="12.75" customHeight="1"/>
    <row r="1504" ht="12.75" customHeight="1"/>
    <row r="1505" ht="12.75" customHeight="1"/>
    <row r="1506" ht="12.75" customHeight="1"/>
    <row r="1507" ht="12.75" customHeight="1"/>
    <row r="1508" ht="12.75" customHeight="1"/>
    <row r="1509" ht="12.75" customHeight="1"/>
    <row r="1510" ht="12.75" customHeight="1"/>
    <row r="1511" ht="12.75" customHeight="1"/>
    <row r="1512" ht="12.75" customHeight="1"/>
    <row r="1513" ht="12.75" customHeight="1"/>
    <row r="1514" ht="12.75" customHeight="1"/>
    <row r="1515" ht="12.75" customHeight="1"/>
    <row r="1516" ht="12.75" customHeight="1"/>
    <row r="1517" ht="12.75" customHeight="1"/>
    <row r="1518" ht="12.75" customHeight="1"/>
    <row r="1519" ht="12.75" customHeight="1"/>
    <row r="1520" ht="12.75" customHeight="1"/>
    <row r="1521" ht="12.75" customHeight="1"/>
    <row r="1522" ht="12.75" customHeight="1"/>
    <row r="1523" ht="12.75" customHeight="1"/>
    <row r="1524" ht="12.75" customHeight="1"/>
    <row r="1525" ht="12.75" customHeight="1"/>
    <row r="1526" ht="12.75" customHeight="1"/>
    <row r="1527" ht="12.75" customHeight="1"/>
    <row r="1528" ht="12.75" customHeight="1"/>
    <row r="1529" ht="12.75" customHeight="1"/>
    <row r="1530" ht="12.75" customHeight="1"/>
    <row r="1531" ht="12.75" customHeight="1"/>
    <row r="1532" ht="12.75" customHeight="1"/>
    <row r="1533" ht="12.75" customHeight="1"/>
    <row r="1534" ht="12.75" customHeight="1"/>
    <row r="1535" ht="12.75" customHeight="1"/>
    <row r="1536" ht="12.75" customHeight="1"/>
    <row r="1537" ht="12.75" customHeight="1"/>
    <row r="1538" ht="12.75" customHeight="1"/>
    <row r="1539" ht="12.75" customHeight="1"/>
    <row r="1540" ht="12.75" customHeight="1"/>
    <row r="1541" ht="12.75" customHeight="1"/>
    <row r="1542" ht="12.75" customHeight="1"/>
    <row r="1543" ht="12.75" customHeight="1"/>
    <row r="1544" ht="12.75" customHeight="1"/>
    <row r="1545" ht="12.75" customHeight="1"/>
    <row r="1546" ht="12.75" customHeight="1"/>
    <row r="1547" ht="12.75" customHeight="1"/>
    <row r="1548" ht="12.75" customHeight="1"/>
    <row r="1549" ht="12.75" customHeight="1"/>
    <row r="1550" ht="12.75" customHeight="1"/>
    <row r="1551" ht="12.75" customHeight="1"/>
    <row r="1552" ht="12.75" customHeight="1"/>
    <row r="1553" ht="12.75" customHeight="1"/>
    <row r="1554" ht="12.75" customHeight="1"/>
    <row r="1555" ht="12.75" customHeight="1"/>
    <row r="1556" ht="12.75" customHeight="1"/>
    <row r="1557" ht="12.75" customHeight="1"/>
    <row r="1558" ht="12.75" customHeight="1"/>
    <row r="1559" ht="12.75" customHeight="1"/>
    <row r="1560" ht="12.75" customHeight="1"/>
    <row r="1561" ht="12.75" customHeight="1"/>
    <row r="1562" ht="12.75" customHeight="1"/>
    <row r="1563" ht="12.75" customHeight="1"/>
    <row r="1564" ht="12.75" customHeight="1"/>
    <row r="1565" ht="12.75" customHeight="1"/>
    <row r="1566" ht="12.75" customHeight="1"/>
    <row r="1567" ht="12.75" customHeight="1"/>
    <row r="1568" ht="12.75" customHeight="1"/>
    <row r="1569" ht="12.75" customHeight="1"/>
    <row r="1570" ht="12.75" customHeight="1"/>
    <row r="1571" ht="12.75" customHeight="1"/>
    <row r="1572" ht="12.75" customHeight="1"/>
    <row r="1573" ht="12.75" customHeight="1"/>
    <row r="1574" ht="12.75" customHeight="1"/>
    <row r="1575" ht="12.75" customHeight="1"/>
    <row r="1576" ht="12.75" customHeight="1"/>
    <row r="1577" ht="12.75" customHeight="1"/>
    <row r="1578" ht="12.75" customHeight="1"/>
    <row r="1579" ht="12.75" customHeight="1"/>
    <row r="1580" ht="12.75" customHeight="1"/>
    <row r="1581" ht="12.75" customHeight="1"/>
    <row r="1582" ht="12.75" customHeight="1"/>
    <row r="1583" ht="12.75" customHeight="1"/>
    <row r="1584" ht="12.75" customHeight="1"/>
    <row r="1585" ht="12.75" customHeight="1"/>
    <row r="1586" ht="12.75" customHeight="1"/>
    <row r="1587" ht="12.75" customHeight="1"/>
    <row r="1588" ht="12.75" customHeight="1"/>
    <row r="1589" ht="12.75" customHeight="1"/>
    <row r="1590" ht="12.75" customHeight="1"/>
    <row r="1591" ht="12.75" customHeight="1"/>
    <row r="1592" ht="12.75" customHeight="1"/>
    <row r="1593" ht="12.75" customHeight="1"/>
    <row r="1594" ht="12.75" customHeight="1"/>
    <row r="1595" ht="12.75" customHeight="1"/>
    <row r="1596" ht="12.75" customHeight="1"/>
    <row r="1597" ht="12.75" customHeight="1"/>
    <row r="1598" ht="12.75" customHeight="1"/>
    <row r="1599" ht="12.75" customHeight="1"/>
    <row r="1600" ht="12.75" customHeight="1"/>
    <row r="1601" ht="12.75" customHeight="1"/>
    <row r="1602" ht="12.75" customHeight="1"/>
    <row r="1603" ht="12.75" customHeight="1"/>
    <row r="1604" ht="12.75" customHeight="1"/>
    <row r="1605" ht="12.75" customHeight="1"/>
    <row r="1606" ht="12.75" customHeight="1"/>
    <row r="1607" ht="12.75" customHeight="1"/>
    <row r="1608" ht="12.75" customHeight="1"/>
    <row r="1609" ht="12.75" customHeight="1"/>
    <row r="1610" ht="12.75" customHeight="1"/>
    <row r="1611" ht="12.75" customHeight="1"/>
    <row r="1612" ht="12.75" customHeight="1"/>
    <row r="1613" ht="12.75" customHeight="1"/>
    <row r="1614" ht="12.75" customHeight="1"/>
    <row r="1615" ht="12.75" customHeight="1"/>
    <row r="1616" ht="12.75" customHeight="1"/>
    <row r="1617" ht="12.75" customHeight="1"/>
    <row r="1618" ht="12.75" customHeight="1"/>
    <row r="1619" ht="12.75" customHeight="1"/>
    <row r="1620" ht="12.75" customHeight="1"/>
    <row r="1621" ht="12.75" customHeight="1"/>
    <row r="1622" ht="12.75" customHeight="1"/>
    <row r="1623" ht="12.75" customHeight="1"/>
    <row r="1624" ht="12.75" customHeight="1"/>
    <row r="1625" ht="12.75" customHeight="1"/>
    <row r="1626" ht="12.75" customHeight="1"/>
    <row r="1627" ht="12.75" customHeight="1"/>
    <row r="1628" ht="12.75" customHeight="1"/>
    <row r="1629" ht="12.75" customHeight="1"/>
    <row r="1630" ht="12.75" customHeight="1"/>
    <row r="1631" ht="12.75" customHeight="1"/>
    <row r="1632" ht="12.75" customHeight="1"/>
    <row r="1633" ht="12.75" customHeight="1"/>
    <row r="1634" ht="12.75" customHeight="1"/>
    <row r="1635" ht="12.75" customHeight="1"/>
    <row r="1636" ht="12.75" customHeight="1"/>
    <row r="1637" ht="12.75" customHeight="1"/>
    <row r="1638" ht="12.75" customHeight="1"/>
    <row r="1639" ht="12.75" customHeight="1"/>
    <row r="1640" ht="12.75" customHeight="1"/>
    <row r="1641" ht="12.75" customHeight="1"/>
    <row r="1642" ht="12.75" customHeight="1"/>
    <row r="1643" ht="12.75" customHeight="1"/>
    <row r="1644" ht="12.75" customHeight="1"/>
    <row r="1645" ht="12.75" customHeight="1"/>
    <row r="1646" ht="12.75" customHeight="1"/>
    <row r="1647" ht="12.75" customHeight="1"/>
    <row r="1648" ht="12.75" customHeight="1"/>
    <row r="1649" ht="12.75" customHeight="1"/>
    <row r="1650" ht="12.75" customHeight="1"/>
    <row r="1651" ht="12.75" customHeight="1"/>
    <row r="1652" ht="12.75" customHeight="1"/>
    <row r="1653" ht="12.75" customHeight="1"/>
    <row r="1654" ht="12.75" customHeight="1"/>
    <row r="1655" ht="12.75" customHeight="1"/>
    <row r="1656" ht="12.75" customHeight="1"/>
    <row r="1657" ht="12.75" customHeight="1"/>
    <row r="1658" ht="12.75" customHeight="1"/>
    <row r="1659" ht="12.75" customHeight="1"/>
    <row r="1660" ht="12.75" customHeight="1"/>
    <row r="1661" ht="12.75" customHeight="1"/>
    <row r="1662" ht="12.75" customHeight="1"/>
    <row r="1663" ht="12.75" customHeight="1"/>
    <row r="1664" ht="12.75" customHeight="1"/>
    <row r="1665" ht="12.75" customHeight="1"/>
    <row r="1666" ht="12.75" customHeight="1"/>
    <row r="1667" ht="12.75" customHeight="1"/>
    <row r="1668" ht="12.75" customHeight="1"/>
    <row r="1669" ht="12.75" customHeight="1"/>
    <row r="1670" ht="12.75" customHeight="1"/>
    <row r="1671" ht="12.75" customHeight="1"/>
    <row r="1672" ht="12.75" customHeight="1"/>
    <row r="1673" ht="12.75" customHeight="1"/>
    <row r="1674" ht="12.75" customHeight="1"/>
    <row r="1675" ht="12.75" customHeight="1"/>
    <row r="1676" ht="12.75" customHeight="1"/>
    <row r="1677" ht="12.75" customHeight="1"/>
    <row r="1678" ht="12.75" customHeight="1"/>
    <row r="1679" ht="12.75" customHeight="1"/>
    <row r="1680" ht="12.75" customHeight="1"/>
    <row r="1681" ht="12.75" customHeight="1"/>
    <row r="1682" ht="12.75" customHeight="1"/>
    <row r="1683" ht="12.75" customHeight="1"/>
    <row r="1684" ht="12.75" customHeight="1"/>
    <row r="1685" ht="12.75" customHeight="1"/>
    <row r="1686" ht="12.75" customHeight="1"/>
    <row r="1687" ht="12.75" customHeight="1"/>
    <row r="1688" ht="12.75" customHeight="1"/>
    <row r="1689" ht="12.75" customHeight="1"/>
    <row r="1690" ht="12.75" customHeight="1"/>
    <row r="1691" ht="12.75" customHeight="1"/>
    <row r="1692" ht="12.75" customHeight="1"/>
    <row r="1693" ht="12.75" customHeight="1"/>
    <row r="1694" ht="12.75" customHeight="1"/>
    <row r="1695" ht="12.75" customHeight="1"/>
    <row r="1696" ht="12.75" customHeight="1"/>
    <row r="1697" ht="12.75" customHeight="1"/>
    <row r="1698" ht="12.75" customHeight="1"/>
    <row r="1699" ht="12.75" customHeight="1"/>
    <row r="1700" ht="12.75" customHeight="1"/>
    <row r="1701" ht="12.75" customHeight="1"/>
    <row r="1702" ht="12.75" customHeight="1"/>
    <row r="1703" ht="12.75" customHeight="1"/>
    <row r="1704" ht="12.75" customHeight="1"/>
    <row r="1705" ht="12.75" customHeight="1"/>
    <row r="1706" ht="12.75" customHeight="1"/>
    <row r="1707" ht="12.75" customHeight="1"/>
    <row r="1708" ht="12.75" customHeight="1"/>
    <row r="1709" ht="12.75" customHeight="1"/>
    <row r="1710" ht="12.75" customHeight="1"/>
    <row r="1711" ht="12.75" customHeight="1"/>
    <row r="1712" ht="12.75" customHeight="1"/>
    <row r="1713" ht="12.75" customHeight="1"/>
    <row r="1714" ht="12.75" customHeight="1"/>
    <row r="1715" ht="12.75" customHeight="1"/>
    <row r="1716" ht="12.75" customHeight="1"/>
    <row r="1717" ht="12.75" customHeight="1"/>
    <row r="1718" ht="12.75" customHeight="1"/>
    <row r="1719" ht="12.75" customHeight="1"/>
    <row r="1720" ht="12.75" customHeight="1"/>
    <row r="1721" ht="12.75" customHeight="1"/>
    <row r="1722" ht="12.75" customHeight="1"/>
    <row r="1723" ht="12.75" customHeight="1"/>
    <row r="1724" ht="12.75" customHeight="1"/>
    <row r="1725" ht="12.75" customHeight="1"/>
    <row r="1726" ht="12.75" customHeight="1"/>
    <row r="1727" ht="12.75" customHeight="1"/>
    <row r="1728" ht="12.75" customHeight="1"/>
    <row r="1729" ht="12.75" customHeight="1"/>
    <row r="1730" ht="12.75" customHeight="1"/>
    <row r="1731" ht="12.75" customHeight="1"/>
    <row r="1732" ht="12.75" customHeight="1"/>
    <row r="1733" ht="12.75" customHeight="1"/>
    <row r="1734" ht="12.75" customHeight="1"/>
    <row r="1735" ht="12.75" customHeight="1"/>
    <row r="1736" ht="12.75" customHeight="1"/>
    <row r="1737" ht="12.75" customHeight="1"/>
    <row r="1738" ht="12.75" customHeight="1"/>
    <row r="1739" ht="12.75" customHeight="1"/>
    <row r="1740" ht="12.75" customHeight="1"/>
    <row r="1741" ht="12.75" customHeight="1"/>
    <row r="1742" ht="12.75" customHeight="1"/>
    <row r="1743" ht="12.75" customHeight="1"/>
    <row r="1744" ht="12.75" customHeight="1"/>
    <row r="1745" ht="12.75" customHeight="1"/>
    <row r="1746" ht="12.75" customHeight="1"/>
    <row r="1747" ht="12.75" customHeight="1"/>
    <row r="1748" ht="12.75" customHeight="1"/>
    <row r="1749" ht="12.75" customHeight="1"/>
    <row r="1750" ht="12.75" customHeight="1"/>
    <row r="1751" ht="12.75" customHeight="1"/>
    <row r="1752" ht="12.75" customHeight="1"/>
    <row r="1753" ht="12.75" customHeight="1"/>
    <row r="1754" ht="12.75" customHeight="1"/>
    <row r="1755" ht="12.75" customHeight="1"/>
    <row r="1756" ht="12.75" customHeight="1"/>
    <row r="1757" ht="12.75" customHeight="1"/>
    <row r="1758" ht="12.75" customHeight="1"/>
    <row r="1759" ht="12.75" customHeight="1"/>
    <row r="1760" ht="12.75" customHeight="1"/>
    <row r="1761" ht="12.75" customHeight="1"/>
    <row r="1762" ht="12.75" customHeight="1"/>
    <row r="1763" ht="12.75" customHeight="1"/>
    <row r="1764" ht="12.75" customHeight="1"/>
    <row r="1765" ht="12.75" customHeight="1"/>
    <row r="1766" ht="12.75" customHeight="1"/>
    <row r="1767" ht="12.75" customHeight="1"/>
    <row r="1768" ht="12.75" customHeight="1"/>
    <row r="1769" ht="12.75" customHeight="1"/>
    <row r="1770" ht="12.75" customHeight="1"/>
    <row r="1771" ht="12.75" customHeight="1"/>
    <row r="1772" ht="12.75" customHeight="1"/>
    <row r="1773" ht="12.75" customHeight="1"/>
    <row r="1774" ht="12.75" customHeight="1"/>
    <row r="1775" ht="12.75" customHeight="1"/>
    <row r="1776" ht="12.75" customHeight="1"/>
    <row r="1777" ht="12.75" customHeight="1"/>
    <row r="1778" ht="12.75" customHeight="1"/>
    <row r="1779" ht="12.75" customHeight="1"/>
    <row r="1780" ht="12.75" customHeight="1"/>
    <row r="1781" ht="12.75" customHeight="1"/>
    <row r="1782" ht="12.75" customHeight="1"/>
    <row r="1783" ht="12.75" customHeight="1"/>
    <row r="1784" ht="12.75" customHeight="1"/>
    <row r="1785" ht="12.75" customHeight="1"/>
    <row r="1786" ht="12.75" customHeight="1"/>
    <row r="1787" ht="12.75" customHeight="1"/>
    <row r="1788" ht="12.75" customHeight="1"/>
    <row r="1789" ht="12.75" customHeight="1"/>
    <row r="1790" ht="12.75" customHeight="1"/>
    <row r="1791" ht="12.75" customHeight="1"/>
    <row r="1792" ht="12.75" customHeight="1"/>
    <row r="1793" ht="12.75" customHeight="1"/>
    <row r="1794" ht="12.75" customHeight="1"/>
    <row r="1795" ht="12.75" customHeight="1"/>
    <row r="1796" ht="12.75" customHeight="1"/>
    <row r="1797" ht="12.75" customHeight="1"/>
    <row r="1798" ht="12.75" customHeight="1"/>
    <row r="1799" ht="12.75" customHeight="1"/>
    <row r="1800" ht="12.75" customHeight="1"/>
    <row r="1801" ht="12.75" customHeight="1"/>
    <row r="1802" ht="12.75" customHeight="1"/>
    <row r="1803" ht="12.75" customHeight="1"/>
    <row r="1804" ht="12.75" customHeight="1"/>
    <row r="1805" ht="12.75" customHeight="1"/>
    <row r="1806" ht="12.75" customHeight="1"/>
    <row r="1807" ht="12.75" customHeight="1"/>
    <row r="1808" ht="12.75" customHeight="1"/>
    <row r="1809" ht="12.75" customHeight="1"/>
    <row r="1810" ht="12.75" customHeight="1"/>
    <row r="1811" ht="12.75" customHeight="1"/>
    <row r="1812" ht="12.75" customHeight="1"/>
    <row r="1813" ht="12.75" customHeight="1"/>
    <row r="1814" ht="12.75" customHeight="1"/>
    <row r="1815" ht="12.75" customHeight="1"/>
    <row r="1816" ht="12.75" customHeight="1"/>
    <row r="1817" ht="12.75" customHeight="1"/>
    <row r="1818" ht="12.75" customHeight="1"/>
    <row r="1819" ht="12.75" customHeight="1"/>
    <row r="1820" ht="12.75" customHeight="1"/>
    <row r="1821" ht="12.75" customHeight="1"/>
    <row r="1822" ht="12.75" customHeight="1"/>
    <row r="1823" ht="12.75" customHeight="1"/>
    <row r="1824" ht="12.75" customHeight="1"/>
    <row r="1825" ht="12.75" customHeight="1"/>
    <row r="1826" ht="12.75" customHeight="1"/>
    <row r="1827" ht="12.75" customHeight="1"/>
    <row r="1828" ht="12.75" customHeight="1"/>
    <row r="1829" ht="12.75" customHeight="1"/>
    <row r="1830" ht="12.75" customHeight="1"/>
    <row r="1831" ht="12.75" customHeight="1"/>
    <row r="1832" ht="12.75" customHeight="1"/>
    <row r="1833" ht="12.75" customHeight="1"/>
    <row r="1834" ht="12.75" customHeight="1"/>
    <row r="1835" ht="12.75" customHeight="1"/>
    <row r="1836" ht="12.75" customHeight="1"/>
    <row r="1837" ht="12.75" customHeight="1"/>
    <row r="1838" ht="12.75" customHeight="1"/>
    <row r="1839" ht="12.75" customHeight="1"/>
    <row r="1840" ht="12.75" customHeight="1"/>
    <row r="1841" ht="12.75" customHeight="1"/>
    <row r="1842" ht="12.75" customHeight="1"/>
    <row r="1843" ht="12.75" customHeight="1"/>
    <row r="1844" ht="12.75" customHeight="1"/>
    <row r="1845" ht="12.75" customHeight="1"/>
    <row r="1846" ht="12.75" customHeight="1"/>
    <row r="1847" ht="12.75" customHeight="1"/>
    <row r="1848" ht="12.75" customHeight="1"/>
    <row r="1849" ht="12.75" customHeight="1"/>
    <row r="1850" ht="12.75" customHeight="1"/>
    <row r="1851" ht="12.75" customHeight="1"/>
    <row r="1852" ht="12.75" customHeight="1"/>
    <row r="1853" ht="12.75" customHeight="1"/>
    <row r="1854" ht="12.75" customHeight="1"/>
    <row r="1855" ht="12.75" customHeight="1"/>
    <row r="1856" ht="12.75" customHeight="1"/>
    <row r="1857" ht="12.75" customHeight="1"/>
    <row r="1858" ht="12.75" customHeight="1"/>
    <row r="1859" ht="12.75" customHeight="1"/>
    <row r="1860" ht="12.75" customHeight="1"/>
    <row r="1861" ht="12.75" customHeight="1"/>
    <row r="1862" ht="12.75" customHeight="1"/>
    <row r="1863" ht="12.75" customHeight="1"/>
    <row r="1864" ht="12.75" customHeight="1"/>
    <row r="1865" ht="12.75" customHeight="1"/>
    <row r="1866" ht="12.75" customHeight="1"/>
    <row r="1867" ht="12.75" customHeight="1"/>
    <row r="1868" ht="12.75" customHeight="1"/>
    <row r="1869" ht="12.75" customHeight="1"/>
    <row r="1870" ht="12.75" customHeight="1"/>
    <row r="1871" ht="12.75" customHeight="1"/>
    <row r="1872" ht="12.75" customHeight="1"/>
    <row r="1873" ht="12.75" customHeight="1"/>
    <row r="1874" ht="12.75" customHeight="1"/>
    <row r="1875" ht="12.75" customHeight="1"/>
    <row r="1876" ht="12.75" customHeight="1"/>
    <row r="1877" ht="12.75" customHeight="1"/>
    <row r="1878" ht="12.75" customHeight="1"/>
    <row r="1879" ht="12.75" customHeight="1"/>
    <row r="1880" ht="12.75" customHeight="1"/>
    <row r="1881" ht="12.75" customHeight="1"/>
    <row r="1882" ht="12.75" customHeight="1"/>
    <row r="1883" ht="12.75" customHeight="1"/>
    <row r="1884" ht="12.75" customHeight="1"/>
    <row r="1885" ht="12.75" customHeight="1"/>
    <row r="1886" ht="12.75" customHeight="1"/>
    <row r="1887" ht="12.75" customHeight="1"/>
    <row r="1888" ht="12.75" customHeight="1"/>
    <row r="1889" ht="12.75" customHeight="1"/>
    <row r="1890" ht="12.75" customHeight="1"/>
    <row r="1891" ht="12.75" customHeight="1"/>
    <row r="1892" ht="12.75" customHeight="1"/>
    <row r="1893" ht="12.75" customHeight="1"/>
    <row r="1894" ht="12.75" customHeight="1"/>
    <row r="1895" ht="12.75" customHeight="1"/>
    <row r="1896" ht="12.75" customHeight="1"/>
    <row r="1897" ht="12.75" customHeight="1"/>
    <row r="1898" ht="12.75" customHeight="1"/>
    <row r="1899" ht="12.75" customHeight="1"/>
    <row r="1900" ht="12.75" customHeight="1"/>
    <row r="1901" ht="12.75" customHeight="1"/>
    <row r="1902" ht="12.75" customHeight="1"/>
    <row r="1903" ht="12.75" customHeight="1"/>
    <row r="1904" ht="12.75" customHeight="1"/>
    <row r="1905" ht="12.75" customHeight="1"/>
    <row r="1906" ht="12.75" customHeight="1"/>
    <row r="1907" ht="12.75" customHeight="1"/>
    <row r="1908" ht="12.75" customHeight="1"/>
    <row r="1909" ht="12.75" customHeight="1"/>
    <row r="1910" ht="12.75" customHeight="1"/>
    <row r="1911" ht="12.75" customHeight="1"/>
    <row r="1912" ht="12.75" customHeight="1"/>
    <row r="1913" ht="12.75" customHeight="1"/>
    <row r="1914" ht="12.75" customHeight="1"/>
    <row r="1915" ht="12.75" customHeight="1"/>
    <row r="1916" ht="12.75" customHeight="1"/>
    <row r="1917" ht="12.75" customHeight="1"/>
    <row r="1918" ht="12.75" customHeight="1"/>
    <row r="1919" ht="12.75" customHeight="1"/>
    <row r="1920" ht="12.75" customHeight="1"/>
    <row r="1921" ht="12.75" customHeight="1"/>
    <row r="1922" ht="12.75" customHeight="1"/>
    <row r="1923" ht="12.75" customHeight="1"/>
    <row r="1924" ht="12.75" customHeight="1"/>
    <row r="1925" ht="12.75" customHeight="1"/>
    <row r="1926" ht="12.75" customHeight="1"/>
    <row r="1927" ht="12.75" customHeight="1"/>
    <row r="1928" ht="12.75" customHeight="1"/>
    <row r="1929" ht="12.75" customHeight="1"/>
    <row r="1930" ht="12.75" customHeight="1"/>
    <row r="1931" ht="12.75" customHeight="1"/>
    <row r="1932" ht="12.75" customHeight="1"/>
    <row r="1933" ht="12.75" customHeight="1"/>
    <row r="1934" ht="12.75" customHeight="1"/>
    <row r="1935" ht="12.75" customHeight="1"/>
    <row r="1936" ht="12.75" customHeight="1"/>
    <row r="1937" ht="12.75" customHeight="1"/>
    <row r="1938" ht="12.75" customHeight="1"/>
    <row r="1939" ht="12.75" customHeight="1"/>
    <row r="1940" ht="12.75" customHeight="1"/>
    <row r="1941" ht="12.75" customHeight="1"/>
    <row r="1942" ht="12.75" customHeight="1"/>
    <row r="1943" ht="12.75" customHeight="1"/>
    <row r="1944" ht="12.75" customHeight="1"/>
    <row r="1945" ht="12.75" customHeight="1"/>
    <row r="1946" ht="12.75" customHeight="1"/>
    <row r="1947" ht="12.75" customHeight="1"/>
    <row r="1948" ht="12.75" customHeight="1"/>
    <row r="1949" ht="12.75" customHeight="1"/>
    <row r="1950" ht="12.75" customHeight="1"/>
    <row r="1951" ht="12.75" customHeight="1"/>
    <row r="1952" ht="12.75" customHeight="1"/>
    <row r="1953" ht="12.75" customHeight="1"/>
    <row r="1954" ht="12.75" customHeight="1"/>
    <row r="1955" ht="12.75" customHeight="1"/>
    <row r="1956" ht="12.75" customHeight="1"/>
    <row r="1957" ht="12.75" customHeight="1"/>
    <row r="1958" ht="12.75" customHeight="1"/>
    <row r="1959" ht="12.75" customHeight="1"/>
    <row r="1960" ht="12.75" customHeight="1"/>
    <row r="1961" ht="12.75" customHeight="1"/>
    <row r="1962" ht="12.75" customHeight="1"/>
    <row r="1963" ht="12.75" customHeight="1"/>
    <row r="1964" ht="12.75" customHeight="1"/>
    <row r="1965" ht="12.75" customHeight="1"/>
    <row r="1966" ht="12.75" customHeight="1"/>
    <row r="1967" ht="12.75" customHeight="1"/>
    <row r="1968" ht="12.75" customHeight="1"/>
    <row r="1969" ht="12.75" customHeight="1"/>
    <row r="1970" ht="12.75" customHeight="1"/>
    <row r="1971" ht="12.75" customHeight="1"/>
    <row r="1972" ht="12.75" customHeight="1"/>
    <row r="1973" ht="12.75" customHeight="1"/>
    <row r="1974" ht="12.75" customHeight="1"/>
    <row r="1975" ht="12.75" customHeight="1"/>
    <row r="1976" ht="12.75" customHeight="1"/>
    <row r="1977" ht="12.75" customHeight="1"/>
    <row r="1978" ht="12.75" customHeight="1"/>
    <row r="1979" ht="12.75" customHeight="1"/>
    <row r="1980" ht="12.75" customHeight="1"/>
    <row r="1981" ht="12.75" customHeight="1"/>
    <row r="1982" ht="12.75" customHeight="1"/>
    <row r="1983" ht="12.75" customHeight="1"/>
    <row r="1984" ht="12.75" customHeight="1"/>
    <row r="1985" ht="12.75" customHeight="1"/>
    <row r="1986" ht="12.75" customHeight="1"/>
    <row r="1987" ht="12.75" customHeight="1"/>
    <row r="1988" ht="12.75" customHeight="1"/>
    <row r="1989" ht="12.75" customHeight="1"/>
    <row r="1990" ht="12.75" customHeight="1"/>
    <row r="1991" ht="12.75" customHeight="1"/>
    <row r="1992" ht="12.75" customHeight="1"/>
    <row r="1993" ht="12.75" customHeight="1"/>
    <row r="1994" ht="12.75" customHeight="1"/>
    <row r="1995" ht="12.75" customHeight="1"/>
    <row r="1996" ht="12.75" customHeight="1"/>
    <row r="1997" ht="12.75" customHeight="1"/>
    <row r="1998" ht="12.75" customHeight="1"/>
    <row r="1999" ht="12.75" customHeight="1"/>
    <row r="2000" ht="12.75" customHeight="1"/>
    <row r="2001" ht="12.75" customHeight="1"/>
    <row r="2002" ht="12.75" customHeight="1"/>
    <row r="2003" ht="12.75" customHeight="1"/>
    <row r="2004" ht="12.75" customHeight="1"/>
    <row r="2005" ht="12.75" customHeight="1"/>
    <row r="2006" ht="12.75" customHeight="1"/>
    <row r="2007" ht="12.75" customHeight="1"/>
    <row r="2008" ht="12.75" customHeight="1"/>
    <row r="2009" ht="12.75" customHeight="1"/>
    <row r="2010" ht="12.75" customHeight="1"/>
    <row r="2011" ht="12.75" customHeight="1"/>
    <row r="2012" ht="12.75" customHeight="1"/>
    <row r="2013" ht="12.75" customHeight="1"/>
    <row r="2014" ht="12.75" customHeight="1"/>
    <row r="2015" ht="12.75" customHeight="1"/>
    <row r="2016" ht="12.75" customHeight="1"/>
    <row r="2017" ht="12.75" customHeight="1"/>
    <row r="2018" ht="12.75" customHeight="1"/>
    <row r="2019" ht="12.75" customHeight="1"/>
    <row r="2020" ht="12.75" customHeight="1"/>
    <row r="2021" ht="12.75" customHeight="1"/>
    <row r="2022" ht="12.75" customHeight="1"/>
    <row r="2023" ht="12.75" customHeight="1"/>
    <row r="2024" ht="12.75" customHeight="1"/>
    <row r="2025" ht="12.75" customHeight="1"/>
    <row r="2026" ht="12.75" customHeight="1"/>
    <row r="2027" ht="12.75" customHeight="1"/>
    <row r="2028" ht="12.75" customHeight="1"/>
    <row r="2029" ht="12.75" customHeight="1"/>
    <row r="2030" ht="12.75" customHeight="1"/>
    <row r="2031" ht="12.75" customHeight="1"/>
    <row r="2032" ht="12.75" customHeight="1"/>
    <row r="2033" ht="12.75" customHeight="1"/>
    <row r="2034" ht="12.75" customHeight="1"/>
    <row r="2035" ht="12.75" customHeight="1"/>
    <row r="2036" ht="12.75" customHeight="1"/>
    <row r="2037" ht="12.75" customHeight="1"/>
    <row r="2038" ht="12.75" customHeight="1"/>
    <row r="2039" ht="12.75" customHeight="1"/>
    <row r="2040" ht="12.75" customHeight="1"/>
    <row r="2041" ht="12.75" customHeight="1"/>
    <row r="2042" ht="12.75" customHeight="1"/>
    <row r="2043" ht="12.75" customHeight="1"/>
    <row r="2044" ht="12.75" customHeight="1"/>
    <row r="2045" ht="12.75" customHeight="1"/>
    <row r="2046" ht="12.75" customHeight="1"/>
    <row r="2047" ht="12.75" customHeight="1"/>
    <row r="2048" ht="12.75" customHeight="1"/>
    <row r="2049" ht="12.75" customHeight="1"/>
    <row r="2050" ht="12.75" customHeight="1"/>
    <row r="2051" ht="12.75" customHeight="1"/>
    <row r="2052" ht="12.75" customHeight="1"/>
    <row r="2053" ht="12.75" customHeight="1"/>
    <row r="2054" ht="12.75" customHeight="1"/>
    <row r="2055" ht="12.75" customHeight="1"/>
    <row r="2056" ht="12.75" customHeight="1"/>
    <row r="2057" ht="12.75" customHeight="1"/>
    <row r="2058" ht="12.75" customHeight="1"/>
    <row r="2059" ht="12.75" customHeight="1"/>
    <row r="2060" ht="12.75" customHeight="1"/>
    <row r="2061" ht="12.75" customHeight="1"/>
    <row r="2062" ht="12.75" customHeight="1"/>
    <row r="2063" ht="12.75" customHeight="1"/>
    <row r="2064" ht="12.75" customHeight="1"/>
    <row r="2065" ht="12.75" customHeight="1"/>
    <row r="2066" ht="12.75" customHeight="1"/>
    <row r="2067" ht="12.75" customHeight="1"/>
    <row r="2068" ht="12.75" customHeight="1"/>
    <row r="2069" ht="12.75" customHeight="1"/>
    <row r="2070" ht="12.75" customHeight="1"/>
    <row r="2071" ht="12.75" customHeight="1"/>
    <row r="2072" ht="12.75" customHeight="1"/>
    <row r="2073" ht="12.75" customHeight="1"/>
    <row r="2074" ht="12.75" customHeight="1"/>
    <row r="2075" ht="12.75" customHeight="1"/>
    <row r="2076" ht="12.75" customHeight="1"/>
    <row r="2077" ht="12.75" customHeight="1"/>
    <row r="2078" ht="12.75" customHeight="1"/>
    <row r="2079" ht="12.75" customHeight="1"/>
    <row r="2080" ht="12.75" customHeight="1"/>
    <row r="2081" ht="12.75" customHeight="1"/>
    <row r="2082" ht="12.75" customHeight="1"/>
    <row r="2083" ht="12.75" customHeight="1"/>
    <row r="2084" ht="12.75" customHeight="1"/>
    <row r="2085" ht="12.75" customHeight="1"/>
    <row r="2086" ht="12.75" customHeight="1"/>
    <row r="2087" ht="12.75" customHeight="1"/>
    <row r="2088" ht="12.75" customHeight="1"/>
    <row r="2089" ht="12.75" customHeight="1"/>
    <row r="2090" ht="12.75" customHeight="1"/>
    <row r="2091" ht="12.75" customHeight="1"/>
    <row r="2092" ht="12.75" customHeight="1"/>
    <row r="2093" ht="12.75" customHeight="1"/>
    <row r="2094" ht="12.75" customHeight="1"/>
    <row r="2095" ht="12.75" customHeight="1"/>
    <row r="2096" ht="12.75" customHeight="1"/>
    <row r="2097" ht="12.75" customHeight="1"/>
    <row r="2098" ht="12.75" customHeight="1"/>
    <row r="2099" ht="12.75" customHeight="1"/>
    <row r="2100" ht="12.75" customHeight="1"/>
    <row r="2101" ht="12.75" customHeight="1"/>
    <row r="2102" ht="12.75" customHeight="1"/>
    <row r="2103" ht="12.75" customHeight="1"/>
    <row r="2104" ht="12.75" customHeight="1"/>
    <row r="2105" ht="12.75" customHeight="1"/>
    <row r="2106" ht="12.75" customHeight="1"/>
    <row r="2107" ht="12.75" customHeight="1"/>
    <row r="2108" ht="12.75" customHeight="1"/>
    <row r="2109" ht="12.75" customHeight="1"/>
    <row r="2110" ht="12.75" customHeight="1"/>
    <row r="2111" ht="12.75" customHeight="1"/>
    <row r="2112" ht="12.75" customHeight="1"/>
    <row r="2113" ht="12.75" customHeight="1"/>
    <row r="2114" ht="12.75" customHeight="1"/>
    <row r="2115" ht="12.75" customHeight="1"/>
    <row r="2116" ht="12.75" customHeight="1"/>
    <row r="2117" ht="12.75" customHeight="1"/>
    <row r="2118" ht="12.75" customHeight="1"/>
    <row r="2119" ht="12.75" customHeight="1"/>
    <row r="2120" ht="12.75" customHeight="1"/>
    <row r="2121" ht="12.75" customHeight="1"/>
    <row r="2122" ht="12.75" customHeight="1"/>
    <row r="2123" ht="12.75" customHeight="1"/>
    <row r="2124" ht="12.75" customHeight="1"/>
    <row r="2125" ht="12.75" customHeight="1"/>
    <row r="2126" ht="12.75" customHeight="1"/>
    <row r="2127" ht="12.75" customHeight="1"/>
    <row r="2128" ht="12.75" customHeight="1"/>
    <row r="2129" ht="12.75" customHeight="1"/>
    <row r="2130" ht="12.75" customHeight="1"/>
    <row r="2131" ht="12.75" customHeight="1"/>
    <row r="2132" ht="12.75" customHeight="1"/>
    <row r="2133" ht="12.75" customHeight="1"/>
    <row r="2134" ht="12.75" customHeight="1"/>
    <row r="2135" ht="12.75" customHeight="1"/>
    <row r="2136" ht="12.75" customHeight="1"/>
    <row r="2137" ht="12.75" customHeight="1"/>
    <row r="2138" ht="12.75" customHeight="1"/>
    <row r="2139" ht="12.75" customHeight="1"/>
    <row r="2140" ht="12.75" customHeight="1"/>
    <row r="2141" ht="12.75" customHeight="1"/>
    <row r="2142" ht="12.75" customHeight="1"/>
    <row r="2143" ht="12.75" customHeight="1"/>
    <row r="2144" ht="12.75" customHeight="1"/>
    <row r="2145" ht="12.75" customHeight="1"/>
    <row r="2146" ht="12.75" customHeight="1"/>
    <row r="2147" ht="12.75" customHeight="1"/>
    <row r="2148" ht="12.75" customHeight="1"/>
    <row r="2149" ht="12.75" customHeight="1"/>
    <row r="2150" ht="12.75" customHeight="1"/>
    <row r="2151" ht="12.75" customHeight="1"/>
    <row r="2152" ht="12.75" customHeight="1"/>
    <row r="2153" ht="12.75" customHeight="1"/>
    <row r="2154" ht="12.75" customHeight="1"/>
    <row r="2155" ht="12.75" customHeight="1"/>
    <row r="2156" ht="12.75" customHeight="1"/>
    <row r="2157" ht="12.75" customHeight="1"/>
    <row r="2158" ht="12.75" customHeight="1"/>
    <row r="2159" ht="12.75" customHeight="1"/>
    <row r="2160" ht="12.75" customHeight="1"/>
    <row r="2161" ht="12.75" customHeight="1"/>
    <row r="2162" ht="12.75" customHeight="1"/>
    <row r="2163" ht="12.75" customHeight="1"/>
    <row r="2164" ht="12.75" customHeight="1"/>
    <row r="2165" ht="12.75" customHeight="1"/>
    <row r="2166" ht="12.75" customHeight="1"/>
    <row r="2167" ht="12.75" customHeight="1"/>
    <row r="2168" ht="12.75" customHeight="1"/>
    <row r="2169" ht="12.75" customHeight="1"/>
    <row r="2170" ht="12.75" customHeight="1"/>
    <row r="2171" ht="12.75" customHeight="1"/>
    <row r="2172" ht="12.75" customHeight="1"/>
    <row r="2173" ht="12.75" customHeight="1"/>
    <row r="2174" ht="12.75" customHeight="1"/>
    <row r="2175" ht="12.75" customHeight="1"/>
    <row r="2176" ht="12.75" customHeight="1"/>
    <row r="2177" ht="12.75" customHeight="1"/>
    <row r="2178" ht="12.75" customHeight="1"/>
    <row r="2179" ht="12.75" customHeight="1"/>
    <row r="2180" ht="12.75" customHeight="1"/>
    <row r="2181" ht="12.75" customHeight="1"/>
    <row r="2182" ht="12.75" customHeight="1"/>
    <row r="2183" ht="12.75" customHeight="1"/>
    <row r="2184" ht="12.75" customHeight="1"/>
    <row r="2185" ht="12.75" customHeight="1"/>
    <row r="2186" ht="12.75" customHeight="1"/>
    <row r="2187" ht="12.75" customHeight="1"/>
    <row r="2188" ht="12.75" customHeight="1"/>
    <row r="2189" ht="12.75" customHeight="1"/>
    <row r="2190" ht="12.75" customHeight="1"/>
    <row r="2191" ht="12.75" customHeight="1"/>
    <row r="2192" ht="12.75" customHeight="1"/>
    <row r="2193" ht="12.75" customHeight="1"/>
    <row r="2194" ht="12.75" customHeight="1"/>
    <row r="2195" ht="12.75" customHeight="1"/>
    <row r="2196" ht="12.75" customHeight="1"/>
    <row r="2197" ht="12.75" customHeight="1"/>
    <row r="2198" ht="12.75" customHeight="1"/>
    <row r="2199" ht="12.75" customHeight="1"/>
    <row r="2200" ht="12.75" customHeight="1"/>
    <row r="2201" ht="12.75" customHeight="1"/>
    <row r="2202" ht="12.75" customHeight="1"/>
    <row r="2203" ht="12.75" customHeight="1"/>
    <row r="2204" ht="12.75" customHeight="1"/>
    <row r="2205" ht="12.75" customHeight="1"/>
    <row r="2206" ht="12.75" customHeight="1"/>
    <row r="2207" ht="12.75" customHeight="1"/>
    <row r="2208" ht="12.75" customHeight="1"/>
    <row r="2209" ht="12.75" customHeight="1"/>
    <row r="2210" ht="12.75" customHeight="1"/>
    <row r="2211" ht="12.75" customHeight="1"/>
    <row r="2212" ht="12.75" customHeight="1"/>
    <row r="2213" ht="12.75" customHeight="1"/>
    <row r="2214" ht="12.75" customHeight="1"/>
    <row r="2215" ht="12.75" customHeight="1"/>
    <row r="2216" ht="12.75" customHeight="1"/>
    <row r="2217" ht="12.75" customHeight="1"/>
    <row r="2218" ht="12.75" customHeight="1"/>
    <row r="2219" ht="12.75" customHeight="1"/>
    <row r="2220" ht="12.75" customHeight="1"/>
    <row r="2221" ht="12.75" customHeight="1"/>
    <row r="2222" ht="12.75" customHeight="1"/>
    <row r="2223" ht="12.75" customHeight="1"/>
    <row r="2224" ht="12.75" customHeight="1"/>
    <row r="2225" ht="12.75" customHeight="1"/>
    <row r="2226" ht="12.75" customHeight="1"/>
    <row r="2227" ht="12.75" customHeight="1"/>
    <row r="2228" ht="12.75" customHeight="1"/>
    <row r="2229" ht="12.75" customHeight="1"/>
    <row r="2230" ht="12.75" customHeight="1"/>
    <row r="2231" ht="12.75" customHeight="1"/>
    <row r="2232" ht="12.75" customHeight="1"/>
    <row r="2233" ht="12.75" customHeight="1"/>
    <row r="2234" ht="12.75" customHeight="1"/>
    <row r="2235" ht="12.75" customHeight="1"/>
    <row r="2236" ht="12.75" customHeight="1"/>
    <row r="2237" ht="12.75" customHeight="1"/>
    <row r="2238" ht="12.75" customHeight="1"/>
    <row r="2239" ht="12.75" customHeight="1"/>
    <row r="2240" ht="12.75" customHeight="1"/>
    <row r="2241" ht="12.75" customHeight="1"/>
    <row r="2242" ht="12.75" customHeight="1"/>
    <row r="2243" ht="12.75" customHeight="1"/>
    <row r="2244" ht="12.75" customHeight="1"/>
    <row r="2245" ht="12.75" customHeight="1"/>
    <row r="2246" ht="12.75" customHeight="1"/>
    <row r="2247" ht="12.75" customHeight="1"/>
    <row r="2248" ht="12.75" customHeight="1"/>
    <row r="2249" ht="12.75" customHeight="1"/>
    <row r="2250" ht="12.75" customHeight="1"/>
    <row r="2251" ht="12.75" customHeight="1"/>
    <row r="2252" ht="12.75" customHeight="1"/>
    <row r="2253" ht="12.75" customHeight="1"/>
    <row r="2254" ht="12.75" customHeight="1"/>
    <row r="2255" ht="12.75" customHeight="1"/>
    <row r="2256" ht="12.75" customHeight="1"/>
    <row r="2257" ht="12.75" customHeight="1"/>
    <row r="2258" ht="12.75" customHeight="1"/>
    <row r="2259" ht="12.75" customHeight="1"/>
    <row r="2260" ht="12.75" customHeight="1"/>
    <row r="2261" ht="12.75" customHeight="1"/>
    <row r="2262" ht="12.75" customHeight="1"/>
    <row r="2263" ht="12.75" customHeight="1"/>
    <row r="2264" ht="12.75" customHeight="1"/>
    <row r="2265" ht="12.75" customHeight="1"/>
    <row r="2266" ht="12.75" customHeight="1"/>
    <row r="2267" ht="12.75" customHeight="1"/>
    <row r="2268" ht="12.75" customHeight="1"/>
    <row r="2269" ht="12.75" customHeight="1"/>
    <row r="2270" ht="12.75" customHeight="1"/>
    <row r="2271" ht="12.75" customHeight="1"/>
    <row r="2272" ht="12.75" customHeight="1"/>
    <row r="2273" ht="12.75" customHeight="1"/>
    <row r="2274" ht="12.75" customHeight="1"/>
    <row r="2275" ht="12.75" customHeight="1"/>
    <row r="2276" ht="12.75" customHeight="1"/>
    <row r="2277" ht="12.75" customHeight="1"/>
    <row r="2278" ht="12.75" customHeight="1"/>
    <row r="2279" ht="12.75" customHeight="1"/>
    <row r="2280" ht="12.75" customHeight="1"/>
    <row r="2281" ht="12.75" customHeight="1"/>
    <row r="2282" ht="12.75" customHeight="1"/>
    <row r="2283" ht="12.75" customHeight="1"/>
    <row r="2284" ht="12.75" customHeight="1"/>
    <row r="2285" ht="12.75" customHeight="1"/>
    <row r="2286" ht="12.75" customHeight="1"/>
    <row r="2287" ht="12.75" customHeight="1"/>
    <row r="2288" ht="12.75" customHeight="1"/>
    <row r="2289" ht="12.75" customHeight="1"/>
    <row r="2290" ht="12.75" customHeight="1"/>
    <row r="2291" ht="12.75" customHeight="1"/>
    <row r="2292" ht="12.75" customHeight="1"/>
    <row r="2293" ht="12.75" customHeight="1"/>
    <row r="2294" ht="12.75" customHeight="1"/>
    <row r="2295" ht="12.75" customHeight="1"/>
    <row r="2296" ht="12.75" customHeight="1"/>
    <row r="2297" ht="12.75" customHeight="1"/>
    <row r="2298" ht="12.75" customHeight="1"/>
    <row r="2299" ht="12.75" customHeight="1"/>
    <row r="2300" ht="12.75" customHeight="1"/>
    <row r="2301" ht="12.75" customHeight="1"/>
    <row r="2302" ht="12.75" customHeight="1"/>
    <row r="2303" ht="12.75" customHeight="1"/>
    <row r="2304" ht="12.75" customHeight="1"/>
    <row r="2305" ht="12.75" customHeight="1"/>
    <row r="2306" ht="12.75" customHeight="1"/>
    <row r="2307" ht="12.75" customHeight="1"/>
    <row r="2308" ht="12.75" customHeight="1"/>
    <row r="2309" ht="12.75" customHeight="1"/>
    <row r="2310" ht="12.75" customHeight="1"/>
    <row r="2311" ht="12.75" customHeight="1"/>
    <row r="2312" ht="12.75" customHeight="1"/>
    <row r="2313" ht="12.75" customHeight="1"/>
    <row r="2314" ht="12.75" customHeight="1"/>
    <row r="2315" ht="12.75" customHeight="1"/>
    <row r="2316" ht="12.75" customHeight="1"/>
    <row r="2317" ht="12.75" customHeight="1"/>
    <row r="2318" ht="12.75" customHeight="1"/>
    <row r="2319" ht="12.75" customHeight="1"/>
    <row r="2320" ht="12.75" customHeight="1"/>
    <row r="2321" ht="12.75" customHeight="1"/>
    <row r="2322" ht="12.75" customHeight="1"/>
    <row r="2323" ht="12.75" customHeight="1"/>
    <row r="2324" ht="12.75" customHeight="1"/>
    <row r="2325" ht="12.75" customHeight="1"/>
    <row r="2326" ht="12.75" customHeight="1"/>
    <row r="2327" ht="12.75" customHeight="1"/>
    <row r="2328" ht="12.75" customHeight="1"/>
    <row r="2329" ht="12.75" customHeight="1"/>
    <row r="2330" ht="12.75" customHeight="1"/>
    <row r="2331" ht="12.75" customHeight="1"/>
    <row r="2332" ht="12.75" customHeight="1"/>
    <row r="2333" ht="12.75" customHeight="1"/>
    <row r="2334" ht="12.75" customHeight="1"/>
    <row r="2335" ht="12.75" customHeight="1"/>
    <row r="2336" ht="12.75" customHeight="1"/>
    <row r="2337" ht="12.75" customHeight="1"/>
    <row r="2338" ht="12.75" customHeight="1"/>
    <row r="2339" ht="12.75" customHeight="1"/>
    <row r="2340" ht="12.75" customHeight="1"/>
    <row r="2341" ht="12.75" customHeight="1"/>
    <row r="2342" ht="12.75" customHeight="1"/>
    <row r="2343" ht="12.75" customHeight="1"/>
    <row r="2344" ht="12.75" customHeight="1"/>
    <row r="2345" ht="12.75" customHeight="1"/>
    <row r="2346" ht="12.75" customHeight="1"/>
    <row r="2347" ht="12.75" customHeight="1"/>
    <row r="2348" ht="12.75" customHeight="1"/>
    <row r="2349" ht="12.75" customHeight="1"/>
    <row r="2350" ht="12.75" customHeight="1"/>
    <row r="2351" ht="12.75" customHeight="1"/>
    <row r="2352" ht="12.75" customHeight="1"/>
    <row r="2353" ht="12.75" customHeight="1"/>
    <row r="2354" ht="12.75" customHeight="1"/>
    <row r="2355" ht="12.75" customHeight="1"/>
    <row r="2356" ht="12.75" customHeight="1"/>
    <row r="2357" ht="12.75" customHeight="1"/>
    <row r="2358" ht="12.75" customHeight="1"/>
    <row r="2359" ht="12.75" customHeight="1"/>
    <row r="2360" ht="12.75" customHeight="1"/>
    <row r="2361" ht="12.75" customHeight="1"/>
    <row r="2362" ht="12.75" customHeight="1"/>
    <row r="2363" ht="12.75" customHeight="1"/>
    <row r="2364" ht="12.75" customHeight="1"/>
    <row r="2365" ht="12.75" customHeight="1"/>
    <row r="2366" ht="12.75" customHeight="1"/>
    <row r="2367" ht="12.75" customHeight="1"/>
    <row r="2368" ht="12.75" customHeight="1"/>
    <row r="2369" ht="12.75" customHeight="1"/>
    <row r="2370" ht="12.75" customHeight="1"/>
    <row r="2371" ht="12.75" customHeight="1"/>
    <row r="2372" ht="12.75" customHeight="1"/>
    <row r="2373" ht="12.75" customHeight="1"/>
    <row r="2374" ht="12.75" customHeight="1"/>
    <row r="2375" ht="12.75" customHeight="1"/>
    <row r="2376" ht="12.75" customHeight="1"/>
    <row r="2377" ht="12.75" customHeight="1"/>
    <row r="2378" ht="12.75" customHeight="1"/>
    <row r="2379" ht="12.75" customHeight="1"/>
    <row r="2380" ht="12.75" customHeight="1"/>
    <row r="2381" ht="12.75" customHeight="1"/>
    <row r="2382" ht="12.75" customHeight="1"/>
    <row r="2383" ht="12.75" customHeight="1"/>
    <row r="2384" ht="12.75" customHeight="1"/>
    <row r="2385" ht="12.75" customHeight="1"/>
    <row r="2386" ht="12.75" customHeight="1"/>
    <row r="2387" ht="12.75" customHeight="1"/>
    <row r="2388" ht="12.75" customHeight="1"/>
    <row r="2389" ht="12.75" customHeight="1"/>
    <row r="2390" ht="12.75" customHeight="1"/>
    <row r="2391" ht="12.75" customHeight="1"/>
    <row r="2392" ht="12.75" customHeight="1"/>
    <row r="2393" ht="12.75" customHeight="1"/>
    <row r="2394" ht="12.75" customHeight="1"/>
    <row r="2395" ht="12.75" customHeight="1"/>
    <row r="2396" ht="12.75" customHeight="1"/>
    <row r="2397" ht="12.75" customHeight="1"/>
    <row r="2398" ht="12.75" customHeight="1"/>
    <row r="2399" ht="12.75" customHeight="1"/>
    <row r="2400" ht="12.75" customHeight="1"/>
    <row r="2401" ht="12.75" customHeight="1"/>
    <row r="2402" ht="12.75" customHeight="1"/>
    <row r="2403" ht="12.75" customHeight="1"/>
    <row r="2404" ht="12.75" customHeight="1"/>
    <row r="2405" ht="12.75" customHeight="1"/>
    <row r="2406" ht="12.75" customHeight="1"/>
    <row r="2407" ht="12.75" customHeight="1"/>
    <row r="2408" ht="12.75" customHeight="1"/>
    <row r="2409" ht="12.75" customHeight="1"/>
    <row r="2410" ht="12.75" customHeight="1"/>
    <row r="2411" ht="12.75" customHeight="1"/>
    <row r="2412" ht="12.75" customHeight="1"/>
    <row r="2413" ht="12.75" customHeight="1"/>
    <row r="2414" ht="12.75" customHeight="1"/>
    <row r="2415" ht="12.75" customHeight="1"/>
    <row r="2416" ht="12.75" customHeight="1"/>
    <row r="2417" ht="12.75" customHeight="1"/>
    <row r="2418" ht="12.75" customHeight="1"/>
    <row r="2419" ht="12.75" customHeight="1"/>
    <row r="2420" ht="12.75" customHeight="1"/>
    <row r="2421" ht="12.75" customHeight="1"/>
    <row r="2422" ht="12.75" customHeight="1"/>
    <row r="2423" ht="12.75" customHeight="1"/>
    <row r="2424" ht="12.75" customHeight="1"/>
    <row r="2425" ht="12.75" customHeight="1"/>
    <row r="2426" ht="12.75" customHeight="1"/>
    <row r="2427" ht="12.75" customHeight="1"/>
    <row r="2428" ht="12.75" customHeight="1"/>
    <row r="2429" ht="12.75" customHeight="1"/>
    <row r="2430" ht="12.75" customHeight="1"/>
    <row r="2431" ht="12.75" customHeight="1"/>
    <row r="2432" ht="12.75" customHeight="1"/>
    <row r="2433" ht="12.75" customHeight="1"/>
    <row r="2434" ht="12.75" customHeight="1"/>
    <row r="2435" ht="12.75" customHeight="1"/>
    <row r="2436" ht="12.75" customHeight="1"/>
    <row r="2437" ht="12.75" customHeight="1"/>
    <row r="2438" ht="12.75" customHeight="1"/>
    <row r="2439" ht="12.75" customHeight="1"/>
    <row r="2440" ht="12.75" customHeight="1"/>
    <row r="2441" ht="12.75" customHeight="1"/>
    <row r="2442" ht="12.75" customHeight="1"/>
    <row r="2443" ht="12.75" customHeight="1"/>
    <row r="2444" ht="12.75" customHeight="1"/>
    <row r="2445" ht="12.75" customHeight="1"/>
    <row r="2446" ht="12.75" customHeight="1"/>
    <row r="2447" ht="12.75" customHeight="1"/>
    <row r="2448" ht="12.75" customHeight="1"/>
    <row r="2449" ht="12.75" customHeight="1"/>
    <row r="2450" ht="12.75" customHeight="1"/>
    <row r="2451" ht="12.75" customHeight="1"/>
    <row r="2452" ht="12.75" customHeight="1"/>
    <row r="2453" ht="12.75" customHeight="1"/>
    <row r="2454" ht="12.75" customHeight="1"/>
    <row r="2455" ht="12.75" customHeight="1"/>
    <row r="2456" ht="12.75" customHeight="1"/>
    <row r="2457" ht="12.75" customHeight="1"/>
    <row r="2458" ht="12.75" customHeight="1"/>
    <row r="2459" ht="12.75" customHeight="1"/>
    <row r="2460" ht="12.75" customHeight="1"/>
    <row r="2461" ht="12.75" customHeight="1"/>
    <row r="2462" ht="12.75" customHeight="1"/>
    <row r="2463" ht="12.75" customHeight="1"/>
    <row r="2464" ht="12.75" customHeight="1"/>
    <row r="2465" ht="12.75" customHeight="1"/>
    <row r="2466" ht="12.75" customHeight="1"/>
    <row r="2467" ht="12.75" customHeight="1"/>
    <row r="2468" ht="12.75" customHeight="1"/>
    <row r="2469" ht="12.75" customHeight="1"/>
    <row r="2470" ht="12.75" customHeight="1"/>
    <row r="2471" ht="12.75" customHeight="1"/>
    <row r="2472" ht="12.75" customHeight="1"/>
    <row r="2473" ht="12.75" customHeight="1"/>
    <row r="2474" ht="12.75" customHeight="1"/>
    <row r="2475" ht="12.75" customHeight="1"/>
    <row r="2476" ht="12.75" customHeight="1"/>
    <row r="2477" ht="12.75" customHeight="1"/>
    <row r="2478" ht="12.75" customHeight="1"/>
    <row r="2479" ht="12.75" customHeight="1"/>
    <row r="2480" ht="12.75" customHeight="1"/>
    <row r="2481" ht="12.75" customHeight="1"/>
    <row r="2482" ht="12.75" customHeight="1"/>
    <row r="2483" ht="12.75" customHeight="1"/>
    <row r="2484" ht="12.75" customHeight="1"/>
    <row r="2485" ht="12.75" customHeight="1"/>
    <row r="2486" ht="12.75" customHeight="1"/>
    <row r="2487" ht="12.75" customHeight="1"/>
    <row r="2488" ht="12.75" customHeight="1"/>
    <row r="2489" ht="12.75" customHeight="1"/>
    <row r="2490" ht="12.75" customHeight="1"/>
    <row r="2491" ht="12.75" customHeight="1"/>
    <row r="2492" ht="12.75" customHeight="1"/>
    <row r="2493" ht="12.75" customHeight="1"/>
    <row r="2494" ht="12.75" customHeight="1"/>
    <row r="2495" ht="12.75" customHeight="1"/>
    <row r="2496" ht="12.75" customHeight="1"/>
    <row r="2497" ht="12.75" customHeight="1"/>
    <row r="2498" ht="12.75" customHeight="1"/>
    <row r="2499" ht="12.75" customHeight="1"/>
    <row r="2500" ht="12.75" customHeight="1"/>
    <row r="2501" ht="12.75" customHeight="1"/>
    <row r="2502" ht="12.75" customHeight="1"/>
    <row r="2503" ht="12.75" customHeight="1"/>
    <row r="2504" ht="12.75" customHeight="1"/>
    <row r="2505" ht="12.75" customHeight="1"/>
    <row r="2506" ht="12.75" customHeight="1"/>
    <row r="2507" ht="12.75" customHeight="1"/>
    <row r="2508" ht="12.75" customHeight="1"/>
    <row r="2509" ht="12.75" customHeight="1"/>
    <row r="2510" ht="12.75" customHeight="1"/>
    <row r="2511" ht="12.75" customHeight="1"/>
    <row r="2512" ht="12.75" customHeight="1"/>
    <row r="2513" ht="12.75" customHeight="1"/>
    <row r="2514" ht="12.75" customHeight="1"/>
    <row r="2515" ht="12.75" customHeight="1"/>
    <row r="2516" ht="12.75" customHeight="1"/>
    <row r="2517" ht="12.75" customHeight="1"/>
    <row r="2518" ht="12.75" customHeight="1"/>
    <row r="2519" ht="12.75" customHeight="1"/>
    <row r="2520" ht="12.75" customHeight="1"/>
    <row r="2521" ht="12.75" customHeight="1"/>
    <row r="2522" ht="12.75" customHeight="1"/>
    <row r="2523" ht="12.75" customHeight="1"/>
    <row r="2524" ht="12.75" customHeight="1"/>
    <row r="2525" ht="12.75" customHeight="1"/>
    <row r="2526" ht="12.75" customHeight="1"/>
    <row r="2527" ht="12.75" customHeight="1"/>
    <row r="2528" ht="12.75" customHeight="1"/>
    <row r="2529" ht="12.75" customHeight="1"/>
    <row r="2530" ht="12.75" customHeight="1"/>
    <row r="2531" ht="12.75" customHeight="1"/>
    <row r="2532" ht="12.75" customHeight="1"/>
    <row r="2533" ht="12.75" customHeight="1"/>
    <row r="2534" ht="12.75" customHeight="1"/>
    <row r="2535" ht="12.75" customHeight="1"/>
    <row r="2536" ht="12.75" customHeight="1"/>
    <row r="2537" ht="12.75" customHeight="1"/>
    <row r="2538" ht="12.75" customHeight="1"/>
    <row r="2539" ht="12.75" customHeight="1"/>
    <row r="2540" ht="12.75" customHeight="1"/>
    <row r="2541" ht="12.75" customHeight="1"/>
    <row r="2542" ht="12.75" customHeight="1"/>
    <row r="2543" ht="12.75" customHeight="1"/>
    <row r="2544" ht="12.75" customHeight="1"/>
    <row r="2545" ht="12.75" customHeight="1"/>
    <row r="2546" ht="12.75" customHeight="1"/>
    <row r="2547" ht="12.75" customHeight="1"/>
    <row r="2548" ht="12.75" customHeight="1"/>
    <row r="2549" ht="12.75" customHeight="1"/>
    <row r="2550" ht="12.75" customHeight="1"/>
    <row r="2551" ht="12.75" customHeight="1"/>
    <row r="2552" ht="12.75" customHeight="1"/>
    <row r="2553" ht="12.75" customHeight="1"/>
    <row r="2554" ht="12.75" customHeight="1"/>
    <row r="2555" ht="12.75" customHeight="1"/>
    <row r="2556" ht="12.75" customHeight="1"/>
    <row r="2557" ht="12.75" customHeight="1"/>
    <row r="2558" ht="12.75" customHeight="1"/>
    <row r="2559" ht="12.75" customHeight="1"/>
    <row r="2560" ht="12.75" customHeight="1"/>
    <row r="2561" ht="12.75" customHeight="1"/>
    <row r="2562" ht="12.75" customHeight="1"/>
    <row r="2563" ht="12.75" customHeight="1"/>
    <row r="2564" ht="12.75" customHeight="1"/>
    <row r="2565" ht="12.75" customHeight="1"/>
    <row r="2566" ht="12.75" customHeight="1"/>
    <row r="2567" ht="12.75" customHeight="1"/>
    <row r="2568" ht="12.75" customHeight="1"/>
    <row r="2569" ht="12.75" customHeight="1"/>
    <row r="2570" ht="12.75" customHeight="1"/>
    <row r="2571" ht="12.75" customHeight="1"/>
    <row r="2572" ht="12.75" customHeight="1"/>
    <row r="2573" ht="12.75" customHeight="1"/>
    <row r="2574" ht="12.75" customHeight="1"/>
    <row r="2575" ht="12.75" customHeight="1"/>
    <row r="2576" ht="12.75" customHeight="1"/>
    <row r="2577" ht="12.75" customHeight="1"/>
    <row r="2578" ht="12.75" customHeight="1"/>
    <row r="2579" ht="12.75" customHeight="1"/>
    <row r="2580" ht="12.75" customHeight="1"/>
    <row r="2581" ht="12.75" customHeight="1"/>
    <row r="2582" ht="12.75" customHeight="1"/>
    <row r="2583" ht="12.75" customHeight="1"/>
    <row r="2584" ht="12.75" customHeight="1"/>
    <row r="2585" ht="12.75" customHeight="1"/>
    <row r="2586" ht="12.75" customHeight="1"/>
    <row r="2587" ht="12.75" customHeight="1"/>
    <row r="2588" ht="12.75" customHeight="1"/>
    <row r="2589" ht="12.75" customHeight="1"/>
    <row r="2590" ht="12.75" customHeight="1"/>
    <row r="2591" ht="12.75" customHeight="1"/>
    <row r="2592" ht="12.75" customHeight="1"/>
    <row r="2593" ht="12.75" customHeight="1"/>
    <row r="2594" ht="12.75" customHeight="1"/>
    <row r="2595" ht="12.75" customHeight="1"/>
    <row r="2596" ht="12.75" customHeight="1"/>
    <row r="2597" ht="12.75" customHeight="1"/>
    <row r="2598" ht="12.75" customHeight="1"/>
    <row r="2599" ht="12.75" customHeight="1"/>
    <row r="2600" ht="12.75" customHeight="1"/>
    <row r="2601" ht="12.75" customHeight="1"/>
    <row r="2602" ht="12.75" customHeight="1"/>
    <row r="2603" ht="12.75" customHeight="1"/>
    <row r="2604" ht="12.75" customHeight="1"/>
    <row r="2605" ht="12.75" customHeight="1"/>
    <row r="2606" ht="12.75" customHeight="1"/>
    <row r="2607" ht="12.75" customHeight="1"/>
    <row r="2608" ht="12.75" customHeight="1"/>
    <row r="2609" ht="12.75" customHeight="1"/>
    <row r="2610" ht="12.75" customHeight="1"/>
    <row r="2611" ht="12.75" customHeight="1"/>
    <row r="2612" ht="12.75" customHeight="1"/>
    <row r="2613" ht="12.75" customHeight="1"/>
    <row r="2614" ht="12.75" customHeight="1"/>
    <row r="2615" ht="12.75" customHeight="1"/>
    <row r="2616" ht="12.75" customHeight="1"/>
    <row r="2617" ht="12.75" customHeight="1"/>
    <row r="2618" ht="12.75" customHeight="1"/>
    <row r="2619" ht="12.75" customHeight="1"/>
    <row r="2620" ht="12.75" customHeight="1"/>
    <row r="2621" ht="12.75" customHeight="1"/>
    <row r="2622" ht="12.75" customHeight="1"/>
    <row r="2623" ht="12.75" customHeight="1"/>
    <row r="2624" ht="12.75" customHeight="1"/>
    <row r="2625" ht="12.75" customHeight="1"/>
    <row r="2626" ht="12.75" customHeight="1"/>
    <row r="2627" ht="12.75" customHeight="1"/>
    <row r="2628" ht="12.75" customHeight="1"/>
    <row r="2629" ht="12.75" customHeight="1"/>
    <row r="2630" ht="12.75" customHeight="1"/>
    <row r="2631" ht="12.75" customHeight="1"/>
    <row r="2632" ht="12.75" customHeight="1"/>
    <row r="2633" ht="12.75" customHeight="1"/>
    <row r="2634" ht="12.75" customHeight="1"/>
    <row r="2635" ht="12.75" customHeight="1"/>
    <row r="2636" ht="12.75" customHeight="1"/>
    <row r="2637" ht="12.75" customHeight="1"/>
    <row r="2638" ht="12.75" customHeight="1"/>
    <row r="2639" ht="12.75" customHeight="1"/>
    <row r="2640" ht="12.75" customHeight="1"/>
    <row r="2641" ht="12.75" customHeight="1"/>
    <row r="2642" ht="12.75" customHeight="1"/>
    <row r="2643" ht="12.75" customHeight="1"/>
    <row r="2644" ht="12.75" customHeight="1"/>
    <row r="2645" ht="12.75" customHeight="1"/>
    <row r="2646" ht="12.75" customHeight="1"/>
    <row r="2647" ht="12.75" customHeight="1"/>
    <row r="2648" ht="12.75" customHeight="1"/>
    <row r="2649" ht="12.75" customHeight="1"/>
    <row r="2650" ht="12.75" customHeight="1"/>
    <row r="2651" ht="12.75" customHeight="1"/>
    <row r="2652" ht="12.75" customHeight="1"/>
    <row r="2653" ht="12.75" customHeight="1"/>
    <row r="2654" ht="12.75" customHeight="1"/>
    <row r="2655" ht="12.75" customHeight="1"/>
    <row r="2656" ht="12.75" customHeight="1"/>
    <row r="2657" ht="12.75" customHeight="1"/>
    <row r="2658" ht="12.75" customHeight="1"/>
    <row r="2659" ht="12.75" customHeight="1"/>
    <row r="2660" ht="12.75" customHeight="1"/>
    <row r="2661" ht="12.75" customHeight="1"/>
    <row r="2662" ht="12.75" customHeight="1"/>
    <row r="2663" ht="12.75" customHeight="1"/>
    <row r="2664" ht="12.75" customHeight="1"/>
    <row r="2665" ht="12.75" customHeight="1"/>
    <row r="2666" ht="12.75" customHeight="1"/>
    <row r="2667" ht="12.75" customHeight="1"/>
    <row r="2668" ht="12.75" customHeight="1"/>
    <row r="2669" ht="12.75" customHeight="1"/>
    <row r="2670" ht="12.75" customHeight="1"/>
    <row r="2671" ht="12.75" customHeight="1"/>
    <row r="2672" ht="12.75" customHeight="1"/>
    <row r="2673" ht="12.75" customHeight="1"/>
    <row r="2674" ht="12.75" customHeight="1"/>
    <row r="2675" ht="12.75" customHeight="1"/>
    <row r="2676" ht="12.75" customHeight="1"/>
    <row r="2677" ht="12.75" customHeight="1"/>
    <row r="2678" ht="12.75" customHeight="1"/>
    <row r="2679" ht="12.75" customHeight="1"/>
    <row r="2680" ht="12.75" customHeight="1"/>
    <row r="2681" ht="12.75" customHeight="1"/>
    <row r="2682" ht="12.75" customHeight="1"/>
    <row r="2683" ht="12.75" customHeight="1"/>
    <row r="2684" ht="12.75" customHeight="1"/>
    <row r="2685" ht="12.75" customHeight="1"/>
    <row r="2686" ht="12.75" customHeight="1"/>
    <row r="2687" ht="12.75" customHeight="1"/>
    <row r="2688" ht="12.75" customHeight="1"/>
    <row r="2689" ht="12.75" customHeight="1"/>
    <row r="2690" ht="12.75" customHeight="1"/>
    <row r="2691" ht="12.75" customHeight="1"/>
    <row r="2692" ht="12.75" customHeight="1"/>
    <row r="2693" ht="12.75" customHeight="1"/>
    <row r="2694" ht="12.75" customHeight="1"/>
    <row r="2695" ht="12.75" customHeight="1"/>
    <row r="2696" ht="12.75" customHeight="1"/>
    <row r="2697" ht="12.75" customHeight="1"/>
    <row r="2698" ht="12.75" customHeight="1"/>
    <row r="2699" ht="12.75" customHeight="1"/>
    <row r="2700" ht="12.75" customHeight="1"/>
    <row r="2701" ht="12.75" customHeight="1"/>
    <row r="2702" ht="12.75" customHeight="1"/>
    <row r="2703" ht="12.75" customHeight="1"/>
    <row r="2704" ht="12.75" customHeight="1"/>
    <row r="2705" ht="12.75" customHeight="1"/>
    <row r="2706" ht="12.75" customHeight="1"/>
    <row r="2707" ht="12.75" customHeight="1"/>
    <row r="2708" ht="12.75" customHeight="1"/>
    <row r="2709" ht="12.75" customHeight="1"/>
    <row r="2710" ht="12.75" customHeight="1"/>
    <row r="2711" ht="12.75" customHeight="1"/>
    <row r="2712" ht="12.75" customHeight="1"/>
    <row r="2713" ht="12.75" customHeight="1"/>
    <row r="2714" ht="12.75" customHeight="1"/>
    <row r="2715" ht="12.75" customHeight="1"/>
    <row r="2716" ht="12.75" customHeight="1"/>
    <row r="2717" ht="12.75" customHeight="1"/>
    <row r="2718" ht="12.75" customHeight="1"/>
    <row r="2719" ht="12.75" customHeight="1"/>
    <row r="2720" ht="12.75" customHeight="1"/>
    <row r="2721" ht="12.75" customHeight="1"/>
    <row r="2722" ht="12.75" customHeight="1"/>
    <row r="2723" ht="12.75" customHeight="1"/>
    <row r="2724" ht="12.75" customHeight="1"/>
    <row r="2725" ht="12.75" customHeight="1"/>
    <row r="2726" ht="12.75" customHeight="1"/>
    <row r="2727" ht="12.75" customHeight="1"/>
    <row r="2728" ht="12.75" customHeight="1"/>
    <row r="2729" ht="12.75" customHeight="1"/>
    <row r="2730" ht="12.75" customHeight="1"/>
    <row r="2731" ht="12.75" customHeight="1"/>
    <row r="2732" ht="12.75" customHeight="1"/>
    <row r="2733" ht="12.75" customHeight="1"/>
    <row r="2734" ht="12.75" customHeight="1"/>
    <row r="2735" ht="12.75" customHeight="1"/>
    <row r="2736" ht="12.75" customHeight="1"/>
    <row r="2737" ht="12.75" customHeight="1"/>
    <row r="2738" ht="12.75" customHeight="1"/>
    <row r="2739" ht="12.75" customHeight="1"/>
    <row r="2740" ht="12.75" customHeight="1"/>
    <row r="2741" ht="12.75" customHeight="1"/>
    <row r="2742" ht="12.75" customHeight="1"/>
    <row r="2743" ht="12.75" customHeight="1"/>
    <row r="2744" ht="12.75" customHeight="1"/>
    <row r="2745" ht="12.75" customHeight="1"/>
    <row r="2746" ht="12.75" customHeight="1"/>
    <row r="2747" ht="12.75" customHeight="1"/>
    <row r="2748" ht="12.75" customHeight="1"/>
    <row r="2749" ht="12.75" customHeight="1"/>
    <row r="2750" ht="12.75" customHeight="1"/>
    <row r="2751" ht="12.75" customHeight="1"/>
    <row r="2752" ht="12.75" customHeight="1"/>
    <row r="2753" ht="12.75" customHeight="1"/>
    <row r="2754" ht="12.75" customHeight="1"/>
    <row r="2755" ht="12.75" customHeight="1"/>
    <row r="2756" ht="12.75" customHeight="1"/>
    <row r="2757" ht="12.75" customHeight="1"/>
    <row r="2758" ht="12.75" customHeight="1"/>
    <row r="2759" ht="12.75" customHeight="1"/>
    <row r="2760" ht="12.75" customHeight="1"/>
    <row r="2761" ht="12.75" customHeight="1"/>
    <row r="2762" ht="12.75" customHeight="1"/>
    <row r="2763" ht="12.75" customHeight="1"/>
    <row r="2764" ht="12.75" customHeight="1"/>
    <row r="2765" ht="12.75" customHeight="1"/>
    <row r="2766" ht="12.75" customHeight="1"/>
    <row r="2767" ht="12.75" customHeight="1"/>
    <row r="2768" ht="12.75" customHeight="1"/>
    <row r="2769" ht="12.75" customHeight="1"/>
    <row r="2770" ht="12.75" customHeight="1"/>
    <row r="2771" ht="12.75" customHeight="1"/>
    <row r="2772" ht="12.75" customHeight="1"/>
    <row r="2773" ht="12.75" customHeight="1"/>
    <row r="2774" ht="12.75" customHeight="1"/>
    <row r="2775" ht="12.75" customHeight="1"/>
    <row r="2776" ht="12.75" customHeight="1"/>
    <row r="2777" ht="12.75" customHeight="1"/>
    <row r="2778" ht="12.75" customHeight="1"/>
    <row r="2779" ht="12.75" customHeight="1"/>
    <row r="2780" ht="12.75" customHeight="1"/>
    <row r="2781" ht="12.75" customHeight="1"/>
    <row r="2782" ht="12.75" customHeight="1"/>
    <row r="2783" ht="12.75" customHeight="1"/>
    <row r="2784" ht="12.75" customHeight="1"/>
    <row r="2785" ht="12.75" customHeight="1"/>
    <row r="2786" ht="12.75" customHeight="1"/>
    <row r="2787" ht="12.75" customHeight="1"/>
    <row r="2788" ht="12.75" customHeight="1"/>
    <row r="2789" ht="12.75" customHeight="1"/>
    <row r="2790" ht="12.75" customHeight="1"/>
    <row r="2791" ht="12.75" customHeight="1"/>
    <row r="2792" ht="12.75" customHeight="1"/>
    <row r="2793" ht="12.75" customHeight="1"/>
    <row r="2794" ht="12.75" customHeight="1"/>
    <row r="2795" ht="12.75" customHeight="1"/>
    <row r="2796" ht="12.75" customHeight="1"/>
    <row r="2797" ht="12.75" customHeight="1"/>
    <row r="2798" ht="12.75" customHeight="1"/>
    <row r="2799" ht="12.75" customHeight="1"/>
    <row r="2800" ht="12.75" customHeight="1"/>
    <row r="2801" ht="12.75" customHeight="1"/>
    <row r="2802" ht="12.75" customHeight="1"/>
    <row r="2803" ht="12.75" customHeight="1"/>
    <row r="2804" ht="12.75" customHeight="1"/>
    <row r="2805" ht="12.75" customHeight="1"/>
    <row r="2806" ht="12.75" customHeight="1"/>
    <row r="2807" ht="12.75" customHeight="1"/>
    <row r="2808" ht="12.75" customHeight="1"/>
    <row r="2809" ht="12.75" customHeight="1"/>
    <row r="2810" ht="12.75" customHeight="1"/>
    <row r="2811" ht="12.75" customHeight="1"/>
    <row r="2812" ht="12.75" customHeight="1"/>
    <row r="2813" ht="12.75" customHeight="1"/>
    <row r="2814" ht="12.75" customHeight="1"/>
    <row r="2815" ht="12.75" customHeight="1"/>
    <row r="2816" ht="12.75" customHeight="1"/>
    <row r="2817" ht="12.75" customHeight="1"/>
    <row r="2818" ht="12.75" customHeight="1"/>
    <row r="2819" ht="12.75" customHeight="1"/>
    <row r="2820" ht="12.75" customHeight="1"/>
    <row r="2821" ht="12.75" customHeight="1"/>
    <row r="2822" ht="12.75" customHeight="1"/>
    <row r="2823" ht="12.75" customHeight="1"/>
    <row r="2824" ht="12.75" customHeight="1"/>
    <row r="2825" ht="12.75" customHeight="1"/>
    <row r="2826" ht="12.75" customHeight="1"/>
    <row r="2827" ht="12.75" customHeight="1"/>
    <row r="2828" ht="12.75" customHeight="1"/>
    <row r="2829" ht="12.75" customHeight="1"/>
    <row r="2830" ht="12.75" customHeight="1"/>
    <row r="2831" ht="12.75" customHeight="1"/>
    <row r="2832" ht="12.75" customHeight="1"/>
    <row r="2833" ht="12.75" customHeight="1"/>
    <row r="2834" ht="12.75" customHeight="1"/>
    <row r="2835" ht="12.75" customHeight="1"/>
    <row r="2836" ht="12.75" customHeight="1"/>
    <row r="2837" ht="12.75" customHeight="1"/>
    <row r="2838" ht="12.75" customHeight="1"/>
    <row r="2839" ht="12.75" customHeight="1"/>
    <row r="2840" ht="12.75" customHeight="1"/>
    <row r="2841" ht="12.75" customHeight="1"/>
    <row r="2842" ht="12.75" customHeight="1"/>
    <row r="2843" ht="12.75" customHeight="1"/>
    <row r="2844" ht="12.75" customHeight="1"/>
    <row r="2845" ht="12.75" customHeight="1"/>
    <row r="2846" ht="12.75" customHeight="1"/>
    <row r="2847" ht="12.75" customHeight="1"/>
    <row r="2848" ht="12.75" customHeight="1"/>
    <row r="2849" ht="12.75" customHeight="1"/>
    <row r="2850" ht="12.75" customHeight="1"/>
    <row r="2851" ht="12.75" customHeight="1"/>
    <row r="2852" ht="12.75" customHeight="1"/>
    <row r="2853" ht="12.75" customHeight="1"/>
    <row r="2854" ht="12.75" customHeight="1"/>
    <row r="2855" ht="12.75" customHeight="1"/>
    <row r="2856" ht="12.75" customHeight="1"/>
    <row r="2857" ht="12.75" customHeight="1"/>
    <row r="2858" ht="12.75" customHeight="1"/>
    <row r="2859" ht="12.75" customHeight="1"/>
    <row r="2860" ht="12.75" customHeight="1"/>
    <row r="2861" ht="12.75" customHeight="1"/>
    <row r="2862" ht="12.75" customHeight="1"/>
    <row r="2863" ht="12.75" customHeight="1"/>
    <row r="2864" ht="12.75" customHeight="1"/>
    <row r="2865" ht="12.75" customHeight="1"/>
    <row r="2866" ht="12.75" customHeight="1"/>
    <row r="2867" ht="12.75" customHeight="1"/>
    <row r="2868" ht="12.75" customHeight="1"/>
    <row r="2869" ht="12.75" customHeight="1"/>
    <row r="2870" ht="12.75" customHeight="1"/>
    <row r="2871" ht="12.75" customHeight="1"/>
    <row r="2872" ht="12.75" customHeight="1"/>
    <row r="2873" ht="12.75" customHeight="1"/>
    <row r="2874" ht="12.75" customHeight="1"/>
    <row r="2875" ht="12.75" customHeight="1"/>
    <row r="2876" ht="12.75" customHeight="1"/>
    <row r="2877" ht="12.75" customHeight="1"/>
    <row r="2878" ht="12.75" customHeight="1"/>
    <row r="2879" ht="12.75" customHeight="1"/>
    <row r="2880" ht="12.75" customHeight="1"/>
    <row r="2881" ht="12.75" customHeight="1"/>
    <row r="2882" ht="12.75" customHeight="1"/>
    <row r="2883" ht="12.75" customHeight="1"/>
    <row r="2884" ht="12.75" customHeight="1"/>
    <row r="2885" ht="12.75" customHeight="1"/>
    <row r="2886" ht="12.75" customHeight="1"/>
    <row r="2887" ht="12.75" customHeight="1"/>
    <row r="2888" ht="12.75" customHeight="1"/>
    <row r="2889" ht="12.75" customHeight="1"/>
    <row r="2890" ht="12.75" customHeight="1"/>
    <row r="2891" ht="12.75" customHeight="1"/>
    <row r="2892" ht="12.75" customHeight="1"/>
    <row r="2893" ht="12.75" customHeight="1"/>
    <row r="2894" ht="12.75" customHeight="1"/>
    <row r="2895" ht="12.75" customHeight="1"/>
    <row r="2896" ht="12.75" customHeight="1"/>
    <row r="2897" ht="12.75" customHeight="1"/>
    <row r="2898" ht="12.75" customHeight="1"/>
    <row r="2899" ht="12.75" customHeight="1"/>
    <row r="2900" ht="12.75" customHeight="1"/>
    <row r="2901" ht="12.75" customHeight="1"/>
    <row r="2902" ht="12.75" customHeight="1"/>
    <row r="2903" ht="12.75" customHeight="1"/>
    <row r="2904" ht="12.75" customHeight="1"/>
    <row r="2905" ht="12.75" customHeight="1"/>
    <row r="2906" ht="12.75" customHeight="1"/>
    <row r="2907" ht="12.75" customHeight="1"/>
    <row r="2908" ht="12.75" customHeight="1"/>
    <row r="2909" ht="12.75" customHeight="1"/>
    <row r="2910" ht="12.75" customHeight="1"/>
    <row r="2911" ht="12.75" customHeight="1"/>
    <row r="2912" ht="12.75" customHeight="1"/>
    <row r="2913" ht="12.75" customHeight="1"/>
    <row r="2914" ht="12.75" customHeight="1"/>
    <row r="2915" ht="12.75" customHeight="1"/>
    <row r="2916" ht="12.75" customHeight="1"/>
    <row r="2917" ht="12.75" customHeight="1"/>
    <row r="2918" ht="12.75" customHeight="1"/>
    <row r="2919" ht="12.75" customHeight="1"/>
    <row r="2920" ht="12.75" customHeight="1"/>
    <row r="2921" ht="12.75" customHeight="1"/>
    <row r="2922" ht="12.75" customHeight="1"/>
    <row r="2923" ht="12.75" customHeight="1"/>
    <row r="2924" ht="12.75" customHeight="1"/>
    <row r="2925" ht="12.75" customHeight="1"/>
    <row r="2926" ht="12.75" customHeight="1"/>
    <row r="2927" ht="12.75" customHeight="1"/>
    <row r="2928" ht="12.75" customHeight="1"/>
    <row r="2929" ht="12.75" customHeight="1"/>
    <row r="2930" ht="12.75" customHeight="1"/>
    <row r="2931" ht="12.75" customHeight="1"/>
    <row r="2932" ht="12.75" customHeight="1"/>
    <row r="2933" ht="12.75" customHeight="1"/>
    <row r="2934" ht="12.75" customHeight="1"/>
    <row r="2935" ht="12.75" customHeight="1"/>
    <row r="2936" ht="12.75" customHeight="1"/>
    <row r="2937" ht="12.75" customHeight="1"/>
    <row r="2938" ht="12.75" customHeight="1"/>
    <row r="2939" ht="12.75" customHeight="1"/>
    <row r="2940" ht="12.75" customHeight="1"/>
    <row r="2941" ht="12.75" customHeight="1"/>
    <row r="2942" ht="12.75" customHeight="1"/>
    <row r="2943" ht="12.75" customHeight="1"/>
    <row r="2944" ht="12.75" customHeight="1"/>
    <row r="2945" ht="12.75" customHeight="1"/>
    <row r="2946" ht="12.75" customHeight="1"/>
    <row r="2947" ht="12.75" customHeight="1"/>
    <row r="2948" ht="12.75" customHeight="1"/>
    <row r="2949" ht="12.75" customHeight="1"/>
    <row r="2950" ht="12.75" customHeight="1"/>
    <row r="2951" ht="12.75" customHeight="1"/>
    <row r="2952" ht="12.75" customHeight="1"/>
    <row r="2953" ht="12.75" customHeight="1"/>
    <row r="2954" ht="12.75" customHeight="1"/>
    <row r="2955" ht="12.75" customHeight="1"/>
    <row r="2956" ht="12.75" customHeight="1"/>
    <row r="2957" ht="12.75" customHeight="1"/>
    <row r="2958" ht="12.75" customHeight="1"/>
    <row r="2959" ht="12.75" customHeight="1"/>
    <row r="2960" ht="12.75" customHeight="1"/>
    <row r="2961" ht="12.75" customHeight="1"/>
    <row r="2962" ht="12.75" customHeight="1"/>
    <row r="2963" ht="12.75" customHeight="1"/>
    <row r="2964" ht="12.75" customHeight="1"/>
    <row r="2965" ht="12.75" customHeight="1"/>
    <row r="2966" ht="12.75" customHeight="1"/>
    <row r="2967" ht="12.75" customHeight="1"/>
    <row r="2968" ht="12.75" customHeight="1"/>
    <row r="2969" ht="12.75" customHeight="1"/>
    <row r="2970" ht="12.75" customHeight="1"/>
    <row r="2971" ht="12.75" customHeight="1"/>
    <row r="2972" ht="12.75" customHeight="1"/>
    <row r="2973" ht="12.75" customHeight="1"/>
    <row r="2974" ht="12.75" customHeight="1"/>
    <row r="2975" ht="12.75" customHeight="1"/>
    <row r="2976" ht="12.75" customHeight="1"/>
    <row r="2977" ht="12.75" customHeight="1"/>
    <row r="2978" ht="12.75" customHeight="1"/>
    <row r="2979" ht="12.75" customHeight="1"/>
    <row r="2980" ht="12.75" customHeight="1"/>
    <row r="2981" ht="12.75" customHeight="1"/>
    <row r="2982" ht="12.75" customHeight="1"/>
    <row r="2983" ht="12.75" customHeight="1"/>
    <row r="2984" ht="12.75" customHeight="1"/>
    <row r="2985" ht="12.75" customHeight="1"/>
    <row r="2986" ht="12.75" customHeight="1"/>
    <row r="2987" ht="12.75" customHeight="1"/>
    <row r="2988" ht="12.75" customHeight="1"/>
    <row r="2989" ht="12.75" customHeight="1"/>
    <row r="2990" ht="12.75" customHeight="1"/>
    <row r="2991" ht="12.75" customHeight="1"/>
    <row r="2992" ht="12.75" customHeight="1"/>
    <row r="2993" ht="12.75" customHeight="1"/>
    <row r="2994" ht="12.75" customHeight="1"/>
    <row r="2995" ht="12.75" customHeight="1"/>
    <row r="2996" ht="12.75" customHeight="1"/>
    <row r="2997" ht="12.75" customHeight="1"/>
    <row r="2998" ht="12.75" customHeight="1"/>
    <row r="2999" ht="12.75" customHeight="1"/>
    <row r="3000" ht="12.75" customHeight="1"/>
    <row r="3001" ht="12.75" customHeight="1"/>
    <row r="3002" ht="12.75" customHeight="1"/>
    <row r="3003" ht="12.75" customHeight="1"/>
    <row r="3004" ht="12.75" customHeight="1"/>
    <row r="3005" ht="12.75" customHeight="1"/>
    <row r="3006" ht="12.75" customHeight="1"/>
    <row r="3007" ht="12.75" customHeight="1"/>
    <row r="3008" ht="12.75" customHeight="1"/>
    <row r="3009" ht="12.75" customHeight="1"/>
    <row r="3010" ht="12.75" customHeight="1"/>
    <row r="3011" ht="12.75" customHeight="1"/>
    <row r="3012" ht="12.75" customHeight="1"/>
    <row r="3013" ht="12.75" customHeight="1"/>
    <row r="3014" ht="12.75" customHeight="1"/>
    <row r="3015" ht="12.75" customHeight="1"/>
    <row r="3016" ht="12.75" customHeight="1"/>
    <row r="3017" ht="12.75" customHeight="1"/>
    <row r="3018" ht="12.75" customHeight="1"/>
    <row r="3019" ht="12.75" customHeight="1"/>
    <row r="3020" ht="12.75" customHeight="1"/>
    <row r="3021" ht="12.75" customHeight="1"/>
    <row r="3022" ht="12.75" customHeight="1"/>
    <row r="3023" ht="12.75" customHeight="1"/>
    <row r="3024" ht="12.75" customHeight="1"/>
    <row r="3025" ht="12.75" customHeight="1"/>
    <row r="3026" ht="12.75" customHeight="1"/>
    <row r="3027" ht="12.75" customHeight="1"/>
    <row r="3028" ht="12.75" customHeight="1"/>
    <row r="3029" ht="12.75" customHeight="1"/>
    <row r="3030" ht="12.75" customHeight="1"/>
    <row r="3031" ht="12.75" customHeight="1"/>
    <row r="3032" ht="12.75" customHeight="1"/>
    <row r="3033" ht="12.75" customHeight="1"/>
    <row r="3034" ht="12.75" customHeight="1"/>
    <row r="3035" ht="12.75" customHeight="1"/>
    <row r="3036" ht="12.75" customHeight="1"/>
    <row r="3037" ht="12.75" customHeight="1"/>
    <row r="3038" ht="12.75" customHeight="1"/>
    <row r="3039" ht="12.75" customHeight="1"/>
    <row r="3040" ht="12.75" customHeight="1"/>
    <row r="3041" ht="12.75" customHeight="1"/>
    <row r="3042" ht="12.75" customHeight="1"/>
    <row r="3043" ht="12.75" customHeight="1"/>
    <row r="3044" ht="12.75" customHeight="1"/>
    <row r="3045" ht="12.75" customHeight="1"/>
    <row r="3046" ht="12.75" customHeight="1"/>
    <row r="3047" ht="12.75" customHeight="1"/>
    <row r="3048" ht="12.75" customHeight="1"/>
    <row r="3049" ht="12.75" customHeight="1"/>
    <row r="3050" ht="12.75" customHeight="1"/>
    <row r="3051" ht="12.75" customHeight="1"/>
    <row r="3052" ht="12.75" customHeight="1"/>
    <row r="3053" ht="12.75" customHeight="1"/>
    <row r="3054" ht="12.75" customHeight="1"/>
    <row r="3055" ht="12.75" customHeight="1"/>
    <row r="3056" ht="12.75" customHeight="1"/>
    <row r="3057" ht="12.75" customHeight="1"/>
    <row r="3058" ht="12.75" customHeight="1"/>
    <row r="3059" ht="12.75" customHeight="1"/>
    <row r="3060" ht="12.75" customHeight="1"/>
    <row r="3061" ht="12.75" customHeight="1"/>
    <row r="3062" ht="12.75" customHeight="1"/>
    <row r="3063" ht="12.75" customHeight="1"/>
    <row r="3064" ht="12.75" customHeight="1"/>
    <row r="3065" ht="12.75" customHeight="1"/>
    <row r="3066" ht="12.75" customHeight="1"/>
    <row r="3067" ht="12.75" customHeight="1"/>
    <row r="3068" ht="12.75" customHeight="1"/>
    <row r="3069" ht="12.75" customHeight="1"/>
    <row r="3070" ht="12.75" customHeight="1"/>
    <row r="3071" ht="12.75" customHeight="1"/>
    <row r="3072" ht="12.75" customHeight="1"/>
    <row r="3073" ht="12.75" customHeight="1"/>
    <row r="3074" ht="12.75" customHeight="1"/>
    <row r="3075" ht="12.75" customHeight="1"/>
    <row r="3076" ht="12.75" customHeight="1"/>
    <row r="3077" ht="12.75" customHeight="1"/>
    <row r="3078" ht="12.75" customHeight="1"/>
    <row r="3079" ht="12.75" customHeight="1"/>
    <row r="3080" ht="12.75" customHeight="1"/>
    <row r="3081" ht="12.75" customHeight="1"/>
    <row r="3082" ht="12.75" customHeight="1"/>
    <row r="3083" ht="12.75" customHeight="1"/>
    <row r="3084" ht="12.75" customHeight="1"/>
    <row r="3085" ht="12.75" customHeight="1"/>
    <row r="3086" ht="12.75" customHeight="1"/>
    <row r="3087" ht="12.75" customHeight="1"/>
    <row r="3088" ht="12.75" customHeight="1"/>
    <row r="3089" ht="12.75" customHeight="1"/>
    <row r="3090" ht="12.75" customHeight="1"/>
    <row r="3091" ht="12.75" customHeight="1"/>
    <row r="3092" ht="12.75" customHeight="1"/>
    <row r="3093" ht="12.75" customHeight="1"/>
    <row r="3094" ht="12.75" customHeight="1"/>
    <row r="3095" ht="12.75" customHeight="1"/>
    <row r="3096" ht="12.75" customHeight="1"/>
    <row r="3097" ht="12.75" customHeight="1"/>
    <row r="3098" ht="12.75" customHeight="1"/>
    <row r="3099" ht="12.75" customHeight="1"/>
    <row r="3100" ht="12.75" customHeight="1"/>
    <row r="3101" ht="12.75" customHeight="1"/>
    <row r="3102" ht="12.75" customHeight="1"/>
    <row r="3103" ht="12.75" customHeight="1"/>
    <row r="3104" ht="12.75" customHeight="1"/>
    <row r="3105" ht="12.75" customHeight="1"/>
    <row r="3106" ht="12.75" customHeight="1"/>
    <row r="3107" ht="12.75" customHeight="1"/>
    <row r="3108" ht="12.75" customHeight="1"/>
    <row r="3109" ht="12.75" customHeight="1"/>
    <row r="3110" ht="12.75" customHeight="1"/>
    <row r="3111" ht="12.75" customHeight="1"/>
    <row r="3112" ht="12.75" customHeight="1"/>
    <row r="3113" ht="12.75" customHeight="1"/>
    <row r="3114" ht="12.75" customHeight="1"/>
    <row r="3115" ht="12.75" customHeight="1"/>
    <row r="3116" ht="12.75" customHeight="1"/>
    <row r="3117" ht="12.75" customHeight="1"/>
    <row r="3118" ht="12.75" customHeight="1"/>
    <row r="3119" ht="12.75" customHeight="1"/>
    <row r="3120" ht="12.75" customHeight="1"/>
    <row r="3121" ht="12.75" customHeight="1"/>
    <row r="3122" ht="12.75" customHeight="1"/>
    <row r="3123" ht="12.75" customHeight="1"/>
    <row r="3124" ht="12.75" customHeight="1"/>
    <row r="3125" ht="12.75" customHeight="1"/>
    <row r="3126" ht="12.75" customHeight="1"/>
    <row r="3127" ht="12.75" customHeight="1"/>
    <row r="3128" ht="12.75" customHeight="1"/>
    <row r="3129" ht="12.75" customHeight="1"/>
    <row r="3130" ht="12.75" customHeight="1"/>
    <row r="3131" ht="12.75" customHeight="1"/>
    <row r="3132" ht="12.75" customHeight="1"/>
    <row r="3133" ht="12.75" customHeight="1"/>
    <row r="3134" ht="12.75" customHeight="1"/>
    <row r="3135" ht="12.75" customHeight="1"/>
    <row r="3136" ht="12.75" customHeight="1"/>
    <row r="3137" ht="12.75" customHeight="1"/>
    <row r="3138" ht="12.75" customHeight="1"/>
    <row r="3139" ht="12.75" customHeight="1"/>
    <row r="3140" ht="12.75" customHeight="1"/>
    <row r="3141" ht="12.75" customHeight="1"/>
    <row r="3142" ht="12.75" customHeight="1"/>
    <row r="3143" ht="12.75" customHeight="1"/>
    <row r="3144" ht="12.75" customHeight="1"/>
    <row r="3145" ht="12.75" customHeight="1"/>
    <row r="3146" ht="12.75" customHeight="1"/>
    <row r="3147" ht="12.75" customHeight="1"/>
    <row r="3148" ht="12.75" customHeight="1"/>
    <row r="3149" ht="12.75" customHeight="1"/>
    <row r="3150" ht="12.75" customHeight="1"/>
    <row r="3151" ht="12.75" customHeight="1"/>
    <row r="3152" ht="12.75" customHeight="1"/>
    <row r="3153" ht="12.75" customHeight="1"/>
    <row r="3154" ht="12.75" customHeight="1"/>
    <row r="3155" ht="12.75" customHeight="1"/>
    <row r="3156" ht="12.75" customHeight="1"/>
    <row r="3157" ht="12.75" customHeight="1"/>
    <row r="3158" ht="12.75" customHeight="1"/>
    <row r="3159" ht="12.75" customHeight="1"/>
    <row r="3160" ht="12.75" customHeight="1"/>
    <row r="3161" ht="12.75" customHeight="1"/>
    <row r="3162" ht="12.75" customHeight="1"/>
    <row r="3163" ht="12.75" customHeight="1"/>
    <row r="3164" ht="12.75" customHeight="1"/>
    <row r="3165" ht="12.75" customHeight="1"/>
    <row r="3166" ht="12.75" customHeight="1"/>
    <row r="3167" ht="12.75" customHeight="1"/>
    <row r="3168" ht="12.75" customHeight="1"/>
    <row r="3169" ht="12.75" customHeight="1"/>
    <row r="3170" ht="12.75" customHeight="1"/>
    <row r="3171" ht="12.75" customHeight="1"/>
    <row r="3172" ht="12.75" customHeight="1"/>
    <row r="3173" ht="12.75" customHeight="1"/>
    <row r="3174" ht="12.75" customHeight="1"/>
    <row r="3175" ht="12.75" customHeight="1"/>
    <row r="3176" ht="12.75" customHeight="1"/>
    <row r="3177" ht="12.75" customHeight="1"/>
    <row r="3178" ht="12.75" customHeight="1"/>
    <row r="3179" ht="12.75" customHeight="1"/>
    <row r="3180" ht="12.75" customHeight="1"/>
    <row r="3181" ht="12.75" customHeight="1"/>
    <row r="3182" ht="12.75" customHeight="1"/>
    <row r="3183" ht="12.75" customHeight="1"/>
    <row r="3184" ht="12.75" customHeight="1"/>
    <row r="3185" ht="12.75" customHeight="1"/>
    <row r="3186" ht="12.75" customHeight="1"/>
    <row r="3187" ht="12.75" customHeight="1"/>
    <row r="3188" ht="12.75" customHeight="1"/>
    <row r="3189" ht="12.75" customHeight="1"/>
    <row r="3190" ht="12.75" customHeight="1"/>
    <row r="3191" ht="12.75" customHeight="1"/>
    <row r="3192" ht="12.75" customHeight="1"/>
    <row r="3193" ht="12.75" customHeight="1"/>
    <row r="3194" ht="12.75" customHeight="1"/>
    <row r="3195" ht="12.75" customHeight="1"/>
    <row r="3196" ht="12.75" customHeight="1"/>
    <row r="3197" ht="12.75" customHeight="1"/>
    <row r="3198" ht="12.75" customHeight="1"/>
    <row r="3199" ht="12.75" customHeight="1"/>
    <row r="3200" ht="12.75" customHeight="1"/>
    <row r="3201" ht="12.75" customHeight="1"/>
    <row r="3202" ht="12.75" customHeight="1"/>
    <row r="3203" ht="12.75" customHeight="1"/>
    <row r="3204" ht="12.75" customHeight="1"/>
    <row r="3205" ht="12.75" customHeight="1"/>
    <row r="3206" ht="12.75" customHeight="1"/>
    <row r="3207" ht="12.75" customHeight="1"/>
    <row r="3208" ht="12.75" customHeight="1"/>
    <row r="3209" ht="12.75" customHeight="1"/>
    <row r="3210" ht="12.75" customHeight="1"/>
    <row r="3211" ht="12.75" customHeight="1"/>
    <row r="3212" ht="12.75" customHeight="1"/>
    <row r="3213" ht="12.75" customHeight="1"/>
    <row r="3214" ht="12.75" customHeight="1"/>
    <row r="3215" ht="12.75" customHeight="1"/>
    <row r="3216" ht="12.75" customHeight="1"/>
    <row r="3217" ht="12.75" customHeight="1"/>
    <row r="3218" ht="12.75" customHeight="1"/>
    <row r="3219" ht="12.75" customHeight="1"/>
    <row r="3220" ht="12.75" customHeight="1"/>
    <row r="3221" ht="12.75" customHeight="1"/>
    <row r="3222" ht="12.75" customHeight="1"/>
    <row r="3223" ht="12.75" customHeight="1"/>
    <row r="3224" ht="12.75" customHeight="1"/>
    <row r="3225" ht="12.75" customHeight="1"/>
    <row r="3226" ht="12.75" customHeight="1"/>
    <row r="3227" ht="12.75" customHeight="1"/>
    <row r="3228" ht="12.75" customHeight="1"/>
    <row r="3229" ht="12.75" customHeight="1"/>
    <row r="3230" ht="12.75" customHeight="1"/>
    <row r="3231" ht="12.75" customHeight="1"/>
    <row r="3232" ht="12.75" customHeight="1"/>
    <row r="3233" ht="12.75" customHeight="1"/>
    <row r="3234" ht="12.75" customHeight="1"/>
    <row r="3235" ht="12.75" customHeight="1"/>
    <row r="3236" ht="12.75" customHeight="1"/>
    <row r="3237" ht="12.75" customHeight="1"/>
    <row r="3238" ht="12.75" customHeight="1"/>
    <row r="3239" ht="12.75" customHeight="1"/>
    <row r="3240" ht="12.75" customHeight="1"/>
    <row r="3241" ht="12.75" customHeight="1"/>
    <row r="3242" ht="12.75" customHeight="1"/>
    <row r="3243" ht="12.75" customHeight="1"/>
    <row r="3244" ht="12.75" customHeight="1"/>
    <row r="3245" ht="12.75" customHeight="1"/>
    <row r="3246" ht="12.75" customHeight="1"/>
    <row r="3247" ht="12.75" customHeight="1"/>
    <row r="3248" ht="12.75" customHeight="1"/>
    <row r="3249" ht="12.75" customHeight="1"/>
    <row r="3250" ht="12.75" customHeight="1"/>
    <row r="3251" ht="12.75" customHeight="1"/>
    <row r="3252" ht="12.75" customHeight="1"/>
    <row r="3253" ht="12.75" customHeight="1"/>
    <row r="3254" ht="12.75" customHeight="1"/>
    <row r="3255" ht="12.75" customHeight="1"/>
    <row r="3256" ht="12.75" customHeight="1"/>
    <row r="3257" ht="12.75" customHeight="1"/>
    <row r="3258" ht="12.75" customHeight="1"/>
    <row r="3259" ht="12.75" customHeight="1"/>
    <row r="3260" ht="12.75" customHeight="1"/>
    <row r="3261" ht="12.75" customHeight="1"/>
    <row r="3262" ht="12.75" customHeight="1"/>
    <row r="3263" ht="12.75" customHeight="1"/>
    <row r="3264" ht="12.75" customHeight="1"/>
    <row r="3265" ht="12.75" customHeight="1"/>
    <row r="3266" ht="12.75" customHeight="1"/>
    <row r="3267" ht="12.75" customHeight="1"/>
    <row r="3268" ht="12.75" customHeight="1"/>
    <row r="3269" ht="12.75" customHeight="1"/>
    <row r="3270" ht="12.75" customHeight="1"/>
    <row r="3271" ht="12.75" customHeight="1"/>
    <row r="3272" ht="12.75" customHeight="1"/>
    <row r="3273" ht="12.75" customHeight="1"/>
    <row r="3274" ht="12.75" customHeight="1"/>
    <row r="3275" ht="12.75" customHeight="1"/>
    <row r="3276" ht="12.75" customHeight="1"/>
    <row r="3277" ht="12.75" customHeight="1"/>
    <row r="3278" ht="12.75" customHeight="1"/>
    <row r="3279" ht="12.75" customHeight="1"/>
    <row r="3280" ht="12.75" customHeight="1"/>
    <row r="3281" ht="12.75" customHeight="1"/>
    <row r="3282" ht="12.75" customHeight="1"/>
    <row r="3283" ht="12.75" customHeight="1"/>
    <row r="3284" ht="12.75" customHeight="1"/>
    <row r="3285" ht="12.75" customHeight="1"/>
    <row r="3286" ht="12.75" customHeight="1"/>
    <row r="3287" ht="12.75" customHeight="1"/>
    <row r="3288" ht="12.75" customHeight="1"/>
    <row r="3289" ht="12.75" customHeight="1"/>
    <row r="3290" ht="12.75" customHeight="1"/>
    <row r="3291" ht="12.75" customHeight="1"/>
    <row r="3292" ht="12.75" customHeight="1"/>
    <row r="3293" ht="12.75" customHeight="1"/>
    <row r="3294" ht="12.75" customHeight="1"/>
    <row r="3295" ht="12.75" customHeight="1"/>
    <row r="3296" ht="12.75" customHeight="1"/>
    <row r="3297" ht="12.75" customHeight="1"/>
    <row r="3298" ht="12.75" customHeight="1"/>
    <row r="3299" ht="12.75" customHeight="1"/>
    <row r="3300" ht="12.75" customHeight="1"/>
    <row r="3301" ht="12.75" customHeight="1"/>
    <row r="3302" ht="12.75" customHeight="1"/>
    <row r="3303" ht="12.75" customHeight="1"/>
    <row r="3304" ht="12.75" customHeight="1"/>
    <row r="3305" ht="12.75" customHeight="1"/>
    <row r="3306" ht="12.75" customHeight="1"/>
    <row r="3307" ht="12.75" customHeight="1"/>
    <row r="3308" ht="12.75" customHeight="1"/>
    <row r="3309" ht="12.75" customHeight="1"/>
    <row r="3310" ht="12.75" customHeight="1"/>
    <row r="3311" ht="12.75" customHeight="1"/>
    <row r="3312" ht="12.75" customHeight="1"/>
    <row r="3313" ht="12.75" customHeight="1"/>
    <row r="3314" ht="12.75" customHeight="1"/>
    <row r="3315" ht="12.75" customHeight="1"/>
    <row r="3316" ht="12.75" customHeight="1"/>
    <row r="3317" ht="12.75" customHeight="1"/>
    <row r="3318" ht="12.75" customHeight="1"/>
    <row r="3319" ht="12.75" customHeight="1"/>
    <row r="3320" ht="12.75" customHeight="1"/>
    <row r="3321" ht="12.75" customHeight="1"/>
    <row r="3322" ht="12.75" customHeight="1"/>
    <row r="3323" ht="12.75" customHeight="1"/>
    <row r="3324" ht="12.75" customHeight="1"/>
    <row r="3325" ht="12.75" customHeight="1"/>
    <row r="3326" ht="12.75" customHeight="1"/>
    <row r="3327" ht="12.75" customHeight="1"/>
    <row r="3328" ht="12.75" customHeight="1"/>
    <row r="3329" ht="12.75" customHeight="1"/>
    <row r="3330" ht="12.75" customHeight="1"/>
    <row r="3331" ht="12.75" customHeight="1"/>
    <row r="3332" ht="12.75" customHeight="1"/>
    <row r="3333" ht="12.75" customHeight="1"/>
    <row r="3334" ht="12.75" customHeight="1"/>
    <row r="3335" ht="12.75" customHeight="1"/>
    <row r="3336" ht="12.75" customHeight="1"/>
    <row r="3337" ht="12.75" customHeight="1"/>
    <row r="3338" ht="12.75" customHeight="1"/>
    <row r="3339" ht="12.75" customHeight="1"/>
    <row r="3340" ht="12.75" customHeight="1"/>
    <row r="3341" ht="12.75" customHeight="1"/>
    <row r="3342" ht="12.75" customHeight="1"/>
    <row r="3343" ht="12.75" customHeight="1"/>
    <row r="3344" ht="12.75" customHeight="1"/>
    <row r="3345" ht="12.75" customHeight="1"/>
    <row r="3346" ht="12.75" customHeight="1"/>
    <row r="3347" ht="12.75" customHeight="1"/>
    <row r="3348" ht="12.75" customHeight="1"/>
    <row r="3349" ht="12.75" customHeight="1"/>
    <row r="3350" ht="12.75" customHeight="1"/>
    <row r="3351" ht="12.75" customHeight="1"/>
    <row r="3352" ht="12.75" customHeight="1"/>
    <row r="3353" ht="12.75" customHeight="1"/>
    <row r="3354" ht="12.75" customHeight="1"/>
    <row r="3355" ht="12.75" customHeight="1"/>
    <row r="3356" ht="12.75" customHeight="1"/>
    <row r="3357" ht="12.75" customHeight="1"/>
    <row r="3358" ht="12.75" customHeight="1"/>
    <row r="3359" ht="12.75" customHeight="1"/>
    <row r="3360" ht="12.75" customHeight="1"/>
    <row r="3361" ht="12.75" customHeight="1"/>
    <row r="3362" ht="12.75" customHeight="1"/>
    <row r="3363" ht="12.75" customHeight="1"/>
    <row r="3364" ht="12.75" customHeight="1"/>
    <row r="3365" ht="12.75" customHeight="1"/>
    <row r="3366" ht="12.75" customHeight="1"/>
    <row r="3367" ht="12.75" customHeight="1"/>
    <row r="3368" ht="12.75" customHeight="1"/>
    <row r="3369" ht="12.75" customHeight="1"/>
    <row r="3370" ht="12.75" customHeight="1"/>
    <row r="3371" ht="12.75" customHeight="1"/>
    <row r="3372" ht="12.75" customHeight="1"/>
    <row r="3373" ht="12.75" customHeight="1"/>
    <row r="3374" ht="12.75" customHeight="1"/>
    <row r="3375" ht="12.75" customHeight="1"/>
    <row r="3376" ht="12.75" customHeight="1"/>
    <row r="3377" ht="12.75" customHeight="1"/>
    <row r="3378" ht="12.75" customHeight="1"/>
    <row r="3379" ht="12.75" customHeight="1"/>
    <row r="3380" ht="12.75" customHeight="1"/>
    <row r="3381" ht="12.75" customHeight="1"/>
    <row r="3382" ht="12.75" customHeight="1"/>
    <row r="3383" ht="12.75" customHeight="1"/>
    <row r="3384" ht="12.75" customHeight="1"/>
    <row r="3385" ht="12.75" customHeight="1"/>
    <row r="3386" ht="12.75" customHeight="1"/>
    <row r="3387" ht="12.75" customHeight="1"/>
    <row r="3388" ht="12.75" customHeight="1"/>
    <row r="3389" ht="12.75" customHeight="1"/>
    <row r="3390" ht="12.75" customHeight="1"/>
    <row r="3391" ht="12.75" customHeight="1"/>
    <row r="3392" ht="12.75" customHeight="1"/>
    <row r="3393" ht="12.75" customHeight="1"/>
    <row r="3394" ht="12.75" customHeight="1"/>
    <row r="3395" ht="12.75" customHeight="1"/>
    <row r="3396" ht="12.75" customHeight="1"/>
    <row r="3397" ht="12.75" customHeight="1"/>
    <row r="3398" ht="12.75" customHeight="1"/>
    <row r="3399" ht="12.75" customHeight="1"/>
    <row r="3400" ht="12.75" customHeight="1"/>
    <row r="3401" ht="12.75" customHeight="1"/>
    <row r="3402" ht="12.75" customHeight="1"/>
    <row r="3403" ht="12.75" customHeight="1"/>
    <row r="3404" ht="12.75" customHeight="1"/>
    <row r="3405" ht="12.75" customHeight="1"/>
    <row r="3406" ht="12.75" customHeight="1"/>
    <row r="3407" ht="12.75" customHeight="1"/>
    <row r="3408" ht="12.75" customHeight="1"/>
    <row r="3409" ht="12.75" customHeight="1"/>
    <row r="3410" ht="12.75" customHeight="1"/>
    <row r="3411" ht="12.75" customHeight="1"/>
    <row r="3412" ht="12.75" customHeight="1"/>
    <row r="3413" ht="12.75" customHeight="1"/>
    <row r="3414" ht="12.75" customHeight="1"/>
    <row r="3415" ht="12.75" customHeight="1"/>
    <row r="3416" ht="12.75" customHeight="1"/>
    <row r="3417" ht="12.75" customHeight="1"/>
    <row r="3418" ht="12.75" customHeight="1"/>
    <row r="3419" ht="12.75" customHeight="1"/>
    <row r="3420" ht="12.75" customHeight="1"/>
    <row r="3421" ht="12.75" customHeight="1"/>
    <row r="3422" ht="12.75" customHeight="1"/>
    <row r="3423" ht="12.75" customHeight="1"/>
    <row r="3424" ht="12.75" customHeight="1"/>
    <row r="3425" ht="12.75" customHeight="1"/>
    <row r="3426" ht="12.75" customHeight="1"/>
    <row r="3427" ht="12.75" customHeight="1"/>
    <row r="3428" ht="12.75" customHeight="1"/>
    <row r="3429" ht="12.75" customHeight="1"/>
    <row r="3430" ht="12.75" customHeight="1"/>
    <row r="3431" ht="12.75" customHeight="1"/>
    <row r="3432" ht="12.75" customHeight="1"/>
    <row r="3433" ht="12.75" customHeight="1"/>
    <row r="3434" ht="12.75" customHeight="1"/>
    <row r="3435" ht="12.75" customHeight="1"/>
    <row r="3436" ht="12.75" customHeight="1"/>
    <row r="3437" ht="12.75" customHeight="1"/>
    <row r="3438" ht="12.75" customHeight="1"/>
    <row r="3439" ht="12.75" customHeight="1"/>
    <row r="3440" ht="12.75" customHeight="1"/>
    <row r="3441" ht="12.75" customHeight="1"/>
    <row r="3442" ht="12.75" customHeight="1"/>
    <row r="3443" ht="12.75" customHeight="1"/>
    <row r="3444" ht="12.75" customHeight="1"/>
    <row r="3445" ht="12.75" customHeight="1"/>
    <row r="3446" ht="12.75" customHeight="1"/>
    <row r="3447" ht="12.75" customHeight="1"/>
    <row r="3448" ht="12.75" customHeight="1"/>
    <row r="3449" ht="12.75" customHeight="1"/>
    <row r="3450" ht="12.75" customHeight="1"/>
    <row r="3451" ht="12.75" customHeight="1"/>
    <row r="3452" ht="12.75" customHeight="1"/>
    <row r="3453" ht="12.75" customHeight="1"/>
    <row r="3454" ht="12.75" customHeight="1"/>
    <row r="3455" ht="12.75" customHeight="1"/>
    <row r="3456" ht="12.75" customHeight="1"/>
    <row r="3457" ht="12.75" customHeight="1"/>
    <row r="3458" ht="12.75" customHeight="1"/>
    <row r="3459" ht="12.75" customHeight="1"/>
    <row r="3460" ht="12.75" customHeight="1"/>
    <row r="3461" ht="12.75" customHeight="1"/>
    <row r="3462" ht="12.75" customHeight="1"/>
    <row r="3463" ht="12.75" customHeight="1"/>
    <row r="3464" ht="12.75" customHeight="1"/>
    <row r="3465" ht="12.75" customHeight="1"/>
    <row r="3466" ht="12.75" customHeight="1"/>
    <row r="3467" ht="12.75" customHeight="1"/>
    <row r="3468" ht="12.75" customHeight="1"/>
    <row r="3469" ht="12.75" customHeight="1"/>
    <row r="3470" ht="12.75" customHeight="1"/>
    <row r="3471" ht="12.75" customHeight="1"/>
    <row r="3472" ht="12.75" customHeight="1"/>
    <row r="3473" ht="12.75" customHeight="1"/>
    <row r="3474" ht="12.75" customHeight="1"/>
    <row r="3475" ht="12.75" customHeight="1"/>
    <row r="3476" ht="12.75" customHeight="1"/>
    <row r="3477" ht="12.75" customHeight="1"/>
    <row r="3478" ht="12.75" customHeight="1"/>
    <row r="3479" ht="12.75" customHeight="1"/>
    <row r="3480" ht="12.75" customHeight="1"/>
    <row r="3481" ht="12.75" customHeight="1"/>
    <row r="3482" ht="12.75" customHeight="1"/>
    <row r="3483" ht="12.75" customHeight="1"/>
    <row r="3484" ht="12.75" customHeight="1"/>
    <row r="3485" ht="12.75" customHeight="1"/>
    <row r="3486" ht="12.75" customHeight="1"/>
    <row r="3487" ht="12.75" customHeight="1"/>
    <row r="3488" ht="12.75" customHeight="1"/>
    <row r="3489" ht="12.75" customHeight="1"/>
    <row r="3490" ht="12.75" customHeight="1"/>
    <row r="3491" ht="12.75" customHeight="1"/>
    <row r="3492" ht="12.75" customHeight="1"/>
    <row r="3493" ht="12.75" customHeight="1"/>
    <row r="3494" ht="12.75" customHeight="1"/>
    <row r="3495" ht="12.75" customHeight="1"/>
    <row r="3496" ht="12.75" customHeight="1"/>
    <row r="3497" ht="12.75" customHeight="1"/>
    <row r="3498" ht="12.75" customHeight="1"/>
    <row r="3499" ht="12.75" customHeight="1"/>
    <row r="3500" ht="12.75" customHeight="1"/>
    <row r="3501" ht="12.75" customHeight="1"/>
    <row r="3502" ht="12.75" customHeight="1"/>
    <row r="3503" ht="12.75" customHeight="1"/>
    <row r="3504" ht="12.75" customHeight="1"/>
    <row r="3505" ht="12.75" customHeight="1"/>
    <row r="3506" ht="12.75" customHeight="1"/>
    <row r="3507" ht="12.75" customHeight="1"/>
    <row r="3508" ht="12.75" customHeight="1"/>
    <row r="3509" ht="12.75" customHeight="1"/>
    <row r="3510" ht="12.75" customHeight="1"/>
    <row r="3511" ht="12.75" customHeight="1"/>
    <row r="3512" ht="12.75" customHeight="1"/>
    <row r="3513" ht="12.75" customHeight="1"/>
    <row r="3514" ht="12.75" customHeight="1"/>
    <row r="3515" ht="12.75" customHeight="1"/>
    <row r="3516" ht="12.75" customHeight="1"/>
    <row r="3517" ht="12.75" customHeight="1"/>
    <row r="3518" ht="12.75" customHeight="1"/>
    <row r="3519" ht="12.75" customHeight="1"/>
    <row r="3520" ht="12.75" customHeight="1"/>
    <row r="3521" ht="12.75" customHeight="1"/>
    <row r="3522" ht="12.75" customHeight="1"/>
    <row r="3523" ht="12.75" customHeight="1"/>
    <row r="3524" ht="12.75" customHeight="1"/>
    <row r="3525" ht="12.75" customHeight="1"/>
    <row r="3526" ht="12.75" customHeight="1"/>
    <row r="3527" ht="12.75" customHeight="1"/>
    <row r="3528" ht="12.75" customHeight="1"/>
    <row r="3529" ht="12.75" customHeight="1"/>
    <row r="3530" ht="12.75" customHeight="1"/>
    <row r="3531" ht="12.75" customHeight="1"/>
    <row r="3532" ht="12.75" customHeight="1"/>
    <row r="3533" ht="12.75" customHeight="1"/>
    <row r="3534" ht="12.75" customHeight="1"/>
    <row r="3535" ht="12.75" customHeight="1"/>
    <row r="3536" ht="12.75" customHeight="1"/>
    <row r="3537" ht="12.75" customHeight="1"/>
    <row r="3538" ht="12.75" customHeight="1"/>
    <row r="3539" ht="12.75" customHeight="1"/>
    <row r="3540" ht="12.75" customHeight="1"/>
    <row r="3541" ht="12.75" customHeight="1"/>
    <row r="3542" ht="12.75" customHeight="1"/>
    <row r="3543" ht="12.75" customHeight="1"/>
    <row r="3544" ht="12.75" customHeight="1"/>
    <row r="3545" ht="12.75" customHeight="1"/>
    <row r="3546" ht="12.75" customHeight="1"/>
    <row r="3547" ht="12.75" customHeight="1"/>
    <row r="3548" ht="12.75" customHeight="1"/>
    <row r="3549" ht="12.75" customHeight="1"/>
    <row r="3550" ht="12.75" customHeight="1"/>
    <row r="3551" ht="12.75" customHeight="1"/>
    <row r="3552" ht="12.75" customHeight="1"/>
    <row r="3553" ht="12.75" customHeight="1"/>
    <row r="3554" ht="12.75" customHeight="1"/>
    <row r="3555" ht="12.75" customHeight="1"/>
    <row r="3556" ht="12.75" customHeight="1"/>
    <row r="3557" ht="12.75" customHeight="1"/>
    <row r="3558" ht="12.75" customHeight="1"/>
    <row r="3559" ht="12.75" customHeight="1"/>
    <row r="3560" ht="12.75" customHeight="1"/>
    <row r="3561" ht="12.75" customHeight="1"/>
    <row r="3562" ht="12.75" customHeight="1"/>
    <row r="3563" ht="12.75" customHeight="1"/>
    <row r="3564" ht="12.75" customHeight="1"/>
    <row r="3565" ht="12.75" customHeight="1"/>
    <row r="3566" ht="12.75" customHeight="1"/>
    <row r="3567" ht="12.75" customHeight="1"/>
    <row r="3568" ht="12.75" customHeight="1"/>
    <row r="3569" ht="12.75" customHeight="1"/>
    <row r="3570" ht="12.75" customHeight="1"/>
    <row r="3571" ht="12.75" customHeight="1"/>
    <row r="3572" ht="12.75" customHeight="1"/>
    <row r="3573" ht="12.75" customHeight="1"/>
    <row r="3574" ht="12.75" customHeight="1"/>
    <row r="3575" ht="12.75" customHeight="1"/>
    <row r="3576" ht="12.75" customHeight="1"/>
    <row r="3577" ht="12.75" customHeight="1"/>
    <row r="3578" ht="12.75" customHeight="1"/>
    <row r="3579" ht="12.75" customHeight="1"/>
    <row r="3580" ht="12.75" customHeight="1"/>
    <row r="3581" ht="12.75" customHeight="1"/>
    <row r="3582" ht="12.75" customHeight="1"/>
    <row r="3583" ht="12.75" customHeight="1"/>
    <row r="3584" ht="12.75" customHeight="1"/>
    <row r="3585" ht="12.75" customHeight="1"/>
    <row r="3586" ht="12.75" customHeight="1"/>
    <row r="3587" ht="12.75" customHeight="1"/>
    <row r="3588" ht="12.75" customHeight="1"/>
    <row r="3589" ht="12.75" customHeight="1"/>
    <row r="3590" ht="12.75" customHeight="1"/>
    <row r="3591" ht="12.75" customHeight="1"/>
    <row r="3592" ht="12.75" customHeight="1"/>
    <row r="3593" ht="12.75" customHeight="1"/>
    <row r="3594" ht="12.75" customHeight="1"/>
    <row r="3595" ht="12.75" customHeight="1"/>
    <row r="3596" ht="12.75" customHeight="1"/>
    <row r="3597" ht="12.75" customHeight="1"/>
    <row r="3598" ht="12.75" customHeight="1"/>
    <row r="3599" ht="12.75" customHeight="1"/>
    <row r="3600" ht="12.75" customHeight="1"/>
    <row r="3601" ht="12.75" customHeight="1"/>
    <row r="3602" ht="12.75" customHeight="1"/>
    <row r="3603" ht="12.75" customHeight="1"/>
    <row r="3604" ht="12.75" customHeight="1"/>
    <row r="3605" ht="12.75" customHeight="1"/>
    <row r="3606" ht="12.75" customHeight="1"/>
    <row r="3607" ht="12.75" customHeight="1"/>
    <row r="3608" ht="12.75" customHeight="1"/>
    <row r="3609" ht="12.75" customHeight="1"/>
    <row r="3610" ht="12.75" customHeight="1"/>
    <row r="3611" ht="12.75" customHeight="1"/>
    <row r="3612" ht="12.75" customHeight="1"/>
    <row r="3613" ht="12.75" customHeight="1"/>
    <row r="3614" ht="12.75" customHeight="1"/>
    <row r="3615" ht="12.75" customHeight="1"/>
    <row r="3616" ht="12.75" customHeight="1"/>
    <row r="3617" ht="12.75" customHeight="1"/>
    <row r="3618" ht="12.75" customHeight="1"/>
    <row r="3619" ht="12.75" customHeight="1"/>
    <row r="3620" ht="12.75" customHeight="1"/>
    <row r="3621" ht="12.75" customHeight="1"/>
    <row r="3622" ht="12.75" customHeight="1"/>
    <row r="3623" ht="12.75" customHeight="1"/>
    <row r="3624" ht="12.75" customHeight="1"/>
    <row r="3625" ht="12.75" customHeight="1"/>
    <row r="3626" ht="12.75" customHeight="1"/>
    <row r="3627" ht="12.75" customHeight="1"/>
    <row r="3628" ht="12.75" customHeight="1"/>
    <row r="3629" ht="12.75" customHeight="1"/>
    <row r="3630" ht="12.75" customHeight="1"/>
    <row r="3631" ht="12.75" customHeight="1"/>
    <row r="3632" ht="12.75" customHeight="1"/>
    <row r="3633" ht="12.75" customHeight="1"/>
    <row r="3634" ht="12.75" customHeight="1"/>
    <row r="3635" ht="12.75" customHeight="1"/>
    <row r="3636" ht="12.75" customHeight="1"/>
    <row r="3637" ht="12.75" customHeight="1"/>
    <row r="3638" ht="12.75" customHeight="1"/>
    <row r="3639" ht="12.75" customHeight="1"/>
    <row r="3640" ht="12.75" customHeight="1"/>
    <row r="3641" ht="12.75" customHeight="1"/>
    <row r="3642" ht="12.75" customHeight="1"/>
    <row r="3643" ht="12.75" customHeight="1"/>
    <row r="3644" ht="12.75" customHeight="1"/>
    <row r="3645" ht="12.75" customHeight="1"/>
    <row r="3646" ht="12.75" customHeight="1"/>
    <row r="3647" ht="12.75" customHeight="1"/>
    <row r="3648" ht="12.75" customHeight="1"/>
    <row r="3649" ht="12.75" customHeight="1"/>
    <row r="3650" ht="12.75" customHeight="1"/>
    <row r="3651" ht="12.75" customHeight="1"/>
    <row r="3652" ht="12.75" customHeight="1"/>
    <row r="3653" ht="12.75" customHeight="1"/>
    <row r="3654" ht="12.75" customHeight="1"/>
    <row r="3655" ht="12.75" customHeight="1"/>
    <row r="3656" ht="12.75" customHeight="1"/>
    <row r="3657" ht="12.75" customHeight="1"/>
    <row r="3658" ht="12.75" customHeight="1"/>
    <row r="3659" ht="12.75" customHeight="1"/>
    <row r="3660" ht="12.75" customHeight="1"/>
    <row r="3661" ht="12.75" customHeight="1"/>
    <row r="3662" ht="12.75" customHeight="1"/>
    <row r="3663" ht="12.75" customHeight="1"/>
    <row r="3664" ht="12.75" customHeight="1"/>
    <row r="3665" ht="12.75" customHeight="1"/>
    <row r="3666" ht="12.75" customHeight="1"/>
    <row r="3667" ht="12.75" customHeight="1"/>
    <row r="3668" ht="12.75" customHeight="1"/>
    <row r="3669" ht="12.75" customHeight="1"/>
    <row r="3670" ht="12.75" customHeight="1"/>
    <row r="3671" ht="12.75" customHeight="1"/>
    <row r="3672" ht="12.75" customHeight="1"/>
    <row r="3673" ht="12.75" customHeight="1"/>
    <row r="3674" ht="12.75" customHeight="1"/>
    <row r="3675" ht="12.75" customHeight="1"/>
    <row r="3676" ht="12.75" customHeight="1"/>
    <row r="3677" ht="12.75" customHeight="1"/>
    <row r="3678" ht="12.75" customHeight="1"/>
    <row r="3679" ht="12.75" customHeight="1"/>
    <row r="3680" ht="12.75" customHeight="1"/>
    <row r="3681" ht="12.75" customHeight="1"/>
    <row r="3682" ht="12.75" customHeight="1"/>
    <row r="3683" ht="12.75" customHeight="1"/>
    <row r="3684" ht="12.75" customHeight="1"/>
    <row r="3685" ht="12.75" customHeight="1"/>
    <row r="3686" ht="12.75" customHeight="1"/>
    <row r="3687" ht="12.75" customHeight="1"/>
    <row r="3688" ht="12.75" customHeight="1"/>
    <row r="3689" ht="12.75" customHeight="1"/>
    <row r="3690" ht="12.75" customHeight="1"/>
    <row r="3691" ht="12.75" customHeight="1"/>
    <row r="3692" ht="12.75" customHeight="1"/>
    <row r="3693" ht="12.75" customHeight="1"/>
    <row r="3694" ht="12.75" customHeight="1"/>
    <row r="3695" ht="12.75" customHeight="1"/>
    <row r="3696" ht="12.75" customHeight="1"/>
    <row r="3697" ht="12.75" customHeight="1"/>
    <row r="3698" ht="12.75" customHeight="1"/>
    <row r="3699" ht="12.75" customHeight="1"/>
    <row r="3700" ht="12.75" customHeight="1"/>
    <row r="3701" ht="12.75" customHeight="1"/>
    <row r="3702" ht="12.75" customHeight="1"/>
    <row r="3703" ht="12.75" customHeight="1"/>
    <row r="3704" ht="12.75" customHeight="1"/>
    <row r="3705" ht="12.75" customHeight="1"/>
    <row r="3706" ht="12.75" customHeight="1"/>
    <row r="3707" ht="12.75" customHeight="1"/>
    <row r="3708" ht="12.75" customHeight="1"/>
    <row r="3709" ht="12.75" customHeight="1"/>
    <row r="3710" ht="12.75" customHeight="1"/>
    <row r="3711" ht="12.75" customHeight="1"/>
    <row r="3712" ht="12.75" customHeight="1"/>
    <row r="3713" ht="12.75" customHeight="1"/>
    <row r="3714" ht="12.75" customHeight="1"/>
    <row r="3715" ht="12.75" customHeight="1"/>
    <row r="3716" ht="12.75" customHeight="1"/>
    <row r="3717" ht="12.75" customHeight="1"/>
    <row r="3718" ht="12.75" customHeight="1"/>
    <row r="3719" ht="12.75" customHeight="1"/>
    <row r="3720" ht="12.75" customHeight="1"/>
    <row r="3721" ht="12.75" customHeight="1"/>
    <row r="3722" ht="12.75" customHeight="1"/>
    <row r="3723" ht="12.75" customHeight="1"/>
    <row r="3724" ht="12.75" customHeight="1"/>
    <row r="3725" ht="12.75" customHeight="1"/>
    <row r="3726" ht="12.75" customHeight="1"/>
    <row r="3727" ht="12.75" customHeight="1"/>
    <row r="3728" ht="12.75" customHeight="1"/>
    <row r="3729" ht="12.75" customHeight="1"/>
    <row r="3730" ht="12.75" customHeight="1"/>
    <row r="3731" ht="12.75" customHeight="1"/>
    <row r="3732" ht="12.75" customHeight="1"/>
    <row r="3733" ht="12.75" customHeight="1"/>
    <row r="3734" ht="12.75" customHeight="1"/>
    <row r="3735" ht="12.75" customHeight="1"/>
    <row r="3736" ht="12.75" customHeight="1"/>
    <row r="3737" ht="12.75" customHeight="1"/>
    <row r="3738" ht="12.75" customHeight="1"/>
    <row r="3739" ht="12.75" customHeight="1"/>
    <row r="3740" ht="12.75" customHeight="1"/>
    <row r="3741" ht="12.75" customHeight="1"/>
    <row r="3742" ht="12.75" customHeight="1"/>
    <row r="3743" ht="12.75" customHeight="1"/>
    <row r="3744" ht="12.75" customHeight="1"/>
    <row r="3745" ht="12.75" customHeight="1"/>
    <row r="3746" ht="12.75" customHeight="1"/>
    <row r="3747" ht="12.75" customHeight="1"/>
    <row r="3748" ht="12.75" customHeight="1"/>
    <row r="3749" ht="12.75" customHeight="1"/>
    <row r="3750" ht="12.75" customHeight="1"/>
    <row r="3751" ht="12.75" customHeight="1"/>
    <row r="3752" ht="12.75" customHeight="1"/>
    <row r="3753" ht="12.75" customHeight="1"/>
    <row r="3754" ht="12.75" customHeight="1"/>
    <row r="3755" ht="12.75" customHeight="1"/>
    <row r="3756" ht="12.75" customHeight="1"/>
    <row r="3757" ht="12.75" customHeight="1"/>
    <row r="3758" ht="12.75" customHeight="1"/>
    <row r="3759" ht="12.75" customHeight="1"/>
    <row r="3760" ht="12.75" customHeight="1"/>
    <row r="3761" ht="12.75" customHeight="1"/>
    <row r="3762" ht="12.75" customHeight="1"/>
    <row r="3763" ht="12.75" customHeight="1"/>
    <row r="3764" ht="12.75" customHeight="1"/>
    <row r="3765" ht="12.75" customHeight="1"/>
    <row r="3766" ht="12.75" customHeight="1"/>
    <row r="3767" ht="12.75" customHeight="1"/>
    <row r="3768" ht="12.75" customHeight="1"/>
    <row r="3769" ht="12.75" customHeight="1"/>
    <row r="3770" ht="12.75" customHeight="1"/>
    <row r="3771" ht="12.75" customHeight="1"/>
    <row r="3772" ht="12.75" customHeight="1"/>
    <row r="3773" ht="12.75" customHeight="1"/>
    <row r="3774" ht="12.75" customHeight="1"/>
    <row r="3775" ht="12.75" customHeight="1"/>
    <row r="3776" ht="12.75" customHeight="1"/>
    <row r="3777" ht="12.75" customHeight="1"/>
    <row r="3778" ht="12.75" customHeight="1"/>
    <row r="3779" ht="12.75" customHeight="1"/>
    <row r="3780" ht="12.75" customHeight="1"/>
    <row r="3781" ht="12.75" customHeight="1"/>
    <row r="3782" ht="12.75" customHeight="1"/>
    <row r="3783" ht="12.75" customHeight="1"/>
    <row r="3784" ht="12.75" customHeight="1"/>
    <row r="3785" ht="12.75" customHeight="1"/>
    <row r="3786" ht="12.75" customHeight="1"/>
    <row r="3787" ht="12.75" customHeight="1"/>
    <row r="3788" ht="12.75" customHeight="1"/>
    <row r="3789" ht="12.75" customHeight="1"/>
    <row r="3790" ht="12.75" customHeight="1"/>
    <row r="3791" ht="12.75" customHeight="1"/>
    <row r="3792" ht="12.75" customHeight="1"/>
    <row r="3793" ht="12.75" customHeight="1"/>
    <row r="3794" ht="12.75" customHeight="1"/>
    <row r="3795" ht="12.75" customHeight="1"/>
    <row r="3796" ht="12.75" customHeight="1"/>
    <row r="3797" ht="12.75" customHeight="1"/>
    <row r="3798" ht="12.75" customHeight="1"/>
    <row r="3799" ht="12.75" customHeight="1"/>
    <row r="3800" ht="12.75" customHeight="1"/>
    <row r="3801" ht="12.75" customHeight="1"/>
    <row r="3802" ht="12.75" customHeight="1"/>
    <row r="3803" ht="12.75" customHeight="1"/>
    <row r="3804" ht="12.75" customHeight="1"/>
    <row r="3805" ht="12.75" customHeight="1"/>
    <row r="3806" ht="12.75" customHeight="1"/>
    <row r="3807" ht="12.75" customHeight="1"/>
    <row r="3808" ht="12.75" customHeight="1"/>
    <row r="3809" ht="12.75" customHeight="1"/>
    <row r="3810" ht="12.75" customHeight="1"/>
    <row r="3811" ht="12.75" customHeight="1"/>
    <row r="3812" ht="12.75" customHeight="1"/>
    <row r="3813" ht="12.75" customHeight="1"/>
    <row r="3814" ht="12.75" customHeight="1"/>
    <row r="3815" ht="12.75" customHeight="1"/>
    <row r="3816" ht="12.75" customHeight="1"/>
    <row r="3817" ht="12.75" customHeight="1"/>
    <row r="3818" ht="12.75" customHeight="1"/>
    <row r="3819" ht="12.75" customHeight="1"/>
    <row r="3820" ht="12.75" customHeight="1"/>
    <row r="3821" ht="12.75" customHeight="1"/>
    <row r="3822" ht="12.75" customHeight="1"/>
    <row r="3823" ht="12.75" customHeight="1"/>
    <row r="3824" ht="12.75" customHeight="1"/>
    <row r="3825" ht="12.75" customHeight="1"/>
    <row r="3826" ht="12.75" customHeight="1"/>
    <row r="3827" ht="12.75" customHeight="1"/>
    <row r="3828" ht="12.75" customHeight="1"/>
    <row r="3829" ht="12.75" customHeight="1"/>
    <row r="3830" ht="12.75" customHeight="1"/>
    <row r="3831" ht="12.75" customHeight="1"/>
    <row r="3832" ht="12.75" customHeight="1"/>
    <row r="3833" ht="12.75" customHeight="1"/>
    <row r="3834" ht="12.75" customHeight="1"/>
    <row r="3835" ht="12.75" customHeight="1"/>
    <row r="3836" ht="12.75" customHeight="1"/>
    <row r="3837" ht="12.75" customHeight="1"/>
    <row r="3838" ht="12.75" customHeight="1"/>
    <row r="3839" ht="12.75" customHeight="1"/>
    <row r="3840" ht="12.75" customHeight="1"/>
    <row r="3841" ht="12.75" customHeight="1"/>
    <row r="3842" ht="12.75" customHeight="1"/>
    <row r="3843" ht="12.75" customHeight="1"/>
    <row r="3844" ht="12.75" customHeight="1"/>
    <row r="3845" ht="12.75" customHeight="1"/>
    <row r="3846" ht="12.75" customHeight="1"/>
    <row r="3847" ht="12.75" customHeight="1"/>
    <row r="3848" ht="12.75" customHeight="1"/>
    <row r="3849" ht="12.75" customHeight="1"/>
    <row r="3850" ht="12.75" customHeight="1"/>
    <row r="3851" ht="12.75" customHeight="1"/>
    <row r="3852" ht="12.75" customHeight="1"/>
    <row r="3853" ht="12.75" customHeight="1"/>
    <row r="3854" ht="12.75" customHeight="1"/>
    <row r="3855" ht="12.75" customHeight="1"/>
    <row r="3856" ht="12.75" customHeight="1"/>
    <row r="3857" ht="12.75" customHeight="1"/>
    <row r="3858" ht="12.75" customHeight="1"/>
    <row r="3859" ht="12.75" customHeight="1"/>
    <row r="3860" ht="12.75" customHeight="1"/>
    <row r="3861" ht="12.75" customHeight="1"/>
    <row r="3862" ht="12.75" customHeight="1"/>
    <row r="3863" ht="12.75" customHeight="1"/>
    <row r="3864" ht="12.75" customHeight="1"/>
    <row r="3865" ht="12.75" customHeight="1"/>
    <row r="3866" ht="12.75" customHeight="1"/>
    <row r="3867" ht="12.75" customHeight="1"/>
    <row r="3868" ht="12.75" customHeight="1"/>
    <row r="3869" ht="12.75" customHeight="1"/>
    <row r="3870" ht="12.75" customHeight="1"/>
    <row r="3871" ht="12.75" customHeight="1"/>
    <row r="3872" ht="12.75" customHeight="1"/>
    <row r="3873" ht="12.75" customHeight="1"/>
    <row r="3874" ht="12.75" customHeight="1"/>
    <row r="3875" ht="12.75" customHeight="1"/>
    <row r="3876" ht="12.75" customHeight="1"/>
    <row r="3877" ht="12.75" customHeight="1"/>
    <row r="3878" ht="12.75" customHeight="1"/>
    <row r="3879" ht="12.75" customHeight="1"/>
    <row r="3880" ht="12.75" customHeight="1"/>
    <row r="3881" ht="12.75" customHeight="1"/>
    <row r="3882" ht="12.75" customHeight="1"/>
    <row r="3883" ht="12.75" customHeight="1"/>
    <row r="3884" ht="12.75" customHeight="1"/>
    <row r="3885" ht="12.75" customHeight="1"/>
    <row r="3886" ht="12.75" customHeight="1"/>
    <row r="3887" ht="12.75" customHeight="1"/>
    <row r="3888" ht="12.75" customHeight="1"/>
    <row r="3889" ht="12.75" customHeight="1"/>
    <row r="3890" ht="12.75" customHeight="1"/>
    <row r="3891" ht="12.75" customHeight="1"/>
    <row r="3892" ht="12.75" customHeight="1"/>
    <row r="3893" ht="12.75" customHeight="1"/>
    <row r="3894" ht="12.75" customHeight="1"/>
    <row r="3895" ht="12.75" customHeight="1"/>
    <row r="3896" ht="12.75" customHeight="1"/>
    <row r="3897" ht="12.75" customHeight="1"/>
    <row r="3898" ht="12.75" customHeight="1"/>
    <row r="3899" ht="12.75" customHeight="1"/>
    <row r="3900" ht="12.75" customHeight="1"/>
    <row r="3901" ht="12.75" customHeight="1"/>
    <row r="3902" ht="12.75" customHeight="1"/>
    <row r="3903" ht="12.75" customHeight="1"/>
    <row r="3904" ht="12.75" customHeight="1"/>
    <row r="3905" ht="12.75" customHeight="1"/>
    <row r="3906" ht="12.75" customHeight="1"/>
    <row r="3907" ht="12.75" customHeight="1"/>
    <row r="3908" ht="12.75" customHeight="1"/>
    <row r="3909" ht="12.75" customHeight="1"/>
    <row r="3910" ht="12.75" customHeight="1"/>
    <row r="3911" ht="12.75" customHeight="1"/>
    <row r="3912" ht="12.75" customHeight="1"/>
    <row r="3913" ht="12.75" customHeight="1"/>
    <row r="3914" ht="12.75" customHeight="1"/>
    <row r="3915" ht="12.75" customHeight="1"/>
    <row r="3916" ht="12.75" customHeight="1"/>
    <row r="3917" ht="12.75" customHeight="1"/>
    <row r="3918" ht="12.75" customHeight="1"/>
    <row r="3919" ht="12.75" customHeight="1"/>
    <row r="3920" ht="12.75" customHeight="1"/>
    <row r="3921" ht="12.75" customHeight="1"/>
    <row r="3922" ht="12.75" customHeight="1"/>
    <row r="3923" ht="12.75" customHeight="1"/>
    <row r="3924" ht="12.75" customHeight="1"/>
    <row r="3925" ht="12.75" customHeight="1"/>
    <row r="3926" ht="12.75" customHeight="1"/>
    <row r="3927" ht="12.75" customHeight="1"/>
    <row r="3928" ht="12.75" customHeight="1"/>
    <row r="3929" ht="12.75" customHeight="1"/>
    <row r="3930" ht="12.75" customHeight="1"/>
    <row r="3931" ht="12.75" customHeight="1"/>
    <row r="3932" ht="12.75" customHeight="1"/>
    <row r="3933" ht="12.75" customHeight="1"/>
    <row r="3934" ht="12.75" customHeight="1"/>
    <row r="3935" ht="12.75" customHeight="1"/>
    <row r="3936" ht="12.75" customHeight="1"/>
    <row r="3937" ht="12.75" customHeight="1"/>
    <row r="3938" ht="12.75" customHeight="1"/>
    <row r="3939" ht="12.75" customHeight="1"/>
    <row r="3940" ht="12.75" customHeight="1"/>
    <row r="3941" ht="12.75" customHeight="1"/>
    <row r="3942" ht="12.75" customHeight="1"/>
    <row r="3943" ht="12.75" customHeight="1"/>
    <row r="3944" ht="12.75" customHeight="1"/>
    <row r="3945" ht="12.75" customHeight="1"/>
    <row r="3946" ht="12.75" customHeight="1"/>
    <row r="3947" ht="12.75" customHeight="1"/>
    <row r="3948" ht="12.75" customHeight="1"/>
    <row r="3949" ht="12.75" customHeight="1"/>
    <row r="3950" ht="12.75" customHeight="1"/>
    <row r="3951" ht="12.75" customHeight="1"/>
    <row r="3952" ht="12.75" customHeight="1"/>
    <row r="3953" ht="12.75" customHeight="1"/>
    <row r="3954" ht="12.75" customHeight="1"/>
    <row r="3955" ht="12.75" customHeight="1"/>
    <row r="3956" ht="12.75" customHeight="1"/>
    <row r="3957" ht="12.75" customHeight="1"/>
    <row r="3958" ht="12.75" customHeight="1"/>
    <row r="3959" ht="12.75" customHeight="1"/>
    <row r="3960" ht="12.75" customHeight="1"/>
    <row r="3961" ht="12.75" customHeight="1"/>
    <row r="3962" ht="12.75" customHeight="1"/>
    <row r="3963" ht="12.75" customHeight="1"/>
    <row r="3964" ht="12.75" customHeight="1"/>
    <row r="3965" ht="12.75" customHeight="1"/>
    <row r="3966" ht="12.75" customHeight="1"/>
    <row r="3967" ht="12.75" customHeight="1"/>
    <row r="3968" ht="12.75" customHeight="1"/>
    <row r="3969" ht="12.75" customHeight="1"/>
    <row r="3970" ht="12.75" customHeight="1"/>
    <row r="3971" ht="12.75" customHeight="1"/>
    <row r="3972" ht="12.75" customHeight="1"/>
    <row r="3973" ht="12.75" customHeight="1"/>
    <row r="3974" ht="12.75" customHeight="1"/>
    <row r="3975" ht="12.75" customHeight="1"/>
    <row r="3976" ht="12.75" customHeight="1"/>
    <row r="3977" ht="12.75" customHeight="1"/>
    <row r="3978" ht="12.75" customHeight="1"/>
    <row r="3979" ht="12.75" customHeight="1"/>
    <row r="3980" ht="12.75" customHeight="1"/>
    <row r="3981" ht="12.75" customHeight="1"/>
    <row r="3982" ht="12.75" customHeight="1"/>
    <row r="3983" ht="12.75" customHeight="1"/>
    <row r="3984" ht="12.75" customHeight="1"/>
    <row r="3985" ht="12.75" customHeight="1"/>
    <row r="3986" ht="12.75" customHeight="1"/>
    <row r="3987" ht="12.75" customHeight="1"/>
    <row r="3988" ht="12.75" customHeight="1"/>
    <row r="3989" ht="12.75" customHeight="1"/>
    <row r="3990" ht="12.75" customHeight="1"/>
    <row r="3991" ht="12.75" customHeight="1"/>
    <row r="3992" ht="12.75" customHeight="1"/>
    <row r="3993" ht="12.75" customHeight="1"/>
    <row r="3994" ht="12.75" customHeight="1"/>
    <row r="3995" ht="12.75" customHeight="1"/>
    <row r="3996" ht="12.75" customHeight="1"/>
    <row r="3997" ht="12.75" customHeight="1"/>
    <row r="3998" ht="12.75" customHeight="1"/>
    <row r="3999" ht="12.75" customHeight="1"/>
    <row r="4000" ht="12.75" customHeight="1"/>
    <row r="4001" ht="12.75" customHeight="1"/>
    <row r="4002" ht="12.75" customHeight="1"/>
    <row r="4003" ht="12.75" customHeight="1"/>
    <row r="4004" ht="12.75" customHeight="1"/>
    <row r="4005" ht="12.75" customHeight="1"/>
    <row r="4006" ht="12.75" customHeight="1"/>
    <row r="4007" ht="12.75" customHeight="1"/>
    <row r="4008" ht="12.75" customHeight="1"/>
    <row r="4009" ht="12.75" customHeight="1"/>
    <row r="4010" ht="12.75" customHeight="1"/>
    <row r="4011" ht="12.75" customHeight="1"/>
    <row r="4012" ht="12.75" customHeight="1"/>
    <row r="4013" ht="12.75" customHeight="1"/>
    <row r="4014" ht="12.75" customHeight="1"/>
    <row r="4015" ht="12.75" customHeight="1"/>
    <row r="4016" ht="12.75" customHeight="1"/>
    <row r="4017" ht="12.75" customHeight="1"/>
    <row r="4018" ht="12.75" customHeight="1"/>
    <row r="4019" ht="12.75" customHeight="1"/>
    <row r="4020" ht="12.75" customHeight="1"/>
    <row r="4021" ht="12.75" customHeight="1"/>
    <row r="4022" ht="12.75" customHeight="1"/>
    <row r="4023" ht="12.75" customHeight="1"/>
    <row r="4024" ht="12.75" customHeight="1"/>
    <row r="4025" ht="12.75" customHeight="1"/>
    <row r="4026" ht="12.75" customHeight="1"/>
    <row r="4027" ht="12.75" customHeight="1"/>
    <row r="4028" ht="12.75" customHeight="1"/>
    <row r="4029" ht="12.75" customHeight="1"/>
    <row r="4030" ht="12.75" customHeight="1"/>
    <row r="4031" ht="12.75" customHeight="1"/>
    <row r="4032" ht="12.75" customHeight="1"/>
    <row r="4033" ht="12.75" customHeight="1"/>
    <row r="4034" ht="12.75" customHeight="1"/>
    <row r="4035" ht="12.75" customHeight="1"/>
    <row r="4036" ht="12.75" customHeight="1"/>
    <row r="4037" ht="12.75" customHeight="1"/>
    <row r="4038" ht="12.75" customHeight="1"/>
    <row r="4039" ht="12.75" customHeight="1"/>
    <row r="4040" ht="12.75" customHeight="1"/>
    <row r="4041" ht="12.75" customHeight="1"/>
    <row r="4042" ht="12.75" customHeight="1"/>
    <row r="4043" ht="12.75" customHeight="1"/>
    <row r="4044" ht="12.75" customHeight="1"/>
    <row r="4045" ht="12.75" customHeight="1"/>
    <row r="4046" ht="12.75" customHeight="1"/>
    <row r="4047" ht="12.75" customHeight="1"/>
    <row r="4048" ht="12.75" customHeight="1"/>
    <row r="4049" ht="12.75" customHeight="1"/>
    <row r="4050" ht="12.75" customHeight="1"/>
    <row r="4051" ht="12.75" customHeight="1"/>
    <row r="4052" ht="12.75" customHeight="1"/>
    <row r="4053" ht="12.75" customHeight="1"/>
    <row r="4054" ht="12.75" customHeight="1"/>
    <row r="4055" ht="12.75" customHeight="1"/>
    <row r="4056" ht="12.75" customHeight="1"/>
    <row r="4057" ht="12.75" customHeight="1"/>
    <row r="4058" ht="12.75" customHeight="1"/>
    <row r="4059" ht="12.75" customHeight="1"/>
    <row r="4060" ht="12.75" customHeight="1"/>
    <row r="4061" ht="12.75" customHeight="1"/>
    <row r="4062" ht="12.75" customHeight="1"/>
    <row r="4063" ht="12.75" customHeight="1"/>
    <row r="4064" ht="12.75" customHeight="1"/>
    <row r="4065" ht="12.75" customHeight="1"/>
    <row r="4066" ht="12.75" customHeight="1"/>
    <row r="4067" ht="12.75" customHeight="1"/>
    <row r="4068" ht="12.75" customHeight="1"/>
    <row r="4069" ht="12.75" customHeight="1"/>
    <row r="4070" ht="12.75" customHeight="1"/>
    <row r="4071" ht="12.75" customHeight="1"/>
    <row r="4072" ht="12.75" customHeight="1"/>
    <row r="4073" ht="12.75" customHeight="1"/>
    <row r="4074" ht="12.75" customHeight="1"/>
    <row r="4075" ht="12.75" customHeight="1"/>
    <row r="4076" ht="12.75" customHeight="1"/>
    <row r="4077" ht="12.75" customHeight="1"/>
    <row r="4078" ht="12.75" customHeight="1"/>
    <row r="4079" ht="12.75" customHeight="1"/>
    <row r="4080" ht="12.75" customHeight="1"/>
    <row r="4081" ht="12.75" customHeight="1"/>
    <row r="4082" ht="12.75" customHeight="1"/>
    <row r="4083" ht="12.75" customHeight="1"/>
    <row r="4084" ht="12.75" customHeight="1"/>
    <row r="4085" ht="12.75" customHeight="1"/>
    <row r="4086" ht="12.75" customHeight="1"/>
    <row r="4087" ht="12.75" customHeight="1"/>
    <row r="4088" ht="12.75" customHeight="1"/>
    <row r="4089" ht="12.75" customHeight="1"/>
    <row r="4090" ht="12.75" customHeight="1"/>
    <row r="4091" ht="12.75" customHeight="1"/>
    <row r="4092" ht="12.75" customHeight="1"/>
    <row r="4093" ht="12.75" customHeight="1"/>
    <row r="4094" ht="12.75" customHeight="1"/>
    <row r="4095" ht="12.75" customHeight="1"/>
    <row r="4096" ht="12.75" customHeight="1"/>
    <row r="4097" ht="12.75" customHeight="1"/>
    <row r="4098" ht="12.75" customHeight="1"/>
    <row r="4099" ht="12.75" customHeight="1"/>
    <row r="4100" ht="12.75" customHeight="1"/>
    <row r="4101" ht="12.75" customHeight="1"/>
    <row r="4102" ht="12.75" customHeight="1"/>
    <row r="4103" ht="12.75" customHeight="1"/>
    <row r="4104" ht="12.75" customHeight="1"/>
    <row r="4105" ht="12.75" customHeight="1"/>
    <row r="4106" ht="12.75" customHeight="1"/>
    <row r="4107" ht="12.75" customHeight="1"/>
    <row r="4108" ht="12.75" customHeight="1"/>
    <row r="4109" ht="12.75" customHeight="1"/>
    <row r="4110" ht="12.75" customHeight="1"/>
    <row r="4111" ht="12.75" customHeight="1"/>
    <row r="4112" ht="12.75" customHeight="1"/>
    <row r="4113" ht="12.75" customHeight="1"/>
    <row r="4114" ht="12.75" customHeight="1"/>
    <row r="4115" ht="12.75" customHeight="1"/>
    <row r="4116" ht="12.75" customHeight="1"/>
    <row r="4117" ht="12.75" customHeight="1"/>
    <row r="4118" ht="12.75" customHeight="1"/>
    <row r="4119" ht="12.75" customHeight="1"/>
    <row r="4120" ht="12.75" customHeight="1"/>
    <row r="4121" ht="12.75" customHeight="1"/>
    <row r="4122" ht="12.75" customHeight="1"/>
    <row r="4123" ht="12.75" customHeight="1"/>
    <row r="4124" ht="12.75" customHeight="1"/>
    <row r="4125" ht="12.75" customHeight="1"/>
    <row r="4126" ht="12.75" customHeight="1"/>
    <row r="4127" ht="12.75" customHeight="1"/>
    <row r="4128" ht="12.75" customHeight="1"/>
    <row r="4129" ht="12.75" customHeight="1"/>
    <row r="4130" ht="12.75" customHeight="1"/>
    <row r="4131" ht="12.75" customHeight="1"/>
    <row r="4132" ht="12.75" customHeight="1"/>
    <row r="4133" ht="12.75" customHeight="1"/>
    <row r="4134" ht="12.75" customHeight="1"/>
    <row r="4135" ht="12.75" customHeight="1"/>
    <row r="4136" ht="12.75" customHeight="1"/>
    <row r="4137" ht="12.75" customHeight="1"/>
    <row r="4138" ht="12.75" customHeight="1"/>
    <row r="4139" ht="12.75" customHeight="1"/>
    <row r="4140" ht="12.75" customHeight="1"/>
    <row r="4141" ht="12.75" customHeight="1"/>
    <row r="4142" ht="12.75" customHeight="1"/>
    <row r="4143" ht="12.75" customHeight="1"/>
    <row r="4144" ht="12.75" customHeight="1"/>
    <row r="4145" ht="12.75" customHeight="1"/>
    <row r="4146" ht="12.75" customHeight="1"/>
    <row r="4147" ht="12.75" customHeight="1"/>
    <row r="4148" ht="12.75" customHeight="1"/>
    <row r="4149" ht="12.75" customHeight="1"/>
    <row r="4150" ht="12.75" customHeight="1"/>
    <row r="4151" ht="12.75" customHeight="1"/>
    <row r="4152" ht="12.75" customHeight="1"/>
    <row r="4153" ht="12.75" customHeight="1"/>
    <row r="4154" ht="12.75" customHeight="1"/>
    <row r="4155" ht="12.75" customHeight="1"/>
    <row r="4156" ht="12.75" customHeight="1"/>
    <row r="4157" ht="12.75" customHeight="1"/>
    <row r="4158" ht="12.75" customHeight="1"/>
    <row r="4159" ht="12.75" customHeight="1"/>
    <row r="4160" ht="12.75" customHeight="1"/>
    <row r="4161" ht="12.75" customHeight="1"/>
    <row r="4162" ht="12.75" customHeight="1"/>
    <row r="4163" ht="12.75" customHeight="1"/>
    <row r="4164" ht="12.75" customHeight="1"/>
    <row r="4165" ht="12.75" customHeight="1"/>
    <row r="4166" ht="12.75" customHeight="1"/>
    <row r="4167" ht="12.75" customHeight="1"/>
    <row r="4168" ht="12.75" customHeight="1"/>
    <row r="4169" ht="12.75" customHeight="1"/>
    <row r="4170" ht="12.75" customHeight="1"/>
    <row r="4171" ht="12.75" customHeight="1"/>
    <row r="4172" ht="12.75" customHeight="1"/>
    <row r="4173" ht="12.75" customHeight="1"/>
    <row r="4174" ht="12.75" customHeight="1"/>
    <row r="4175" ht="12.75" customHeight="1"/>
    <row r="4176" ht="12.75" customHeight="1"/>
    <row r="4177" ht="12.75" customHeight="1"/>
    <row r="4178" ht="12.75" customHeight="1"/>
    <row r="4179" ht="12.75" customHeight="1"/>
    <row r="4180" ht="12.75" customHeight="1"/>
    <row r="4181" ht="12.75" customHeight="1"/>
    <row r="4182" ht="12.75" customHeight="1"/>
    <row r="4183" ht="12.75" customHeight="1"/>
    <row r="4184" ht="12.75" customHeight="1"/>
    <row r="4185" ht="12.75" customHeight="1"/>
    <row r="4186" ht="12.75" customHeight="1"/>
    <row r="4187" ht="12.75" customHeight="1"/>
    <row r="4188" ht="12.75" customHeight="1"/>
    <row r="4189" ht="12.75" customHeight="1"/>
    <row r="4190" ht="12.75" customHeight="1"/>
    <row r="4191" ht="12.75" customHeight="1"/>
    <row r="4192" ht="12.75" customHeight="1"/>
    <row r="4193" ht="12.75" customHeight="1"/>
    <row r="4194" ht="12.75" customHeight="1"/>
    <row r="4195" ht="12.75" customHeight="1"/>
    <row r="4196" ht="12.75" customHeight="1"/>
    <row r="4197" ht="12.75" customHeight="1"/>
    <row r="4198" ht="12.75" customHeight="1"/>
    <row r="4199" ht="12.75" customHeight="1"/>
    <row r="4200" ht="12.75" customHeight="1"/>
    <row r="4201" ht="12.75" customHeight="1"/>
    <row r="4202" ht="12.75" customHeight="1"/>
    <row r="4203" ht="12.75" customHeight="1"/>
    <row r="4204" ht="12.75" customHeight="1"/>
    <row r="4205" ht="12.75" customHeight="1"/>
    <row r="4206" ht="12.75" customHeight="1"/>
    <row r="4207" ht="12.75" customHeight="1"/>
    <row r="4208" ht="12.75" customHeight="1"/>
    <row r="4209" ht="12.75" customHeight="1"/>
    <row r="4210" ht="12.75" customHeight="1"/>
    <row r="4211" ht="12.75" customHeight="1"/>
    <row r="4212" ht="12.75" customHeight="1"/>
    <row r="4213" ht="12.75" customHeight="1"/>
    <row r="4214" ht="12.75" customHeight="1"/>
    <row r="4215" ht="12.75" customHeight="1"/>
    <row r="4216" ht="12.75" customHeight="1"/>
    <row r="4217" ht="12.75" customHeight="1"/>
    <row r="4218" ht="12.75" customHeight="1"/>
    <row r="4219" ht="12.75" customHeight="1"/>
    <row r="4220" ht="12.75" customHeight="1"/>
    <row r="4221" ht="12.75" customHeight="1"/>
    <row r="4222" ht="12.75" customHeight="1"/>
    <row r="4223" ht="12.75" customHeight="1"/>
    <row r="4224" ht="12.75" customHeight="1"/>
    <row r="4225" ht="12.75" customHeight="1"/>
    <row r="4226" ht="12.75" customHeight="1"/>
    <row r="4227" ht="12.75" customHeight="1"/>
    <row r="4228" ht="12.75" customHeight="1"/>
    <row r="4229" ht="12.75" customHeight="1"/>
    <row r="4230" ht="12.75" customHeight="1"/>
    <row r="4231" ht="12.75" customHeight="1"/>
    <row r="4232" ht="12.75" customHeight="1"/>
    <row r="4233" ht="12.75" customHeight="1"/>
    <row r="4234" ht="12.75" customHeight="1"/>
    <row r="4235" ht="12.75" customHeight="1"/>
    <row r="4236" ht="12.75" customHeight="1"/>
    <row r="4237" ht="12.75" customHeight="1"/>
    <row r="4238" ht="12.75" customHeight="1"/>
    <row r="4239" ht="12.75" customHeight="1"/>
    <row r="4240" ht="12.75" customHeight="1"/>
    <row r="4241" ht="12.75" customHeight="1"/>
    <row r="4242" ht="12.75" customHeight="1"/>
    <row r="4243" ht="12.75" customHeight="1"/>
    <row r="4244" ht="12.75" customHeight="1"/>
    <row r="4245" ht="12.75" customHeight="1"/>
    <row r="4246" ht="12.75" customHeight="1"/>
    <row r="4247" ht="12.75" customHeight="1"/>
    <row r="4248" ht="12.75" customHeight="1"/>
    <row r="4249" ht="12.75" customHeight="1"/>
    <row r="4250" ht="12.75" customHeight="1"/>
    <row r="4251" ht="12.75" customHeight="1"/>
    <row r="4252" ht="12.75" customHeight="1"/>
    <row r="4253" ht="12.75" customHeight="1"/>
    <row r="4254" ht="12.75" customHeight="1"/>
    <row r="4255" ht="12.75" customHeight="1"/>
    <row r="4256" ht="12.75" customHeight="1"/>
    <row r="4257" ht="12.75" customHeight="1"/>
    <row r="4258" ht="12.75" customHeight="1"/>
    <row r="4259" ht="12.75" customHeight="1"/>
    <row r="4260" ht="12.75" customHeight="1"/>
    <row r="4261" ht="12.75" customHeight="1"/>
    <row r="4262" ht="12.75" customHeight="1"/>
    <row r="4263" ht="12.75" customHeight="1"/>
    <row r="4264" ht="12.75" customHeight="1"/>
    <row r="4265" ht="12.75" customHeight="1"/>
    <row r="4266" ht="12.75" customHeight="1"/>
    <row r="4267" ht="12.75" customHeight="1"/>
    <row r="4268" ht="12.75" customHeight="1"/>
    <row r="4269" ht="12.75" customHeight="1"/>
    <row r="4270" ht="12.75" customHeight="1"/>
    <row r="4271" ht="12.75" customHeight="1"/>
    <row r="4272" ht="12.75" customHeight="1"/>
    <row r="4273" ht="12.75" customHeight="1"/>
    <row r="4274" ht="12.75" customHeight="1"/>
    <row r="4275" ht="12.75" customHeight="1"/>
    <row r="4276" ht="12.75" customHeight="1"/>
    <row r="4277" ht="12.75" customHeight="1"/>
    <row r="4278" ht="12.75" customHeight="1"/>
    <row r="4279" ht="12.75" customHeight="1"/>
    <row r="4280" ht="12.75" customHeight="1"/>
    <row r="4281" ht="12.75" customHeight="1"/>
    <row r="4282" ht="12.75" customHeight="1"/>
    <row r="4283" ht="12.75" customHeight="1"/>
    <row r="4284" ht="12.75" customHeight="1"/>
    <row r="4285" ht="12.75" customHeight="1"/>
    <row r="4286" ht="12.75" customHeight="1"/>
    <row r="4287" ht="12.75" customHeight="1"/>
    <row r="4288" ht="12.75" customHeight="1"/>
    <row r="4289" ht="12.75" customHeight="1"/>
    <row r="4290" ht="12.75" customHeight="1"/>
    <row r="4291" ht="12.75" customHeight="1"/>
    <row r="4292" ht="12.75" customHeight="1"/>
    <row r="4293" ht="12.75" customHeight="1"/>
    <row r="4294" ht="12.75" customHeight="1"/>
    <row r="4295" ht="12.75" customHeight="1"/>
    <row r="4296" ht="12.75" customHeight="1"/>
    <row r="4297" ht="12.75" customHeight="1"/>
    <row r="4298" ht="12.75" customHeight="1"/>
    <row r="4299" ht="12.75" customHeight="1"/>
    <row r="4300" ht="12.75" customHeight="1"/>
    <row r="4301" ht="12.75" customHeight="1"/>
    <row r="4302" ht="12.75" customHeight="1"/>
    <row r="4303" ht="12.75" customHeight="1"/>
    <row r="4304" ht="12.75" customHeight="1"/>
    <row r="4305" ht="12.75" customHeight="1"/>
    <row r="4306" ht="12.75" customHeight="1"/>
    <row r="4307" ht="12.75" customHeight="1"/>
    <row r="4308" ht="12.75" customHeight="1"/>
    <row r="4309" ht="12.75" customHeight="1"/>
    <row r="4310" ht="12.75" customHeight="1"/>
    <row r="4311" ht="12.75" customHeight="1"/>
    <row r="4312" ht="12.75" customHeight="1"/>
    <row r="4313" ht="12.75" customHeight="1"/>
    <row r="4314" ht="12.75" customHeight="1"/>
    <row r="4315" ht="12.75" customHeight="1"/>
    <row r="4316" ht="12.75" customHeight="1"/>
    <row r="4317" ht="12.75" customHeight="1"/>
    <row r="4318" ht="12.75" customHeight="1"/>
    <row r="4319" ht="12.75" customHeight="1"/>
    <row r="4320" ht="12.75" customHeight="1"/>
    <row r="4321" ht="12.75" customHeight="1"/>
    <row r="4322" ht="12.75" customHeight="1"/>
    <row r="4323" ht="12.75" customHeight="1"/>
    <row r="4324" ht="12.75" customHeight="1"/>
    <row r="4325" ht="12.75" customHeight="1"/>
    <row r="4326" ht="12.75" customHeight="1"/>
    <row r="4327" ht="12.75" customHeight="1"/>
    <row r="4328" ht="12.75" customHeight="1"/>
    <row r="4329" ht="12.75" customHeight="1"/>
    <row r="4330" ht="12.75" customHeight="1"/>
    <row r="4331" ht="12.75" customHeight="1"/>
    <row r="4332" ht="12.75" customHeight="1"/>
    <row r="4333" ht="12.75" customHeight="1"/>
    <row r="4334" ht="12.75" customHeight="1"/>
    <row r="4335" ht="12.75" customHeight="1"/>
    <row r="4336" ht="12.75" customHeight="1"/>
    <row r="4337" ht="12.75" customHeight="1"/>
    <row r="4338" ht="12.75" customHeight="1"/>
    <row r="4339" ht="12.75" customHeight="1"/>
    <row r="4340" ht="12.75" customHeight="1"/>
    <row r="4341" ht="12.75" customHeight="1"/>
    <row r="4342" ht="12.75" customHeight="1"/>
    <row r="4343" ht="12.75" customHeight="1"/>
    <row r="4344" ht="12.75" customHeight="1"/>
    <row r="4345" ht="12.75" customHeight="1"/>
    <row r="4346" ht="12.75" customHeight="1"/>
    <row r="4347" ht="12.75" customHeight="1"/>
    <row r="4348" ht="12.75" customHeight="1"/>
    <row r="4349" ht="12.75" customHeight="1"/>
    <row r="4350" ht="12.75" customHeight="1"/>
    <row r="4351" ht="12.75" customHeight="1"/>
    <row r="4352" ht="12.75" customHeight="1"/>
    <row r="4353" ht="12.75" customHeight="1"/>
    <row r="4354" ht="12.75" customHeight="1"/>
    <row r="4355" ht="12.75" customHeight="1"/>
    <row r="4356" ht="12.75" customHeight="1"/>
    <row r="4357" ht="12.75" customHeight="1"/>
    <row r="4358" ht="12.75" customHeight="1"/>
    <row r="4359" ht="12.75" customHeight="1"/>
    <row r="4360" ht="12.75" customHeight="1"/>
    <row r="4361" ht="12.75" customHeight="1"/>
    <row r="4362" ht="12.75" customHeight="1"/>
    <row r="4363" ht="12.75" customHeight="1"/>
    <row r="4364" ht="12.75" customHeight="1"/>
    <row r="4365" ht="12.75" customHeight="1"/>
    <row r="4366" ht="12.75" customHeight="1"/>
    <row r="4367" ht="12.75" customHeight="1"/>
    <row r="4368" ht="12.75" customHeight="1"/>
    <row r="4369" ht="12.75" customHeight="1"/>
    <row r="4370" ht="12.75" customHeight="1"/>
    <row r="4371" ht="12.75" customHeight="1"/>
    <row r="4372" ht="12.75" customHeight="1"/>
    <row r="4373" ht="12.75" customHeight="1"/>
    <row r="4374" ht="12.75" customHeight="1"/>
    <row r="4375" ht="12.75" customHeight="1"/>
    <row r="4376" ht="12.75" customHeight="1"/>
    <row r="4377" ht="12.75" customHeight="1"/>
    <row r="4378" ht="12.75" customHeight="1"/>
    <row r="4379" ht="12.75" customHeight="1"/>
    <row r="4380" ht="12.75" customHeight="1"/>
    <row r="4381" ht="12.75" customHeight="1"/>
    <row r="4382" ht="12.75" customHeight="1"/>
    <row r="4383" ht="12.75" customHeight="1"/>
    <row r="4384" ht="12.75" customHeight="1"/>
    <row r="4385" ht="12.75" customHeight="1"/>
    <row r="4386" ht="12.75" customHeight="1"/>
    <row r="4387" ht="12.75" customHeight="1"/>
    <row r="4388" ht="12.75" customHeight="1"/>
    <row r="4389" ht="12.75" customHeight="1"/>
    <row r="4390" ht="12.75" customHeight="1"/>
    <row r="4391" ht="12.75" customHeight="1"/>
    <row r="4392" ht="12.75" customHeight="1"/>
    <row r="4393" ht="12.75" customHeight="1"/>
    <row r="4394" ht="12.75" customHeight="1"/>
    <row r="4395" ht="12.75" customHeight="1"/>
    <row r="4396" ht="12.75" customHeight="1"/>
    <row r="4397" ht="12.75" customHeight="1"/>
    <row r="4398" ht="12.75" customHeight="1"/>
    <row r="4399" ht="12.75" customHeight="1"/>
    <row r="4400" ht="12.75" customHeight="1"/>
    <row r="4401" ht="12.75" customHeight="1"/>
    <row r="4402" ht="12.75" customHeight="1"/>
    <row r="4403" ht="12.75" customHeight="1"/>
    <row r="4404" ht="12.75" customHeight="1"/>
    <row r="4405" ht="12.75" customHeight="1"/>
    <row r="4406" ht="12.75" customHeight="1"/>
    <row r="4407" ht="12.75" customHeight="1"/>
    <row r="4408" ht="12.75" customHeight="1"/>
    <row r="4409" ht="12.75" customHeight="1"/>
    <row r="4410" ht="12.75" customHeight="1"/>
    <row r="4411" ht="12.75" customHeight="1"/>
    <row r="4412" ht="12.75" customHeight="1"/>
    <row r="4413" ht="12.75" customHeight="1"/>
    <row r="4414" ht="12.75" customHeight="1"/>
    <row r="4415" ht="12.75" customHeight="1"/>
    <row r="4416" ht="12.75" customHeight="1"/>
    <row r="4417" ht="12.75" customHeight="1"/>
    <row r="4418" ht="12.75" customHeight="1"/>
    <row r="4419" ht="12.75" customHeight="1"/>
    <row r="4420" ht="12.75" customHeight="1"/>
    <row r="4421" ht="12.75" customHeight="1"/>
    <row r="4422" ht="12.75" customHeight="1"/>
    <row r="4423" ht="12.75" customHeight="1"/>
    <row r="4424" ht="12.75" customHeight="1"/>
    <row r="4425" ht="12.75" customHeight="1"/>
    <row r="4426" ht="12.75" customHeight="1"/>
    <row r="4427" ht="12.75" customHeight="1"/>
    <row r="4428" ht="12.75" customHeight="1"/>
    <row r="4429" ht="12.75" customHeight="1"/>
    <row r="4430" ht="12.75" customHeight="1"/>
    <row r="4431" ht="12.75" customHeight="1"/>
    <row r="4432" ht="12.75" customHeight="1"/>
    <row r="4433" ht="12.75" customHeight="1"/>
    <row r="4434" ht="12.75" customHeight="1"/>
    <row r="4435" ht="12.75" customHeight="1"/>
    <row r="4436" ht="12.75" customHeight="1"/>
    <row r="4437" ht="12.75" customHeight="1"/>
    <row r="4438" ht="12.75" customHeight="1"/>
    <row r="4439" ht="12.75" customHeight="1"/>
    <row r="4440" ht="12.75" customHeight="1"/>
    <row r="4441" ht="12.75" customHeight="1"/>
    <row r="4442" ht="12.75" customHeight="1"/>
    <row r="4443" ht="12.75" customHeight="1"/>
    <row r="4444" ht="12.75" customHeight="1"/>
    <row r="4445" ht="12.75" customHeight="1"/>
    <row r="4446" ht="12.75" customHeight="1"/>
    <row r="4447" ht="12.75" customHeight="1"/>
    <row r="4448" ht="12.75" customHeight="1"/>
    <row r="4449" ht="12.75" customHeight="1"/>
    <row r="4450" ht="12.75" customHeight="1"/>
    <row r="4451" ht="12.75" customHeight="1"/>
    <row r="4452" ht="12.75" customHeight="1"/>
    <row r="4453" ht="12.75" customHeight="1"/>
    <row r="4454" ht="12.75" customHeight="1"/>
    <row r="4455" ht="12.75" customHeight="1"/>
    <row r="4456" ht="12.75" customHeight="1"/>
    <row r="4457" ht="12.75" customHeight="1"/>
    <row r="4458" ht="12.75" customHeight="1"/>
    <row r="4459" ht="12.75" customHeight="1"/>
    <row r="4460" ht="12.75" customHeight="1"/>
    <row r="4461" ht="12.75" customHeight="1"/>
    <row r="4462" ht="12.75" customHeight="1"/>
    <row r="4463" ht="12.75" customHeight="1"/>
    <row r="4464" ht="12.75" customHeight="1"/>
    <row r="4465" ht="12.75" customHeight="1"/>
    <row r="4466" ht="12.75" customHeight="1"/>
    <row r="4467" ht="12.75" customHeight="1"/>
    <row r="4468" ht="12.75" customHeight="1"/>
    <row r="4469" ht="12.75" customHeight="1"/>
    <row r="4470" ht="12.75" customHeight="1"/>
    <row r="4471" ht="12.75" customHeight="1"/>
    <row r="4472" ht="12.75" customHeight="1"/>
    <row r="4473" ht="12.75" customHeight="1"/>
    <row r="4474" ht="12.75" customHeight="1"/>
    <row r="4475" ht="12.75" customHeight="1"/>
    <row r="4476" ht="12.75" customHeight="1"/>
    <row r="4477" ht="12.75" customHeight="1"/>
    <row r="4478" ht="12.75" customHeight="1"/>
    <row r="4479" ht="12.75" customHeight="1"/>
    <row r="4480" ht="12.75" customHeight="1"/>
    <row r="4481" ht="12.75" customHeight="1"/>
    <row r="4482" ht="12.75" customHeight="1"/>
    <row r="4483" ht="12.75" customHeight="1"/>
    <row r="4484" ht="12.75" customHeight="1"/>
    <row r="4485" ht="12.75" customHeight="1"/>
    <row r="4486" ht="12.75" customHeight="1"/>
    <row r="4487" ht="12.75" customHeight="1"/>
    <row r="4488" ht="12.75" customHeight="1"/>
    <row r="4489" ht="12.75" customHeight="1"/>
    <row r="4490" ht="12.75" customHeight="1"/>
    <row r="4491" ht="12.75" customHeight="1"/>
    <row r="4492" ht="12.75" customHeight="1"/>
    <row r="4493" ht="12.75" customHeight="1"/>
    <row r="4494" ht="12.75" customHeight="1"/>
    <row r="4495" ht="12.75" customHeight="1"/>
    <row r="4496" ht="12.75" customHeight="1"/>
    <row r="4497" ht="12.75" customHeight="1"/>
    <row r="4498" ht="12.75" customHeight="1"/>
    <row r="4499" ht="12.75" customHeight="1"/>
    <row r="4500" ht="12.75" customHeight="1"/>
    <row r="4501" ht="12.75" customHeight="1"/>
    <row r="4502" ht="12.75" customHeight="1"/>
    <row r="4503" ht="12.75" customHeight="1"/>
    <row r="4504" ht="12.75" customHeight="1"/>
    <row r="4505" ht="12.75" customHeight="1"/>
    <row r="4506" ht="12.75" customHeight="1"/>
    <row r="4507" ht="12.75" customHeight="1"/>
    <row r="4508" ht="12.75" customHeight="1"/>
    <row r="4509" ht="12.75" customHeight="1"/>
    <row r="4510" ht="12.75" customHeight="1"/>
    <row r="4511" ht="12.75" customHeight="1"/>
    <row r="4512" ht="12.75" customHeight="1"/>
    <row r="4513" ht="12.75" customHeight="1"/>
    <row r="4514" ht="12.75" customHeight="1"/>
    <row r="4515" ht="12.75" customHeight="1"/>
    <row r="4516" ht="12.75" customHeight="1"/>
    <row r="4517" ht="12.75" customHeight="1"/>
    <row r="4518" ht="12.75" customHeight="1"/>
    <row r="4519" ht="12.75" customHeight="1"/>
    <row r="4520" ht="12.75" customHeight="1"/>
    <row r="4521" ht="12.75" customHeight="1"/>
    <row r="4522" ht="12.75" customHeight="1"/>
    <row r="4523" ht="12.75" customHeight="1"/>
    <row r="4524" ht="12.75" customHeight="1"/>
    <row r="4525" ht="12.75" customHeight="1"/>
    <row r="4526" ht="12.75" customHeight="1"/>
    <row r="4527" ht="12.75" customHeight="1"/>
    <row r="4528" ht="12.75" customHeight="1"/>
    <row r="4529" ht="12.75" customHeight="1"/>
    <row r="4530" ht="12.75" customHeight="1"/>
    <row r="4531" ht="12.75" customHeight="1"/>
    <row r="4532" ht="12.75" customHeight="1"/>
    <row r="4533" ht="12.75" customHeight="1"/>
    <row r="4534" ht="12.75" customHeight="1"/>
    <row r="4535" ht="12.75" customHeight="1"/>
    <row r="4536" ht="12.75" customHeight="1"/>
    <row r="4537" ht="12.75" customHeight="1"/>
    <row r="4538" ht="12.75" customHeight="1"/>
    <row r="4539" ht="12.75" customHeight="1"/>
    <row r="4540" ht="12.75" customHeight="1"/>
    <row r="4541" ht="12.75" customHeight="1"/>
    <row r="4542" ht="12.75" customHeight="1"/>
    <row r="4543" ht="12.75" customHeight="1"/>
    <row r="4544" ht="12.75" customHeight="1"/>
    <row r="4545" ht="12.75" customHeight="1"/>
    <row r="4546" ht="12.75" customHeight="1"/>
    <row r="4547" ht="12.75" customHeight="1"/>
    <row r="4548" ht="12.75" customHeight="1"/>
    <row r="4549" ht="12.75" customHeight="1"/>
    <row r="4550" ht="12.75" customHeight="1"/>
    <row r="4551" ht="12.75" customHeight="1"/>
    <row r="4552" ht="12.75" customHeight="1"/>
    <row r="4553" ht="12.75" customHeight="1"/>
    <row r="4554" ht="12.75" customHeight="1"/>
    <row r="4555" ht="12.75" customHeight="1"/>
    <row r="4556" ht="12.75" customHeight="1"/>
    <row r="4557" ht="12.75" customHeight="1"/>
    <row r="4558" ht="12.75" customHeight="1"/>
    <row r="4559" ht="12.75" customHeight="1"/>
    <row r="4560" ht="12.75" customHeight="1"/>
    <row r="4561" ht="12.75" customHeight="1"/>
    <row r="4562" ht="12.75" customHeight="1"/>
    <row r="4563" ht="12.75" customHeight="1"/>
    <row r="4564" ht="12.75" customHeight="1"/>
    <row r="4565" ht="12.75" customHeight="1"/>
    <row r="4566" ht="12.75" customHeight="1"/>
    <row r="4567" ht="12.75" customHeight="1"/>
    <row r="4568" ht="12.75" customHeight="1"/>
    <row r="4569" ht="12.75" customHeight="1"/>
    <row r="4570" ht="12.75" customHeight="1"/>
    <row r="4571" ht="12.75" customHeight="1"/>
    <row r="4572" ht="12.75" customHeight="1"/>
    <row r="4573" ht="12.75" customHeight="1"/>
    <row r="4574" ht="12.75" customHeight="1"/>
    <row r="4575" ht="12.75" customHeight="1"/>
    <row r="4576" ht="12.75" customHeight="1"/>
    <row r="4577" ht="12.75" customHeight="1"/>
    <row r="4578" ht="12.75" customHeight="1"/>
    <row r="4579" ht="12.75" customHeight="1"/>
    <row r="4580" ht="12.75" customHeight="1"/>
    <row r="4581" ht="12.75" customHeight="1"/>
    <row r="4582" ht="12.75" customHeight="1"/>
    <row r="4583" ht="12.75" customHeight="1"/>
    <row r="4584" ht="12.75" customHeight="1"/>
    <row r="4585" ht="12.75" customHeight="1"/>
    <row r="4586" ht="12.75" customHeight="1"/>
    <row r="4587" ht="12.75" customHeight="1"/>
    <row r="4588" ht="12.75" customHeight="1"/>
    <row r="4589" ht="12.75" customHeight="1"/>
    <row r="4590" ht="12.75" customHeight="1"/>
    <row r="4591" ht="12.75" customHeight="1"/>
    <row r="4592" ht="12.75" customHeight="1"/>
    <row r="4593" ht="12.75" customHeight="1"/>
    <row r="4594" ht="12.75" customHeight="1"/>
    <row r="4595" ht="12.75" customHeight="1"/>
    <row r="4596" ht="12.75" customHeight="1"/>
    <row r="4597" ht="12.75" customHeight="1"/>
    <row r="4598" ht="12.75" customHeight="1"/>
    <row r="4599" ht="12.75" customHeight="1"/>
    <row r="4600" ht="12.75" customHeight="1"/>
    <row r="4601" ht="12.75" customHeight="1"/>
    <row r="4602" ht="12.75" customHeight="1"/>
    <row r="4603" ht="12.75" customHeight="1"/>
    <row r="4604" ht="12.75" customHeight="1"/>
    <row r="4605" ht="12.75" customHeight="1"/>
    <row r="4606" ht="12.75" customHeight="1"/>
    <row r="4607" ht="12.75" customHeight="1"/>
    <row r="4608" ht="12.75" customHeight="1"/>
    <row r="4609" ht="12.75" customHeight="1"/>
    <row r="4610" ht="12.75" customHeight="1"/>
    <row r="4611" ht="12.75" customHeight="1"/>
    <row r="4612" ht="12.75" customHeight="1"/>
    <row r="4613" ht="12.75" customHeight="1"/>
    <row r="4614" ht="12.75" customHeight="1"/>
    <row r="4615" ht="12.75" customHeight="1"/>
    <row r="4616" ht="12.75" customHeight="1"/>
    <row r="4617" ht="12.75" customHeight="1"/>
    <row r="4618" ht="12.75" customHeight="1"/>
    <row r="4619" ht="12.75" customHeight="1"/>
    <row r="4620" ht="12.75" customHeight="1"/>
    <row r="4621" ht="12.75" customHeight="1"/>
    <row r="4622" ht="12.75" customHeight="1"/>
    <row r="4623" ht="12.75" customHeight="1"/>
    <row r="4624" ht="12.75" customHeight="1"/>
    <row r="4625" ht="12.75" customHeight="1"/>
    <row r="4626" ht="12.75" customHeight="1"/>
    <row r="4627" ht="12.75" customHeight="1"/>
    <row r="4628" ht="12.75" customHeight="1"/>
    <row r="4629" ht="12.75" customHeight="1"/>
    <row r="4630" ht="12.75" customHeight="1"/>
    <row r="4631" ht="12.75" customHeight="1"/>
    <row r="4632" ht="12.75" customHeight="1"/>
    <row r="4633" ht="12.75" customHeight="1"/>
    <row r="4634" ht="12.75" customHeight="1"/>
    <row r="4635" ht="12.75" customHeight="1"/>
    <row r="4636" ht="12.75" customHeight="1"/>
    <row r="4637" ht="12.75" customHeight="1"/>
    <row r="4638" ht="12.75" customHeight="1"/>
    <row r="4639" ht="12.75" customHeight="1"/>
    <row r="4640" ht="12.75" customHeight="1"/>
    <row r="4641" ht="12.75" customHeight="1"/>
    <row r="4642" ht="12.75" customHeight="1"/>
    <row r="4643" ht="12.75" customHeight="1"/>
    <row r="4644" ht="12.75" customHeight="1"/>
    <row r="4645" ht="12.75" customHeight="1"/>
    <row r="4646" ht="12.75" customHeight="1"/>
    <row r="4647" ht="12.75" customHeight="1"/>
    <row r="4648" ht="12.75" customHeight="1"/>
    <row r="4649" ht="12.75" customHeight="1"/>
    <row r="4650" ht="12.75" customHeight="1"/>
    <row r="4651" ht="12.75" customHeight="1"/>
    <row r="4652" ht="12.75" customHeight="1"/>
    <row r="4653" ht="12.75" customHeight="1"/>
    <row r="4654" ht="12.75" customHeight="1"/>
    <row r="4655" ht="12.75" customHeight="1"/>
    <row r="4656" ht="12.75" customHeight="1"/>
    <row r="4657" ht="12.75" customHeight="1"/>
    <row r="4658" ht="12.75" customHeight="1"/>
    <row r="4659" ht="12.75" customHeight="1"/>
    <row r="4660" ht="12.75" customHeight="1"/>
    <row r="4661" ht="12.75" customHeight="1"/>
    <row r="4662" ht="12.75" customHeight="1"/>
    <row r="4663" ht="12.75" customHeight="1"/>
    <row r="4664" ht="12.75" customHeight="1"/>
    <row r="4665" ht="12.75" customHeight="1"/>
    <row r="4666" ht="12.75" customHeight="1"/>
    <row r="4667" ht="12.75" customHeight="1"/>
    <row r="4668" ht="12.75" customHeight="1"/>
    <row r="4669" ht="12.75" customHeight="1"/>
    <row r="4670" ht="12.75" customHeight="1"/>
    <row r="4671" ht="12.75" customHeight="1"/>
    <row r="4672" ht="12.75" customHeight="1"/>
    <row r="4673" ht="12.75" customHeight="1"/>
    <row r="4674" ht="12.75" customHeight="1"/>
    <row r="4675" ht="12.75" customHeight="1"/>
    <row r="4676" ht="12.75" customHeight="1"/>
    <row r="4677" ht="12.75" customHeight="1"/>
    <row r="4678" ht="12.75" customHeight="1"/>
    <row r="4679" ht="12.75" customHeight="1"/>
    <row r="4680" ht="12.75" customHeight="1"/>
    <row r="4681" ht="12.75" customHeight="1"/>
    <row r="4682" ht="12.75" customHeight="1"/>
    <row r="4683" ht="12.75" customHeight="1"/>
    <row r="4684" ht="12.75" customHeight="1"/>
    <row r="4685" ht="12.75" customHeight="1"/>
    <row r="4686" ht="12.75" customHeight="1"/>
    <row r="4687" ht="12.75" customHeight="1"/>
    <row r="4688" ht="12.75" customHeight="1"/>
    <row r="4689" ht="12.75" customHeight="1"/>
    <row r="4690" ht="12.75" customHeight="1"/>
    <row r="4691" ht="12.75" customHeight="1"/>
    <row r="4692" ht="12.75" customHeight="1"/>
    <row r="4693" ht="12.75" customHeight="1"/>
    <row r="4694" ht="12.75" customHeight="1"/>
    <row r="4695" ht="12.75" customHeight="1"/>
    <row r="4696" ht="12.75" customHeight="1"/>
    <row r="4697" ht="12.75" customHeight="1"/>
    <row r="4698" ht="12.75" customHeight="1"/>
    <row r="4699" ht="12.75" customHeight="1"/>
    <row r="4700" ht="12.75" customHeight="1"/>
    <row r="4701" ht="12.75" customHeight="1"/>
    <row r="4702" ht="12.75" customHeight="1"/>
    <row r="4703" ht="12.75" customHeight="1"/>
    <row r="4704" ht="12.75" customHeight="1"/>
    <row r="4705" ht="12.75" customHeight="1"/>
    <row r="4706" ht="12.75" customHeight="1"/>
    <row r="4707" ht="12.75" customHeight="1"/>
    <row r="4708" ht="12.75" customHeight="1"/>
    <row r="4709" ht="12.75" customHeight="1"/>
    <row r="4710" ht="12.75" customHeight="1"/>
    <row r="4711" ht="12.75" customHeight="1"/>
    <row r="4712" ht="12.75" customHeight="1"/>
    <row r="4713" ht="12.75" customHeight="1"/>
    <row r="4714" ht="12.75" customHeight="1"/>
    <row r="4715" ht="12.75" customHeight="1"/>
    <row r="4716" ht="12.75" customHeight="1"/>
    <row r="4717" ht="12.75" customHeight="1"/>
    <row r="4718" ht="12.75" customHeight="1"/>
    <row r="4719" ht="12.75" customHeight="1"/>
    <row r="4720" ht="12.75" customHeight="1"/>
    <row r="4721" ht="12.75" customHeight="1"/>
    <row r="4722" ht="12.75" customHeight="1"/>
    <row r="4723" ht="12.75" customHeight="1"/>
    <row r="4724" ht="12.75" customHeight="1"/>
    <row r="4725" ht="12.75" customHeight="1"/>
    <row r="4726" ht="12.75" customHeight="1"/>
    <row r="4727" ht="12.75" customHeight="1"/>
    <row r="4728" ht="12.75" customHeight="1"/>
    <row r="4729" ht="12.75" customHeight="1"/>
    <row r="4730" ht="12.75" customHeight="1"/>
    <row r="4731" ht="12.75" customHeight="1"/>
    <row r="4732" ht="12.75" customHeight="1"/>
    <row r="4733" ht="12.75" customHeight="1"/>
    <row r="4734" ht="12.75" customHeight="1"/>
    <row r="4735" ht="12.75" customHeight="1"/>
    <row r="4736" ht="12.75" customHeight="1"/>
    <row r="4737" ht="12.75" customHeight="1"/>
    <row r="4738" ht="12.75" customHeight="1"/>
    <row r="4739" ht="12.75" customHeight="1"/>
    <row r="4740" ht="12.75" customHeight="1"/>
    <row r="4741" ht="12.75" customHeight="1"/>
    <row r="4742" ht="12.75" customHeight="1"/>
    <row r="4743" ht="12.75" customHeight="1"/>
    <row r="4744" ht="12.75" customHeight="1"/>
    <row r="4745" ht="12.75" customHeight="1"/>
    <row r="4746" ht="12.75" customHeight="1"/>
    <row r="4747" ht="12.75" customHeight="1"/>
    <row r="4748" ht="12.75" customHeight="1"/>
    <row r="4749" ht="12.75" customHeight="1"/>
    <row r="4750" ht="12.75" customHeight="1"/>
    <row r="4751" ht="12.75" customHeight="1"/>
    <row r="4752" ht="12.75" customHeight="1"/>
    <row r="4753" ht="12.75" customHeight="1"/>
    <row r="4754" ht="12.75" customHeight="1"/>
    <row r="4755" ht="12.75" customHeight="1"/>
    <row r="4756" ht="12.75" customHeight="1"/>
    <row r="4757" ht="12.75" customHeight="1"/>
    <row r="4758" ht="12.75" customHeight="1"/>
    <row r="4759" ht="12.75" customHeight="1"/>
    <row r="4760" ht="12.75" customHeight="1"/>
    <row r="4761" ht="12.75" customHeight="1"/>
    <row r="4762" ht="12.75" customHeight="1"/>
    <row r="4763" ht="12.75" customHeight="1"/>
    <row r="4764" ht="12.75" customHeight="1"/>
    <row r="4765" ht="12.75" customHeight="1"/>
    <row r="4766" ht="12.75" customHeight="1"/>
    <row r="4767" ht="12.75" customHeight="1"/>
    <row r="4768" ht="12.75" customHeight="1"/>
    <row r="4769" ht="12.75" customHeight="1"/>
    <row r="4770" ht="12.75" customHeight="1"/>
    <row r="4771" ht="12.75" customHeight="1"/>
    <row r="4772" ht="12.75" customHeight="1"/>
    <row r="4773" ht="12.75" customHeight="1"/>
    <row r="4774" ht="12.75" customHeight="1"/>
    <row r="4775" ht="12.75" customHeight="1"/>
    <row r="4776" ht="12.75" customHeight="1"/>
    <row r="4777" ht="12.75" customHeight="1"/>
    <row r="4778" ht="12.75" customHeight="1"/>
    <row r="4779" ht="12.75" customHeight="1"/>
    <row r="4780" ht="12.75" customHeight="1"/>
    <row r="4781" ht="12.75" customHeight="1"/>
    <row r="4782" ht="12.75" customHeight="1"/>
    <row r="4783" ht="12.75" customHeight="1"/>
    <row r="4784" ht="12.75" customHeight="1"/>
    <row r="4785" ht="12.75" customHeight="1"/>
    <row r="4786" ht="12.75" customHeight="1"/>
    <row r="4787" ht="12.75" customHeight="1"/>
    <row r="4788" ht="12.75" customHeight="1"/>
    <row r="4789" ht="12.75" customHeight="1"/>
    <row r="4790" ht="12.75" customHeight="1"/>
    <row r="4791" ht="12.75" customHeight="1"/>
    <row r="4792" ht="12.75" customHeight="1"/>
    <row r="4793" ht="12.75" customHeight="1"/>
    <row r="4794" ht="12.75" customHeight="1"/>
    <row r="4795" ht="12.75" customHeight="1"/>
    <row r="4796" ht="12.75" customHeight="1"/>
    <row r="4797" ht="12.75" customHeight="1"/>
    <row r="4798" ht="12.75" customHeight="1"/>
    <row r="4799" ht="12.75" customHeight="1"/>
    <row r="4800" ht="12.75" customHeight="1"/>
    <row r="4801" ht="12.75" customHeight="1"/>
    <row r="4802" ht="12.75" customHeight="1"/>
    <row r="4803" ht="12.75" customHeight="1"/>
    <row r="4804" ht="12.75" customHeight="1"/>
    <row r="4805" ht="12.75" customHeight="1"/>
    <row r="4806" ht="12.75" customHeight="1"/>
    <row r="4807" ht="12.75" customHeight="1"/>
    <row r="4808" ht="12.75" customHeight="1"/>
    <row r="4809" ht="12.75" customHeight="1"/>
    <row r="4810" ht="12.75" customHeight="1"/>
    <row r="4811" ht="12.75" customHeight="1"/>
    <row r="4812" ht="12.75" customHeight="1"/>
    <row r="4813" ht="12.75" customHeight="1"/>
    <row r="4814" ht="12.75" customHeight="1"/>
    <row r="4815" ht="12.75" customHeight="1"/>
    <row r="4816" ht="12.75" customHeight="1"/>
    <row r="4817" ht="12.75" customHeight="1"/>
    <row r="4818" ht="12.75" customHeight="1"/>
    <row r="4819" ht="12.75" customHeight="1"/>
    <row r="4820" ht="12.75" customHeight="1"/>
    <row r="4821" ht="12.75" customHeight="1"/>
    <row r="4822" ht="12.75" customHeight="1"/>
    <row r="4823" ht="12.75" customHeight="1"/>
    <row r="4824" ht="12.75" customHeight="1"/>
    <row r="4825" ht="12.75" customHeight="1"/>
    <row r="4826" ht="12.75" customHeight="1"/>
    <row r="4827" ht="12.75" customHeight="1"/>
    <row r="4828" ht="12.75" customHeight="1"/>
    <row r="4829" ht="12.75" customHeight="1"/>
    <row r="4830" ht="12.75" customHeight="1"/>
    <row r="4831" ht="12.75" customHeight="1"/>
    <row r="4832" ht="12.75" customHeight="1"/>
    <row r="4833" ht="12.75" customHeight="1"/>
    <row r="4834" ht="12.75" customHeight="1"/>
    <row r="4835" ht="12.75" customHeight="1"/>
    <row r="4836" ht="12.75" customHeight="1"/>
    <row r="4837" ht="12.75" customHeight="1"/>
    <row r="4838" ht="12.75" customHeight="1"/>
    <row r="4839" ht="12.75" customHeight="1"/>
    <row r="4840" ht="12.75" customHeight="1"/>
    <row r="4841" ht="12.75" customHeight="1"/>
    <row r="4842" ht="12.75" customHeight="1"/>
    <row r="4843" ht="12.75" customHeight="1"/>
    <row r="4844" ht="12.75" customHeight="1"/>
    <row r="4845" ht="12.75" customHeight="1"/>
    <row r="4846" ht="12.75" customHeight="1"/>
    <row r="4847" ht="12.75" customHeight="1"/>
    <row r="4848" ht="12.75" customHeight="1"/>
    <row r="4849" ht="12.75" customHeight="1"/>
    <row r="4850" ht="12.75" customHeight="1"/>
    <row r="4851" ht="12.75" customHeight="1"/>
    <row r="4852" ht="12.75" customHeight="1"/>
    <row r="4853" ht="12.75" customHeight="1"/>
    <row r="4854" ht="12.75" customHeight="1"/>
    <row r="4855" ht="12.75" customHeight="1"/>
    <row r="4856" ht="12.75" customHeight="1"/>
    <row r="4857" ht="12.75" customHeight="1"/>
    <row r="4858" ht="12.75" customHeight="1"/>
    <row r="4859" ht="12.75" customHeight="1"/>
    <row r="4860" ht="12.75" customHeight="1"/>
    <row r="4861" ht="12.75" customHeight="1"/>
    <row r="4862" ht="12.75" customHeight="1"/>
    <row r="4863" ht="12.75" customHeight="1"/>
    <row r="4864" ht="12.75" customHeight="1"/>
    <row r="4865" ht="12.75" customHeight="1"/>
    <row r="4866" ht="12.75" customHeight="1"/>
    <row r="4867" ht="12.75" customHeight="1"/>
    <row r="4868" ht="12.75" customHeight="1"/>
    <row r="4869" ht="12.75" customHeight="1"/>
    <row r="4870" ht="12.75" customHeight="1"/>
    <row r="4871" ht="12.75" customHeight="1"/>
    <row r="4872" ht="12.75" customHeight="1"/>
    <row r="4873" ht="12.75" customHeight="1"/>
    <row r="4874" ht="12.75" customHeight="1"/>
    <row r="4875" ht="12.75" customHeight="1"/>
    <row r="4876" ht="12.75" customHeight="1"/>
    <row r="4877" ht="12.75" customHeight="1"/>
    <row r="4878" ht="12.75" customHeight="1"/>
    <row r="4879" ht="12.75" customHeight="1"/>
    <row r="4880" ht="12.75" customHeight="1"/>
    <row r="4881" ht="12.75" customHeight="1"/>
    <row r="4882" ht="12.75" customHeight="1"/>
    <row r="4883" ht="12.75" customHeight="1"/>
    <row r="4884" ht="12.75" customHeight="1"/>
    <row r="4885" ht="12.75" customHeight="1"/>
    <row r="4886" ht="12.75" customHeight="1"/>
    <row r="4887" ht="12.75" customHeight="1"/>
    <row r="4888" ht="12.75" customHeight="1"/>
    <row r="4889" ht="12.75" customHeight="1"/>
    <row r="4890" ht="12.75" customHeight="1"/>
    <row r="4891" ht="12.75" customHeight="1"/>
    <row r="4892" ht="12.75" customHeight="1"/>
    <row r="4893" ht="12.75" customHeight="1"/>
    <row r="4894" ht="12.75" customHeight="1"/>
    <row r="4895" ht="12.75" customHeight="1"/>
    <row r="4896" ht="12.75" customHeight="1"/>
    <row r="4897" ht="12.75" customHeight="1"/>
    <row r="4898" ht="12.75" customHeight="1"/>
    <row r="4899" ht="12.75" customHeight="1"/>
    <row r="4900" ht="12.75" customHeight="1"/>
    <row r="4901" ht="12.75" customHeight="1"/>
    <row r="4902" ht="12.75" customHeight="1"/>
    <row r="4903" ht="12.75" customHeight="1"/>
    <row r="4904" ht="12.75" customHeight="1"/>
    <row r="4905" ht="12.75" customHeight="1"/>
    <row r="4906" ht="12.75" customHeight="1"/>
    <row r="4907" ht="12.75" customHeight="1"/>
    <row r="4908" ht="12.75" customHeight="1"/>
    <row r="4909" ht="12.75" customHeight="1"/>
    <row r="4910" ht="12.75" customHeight="1"/>
    <row r="4911" ht="12.75" customHeight="1"/>
    <row r="4912" ht="12.75" customHeight="1"/>
    <row r="4913" ht="12.75" customHeight="1"/>
    <row r="4914" ht="12.75" customHeight="1"/>
    <row r="4915" ht="12.75" customHeight="1"/>
    <row r="4916" ht="12.75" customHeight="1"/>
    <row r="4917" ht="12.75" customHeight="1"/>
    <row r="4918" ht="12.75" customHeight="1"/>
    <row r="4919" ht="12.75" customHeight="1"/>
    <row r="4920" ht="12.75" customHeight="1"/>
    <row r="4921" ht="12.75" customHeight="1"/>
    <row r="4922" ht="12.75" customHeight="1"/>
    <row r="4923" ht="12.75" customHeight="1"/>
    <row r="4924" ht="12.75" customHeight="1"/>
    <row r="4925" ht="12.75" customHeight="1"/>
    <row r="4926" ht="12.75" customHeight="1"/>
    <row r="4927" ht="12.75" customHeight="1"/>
    <row r="4928" ht="12.75" customHeight="1"/>
    <row r="4929" ht="12.75" customHeight="1"/>
    <row r="4930" ht="12.75" customHeight="1"/>
    <row r="4931" ht="12.75" customHeight="1"/>
    <row r="4932" ht="12.75" customHeight="1"/>
    <row r="4933" ht="12.75" customHeight="1"/>
    <row r="4934" ht="12.75" customHeight="1"/>
    <row r="4935" ht="12.75" customHeight="1"/>
    <row r="4936" ht="12.75" customHeight="1"/>
    <row r="4937" ht="12.75" customHeight="1"/>
    <row r="4938" ht="12.75" customHeight="1"/>
    <row r="4939" ht="12.75" customHeight="1"/>
    <row r="4940" ht="12.75" customHeight="1"/>
    <row r="4941" ht="12.75" customHeight="1"/>
    <row r="4942" ht="12.75" customHeight="1"/>
    <row r="4943" ht="12.75" customHeight="1"/>
    <row r="4944" ht="12.75" customHeight="1"/>
    <row r="4945" ht="12.75" customHeight="1"/>
    <row r="4946" ht="12.75" customHeight="1"/>
    <row r="4947" ht="12.75" customHeight="1"/>
    <row r="4948" ht="12.75" customHeight="1"/>
    <row r="4949" ht="12.75" customHeight="1"/>
    <row r="4950" ht="12.75" customHeight="1"/>
    <row r="4951" ht="12.75" customHeight="1"/>
    <row r="4952" ht="12.75" customHeight="1"/>
    <row r="4953" ht="12.75" customHeight="1"/>
    <row r="4954" ht="12.75" customHeight="1"/>
    <row r="4955" ht="12.75" customHeight="1"/>
    <row r="4956" ht="12.75" customHeight="1"/>
    <row r="4957" ht="12.75" customHeight="1"/>
    <row r="4958" ht="12.75" customHeight="1"/>
    <row r="4959" ht="12.75" customHeight="1"/>
    <row r="4960" ht="12.75" customHeight="1"/>
    <row r="4961" ht="12.75" customHeight="1"/>
    <row r="4962" ht="12.75" customHeight="1"/>
    <row r="4963" ht="12.75" customHeight="1"/>
    <row r="4964" ht="12.75" customHeight="1"/>
    <row r="4965" ht="12.75" customHeight="1"/>
    <row r="4966" ht="12.75" customHeight="1"/>
    <row r="4967" ht="12.75" customHeight="1"/>
    <row r="4968" ht="12.75" customHeight="1"/>
    <row r="4969" ht="12.75" customHeight="1"/>
    <row r="4970" ht="12.75" customHeight="1"/>
    <row r="4971" ht="12.75" customHeight="1"/>
    <row r="4972" ht="12.75" customHeight="1"/>
    <row r="4973" ht="12.75" customHeight="1"/>
    <row r="4974" ht="12.75" customHeight="1"/>
    <row r="4975" ht="12.75" customHeight="1"/>
    <row r="4976" ht="12.75" customHeight="1"/>
    <row r="4977" ht="12.75" customHeight="1"/>
    <row r="4978" ht="12.75" customHeight="1"/>
    <row r="4979" ht="12.75" customHeight="1"/>
    <row r="4980" ht="12.75" customHeight="1"/>
    <row r="4981" ht="12.75" customHeight="1"/>
    <row r="4982" ht="12.75" customHeight="1"/>
    <row r="4983" ht="12.75" customHeight="1"/>
    <row r="4984" ht="12.75" customHeight="1"/>
    <row r="4985" ht="12.75" customHeight="1"/>
    <row r="4986" ht="12.75" customHeight="1"/>
    <row r="4987" ht="12.75" customHeight="1"/>
    <row r="4988" ht="12.75" customHeight="1"/>
    <row r="4989" ht="12.75" customHeight="1"/>
    <row r="4990" ht="12.75" customHeight="1"/>
    <row r="4991" ht="12.75" customHeight="1"/>
    <row r="4992" ht="12.75" customHeight="1"/>
    <row r="4993" ht="12.75" customHeight="1"/>
    <row r="4994" ht="12.75" customHeight="1"/>
    <row r="4995" ht="12.75" customHeight="1"/>
    <row r="4996" ht="12.75" customHeight="1"/>
    <row r="4997" ht="12.75" customHeight="1"/>
    <row r="4998" ht="12.75" customHeight="1"/>
    <row r="4999" ht="12.75" customHeight="1"/>
    <row r="5000" ht="12.75" customHeight="1"/>
    <row r="5001" ht="12.75" customHeight="1"/>
    <row r="5002" ht="12.75" customHeight="1"/>
    <row r="5003" ht="12.75" customHeight="1"/>
    <row r="5004" ht="12.75" customHeight="1"/>
    <row r="5005" ht="12.75" customHeight="1"/>
    <row r="5006" ht="12.75" customHeight="1"/>
    <row r="5007" ht="12.75" customHeight="1"/>
    <row r="5008" ht="12.75" customHeight="1"/>
    <row r="5009" ht="12.75" customHeight="1"/>
    <row r="5010" ht="12.75" customHeight="1"/>
    <row r="5011" ht="12.75" customHeight="1"/>
    <row r="5012" ht="12.75" customHeight="1"/>
    <row r="5013" ht="12.75" customHeight="1"/>
    <row r="5014" ht="12.75" customHeight="1"/>
    <row r="5015" ht="12.75" customHeight="1"/>
    <row r="5016" ht="12.75" customHeight="1"/>
    <row r="5017" ht="12.75" customHeight="1"/>
    <row r="5018" ht="12.75" customHeight="1"/>
    <row r="5019" ht="12.75" customHeight="1"/>
    <row r="5020" ht="12.75" customHeight="1"/>
    <row r="5021" ht="12.75" customHeight="1"/>
    <row r="5022" ht="12.75" customHeight="1"/>
    <row r="5023" ht="12.75" customHeight="1"/>
    <row r="5024" ht="12.75" customHeight="1"/>
    <row r="5025" ht="12.75" customHeight="1"/>
    <row r="5026" ht="12.75" customHeight="1"/>
    <row r="5027" ht="12.75" customHeight="1"/>
    <row r="5028" ht="12.75" customHeight="1"/>
    <row r="5029" ht="12.75" customHeight="1"/>
    <row r="5030" ht="12.75" customHeight="1"/>
    <row r="5031" ht="12.75" customHeight="1"/>
    <row r="5032" ht="12.75" customHeight="1"/>
    <row r="5033" ht="12.75" customHeight="1"/>
    <row r="5034" ht="12.75" customHeight="1"/>
    <row r="5035" ht="12.75" customHeight="1"/>
    <row r="5036" ht="12.75" customHeight="1"/>
    <row r="5037" ht="12.75" customHeight="1"/>
    <row r="5038" ht="12.75" customHeight="1"/>
    <row r="5039" ht="12.75" customHeight="1"/>
    <row r="5040" ht="12.75" customHeight="1"/>
    <row r="5041" ht="12.75" customHeight="1"/>
    <row r="5042" ht="12.75" customHeight="1"/>
    <row r="5043" ht="12.75" customHeight="1"/>
    <row r="5044" ht="12.75" customHeight="1"/>
    <row r="5045" ht="12.75" customHeight="1"/>
    <row r="5046" ht="12.75" customHeight="1"/>
    <row r="5047" ht="12.75" customHeight="1"/>
    <row r="5048" ht="12.75" customHeight="1"/>
    <row r="5049" ht="12.75" customHeight="1"/>
    <row r="5050" ht="12.75" customHeight="1"/>
    <row r="5051" ht="12.75" customHeight="1"/>
    <row r="5052" ht="12.75" customHeight="1"/>
    <row r="5053" ht="12.75" customHeight="1"/>
    <row r="5054" ht="12.75" customHeight="1"/>
    <row r="5055" ht="12.75" customHeight="1"/>
    <row r="5056" ht="12.75" customHeight="1"/>
    <row r="5057" ht="12.75" customHeight="1"/>
    <row r="5058" ht="12.75" customHeight="1"/>
    <row r="5059" ht="12.75" customHeight="1"/>
    <row r="5060" ht="12.75" customHeight="1"/>
    <row r="5061" ht="12.75" customHeight="1"/>
    <row r="5062" ht="12.75" customHeight="1"/>
    <row r="5063" ht="12.75" customHeight="1"/>
    <row r="5064" ht="12.75" customHeight="1"/>
    <row r="5065" ht="12.75" customHeight="1"/>
    <row r="5066" ht="12.75" customHeight="1"/>
    <row r="5067" ht="12.75" customHeight="1"/>
    <row r="5068" ht="12.75" customHeight="1"/>
    <row r="5069" ht="12.75" customHeight="1"/>
    <row r="5070" ht="12.75" customHeight="1"/>
    <row r="5071" ht="12.75" customHeight="1"/>
    <row r="5072" ht="12.75" customHeight="1"/>
    <row r="5073" ht="12.75" customHeight="1"/>
    <row r="5074" ht="12.75" customHeight="1"/>
    <row r="5075" ht="12.75" customHeight="1"/>
    <row r="5076" ht="12.75" customHeight="1"/>
    <row r="5077" ht="12.75" customHeight="1"/>
    <row r="5078" ht="12.75" customHeight="1"/>
    <row r="5079" ht="12.75" customHeight="1"/>
    <row r="5080" ht="12.75" customHeight="1"/>
    <row r="5081" ht="12.75" customHeight="1"/>
    <row r="5082" ht="12.75" customHeight="1"/>
    <row r="5083" ht="12.75" customHeight="1"/>
    <row r="5084" ht="12.75" customHeight="1"/>
    <row r="5085" ht="12.75" customHeight="1"/>
    <row r="5086" ht="12.75" customHeight="1"/>
    <row r="5087" ht="12.75" customHeight="1"/>
    <row r="5088" ht="12.75" customHeight="1"/>
    <row r="5089" ht="12.75" customHeight="1"/>
    <row r="5090" ht="12.75" customHeight="1"/>
    <row r="5091" ht="12.75" customHeight="1"/>
    <row r="5092" ht="12.75" customHeight="1"/>
    <row r="5093" ht="12.75" customHeight="1"/>
    <row r="5094" ht="12.75" customHeight="1"/>
    <row r="5095" ht="12.75" customHeight="1"/>
    <row r="5096" ht="12.75" customHeight="1"/>
    <row r="5097" ht="12.75" customHeight="1"/>
    <row r="5098" ht="12.75" customHeight="1"/>
    <row r="5099" ht="12.75" customHeight="1"/>
    <row r="5100" ht="12.75" customHeight="1"/>
    <row r="5101" ht="12.75" customHeight="1"/>
    <row r="5102" ht="12.75" customHeight="1"/>
    <row r="5103" ht="12.75" customHeight="1"/>
    <row r="5104" ht="12.75" customHeight="1"/>
    <row r="5105" ht="12.75" customHeight="1"/>
    <row r="5106" ht="12.75" customHeight="1"/>
    <row r="5107" ht="12.75" customHeight="1"/>
    <row r="5108" ht="12.75" customHeight="1"/>
    <row r="5109" ht="12.75" customHeight="1"/>
    <row r="5110" ht="12.75" customHeight="1"/>
    <row r="5111" ht="12.75" customHeight="1"/>
    <row r="5112" ht="12.75" customHeight="1"/>
    <row r="5113" ht="12.75" customHeight="1"/>
    <row r="5114" ht="12.75" customHeight="1"/>
    <row r="5115" ht="12.75" customHeight="1"/>
    <row r="5116" ht="12.75" customHeight="1"/>
    <row r="5117" ht="12.75" customHeight="1"/>
    <row r="5118" ht="12.75" customHeight="1"/>
    <row r="5119" ht="12.75" customHeight="1"/>
    <row r="5120" ht="12.75" customHeight="1"/>
    <row r="5121" ht="12.75" customHeight="1"/>
    <row r="5122" ht="12.75" customHeight="1"/>
    <row r="5123" ht="12.75" customHeight="1"/>
    <row r="5124" ht="12.75" customHeight="1"/>
    <row r="5125" ht="12.75" customHeight="1"/>
    <row r="5126" ht="12.75" customHeight="1"/>
    <row r="5127" ht="12.75" customHeight="1"/>
    <row r="5128" ht="12.75" customHeight="1"/>
    <row r="5129" ht="12.75" customHeight="1"/>
    <row r="5130" ht="12.75" customHeight="1"/>
    <row r="5131" ht="12.75" customHeight="1"/>
    <row r="5132" ht="12.75" customHeight="1"/>
    <row r="5133" ht="12.75" customHeight="1"/>
    <row r="5134" ht="12.75" customHeight="1"/>
    <row r="5135" ht="12.75" customHeight="1"/>
    <row r="5136" ht="12.75" customHeight="1"/>
    <row r="5137" ht="12.75" customHeight="1"/>
    <row r="5138" ht="12.75" customHeight="1"/>
    <row r="5139" ht="12.75" customHeight="1"/>
    <row r="5140" ht="12.75" customHeight="1"/>
    <row r="5141" ht="12.75" customHeight="1"/>
    <row r="5142" ht="12.75" customHeight="1"/>
    <row r="5143" ht="12.75" customHeight="1"/>
    <row r="5144" ht="12.75" customHeight="1"/>
    <row r="5145" ht="12.75" customHeight="1"/>
    <row r="5146" ht="12.75" customHeight="1"/>
    <row r="5147" ht="12.75" customHeight="1"/>
    <row r="5148" ht="12.75" customHeight="1"/>
    <row r="5149" ht="12.75" customHeight="1"/>
    <row r="5150" ht="12.75" customHeight="1"/>
    <row r="5151" ht="12.75" customHeight="1"/>
    <row r="5152" ht="12.75" customHeight="1"/>
    <row r="5153" ht="12.75" customHeight="1"/>
    <row r="5154" ht="12.75" customHeight="1"/>
    <row r="5155" ht="12.75" customHeight="1"/>
    <row r="5156" ht="12.75" customHeight="1"/>
    <row r="5157" ht="12.75" customHeight="1"/>
    <row r="5158" ht="12.75" customHeight="1"/>
    <row r="5159" ht="12.75" customHeight="1"/>
    <row r="5160" ht="12.75" customHeight="1"/>
    <row r="5161" ht="12.75" customHeight="1"/>
    <row r="5162" ht="12.75" customHeight="1"/>
    <row r="5163" ht="12.75" customHeight="1"/>
    <row r="5164" ht="12.75" customHeight="1"/>
    <row r="5165" ht="12.75" customHeight="1"/>
    <row r="5166" ht="12.75" customHeight="1"/>
    <row r="5167" ht="12.75" customHeight="1"/>
    <row r="5168" ht="12.75" customHeight="1"/>
    <row r="5169" ht="12.75" customHeight="1"/>
    <row r="5170" ht="12.75" customHeight="1"/>
    <row r="5171" ht="12.75" customHeight="1"/>
    <row r="5172" ht="12.75" customHeight="1"/>
    <row r="5173" ht="12.75" customHeight="1"/>
    <row r="5174" ht="12.75" customHeight="1"/>
    <row r="5175" ht="12.75" customHeight="1"/>
    <row r="5176" ht="12.75" customHeight="1"/>
    <row r="5177" ht="12.75" customHeight="1"/>
    <row r="5178" ht="12.75" customHeight="1"/>
    <row r="5179" ht="12.75" customHeight="1"/>
    <row r="5180" ht="12.75" customHeight="1"/>
    <row r="5181" ht="12.75" customHeight="1"/>
    <row r="5182" ht="12.75" customHeight="1"/>
    <row r="5183" ht="12.75" customHeight="1"/>
    <row r="5184" ht="12.75" customHeight="1"/>
    <row r="5185" ht="12.75" customHeight="1"/>
    <row r="5186" ht="12.75" customHeight="1"/>
    <row r="5187" ht="12.75" customHeight="1"/>
    <row r="5188" ht="12.75" customHeight="1"/>
    <row r="5189" ht="12.75" customHeight="1"/>
    <row r="5190" ht="12.75" customHeight="1"/>
    <row r="5191" ht="12.75" customHeight="1"/>
    <row r="5192" ht="12.75" customHeight="1"/>
    <row r="5193" ht="12.75" customHeight="1"/>
    <row r="5194" ht="12.75" customHeight="1"/>
    <row r="5195" ht="12.75" customHeight="1"/>
    <row r="5196" ht="12.75" customHeight="1"/>
    <row r="5197" ht="12.75" customHeight="1"/>
    <row r="5198" ht="12.75" customHeight="1"/>
    <row r="5199" ht="12.75" customHeight="1"/>
    <row r="5200" ht="12.75" customHeight="1"/>
    <row r="5201" ht="12.75" customHeight="1"/>
    <row r="5202" ht="12.75" customHeight="1"/>
    <row r="5203" ht="12.75" customHeight="1"/>
    <row r="5204" ht="12.75" customHeight="1"/>
    <row r="5205" ht="12.75" customHeight="1"/>
    <row r="5206" ht="12.75" customHeight="1"/>
    <row r="5207" ht="12.75" customHeight="1"/>
    <row r="5208" ht="12.75" customHeight="1"/>
    <row r="5209" ht="12.75" customHeight="1"/>
    <row r="5210" ht="12.75" customHeight="1"/>
    <row r="5211" ht="12.75" customHeight="1"/>
    <row r="5212" ht="12.75" customHeight="1"/>
    <row r="5213" ht="12.75" customHeight="1"/>
    <row r="5214" ht="12.75" customHeight="1"/>
    <row r="5215" ht="12.75" customHeight="1"/>
    <row r="5216" ht="12.75" customHeight="1"/>
    <row r="5217" ht="12.75" customHeight="1"/>
    <row r="5218" ht="12.75" customHeight="1"/>
    <row r="5219" ht="12.75" customHeight="1"/>
    <row r="5220" ht="12.75" customHeight="1"/>
    <row r="5221" ht="12.75" customHeight="1"/>
    <row r="5222" ht="12.75" customHeight="1"/>
    <row r="5223" ht="12.75" customHeight="1"/>
    <row r="5224" ht="12.75" customHeight="1"/>
    <row r="5225" ht="12.75" customHeight="1"/>
    <row r="5226" ht="12.75" customHeight="1"/>
    <row r="5227" ht="12.75" customHeight="1"/>
    <row r="5228" ht="12.75" customHeight="1"/>
    <row r="5229" ht="12.75" customHeight="1"/>
    <row r="5230" ht="12.75" customHeight="1"/>
    <row r="5231" ht="12.75" customHeight="1"/>
    <row r="5232" ht="12.75" customHeight="1"/>
    <row r="5233" ht="12.75" customHeight="1"/>
    <row r="5234" ht="12.75" customHeight="1"/>
    <row r="5235" ht="12.75" customHeight="1"/>
    <row r="5236" ht="12.75" customHeight="1"/>
    <row r="5237" ht="12.75" customHeight="1"/>
    <row r="5238" ht="12.75" customHeight="1"/>
    <row r="5239" ht="12.75" customHeight="1"/>
    <row r="5240" ht="12.75" customHeight="1"/>
    <row r="5241" ht="12.75" customHeight="1"/>
    <row r="5242" ht="12.75" customHeight="1"/>
    <row r="5243" ht="12.75" customHeight="1"/>
    <row r="5244" ht="12.75" customHeight="1"/>
    <row r="5245" ht="12.75" customHeight="1"/>
    <row r="5246" ht="12.75" customHeight="1"/>
    <row r="5247" ht="12.75" customHeight="1"/>
    <row r="5248" ht="12.75" customHeight="1"/>
    <row r="5249" ht="12.75" customHeight="1"/>
    <row r="5250" ht="12.75" customHeight="1"/>
    <row r="5251" ht="12.75" customHeight="1"/>
    <row r="5252" ht="12.75" customHeight="1"/>
    <row r="5253" ht="12.75" customHeight="1"/>
    <row r="5254" ht="12.75" customHeight="1"/>
    <row r="5255" ht="12.75" customHeight="1"/>
    <row r="5256" ht="12.75" customHeight="1"/>
    <row r="5257" ht="12.75" customHeight="1"/>
    <row r="5258" ht="12.75" customHeight="1"/>
    <row r="5259" ht="12.75" customHeight="1"/>
    <row r="5260" ht="12.75" customHeight="1"/>
    <row r="5261" ht="12.75" customHeight="1"/>
    <row r="5262" ht="12.75" customHeight="1"/>
    <row r="5263" ht="12.75" customHeight="1"/>
    <row r="5264" ht="12.75" customHeight="1"/>
    <row r="5265" ht="12.75" customHeight="1"/>
    <row r="5266" ht="12.75" customHeight="1"/>
    <row r="5267" ht="12.75" customHeight="1"/>
    <row r="5268" ht="12.75" customHeight="1"/>
    <row r="5269" ht="12.75" customHeight="1"/>
    <row r="5270" ht="12.75" customHeight="1"/>
    <row r="5271" ht="12.75" customHeight="1"/>
    <row r="5272" ht="12.75" customHeight="1"/>
    <row r="5273" ht="12.75" customHeight="1"/>
    <row r="5274" ht="12.75" customHeight="1"/>
    <row r="5275" ht="12.75" customHeight="1"/>
    <row r="5276" ht="12.75" customHeight="1"/>
    <row r="5277" ht="12.75" customHeight="1"/>
    <row r="5278" ht="12.75" customHeight="1"/>
    <row r="5279" ht="12.75" customHeight="1"/>
    <row r="5280" ht="12.75" customHeight="1"/>
    <row r="5281" ht="12.75" customHeight="1"/>
    <row r="5282" ht="12.75" customHeight="1"/>
    <row r="5283" ht="12.75" customHeight="1"/>
    <row r="5284" ht="12.75" customHeight="1"/>
    <row r="5285" ht="12.75" customHeight="1"/>
    <row r="5286" ht="12.75" customHeight="1"/>
    <row r="5287" ht="12.75" customHeight="1"/>
    <row r="5288" ht="12.75" customHeight="1"/>
    <row r="5289" ht="12.75" customHeight="1"/>
    <row r="5290" ht="12.75" customHeight="1"/>
    <row r="5291" ht="12.75" customHeight="1"/>
    <row r="5292" ht="12.75" customHeight="1"/>
    <row r="5293" ht="12.75" customHeight="1"/>
    <row r="5294" ht="12.75" customHeight="1"/>
    <row r="5295" ht="12.75" customHeight="1"/>
    <row r="5296" ht="12.75" customHeight="1"/>
    <row r="5297" ht="12.75" customHeight="1"/>
    <row r="5298" ht="12.75" customHeight="1"/>
    <row r="5299" ht="12.75" customHeight="1"/>
    <row r="5300" ht="12.75" customHeight="1"/>
    <row r="5301" ht="12.75" customHeight="1"/>
    <row r="5302" ht="12.75" customHeight="1"/>
    <row r="5303" ht="12.75" customHeight="1"/>
    <row r="5304" ht="12.75" customHeight="1"/>
    <row r="5305" ht="12.75" customHeight="1"/>
    <row r="5306" ht="12.75" customHeight="1"/>
    <row r="5307" ht="12.75" customHeight="1"/>
    <row r="5308" ht="12.75" customHeight="1"/>
    <row r="5309" ht="12.75" customHeight="1"/>
    <row r="5310" ht="12.75" customHeight="1"/>
    <row r="5311" ht="12.75" customHeight="1"/>
    <row r="5312" ht="12.75" customHeight="1"/>
    <row r="5313" ht="12.75" customHeight="1"/>
    <row r="5314" ht="12.75" customHeight="1"/>
    <row r="5315" ht="12.75" customHeight="1"/>
    <row r="5316" ht="12.75" customHeight="1"/>
    <row r="5317" ht="12.75" customHeight="1"/>
    <row r="5318" ht="12.75" customHeight="1"/>
    <row r="5319" ht="12.75" customHeight="1"/>
    <row r="5320" ht="12.75" customHeight="1"/>
    <row r="5321" ht="12.75" customHeight="1"/>
    <row r="5322" ht="12.75" customHeight="1"/>
    <row r="5323" ht="12.75" customHeight="1"/>
    <row r="5324" ht="12.75" customHeight="1"/>
    <row r="5325" ht="12.75" customHeight="1"/>
    <row r="5326" ht="12.75" customHeight="1"/>
    <row r="5327" ht="12.75" customHeight="1"/>
    <row r="5328" ht="12.75" customHeight="1"/>
    <row r="5329" ht="12.75" customHeight="1"/>
    <row r="5330" ht="12.75" customHeight="1"/>
    <row r="5331" ht="12.75" customHeight="1"/>
    <row r="5332" ht="12.75" customHeight="1"/>
    <row r="5333" ht="12.75" customHeight="1"/>
    <row r="5334" ht="12.75" customHeight="1"/>
    <row r="5335" ht="12.75" customHeight="1"/>
    <row r="5336" ht="12.75" customHeight="1"/>
    <row r="5337" ht="12.75" customHeight="1"/>
    <row r="5338" ht="12.75" customHeight="1"/>
    <row r="5339" ht="12.75" customHeight="1"/>
    <row r="5340" ht="12.75" customHeight="1"/>
    <row r="5341" ht="12.75" customHeight="1"/>
    <row r="5342" ht="12.75" customHeight="1"/>
    <row r="5343" ht="12.75" customHeight="1"/>
    <row r="5344" ht="12.75" customHeight="1"/>
    <row r="5345" ht="12.75" customHeight="1"/>
    <row r="5346" ht="12.75" customHeight="1"/>
    <row r="5347" ht="12.75" customHeight="1"/>
    <row r="5348" ht="12.75" customHeight="1"/>
    <row r="5349" ht="12.75" customHeight="1"/>
    <row r="5350" ht="12.75" customHeight="1"/>
    <row r="5351" ht="12.75" customHeight="1"/>
    <row r="5352" ht="12.75" customHeight="1"/>
    <row r="5353" ht="12.75" customHeight="1"/>
    <row r="5354" ht="12.75" customHeight="1"/>
    <row r="5355" ht="12.75" customHeight="1"/>
    <row r="5356" ht="12.75" customHeight="1"/>
    <row r="5357" ht="12.75" customHeight="1"/>
    <row r="5358" ht="12.75" customHeight="1"/>
    <row r="5359" ht="12.75" customHeight="1"/>
    <row r="5360" ht="12.75" customHeight="1"/>
    <row r="5361" ht="12.75" customHeight="1"/>
    <row r="5362" ht="12.75" customHeight="1"/>
    <row r="5363" ht="12.75" customHeight="1"/>
    <row r="5364" ht="12.75" customHeight="1"/>
    <row r="5365" ht="12.75" customHeight="1"/>
    <row r="5366" ht="12.75" customHeight="1"/>
    <row r="5367" ht="12.75" customHeight="1"/>
    <row r="5368" ht="12.75" customHeight="1"/>
    <row r="5369" ht="12.75" customHeight="1"/>
    <row r="5370" ht="12.75" customHeight="1"/>
    <row r="5371" ht="12.75" customHeight="1"/>
    <row r="5372" ht="12.75" customHeight="1"/>
    <row r="5373" ht="12.75" customHeight="1"/>
    <row r="5374" ht="12.75" customHeight="1"/>
    <row r="5375" ht="12.75" customHeight="1"/>
    <row r="5376" ht="12.75" customHeight="1"/>
    <row r="5377" ht="12.75" customHeight="1"/>
    <row r="5378" ht="12.75" customHeight="1"/>
    <row r="5379" ht="12.75" customHeight="1"/>
    <row r="5380" ht="12.75" customHeight="1"/>
    <row r="5381" ht="12.75" customHeight="1"/>
    <row r="5382" ht="12.75" customHeight="1"/>
    <row r="5383" ht="12.75" customHeight="1"/>
    <row r="5384" ht="12.75" customHeight="1"/>
    <row r="5385" ht="12.75" customHeight="1"/>
    <row r="5386" ht="12.75" customHeight="1"/>
    <row r="5387" ht="12.75" customHeight="1"/>
    <row r="5388" ht="12.75" customHeight="1"/>
    <row r="5389" ht="12.75" customHeight="1"/>
    <row r="5390" ht="12.75" customHeight="1"/>
    <row r="5391" ht="12.75" customHeight="1"/>
    <row r="5392" ht="12.75" customHeight="1"/>
    <row r="5393" ht="12.75" customHeight="1"/>
    <row r="5394" ht="12.75" customHeight="1"/>
    <row r="5395" ht="12.75" customHeight="1"/>
    <row r="5396" ht="12.75" customHeight="1"/>
    <row r="5397" ht="12.75" customHeight="1"/>
    <row r="5398" ht="12.75" customHeight="1"/>
    <row r="5399" ht="12.75" customHeight="1"/>
    <row r="5400" ht="12.75" customHeight="1"/>
    <row r="5401" ht="12.75" customHeight="1"/>
    <row r="5402" ht="12.75" customHeight="1"/>
    <row r="5403" ht="12.75" customHeight="1"/>
    <row r="5404" ht="12.75" customHeight="1"/>
    <row r="5405" ht="12.75" customHeight="1"/>
    <row r="5406" ht="12.75" customHeight="1"/>
    <row r="5407" ht="12.75" customHeight="1"/>
    <row r="5408" ht="12.75" customHeight="1"/>
    <row r="5409" ht="12.75" customHeight="1"/>
    <row r="5410" ht="12.75" customHeight="1"/>
    <row r="5411" ht="12.75" customHeight="1"/>
    <row r="5412" ht="12.75" customHeight="1"/>
    <row r="5413" ht="12.75" customHeight="1"/>
    <row r="5414" ht="12.75" customHeight="1"/>
    <row r="5415" ht="12.75" customHeight="1"/>
    <row r="5416" ht="12.75" customHeight="1"/>
    <row r="5417" ht="12.75" customHeight="1"/>
    <row r="5418" ht="12.75" customHeight="1"/>
    <row r="5419" ht="12.75" customHeight="1"/>
    <row r="5420" ht="12.75" customHeight="1"/>
    <row r="5421" ht="12.75" customHeight="1"/>
    <row r="5422" ht="12.75" customHeight="1"/>
    <row r="5423" ht="12.75" customHeight="1"/>
    <row r="5424" ht="12.75" customHeight="1"/>
    <row r="5425" ht="12.75" customHeight="1"/>
    <row r="5426" ht="12.75" customHeight="1"/>
    <row r="5427" ht="12.75" customHeight="1"/>
    <row r="5428" ht="12.75" customHeight="1"/>
    <row r="5429" ht="12.75" customHeight="1"/>
    <row r="5430" ht="12.75" customHeight="1"/>
    <row r="5431" ht="12.75" customHeight="1"/>
    <row r="5432" ht="12.75" customHeight="1"/>
    <row r="5433" ht="12.75" customHeight="1"/>
    <row r="5434" ht="12.75" customHeight="1"/>
    <row r="5435" ht="12.75" customHeight="1"/>
    <row r="5436" ht="12.75" customHeight="1"/>
    <row r="5437" ht="12.75" customHeight="1"/>
    <row r="5438" ht="12.75" customHeight="1"/>
    <row r="5439" ht="12.75" customHeight="1"/>
    <row r="5440" ht="12.75" customHeight="1"/>
    <row r="5441" ht="12.75" customHeight="1"/>
    <row r="5442" ht="12.75" customHeight="1"/>
    <row r="5443" ht="12.75" customHeight="1"/>
    <row r="5444" ht="12.75" customHeight="1"/>
    <row r="5445" ht="12.75" customHeight="1"/>
    <row r="5446" ht="12.75" customHeight="1"/>
    <row r="5447" ht="12.75" customHeight="1"/>
    <row r="5448" ht="12.75" customHeight="1"/>
    <row r="5449" ht="12.75" customHeight="1"/>
    <row r="5450" ht="12.75" customHeight="1"/>
    <row r="5451" ht="12.75" customHeight="1"/>
    <row r="5452" ht="12.75" customHeight="1"/>
    <row r="5453" ht="12.75" customHeight="1"/>
    <row r="5454" ht="12.75" customHeight="1"/>
    <row r="5455" ht="12.75" customHeight="1"/>
    <row r="5456" ht="12.75" customHeight="1"/>
    <row r="5457" ht="12.75" customHeight="1"/>
    <row r="5458" ht="12.75" customHeight="1"/>
    <row r="5459" ht="12.75" customHeight="1"/>
    <row r="5460" ht="12.75" customHeight="1"/>
    <row r="5461" ht="12.75" customHeight="1"/>
    <row r="5462" ht="12.75" customHeight="1"/>
    <row r="5463" ht="12.75" customHeight="1"/>
    <row r="5464" ht="12.75" customHeight="1"/>
    <row r="5465" ht="12.75" customHeight="1"/>
    <row r="5466" ht="12.75" customHeight="1"/>
    <row r="5467" ht="12.75" customHeight="1"/>
    <row r="5468" ht="12.75" customHeight="1"/>
    <row r="5469" ht="12.75" customHeight="1"/>
    <row r="5470" ht="12.75" customHeight="1"/>
    <row r="5471" ht="12.75" customHeight="1"/>
    <row r="5472" ht="12.75" customHeight="1"/>
    <row r="5473" ht="12.75" customHeight="1"/>
    <row r="5474" ht="12.75" customHeight="1"/>
    <row r="5475" ht="12.75" customHeight="1"/>
    <row r="5476" ht="12.75" customHeight="1"/>
    <row r="5477" ht="12.75" customHeight="1"/>
    <row r="5478" ht="12.75" customHeight="1"/>
    <row r="5479" ht="12.75" customHeight="1"/>
    <row r="5480" ht="12.75" customHeight="1"/>
    <row r="5481" ht="12.75" customHeight="1"/>
    <row r="5482" ht="12.75" customHeight="1"/>
    <row r="5483" ht="12.75" customHeight="1"/>
    <row r="5484" ht="12.75" customHeight="1"/>
    <row r="5485" ht="12.75" customHeight="1"/>
    <row r="5486" ht="12.75" customHeight="1"/>
  </sheetData>
  <mergeCells count="2">
    <mergeCell ref="A1:C2"/>
    <mergeCell ref="A3:C3"/>
  </mergeCells>
  <conditionalFormatting sqref="A5:C302 A303:B303 A304:C486">
    <cfRule type="expression" priority="1" dxfId="9522">
      <formula>$A5="Serviço"</formula>
    </cfRule>
    <cfRule type="expression" priority="2" dxfId="9519">
      <formula>$A5="Célula Construtiva"</formula>
    </cfRule>
    <cfRule type="expression" priority="3" dxfId="9520">
      <formula>$A5="Unidade Construtiva"</formula>
    </cfRule>
    <cfRule type="expression" priority="4" dxfId="9519">
      <formula>$A5="Etapa"</formula>
    </cfRule>
  </conditionalFormatting>
  <conditionalFormatting sqref="C303">
    <cfRule type="expression" priority="121175" dxfId="9522">
      <formula>$A302="Serviço"</formula>
    </cfRule>
    <cfRule type="expression" priority="121176" dxfId="9519">
      <formula>$A302="Célula Construtiva"</formula>
    </cfRule>
    <cfRule type="expression" priority="121177" dxfId="9520">
      <formula>$A302="Unidade Construtiva"</formula>
    </cfRule>
    <cfRule type="expression" priority="121178" dxfId="9519">
      <formula>$A302="Etapa"</formula>
    </cfRule>
  </conditionalFormatting>
  <dataValidations disablePrompts="1" count="1">
    <dataValidation sqref="A5:A486" showDropDown="0" showInputMessage="1" showErrorMessage="1" allowBlank="1" type="list">
      <formula1>"UNIDADE CONSTRUTIVA,CÉLULA CONSTRUTIVA,ETAPA,Subetapa,Serviço"</formula1>
    </dataValidation>
  </dataValidations>
  <pageMargins left="0.511811024" right="0.511811024" top="0.787401575" bottom="0.787401575" header="0.31496062" footer="0.31496062"/>
  <pageSetup orientation="portrait" paperSize="9" scale="51" fitToHeight="0"/>
</worksheet>
</file>

<file path=xl/worksheets/sheet3.xml><?xml version="1.0" encoding="utf-8"?>
<worksheet xmlns="http://schemas.openxmlformats.org/spreadsheetml/2006/main">
  <sheetPr>
    <tabColor rgb="FF0000FF"/>
    <outlinePr summaryBelow="1" summaryRight="1"/>
    <pageSetUpPr fitToPage="1"/>
  </sheetPr>
  <dimension ref="A1:AL80"/>
  <sheetViews>
    <sheetView showGridLines="0" zoomScale="85" zoomScaleNormal="85" workbookViewId="0">
      <pane ySplit="4" topLeftCell="A5" activePane="bottomLeft" state="frozen"/>
      <selection activeCell="L5" sqref="L5:N48"/>
      <selection pane="bottomLeft" activeCell="D8" sqref="D8"/>
    </sheetView>
  </sheetViews>
  <sheetFormatPr baseColWidth="8" defaultColWidth="14.42578125" defaultRowHeight="15" customHeight="1"/>
  <cols>
    <col width="10.7109375" customWidth="1" style="800" min="1" max="1"/>
    <col width="83.7109375" customWidth="1" style="800" min="2" max="2"/>
    <col width="11.28515625" customWidth="1" style="800" min="3" max="4"/>
    <col width="2.140625" customWidth="1" style="800" min="5" max="5"/>
    <col width="11.140625" customWidth="1" style="800" min="6" max="6"/>
    <col width="32" customWidth="1" style="800" min="7" max="7"/>
    <col width="3.28515625" customWidth="1" style="800" min="8" max="8"/>
    <col width="2" customWidth="1" style="800" min="9" max="10"/>
    <col width="49.28515625" bestFit="1" customWidth="1" style="800" min="11" max="11"/>
    <col width="9.5703125" customWidth="1" style="800" min="12" max="12"/>
    <col width="9.85546875" customWidth="1" style="800" min="13" max="13"/>
    <col width="12.42578125" bestFit="1" customWidth="1" style="800" min="14" max="14"/>
    <col width="14.42578125" customWidth="1" style="800" min="15" max="38"/>
  </cols>
  <sheetData>
    <row r="1" ht="18" customHeight="1">
      <c r="A1" s="802" t="inlineStr">
        <is>
          <t>Obra</t>
        </is>
      </c>
      <c r="B1" s="2070">
        <f>'Dados Base'!C2</f>
        <v/>
      </c>
      <c r="C1" s="804" t="n"/>
      <c r="D1" s="2071" t="n"/>
      <c r="E1" s="806" t="n"/>
      <c r="F1" s="806" t="n"/>
      <c r="G1" s="807" t="n"/>
      <c r="H1" s="808" t="n"/>
      <c r="J1" s="801" t="n"/>
    </row>
    <row r="2" ht="18" customHeight="1">
      <c r="A2" s="809" t="inlineStr">
        <is>
          <t>Empresa</t>
        </is>
      </c>
      <c r="B2" s="810">
        <f>'Dados Base'!C3</f>
        <v/>
      </c>
      <c r="C2" s="811" t="n"/>
      <c r="D2" s="2072" t="n"/>
      <c r="E2" s="813" t="n"/>
      <c r="F2" s="813" t="n"/>
      <c r="G2" s="814" t="n"/>
      <c r="H2" s="815" t="n"/>
      <c r="J2" s="801" t="n"/>
    </row>
    <row r="3" ht="18" customHeight="1" thickBot="1">
      <c r="A3" s="809" t="inlineStr">
        <is>
          <t>Revisão</t>
        </is>
      </c>
      <c r="B3" s="810">
        <f>'Dados Base'!C4</f>
        <v/>
      </c>
      <c r="C3" s="811" t="n"/>
      <c r="D3" s="2072" t="n"/>
      <c r="E3" s="813" t="n"/>
      <c r="F3" s="813" t="n"/>
      <c r="G3" s="816" t="n"/>
      <c r="H3" s="815" t="n"/>
      <c r="J3" s="801" t="n"/>
    </row>
    <row r="4" ht="30.75" customHeight="1" thickBot="1">
      <c r="A4" s="2073" t="inlineStr">
        <is>
          <t>Equipamentos de proteção coletiva</t>
        </is>
      </c>
      <c r="B4" s="2074" t="n"/>
      <c r="C4" s="2074" t="n"/>
      <c r="D4" s="2074" t="n"/>
      <c r="E4" s="2074" t="n"/>
      <c r="F4" s="2074" t="n"/>
      <c r="G4" s="2074" t="n"/>
      <c r="H4" s="2075" t="n"/>
      <c r="J4" s="801" t="n"/>
      <c r="K4" s="817" t="inlineStr">
        <is>
          <t>Pavimento</t>
        </is>
      </c>
      <c r="L4" s="817" t="inlineStr">
        <is>
          <t>Área</t>
        </is>
      </c>
      <c r="M4" s="817" t="inlineStr">
        <is>
          <t>Perímetro</t>
        </is>
      </c>
      <c r="N4" s="817" t="inlineStr">
        <is>
          <t>Pé Esquerdo</t>
        </is>
      </c>
    </row>
    <row r="5" ht="21.75" customHeight="1" thickTop="1">
      <c r="A5" s="818" t="inlineStr">
        <is>
          <t>Bandejas de proteção</t>
        </is>
      </c>
      <c r="B5" s="819" t="n"/>
      <c r="C5" s="819" t="n"/>
      <c r="D5" s="2076" t="n"/>
      <c r="E5" s="821" t="n"/>
      <c r="F5" s="821" t="n"/>
      <c r="G5" s="821" t="n"/>
      <c r="H5" s="822" t="n"/>
      <c r="J5" s="801" t="n"/>
      <c r="K5" s="823">
        <f>'Dados Base'!B19&amp;" - "&amp;'Dados Base'!C19</f>
        <v/>
      </c>
      <c r="L5" s="2077" t="n">
        <v>784.58</v>
      </c>
      <c r="M5" s="2077" t="n">
        <v>151.72</v>
      </c>
      <c r="N5" s="2077" t="n">
        <v>3.49</v>
      </c>
    </row>
    <row r="6" ht="21.75" customHeight="1" thickBot="1">
      <c r="A6" s="825" t="n"/>
      <c r="B6" s="826" t="n"/>
      <c r="C6" s="826" t="n"/>
      <c r="D6" s="2078" t="n"/>
      <c r="E6" s="828" t="n"/>
      <c r="F6" s="828" t="n"/>
      <c r="G6" s="828" t="n"/>
      <c r="H6" s="829" t="n"/>
      <c r="J6" s="801" t="n"/>
      <c r="K6" s="823">
        <f>'Dados Base'!B20&amp;" - "&amp;'Dados Base'!C20</f>
        <v/>
      </c>
      <c r="L6" s="2077" t="n">
        <v>801.15</v>
      </c>
      <c r="M6" s="2077" t="n">
        <v>151.72</v>
      </c>
      <c r="N6" s="2077" t="n">
        <v>2.7</v>
      </c>
    </row>
    <row r="7" ht="21.75" customHeight="1">
      <c r="A7" s="825" t="n"/>
      <c r="B7" s="830" t="inlineStr">
        <is>
          <t>Descrição</t>
        </is>
      </c>
      <c r="C7" s="831" t="inlineStr">
        <is>
          <t>Unidade</t>
        </is>
      </c>
      <c r="D7" s="2079" t="inlineStr">
        <is>
          <t>Quantidade</t>
        </is>
      </c>
      <c r="E7" s="828" t="n"/>
      <c r="F7" s="828" t="n"/>
      <c r="G7" s="828" t="n"/>
      <c r="H7" s="829" t="n"/>
      <c r="J7" s="801" t="n"/>
      <c r="K7" s="823">
        <f>'Dados Base'!B21&amp;" - "&amp;'Dados Base'!C21</f>
        <v/>
      </c>
      <c r="L7" s="2077" t="n">
        <v>878.5</v>
      </c>
      <c r="M7" s="2077" t="n">
        <v>151.72</v>
      </c>
      <c r="N7" s="2077" t="n">
        <v>2.7</v>
      </c>
    </row>
    <row r="8" ht="21.75" customHeight="1">
      <c r="A8" s="825" t="n"/>
      <c r="B8" s="833" t="inlineStr">
        <is>
          <t>Perímetro de projeção embasamento Primária</t>
        </is>
      </c>
      <c r="C8" s="2080" t="inlineStr">
        <is>
          <t>m</t>
        </is>
      </c>
      <c r="D8" s="2081">
        <f>M6</f>
        <v/>
      </c>
      <c r="E8" s="828" t="n"/>
      <c r="F8" s="828" t="n"/>
      <c r="G8" s="828" t="n"/>
      <c r="H8" s="829" t="n"/>
      <c r="J8" s="801" t="n"/>
      <c r="K8" s="823">
        <f>'Dados Base'!B22&amp;" - "&amp;'Dados Base'!C22</f>
        <v/>
      </c>
      <c r="L8" s="2077" t="n">
        <v>878.5</v>
      </c>
      <c r="M8" s="2077" t="n">
        <v>151.72</v>
      </c>
      <c r="N8" s="2077" t="n">
        <v>2.699999999999999</v>
      </c>
    </row>
    <row r="9" ht="21.75" customHeight="1">
      <c r="A9" s="825" t="n"/>
      <c r="B9" s="833" t="inlineStr">
        <is>
          <t>Perímetro de projeção embasamento Secundária</t>
        </is>
      </c>
      <c r="C9" s="2080" t="inlineStr">
        <is>
          <t>m</t>
        </is>
      </c>
      <c r="D9" s="2081">
        <f>M9+M12</f>
        <v/>
      </c>
      <c r="E9" s="828" t="n"/>
      <c r="F9" s="828" t="n"/>
      <c r="G9" s="828" t="n"/>
      <c r="H9" s="829" t="n"/>
      <c r="I9" s="801" t="n"/>
      <c r="J9" s="801" t="n"/>
      <c r="K9" s="823">
        <f>'Dados Base'!B23&amp;" - "&amp;'Dados Base'!C23</f>
        <v/>
      </c>
      <c r="L9" s="2077" t="n">
        <v>878.5</v>
      </c>
      <c r="M9" s="2077" t="n">
        <v>151.72</v>
      </c>
      <c r="N9" s="2077" t="n">
        <v>2.699999999999999</v>
      </c>
    </row>
    <row r="10" ht="21.75" customHeight="1">
      <c r="A10" s="825" t="n"/>
      <c r="B10" s="833" t="inlineStr">
        <is>
          <t>Perímetro de projeção tipo 1 Primmária</t>
        </is>
      </c>
      <c r="C10" s="2080" t="inlineStr">
        <is>
          <t>m</t>
        </is>
      </c>
      <c r="D10" s="2081">
        <f>M13</f>
        <v/>
      </c>
      <c r="E10" s="828" t="n"/>
      <c r="F10" s="828" t="n"/>
      <c r="G10" s="828" t="n"/>
      <c r="H10" s="829" t="n"/>
      <c r="J10" s="801" t="n"/>
      <c r="K10" s="823">
        <f>'Dados Base'!B24&amp;" - "&amp;'Dados Base'!C24</f>
        <v/>
      </c>
      <c r="L10" s="2077" t="n">
        <v>892.45</v>
      </c>
      <c r="M10" s="2077" t="n">
        <v>151.72</v>
      </c>
      <c r="N10" s="2077" t="n">
        <v>2.699999999999999</v>
      </c>
    </row>
    <row r="11" ht="21.75" customHeight="1">
      <c r="A11" s="825" t="n"/>
      <c r="B11" s="833" t="inlineStr">
        <is>
          <t>Perímetro de projeção tipo 1 Secundária</t>
        </is>
      </c>
      <c r="C11" s="2080" t="inlineStr">
        <is>
          <t>m</t>
        </is>
      </c>
      <c r="D11" s="2081">
        <f>M14*(30/3)</f>
        <v/>
      </c>
      <c r="E11" s="828" t="n"/>
      <c r="F11" s="828" t="n"/>
      <c r="G11" s="828" t="n"/>
      <c r="H11" s="829" t="n"/>
      <c r="J11" s="801" t="n"/>
      <c r="K11" s="823">
        <f>'Dados Base'!B25&amp;" - "&amp;'Dados Base'!C25</f>
        <v/>
      </c>
      <c r="L11" s="2077" t="n">
        <v>892.45</v>
      </c>
      <c r="M11" s="2077" t="n">
        <v>151.72</v>
      </c>
      <c r="N11" s="2077" t="n">
        <v>5.040000000000003</v>
      </c>
    </row>
    <row r="12" ht="21.75" customHeight="1" thickBot="1">
      <c r="A12" s="825" t="n"/>
      <c r="B12" s="836" t="inlineStr">
        <is>
          <t>Bandeja de proteção primária</t>
        </is>
      </c>
      <c r="C12" s="2082" t="inlineStr">
        <is>
          <t>m</t>
        </is>
      </c>
      <c r="D12" s="2083">
        <f>D8+D10</f>
        <v/>
      </c>
      <c r="E12" s="828" t="n"/>
      <c r="F12" s="828" t="n"/>
      <c r="G12" s="828" t="n"/>
      <c r="H12" s="829" t="n"/>
      <c r="J12" s="801" t="n"/>
      <c r="K12" s="823">
        <f>'Dados Base'!B26&amp;" - "&amp;'Dados Base'!C26</f>
        <v/>
      </c>
      <c r="L12" s="2077" t="n">
        <v>499.27</v>
      </c>
      <c r="M12" s="2077" t="n">
        <v>151.72</v>
      </c>
      <c r="N12" s="2077" t="n">
        <v>3.239999999999998</v>
      </c>
    </row>
    <row r="13" ht="21.75" customHeight="1" thickBot="1">
      <c r="A13" s="825" t="n"/>
      <c r="B13" s="836" t="inlineStr">
        <is>
          <t>Bandeja de proteção secundária</t>
        </is>
      </c>
      <c r="C13" s="2082" t="inlineStr">
        <is>
          <t>m</t>
        </is>
      </c>
      <c r="D13" s="2083">
        <f>D11+D9</f>
        <v/>
      </c>
      <c r="E13" s="828" t="n"/>
      <c r="F13" s="828" t="n"/>
      <c r="G13" s="828" t="n"/>
      <c r="H13" s="829" t="n"/>
      <c r="I13" s="801" t="n"/>
      <c r="J13" s="801" t="n"/>
      <c r="K13" s="823">
        <f>'Dados Base'!B27&amp;" - "&amp;'Dados Base'!C27</f>
        <v/>
      </c>
      <c r="L13" s="2077" t="n">
        <v>345.53</v>
      </c>
      <c r="M13" s="2077" t="n">
        <v>108.2</v>
      </c>
      <c r="N13" s="2077" t="n">
        <v>3.150000000000002</v>
      </c>
    </row>
    <row r="14" ht="21.75" customHeight="1">
      <c r="A14" s="818" t="inlineStr">
        <is>
          <t>Guarda - corpo de vãos</t>
        </is>
      </c>
      <c r="B14" s="819" t="n"/>
      <c r="C14" s="819" t="n"/>
      <c r="D14" s="2076" t="n"/>
      <c r="E14" s="821" t="n"/>
      <c r="F14" s="839" t="n"/>
      <c r="G14" s="821" t="n"/>
      <c r="H14" s="822" t="n"/>
      <c r="I14" s="801" t="n"/>
      <c r="J14" s="801" t="n"/>
      <c r="K14" s="823">
        <f>'Dados Base'!$B$28&amp;" - "&amp;'Dados Base'!$C$28</f>
        <v/>
      </c>
      <c r="L14" s="2077" t="n">
        <v>303.41</v>
      </c>
      <c r="M14" s="2077" t="n">
        <v>108.2</v>
      </c>
      <c r="N14" s="2077" t="n">
        <v>3.149999999999999</v>
      </c>
    </row>
    <row r="15" ht="21.75" customHeight="1" thickBot="1">
      <c r="A15" s="840" t="n"/>
      <c r="B15" s="826" t="n"/>
      <c r="C15" s="826" t="n"/>
      <c r="D15" s="2078" t="n"/>
      <c r="E15" s="828" t="n"/>
      <c r="F15" s="828" t="n"/>
      <c r="G15" s="828" t="n"/>
      <c r="H15" s="829" t="n"/>
      <c r="I15" s="801" t="n"/>
      <c r="J15" s="801" t="n"/>
      <c r="K15" s="823">
        <f>'Dados Base'!$B$28&amp;" - "&amp;'Dados Base'!$C$28</f>
        <v/>
      </c>
      <c r="L15" s="2077" t="n">
        <v>303.41</v>
      </c>
      <c r="M15" s="2077" t="n">
        <v>108.2</v>
      </c>
      <c r="N15" s="2077" t="n">
        <v>3.149999999999999</v>
      </c>
    </row>
    <row r="16" ht="21.75" customHeight="1">
      <c r="A16" s="840" t="n"/>
      <c r="B16" s="841" t="inlineStr">
        <is>
          <t>Descrição</t>
        </is>
      </c>
      <c r="C16" s="842" t="inlineStr">
        <is>
          <t>Unidade</t>
        </is>
      </c>
      <c r="D16" s="2084" t="inlineStr">
        <is>
          <t>Quantidade</t>
        </is>
      </c>
      <c r="E16" s="828" t="n"/>
      <c r="F16" s="828" t="n"/>
      <c r="G16" s="828" t="n"/>
      <c r="H16" s="829" t="n"/>
      <c r="I16" s="801" t="n"/>
      <c r="J16" s="801" t="n"/>
      <c r="K16" s="823">
        <f>'Dados Base'!$B$28&amp;" - "&amp;'Dados Base'!$C$28</f>
        <v/>
      </c>
      <c r="L16" s="2077" t="n">
        <v>303.41</v>
      </c>
      <c r="M16" s="2077" t="n">
        <v>108.2</v>
      </c>
      <c r="N16" s="2077" t="n">
        <v>3.149999999999999</v>
      </c>
    </row>
    <row r="17" ht="21.75" customHeight="1">
      <c r="A17" s="840" t="n"/>
      <c r="B17" s="844" t="inlineStr">
        <is>
          <t>Perímetro de vãos</t>
        </is>
      </c>
      <c r="C17" s="2085" t="inlineStr">
        <is>
          <t>m</t>
        </is>
      </c>
      <c r="D17" s="2086">
        <f>M19</f>
        <v/>
      </c>
      <c r="E17" s="828" t="n"/>
      <c r="F17" s="828" t="n"/>
      <c r="G17" s="828" t="n"/>
      <c r="H17" s="829" t="n"/>
      <c r="I17" s="801" t="n"/>
      <c r="J17" s="801" t="n"/>
      <c r="K17" s="823">
        <f>'Dados Base'!$B$28&amp;" - "&amp;'Dados Base'!$C$28</f>
        <v/>
      </c>
      <c r="L17" s="2077" t="n">
        <v>303.41</v>
      </c>
      <c r="M17" s="2077" t="n">
        <v>108.2</v>
      </c>
      <c r="N17" s="2077" t="n">
        <v>3.150000000000006</v>
      </c>
    </row>
    <row r="18" ht="21.75" customHeight="1">
      <c r="A18" s="840" t="n"/>
      <c r="B18" s="844" t="inlineStr">
        <is>
          <t>Comprimento de vãos sacadas</t>
        </is>
      </c>
      <c r="C18" s="2085" t="inlineStr">
        <is>
          <t>m</t>
        </is>
      </c>
      <c r="D18" s="2086">
        <f>CPU!I4116</f>
        <v/>
      </c>
      <c r="E18" s="828" t="n"/>
      <c r="F18" s="828" t="n"/>
      <c r="G18" s="828" t="n"/>
      <c r="H18" s="829" t="n"/>
      <c r="I18" s="801" t="n"/>
      <c r="J18" s="801" t="n"/>
      <c r="K18" s="823">
        <f>'Dados Base'!$B$28&amp;" - "&amp;'Dados Base'!$C$28</f>
        <v/>
      </c>
      <c r="L18" s="2077" t="n">
        <v>303.41</v>
      </c>
      <c r="M18" s="2077" t="n">
        <v>108.2</v>
      </c>
      <c r="N18" s="2077" t="n">
        <v>3.239999999999995</v>
      </c>
    </row>
    <row r="19" ht="21.75" customHeight="1">
      <c r="A19" s="840" t="n"/>
      <c r="B19" s="847" t="inlineStr">
        <is>
          <t>Guarda - corpo de vãos</t>
        </is>
      </c>
      <c r="C19" s="2087" t="inlineStr">
        <is>
          <t>m</t>
        </is>
      </c>
      <c r="D19" s="2088">
        <f>D17+D18</f>
        <v/>
      </c>
      <c r="E19" s="828" t="n"/>
      <c r="F19" s="828" t="n"/>
      <c r="G19" s="828" t="n"/>
      <c r="H19" s="829" t="n"/>
      <c r="I19" s="801" t="n"/>
      <c r="J19" s="801" t="n"/>
      <c r="K19" s="823">
        <f>'Dados Base'!$B$28&amp;" - "&amp;'Dados Base'!$C$28</f>
        <v/>
      </c>
      <c r="L19" s="2077" t="n">
        <v>303.41</v>
      </c>
      <c r="M19" s="2077" t="n">
        <v>108.2</v>
      </c>
      <c r="N19" s="2077" t="n">
        <v>3.239999999999981</v>
      </c>
    </row>
    <row r="20" ht="21.75" customHeight="1">
      <c r="A20" s="840" t="n"/>
      <c r="B20" s="826" t="n"/>
      <c r="C20" s="826" t="n"/>
      <c r="D20" s="2078" t="n"/>
      <c r="E20" s="828" t="n"/>
      <c r="F20" s="828" t="n"/>
      <c r="G20" s="828" t="n"/>
      <c r="H20" s="829" t="n"/>
      <c r="J20" s="801" t="n"/>
      <c r="K20" s="823">
        <f>'Dados Base'!$B$28&amp;" - "&amp;'Dados Base'!$C$28</f>
        <v/>
      </c>
      <c r="L20" s="2077" t="n">
        <v>303.41</v>
      </c>
      <c r="M20" s="2077" t="n">
        <v>108.2</v>
      </c>
      <c r="N20" s="2077" t="n">
        <v>2</v>
      </c>
    </row>
    <row r="21" ht="21.75" customHeight="1">
      <c r="A21" s="818" t="inlineStr">
        <is>
          <t>Guarda - corpo de desforma</t>
        </is>
      </c>
      <c r="B21" s="819" t="n"/>
      <c r="C21" s="819" t="n"/>
      <c r="D21" s="2076" t="n"/>
      <c r="E21" s="850" t="n"/>
      <c r="F21" s="850" t="n"/>
      <c r="G21" s="850" t="n"/>
      <c r="H21" s="851" t="n"/>
      <c r="J21" s="801" t="n"/>
      <c r="K21" s="823">
        <f>'Dados Base'!$B$28&amp;" - "&amp;'Dados Base'!$C$28</f>
        <v/>
      </c>
      <c r="L21" s="2077" t="n">
        <v>303.41</v>
      </c>
      <c r="M21" s="2077" t="n">
        <v>108.2</v>
      </c>
      <c r="N21" s="2077" t="n">
        <v>2.5</v>
      </c>
    </row>
    <row r="22" ht="21.75" customHeight="1" thickBot="1">
      <c r="A22" s="840" t="n"/>
      <c r="B22" s="826" t="n"/>
      <c r="C22" s="826" t="n"/>
      <c r="D22" s="2078" t="n"/>
      <c r="E22" s="828" t="n"/>
      <c r="F22" s="828" t="n"/>
      <c r="G22" s="828" t="n"/>
      <c r="H22" s="829" t="n"/>
      <c r="J22" s="801" t="n"/>
      <c r="K22" s="823">
        <f>'Dados Base'!$C$29</f>
        <v/>
      </c>
      <c r="L22" s="2077" t="n">
        <v>303.57</v>
      </c>
      <c r="M22" s="2077" t="n">
        <v>108.2</v>
      </c>
      <c r="N22" s="2077" t="n">
        <v>3.149999999999999</v>
      </c>
    </row>
    <row r="23" ht="21.75" customHeight="1">
      <c r="A23" s="840" t="n"/>
      <c r="B23" s="830" t="inlineStr">
        <is>
          <t>Descrição</t>
        </is>
      </c>
      <c r="C23" s="831" t="inlineStr">
        <is>
          <t>Unidade</t>
        </is>
      </c>
      <c r="D23" s="2079" t="inlineStr">
        <is>
          <t>Quantidade</t>
        </is>
      </c>
      <c r="E23" s="828" t="n"/>
      <c r="F23" s="828" t="n"/>
      <c r="G23" s="828" t="n"/>
      <c r="H23" s="829" t="n"/>
      <c r="I23" s="801" t="n"/>
      <c r="J23" s="801" t="n"/>
      <c r="K23" s="823">
        <f>'Dados Base'!$C$29</f>
        <v/>
      </c>
      <c r="L23" s="2077" t="n">
        <v>303.57</v>
      </c>
      <c r="M23" s="2077" t="n">
        <v>108.2</v>
      </c>
      <c r="N23" s="2077" t="n">
        <v>3.149999999999999</v>
      </c>
    </row>
    <row r="24" ht="21.75" customHeight="1">
      <c r="A24" s="840" t="n"/>
      <c r="B24" s="852" t="inlineStr">
        <is>
          <t>Perímetro de projeção da torre</t>
        </is>
      </c>
      <c r="C24" s="2089" t="inlineStr">
        <is>
          <t>m</t>
        </is>
      </c>
      <c r="D24" s="2090">
        <f>M20</f>
        <v/>
      </c>
      <c r="E24" s="828" t="n"/>
      <c r="F24" s="828" t="n"/>
      <c r="G24" s="828" t="n"/>
      <c r="H24" s="829" t="n"/>
      <c r="I24" s="801" t="n"/>
      <c r="J24" s="801" t="n"/>
      <c r="K24" s="823">
        <f>'Dados Base'!$C$29</f>
        <v/>
      </c>
      <c r="L24" s="2077" t="n">
        <v>303.57</v>
      </c>
      <c r="M24" s="2077" t="n">
        <v>108.2</v>
      </c>
      <c r="N24" s="2077" t="n">
        <v>3.149999999999999</v>
      </c>
    </row>
    <row r="25" ht="21.75" customHeight="1">
      <c r="A25" s="840" t="n"/>
      <c r="B25" s="855" t="inlineStr">
        <is>
          <t>Repetições de pavimentos**</t>
        </is>
      </c>
      <c r="C25" s="2091" t="inlineStr">
        <is>
          <t>un</t>
        </is>
      </c>
      <c r="D25" s="2092">
        <f>COUNTA(K6:K48)</f>
        <v/>
      </c>
      <c r="E25" s="828" t="n"/>
      <c r="F25" s="828" t="n"/>
      <c r="G25" s="828" t="n"/>
      <c r="H25" s="829" t="n"/>
      <c r="J25" s="801" t="n"/>
      <c r="K25" s="823">
        <f>'Dados Base'!$C$29</f>
        <v/>
      </c>
      <c r="L25" s="2077" t="n">
        <v>303.57</v>
      </c>
      <c r="M25" s="2077" t="n">
        <v>108.2</v>
      </c>
      <c r="N25" s="2077" t="n">
        <v>3.149999999999999</v>
      </c>
    </row>
    <row r="26" ht="21.75" customHeight="1">
      <c r="A26" s="840" t="n"/>
      <c r="B26" s="858" t="inlineStr">
        <is>
          <t>Proteção de periferia pós desforma torre</t>
        </is>
      </c>
      <c r="C26" s="2093" t="inlineStr">
        <is>
          <t>m</t>
        </is>
      </c>
      <c r="D26" s="2094">
        <f>D24*D25</f>
        <v/>
      </c>
      <c r="E26" s="828" t="n"/>
      <c r="F26" s="828" t="n"/>
      <c r="G26" s="828" t="n"/>
      <c r="H26" s="829" t="n"/>
      <c r="J26" s="801" t="n"/>
      <c r="K26" s="823">
        <f>'Dados Base'!$C$29</f>
        <v/>
      </c>
      <c r="L26" s="2077" t="n">
        <v>303.57</v>
      </c>
      <c r="M26" s="2077" t="n">
        <v>108.2</v>
      </c>
      <c r="N26" s="2077" t="n">
        <v>3.149999999999999</v>
      </c>
    </row>
    <row r="27" ht="21.75" customHeight="1">
      <c r="A27" s="825" t="n"/>
      <c r="B27" s="828" t="n"/>
      <c r="C27" s="828" t="n"/>
      <c r="D27" s="2095" t="n"/>
      <c r="E27" s="828" t="n"/>
      <c r="F27" s="828" t="n"/>
      <c r="G27" s="828" t="n"/>
      <c r="H27" s="862" t="n"/>
      <c r="J27" s="801" t="n"/>
      <c r="K27" s="823">
        <f>'Dados Base'!$C$29</f>
        <v/>
      </c>
      <c r="L27" s="2077" t="n">
        <v>303.57</v>
      </c>
      <c r="M27" s="2077" t="n">
        <v>108.2</v>
      </c>
      <c r="N27" s="2077" t="n">
        <v>3.149999999999999</v>
      </c>
    </row>
    <row r="28" ht="21.75" customHeight="1">
      <c r="A28" s="818" t="inlineStr">
        <is>
          <t xml:space="preserve">Fechamento removível de vãos em madeira </t>
        </is>
      </c>
      <c r="B28" s="819" t="n"/>
      <c r="C28" s="819" t="n"/>
      <c r="D28" s="2076" t="n"/>
      <c r="E28" s="821" t="n"/>
      <c r="F28" s="821" t="n"/>
      <c r="G28" s="821" t="n"/>
      <c r="H28" s="822" t="n"/>
      <c r="J28" s="801" t="n"/>
      <c r="K28" s="823">
        <f>'Dados Base'!$C$29</f>
        <v/>
      </c>
      <c r="L28" s="2077" t="n">
        <v>303.57</v>
      </c>
      <c r="M28" s="2077" t="n">
        <v>108.2</v>
      </c>
      <c r="N28" s="2077" t="n">
        <v>3.149999999999999</v>
      </c>
    </row>
    <row r="29" ht="21.75" customHeight="1" thickBot="1">
      <c r="A29" s="840" t="n"/>
      <c r="B29" s="826" t="n"/>
      <c r="C29" s="826" t="n"/>
      <c r="D29" s="2078" t="n"/>
      <c r="E29" s="828" t="n"/>
      <c r="F29" s="828" t="n"/>
      <c r="G29" s="828" t="n"/>
      <c r="H29" s="829" t="n"/>
      <c r="J29" s="801" t="n"/>
      <c r="K29" s="823">
        <f>'Dados Base'!$C$29</f>
        <v/>
      </c>
      <c r="L29" s="2077" t="n">
        <v>303.57</v>
      </c>
      <c r="M29" s="2077" t="n">
        <v>108.2</v>
      </c>
      <c r="N29" s="2077" t="n">
        <v>3.149999999999999</v>
      </c>
    </row>
    <row r="30" ht="21.75" customHeight="1">
      <c r="A30" s="840" t="n"/>
      <c r="B30" s="841" t="inlineStr">
        <is>
          <t>Descrição</t>
        </is>
      </c>
      <c r="C30" s="842" t="inlineStr">
        <is>
          <t>Unidade</t>
        </is>
      </c>
      <c r="D30" s="2084" t="inlineStr">
        <is>
          <t>Quantidade</t>
        </is>
      </c>
      <c r="E30" s="828" t="n"/>
      <c r="F30" s="828" t="n"/>
      <c r="G30" s="828" t="n"/>
      <c r="H30" s="829" t="n"/>
      <c r="J30" s="801" t="n"/>
      <c r="K30" s="823">
        <f>'Dados Base'!$C$29</f>
        <v/>
      </c>
      <c r="L30" s="2077" t="n">
        <v>303.57</v>
      </c>
      <c r="M30" s="2077" t="n">
        <v>108.2</v>
      </c>
      <c r="N30" s="2077" t="n">
        <v>3.149999999999999</v>
      </c>
    </row>
    <row r="31" ht="21.75" customHeight="1">
      <c r="A31" s="840" t="n"/>
      <c r="B31" s="833" t="inlineStr">
        <is>
          <t>Área das portas de elevadores  De Carro</t>
        </is>
      </c>
      <c r="C31" s="2080" t="inlineStr">
        <is>
          <t>m2</t>
        </is>
      </c>
      <c r="D31" s="2096">
        <f>2.5*2.4</f>
        <v/>
      </c>
      <c r="E31" s="828" t="n"/>
      <c r="F31" s="828" t="n"/>
      <c r="G31" s="828" t="n"/>
      <c r="H31" s="829" t="n"/>
      <c r="J31" s="801" t="n"/>
      <c r="K31" s="823">
        <f>'Dados Base'!$C$29</f>
        <v/>
      </c>
      <c r="L31" s="2077" t="n">
        <v>303.57</v>
      </c>
      <c r="M31" s="2077" t="n">
        <v>108.2</v>
      </c>
      <c r="N31" s="2077" t="n">
        <v>3.149999999999999</v>
      </c>
    </row>
    <row r="32" ht="21.75" customHeight="1">
      <c r="A32" s="840" t="n"/>
      <c r="B32" s="833" t="inlineStr">
        <is>
          <t>Área do Piso Elevador</t>
        </is>
      </c>
      <c r="C32" s="2080" t="inlineStr">
        <is>
          <t>m2</t>
        </is>
      </c>
      <c r="D32" s="2096">
        <f>33.7+27.4</f>
        <v/>
      </c>
      <c r="E32" s="828" t="n"/>
      <c r="F32" s="828" t="n"/>
      <c r="G32" s="828" t="n"/>
      <c r="H32" s="829" t="n"/>
      <c r="J32" s="801" t="n"/>
      <c r="K32" s="823">
        <f>'Dados Base'!$C$29</f>
        <v/>
      </c>
      <c r="L32" s="2077" t="n">
        <v>303.57</v>
      </c>
      <c r="M32" s="2077" t="n">
        <v>108.2</v>
      </c>
      <c r="N32" s="2077" t="n">
        <v>3.149999999999999</v>
      </c>
    </row>
    <row r="33" ht="21.75" customHeight="1">
      <c r="A33" s="840" t="n"/>
      <c r="B33" s="833" t="inlineStr">
        <is>
          <t>Quantidade de elevadores</t>
        </is>
      </c>
      <c r="C33" s="2080" t="inlineStr">
        <is>
          <t>un</t>
        </is>
      </c>
      <c r="D33" s="2096" t="n">
        <v>2</v>
      </c>
      <c r="E33" s="828" t="n"/>
      <c r="F33" s="828" t="n"/>
      <c r="G33" s="828" t="n"/>
      <c r="H33" s="829" t="n"/>
      <c r="J33" s="801" t="n"/>
      <c r="K33" s="823">
        <f>'Dados Base'!$C$29</f>
        <v/>
      </c>
      <c r="L33" s="2077" t="n">
        <v>303.57</v>
      </c>
      <c r="M33" s="2077" t="n">
        <v>108.2</v>
      </c>
      <c r="N33" s="2077" t="n">
        <v>3.149999999999999</v>
      </c>
    </row>
    <row r="34" ht="21.75" customHeight="1">
      <c r="A34" s="840" t="n"/>
      <c r="B34" s="833" t="inlineStr">
        <is>
          <t>Quantidade de pavimentos com elevadores</t>
        </is>
      </c>
      <c r="C34" s="2080" t="inlineStr">
        <is>
          <t>un</t>
        </is>
      </c>
      <c r="D34" s="2096" t="n">
        <v>7</v>
      </c>
      <c r="E34" s="828" t="n"/>
      <c r="F34" s="828" t="n"/>
      <c r="G34" s="828" t="n"/>
      <c r="H34" s="829" t="n"/>
      <c r="I34" s="801" t="n"/>
      <c r="J34" s="801" t="n"/>
      <c r="K34" s="823">
        <f>'Dados Base'!$C$29</f>
        <v/>
      </c>
      <c r="L34" s="2077" t="n">
        <v>303.57</v>
      </c>
      <c r="M34" s="2077" t="n">
        <v>108.2</v>
      </c>
      <c r="N34" s="2077" t="n">
        <v>3.149999999999999</v>
      </c>
    </row>
    <row r="35" ht="21.75" customHeight="1">
      <c r="A35" s="840" t="n"/>
      <c r="B35" s="864" t="inlineStr">
        <is>
          <t>Fechamento removível de vãos em madeira de portas de elevador</t>
        </is>
      </c>
      <c r="C35" s="2097" t="inlineStr">
        <is>
          <t>m2</t>
        </is>
      </c>
      <c r="D35" s="2098">
        <f>D31*D34*D33+D32*D34</f>
        <v/>
      </c>
      <c r="E35" s="828" t="n"/>
      <c r="F35" s="828" t="n"/>
      <c r="G35" s="828" t="n"/>
      <c r="H35" s="829" t="n"/>
      <c r="I35" s="801" t="n"/>
      <c r="J35" s="801" t="n"/>
      <c r="K35" s="823">
        <f>'Dados Base'!$C$29</f>
        <v/>
      </c>
      <c r="L35" s="2077" t="n">
        <v>303.57</v>
      </c>
      <c r="M35" s="2077" t="n">
        <v>108.2</v>
      </c>
      <c r="N35" s="2077" t="n">
        <v>3.149999999999999</v>
      </c>
    </row>
    <row r="36" ht="21.75" customHeight="1">
      <c r="A36" s="840" t="n"/>
      <c r="B36" s="833" t="inlineStr">
        <is>
          <t xml:space="preserve">Área das portas de elevadores </t>
        </is>
      </c>
      <c r="C36" s="2080" t="inlineStr">
        <is>
          <t>m2</t>
        </is>
      </c>
      <c r="D36" s="2096">
        <f>2.1*1.2</f>
        <v/>
      </c>
      <c r="E36" s="828" t="n"/>
      <c r="F36" s="828" t="n"/>
      <c r="G36" s="828" t="n"/>
      <c r="H36" s="829" t="n"/>
      <c r="I36" s="801" t="n"/>
      <c r="J36" s="801" t="n"/>
      <c r="K36" s="823">
        <f>'Dados Base'!$C$29</f>
        <v/>
      </c>
      <c r="L36" s="2077" t="n">
        <v>303.57</v>
      </c>
      <c r="M36" s="2077" t="n">
        <v>108.2</v>
      </c>
      <c r="N36" s="2077" t="n">
        <v>3.149999999999999</v>
      </c>
    </row>
    <row r="37" ht="21.75" customHeight="1">
      <c r="A37" s="840" t="n"/>
      <c r="B37" s="833" t="inlineStr">
        <is>
          <t>Área do Piso Elevador</t>
        </is>
      </c>
      <c r="C37" s="2080" t="inlineStr">
        <is>
          <t>m2</t>
        </is>
      </c>
      <c r="D37" s="2096">
        <f>3.78+3.83*2</f>
        <v/>
      </c>
      <c r="E37" s="828" t="n"/>
      <c r="F37" s="828" t="n"/>
      <c r="G37" s="828" t="n"/>
      <c r="H37" s="829" t="n"/>
      <c r="I37" s="801" t="n"/>
      <c r="J37" s="801" t="n"/>
      <c r="K37" s="823">
        <f>'Dados Base'!$C$29</f>
        <v/>
      </c>
      <c r="L37" s="2077" t="n">
        <v>303.57</v>
      </c>
      <c r="M37" s="2077" t="n">
        <v>108.2</v>
      </c>
      <c r="N37" s="2077" t="n">
        <v>3.149999999999999</v>
      </c>
    </row>
    <row r="38" ht="21.75" customHeight="1">
      <c r="A38" s="840" t="n"/>
      <c r="B38" s="833" t="inlineStr">
        <is>
          <t>Quantidade de elevadores</t>
        </is>
      </c>
      <c r="C38" s="2080" t="inlineStr">
        <is>
          <t>un</t>
        </is>
      </c>
      <c r="D38" s="2096" t="n">
        <v>3</v>
      </c>
      <c r="E38" s="828" t="n"/>
      <c r="F38" s="828" t="n"/>
      <c r="G38" s="828" t="n"/>
      <c r="H38" s="829" t="n"/>
      <c r="I38" s="801" t="n"/>
      <c r="J38" s="801" t="n"/>
      <c r="K38" s="823">
        <f>'Dados Base'!$C$29</f>
        <v/>
      </c>
      <c r="L38" s="2077" t="n">
        <v>303.57</v>
      </c>
      <c r="M38" s="2077" t="n">
        <v>108.2</v>
      </c>
      <c r="N38" s="2077" t="n">
        <v>3.149999999999999</v>
      </c>
    </row>
    <row r="39" ht="21.75" customHeight="1">
      <c r="A39" s="840" t="n"/>
      <c r="B39" s="833" t="inlineStr">
        <is>
          <t>Quantidade de pavimentos com elevadores</t>
        </is>
      </c>
      <c r="C39" s="2080" t="inlineStr">
        <is>
          <t>un</t>
        </is>
      </c>
      <c r="D39" s="2096">
        <f>COUNTA(K6:K45)</f>
        <v/>
      </c>
      <c r="E39" s="828" t="n"/>
      <c r="F39" s="828" t="n"/>
      <c r="G39" s="828" t="n"/>
      <c r="H39" s="829" t="n"/>
      <c r="I39" s="801" t="n"/>
      <c r="J39" s="801" t="n"/>
      <c r="K39" s="823">
        <f>'Dados Base'!$C$29</f>
        <v/>
      </c>
      <c r="L39" s="2077" t="n">
        <v>303.57</v>
      </c>
      <c r="M39" s="2077" t="n">
        <v>108.2</v>
      </c>
      <c r="N39" s="2077" t="n">
        <v>3.149999999999999</v>
      </c>
    </row>
    <row r="40" ht="21.75" customHeight="1">
      <c r="A40" s="840" t="n"/>
      <c r="B40" s="864" t="inlineStr">
        <is>
          <t>Fechamento removível de vãos em madeira de portas de elevador</t>
        </is>
      </c>
      <c r="C40" s="2097" t="inlineStr">
        <is>
          <t>m2</t>
        </is>
      </c>
      <c r="D40" s="2098">
        <f>D36*D39*D38+D37*D39</f>
        <v/>
      </c>
      <c r="E40" s="828" t="n"/>
      <c r="F40" s="828" t="n"/>
      <c r="G40" s="828" t="n"/>
      <c r="H40" s="829" t="n"/>
      <c r="I40" s="801" t="n"/>
      <c r="J40" s="801" t="n"/>
      <c r="K40" s="823">
        <f>'Dados Base'!$C$29</f>
        <v/>
      </c>
      <c r="L40" s="2077" t="n">
        <v>303.57</v>
      </c>
      <c r="M40" s="2077" t="n">
        <v>108.2</v>
      </c>
      <c r="N40" s="2077" t="n">
        <v>3.149999999999999</v>
      </c>
    </row>
    <row r="41" ht="21.75" customHeight="1">
      <c r="A41" s="840" t="n"/>
      <c r="B41" s="826" t="n"/>
      <c r="C41" s="826" t="n"/>
      <c r="D41" s="2078" t="n"/>
      <c r="E41" s="828" t="n"/>
      <c r="F41" s="828" t="n"/>
      <c r="G41" s="828" t="n"/>
      <c r="H41" s="829" t="n"/>
      <c r="J41" s="801" t="n"/>
      <c r="K41" s="823">
        <f>'Dados Base'!$C$29</f>
        <v/>
      </c>
      <c r="L41" s="2077" t="n">
        <v>303.57</v>
      </c>
      <c r="M41" s="2077" t="n">
        <v>108.2</v>
      </c>
      <c r="N41" s="2077" t="n">
        <v>3.149999999999999</v>
      </c>
    </row>
    <row r="42" ht="21.75" customHeight="1">
      <c r="A42" s="818" t="inlineStr">
        <is>
          <t>Tela fachadeira</t>
        </is>
      </c>
      <c r="B42" s="819" t="n"/>
      <c r="C42" s="819" t="n"/>
      <c r="D42" s="2076" t="n"/>
      <c r="E42" s="821" t="n"/>
      <c r="F42" s="821" t="n"/>
      <c r="G42" s="821" t="n"/>
      <c r="H42" s="822" t="n"/>
      <c r="J42" s="801" t="n"/>
      <c r="K42" s="823">
        <f>'Dados Base'!$C$29</f>
        <v/>
      </c>
      <c r="L42" s="2077" t="n">
        <v>303.57</v>
      </c>
      <c r="M42" s="2077" t="n">
        <v>108.2</v>
      </c>
      <c r="N42" s="2077" t="n">
        <v>3.149999999999999</v>
      </c>
    </row>
    <row r="43" ht="21.75" customHeight="1" thickBot="1">
      <c r="A43" s="840" t="n"/>
      <c r="B43" s="826" t="n"/>
      <c r="C43" s="826" t="n"/>
      <c r="D43" s="2078" t="n"/>
      <c r="E43" s="828" t="n"/>
      <c r="F43" s="828" t="n"/>
      <c r="G43" s="828" t="n"/>
      <c r="H43" s="829" t="n"/>
      <c r="J43" s="801" t="n"/>
      <c r="K43" s="823">
        <f>'Dados Base'!$C$30</f>
        <v/>
      </c>
      <c r="L43" s="2077" t="n">
        <v>303.57</v>
      </c>
      <c r="M43" s="2077" t="n">
        <v>108.2</v>
      </c>
      <c r="N43" s="2077" t="n">
        <v>3.149999999999999</v>
      </c>
    </row>
    <row r="44" ht="21.75" customHeight="1">
      <c r="A44" s="840" t="n"/>
      <c r="B44" s="830" t="inlineStr">
        <is>
          <t>Descrição</t>
        </is>
      </c>
      <c r="C44" s="831" t="inlineStr">
        <is>
          <t>Unidade</t>
        </is>
      </c>
      <c r="D44" s="2079" t="inlineStr">
        <is>
          <t>Quantidade</t>
        </is>
      </c>
      <c r="E44" s="828" t="n"/>
      <c r="F44" s="828" t="n"/>
      <c r="G44" s="828" t="n"/>
      <c r="H44" s="829" t="n"/>
      <c r="J44" s="801" t="n"/>
      <c r="K44" s="823">
        <f>'Dados Base'!C31</f>
        <v/>
      </c>
      <c r="L44" s="2077" t="n">
        <v>292.96</v>
      </c>
      <c r="M44" s="2077" t="n">
        <v>108.2</v>
      </c>
      <c r="N44" s="2077" t="n">
        <v>3.150000000000006</v>
      </c>
    </row>
    <row r="45" ht="21.75" customHeight="1">
      <c r="A45" s="840" t="n"/>
      <c r="B45" s="867" t="inlineStr">
        <is>
          <t>Area da fachada</t>
        </is>
      </c>
      <c r="C45" s="2099" t="inlineStr">
        <is>
          <t>m²</t>
        </is>
      </c>
      <c r="D45" s="2100">
        <f>SUMPRODUCT($M$5:$M$48,$N$5:$N$48)</f>
        <v/>
      </c>
      <c r="E45" s="828" t="n"/>
      <c r="F45" s="828" t="n"/>
      <c r="G45" s="828" t="n"/>
      <c r="H45" s="829" t="n"/>
      <c r="J45" s="801" t="n"/>
      <c r="K45" s="823">
        <f>'Dados Base'!C32</f>
        <v/>
      </c>
      <c r="L45" s="2077" t="n">
        <v>278.8</v>
      </c>
      <c r="M45" s="2077" t="n">
        <v>108.2</v>
      </c>
      <c r="N45" s="2077" t="n">
        <v>3.239999999999995</v>
      </c>
    </row>
    <row r="46" ht="21.75" customHeight="1">
      <c r="A46" s="840" t="n"/>
      <c r="B46" s="870">
        <f>A42</f>
        <v/>
      </c>
      <c r="C46" s="2101" t="inlineStr">
        <is>
          <t>m2</t>
        </is>
      </c>
      <c r="D46" s="2102">
        <f>D45</f>
        <v/>
      </c>
      <c r="E46" s="828" t="n"/>
      <c r="F46" s="828" t="n"/>
      <c r="G46" s="828" t="n"/>
      <c r="H46" s="829" t="n"/>
      <c r="J46" s="801" t="n"/>
      <c r="K46" s="823">
        <f>'Dados Base'!$B$33&amp;" - "&amp;'Dados Base'!$C$33</f>
        <v/>
      </c>
      <c r="L46" s="2077" t="n">
        <v>73.72</v>
      </c>
      <c r="M46" s="2077" t="n">
        <v>81.12</v>
      </c>
      <c r="N46" s="2077" t="n">
        <v>3.239999999999981</v>
      </c>
    </row>
    <row r="47" ht="21.75" customHeight="1">
      <c r="A47" s="840" t="n"/>
      <c r="B47" s="826" t="n"/>
      <c r="C47" s="826" t="n"/>
      <c r="D47" s="2078" t="n"/>
      <c r="E47" s="828" t="n"/>
      <c r="F47" s="828" t="n"/>
      <c r="G47" s="828" t="n"/>
      <c r="H47" s="829" t="n"/>
      <c r="J47" s="801" t="n"/>
      <c r="K47" s="823">
        <f>'Dados Base'!B34&amp;" - "&amp;'Dados Base'!$C$34</f>
        <v/>
      </c>
      <c r="L47" s="2077" t="n">
        <v>73.72</v>
      </c>
      <c r="M47" s="2077" t="n">
        <v>39.16</v>
      </c>
      <c r="N47" s="2077" t="n">
        <v>2</v>
      </c>
    </row>
    <row r="48" ht="21.75" customHeight="1">
      <c r="A48" s="818" t="inlineStr">
        <is>
          <t>SLQA</t>
        </is>
      </c>
      <c r="B48" s="819" t="n"/>
      <c r="C48" s="819" t="n"/>
      <c r="D48" s="2076" t="n"/>
      <c r="E48" s="821" t="n"/>
      <c r="F48" s="821" t="n"/>
      <c r="G48" s="821" t="n"/>
      <c r="H48" s="822" t="n"/>
      <c r="I48" s="801" t="n"/>
      <c r="J48" s="801" t="n"/>
      <c r="K48" s="823">
        <f>'Dados Base'!$B$35&amp;" - "&amp;'Dados Base'!$C$35</f>
        <v/>
      </c>
      <c r="L48" s="2077" t="n">
        <v>73.72</v>
      </c>
      <c r="M48" s="2077" t="n">
        <v>39.16</v>
      </c>
      <c r="N48" s="2077" t="n">
        <v>2.5</v>
      </c>
    </row>
    <row r="49" ht="21.75" customHeight="1" thickBot="1">
      <c r="A49" s="840" t="n"/>
      <c r="B49" s="826" t="n"/>
      <c r="C49" s="826" t="n"/>
      <c r="D49" s="2078" t="n"/>
      <c r="E49" s="828" t="n"/>
      <c r="F49" s="828" t="n"/>
      <c r="G49" s="828" t="n"/>
      <c r="H49" s="829" t="n"/>
      <c r="I49" s="801" t="n"/>
      <c r="J49" s="801" t="n"/>
      <c r="K49" s="801" t="n"/>
      <c r="L49" s="801" t="n"/>
      <c r="M49" s="801" t="n"/>
      <c r="N49" s="801" t="n"/>
    </row>
    <row r="50" ht="21.75" customHeight="1">
      <c r="A50" s="840" t="n"/>
      <c r="B50" s="830" t="inlineStr">
        <is>
          <t>Descrição</t>
        </is>
      </c>
      <c r="C50" s="831" t="inlineStr">
        <is>
          <t>Unidade</t>
        </is>
      </c>
      <c r="D50" s="2079" t="inlineStr">
        <is>
          <t>Quantidade</t>
        </is>
      </c>
      <c r="E50" s="828" t="n"/>
      <c r="F50" s="828" t="n"/>
      <c r="G50" s="828" t="n"/>
      <c r="H50" s="829" t="n"/>
      <c r="I50" s="801" t="n"/>
      <c r="J50" s="801" t="n"/>
      <c r="K50" s="801" t="n"/>
      <c r="L50" s="801" t="n"/>
      <c r="M50" s="801" t="n"/>
      <c r="N50" s="801" t="n"/>
    </row>
    <row r="51" ht="21.75" customHeight="1">
      <c r="A51" s="840" t="n"/>
      <c r="B51" s="833" t="inlineStr">
        <is>
          <t>Perímetro de projeção da torre 1</t>
        </is>
      </c>
      <c r="C51" s="2080" t="inlineStr">
        <is>
          <t>m</t>
        </is>
      </c>
      <c r="D51" s="2103">
        <f>M25*1+M10*30</f>
        <v/>
      </c>
      <c r="E51" s="828" t="n"/>
      <c r="F51" s="828" t="n"/>
      <c r="G51" s="828" t="n"/>
      <c r="H51" s="829" t="n"/>
      <c r="I51" s="801" t="n"/>
      <c r="J51" s="801" t="n"/>
    </row>
    <row r="52" ht="21.75" customHeight="1">
      <c r="A52" s="840" t="n"/>
      <c r="B52" s="833" t="inlineStr">
        <is>
          <t>Altura de cobrimento da tela</t>
        </is>
      </c>
      <c r="C52" s="2080" t="inlineStr">
        <is>
          <t>un</t>
        </is>
      </c>
      <c r="D52" s="2103" t="n">
        <v>1</v>
      </c>
      <c r="E52" s="828" t="n"/>
      <c r="F52" s="828" t="n"/>
      <c r="G52" s="828" t="n"/>
      <c r="H52" s="829" t="n"/>
      <c r="I52" s="801" t="n"/>
      <c r="J52" s="801" t="n"/>
    </row>
    <row r="53" ht="21.75" customHeight="1">
      <c r="A53" s="840" t="n"/>
      <c r="B53" s="870">
        <f>A48</f>
        <v/>
      </c>
      <c r="C53" s="2101" t="inlineStr">
        <is>
          <t>m</t>
        </is>
      </c>
      <c r="D53" s="2102">
        <f>D51*D52</f>
        <v/>
      </c>
      <c r="E53" s="828" t="n"/>
      <c r="F53" s="828" t="n"/>
      <c r="G53" s="828" t="n"/>
      <c r="H53" s="829" t="n"/>
      <c r="I53" s="801" t="n"/>
      <c r="J53" s="801" t="n"/>
    </row>
    <row r="54" ht="21.75" customHeight="1">
      <c r="A54" s="840" t="n"/>
      <c r="B54" s="826" t="n"/>
      <c r="C54" s="826" t="n"/>
      <c r="D54" s="2078" t="n"/>
      <c r="E54" s="828" t="n"/>
      <c r="F54" s="828" t="n"/>
      <c r="G54" s="828" t="n"/>
      <c r="H54" s="829" t="n"/>
      <c r="I54" s="801" t="n"/>
      <c r="J54" s="801" t="n"/>
    </row>
    <row r="55" ht="21.75" customHeight="1" thickBot="1">
      <c r="A55" s="874" t="n"/>
      <c r="B55" s="875" t="n"/>
      <c r="C55" s="875" t="n"/>
      <c r="D55" s="2104" t="n"/>
      <c r="E55" s="877" t="n"/>
      <c r="F55" s="877" t="n"/>
      <c r="G55" s="877" t="n"/>
      <c r="H55" s="878" t="n"/>
      <c r="I55" s="801" t="n"/>
      <c r="J55" s="801" t="n"/>
    </row>
    <row r="56" ht="21.75" customHeight="1">
      <c r="A56" s="818" t="inlineStr">
        <is>
          <t>Tapume</t>
        </is>
      </c>
      <c r="B56" s="819" t="n"/>
      <c r="C56" s="819" t="n"/>
      <c r="D56" s="2076" t="n"/>
      <c r="E56" s="821" t="n"/>
      <c r="F56" s="821" t="n"/>
      <c r="G56" s="821" t="n"/>
      <c r="H56" s="822" t="n"/>
      <c r="J56" s="801" t="n"/>
    </row>
    <row r="57" ht="21.75" customHeight="1" thickBot="1">
      <c r="A57" s="840" t="n"/>
      <c r="B57" s="826" t="n"/>
      <c r="C57" s="826" t="n"/>
      <c r="D57" s="2078" t="n"/>
      <c r="E57" s="828" t="n"/>
      <c r="F57" s="828" t="n"/>
      <c r="G57" s="828" t="n"/>
      <c r="H57" s="829" t="n"/>
      <c r="J57" s="801" t="n"/>
      <c r="K57" s="801" t="n"/>
      <c r="L57" s="801" t="n"/>
      <c r="M57" s="801" t="n"/>
      <c r="N57" s="801" t="n"/>
    </row>
    <row r="58" ht="21.75" customHeight="1">
      <c r="A58" s="840" t="n"/>
      <c r="B58" s="830" t="inlineStr">
        <is>
          <t>Descrição</t>
        </is>
      </c>
      <c r="C58" s="831" t="inlineStr">
        <is>
          <t>Unidade</t>
        </is>
      </c>
      <c r="D58" s="2079" t="inlineStr">
        <is>
          <t>Quantidade</t>
        </is>
      </c>
      <c r="E58" s="828" t="n"/>
      <c r="F58" s="828" t="n"/>
      <c r="G58" s="828" t="n"/>
      <c r="H58" s="829" t="n"/>
      <c r="J58" s="801" t="n"/>
      <c r="K58" s="801" t="n"/>
      <c r="L58" s="801" t="n"/>
      <c r="M58" s="801" t="n"/>
      <c r="N58" s="801" t="n"/>
    </row>
    <row r="59" ht="21.75" customHeight="1">
      <c r="A59" s="840" t="n"/>
      <c r="B59" s="867" t="inlineStr">
        <is>
          <t>Perímetro de encontro com pavimentação</t>
        </is>
      </c>
      <c r="C59" s="2099" t="inlineStr">
        <is>
          <t>m</t>
        </is>
      </c>
      <c r="D59" s="2105">
        <f>(65+15)*2</f>
        <v/>
      </c>
      <c r="E59" s="828" t="n"/>
      <c r="F59" s="828" t="n"/>
      <c r="G59" s="828" t="n"/>
      <c r="H59" s="829" t="n"/>
      <c r="J59" s="801" t="n"/>
      <c r="K59" s="801" t="n"/>
      <c r="L59" s="801" t="n"/>
      <c r="M59" s="801" t="n"/>
      <c r="N59" s="801" t="n"/>
    </row>
    <row r="60" ht="21.75" customHeight="1">
      <c r="A60" s="840" t="n"/>
      <c r="B60" s="880" t="inlineStr">
        <is>
          <t>Altura do tapume</t>
        </is>
      </c>
      <c r="C60" s="2106" t="inlineStr">
        <is>
          <t>m</t>
        </is>
      </c>
      <c r="D60" s="2100" t="n">
        <v>2.4</v>
      </c>
      <c r="E60" s="828" t="n"/>
      <c r="F60" s="828" t="n"/>
      <c r="G60" s="828" t="n"/>
      <c r="H60" s="829" t="n"/>
      <c r="J60" s="801" t="n"/>
      <c r="K60" s="801" t="n"/>
      <c r="L60" s="801" t="n"/>
      <c r="M60" s="801" t="n"/>
      <c r="N60" s="801" t="n"/>
    </row>
    <row r="61" ht="21.75" customHeight="1">
      <c r="A61" s="840" t="n"/>
      <c r="B61" s="870">
        <f>A56</f>
        <v/>
      </c>
      <c r="C61" s="2101" t="inlineStr">
        <is>
          <t>m2</t>
        </is>
      </c>
      <c r="D61" s="2102">
        <f>D60*D59</f>
        <v/>
      </c>
      <c r="E61" s="828" t="n"/>
      <c r="F61" s="828" t="n"/>
      <c r="G61" s="828" t="n"/>
      <c r="H61" s="829" t="n"/>
      <c r="J61" s="801" t="n"/>
      <c r="K61" s="801" t="n"/>
      <c r="L61" s="801" t="n"/>
      <c r="M61" s="801" t="n"/>
      <c r="N61" s="801" t="n"/>
    </row>
    <row r="62" ht="21.75" customHeight="1">
      <c r="A62" s="840" t="n"/>
      <c r="B62" s="826" t="n"/>
      <c r="C62" s="826" t="n"/>
      <c r="D62" s="2078" t="n"/>
      <c r="E62" s="828" t="n"/>
      <c r="F62" s="828" t="n"/>
      <c r="G62" s="828" t="n"/>
      <c r="H62" s="829" t="n"/>
      <c r="I62" s="801" t="n"/>
      <c r="J62" s="801" t="n"/>
      <c r="K62" s="801" t="n"/>
      <c r="L62" s="801" t="n"/>
      <c r="M62" s="801" t="n"/>
      <c r="N62" s="801" t="n"/>
    </row>
    <row r="63" ht="21.75" customHeight="1">
      <c r="A63" s="818" t="inlineStr">
        <is>
          <t>Linha de Vida</t>
        </is>
      </c>
      <c r="B63" s="819" t="n"/>
      <c r="C63" s="819" t="n"/>
      <c r="D63" s="2076" t="n"/>
      <c r="E63" s="821" t="n"/>
      <c r="F63" s="821" t="n"/>
      <c r="G63" s="821" t="n"/>
      <c r="H63" s="822" t="n"/>
      <c r="I63" s="801" t="n"/>
      <c r="J63" s="801" t="n"/>
      <c r="K63" s="801" t="n"/>
      <c r="L63" s="801" t="n"/>
      <c r="M63" s="801" t="n"/>
      <c r="N63" s="801" t="n"/>
    </row>
    <row r="64" ht="21.75" customHeight="1" thickBot="1">
      <c r="A64" s="840" t="n"/>
      <c r="B64" s="826" t="n"/>
      <c r="C64" s="826" t="n"/>
      <c r="D64" s="2078" t="n"/>
      <c r="E64" s="828" t="n"/>
      <c r="F64" s="828" t="n"/>
      <c r="G64" s="828" t="n"/>
      <c r="H64" s="829" t="n"/>
      <c r="I64" s="801" t="n"/>
      <c r="J64" s="801" t="n"/>
      <c r="K64" s="801" t="n"/>
      <c r="L64" s="801" t="n"/>
      <c r="M64" s="801" t="n"/>
      <c r="N64" s="801" t="n"/>
    </row>
    <row r="65" ht="21.75" customHeight="1">
      <c r="A65" s="840" t="n"/>
      <c r="B65" s="830" t="inlineStr">
        <is>
          <t>Descrição</t>
        </is>
      </c>
      <c r="C65" s="831" t="inlineStr">
        <is>
          <t>Unidade</t>
        </is>
      </c>
      <c r="D65" s="2079" t="inlineStr">
        <is>
          <t>Quantidade</t>
        </is>
      </c>
      <c r="E65" s="828" t="n"/>
      <c r="F65" s="828" t="n"/>
      <c r="G65" s="828" t="n"/>
      <c r="H65" s="829" t="n"/>
      <c r="I65" s="801" t="n"/>
      <c r="J65" s="801" t="n"/>
      <c r="K65" s="801" t="n"/>
      <c r="L65" s="801" t="n"/>
      <c r="M65" s="801" t="n"/>
      <c r="N65" s="801" t="n"/>
    </row>
    <row r="66" ht="21.75" customHeight="1">
      <c r="A66" s="840" t="n"/>
      <c r="B66" s="833" t="inlineStr">
        <is>
          <t xml:space="preserve">Perímetro de Pavimentos </t>
        </is>
      </c>
      <c r="C66" s="2080" t="inlineStr">
        <is>
          <t>m</t>
        </is>
      </c>
      <c r="D66" s="2107">
        <f>D26</f>
        <v/>
      </c>
      <c r="E66" s="828" t="n"/>
      <c r="F66" s="828" t="n"/>
      <c r="G66" s="828" t="n"/>
      <c r="H66" s="829" t="n"/>
      <c r="I66" s="801" t="n"/>
      <c r="J66" s="801" t="n"/>
      <c r="K66" s="801" t="n"/>
      <c r="L66" s="801" t="n"/>
      <c r="M66" s="801" t="n"/>
      <c r="N66" s="801" t="n"/>
    </row>
    <row r="67" ht="21.75" customHeight="1">
      <c r="A67" s="840" t="n"/>
      <c r="B67" s="870">
        <f>A63</f>
        <v/>
      </c>
      <c r="C67" s="2101" t="inlineStr">
        <is>
          <t>m</t>
        </is>
      </c>
      <c r="D67" s="2102">
        <f>D66</f>
        <v/>
      </c>
      <c r="E67" s="828" t="n"/>
      <c r="F67" s="828" t="n"/>
      <c r="G67" s="828" t="n"/>
      <c r="H67" s="829" t="n"/>
      <c r="I67" s="801" t="n"/>
      <c r="J67" s="801" t="n"/>
      <c r="K67" s="801" t="n"/>
      <c r="L67" s="801" t="n"/>
      <c r="M67" s="801" t="n"/>
      <c r="N67" s="801" t="n"/>
    </row>
    <row r="68" ht="21.75" customHeight="1"/>
    <row r="69" ht="21.75" customHeight="1"/>
    <row r="70" ht="9.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ht="15" customHeight="1"/>
    <row r="1090" ht="15" customHeight="1"/>
    <row r="1091" ht="15" customHeight="1"/>
    <row r="1092" ht="15" customHeight="1"/>
    <row r="1093" ht="15" customHeight="1"/>
    <row r="1094" ht="15" customHeight="1"/>
    <row r="1095" ht="15" customHeight="1"/>
    <row r="1096" ht="15" customHeight="1"/>
    <row r="1097" ht="15" customHeight="1"/>
    <row r="1098" ht="15" customHeight="1"/>
    <row r="1099" ht="15"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5"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5"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5" customHeight="1"/>
    <row r="1228" ht="15" customHeight="1"/>
    <row r="1229" ht="15" customHeight="1"/>
    <row r="1230" ht="15" customHeight="1"/>
    <row r="1231" ht="15" customHeight="1"/>
    <row r="1232" ht="15" customHeight="1"/>
    <row r="1233" ht="15" customHeight="1"/>
    <row r="1234" ht="15" customHeight="1"/>
    <row r="1235" ht="15"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5" customHeight="1"/>
    <row r="1253" ht="15" customHeight="1"/>
    <row r="1254" ht="15" customHeight="1"/>
    <row r="1255" ht="15" customHeight="1"/>
    <row r="1256" ht="15"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5" customHeight="1"/>
    <row r="1276" ht="15" customHeight="1"/>
    <row r="1277" ht="15" customHeight="1"/>
    <row r="1278" ht="15" customHeight="1"/>
    <row r="1279" ht="15" customHeight="1"/>
    <row r="1280" ht="15" customHeight="1"/>
    <row r="1281" ht="15" customHeight="1"/>
    <row r="1282" ht="15" customHeight="1"/>
    <row r="1283" ht="15" customHeight="1"/>
    <row r="1284" ht="15" customHeight="1"/>
    <row r="1285" ht="15" customHeight="1"/>
    <row r="1286" ht="15" customHeight="1"/>
    <row r="1287" ht="15" customHeight="1"/>
    <row r="1288" ht="15" customHeight="1"/>
    <row r="1289" ht="15" customHeight="1"/>
    <row r="1290" ht="15" customHeight="1"/>
    <row r="1291" ht="15" customHeight="1"/>
    <row r="1292" ht="15" customHeight="1"/>
    <row r="1293" ht="15" customHeight="1"/>
    <row r="1294" ht="15" customHeight="1"/>
    <row r="1295" ht="15" customHeight="1"/>
    <row r="1296" ht="15" customHeight="1"/>
    <row r="1297" ht="15" customHeight="1"/>
    <row r="1298" ht="15" customHeight="1"/>
    <row r="1299" ht="15" customHeight="1"/>
    <row r="1300" ht="15" customHeight="1"/>
    <row r="1301" ht="15" customHeight="1"/>
    <row r="1302" ht="15" customHeight="1"/>
    <row r="1303" ht="15" customHeight="1"/>
    <row r="1304" ht="15" customHeight="1"/>
    <row r="1305" ht="15" customHeight="1"/>
    <row r="1306"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5"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5" customHeight="1"/>
    <row r="1495" ht="15" customHeight="1"/>
    <row r="1496" ht="15" customHeight="1"/>
    <row r="1497" ht="15" customHeight="1"/>
    <row r="1498" ht="15" customHeight="1"/>
    <row r="1499" ht="15" customHeight="1"/>
    <row r="1500" ht="15" customHeight="1"/>
    <row r="1501" ht="15" customHeight="1"/>
    <row r="1502" ht="15" customHeight="1"/>
    <row r="1503" ht="15" customHeight="1"/>
    <row r="1504"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5" customHeight="1"/>
    <row r="1585" ht="15"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5" customHeight="1"/>
    <row r="1697" ht="15"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728" ht="15" customHeight="1"/>
    <row r="1729" ht="15" customHeight="1"/>
    <row r="1730" ht="15" customHeight="1"/>
    <row r="1731" ht="15"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5"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5"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5"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5" customHeight="1"/>
    <row r="1960" ht="15" customHeight="1"/>
    <row r="1961" ht="15" customHeight="1"/>
    <row r="1962" ht="15" customHeight="1"/>
    <row r="1963" ht="15" customHeight="1"/>
    <row r="1964" ht="15" customHeight="1"/>
    <row r="1965" ht="15" customHeight="1"/>
    <row r="1966" ht="15" customHeight="1"/>
    <row r="1967" ht="15" customHeight="1"/>
    <row r="1968" ht="15" customHeight="1"/>
    <row r="1969" ht="15" customHeight="1"/>
    <row r="1970" ht="15" customHeight="1"/>
    <row r="1971" ht="15" customHeight="1"/>
    <row r="1972" ht="15" customHeight="1"/>
    <row r="1973" ht="15" customHeight="1"/>
    <row r="1974" ht="15" customHeight="1"/>
    <row r="1975" ht="15" customHeight="1"/>
    <row r="1976" ht="15" customHeight="1"/>
    <row r="1977" ht="15" customHeight="1"/>
    <row r="1978" ht="15" customHeight="1"/>
    <row r="1979" ht="15"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4" ht="15" customHeight="1"/>
    <row r="2005" ht="15" customHeight="1"/>
    <row r="2006" ht="15" customHeight="1"/>
    <row r="2007" ht="15" customHeight="1"/>
    <row r="2008" ht="15" customHeight="1"/>
    <row r="2009" ht="15" customHeight="1"/>
    <row r="2010" ht="15" customHeight="1"/>
    <row r="2011" ht="15" customHeight="1"/>
    <row r="2012" ht="15" customHeight="1"/>
    <row r="2013" ht="15" customHeight="1"/>
    <row r="2014" ht="15" customHeight="1"/>
    <row r="2015" ht="15" customHeight="1"/>
    <row r="2016" ht="15" customHeight="1"/>
    <row r="2017" ht="15" customHeight="1"/>
    <row r="2018" ht="15" customHeight="1"/>
    <row r="2019" ht="15" customHeight="1"/>
    <row r="2020" ht="15" customHeight="1"/>
    <row r="2021" ht="15" customHeight="1"/>
    <row r="2022" ht="15" customHeight="1"/>
    <row r="2023" ht="15" customHeight="1"/>
    <row r="2024" ht="15" customHeight="1"/>
    <row r="2025" ht="15" customHeight="1"/>
    <row r="2026" ht="15" customHeight="1"/>
    <row r="2027" ht="15" customHeight="1"/>
    <row r="2028" ht="15" customHeight="1"/>
    <row r="2029" ht="15" customHeight="1"/>
    <row r="2030" ht="15" customHeight="1"/>
    <row r="2031" ht="15" customHeight="1"/>
    <row r="20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5"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36" ht="15" customHeight="1"/>
    <row r="2337" ht="15" customHeight="1"/>
    <row r="2338" ht="15" customHeight="1"/>
    <row r="2339" ht="15" customHeight="1"/>
    <row r="2340" ht="15" customHeight="1"/>
    <row r="2341" ht="15" customHeight="1"/>
    <row r="2342" ht="15" customHeight="1"/>
    <row r="2343" ht="15" customHeight="1"/>
    <row r="2344" ht="15" customHeight="1"/>
    <row r="2345" ht="15" customHeight="1"/>
    <row r="2346" ht="15" customHeight="1"/>
    <row r="2347" ht="15" customHeight="1"/>
    <row r="2348" ht="15" customHeight="1"/>
    <row r="2349"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5"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5"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5"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5" customHeight="1"/>
    <row r="2463" ht="15"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5"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5"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5"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5"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5"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1"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5"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5"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5"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5"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5"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5"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5"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5"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5"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5"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5" customHeight="1"/>
    <row r="2966" ht="15" customHeight="1"/>
    <row r="2967" ht="15" customHeight="1"/>
    <row r="2968" ht="15" customHeight="1"/>
    <row r="2969" ht="15" customHeight="1"/>
    <row r="2970" ht="15" customHeight="1"/>
    <row r="2971" ht="15" customHeight="1"/>
    <row r="2972" ht="15" customHeight="1"/>
    <row r="2973" ht="15" customHeight="1"/>
    <row r="2974" ht="15" customHeight="1"/>
    <row r="2975" ht="15" customHeight="1"/>
    <row r="2976" ht="15" customHeight="1"/>
    <row r="2977" ht="15" customHeight="1"/>
    <row r="2978" ht="15" customHeight="1"/>
    <row r="2979" ht="15" customHeight="1"/>
    <row r="2980" ht="15" customHeight="1"/>
    <row r="2981" ht="15" customHeight="1"/>
    <row r="2982" ht="15" customHeight="1"/>
    <row r="2983" ht="15" customHeight="1"/>
    <row r="2984" ht="15" customHeight="1"/>
    <row r="2985" ht="15" customHeight="1"/>
    <row r="2986" ht="15" customHeight="1"/>
    <row r="2987" ht="15" customHeight="1"/>
    <row r="2988" ht="15" customHeight="1"/>
    <row r="2989" ht="15" customHeight="1"/>
    <row r="2990" ht="15" customHeight="1"/>
    <row r="2991" ht="15" customHeight="1"/>
    <row r="2992" ht="15" customHeight="1"/>
    <row r="2993" ht="15" customHeight="1"/>
    <row r="2994" ht="15" customHeight="1"/>
    <row r="2995" ht="15" customHeight="1"/>
    <row r="2996" ht="15" customHeight="1"/>
    <row r="2997" ht="15" customHeight="1"/>
    <row r="2998" ht="15" customHeight="1"/>
    <row r="2999" ht="15"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5"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5"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5"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5"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5"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5"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5"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5" customHeight="1"/>
    <row r="3166" ht="15"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5"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5"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5"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5"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5"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5"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5" customHeight="1"/>
    <row r="3295" ht="15" customHeight="1"/>
    <row r="3296" ht="15" customHeight="1"/>
    <row r="3297" ht="15" customHeight="1"/>
    <row r="3298" ht="15" customHeight="1"/>
    <row r="3299" ht="15" customHeight="1"/>
    <row r="3300" ht="15" customHeight="1"/>
    <row r="3301" ht="15" customHeight="1"/>
    <row r="3302" ht="15" customHeight="1"/>
    <row r="3303" ht="15" customHeight="1"/>
    <row r="3304" ht="15" customHeight="1"/>
    <row r="3305" ht="15" customHeight="1"/>
    <row r="3306" ht="15" customHeight="1"/>
    <row r="3307" ht="15" customHeight="1"/>
    <row r="3308" ht="15" customHeight="1"/>
    <row r="3309" ht="15" customHeight="1"/>
    <row r="3310" ht="15" customHeight="1"/>
    <row r="3311" ht="15" customHeight="1"/>
    <row r="3312" ht="15" customHeight="1"/>
    <row r="3313" ht="15" customHeight="1"/>
    <row r="3314" ht="15" customHeight="1"/>
    <row r="3315" ht="15" customHeight="1"/>
    <row r="3316" ht="15" customHeight="1"/>
    <row r="3317" ht="15" customHeight="1"/>
    <row r="3318" ht="15" customHeight="1"/>
    <row r="3319" ht="15" customHeight="1"/>
    <row r="3320" ht="15" customHeight="1"/>
    <row r="3321" ht="15" customHeight="1"/>
    <row r="3322" ht="15" customHeight="1"/>
    <row r="3323" ht="15" customHeight="1"/>
    <row r="3324" ht="15"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5"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5" customHeight="1"/>
    <row r="3353" ht="15" customHeight="1"/>
    <row r="3354" ht="15" customHeight="1"/>
    <row r="3355" ht="15" customHeight="1"/>
    <row r="3356" ht="15" customHeight="1"/>
    <row r="3357" ht="15" customHeight="1"/>
    <row r="3358" ht="15" customHeight="1"/>
    <row r="3359" ht="15" customHeight="1"/>
    <row r="3360" ht="15" customHeight="1"/>
    <row r="3361" ht="15"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5" customHeight="1"/>
    <row r="3379" ht="15" customHeight="1"/>
    <row r="3380" ht="15" customHeight="1"/>
    <row r="3381" ht="15" customHeight="1"/>
    <row r="3382" ht="15" customHeight="1"/>
    <row r="3383" ht="15" customHeight="1"/>
    <row r="3384" ht="15" customHeight="1"/>
    <row r="3385" ht="15"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5" customHeight="1"/>
    <row r="3397" ht="15" customHeight="1"/>
    <row r="3398" ht="15" customHeight="1"/>
    <row r="3399" ht="15"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5" customHeight="1"/>
    <row r="3411" ht="15" customHeight="1"/>
    <row r="3412" ht="15" customHeight="1"/>
    <row r="3413" ht="15" customHeight="1"/>
    <row r="3414" ht="15" customHeight="1"/>
    <row r="3415" ht="15" customHeight="1"/>
    <row r="3416" ht="15" customHeight="1"/>
    <row r="3417" ht="15" customHeight="1"/>
    <row r="3418" ht="15" customHeight="1"/>
    <row r="3419" ht="15" customHeight="1"/>
    <row r="3420" ht="15" customHeight="1"/>
    <row r="3421" ht="15" customHeight="1"/>
    <row r="3422" ht="15" customHeight="1"/>
    <row r="3423" ht="15" customHeight="1"/>
    <row r="3424" ht="15" customHeight="1"/>
    <row r="3425" ht="15" customHeight="1"/>
    <row r="3426" ht="15" customHeight="1"/>
    <row r="3427" ht="15" customHeight="1"/>
    <row r="3428" ht="15" customHeight="1"/>
    <row r="3429" ht="15" customHeight="1"/>
    <row r="3430" ht="15" customHeight="1"/>
    <row r="3431" ht="15" customHeight="1"/>
    <row r="3432" ht="15" customHeight="1"/>
    <row r="3433" ht="15" customHeight="1"/>
    <row r="3434" ht="15" customHeight="1"/>
    <row r="3435" ht="15" customHeight="1"/>
    <row r="3436" ht="15" customHeight="1"/>
    <row r="3437" ht="15" customHeight="1"/>
    <row r="3438" ht="15" customHeight="1"/>
    <row r="3439" ht="15" customHeight="1"/>
    <row r="3440" ht="15" customHeight="1"/>
    <row r="3441" ht="15" customHeight="1"/>
    <row r="3442" ht="15" customHeight="1"/>
    <row r="3443" ht="15" customHeight="1"/>
    <row r="3444" ht="15" customHeight="1"/>
    <row r="3445" ht="15" customHeight="1"/>
    <row r="3446" ht="15" customHeight="1"/>
    <row r="3447" ht="15" customHeight="1"/>
    <row r="3448" ht="15" customHeight="1"/>
    <row r="3449" ht="15"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5"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5" customHeight="1"/>
    <row r="3478" ht="15" customHeight="1"/>
    <row r="3479" ht="15" customHeight="1"/>
    <row r="3480" ht="15" customHeight="1"/>
    <row r="3481" ht="15" customHeight="1"/>
    <row r="3482" ht="15" customHeight="1"/>
    <row r="3483" ht="15" customHeight="1"/>
    <row r="3484" ht="15" customHeight="1"/>
    <row r="3485" ht="15" customHeight="1"/>
    <row r="3486" ht="15"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5" customHeight="1"/>
    <row r="3504" ht="15" customHeight="1"/>
    <row r="3505" ht="15" customHeight="1"/>
    <row r="3506" ht="15" customHeight="1"/>
    <row r="3507" ht="15" customHeight="1"/>
    <row r="3508" ht="15" customHeight="1"/>
    <row r="3509" ht="15" customHeight="1"/>
    <row r="3510" ht="15"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5" customHeight="1"/>
    <row r="3522" ht="15" customHeight="1"/>
    <row r="3523" ht="15" customHeight="1"/>
    <row r="3524" ht="15"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5" customHeight="1"/>
    <row r="3536" ht="15" customHeight="1"/>
    <row r="3537" ht="15" customHeight="1"/>
    <row r="3538" ht="15" customHeight="1"/>
    <row r="3539" ht="15" customHeight="1"/>
    <row r="3540" ht="15" customHeight="1"/>
    <row r="3541" ht="15" customHeight="1"/>
    <row r="3542" ht="15" customHeight="1"/>
    <row r="3543" ht="15" customHeight="1"/>
    <row r="3544" ht="15" customHeight="1"/>
    <row r="3545" ht="15" customHeight="1"/>
    <row r="3546" ht="15" customHeight="1"/>
    <row r="3547" ht="15" customHeight="1"/>
    <row r="3548" ht="15" customHeight="1"/>
    <row r="3549" ht="15" customHeight="1"/>
    <row r="3550" ht="15" customHeight="1"/>
    <row r="3551" ht="15" customHeight="1"/>
    <row r="3552" ht="15" customHeight="1"/>
    <row r="3553" ht="15" customHeight="1"/>
    <row r="3554" ht="15" customHeight="1"/>
    <row r="3555" ht="15" customHeight="1"/>
    <row r="3556" ht="15" customHeight="1"/>
    <row r="3557" ht="15" customHeight="1"/>
    <row r="3558" ht="15" customHeight="1"/>
    <row r="3559" ht="15" customHeight="1"/>
    <row r="3560" ht="15" customHeight="1"/>
    <row r="3561" ht="15" customHeight="1"/>
    <row r="3562" ht="15" customHeight="1"/>
    <row r="3563" ht="15" customHeight="1"/>
    <row r="3564" ht="15" customHeight="1"/>
    <row r="3565" ht="15" customHeight="1"/>
    <row r="3566" ht="15" customHeight="1"/>
    <row r="3567" ht="15" customHeight="1"/>
    <row r="3568" ht="15" customHeight="1"/>
    <row r="3569" ht="15" customHeight="1"/>
    <row r="3570" ht="15" customHeight="1"/>
    <row r="3571" ht="15" customHeight="1"/>
    <row r="3572" ht="15" customHeight="1"/>
    <row r="3573" ht="15" customHeight="1"/>
    <row r="3574" ht="15"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5"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5" customHeight="1"/>
    <row r="3603" ht="15" customHeight="1"/>
    <row r="3604" ht="15" customHeight="1"/>
    <row r="3605" ht="15" customHeight="1"/>
    <row r="3606" ht="15" customHeight="1"/>
    <row r="3607" ht="15" customHeight="1"/>
    <row r="3608" ht="15" customHeight="1"/>
    <row r="3609" ht="15" customHeight="1"/>
    <row r="3610" ht="15" customHeight="1"/>
    <row r="3611" ht="15"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5" customHeight="1"/>
    <row r="3629" ht="15" customHeight="1"/>
    <row r="3630" ht="15" customHeight="1"/>
    <row r="3631" ht="15" customHeight="1"/>
    <row r="3632" ht="15" customHeight="1"/>
    <row r="3633" ht="15" customHeight="1"/>
    <row r="3634" ht="15" customHeight="1"/>
    <row r="3635" ht="15"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5" customHeight="1"/>
    <row r="3647" ht="15" customHeight="1"/>
    <row r="3648" ht="15" customHeight="1"/>
    <row r="3649" ht="15"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5" customHeight="1"/>
    <row r="3661" ht="15" customHeight="1"/>
    <row r="3662" ht="15" customHeight="1"/>
    <row r="3663" ht="15" customHeight="1"/>
    <row r="3664" ht="15" customHeight="1"/>
    <row r="3665" ht="15" customHeight="1"/>
    <row r="3666" ht="15" customHeight="1"/>
    <row r="3667" ht="15" customHeight="1"/>
    <row r="3668" ht="15" customHeight="1"/>
    <row r="3669" ht="15" customHeight="1"/>
    <row r="3670" ht="15" customHeight="1"/>
    <row r="3671" ht="15" customHeight="1"/>
    <row r="3672" ht="15" customHeight="1"/>
    <row r="3673" ht="15" customHeight="1"/>
    <row r="3674" ht="15" customHeight="1"/>
    <row r="3675" ht="15" customHeight="1"/>
    <row r="3676" ht="15" customHeight="1"/>
    <row r="3677" ht="15" customHeight="1"/>
    <row r="3678" ht="15" customHeight="1"/>
    <row r="3679" ht="15" customHeight="1"/>
    <row r="3680" ht="15" customHeight="1"/>
    <row r="3681" ht="15" customHeight="1"/>
    <row r="3682" ht="15" customHeight="1"/>
    <row r="3683" ht="15" customHeight="1"/>
    <row r="3684" ht="15" customHeight="1"/>
    <row r="3685" ht="15" customHeight="1"/>
    <row r="3686" ht="15" customHeight="1"/>
    <row r="3687" ht="15" customHeight="1"/>
    <row r="3688" ht="15" customHeight="1"/>
    <row r="3689" ht="15" customHeight="1"/>
    <row r="3690" ht="15" customHeight="1"/>
    <row r="3691" ht="15" customHeight="1"/>
    <row r="3692" ht="15" customHeight="1"/>
    <row r="3693" ht="15" customHeight="1"/>
    <row r="3694" ht="15" customHeight="1"/>
    <row r="3695" ht="15" customHeight="1"/>
    <row r="3696" ht="15" customHeight="1"/>
    <row r="3697" ht="15" customHeight="1"/>
    <row r="3698" ht="15" customHeight="1"/>
    <row r="3699" ht="15"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5"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5" customHeight="1"/>
    <row r="3728" ht="15" customHeight="1"/>
    <row r="3729" ht="15" customHeight="1"/>
    <row r="3730" ht="15" customHeight="1"/>
    <row r="3731" ht="15" customHeight="1"/>
    <row r="3732" ht="15" customHeight="1"/>
    <row r="3733" ht="15" customHeight="1"/>
    <row r="3734" ht="15" customHeight="1"/>
    <row r="3735" ht="15" customHeight="1"/>
    <row r="3736" ht="15"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5" customHeight="1"/>
    <row r="3754" ht="15" customHeight="1"/>
    <row r="3755" ht="15" customHeight="1"/>
    <row r="3756" ht="15" customHeight="1"/>
    <row r="3757" ht="15" customHeight="1"/>
    <row r="3758" ht="15" customHeight="1"/>
    <row r="3759" ht="15" customHeight="1"/>
    <row r="3760" ht="15"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5" customHeight="1"/>
    <row r="3772" ht="15" customHeight="1"/>
    <row r="3773" ht="15" customHeight="1"/>
    <row r="3774" ht="15"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5" customHeight="1"/>
    <row r="3786" ht="15" customHeight="1"/>
    <row r="3787" ht="15" customHeight="1"/>
    <row r="3788" ht="15" customHeight="1"/>
    <row r="3789" ht="15" customHeight="1"/>
    <row r="3790" ht="15" customHeight="1"/>
    <row r="3791" ht="15" customHeight="1"/>
    <row r="3792" ht="15" customHeight="1"/>
    <row r="3793" ht="15" customHeight="1"/>
    <row r="3794" ht="15" customHeight="1"/>
    <row r="3795" ht="15" customHeight="1"/>
    <row r="3796" ht="15" customHeight="1"/>
    <row r="3797" ht="15" customHeight="1"/>
    <row r="3798" ht="15" customHeight="1"/>
    <row r="3799" ht="15" customHeight="1"/>
    <row r="3800" ht="15" customHeight="1"/>
    <row r="3801" ht="15" customHeight="1"/>
    <row r="3802" ht="15" customHeight="1"/>
    <row r="3803" ht="15" customHeight="1"/>
    <row r="3804" ht="15" customHeight="1"/>
    <row r="3805" ht="15" customHeight="1"/>
    <row r="3806" ht="15" customHeight="1"/>
    <row r="3807" ht="15" customHeight="1"/>
    <row r="3808" ht="15" customHeight="1"/>
    <row r="3809" ht="15" customHeight="1"/>
    <row r="3810" ht="15" customHeight="1"/>
    <row r="3811" ht="15" customHeight="1"/>
    <row r="3812" ht="15" customHeight="1"/>
    <row r="3813" ht="15" customHeight="1"/>
    <row r="3814" ht="15" customHeight="1"/>
    <row r="3815" ht="15" customHeight="1"/>
    <row r="3816" ht="15" customHeight="1"/>
    <row r="3817" ht="15" customHeight="1"/>
    <row r="3818" ht="15" customHeight="1"/>
    <row r="3819" ht="15" customHeight="1"/>
    <row r="3820" ht="15" customHeight="1"/>
    <row r="3821" ht="15" customHeight="1"/>
    <row r="3822" ht="15" customHeight="1"/>
    <row r="3823" ht="15" customHeight="1"/>
    <row r="3824" ht="15"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5"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5" customHeight="1"/>
    <row r="3853" ht="15" customHeight="1"/>
    <row r="3854" ht="15" customHeight="1"/>
    <row r="3855" ht="15" customHeight="1"/>
    <row r="3856" ht="15" customHeight="1"/>
    <row r="3857" ht="15" customHeight="1"/>
    <row r="3858" ht="15" customHeight="1"/>
    <row r="3859" ht="15" customHeight="1"/>
    <row r="3860" ht="15" customHeight="1"/>
    <row r="3861" ht="15"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5" customHeight="1"/>
    <row r="3879" ht="15" customHeight="1"/>
    <row r="3880" ht="15" customHeight="1"/>
    <row r="3881" ht="15" customHeight="1"/>
    <row r="3882" ht="15" customHeight="1"/>
    <row r="3883" ht="15" customHeight="1"/>
    <row r="3884" ht="15" customHeight="1"/>
    <row r="3885" ht="15"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5" customHeight="1"/>
    <row r="3897" ht="15" customHeight="1"/>
    <row r="3898" ht="15" customHeight="1"/>
    <row r="3899" ht="15"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5" customHeight="1"/>
    <row r="3911" ht="15" customHeight="1"/>
    <row r="3912" ht="15" customHeight="1"/>
    <row r="3913" ht="15" customHeight="1"/>
    <row r="3914" ht="15" customHeight="1"/>
    <row r="3915" ht="15" customHeight="1"/>
    <row r="3916" ht="15" customHeight="1"/>
    <row r="3917" ht="15" customHeight="1"/>
    <row r="3918" ht="15" customHeight="1"/>
    <row r="3919" ht="15" customHeight="1"/>
    <row r="3920" ht="15" customHeight="1"/>
    <row r="3921" ht="15" customHeight="1"/>
    <row r="3922" ht="15" customHeight="1"/>
    <row r="3923" ht="15" customHeight="1"/>
    <row r="3924" ht="15" customHeight="1"/>
    <row r="3925" ht="15" customHeight="1"/>
    <row r="3926" ht="15" customHeight="1"/>
    <row r="3927" ht="15" customHeight="1"/>
    <row r="3928" ht="15" customHeight="1"/>
    <row r="3929" ht="15" customHeight="1"/>
    <row r="3930" ht="15" customHeight="1"/>
    <row r="3931" ht="15" customHeight="1"/>
    <row r="3932" ht="15" customHeight="1"/>
    <row r="3933" ht="15" customHeight="1"/>
    <row r="3934" ht="15" customHeight="1"/>
    <row r="3935" ht="15" customHeight="1"/>
    <row r="3936" ht="15" customHeight="1"/>
    <row r="3937" ht="15" customHeight="1"/>
    <row r="3938" ht="15" customHeight="1"/>
    <row r="3939" ht="15" customHeight="1"/>
    <row r="3940" ht="15" customHeight="1"/>
    <row r="3941" ht="15" customHeight="1"/>
    <row r="3942" ht="15" customHeight="1"/>
    <row r="3943" ht="15" customHeight="1"/>
    <row r="3944" ht="15" customHeight="1"/>
    <row r="3945" ht="15" customHeight="1"/>
    <row r="3946" ht="15" customHeight="1"/>
    <row r="3947" ht="15" customHeight="1"/>
    <row r="3948" ht="15" customHeight="1"/>
    <row r="3949" ht="15"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5"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5" customHeight="1"/>
    <row r="3978" ht="15" customHeight="1"/>
    <row r="3979" ht="15" customHeight="1"/>
    <row r="3980" ht="15" customHeight="1"/>
    <row r="3981" ht="15" customHeight="1"/>
    <row r="3982" ht="15" customHeight="1"/>
    <row r="3983" ht="15" customHeight="1"/>
    <row r="3984" ht="15" customHeight="1"/>
    <row r="3985" ht="15" customHeight="1"/>
    <row r="3986" ht="15"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5" customHeight="1"/>
    <row r="4004" ht="15" customHeight="1"/>
    <row r="4005" ht="15" customHeight="1"/>
    <row r="4006" ht="15" customHeight="1"/>
    <row r="4007" ht="15" customHeight="1"/>
    <row r="4008" ht="15" customHeight="1"/>
    <row r="4009" ht="15" customHeight="1"/>
    <row r="4010" ht="15"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5" customHeight="1"/>
    <row r="4022" ht="15" customHeight="1"/>
    <row r="4023" ht="15" customHeight="1"/>
    <row r="4024" ht="15"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5" customHeight="1"/>
    <row r="4036" ht="15" customHeight="1"/>
    <row r="4037" ht="15" customHeight="1"/>
    <row r="4038" ht="15" customHeight="1"/>
    <row r="4039" ht="15" customHeight="1"/>
    <row r="4040" ht="15" customHeight="1"/>
    <row r="4041" ht="15" customHeight="1"/>
    <row r="4042" ht="15" customHeight="1"/>
    <row r="4043" ht="15" customHeight="1"/>
    <row r="4044" ht="15" customHeight="1"/>
    <row r="4045" ht="15" customHeight="1"/>
    <row r="4046" ht="15" customHeight="1"/>
    <row r="4047" ht="15" customHeight="1"/>
    <row r="4048" ht="15" customHeight="1"/>
    <row r="4049" ht="15" customHeight="1"/>
    <row r="4050" ht="15" customHeight="1"/>
    <row r="4051" ht="15" customHeight="1"/>
    <row r="4052" ht="15" customHeight="1"/>
    <row r="4053" ht="15" customHeight="1"/>
    <row r="4054" ht="15" customHeight="1"/>
    <row r="4055" ht="15" customHeight="1"/>
    <row r="4056" ht="15" customHeight="1"/>
    <row r="4057" ht="15" customHeight="1"/>
    <row r="4058" ht="15" customHeight="1"/>
    <row r="4059" ht="15" customHeight="1"/>
    <row r="4060" ht="15" customHeight="1"/>
    <row r="4061" ht="15" customHeight="1"/>
    <row r="4062" ht="15" customHeight="1"/>
    <row r="4063" ht="15" customHeight="1"/>
    <row r="4064" ht="15" customHeight="1"/>
    <row r="4065" ht="15" customHeight="1"/>
    <row r="4066" ht="15" customHeight="1"/>
    <row r="4067" ht="15" customHeight="1"/>
    <row r="4068" ht="15" customHeight="1"/>
    <row r="4069" ht="15" customHeight="1"/>
    <row r="4070" ht="15" customHeight="1"/>
    <row r="4071" ht="15" customHeight="1"/>
    <row r="4072" ht="15" customHeight="1"/>
    <row r="4073" ht="15" customHeight="1"/>
    <row r="4074" ht="15"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5"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5" customHeight="1"/>
    <row r="4103" ht="15" customHeight="1"/>
    <row r="4104" ht="15" customHeight="1"/>
    <row r="4105" ht="15" customHeight="1"/>
    <row r="4106" ht="15" customHeight="1"/>
    <row r="4107" ht="15" customHeight="1"/>
    <row r="4108" ht="15" customHeight="1"/>
    <row r="4109" ht="15" customHeight="1"/>
    <row r="4110" ht="15" customHeight="1"/>
    <row r="4111" ht="15"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5" customHeight="1"/>
    <row r="4129" ht="15" customHeight="1"/>
    <row r="4130" ht="15" customHeight="1"/>
    <row r="4131" ht="15" customHeight="1"/>
    <row r="4132" ht="15" customHeight="1"/>
    <row r="4133" ht="15" customHeight="1"/>
    <row r="4134" ht="15" customHeight="1"/>
    <row r="4135" ht="15"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5" customHeight="1"/>
    <row r="4147" ht="15" customHeight="1"/>
    <row r="4148" ht="15" customHeight="1"/>
    <row r="4149" ht="15"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5" customHeight="1"/>
    <row r="4161" ht="15" customHeight="1"/>
    <row r="4162" ht="15" customHeight="1"/>
    <row r="4163" ht="15" customHeight="1"/>
    <row r="4164" ht="15" customHeight="1"/>
    <row r="4165" ht="15" customHeight="1"/>
    <row r="4166" ht="15" customHeight="1"/>
    <row r="4167" ht="15" customHeight="1"/>
    <row r="4168" ht="15" customHeight="1"/>
    <row r="4169" ht="15" customHeight="1"/>
    <row r="4170" ht="15" customHeight="1"/>
    <row r="4171" ht="15" customHeight="1"/>
    <row r="4172" ht="15" customHeight="1"/>
    <row r="4173" ht="15" customHeight="1"/>
    <row r="4174" ht="15" customHeight="1"/>
    <row r="4175" ht="15" customHeight="1"/>
    <row r="4176" ht="15" customHeight="1"/>
    <row r="4177" ht="15" customHeight="1"/>
    <row r="4178" ht="15" customHeight="1"/>
    <row r="4179" ht="15" customHeight="1"/>
    <row r="4180" ht="15" customHeight="1"/>
    <row r="4181" ht="15" customHeight="1"/>
    <row r="4182" ht="15" customHeight="1"/>
    <row r="4183" ht="15" customHeight="1"/>
    <row r="4184" ht="15" customHeight="1"/>
    <row r="4185" ht="15" customHeight="1"/>
    <row r="4186" ht="15" customHeight="1"/>
    <row r="4187" ht="15" customHeight="1"/>
    <row r="4188" ht="15" customHeight="1"/>
    <row r="4189" ht="15" customHeight="1"/>
    <row r="4190" ht="15" customHeight="1"/>
    <row r="4191" ht="15" customHeight="1"/>
    <row r="4192" ht="15" customHeight="1"/>
    <row r="4193" ht="15" customHeight="1"/>
    <row r="4194" ht="15" customHeight="1"/>
    <row r="4195" ht="15" customHeight="1"/>
    <row r="4196" ht="15" customHeight="1"/>
    <row r="4197" ht="15" customHeight="1"/>
    <row r="4198" ht="15" customHeight="1"/>
    <row r="4199" ht="15"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5"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5" customHeight="1"/>
    <row r="4228" ht="15" customHeight="1"/>
    <row r="4229" ht="15" customHeight="1"/>
    <row r="4230" ht="15" customHeight="1"/>
    <row r="4231" ht="15" customHeight="1"/>
    <row r="4232" ht="15" customHeight="1"/>
    <row r="4233" ht="15" customHeight="1"/>
    <row r="4234" ht="15" customHeight="1"/>
    <row r="4235" ht="15" customHeight="1"/>
    <row r="4236" ht="15"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5" customHeight="1"/>
    <row r="4254" ht="15" customHeight="1"/>
    <row r="4255" ht="15" customHeight="1"/>
    <row r="4256" ht="15" customHeight="1"/>
    <row r="4257" ht="15" customHeight="1"/>
    <row r="4258" ht="15" customHeight="1"/>
    <row r="4259" ht="15" customHeight="1"/>
    <row r="4260" ht="15"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5" customHeight="1"/>
    <row r="4272" ht="15" customHeight="1"/>
    <row r="4273" ht="15" customHeight="1"/>
    <row r="4274" ht="15"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5" customHeight="1"/>
    <row r="4286" ht="15" customHeight="1"/>
    <row r="4287" ht="15" customHeight="1"/>
    <row r="4288" ht="15" customHeight="1"/>
    <row r="4289" ht="15" customHeight="1"/>
    <row r="4290" ht="15" customHeight="1"/>
    <row r="4291" ht="15" customHeight="1"/>
    <row r="4292" ht="15" customHeight="1"/>
    <row r="4293" ht="15" customHeight="1"/>
    <row r="4294" ht="15" customHeight="1"/>
    <row r="4295" ht="15" customHeight="1"/>
    <row r="4296" ht="15" customHeight="1"/>
    <row r="4297" ht="15" customHeight="1"/>
    <row r="4298" ht="15" customHeight="1"/>
    <row r="4299" ht="15" customHeight="1"/>
    <row r="4300" ht="15" customHeight="1"/>
    <row r="4301" ht="15" customHeight="1"/>
    <row r="4302" ht="15" customHeight="1"/>
    <row r="4303" ht="15" customHeight="1"/>
    <row r="4304" ht="15" customHeight="1"/>
    <row r="4305" ht="15" customHeight="1"/>
    <row r="4306" ht="15" customHeight="1"/>
    <row r="4307" ht="15" customHeight="1"/>
    <row r="4308" ht="15" customHeight="1"/>
    <row r="4309" ht="15" customHeight="1"/>
    <row r="4310" ht="15" customHeight="1"/>
    <row r="4311" ht="15" customHeight="1"/>
    <row r="4312" ht="15" customHeight="1"/>
    <row r="4313" ht="15" customHeight="1"/>
    <row r="4314" ht="15" customHeight="1"/>
    <row r="4315" ht="15" customHeight="1"/>
    <row r="4316" ht="15" customHeight="1"/>
    <row r="4317" ht="15" customHeight="1"/>
    <row r="4318" ht="15" customHeight="1"/>
    <row r="4319" ht="15" customHeight="1"/>
    <row r="4320" ht="15" customHeight="1"/>
    <row r="4321" ht="15" customHeight="1"/>
    <row r="4322" ht="15" customHeight="1"/>
    <row r="4323" ht="15" customHeight="1"/>
    <row r="4324" ht="15"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5"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5" customHeight="1"/>
    <row r="4353" ht="15" customHeight="1"/>
    <row r="4354" ht="15" customHeight="1"/>
    <row r="4355" ht="15" customHeight="1"/>
    <row r="4356" ht="15" customHeight="1"/>
    <row r="4357" ht="15" customHeight="1"/>
    <row r="4358" ht="15" customHeight="1"/>
    <row r="4359" ht="15" customHeight="1"/>
    <row r="4360" ht="15" customHeight="1"/>
    <row r="4361" ht="15"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5" customHeight="1"/>
    <row r="4379" ht="15" customHeight="1"/>
    <row r="4380" ht="15" customHeight="1"/>
    <row r="4381" ht="15" customHeight="1"/>
    <row r="4382" ht="15" customHeight="1"/>
    <row r="4383" ht="15" customHeight="1"/>
    <row r="4384" ht="15" customHeight="1"/>
    <row r="4385" ht="15"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5" customHeight="1"/>
    <row r="4397" ht="15" customHeight="1"/>
    <row r="4398" ht="15" customHeight="1"/>
    <row r="4399" ht="15"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row r="4410" ht="15" customHeight="1"/>
    <row r="4411" ht="15" customHeight="1"/>
    <row r="4412" ht="15" customHeight="1"/>
    <row r="4413" ht="15" customHeight="1"/>
    <row r="4414" ht="15" customHeight="1"/>
    <row r="4415" ht="15" customHeight="1"/>
    <row r="4416" ht="15" customHeight="1"/>
    <row r="4417" ht="15" customHeight="1"/>
    <row r="4418" ht="15" customHeight="1"/>
    <row r="4419" ht="15" customHeight="1"/>
    <row r="4420" ht="15" customHeight="1"/>
    <row r="4421" ht="15" customHeight="1"/>
    <row r="4422" ht="15" customHeight="1"/>
    <row r="4423" ht="15" customHeight="1"/>
    <row r="4424" ht="15" customHeight="1"/>
    <row r="4425" ht="15" customHeight="1"/>
    <row r="4426" ht="15" customHeight="1"/>
    <row r="4427" ht="15" customHeight="1"/>
    <row r="4428" ht="15" customHeight="1"/>
    <row r="4429" ht="15" customHeight="1"/>
    <row r="4430" ht="15" customHeight="1"/>
    <row r="4431" ht="15" customHeight="1"/>
    <row r="4432" ht="15" customHeight="1"/>
    <row r="4433" ht="15" customHeight="1"/>
    <row r="4434" ht="15" customHeight="1"/>
    <row r="4435" ht="15" customHeight="1"/>
    <row r="4436" ht="15" customHeight="1"/>
    <row r="4437" ht="15" customHeight="1"/>
    <row r="4438" ht="15" customHeight="1"/>
    <row r="4439" ht="15" customHeight="1"/>
    <row r="4440" ht="15" customHeight="1"/>
    <row r="4441" ht="15" customHeight="1"/>
    <row r="4442" ht="15" customHeight="1"/>
    <row r="4443" ht="15" customHeight="1"/>
    <row r="4444" ht="15" customHeight="1"/>
    <row r="4445" ht="15" customHeight="1"/>
    <row r="4446" ht="15" customHeight="1"/>
    <row r="4447" ht="15" customHeight="1"/>
    <row r="4448" ht="15" customHeight="1"/>
    <row r="4449" ht="15" customHeight="1"/>
    <row r="4450" ht="15" customHeight="1"/>
    <row r="4451" ht="15" customHeight="1"/>
    <row r="4452" ht="15" customHeight="1"/>
    <row r="4453" ht="15" customHeight="1"/>
    <row r="4454" ht="15" customHeight="1"/>
    <row r="4455" ht="15" customHeight="1"/>
    <row r="4456" ht="15" customHeight="1"/>
    <row r="4457" ht="15" customHeight="1"/>
    <row r="4458" ht="15" customHeight="1"/>
    <row r="4459" ht="15" customHeight="1"/>
    <row r="4460" ht="15" customHeight="1"/>
    <row r="4461" ht="15" customHeight="1"/>
    <row r="4462" ht="15" customHeight="1"/>
    <row r="4463" ht="15" customHeight="1"/>
    <row r="4464" ht="15" customHeight="1"/>
    <row r="4465" ht="15" customHeight="1"/>
    <row r="4466" ht="15" customHeight="1"/>
    <row r="4467" ht="15" customHeight="1"/>
    <row r="4468" ht="15" customHeight="1"/>
    <row r="4469" ht="15" customHeight="1"/>
    <row r="4470" ht="15" customHeight="1"/>
    <row r="4471" ht="15" customHeight="1"/>
    <row r="4472" ht="15" customHeight="1"/>
    <row r="4473" ht="15" customHeight="1"/>
    <row r="4474" ht="15" customHeight="1"/>
    <row r="4475" ht="15" customHeight="1"/>
    <row r="4476" ht="15" customHeight="1"/>
    <row r="4477" ht="15" customHeight="1"/>
    <row r="4478" ht="15" customHeight="1"/>
    <row r="4479" ht="15" customHeight="1"/>
    <row r="4480" ht="15" customHeight="1"/>
    <row r="4481" ht="15" customHeight="1"/>
    <row r="4482" ht="15" customHeight="1"/>
    <row r="4483" ht="15" customHeight="1"/>
    <row r="4484" ht="15" customHeight="1"/>
    <row r="4485" ht="15" customHeight="1"/>
    <row r="4486" ht="15" customHeight="1"/>
    <row r="4487" ht="15" customHeight="1"/>
    <row r="4488" ht="15" customHeight="1"/>
    <row r="4489" ht="15" customHeight="1"/>
    <row r="4490" ht="15" customHeight="1"/>
    <row r="4491" ht="15" customHeight="1"/>
    <row r="4492" ht="15" customHeight="1"/>
    <row r="4493" ht="15" customHeight="1"/>
    <row r="4494" ht="15" customHeight="1"/>
    <row r="4495" ht="15" customHeight="1"/>
    <row r="4496" ht="15" customHeight="1"/>
    <row r="4497" ht="15" customHeight="1"/>
    <row r="4498" ht="15" customHeight="1"/>
    <row r="4499" ht="15" customHeight="1"/>
    <row r="4500" ht="15" customHeight="1"/>
    <row r="4501" ht="15" customHeight="1"/>
    <row r="4502" ht="15" customHeight="1"/>
    <row r="4503" ht="15" customHeight="1"/>
    <row r="4504" ht="15" customHeight="1"/>
    <row r="4505" ht="15" customHeight="1"/>
    <row r="4506" ht="15" customHeight="1"/>
    <row r="4507" ht="15" customHeight="1"/>
    <row r="4508" ht="15" customHeight="1"/>
    <row r="4509" ht="15" customHeight="1"/>
    <row r="4510" ht="15" customHeight="1"/>
    <row r="4511" ht="15" customHeight="1"/>
    <row r="4512" ht="15" customHeight="1"/>
    <row r="4513" ht="15" customHeight="1"/>
    <row r="4514" ht="15" customHeight="1"/>
    <row r="4515" ht="15" customHeight="1"/>
    <row r="4516" ht="15" customHeight="1"/>
    <row r="4517" ht="15" customHeight="1"/>
    <row r="4518" ht="15" customHeight="1"/>
    <row r="4519" ht="15" customHeight="1"/>
    <row r="4520" ht="15" customHeight="1"/>
    <row r="4521" ht="15" customHeight="1"/>
    <row r="4522" ht="15" customHeight="1"/>
    <row r="4523" ht="15" customHeight="1"/>
    <row r="4524" ht="15" customHeight="1"/>
    <row r="4525" ht="15" customHeight="1"/>
    <row r="4526" ht="15" customHeight="1"/>
    <row r="4527" ht="15" customHeight="1"/>
    <row r="4528" ht="15" customHeight="1"/>
    <row r="4529" ht="15" customHeight="1"/>
    <row r="4530" ht="15" customHeight="1"/>
    <row r="4531" ht="15" customHeight="1"/>
    <row r="4532" ht="15" customHeight="1"/>
    <row r="4533" ht="15" customHeight="1"/>
    <row r="4534" ht="15" customHeight="1"/>
    <row r="4535" ht="15" customHeight="1"/>
    <row r="4536" ht="15" customHeight="1"/>
    <row r="4537" ht="15" customHeight="1"/>
    <row r="4538" ht="15" customHeight="1"/>
    <row r="4539" ht="15" customHeight="1"/>
    <row r="4540" ht="15" customHeight="1"/>
    <row r="4541" ht="15" customHeight="1"/>
    <row r="4542" ht="15" customHeight="1"/>
    <row r="4543" ht="15" customHeight="1"/>
    <row r="4544" ht="15" customHeight="1"/>
    <row r="4545" ht="15" customHeight="1"/>
    <row r="4546" ht="15" customHeight="1"/>
    <row r="4547" ht="15" customHeight="1"/>
    <row r="4548" ht="15" customHeight="1"/>
    <row r="4549" ht="15" customHeight="1"/>
    <row r="4550" ht="15" customHeight="1"/>
    <row r="4551" ht="15" customHeight="1"/>
    <row r="4552" ht="15" customHeight="1"/>
    <row r="4553" ht="15" customHeight="1"/>
    <row r="4554" ht="15" customHeight="1"/>
    <row r="4555" ht="15" customHeight="1"/>
    <row r="4556" ht="15" customHeight="1"/>
    <row r="4557" ht="15" customHeight="1"/>
    <row r="4558" ht="15" customHeight="1"/>
    <row r="4559" ht="15" customHeight="1"/>
    <row r="4560" ht="15" customHeight="1"/>
    <row r="4561" ht="15" customHeight="1"/>
    <row r="4562" ht="15" customHeight="1"/>
    <row r="4563" ht="15" customHeight="1"/>
    <row r="4564" ht="15" customHeight="1"/>
    <row r="4565" ht="15" customHeight="1"/>
    <row r="4566" ht="15" customHeight="1"/>
    <row r="4567" ht="15" customHeight="1"/>
    <row r="4568" ht="15" customHeight="1"/>
    <row r="4569" ht="15" customHeight="1"/>
    <row r="4570" ht="15" customHeight="1"/>
    <row r="4571" ht="15" customHeight="1"/>
    <row r="4572" ht="15" customHeight="1"/>
    <row r="4573" ht="15" customHeight="1"/>
    <row r="4574" ht="15" customHeight="1"/>
    <row r="4575" ht="15" customHeight="1"/>
    <row r="4576" ht="15" customHeight="1"/>
    <row r="4577" ht="15" customHeight="1"/>
    <row r="4578" ht="15" customHeight="1"/>
    <row r="4579" ht="15" customHeight="1"/>
    <row r="4580" ht="15" customHeight="1"/>
    <row r="4581" ht="15" customHeight="1"/>
    <row r="4582" ht="15" customHeight="1"/>
    <row r="4583" ht="15" customHeight="1"/>
    <row r="4584" ht="15" customHeight="1"/>
    <row r="4585" ht="15" customHeight="1"/>
    <row r="4586" ht="15" customHeight="1"/>
    <row r="4587" ht="15" customHeight="1"/>
    <row r="4588" ht="15" customHeight="1"/>
    <row r="4589" ht="15" customHeight="1"/>
    <row r="4590" ht="15" customHeight="1"/>
    <row r="4591" ht="15" customHeight="1"/>
    <row r="4592" ht="15" customHeight="1"/>
    <row r="4593" ht="15" customHeight="1"/>
    <row r="4594" ht="15" customHeight="1"/>
    <row r="4595" ht="15" customHeight="1"/>
    <row r="4596" ht="15" customHeight="1"/>
    <row r="4597" ht="15" customHeight="1"/>
    <row r="4598" ht="15" customHeight="1"/>
    <row r="4599" ht="15" customHeight="1"/>
    <row r="4600" ht="15" customHeight="1"/>
    <row r="4601" ht="15" customHeight="1"/>
    <row r="4602" ht="15" customHeight="1"/>
    <row r="4603" ht="15" customHeight="1"/>
    <row r="4604" ht="15" customHeight="1"/>
    <row r="4605" ht="15" customHeight="1"/>
    <row r="4606" ht="15" customHeight="1"/>
    <row r="4607" ht="15" customHeight="1"/>
    <row r="4608" ht="15" customHeight="1"/>
    <row r="4609" ht="15" customHeight="1"/>
    <row r="4610" ht="15" customHeight="1"/>
    <row r="4611" ht="15" customHeight="1"/>
    <row r="4612" ht="15" customHeight="1"/>
    <row r="4613" ht="15" customHeight="1"/>
    <row r="4614" ht="15" customHeight="1"/>
    <row r="4615" ht="15" customHeight="1"/>
    <row r="4616" ht="15" customHeight="1"/>
    <row r="4617" ht="15" customHeight="1"/>
    <row r="4618" ht="15" customHeight="1"/>
    <row r="4619" ht="15" customHeight="1"/>
    <row r="4620" ht="15" customHeight="1"/>
    <row r="4621" ht="15" customHeight="1"/>
    <row r="4622" ht="15" customHeight="1"/>
    <row r="4623" ht="15" customHeight="1"/>
    <row r="4624" ht="15" customHeight="1"/>
    <row r="4625" ht="15" customHeight="1"/>
    <row r="4626" ht="15" customHeight="1"/>
    <row r="4627" ht="15" customHeight="1"/>
    <row r="4628" ht="15" customHeight="1"/>
    <row r="4629" ht="15" customHeight="1"/>
    <row r="4630" ht="15" customHeight="1"/>
    <row r="4631" ht="15" customHeight="1"/>
    <row r="4632" ht="15" customHeight="1"/>
    <row r="4633" ht="15" customHeight="1"/>
    <row r="4634" ht="15" customHeight="1"/>
    <row r="4635" ht="15" customHeight="1"/>
    <row r="4636" ht="15" customHeight="1"/>
    <row r="4637" ht="15" customHeight="1"/>
    <row r="4638" ht="15" customHeight="1"/>
    <row r="4639" ht="15" customHeight="1"/>
    <row r="4640" ht="15" customHeight="1"/>
    <row r="4641" ht="15" customHeight="1"/>
    <row r="4642" ht="15" customHeight="1"/>
    <row r="4643" ht="15" customHeight="1"/>
    <row r="4644" ht="15" customHeight="1"/>
    <row r="4645" ht="15" customHeight="1"/>
    <row r="4646" ht="15" customHeight="1"/>
    <row r="4647" ht="15" customHeight="1"/>
    <row r="4648" ht="15" customHeight="1"/>
    <row r="4649" ht="15" customHeight="1"/>
    <row r="4650" ht="15" customHeight="1"/>
    <row r="4651" ht="15" customHeight="1"/>
    <row r="4652" ht="15" customHeight="1"/>
    <row r="4653" ht="15" customHeight="1"/>
    <row r="4654" ht="15" customHeight="1"/>
    <row r="4655" ht="15" customHeight="1"/>
    <row r="4656" ht="15" customHeight="1"/>
    <row r="4657" ht="15" customHeight="1"/>
    <row r="4658" ht="15" customHeight="1"/>
    <row r="4659" ht="15" customHeight="1"/>
    <row r="4660" ht="15" customHeight="1"/>
    <row r="4661" ht="15" customHeight="1"/>
    <row r="4662" ht="15" customHeight="1"/>
    <row r="4663" ht="15" customHeight="1"/>
    <row r="4664" ht="15" customHeight="1"/>
    <row r="4665" ht="15" customHeight="1"/>
    <row r="4666" ht="15" customHeight="1"/>
    <row r="4667" ht="15" customHeight="1"/>
    <row r="4668" ht="15" customHeight="1"/>
    <row r="4669" ht="15" customHeight="1"/>
    <row r="4670" ht="15" customHeight="1"/>
    <row r="4671" ht="15" customHeight="1"/>
    <row r="4672" ht="15" customHeight="1"/>
    <row r="4673" ht="15" customHeight="1"/>
    <row r="4674" ht="15" customHeight="1"/>
    <row r="4675" ht="15" customHeight="1"/>
    <row r="4676" ht="15" customHeight="1"/>
    <row r="4677" ht="15" customHeight="1"/>
    <row r="4678" ht="15" customHeight="1"/>
    <row r="4679" ht="15" customHeight="1"/>
    <row r="4680" ht="15" customHeight="1"/>
    <row r="4681" ht="15" customHeight="1"/>
    <row r="4682" ht="15" customHeight="1"/>
    <row r="4683" ht="15" customHeight="1"/>
    <row r="4684" ht="15" customHeight="1"/>
    <row r="4685" ht="15" customHeight="1"/>
    <row r="4686" ht="15" customHeight="1"/>
    <row r="4687" ht="15" customHeight="1"/>
    <row r="4688" ht="15" customHeight="1"/>
    <row r="4689" ht="15" customHeight="1"/>
    <row r="4690" ht="15" customHeight="1"/>
    <row r="4691" ht="15" customHeight="1"/>
    <row r="4692" ht="15" customHeight="1"/>
    <row r="4693" ht="15" customHeight="1"/>
    <row r="4694" ht="15" customHeight="1"/>
    <row r="4695" ht="15" customHeight="1"/>
    <row r="4696" ht="15" customHeight="1"/>
    <row r="4697" ht="15" customHeight="1"/>
    <row r="4698" ht="15" customHeight="1"/>
    <row r="4699" ht="15" customHeight="1"/>
    <row r="4700" ht="15" customHeight="1"/>
    <row r="4701" ht="15" customHeight="1"/>
    <row r="4702" ht="15" customHeight="1"/>
    <row r="4703" ht="15" customHeight="1"/>
    <row r="4704" ht="15" customHeight="1"/>
    <row r="4705" ht="15" customHeight="1"/>
    <row r="4706" ht="15" customHeight="1"/>
    <row r="4707" ht="15" customHeight="1"/>
    <row r="4708" ht="15" customHeight="1"/>
    <row r="4709" ht="15" customHeight="1"/>
    <row r="4710" ht="15" customHeight="1"/>
    <row r="4711" ht="15" customHeight="1"/>
    <row r="4712" ht="15" customHeight="1"/>
    <row r="4713" ht="15" customHeight="1"/>
    <row r="4714" ht="15" customHeight="1"/>
    <row r="4715" ht="15" customHeight="1"/>
    <row r="4716" ht="15" customHeight="1"/>
    <row r="4717" ht="15" customHeight="1"/>
    <row r="4718" ht="15" customHeight="1"/>
    <row r="4719" ht="15" customHeight="1"/>
    <row r="4720" ht="15" customHeight="1"/>
    <row r="4721" ht="15" customHeight="1"/>
    <row r="4722" ht="15" customHeight="1"/>
    <row r="4723" ht="15" customHeight="1"/>
    <row r="4724" ht="15" customHeight="1"/>
    <row r="4725" ht="15" customHeight="1"/>
    <row r="4726" ht="15" customHeight="1"/>
    <row r="4727" ht="15" customHeight="1"/>
    <row r="4728" ht="15" customHeight="1"/>
    <row r="4729" ht="15" customHeight="1"/>
    <row r="4730" ht="15" customHeight="1"/>
    <row r="4731" ht="15" customHeight="1"/>
    <row r="4732" ht="15" customHeight="1"/>
    <row r="4733" ht="15" customHeight="1"/>
    <row r="4734" ht="15" customHeight="1"/>
    <row r="4735" ht="15" customHeight="1"/>
    <row r="4736" ht="15" customHeight="1"/>
    <row r="4737" ht="15" customHeight="1"/>
    <row r="4738" ht="15" customHeight="1"/>
    <row r="4739" ht="15" customHeight="1"/>
    <row r="4740" ht="15" customHeight="1"/>
    <row r="4741" ht="15" customHeight="1"/>
    <row r="4742" ht="15" customHeight="1"/>
    <row r="4743" ht="15" customHeight="1"/>
    <row r="4744" ht="15" customHeight="1"/>
    <row r="4745" ht="15" customHeight="1"/>
    <row r="4746" ht="15" customHeight="1"/>
    <row r="4747" ht="15" customHeight="1"/>
    <row r="4748" ht="15" customHeight="1"/>
    <row r="4749" ht="15" customHeight="1"/>
    <row r="4750" ht="15" customHeight="1"/>
    <row r="4751" ht="15" customHeight="1"/>
    <row r="4752" ht="15" customHeight="1"/>
    <row r="4753" ht="15" customHeight="1"/>
    <row r="4754" ht="15" customHeight="1"/>
    <row r="4755" ht="15" customHeight="1"/>
    <row r="4756" ht="15" customHeight="1"/>
    <row r="4757" ht="15" customHeight="1"/>
    <row r="4758" ht="15" customHeight="1"/>
    <row r="4759" ht="15" customHeight="1"/>
    <row r="4760" ht="15" customHeight="1"/>
    <row r="4761" ht="15" customHeight="1"/>
    <row r="4762" ht="15" customHeight="1"/>
    <row r="4763" ht="15" customHeight="1"/>
    <row r="4764" ht="15" customHeight="1"/>
    <row r="4765" ht="15" customHeight="1"/>
    <row r="4766" ht="15" customHeight="1"/>
    <row r="4767" ht="15" customHeight="1"/>
    <row r="4768" ht="15" customHeight="1"/>
    <row r="4769" ht="15" customHeight="1"/>
    <row r="4770" ht="15" customHeight="1"/>
    <row r="4771" ht="15" customHeight="1"/>
    <row r="4772" ht="15" customHeight="1"/>
    <row r="4773" ht="15" customHeight="1"/>
    <row r="4774" ht="15" customHeight="1"/>
    <row r="4775" ht="15" customHeight="1"/>
    <row r="4776" ht="15" customHeight="1"/>
    <row r="4777" ht="15" customHeight="1"/>
    <row r="4778" ht="15" customHeight="1"/>
    <row r="4779" ht="15" customHeight="1"/>
    <row r="4780" ht="15" customHeight="1"/>
    <row r="4781" ht="15" customHeight="1"/>
    <row r="4782" ht="15" customHeight="1"/>
    <row r="4783" ht="15" customHeight="1"/>
    <row r="4784" ht="15" customHeight="1"/>
    <row r="4785" ht="15" customHeight="1"/>
    <row r="4786" ht="15" customHeight="1"/>
    <row r="4787" ht="15" customHeight="1"/>
    <row r="4788" ht="15" customHeight="1"/>
    <row r="4789" ht="15" customHeight="1"/>
    <row r="4790" ht="15" customHeight="1"/>
    <row r="4791" ht="15" customHeight="1"/>
    <row r="4792" ht="15" customHeight="1"/>
    <row r="4793" ht="15" customHeight="1"/>
    <row r="4794" ht="15" customHeight="1"/>
    <row r="4795" ht="15" customHeight="1"/>
    <row r="4796" ht="15" customHeight="1"/>
    <row r="4797" ht="15" customHeight="1"/>
    <row r="4798" ht="15" customHeight="1"/>
    <row r="4799" ht="15" customHeight="1"/>
    <row r="4800" ht="15" customHeight="1"/>
    <row r="4801" ht="15" customHeight="1"/>
    <row r="4802" ht="15" customHeight="1"/>
    <row r="4803" ht="15" customHeight="1"/>
    <row r="4804" ht="15" customHeight="1"/>
    <row r="4805" ht="15" customHeight="1"/>
    <row r="4806" ht="15" customHeight="1"/>
    <row r="4807" ht="15" customHeight="1"/>
    <row r="4808" ht="15" customHeight="1"/>
    <row r="4809" ht="15" customHeight="1"/>
    <row r="4810" ht="15" customHeight="1"/>
    <row r="4811" ht="15" customHeight="1"/>
    <row r="4812" ht="15" customHeight="1"/>
    <row r="4813" ht="15" customHeight="1"/>
    <row r="4814" ht="15" customHeight="1"/>
    <row r="4815" ht="15" customHeight="1"/>
    <row r="4816" ht="15" customHeight="1"/>
    <row r="4817" ht="15" customHeight="1"/>
    <row r="4818" ht="15" customHeight="1"/>
    <row r="4819" ht="15" customHeight="1"/>
    <row r="4820" ht="15" customHeight="1"/>
    <row r="4821" ht="15" customHeight="1"/>
    <row r="4822" ht="15" customHeight="1"/>
    <row r="4823" ht="15" customHeight="1"/>
    <row r="4824" ht="15" customHeight="1"/>
    <row r="4825" ht="15" customHeight="1"/>
    <row r="4826" ht="15" customHeight="1"/>
    <row r="4827" ht="15" customHeight="1"/>
    <row r="4828" ht="15" customHeight="1"/>
    <row r="4829" ht="15" customHeight="1"/>
    <row r="4830" ht="15" customHeight="1"/>
    <row r="4831" ht="15" customHeight="1"/>
    <row r="4832" ht="15" customHeight="1"/>
    <row r="4833" ht="15" customHeight="1"/>
    <row r="4834" ht="15" customHeight="1"/>
    <row r="4835" ht="15" customHeight="1"/>
    <row r="4836" ht="15" customHeight="1"/>
    <row r="4837" ht="15" customHeight="1"/>
    <row r="4838" ht="15" customHeight="1"/>
    <row r="4839" ht="15" customHeight="1"/>
    <row r="4840" ht="15" customHeight="1"/>
    <row r="4841" ht="15" customHeight="1"/>
    <row r="4842" ht="15" customHeight="1"/>
    <row r="4843" ht="15" customHeight="1"/>
    <row r="4844" ht="15" customHeight="1"/>
    <row r="4845" ht="15" customHeight="1"/>
    <row r="4846" ht="15" customHeight="1"/>
    <row r="4847" ht="15" customHeight="1"/>
    <row r="4848" ht="15" customHeight="1"/>
    <row r="4849" ht="15" customHeight="1"/>
    <row r="4850" ht="15" customHeight="1"/>
    <row r="4851" ht="15" customHeight="1"/>
    <row r="4852" ht="15" customHeight="1"/>
    <row r="4853" ht="15" customHeight="1"/>
    <row r="4854" ht="15" customHeight="1"/>
    <row r="4855" ht="15" customHeight="1"/>
    <row r="4856" ht="15" customHeight="1"/>
    <row r="4857" ht="15" customHeight="1"/>
    <row r="4858" ht="15" customHeight="1"/>
    <row r="4859" ht="15" customHeight="1"/>
    <row r="4860" ht="15" customHeight="1"/>
    <row r="4861" ht="15" customHeight="1"/>
    <row r="4862" ht="15" customHeight="1"/>
    <row r="4863" ht="15" customHeight="1"/>
    <row r="4864" ht="15" customHeight="1"/>
    <row r="4865" ht="15" customHeight="1"/>
    <row r="4866" ht="15" customHeight="1"/>
    <row r="4867" ht="15" customHeight="1"/>
    <row r="4868" ht="15" customHeight="1"/>
    <row r="4869" ht="15" customHeight="1"/>
    <row r="4870" ht="15" customHeight="1"/>
    <row r="4871" ht="15" customHeight="1"/>
    <row r="4872" ht="15" customHeight="1"/>
    <row r="4873" ht="15" customHeight="1"/>
    <row r="4874" ht="15" customHeight="1"/>
    <row r="4875" ht="15" customHeight="1"/>
    <row r="4876" ht="15" customHeight="1"/>
    <row r="4877" ht="15" customHeight="1"/>
    <row r="4878" ht="15" customHeight="1"/>
    <row r="4879" ht="15" customHeight="1"/>
    <row r="4880" ht="15" customHeight="1"/>
    <row r="4881" ht="15" customHeight="1"/>
    <row r="4882" ht="15" customHeight="1"/>
    <row r="4883" ht="15" customHeight="1"/>
    <row r="4884" ht="15" customHeight="1"/>
    <row r="4885" ht="15" customHeight="1"/>
    <row r="4886" ht="15" customHeight="1"/>
    <row r="4887" ht="15" customHeight="1"/>
    <row r="4888" ht="15" customHeight="1"/>
    <row r="4889" ht="15" customHeight="1"/>
    <row r="4890" ht="15" customHeight="1"/>
    <row r="4891" ht="15" customHeight="1"/>
    <row r="4892" ht="15" customHeight="1"/>
    <row r="4893" ht="15" customHeight="1"/>
    <row r="4894" ht="15" customHeight="1"/>
    <row r="4895" ht="15" customHeight="1"/>
    <row r="4896" ht="15" customHeight="1"/>
    <row r="4897" ht="15" customHeight="1"/>
    <row r="4898" ht="15" customHeight="1"/>
    <row r="4899" ht="15" customHeight="1"/>
    <row r="4900" ht="15" customHeight="1"/>
    <row r="4901" ht="15" customHeight="1"/>
    <row r="4902" ht="15" customHeight="1"/>
    <row r="4903" ht="15" customHeight="1"/>
    <row r="4904" ht="15" customHeight="1"/>
    <row r="4905" ht="15" customHeight="1"/>
    <row r="4906" ht="15" customHeight="1"/>
    <row r="4907" ht="15" customHeight="1"/>
    <row r="4908" ht="15" customHeight="1"/>
    <row r="4909" ht="15" customHeight="1"/>
    <row r="4910" ht="15" customHeight="1"/>
    <row r="4911" ht="15" customHeight="1"/>
    <row r="4912" ht="15" customHeight="1"/>
    <row r="4913" ht="15" customHeight="1"/>
    <row r="4914" ht="15" customHeight="1"/>
    <row r="4915" ht="15" customHeight="1"/>
    <row r="4916" ht="15" customHeight="1"/>
    <row r="4917" ht="15" customHeight="1"/>
    <row r="4918" ht="15" customHeight="1"/>
    <row r="4919" ht="15" customHeight="1"/>
    <row r="4920" ht="15" customHeight="1"/>
    <row r="4921" ht="15" customHeight="1"/>
    <row r="4922" ht="15" customHeight="1"/>
    <row r="4923" ht="15" customHeight="1"/>
    <row r="4924" ht="15" customHeight="1"/>
    <row r="4925" ht="15" customHeight="1"/>
    <row r="4926" ht="15" customHeight="1"/>
    <row r="4927" ht="15" customHeight="1"/>
    <row r="4928" ht="15" customHeight="1"/>
    <row r="4929" ht="15" customHeight="1"/>
    <row r="4930" ht="15" customHeight="1"/>
    <row r="4931" ht="15" customHeight="1"/>
    <row r="4932" ht="15" customHeight="1"/>
    <row r="4933" ht="15" customHeight="1"/>
    <row r="4934" ht="15" customHeight="1"/>
    <row r="4935" ht="15" customHeight="1"/>
    <row r="4936" ht="15" customHeight="1"/>
    <row r="4937" ht="15" customHeight="1"/>
    <row r="4938" ht="15" customHeight="1"/>
    <row r="4939" ht="15" customHeight="1"/>
    <row r="4940" ht="15" customHeight="1"/>
    <row r="4941" ht="15" customHeight="1"/>
    <row r="4942" ht="15" customHeight="1"/>
    <row r="4943" ht="15" customHeight="1"/>
    <row r="4944" ht="15" customHeight="1"/>
    <row r="4945" ht="15" customHeight="1"/>
    <row r="4946" ht="15" customHeight="1"/>
    <row r="4947" ht="15" customHeight="1"/>
    <row r="4948" ht="15" customHeight="1"/>
    <row r="4949" ht="15" customHeight="1"/>
    <row r="4950" ht="15" customHeight="1"/>
    <row r="4951" ht="15" customHeight="1"/>
    <row r="4952" ht="15" customHeight="1"/>
    <row r="4953" ht="15" customHeight="1"/>
    <row r="4954" ht="15" customHeight="1"/>
    <row r="4955" ht="15" customHeight="1"/>
    <row r="4956" ht="15" customHeight="1"/>
    <row r="4957" ht="15" customHeight="1"/>
    <row r="4958" ht="15" customHeight="1"/>
    <row r="4959" ht="15" customHeight="1"/>
    <row r="4960" ht="15" customHeight="1"/>
    <row r="4961" ht="15" customHeight="1"/>
    <row r="4962" ht="15" customHeight="1"/>
    <row r="4963" ht="15" customHeight="1"/>
    <row r="4964" ht="15" customHeight="1"/>
    <row r="4965" ht="15" customHeight="1"/>
    <row r="4966" ht="15" customHeight="1"/>
    <row r="4967" ht="15" customHeight="1"/>
    <row r="4968" ht="15" customHeight="1"/>
    <row r="4969" ht="15" customHeight="1"/>
    <row r="4970" ht="15" customHeight="1"/>
    <row r="4971" ht="15" customHeight="1"/>
    <row r="4972" ht="15" customHeight="1"/>
    <row r="4973" ht="15" customHeight="1"/>
    <row r="4974" ht="15" customHeight="1"/>
    <row r="4975" ht="15" customHeight="1"/>
    <row r="4976" ht="15" customHeight="1"/>
    <row r="4977" ht="15" customHeight="1"/>
    <row r="4978" ht="15" customHeight="1"/>
    <row r="4979" ht="15" customHeight="1"/>
    <row r="4980" ht="15" customHeight="1"/>
    <row r="4981" ht="15" customHeight="1"/>
    <row r="4982" ht="15" customHeight="1"/>
    <row r="4983" ht="15" customHeight="1"/>
    <row r="4984" ht="15" customHeight="1"/>
    <row r="4985" ht="15" customHeight="1"/>
    <row r="4986" ht="15" customHeight="1"/>
    <row r="4987" ht="15" customHeight="1"/>
    <row r="4988" ht="15" customHeight="1"/>
    <row r="4989" ht="15" customHeight="1"/>
    <row r="4990" ht="15" customHeight="1"/>
    <row r="4991" ht="15" customHeight="1"/>
    <row r="4992" ht="15" customHeight="1"/>
    <row r="4993" ht="15" customHeight="1"/>
    <row r="4994" ht="15" customHeight="1"/>
    <row r="4995" ht="15" customHeight="1"/>
    <row r="4996" ht="15" customHeight="1"/>
    <row r="4997" ht="15" customHeight="1"/>
    <row r="4998" ht="15" customHeight="1"/>
    <row r="4999" ht="15" customHeight="1"/>
    <row r="5000" ht="15" customHeight="1"/>
    <row r="5001" ht="15" customHeight="1"/>
    <row r="5002" ht="15" customHeight="1"/>
    <row r="5003" ht="15" customHeight="1"/>
    <row r="5004" ht="15" customHeight="1"/>
    <row r="5005" ht="15" customHeight="1"/>
    <row r="5006" ht="15" customHeight="1"/>
    <row r="5007" ht="15" customHeight="1"/>
    <row r="5008" ht="15" customHeight="1"/>
    <row r="5009" ht="15" customHeight="1"/>
    <row r="5010" ht="15" customHeight="1"/>
    <row r="5011" ht="15" customHeight="1"/>
    <row r="5012" ht="15" customHeight="1"/>
    <row r="5013" ht="15" customHeight="1"/>
    <row r="5014" ht="15" customHeight="1"/>
    <row r="5015" ht="15" customHeight="1"/>
    <row r="5016" ht="15" customHeight="1"/>
    <row r="5017" ht="15" customHeight="1"/>
    <row r="5018" ht="15" customHeight="1"/>
    <row r="5019" ht="15" customHeight="1"/>
    <row r="5020" ht="15" customHeight="1"/>
    <row r="5021" ht="15" customHeight="1"/>
    <row r="5022" ht="15" customHeight="1"/>
    <row r="5023" ht="15" customHeight="1"/>
    <row r="5024" ht="15" customHeight="1"/>
    <row r="5025" ht="15" customHeight="1"/>
    <row r="5026" ht="15" customHeight="1"/>
    <row r="5027" ht="15" customHeight="1"/>
    <row r="5028" ht="15" customHeight="1"/>
    <row r="5029" ht="15" customHeight="1"/>
    <row r="5030" ht="15" customHeight="1"/>
    <row r="5031" ht="15" customHeight="1"/>
    <row r="5032" ht="15" customHeight="1"/>
    <row r="5033" ht="15" customHeight="1"/>
    <row r="5034" ht="15" customHeight="1"/>
    <row r="5035" ht="15" customHeight="1"/>
    <row r="5036" ht="15" customHeight="1"/>
    <row r="5037" ht="15" customHeight="1"/>
    <row r="5038" ht="15" customHeight="1"/>
    <row r="5039" ht="15" customHeight="1"/>
    <row r="5040" ht="15" customHeight="1"/>
    <row r="5041" ht="15" customHeight="1"/>
    <row r="5042" ht="15" customHeight="1"/>
    <row r="5043" ht="15" customHeight="1"/>
    <row r="5044" ht="15" customHeight="1"/>
    <row r="5045" ht="15" customHeight="1"/>
    <row r="5046" ht="15" customHeight="1"/>
    <row r="5047" ht="15" customHeight="1"/>
    <row r="5048" ht="15" customHeight="1"/>
    <row r="5049" ht="15" customHeight="1"/>
    <row r="5050" ht="15" customHeight="1"/>
    <row r="5051" ht="15" customHeight="1"/>
    <row r="5052" ht="15" customHeight="1"/>
    <row r="5053" ht="15" customHeight="1"/>
    <row r="5054" ht="15" customHeight="1"/>
    <row r="5055" ht="15" customHeight="1"/>
    <row r="5056" ht="15" customHeight="1"/>
    <row r="5057" ht="15" customHeight="1"/>
    <row r="5058" ht="15" customHeight="1"/>
    <row r="5059" ht="15" customHeight="1"/>
    <row r="5060" ht="15" customHeight="1"/>
    <row r="5061" ht="15" customHeight="1"/>
    <row r="5062" ht="15" customHeight="1"/>
    <row r="5063" ht="15" customHeight="1"/>
    <row r="5064" ht="15" customHeight="1"/>
    <row r="5065" ht="15" customHeight="1"/>
    <row r="5066" ht="15" customHeight="1"/>
    <row r="5067" ht="15" customHeight="1"/>
  </sheetData>
  <mergeCells count="1">
    <mergeCell ref="A4:H4"/>
  </mergeCells>
  <pageMargins left="0.5118110236220472" right="0.5118110236220472" top="0.7874015748031497" bottom="0.7874015748031497" header="0" footer="0"/>
  <pageSetup orientation="portrait" paperSize="9" fitToHeight="0"/>
  <drawing xmlns:r="http://schemas.openxmlformats.org/officeDocument/2006/relationships" r:id="rId1"/>
</worksheet>
</file>

<file path=xl/worksheets/sheet4.xml><?xml version="1.0" encoding="utf-8"?>
<worksheet xmlns="http://schemas.openxmlformats.org/spreadsheetml/2006/main">
  <sheetPr>
    <tabColor theme="1"/>
    <outlinePr summaryBelow="0"/>
    <pageSetUpPr fitToPage="1"/>
  </sheetPr>
  <dimension ref="A1:P6882"/>
  <sheetViews>
    <sheetView showGridLines="0" topLeftCell="F1" zoomScaleNormal="100" workbookViewId="0">
      <pane ySplit="7" topLeftCell="A8" activePane="bottomLeft" state="frozen"/>
      <selection pane="bottomLeft" activeCell="J568" sqref="J568"/>
    </sheetView>
  </sheetViews>
  <sheetFormatPr baseColWidth="8" defaultColWidth="12.5703125" defaultRowHeight="15" customHeight="1" outlineLevelRow="3"/>
  <cols>
    <col hidden="1" width="4" customWidth="1" min="1" max="5"/>
    <col collapsed="1" width="3.140625" customWidth="1" style="1" min="6" max="6"/>
    <col width="6.7109375" customWidth="1" min="7" max="7"/>
    <col width="8.5703125" customWidth="1" min="8" max="8"/>
    <col width="12.28515625" customWidth="1" min="9" max="9"/>
    <col width="75.5703125" customWidth="1" min="10" max="10"/>
    <col width="6.85546875" customWidth="1" min="11" max="11"/>
    <col width="10.28515625" bestFit="1" customWidth="1" min="12" max="12"/>
    <col width="15.140625" bestFit="1" customWidth="1" min="13" max="13"/>
    <col width="15" customWidth="1" min="14" max="14"/>
    <col width="76.7109375" customWidth="1" min="15" max="15"/>
    <col width="17.5703125" customWidth="1" min="16" max="16"/>
    <col width="14.28515625" bestFit="1" customWidth="1" min="17" max="17"/>
    <col width="19.42578125" bestFit="1" customWidth="1" min="18" max="18"/>
    <col width="15.85546875" customWidth="1" min="19" max="19"/>
    <col width="17.7109375" customWidth="1" min="20" max="20"/>
    <col width="16.85546875" bestFit="1" customWidth="1" min="21" max="21"/>
  </cols>
  <sheetData>
    <row r="1" ht="6.75" customHeight="1">
      <c r="A1" s="19" t="n"/>
      <c r="B1" s="19" t="n"/>
      <c r="C1" s="19" t="n"/>
      <c r="D1" s="19" t="n"/>
      <c r="E1" s="19" t="n"/>
      <c r="F1" s="19" t="n"/>
      <c r="G1" s="20" t="n"/>
      <c r="H1" s="20" t="n"/>
      <c r="I1" s="20" t="n"/>
      <c r="J1" s="22" t="n"/>
      <c r="K1" s="21" t="n"/>
      <c r="L1" s="22" t="n"/>
      <c r="M1" s="22" t="n"/>
      <c r="N1" s="23" t="n"/>
      <c r="O1" s="22" t="n"/>
      <c r="P1" s="24" t="n"/>
    </row>
    <row r="2" ht="17.25" customHeight="1">
      <c r="A2" s="25" t="n"/>
      <c r="B2" s="25" t="n"/>
      <c r="C2" s="25" t="n"/>
      <c r="D2" s="25" t="n"/>
      <c r="E2" s="25" t="n"/>
      <c r="F2" s="25" t="n"/>
      <c r="G2" s="26" t="n"/>
      <c r="H2" s="27" t="n"/>
      <c r="I2" s="27" t="n"/>
      <c r="J2" s="27" t="n"/>
      <c r="K2" s="28" t="n"/>
      <c r="L2" s="28" t="n"/>
      <c r="M2" s="28" t="n"/>
      <c r="N2" s="29" t="n"/>
      <c r="O2" s="30" t="n"/>
      <c r="P2" s="31" t="n"/>
    </row>
    <row r="3" ht="18" customHeight="1">
      <c r="A3" s="25" t="n"/>
      <c r="B3" s="25" t="n"/>
      <c r="C3" s="25" t="n"/>
      <c r="D3" s="25" t="n"/>
      <c r="E3" s="25" t="n"/>
      <c r="F3" s="25" t="n"/>
      <c r="G3" s="32" t="n"/>
      <c r="H3" s="33" t="n"/>
      <c r="I3" s="33" t="n"/>
      <c r="J3" s="33" t="n"/>
      <c r="K3" s="34" t="n"/>
      <c r="L3" s="34" t="n"/>
      <c r="M3" s="34" t="n"/>
      <c r="N3" s="35" t="n"/>
      <c r="O3" s="36" t="n"/>
      <c r="P3" s="37" t="n"/>
    </row>
    <row r="4" ht="15" customHeight="1">
      <c r="A4" s="3" t="n"/>
      <c r="B4" s="3" t="n"/>
      <c r="C4" s="3" t="n"/>
      <c r="D4" s="3" t="n"/>
      <c r="E4" s="3" t="n"/>
      <c r="F4" s="3" t="n"/>
      <c r="G4" s="38" t="n"/>
      <c r="H4" s="39" t="inlineStr">
        <is>
          <t>PROJETO:</t>
        </is>
      </c>
      <c r="I4" s="2" t="inlineStr">
        <is>
          <t>Electra Towers</t>
        </is>
      </c>
      <c r="J4" s="2" t="n"/>
      <c r="K4" s="3" t="n"/>
      <c r="L4" s="3" t="n"/>
      <c r="M4" s="3" t="n"/>
      <c r="N4" s="40" t="n"/>
      <c r="O4" s="39" t="inlineStr">
        <is>
          <t>REVISÃO:</t>
        </is>
      </c>
      <c r="P4" s="2108" t="inlineStr">
        <is>
          <t>DATA</t>
        </is>
      </c>
    </row>
    <row r="5" ht="15" customHeight="1">
      <c r="A5" s="2" t="n"/>
      <c r="B5" s="2" t="n"/>
      <c r="C5" s="2" t="n"/>
      <c r="D5" s="2" t="n"/>
      <c r="E5" s="2" t="n"/>
      <c r="F5" s="2" t="n"/>
      <c r="G5" s="2109" t="n"/>
      <c r="H5" s="2110" t="inlineStr">
        <is>
          <t>EMPRESA:</t>
        </is>
      </c>
      <c r="I5" s="2" t="inlineStr">
        <is>
          <t>Thozen</t>
        </is>
      </c>
      <c r="J5" s="2" t="n"/>
      <c r="K5" s="2" t="n"/>
      <c r="L5" s="2" t="n"/>
      <c r="M5" s="2" t="n"/>
      <c r="N5" s="44" t="n"/>
      <c r="O5" s="45" t="inlineStr">
        <is>
          <t>R00</t>
        </is>
      </c>
      <c r="P5" s="2111" t="n"/>
    </row>
    <row r="6" ht="18" customHeight="1">
      <c r="A6" s="47" t="inlineStr">
        <is>
          <t>Unidade Construtiva</t>
        </is>
      </c>
      <c r="B6" s="47" t="inlineStr">
        <is>
          <t>Célula Construtiva</t>
        </is>
      </c>
      <c r="C6" s="47" t="inlineStr">
        <is>
          <t>Etapa</t>
        </is>
      </c>
      <c r="D6" s="47" t="inlineStr">
        <is>
          <t>Subetapa</t>
        </is>
      </c>
      <c r="E6" s="47" t="inlineStr">
        <is>
          <t>Serviço</t>
        </is>
      </c>
      <c r="F6" s="2" t="n"/>
      <c r="G6" s="2112" t="inlineStr">
        <is>
          <t>GERENCIAMENTO EXECUTIVO</t>
        </is>
      </c>
      <c r="H6" s="2113" t="n"/>
      <c r="I6" s="2113" t="n"/>
      <c r="J6" s="2113" t="n"/>
      <c r="K6" s="2113" t="n"/>
      <c r="L6" s="2113" t="n"/>
      <c r="M6" s="2113" t="n"/>
      <c r="N6" s="2113" t="n"/>
      <c r="O6" s="2113" t="n"/>
      <c r="P6" s="2114" t="n"/>
    </row>
    <row r="7" ht="24" customHeight="1">
      <c r="A7" s="2115" t="n">
        <v>0</v>
      </c>
      <c r="B7" s="2115" t="n">
        <v>0</v>
      </c>
      <c r="C7" s="2115" t="n">
        <v>0</v>
      </c>
      <c r="D7" s="2116" t="n">
        <v>0</v>
      </c>
      <c r="E7" s="2116" t="n">
        <v>0</v>
      </c>
      <c r="G7" s="50" t="inlineStr">
        <is>
          <t>EAP</t>
        </is>
      </c>
      <c r="H7" s="51" t="inlineStr">
        <is>
          <t>NIVEL</t>
        </is>
      </c>
      <c r="I7" s="52" t="inlineStr">
        <is>
          <t>Item</t>
        </is>
      </c>
      <c r="J7" s="53" t="inlineStr">
        <is>
          <t>Descrição</t>
        </is>
      </c>
      <c r="K7" s="54" t="inlineStr">
        <is>
          <t>Unidade</t>
        </is>
      </c>
      <c r="L7" s="55" t="inlineStr">
        <is>
          <t xml:space="preserve">Quant. </t>
        </is>
      </c>
      <c r="M7" s="55" t="inlineStr">
        <is>
          <t>Preço un</t>
        </is>
      </c>
      <c r="N7" s="55" t="inlineStr">
        <is>
          <t>Total</t>
        </is>
      </c>
      <c r="O7" s="56" t="inlineStr">
        <is>
          <t>Considerações</t>
        </is>
      </c>
      <c r="P7" s="57" t="inlineStr">
        <is>
          <t>Situação</t>
        </is>
      </c>
    </row>
    <row r="8" ht="13.5" customHeight="1">
      <c r="A8" s="2117" t="n">
        <v>0</v>
      </c>
      <c r="B8" s="2117" t="n">
        <v>1</v>
      </c>
      <c r="C8" s="2117" t="n">
        <v>0</v>
      </c>
      <c r="D8" s="2118" t="n">
        <v>0</v>
      </c>
      <c r="E8" s="2118" t="n">
        <v>0</v>
      </c>
      <c r="F8" s="474" t="n"/>
      <c r="G8" s="1726" t="n"/>
      <c r="H8" s="1727" t="inlineStr">
        <is>
          <t>CÉLULA CONSTRUTIVA</t>
        </is>
      </c>
      <c r="I8" s="1728" t="inlineStr">
        <is>
          <t>01</t>
        </is>
      </c>
      <c r="J8" s="1729" t="inlineStr">
        <is>
          <t>MOVIMENTAÇÃO DE TERRA</t>
        </is>
      </c>
      <c r="K8" s="1730" t="n"/>
      <c r="L8" s="1731" t="n"/>
      <c r="M8" s="1731" t="n"/>
      <c r="N8" s="1732" t="n"/>
      <c r="O8" s="1723" t="n"/>
      <c r="P8" s="1718" t="n"/>
    </row>
    <row r="9" outlineLevel="1" ht="13.5" customHeight="1">
      <c r="A9" s="2117" t="n">
        <v>0</v>
      </c>
      <c r="B9" s="2117" t="n">
        <v>1</v>
      </c>
      <c r="C9" s="2117" t="n">
        <v>1</v>
      </c>
      <c r="D9" s="2118" t="n">
        <v>0</v>
      </c>
      <c r="E9" s="2118" t="n">
        <v>0</v>
      </c>
      <c r="G9" s="1733" t="n"/>
      <c r="H9" s="1734" t="inlineStr">
        <is>
          <t>ETAPA</t>
        </is>
      </c>
      <c r="I9" s="1735" t="inlineStr">
        <is>
          <t>01.001</t>
        </is>
      </c>
      <c r="J9" s="1736" t="inlineStr">
        <is>
          <t>DEMOLIÇÕES, LIMPEZA DE TERRENO E LOCAÇÃO DE OBRA</t>
        </is>
      </c>
      <c r="K9" s="1737" t="n"/>
      <c r="L9" s="1738" t="n"/>
      <c r="M9" s="1738" t="n"/>
      <c r="N9" s="1739" t="n">
        <v>26235.3138666667</v>
      </c>
      <c r="O9" s="1722" t="n">
        <v>1.56631825383226</v>
      </c>
      <c r="P9" s="1719" t="n"/>
    </row>
    <row r="10" outlineLevel="2" ht="13.5" customHeight="1">
      <c r="A10" s="2117" t="n">
        <v>0</v>
      </c>
      <c r="B10" s="2117" t="n">
        <v>1</v>
      </c>
      <c r="C10" s="2117" t="n">
        <v>1</v>
      </c>
      <c r="D10" s="2118" t="n">
        <v>1</v>
      </c>
      <c r="E10" s="2118" t="n">
        <v>0</v>
      </c>
      <c r="G10" s="1740" t="n"/>
      <c r="H10" s="1741" t="inlineStr">
        <is>
          <t>SUBETAPA</t>
        </is>
      </c>
      <c r="I10" s="1742" t="inlineStr">
        <is>
          <t>01.001.001</t>
        </is>
      </c>
      <c r="J10" s="1743" t="inlineStr">
        <is>
          <t>Locação e gabarito de obra</t>
        </is>
      </c>
      <c r="K10" s="1744" t="n"/>
      <c r="L10" s="1745" t="n"/>
      <c r="M10" s="1745" t="n"/>
      <c r="N10" s="1746" t="n">
        <v>26235.3138666667</v>
      </c>
      <c r="O10" s="1747" t="n">
        <v>1.56631825383226</v>
      </c>
      <c r="P10" s="1720" t="n"/>
    </row>
    <row r="11" outlineLevel="3" ht="13.5" customHeight="1">
      <c r="A11" s="2117" t="n">
        <v>0</v>
      </c>
      <c r="B11" s="2117" t="n">
        <v>1</v>
      </c>
      <c r="C11" s="2117" t="n">
        <v>1</v>
      </c>
      <c r="D11" s="2118" t="n">
        <v>1</v>
      </c>
      <c r="E11" s="2118" t="n">
        <v>1</v>
      </c>
      <c r="G11" s="1748" t="inlineStr">
        <is>
          <t>MOVIMENTAÇÃO DE TERRA</t>
        </is>
      </c>
      <c r="H11" s="1749" t="inlineStr">
        <is>
          <t>SERVIÇO</t>
        </is>
      </c>
      <c r="I11" s="1750" t="inlineStr">
        <is>
          <t>01.001.001.001</t>
        </is>
      </c>
      <c r="J11" s="1751" t="inlineStr">
        <is>
          <t>Locação da obra</t>
        </is>
      </c>
      <c r="K11" s="1752" t="inlineStr">
        <is>
          <t>m2</t>
        </is>
      </c>
      <c r="L11" s="1753" t="n"/>
      <c r="M11" s="1753" t="n"/>
      <c r="N11" s="1754" t="n">
        <v>26235.3138666667</v>
      </c>
      <c r="O11" s="1755" t="n"/>
      <c r="P11" s="1721" t="inlineStr">
        <is>
          <t>Pendente</t>
        </is>
      </c>
    </row>
    <row r="12" outlineLevel="1" ht="13.5" customHeight="1">
      <c r="A12" s="2117" t="n">
        <v>0</v>
      </c>
      <c r="B12" s="2117" t="n">
        <v>1</v>
      </c>
      <c r="C12" s="2117" t="n">
        <v>2</v>
      </c>
      <c r="D12" s="2118" t="n">
        <v>0</v>
      </c>
      <c r="E12" s="2118" t="n">
        <v>1</v>
      </c>
      <c r="G12" s="1733" t="n"/>
      <c r="H12" s="1734" t="inlineStr">
        <is>
          <t>ETAPA</t>
        </is>
      </c>
      <c r="I12" s="1735" t="inlineStr">
        <is>
          <t>01.002</t>
        </is>
      </c>
      <c r="J12" s="1756" t="inlineStr">
        <is>
          <t>SERVIÇOS PRELIMINARES</t>
        </is>
      </c>
      <c r="K12" s="1757" t="n"/>
      <c r="L12" s="1738" t="n"/>
      <c r="M12" s="1738" t="n"/>
      <c r="N12" s="1739" t="n"/>
      <c r="O12" s="1722" t="n"/>
      <c r="P12" s="1719" t="n"/>
    </row>
    <row r="13" outlineLevel="2" ht="13.5" customHeight="1">
      <c r="A13" s="2117" t="n">
        <v>0</v>
      </c>
      <c r="B13" s="2117" t="n">
        <v>1</v>
      </c>
      <c r="C13" s="2117" t="n">
        <v>2</v>
      </c>
      <c r="D13" s="2118" t="n">
        <v>1</v>
      </c>
      <c r="E13" s="2118" t="n">
        <v>0</v>
      </c>
      <c r="G13" s="1740" t="n"/>
      <c r="H13" s="1741" t="inlineStr">
        <is>
          <t>SUBETAPA</t>
        </is>
      </c>
      <c r="I13" s="1742" t="inlineStr">
        <is>
          <t>01.002.001</t>
        </is>
      </c>
      <c r="J13" s="1758" t="inlineStr">
        <is>
          <t>Limpeza Permanente e Remoção entulho</t>
        </is>
      </c>
      <c r="K13" s="1759" t="n"/>
      <c r="L13" s="1745" t="n"/>
      <c r="M13" s="1745" t="n"/>
      <c r="N13" s="1746" t="n"/>
      <c r="O13" s="1747" t="n"/>
      <c r="P13" s="1720" t="n"/>
    </row>
    <row r="14" outlineLevel="3" ht="13.5" customHeight="1">
      <c r="A14" s="2117" t="n">
        <v>0</v>
      </c>
      <c r="B14" s="2117" t="n">
        <v>1</v>
      </c>
      <c r="C14" s="2117" t="n">
        <v>2</v>
      </c>
      <c r="D14" s="2118" t="n">
        <v>1</v>
      </c>
      <c r="E14" s="2118" t="n">
        <v>1</v>
      </c>
      <c r="G14" s="1748" t="inlineStr">
        <is>
          <t>MOVIMENTAÇÃO DE TERRA</t>
        </is>
      </c>
      <c r="H14" s="1749" t="inlineStr">
        <is>
          <t>SERVIÇO</t>
        </is>
      </c>
      <c r="I14" s="1750" t="inlineStr">
        <is>
          <t>01.002.001.001</t>
        </is>
      </c>
      <c r="J14" s="1760" t="inlineStr">
        <is>
          <t>Limpeza da camada vegetal</t>
        </is>
      </c>
      <c r="K14" s="1761" t="inlineStr">
        <is>
          <t>m2</t>
        </is>
      </c>
      <c r="L14" s="1753" t="n"/>
      <c r="M14" s="1753" t="n"/>
      <c r="N14" s="1754" t="n"/>
      <c r="O14" s="1761" t="n"/>
      <c r="P14" s="1721" t="inlineStr">
        <is>
          <t>Pendente</t>
        </is>
      </c>
    </row>
    <row r="15" outlineLevel="3" ht="13.5" customHeight="1">
      <c r="A15" s="2117" t="n">
        <v>0</v>
      </c>
      <c r="B15" s="2117" t="n">
        <v>1</v>
      </c>
      <c r="C15" s="2117" t="n">
        <v>2</v>
      </c>
      <c r="D15" s="2118" t="n">
        <v>1</v>
      </c>
      <c r="E15" s="2118" t="n">
        <v>2</v>
      </c>
      <c r="G15" s="1748" t="inlineStr">
        <is>
          <t>MOVIMENTAÇÃO DE TERRA</t>
        </is>
      </c>
      <c r="H15" s="1749" t="inlineStr">
        <is>
          <t>SERVIÇO</t>
        </is>
      </c>
      <c r="I15" s="1750" t="inlineStr">
        <is>
          <t>01.002.001.002</t>
        </is>
      </c>
      <c r="J15" s="1760" t="inlineStr">
        <is>
          <t>Remoção de entulhos e resíduos</t>
        </is>
      </c>
      <c r="K15" s="1761" t="n"/>
      <c r="L15" s="1753" t="n"/>
      <c r="M15" s="1753" t="n"/>
      <c r="N15" s="1754" t="n"/>
      <c r="O15" s="1761" t="n"/>
      <c r="P15" s="1721" t="inlineStr">
        <is>
          <t>Pendente</t>
        </is>
      </c>
    </row>
    <row r="16" outlineLevel="2" ht="13.5" customHeight="1">
      <c r="A16" s="2117" t="n">
        <v>0</v>
      </c>
      <c r="B16" s="2117" t="n">
        <v>1</v>
      </c>
      <c r="C16" s="2117" t="n">
        <v>2</v>
      </c>
      <c r="D16" s="2118" t="n">
        <v>2</v>
      </c>
      <c r="E16" s="2118" t="n">
        <v>0</v>
      </c>
      <c r="G16" s="1740" t="n"/>
      <c r="H16" s="1741" t="inlineStr">
        <is>
          <t>SUBETAPA</t>
        </is>
      </c>
      <c r="I16" s="1742" t="inlineStr">
        <is>
          <t>01.002.002</t>
        </is>
      </c>
      <c r="J16" s="1758" t="inlineStr">
        <is>
          <t>Mão de Obra de Canteiro</t>
        </is>
      </c>
      <c r="K16" s="1759" t="n"/>
      <c r="L16" s="1762" t="n"/>
      <c r="M16" s="1762" t="n"/>
      <c r="N16" s="1746" t="n"/>
      <c r="O16" s="1747" t="n"/>
      <c r="P16" s="1720" t="n"/>
    </row>
    <row r="17" outlineLevel="3" ht="13.5" customHeight="1">
      <c r="A17" s="2117" t="n">
        <v>0</v>
      </c>
      <c r="B17" s="2117" t="n">
        <v>1</v>
      </c>
      <c r="C17" s="2117" t="n">
        <v>2</v>
      </c>
      <c r="D17" s="2118" t="n">
        <v>2</v>
      </c>
      <c r="E17" s="2118" t="n">
        <v>1</v>
      </c>
      <c r="G17" s="1748" t="inlineStr">
        <is>
          <t>MOVIMENTAÇÃO DE TERRA</t>
        </is>
      </c>
      <c r="H17" s="1749" t="inlineStr">
        <is>
          <t>SERVIÇO</t>
        </is>
      </c>
      <c r="I17" s="1750" t="inlineStr">
        <is>
          <t>01.002.002.001</t>
        </is>
      </c>
      <c r="J17" s="1760" t="inlineStr">
        <is>
          <t>Mão de Obra de Canteiro</t>
        </is>
      </c>
      <c r="K17" s="1761" t="inlineStr">
        <is>
          <t>vb</t>
        </is>
      </c>
      <c r="L17" s="1761" t="n"/>
      <c r="M17" s="1761" t="n"/>
      <c r="N17" s="1754" t="n"/>
      <c r="O17" s="1761" t="n"/>
      <c r="P17" s="1721" t="inlineStr">
        <is>
          <t>Pendente</t>
        </is>
      </c>
    </row>
    <row r="18" outlineLevel="1" ht="13.5" customHeight="1">
      <c r="A18" s="2117" t="n">
        <v>0</v>
      </c>
      <c r="B18" s="2117" t="n">
        <v>1</v>
      </c>
      <c r="C18" s="2117" t="n">
        <v>3</v>
      </c>
      <c r="D18" s="2118" t="n">
        <v>0</v>
      </c>
      <c r="E18" s="2118" t="n">
        <v>1</v>
      </c>
      <c r="G18" s="1763" t="n"/>
      <c r="H18" s="1734" t="inlineStr">
        <is>
          <t>ETAPA</t>
        </is>
      </c>
      <c r="I18" s="1735" t="inlineStr">
        <is>
          <t>01.003</t>
        </is>
      </c>
      <c r="J18" s="1736" t="inlineStr">
        <is>
          <t>SERVIÇOS DE TERRAPLANAGEM</t>
        </is>
      </c>
      <c r="K18" s="1737" t="n"/>
      <c r="L18" s="1738" t="n"/>
      <c r="M18" s="1738" t="n"/>
      <c r="N18" s="1739" t="n">
        <v>271126.189867594</v>
      </c>
      <c r="O18" s="1722" t="n">
        <v>16.186957108265</v>
      </c>
      <c r="P18" s="1719" t="n"/>
    </row>
    <row r="19" outlineLevel="2" ht="13.5" customHeight="1">
      <c r="A19" s="2117" t="n">
        <v>0</v>
      </c>
      <c r="B19" s="2117" t="n">
        <v>1</v>
      </c>
      <c r="C19" s="2117" t="n">
        <v>3</v>
      </c>
      <c r="D19" s="2118" t="n">
        <v>1</v>
      </c>
      <c r="E19" s="2118" t="n">
        <v>0</v>
      </c>
      <c r="G19" s="1764" t="n"/>
      <c r="H19" s="1741" t="inlineStr">
        <is>
          <t>SUBETAPA</t>
        </is>
      </c>
      <c r="I19" s="1742" t="inlineStr">
        <is>
          <t>01.003.001</t>
        </is>
      </c>
      <c r="J19" s="1743" t="inlineStr">
        <is>
          <t>Mao de obra - movimentações de terra</t>
        </is>
      </c>
      <c r="K19" s="1744" t="n"/>
      <c r="L19" s="1745" t="n"/>
      <c r="M19" s="1745" t="n"/>
      <c r="N19" s="1746" t="n">
        <v>271126.189867594</v>
      </c>
      <c r="O19" s="1747" t="n">
        <v>16.186957108265</v>
      </c>
      <c r="P19" s="1720" t="n"/>
    </row>
    <row r="20" outlineLevel="3" ht="13.5" customHeight="1">
      <c r="A20" s="2117" t="n">
        <v>0</v>
      </c>
      <c r="B20" s="2117" t="n">
        <v>1</v>
      </c>
      <c r="C20" s="2117" t="n">
        <v>3</v>
      </c>
      <c r="D20" s="2118" t="n">
        <v>1</v>
      </c>
      <c r="E20" s="2118" t="n">
        <v>1</v>
      </c>
      <c r="G20" s="1748" t="inlineStr">
        <is>
          <t>MOVIMENTAÇÃO DE TERRA</t>
        </is>
      </c>
      <c r="H20" s="1749" t="inlineStr">
        <is>
          <t>SERVIÇO</t>
        </is>
      </c>
      <c r="I20" s="1750" t="inlineStr">
        <is>
          <t>01.003.001.001</t>
        </is>
      </c>
      <c r="J20" s="1751" t="inlineStr">
        <is>
          <t>Mão de obra movimentação de terra</t>
        </is>
      </c>
      <c r="K20" s="1752" t="inlineStr">
        <is>
          <t>vb</t>
        </is>
      </c>
      <c r="L20" s="1753" t="n"/>
      <c r="M20" s="1753" t="n"/>
      <c r="N20" s="1754" t="n">
        <v>233000</v>
      </c>
      <c r="O20" s="1761" t="n"/>
      <c r="P20" s="1721" t="inlineStr">
        <is>
          <t>Pendente</t>
        </is>
      </c>
    </row>
    <row r="21" outlineLevel="1" ht="13.5" customHeight="1">
      <c r="A21" s="2117" t="n">
        <v>0</v>
      </c>
      <c r="B21" s="2117" t="n">
        <v>1</v>
      </c>
      <c r="C21" s="2117" t="n">
        <v>4</v>
      </c>
      <c r="D21" s="2118" t="n">
        <v>0</v>
      </c>
      <c r="E21" s="2118" t="n">
        <v>2</v>
      </c>
      <c r="G21" s="1733" t="n"/>
      <c r="H21" s="1734" t="inlineStr">
        <is>
          <t>ETAPA</t>
        </is>
      </c>
      <c r="I21" s="1735" t="inlineStr">
        <is>
          <t>01.004</t>
        </is>
      </c>
      <c r="J21" s="1736" t="inlineStr">
        <is>
          <t>SERVIÇO DE DRENAGEM</t>
        </is>
      </c>
      <c r="K21" s="1737" t="n"/>
      <c r="L21" s="1738" t="n"/>
      <c r="M21" s="1738" t="n"/>
      <c r="N21" s="1739" t="n">
        <v>80000</v>
      </c>
      <c r="O21" s="1722" t="n">
        <v>4.77621350151973</v>
      </c>
      <c r="P21" s="1722" t="n"/>
    </row>
    <row r="22" outlineLevel="2" ht="13.5" customHeight="1">
      <c r="A22" s="2117" t="n">
        <v>0</v>
      </c>
      <c r="B22" s="2117" t="n">
        <v>1</v>
      </c>
      <c r="C22" s="2117" t="n">
        <v>4</v>
      </c>
      <c r="D22" s="2118" t="n">
        <v>1</v>
      </c>
      <c r="E22" s="2118" t="n">
        <v>0</v>
      </c>
      <c r="G22" s="1764" t="n"/>
      <c r="H22" s="1741" t="inlineStr">
        <is>
          <t>SUBETAPA</t>
        </is>
      </c>
      <c r="I22" s="1742" t="inlineStr">
        <is>
          <t>01.004.001</t>
        </is>
      </c>
      <c r="J22" s="1743" t="inlineStr">
        <is>
          <t>Drenagem</t>
        </is>
      </c>
      <c r="K22" s="1744" t="n"/>
      <c r="L22" s="1745" t="n"/>
      <c r="M22" s="1745" t="n"/>
      <c r="N22" s="1746" t="n">
        <v>80000</v>
      </c>
      <c r="O22" s="1747" t="n">
        <v>4.77621350151973</v>
      </c>
      <c r="P22" s="1720" t="n"/>
    </row>
    <row r="23" outlineLevel="3" ht="13.5" customHeight="1">
      <c r="A23" s="2117" t="n">
        <v>0</v>
      </c>
      <c r="B23" s="2117" t="n">
        <v>1</v>
      </c>
      <c r="C23" s="2117" t="n">
        <v>4</v>
      </c>
      <c r="D23" s="2118" t="n">
        <v>1</v>
      </c>
      <c r="E23" s="2118" t="n">
        <v>1</v>
      </c>
      <c r="G23" s="1748" t="inlineStr">
        <is>
          <t>MOVIMENTAÇÃO DE TERRA</t>
        </is>
      </c>
      <c r="H23" s="1749" t="inlineStr">
        <is>
          <t>SERVIÇO</t>
        </is>
      </c>
      <c r="I23" s="1750" t="inlineStr">
        <is>
          <t>01.004.001.001</t>
        </is>
      </c>
      <c r="J23" s="1751" t="inlineStr">
        <is>
          <t>Rebaixamento de Lençol freático</t>
        </is>
      </c>
      <c r="K23" s="1752" t="inlineStr">
        <is>
          <t>vb</t>
        </is>
      </c>
      <c r="L23" s="1753" t="n"/>
      <c r="M23" s="1753" t="n"/>
      <c r="N23" s="1754" t="n">
        <v>80000</v>
      </c>
      <c r="O23" s="1761" t="n"/>
      <c r="P23" s="1721" t="inlineStr">
        <is>
          <t>Pendente</t>
        </is>
      </c>
    </row>
    <row r="24" collapsed="1" ht="13.5" customHeight="1">
      <c r="A24" s="2117" t="n">
        <v>0</v>
      </c>
      <c r="B24" s="2117" t="n">
        <v>2</v>
      </c>
      <c r="C24" s="2117" t="n">
        <v>0</v>
      </c>
      <c r="D24" s="2118" t="n">
        <v>1</v>
      </c>
      <c r="E24" s="2118" t="n">
        <v>1</v>
      </c>
      <c r="F24" s="474" t="n"/>
      <c r="G24" s="1726" t="n"/>
      <c r="H24" s="1727" t="inlineStr">
        <is>
          <t>CÉLULA CONSTRUTIVA</t>
        </is>
      </c>
      <c r="I24" s="1728" t="inlineStr">
        <is>
          <t>02</t>
        </is>
      </c>
      <c r="J24" s="1729" t="inlineStr">
        <is>
          <t>CONTENÇÃO</t>
        </is>
      </c>
      <c r="K24" s="1730" t="n"/>
      <c r="L24" s="1731" t="n"/>
      <c r="M24" s="1731" t="n"/>
      <c r="N24" s="1732" t="n">
        <v>772006.626312227</v>
      </c>
      <c r="O24" s="1723" t="n">
        <v>46.0908558981895</v>
      </c>
      <c r="P24" s="1723" t="n"/>
    </row>
    <row r="25" hidden="1" outlineLevel="1" ht="13.5" customHeight="1">
      <c r="A25" s="2117" t="n">
        <v>0</v>
      </c>
      <c r="B25" s="2117" t="n">
        <v>2</v>
      </c>
      <c r="C25" s="2117" t="n">
        <v>1</v>
      </c>
      <c r="D25" s="2118" t="n">
        <v>0</v>
      </c>
      <c r="E25" s="2118" t="n">
        <v>1</v>
      </c>
      <c r="G25" s="1733" t="n"/>
      <c r="H25" s="1734" t="inlineStr">
        <is>
          <t>ETAPA</t>
        </is>
      </c>
      <c r="I25" s="1735" t="inlineStr">
        <is>
          <t>02.001</t>
        </is>
      </c>
      <c r="J25" s="1736" t="inlineStr">
        <is>
          <t>MURETA GUIA</t>
        </is>
      </c>
      <c r="K25" s="1737" t="n"/>
      <c r="L25" s="1738" t="n"/>
      <c r="M25" s="1738" t="n"/>
      <c r="N25" s="1739" t="n">
        <v>18739.3889980061</v>
      </c>
      <c r="O25" s="1722" t="n">
        <v>1.11879153428134</v>
      </c>
      <c r="P25" s="1719" t="n"/>
    </row>
    <row r="26" hidden="1" outlineLevel="2" ht="13.5" customHeight="1">
      <c r="A26" s="2117" t="n">
        <v>0</v>
      </c>
      <c r="B26" s="2117" t="n">
        <v>2</v>
      </c>
      <c r="C26" s="2117" t="n">
        <v>1</v>
      </c>
      <c r="D26" s="2118" t="n">
        <v>1</v>
      </c>
      <c r="E26" s="2118" t="n">
        <v>0</v>
      </c>
      <c r="G26" s="1740" t="n"/>
      <c r="H26" s="1741" t="inlineStr">
        <is>
          <t>SUBETAPA</t>
        </is>
      </c>
      <c r="I26" s="1742" t="inlineStr">
        <is>
          <t>02.001.001</t>
        </is>
      </c>
      <c r="J26" s="1743" t="inlineStr">
        <is>
          <t>Forma</t>
        </is>
      </c>
      <c r="K26" s="1744" t="n"/>
      <c r="L26" s="1745" t="n"/>
      <c r="M26" s="1745" t="n"/>
      <c r="N26" s="1746" t="n">
        <v>6673.94364470857</v>
      </c>
      <c r="O26" s="1747" t="n">
        <v>0.398452246802986</v>
      </c>
      <c r="P26" s="1720" t="n"/>
    </row>
    <row r="27" hidden="1" outlineLevel="3" ht="13.5" customHeight="1">
      <c r="A27" s="2117" t="n">
        <v>0</v>
      </c>
      <c r="B27" s="2117" t="n">
        <v>2</v>
      </c>
      <c r="C27" s="2117" t="n">
        <v>1</v>
      </c>
      <c r="D27" s="2118" t="n">
        <v>1</v>
      </c>
      <c r="E27" s="2118" t="n">
        <v>1</v>
      </c>
      <c r="G27" s="1748" t="inlineStr">
        <is>
          <t>CONTENÇÃO</t>
        </is>
      </c>
      <c r="H27" s="1749" t="inlineStr">
        <is>
          <t>SERVIÇO</t>
        </is>
      </c>
      <c r="I27" s="1750" t="inlineStr">
        <is>
          <t>02.001.001.001</t>
        </is>
      </c>
      <c r="J27" s="1751" t="inlineStr">
        <is>
          <t>Forma para infraestrutura em Tábuas de Madeira Serrada 2x reaproveitamento</t>
        </is>
      </c>
      <c r="K27" s="1752" t="inlineStr">
        <is>
          <t>m2</t>
        </is>
      </c>
      <c r="L27" s="1753" t="n">
        <v>111.3136</v>
      </c>
      <c r="M27" s="1753" t="n">
        <v>59.95622857142857</v>
      </c>
      <c r="N27" s="1754" t="n">
        <v>6673.94364470857</v>
      </c>
      <c r="O27" s="1755" t="n"/>
      <c r="P27" s="1721" t="inlineStr">
        <is>
          <t>Pendente</t>
        </is>
      </c>
    </row>
    <row r="28" hidden="1" outlineLevel="2" ht="13.5" customHeight="1">
      <c r="A28" s="2117" t="n">
        <v>0</v>
      </c>
      <c r="B28" s="2117" t="n">
        <v>2</v>
      </c>
      <c r="C28" s="2117" t="n">
        <v>1</v>
      </c>
      <c r="D28" s="2118" t="n">
        <v>2</v>
      </c>
      <c r="E28" s="2118" t="n">
        <v>0</v>
      </c>
      <c r="G28" s="1740" t="n"/>
      <c r="H28" s="1741" t="inlineStr">
        <is>
          <t>SUBETAPA</t>
        </is>
      </c>
      <c r="I28" s="1742" t="inlineStr">
        <is>
          <t>02.001.002</t>
        </is>
      </c>
      <c r="J28" s="1743" t="inlineStr">
        <is>
          <t>Armadura</t>
        </is>
      </c>
      <c r="K28" s="1744" t="n"/>
      <c r="L28" s="1745" t="n"/>
      <c r="M28" s="1745" t="n"/>
      <c r="N28" s="1746" t="n">
        <v>4318.73060538557</v>
      </c>
      <c r="O28" s="1747" t="n">
        <v>0.257839742835863</v>
      </c>
      <c r="P28" s="1720" t="n"/>
    </row>
    <row r="29" hidden="1" outlineLevel="3" ht="13.5" customHeight="1">
      <c r="A29" s="2117" t="n">
        <v>0</v>
      </c>
      <c r="B29" s="2117" t="n">
        <v>2</v>
      </c>
      <c r="C29" s="2117" t="n">
        <v>1</v>
      </c>
      <c r="D29" s="2118" t="n">
        <v>2</v>
      </c>
      <c r="E29" s="2118" t="n">
        <v>1</v>
      </c>
      <c r="G29" s="1748" t="inlineStr">
        <is>
          <t>CONTENÇÃO</t>
        </is>
      </c>
      <c r="H29" s="1749" t="inlineStr">
        <is>
          <t>SERVIÇO</t>
        </is>
      </c>
      <c r="I29" s="1750" t="inlineStr">
        <is>
          <t>02.001.002.001</t>
        </is>
      </c>
      <c r="J29" s="1751" t="inlineStr">
        <is>
          <t>Armação aço CA-50 ø 6,3mm para Contenções (corte e dobra em obra)</t>
        </is>
      </c>
      <c r="K29" s="1752" t="inlineStr">
        <is>
          <t>un</t>
        </is>
      </c>
      <c r="L29" s="1753" t="n">
        <v>670.3199999999998</v>
      </c>
      <c r="M29" s="1753" t="n">
        <v>6.079567393795697</v>
      </c>
      <c r="N29" s="1754" t="n">
        <v>4075.25561540913</v>
      </c>
      <c r="O29" s="1755" t="n"/>
      <c r="P29" s="1721" t="inlineStr">
        <is>
          <t>Pendente</t>
        </is>
      </c>
    </row>
    <row r="30" hidden="1" outlineLevel="3" ht="13.15" customHeight="1">
      <c r="A30" s="2117" t="n">
        <v>0</v>
      </c>
      <c r="B30" s="2117" t="n">
        <v>2</v>
      </c>
      <c r="C30" s="2117" t="n">
        <v>1</v>
      </c>
      <c r="D30" s="2118" t="n">
        <v>2</v>
      </c>
      <c r="E30" s="2118" t="n">
        <v>2</v>
      </c>
      <c r="G30" s="1748" t="inlineStr">
        <is>
          <t>CONTENÇÃO</t>
        </is>
      </c>
      <c r="H30" s="1749" t="inlineStr">
        <is>
          <t>SERVIÇO</t>
        </is>
      </c>
      <c r="I30" s="1750" t="inlineStr">
        <is>
          <t>02.001.002.002</t>
        </is>
      </c>
      <c r="J30" s="1751" t="inlineStr">
        <is>
          <t xml:space="preserve">Armação aço CA-50 ø 12,5mm para Contenções (corte e dobra em obra) </t>
        </is>
      </c>
      <c r="K30" s="1752" t="inlineStr">
        <is>
          <t>un</t>
        </is>
      </c>
      <c r="L30" s="1753" t="n">
        <v>41.6016</v>
      </c>
      <c r="M30" s="1753" t="n">
        <v>5.852539084468731</v>
      </c>
      <c r="N30" s="1754" t="n">
        <v>243.474989976434</v>
      </c>
      <c r="O30" s="1755" t="n"/>
      <c r="P30" s="1721" t="inlineStr">
        <is>
          <t>Pendente</t>
        </is>
      </c>
    </row>
    <row r="31" hidden="1" outlineLevel="2" ht="13.5" customHeight="1">
      <c r="A31" s="2117" t="n">
        <v>0</v>
      </c>
      <c r="B31" s="2117" t="n">
        <v>2</v>
      </c>
      <c r="C31" s="2117" t="n">
        <v>1</v>
      </c>
      <c r="D31" s="2118" t="n">
        <v>3</v>
      </c>
      <c r="E31" s="2118" t="n">
        <v>0</v>
      </c>
      <c r="G31" s="1740" t="n"/>
      <c r="H31" s="1741" t="inlineStr">
        <is>
          <t>SUBETAPA</t>
        </is>
      </c>
      <c r="I31" s="1742" t="inlineStr">
        <is>
          <t>02.001.003</t>
        </is>
      </c>
      <c r="J31" s="1743" t="inlineStr">
        <is>
          <t>Concreto</t>
        </is>
      </c>
      <c r="K31" s="1744" t="n"/>
      <c r="L31" s="1745" t="n"/>
      <c r="M31" s="1745" t="n"/>
      <c r="N31" s="1746" t="n">
        <v>7746.714747912</v>
      </c>
      <c r="O31" s="1747" t="n">
        <v>0.462499544642491</v>
      </c>
      <c r="P31" s="1720" t="n"/>
    </row>
    <row r="32" hidden="1" outlineLevel="3" ht="13.5" customHeight="1">
      <c r="A32" s="2117" t="n">
        <v>0</v>
      </c>
      <c r="B32" s="2117" t="n">
        <v>2</v>
      </c>
      <c r="C32" s="2117" t="n">
        <v>1</v>
      </c>
      <c r="D32" s="2118" t="n">
        <v>3</v>
      </c>
      <c r="E32" s="2118" t="n">
        <v>1</v>
      </c>
      <c r="G32" s="1748" t="inlineStr">
        <is>
          <t>CONTENÇÃO</t>
        </is>
      </c>
      <c r="H32" s="1749" t="inlineStr">
        <is>
          <t>SERVIÇO</t>
        </is>
      </c>
      <c r="I32" s="1750" t="inlineStr">
        <is>
          <t>02.001.003.001</t>
        </is>
      </c>
      <c r="J32" s="1751" t="inlineStr">
        <is>
          <t>Concreto Usinado bombeável 50MPa para infraestrutura- incluindo serviço de bombeamento</t>
        </is>
      </c>
      <c r="K32" s="1752" t="inlineStr">
        <is>
          <t>m3</t>
        </is>
      </c>
      <c r="L32" s="1753" t="n">
        <v>11.390452</v>
      </c>
      <c r="M32" s="1753" t="n">
        <v>680.1060000000001</v>
      </c>
      <c r="N32" s="1754" t="n">
        <v>7746.714747912</v>
      </c>
      <c r="O32" s="1755" t="n"/>
      <c r="P32" s="1721" t="inlineStr">
        <is>
          <t>Pendente</t>
        </is>
      </c>
    </row>
    <row r="33" hidden="1" outlineLevel="1" ht="13.5" customHeight="1">
      <c r="A33" s="2117" t="n">
        <v>0</v>
      </c>
      <c r="B33" s="2117" t="n">
        <v>2</v>
      </c>
      <c r="C33" s="2117" t="n">
        <v>2</v>
      </c>
      <c r="D33" s="2118" t="n">
        <v>0</v>
      </c>
      <c r="E33" s="2118" t="n">
        <v>1</v>
      </c>
      <c r="G33" s="1733" t="n"/>
      <c r="H33" s="1734" t="inlineStr">
        <is>
          <t>ETAPA</t>
        </is>
      </c>
      <c r="I33" s="1735" t="inlineStr">
        <is>
          <t>02.002</t>
        </is>
      </c>
      <c r="J33" s="1736" t="inlineStr">
        <is>
          <t>LAMELAS | PAREDE DIAFRAGMA</t>
        </is>
      </c>
      <c r="K33" s="1737" t="n"/>
      <c r="L33" s="1738" t="n"/>
      <c r="M33" s="1738" t="n"/>
      <c r="N33" s="1739" t="n">
        <v>331865.22625</v>
      </c>
      <c r="O33" s="1722" t="n">
        <v>19.8132396787519</v>
      </c>
      <c r="P33" s="1719" t="n"/>
    </row>
    <row r="34" hidden="1" outlineLevel="2" ht="13.5" customHeight="1">
      <c r="A34" s="2117" t="n">
        <v>0</v>
      </c>
      <c r="B34" s="2117" t="n">
        <v>2</v>
      </c>
      <c r="C34" s="2117" t="n">
        <v>2</v>
      </c>
      <c r="D34" s="2118" t="n">
        <v>1</v>
      </c>
      <c r="E34" s="2118" t="n">
        <v>0</v>
      </c>
      <c r="G34" s="1740" t="n"/>
      <c r="H34" s="1741" t="inlineStr">
        <is>
          <t>SUBETAPA</t>
        </is>
      </c>
      <c r="I34" s="1742" t="inlineStr">
        <is>
          <t>02.002.001</t>
        </is>
      </c>
      <c r="J34" s="1743" t="inlineStr">
        <is>
          <t>Armadura</t>
        </is>
      </c>
      <c r="K34" s="1744" t="n"/>
      <c r="L34" s="1745" t="n"/>
      <c r="M34" s="1745" t="n"/>
      <c r="N34" s="1746" t="n">
        <v>155967.96625</v>
      </c>
      <c r="O34" s="1747" t="n">
        <v>9.3117038275978</v>
      </c>
      <c r="P34" s="1720" t="n"/>
    </row>
    <row r="35" hidden="1" outlineLevel="3" ht="13.5" customHeight="1">
      <c r="A35" s="2117" t="n">
        <v>0</v>
      </c>
      <c r="B35" s="2117" t="n">
        <v>2</v>
      </c>
      <c r="C35" s="2117" t="n">
        <v>2</v>
      </c>
      <c r="D35" s="2118" t="n">
        <v>1</v>
      </c>
      <c r="E35" s="2118" t="n">
        <v>1</v>
      </c>
      <c r="G35" s="1748" t="inlineStr">
        <is>
          <t>CONTENÇÃO</t>
        </is>
      </c>
      <c r="H35" s="1749" t="inlineStr">
        <is>
          <t>SERVIÇO</t>
        </is>
      </c>
      <c r="I35" s="1750" t="inlineStr">
        <is>
          <t>02.002.001.001</t>
        </is>
      </c>
      <c r="J35" s="1751" t="inlineStr">
        <is>
          <t>Armação aço CA-50 ø 6,3mm para Contenções (corte e dobra em Indústria)</t>
        </is>
      </c>
      <c r="K35" s="1752" t="inlineStr">
        <is>
          <t>un</t>
        </is>
      </c>
      <c r="L35" s="1753" t="n">
        <v>2282</v>
      </c>
      <c r="M35" s="1753" t="n">
        <v>8.964145</v>
      </c>
      <c r="N35" s="1754" t="n">
        <v>20456.17889</v>
      </c>
      <c r="O35" s="1755" t="n"/>
      <c r="P35" s="1721" t="inlineStr">
        <is>
          <t>Pendente</t>
        </is>
      </c>
    </row>
    <row r="36" hidden="1" outlineLevel="3" ht="12.75" customHeight="1">
      <c r="A36" s="2117" t="n">
        <v>0</v>
      </c>
      <c r="B36" s="2117" t="n">
        <v>2</v>
      </c>
      <c r="C36" s="2117" t="n">
        <v>2</v>
      </c>
      <c r="D36" s="2118" t="n">
        <v>1</v>
      </c>
      <c r="E36" s="2118" t="n">
        <v>2</v>
      </c>
      <c r="G36" s="1748" t="inlineStr">
        <is>
          <t>CONTENÇÃO</t>
        </is>
      </c>
      <c r="H36" s="1749" t="inlineStr">
        <is>
          <t>SERVIÇO</t>
        </is>
      </c>
      <c r="I36" s="1750" t="inlineStr">
        <is>
          <t>02.002.001.002</t>
        </is>
      </c>
      <c r="J36" s="1751" t="inlineStr">
        <is>
          <t>Armação aço CA-50 ø 8,0mm para Contenções (corte e dobra em Indústria)</t>
        </is>
      </c>
      <c r="K36" s="1752" t="inlineStr">
        <is>
          <t>un</t>
        </is>
      </c>
      <c r="L36" s="1753" t="n">
        <v>77</v>
      </c>
      <c r="M36" s="1753" t="n">
        <v>8.964145</v>
      </c>
      <c r="N36" s="1754" t="n">
        <v>690.239165</v>
      </c>
      <c r="O36" s="1755" t="n"/>
      <c r="P36" s="1721" t="inlineStr">
        <is>
          <t>Pendente</t>
        </is>
      </c>
    </row>
    <row r="37" hidden="1" outlineLevel="3" ht="13.5" customHeight="1">
      <c r="A37" s="2117" t="n">
        <v>0</v>
      </c>
      <c r="B37" s="2117" t="n">
        <v>2</v>
      </c>
      <c r="C37" s="2117" t="n">
        <v>2</v>
      </c>
      <c r="D37" s="2118" t="n">
        <v>1</v>
      </c>
      <c r="E37" s="2118" t="n">
        <v>3</v>
      </c>
      <c r="G37" s="1748" t="inlineStr">
        <is>
          <t>CONTENÇÃO</t>
        </is>
      </c>
      <c r="H37" s="1749" t="inlineStr">
        <is>
          <t>SERVIÇO</t>
        </is>
      </c>
      <c r="I37" s="1750" t="inlineStr">
        <is>
          <t>02.002.001.003</t>
        </is>
      </c>
      <c r="J37" s="1751" t="inlineStr">
        <is>
          <t>Armação aço CA-50 ø 12,5mm para Contenções (corte e dobra em Indústria)</t>
        </is>
      </c>
      <c r="K37" s="1752" t="inlineStr">
        <is>
          <t>un</t>
        </is>
      </c>
      <c r="L37" s="1753" t="n">
        <v>3884</v>
      </c>
      <c r="M37" s="1753" t="n">
        <v>8.484145</v>
      </c>
      <c r="N37" s="1754" t="n">
        <v>32952.41918</v>
      </c>
      <c r="O37" s="1755" t="n"/>
      <c r="P37" s="1721" t="inlineStr">
        <is>
          <t>Pendente</t>
        </is>
      </c>
    </row>
    <row r="38" hidden="1" outlineLevel="3" ht="13.5" customHeight="1">
      <c r="A38" s="2117" t="n">
        <v>0</v>
      </c>
      <c r="B38" s="2117" t="n">
        <v>2</v>
      </c>
      <c r="C38" s="2117" t="n">
        <v>2</v>
      </c>
      <c r="D38" s="2118" t="n">
        <v>1</v>
      </c>
      <c r="E38" s="2118" t="n">
        <v>4</v>
      </c>
      <c r="G38" s="1748" t="inlineStr">
        <is>
          <t>CONTENÇÃO</t>
        </is>
      </c>
      <c r="H38" s="1749" t="inlineStr">
        <is>
          <t>SERVIÇO</t>
        </is>
      </c>
      <c r="I38" s="1750" t="inlineStr">
        <is>
          <t>02.002.001.004</t>
        </is>
      </c>
      <c r="J38" s="1751" t="inlineStr">
        <is>
          <t>Armação aço CA-50 ø 25,0mm para Contenções (corte e dobra em Indústria)</t>
        </is>
      </c>
      <c r="K38" s="1752" t="inlineStr">
        <is>
          <t>un</t>
        </is>
      </c>
      <c r="L38" s="1753" t="n">
        <v>12007</v>
      </c>
      <c r="M38" s="1753" t="n">
        <v>8.484145</v>
      </c>
      <c r="N38" s="1754" t="n">
        <v>101869.129015</v>
      </c>
      <c r="O38" s="1755" t="n"/>
      <c r="P38" s="1721" t="inlineStr">
        <is>
          <t>Pendente</t>
        </is>
      </c>
    </row>
    <row r="39" hidden="1" outlineLevel="2" ht="13.5" customHeight="1">
      <c r="A39" s="2117" t="n">
        <v>0</v>
      </c>
      <c r="B39" s="2117" t="n">
        <v>2</v>
      </c>
      <c r="C39" s="2117" t="n">
        <v>2</v>
      </c>
      <c r="D39" s="2118" t="n">
        <v>2</v>
      </c>
      <c r="E39" s="2118" t="n">
        <v>0</v>
      </c>
      <c r="G39" s="1740" t="n"/>
      <c r="H39" s="1741" t="inlineStr">
        <is>
          <t>SUBETAPA</t>
        </is>
      </c>
      <c r="I39" s="1742" t="inlineStr">
        <is>
          <t>02.002.002</t>
        </is>
      </c>
      <c r="J39" s="1743" t="inlineStr">
        <is>
          <t>Concreto</t>
        </is>
      </c>
      <c r="K39" s="1744" t="n"/>
      <c r="L39" s="1745" t="n"/>
      <c r="M39" s="1745" t="n"/>
      <c r="N39" s="1746" t="n">
        <v>175897.26</v>
      </c>
      <c r="O39" s="1747" t="n">
        <v>10.5015358511541</v>
      </c>
      <c r="P39" s="1720" t="n"/>
    </row>
    <row r="40" hidden="1" outlineLevel="3" ht="13.5" customHeight="1">
      <c r="A40" s="2117" t="n">
        <v>0</v>
      </c>
      <c r="B40" s="2117" t="n">
        <v>2</v>
      </c>
      <c r="C40" s="2117" t="n">
        <v>2</v>
      </c>
      <c r="D40" s="2118" t="n">
        <v>2</v>
      </c>
      <c r="E40" s="2118" t="n">
        <v>1</v>
      </c>
      <c r="G40" s="1748" t="inlineStr">
        <is>
          <t>CONTENÇÃO</t>
        </is>
      </c>
      <c r="H40" s="1749" t="inlineStr">
        <is>
          <t>SERVIÇO</t>
        </is>
      </c>
      <c r="I40" s="1750" t="inlineStr">
        <is>
          <t>02.002.002.001</t>
        </is>
      </c>
      <c r="J40" s="1751" t="inlineStr">
        <is>
          <t>Concreto Usinado bombeável 50MPa com Penetron para infraestrutura- incluindo serviço de bombeamento</t>
        </is>
      </c>
      <c r="K40" s="1752" t="inlineStr">
        <is>
          <t>m3</t>
        </is>
      </c>
      <c r="L40" s="1753" t="n">
        <v>210</v>
      </c>
      <c r="M40" s="1753" t="n">
        <v>837.6060000000001</v>
      </c>
      <c r="N40" s="1754" t="n">
        <v>175897.26</v>
      </c>
      <c r="O40" s="1755" t="n"/>
      <c r="P40" s="1721" t="inlineStr">
        <is>
          <t>Pendente</t>
        </is>
      </c>
    </row>
    <row r="41" hidden="1" outlineLevel="1" ht="13.5" customHeight="1">
      <c r="A41" s="2117" t="n">
        <v>0</v>
      </c>
      <c r="B41" s="2117" t="n">
        <v>2</v>
      </c>
      <c r="C41" s="2117" t="n">
        <v>3</v>
      </c>
      <c r="D41" s="2118" t="n">
        <v>0</v>
      </c>
      <c r="E41" s="2118" t="n">
        <v>1</v>
      </c>
      <c r="G41" s="1733" t="n"/>
      <c r="H41" s="1734" t="inlineStr">
        <is>
          <t>ETAPA</t>
        </is>
      </c>
      <c r="I41" s="1735" t="inlineStr">
        <is>
          <t>02.003</t>
        </is>
      </c>
      <c r="J41" s="1736" t="inlineStr">
        <is>
          <t>VIGAS COROAMENTO</t>
        </is>
      </c>
      <c r="K41" s="1737" t="n"/>
      <c r="L41" s="1738" t="n"/>
      <c r="M41" s="1738" t="n"/>
      <c r="N41" s="1739" t="n">
        <v>37645.9910642208</v>
      </c>
      <c r="O41" s="1722" t="n">
        <v>2.24756613498778</v>
      </c>
      <c r="P41" s="1719" t="n"/>
    </row>
    <row r="42" hidden="1" outlineLevel="2" ht="13.5" customHeight="1">
      <c r="A42" s="2117" t="n">
        <v>0</v>
      </c>
      <c r="B42" s="2117" t="n">
        <v>2</v>
      </c>
      <c r="C42" s="2117" t="n">
        <v>3</v>
      </c>
      <c r="D42" s="2118" t="n">
        <v>1</v>
      </c>
      <c r="E42" s="2118" t="n">
        <v>0</v>
      </c>
      <c r="G42" s="1740" t="n"/>
      <c r="H42" s="1741" t="inlineStr">
        <is>
          <t>SUBETAPA</t>
        </is>
      </c>
      <c r="I42" s="1742" t="inlineStr">
        <is>
          <t>02.003.001</t>
        </is>
      </c>
      <c r="J42" s="1743" t="inlineStr">
        <is>
          <t>Forma</t>
        </is>
      </c>
      <c r="K42" s="1744" t="n"/>
      <c r="L42" s="1745" t="n"/>
      <c r="M42" s="1745" t="n"/>
      <c r="N42" s="1746" t="n">
        <v>2482.18786285714</v>
      </c>
      <c r="O42" s="1747" t="n">
        <v>0.148193239798584</v>
      </c>
      <c r="P42" s="1720" t="n"/>
    </row>
    <row r="43" hidden="1" outlineLevel="3" ht="13.5" customHeight="1">
      <c r="A43" s="2117" t="n">
        <v>0</v>
      </c>
      <c r="B43" s="2117" t="n">
        <v>2</v>
      </c>
      <c r="C43" s="2117" t="n">
        <v>3</v>
      </c>
      <c r="D43" s="2118" t="n">
        <v>1</v>
      </c>
      <c r="E43" s="2118" t="n">
        <v>1</v>
      </c>
      <c r="G43" s="1748" t="inlineStr">
        <is>
          <t>CONTENÇÃO</t>
        </is>
      </c>
      <c r="H43" s="1749" t="inlineStr">
        <is>
          <t>SERVIÇO</t>
        </is>
      </c>
      <c r="I43" s="1750" t="inlineStr">
        <is>
          <t>02.003.001.001</t>
        </is>
      </c>
      <c r="J43" s="1751" t="inlineStr">
        <is>
          <t>Forma para infraestrutura em Tábuas de Madeira Serrada 2x reaproveitamento</t>
        </is>
      </c>
      <c r="K43" s="1752" t="inlineStr">
        <is>
          <t>m2</t>
        </is>
      </c>
      <c r="L43" s="1753" t="n">
        <v>41.40000000000001</v>
      </c>
      <c r="M43" s="1753" t="n">
        <v>59.95622857142857</v>
      </c>
      <c r="N43" s="1754" t="n">
        <v>2482.18786285714</v>
      </c>
      <c r="O43" s="1755" t="n"/>
      <c r="P43" s="1721" t="inlineStr">
        <is>
          <t>Pendente</t>
        </is>
      </c>
    </row>
    <row r="44" hidden="1" outlineLevel="2" ht="13.5" customHeight="1">
      <c r="A44" s="2117" t="n">
        <v>0</v>
      </c>
      <c r="B44" s="2117" t="n">
        <v>2</v>
      </c>
      <c r="C44" s="2117" t="n">
        <v>3</v>
      </c>
      <c r="D44" s="2118" t="n">
        <v>2</v>
      </c>
      <c r="E44" s="2118" t="n">
        <v>0</v>
      </c>
      <c r="G44" s="1740" t="n"/>
      <c r="H44" s="1741" t="inlineStr">
        <is>
          <t>SUBETAPA</t>
        </is>
      </c>
      <c r="I44" s="1742" t="inlineStr">
        <is>
          <t>02.003.002</t>
        </is>
      </c>
      <c r="J44" s="1743" t="inlineStr">
        <is>
          <t>Armadura</t>
        </is>
      </c>
      <c r="K44" s="1744" t="n"/>
      <c r="L44" s="1745" t="n"/>
      <c r="M44" s="1745" t="n"/>
      <c r="N44" s="1746" t="n">
        <v>23057.9164013636</v>
      </c>
      <c r="O44" s="1747" t="n">
        <v>1.37661914541383</v>
      </c>
      <c r="P44" s="1720" t="n"/>
    </row>
    <row r="45" hidden="1" outlineLevel="3" ht="13.5" customHeight="1">
      <c r="A45" s="2117" t="n">
        <v>0</v>
      </c>
      <c r="B45" s="2117" t="n">
        <v>2</v>
      </c>
      <c r="C45" s="2117" t="n">
        <v>3</v>
      </c>
      <c r="D45" s="2118" t="n">
        <v>2</v>
      </c>
      <c r="E45" s="2118" t="n">
        <v>1</v>
      </c>
      <c r="G45" s="1748" t="inlineStr">
        <is>
          <t>CONTENÇÃO</t>
        </is>
      </c>
      <c r="H45" s="1749" t="inlineStr">
        <is>
          <t>SERVIÇO</t>
        </is>
      </c>
      <c r="I45" s="1750" t="inlineStr">
        <is>
          <t>02.003.002.001</t>
        </is>
      </c>
      <c r="J45" s="1751" t="inlineStr">
        <is>
          <t>Armação aço CA-50 ø 8,0mm para Contenções (corte e dobra em Indústria)</t>
        </is>
      </c>
      <c r="K45" s="1752" t="inlineStr">
        <is>
          <t>kg</t>
        </is>
      </c>
      <c r="L45" s="1753" t="n">
        <v>913.3636363636363</v>
      </c>
      <c r="M45" s="1753" t="n">
        <v>8.964145</v>
      </c>
      <c r="N45" s="1754" t="n">
        <v>8187.52407409091</v>
      </c>
      <c r="O45" s="1755" t="n"/>
      <c r="P45" s="1721" t="inlineStr">
        <is>
          <t>Pendente</t>
        </is>
      </c>
    </row>
    <row r="46" hidden="1" outlineLevel="3" ht="13.5" customHeight="1">
      <c r="A46" s="2117" t="n">
        <v>0</v>
      </c>
      <c r="B46" s="2117" t="n">
        <v>2</v>
      </c>
      <c r="C46" s="2117" t="n">
        <v>3</v>
      </c>
      <c r="D46" s="2118" t="n">
        <v>2</v>
      </c>
      <c r="E46" s="2118" t="n">
        <v>2</v>
      </c>
      <c r="G46" s="1748" t="inlineStr">
        <is>
          <t>CONTENÇÃO</t>
        </is>
      </c>
      <c r="H46" s="1749" t="inlineStr">
        <is>
          <t>SERVIÇO</t>
        </is>
      </c>
      <c r="I46" s="1750" t="inlineStr">
        <is>
          <t>02.003.002.002</t>
        </is>
      </c>
      <c r="J46" s="1751" t="inlineStr">
        <is>
          <t>Armação aço CA-50 ø 12,5mm para Contenções (corte e dobra em Indústria)</t>
        </is>
      </c>
      <c r="K46" s="1752" t="inlineStr">
        <is>
          <t>kg</t>
        </is>
      </c>
      <c r="L46" s="1753" t="n">
        <v>45.36363636363636</v>
      </c>
      <c r="M46" s="1753" t="n">
        <v>8.484145</v>
      </c>
      <c r="N46" s="1754" t="n">
        <v>384.871668636364</v>
      </c>
      <c r="O46" s="1755" t="n"/>
      <c r="P46" s="1721" t="inlineStr">
        <is>
          <t>Pendente</t>
        </is>
      </c>
    </row>
    <row r="47" hidden="1" outlineLevel="3" ht="13.5" customHeight="1">
      <c r="A47" s="2117" t="n">
        <v>0</v>
      </c>
      <c r="B47" s="2117" t="n">
        <v>2</v>
      </c>
      <c r="C47" s="2117" t="n">
        <v>3</v>
      </c>
      <c r="D47" s="2118" t="n">
        <v>2</v>
      </c>
      <c r="E47" s="2118" t="n">
        <v>3</v>
      </c>
      <c r="G47" s="1748" t="inlineStr">
        <is>
          <t>CONTENÇÃO</t>
        </is>
      </c>
      <c r="H47" s="1749" t="inlineStr">
        <is>
          <t>SERVIÇO</t>
        </is>
      </c>
      <c r="I47" s="1750" t="inlineStr">
        <is>
          <t>02.003.002.003</t>
        </is>
      </c>
      <c r="J47" s="1751" t="inlineStr">
        <is>
          <t>Armação aço CA-50 ø 16,0mm para Contenções (corte e dobra em Indústria)</t>
        </is>
      </c>
      <c r="K47" s="1752" t="inlineStr">
        <is>
          <t>kg</t>
        </is>
      </c>
      <c r="L47" s="1753" t="n">
        <v>1277.272727272727</v>
      </c>
      <c r="M47" s="1753" t="n">
        <v>8.484145</v>
      </c>
      <c r="N47" s="1754" t="n">
        <v>10836.5670227273</v>
      </c>
      <c r="O47" s="1755" t="n"/>
      <c r="P47" s="1721" t="inlineStr">
        <is>
          <t>Pendente</t>
        </is>
      </c>
    </row>
    <row r="48" hidden="1" outlineLevel="3" ht="13.5" customHeight="1">
      <c r="A48" s="2117" t="n">
        <v>0</v>
      </c>
      <c r="B48" s="2117" t="n">
        <v>2</v>
      </c>
      <c r="C48" s="2117" t="n">
        <v>3</v>
      </c>
      <c r="D48" s="2118" t="n">
        <v>2</v>
      </c>
      <c r="E48" s="2118" t="n">
        <v>4</v>
      </c>
      <c r="G48" s="1748" t="inlineStr">
        <is>
          <t>CONTENÇÃO</t>
        </is>
      </c>
      <c r="H48" s="1749" t="inlineStr">
        <is>
          <t>SERVIÇO</t>
        </is>
      </c>
      <c r="I48" s="1750" t="inlineStr">
        <is>
          <t>02.003.002.004</t>
        </is>
      </c>
      <c r="J48" s="1751" t="inlineStr">
        <is>
          <t>Armação aço CA-50 ø 20,0mm para Contenções (corte e dobra em Indústria)</t>
        </is>
      </c>
      <c r="K48" s="1752" t="inlineStr">
        <is>
          <t>kg</t>
        </is>
      </c>
      <c r="L48" s="1753" t="n">
        <v>430.0909090909091</v>
      </c>
      <c r="M48" s="1753" t="n">
        <v>8.484145</v>
      </c>
      <c r="N48" s="1754" t="n">
        <v>3648.95363590909</v>
      </c>
      <c r="O48" s="1755" t="n"/>
      <c r="P48" s="1721" t="inlineStr">
        <is>
          <t>Pendente</t>
        </is>
      </c>
    </row>
    <row r="49" hidden="1" outlineLevel="2" ht="13.5" customHeight="1">
      <c r="A49" s="2117" t="n">
        <v>0</v>
      </c>
      <c r="B49" s="2117" t="n">
        <v>2</v>
      </c>
      <c r="C49" s="2117" t="n">
        <v>3</v>
      </c>
      <c r="D49" s="2118" t="n">
        <v>3</v>
      </c>
      <c r="E49" s="2118" t="n">
        <v>0</v>
      </c>
      <c r="G49" s="1740" t="n"/>
      <c r="H49" s="1741" t="inlineStr">
        <is>
          <t>SUBETAPA</t>
        </is>
      </c>
      <c r="I49" s="1742" t="inlineStr">
        <is>
          <t>02.003.003</t>
        </is>
      </c>
      <c r="J49" s="1743" t="inlineStr">
        <is>
          <t>Concreto</t>
        </is>
      </c>
      <c r="K49" s="1744" t="n"/>
      <c r="L49" s="1745" t="n"/>
      <c r="M49" s="1745" t="n"/>
      <c r="N49" s="1746" t="n">
        <v>12105.8868</v>
      </c>
      <c r="O49" s="1747" t="n"/>
      <c r="P49" s="1720" t="n"/>
    </row>
    <row r="50" hidden="1" outlineLevel="3" ht="13.5" customHeight="1">
      <c r="A50" s="2117" t="n">
        <v>0</v>
      </c>
      <c r="B50" s="2117" t="n">
        <v>2</v>
      </c>
      <c r="C50" s="2117" t="n">
        <v>3</v>
      </c>
      <c r="D50" s="2118" t="n">
        <v>3</v>
      </c>
      <c r="E50" s="2118" t="n">
        <v>1</v>
      </c>
      <c r="G50" s="1748" t="inlineStr">
        <is>
          <t>CONTENÇÃO</t>
        </is>
      </c>
      <c r="H50" s="1749" t="inlineStr">
        <is>
          <t>SERVIÇO</t>
        </is>
      </c>
      <c r="I50" s="1750" t="inlineStr">
        <is>
          <t>02.003.003.001</t>
        </is>
      </c>
      <c r="J50" s="1751" t="inlineStr">
        <is>
          <t>Concreto Usinado bombeável 50MPa para infraestrutura- incluindo serviço de bombeamento</t>
        </is>
      </c>
      <c r="K50" s="1752" t="inlineStr">
        <is>
          <t>m3</t>
        </is>
      </c>
      <c r="L50" s="1753" t="n">
        <v>17.8</v>
      </c>
      <c r="M50" s="1753" t="n">
        <v>680.1060000000001</v>
      </c>
      <c r="N50" s="1754" t="n">
        <v>12105.8868</v>
      </c>
      <c r="O50" s="1755" t="n"/>
      <c r="P50" s="1721" t="inlineStr">
        <is>
          <t>Pendente</t>
        </is>
      </c>
    </row>
    <row r="51" hidden="1" outlineLevel="1" ht="13.5" customHeight="1">
      <c r="A51" s="2117" t="n">
        <v>0</v>
      </c>
      <c r="B51" s="2117" t="n">
        <v>2</v>
      </c>
      <c r="C51" s="2117" t="n">
        <v>4</v>
      </c>
      <c r="D51" s="2118" t="n">
        <v>0</v>
      </c>
      <c r="E51" s="2118" t="n">
        <v>1</v>
      </c>
      <c r="G51" s="1733" t="n"/>
      <c r="H51" s="1734" t="inlineStr">
        <is>
          <t>ETAPA</t>
        </is>
      </c>
      <c r="I51" s="1735" t="inlineStr">
        <is>
          <t>02.004</t>
        </is>
      </c>
      <c r="J51" s="1736" t="inlineStr">
        <is>
          <t>ESTACAS PRANCHA METÁLICA</t>
        </is>
      </c>
      <c r="K51" s="1737" t="n"/>
      <c r="L51" s="1738" t="n"/>
      <c r="M51" s="1738" t="n"/>
      <c r="N51" s="1739" t="n">
        <v>243756</v>
      </c>
      <c r="O51" s="1722" t="n">
        <v>14.5528837284555</v>
      </c>
      <c r="P51" s="1719" t="n"/>
    </row>
    <row r="52" hidden="1" outlineLevel="2" ht="13.5" customHeight="1">
      <c r="A52" s="2117" t="n">
        <v>0</v>
      </c>
      <c r="B52" s="2117" t="n">
        <v>2</v>
      </c>
      <c r="C52" s="2117" t="n">
        <v>4</v>
      </c>
      <c r="D52" s="2118" t="n">
        <v>1</v>
      </c>
      <c r="E52" s="2118" t="n">
        <v>0</v>
      </c>
      <c r="G52" s="1740" t="n"/>
      <c r="H52" s="1741" t="inlineStr">
        <is>
          <t>SUBETAPA</t>
        </is>
      </c>
      <c r="I52" s="1742" t="inlineStr">
        <is>
          <t>02.004.001</t>
        </is>
      </c>
      <c r="J52" s="1743" t="inlineStr">
        <is>
          <t>Estacas prancha metálica</t>
        </is>
      </c>
      <c r="K52" s="1744" t="n"/>
      <c r="L52" s="1745" t="n"/>
      <c r="M52" s="1745" t="n"/>
      <c r="N52" s="1746" t="n">
        <v>243756</v>
      </c>
      <c r="O52" s="1747" t="n">
        <v>14.5528837284555</v>
      </c>
      <c r="P52" s="1720" t="n"/>
    </row>
    <row r="53" hidden="1" outlineLevel="3" ht="13.5" customHeight="1">
      <c r="A53" s="2117" t="n">
        <v>0</v>
      </c>
      <c r="B53" s="2117" t="n">
        <v>2</v>
      </c>
      <c r="C53" s="2117" t="n">
        <v>4</v>
      </c>
      <c r="D53" s="2118" t="n">
        <v>1</v>
      </c>
      <c r="E53" s="2118" t="n">
        <v>1</v>
      </c>
      <c r="G53" s="1748" t="inlineStr">
        <is>
          <t>CONTENÇÃO</t>
        </is>
      </c>
      <c r="H53" s="1749" t="inlineStr">
        <is>
          <t>SERVIÇO</t>
        </is>
      </c>
      <c r="I53" s="1750" t="inlineStr">
        <is>
          <t>02.004.001.001</t>
        </is>
      </c>
      <c r="J53" s="1751" t="inlineStr">
        <is>
          <t>Locação e cravação de estacas prancha EP400 para contenção</t>
        </is>
      </c>
      <c r="K53" s="1752" t="inlineStr">
        <is>
          <t>m2</t>
        </is>
      </c>
      <c r="L53" s="1753" t="n">
        <v>492.8</v>
      </c>
      <c r="M53" s="1753" t="n">
        <v>470.2840909090909</v>
      </c>
      <c r="N53" s="1754" t="n">
        <v>231756</v>
      </c>
      <c r="O53" s="1755" t="inlineStr">
        <is>
          <t>Cotação, considerado 6 meses de locação</t>
        </is>
      </c>
      <c r="P53" s="1721" t="inlineStr">
        <is>
          <t>Pendente</t>
        </is>
      </c>
    </row>
    <row r="54" hidden="1" outlineLevel="3" ht="13.5" customHeight="1">
      <c r="A54" s="2117" t="n">
        <v>0</v>
      </c>
      <c r="B54" s="2117" t="n">
        <v>2</v>
      </c>
      <c r="C54" s="2117" t="n">
        <v>4</v>
      </c>
      <c r="D54" s="2118" t="n">
        <v>1</v>
      </c>
      <c r="E54" s="2118" t="n">
        <v>2</v>
      </c>
      <c r="G54" s="1748" t="inlineStr">
        <is>
          <t>CONTENÇÃO</t>
        </is>
      </c>
      <c r="H54" s="1749" t="inlineStr">
        <is>
          <t>SERVIÇO</t>
        </is>
      </c>
      <c r="I54" s="1750" t="inlineStr">
        <is>
          <t>02.004.001.002</t>
        </is>
      </c>
      <c r="J54" s="1751" t="inlineStr">
        <is>
          <t>Mobilização e Desmobilização de equipamento e máquinas considerando serviço de carga e descarga</t>
        </is>
      </c>
      <c r="K54" s="1752" t="inlineStr">
        <is>
          <t>vb</t>
        </is>
      </c>
      <c r="L54" s="1753" t="n">
        <v>1</v>
      </c>
      <c r="M54" s="1753" t="n">
        <v>12000</v>
      </c>
      <c r="N54" s="1754" t="n">
        <v>12000</v>
      </c>
      <c r="O54" s="1755" t="n"/>
      <c r="P54" s="1721" t="inlineStr">
        <is>
          <t>Pendente</t>
        </is>
      </c>
    </row>
    <row r="55" hidden="1" outlineLevel="1" ht="13.5" customHeight="1">
      <c r="A55" s="2117" t="n">
        <v>0</v>
      </c>
      <c r="B55" s="2117" t="n">
        <v>2</v>
      </c>
      <c r="C55" s="2117" t="n">
        <v>5</v>
      </c>
      <c r="D55" s="2118" t="n">
        <v>0</v>
      </c>
      <c r="E55" s="2118" t="n">
        <v>2</v>
      </c>
      <c r="G55" s="1733" t="n"/>
      <c r="H55" s="1734" t="inlineStr">
        <is>
          <t>ETAPA</t>
        </is>
      </c>
      <c r="I55" s="1735" t="inlineStr">
        <is>
          <t>02.005</t>
        </is>
      </c>
      <c r="J55" s="1736" t="inlineStr">
        <is>
          <t>MÃO DE OBRA CONTENÇÕES</t>
        </is>
      </c>
      <c r="K55" s="1737" t="n"/>
      <c r="L55" s="1738" t="n"/>
      <c r="M55" s="1738" t="n"/>
      <c r="N55" s="1739" t="n">
        <v>140000.02</v>
      </c>
      <c r="O55" s="1722" t="n">
        <v>8.3583748217129</v>
      </c>
      <c r="P55" s="1719" t="n"/>
    </row>
    <row r="56" hidden="1" outlineLevel="2" ht="13.5" customHeight="1">
      <c r="A56" s="2117" t="n">
        <v>0</v>
      </c>
      <c r="B56" s="2117" t="n">
        <v>2</v>
      </c>
      <c r="C56" s="2117" t="n">
        <v>5</v>
      </c>
      <c r="D56" s="2118" t="n">
        <v>1</v>
      </c>
      <c r="E56" s="2118" t="n">
        <v>0</v>
      </c>
      <c r="G56" s="1740" t="n"/>
      <c r="H56" s="1741" t="inlineStr">
        <is>
          <t>SUBETAPA</t>
        </is>
      </c>
      <c r="I56" s="1742" t="inlineStr">
        <is>
          <t>02.005.001</t>
        </is>
      </c>
      <c r="J56" s="1743" t="inlineStr">
        <is>
          <t>Mão de Obra</t>
        </is>
      </c>
      <c r="K56" s="1744" t="n"/>
      <c r="L56" s="1745" t="n"/>
      <c r="M56" s="1745" t="n"/>
      <c r="N56" s="1746" t="n">
        <v>140000.02</v>
      </c>
      <c r="O56" s="1747" t="n">
        <v>8.3583748217129</v>
      </c>
      <c r="P56" s="1720" t="n"/>
    </row>
    <row r="57" hidden="1" outlineLevel="3" ht="13.5" customHeight="1">
      <c r="A57" s="2117" t="n">
        <v>0</v>
      </c>
      <c r="B57" s="2117" t="n">
        <v>2</v>
      </c>
      <c r="C57" s="2117" t="n">
        <v>5</v>
      </c>
      <c r="D57" s="2118" t="n">
        <v>1</v>
      </c>
      <c r="E57" s="2118" t="n">
        <v>1</v>
      </c>
      <c r="G57" s="1748" t="inlineStr">
        <is>
          <t>CONTENÇÃO</t>
        </is>
      </c>
      <c r="H57" s="1749" t="inlineStr">
        <is>
          <t>SERVIÇO</t>
        </is>
      </c>
      <c r="I57" s="1750" t="inlineStr">
        <is>
          <t>02.005.001.001</t>
        </is>
      </c>
      <c r="J57" s="1751" t="inlineStr">
        <is>
          <t>Mão de obra para execução de contenção</t>
        </is>
      </c>
      <c r="K57" s="1752" t="inlineStr">
        <is>
          <t>m2</t>
        </is>
      </c>
      <c r="L57" s="1753" t="n">
        <v>525</v>
      </c>
      <c r="M57" s="1753" t="n">
        <v>266.6667047619047</v>
      </c>
      <c r="N57" s="1754" t="n">
        <v>140000.02</v>
      </c>
      <c r="O57" s="1755" t="inlineStr">
        <is>
          <t>Prosposta Gessele</t>
        </is>
      </c>
      <c r="P57" s="1721" t="inlineStr">
        <is>
          <t>Pendente</t>
        </is>
      </c>
    </row>
    <row r="58" collapsed="1" ht="13.5" customHeight="1">
      <c r="A58" s="2117" t="n">
        <v>0</v>
      </c>
      <c r="B58" s="2117" t="n">
        <v>3</v>
      </c>
      <c r="C58" s="2117" t="n">
        <v>0</v>
      </c>
      <c r="D58" s="2118" t="n">
        <v>1</v>
      </c>
      <c r="E58" s="2118" t="n">
        <v>1</v>
      </c>
      <c r="F58" s="474" t="n"/>
      <c r="G58" s="1726" t="n"/>
      <c r="H58" s="1727" t="inlineStr">
        <is>
          <t>CÉLULA CONSTRUTIVA</t>
        </is>
      </c>
      <c r="I58" s="1728" t="inlineStr">
        <is>
          <t>03</t>
        </is>
      </c>
      <c r="J58" s="1729" t="inlineStr">
        <is>
          <t>INFRAESTRUTURA</t>
        </is>
      </c>
      <c r="K58" s="1730" t="n"/>
      <c r="L58" s="1731" t="n"/>
      <c r="M58" s="1731" t="n"/>
      <c r="N58" s="1732" t="n">
        <v>4572490.02757546</v>
      </c>
      <c r="O58" s="1723" t="n">
        <v>272.989857565878</v>
      </c>
      <c r="P58" s="1723" t="n"/>
    </row>
    <row r="59" hidden="1" outlineLevel="1" ht="13.5" customHeight="1">
      <c r="A59" s="2117" t="n">
        <v>0</v>
      </c>
      <c r="B59" s="2117" t="n">
        <v>3</v>
      </c>
      <c r="C59" s="2117" t="n">
        <v>1</v>
      </c>
      <c r="D59" s="2118" t="n">
        <v>0</v>
      </c>
      <c r="E59" s="2118" t="n">
        <v>1</v>
      </c>
      <c r="G59" s="1733" t="n"/>
      <c r="H59" s="1734" t="inlineStr">
        <is>
          <t>ETAPA</t>
        </is>
      </c>
      <c r="I59" s="1735" t="inlineStr">
        <is>
          <t>03.001</t>
        </is>
      </c>
      <c r="J59" s="1736" t="inlineStr">
        <is>
          <t>ESTACA HÉLICE CONTÍNUA</t>
        </is>
      </c>
      <c r="K59" s="1737" t="n"/>
      <c r="L59" s="1738" t="n"/>
      <c r="M59" s="1738" t="n"/>
      <c r="N59" s="1739" t="n">
        <v>3041540.5196918</v>
      </c>
      <c r="O59" s="1722" t="n">
        <v>181.588086194641</v>
      </c>
      <c r="P59" s="1719" t="n"/>
    </row>
    <row r="60" hidden="1" outlineLevel="2" ht="13.5" customHeight="1">
      <c r="A60" s="2117" t="n">
        <v>0</v>
      </c>
      <c r="B60" s="2117" t="n">
        <v>3</v>
      </c>
      <c r="C60" s="2117" t="n">
        <v>1</v>
      </c>
      <c r="D60" s="2118" t="n">
        <v>1</v>
      </c>
      <c r="E60" s="2118" t="n">
        <v>0</v>
      </c>
      <c r="G60" s="1740" t="n"/>
      <c r="H60" s="1741" t="inlineStr">
        <is>
          <t>SUBETAPA</t>
        </is>
      </c>
      <c r="I60" s="1742" t="inlineStr">
        <is>
          <t>03.001.001</t>
        </is>
      </c>
      <c r="J60" s="1743" t="inlineStr">
        <is>
          <t>Perfuração</t>
        </is>
      </c>
      <c r="K60" s="1744" t="n"/>
      <c r="L60" s="1745" t="n"/>
      <c r="M60" s="1745" t="n"/>
      <c r="N60" s="1746" t="n">
        <v>950000</v>
      </c>
      <c r="O60" s="1747" t="n">
        <v>56.7175353305468</v>
      </c>
      <c r="P60" s="1720" t="n"/>
    </row>
    <row r="61" hidden="1" outlineLevel="3" ht="13.5" customHeight="1">
      <c r="A61" s="2117" t="n">
        <v>0</v>
      </c>
      <c r="B61" s="2117" t="n">
        <v>3</v>
      </c>
      <c r="C61" s="2117" t="n">
        <v>1</v>
      </c>
      <c r="D61" s="2118" t="n">
        <v>1</v>
      </c>
      <c r="E61" s="2118" t="n">
        <v>1</v>
      </c>
      <c r="G61" s="1748" t="inlineStr">
        <is>
          <t>INFRAESTRUTURA</t>
        </is>
      </c>
      <c r="H61" s="1749" t="inlineStr">
        <is>
          <t>SERVIÇO</t>
        </is>
      </c>
      <c r="I61" s="1750" t="inlineStr">
        <is>
          <t>03.001.001.001</t>
        </is>
      </c>
      <c r="J61" s="1751" t="inlineStr">
        <is>
          <t xml:space="preserve">Perfuração de estaca hélice contínua Ø 60cm	</t>
        </is>
      </c>
      <c r="K61" s="1752" t="inlineStr">
        <is>
          <t>m</t>
        </is>
      </c>
      <c r="L61" s="1753" t="n">
        <v>6732</v>
      </c>
      <c r="M61" s="1753" t="n">
        <v>137.4863317681867</v>
      </c>
      <c r="N61" s="1754" t="n">
        <v>925557.985463433</v>
      </c>
      <c r="O61" s="1761" t="inlineStr">
        <is>
          <t>Repessado pela Gessele na reunião do dia 05/03/2026 - 950k efeg</t>
        </is>
      </c>
      <c r="P61" s="1721" t="inlineStr">
        <is>
          <t>Pendente</t>
        </is>
      </c>
    </row>
    <row r="62" hidden="1" outlineLevel="3" ht="13.5" customHeight="1">
      <c r="A62" s="2117" t="n">
        <v>0</v>
      </c>
      <c r="B62" s="2117" t="n">
        <v>3</v>
      </c>
      <c r="C62" s="2117" t="n">
        <v>1</v>
      </c>
      <c r="D62" s="2118" t="n">
        <v>1</v>
      </c>
      <c r="E62" s="2118" t="n">
        <v>2</v>
      </c>
      <c r="G62" s="1748" t="inlineStr">
        <is>
          <t>INFRAESTRUTURA</t>
        </is>
      </c>
      <c r="H62" s="1749" t="inlineStr">
        <is>
          <t>SERVIÇO</t>
        </is>
      </c>
      <c r="I62" s="1750" t="inlineStr">
        <is>
          <t>03.001.001.002</t>
        </is>
      </c>
      <c r="J62" s="1751" t="inlineStr">
        <is>
          <t xml:space="preserve">	Mobilização e desmobilização de equipamentos - Para execução de estaca hélice monitorada</t>
        </is>
      </c>
      <c r="K62" s="1752" t="inlineStr">
        <is>
          <t>vb</t>
        </is>
      </c>
      <c r="L62" s="1753" t="n">
        <v>1</v>
      </c>
      <c r="M62" s="1753" t="n">
        <v>24442.01453656657</v>
      </c>
      <c r="N62" s="1754" t="n">
        <v>24442.0145365666</v>
      </c>
      <c r="O62" s="1761" t="inlineStr">
        <is>
          <t>Repessado pela Gessele na reunião do dia 05/03/2026 - 950k efeg</t>
        </is>
      </c>
      <c r="P62" s="1721" t="inlineStr">
        <is>
          <t>Pendente</t>
        </is>
      </c>
    </row>
    <row r="63" hidden="1" outlineLevel="2" ht="13.5" customHeight="1">
      <c r="A63" s="2117" t="n">
        <v>0</v>
      </c>
      <c r="B63" s="2117" t="n">
        <v>3</v>
      </c>
      <c r="C63" s="2117" t="n">
        <v>1</v>
      </c>
      <c r="D63" s="2118" t="n">
        <v>2</v>
      </c>
      <c r="E63" s="2118" t="n">
        <v>0</v>
      </c>
      <c r="G63" s="1740" t="n"/>
      <c r="H63" s="1741" t="inlineStr">
        <is>
          <t>SUBETAPA</t>
        </is>
      </c>
      <c r="I63" s="1742" t="inlineStr">
        <is>
          <t>03.001.002</t>
        </is>
      </c>
      <c r="J63" s="1743" t="inlineStr">
        <is>
          <t>Armadura</t>
        </is>
      </c>
      <c r="K63" s="1744" t="n"/>
      <c r="L63" s="1745" t="n"/>
      <c r="M63" s="1745" t="n"/>
      <c r="N63" s="1746" t="n">
        <v>298834.778625</v>
      </c>
      <c r="O63" s="1747" t="n">
        <v>17.8412338049048</v>
      </c>
      <c r="P63" s="1720" t="n"/>
    </row>
    <row r="64" hidden="1" outlineLevel="3" ht="13.5" customHeight="1">
      <c r="A64" s="2117" t="n">
        <v>0</v>
      </c>
      <c r="B64" s="2117" t="n">
        <v>3</v>
      </c>
      <c r="C64" s="2117" t="n">
        <v>1</v>
      </c>
      <c r="D64" s="2118" t="n">
        <v>2</v>
      </c>
      <c r="E64" s="2118" t="n">
        <v>1</v>
      </c>
      <c r="G64" s="1748" t="inlineStr">
        <is>
          <t>INFRAESTRUTURA</t>
        </is>
      </c>
      <c r="H64" s="1749" t="inlineStr">
        <is>
          <t>SERVIÇO</t>
        </is>
      </c>
      <c r="I64" s="1750" t="inlineStr">
        <is>
          <t>03.001.002.001</t>
        </is>
      </c>
      <c r="J64" s="1751" t="inlineStr">
        <is>
          <t>Armação aço CA-50 ø 6,3mm para estaca (corte e dobra em indústria)</t>
        </is>
      </c>
      <c r="K64" s="1752" t="inlineStr">
        <is>
          <t>un</t>
        </is>
      </c>
      <c r="L64" s="1753" t="n">
        <v>3495</v>
      </c>
      <c r="M64" s="1753" t="n">
        <v>8.964145</v>
      </c>
      <c r="N64" s="1754" t="n">
        <v>31329.686775</v>
      </c>
      <c r="O64" s="1755" t="n"/>
      <c r="P64" s="1721" t="inlineStr">
        <is>
          <t>Pendente</t>
        </is>
      </c>
    </row>
    <row r="65" hidden="1" outlineLevel="3" ht="13.5" customHeight="1">
      <c r="A65" s="2117" t="n">
        <v>0</v>
      </c>
      <c r="B65" s="2117" t="n">
        <v>3</v>
      </c>
      <c r="C65" s="2117" t="n">
        <v>1</v>
      </c>
      <c r="D65" s="2118" t="n">
        <v>2</v>
      </c>
      <c r="E65" s="2118" t="n">
        <v>2</v>
      </c>
      <c r="G65" s="1748" t="inlineStr">
        <is>
          <t>INFRAESTRUTURA</t>
        </is>
      </c>
      <c r="H65" s="1749" t="inlineStr">
        <is>
          <t>SERVIÇO</t>
        </is>
      </c>
      <c r="I65" s="1750" t="inlineStr">
        <is>
          <t>03.001.002.002</t>
        </is>
      </c>
      <c r="J65" s="1751" t="inlineStr">
        <is>
          <t>Armação aço CA-50 ø 20,0mm para estaca (corte e dobra em indústria)</t>
        </is>
      </c>
      <c r="K65" s="1752" t="inlineStr">
        <is>
          <t>un</t>
        </is>
      </c>
      <c r="L65" s="1753" t="n">
        <v>31530</v>
      </c>
      <c r="M65" s="1753" t="n">
        <v>8.484145</v>
      </c>
      <c r="N65" s="1754" t="n">
        <v>267505.09185</v>
      </c>
      <c r="O65" s="1755" t="n"/>
      <c r="P65" s="1721" t="inlineStr">
        <is>
          <t>Pendente</t>
        </is>
      </c>
    </row>
    <row r="66" hidden="1" outlineLevel="2" ht="13.5" customHeight="1">
      <c r="A66" s="2117" t="n">
        <v>0</v>
      </c>
      <c r="B66" s="2117" t="n">
        <v>3</v>
      </c>
      <c r="C66" s="2117" t="n">
        <v>1</v>
      </c>
      <c r="D66" s="2118" t="n">
        <v>3</v>
      </c>
      <c r="E66" s="2118" t="n">
        <v>0</v>
      </c>
      <c r="G66" s="1740" t="n"/>
      <c r="H66" s="1741" t="inlineStr">
        <is>
          <t>SUBETAPA</t>
        </is>
      </c>
      <c r="I66" s="1742" t="inlineStr">
        <is>
          <t>03.001.003</t>
        </is>
      </c>
      <c r="J66" s="1743" t="inlineStr">
        <is>
          <t>Concreto</t>
        </is>
      </c>
      <c r="K66" s="1744" t="n"/>
      <c r="L66" s="1745" t="n"/>
      <c r="M66" s="1745" t="n"/>
      <c r="N66" s="1746" t="n">
        <v>1792705.7410668</v>
      </c>
      <c r="O66" s="1747" t="n">
        <v>107.02931705919</v>
      </c>
      <c r="P66" s="1720" t="n"/>
    </row>
    <row r="67" hidden="1" outlineLevel="3" ht="13.5" customHeight="1">
      <c r="A67" s="2117" t="n">
        <v>0</v>
      </c>
      <c r="B67" s="2117" t="n">
        <v>3</v>
      </c>
      <c r="C67" s="2117" t="n">
        <v>1</v>
      </c>
      <c r="D67" s="2118" t="n">
        <v>3</v>
      </c>
      <c r="E67" s="2118" t="n">
        <v>1</v>
      </c>
      <c r="G67" s="1748" t="inlineStr">
        <is>
          <t>INFRAESTRUTURA</t>
        </is>
      </c>
      <c r="H67" s="1749" t="inlineStr">
        <is>
          <t>SERVIÇO</t>
        </is>
      </c>
      <c r="I67" s="1750" t="inlineStr">
        <is>
          <t>03.001.003.001</t>
        </is>
      </c>
      <c r="J67" s="1751" t="inlineStr">
        <is>
          <t>Concreto Usinado bombeável para estacas 50MPa  - incluindo serviço de bombeamento</t>
        </is>
      </c>
      <c r="K67" s="1752" t="inlineStr">
        <is>
          <t>m3</t>
        </is>
      </c>
      <c r="L67" s="1753" t="n">
        <v>1903.428156956984</v>
      </c>
      <c r="M67" s="1753" t="n">
        <v>941.83</v>
      </c>
      <c r="N67" s="1754" t="n">
        <v>1792705.7410668</v>
      </c>
      <c r="O67" s="1755" t="n"/>
      <c r="P67" s="1721" t="inlineStr">
        <is>
          <t>Pendente</t>
        </is>
      </c>
    </row>
    <row r="68" hidden="1" outlineLevel="2" collapsed="1" ht="13.5" customHeight="1">
      <c r="A68" s="2117" t="n">
        <v>0</v>
      </c>
      <c r="B68" s="2117" t="n">
        <v>3</v>
      </c>
      <c r="C68" s="2117" t="n">
        <v>1</v>
      </c>
      <c r="D68" s="2118" t="n">
        <v>4</v>
      </c>
      <c r="E68" s="2118" t="n">
        <v>0</v>
      </c>
      <c r="G68" s="1740" t="n"/>
      <c r="H68" s="1741" t="inlineStr">
        <is>
          <t>SUBETAPA</t>
        </is>
      </c>
      <c r="I68" s="1742" t="inlineStr">
        <is>
          <t>03.001.004</t>
        </is>
      </c>
      <c r="J68" s="1743" t="inlineStr">
        <is>
          <t>Mão de Obra</t>
        </is>
      </c>
      <c r="K68" s="1744" t="n"/>
      <c r="L68" s="1745" t="n"/>
      <c r="M68" s="1745" t="n"/>
      <c r="N68" s="1746" t="n">
        <v>0</v>
      </c>
      <c r="O68" s="1747" t="n">
        <v>0</v>
      </c>
      <c r="P68" s="1720" t="n"/>
    </row>
    <row r="69" hidden="1" outlineLevel="1" ht="13.5" customHeight="1">
      <c r="A69" s="2117" t="n">
        <v>0</v>
      </c>
      <c r="B69" s="2117" t="n">
        <v>3</v>
      </c>
      <c r="C69" s="2117" t="n">
        <v>2</v>
      </c>
      <c r="D69" s="2118" t="n">
        <v>0</v>
      </c>
      <c r="E69" s="2118" t="n">
        <v>0</v>
      </c>
      <c r="G69" s="1733" t="n"/>
      <c r="H69" s="1734" t="inlineStr">
        <is>
          <t>ETAPA</t>
        </is>
      </c>
      <c r="I69" s="1735" t="inlineStr">
        <is>
          <t>03.002</t>
        </is>
      </c>
      <c r="J69" s="1736" t="inlineStr">
        <is>
          <t>BLOCOS</t>
        </is>
      </c>
      <c r="K69" s="1737" t="n"/>
      <c r="L69" s="1738" t="n"/>
      <c r="M69" s="1738" t="n"/>
      <c r="N69" s="1739" t="n">
        <v>1056067.4444474</v>
      </c>
      <c r="O69" s="1722" t="n">
        <v>63.050044833564</v>
      </c>
      <c r="P69" s="1719" t="n"/>
    </row>
    <row r="70" hidden="1" outlineLevel="2" ht="13.5" customHeight="1">
      <c r="A70" s="2117" t="n">
        <v>0</v>
      </c>
      <c r="B70" s="2117" t="n">
        <v>3</v>
      </c>
      <c r="C70" s="2117" t="n">
        <v>2</v>
      </c>
      <c r="D70" s="2118" t="n">
        <v>1</v>
      </c>
      <c r="E70" s="2118" t="n">
        <v>0</v>
      </c>
      <c r="G70" s="1740" t="n"/>
      <c r="H70" s="1741" t="inlineStr">
        <is>
          <t>SUBETAPA</t>
        </is>
      </c>
      <c r="I70" s="1742" t="inlineStr">
        <is>
          <t>03.002.001</t>
        </is>
      </c>
      <c r="J70" s="1743" t="inlineStr">
        <is>
          <t>Forma</t>
        </is>
      </c>
      <c r="K70" s="1744" t="n"/>
      <c r="L70" s="1745" t="n"/>
      <c r="M70" s="1745" t="n"/>
      <c r="N70" s="1746" t="n">
        <v>15723.5209428571</v>
      </c>
      <c r="O70" s="1747" t="n">
        <v>0.938736162733782</v>
      </c>
      <c r="P70" s="1720" t="n"/>
    </row>
    <row r="71" hidden="1" outlineLevel="3" ht="13.5" customHeight="1">
      <c r="A71" s="2117" t="n">
        <v>0</v>
      </c>
      <c r="B71" s="2117" t="n">
        <v>3</v>
      </c>
      <c r="C71" s="2117" t="n">
        <v>2</v>
      </c>
      <c r="D71" s="2118" t="n">
        <v>1</v>
      </c>
      <c r="E71" s="2118" t="n">
        <v>1</v>
      </c>
      <c r="G71" s="1748" t="inlineStr">
        <is>
          <t>INFRAESTRUTURA</t>
        </is>
      </c>
      <c r="H71" s="1749" t="inlineStr">
        <is>
          <t>SERVIÇO</t>
        </is>
      </c>
      <c r="I71" s="1750" t="inlineStr">
        <is>
          <t>03.002.001.001</t>
        </is>
      </c>
      <c r="J71" s="1751" t="inlineStr">
        <is>
          <t>Forma para infraestrutura em Tábuas de Madeira Serrada 2x reaproveitamento</t>
        </is>
      </c>
      <c r="K71" s="1752" t="inlineStr">
        <is>
          <t>m2</t>
        </is>
      </c>
      <c r="L71" s="1753" t="n">
        <v>262.25</v>
      </c>
      <c r="M71" s="1753" t="n">
        <v>59.95622857142857</v>
      </c>
      <c r="N71" s="1754" t="n">
        <v>15723.5209428571</v>
      </c>
      <c r="O71" s="1755" t="inlineStr">
        <is>
          <t>Apenas blocos, 2x reaproveitamento</t>
        </is>
      </c>
      <c r="P71" s="1721" t="inlineStr">
        <is>
          <t>Pendente</t>
        </is>
      </c>
    </row>
    <row r="72" hidden="1" outlineLevel="2" ht="13.5" customHeight="1">
      <c r="A72" s="2117" t="n">
        <v>0</v>
      </c>
      <c r="B72" s="2117" t="n">
        <v>3</v>
      </c>
      <c r="C72" s="2117" t="n">
        <v>2</v>
      </c>
      <c r="D72" s="2118" t="n">
        <v>2</v>
      </c>
      <c r="E72" s="2118" t="n">
        <v>0</v>
      </c>
      <c r="G72" s="1740" t="n"/>
      <c r="H72" s="1741" t="inlineStr">
        <is>
          <t>SUBETAPA</t>
        </is>
      </c>
      <c r="I72" s="1742" t="inlineStr">
        <is>
          <t>03.002.002</t>
        </is>
      </c>
      <c r="J72" s="1743" t="inlineStr">
        <is>
          <t>Armadura</t>
        </is>
      </c>
      <c r="K72" s="1744" t="n"/>
      <c r="L72" s="1745" t="n"/>
      <c r="M72" s="1745" t="n"/>
      <c r="N72" s="1746" t="n">
        <v>592494.122504545</v>
      </c>
      <c r="O72" s="1747" t="n">
        <v>35.3734803434662</v>
      </c>
      <c r="P72" s="1720" t="n"/>
    </row>
    <row r="73" hidden="1" outlineLevel="3" ht="13.5" customHeight="1">
      <c r="A73" s="2117" t="n">
        <v>0</v>
      </c>
      <c r="B73" s="2117" t="n">
        <v>3</v>
      </c>
      <c r="C73" s="2117" t="n">
        <v>2</v>
      </c>
      <c r="D73" s="2118" t="n">
        <v>2</v>
      </c>
      <c r="E73" s="2118" t="n">
        <v>1</v>
      </c>
      <c r="G73" s="1748" t="inlineStr">
        <is>
          <t>INFRAESTRUTURA</t>
        </is>
      </c>
      <c r="H73" s="1749" t="inlineStr">
        <is>
          <t>SERVIÇO</t>
        </is>
      </c>
      <c r="I73" s="1750" t="inlineStr">
        <is>
          <t>03.002.002.001</t>
        </is>
      </c>
      <c r="J73" s="1751" t="inlineStr">
        <is>
          <t xml:space="preserve">Armação aço CA-50 ø 12,5mm para infraestrutura (corte e dobra em Indústria) </t>
        </is>
      </c>
      <c r="K73" s="1752" t="inlineStr">
        <is>
          <t>kg</t>
        </is>
      </c>
      <c r="L73" s="1753" t="n">
        <v>528.1818181818181</v>
      </c>
      <c r="M73" s="1753" t="n">
        <v>8.484145</v>
      </c>
      <c r="N73" s="1754" t="n">
        <v>4481.17113181818</v>
      </c>
      <c r="O73" s="1755" t="n"/>
      <c r="P73" s="1721" t="inlineStr">
        <is>
          <t>Pendente</t>
        </is>
      </c>
    </row>
    <row r="74" hidden="1" outlineLevel="3" ht="13.5" customHeight="1">
      <c r="A74" s="2117" t="n">
        <v>0</v>
      </c>
      <c r="B74" s="2117" t="n">
        <v>3</v>
      </c>
      <c r="C74" s="2117" t="n">
        <v>2</v>
      </c>
      <c r="D74" s="2118" t="n">
        <v>2</v>
      </c>
      <c r="E74" s="2118" t="n">
        <v>2</v>
      </c>
      <c r="G74" s="1748" t="inlineStr">
        <is>
          <t>INFRAESTRUTURA</t>
        </is>
      </c>
      <c r="H74" s="1749" t="inlineStr">
        <is>
          <t>SERVIÇO</t>
        </is>
      </c>
      <c r="I74" s="1750" t="inlineStr">
        <is>
          <t>03.002.002.002</t>
        </is>
      </c>
      <c r="J74" s="1751" t="inlineStr">
        <is>
          <t>Armação aço CA-50 ø 16,0mm para infraestrutura (corte e dobra em Indústria)</t>
        </is>
      </c>
      <c r="K74" s="1752" t="inlineStr">
        <is>
          <t>kg</t>
        </is>
      </c>
      <c r="L74" s="1753" t="n">
        <v>7331.818181818181</v>
      </c>
      <c r="M74" s="1753" t="n">
        <v>8.484145</v>
      </c>
      <c r="N74" s="1754" t="n">
        <v>62204.2085681818</v>
      </c>
      <c r="O74" s="1755" t="n"/>
      <c r="P74" s="1721" t="inlineStr">
        <is>
          <t>Pendente</t>
        </is>
      </c>
    </row>
    <row r="75" hidden="1" outlineLevel="3" ht="13.5" customHeight="1">
      <c r="A75" s="2117" t="n">
        <v>0</v>
      </c>
      <c r="B75" s="2117" t="n">
        <v>3</v>
      </c>
      <c r="C75" s="2117" t="n">
        <v>2</v>
      </c>
      <c r="D75" s="2118" t="n">
        <v>2</v>
      </c>
      <c r="E75" s="2118" t="n">
        <v>3</v>
      </c>
      <c r="G75" s="1748" t="inlineStr">
        <is>
          <t>INFRAESTRUTURA</t>
        </is>
      </c>
      <c r="H75" s="1749" t="inlineStr">
        <is>
          <t>SERVIÇO</t>
        </is>
      </c>
      <c r="I75" s="1750" t="inlineStr">
        <is>
          <t>03.002.002.003</t>
        </is>
      </c>
      <c r="J75" s="1751" t="inlineStr">
        <is>
          <t xml:space="preserve">Armação aço CA-50 ø 20,0mm para infraestrutura (corte e dobra em Indústria) </t>
        </is>
      </c>
      <c r="K75" s="1752" t="inlineStr">
        <is>
          <t>kg</t>
        </is>
      </c>
      <c r="L75" s="1753" t="n">
        <v>1318.181818181818</v>
      </c>
      <c r="M75" s="1753" t="n">
        <v>8.484145</v>
      </c>
      <c r="N75" s="1754" t="n">
        <v>11183.6456818182</v>
      </c>
      <c r="O75" s="1755" t="n"/>
      <c r="P75" s="1721" t="inlineStr">
        <is>
          <t>Pendente</t>
        </is>
      </c>
    </row>
    <row r="76" hidden="1" outlineLevel="3" ht="13.5" customHeight="1">
      <c r="A76" s="2117" t="n">
        <v>0</v>
      </c>
      <c r="B76" s="2117" t="n">
        <v>3</v>
      </c>
      <c r="C76" s="2117" t="n">
        <v>2</v>
      </c>
      <c r="D76" s="2118" t="n">
        <v>2</v>
      </c>
      <c r="E76" s="2118" t="n">
        <v>4</v>
      </c>
      <c r="G76" s="1748" t="inlineStr">
        <is>
          <t>INFRAESTRUTURA</t>
        </is>
      </c>
      <c r="H76" s="1749" t="inlineStr">
        <is>
          <t>SERVIÇO</t>
        </is>
      </c>
      <c r="I76" s="1750" t="inlineStr">
        <is>
          <t>03.002.002.004</t>
        </is>
      </c>
      <c r="J76" s="1751" t="inlineStr">
        <is>
          <t xml:space="preserve">Armação aço CA-50 ø 25,0mm para infraestrutura (corte e dobra em Indústria) </t>
        </is>
      </c>
      <c r="K76" s="1752" t="inlineStr">
        <is>
          <t>kg</t>
        </is>
      </c>
      <c r="L76" s="1753" t="n">
        <v>60657.27272727272</v>
      </c>
      <c r="M76" s="1753" t="n">
        <v>8.484145</v>
      </c>
      <c r="N76" s="1754" t="n">
        <v>514625.097122727</v>
      </c>
      <c r="O76" s="1755" t="n"/>
      <c r="P76" s="1721" t="inlineStr">
        <is>
          <t>Pendente</t>
        </is>
      </c>
    </row>
    <row r="77" hidden="1" outlineLevel="2" ht="13.5" customHeight="1">
      <c r="A77" s="2117" t="n">
        <v>0</v>
      </c>
      <c r="B77" s="2117" t="n">
        <v>3</v>
      </c>
      <c r="C77" s="2117" t="n">
        <v>2</v>
      </c>
      <c r="D77" s="2118" t="n">
        <v>3</v>
      </c>
      <c r="E77" s="2118" t="n">
        <v>0</v>
      </c>
      <c r="G77" s="1740" t="n"/>
      <c r="H77" s="1741" t="inlineStr">
        <is>
          <t>SUBETAPA</t>
        </is>
      </c>
      <c r="I77" s="1742" t="inlineStr">
        <is>
          <t>03.002.003</t>
        </is>
      </c>
      <c r="J77" s="1743" t="inlineStr">
        <is>
          <t>Concreto</t>
        </is>
      </c>
      <c r="K77" s="1744" t="n"/>
      <c r="L77" s="1745" t="n"/>
      <c r="M77" s="1745" t="n"/>
      <c r="N77" s="1746" t="n">
        <v>447849.801</v>
      </c>
      <c r="O77" s="1747" t="n">
        <v>26.7378283273641</v>
      </c>
      <c r="P77" s="1720" t="n"/>
    </row>
    <row r="78" hidden="1" outlineLevel="3" ht="13.5" customHeight="1">
      <c r="A78" s="2117" t="n">
        <v>0</v>
      </c>
      <c r="B78" s="2117" t="n">
        <v>3</v>
      </c>
      <c r="C78" s="2117" t="n">
        <v>2</v>
      </c>
      <c r="D78" s="2118" t="n">
        <v>3</v>
      </c>
      <c r="E78" s="2118" t="n">
        <v>1</v>
      </c>
      <c r="G78" s="1748" t="inlineStr">
        <is>
          <t>INFRAESTRUTURA</t>
        </is>
      </c>
      <c r="H78" s="1749" t="inlineStr">
        <is>
          <t>SERVIÇO</t>
        </is>
      </c>
      <c r="I78" s="1750" t="inlineStr">
        <is>
          <t>03.002.003.001</t>
        </is>
      </c>
      <c r="J78" s="1751" t="inlineStr">
        <is>
          <t>Concreto Usinado bombeável 50MPa para infraestrutura- incluindo serviço de bombeamento</t>
        </is>
      </c>
      <c r="K78" s="1752" t="inlineStr">
        <is>
          <t>m3</t>
        </is>
      </c>
      <c r="L78" s="1753" t="n">
        <v>658.5</v>
      </c>
      <c r="M78" s="1753" t="n">
        <v>680.1060000000001</v>
      </c>
      <c r="N78" s="1754" t="n">
        <v>447849.801</v>
      </c>
      <c r="O78" s="1755" t="inlineStr">
        <is>
          <t>5% de perda, fck = 50Mpa</t>
        </is>
      </c>
      <c r="P78" s="1721" t="inlineStr">
        <is>
          <t>Pendente</t>
        </is>
      </c>
    </row>
    <row r="79" hidden="1" outlineLevel="2" collapsed="1" ht="13.5" customHeight="1">
      <c r="A79" s="2117" t="n">
        <v>0</v>
      </c>
      <c r="B79" s="2117" t="n">
        <v>3</v>
      </c>
      <c r="C79" s="2117" t="n">
        <v>2</v>
      </c>
      <c r="D79" s="2118" t="n">
        <v>4</v>
      </c>
      <c r="E79" s="2118" t="n">
        <v>0</v>
      </c>
      <c r="G79" s="1740" t="n"/>
      <c r="H79" s="1741" t="inlineStr">
        <is>
          <t>SUBETAPA</t>
        </is>
      </c>
      <c r="I79" s="1742" t="inlineStr">
        <is>
          <t>03.002.004</t>
        </is>
      </c>
      <c r="J79" s="1743" t="inlineStr">
        <is>
          <t>Mão de Obra</t>
        </is>
      </c>
      <c r="K79" s="1744" t="n"/>
      <c r="L79" s="1745" t="n"/>
      <c r="M79" s="1745" t="n"/>
      <c r="N79" s="1746" t="n">
        <v>0</v>
      </c>
      <c r="O79" s="1747" t="n">
        <v>0</v>
      </c>
      <c r="P79" s="1720" t="n"/>
    </row>
    <row r="80" hidden="1" outlineLevel="1" ht="13.5" customHeight="1">
      <c r="A80" s="2117" t="n">
        <v>0</v>
      </c>
      <c r="B80" s="2117" t="n">
        <v>3</v>
      </c>
      <c r="C80" s="2117" t="n">
        <v>3</v>
      </c>
      <c r="D80" s="2118" t="n">
        <v>0</v>
      </c>
      <c r="E80" s="2118" t="n">
        <v>0</v>
      </c>
      <c r="G80" s="1733" t="n"/>
      <c r="H80" s="1734" t="inlineStr">
        <is>
          <t>ETAPA</t>
        </is>
      </c>
      <c r="I80" s="1735" t="inlineStr">
        <is>
          <t>03.003</t>
        </is>
      </c>
      <c r="J80" s="1736" t="inlineStr">
        <is>
          <t>VIGAS BALDRAMES | PILARES DE ARRANQUE | CISTERNAS E DUTOS</t>
        </is>
      </c>
      <c r="K80" s="1737" t="n"/>
      <c r="L80" s="1738" t="n"/>
      <c r="M80" s="1738" t="n"/>
      <c r="N80" s="1739" t="n">
        <v>474882.063436262</v>
      </c>
      <c r="O80" s="1722" t="n">
        <v>28.3517265376728</v>
      </c>
      <c r="P80" s="1719" t="n"/>
    </row>
    <row r="81" hidden="1" outlineLevel="2" ht="13.5" customHeight="1">
      <c r="A81" s="2117" t="n">
        <v>0</v>
      </c>
      <c r="B81" s="2117" t="n">
        <v>3</v>
      </c>
      <c r="C81" s="2117" t="n">
        <v>3</v>
      </c>
      <c r="D81" s="2118" t="n">
        <v>1</v>
      </c>
      <c r="E81" s="2118" t="n">
        <v>0</v>
      </c>
      <c r="G81" s="1740" t="n"/>
      <c r="H81" s="1741" t="inlineStr">
        <is>
          <t>SUBETAPA</t>
        </is>
      </c>
      <c r="I81" s="1742" t="inlineStr">
        <is>
          <t>03.003.001</t>
        </is>
      </c>
      <c r="J81" s="1743" t="inlineStr">
        <is>
          <t>Forma</t>
        </is>
      </c>
      <c r="K81" s="1744" t="n"/>
      <c r="L81" s="1745" t="n"/>
      <c r="M81" s="1745" t="n"/>
      <c r="N81" s="1746" t="n">
        <v>9996.62190217143</v>
      </c>
      <c r="O81" s="1747" t="n">
        <v>0.596825006234238</v>
      </c>
      <c r="P81" s="1720" t="n"/>
    </row>
    <row r="82" hidden="1" outlineLevel="3" ht="13.5" customHeight="1">
      <c r="A82" s="2117" t="n">
        <v>0</v>
      </c>
      <c r="B82" s="2117" t="n">
        <v>3</v>
      </c>
      <c r="C82" s="2117" t="n">
        <v>3</v>
      </c>
      <c r="D82" s="2118" t="n">
        <v>1</v>
      </c>
      <c r="E82" s="2118" t="n">
        <v>1</v>
      </c>
      <c r="G82" s="1748" t="inlineStr">
        <is>
          <t>INFRAESTRUTURA</t>
        </is>
      </c>
      <c r="H82" s="1749" t="inlineStr">
        <is>
          <t>SERVIÇO</t>
        </is>
      </c>
      <c r="I82" s="1750" t="inlineStr">
        <is>
          <t>03.003.001.001</t>
        </is>
      </c>
      <c r="J82" s="1751" t="inlineStr">
        <is>
          <t>Forma para infraestrutura em Tábuas de Madeira Serrada 2x reaproveitamento</t>
        </is>
      </c>
      <c r="K82" s="1752" t="inlineStr">
        <is>
          <t>m2</t>
        </is>
      </c>
      <c r="L82" s="1753" t="n">
        <v>166.732</v>
      </c>
      <c r="M82" s="1753" t="n">
        <v>59.95622857142857</v>
      </c>
      <c r="N82" s="1754" t="n">
        <v>9996.62190217143</v>
      </c>
      <c r="O82" s="1755" t="inlineStr">
        <is>
          <t>Considerado blocos, vigas de fundação, duto, cisterna, lajes e pilares de arranque</t>
        </is>
      </c>
      <c r="P82" s="1721" t="inlineStr">
        <is>
          <t>Pendente</t>
        </is>
      </c>
    </row>
    <row r="83" hidden="1" outlineLevel="2" ht="13.5" customHeight="1">
      <c r="A83" s="2117" t="n">
        <v>0</v>
      </c>
      <c r="B83" s="2117" t="n">
        <v>3</v>
      </c>
      <c r="C83" s="2117" t="n">
        <v>3</v>
      </c>
      <c r="D83" s="2118" t="n">
        <v>2</v>
      </c>
      <c r="E83" s="2118" t="n">
        <v>0</v>
      </c>
      <c r="G83" s="1740" t="n"/>
      <c r="H83" s="1741" t="inlineStr">
        <is>
          <t>SUBETAPA</t>
        </is>
      </c>
      <c r="I83" s="1742" t="inlineStr">
        <is>
          <t>03.003.002</t>
        </is>
      </c>
      <c r="J83" s="1743" t="inlineStr">
        <is>
          <t>Armadura</t>
        </is>
      </c>
      <c r="K83" s="1744" t="n"/>
      <c r="L83" s="1745" t="n"/>
      <c r="M83" s="1745" t="n"/>
      <c r="N83" s="1746" t="n">
        <v>430167.927729831</v>
      </c>
      <c r="O83" s="1747" t="n">
        <v>25.6821733042998</v>
      </c>
      <c r="P83" s="1720" t="n"/>
    </row>
    <row r="84" hidden="1" outlineLevel="3" ht="13.5" customHeight="1">
      <c r="A84" s="2117" t="n">
        <v>0</v>
      </c>
      <c r="B84" s="2117" t="n">
        <v>3</v>
      </c>
      <c r="C84" s="2117" t="n">
        <v>3</v>
      </c>
      <c r="D84" s="2118" t="n">
        <v>2</v>
      </c>
      <c r="E84" s="2118" t="n">
        <v>1</v>
      </c>
      <c r="G84" s="1748" t="inlineStr">
        <is>
          <t>INFRAESTRUTURA</t>
        </is>
      </c>
      <c r="H84" s="1749" t="inlineStr">
        <is>
          <t>SERVIÇO</t>
        </is>
      </c>
      <c r="I84" s="1750" t="inlineStr">
        <is>
          <t>03.003.002.001</t>
        </is>
      </c>
      <c r="J84" s="1751" t="inlineStr">
        <is>
          <t>Armação aço CA-50 ø 5,0mm para infraestrutura (corte e dobra em Indústria)</t>
        </is>
      </c>
      <c r="K84" s="1752" t="inlineStr">
        <is>
          <t>kg</t>
        </is>
      </c>
      <c r="L84" s="1753" t="n">
        <v>52</v>
      </c>
      <c r="M84" s="1753" t="n">
        <v>8.964145</v>
      </c>
      <c r="N84" s="1754" t="n">
        <v>466.13554</v>
      </c>
      <c r="O84" s="1755" t="inlineStr">
        <is>
          <t>Considerado vigas de fundação, duto, cisterna, lajes e pilares de arranque - 10% de perda</t>
        </is>
      </c>
      <c r="P84" s="1721" t="inlineStr">
        <is>
          <t>Pendente</t>
        </is>
      </c>
    </row>
    <row r="85" hidden="1" outlineLevel="3" ht="13.5" customHeight="1">
      <c r="A85" s="2117" t="n">
        <v>0</v>
      </c>
      <c r="B85" s="2117" t="n">
        <v>3</v>
      </c>
      <c r="C85" s="2117" t="n">
        <v>3</v>
      </c>
      <c r="D85" s="2118" t="n">
        <v>2</v>
      </c>
      <c r="E85" s="2118" t="n">
        <v>2</v>
      </c>
      <c r="G85" s="1748" t="inlineStr">
        <is>
          <t>INFRAESTRUTURA</t>
        </is>
      </c>
      <c r="H85" s="1749" t="inlineStr">
        <is>
          <t>SERVIÇO</t>
        </is>
      </c>
      <c r="I85" s="1750" t="inlineStr">
        <is>
          <t>03.003.002.002</t>
        </is>
      </c>
      <c r="J85" s="1751" t="inlineStr">
        <is>
          <t>Armação aço CA-50 ø 6,3mm para infraestrutura (corte e dobra em Indústria)</t>
        </is>
      </c>
      <c r="K85" s="1752" t="inlineStr">
        <is>
          <t>kg</t>
        </is>
      </c>
      <c r="L85" s="1753" t="n">
        <v>130.2727272727273</v>
      </c>
      <c r="M85" s="1753" t="n">
        <v>8.964145</v>
      </c>
      <c r="N85" s="1754" t="n">
        <v>1167.78361681818</v>
      </c>
      <c r="O85" s="1755" t="inlineStr">
        <is>
          <t>Considerado vigas de fundação, duto, cisterna, lajes e pilares de arranque - 10% de perda</t>
        </is>
      </c>
      <c r="P85" s="1721" t="inlineStr">
        <is>
          <t>Pendente</t>
        </is>
      </c>
    </row>
    <row r="86" hidden="1" outlineLevel="3" ht="13.5" customHeight="1">
      <c r="A86" s="2117" t="n">
        <v>0</v>
      </c>
      <c r="B86" s="2117" t="n">
        <v>3</v>
      </c>
      <c r="C86" s="2117" t="n">
        <v>3</v>
      </c>
      <c r="D86" s="2118" t="n">
        <v>2</v>
      </c>
      <c r="E86" s="2118" t="n">
        <v>3</v>
      </c>
      <c r="G86" s="1748" t="inlineStr">
        <is>
          <t>INFRAESTRUTURA</t>
        </is>
      </c>
      <c r="H86" s="1749" t="inlineStr">
        <is>
          <t>SERVIÇO</t>
        </is>
      </c>
      <c r="I86" s="1750" t="inlineStr">
        <is>
          <t>03.003.002.003</t>
        </is>
      </c>
      <c r="J86" s="1751" t="inlineStr">
        <is>
          <t>Armação aço CA-50 ø 8,0mm para infraestrutura (corte e dobra em Indústria)</t>
        </is>
      </c>
      <c r="K86" s="1752" t="inlineStr">
        <is>
          <t>kg</t>
        </is>
      </c>
      <c r="L86" s="1753" t="n">
        <v>982.6363636363636</v>
      </c>
      <c r="M86" s="1753" t="n">
        <v>8.964145</v>
      </c>
      <c r="N86" s="1754" t="n">
        <v>8808.49484590909</v>
      </c>
      <c r="O86" s="1755" t="inlineStr">
        <is>
          <t>Considerado vigas de fundação, duto, cisterna, lajes e pilares de arranque - 10% de perda</t>
        </is>
      </c>
      <c r="P86" s="1721" t="inlineStr">
        <is>
          <t>Pendente</t>
        </is>
      </c>
    </row>
    <row r="87" hidden="1" outlineLevel="3" ht="13.5" customHeight="1">
      <c r="A87" s="2117" t="n">
        <v>0</v>
      </c>
      <c r="B87" s="2117" t="n">
        <v>3</v>
      </c>
      <c r="C87" s="2117" t="n">
        <v>3</v>
      </c>
      <c r="D87" s="2118" t="n">
        <v>2</v>
      </c>
      <c r="E87" s="2118" t="n">
        <v>4</v>
      </c>
      <c r="G87" s="1748" t="inlineStr">
        <is>
          <t>INFRAESTRUTURA</t>
        </is>
      </c>
      <c r="H87" s="1749" t="inlineStr">
        <is>
          <t>SERVIÇO</t>
        </is>
      </c>
      <c r="I87" s="1750" t="inlineStr">
        <is>
          <t>03.003.002.004</t>
        </is>
      </c>
      <c r="J87" s="1751" t="inlineStr">
        <is>
          <t>Armação aço CA-50 ø 10,0mm para infraestrutura (corte e dobra em Indústria)</t>
        </is>
      </c>
      <c r="K87" s="1752" t="inlineStr">
        <is>
          <t>kg</t>
        </is>
      </c>
      <c r="L87" s="1753" t="n">
        <v>7011.636363636364</v>
      </c>
      <c r="M87" s="1753" t="n">
        <v>8.964145</v>
      </c>
      <c r="N87" s="1754" t="n">
        <v>62853.3250509091</v>
      </c>
      <c r="O87" s="1755" t="inlineStr">
        <is>
          <t>Considerado vigas de fundação, duto, cisterna, lajes e pilares de arranque - 10% de perda</t>
        </is>
      </c>
      <c r="P87" s="1721" t="inlineStr">
        <is>
          <t>Pendente</t>
        </is>
      </c>
    </row>
    <row r="88" hidden="1" outlineLevel="3" ht="13.5" customHeight="1">
      <c r="A88" s="2117" t="n">
        <v>0</v>
      </c>
      <c r="B88" s="2117" t="n">
        <v>3</v>
      </c>
      <c r="C88" s="2117" t="n">
        <v>3</v>
      </c>
      <c r="D88" s="2118" t="n">
        <v>2</v>
      </c>
      <c r="E88" s="2118" t="n">
        <v>5</v>
      </c>
      <c r="G88" s="1748" t="inlineStr">
        <is>
          <t>INFRAESTRUTURA</t>
        </is>
      </c>
      <c r="H88" s="1749" t="inlineStr">
        <is>
          <t>SERVIÇO</t>
        </is>
      </c>
      <c r="I88" s="1750" t="inlineStr">
        <is>
          <t>03.003.002.005</t>
        </is>
      </c>
      <c r="J88" s="1751" t="inlineStr">
        <is>
          <t xml:space="preserve">Armação aço CA-50 ø 12,5mm para infraestrutura (corte e dobra em Indústria) </t>
        </is>
      </c>
      <c r="K88" s="1752" t="inlineStr">
        <is>
          <t>kg</t>
        </is>
      </c>
      <c r="L88" s="1753" t="n">
        <v>6007.818181818182</v>
      </c>
      <c r="M88" s="1753" t="n">
        <v>8.484145</v>
      </c>
      <c r="N88" s="1754" t="n">
        <v>50971.2005881818</v>
      </c>
      <c r="O88" s="1755" t="inlineStr">
        <is>
          <t>Considerado vigas de fundação, duto, cisterna, lajes e pilares de arranque - 10% de perda</t>
        </is>
      </c>
      <c r="P88" s="1721" t="inlineStr">
        <is>
          <t>Pendente</t>
        </is>
      </c>
    </row>
    <row r="89" hidden="1" outlineLevel="3" ht="13.5" customHeight="1">
      <c r="A89" s="2117" t="n">
        <v>0</v>
      </c>
      <c r="B89" s="2117" t="n">
        <v>3</v>
      </c>
      <c r="C89" s="2117" t="n">
        <v>3</v>
      </c>
      <c r="D89" s="2118" t="n">
        <v>2</v>
      </c>
      <c r="E89" s="2118" t="n">
        <v>6</v>
      </c>
      <c r="G89" s="1748" t="inlineStr">
        <is>
          <t>INFRAESTRUTURA</t>
        </is>
      </c>
      <c r="H89" s="1749" t="inlineStr">
        <is>
          <t>SERVIÇO</t>
        </is>
      </c>
      <c r="I89" s="1750" t="inlineStr">
        <is>
          <t>03.003.002.006</t>
        </is>
      </c>
      <c r="J89" s="1751" t="inlineStr">
        <is>
          <t>Armação aço CA-50 ø 16,0mm para infraestrutura (corte e dobra em Indústria)</t>
        </is>
      </c>
      <c r="K89" s="1752" t="inlineStr">
        <is>
          <t>kg</t>
        </is>
      </c>
      <c r="L89" s="1753" t="n">
        <v>1269.727272727273</v>
      </c>
      <c r="M89" s="1753" t="n">
        <v>8.484145</v>
      </c>
      <c r="N89" s="1754" t="n">
        <v>10772.5502922727</v>
      </c>
      <c r="O89" s="1755" t="inlineStr">
        <is>
          <t>Considerado vigas de fundação, duto, cisterna, lajes e pilares de arranque - 10% de perda</t>
        </is>
      </c>
      <c r="P89" s="1721" t="inlineStr">
        <is>
          <t>Pendente</t>
        </is>
      </c>
    </row>
    <row r="90" hidden="1" outlineLevel="3" ht="13.5" customHeight="1">
      <c r="A90" s="2117" t="n">
        <v>0</v>
      </c>
      <c r="B90" s="2117" t="n">
        <v>3</v>
      </c>
      <c r="C90" s="2117" t="n">
        <v>3</v>
      </c>
      <c r="D90" s="2118" t="n">
        <v>2</v>
      </c>
      <c r="E90" s="2118" t="n">
        <v>7</v>
      </c>
      <c r="G90" s="1748" t="inlineStr">
        <is>
          <t>INFRAESTRUTURA</t>
        </is>
      </c>
      <c r="H90" s="1749" t="inlineStr">
        <is>
          <t>SERVIÇO</t>
        </is>
      </c>
      <c r="I90" s="1750" t="inlineStr">
        <is>
          <t>03.003.002.007</t>
        </is>
      </c>
      <c r="J90" s="1751" t="inlineStr">
        <is>
          <t xml:space="preserve">Armação aço CA-50 ø 20,0mm para infraestrutura (corte e dobra em Indústria) </t>
        </is>
      </c>
      <c r="K90" s="1752" t="inlineStr">
        <is>
          <t>kg</t>
        </is>
      </c>
      <c r="L90" s="1753" t="n">
        <v>902</v>
      </c>
      <c r="M90" s="1753" t="n">
        <v>8.484145</v>
      </c>
      <c r="N90" s="1754" t="n">
        <v>7652.69879</v>
      </c>
      <c r="O90" s="1755" t="inlineStr">
        <is>
          <t>Considerado vigas de fundação, duto, cisterna, lajes e pilares de arranque - 10% de perda</t>
        </is>
      </c>
      <c r="P90" s="1721" t="inlineStr">
        <is>
          <t>Pendente</t>
        </is>
      </c>
    </row>
    <row r="91" hidden="1" outlineLevel="3" ht="13.5" customHeight="1">
      <c r="A91" s="2117" t="n">
        <v>0</v>
      </c>
      <c r="B91" s="2117" t="n">
        <v>3</v>
      </c>
      <c r="C91" s="2117" t="n">
        <v>3</v>
      </c>
      <c r="D91" s="2118" t="n">
        <v>2</v>
      </c>
      <c r="E91" s="2118" t="n">
        <v>8</v>
      </c>
      <c r="G91" s="1748" t="inlineStr">
        <is>
          <t>INFRAESTRUTURA</t>
        </is>
      </c>
      <c r="H91" s="1749" t="inlineStr">
        <is>
          <t>SERVIÇO</t>
        </is>
      </c>
      <c r="I91" s="1750" t="inlineStr">
        <is>
          <t>03.003.002.008</t>
        </is>
      </c>
      <c r="J91" s="1751" t="inlineStr">
        <is>
          <t xml:space="preserve">Armação aço CA-50 ø 25,0mm para infraestrutura (corte e dobra em Indústria) </t>
        </is>
      </c>
      <c r="K91" s="1752" t="inlineStr">
        <is>
          <t>kg</t>
        </is>
      </c>
      <c r="L91" s="1753" t="n">
        <v>4680</v>
      </c>
      <c r="M91" s="1753" t="n">
        <v>8.484145</v>
      </c>
      <c r="N91" s="1754" t="n">
        <v>39705.7986</v>
      </c>
      <c r="O91" s="1755" t="inlineStr">
        <is>
          <t>Considerado vigas de fundação, duto, cisterna, lajes e pilares de arranque - 10% de perda</t>
        </is>
      </c>
      <c r="P91" s="1721" t="inlineStr">
        <is>
          <t>Pendente</t>
        </is>
      </c>
    </row>
    <row r="92" hidden="1" outlineLevel="3" ht="13.5" customHeight="1">
      <c r="A92" s="2117" t="n">
        <v>0</v>
      </c>
      <c r="B92" s="2117" t="n">
        <v>3</v>
      </c>
      <c r="C92" s="2117" t="n">
        <v>3</v>
      </c>
      <c r="D92" s="2118" t="n">
        <v>2</v>
      </c>
      <c r="E92" s="2118" t="n">
        <v>9</v>
      </c>
      <c r="G92" s="1748" t="inlineStr">
        <is>
          <t>INFRAESTRUTURA</t>
        </is>
      </c>
      <c r="H92" s="1749" t="inlineStr">
        <is>
          <t>SERVIÇO</t>
        </is>
      </c>
      <c r="I92" s="1750" t="inlineStr">
        <is>
          <t>03.003.002.009</t>
        </is>
      </c>
      <c r="J92" s="1751" t="inlineStr">
        <is>
          <t xml:space="preserve">Armação aço CA-50 ø 32,00mm para infraestrutura (corte e dobra em Indústria) </t>
        </is>
      </c>
      <c r="K92" s="1752" t="inlineStr">
        <is>
          <t>kg</t>
        </is>
      </c>
      <c r="L92" s="1753" t="n">
        <v>27316</v>
      </c>
      <c r="M92" s="1753" t="n">
        <v>9.070505945443699</v>
      </c>
      <c r="N92" s="1754" t="n">
        <v>247769.94040574</v>
      </c>
      <c r="O92" s="1755" t="inlineStr">
        <is>
          <t>Considerado vigas de fundação, duto, cisterna, lajes e pilares de arranque - 10% de perda</t>
        </is>
      </c>
      <c r="P92" s="1721" t="inlineStr">
        <is>
          <t>Pendente</t>
        </is>
      </c>
    </row>
    <row r="93" hidden="1" outlineLevel="2" ht="13.5" customHeight="1">
      <c r="A93" s="2117" t="n">
        <v>0</v>
      </c>
      <c r="B93" s="2117" t="n">
        <v>3</v>
      </c>
      <c r="C93" s="2117" t="n">
        <v>3</v>
      </c>
      <c r="D93" s="2118" t="n">
        <v>3</v>
      </c>
      <c r="E93" s="2118" t="n">
        <v>0</v>
      </c>
      <c r="G93" s="1740" t="n"/>
      <c r="H93" s="1741" t="inlineStr">
        <is>
          <t>SUBETAPA</t>
        </is>
      </c>
      <c r="I93" s="1742" t="inlineStr">
        <is>
          <t>03.003.003</t>
        </is>
      </c>
      <c r="J93" s="1743" t="inlineStr">
        <is>
          <t>Concreto</t>
        </is>
      </c>
      <c r="K93" s="1744" t="n"/>
      <c r="L93" s="1745" t="n"/>
      <c r="M93" s="1745" t="n"/>
      <c r="N93" s="1746" t="n">
        <v>34717.51380426</v>
      </c>
      <c r="O93" s="1747" t="n">
        <v>2.0727282271388</v>
      </c>
      <c r="P93" s="1720" t="n"/>
    </row>
    <row r="94" hidden="1" outlineLevel="3" ht="13.5" customHeight="1">
      <c r="A94" s="2117" t="n">
        <v>0</v>
      </c>
      <c r="B94" s="2117" t="n">
        <v>3</v>
      </c>
      <c r="C94" s="2117" t="n">
        <v>3</v>
      </c>
      <c r="D94" s="2118" t="n">
        <v>3</v>
      </c>
      <c r="E94" s="2118" t="n">
        <v>1</v>
      </c>
      <c r="G94" s="1748" t="inlineStr">
        <is>
          <t>INFRAESTRUTURA</t>
        </is>
      </c>
      <c r="H94" s="1749" t="inlineStr">
        <is>
          <t>SERVIÇO</t>
        </is>
      </c>
      <c r="I94" s="1750" t="inlineStr">
        <is>
          <t>03.003.003.001</t>
        </is>
      </c>
      <c r="J94" s="1751" t="inlineStr">
        <is>
          <t>Concreto Usinado bombeável 50MPa para infraestrutura- incluindo serviço de bombeamento</t>
        </is>
      </c>
      <c r="K94" s="1752" t="inlineStr">
        <is>
          <t>m3</t>
        </is>
      </c>
      <c r="L94" s="1753" t="n">
        <v>51.04720999999999</v>
      </c>
      <c r="M94" s="1753" t="n">
        <v>680.1060000000001</v>
      </c>
      <c r="N94" s="1754" t="n">
        <v>34717.51380426</v>
      </c>
      <c r="O94" s="1755" t="inlineStr">
        <is>
          <t>Cotações recentes do concreto. Considerado vigas de fundação, duto, cisterna, lajes e pilares de arranque - 5% de perda, fck = 50Mpa</t>
        </is>
      </c>
      <c r="P94" s="1721" t="inlineStr">
        <is>
          <t>Pendente</t>
        </is>
      </c>
    </row>
    <row r="95" hidden="1" outlineLevel="2" ht="13.5" customHeight="1">
      <c r="A95" s="2117" t="n">
        <v>0</v>
      </c>
      <c r="B95" s="2117" t="n">
        <v>3</v>
      </c>
      <c r="C95" s="2117" t="n">
        <v>3</v>
      </c>
      <c r="D95" s="2118" t="n">
        <v>4</v>
      </c>
      <c r="E95" s="2118" t="n">
        <v>0</v>
      </c>
      <c r="G95" s="1740" t="n"/>
      <c r="H95" s="1741" t="inlineStr">
        <is>
          <t>SUBETAPA</t>
        </is>
      </c>
      <c r="I95" s="1742" t="inlineStr">
        <is>
          <t>03.003.004</t>
        </is>
      </c>
      <c r="J95" s="1743" t="inlineStr">
        <is>
          <t>Mão de Obra</t>
        </is>
      </c>
      <c r="K95" s="1744" t="n"/>
      <c r="L95" s="1745" t="n"/>
      <c r="M95" s="1745" t="n"/>
      <c r="N95" s="1746" t="n">
        <v>0</v>
      </c>
      <c r="O95" s="1747" t="n">
        <v>0</v>
      </c>
      <c r="P95" s="1720" t="n"/>
    </row>
    <row r="96" collapsed="1" ht="13.5" customHeight="1">
      <c r="A96" s="2117" t="n">
        <v>0</v>
      </c>
      <c r="B96" s="2117" t="n">
        <v>4</v>
      </c>
      <c r="C96" s="2117" t="n">
        <v>0</v>
      </c>
      <c r="D96" s="2118" t="n">
        <v>4</v>
      </c>
      <c r="E96" s="2118" t="n">
        <v>0</v>
      </c>
      <c r="F96" s="474" t="n"/>
      <c r="G96" s="1726" t="n"/>
      <c r="H96" s="1727" t="inlineStr">
        <is>
          <t>CÉLULA CONSTRUTIVA</t>
        </is>
      </c>
      <c r="I96" s="1728" t="inlineStr">
        <is>
          <t>04</t>
        </is>
      </c>
      <c r="J96" s="1729" t="inlineStr">
        <is>
          <t>SUPRAESTRUTURA</t>
        </is>
      </c>
      <c r="K96" s="1730" t="n"/>
      <c r="L96" s="1731" t="n"/>
      <c r="M96" s="1731" t="n"/>
      <c r="N96" s="1732" t="n">
        <v>20793270.7983197</v>
      </c>
      <c r="O96" s="1723" t="n">
        <v>1241.41375909613</v>
      </c>
      <c r="P96" s="1718" t="n"/>
    </row>
    <row r="97" hidden="1" outlineLevel="1" ht="13.5" customHeight="1">
      <c r="A97" s="2117" t="n">
        <v>0</v>
      </c>
      <c r="B97" s="2117" t="n">
        <v>4</v>
      </c>
      <c r="C97" s="2117" t="n">
        <v>1</v>
      </c>
      <c r="D97" s="2118" t="n">
        <v>0</v>
      </c>
      <c r="E97" s="2118" t="n">
        <v>0</v>
      </c>
      <c r="G97" s="1733" t="n"/>
      <c r="H97" s="1734" t="inlineStr">
        <is>
          <t>ETAPA</t>
        </is>
      </c>
      <c r="I97" s="1735" t="inlineStr">
        <is>
          <t>04.001</t>
        </is>
      </c>
      <c r="J97" s="1736" t="inlineStr">
        <is>
          <t>PISO SOBRE O SOLO - GERAL</t>
        </is>
      </c>
      <c r="K97" s="1737" t="n"/>
      <c r="L97" s="1738" t="n"/>
      <c r="M97" s="1738" t="n"/>
      <c r="N97" s="1739" t="n">
        <v>19428.044563</v>
      </c>
      <c r="O97" s="1722" t="n">
        <v>1.1599061093741</v>
      </c>
      <c r="P97" s="1719" t="n"/>
    </row>
    <row r="98" hidden="1" outlineLevel="2" ht="13.5" customHeight="1">
      <c r="A98" s="2117" t="n">
        <v>0</v>
      </c>
      <c r="B98" s="2117" t="n">
        <v>4</v>
      </c>
      <c r="C98" s="2117" t="n">
        <v>1</v>
      </c>
      <c r="D98" s="2118" t="n">
        <v>1</v>
      </c>
      <c r="E98" s="2118" t="n">
        <v>0</v>
      </c>
      <c r="G98" s="1740" t="n"/>
      <c r="H98" s="1741" t="inlineStr">
        <is>
          <t>SUBETAPA</t>
        </is>
      </c>
      <c r="I98" s="1742" t="inlineStr">
        <is>
          <t>04.001.001</t>
        </is>
      </c>
      <c r="J98" s="1743" t="inlineStr">
        <is>
          <t>Piso sobre o solo - Geral</t>
        </is>
      </c>
      <c r="K98" s="1744" t="n"/>
      <c r="L98" s="1745" t="n"/>
      <c r="M98" s="1745" t="n"/>
      <c r="N98" s="1746" t="n">
        <v>19428.044563</v>
      </c>
      <c r="O98" s="1747" t="n">
        <v>1.1599061093741</v>
      </c>
      <c r="P98" s="1720" t="n"/>
    </row>
    <row r="99" hidden="1" outlineLevel="3" ht="13.5" customHeight="1">
      <c r="A99" s="2117" t="n">
        <v>0</v>
      </c>
      <c r="B99" s="2117" t="n">
        <v>4</v>
      </c>
      <c r="C99" s="2117" t="n">
        <v>1</v>
      </c>
      <c r="D99" s="2118" t="n">
        <v>1</v>
      </c>
      <c r="E99" s="2118" t="n">
        <v>1</v>
      </c>
      <c r="G99" s="1748" t="inlineStr">
        <is>
          <t>SUPRAESTRUTURA</t>
        </is>
      </c>
      <c r="H99" s="1749" t="inlineStr">
        <is>
          <t>SERVIÇO</t>
        </is>
      </c>
      <c r="I99" s="1750" t="inlineStr">
        <is>
          <t>04.001.001.001</t>
        </is>
      </c>
      <c r="J99" s="1751" t="inlineStr">
        <is>
          <t>Lastro de Concreto Magro, Aplicado em piso sobre solo</t>
        </is>
      </c>
      <c r="K99" s="1752" t="inlineStr">
        <is>
          <t>m3</t>
        </is>
      </c>
      <c r="L99" s="1753" t="n">
        <v>39.22900000000001</v>
      </c>
      <c r="M99" s="1753" t="n">
        <v>495.247</v>
      </c>
      <c r="N99" s="1754" t="n">
        <v>19428.044563</v>
      </c>
      <c r="O99" s="1755" t="inlineStr">
        <is>
          <t>O concreto e a armadura entraram nos itens referentes ao terreo, conforme lista de materiais do projetista</t>
        </is>
      </c>
      <c r="P99" s="1721" t="inlineStr">
        <is>
          <t>Pendente</t>
        </is>
      </c>
    </row>
    <row r="100" hidden="1" outlineLevel="1" ht="13.5" customHeight="1">
      <c r="A100" s="2117" t="n">
        <v>0</v>
      </c>
      <c r="B100" s="2117" t="n">
        <v>4</v>
      </c>
      <c r="C100" s="2117" t="n">
        <v>2</v>
      </c>
      <c r="D100" s="2118" t="n">
        <v>0</v>
      </c>
      <c r="E100" s="2118" t="n">
        <v>1</v>
      </c>
      <c r="G100" s="1733" t="n"/>
      <c r="H100" s="1734" t="inlineStr">
        <is>
          <t>ETAPA</t>
        </is>
      </c>
      <c r="I100" s="1735" t="inlineStr">
        <is>
          <t>04.002</t>
        </is>
      </c>
      <c r="J100" s="1736" t="inlineStr">
        <is>
          <t>FORMA</t>
        </is>
      </c>
      <c r="K100" s="1737" t="n"/>
      <c r="L100" s="1738" t="n"/>
      <c r="M100" s="1738" t="n"/>
      <c r="N100" s="1739" t="n">
        <v>1435614.98774366</v>
      </c>
      <c r="O100" s="1722" t="n">
        <v>85.71004609306679</v>
      </c>
      <c r="P100" s="1719" t="n"/>
    </row>
    <row r="101" hidden="1" outlineLevel="2" ht="13.5" customHeight="1">
      <c r="A101" s="2117" t="n">
        <v>0</v>
      </c>
      <c r="B101" s="2117" t="n">
        <v>4</v>
      </c>
      <c r="C101" s="2117" t="n">
        <v>2</v>
      </c>
      <c r="D101" s="2118" t="n">
        <v>1</v>
      </c>
      <c r="E101" s="2118" t="n">
        <v>0</v>
      </c>
      <c r="G101" s="1740" t="n"/>
      <c r="H101" s="1741" t="inlineStr">
        <is>
          <t>SUBETAPA</t>
        </is>
      </c>
      <c r="I101" s="1742" t="inlineStr">
        <is>
          <t>04.002.001</t>
        </is>
      </c>
      <c r="J101" s="1743" t="inlineStr">
        <is>
          <t>Forma - Térreo</t>
        </is>
      </c>
      <c r="K101" s="1744" t="n"/>
      <c r="L101" s="1745" t="n"/>
      <c r="M101" s="1745" t="n"/>
      <c r="N101" s="1746" t="n">
        <v>529090.667475431</v>
      </c>
      <c r="O101" s="1747" t="n">
        <v>31.588124869053</v>
      </c>
      <c r="P101" s="1720" t="n"/>
    </row>
    <row r="102" hidden="1" outlineLevel="3" ht="13.5" customHeight="1">
      <c r="A102" s="2117" t="n">
        <v>0</v>
      </c>
      <c r="B102" s="2117" t="n">
        <v>4</v>
      </c>
      <c r="C102" s="2117" t="n">
        <v>2</v>
      </c>
      <c r="D102" s="2118" t="n">
        <v>1</v>
      </c>
      <c r="E102" s="2118" t="n">
        <v>1</v>
      </c>
      <c r="G102" s="1748" t="inlineStr">
        <is>
          <t>SUPRAESTRUTURA</t>
        </is>
      </c>
      <c r="H102" s="1749" t="inlineStr">
        <is>
          <t>SERVIÇO</t>
        </is>
      </c>
      <c r="I102" s="1750" t="inlineStr">
        <is>
          <t>04.002.001.001</t>
        </is>
      </c>
      <c r="J102" s="1751" t="inlineStr">
        <is>
          <t>Fabricação de Fôrma para Supraestrutura, em Chapa de Madeira Compensada Resinada, E=20mm</t>
        </is>
      </c>
      <c r="K102" s="1752" t="inlineStr">
        <is>
          <t>m2</t>
        </is>
      </c>
      <c r="L102" s="1753" t="n">
        <v>4874.3226</v>
      </c>
      <c r="M102" s="1753" t="n">
        <v>108.0352259504132</v>
      </c>
      <c r="N102" s="1754" t="n">
        <v>526598.543446206</v>
      </c>
      <c r="O102" s="1755" t="inlineStr">
        <is>
          <t>8x reaproveitamento - 3 jogos</t>
        </is>
      </c>
      <c r="P102" s="1721" t="inlineStr">
        <is>
          <t>Pendente</t>
        </is>
      </c>
    </row>
    <row r="103" hidden="1" outlineLevel="3" ht="13.5" customHeight="1">
      <c r="A103" s="2117" t="n">
        <v>0</v>
      </c>
      <c r="B103" s="2117" t="n">
        <v>4</v>
      </c>
      <c r="C103" s="2117" t="n">
        <v>2</v>
      </c>
      <c r="D103" s="2118" t="n">
        <v>1</v>
      </c>
      <c r="E103" s="2118" t="n">
        <v>2</v>
      </c>
      <c r="G103" s="1748" t="inlineStr">
        <is>
          <t>SUPRAESTRUTURA</t>
        </is>
      </c>
      <c r="H103" s="1749" t="inlineStr">
        <is>
          <t>SERVIÇO</t>
        </is>
      </c>
      <c r="I103" s="1750" t="inlineStr">
        <is>
          <t>04.002.001.002</t>
        </is>
      </c>
      <c r="J103" s="1751" t="inlineStr">
        <is>
          <t>Montagem e Desmontagem de Fôrma de Supraestrutura</t>
        </is>
      </c>
      <c r="K103" s="1752" t="inlineStr">
        <is>
          <t>m2</t>
        </is>
      </c>
      <c r="L103" s="1753" t="n">
        <v>626.5792</v>
      </c>
      <c r="M103" s="1753" t="n">
        <v>3.9773488</v>
      </c>
      <c r="N103" s="1754" t="n">
        <v>2492.12402922496</v>
      </c>
      <c r="O103" s="1755" t="n"/>
      <c r="P103" s="1721" t="inlineStr">
        <is>
          <t>Pendente</t>
        </is>
      </c>
    </row>
    <row r="104" hidden="1" outlineLevel="2" ht="13.5" customHeight="1">
      <c r="A104" s="2117" t="n">
        <v>0</v>
      </c>
      <c r="B104" s="2117" t="n">
        <v>4</v>
      </c>
      <c r="C104" s="2117" t="n">
        <v>2</v>
      </c>
      <c r="D104" s="2118" t="n">
        <v>2</v>
      </c>
      <c r="E104" s="2118" t="n">
        <v>0</v>
      </c>
      <c r="G104" s="1740" t="n"/>
      <c r="H104" s="1741" t="inlineStr">
        <is>
          <t>SUBETAPA</t>
        </is>
      </c>
      <c r="I104" s="1742" t="inlineStr">
        <is>
          <t>04.002.002</t>
        </is>
      </c>
      <c r="J104" s="1743" t="inlineStr">
        <is>
          <t>Forma - G1</t>
        </is>
      </c>
      <c r="K104" s="1744" t="n"/>
      <c r="L104" s="1745" t="n"/>
      <c r="M104" s="1745" t="n"/>
      <c r="N104" s="1746" t="n">
        <v>5458.01314264096</v>
      </c>
      <c r="O104" s="1747" t="n">
        <v>0.325857950791924</v>
      </c>
      <c r="P104" s="1720" t="n"/>
    </row>
    <row r="105" hidden="1" outlineLevel="3" ht="13.5" customHeight="1">
      <c r="A105" s="2117" t="n">
        <v>0</v>
      </c>
      <c r="B105" s="2117" t="n">
        <v>4</v>
      </c>
      <c r="C105" s="2117" t="n">
        <v>2</v>
      </c>
      <c r="D105" s="2118" t="n">
        <v>2</v>
      </c>
      <c r="E105" s="2118" t="n">
        <v>1</v>
      </c>
      <c r="G105" s="1748" t="inlineStr">
        <is>
          <t>SUPRAESTRUTURA</t>
        </is>
      </c>
      <c r="H105" s="1749" t="inlineStr">
        <is>
          <t>SERVIÇO</t>
        </is>
      </c>
      <c r="I105" s="1750" t="inlineStr">
        <is>
          <t>04.002.002.001</t>
        </is>
      </c>
      <c r="J105" s="1751" t="inlineStr">
        <is>
          <t>Montagem e Desmontagem de Fôrma de Supraestrutura</t>
        </is>
      </c>
      <c r="K105" s="1752" t="inlineStr">
        <is>
          <t>m2</t>
        </is>
      </c>
      <c r="L105" s="1753" t="n">
        <v>1372.2742</v>
      </c>
      <c r="M105" s="1753" t="n">
        <v>3.9773488</v>
      </c>
      <c r="N105" s="1754" t="n">
        <v>5458.01314264096</v>
      </c>
      <c r="O105" s="1755" t="n"/>
      <c r="P105" s="1721" t="inlineStr">
        <is>
          <t>Pendente</t>
        </is>
      </c>
    </row>
    <row r="106" hidden="1" outlineLevel="2" ht="13.5" customHeight="1">
      <c r="A106" s="2117" t="n">
        <v>0</v>
      </c>
      <c r="B106" s="2117" t="n">
        <v>4</v>
      </c>
      <c r="C106" s="2117" t="n">
        <v>2</v>
      </c>
      <c r="D106" s="2118" t="n">
        <v>3</v>
      </c>
      <c r="E106" s="2118" t="n">
        <v>0</v>
      </c>
      <c r="G106" s="1740" t="n"/>
      <c r="H106" s="1741" t="inlineStr">
        <is>
          <t>SUBETAPA</t>
        </is>
      </c>
      <c r="I106" s="1742" t="inlineStr">
        <is>
          <t>04.002.003</t>
        </is>
      </c>
      <c r="J106" s="1743" t="inlineStr">
        <is>
          <t>Forma - G2</t>
        </is>
      </c>
      <c r="K106" s="1744" t="n"/>
      <c r="L106" s="1745" t="n"/>
      <c r="M106" s="1745" t="n"/>
      <c r="N106" s="1746" t="n">
        <v>6043.18933500832</v>
      </c>
      <c r="O106" s="1747" t="n">
        <v>0.360794531176335</v>
      </c>
      <c r="P106" s="1720" t="n"/>
    </row>
    <row r="107" hidden="1" outlineLevel="3" ht="13.5" customHeight="1">
      <c r="A107" s="2117" t="n">
        <v>0</v>
      </c>
      <c r="B107" s="2117" t="n">
        <v>4</v>
      </c>
      <c r="C107" s="2117" t="n">
        <v>2</v>
      </c>
      <c r="D107" s="2118" t="n">
        <v>3</v>
      </c>
      <c r="E107" s="2118" t="n">
        <v>1</v>
      </c>
      <c r="G107" s="1748" t="inlineStr">
        <is>
          <t>SUPRAESTRUTURA</t>
        </is>
      </c>
      <c r="H107" s="1749" t="inlineStr">
        <is>
          <t>SERVIÇO</t>
        </is>
      </c>
      <c r="I107" s="1750" t="inlineStr">
        <is>
          <t>04.002.003.001</t>
        </is>
      </c>
      <c r="J107" s="1751" t="inlineStr">
        <is>
          <t>Montagem e Desmontagem de Fôrma de Supraestrutura</t>
        </is>
      </c>
      <c r="K107" s="1752" t="inlineStr">
        <is>
          <t>m2</t>
        </is>
      </c>
      <c r="L107" s="1753" t="n">
        <v>1519.4014</v>
      </c>
      <c r="M107" s="1753" t="n">
        <v>3.9773488</v>
      </c>
      <c r="N107" s="1754" t="n">
        <v>6043.18933500832</v>
      </c>
      <c r="O107" s="1755" t="n"/>
      <c r="P107" s="1721" t="inlineStr">
        <is>
          <t>Pendente</t>
        </is>
      </c>
    </row>
    <row r="108" hidden="1" outlineLevel="2" ht="13.5" customHeight="1">
      <c r="A108" s="2117" t="n">
        <v>0</v>
      </c>
      <c r="B108" s="2117" t="n">
        <v>4</v>
      </c>
      <c r="C108" s="2117" t="n">
        <v>2</v>
      </c>
      <c r="D108" s="2118" t="n">
        <v>4</v>
      </c>
      <c r="E108" s="2118" t="n">
        <v>0</v>
      </c>
      <c r="G108" s="1740" t="n"/>
      <c r="H108" s="1741" t="inlineStr">
        <is>
          <t>SUBETAPA</t>
        </is>
      </c>
      <c r="I108" s="1742" t="inlineStr">
        <is>
          <t>04.002.004</t>
        </is>
      </c>
      <c r="J108" s="1743" t="inlineStr">
        <is>
          <t>Forma - G3</t>
        </is>
      </c>
      <c r="K108" s="1744" t="n"/>
      <c r="L108" s="1745" t="n"/>
      <c r="M108" s="1745" t="n"/>
      <c r="N108" s="1746" t="n">
        <v>6025.39069912832</v>
      </c>
      <c r="O108" s="1747" t="n">
        <v>0.359731905113851</v>
      </c>
      <c r="P108" s="1720" t="n"/>
    </row>
    <row r="109" hidden="1" outlineLevel="3" ht="13.5" customHeight="1">
      <c r="A109" s="2117" t="n">
        <v>0</v>
      </c>
      <c r="B109" s="2117" t="n">
        <v>4</v>
      </c>
      <c r="C109" s="2117" t="n">
        <v>2</v>
      </c>
      <c r="D109" s="2118" t="n">
        <v>4</v>
      </c>
      <c r="E109" s="2118" t="n">
        <v>1</v>
      </c>
      <c r="G109" s="1748" t="inlineStr">
        <is>
          <t>SUPRAESTRUTURA</t>
        </is>
      </c>
      <c r="H109" s="1749" t="inlineStr">
        <is>
          <t>SERVIÇO</t>
        </is>
      </c>
      <c r="I109" s="1750" t="inlineStr">
        <is>
          <t>04.002.004.001</t>
        </is>
      </c>
      <c r="J109" s="1751" t="inlineStr">
        <is>
          <t>Montagem e Desmontagem de Fôrma de Supraestrutura</t>
        </is>
      </c>
      <c r="K109" s="1752" t="inlineStr">
        <is>
          <t>m2</t>
        </is>
      </c>
      <c r="L109" s="1753" t="n">
        <v>1514.9264</v>
      </c>
      <c r="M109" s="1753" t="n">
        <v>3.9773488</v>
      </c>
      <c r="N109" s="1754" t="n">
        <v>6025.39069912832</v>
      </c>
      <c r="O109" s="1755" t="n"/>
      <c r="P109" s="1721" t="inlineStr">
        <is>
          <t>Pendente</t>
        </is>
      </c>
    </row>
    <row r="110" hidden="1" outlineLevel="2" ht="13.5" customHeight="1">
      <c r="A110" s="2117" t="n">
        <v>0</v>
      </c>
      <c r="B110" s="2117" t="n">
        <v>4</v>
      </c>
      <c r="C110" s="2117" t="n">
        <v>2</v>
      </c>
      <c r="D110" s="2118" t="n">
        <v>5</v>
      </c>
      <c r="E110" s="2118" t="n">
        <v>0</v>
      </c>
      <c r="G110" s="1740" t="n"/>
      <c r="H110" s="1741" t="inlineStr">
        <is>
          <t>SUBETAPA</t>
        </is>
      </c>
      <c r="I110" s="1742" t="inlineStr">
        <is>
          <t>04.002.005</t>
        </is>
      </c>
      <c r="J110" s="1743" t="inlineStr">
        <is>
          <t>Forma - G4</t>
        </is>
      </c>
      <c r="K110" s="1744" t="n"/>
      <c r="L110" s="1745" t="n"/>
      <c r="M110" s="1745" t="n"/>
      <c r="N110" s="1746" t="n">
        <v>6027.77710840832</v>
      </c>
      <c r="O110" s="1747" t="n">
        <v>0.359874380116642</v>
      </c>
      <c r="P110" s="1720" t="n"/>
    </row>
    <row r="111" hidden="1" outlineLevel="3" ht="13.5" customHeight="1">
      <c r="A111" s="2117" t="n">
        <v>0</v>
      </c>
      <c r="B111" s="2117" t="n">
        <v>4</v>
      </c>
      <c r="C111" s="2117" t="n">
        <v>2</v>
      </c>
      <c r="D111" s="2118" t="n">
        <v>5</v>
      </c>
      <c r="E111" s="2118" t="n">
        <v>1</v>
      </c>
      <c r="G111" s="1748" t="inlineStr">
        <is>
          <t>SUPRAESTRUTURA</t>
        </is>
      </c>
      <c r="H111" s="1749" t="inlineStr">
        <is>
          <t>SERVIÇO</t>
        </is>
      </c>
      <c r="I111" s="1750" t="inlineStr">
        <is>
          <t>04.002.005.001</t>
        </is>
      </c>
      <c r="J111" s="1751" t="inlineStr">
        <is>
          <t>Montagem e Desmontagem de Fôrma de Supraestrutura</t>
        </is>
      </c>
      <c r="K111" s="1752" t="inlineStr">
        <is>
          <t>m2</t>
        </is>
      </c>
      <c r="L111" s="1753" t="n">
        <v>1515.5264</v>
      </c>
      <c r="M111" s="1753" t="n">
        <v>3.9773488</v>
      </c>
      <c r="N111" s="1754" t="n">
        <v>6027.77710840832</v>
      </c>
      <c r="O111" s="1755" t="n"/>
      <c r="P111" s="1721" t="inlineStr">
        <is>
          <t>Pendente</t>
        </is>
      </c>
    </row>
    <row r="112" hidden="1" outlineLevel="2" ht="13.5" customHeight="1">
      <c r="A112" s="2117" t="n">
        <v>0</v>
      </c>
      <c r="B112" s="2117" t="n">
        <v>4</v>
      </c>
      <c r="C112" s="2117" t="n">
        <v>2</v>
      </c>
      <c r="D112" s="2118" t="n">
        <v>6</v>
      </c>
      <c r="E112" s="2118" t="n">
        <v>0</v>
      </c>
      <c r="G112" s="1740" t="n"/>
      <c r="H112" s="1741" t="inlineStr">
        <is>
          <t>SUBETAPA</t>
        </is>
      </c>
      <c r="I112" s="1742" t="inlineStr">
        <is>
          <t>04.002.006</t>
        </is>
      </c>
      <c r="J112" s="1743" t="inlineStr">
        <is>
          <t>Forma - G5</t>
        </is>
      </c>
      <c r="K112" s="1744" t="n"/>
      <c r="L112" s="1745" t="n"/>
      <c r="M112" s="1745" t="n"/>
      <c r="N112" s="1746" t="n">
        <v>6126.01762376832</v>
      </c>
      <c r="O112" s="1747" t="n">
        <v>0.365739601064876</v>
      </c>
      <c r="P112" s="1720" t="n"/>
    </row>
    <row r="113" hidden="1" outlineLevel="3" ht="13.5" customHeight="1">
      <c r="A113" s="2117" t="n">
        <v>0</v>
      </c>
      <c r="B113" s="2117" t="n">
        <v>4</v>
      </c>
      <c r="C113" s="2117" t="n">
        <v>2</v>
      </c>
      <c r="D113" s="2118" t="n">
        <v>6</v>
      </c>
      <c r="E113" s="2118" t="n">
        <v>1</v>
      </c>
      <c r="G113" s="1748" t="inlineStr">
        <is>
          <t>SUPRAESTRUTURA</t>
        </is>
      </c>
      <c r="H113" s="1749" t="inlineStr">
        <is>
          <t>SERVIÇO</t>
        </is>
      </c>
      <c r="I113" s="1750" t="inlineStr">
        <is>
          <t>04.002.006.001</t>
        </is>
      </c>
      <c r="J113" s="1751" t="inlineStr">
        <is>
          <t>Montagem e Desmontagem de Fôrma de Supraestrutura</t>
        </is>
      </c>
      <c r="K113" s="1752" t="inlineStr">
        <is>
          <t>m2</t>
        </is>
      </c>
      <c r="L113" s="1753" t="n">
        <v>1540.2264</v>
      </c>
      <c r="M113" s="1753" t="n">
        <v>3.9773488</v>
      </c>
      <c r="N113" s="1754" t="n">
        <v>6126.01762376832</v>
      </c>
      <c r="O113" s="1755" t="n"/>
      <c r="P113" s="1721" t="inlineStr">
        <is>
          <t>Pendente</t>
        </is>
      </c>
    </row>
    <row r="114" hidden="1" outlineLevel="2" ht="13.5" customHeight="1">
      <c r="A114" s="2117" t="n">
        <v>0</v>
      </c>
      <c r="B114" s="2117" t="n">
        <v>4</v>
      </c>
      <c r="C114" s="2117" t="n">
        <v>2</v>
      </c>
      <c r="D114" s="2118" t="n">
        <v>7</v>
      </c>
      <c r="E114" s="2118" t="n">
        <v>0</v>
      </c>
      <c r="G114" s="1740" t="n"/>
      <c r="H114" s="1741" t="inlineStr">
        <is>
          <t>SUBETAPA</t>
        </is>
      </c>
      <c r="I114" s="1742" t="inlineStr">
        <is>
          <t>04.002.007</t>
        </is>
      </c>
      <c r="J114" s="1743" t="inlineStr">
        <is>
          <t>Forma - Lazer | Garagem</t>
        </is>
      </c>
      <c r="K114" s="1744" t="n"/>
      <c r="L114" s="1745" t="n"/>
      <c r="M114" s="1745" t="n"/>
      <c r="N114" s="1746" t="n">
        <v>7083.76321480832</v>
      </c>
      <c r="O114" s="1747" t="n">
        <v>0.422919568851704</v>
      </c>
      <c r="P114" s="1720" t="n"/>
    </row>
    <row r="115" hidden="1" outlineLevel="3" ht="13.5" customHeight="1">
      <c r="A115" s="2117" t="n">
        <v>0</v>
      </c>
      <c r="B115" s="2117" t="n">
        <v>4</v>
      </c>
      <c r="C115" s="2117" t="n">
        <v>2</v>
      </c>
      <c r="D115" s="2118" t="n">
        <v>7</v>
      </c>
      <c r="E115" s="2118" t="n">
        <v>1</v>
      </c>
      <c r="G115" s="1748" t="inlineStr">
        <is>
          <t>SUPRAESTRUTURA</t>
        </is>
      </c>
      <c r="H115" s="1749" t="inlineStr">
        <is>
          <t>SERVIÇO</t>
        </is>
      </c>
      <c r="I115" s="1750" t="inlineStr">
        <is>
          <t>04.002.007.001</t>
        </is>
      </c>
      <c r="J115" s="1751" t="inlineStr">
        <is>
          <t>Montagem e Desmontagem de Fôrma de Supraestrutura</t>
        </is>
      </c>
      <c r="K115" s="1752" t="inlineStr">
        <is>
          <t>m2</t>
        </is>
      </c>
      <c r="L115" s="1753" t="n">
        <v>1781.0264</v>
      </c>
      <c r="M115" s="1753" t="n">
        <v>3.9773488</v>
      </c>
      <c r="N115" s="1754" t="n">
        <v>7083.76321480832</v>
      </c>
      <c r="O115" s="1755" t="n"/>
      <c r="P115" s="1721" t="inlineStr">
        <is>
          <t>Pendente</t>
        </is>
      </c>
    </row>
    <row r="116" hidden="1" outlineLevel="2" ht="13.5" customHeight="1">
      <c r="A116" s="2117" t="n">
        <v>0</v>
      </c>
      <c r="B116" s="2117" t="n">
        <v>4</v>
      </c>
      <c r="C116" s="2117" t="n">
        <v>2</v>
      </c>
      <c r="D116" s="2118" t="n">
        <v>8</v>
      </c>
      <c r="E116" s="2118" t="n">
        <v>0</v>
      </c>
      <c r="G116" s="1740" t="n"/>
      <c r="H116" s="1741" t="inlineStr">
        <is>
          <t>SUBETAPA</t>
        </is>
      </c>
      <c r="I116" s="1742" t="inlineStr">
        <is>
          <t>04.002.008</t>
        </is>
      </c>
      <c r="J116" s="1743" t="inlineStr">
        <is>
          <t>Forma - Patamar Intermediário</t>
        </is>
      </c>
      <c r="K116" s="1744" t="n"/>
      <c r="L116" s="1745" t="n"/>
      <c r="M116" s="1745" t="n"/>
      <c r="N116" s="1746" t="n">
        <v>2257.64818088832</v>
      </c>
      <c r="O116" s="1747" t="n">
        <v>0.134787621540503</v>
      </c>
      <c r="P116" s="1720" t="n"/>
    </row>
    <row r="117" hidden="1" outlineLevel="3" ht="13.5" customHeight="1">
      <c r="A117" s="2117" t="n">
        <v>0</v>
      </c>
      <c r="B117" s="2117" t="n">
        <v>4</v>
      </c>
      <c r="C117" s="2117" t="n">
        <v>2</v>
      </c>
      <c r="D117" s="2118" t="n">
        <v>8</v>
      </c>
      <c r="E117" s="2118" t="n">
        <v>1</v>
      </c>
      <c r="G117" s="1748" t="inlineStr">
        <is>
          <t>SUPRAESTRUTURA</t>
        </is>
      </c>
      <c r="H117" s="1749" t="inlineStr">
        <is>
          <t>SERVIÇO</t>
        </is>
      </c>
      <c r="I117" s="1750" t="inlineStr">
        <is>
          <t>04.002.008.001</t>
        </is>
      </c>
      <c r="J117" s="1751" t="inlineStr">
        <is>
          <t>Montagem e Desmontagem de Fôrma de Supraestrutura</t>
        </is>
      </c>
      <c r="K117" s="1752" t="inlineStr">
        <is>
          <t>m2</t>
        </is>
      </c>
      <c r="L117" s="1753" t="n">
        <v>567.6264</v>
      </c>
      <c r="M117" s="1753" t="n">
        <v>3.9773488</v>
      </c>
      <c r="N117" s="1754" t="n">
        <v>2257.64818088832</v>
      </c>
      <c r="O117" s="1755" t="n"/>
      <c r="P117" s="1721" t="inlineStr">
        <is>
          <t>Pendente</t>
        </is>
      </c>
    </row>
    <row r="118" hidden="1" outlineLevel="2" ht="13.5" customHeight="1">
      <c r="A118" s="2117" t="n">
        <v>0</v>
      </c>
      <c r="B118" s="2117" t="n">
        <v>4</v>
      </c>
      <c r="C118" s="2117" t="n">
        <v>2</v>
      </c>
      <c r="D118" s="2118" t="n">
        <v>9</v>
      </c>
      <c r="E118" s="2118" t="n">
        <v>0</v>
      </c>
      <c r="G118" s="1740" t="n"/>
      <c r="H118" s="1741" t="inlineStr">
        <is>
          <t>SUBETAPA</t>
        </is>
      </c>
      <c r="I118" s="1742" t="inlineStr">
        <is>
          <t>04.002.009</t>
        </is>
      </c>
      <c r="J118" s="1743" t="inlineStr">
        <is>
          <t>Forma - Lazer</t>
        </is>
      </c>
      <c r="K118" s="1744" t="n"/>
      <c r="L118" s="1745" t="n"/>
      <c r="M118" s="1745" t="n"/>
      <c r="N118" s="1746" t="n">
        <v>5314.63846856832</v>
      </c>
      <c r="O118" s="1747" t="n">
        <v>0.317298100115902</v>
      </c>
      <c r="P118" s="1720" t="n"/>
    </row>
    <row r="119" hidden="1" outlineLevel="3" ht="13.5" customHeight="1">
      <c r="A119" s="2117" t="n">
        <v>0</v>
      </c>
      <c r="B119" s="2117" t="n">
        <v>4</v>
      </c>
      <c r="C119" s="2117" t="n">
        <v>2</v>
      </c>
      <c r="D119" s="2118" t="n">
        <v>9</v>
      </c>
      <c r="E119" s="2118" t="n">
        <v>1</v>
      </c>
      <c r="G119" s="1748" t="inlineStr">
        <is>
          <t>SUPRAESTRUTURA</t>
        </is>
      </c>
      <c r="H119" s="1749" t="inlineStr">
        <is>
          <t>SERVIÇO</t>
        </is>
      </c>
      <c r="I119" s="1750" t="inlineStr">
        <is>
          <t>04.002.009.001</t>
        </is>
      </c>
      <c r="J119" s="1751" t="inlineStr">
        <is>
          <t>Montagem e Desmontagem de Fôrma de Supraestrutura</t>
        </is>
      </c>
      <c r="K119" s="1752" t="inlineStr">
        <is>
          <t>m2</t>
        </is>
      </c>
      <c r="L119" s="1753" t="n">
        <v>1336.2264</v>
      </c>
      <c r="M119" s="1753" t="n">
        <v>3.9773488</v>
      </c>
      <c r="N119" s="1754" t="n">
        <v>5314.63846856832</v>
      </c>
      <c r="O119" s="1755" t="n"/>
      <c r="P119" s="1721" t="inlineStr">
        <is>
          <t>Pendente</t>
        </is>
      </c>
    </row>
    <row r="120" hidden="1" outlineLevel="2" ht="13.5" customHeight="1">
      <c r="A120" s="2117" t="n">
        <v>0</v>
      </c>
      <c r="B120" s="2117" t="n">
        <v>4</v>
      </c>
      <c r="C120" s="2117" t="n">
        <v>2</v>
      </c>
      <c r="D120" s="2118" t="n">
        <v>10</v>
      </c>
      <c r="E120" s="2118" t="n">
        <v>0</v>
      </c>
      <c r="G120" s="1740" t="n"/>
      <c r="H120" s="1741" t="inlineStr">
        <is>
          <t>SUBETAPA</t>
        </is>
      </c>
      <c r="I120" s="1742" t="inlineStr">
        <is>
          <t>04.002.010</t>
        </is>
      </c>
      <c r="J120" s="1743" t="inlineStr">
        <is>
          <t>Forma - Tipo diferenciado</t>
        </is>
      </c>
      <c r="K120" s="1744" t="n"/>
      <c r="L120" s="1745" t="n"/>
      <c r="M120" s="1745" t="n"/>
      <c r="N120" s="1746" t="n">
        <v>3960.51029612032</v>
      </c>
      <c r="O120" s="1747" t="n">
        <v>0.236453034365472</v>
      </c>
      <c r="P120" s="1720" t="n"/>
    </row>
    <row r="121" hidden="1" outlineLevel="3" ht="13.5" customHeight="1">
      <c r="A121" s="2117" t="n">
        <v>0</v>
      </c>
      <c r="B121" s="2117" t="n">
        <v>4</v>
      </c>
      <c r="C121" s="2117" t="n">
        <v>2</v>
      </c>
      <c r="D121" s="2118" t="n">
        <v>10</v>
      </c>
      <c r="E121" s="2118" t="n">
        <v>1</v>
      </c>
      <c r="G121" s="1748" t="inlineStr">
        <is>
          <t>SUPRAESTRUTURA</t>
        </is>
      </c>
      <c r="H121" s="1749" t="inlineStr">
        <is>
          <t>SERVIÇO</t>
        </is>
      </c>
      <c r="I121" s="1750" t="inlineStr">
        <is>
          <t>04.002.010.001</t>
        </is>
      </c>
      <c r="J121" s="1751" t="inlineStr">
        <is>
          <t>Montagem e Desmontagem de Fôrma de Supraestrutura</t>
        </is>
      </c>
      <c r="K121" s="1752" t="inlineStr">
        <is>
          <t>m2</t>
        </is>
      </c>
      <c r="L121" s="1753" t="n">
        <v>995.7664</v>
      </c>
      <c r="M121" s="1753" t="n">
        <v>3.9773488</v>
      </c>
      <c r="N121" s="1754" t="n">
        <v>3960.51029612032</v>
      </c>
      <c r="O121" s="1755" t="n"/>
      <c r="P121" s="1721" t="inlineStr">
        <is>
          <t>Pendente</t>
        </is>
      </c>
    </row>
    <row r="122" hidden="1" outlineLevel="2" ht="13.5" customHeight="1">
      <c r="A122" s="2117" t="n">
        <v>0</v>
      </c>
      <c r="B122" s="2117" t="n">
        <v>4</v>
      </c>
      <c r="C122" s="2117" t="n">
        <v>2</v>
      </c>
      <c r="D122" s="2118" t="n">
        <v>11</v>
      </c>
      <c r="E122" s="2118" t="n">
        <v>0</v>
      </c>
      <c r="G122" s="1740" t="n"/>
      <c r="H122" s="1741" t="inlineStr">
        <is>
          <t>SUBETAPA</t>
        </is>
      </c>
      <c r="I122" s="1742" t="inlineStr">
        <is>
          <t>04.002.011</t>
        </is>
      </c>
      <c r="J122" s="1743" t="inlineStr">
        <is>
          <t>Forma - Tipo x8</t>
        </is>
      </c>
      <c r="K122" s="1744" t="n"/>
      <c r="L122" s="1745" t="n"/>
      <c r="M122" s="1745" t="n"/>
      <c r="N122" s="1746" t="n">
        <v>220303.086282773</v>
      </c>
      <c r="O122" s="1747" t="n">
        <v>13.1526821891281</v>
      </c>
      <c r="P122" s="1720" t="n"/>
    </row>
    <row r="123" hidden="1" outlineLevel="3" ht="13.5" customHeight="1">
      <c r="A123" s="2117" t="n">
        <v>0</v>
      </c>
      <c r="B123" s="2117" t="n">
        <v>4</v>
      </c>
      <c r="C123" s="2117" t="n">
        <v>2</v>
      </c>
      <c r="D123" s="2118" t="n">
        <v>11</v>
      </c>
      <c r="E123" s="2118" t="n">
        <v>1</v>
      </c>
      <c r="G123" s="1748" t="inlineStr">
        <is>
          <t>SUPRAESTRUTURA</t>
        </is>
      </c>
      <c r="H123" s="1749" t="inlineStr">
        <is>
          <t>SERVIÇO</t>
        </is>
      </c>
      <c r="I123" s="1750" t="inlineStr">
        <is>
          <t>04.002.011.001</t>
        </is>
      </c>
      <c r="J123" s="1751" t="inlineStr">
        <is>
          <t>Fabricação de Fôrma para Supraestrutura, em Chapa de Madeira Compensada Resinada, E=20mm</t>
        </is>
      </c>
      <c r="K123" s="1752" t="inlineStr">
        <is>
          <t>m2</t>
        </is>
      </c>
      <c r="L123" s="1753" t="n">
        <v>1777.4316</v>
      </c>
      <c r="M123" s="1753" t="n">
        <v>108.0352259504132</v>
      </c>
      <c r="N123" s="1754" t="n">
        <v>192025.224517404</v>
      </c>
      <c r="O123" s="1755" t="inlineStr">
        <is>
          <t>4x reaproveitamento - 2 jogos</t>
        </is>
      </c>
      <c r="P123" s="1721" t="inlineStr">
        <is>
          <t>Pendente</t>
        </is>
      </c>
    </row>
    <row r="124" hidden="1" outlineLevel="3" ht="13.5" customHeight="1">
      <c r="A124" s="2117" t="n">
        <v>0</v>
      </c>
      <c r="B124" s="2117" t="n">
        <v>4</v>
      </c>
      <c r="C124" s="2117" t="n">
        <v>2</v>
      </c>
      <c r="D124" s="2118" t="n">
        <v>11</v>
      </c>
      <c r="E124" s="2118" t="n">
        <v>2</v>
      </c>
      <c r="G124" s="1748" t="inlineStr">
        <is>
          <t>SUPRAESTRUTURA</t>
        </is>
      </c>
      <c r="H124" s="1749" t="inlineStr">
        <is>
          <t>SERVIÇO</t>
        </is>
      </c>
      <c r="I124" s="1750" t="inlineStr">
        <is>
          <t>04.002.011.002</t>
        </is>
      </c>
      <c r="J124" s="1751" t="inlineStr">
        <is>
          <t>Montagem e Desmontagem de Fôrma de Supraestrutura</t>
        </is>
      </c>
      <c r="K124" s="1752" t="inlineStr">
        <is>
          <t>m2</t>
        </is>
      </c>
      <c r="L124" s="1753" t="n">
        <v>7109.7264</v>
      </c>
      <c r="M124" s="1753" t="n">
        <v>3.9773488</v>
      </c>
      <c r="N124" s="1754" t="n">
        <v>28277.8617653683</v>
      </c>
      <c r="O124" s="1755" t="n"/>
      <c r="P124" s="1721" t="inlineStr">
        <is>
          <t>Pendente</t>
        </is>
      </c>
    </row>
    <row r="125" hidden="1" outlineLevel="2" ht="13.5" customHeight="1">
      <c r="A125" s="2117" t="n">
        <v>0</v>
      </c>
      <c r="B125" s="2117" t="n">
        <v>4</v>
      </c>
      <c r="C125" s="2117" t="n">
        <v>2</v>
      </c>
      <c r="D125" s="2118" t="n">
        <v>12</v>
      </c>
      <c r="E125" s="2118" t="n">
        <v>0</v>
      </c>
      <c r="G125" s="1740" t="n"/>
      <c r="H125" s="1741" t="inlineStr">
        <is>
          <t>SUBETAPA</t>
        </is>
      </c>
      <c r="I125" s="1742" t="inlineStr">
        <is>
          <t>04.002.012</t>
        </is>
      </c>
      <c r="J125" s="1743" t="inlineStr">
        <is>
          <t>Forma - Penthouse x22</t>
        </is>
      </c>
      <c r="K125" s="1744" t="n"/>
      <c r="L125" s="1745" t="n"/>
      <c r="M125" s="1745" t="n"/>
      <c r="N125" s="1746" t="n">
        <v>367376.964117422</v>
      </c>
      <c r="O125" s="1747" t="n">
        <v>21.933385202062</v>
      </c>
      <c r="P125" s="1720" t="n"/>
    </row>
    <row r="126" hidden="1" outlineLevel="3" ht="13.5" customHeight="1">
      <c r="A126" s="2117" t="n">
        <v>0</v>
      </c>
      <c r="B126" s="2117" t="n">
        <v>4</v>
      </c>
      <c r="C126" s="2117" t="n">
        <v>2</v>
      </c>
      <c r="D126" s="2118" t="n">
        <v>12</v>
      </c>
      <c r="E126" s="2118" t="n">
        <v>1</v>
      </c>
      <c r="G126" s="1748" t="inlineStr">
        <is>
          <t>SUPRAESTRUTURA</t>
        </is>
      </c>
      <c r="H126" s="1749" t="inlineStr">
        <is>
          <t>SERVIÇO</t>
        </is>
      </c>
      <c r="I126" s="1750" t="inlineStr">
        <is>
          <t>04.002.012.001</t>
        </is>
      </c>
      <c r="J126" s="1751" t="inlineStr">
        <is>
          <t>Fabricação de Fôrma para Supraestrutura, em Chapa de Madeira Compensada Resinada, E=20mm</t>
        </is>
      </c>
      <c r="K126" s="1752" t="inlineStr">
        <is>
          <t>m2</t>
        </is>
      </c>
      <c r="L126" s="1753" t="n">
        <v>2677.626818181818</v>
      </c>
      <c r="M126" s="1753" t="n">
        <v>108.0352259504132</v>
      </c>
      <c r="N126" s="1754" t="n">
        <v>289278.018313159</v>
      </c>
      <c r="O126" s="1755" t="inlineStr">
        <is>
          <t>8x reaproveitamento - 3 jogos</t>
        </is>
      </c>
      <c r="P126" s="1721" t="inlineStr">
        <is>
          <t>Pendente</t>
        </is>
      </c>
    </row>
    <row r="127" hidden="1" outlineLevel="3" ht="13.5" customHeight="1">
      <c r="A127" s="2117" t="n">
        <v>0</v>
      </c>
      <c r="B127" s="2117" t="n">
        <v>4</v>
      </c>
      <c r="C127" s="2117" t="n">
        <v>2</v>
      </c>
      <c r="D127" s="2118" t="n">
        <v>12</v>
      </c>
      <c r="E127" s="2118" t="n">
        <v>2</v>
      </c>
      <c r="G127" s="1748" t="inlineStr">
        <is>
          <t>SUPRAESTRUTURA</t>
        </is>
      </c>
      <c r="H127" s="1749" t="inlineStr">
        <is>
          <t>SERVIÇO</t>
        </is>
      </c>
      <c r="I127" s="1750" t="inlineStr">
        <is>
          <t>04.002.012.002</t>
        </is>
      </c>
      <c r="J127" s="1751" t="inlineStr">
        <is>
          <t>Montagem e Desmontagem de Fôrma de Supraestrutura</t>
        </is>
      </c>
      <c r="K127" s="1752" t="inlineStr">
        <is>
          <t>m2</t>
        </is>
      </c>
      <c r="L127" s="1753" t="n">
        <v>19635.93080000001</v>
      </c>
      <c r="M127" s="1753" t="n">
        <v>3.9773488</v>
      </c>
      <c r="N127" s="1754" t="n">
        <v>78098.9458042631</v>
      </c>
      <c r="O127" s="1755" t="n"/>
      <c r="P127" s="1721" t="inlineStr">
        <is>
          <t>Pendente</t>
        </is>
      </c>
    </row>
    <row r="128" hidden="1" outlineLevel="2" ht="13.5" customHeight="1">
      <c r="A128" s="2117" t="n">
        <v>0</v>
      </c>
      <c r="B128" s="2117" t="n">
        <v>4</v>
      </c>
      <c r="C128" s="2117" t="n">
        <v>2</v>
      </c>
      <c r="D128" s="2118" t="n">
        <v>13</v>
      </c>
      <c r="E128" s="2118" t="n">
        <v>0</v>
      </c>
      <c r="G128" s="1740" t="n"/>
      <c r="H128" s="1741" t="inlineStr">
        <is>
          <t>SUBETAPA</t>
        </is>
      </c>
      <c r="I128" s="1742" t="inlineStr">
        <is>
          <t>04.002.013</t>
        </is>
      </c>
      <c r="J128" s="1743" t="inlineStr">
        <is>
          <t>Forma - Duplex inferior</t>
        </is>
      </c>
      <c r="K128" s="1744" t="n"/>
      <c r="L128" s="1745" t="n"/>
      <c r="M128" s="1745" t="n"/>
      <c r="N128" s="1746" t="n">
        <v>102875.305782753</v>
      </c>
      <c r="O128" s="1747" t="n">
        <v>6.14193030565694</v>
      </c>
      <c r="P128" s="1720" t="n"/>
    </row>
    <row r="129" hidden="1" outlineLevel="3" ht="13.5" customHeight="1">
      <c r="A129" s="2117" t="n">
        <v>0</v>
      </c>
      <c r="B129" s="2117" t="n">
        <v>4</v>
      </c>
      <c r="C129" s="2117" t="n">
        <v>2</v>
      </c>
      <c r="D129" s="2118" t="n">
        <v>13</v>
      </c>
      <c r="E129" s="2118" t="n">
        <v>1</v>
      </c>
      <c r="G129" s="1748" t="inlineStr">
        <is>
          <t>SUPRAESTRUTURA</t>
        </is>
      </c>
      <c r="H129" s="1749" t="inlineStr">
        <is>
          <t>SERVIÇO</t>
        </is>
      </c>
      <c r="I129" s="1750" t="inlineStr">
        <is>
          <t>04.002.013.001</t>
        </is>
      </c>
      <c r="J129" s="1751" t="inlineStr">
        <is>
          <t>Fabricação de Fôrma para Supraestrutura, em Chapa de Madeira Compensada Resinada, E=20mm</t>
        </is>
      </c>
      <c r="K129" s="1752" t="inlineStr">
        <is>
          <t>m2</t>
        </is>
      </c>
      <c r="L129" s="1753" t="n">
        <v>918.4263999999999</v>
      </c>
      <c r="M129" s="1753" t="n">
        <v>108.0352259504132</v>
      </c>
      <c r="N129" s="1754" t="n">
        <v>99222.4036428246</v>
      </c>
      <c r="O129" s="1755" t="inlineStr">
        <is>
          <t>2x reaproveitamento - 1 jogos</t>
        </is>
      </c>
      <c r="P129" s="1721" t="inlineStr">
        <is>
          <t>Pendente</t>
        </is>
      </c>
    </row>
    <row r="130" hidden="1" outlineLevel="3" ht="13.5" customHeight="1">
      <c r="A130" s="2117" t="n">
        <v>0</v>
      </c>
      <c r="B130" s="2117" t="n">
        <v>4</v>
      </c>
      <c r="C130" s="2117" t="n">
        <v>2</v>
      </c>
      <c r="D130" s="2118" t="n">
        <v>13</v>
      </c>
      <c r="E130" s="2118" t="n">
        <v>2</v>
      </c>
      <c r="G130" s="1748" t="inlineStr">
        <is>
          <t>SUPRAESTRUTURA</t>
        </is>
      </c>
      <c r="H130" s="1749" t="inlineStr">
        <is>
          <t>SERVIÇO</t>
        </is>
      </c>
      <c r="I130" s="1750" t="inlineStr">
        <is>
          <t>04.002.013.002</t>
        </is>
      </c>
      <c r="J130" s="1751" t="inlineStr">
        <is>
          <t>Montagem e Desmontagem de Fôrma de Supraestrutura</t>
        </is>
      </c>
      <c r="K130" s="1752" t="inlineStr">
        <is>
          <t>m2</t>
        </is>
      </c>
      <c r="L130" s="1753" t="n">
        <v>918.4263999999999</v>
      </c>
      <c r="M130" s="1753" t="n">
        <v>3.9773488</v>
      </c>
      <c r="N130" s="1754" t="n">
        <v>3652.90213992832</v>
      </c>
      <c r="O130" s="1755" t="n"/>
      <c r="P130" s="1721" t="inlineStr">
        <is>
          <t>Pendente</t>
        </is>
      </c>
    </row>
    <row r="131" hidden="1" outlineLevel="2" ht="13.5" customHeight="1">
      <c r="A131" s="2117" t="n">
        <v>0</v>
      </c>
      <c r="B131" s="2117" t="n">
        <v>4</v>
      </c>
      <c r="C131" s="2117" t="n">
        <v>2</v>
      </c>
      <c r="D131" s="2118" t="n">
        <v>14</v>
      </c>
      <c r="E131" s="2118" t="n">
        <v>0</v>
      </c>
      <c r="G131" s="1740" t="n"/>
      <c r="H131" s="1741" t="inlineStr">
        <is>
          <t>SUBETAPA</t>
        </is>
      </c>
      <c r="I131" s="1742" t="inlineStr">
        <is>
          <t>04.002.014</t>
        </is>
      </c>
      <c r="J131" s="1743" t="inlineStr">
        <is>
          <t>Forma - Duplex superior</t>
        </is>
      </c>
      <c r="K131" s="1744" t="n"/>
      <c r="L131" s="1745" t="n"/>
      <c r="M131" s="1745" t="n"/>
      <c r="N131" s="1746" t="n">
        <v>3290.60543773632</v>
      </c>
      <c r="O131" s="1747" t="n">
        <v>0.196457926498631</v>
      </c>
      <c r="P131" s="1720" t="n"/>
    </row>
    <row r="132" hidden="1" outlineLevel="3" ht="13.5" customHeight="1">
      <c r="A132" s="2117" t="n">
        <v>0</v>
      </c>
      <c r="B132" s="2117" t="n">
        <v>4</v>
      </c>
      <c r="C132" s="2117" t="n">
        <v>2</v>
      </c>
      <c r="D132" s="2118" t="n">
        <v>14</v>
      </c>
      <c r="E132" s="2118" t="n">
        <v>1</v>
      </c>
      <c r="G132" s="1748" t="inlineStr">
        <is>
          <t>SUPRAESTRUTURA</t>
        </is>
      </c>
      <c r="H132" s="1749" t="inlineStr">
        <is>
          <t>SERVIÇO</t>
        </is>
      </c>
      <c r="I132" s="1750" t="inlineStr">
        <is>
          <t>04.002.014.001</t>
        </is>
      </c>
      <c r="J132" s="1751" t="inlineStr">
        <is>
          <t>Montagem e Desmontagem de Fôrma de Supraestrutura</t>
        </is>
      </c>
      <c r="K132" s="1752" t="inlineStr">
        <is>
          <t>m2</t>
        </is>
      </c>
      <c r="L132" s="1753" t="n">
        <v>827.3364</v>
      </c>
      <c r="M132" s="1753" t="n">
        <v>3.9773488</v>
      </c>
      <c r="N132" s="1754" t="n">
        <v>3290.60543773632</v>
      </c>
      <c r="O132" s="1755" t="n"/>
      <c r="P132" s="1721" t="inlineStr">
        <is>
          <t>Pendente</t>
        </is>
      </c>
    </row>
    <row r="133" hidden="1" outlineLevel="2" ht="13.5" customHeight="1">
      <c r="A133" s="2117" t="n">
        <v>0</v>
      </c>
      <c r="B133" s="2117" t="n">
        <v>4</v>
      </c>
      <c r="C133" s="2117" t="n">
        <v>2</v>
      </c>
      <c r="D133" s="2118" t="n">
        <v>15</v>
      </c>
      <c r="E133" s="2118" t="n">
        <v>0</v>
      </c>
      <c r="G133" s="1740" t="n"/>
      <c r="H133" s="1741" t="inlineStr">
        <is>
          <t>SUBETAPA</t>
        </is>
      </c>
      <c r="I133" s="1742" t="inlineStr">
        <is>
          <t>04.002.015</t>
        </is>
      </c>
      <c r="J133" s="1743" t="inlineStr">
        <is>
          <t>Forma - Cobertura | Barrilete</t>
        </is>
      </c>
      <c r="K133" s="1744" t="n"/>
      <c r="L133" s="1745" t="n"/>
      <c r="M133" s="1745" t="n"/>
      <c r="N133" s="1746" t="n">
        <v>105163.722684904</v>
      </c>
      <c r="O133" s="1747" t="n">
        <v>6.27855490197143</v>
      </c>
      <c r="P133" s="1720" t="n"/>
    </row>
    <row r="134" hidden="1" outlineLevel="3" ht="13.5" customHeight="1">
      <c r="A134" s="2117" t="n">
        <v>0</v>
      </c>
      <c r="B134" s="2117" t="n">
        <v>4</v>
      </c>
      <c r="C134" s="2117" t="n">
        <v>2</v>
      </c>
      <c r="D134" s="2118" t="n">
        <v>15</v>
      </c>
      <c r="E134" s="2118" t="n">
        <v>1</v>
      </c>
      <c r="G134" s="1748" t="inlineStr">
        <is>
          <t>SUPRAESTRUTURA</t>
        </is>
      </c>
      <c r="H134" s="1749" t="inlineStr">
        <is>
          <t>SERVIÇO</t>
        </is>
      </c>
      <c r="I134" s="1750" t="inlineStr">
        <is>
          <t>04.002.015.001</t>
        </is>
      </c>
      <c r="J134" s="1751" t="inlineStr">
        <is>
          <t>Fabricação de Fôrma para Supraestrutura, em Chapa de Madeira Compensada Resinada, E=20mm</t>
        </is>
      </c>
      <c r="K134" s="1752" t="inlineStr">
        <is>
          <t>m2</t>
        </is>
      </c>
      <c r="L134" s="1753" t="n">
        <v>938.8563999999999</v>
      </c>
      <c r="M134" s="1753" t="n">
        <v>108.0352259504132</v>
      </c>
      <c r="N134" s="1754" t="n">
        <v>101429.563308992</v>
      </c>
      <c r="O134" s="1755" t="inlineStr">
        <is>
          <t>1 jogos</t>
        </is>
      </c>
      <c r="P134" s="1721" t="inlineStr">
        <is>
          <t>Pendente</t>
        </is>
      </c>
    </row>
    <row r="135" hidden="1" outlineLevel="3" ht="13.5" customHeight="1">
      <c r="A135" s="2117" t="n">
        <v>0</v>
      </c>
      <c r="B135" s="2117" t="n">
        <v>4</v>
      </c>
      <c r="C135" s="2117" t="n">
        <v>2</v>
      </c>
      <c r="D135" s="2118" t="n">
        <v>15</v>
      </c>
      <c r="E135" s="2118" t="n">
        <v>2</v>
      </c>
      <c r="G135" s="1748" t="inlineStr">
        <is>
          <t>SUPRAESTRUTURA</t>
        </is>
      </c>
      <c r="H135" s="1749" t="inlineStr">
        <is>
          <t>SERVIÇO</t>
        </is>
      </c>
      <c r="I135" s="1750" t="inlineStr">
        <is>
          <t>04.002.015.002</t>
        </is>
      </c>
      <c r="J135" s="1751" t="inlineStr">
        <is>
          <t>Montagem e Desmontagem de Fôrma de Supraestrutura</t>
        </is>
      </c>
      <c r="K135" s="1752" t="inlineStr">
        <is>
          <t>m2</t>
        </is>
      </c>
      <c r="L135" s="1753" t="n">
        <v>938.8563999999999</v>
      </c>
      <c r="M135" s="1753" t="n">
        <v>3.9773488</v>
      </c>
      <c r="N135" s="1754" t="n">
        <v>3734.15937591232</v>
      </c>
      <c r="O135" s="1755" t="n"/>
      <c r="P135" s="1721" t="inlineStr">
        <is>
          <t>Pendente</t>
        </is>
      </c>
    </row>
    <row r="136" hidden="1" outlineLevel="2" ht="13.5" customHeight="1">
      <c r="A136" s="2117" t="n">
        <v>0</v>
      </c>
      <c r="B136" s="2117" t="n">
        <v>4</v>
      </c>
      <c r="C136" s="2117" t="n">
        <v>2</v>
      </c>
      <c r="D136" s="2118" t="n">
        <v>16</v>
      </c>
      <c r="E136" s="2118" t="n">
        <v>0</v>
      </c>
      <c r="G136" s="1740" t="n"/>
      <c r="H136" s="1741" t="inlineStr">
        <is>
          <t>SUBETAPA</t>
        </is>
      </c>
      <c r="I136" s="1742" t="inlineStr">
        <is>
          <t>04.002.016</t>
        </is>
      </c>
      <c r="J136" s="1743" t="inlineStr">
        <is>
          <t>Forma - Reservatório</t>
        </is>
      </c>
      <c r="K136" s="1744" t="n"/>
      <c r="L136" s="1745" t="n"/>
      <c r="M136" s="1745" t="n"/>
      <c r="N136" s="1746" t="n">
        <v>59217.687893301</v>
      </c>
      <c r="O136" s="1747" t="n">
        <v>3.53545400555957</v>
      </c>
      <c r="P136" s="1720" t="n"/>
    </row>
    <row r="137" hidden="1" outlineLevel="3" ht="13.5" customHeight="1">
      <c r="A137" s="2117" t="n">
        <v>0</v>
      </c>
      <c r="B137" s="2117" t="n">
        <v>4</v>
      </c>
      <c r="C137" s="2117" t="n">
        <v>2</v>
      </c>
      <c r="D137" s="2118" t="n">
        <v>16</v>
      </c>
      <c r="E137" s="2118" t="n">
        <v>1</v>
      </c>
      <c r="G137" s="1748" t="inlineStr">
        <is>
          <t>SUPRAESTRUTURA</t>
        </is>
      </c>
      <c r="H137" s="1749" t="inlineStr">
        <is>
          <t>SERVIÇO</t>
        </is>
      </c>
      <c r="I137" s="1750" t="inlineStr">
        <is>
          <t>04.002.016.001</t>
        </is>
      </c>
      <c r="J137" s="1751" t="inlineStr">
        <is>
          <t>Fabricação de Fôrma para Supraestrutura, em Chapa de Madeira Compensada Resinada, E=20mm</t>
        </is>
      </c>
      <c r="K137" s="1752" t="inlineStr">
        <is>
          <t>m2</t>
        </is>
      </c>
      <c r="L137" s="1753" t="n">
        <v>528.6700000000001</v>
      </c>
      <c r="M137" s="1753" t="n">
        <v>108.0352259504132</v>
      </c>
      <c r="N137" s="1754" t="n">
        <v>57114.982903205</v>
      </c>
      <c r="O137" s="1755" t="inlineStr">
        <is>
          <t>1 jogos</t>
        </is>
      </c>
      <c r="P137" s="1721" t="inlineStr">
        <is>
          <t>Pendente</t>
        </is>
      </c>
    </row>
    <row r="138" hidden="1" outlineLevel="3" ht="13.5" customHeight="1">
      <c r="A138" s="2117" t="n">
        <v>0</v>
      </c>
      <c r="B138" s="2117" t="n">
        <v>4</v>
      </c>
      <c r="C138" s="2117" t="n">
        <v>2</v>
      </c>
      <c r="D138" s="2118" t="n">
        <v>16</v>
      </c>
      <c r="E138" s="2118" t="n">
        <v>2</v>
      </c>
      <c r="G138" s="1748" t="inlineStr">
        <is>
          <t>SUPRAESTRUTURA</t>
        </is>
      </c>
      <c r="H138" s="1749" t="inlineStr">
        <is>
          <t>SERVIÇO</t>
        </is>
      </c>
      <c r="I138" s="1750" t="inlineStr">
        <is>
          <t>04.002.016.002</t>
        </is>
      </c>
      <c r="J138" s="1751" t="inlineStr">
        <is>
          <t>Montagem e Desmontagem de Fôrma de Supraestrutura</t>
        </is>
      </c>
      <c r="K138" s="1752" t="inlineStr">
        <is>
          <t>m2</t>
        </is>
      </c>
      <c r="L138" s="1753" t="n">
        <v>528.6700000000001</v>
      </c>
      <c r="M138" s="1753" t="n">
        <v>3.9773488</v>
      </c>
      <c r="N138" s="1754" t="n">
        <v>2102.704990096</v>
      </c>
      <c r="O138" s="1755" t="n"/>
      <c r="P138" s="1721" t="inlineStr">
        <is>
          <t>Pendente</t>
        </is>
      </c>
    </row>
    <row r="139" hidden="1" outlineLevel="1" ht="13.5" customHeight="1">
      <c r="A139" s="2117" t="n">
        <v>0</v>
      </c>
      <c r="B139" s="2117" t="n">
        <v>4</v>
      </c>
      <c r="C139" s="2117" t="n">
        <v>3</v>
      </c>
      <c r="D139" s="2118" t="n">
        <v>0</v>
      </c>
      <c r="E139" s="2118" t="n">
        <v>2</v>
      </c>
      <c r="G139" s="1733" t="n"/>
      <c r="H139" s="1734" t="inlineStr">
        <is>
          <t>ETAPA</t>
        </is>
      </c>
      <c r="I139" s="1735" t="inlineStr">
        <is>
          <t>04.003</t>
        </is>
      </c>
      <c r="J139" s="1736" t="inlineStr">
        <is>
          <t>ARMADURA</t>
        </is>
      </c>
      <c r="K139" s="1737" t="n"/>
      <c r="L139" s="1738" t="n"/>
      <c r="M139" s="1738" t="n"/>
      <c r="N139" s="1739" t="n">
        <v>7497705.1095954</v>
      </c>
      <c r="O139" s="1722" t="n">
        <v>447.633004685788</v>
      </c>
      <c r="P139" s="1719" t="n"/>
    </row>
    <row r="140" hidden="1" outlineLevel="2" ht="13.5" customHeight="1">
      <c r="A140" s="2117" t="n">
        <v>0</v>
      </c>
      <c r="B140" s="2117" t="n">
        <v>4</v>
      </c>
      <c r="C140" s="2117" t="n">
        <v>3</v>
      </c>
      <c r="D140" s="2118" t="n">
        <v>1</v>
      </c>
      <c r="E140" s="2118" t="n">
        <v>0</v>
      </c>
      <c r="G140" s="1740" t="n"/>
      <c r="H140" s="1741" t="inlineStr">
        <is>
          <t>SUBETAPA</t>
        </is>
      </c>
      <c r="I140" s="1742" t="inlineStr">
        <is>
          <t>04.003.001</t>
        </is>
      </c>
      <c r="J140" s="1743" t="inlineStr">
        <is>
          <t>Armadura - Térreo</t>
        </is>
      </c>
      <c r="K140" s="1744" t="n"/>
      <c r="L140" s="1745" t="n"/>
      <c r="M140" s="1745" t="n"/>
      <c r="N140" s="1746" t="n">
        <v>197948.802458182</v>
      </c>
      <c r="O140" s="1747" t="n">
        <v>11.8180717863804</v>
      </c>
      <c r="P140" s="1720" t="n"/>
    </row>
    <row r="141" hidden="1" outlineLevel="3" ht="13.5" customHeight="1">
      <c r="A141" s="2117" t="n">
        <v>0</v>
      </c>
      <c r="B141" s="2117" t="n">
        <v>4</v>
      </c>
      <c r="C141" s="2117" t="n">
        <v>3</v>
      </c>
      <c r="D141" s="2118" t="n">
        <v>1</v>
      </c>
      <c r="E141" s="2118" t="n">
        <v>1</v>
      </c>
      <c r="G141" s="1748" t="inlineStr">
        <is>
          <t>SUPRAESTRUTURA</t>
        </is>
      </c>
      <c r="H141" s="1749" t="inlineStr">
        <is>
          <t>SERVIÇO</t>
        </is>
      </c>
      <c r="I141" s="1750" t="inlineStr">
        <is>
          <t>04.003.001.001</t>
        </is>
      </c>
      <c r="J141" s="1751" t="inlineStr">
        <is>
          <t>Armação Aço CA-50, Diâmetro de 6,3mm para Supraestrutura, Corte e dobra em Indústria</t>
        </is>
      </c>
      <c r="K141" s="1752" t="inlineStr">
        <is>
          <t>kg</t>
        </is>
      </c>
      <c r="L141" s="1753" t="n">
        <v>5080.181818181818</v>
      </c>
      <c r="M141" s="1753" t="n">
        <v>8.964965000000001</v>
      </c>
      <c r="N141" s="1754" t="n">
        <v>45543.6521936364</v>
      </c>
      <c r="O141" s="1755" t="inlineStr">
        <is>
          <t>Quantidades resumo de projetos</t>
        </is>
      </c>
      <c r="P141" s="1721" t="inlineStr">
        <is>
          <t>Pendente</t>
        </is>
      </c>
    </row>
    <row r="142" hidden="1" outlineLevel="3" ht="13.5" customHeight="1">
      <c r="A142" s="2117" t="n">
        <v>0</v>
      </c>
      <c r="B142" s="2117" t="n">
        <v>4</v>
      </c>
      <c r="C142" s="2117" t="n">
        <v>3</v>
      </c>
      <c r="D142" s="2118" t="n">
        <v>1</v>
      </c>
      <c r="E142" s="2118" t="n">
        <v>2</v>
      </c>
      <c r="G142" s="1748" t="inlineStr">
        <is>
          <t>SUPRAESTRUTURA</t>
        </is>
      </c>
      <c r="H142" s="1749" t="inlineStr">
        <is>
          <t>SERVIÇO</t>
        </is>
      </c>
      <c r="I142" s="1750" t="inlineStr">
        <is>
          <t>04.003.001.002</t>
        </is>
      </c>
      <c r="J142" s="1751" t="inlineStr">
        <is>
          <t>Armação Aço CA-50, Diâmetro de 8,0mm para Supraestrutura, Corte e dobra em Indústria</t>
        </is>
      </c>
      <c r="K142" s="1752" t="inlineStr">
        <is>
          <t>kg</t>
        </is>
      </c>
      <c r="L142" s="1753" t="n">
        <v>2357.272727272727</v>
      </c>
      <c r="M142" s="1753" t="n">
        <v>8.964965000000001</v>
      </c>
      <c r="N142" s="1754" t="n">
        <v>21132.8674954545</v>
      </c>
      <c r="O142" s="1755" t="inlineStr">
        <is>
          <t>Quantidades resumo de projetos</t>
        </is>
      </c>
      <c r="P142" s="1721" t="inlineStr">
        <is>
          <t>Pendente</t>
        </is>
      </c>
    </row>
    <row r="143" hidden="1" outlineLevel="3" ht="13.5" customHeight="1">
      <c r="A143" s="2117" t="n">
        <v>0</v>
      </c>
      <c r="B143" s="2117" t="n">
        <v>4</v>
      </c>
      <c r="C143" s="2117" t="n">
        <v>3</v>
      </c>
      <c r="D143" s="2118" t="n">
        <v>1</v>
      </c>
      <c r="E143" s="2118" t="n">
        <v>3</v>
      </c>
      <c r="G143" s="1748" t="inlineStr">
        <is>
          <t>SUPRAESTRUTURA</t>
        </is>
      </c>
      <c r="H143" s="1749" t="inlineStr">
        <is>
          <t>SERVIÇO</t>
        </is>
      </c>
      <c r="I143" s="1750" t="inlineStr">
        <is>
          <t>04.003.001.003</t>
        </is>
      </c>
      <c r="J143" s="1751" t="inlineStr">
        <is>
          <t>Armação Aço CA-50, Diâmetro de 10,0mm para Supraestrutura, Corte e dobra em Indústria</t>
        </is>
      </c>
      <c r="K143" s="1752" t="inlineStr">
        <is>
          <t>kg</t>
        </is>
      </c>
      <c r="L143" s="1753" t="n">
        <v>2151.454545454545</v>
      </c>
      <c r="M143" s="1753" t="n">
        <v>8.964965000000001</v>
      </c>
      <c r="N143" s="1754" t="n">
        <v>19287.7146990909</v>
      </c>
      <c r="O143" s="1755" t="inlineStr">
        <is>
          <t>Quantidades resumo de projetos</t>
        </is>
      </c>
      <c r="P143" s="1721" t="inlineStr">
        <is>
          <t>Pendente</t>
        </is>
      </c>
    </row>
    <row r="144" hidden="1" outlineLevel="3" ht="13.5" customHeight="1">
      <c r="A144" s="2117" t="n">
        <v>0</v>
      </c>
      <c r="B144" s="2117" t="n">
        <v>4</v>
      </c>
      <c r="C144" s="2117" t="n">
        <v>3</v>
      </c>
      <c r="D144" s="2118" t="n">
        <v>1</v>
      </c>
      <c r="E144" s="2118" t="n">
        <v>4</v>
      </c>
      <c r="G144" s="1748" t="inlineStr">
        <is>
          <t>SUPRAESTRUTURA</t>
        </is>
      </c>
      <c r="H144" s="1749" t="inlineStr">
        <is>
          <t>SERVIÇO</t>
        </is>
      </c>
      <c r="I144" s="1750" t="inlineStr">
        <is>
          <t>04.003.001.004</t>
        </is>
      </c>
      <c r="J144" s="1751" t="inlineStr">
        <is>
          <t>Armação Aço CA-50, Diâmetro de 12,5mm para Supraestrutura, Corte e dobra em Indústria</t>
        </is>
      </c>
      <c r="K144" s="1752" t="inlineStr">
        <is>
          <t>kg</t>
        </is>
      </c>
      <c r="L144" s="1753" t="n">
        <v>1370</v>
      </c>
      <c r="M144" s="1753" t="n">
        <v>8.484965000000001</v>
      </c>
      <c r="N144" s="1754" t="n">
        <v>11624.40205</v>
      </c>
      <c r="O144" s="1755" t="inlineStr">
        <is>
          <t>Quantidades resumo de projetos</t>
        </is>
      </c>
      <c r="P144" s="1721" t="inlineStr">
        <is>
          <t>Pendente</t>
        </is>
      </c>
    </row>
    <row r="145" hidden="1" outlineLevel="3" ht="13.5" customHeight="1">
      <c r="A145" s="2117" t="n">
        <v>0</v>
      </c>
      <c r="B145" s="2117" t="n">
        <v>4</v>
      </c>
      <c r="C145" s="2117" t="n">
        <v>3</v>
      </c>
      <c r="D145" s="2118" t="n">
        <v>1</v>
      </c>
      <c r="E145" s="2118" t="n">
        <v>5</v>
      </c>
      <c r="G145" s="1748" t="inlineStr">
        <is>
          <t>SUPRAESTRUTURA</t>
        </is>
      </c>
      <c r="H145" s="1749" t="inlineStr">
        <is>
          <t>SERVIÇO</t>
        </is>
      </c>
      <c r="I145" s="1750" t="inlineStr">
        <is>
          <t>04.003.001.005</t>
        </is>
      </c>
      <c r="J145" s="1751" t="inlineStr">
        <is>
          <t>Armação Aço CA-50, Diâmetro de 16,0mm para Supraestrutura, Corte e dobra em Indústria</t>
        </is>
      </c>
      <c r="K145" s="1752" t="inlineStr">
        <is>
          <t>kg</t>
        </is>
      </c>
      <c r="L145" s="1753" t="n">
        <v>1274</v>
      </c>
      <c r="M145" s="1753" t="n">
        <v>8.484965000000001</v>
      </c>
      <c r="N145" s="1754" t="n">
        <v>10809.84541</v>
      </c>
      <c r="O145" s="1755" t="inlineStr">
        <is>
          <t>Quantidades resumo de projetos</t>
        </is>
      </c>
      <c r="P145" s="1721" t="inlineStr">
        <is>
          <t>Pendente</t>
        </is>
      </c>
    </row>
    <row r="146" hidden="1" outlineLevel="3" ht="13.5" customHeight="1">
      <c r="A146" s="2117" t="n">
        <v>0</v>
      </c>
      <c r="B146" s="2117" t="n">
        <v>4</v>
      </c>
      <c r="C146" s="2117" t="n">
        <v>3</v>
      </c>
      <c r="D146" s="2118" t="n">
        <v>1</v>
      </c>
      <c r="E146" s="2118" t="n">
        <v>6</v>
      </c>
      <c r="G146" s="1748" t="inlineStr">
        <is>
          <t>SUPRAESTRUTURA</t>
        </is>
      </c>
      <c r="H146" s="1749" t="inlineStr">
        <is>
          <t>SERVIÇO</t>
        </is>
      </c>
      <c r="I146" s="1750" t="inlineStr">
        <is>
          <t>04.003.001.006</t>
        </is>
      </c>
      <c r="J146" s="1751" t="inlineStr">
        <is>
          <t>Armação Aço CA-50, Diâmetro de 20,0mm para Supraestrutura, Corte e dobra em Indústria</t>
        </is>
      </c>
      <c r="K146" s="1752" t="inlineStr">
        <is>
          <t>kg</t>
        </is>
      </c>
      <c r="L146" s="1753" t="n">
        <v>3719</v>
      </c>
      <c r="M146" s="1753" t="n">
        <v>8.484965000000001</v>
      </c>
      <c r="N146" s="1754" t="n">
        <v>31555.584835</v>
      </c>
      <c r="O146" s="1755" t="inlineStr">
        <is>
          <t>Quantidades resumo de projetos</t>
        </is>
      </c>
      <c r="P146" s="1721" t="inlineStr">
        <is>
          <t>Pendente</t>
        </is>
      </c>
    </row>
    <row r="147" hidden="1" outlineLevel="3" ht="13.5" customHeight="1">
      <c r="A147" s="2117" t="n">
        <v>0</v>
      </c>
      <c r="B147" s="2117" t="n">
        <v>4</v>
      </c>
      <c r="C147" s="2117" t="n">
        <v>3</v>
      </c>
      <c r="D147" s="2118" t="n">
        <v>1</v>
      </c>
      <c r="E147" s="2118" t="n">
        <v>7</v>
      </c>
      <c r="G147" s="1748" t="inlineStr">
        <is>
          <t>SUPRAESTRUTURA</t>
        </is>
      </c>
      <c r="H147" s="1749" t="inlineStr">
        <is>
          <t>SERVIÇO</t>
        </is>
      </c>
      <c r="I147" s="1750" t="inlineStr">
        <is>
          <t>04.003.001.007</t>
        </is>
      </c>
      <c r="J147" s="1751" t="inlineStr">
        <is>
          <t>Armação Aço CA-50, Diâmetro de 25,0mm para Supraestrutura, Corte e dobra em Indústria</t>
        </is>
      </c>
      <c r="K147" s="1752" t="inlineStr">
        <is>
          <t>kg</t>
        </is>
      </c>
      <c r="L147" s="1753" t="n">
        <v>6835</v>
      </c>
      <c r="M147" s="1753" t="n">
        <v>8.484965000000001</v>
      </c>
      <c r="N147" s="1754" t="n">
        <v>57994.735775</v>
      </c>
      <c r="O147" s="1755" t="inlineStr">
        <is>
          <t>Quantidades resumo de projetos</t>
        </is>
      </c>
      <c r="P147" s="1721" t="inlineStr">
        <is>
          <t>Pendente</t>
        </is>
      </c>
    </row>
    <row r="148" hidden="1" outlineLevel="2" ht="13.5" customHeight="1">
      <c r="A148" s="2117" t="n">
        <v>0</v>
      </c>
      <c r="B148" s="2117" t="n">
        <v>4</v>
      </c>
      <c r="C148" s="2117" t="n">
        <v>3</v>
      </c>
      <c r="D148" s="2118" t="n">
        <v>2</v>
      </c>
      <c r="E148" s="2118" t="n">
        <v>0</v>
      </c>
      <c r="G148" s="1740" t="n"/>
      <c r="H148" s="1741" t="inlineStr">
        <is>
          <t>SUBETAPA</t>
        </is>
      </c>
      <c r="I148" s="1742" t="inlineStr">
        <is>
          <t>04.003.002</t>
        </is>
      </c>
      <c r="J148" s="1743" t="inlineStr">
        <is>
          <t>Armadura - G1</t>
        </is>
      </c>
      <c r="K148" s="1744" t="n"/>
      <c r="L148" s="1745" t="n"/>
      <c r="M148" s="1745" t="n"/>
      <c r="N148" s="1746" t="n">
        <v>541257.6637715159</v>
      </c>
      <c r="O148" s="1747" t="n">
        <v>32.3145270188318</v>
      </c>
      <c r="P148" s="1720" t="n"/>
    </row>
    <row r="149" hidden="1" outlineLevel="3" ht="13.5" customHeight="1">
      <c r="A149" s="2117" t="n">
        <v>0</v>
      </c>
      <c r="B149" s="2117" t="n">
        <v>4</v>
      </c>
      <c r="C149" s="2117" t="n">
        <v>3</v>
      </c>
      <c r="D149" s="2118" t="n">
        <v>2</v>
      </c>
      <c r="E149" s="2118" t="n">
        <v>1</v>
      </c>
      <c r="G149" s="1748" t="inlineStr">
        <is>
          <t>SUPRAESTRUTURA</t>
        </is>
      </c>
      <c r="H149" s="1749" t="inlineStr">
        <is>
          <t>SERVIÇO</t>
        </is>
      </c>
      <c r="I149" s="1750" t="inlineStr">
        <is>
          <t>04.003.002.001</t>
        </is>
      </c>
      <c r="J149" s="1751" t="inlineStr">
        <is>
          <t>Armação Aço CA-60, Diâmetro de 5,0mm para Supraestrutura, Corte e dobra em Indústria</t>
        </is>
      </c>
      <c r="K149" s="1752" t="inlineStr">
        <is>
          <t>kg</t>
        </is>
      </c>
      <c r="L149" s="1753" t="n">
        <v>5</v>
      </c>
      <c r="M149" s="1753" t="n">
        <v>8.964965000000001</v>
      </c>
      <c r="N149" s="1754" t="n">
        <v>44.824825</v>
      </c>
      <c r="O149" s="1755" t="inlineStr">
        <is>
          <t>Quantidades resumo de projetos</t>
        </is>
      </c>
      <c r="P149" s="1721" t="inlineStr">
        <is>
          <t>Pendente</t>
        </is>
      </c>
    </row>
    <row r="150" hidden="1" outlineLevel="3" ht="13.5" customHeight="1">
      <c r="A150" s="2117" t="n">
        <v>0</v>
      </c>
      <c r="B150" s="2117" t="n">
        <v>4</v>
      </c>
      <c r="C150" s="2117" t="n">
        <v>3</v>
      </c>
      <c r="D150" s="2118" t="n">
        <v>2</v>
      </c>
      <c r="E150" s="2118" t="n">
        <v>2</v>
      </c>
      <c r="G150" s="1748" t="inlineStr">
        <is>
          <t>SUPRAESTRUTURA</t>
        </is>
      </c>
      <c r="H150" s="1749" t="inlineStr">
        <is>
          <t>SERVIÇO</t>
        </is>
      </c>
      <c r="I150" s="1750" t="inlineStr">
        <is>
          <t>04.003.002.002</t>
        </is>
      </c>
      <c r="J150" s="1751" t="inlineStr">
        <is>
          <t>Armação Aço CA-50, Diâmetro de 6,3mm para Supraestrutura, Corte e dobra em Indústria</t>
        </is>
      </c>
      <c r="K150" s="1752" t="inlineStr">
        <is>
          <t>kg</t>
        </is>
      </c>
      <c r="L150" s="1753" t="n">
        <v>1050.454545454545</v>
      </c>
      <c r="M150" s="1753" t="n">
        <v>8.964965000000001</v>
      </c>
      <c r="N150" s="1754" t="n">
        <v>9417.288234090909</v>
      </c>
      <c r="O150" s="1755" t="inlineStr">
        <is>
          <t>Quantidades resumo de projetos</t>
        </is>
      </c>
      <c r="P150" s="1721" t="inlineStr">
        <is>
          <t>Pendente</t>
        </is>
      </c>
    </row>
    <row r="151" hidden="1" outlineLevel="3" ht="13.5" customHeight="1">
      <c r="A151" s="2117" t="n">
        <v>0</v>
      </c>
      <c r="B151" s="2117" t="n">
        <v>4</v>
      </c>
      <c r="C151" s="2117" t="n">
        <v>3</v>
      </c>
      <c r="D151" s="2118" t="n">
        <v>2</v>
      </c>
      <c r="E151" s="2118" t="n">
        <v>3</v>
      </c>
      <c r="G151" s="1748" t="inlineStr">
        <is>
          <t>SUPRAESTRUTURA</t>
        </is>
      </c>
      <c r="H151" s="1749" t="inlineStr">
        <is>
          <t>SERVIÇO</t>
        </is>
      </c>
      <c r="I151" s="1750" t="inlineStr">
        <is>
          <t>04.003.002.003</t>
        </is>
      </c>
      <c r="J151" s="1751" t="inlineStr">
        <is>
          <t>Armação Aço CA-50, Diâmetro de 8,0mm para Supraestrutura, Corte e dobra em Indústria</t>
        </is>
      </c>
      <c r="K151" s="1752" t="inlineStr">
        <is>
          <t>kg</t>
        </is>
      </c>
      <c r="L151" s="1753" t="n">
        <v>5136.272727272727</v>
      </c>
      <c r="M151" s="1753" t="n">
        <v>8.964965000000001</v>
      </c>
      <c r="N151" s="1754" t="n">
        <v>46046.5052304545</v>
      </c>
      <c r="O151" s="1755" t="inlineStr">
        <is>
          <t>Quantidades resumo de projetos</t>
        </is>
      </c>
      <c r="P151" s="1721" t="inlineStr">
        <is>
          <t>Pendente</t>
        </is>
      </c>
    </row>
    <row r="152" hidden="1" outlineLevel="3" ht="13.5" customHeight="1">
      <c r="A152" s="2117" t="n">
        <v>0</v>
      </c>
      <c r="B152" s="2117" t="n">
        <v>4</v>
      </c>
      <c r="C152" s="2117" t="n">
        <v>3</v>
      </c>
      <c r="D152" s="2118" t="n">
        <v>2</v>
      </c>
      <c r="E152" s="2118" t="n">
        <v>4</v>
      </c>
      <c r="G152" s="1748" t="inlineStr">
        <is>
          <t>SUPRAESTRUTURA</t>
        </is>
      </c>
      <c r="H152" s="1749" t="inlineStr">
        <is>
          <t>SERVIÇO</t>
        </is>
      </c>
      <c r="I152" s="1750" t="inlineStr">
        <is>
          <t>04.003.002.004</t>
        </is>
      </c>
      <c r="J152" s="1751" t="inlineStr">
        <is>
          <t>Armação Aço CA-50, Diâmetro de 10,0mm para Supraestrutura, Corte e dobra em Indústria</t>
        </is>
      </c>
      <c r="K152" s="1752" t="inlineStr">
        <is>
          <t>kg</t>
        </is>
      </c>
      <c r="L152" s="1753" t="n">
        <v>8109.454545454545</v>
      </c>
      <c r="M152" s="1753" t="n">
        <v>8.964965000000001</v>
      </c>
      <c r="N152" s="1754" t="n">
        <v>72700.97616909091</v>
      </c>
      <c r="O152" s="1755" t="inlineStr">
        <is>
          <t>Quantidades resumo de projetos</t>
        </is>
      </c>
      <c r="P152" s="1721" t="inlineStr">
        <is>
          <t>Pendente</t>
        </is>
      </c>
    </row>
    <row r="153" hidden="1" outlineLevel="3" ht="13.5" customHeight="1">
      <c r="A153" s="2117" t="n">
        <v>0</v>
      </c>
      <c r="B153" s="2117" t="n">
        <v>4</v>
      </c>
      <c r="C153" s="2117" t="n">
        <v>3</v>
      </c>
      <c r="D153" s="2118" t="n">
        <v>2</v>
      </c>
      <c r="E153" s="2118" t="n">
        <v>5</v>
      </c>
      <c r="G153" s="1748" t="inlineStr">
        <is>
          <t>SUPRAESTRUTURA</t>
        </is>
      </c>
      <c r="H153" s="1749" t="inlineStr">
        <is>
          <t>SERVIÇO</t>
        </is>
      </c>
      <c r="I153" s="1750" t="inlineStr">
        <is>
          <t>04.003.002.005</t>
        </is>
      </c>
      <c r="J153" s="1751" t="inlineStr">
        <is>
          <t>Armação Aço CA-50, Diâmetro de 12,5mm para Supraestrutura, Corte e dobra em Indústria</t>
        </is>
      </c>
      <c r="K153" s="1752" t="inlineStr">
        <is>
          <t>kg</t>
        </is>
      </c>
      <c r="L153" s="1753" t="n">
        <v>9698.09090909091</v>
      </c>
      <c r="M153" s="1753" t="n">
        <v>8.484965000000001</v>
      </c>
      <c r="N153" s="1754" t="n">
        <v>82287.96193045461</v>
      </c>
      <c r="O153" s="1755" t="inlineStr">
        <is>
          <t>Quantidades resumo de projetos</t>
        </is>
      </c>
      <c r="P153" s="1721" t="inlineStr">
        <is>
          <t>Pendente</t>
        </is>
      </c>
    </row>
    <row r="154" hidden="1" outlineLevel="3" ht="13.5" customHeight="1">
      <c r="A154" s="2117" t="n">
        <v>0</v>
      </c>
      <c r="B154" s="2117" t="n">
        <v>4</v>
      </c>
      <c r="C154" s="2117" t="n">
        <v>3</v>
      </c>
      <c r="D154" s="2118" t="n">
        <v>2</v>
      </c>
      <c r="E154" s="2118" t="n">
        <v>6</v>
      </c>
      <c r="G154" s="1748" t="inlineStr">
        <is>
          <t>SUPRAESTRUTURA</t>
        </is>
      </c>
      <c r="H154" s="1749" t="inlineStr">
        <is>
          <t>SERVIÇO</t>
        </is>
      </c>
      <c r="I154" s="1750" t="inlineStr">
        <is>
          <t>04.003.002.006</t>
        </is>
      </c>
      <c r="J154" s="1751" t="inlineStr">
        <is>
          <t>Armação Aço CA-50, Diâmetro de 16,0mm para Supraestrutura, Corte e dobra em Indústria</t>
        </is>
      </c>
      <c r="K154" s="1752" t="inlineStr">
        <is>
          <t>kg</t>
        </is>
      </c>
      <c r="L154" s="1753" t="n">
        <v>2976.181818181818</v>
      </c>
      <c r="M154" s="1753" t="n">
        <v>8.484965000000001</v>
      </c>
      <c r="N154" s="1754" t="n">
        <v>25252.7985609091</v>
      </c>
      <c r="O154" s="1755" t="inlineStr">
        <is>
          <t>Quantidades resumo de projetos</t>
        </is>
      </c>
      <c r="P154" s="1721" t="inlineStr">
        <is>
          <t>Pendente</t>
        </is>
      </c>
    </row>
    <row r="155" hidden="1" outlineLevel="3" ht="13.5" customHeight="1">
      <c r="A155" s="2117" t="n">
        <v>0</v>
      </c>
      <c r="B155" s="2117" t="n">
        <v>4</v>
      </c>
      <c r="C155" s="2117" t="n">
        <v>3</v>
      </c>
      <c r="D155" s="2118" t="n">
        <v>2</v>
      </c>
      <c r="E155" s="2118" t="n">
        <v>7</v>
      </c>
      <c r="G155" s="1748" t="inlineStr">
        <is>
          <t>SUPRAESTRUTURA</t>
        </is>
      </c>
      <c r="H155" s="1749" t="inlineStr">
        <is>
          <t>SERVIÇO</t>
        </is>
      </c>
      <c r="I155" s="1750" t="inlineStr">
        <is>
          <t>04.003.002.007</t>
        </is>
      </c>
      <c r="J155" s="1751" t="inlineStr">
        <is>
          <t>Armação Aço CA-50, Diâmetro de 20,0mm para Supraestrutura, Corte e dobra em Indústria</t>
        </is>
      </c>
      <c r="K155" s="1752" t="inlineStr">
        <is>
          <t>kg</t>
        </is>
      </c>
      <c r="L155" s="1753" t="n">
        <v>2261</v>
      </c>
      <c r="M155" s="1753" t="n">
        <v>8.484965000000001</v>
      </c>
      <c r="N155" s="1754" t="n">
        <v>19184.505865</v>
      </c>
      <c r="O155" s="1755" t="inlineStr">
        <is>
          <t>Quantidades resumo de projetos</t>
        </is>
      </c>
      <c r="P155" s="1721" t="inlineStr">
        <is>
          <t>Pendente</t>
        </is>
      </c>
    </row>
    <row r="156" hidden="1" outlineLevel="3" ht="13.5" customHeight="1">
      <c r="A156" s="2117" t="n">
        <v>0</v>
      </c>
      <c r="B156" s="2117" t="n">
        <v>4</v>
      </c>
      <c r="C156" s="2117" t="n">
        <v>3</v>
      </c>
      <c r="D156" s="2118" t="n">
        <v>2</v>
      </c>
      <c r="E156" s="2118" t="n">
        <v>8</v>
      </c>
      <c r="G156" s="1748" t="inlineStr">
        <is>
          <t>SUPRAESTRUTURA</t>
        </is>
      </c>
      <c r="H156" s="1749" t="inlineStr">
        <is>
          <t>SERVIÇO</t>
        </is>
      </c>
      <c r="I156" s="1750" t="inlineStr">
        <is>
          <t>04.003.002.008</t>
        </is>
      </c>
      <c r="J156" s="1751" t="inlineStr">
        <is>
          <t>Armação Aço CA-50, Diâmetro de 25,0mm para Supraestrutura, Corte e dobra em Indústria</t>
        </is>
      </c>
      <c r="K156" s="1752" t="inlineStr">
        <is>
          <t>kg</t>
        </is>
      </c>
      <c r="L156" s="1753" t="n">
        <v>9744</v>
      </c>
      <c r="M156" s="1753" t="n">
        <v>8.484965000000001</v>
      </c>
      <c r="N156" s="1754" t="n">
        <v>82677.49896</v>
      </c>
      <c r="O156" s="1755" t="inlineStr">
        <is>
          <t>Quantidades resumo de projetos</t>
        </is>
      </c>
      <c r="P156" s="1721" t="inlineStr">
        <is>
          <t>Pendente</t>
        </is>
      </c>
    </row>
    <row r="157" hidden="1" outlineLevel="3" ht="13.5" customHeight="1">
      <c r="A157" s="2117" t="n">
        <v>0</v>
      </c>
      <c r="B157" s="2117" t="n">
        <v>4</v>
      </c>
      <c r="C157" s="2117" t="n">
        <v>3</v>
      </c>
      <c r="D157" s="2118" t="n">
        <v>2</v>
      </c>
      <c r="E157" s="2118" t="n">
        <v>9</v>
      </c>
      <c r="G157" s="1748" t="inlineStr">
        <is>
          <t>SUPRAESTRUTURA</t>
        </is>
      </c>
      <c r="H157" s="1749" t="inlineStr">
        <is>
          <t>SERVIÇO</t>
        </is>
      </c>
      <c r="I157" s="1750" t="inlineStr">
        <is>
          <t>04.003.002.009</t>
        </is>
      </c>
      <c r="J157" s="1751" t="inlineStr">
        <is>
          <t>Armação Aço CA-50, Diâmetro de 32,0mm para Supraestrutura, Corte e dobra em Indústria</t>
        </is>
      </c>
      <c r="K157" s="1752" t="inlineStr">
        <is>
          <t>kg</t>
        </is>
      </c>
      <c r="L157" s="1753" t="n">
        <v>20469</v>
      </c>
      <c r="M157" s="1753" t="n">
        <v>9.948962039988071</v>
      </c>
      <c r="N157" s="1754" t="n">
        <v>203645.303996516</v>
      </c>
      <c r="O157" s="1755" t="inlineStr">
        <is>
          <t>Quantidades resumo de projetos</t>
        </is>
      </c>
      <c r="P157" s="1721" t="inlineStr">
        <is>
          <t>Pendente</t>
        </is>
      </c>
    </row>
    <row r="158" hidden="1" outlineLevel="2" ht="13.5" customHeight="1">
      <c r="A158" s="2117" t="n">
        <v>0</v>
      </c>
      <c r="B158" s="2117" t="n">
        <v>4</v>
      </c>
      <c r="C158" s="2117" t="n">
        <v>3</v>
      </c>
      <c r="D158" s="2118" t="n">
        <v>3</v>
      </c>
      <c r="E158" s="2118" t="n">
        <v>0</v>
      </c>
      <c r="G158" s="1740" t="n"/>
      <c r="H158" s="1741" t="inlineStr">
        <is>
          <t>SUBETAPA</t>
        </is>
      </c>
      <c r="I158" s="1742" t="inlineStr">
        <is>
          <t>04.003.003</t>
        </is>
      </c>
      <c r="J158" s="1743" t="inlineStr">
        <is>
          <t>Armadura - G2</t>
        </is>
      </c>
      <c r="K158" s="1744" t="n"/>
      <c r="L158" s="1745" t="n"/>
      <c r="M158" s="1745" t="n"/>
      <c r="N158" s="1746" t="n">
        <v>441888.159052384</v>
      </c>
      <c r="O158" s="1747" t="n">
        <v>26.3819023928462</v>
      </c>
      <c r="P158" s="1720" t="n"/>
    </row>
    <row r="159" hidden="1" outlineLevel="3" ht="13.5" customHeight="1">
      <c r="A159" s="2117" t="n">
        <v>0</v>
      </c>
      <c r="B159" s="2117" t="n">
        <v>4</v>
      </c>
      <c r="C159" s="2117" t="n">
        <v>3</v>
      </c>
      <c r="D159" s="2118" t="n">
        <v>3</v>
      </c>
      <c r="E159" s="2118" t="n">
        <v>1</v>
      </c>
      <c r="G159" s="1748" t="inlineStr">
        <is>
          <t>SUPRAESTRUTURA</t>
        </is>
      </c>
      <c r="H159" s="1749" t="inlineStr">
        <is>
          <t>SERVIÇO</t>
        </is>
      </c>
      <c r="I159" s="1750" t="inlineStr">
        <is>
          <t>04.003.003.001</t>
        </is>
      </c>
      <c r="J159" s="1751" t="inlineStr">
        <is>
          <t>Armação Aço CA-60, Diâmetro de 5,0mm para Supraestrutura, Corte e dobra em Indústria</t>
        </is>
      </c>
      <c r="K159" s="1752" t="inlineStr">
        <is>
          <t>kg</t>
        </is>
      </c>
      <c r="L159" s="1753" t="n">
        <v>1</v>
      </c>
      <c r="M159" s="1753" t="n">
        <v>8.964965000000001</v>
      </c>
      <c r="N159" s="1754" t="n">
        <v>8.964964999999999</v>
      </c>
      <c r="O159" s="1755" t="inlineStr">
        <is>
          <t>Quantidades resumo de projetos</t>
        </is>
      </c>
      <c r="P159" s="1721" t="inlineStr">
        <is>
          <t>Pendente</t>
        </is>
      </c>
    </row>
    <row r="160" hidden="1" outlineLevel="3" ht="13.5" customHeight="1">
      <c r="A160" s="2117" t="n">
        <v>0</v>
      </c>
      <c r="B160" s="2117" t="n">
        <v>4</v>
      </c>
      <c r="C160" s="2117" t="n">
        <v>3</v>
      </c>
      <c r="D160" s="2118" t="n">
        <v>3</v>
      </c>
      <c r="E160" s="2118" t="n">
        <v>2</v>
      </c>
      <c r="G160" s="1748" t="inlineStr">
        <is>
          <t>SUPRAESTRUTURA</t>
        </is>
      </c>
      <c r="H160" s="1749" t="inlineStr">
        <is>
          <t>SERVIÇO</t>
        </is>
      </c>
      <c r="I160" s="1750" t="inlineStr">
        <is>
          <t>04.003.003.002</t>
        </is>
      </c>
      <c r="J160" s="1751" t="inlineStr">
        <is>
          <t>Armação Aço CA-50, Diâmetro de 6,3mm para Supraestrutura, Corte e dobra em Indústria</t>
        </is>
      </c>
      <c r="K160" s="1752" t="inlineStr">
        <is>
          <t>kg</t>
        </is>
      </c>
      <c r="L160" s="1753" t="n">
        <v>1571.181818181818</v>
      </c>
      <c r="M160" s="1753" t="n">
        <v>8.964965000000001</v>
      </c>
      <c r="N160" s="1754" t="n">
        <v>14085.5900086364</v>
      </c>
      <c r="O160" s="1755" t="inlineStr">
        <is>
          <t>Quantidades resumo de projetos</t>
        </is>
      </c>
      <c r="P160" s="1721" t="inlineStr">
        <is>
          <t>Pendente</t>
        </is>
      </c>
    </row>
    <row r="161" hidden="1" outlineLevel="3" ht="13.5" customHeight="1">
      <c r="A161" s="2117" t="n">
        <v>0</v>
      </c>
      <c r="B161" s="2117" t="n">
        <v>4</v>
      </c>
      <c r="C161" s="2117" t="n">
        <v>3</v>
      </c>
      <c r="D161" s="2118" t="n">
        <v>3</v>
      </c>
      <c r="E161" s="2118" t="n">
        <v>3</v>
      </c>
      <c r="G161" s="1748" t="inlineStr">
        <is>
          <t>SUPRAESTRUTURA</t>
        </is>
      </c>
      <c r="H161" s="1749" t="inlineStr">
        <is>
          <t>SERVIÇO</t>
        </is>
      </c>
      <c r="I161" s="1750" t="inlineStr">
        <is>
          <t>04.003.003.003</t>
        </is>
      </c>
      <c r="J161" s="1751" t="inlineStr">
        <is>
          <t>Armação Aço CA-50, Diâmetro de 8,0mm para Supraestrutura, Corte e dobra em Indústria</t>
        </is>
      </c>
      <c r="K161" s="1752" t="inlineStr">
        <is>
          <t>kg</t>
        </is>
      </c>
      <c r="L161" s="1753" t="n">
        <v>8053.363636363636</v>
      </c>
      <c r="M161" s="1753" t="n">
        <v>8.964965000000001</v>
      </c>
      <c r="N161" s="1754" t="n">
        <v>72198.1231322727</v>
      </c>
      <c r="O161" s="1755" t="inlineStr">
        <is>
          <t>Quantidades resumo de projetos</t>
        </is>
      </c>
      <c r="P161" s="1721" t="inlineStr">
        <is>
          <t>Pendente</t>
        </is>
      </c>
    </row>
    <row r="162" hidden="1" outlineLevel="3" ht="13.5" customHeight="1">
      <c r="A162" s="2117" t="n">
        <v>0</v>
      </c>
      <c r="B162" s="2117" t="n">
        <v>4</v>
      </c>
      <c r="C162" s="2117" t="n">
        <v>3</v>
      </c>
      <c r="D162" s="2118" t="n">
        <v>3</v>
      </c>
      <c r="E162" s="2118" t="n">
        <v>4</v>
      </c>
      <c r="G162" s="1748" t="inlineStr">
        <is>
          <t>SUPRAESTRUTURA</t>
        </is>
      </c>
      <c r="H162" s="1749" t="inlineStr">
        <is>
          <t>SERVIÇO</t>
        </is>
      </c>
      <c r="I162" s="1750" t="inlineStr">
        <is>
          <t>04.003.003.004</t>
        </is>
      </c>
      <c r="J162" s="1751" t="inlineStr">
        <is>
          <t>Armação Aço CA-50, Diâmetro de 10,0mm para Supraestrutura, Corte e dobra em Indústria</t>
        </is>
      </c>
      <c r="K162" s="1752" t="inlineStr">
        <is>
          <t>kg</t>
        </is>
      </c>
      <c r="L162" s="1753" t="n">
        <v>6913.727272727273</v>
      </c>
      <c r="M162" s="1753" t="n">
        <v>8.964965000000001</v>
      </c>
      <c r="N162" s="1754" t="n">
        <v>61981.3230195455</v>
      </c>
      <c r="O162" s="1755" t="inlineStr">
        <is>
          <t>Quantidades resumo de projetos</t>
        </is>
      </c>
      <c r="P162" s="1721" t="inlineStr">
        <is>
          <t>Pendente</t>
        </is>
      </c>
    </row>
    <row r="163" hidden="1" outlineLevel="3" ht="13.5" customHeight="1">
      <c r="A163" s="2117" t="n">
        <v>0</v>
      </c>
      <c r="B163" s="2117" t="n">
        <v>4</v>
      </c>
      <c r="C163" s="2117" t="n">
        <v>3</v>
      </c>
      <c r="D163" s="2118" t="n">
        <v>3</v>
      </c>
      <c r="E163" s="2118" t="n">
        <v>5</v>
      </c>
      <c r="G163" s="1748" t="inlineStr">
        <is>
          <t>SUPRAESTRUTURA</t>
        </is>
      </c>
      <c r="H163" s="1749" t="inlineStr">
        <is>
          <t>SERVIÇO</t>
        </is>
      </c>
      <c r="I163" s="1750" t="inlineStr">
        <is>
          <t>04.003.003.005</t>
        </is>
      </c>
      <c r="J163" s="1751" t="inlineStr">
        <is>
          <t>Armação Aço CA-50, Diâmetro de 12,5mm para Supraestrutura, Corte e dobra em Indústria</t>
        </is>
      </c>
      <c r="K163" s="1752" t="inlineStr">
        <is>
          <t>kg</t>
        </is>
      </c>
      <c r="L163" s="1753" t="n">
        <v>5969.545454545455</v>
      </c>
      <c r="M163" s="1753" t="n">
        <v>8.484965000000001</v>
      </c>
      <c r="N163" s="1754" t="n">
        <v>50651.3842477273</v>
      </c>
      <c r="O163" s="1755" t="inlineStr">
        <is>
          <t>Quantidades resumo de projetos</t>
        </is>
      </c>
      <c r="P163" s="1721" t="inlineStr">
        <is>
          <t>Pendente</t>
        </is>
      </c>
    </row>
    <row r="164" hidden="1" outlineLevel="3" ht="13.5" customHeight="1">
      <c r="A164" s="2117" t="n">
        <v>0</v>
      </c>
      <c r="B164" s="2117" t="n">
        <v>4</v>
      </c>
      <c r="C164" s="2117" t="n">
        <v>3</v>
      </c>
      <c r="D164" s="2118" t="n">
        <v>3</v>
      </c>
      <c r="E164" s="2118" t="n">
        <v>6</v>
      </c>
      <c r="G164" s="1748" t="inlineStr">
        <is>
          <t>SUPRAESTRUTURA</t>
        </is>
      </c>
      <c r="H164" s="1749" t="inlineStr">
        <is>
          <t>SERVIÇO</t>
        </is>
      </c>
      <c r="I164" s="1750" t="inlineStr">
        <is>
          <t>04.003.003.006</t>
        </is>
      </c>
      <c r="J164" s="1751" t="inlineStr">
        <is>
          <t>Armação Aço CA-50, Diâmetro de 16,0mm para Supraestrutura, Corte e dobra em Indústria</t>
        </is>
      </c>
      <c r="K164" s="1752" t="inlineStr">
        <is>
          <t>kg</t>
        </is>
      </c>
      <c r="L164" s="1753" t="n">
        <v>4418.272727272727</v>
      </c>
      <c r="M164" s="1753" t="n">
        <v>8.484965000000001</v>
      </c>
      <c r="N164" s="1754" t="n">
        <v>37488.8894513636</v>
      </c>
      <c r="O164" s="1755" t="inlineStr">
        <is>
          <t>Quantidades resumo de projetos</t>
        </is>
      </c>
      <c r="P164" s="1721" t="inlineStr">
        <is>
          <t>Pendente</t>
        </is>
      </c>
    </row>
    <row r="165" hidden="1" outlineLevel="3" ht="13.5" customHeight="1">
      <c r="A165" s="2117" t="n">
        <v>0</v>
      </c>
      <c r="B165" s="2117" t="n">
        <v>4</v>
      </c>
      <c r="C165" s="2117" t="n">
        <v>3</v>
      </c>
      <c r="D165" s="2118" t="n">
        <v>3</v>
      </c>
      <c r="E165" s="2118" t="n">
        <v>7</v>
      </c>
      <c r="G165" s="1748" t="inlineStr">
        <is>
          <t>SUPRAESTRUTURA</t>
        </is>
      </c>
      <c r="H165" s="1749" t="inlineStr">
        <is>
          <t>SERVIÇO</t>
        </is>
      </c>
      <c r="I165" s="1750" t="inlineStr">
        <is>
          <t>04.003.003.007</t>
        </is>
      </c>
      <c r="J165" s="1751" t="inlineStr">
        <is>
          <t>Armação Aço CA-50, Diâmetro de 20,0mm para Supraestrutura, Corte e dobra em Indústria</t>
        </is>
      </c>
      <c r="K165" s="1752" t="inlineStr">
        <is>
          <t>kg</t>
        </is>
      </c>
      <c r="L165" s="1753" t="n">
        <v>1396</v>
      </c>
      <c r="M165" s="1753" t="n">
        <v>8.484965000000001</v>
      </c>
      <c r="N165" s="1754" t="n">
        <v>11845.01114</v>
      </c>
      <c r="O165" s="1755" t="inlineStr">
        <is>
          <t>Quantidades resumo de projetos</t>
        </is>
      </c>
      <c r="P165" s="1721" t="inlineStr">
        <is>
          <t>Pendente</t>
        </is>
      </c>
    </row>
    <row r="166" hidden="1" outlineLevel="3" ht="13.5" customHeight="1">
      <c r="A166" s="2117" t="n">
        <v>0</v>
      </c>
      <c r="B166" s="2117" t="n">
        <v>4</v>
      </c>
      <c r="C166" s="2117" t="n">
        <v>3</v>
      </c>
      <c r="D166" s="2118" t="n">
        <v>3</v>
      </c>
      <c r="E166" s="2118" t="n">
        <v>8</v>
      </c>
      <c r="G166" s="1748" t="inlineStr">
        <is>
          <t>SUPRAESTRUTURA</t>
        </is>
      </c>
      <c r="H166" s="1749" t="inlineStr">
        <is>
          <t>SERVIÇO</t>
        </is>
      </c>
      <c r="I166" s="1750" t="inlineStr">
        <is>
          <t>04.003.003.008</t>
        </is>
      </c>
      <c r="J166" s="1751" t="inlineStr">
        <is>
          <t>Armação Aço CA-50, Diâmetro de 25,0mm para Supraestrutura, Corte e dobra em Indústria</t>
        </is>
      </c>
      <c r="K166" s="1752" t="inlineStr">
        <is>
          <t>kg</t>
        </is>
      </c>
      <c r="L166" s="1753" t="n">
        <v>6903</v>
      </c>
      <c r="M166" s="1753" t="n">
        <v>8.484965000000001</v>
      </c>
      <c r="N166" s="1754" t="n">
        <v>58571.713395</v>
      </c>
      <c r="O166" s="1755" t="inlineStr">
        <is>
          <t>Quantidades resumo de projetos</t>
        </is>
      </c>
      <c r="P166" s="1721" t="inlineStr">
        <is>
          <t>Pendente</t>
        </is>
      </c>
    </row>
    <row r="167" hidden="1" outlineLevel="3" ht="13.5" customHeight="1">
      <c r="A167" s="2117" t="n">
        <v>0</v>
      </c>
      <c r="B167" s="2117" t="n">
        <v>4</v>
      </c>
      <c r="C167" s="2117" t="n">
        <v>3</v>
      </c>
      <c r="D167" s="2118" t="n">
        <v>3</v>
      </c>
      <c r="E167" s="2118" t="n">
        <v>9</v>
      </c>
      <c r="G167" s="1748" t="inlineStr">
        <is>
          <t>SUPRAESTRUTURA</t>
        </is>
      </c>
      <c r="H167" s="1749" t="inlineStr">
        <is>
          <t>SERVIÇO</t>
        </is>
      </c>
      <c r="I167" s="1750" t="inlineStr">
        <is>
          <t>04.003.003.009</t>
        </is>
      </c>
      <c r="J167" s="1751" t="inlineStr">
        <is>
          <t>Armação Aço CA-50, Diâmetro de 32,0mm para Supraestrutura, Corte e dobra em Indústria</t>
        </is>
      </c>
      <c r="K167" s="1752" t="inlineStr">
        <is>
          <t>kg</t>
        </is>
      </c>
      <c r="L167" s="1753" t="n">
        <v>13575</v>
      </c>
      <c r="M167" s="1753" t="n">
        <v>9.948962039988071</v>
      </c>
      <c r="N167" s="1754" t="n">
        <v>135057.159692838</v>
      </c>
      <c r="O167" s="1755" t="inlineStr">
        <is>
          <t>Quantidades resumo de projetos</t>
        </is>
      </c>
      <c r="P167" s="1721" t="inlineStr">
        <is>
          <t>Pendente</t>
        </is>
      </c>
    </row>
    <row r="168" hidden="1" outlineLevel="2" ht="13.5" customHeight="1">
      <c r="A168" s="2117" t="n">
        <v>0</v>
      </c>
      <c r="B168" s="2117" t="n">
        <v>4</v>
      </c>
      <c r="C168" s="2117" t="n">
        <v>3</v>
      </c>
      <c r="D168" s="2118" t="n">
        <v>4</v>
      </c>
      <c r="E168" s="2118" t="n">
        <v>0</v>
      </c>
      <c r="G168" s="1740" t="n"/>
      <c r="H168" s="1741" t="inlineStr">
        <is>
          <t>SUBETAPA</t>
        </is>
      </c>
      <c r="I168" s="1742" t="inlineStr">
        <is>
          <t>04.003.004</t>
        </is>
      </c>
      <c r="J168" s="1743" t="inlineStr">
        <is>
          <t>Armadura - G3</t>
        </is>
      </c>
      <c r="K168" s="1744" t="n"/>
      <c r="L168" s="1745" t="n"/>
      <c r="M168" s="1745" t="n"/>
      <c r="N168" s="1746" t="n">
        <v>315085.527446319</v>
      </c>
      <c r="O168" s="1747" t="n">
        <v>18.8114468790322</v>
      </c>
      <c r="P168" s="1720" t="n"/>
    </row>
    <row r="169" hidden="1" outlineLevel="3" ht="13.5" customHeight="1">
      <c r="A169" s="2117" t="n">
        <v>0</v>
      </c>
      <c r="B169" s="2117" t="n">
        <v>4</v>
      </c>
      <c r="C169" s="2117" t="n">
        <v>3</v>
      </c>
      <c r="D169" s="2118" t="n">
        <v>4</v>
      </c>
      <c r="E169" s="2118" t="n">
        <v>1</v>
      </c>
      <c r="G169" s="1748" t="inlineStr">
        <is>
          <t>SUPRAESTRUTURA</t>
        </is>
      </c>
      <c r="H169" s="1749" t="inlineStr">
        <is>
          <t>SERVIÇO</t>
        </is>
      </c>
      <c r="I169" s="1750" t="inlineStr">
        <is>
          <t>04.003.004.001</t>
        </is>
      </c>
      <c r="J169" s="1751" t="inlineStr">
        <is>
          <t>Armação Aço CA-60, Diâmetro de 5,0mm para Supraestrutura, Corte e dobra em Indústria</t>
        </is>
      </c>
      <c r="K169" s="1752" t="inlineStr">
        <is>
          <t>kg</t>
        </is>
      </c>
      <c r="L169" s="1753" t="n">
        <v>206.4653182701653</v>
      </c>
      <c r="M169" s="1753" t="n">
        <v>8.964965000000001</v>
      </c>
      <c r="N169" s="1754" t="n">
        <v>1850.95435200589</v>
      </c>
      <c r="O169" s="1755" t="inlineStr">
        <is>
          <t>Quantidades resumo de projetos</t>
        </is>
      </c>
      <c r="P169" s="1721" t="inlineStr">
        <is>
          <t>Pendente</t>
        </is>
      </c>
    </row>
    <row r="170" hidden="1" outlineLevel="3" ht="13.5" customHeight="1">
      <c r="A170" s="2117" t="n">
        <v>0</v>
      </c>
      <c r="B170" s="2117" t="n">
        <v>4</v>
      </c>
      <c r="C170" s="2117" t="n">
        <v>3</v>
      </c>
      <c r="D170" s="2118" t="n">
        <v>4</v>
      </c>
      <c r="E170" s="2118" t="n">
        <v>2</v>
      </c>
      <c r="G170" s="1748" t="inlineStr">
        <is>
          <t>SUPRAESTRUTURA</t>
        </is>
      </c>
      <c r="H170" s="1749" t="inlineStr">
        <is>
          <t>SERVIÇO</t>
        </is>
      </c>
      <c r="I170" s="1750" t="inlineStr">
        <is>
          <t>04.003.004.002</t>
        </is>
      </c>
      <c r="J170" s="1751" t="inlineStr">
        <is>
          <t>Armação Aço CA-50, Diâmetro de 6,3mm para Supraestrutura, Corte e dobra em Indústria</t>
        </is>
      </c>
      <c r="K170" s="1752" t="inlineStr">
        <is>
          <t>kg</t>
        </is>
      </c>
      <c r="L170" s="1753" t="n">
        <v>2315.679361030126</v>
      </c>
      <c r="M170" s="1753" t="n">
        <v>8.964965000000001</v>
      </c>
      <c r="N170" s="1754" t="n">
        <v>20759.9844228574</v>
      </c>
      <c r="O170" s="1755" t="inlineStr">
        <is>
          <t>Quantidades resumo de projetos</t>
        </is>
      </c>
      <c r="P170" s="1721" t="inlineStr">
        <is>
          <t>Pendente</t>
        </is>
      </c>
    </row>
    <row r="171" hidden="1" outlineLevel="3" ht="13.5" customHeight="1">
      <c r="A171" s="2117" t="n">
        <v>0</v>
      </c>
      <c r="B171" s="2117" t="n">
        <v>4</v>
      </c>
      <c r="C171" s="2117" t="n">
        <v>3</v>
      </c>
      <c r="D171" s="2118" t="n">
        <v>4</v>
      </c>
      <c r="E171" s="2118" t="n">
        <v>3</v>
      </c>
      <c r="G171" s="1748" t="inlineStr">
        <is>
          <t>SUPRAESTRUTURA</t>
        </is>
      </c>
      <c r="H171" s="1749" t="inlineStr">
        <is>
          <t>SERVIÇO</t>
        </is>
      </c>
      <c r="I171" s="1750" t="inlineStr">
        <is>
          <t>04.003.004.003</t>
        </is>
      </c>
      <c r="J171" s="1751" t="inlineStr">
        <is>
          <t>Armação Aço CA-50, Diâmetro de 8,0mm para Supraestrutura, Corte e dobra em Indústria</t>
        </is>
      </c>
      <c r="K171" s="1752" t="inlineStr">
        <is>
          <t>kg</t>
        </is>
      </c>
      <c r="L171" s="1753" t="n">
        <v>2559.278729348882</v>
      </c>
      <c r="M171" s="1753" t="n">
        <v>8.964965000000001</v>
      </c>
      <c r="N171" s="1754" t="n">
        <v>22943.8442338572</v>
      </c>
      <c r="O171" s="1755" t="inlineStr">
        <is>
          <t>Quantidades resumo de projetos</t>
        </is>
      </c>
      <c r="P171" s="1721" t="inlineStr">
        <is>
          <t>Pendente</t>
        </is>
      </c>
    </row>
    <row r="172" hidden="1" outlineLevel="3" ht="13.5" customHeight="1">
      <c r="A172" s="2117" t="n">
        <v>0</v>
      </c>
      <c r="B172" s="2117" t="n">
        <v>4</v>
      </c>
      <c r="C172" s="2117" t="n">
        <v>3</v>
      </c>
      <c r="D172" s="2118" t="n">
        <v>4</v>
      </c>
      <c r="E172" s="2118" t="n">
        <v>4</v>
      </c>
      <c r="G172" s="1748" t="inlineStr">
        <is>
          <t>SUPRAESTRUTURA</t>
        </is>
      </c>
      <c r="H172" s="1749" t="inlineStr">
        <is>
          <t>SERVIÇO</t>
        </is>
      </c>
      <c r="I172" s="1750" t="inlineStr">
        <is>
          <t>04.003.004.004</t>
        </is>
      </c>
      <c r="J172" s="1751" t="inlineStr">
        <is>
          <t>Armação Aço CA-50, Diâmetro de 10,0mm para Supraestrutura, Corte e dobra em Indústria</t>
        </is>
      </c>
      <c r="K172" s="1752" t="inlineStr">
        <is>
          <t>kg</t>
        </is>
      </c>
      <c r="L172" s="1753" t="n">
        <v>2909.824161807579</v>
      </c>
      <c r="M172" s="1753" t="n">
        <v>8.964965000000001</v>
      </c>
      <c r="N172" s="1754" t="n">
        <v>26086.4717667593</v>
      </c>
      <c r="O172" s="1755" t="inlineStr">
        <is>
          <t>Quantidades resumo de projetos</t>
        </is>
      </c>
      <c r="P172" s="1721" t="inlineStr">
        <is>
          <t>Pendente</t>
        </is>
      </c>
    </row>
    <row r="173" hidden="1" outlineLevel="3" ht="13.5" customHeight="1">
      <c r="A173" s="2117" t="n">
        <v>0</v>
      </c>
      <c r="B173" s="2117" t="n">
        <v>4</v>
      </c>
      <c r="C173" s="2117" t="n">
        <v>3</v>
      </c>
      <c r="D173" s="2118" t="n">
        <v>4</v>
      </c>
      <c r="E173" s="2118" t="n">
        <v>5</v>
      </c>
      <c r="G173" s="1748" t="inlineStr">
        <is>
          <t>SUPRAESTRUTURA</t>
        </is>
      </c>
      <c r="H173" s="1749" t="inlineStr">
        <is>
          <t>SERVIÇO</t>
        </is>
      </c>
      <c r="I173" s="1750" t="inlineStr">
        <is>
          <t>04.003.004.005</t>
        </is>
      </c>
      <c r="J173" s="1751" t="inlineStr">
        <is>
          <t>Armação Aço CA-50, Diâmetro de 12,5mm para Supraestrutura, Corte e dobra em Indústria</t>
        </is>
      </c>
      <c r="K173" s="1752" t="inlineStr">
        <is>
          <t>kg</t>
        </is>
      </c>
      <c r="L173" s="1753" t="n">
        <v>3293.047558309038</v>
      </c>
      <c r="M173" s="1753" t="n">
        <v>8.484965000000001</v>
      </c>
      <c r="N173" s="1754" t="n">
        <v>27941.3932755876</v>
      </c>
      <c r="O173" s="1755" t="inlineStr">
        <is>
          <t>Quantidades resumo de projetos</t>
        </is>
      </c>
      <c r="P173" s="1721" t="inlineStr">
        <is>
          <t>Pendente</t>
        </is>
      </c>
    </row>
    <row r="174" hidden="1" outlineLevel="3" ht="13.5" customHeight="1">
      <c r="A174" s="2117" t="n">
        <v>0</v>
      </c>
      <c r="B174" s="2117" t="n">
        <v>4</v>
      </c>
      <c r="C174" s="2117" t="n">
        <v>3</v>
      </c>
      <c r="D174" s="2118" t="n">
        <v>4</v>
      </c>
      <c r="E174" s="2118" t="n">
        <v>6</v>
      </c>
      <c r="G174" s="1748" t="inlineStr">
        <is>
          <t>SUPRAESTRUTURA</t>
        </is>
      </c>
      <c r="H174" s="1749" t="inlineStr">
        <is>
          <t>SERVIÇO</t>
        </is>
      </c>
      <c r="I174" s="1750" t="inlineStr">
        <is>
          <t>04.003.004.006</t>
        </is>
      </c>
      <c r="J174" s="1751" t="inlineStr">
        <is>
          <t>Armação Aço CA-50, Diâmetro de 16,0mm para Supraestrutura, Corte e dobra em Indústria</t>
        </is>
      </c>
      <c r="K174" s="1752" t="inlineStr">
        <is>
          <t>kg</t>
        </is>
      </c>
      <c r="L174" s="1753" t="n">
        <v>1103.62396744412</v>
      </c>
      <c r="M174" s="1753" t="n">
        <v>8.484965000000001</v>
      </c>
      <c r="N174" s="1754" t="n">
        <v>9364.2107369245</v>
      </c>
      <c r="O174" s="1755" t="inlineStr">
        <is>
          <t>Quantidades resumo de projetos</t>
        </is>
      </c>
      <c r="P174" s="1721" t="inlineStr">
        <is>
          <t>Pendente</t>
        </is>
      </c>
    </row>
    <row r="175" hidden="1" outlineLevel="3" ht="13.5" customHeight="1">
      <c r="A175" s="2117" t="n">
        <v>0</v>
      </c>
      <c r="B175" s="2117" t="n">
        <v>4</v>
      </c>
      <c r="C175" s="2117" t="n">
        <v>3</v>
      </c>
      <c r="D175" s="2118" t="n">
        <v>4</v>
      </c>
      <c r="E175" s="2118" t="n">
        <v>7</v>
      </c>
      <c r="G175" s="1748" t="inlineStr">
        <is>
          <t>SUPRAESTRUTURA</t>
        </is>
      </c>
      <c r="H175" s="1749" t="inlineStr">
        <is>
          <t>SERVIÇO</t>
        </is>
      </c>
      <c r="I175" s="1750" t="inlineStr">
        <is>
          <t>04.003.004.007</t>
        </is>
      </c>
      <c r="J175" s="1751" t="inlineStr">
        <is>
          <t>Armação Aço CA-50, Diâmetro de 20,0mm para Supraestrutura, Corte e dobra em Indústria</t>
        </is>
      </c>
      <c r="K175" s="1752" t="inlineStr">
        <is>
          <t>kg</t>
        </is>
      </c>
      <c r="L175" s="1753" t="n">
        <v>4219.913447521865</v>
      </c>
      <c r="M175" s="1753" t="n">
        <v>8.484965000000001</v>
      </c>
      <c r="N175" s="1754" t="n">
        <v>35805.8179052524</v>
      </c>
      <c r="O175" s="1755" t="inlineStr">
        <is>
          <t>Quantidades resumo de projetos</t>
        </is>
      </c>
      <c r="P175" s="1721" t="inlineStr">
        <is>
          <t>Pendente</t>
        </is>
      </c>
    </row>
    <row r="176" hidden="1" outlineLevel="3" ht="13.5" customHeight="1">
      <c r="A176" s="2117" t="n">
        <v>0</v>
      </c>
      <c r="B176" s="2117" t="n">
        <v>4</v>
      </c>
      <c r="C176" s="2117" t="n">
        <v>3</v>
      </c>
      <c r="D176" s="2118" t="n">
        <v>4</v>
      </c>
      <c r="E176" s="2118" t="n">
        <v>8</v>
      </c>
      <c r="G176" s="1748" t="inlineStr">
        <is>
          <t>SUPRAESTRUTURA</t>
        </is>
      </c>
      <c r="H176" s="1749" t="inlineStr">
        <is>
          <t>SERVIÇO</t>
        </is>
      </c>
      <c r="I176" s="1750" t="inlineStr">
        <is>
          <t>04.003.004.008</t>
        </is>
      </c>
      <c r="J176" s="1751" t="inlineStr">
        <is>
          <t>Armação Aço CA-50, Diâmetro de 25,0mm para Supraestrutura, Corte e dobra em Indústria</t>
        </is>
      </c>
      <c r="K176" s="1752" t="inlineStr">
        <is>
          <t>kg</t>
        </is>
      </c>
      <c r="L176" s="1753" t="n">
        <v>20074.66745626822</v>
      </c>
      <c r="M176" s="1753" t="n">
        <v>8.484965000000001</v>
      </c>
      <c r="N176" s="1754" t="n">
        <v>170332.850753075</v>
      </c>
      <c r="O176" s="1755" t="inlineStr">
        <is>
          <t>Quantidades resumo de projetos</t>
        </is>
      </c>
      <c r="P176" s="1721" t="inlineStr">
        <is>
          <t>Pendente</t>
        </is>
      </c>
    </row>
    <row r="177" hidden="1" outlineLevel="2" ht="13.5" customHeight="1">
      <c r="A177" s="2117" t="n">
        <v>0</v>
      </c>
      <c r="B177" s="2117" t="n">
        <v>4</v>
      </c>
      <c r="C177" s="2117" t="n">
        <v>3</v>
      </c>
      <c r="D177" s="2118" t="n">
        <v>5</v>
      </c>
      <c r="E177" s="2118" t="n">
        <v>0</v>
      </c>
      <c r="G177" s="1740" t="n"/>
      <c r="H177" s="1741" t="inlineStr">
        <is>
          <t>SUBETAPA</t>
        </is>
      </c>
      <c r="I177" s="1742" t="inlineStr">
        <is>
          <t>04.003.005</t>
        </is>
      </c>
      <c r="J177" s="1743" t="inlineStr">
        <is>
          <t>Armadura - G4</t>
        </is>
      </c>
      <c r="K177" s="1744" t="n"/>
      <c r="L177" s="1745" t="n"/>
      <c r="M177" s="1745" t="n"/>
      <c r="N177" s="1746" t="n">
        <v>315085.527446319</v>
      </c>
      <c r="O177" s="1747" t="n">
        <v>18.8114468790322</v>
      </c>
      <c r="P177" s="1720" t="n"/>
    </row>
    <row r="178" hidden="1" outlineLevel="3" ht="13.5" customHeight="1">
      <c r="A178" s="2117" t="n">
        <v>0</v>
      </c>
      <c r="B178" s="2117" t="n">
        <v>4</v>
      </c>
      <c r="C178" s="2117" t="n">
        <v>3</v>
      </c>
      <c r="D178" s="2118" t="n">
        <v>5</v>
      </c>
      <c r="E178" s="2118" t="n">
        <v>1</v>
      </c>
      <c r="G178" s="1748" t="inlineStr">
        <is>
          <t>SUPRAESTRUTURA</t>
        </is>
      </c>
      <c r="H178" s="1749" t="inlineStr">
        <is>
          <t>SERVIÇO</t>
        </is>
      </c>
      <c r="I178" s="1750" t="inlineStr">
        <is>
          <t>04.003.005.001</t>
        </is>
      </c>
      <c r="J178" s="1751" t="inlineStr">
        <is>
          <t>Armação Aço CA-60, Diâmetro de 5,0mm para Supraestrutura, Corte e dobra em Indústria</t>
        </is>
      </c>
      <c r="K178" s="1752" t="inlineStr">
        <is>
          <t>kg</t>
        </is>
      </c>
      <c r="L178" s="1753" t="n">
        <v>206.4653182701653</v>
      </c>
      <c r="M178" s="1753" t="n">
        <v>8.964965000000001</v>
      </c>
      <c r="N178" s="1754" t="n">
        <v>1850.95435200589</v>
      </c>
      <c r="O178" s="1755" t="inlineStr">
        <is>
          <t>Quantidades resumo de projetos</t>
        </is>
      </c>
      <c r="P178" s="1721" t="inlineStr">
        <is>
          <t>Pendente</t>
        </is>
      </c>
    </row>
    <row r="179" hidden="1" outlineLevel="3" ht="13.5" customHeight="1">
      <c r="A179" s="2117" t="n">
        <v>0</v>
      </c>
      <c r="B179" s="2117" t="n">
        <v>4</v>
      </c>
      <c r="C179" s="2117" t="n">
        <v>3</v>
      </c>
      <c r="D179" s="2118" t="n">
        <v>5</v>
      </c>
      <c r="E179" s="2118" t="n">
        <v>2</v>
      </c>
      <c r="G179" s="1748" t="inlineStr">
        <is>
          <t>SUPRAESTRUTURA</t>
        </is>
      </c>
      <c r="H179" s="1749" t="inlineStr">
        <is>
          <t>SERVIÇO</t>
        </is>
      </c>
      <c r="I179" s="1750" t="inlineStr">
        <is>
          <t>04.003.005.002</t>
        </is>
      </c>
      <c r="J179" s="1751" t="inlineStr">
        <is>
          <t>Armação Aço CA-50, Diâmetro de 6,3mm para Supraestrutura, Corte e dobra em Indústria</t>
        </is>
      </c>
      <c r="K179" s="1752" t="inlineStr">
        <is>
          <t>kg</t>
        </is>
      </c>
      <c r="L179" s="1753" t="n">
        <v>2315.679361030126</v>
      </c>
      <c r="M179" s="1753" t="n">
        <v>8.964965000000001</v>
      </c>
      <c r="N179" s="1754" t="n">
        <v>20759.9844228574</v>
      </c>
      <c r="O179" s="1755" t="inlineStr">
        <is>
          <t>Quantidades resumo de projetos</t>
        </is>
      </c>
      <c r="P179" s="1721" t="inlineStr">
        <is>
          <t>Pendente</t>
        </is>
      </c>
    </row>
    <row r="180" hidden="1" outlineLevel="3" ht="13.5" customHeight="1">
      <c r="A180" s="2117" t="n">
        <v>0</v>
      </c>
      <c r="B180" s="2117" t="n">
        <v>4</v>
      </c>
      <c r="C180" s="2117" t="n">
        <v>3</v>
      </c>
      <c r="D180" s="2118" t="n">
        <v>5</v>
      </c>
      <c r="E180" s="2118" t="n">
        <v>3</v>
      </c>
      <c r="G180" s="1748" t="inlineStr">
        <is>
          <t>SUPRAESTRUTURA</t>
        </is>
      </c>
      <c r="H180" s="1749" t="inlineStr">
        <is>
          <t>SERVIÇO</t>
        </is>
      </c>
      <c r="I180" s="1750" t="inlineStr">
        <is>
          <t>04.003.005.003</t>
        </is>
      </c>
      <c r="J180" s="1751" t="inlineStr">
        <is>
          <t>Armação Aço CA-50, Diâmetro de 8,0mm para Supraestrutura, Corte e dobra em Indústria</t>
        </is>
      </c>
      <c r="K180" s="1752" t="inlineStr">
        <is>
          <t>kg</t>
        </is>
      </c>
      <c r="L180" s="1753" t="n">
        <v>2559.278729348882</v>
      </c>
      <c r="M180" s="1753" t="n">
        <v>8.964965000000001</v>
      </c>
      <c r="N180" s="1754" t="n">
        <v>22943.8442338572</v>
      </c>
      <c r="O180" s="1755" t="inlineStr">
        <is>
          <t>Quantidades resumo de projetos</t>
        </is>
      </c>
      <c r="P180" s="1721" t="inlineStr">
        <is>
          <t>Pendente</t>
        </is>
      </c>
    </row>
    <row r="181" hidden="1" outlineLevel="3" ht="13.5" customHeight="1">
      <c r="A181" s="2117" t="n">
        <v>0</v>
      </c>
      <c r="B181" s="2117" t="n">
        <v>4</v>
      </c>
      <c r="C181" s="2117" t="n">
        <v>3</v>
      </c>
      <c r="D181" s="2118" t="n">
        <v>5</v>
      </c>
      <c r="E181" s="2118" t="n">
        <v>4</v>
      </c>
      <c r="G181" s="1748" t="inlineStr">
        <is>
          <t>SUPRAESTRUTURA</t>
        </is>
      </c>
      <c r="H181" s="1749" t="inlineStr">
        <is>
          <t>SERVIÇO</t>
        </is>
      </c>
      <c r="I181" s="1750" t="inlineStr">
        <is>
          <t>04.003.005.004</t>
        </is>
      </c>
      <c r="J181" s="1751" t="inlineStr">
        <is>
          <t>Armação Aço CA-50, Diâmetro de 10,0mm para Supraestrutura, Corte e dobra em Indústria</t>
        </is>
      </c>
      <c r="K181" s="1752" t="inlineStr">
        <is>
          <t>kg</t>
        </is>
      </c>
      <c r="L181" s="1753" t="n">
        <v>2909.824161807579</v>
      </c>
      <c r="M181" s="1753" t="n">
        <v>8.964965000000001</v>
      </c>
      <c r="N181" s="1754" t="n">
        <v>26086.4717667593</v>
      </c>
      <c r="O181" s="1755" t="inlineStr">
        <is>
          <t>Quantidades resumo de projetos</t>
        </is>
      </c>
      <c r="P181" s="1721" t="inlineStr">
        <is>
          <t>Pendente</t>
        </is>
      </c>
    </row>
    <row r="182" hidden="1" outlineLevel="3" ht="13.5" customHeight="1">
      <c r="A182" s="2117" t="n">
        <v>0</v>
      </c>
      <c r="B182" s="2117" t="n">
        <v>4</v>
      </c>
      <c r="C182" s="2117" t="n">
        <v>3</v>
      </c>
      <c r="D182" s="2118" t="n">
        <v>5</v>
      </c>
      <c r="E182" s="2118" t="n">
        <v>5</v>
      </c>
      <c r="G182" s="1748" t="inlineStr">
        <is>
          <t>SUPRAESTRUTURA</t>
        </is>
      </c>
      <c r="H182" s="1749" t="inlineStr">
        <is>
          <t>SERVIÇO</t>
        </is>
      </c>
      <c r="I182" s="1750" t="inlineStr">
        <is>
          <t>04.003.005.005</t>
        </is>
      </c>
      <c r="J182" s="1751" t="inlineStr">
        <is>
          <t>Armação Aço CA-50, Diâmetro de 12,5mm para Supraestrutura, Corte e dobra em Indústria</t>
        </is>
      </c>
      <c r="K182" s="1752" t="inlineStr">
        <is>
          <t>kg</t>
        </is>
      </c>
      <c r="L182" s="1753" t="n">
        <v>3293.047558309038</v>
      </c>
      <c r="M182" s="1753" t="n">
        <v>8.484965000000001</v>
      </c>
      <c r="N182" s="1754" t="n">
        <v>27941.3932755876</v>
      </c>
      <c r="O182" s="1755" t="inlineStr">
        <is>
          <t>Quantidades resumo de projetos</t>
        </is>
      </c>
      <c r="P182" s="1721" t="inlineStr">
        <is>
          <t>Pendente</t>
        </is>
      </c>
    </row>
    <row r="183" hidden="1" outlineLevel="3" ht="13.5" customHeight="1">
      <c r="A183" s="2117" t="n">
        <v>0</v>
      </c>
      <c r="B183" s="2117" t="n">
        <v>4</v>
      </c>
      <c r="C183" s="2117" t="n">
        <v>3</v>
      </c>
      <c r="D183" s="2118" t="n">
        <v>5</v>
      </c>
      <c r="E183" s="2118" t="n">
        <v>6</v>
      </c>
      <c r="G183" s="1748" t="inlineStr">
        <is>
          <t>SUPRAESTRUTURA</t>
        </is>
      </c>
      <c r="H183" s="1749" t="inlineStr">
        <is>
          <t>SERVIÇO</t>
        </is>
      </c>
      <c r="I183" s="1750" t="inlineStr">
        <is>
          <t>04.003.005.006</t>
        </is>
      </c>
      <c r="J183" s="1751" t="inlineStr">
        <is>
          <t>Armação Aço CA-50, Diâmetro de 16,0mm para Supraestrutura, Corte e dobra em Indústria</t>
        </is>
      </c>
      <c r="K183" s="1752" t="inlineStr">
        <is>
          <t>kg</t>
        </is>
      </c>
      <c r="L183" s="1753" t="n">
        <v>1103.62396744412</v>
      </c>
      <c r="M183" s="1753" t="n">
        <v>8.484965000000001</v>
      </c>
      <c r="N183" s="1754" t="n">
        <v>9364.2107369245</v>
      </c>
      <c r="O183" s="1755" t="inlineStr">
        <is>
          <t>Quantidades resumo de projetos</t>
        </is>
      </c>
      <c r="P183" s="1721" t="inlineStr">
        <is>
          <t>Pendente</t>
        </is>
      </c>
    </row>
    <row r="184" hidden="1" outlineLevel="3" ht="13.5" customHeight="1">
      <c r="A184" s="2117" t="n">
        <v>0</v>
      </c>
      <c r="B184" s="2117" t="n">
        <v>4</v>
      </c>
      <c r="C184" s="2117" t="n">
        <v>3</v>
      </c>
      <c r="D184" s="2118" t="n">
        <v>5</v>
      </c>
      <c r="E184" s="2118" t="n">
        <v>7</v>
      </c>
      <c r="G184" s="1748" t="inlineStr">
        <is>
          <t>SUPRAESTRUTURA</t>
        </is>
      </c>
      <c r="H184" s="1749" t="inlineStr">
        <is>
          <t>SERVIÇO</t>
        </is>
      </c>
      <c r="I184" s="1750" t="inlineStr">
        <is>
          <t>04.003.005.007</t>
        </is>
      </c>
      <c r="J184" s="1751" t="inlineStr">
        <is>
          <t>Armação Aço CA-50, Diâmetro de 20,0mm para Supraestrutura, Corte e dobra em Indústria</t>
        </is>
      </c>
      <c r="K184" s="1752" t="inlineStr">
        <is>
          <t>kg</t>
        </is>
      </c>
      <c r="L184" s="1753" t="n">
        <v>4219.913447521865</v>
      </c>
      <c r="M184" s="1753" t="n">
        <v>8.484965000000001</v>
      </c>
      <c r="N184" s="1754" t="n">
        <v>35805.8179052524</v>
      </c>
      <c r="O184" s="1755" t="inlineStr">
        <is>
          <t>Quantidades resumo de projetos</t>
        </is>
      </c>
      <c r="P184" s="1721" t="inlineStr">
        <is>
          <t>Pendente</t>
        </is>
      </c>
    </row>
    <row r="185" hidden="1" outlineLevel="3" ht="13.5" customHeight="1">
      <c r="A185" s="2117" t="n">
        <v>0</v>
      </c>
      <c r="B185" s="2117" t="n">
        <v>4</v>
      </c>
      <c r="C185" s="2117" t="n">
        <v>3</v>
      </c>
      <c r="D185" s="2118" t="n">
        <v>5</v>
      </c>
      <c r="E185" s="2118" t="n">
        <v>8</v>
      </c>
      <c r="G185" s="1748" t="inlineStr">
        <is>
          <t>SUPRAESTRUTURA</t>
        </is>
      </c>
      <c r="H185" s="1749" t="inlineStr">
        <is>
          <t>SERVIÇO</t>
        </is>
      </c>
      <c r="I185" s="1750" t="inlineStr">
        <is>
          <t>04.003.005.008</t>
        </is>
      </c>
      <c r="J185" s="1751" t="inlineStr">
        <is>
          <t>Armação Aço CA-50, Diâmetro de 25,0mm para Supraestrutura, Corte e dobra em Indústria</t>
        </is>
      </c>
      <c r="K185" s="1752" t="inlineStr">
        <is>
          <t>kg</t>
        </is>
      </c>
      <c r="L185" s="1753" t="n">
        <v>20074.66745626822</v>
      </c>
      <c r="M185" s="1753" t="n">
        <v>8.484965000000001</v>
      </c>
      <c r="N185" s="1754" t="n">
        <v>170332.850753075</v>
      </c>
      <c r="O185" s="1755" t="inlineStr">
        <is>
          <t>Quantidades resumo de projetos</t>
        </is>
      </c>
      <c r="P185" s="1721" t="inlineStr">
        <is>
          <t>Pendente</t>
        </is>
      </c>
    </row>
    <row r="186" hidden="1" outlineLevel="2" ht="13.5" customHeight="1">
      <c r="A186" s="2117" t="n">
        <v>0</v>
      </c>
      <c r="B186" s="2117" t="n">
        <v>4</v>
      </c>
      <c r="C186" s="2117" t="n">
        <v>3</v>
      </c>
      <c r="D186" s="2118" t="n">
        <v>6</v>
      </c>
      <c r="E186" s="2118" t="n">
        <v>0</v>
      </c>
      <c r="G186" s="1740" t="n"/>
      <c r="H186" s="1741" t="inlineStr">
        <is>
          <t>SUBETAPA</t>
        </is>
      </c>
      <c r="I186" s="1742" t="inlineStr">
        <is>
          <t>04.003.006</t>
        </is>
      </c>
      <c r="J186" s="1743" t="inlineStr">
        <is>
          <t>Armadura - G5</t>
        </is>
      </c>
      <c r="K186" s="1744" t="n"/>
      <c r="L186" s="1745" t="n"/>
      <c r="M186" s="1745" t="n"/>
      <c r="N186" s="1746" t="n">
        <v>377458.417994985</v>
      </c>
      <c r="O186" s="1747" t="n">
        <v>22.5352749036241</v>
      </c>
      <c r="P186" s="1720" t="n"/>
    </row>
    <row r="187" hidden="1" outlineLevel="3" ht="13.5" customHeight="1">
      <c r="A187" s="2117" t="n">
        <v>0</v>
      </c>
      <c r="B187" s="2117" t="n">
        <v>4</v>
      </c>
      <c r="C187" s="2117" t="n">
        <v>3</v>
      </c>
      <c r="D187" s="2118" t="n">
        <v>6</v>
      </c>
      <c r="E187" s="2118" t="n">
        <v>1</v>
      </c>
      <c r="G187" s="1748" t="inlineStr">
        <is>
          <t>SUPRAESTRUTURA</t>
        </is>
      </c>
      <c r="H187" s="1749" t="inlineStr">
        <is>
          <t>SERVIÇO</t>
        </is>
      </c>
      <c r="I187" s="1750" t="inlineStr">
        <is>
          <t>04.003.006.001</t>
        </is>
      </c>
      <c r="J187" s="1751" t="inlineStr">
        <is>
          <t>Armação Aço CA-60, Diâmetro de 5,0mm para Supraestrutura, Corte e dobra em Indústria</t>
        </is>
      </c>
      <c r="K187" s="1752" t="inlineStr">
        <is>
          <t>kg</t>
        </is>
      </c>
      <c r="L187" s="1753" t="n">
        <v>247.3362487852286</v>
      </c>
      <c r="M187" s="1753" t="n">
        <v>8.964965000000001</v>
      </c>
      <c r="N187" s="1754" t="n">
        <v>2217.36081359087</v>
      </c>
      <c r="O187" s="1755" t="inlineStr">
        <is>
          <t>Quantidades resumo de projetos</t>
        </is>
      </c>
      <c r="P187" s="1721" t="inlineStr">
        <is>
          <t>Pendente</t>
        </is>
      </c>
    </row>
    <row r="188" hidden="1" outlineLevel="3" ht="13.5" customHeight="1">
      <c r="A188" s="2117" t="n">
        <v>0</v>
      </c>
      <c r="B188" s="2117" t="n">
        <v>4</v>
      </c>
      <c r="C188" s="2117" t="n">
        <v>3</v>
      </c>
      <c r="D188" s="2118" t="n">
        <v>6</v>
      </c>
      <c r="E188" s="2118" t="n">
        <v>2</v>
      </c>
      <c r="G188" s="1748" t="inlineStr">
        <is>
          <t>SUPRAESTRUTURA</t>
        </is>
      </c>
      <c r="H188" s="1749" t="inlineStr">
        <is>
          <t>SERVIÇO</t>
        </is>
      </c>
      <c r="I188" s="1750" t="inlineStr">
        <is>
          <t>04.003.006.002</t>
        </is>
      </c>
      <c r="J188" s="1751" t="inlineStr">
        <is>
          <t>Armação Aço CA-50, Diâmetro de 6,3mm para Supraestrutura, Corte e dobra em Indústria</t>
        </is>
      </c>
      <c r="K188" s="1752" t="inlineStr">
        <is>
          <t>kg</t>
        </is>
      </c>
      <c r="L188" s="1753" t="n">
        <v>2774.080660835763</v>
      </c>
      <c r="M188" s="1753" t="n">
        <v>8.964965000000001</v>
      </c>
      <c r="N188" s="1754" t="n">
        <v>24869.5360315695</v>
      </c>
      <c r="O188" s="1755" t="inlineStr">
        <is>
          <t>Quantidades resumo de projetos</t>
        </is>
      </c>
      <c r="P188" s="1721" t="inlineStr">
        <is>
          <t>Pendente</t>
        </is>
      </c>
    </row>
    <row r="189" hidden="1" outlineLevel="3" ht="13.5" customHeight="1">
      <c r="A189" s="2117" t="n">
        <v>0</v>
      </c>
      <c r="B189" s="2117" t="n">
        <v>4</v>
      </c>
      <c r="C189" s="2117" t="n">
        <v>3</v>
      </c>
      <c r="D189" s="2118" t="n">
        <v>6</v>
      </c>
      <c r="E189" s="2118" t="n">
        <v>3</v>
      </c>
      <c r="G189" s="1748" t="inlineStr">
        <is>
          <t>SUPRAESTRUTURA</t>
        </is>
      </c>
      <c r="H189" s="1749" t="inlineStr">
        <is>
          <t>SERVIÇO</t>
        </is>
      </c>
      <c r="I189" s="1750" t="inlineStr">
        <is>
          <t>04.003.006.003</t>
        </is>
      </c>
      <c r="J189" s="1751" t="inlineStr">
        <is>
          <t>Armação Aço CA-50, Diâmetro de 8,0mm para Supraestrutura, Corte e dobra em Indústria</t>
        </is>
      </c>
      <c r="K189" s="1752" t="inlineStr">
        <is>
          <t>kg</t>
        </is>
      </c>
      <c r="L189" s="1753" t="n">
        <v>3065.901846452867</v>
      </c>
      <c r="M189" s="1753" t="n">
        <v>8.964965000000001</v>
      </c>
      <c r="N189" s="1754" t="n">
        <v>27485.7027468853</v>
      </c>
      <c r="O189" s="1755" t="inlineStr">
        <is>
          <t>Quantidades resumo de projetos</t>
        </is>
      </c>
      <c r="P189" s="1721" t="inlineStr">
        <is>
          <t>Pendente</t>
        </is>
      </c>
    </row>
    <row r="190" hidden="1" outlineLevel="3" ht="13.5" customHeight="1">
      <c r="A190" s="2117" t="n">
        <v>0</v>
      </c>
      <c r="B190" s="2117" t="n">
        <v>4</v>
      </c>
      <c r="C190" s="2117" t="n">
        <v>3</v>
      </c>
      <c r="D190" s="2118" t="n">
        <v>6</v>
      </c>
      <c r="E190" s="2118" t="n">
        <v>4</v>
      </c>
      <c r="G190" s="1748" t="inlineStr">
        <is>
          <t>SUPRAESTRUTURA</t>
        </is>
      </c>
      <c r="H190" s="1749" t="inlineStr">
        <is>
          <t>SERVIÇO</t>
        </is>
      </c>
      <c r="I190" s="1750" t="inlineStr">
        <is>
          <t>04.003.006.004</t>
        </is>
      </c>
      <c r="J190" s="1751" t="inlineStr">
        <is>
          <t>Armação Aço CA-50, Diâmetro de 10,0mm para Supraestrutura, Corte e dobra em Indústria</t>
        </is>
      </c>
      <c r="K190" s="1752" t="inlineStr">
        <is>
          <t>kg</t>
        </is>
      </c>
      <c r="L190" s="1753" t="n">
        <v>3485.839650145772</v>
      </c>
      <c r="M190" s="1753" t="n">
        <v>8.964965000000001</v>
      </c>
      <c r="N190" s="1754" t="n">
        <v>31250.4304591691</v>
      </c>
      <c r="O190" s="1755" t="inlineStr">
        <is>
          <t>Quantidades resumo de projetos</t>
        </is>
      </c>
      <c r="P190" s="1721" t="inlineStr">
        <is>
          <t>Pendente</t>
        </is>
      </c>
    </row>
    <row r="191" hidden="1" outlineLevel="3" ht="13.5" customHeight="1">
      <c r="A191" s="2117" t="n">
        <v>0</v>
      </c>
      <c r="B191" s="2117" t="n">
        <v>4</v>
      </c>
      <c r="C191" s="2117" t="n">
        <v>3</v>
      </c>
      <c r="D191" s="2118" t="n">
        <v>6</v>
      </c>
      <c r="E191" s="2118" t="n">
        <v>5</v>
      </c>
      <c r="G191" s="1748" t="inlineStr">
        <is>
          <t>SUPRAESTRUTURA</t>
        </is>
      </c>
      <c r="H191" s="1749" t="inlineStr">
        <is>
          <t>SERVIÇO</t>
        </is>
      </c>
      <c r="I191" s="1750" t="inlineStr">
        <is>
          <t>04.003.006.005</t>
        </is>
      </c>
      <c r="J191" s="1751" t="inlineStr">
        <is>
          <t>Armação Aço CA-50, Diâmetro de 12,5mm para Supraestrutura, Corte e dobra em Indústria</t>
        </is>
      </c>
      <c r="K191" s="1752" t="inlineStr">
        <is>
          <t>kg</t>
        </is>
      </c>
      <c r="L191" s="1753" t="n">
        <v>3944.92419825073</v>
      </c>
      <c r="M191" s="1753" t="n">
        <v>8.484965000000001</v>
      </c>
      <c r="N191" s="1754" t="n">
        <v>33472.5437498105</v>
      </c>
      <c r="O191" s="1755" t="inlineStr">
        <is>
          <t>Quantidades resumo de projetos</t>
        </is>
      </c>
      <c r="P191" s="1721" t="inlineStr">
        <is>
          <t>Pendente</t>
        </is>
      </c>
    </row>
    <row r="192" hidden="1" outlineLevel="3" ht="13.5" customHeight="1">
      <c r="A192" s="2117" t="n">
        <v>0</v>
      </c>
      <c r="B192" s="2117" t="n">
        <v>4</v>
      </c>
      <c r="C192" s="2117" t="n">
        <v>3</v>
      </c>
      <c r="D192" s="2118" t="n">
        <v>6</v>
      </c>
      <c r="E192" s="2118" t="n">
        <v>6</v>
      </c>
      <c r="G192" s="1748" t="inlineStr">
        <is>
          <t>SUPRAESTRUTURA</t>
        </is>
      </c>
      <c r="H192" s="1749" t="inlineStr">
        <is>
          <t>SERVIÇO</t>
        </is>
      </c>
      <c r="I192" s="1750" t="inlineStr">
        <is>
          <t>04.003.006.006</t>
        </is>
      </c>
      <c r="J192" s="1751" t="inlineStr">
        <is>
          <t>Armação Aço CA-50, Diâmetro de 16,0mm para Supraestrutura, Corte e dobra em Indústria</t>
        </is>
      </c>
      <c r="K192" s="1752" t="inlineStr">
        <is>
          <t>kg</t>
        </is>
      </c>
      <c r="L192" s="1753" t="n">
        <v>1322.092322643343</v>
      </c>
      <c r="M192" s="1753" t="n">
        <v>8.484965000000001</v>
      </c>
      <c r="N192" s="1754" t="n">
        <v>11217.9070843975</v>
      </c>
      <c r="O192" s="1755" t="inlineStr">
        <is>
          <t>Quantidades resumo de projetos</t>
        </is>
      </c>
      <c r="P192" s="1721" t="inlineStr">
        <is>
          <t>Pendente</t>
        </is>
      </c>
    </row>
    <row r="193" hidden="1" outlineLevel="3" ht="13.5" customHeight="1">
      <c r="A193" s="2117" t="n">
        <v>0</v>
      </c>
      <c r="B193" s="2117" t="n">
        <v>4</v>
      </c>
      <c r="C193" s="2117" t="n">
        <v>3</v>
      </c>
      <c r="D193" s="2118" t="n">
        <v>6</v>
      </c>
      <c r="E193" s="2118" t="n">
        <v>7</v>
      </c>
      <c r="G193" s="1748" t="inlineStr">
        <is>
          <t>SUPRAESTRUTURA</t>
        </is>
      </c>
      <c r="H193" s="1749" t="inlineStr">
        <is>
          <t>SERVIÇO</t>
        </is>
      </c>
      <c r="I193" s="1750" t="inlineStr">
        <is>
          <t>04.003.006.007</t>
        </is>
      </c>
      <c r="J193" s="1751" t="inlineStr">
        <is>
          <t>Armação Aço CA-50, Diâmetro de 20,0mm para Supraestrutura, Corte e dobra em Indústria</t>
        </is>
      </c>
      <c r="K193" s="1752" t="inlineStr">
        <is>
          <t>kg</t>
        </is>
      </c>
      <c r="L193" s="1753" t="n">
        <v>5055.268221574343</v>
      </c>
      <c r="M193" s="1753" t="n">
        <v>8.484965000000001</v>
      </c>
      <c r="N193" s="1754" t="n">
        <v>42893.7739256706</v>
      </c>
      <c r="O193" s="1755" t="inlineStr">
        <is>
          <t>Quantidades resumo de projetos</t>
        </is>
      </c>
      <c r="P193" s="1721" t="inlineStr">
        <is>
          <t>Pendente</t>
        </is>
      </c>
    </row>
    <row r="194" hidden="1" outlineLevel="3" ht="13.5" customHeight="1">
      <c r="A194" s="2117" t="n">
        <v>0</v>
      </c>
      <c r="B194" s="2117" t="n">
        <v>4</v>
      </c>
      <c r="C194" s="2117" t="n">
        <v>3</v>
      </c>
      <c r="D194" s="2118" t="n">
        <v>6</v>
      </c>
      <c r="E194" s="2118" t="n">
        <v>8</v>
      </c>
      <c r="G194" s="1748" t="inlineStr">
        <is>
          <t>SUPRAESTRUTURA</t>
        </is>
      </c>
      <c r="H194" s="1749" t="inlineStr">
        <is>
          <t>SERVIÇO</t>
        </is>
      </c>
      <c r="I194" s="1750" t="inlineStr">
        <is>
          <t>04.003.006.008</t>
        </is>
      </c>
      <c r="J194" s="1751" t="inlineStr">
        <is>
          <t>Armação Aço CA-50, Diâmetro de 25,0mm para Supraestrutura, Corte e dobra em Indústria</t>
        </is>
      </c>
      <c r="K194" s="1752" t="inlineStr">
        <is>
          <t>kg</t>
        </is>
      </c>
      <c r="L194" s="1753" t="n">
        <v>24048.55685131195</v>
      </c>
      <c r="M194" s="1753" t="n">
        <v>8.484965000000001</v>
      </c>
      <c r="N194" s="1754" t="n">
        <v>204051.163183892</v>
      </c>
      <c r="O194" s="1755" t="inlineStr">
        <is>
          <t>Quantidades resumo de projetos</t>
        </is>
      </c>
      <c r="P194" s="1721" t="inlineStr">
        <is>
          <t>Pendente</t>
        </is>
      </c>
    </row>
    <row r="195" hidden="1" outlineLevel="2" ht="13.5" customHeight="1">
      <c r="A195" s="2117" t="n">
        <v>0</v>
      </c>
      <c r="B195" s="2117" t="n">
        <v>4</v>
      </c>
      <c r="C195" s="2117" t="n">
        <v>3</v>
      </c>
      <c r="D195" s="2118" t="n">
        <v>7</v>
      </c>
      <c r="E195" s="2118" t="n">
        <v>0</v>
      </c>
      <c r="G195" s="1740" t="n"/>
      <c r="H195" s="1741" t="inlineStr">
        <is>
          <t>SUBETAPA</t>
        </is>
      </c>
      <c r="I195" s="1742" t="inlineStr">
        <is>
          <t>04.003.007</t>
        </is>
      </c>
      <c r="J195" s="1743" t="inlineStr">
        <is>
          <t>Armadura - Lazer | Garagem</t>
        </is>
      </c>
      <c r="K195" s="1744" t="n"/>
      <c r="L195" s="1745" t="n"/>
      <c r="M195" s="1745" t="n"/>
      <c r="N195" s="1746" t="n">
        <v>377458.417994985</v>
      </c>
      <c r="O195" s="1747" t="n">
        <v>22.5352749036241</v>
      </c>
      <c r="P195" s="1720" t="n"/>
    </row>
    <row r="196" hidden="1" outlineLevel="3" ht="13.5" customHeight="1">
      <c r="A196" s="2117" t="n">
        <v>0</v>
      </c>
      <c r="B196" s="2117" t="n">
        <v>4</v>
      </c>
      <c r="C196" s="2117" t="n">
        <v>3</v>
      </c>
      <c r="D196" s="2118" t="n">
        <v>7</v>
      </c>
      <c r="E196" s="2118" t="n">
        <v>1</v>
      </c>
      <c r="G196" s="1748" t="inlineStr">
        <is>
          <t>SUPRAESTRUTURA</t>
        </is>
      </c>
      <c r="H196" s="1749" t="inlineStr">
        <is>
          <t>SERVIÇO</t>
        </is>
      </c>
      <c r="I196" s="1750" t="inlineStr">
        <is>
          <t>04.003.007.001</t>
        </is>
      </c>
      <c r="J196" s="1751" t="inlineStr">
        <is>
          <t>Armação Aço CA-60, Diâmetro de 5,0mm para Supraestrutura, Corte e dobra em Indústria</t>
        </is>
      </c>
      <c r="K196" s="1752" t="inlineStr">
        <is>
          <t>kg</t>
        </is>
      </c>
      <c r="L196" s="1753" t="n">
        <v>247.3362487852286</v>
      </c>
      <c r="M196" s="1753" t="n">
        <v>8.964965000000001</v>
      </c>
      <c r="N196" s="1754" t="n">
        <v>2217.36081359087</v>
      </c>
      <c r="O196" s="1755" t="inlineStr">
        <is>
          <t>Quantidades resumo de projetos</t>
        </is>
      </c>
      <c r="P196" s="1721" t="inlineStr">
        <is>
          <t>Pendente</t>
        </is>
      </c>
    </row>
    <row r="197" hidden="1" outlineLevel="3" ht="13.5" customHeight="1">
      <c r="A197" s="2117" t="n">
        <v>0</v>
      </c>
      <c r="B197" s="2117" t="n">
        <v>4</v>
      </c>
      <c r="C197" s="2117" t="n">
        <v>3</v>
      </c>
      <c r="D197" s="2118" t="n">
        <v>7</v>
      </c>
      <c r="E197" s="2118" t="n">
        <v>2</v>
      </c>
      <c r="G197" s="1748" t="inlineStr">
        <is>
          <t>SUPRAESTRUTURA</t>
        </is>
      </c>
      <c r="H197" s="1749" t="inlineStr">
        <is>
          <t>SERVIÇO</t>
        </is>
      </c>
      <c r="I197" s="1750" t="inlineStr">
        <is>
          <t>04.003.007.002</t>
        </is>
      </c>
      <c r="J197" s="1751" t="inlineStr">
        <is>
          <t>Armação Aço CA-50, Diâmetro de 6,3mm para Supraestrutura, Corte e dobra em Indústria</t>
        </is>
      </c>
      <c r="K197" s="1752" t="inlineStr">
        <is>
          <t>kg</t>
        </is>
      </c>
      <c r="L197" s="1753" t="n">
        <v>2774.080660835763</v>
      </c>
      <c r="M197" s="1753" t="n">
        <v>8.964965000000001</v>
      </c>
      <c r="N197" s="1754" t="n">
        <v>24869.5360315695</v>
      </c>
      <c r="O197" s="1755" t="inlineStr">
        <is>
          <t>Quantidades resumo de projetos</t>
        </is>
      </c>
      <c r="P197" s="1721" t="inlineStr">
        <is>
          <t>Pendente</t>
        </is>
      </c>
    </row>
    <row r="198" hidden="1" outlineLevel="3" ht="13.5" customHeight="1">
      <c r="A198" s="2117" t="n">
        <v>0</v>
      </c>
      <c r="B198" s="2117" t="n">
        <v>4</v>
      </c>
      <c r="C198" s="2117" t="n">
        <v>3</v>
      </c>
      <c r="D198" s="2118" t="n">
        <v>7</v>
      </c>
      <c r="E198" s="2118" t="n">
        <v>3</v>
      </c>
      <c r="G198" s="1748" t="inlineStr">
        <is>
          <t>SUPRAESTRUTURA</t>
        </is>
      </c>
      <c r="H198" s="1749" t="inlineStr">
        <is>
          <t>SERVIÇO</t>
        </is>
      </c>
      <c r="I198" s="1750" t="inlineStr">
        <is>
          <t>04.003.007.003</t>
        </is>
      </c>
      <c r="J198" s="1751" t="inlineStr">
        <is>
          <t>Armação Aço CA-50, Diâmetro de 8,0mm para Supraestrutura, Corte e dobra em Indústria</t>
        </is>
      </c>
      <c r="K198" s="1752" t="inlineStr">
        <is>
          <t>kg</t>
        </is>
      </c>
      <c r="L198" s="1753" t="n">
        <v>3065.901846452867</v>
      </c>
      <c r="M198" s="1753" t="n">
        <v>8.964965000000001</v>
      </c>
      <c r="N198" s="1754" t="n">
        <v>27485.7027468853</v>
      </c>
      <c r="O198" s="1755" t="inlineStr">
        <is>
          <t>Quantidades resumo de projetos</t>
        </is>
      </c>
      <c r="P198" s="1721" t="inlineStr">
        <is>
          <t>Pendente</t>
        </is>
      </c>
    </row>
    <row r="199" hidden="1" outlineLevel="3" ht="13.5" customHeight="1">
      <c r="A199" s="2117" t="n">
        <v>0</v>
      </c>
      <c r="B199" s="2117" t="n">
        <v>4</v>
      </c>
      <c r="C199" s="2117" t="n">
        <v>3</v>
      </c>
      <c r="D199" s="2118" t="n">
        <v>7</v>
      </c>
      <c r="E199" s="2118" t="n">
        <v>4</v>
      </c>
      <c r="G199" s="1748" t="inlineStr">
        <is>
          <t>SUPRAESTRUTURA</t>
        </is>
      </c>
      <c r="H199" s="1749" t="inlineStr">
        <is>
          <t>SERVIÇO</t>
        </is>
      </c>
      <c r="I199" s="1750" t="inlineStr">
        <is>
          <t>04.003.007.004</t>
        </is>
      </c>
      <c r="J199" s="1751" t="inlineStr">
        <is>
          <t>Armação Aço CA-50, Diâmetro de 10,0mm para Supraestrutura, Corte e dobra em Indústria</t>
        </is>
      </c>
      <c r="K199" s="1752" t="inlineStr">
        <is>
          <t>kg</t>
        </is>
      </c>
      <c r="L199" s="1753" t="n">
        <v>3485.839650145772</v>
      </c>
      <c r="M199" s="1753" t="n">
        <v>8.964965000000001</v>
      </c>
      <c r="N199" s="1754" t="n">
        <v>31250.4304591691</v>
      </c>
      <c r="O199" s="1755" t="inlineStr">
        <is>
          <t>Quantidades resumo de projetos</t>
        </is>
      </c>
      <c r="P199" s="1721" t="inlineStr">
        <is>
          <t>Pendente</t>
        </is>
      </c>
    </row>
    <row r="200" hidden="1" outlineLevel="3" ht="13.5" customHeight="1">
      <c r="A200" s="2117" t="n">
        <v>0</v>
      </c>
      <c r="B200" s="2117" t="n">
        <v>4</v>
      </c>
      <c r="C200" s="2117" t="n">
        <v>3</v>
      </c>
      <c r="D200" s="2118" t="n">
        <v>7</v>
      </c>
      <c r="E200" s="2118" t="n">
        <v>5</v>
      </c>
      <c r="G200" s="1748" t="inlineStr">
        <is>
          <t>SUPRAESTRUTURA</t>
        </is>
      </c>
      <c r="H200" s="1749" t="inlineStr">
        <is>
          <t>SERVIÇO</t>
        </is>
      </c>
      <c r="I200" s="1750" t="inlineStr">
        <is>
          <t>04.003.007.005</t>
        </is>
      </c>
      <c r="J200" s="1751" t="inlineStr">
        <is>
          <t>Armação Aço CA-50, Diâmetro de 12,5mm para Supraestrutura, Corte e dobra em Indústria</t>
        </is>
      </c>
      <c r="K200" s="1752" t="inlineStr">
        <is>
          <t>kg</t>
        </is>
      </c>
      <c r="L200" s="1753" t="n">
        <v>3944.92419825073</v>
      </c>
      <c r="M200" s="1753" t="n">
        <v>8.484965000000001</v>
      </c>
      <c r="N200" s="1754" t="n">
        <v>33472.5437498105</v>
      </c>
      <c r="O200" s="1755" t="inlineStr">
        <is>
          <t>Quantidades resumo de projetos</t>
        </is>
      </c>
      <c r="P200" s="1721" t="inlineStr">
        <is>
          <t>Pendente</t>
        </is>
      </c>
    </row>
    <row r="201" hidden="1" outlineLevel="3" ht="13.5" customHeight="1">
      <c r="A201" s="2117" t="n">
        <v>0</v>
      </c>
      <c r="B201" s="2117" t="n">
        <v>4</v>
      </c>
      <c r="C201" s="2117" t="n">
        <v>3</v>
      </c>
      <c r="D201" s="2118" t="n">
        <v>7</v>
      </c>
      <c r="E201" s="2118" t="n">
        <v>6</v>
      </c>
      <c r="G201" s="1748" t="inlineStr">
        <is>
          <t>SUPRAESTRUTURA</t>
        </is>
      </c>
      <c r="H201" s="1749" t="inlineStr">
        <is>
          <t>SERVIÇO</t>
        </is>
      </c>
      <c r="I201" s="1750" t="inlineStr">
        <is>
          <t>04.003.007.006</t>
        </is>
      </c>
      <c r="J201" s="1751" t="inlineStr">
        <is>
          <t>Armação Aço CA-50, Diâmetro de 16,0mm para Supraestrutura, Corte e dobra em Indústria</t>
        </is>
      </c>
      <c r="K201" s="1752" t="inlineStr">
        <is>
          <t>kg</t>
        </is>
      </c>
      <c r="L201" s="1753" t="n">
        <v>1322.092322643343</v>
      </c>
      <c r="M201" s="1753" t="n">
        <v>8.484965000000001</v>
      </c>
      <c r="N201" s="1754" t="n">
        <v>11217.9070843975</v>
      </c>
      <c r="O201" s="1755" t="inlineStr">
        <is>
          <t>Quantidades resumo de projetos</t>
        </is>
      </c>
      <c r="P201" s="1721" t="inlineStr">
        <is>
          <t>Pendente</t>
        </is>
      </c>
    </row>
    <row r="202" hidden="1" outlineLevel="3" ht="13.5" customHeight="1">
      <c r="A202" s="2117" t="n">
        <v>0</v>
      </c>
      <c r="B202" s="2117" t="n">
        <v>4</v>
      </c>
      <c r="C202" s="2117" t="n">
        <v>3</v>
      </c>
      <c r="D202" s="2118" t="n">
        <v>7</v>
      </c>
      <c r="E202" s="2118" t="n">
        <v>7</v>
      </c>
      <c r="G202" s="1748" t="inlineStr">
        <is>
          <t>SUPRAESTRUTURA</t>
        </is>
      </c>
      <c r="H202" s="1749" t="inlineStr">
        <is>
          <t>SERVIÇO</t>
        </is>
      </c>
      <c r="I202" s="1750" t="inlineStr">
        <is>
          <t>04.003.007.007</t>
        </is>
      </c>
      <c r="J202" s="1751" t="inlineStr">
        <is>
          <t>Armação Aço CA-50, Diâmetro de 20,0mm para Supraestrutura, Corte e dobra em Indústria</t>
        </is>
      </c>
      <c r="K202" s="1752" t="inlineStr">
        <is>
          <t>kg</t>
        </is>
      </c>
      <c r="L202" s="1753" t="n">
        <v>5055.268221574343</v>
      </c>
      <c r="M202" s="1753" t="n">
        <v>8.484965000000001</v>
      </c>
      <c r="N202" s="1754" t="n">
        <v>42893.7739256706</v>
      </c>
      <c r="O202" s="1755" t="inlineStr">
        <is>
          <t>Quantidades resumo de projetos</t>
        </is>
      </c>
      <c r="P202" s="1721" t="inlineStr">
        <is>
          <t>Pendente</t>
        </is>
      </c>
    </row>
    <row r="203" hidden="1" outlineLevel="3" ht="13.5" customHeight="1">
      <c r="A203" s="2117" t="n">
        <v>0</v>
      </c>
      <c r="B203" s="2117" t="n">
        <v>4</v>
      </c>
      <c r="C203" s="2117" t="n">
        <v>3</v>
      </c>
      <c r="D203" s="2118" t="n">
        <v>7</v>
      </c>
      <c r="E203" s="2118" t="n">
        <v>8</v>
      </c>
      <c r="G203" s="1748" t="inlineStr">
        <is>
          <t>SUPRAESTRUTURA</t>
        </is>
      </c>
      <c r="H203" s="1749" t="inlineStr">
        <is>
          <t>SERVIÇO</t>
        </is>
      </c>
      <c r="I203" s="1750" t="inlineStr">
        <is>
          <t>04.003.007.008</t>
        </is>
      </c>
      <c r="J203" s="1751" t="inlineStr">
        <is>
          <t>Armação Aço CA-50, Diâmetro de 25,0mm para Supraestrutura, Corte e dobra em Indústria</t>
        </is>
      </c>
      <c r="K203" s="1752" t="inlineStr">
        <is>
          <t>kg</t>
        </is>
      </c>
      <c r="L203" s="1753" t="n">
        <v>24048.55685131195</v>
      </c>
      <c r="M203" s="1753" t="n">
        <v>8.484965000000001</v>
      </c>
      <c r="N203" s="1754" t="n">
        <v>204051.163183892</v>
      </c>
      <c r="O203" s="1755" t="inlineStr">
        <is>
          <t>Quantidades resumo de projetos</t>
        </is>
      </c>
      <c r="P203" s="1721" t="inlineStr">
        <is>
          <t>Pendente</t>
        </is>
      </c>
    </row>
    <row r="204" hidden="1" outlineLevel="2" ht="13.5" customHeight="1">
      <c r="A204" s="2117" t="n">
        <v>0</v>
      </c>
      <c r="B204" s="2117" t="n">
        <v>4</v>
      </c>
      <c r="C204" s="2117" t="n">
        <v>3</v>
      </c>
      <c r="D204" s="2118" t="n">
        <v>8</v>
      </c>
      <c r="E204" s="2118" t="n">
        <v>0</v>
      </c>
      <c r="G204" s="1740" t="n"/>
      <c r="H204" s="1741" t="inlineStr">
        <is>
          <t>SUBETAPA</t>
        </is>
      </c>
      <c r="I204" s="1742" t="inlineStr">
        <is>
          <t>04.003.008</t>
        </is>
      </c>
      <c r="J204" s="1743" t="inlineStr">
        <is>
          <t>Armadura - Patamar Intermediário</t>
        </is>
      </c>
      <c r="K204" s="1744" t="n"/>
      <c r="L204" s="1745" t="n"/>
      <c r="M204" s="1745" t="n"/>
      <c r="N204" s="1746" t="n">
        <v>217499.848244585</v>
      </c>
      <c r="O204" s="1747" t="n">
        <v>12.9853213970535</v>
      </c>
      <c r="P204" s="1720" t="n"/>
    </row>
    <row r="205" hidden="1" outlineLevel="3" ht="13.5" customHeight="1">
      <c r="A205" s="2117" t="n">
        <v>0</v>
      </c>
      <c r="B205" s="2117" t="n">
        <v>4</v>
      </c>
      <c r="C205" s="2117" t="n">
        <v>3</v>
      </c>
      <c r="D205" s="2118" t="n">
        <v>8</v>
      </c>
      <c r="E205" s="2118" t="n">
        <v>1</v>
      </c>
      <c r="G205" s="1748" t="inlineStr">
        <is>
          <t>SUPRAESTRUTURA</t>
        </is>
      </c>
      <c r="H205" s="1749" t="inlineStr">
        <is>
          <t>SERVIÇO</t>
        </is>
      </c>
      <c r="I205" s="1750" t="inlineStr">
        <is>
          <t>04.003.008.001</t>
        </is>
      </c>
      <c r="J205" s="1751" t="inlineStr">
        <is>
          <t>Armação Aço CA-60, Diâmetro de 5,0mm para Supraestrutura, Corte e dobra em Indústria</t>
        </is>
      </c>
      <c r="K205" s="1752" t="inlineStr">
        <is>
          <t>kg</t>
        </is>
      </c>
      <c r="L205" s="1753" t="n">
        <v>142.5205903790088</v>
      </c>
      <c r="M205" s="1753" t="n">
        <v>8.964965000000001</v>
      </c>
      <c r="N205" s="1754" t="n">
        <v>1277.69210452715</v>
      </c>
      <c r="O205" s="1755" t="inlineStr">
        <is>
          <t>Quantidades resumo de projetos</t>
        </is>
      </c>
      <c r="P205" s="1721" t="inlineStr">
        <is>
          <t>Pendente</t>
        </is>
      </c>
    </row>
    <row r="206" hidden="1" outlineLevel="3" ht="13.5" customHeight="1">
      <c r="A206" s="2117" t="n">
        <v>0</v>
      </c>
      <c r="B206" s="2117" t="n">
        <v>4</v>
      </c>
      <c r="C206" s="2117" t="n">
        <v>3</v>
      </c>
      <c r="D206" s="2118" t="n">
        <v>8</v>
      </c>
      <c r="E206" s="2118" t="n">
        <v>2</v>
      </c>
      <c r="G206" s="1748" t="inlineStr">
        <is>
          <t>SUPRAESTRUTURA</t>
        </is>
      </c>
      <c r="H206" s="1749" t="inlineStr">
        <is>
          <t>SERVIÇO</t>
        </is>
      </c>
      <c r="I206" s="1750" t="inlineStr">
        <is>
          <t>04.003.008.002</t>
        </is>
      </c>
      <c r="J206" s="1751" t="inlineStr">
        <is>
          <t>Armação Aço CA-50, Diâmetro de 6,3mm para Supraestrutura, Corte e dobra em Indústria</t>
        </is>
      </c>
      <c r="K206" s="1752" t="inlineStr">
        <is>
          <t>kg</t>
        </is>
      </c>
      <c r="L206" s="1753" t="n">
        <v>1598.486333819242</v>
      </c>
      <c r="M206" s="1753" t="n">
        <v>8.964965000000001</v>
      </c>
      <c r="N206" s="1754" t="n">
        <v>14330.3740356678</v>
      </c>
      <c r="O206" s="1755" t="inlineStr">
        <is>
          <t>Quantidades resumo de projetos</t>
        </is>
      </c>
      <c r="P206" s="1721" t="inlineStr">
        <is>
          <t>Pendente</t>
        </is>
      </c>
    </row>
    <row r="207" hidden="1" outlineLevel="3" ht="13.5" customHeight="1">
      <c r="A207" s="2117" t="n">
        <v>0</v>
      </c>
      <c r="B207" s="2117" t="n">
        <v>4</v>
      </c>
      <c r="C207" s="2117" t="n">
        <v>3</v>
      </c>
      <c r="D207" s="2118" t="n">
        <v>8</v>
      </c>
      <c r="E207" s="2118" t="n">
        <v>3</v>
      </c>
      <c r="G207" s="1748" t="inlineStr">
        <is>
          <t>SUPRAESTRUTURA</t>
        </is>
      </c>
      <c r="H207" s="1749" t="inlineStr">
        <is>
          <t>SERVIÇO</t>
        </is>
      </c>
      <c r="I207" s="1750" t="inlineStr">
        <is>
          <t>04.003.008.003</t>
        </is>
      </c>
      <c r="J207" s="1751" t="inlineStr">
        <is>
          <t>Armação Aço CA-50, Diâmetro de 8,0mm para Supraestrutura, Corte e dobra em Indústria</t>
        </is>
      </c>
      <c r="K207" s="1752" t="inlineStr">
        <is>
          <t>kg</t>
        </is>
      </c>
      <c r="L207" s="1753" t="n">
        <v>1766.640123906706</v>
      </c>
      <c r="M207" s="1753" t="n">
        <v>8.964965000000001</v>
      </c>
      <c r="N207" s="1754" t="n">
        <v>15837.8668784193</v>
      </c>
      <c r="O207" s="1755" t="inlineStr">
        <is>
          <t>Quantidades resumo de projetos</t>
        </is>
      </c>
      <c r="P207" s="1721" t="inlineStr">
        <is>
          <t>Pendente</t>
        </is>
      </c>
    </row>
    <row r="208" hidden="1" outlineLevel="3" ht="13.5" customHeight="1">
      <c r="A208" s="2117" t="n">
        <v>0</v>
      </c>
      <c r="B208" s="2117" t="n">
        <v>4</v>
      </c>
      <c r="C208" s="2117" t="n">
        <v>3</v>
      </c>
      <c r="D208" s="2118" t="n">
        <v>8</v>
      </c>
      <c r="E208" s="2118" t="n">
        <v>4</v>
      </c>
      <c r="G208" s="1748" t="inlineStr">
        <is>
          <t>SUPRAESTRUTURA</t>
        </is>
      </c>
      <c r="H208" s="1749" t="inlineStr">
        <is>
          <t>SERVIÇO</t>
        </is>
      </c>
      <c r="I208" s="1750" t="inlineStr">
        <is>
          <t>04.003.008.004</t>
        </is>
      </c>
      <c r="J208" s="1751" t="inlineStr">
        <is>
          <t>Armação Aço CA-50, Diâmetro de 10,0mm para Supraestrutura, Corte e dobra em Indústria</t>
        </is>
      </c>
      <c r="K208" s="1752" t="inlineStr">
        <is>
          <t>kg</t>
        </is>
      </c>
      <c r="L208" s="1753" t="n">
        <v>2008.617529154519</v>
      </c>
      <c r="M208" s="1753" t="n">
        <v>8.964965000000001</v>
      </c>
      <c r="N208" s="1754" t="n">
        <v>18007.1858472567</v>
      </c>
      <c r="O208" s="1755" t="inlineStr">
        <is>
          <t>Quantidades resumo de projetos</t>
        </is>
      </c>
      <c r="P208" s="1721" t="inlineStr">
        <is>
          <t>Pendente</t>
        </is>
      </c>
    </row>
    <row r="209" hidden="1" outlineLevel="3" ht="13.5" customHeight="1">
      <c r="A209" s="2117" t="n">
        <v>0</v>
      </c>
      <c r="B209" s="2117" t="n">
        <v>4</v>
      </c>
      <c r="C209" s="2117" t="n">
        <v>3</v>
      </c>
      <c r="D209" s="2118" t="n">
        <v>8</v>
      </c>
      <c r="E209" s="2118" t="n">
        <v>5</v>
      </c>
      <c r="G209" s="1748" t="inlineStr">
        <is>
          <t>SUPRAESTRUTURA</t>
        </is>
      </c>
      <c r="H209" s="1749" t="inlineStr">
        <is>
          <t>SERVIÇO</t>
        </is>
      </c>
      <c r="I209" s="1750" t="inlineStr">
        <is>
          <t>04.003.008.005</t>
        </is>
      </c>
      <c r="J209" s="1751" t="inlineStr">
        <is>
          <t>Armação Aço CA-50, Diâmetro de 12,5mm para Supraestrutura, Corte e dobra em Indústria</t>
        </is>
      </c>
      <c r="K209" s="1752" t="inlineStr">
        <is>
          <t>kg</t>
        </is>
      </c>
      <c r="L209" s="1753" t="n">
        <v>2273.152150145773</v>
      </c>
      <c r="M209" s="1753" t="n">
        <v>8.484965000000001</v>
      </c>
      <c r="N209" s="1754" t="n">
        <v>19287.6164336616</v>
      </c>
      <c r="O209" s="1755" t="inlineStr">
        <is>
          <t>Quantidades resumo de projetos</t>
        </is>
      </c>
      <c r="P209" s="1721" t="inlineStr">
        <is>
          <t>Pendente</t>
        </is>
      </c>
    </row>
    <row r="210" hidden="1" outlineLevel="3" ht="13.5" customHeight="1">
      <c r="A210" s="2117" t="n">
        <v>0</v>
      </c>
      <c r="B210" s="2117" t="n">
        <v>4</v>
      </c>
      <c r="C210" s="2117" t="n">
        <v>3</v>
      </c>
      <c r="D210" s="2118" t="n">
        <v>8</v>
      </c>
      <c r="E210" s="2118" t="n">
        <v>6</v>
      </c>
      <c r="G210" s="1748" t="inlineStr">
        <is>
          <t>SUPRAESTRUTURA</t>
        </is>
      </c>
      <c r="H210" s="1749" t="inlineStr">
        <is>
          <t>SERVIÇO</t>
        </is>
      </c>
      <c r="I210" s="1750" t="inlineStr">
        <is>
          <t>04.003.008.006</t>
        </is>
      </c>
      <c r="J210" s="1751" t="inlineStr">
        <is>
          <t>Armação Aço CA-50, Diâmetro de 16,0mm para Supraestrutura, Corte e dobra em Indústria</t>
        </is>
      </c>
      <c r="K210" s="1752" t="inlineStr">
        <is>
          <t>kg</t>
        </is>
      </c>
      <c r="L210" s="1753" t="n">
        <v>761.8186953352772</v>
      </c>
      <c r="M210" s="1753" t="n">
        <v>8.484965000000001</v>
      </c>
      <c r="N210" s="1754" t="n">
        <v>6464.00496626549</v>
      </c>
      <c r="O210" s="1755" t="inlineStr">
        <is>
          <t>Quantidades resumo de projetos</t>
        </is>
      </c>
      <c r="P210" s="1721" t="inlineStr">
        <is>
          <t>Pendente</t>
        </is>
      </c>
    </row>
    <row r="211" hidden="1" outlineLevel="3" ht="13.5" customHeight="1">
      <c r="A211" s="2117" t="n">
        <v>0</v>
      </c>
      <c r="B211" s="2117" t="n">
        <v>4</v>
      </c>
      <c r="C211" s="2117" t="n">
        <v>3</v>
      </c>
      <c r="D211" s="2118" t="n">
        <v>8</v>
      </c>
      <c r="E211" s="2118" t="n">
        <v>7</v>
      </c>
      <c r="G211" s="1748" t="inlineStr">
        <is>
          <t>SUPRAESTRUTURA</t>
        </is>
      </c>
      <c r="H211" s="1749" t="inlineStr">
        <is>
          <t>SERVIÇO</t>
        </is>
      </c>
      <c r="I211" s="1750" t="inlineStr">
        <is>
          <t>04.003.008.007</t>
        </is>
      </c>
      <c r="J211" s="1751" t="inlineStr">
        <is>
          <t>Armação Aço CA-50, Diâmetro de 20,0mm para Supraestrutura, Corte e dobra em Indústria</t>
        </is>
      </c>
      <c r="K211" s="1752" t="inlineStr">
        <is>
          <t>kg</t>
        </is>
      </c>
      <c r="L211" s="1753" t="n">
        <v>2912.956814868805</v>
      </c>
      <c r="M211" s="1753" t="n">
        <v>8.484965000000001</v>
      </c>
      <c r="N211" s="1754" t="n">
        <v>24716.3366206733</v>
      </c>
      <c r="O211" s="1755" t="inlineStr">
        <is>
          <t>Quantidades resumo de projetos</t>
        </is>
      </c>
      <c r="P211" s="1721" t="inlineStr">
        <is>
          <t>Pendente</t>
        </is>
      </c>
    </row>
    <row r="212" hidden="1" outlineLevel="3" ht="13.5" customHeight="1">
      <c r="A212" s="2117" t="n">
        <v>0</v>
      </c>
      <c r="B212" s="2117" t="n">
        <v>4</v>
      </c>
      <c r="C212" s="2117" t="n">
        <v>3</v>
      </c>
      <c r="D212" s="2118" t="n">
        <v>8</v>
      </c>
      <c r="E212" s="2118" t="n">
        <v>8</v>
      </c>
      <c r="G212" s="1748" t="inlineStr">
        <is>
          <t>SUPRAESTRUTURA</t>
        </is>
      </c>
      <c r="H212" s="1749" t="inlineStr">
        <is>
          <t>SERVIÇO</t>
        </is>
      </c>
      <c r="I212" s="1750" t="inlineStr">
        <is>
          <t>04.003.008.008</t>
        </is>
      </c>
      <c r="J212" s="1751" t="inlineStr">
        <is>
          <t>Armação Aço CA-50, Diâmetro de 25,0mm para Supraestrutura, Corte e dobra em Indústria</t>
        </is>
      </c>
      <c r="K212" s="1752" t="inlineStr">
        <is>
          <t>kg</t>
        </is>
      </c>
      <c r="L212" s="1753" t="n">
        <v>13857.30776239067</v>
      </c>
      <c r="M212" s="1753" t="n">
        <v>8.484965000000001</v>
      </c>
      <c r="N212" s="1754" t="n">
        <v>117578.771358113</v>
      </c>
      <c r="O212" s="1755" t="inlineStr">
        <is>
          <t>Quantidades resumo de projetos</t>
        </is>
      </c>
      <c r="P212" s="1721" t="inlineStr">
        <is>
          <t>Pendente</t>
        </is>
      </c>
    </row>
    <row r="213" hidden="1" outlineLevel="2" ht="13.5" customHeight="1">
      <c r="A213" s="2117" t="n">
        <v>0</v>
      </c>
      <c r="B213" s="2117" t="n">
        <v>4</v>
      </c>
      <c r="C213" s="2117" t="n">
        <v>3</v>
      </c>
      <c r="D213" s="2118" t="n">
        <v>9</v>
      </c>
      <c r="E213" s="2118" t="n">
        <v>0</v>
      </c>
      <c r="G213" s="1740" t="n"/>
      <c r="H213" s="1741" t="inlineStr">
        <is>
          <t>SUBETAPA</t>
        </is>
      </c>
      <c r="I213" s="1742" t="inlineStr">
        <is>
          <t>04.003.009</t>
        </is>
      </c>
      <c r="J213" s="1743" t="inlineStr">
        <is>
          <t>Armadura - Lazer</t>
        </is>
      </c>
      <c r="K213" s="1744" t="n"/>
      <c r="L213" s="1745" t="n"/>
      <c r="M213" s="1745" t="n"/>
      <c r="N213" s="1746" t="n">
        <v>217499.848244585</v>
      </c>
      <c r="O213" s="1747" t="n">
        <v>12.9853213970535</v>
      </c>
      <c r="P213" s="1720" t="n"/>
    </row>
    <row r="214" hidden="1" outlineLevel="3" ht="13.5" customHeight="1">
      <c r="A214" s="2117" t="n">
        <v>0</v>
      </c>
      <c r="B214" s="2117" t="n">
        <v>4</v>
      </c>
      <c r="C214" s="2117" t="n">
        <v>3</v>
      </c>
      <c r="D214" s="2118" t="n">
        <v>9</v>
      </c>
      <c r="E214" s="2118" t="n">
        <v>1</v>
      </c>
      <c r="G214" s="1748" t="inlineStr">
        <is>
          <t>SUPRAESTRUTURA</t>
        </is>
      </c>
      <c r="H214" s="1749" t="inlineStr">
        <is>
          <t>SERVIÇO</t>
        </is>
      </c>
      <c r="I214" s="1750" t="inlineStr">
        <is>
          <t>04.003.009.001</t>
        </is>
      </c>
      <c r="J214" s="1751" t="inlineStr">
        <is>
          <t>Armação Aço CA-60, Diâmetro de 5,0mm para Supraestrutura, Corte e dobra em Indústria</t>
        </is>
      </c>
      <c r="K214" s="1752" t="inlineStr">
        <is>
          <t>kg</t>
        </is>
      </c>
      <c r="L214" s="1753" t="n">
        <v>142.5205903790088</v>
      </c>
      <c r="M214" s="1753" t="n">
        <v>8.964965000000001</v>
      </c>
      <c r="N214" s="1754" t="n">
        <v>1277.69210452715</v>
      </c>
      <c r="O214" s="1755" t="inlineStr">
        <is>
          <t>Quantidades resumo de projetos</t>
        </is>
      </c>
      <c r="P214" s="1721" t="inlineStr">
        <is>
          <t>Pendente</t>
        </is>
      </c>
    </row>
    <row r="215" hidden="1" outlineLevel="3" ht="13.5" customHeight="1">
      <c r="A215" s="2117" t="n">
        <v>0</v>
      </c>
      <c r="B215" s="2117" t="n">
        <v>4</v>
      </c>
      <c r="C215" s="2117" t="n">
        <v>3</v>
      </c>
      <c r="D215" s="2118" t="n">
        <v>9</v>
      </c>
      <c r="E215" s="2118" t="n">
        <v>2</v>
      </c>
      <c r="G215" s="1748" t="inlineStr">
        <is>
          <t>SUPRAESTRUTURA</t>
        </is>
      </c>
      <c r="H215" s="1749" t="inlineStr">
        <is>
          <t>SERVIÇO</t>
        </is>
      </c>
      <c r="I215" s="1750" t="inlineStr">
        <is>
          <t>04.003.009.002</t>
        </is>
      </c>
      <c r="J215" s="1751" t="inlineStr">
        <is>
          <t>Armação Aço CA-50, Diâmetro de 6,3mm para Supraestrutura, Corte e dobra em Indústria</t>
        </is>
      </c>
      <c r="K215" s="1752" t="inlineStr">
        <is>
          <t>kg</t>
        </is>
      </c>
      <c r="L215" s="1753" t="n">
        <v>1598.486333819242</v>
      </c>
      <c r="M215" s="1753" t="n">
        <v>8.964965000000001</v>
      </c>
      <c r="N215" s="1754" t="n">
        <v>14330.3740356678</v>
      </c>
      <c r="O215" s="1755" t="inlineStr">
        <is>
          <t>Quantidades resumo de projetos</t>
        </is>
      </c>
      <c r="P215" s="1721" t="inlineStr">
        <is>
          <t>Pendente</t>
        </is>
      </c>
    </row>
    <row r="216" hidden="1" outlineLevel="3" ht="13.5" customHeight="1">
      <c r="A216" s="2117" t="n">
        <v>0</v>
      </c>
      <c r="B216" s="2117" t="n">
        <v>4</v>
      </c>
      <c r="C216" s="2117" t="n">
        <v>3</v>
      </c>
      <c r="D216" s="2118" t="n">
        <v>9</v>
      </c>
      <c r="E216" s="2118" t="n">
        <v>3</v>
      </c>
      <c r="G216" s="1748" t="inlineStr">
        <is>
          <t>SUPRAESTRUTURA</t>
        </is>
      </c>
      <c r="H216" s="1749" t="inlineStr">
        <is>
          <t>SERVIÇO</t>
        </is>
      </c>
      <c r="I216" s="1750" t="inlineStr">
        <is>
          <t>04.003.009.003</t>
        </is>
      </c>
      <c r="J216" s="1751" t="inlineStr">
        <is>
          <t>Armação Aço CA-50, Diâmetro de 8,0mm para Supraestrutura, Corte e dobra em Indústria</t>
        </is>
      </c>
      <c r="K216" s="1752" t="inlineStr">
        <is>
          <t>kg</t>
        </is>
      </c>
      <c r="L216" s="1753" t="n">
        <v>1766.640123906706</v>
      </c>
      <c r="M216" s="1753" t="n">
        <v>8.964965000000001</v>
      </c>
      <c r="N216" s="1754" t="n">
        <v>15837.8668784193</v>
      </c>
      <c r="O216" s="1755" t="inlineStr">
        <is>
          <t>Quantidades resumo de projetos</t>
        </is>
      </c>
      <c r="P216" s="1721" t="inlineStr">
        <is>
          <t>Pendente</t>
        </is>
      </c>
    </row>
    <row r="217" hidden="1" outlineLevel="3" ht="13.5" customHeight="1">
      <c r="A217" s="2117" t="n">
        <v>0</v>
      </c>
      <c r="B217" s="2117" t="n">
        <v>4</v>
      </c>
      <c r="C217" s="2117" t="n">
        <v>3</v>
      </c>
      <c r="D217" s="2118" t="n">
        <v>9</v>
      </c>
      <c r="E217" s="2118" t="n">
        <v>4</v>
      </c>
      <c r="G217" s="1748" t="inlineStr">
        <is>
          <t>SUPRAESTRUTURA</t>
        </is>
      </c>
      <c r="H217" s="1749" t="inlineStr">
        <is>
          <t>SERVIÇO</t>
        </is>
      </c>
      <c r="I217" s="1750" t="inlineStr">
        <is>
          <t>04.003.009.004</t>
        </is>
      </c>
      <c r="J217" s="1751" t="inlineStr">
        <is>
          <t>Armação Aço CA-50, Diâmetro de 10,0mm para Supraestrutura, Corte e dobra em Indústria</t>
        </is>
      </c>
      <c r="K217" s="1752" t="inlineStr">
        <is>
          <t>kg</t>
        </is>
      </c>
      <c r="L217" s="1753" t="n">
        <v>2008.617529154519</v>
      </c>
      <c r="M217" s="1753" t="n">
        <v>8.964965000000001</v>
      </c>
      <c r="N217" s="1754" t="n">
        <v>18007.1858472567</v>
      </c>
      <c r="O217" s="1755" t="inlineStr">
        <is>
          <t>Quantidades resumo de projetos</t>
        </is>
      </c>
      <c r="P217" s="1721" t="inlineStr">
        <is>
          <t>Pendente</t>
        </is>
      </c>
    </row>
    <row r="218" hidden="1" outlineLevel="3" ht="13.5" customHeight="1">
      <c r="A218" s="2117" t="n">
        <v>0</v>
      </c>
      <c r="B218" s="2117" t="n">
        <v>4</v>
      </c>
      <c r="C218" s="2117" t="n">
        <v>3</v>
      </c>
      <c r="D218" s="2118" t="n">
        <v>9</v>
      </c>
      <c r="E218" s="2118" t="n">
        <v>5</v>
      </c>
      <c r="G218" s="1748" t="inlineStr">
        <is>
          <t>SUPRAESTRUTURA</t>
        </is>
      </c>
      <c r="H218" s="1749" t="inlineStr">
        <is>
          <t>SERVIÇO</t>
        </is>
      </c>
      <c r="I218" s="1750" t="inlineStr">
        <is>
          <t>04.003.009.005</t>
        </is>
      </c>
      <c r="J218" s="1751" t="inlineStr">
        <is>
          <t>Armação Aço CA-50, Diâmetro de 12,5mm para Supraestrutura, Corte e dobra em Indústria</t>
        </is>
      </c>
      <c r="K218" s="1752" t="inlineStr">
        <is>
          <t>kg</t>
        </is>
      </c>
      <c r="L218" s="1753" t="n">
        <v>2273.152150145773</v>
      </c>
      <c r="M218" s="1753" t="n">
        <v>8.484965000000001</v>
      </c>
      <c r="N218" s="1754" t="n">
        <v>19287.6164336616</v>
      </c>
      <c r="O218" s="1755" t="inlineStr">
        <is>
          <t>Quantidades resumo de projetos</t>
        </is>
      </c>
      <c r="P218" s="1721" t="inlineStr">
        <is>
          <t>Pendente</t>
        </is>
      </c>
    </row>
    <row r="219" hidden="1" outlineLevel="3" ht="13.5" customHeight="1">
      <c r="A219" s="2117" t="n">
        <v>0</v>
      </c>
      <c r="B219" s="2117" t="n">
        <v>4</v>
      </c>
      <c r="C219" s="2117" t="n">
        <v>3</v>
      </c>
      <c r="D219" s="2118" t="n">
        <v>9</v>
      </c>
      <c r="E219" s="2118" t="n">
        <v>6</v>
      </c>
      <c r="G219" s="1748" t="inlineStr">
        <is>
          <t>SUPRAESTRUTURA</t>
        </is>
      </c>
      <c r="H219" s="1749" t="inlineStr">
        <is>
          <t>SERVIÇO</t>
        </is>
      </c>
      <c r="I219" s="1750" t="inlineStr">
        <is>
          <t>04.003.009.006</t>
        </is>
      </c>
      <c r="J219" s="1751" t="inlineStr">
        <is>
          <t>Armação Aço CA-50, Diâmetro de 16,0mm para Supraestrutura, Corte e dobra em Indústria</t>
        </is>
      </c>
      <c r="K219" s="1752" t="inlineStr">
        <is>
          <t>kg</t>
        </is>
      </c>
      <c r="L219" s="1753" t="n">
        <v>761.8186953352772</v>
      </c>
      <c r="M219" s="1753" t="n">
        <v>8.484965000000001</v>
      </c>
      <c r="N219" s="1754" t="n">
        <v>6464.00496626549</v>
      </c>
      <c r="O219" s="1755" t="inlineStr">
        <is>
          <t>Quantidades resumo de projetos</t>
        </is>
      </c>
      <c r="P219" s="1721" t="inlineStr">
        <is>
          <t>Pendente</t>
        </is>
      </c>
    </row>
    <row r="220" hidden="1" outlineLevel="3" ht="13.5" customHeight="1">
      <c r="A220" s="2117" t="n">
        <v>0</v>
      </c>
      <c r="B220" s="2117" t="n">
        <v>4</v>
      </c>
      <c r="C220" s="2117" t="n">
        <v>3</v>
      </c>
      <c r="D220" s="2118" t="n">
        <v>9</v>
      </c>
      <c r="E220" s="2118" t="n">
        <v>7</v>
      </c>
      <c r="G220" s="1748" t="inlineStr">
        <is>
          <t>SUPRAESTRUTURA</t>
        </is>
      </c>
      <c r="H220" s="1749" t="inlineStr">
        <is>
          <t>SERVIÇO</t>
        </is>
      </c>
      <c r="I220" s="1750" t="inlineStr">
        <is>
          <t>04.003.009.007</t>
        </is>
      </c>
      <c r="J220" s="1751" t="inlineStr">
        <is>
          <t>Armação Aço CA-50, Diâmetro de 20,0mm para Supraestrutura, Corte e dobra em Indústria</t>
        </is>
      </c>
      <c r="K220" s="1752" t="inlineStr">
        <is>
          <t>kg</t>
        </is>
      </c>
      <c r="L220" s="1753" t="n">
        <v>2912.956814868805</v>
      </c>
      <c r="M220" s="1753" t="n">
        <v>8.484965000000001</v>
      </c>
      <c r="N220" s="1754" t="n">
        <v>24716.3366206733</v>
      </c>
      <c r="O220" s="1755" t="inlineStr">
        <is>
          <t>Quantidades resumo de projetos</t>
        </is>
      </c>
      <c r="P220" s="1721" t="inlineStr">
        <is>
          <t>Pendente</t>
        </is>
      </c>
    </row>
    <row r="221" hidden="1" outlineLevel="3" ht="13.5" customHeight="1">
      <c r="A221" s="2117" t="n">
        <v>0</v>
      </c>
      <c r="B221" s="2117" t="n">
        <v>4</v>
      </c>
      <c r="C221" s="2117" t="n">
        <v>3</v>
      </c>
      <c r="D221" s="2118" t="n">
        <v>9</v>
      </c>
      <c r="E221" s="2118" t="n">
        <v>8</v>
      </c>
      <c r="G221" s="1748" t="inlineStr">
        <is>
          <t>SUPRAESTRUTURA</t>
        </is>
      </c>
      <c r="H221" s="1749" t="inlineStr">
        <is>
          <t>SERVIÇO</t>
        </is>
      </c>
      <c r="I221" s="1750" t="inlineStr">
        <is>
          <t>04.003.009.008</t>
        </is>
      </c>
      <c r="J221" s="1751" t="inlineStr">
        <is>
          <t>Armação Aço CA-50, Diâmetro de 25,0mm para Supraestrutura, Corte e dobra em Indústria</t>
        </is>
      </c>
      <c r="K221" s="1752" t="inlineStr">
        <is>
          <t>kg</t>
        </is>
      </c>
      <c r="L221" s="1753" t="n">
        <v>13857.30776239067</v>
      </c>
      <c r="M221" s="1753" t="n">
        <v>8.484965000000001</v>
      </c>
      <c r="N221" s="1754" t="n">
        <v>117578.771358113</v>
      </c>
      <c r="O221" s="1755" t="inlineStr">
        <is>
          <t>Quantidades resumo de projetos</t>
        </is>
      </c>
      <c r="P221" s="1721" t="inlineStr">
        <is>
          <t>Pendente</t>
        </is>
      </c>
    </row>
    <row r="222" hidden="1" outlineLevel="2" ht="13.5" customHeight="1">
      <c r="A222" s="2117" t="n">
        <v>0</v>
      </c>
      <c r="B222" s="2117" t="n">
        <v>4</v>
      </c>
      <c r="C222" s="2117" t="n">
        <v>3</v>
      </c>
      <c r="D222" s="2118" t="n">
        <v>10</v>
      </c>
      <c r="E222" s="2118" t="n">
        <v>0</v>
      </c>
      <c r="G222" s="1740" t="n"/>
      <c r="H222" s="1741" t="inlineStr">
        <is>
          <t>SUBETAPA</t>
        </is>
      </c>
      <c r="I222" s="1742" t="inlineStr">
        <is>
          <t>04.003.010</t>
        </is>
      </c>
      <c r="J222" s="1743" t="inlineStr">
        <is>
          <t>Armadura - Tipo diferenciado</t>
        </is>
      </c>
      <c r="K222" s="1744" t="n"/>
      <c r="L222" s="1745" t="n"/>
      <c r="M222" s="1745" t="n"/>
      <c r="N222" s="1746" t="n">
        <v>231024.067230865</v>
      </c>
      <c r="O222" s="1747" t="n">
        <v>13.7927533635507</v>
      </c>
      <c r="P222" s="1720" t="n"/>
    </row>
    <row r="223" hidden="1" outlineLevel="3" ht="13.5" customHeight="1">
      <c r="A223" s="2117" t="n">
        <v>0</v>
      </c>
      <c r="B223" s="2117" t="n">
        <v>4</v>
      </c>
      <c r="C223" s="2117" t="n">
        <v>3</v>
      </c>
      <c r="D223" s="2118" t="n">
        <v>10</v>
      </c>
      <c r="E223" s="2118" t="n">
        <v>1</v>
      </c>
      <c r="G223" s="1748" t="inlineStr">
        <is>
          <t>SUPRAESTRUTURA</t>
        </is>
      </c>
      <c r="H223" s="1749" t="inlineStr">
        <is>
          <t>SERVIÇO</t>
        </is>
      </c>
      <c r="I223" s="1750" t="inlineStr">
        <is>
          <t>04.003.010.001</t>
        </is>
      </c>
      <c r="J223" s="1751" t="inlineStr">
        <is>
          <t>Armação Aço CA-60, Diâmetro de 5,0mm para Supraestrutura, Corte e dobra em Indústria</t>
        </is>
      </c>
      <c r="K223" s="1752" t="inlineStr">
        <is>
          <t>kg</t>
        </is>
      </c>
      <c r="L223" s="1753" t="n">
        <v>151.3825720764497</v>
      </c>
      <c r="M223" s="1753" t="n">
        <v>8.964965000000001</v>
      </c>
      <c r="N223" s="1754" t="n">
        <v>1357.13946027535</v>
      </c>
      <c r="O223" s="1755" t="inlineStr">
        <is>
          <t>Quantidades resumo de projetos</t>
        </is>
      </c>
      <c r="P223" s="1721" t="inlineStr">
        <is>
          <t>Pendente</t>
        </is>
      </c>
    </row>
    <row r="224" hidden="1" outlineLevel="3" ht="13.5" customHeight="1">
      <c r="A224" s="2117" t="n">
        <v>0</v>
      </c>
      <c r="B224" s="2117" t="n">
        <v>4</v>
      </c>
      <c r="C224" s="2117" t="n">
        <v>3</v>
      </c>
      <c r="D224" s="2118" t="n">
        <v>10</v>
      </c>
      <c r="E224" s="2118" t="n">
        <v>2</v>
      </c>
      <c r="G224" s="1748" t="inlineStr">
        <is>
          <t>SUPRAESTRUTURA</t>
        </is>
      </c>
      <c r="H224" s="1749" t="inlineStr">
        <is>
          <t>SERVIÇO</t>
        </is>
      </c>
      <c r="I224" s="1750" t="inlineStr">
        <is>
          <t>04.003.010.002</t>
        </is>
      </c>
      <c r="J224" s="1751" t="inlineStr">
        <is>
          <t>Armação Aço CA-50, Diâmetro de 6,3mm para Supraestrutura, Corte e dobra em Indústria</t>
        </is>
      </c>
      <c r="K224" s="1752" t="inlineStr">
        <is>
          <t>kg</t>
        </is>
      </c>
      <c r="L224" s="1753" t="n">
        <v>1697.880790411403</v>
      </c>
      <c r="M224" s="1753" t="n">
        <v>8.964965000000001</v>
      </c>
      <c r="N224" s="1754" t="n">
        <v>15221.4418602106</v>
      </c>
      <c r="O224" s="1755" t="inlineStr">
        <is>
          <t>Quantidades resumo de projetos</t>
        </is>
      </c>
      <c r="P224" s="1721" t="inlineStr">
        <is>
          <t>Pendente</t>
        </is>
      </c>
    </row>
    <row r="225" hidden="1" outlineLevel="3" ht="13.5" customHeight="1">
      <c r="A225" s="2117" t="n">
        <v>0</v>
      </c>
      <c r="B225" s="2117" t="n">
        <v>4</v>
      </c>
      <c r="C225" s="2117" t="n">
        <v>3</v>
      </c>
      <c r="D225" s="2118" t="n">
        <v>10</v>
      </c>
      <c r="E225" s="2118" t="n">
        <v>3</v>
      </c>
      <c r="G225" s="1748" t="inlineStr">
        <is>
          <t>SUPRAESTRUTURA</t>
        </is>
      </c>
      <c r="H225" s="1749" t="inlineStr">
        <is>
          <t>SERVIÇO</t>
        </is>
      </c>
      <c r="I225" s="1750" t="inlineStr">
        <is>
          <t>04.003.010.003</t>
        </is>
      </c>
      <c r="J225" s="1751" t="inlineStr">
        <is>
          <t>Armação Aço CA-50, Diâmetro de 8,0mm para Supraestrutura, Corte e dobra em Indústria</t>
        </is>
      </c>
      <c r="K225" s="1752" t="inlineStr">
        <is>
          <t>kg</t>
        </is>
      </c>
      <c r="L225" s="1753" t="n">
        <v>1876.490443796567</v>
      </c>
      <c r="M225" s="1753" t="n">
        <v>8.964965000000001</v>
      </c>
      <c r="N225" s="1754" t="n">
        <v>16822.6711514707</v>
      </c>
      <c r="O225" s="1755" t="inlineStr">
        <is>
          <t>Quantidades resumo de projetos</t>
        </is>
      </c>
      <c r="P225" s="1721" t="inlineStr">
        <is>
          <t>Pendente</t>
        </is>
      </c>
    </row>
    <row r="226" hidden="1" outlineLevel="3" ht="13.5" customHeight="1">
      <c r="A226" s="2117" t="n">
        <v>0</v>
      </c>
      <c r="B226" s="2117" t="n">
        <v>4</v>
      </c>
      <c r="C226" s="2117" t="n">
        <v>3</v>
      </c>
      <c r="D226" s="2118" t="n">
        <v>10</v>
      </c>
      <c r="E226" s="2118" t="n">
        <v>4</v>
      </c>
      <c r="G226" s="1748" t="inlineStr">
        <is>
          <t>SUPRAESTRUTURA</t>
        </is>
      </c>
      <c r="H226" s="1749" t="inlineStr">
        <is>
          <t>SERVIÇO</t>
        </is>
      </c>
      <c r="I226" s="1750" t="inlineStr">
        <is>
          <t>04.003.010.004</t>
        </is>
      </c>
      <c r="J226" s="1751" t="inlineStr">
        <is>
          <t>Armação Aço CA-50, Diâmetro de 10,0mm para Supraestrutura, Corte e dobra em Indústria</t>
        </is>
      </c>
      <c r="K226" s="1752" t="inlineStr">
        <is>
          <t>kg</t>
        </is>
      </c>
      <c r="L226" s="1753" t="n">
        <v>2133.514091350826</v>
      </c>
      <c r="M226" s="1753" t="n">
        <v>8.964965000000001</v>
      </c>
      <c r="N226" s="1754" t="n">
        <v>19126.879155967</v>
      </c>
      <c r="O226" s="1755" t="inlineStr">
        <is>
          <t>Quantidades resumo de projetos</t>
        </is>
      </c>
      <c r="P226" s="1721" t="inlineStr">
        <is>
          <t>Pendente</t>
        </is>
      </c>
    </row>
    <row r="227" hidden="1" outlineLevel="3" ht="13.5" customHeight="1">
      <c r="A227" s="2117" t="n">
        <v>0</v>
      </c>
      <c r="B227" s="2117" t="n">
        <v>4</v>
      </c>
      <c r="C227" s="2117" t="n">
        <v>3</v>
      </c>
      <c r="D227" s="2118" t="n">
        <v>10</v>
      </c>
      <c r="E227" s="2118" t="n">
        <v>5</v>
      </c>
      <c r="G227" s="1748" t="inlineStr">
        <is>
          <t>SUPRAESTRUTURA</t>
        </is>
      </c>
      <c r="H227" s="1749" t="inlineStr">
        <is>
          <t>SERVIÇO</t>
        </is>
      </c>
      <c r="I227" s="1750" t="inlineStr">
        <is>
          <t>04.003.010.005</t>
        </is>
      </c>
      <c r="J227" s="1751" t="inlineStr">
        <is>
          <t>Armação Aço CA-50, Diâmetro de 12,5mm para Supraestrutura, Corte e dobra em Indústria</t>
        </is>
      </c>
      <c r="K227" s="1752" t="inlineStr">
        <is>
          <t>kg</t>
        </is>
      </c>
      <c r="L227" s="1753" t="n">
        <v>2414.497570456754</v>
      </c>
      <c r="M227" s="1753" t="n">
        <v>8.484965000000001</v>
      </c>
      <c r="N227" s="1754" t="n">
        <v>20486.9273779106</v>
      </c>
      <c r="O227" s="1755" t="inlineStr">
        <is>
          <t>Quantidades resumo de projetos</t>
        </is>
      </c>
      <c r="P227" s="1721" t="inlineStr">
        <is>
          <t>Pendente</t>
        </is>
      </c>
    </row>
    <row r="228" hidden="1" outlineLevel="3" ht="13.5" customHeight="1">
      <c r="A228" s="2117" t="n">
        <v>0</v>
      </c>
      <c r="B228" s="2117" t="n">
        <v>4</v>
      </c>
      <c r="C228" s="2117" t="n">
        <v>3</v>
      </c>
      <c r="D228" s="2118" t="n">
        <v>10</v>
      </c>
      <c r="E228" s="2118" t="n">
        <v>6</v>
      </c>
      <c r="G228" s="1748" t="inlineStr">
        <is>
          <t>SUPRAESTRUTURA</t>
        </is>
      </c>
      <c r="H228" s="1749" t="inlineStr">
        <is>
          <t>SERVIÇO</t>
        </is>
      </c>
      <c r="I228" s="1750" t="inlineStr">
        <is>
          <t>04.003.010.006</t>
        </is>
      </c>
      <c r="J228" s="1751" t="inlineStr">
        <is>
          <t>Armação Aço CA-50, Diâmetro de 16,0mm para Supraestrutura, Corte e dobra em Indústria</t>
        </is>
      </c>
      <c r="K228" s="1752" t="inlineStr">
        <is>
          <t>kg</t>
        </is>
      </c>
      <c r="L228" s="1753" t="n">
        <v>809.1888564949791</v>
      </c>
      <c r="M228" s="1753" t="n">
        <v>8.484965000000001</v>
      </c>
      <c r="N228" s="1754" t="n">
        <v>6865.93912574992</v>
      </c>
      <c r="O228" s="1755" t="inlineStr">
        <is>
          <t>Quantidades resumo de projetos</t>
        </is>
      </c>
      <c r="P228" s="1721" t="inlineStr">
        <is>
          <t>Pendente</t>
        </is>
      </c>
    </row>
    <row r="229" hidden="1" outlineLevel="3" ht="13.5" customHeight="1">
      <c r="A229" s="2117" t="n">
        <v>0</v>
      </c>
      <c r="B229" s="2117" t="n">
        <v>4</v>
      </c>
      <c r="C229" s="2117" t="n">
        <v>3</v>
      </c>
      <c r="D229" s="2118" t="n">
        <v>10</v>
      </c>
      <c r="E229" s="2118" t="n">
        <v>7</v>
      </c>
      <c r="G229" s="1748" t="inlineStr">
        <is>
          <t>SUPRAESTRUTURA</t>
        </is>
      </c>
      <c r="H229" s="1749" t="inlineStr">
        <is>
          <t>SERVIÇO</t>
        </is>
      </c>
      <c r="I229" s="1750" t="inlineStr">
        <is>
          <t>04.003.010.007</t>
        </is>
      </c>
      <c r="J229" s="1751" t="inlineStr">
        <is>
          <t>Armação Aço CA-50, Diâmetro de 20,0mm para Supraestrutura, Corte e dobra em Indústria</t>
        </is>
      </c>
      <c r="K229" s="1752" t="inlineStr">
        <is>
          <t>kg</t>
        </is>
      </c>
      <c r="L229" s="1753" t="n">
        <v>3094.085519922255</v>
      </c>
      <c r="M229" s="1753" t="n">
        <v>8.484965000000001</v>
      </c>
      <c r="N229" s="1754" t="n">
        <v>26253.2073435471</v>
      </c>
      <c r="O229" s="1755" t="inlineStr">
        <is>
          <t>Quantidades resumo de projetos</t>
        </is>
      </c>
      <c r="P229" s="1721" t="inlineStr">
        <is>
          <t>Pendente</t>
        </is>
      </c>
    </row>
    <row r="230" hidden="1" outlineLevel="3" ht="13.5" customHeight="1">
      <c r="A230" s="2117" t="n">
        <v>0</v>
      </c>
      <c r="B230" s="2117" t="n">
        <v>4</v>
      </c>
      <c r="C230" s="2117" t="n">
        <v>3</v>
      </c>
      <c r="D230" s="2118" t="n">
        <v>10</v>
      </c>
      <c r="E230" s="2118" t="n">
        <v>8</v>
      </c>
      <c r="G230" s="1748" t="inlineStr">
        <is>
          <t>SUPRAESTRUTURA</t>
        </is>
      </c>
      <c r="H230" s="1749" t="inlineStr">
        <is>
          <t>SERVIÇO</t>
        </is>
      </c>
      <c r="I230" s="1750" t="inlineStr">
        <is>
          <t>04.003.010.008</t>
        </is>
      </c>
      <c r="J230" s="1751" t="inlineStr">
        <is>
          <t>Armação Aço CA-50, Diâmetro de 25,0mm para Supraestrutura, Corte e dobra em Indústria</t>
        </is>
      </c>
      <c r="K230" s="1752" t="inlineStr">
        <is>
          <t>kg</t>
        </is>
      </c>
      <c r="L230" s="1753" t="n">
        <v>14718.96015549077</v>
      </c>
      <c r="M230" s="1753" t="n">
        <v>8.484965000000001</v>
      </c>
      <c r="N230" s="1754" t="n">
        <v>124889.861755734</v>
      </c>
      <c r="O230" s="1755" t="inlineStr">
        <is>
          <t>Quantidades resumo de projetos</t>
        </is>
      </c>
      <c r="P230" s="1721" t="inlineStr">
        <is>
          <t>Pendente</t>
        </is>
      </c>
    </row>
    <row r="231" hidden="1" outlineLevel="2" ht="13.5" customHeight="1">
      <c r="A231" s="2117" t="n">
        <v>0</v>
      </c>
      <c r="B231" s="2117" t="n">
        <v>4</v>
      </c>
      <c r="C231" s="2117" t="n">
        <v>3</v>
      </c>
      <c r="D231" s="2118" t="n">
        <v>11</v>
      </c>
      <c r="E231" s="2118" t="n">
        <v>0</v>
      </c>
      <c r="G231" s="1740" t="n"/>
      <c r="H231" s="1741" t="inlineStr">
        <is>
          <t>SUBETAPA</t>
        </is>
      </c>
      <c r="I231" s="1742" t="inlineStr">
        <is>
          <t>04.003.011</t>
        </is>
      </c>
      <c r="J231" s="1743" t="inlineStr">
        <is>
          <t>Armadura - Tipo x8</t>
        </is>
      </c>
      <c r="K231" s="1744" t="n"/>
      <c r="L231" s="1745" t="n"/>
      <c r="M231" s="1745" t="n"/>
      <c r="N231" s="1746" t="n">
        <v>1409224.47732367</v>
      </c>
      <c r="O231" s="1747" t="n">
        <v>84.1344621908174</v>
      </c>
      <c r="P231" s="1720" t="n"/>
    </row>
    <row r="232" hidden="1" outlineLevel="3" ht="13.5" customHeight="1">
      <c r="A232" s="2117" t="n">
        <v>0</v>
      </c>
      <c r="B232" s="2117" t="n">
        <v>4</v>
      </c>
      <c r="C232" s="2117" t="n">
        <v>3</v>
      </c>
      <c r="D232" s="2118" t="n">
        <v>11</v>
      </c>
      <c r="E232" s="2118" t="n">
        <v>1</v>
      </c>
      <c r="G232" s="1748" t="inlineStr">
        <is>
          <t>SUPRAESTRUTURA</t>
        </is>
      </c>
      <c r="H232" s="1749" t="inlineStr">
        <is>
          <t>SERVIÇO</t>
        </is>
      </c>
      <c r="I232" s="1750" t="inlineStr">
        <is>
          <t>04.003.011.001</t>
        </is>
      </c>
      <c r="J232" s="1751" t="inlineStr">
        <is>
          <t>Armação Aço CA-60, Diâmetro de 5,0mm para Supraestrutura, Corte e dobra em Indústria</t>
        </is>
      </c>
      <c r="K232" s="1752" t="inlineStr">
        <is>
          <t>kg</t>
        </is>
      </c>
      <c r="L232" s="1753" t="n">
        <v>923.4190557175257</v>
      </c>
      <c r="M232" s="1753" t="n">
        <v>8.964965000000001</v>
      </c>
      <c r="N232" s="1754" t="n">
        <v>8278.419514840671</v>
      </c>
      <c r="O232" s="1755" t="inlineStr">
        <is>
          <t>Quantidades resumo de projetos</t>
        </is>
      </c>
      <c r="P232" s="1721" t="inlineStr">
        <is>
          <t>Pendente</t>
        </is>
      </c>
    </row>
    <row r="233" hidden="1" outlineLevel="3" ht="13.5" customHeight="1">
      <c r="A233" s="2117" t="n">
        <v>0</v>
      </c>
      <c r="B233" s="2117" t="n">
        <v>4</v>
      </c>
      <c r="C233" s="2117" t="n">
        <v>3</v>
      </c>
      <c r="D233" s="2118" t="n">
        <v>11</v>
      </c>
      <c r="E233" s="2118" t="n">
        <v>2</v>
      </c>
      <c r="G233" s="1748" t="inlineStr">
        <is>
          <t>SUPRAESTRUTURA</t>
        </is>
      </c>
      <c r="H233" s="1749" t="inlineStr">
        <is>
          <t>SERVIÇO</t>
        </is>
      </c>
      <c r="I233" s="1750" t="inlineStr">
        <is>
          <t>04.003.011.002</t>
        </is>
      </c>
      <c r="J233" s="1751" t="inlineStr">
        <is>
          <t>Armação Aço CA-50, Diâmetro de 6,3mm para Supraestrutura, Corte e dobra em Indústria</t>
        </is>
      </c>
      <c r="K233" s="1752" t="inlineStr">
        <is>
          <t>kg</t>
        </is>
      </c>
      <c r="L233" s="1753" t="n">
        <v>10356.90868966634</v>
      </c>
      <c r="M233" s="1753" t="n">
        <v>8.964965000000001</v>
      </c>
      <c r="N233" s="1754" t="n">
        <v>92849.3239110546</v>
      </c>
      <c r="O233" s="1755" t="inlineStr">
        <is>
          <t>Quantidades resumo de projetos</t>
        </is>
      </c>
      <c r="P233" s="1721" t="inlineStr">
        <is>
          <t>Pendente</t>
        </is>
      </c>
    </row>
    <row r="234" hidden="1" outlineLevel="3" ht="13.5" customHeight="1">
      <c r="A234" s="2117" t="n">
        <v>0</v>
      </c>
      <c r="B234" s="2117" t="n">
        <v>4</v>
      </c>
      <c r="C234" s="2117" t="n">
        <v>3</v>
      </c>
      <c r="D234" s="2118" t="n">
        <v>11</v>
      </c>
      <c r="E234" s="2118" t="n">
        <v>3</v>
      </c>
      <c r="G234" s="1748" t="inlineStr">
        <is>
          <t>SUPRAESTRUTURA</t>
        </is>
      </c>
      <c r="H234" s="1749" t="inlineStr">
        <is>
          <t>SERVIÇO</t>
        </is>
      </c>
      <c r="I234" s="1750" t="inlineStr">
        <is>
          <t>04.003.011.003</t>
        </is>
      </c>
      <c r="J234" s="1751" t="inlineStr">
        <is>
          <t>Armação Aço CA-50, Diâmetro de 8,0mm para Supraestrutura, Corte e dobra em Indústria</t>
        </is>
      </c>
      <c r="K234" s="1752" t="inlineStr">
        <is>
          <t>kg</t>
        </is>
      </c>
      <c r="L234" s="1753" t="n">
        <v>11446.41030936184</v>
      </c>
      <c r="M234" s="1753" t="n">
        <v>8.964965000000001</v>
      </c>
      <c r="N234" s="1754" t="n">
        <v>102616.667799068</v>
      </c>
      <c r="O234" s="1755" t="inlineStr">
        <is>
          <t>Quantidades resumo de projetos</t>
        </is>
      </c>
      <c r="P234" s="1721" t="inlineStr">
        <is>
          <t>Pendente</t>
        </is>
      </c>
    </row>
    <row r="235" hidden="1" outlineLevel="3" ht="13.5" customHeight="1">
      <c r="A235" s="2117" t="n">
        <v>0</v>
      </c>
      <c r="B235" s="2117" t="n">
        <v>4</v>
      </c>
      <c r="C235" s="2117" t="n">
        <v>3</v>
      </c>
      <c r="D235" s="2118" t="n">
        <v>11</v>
      </c>
      <c r="E235" s="2118" t="n">
        <v>4</v>
      </c>
      <c r="G235" s="1748" t="inlineStr">
        <is>
          <t>SUPRAESTRUTURA</t>
        </is>
      </c>
      <c r="H235" s="1749" t="inlineStr">
        <is>
          <t>SERVIÇO</t>
        </is>
      </c>
      <c r="I235" s="1750" t="inlineStr">
        <is>
          <t>04.003.011.004</t>
        </is>
      </c>
      <c r="J235" s="1751" t="inlineStr">
        <is>
          <t>Armação Aço CA-50, Diâmetro de 10,0mm para Supraestrutura, Corte e dobra em Indústria</t>
        </is>
      </c>
      <c r="K235" s="1752" t="inlineStr">
        <is>
          <t>kg</t>
        </is>
      </c>
      <c r="L235" s="1753" t="n">
        <v>13014.2297133139</v>
      </c>
      <c r="M235" s="1753" t="n">
        <v>8.964965000000001</v>
      </c>
      <c r="N235" s="1754" t="n">
        <v>116672.113881819</v>
      </c>
      <c r="O235" s="1755" t="inlineStr">
        <is>
          <t>Quantidades resumo de projetos</t>
        </is>
      </c>
      <c r="P235" s="1721" t="inlineStr">
        <is>
          <t>Pendente</t>
        </is>
      </c>
    </row>
    <row r="236" hidden="1" outlineLevel="3" ht="13.5" customHeight="1">
      <c r="A236" s="2117" t="n">
        <v>0</v>
      </c>
      <c r="B236" s="2117" t="n">
        <v>4</v>
      </c>
      <c r="C236" s="2117" t="n">
        <v>3</v>
      </c>
      <c r="D236" s="2118" t="n">
        <v>11</v>
      </c>
      <c r="E236" s="2118" t="n">
        <v>5</v>
      </c>
      <c r="G236" s="1748" t="inlineStr">
        <is>
          <t>SUPRAESTRUTURA</t>
        </is>
      </c>
      <c r="H236" s="1749" t="inlineStr">
        <is>
          <t>SERVIÇO</t>
        </is>
      </c>
      <c r="I236" s="1750" t="inlineStr">
        <is>
          <t>04.003.011.005</t>
        </is>
      </c>
      <c r="J236" s="1751" t="inlineStr">
        <is>
          <t>Armação Aço CA-50, Diâmetro de 12,5mm para Supraestrutura, Corte e dobra em Indústria</t>
        </is>
      </c>
      <c r="K236" s="1752" t="inlineStr">
        <is>
          <t>kg</t>
        </is>
      </c>
      <c r="L236" s="1753" t="n">
        <v>14728.20177356656</v>
      </c>
      <c r="M236" s="1753" t="n">
        <v>8.484965000000001</v>
      </c>
      <c r="N236" s="1754" t="n">
        <v>124968.27656165</v>
      </c>
      <c r="O236" s="1755" t="inlineStr">
        <is>
          <t>Quantidades resumo de projetos</t>
        </is>
      </c>
      <c r="P236" s="1721" t="inlineStr">
        <is>
          <t>Pendente</t>
        </is>
      </c>
    </row>
    <row r="237" hidden="1" outlineLevel="3" ht="13.5" customHeight="1">
      <c r="A237" s="2117" t="n">
        <v>0</v>
      </c>
      <c r="B237" s="2117" t="n">
        <v>4</v>
      </c>
      <c r="C237" s="2117" t="n">
        <v>3</v>
      </c>
      <c r="D237" s="2118" t="n">
        <v>11</v>
      </c>
      <c r="E237" s="2118" t="n">
        <v>6</v>
      </c>
      <c r="G237" s="1748" t="inlineStr">
        <is>
          <t>SUPRAESTRUTURA</t>
        </is>
      </c>
      <c r="H237" s="1749" t="inlineStr">
        <is>
          <t>SERVIÇO</t>
        </is>
      </c>
      <c r="I237" s="1750" t="inlineStr">
        <is>
          <t>04.003.011.006</t>
        </is>
      </c>
      <c r="J237" s="1751" t="inlineStr">
        <is>
          <t>Armação Aço CA-50, Diâmetro de 16,0mm para Supraestrutura, Corte e dobra em Indústria</t>
        </is>
      </c>
      <c r="K237" s="1752" t="inlineStr">
        <is>
          <t>kg</t>
        </is>
      </c>
      <c r="L237" s="1753" t="n">
        <v>4935.973801425333</v>
      </c>
      <c r="M237" s="1753" t="n">
        <v>8.484965000000001</v>
      </c>
      <c r="N237" s="1754" t="n">
        <v>41881.5649460109</v>
      </c>
      <c r="O237" s="1755" t="inlineStr">
        <is>
          <t>Quantidades resumo de projetos</t>
        </is>
      </c>
      <c r="P237" s="1721" t="inlineStr">
        <is>
          <t>Pendente</t>
        </is>
      </c>
    </row>
    <row r="238" hidden="1" outlineLevel="3" ht="13.5" customHeight="1">
      <c r="A238" s="2117" t="n">
        <v>0</v>
      </c>
      <c r="B238" s="2117" t="n">
        <v>4</v>
      </c>
      <c r="C238" s="2117" t="n">
        <v>3</v>
      </c>
      <c r="D238" s="2118" t="n">
        <v>11</v>
      </c>
      <c r="E238" s="2118" t="n">
        <v>7</v>
      </c>
      <c r="G238" s="1748" t="inlineStr">
        <is>
          <t>SUPRAESTRUTURA</t>
        </is>
      </c>
      <c r="H238" s="1749" t="inlineStr">
        <is>
          <t>SERVIÇO</t>
        </is>
      </c>
      <c r="I238" s="1750" t="inlineStr">
        <is>
          <t>04.003.011.007</t>
        </is>
      </c>
      <c r="J238" s="1751" t="inlineStr">
        <is>
          <t>Armação Aço CA-50, Diâmetro de 20,0mm para Supraestrutura, Corte e dobra em Indústria</t>
        </is>
      </c>
      <c r="K238" s="1752" t="inlineStr">
        <is>
          <t>kg</t>
        </is>
      </c>
      <c r="L238" s="1753" t="n">
        <v>18873.62257045675</v>
      </c>
      <c r="M238" s="1753" t="n">
        <v>8.484965000000001</v>
      </c>
      <c r="N238" s="1754" t="n">
        <v>160142.026933536</v>
      </c>
      <c r="O238" s="1755" t="inlineStr">
        <is>
          <t>Quantidades resumo de projetos</t>
        </is>
      </c>
      <c r="P238" s="1721" t="inlineStr">
        <is>
          <t>Pendente</t>
        </is>
      </c>
    </row>
    <row r="239" hidden="1" outlineLevel="3" ht="13.5" customHeight="1">
      <c r="A239" s="2117" t="n">
        <v>0</v>
      </c>
      <c r="B239" s="2117" t="n">
        <v>4</v>
      </c>
      <c r="C239" s="2117" t="n">
        <v>3</v>
      </c>
      <c r="D239" s="2118" t="n">
        <v>11</v>
      </c>
      <c r="E239" s="2118" t="n">
        <v>8</v>
      </c>
      <c r="G239" s="1748" t="inlineStr">
        <is>
          <t>SUPRAESTRUTURA</t>
        </is>
      </c>
      <c r="H239" s="1749" t="inlineStr">
        <is>
          <t>SERVIÇO</t>
        </is>
      </c>
      <c r="I239" s="1750" t="inlineStr">
        <is>
          <t>04.003.011.008</t>
        </is>
      </c>
      <c r="J239" s="1751" t="inlineStr">
        <is>
          <t>Armação Aço CA-50, Diâmetro de 25,0mm para Supraestrutura, Corte e dobra em Indústria</t>
        </is>
      </c>
      <c r="K239" s="1752" t="inlineStr">
        <is>
          <t>kg</t>
        </is>
      </c>
      <c r="L239" s="1753" t="n">
        <v>89784.23408649171</v>
      </c>
      <c r="M239" s="1753" t="n">
        <v>8.484965000000001</v>
      </c>
      <c r="N239" s="1754" t="n">
        <v>761816.083775689</v>
      </c>
      <c r="O239" s="1755" t="inlineStr">
        <is>
          <t>Quantidades resumo de projetos</t>
        </is>
      </c>
      <c r="P239" s="1721" t="inlineStr">
        <is>
          <t>Pendente</t>
        </is>
      </c>
    </row>
    <row r="240" hidden="1" outlineLevel="2" ht="13.5" customHeight="1">
      <c r="A240" s="2117" t="n">
        <v>0</v>
      </c>
      <c r="B240" s="2117" t="n">
        <v>4</v>
      </c>
      <c r="C240" s="2117" t="n">
        <v>3</v>
      </c>
      <c r="D240" s="2118" t="n">
        <v>12</v>
      </c>
      <c r="E240" s="2118" t="n">
        <v>0</v>
      </c>
      <c r="G240" s="1740" t="n"/>
      <c r="H240" s="1741" t="inlineStr">
        <is>
          <t>SUBETAPA</t>
        </is>
      </c>
      <c r="I240" s="1742" t="inlineStr">
        <is>
          <t>04.003.012</t>
        </is>
      </c>
      <c r="J240" s="1743" t="inlineStr">
        <is>
          <t>Armadura - Penthouse x22</t>
        </is>
      </c>
      <c r="K240" s="1744" t="n"/>
      <c r="L240" s="1745" t="n"/>
      <c r="M240" s="1745" t="n"/>
      <c r="N240" s="1746" t="n">
        <v>2546701.91363816</v>
      </c>
      <c r="O240" s="1747" t="n">
        <v>152.044900803309</v>
      </c>
      <c r="P240" s="1720" t="n"/>
    </row>
    <row r="241" hidden="1" outlineLevel="3" ht="13.5" customHeight="1">
      <c r="A241" s="2117" t="n">
        <v>0</v>
      </c>
      <c r="B241" s="2117" t="n">
        <v>4</v>
      </c>
      <c r="C241" s="2117" t="n">
        <v>3</v>
      </c>
      <c r="D241" s="2118" t="n">
        <v>12</v>
      </c>
      <c r="E241" s="2118" t="n">
        <v>1</v>
      </c>
      <c r="G241" s="1748" t="inlineStr">
        <is>
          <t>SUPRAESTRUTURA</t>
        </is>
      </c>
      <c r="H241" s="1749" t="inlineStr">
        <is>
          <t>SERVIÇO</t>
        </is>
      </c>
      <c r="I241" s="1750" t="inlineStr">
        <is>
          <t>04.003.012.001</t>
        </is>
      </c>
      <c r="J241" s="1751" t="inlineStr">
        <is>
          <t>Armação Aço CA-60, Diâmetro de 5,0mm para Supraestrutura, Corte e dobra em Indústria</t>
        </is>
      </c>
      <c r="K241" s="1752" t="inlineStr">
        <is>
          <t>kg</t>
        </is>
      </c>
      <c r="L241" s="1753" t="n">
        <v>1668.771096533853</v>
      </c>
      <c r="M241" s="1753" t="n">
        <v>8.964965000000001</v>
      </c>
      <c r="N241" s="1754" t="n">
        <v>14960.4744734376</v>
      </c>
      <c r="O241" s="1755" t="inlineStr">
        <is>
          <t>Quantidades resumo de projetos</t>
        </is>
      </c>
      <c r="P241" s="1721" t="inlineStr">
        <is>
          <t>Pendente</t>
        </is>
      </c>
    </row>
    <row r="242" hidden="1" outlineLevel="3" ht="13.5" customHeight="1">
      <c r="A242" s="2117" t="n">
        <v>0</v>
      </c>
      <c r="B242" s="2117" t="n">
        <v>4</v>
      </c>
      <c r="C242" s="2117" t="n">
        <v>3</v>
      </c>
      <c r="D242" s="2118" t="n">
        <v>12</v>
      </c>
      <c r="E242" s="2118" t="n">
        <v>2</v>
      </c>
      <c r="G242" s="1748" t="inlineStr">
        <is>
          <t>SUPRAESTRUTURA</t>
        </is>
      </c>
      <c r="H242" s="1749" t="inlineStr">
        <is>
          <t>SERVIÇO</t>
        </is>
      </c>
      <c r="I242" s="1750" t="inlineStr">
        <is>
          <t>04.003.012.002</t>
        </is>
      </c>
      <c r="J242" s="1751" t="inlineStr">
        <is>
          <t>Armação Aço CA-50, Diâmetro de 6,3mm para Supraestrutura, Corte e dobra em Indústria</t>
        </is>
      </c>
      <c r="K242" s="1752" t="inlineStr">
        <is>
          <t>kg</t>
        </is>
      </c>
      <c r="L242" s="1753" t="n">
        <v>18716.6484855847</v>
      </c>
      <c r="M242" s="1753" t="n">
        <v>8.964965000000001</v>
      </c>
      <c r="N242" s="1754" t="n">
        <v>167794.09859057</v>
      </c>
      <c r="O242" s="1755" t="inlineStr">
        <is>
          <t>Quantidades resumo de projetos</t>
        </is>
      </c>
      <c r="P242" s="1721" t="inlineStr">
        <is>
          <t>Pendente</t>
        </is>
      </c>
    </row>
    <row r="243" hidden="1" outlineLevel="3" ht="13.5" customHeight="1">
      <c r="A243" s="2117" t="n">
        <v>0</v>
      </c>
      <c r="B243" s="2117" t="n">
        <v>4</v>
      </c>
      <c r="C243" s="2117" t="n">
        <v>3</v>
      </c>
      <c r="D243" s="2118" t="n">
        <v>12</v>
      </c>
      <c r="E243" s="2118" t="n">
        <v>3</v>
      </c>
      <c r="G243" s="1748" t="inlineStr">
        <is>
          <t>SUPRAESTRUTURA</t>
        </is>
      </c>
      <c r="H243" s="1749" t="inlineStr">
        <is>
          <t>SERVIÇO</t>
        </is>
      </c>
      <c r="I243" s="1750" t="inlineStr">
        <is>
          <t>04.003.012.003</t>
        </is>
      </c>
      <c r="J243" s="1751" t="inlineStr">
        <is>
          <t>Armação Aço CA-50, Diâmetro de 8,0mm para Supraestrutura, Corte e dobra em Indústria</t>
        </is>
      </c>
      <c r="K243" s="1752" t="inlineStr">
        <is>
          <t>kg</t>
        </is>
      </c>
      <c r="L243" s="1753" t="n">
        <v>20685.5582685455</v>
      </c>
      <c r="M243" s="1753" t="n">
        <v>8.964965000000001</v>
      </c>
      <c r="N243" s="1754" t="n">
        <v>185445.305882971</v>
      </c>
      <c r="O243" s="1755" t="inlineStr">
        <is>
          <t>Quantidades resumo de projetos</t>
        </is>
      </c>
      <c r="P243" s="1721" t="inlineStr">
        <is>
          <t>Pendente</t>
        </is>
      </c>
    </row>
    <row r="244" hidden="1" outlineLevel="3" ht="13.5" customHeight="1">
      <c r="A244" s="2117" t="n">
        <v>0</v>
      </c>
      <c r="B244" s="2117" t="n">
        <v>4</v>
      </c>
      <c r="C244" s="2117" t="n">
        <v>3</v>
      </c>
      <c r="D244" s="2118" t="n">
        <v>12</v>
      </c>
      <c r="E244" s="2118" t="n">
        <v>4</v>
      </c>
      <c r="G244" s="1748" t="inlineStr">
        <is>
          <t>SUPRAESTRUTURA</t>
        </is>
      </c>
      <c r="H244" s="1749" t="inlineStr">
        <is>
          <t>SERVIÇO</t>
        </is>
      </c>
      <c r="I244" s="1750" t="inlineStr">
        <is>
          <t>04.003.012.004</t>
        </is>
      </c>
      <c r="J244" s="1751" t="inlineStr">
        <is>
          <t>Armação Aço CA-50, Diâmetro de 10,0mm para Supraestrutura, Corte e dobra em Indústria</t>
        </is>
      </c>
      <c r="K244" s="1752" t="inlineStr">
        <is>
          <t>kg</t>
        </is>
      </c>
      <c r="L244" s="1753" t="n">
        <v>23518.86746841593</v>
      </c>
      <c r="M244" s="1753" t="n">
        <v>8.964965000000001</v>
      </c>
      <c r="N244" s="1754" t="n">
        <v>210845.823693987</v>
      </c>
      <c r="O244" s="1755" t="inlineStr">
        <is>
          <t>Quantidades resumo de projetos</t>
        </is>
      </c>
      <c r="P244" s="1721" t="inlineStr">
        <is>
          <t>Pendente</t>
        </is>
      </c>
    </row>
    <row r="245" hidden="1" outlineLevel="3" ht="13.5" customHeight="1">
      <c r="A245" s="2117" t="n">
        <v>0</v>
      </c>
      <c r="B245" s="2117" t="n">
        <v>4</v>
      </c>
      <c r="C245" s="2117" t="n">
        <v>3</v>
      </c>
      <c r="D245" s="2118" t="n">
        <v>12</v>
      </c>
      <c r="E245" s="2118" t="n">
        <v>5</v>
      </c>
      <c r="G245" s="1748" t="inlineStr">
        <is>
          <t>SUPRAESTRUTURA</t>
        </is>
      </c>
      <c r="H245" s="1749" t="inlineStr">
        <is>
          <t>SERVIÇO</t>
        </is>
      </c>
      <c r="I245" s="1750" t="inlineStr">
        <is>
          <t>04.003.012.005</t>
        </is>
      </c>
      <c r="J245" s="1751" t="inlineStr">
        <is>
          <t>Armação Aço CA-50, Diâmetro de 12,5mm para Supraestrutura, Corte e dobra em Indústria</t>
        </is>
      </c>
      <c r="K245" s="1752" t="inlineStr">
        <is>
          <t>kg</t>
        </is>
      </c>
      <c r="L245" s="1753" t="n">
        <v>26616.29871234208</v>
      </c>
      <c r="M245" s="1753" t="n">
        <v>8.484965000000001</v>
      </c>
      <c r="N245" s="1754" t="n">
        <v>225838.363003768</v>
      </c>
      <c r="O245" s="1755" t="inlineStr">
        <is>
          <t>Quantidades resumo de projetos</t>
        </is>
      </c>
      <c r="P245" s="1721" t="inlineStr">
        <is>
          <t>Pendente</t>
        </is>
      </c>
    </row>
    <row r="246" hidden="1" outlineLevel="3" ht="13.5" customHeight="1">
      <c r="A246" s="2117" t="n">
        <v>0</v>
      </c>
      <c r="B246" s="2117" t="n">
        <v>4</v>
      </c>
      <c r="C246" s="2117" t="n">
        <v>3</v>
      </c>
      <c r="D246" s="2118" t="n">
        <v>12</v>
      </c>
      <c r="E246" s="2118" t="n">
        <v>6</v>
      </c>
      <c r="G246" s="1748" t="inlineStr">
        <is>
          <t>SUPRAESTRUTURA</t>
        </is>
      </c>
      <c r="H246" s="1749" t="inlineStr">
        <is>
          <t>SERVIÇO</t>
        </is>
      </c>
      <c r="I246" s="1750" t="inlineStr">
        <is>
          <t>04.003.012.006</t>
        </is>
      </c>
      <c r="J246" s="1751" t="inlineStr">
        <is>
          <t>Armação Aço CA-50, Diâmetro de 16,0mm para Supraestrutura, Corte e dobra em Indústria</t>
        </is>
      </c>
      <c r="K246" s="1752" t="inlineStr">
        <is>
          <t>kg</t>
        </is>
      </c>
      <c r="L246" s="1753" t="n">
        <v>8920.121760609007</v>
      </c>
      <c r="M246" s="1753" t="n">
        <v>8.484965000000001</v>
      </c>
      <c r="N246" s="1754" t="n">
        <v>75686.9209345058</v>
      </c>
      <c r="O246" s="1755" t="inlineStr">
        <is>
          <t>Quantidades resumo de projetos</t>
        </is>
      </c>
      <c r="P246" s="1721" t="inlineStr">
        <is>
          <t>Pendente</t>
        </is>
      </c>
    </row>
    <row r="247" hidden="1" outlineLevel="3" ht="13.5" customHeight="1">
      <c r="A247" s="2117" t="n">
        <v>0</v>
      </c>
      <c r="B247" s="2117" t="n">
        <v>4</v>
      </c>
      <c r="C247" s="2117" t="n">
        <v>3</v>
      </c>
      <c r="D247" s="2118" t="n">
        <v>12</v>
      </c>
      <c r="E247" s="2118" t="n">
        <v>7</v>
      </c>
      <c r="G247" s="1748" t="inlineStr">
        <is>
          <t>SUPRAESTRUTURA</t>
        </is>
      </c>
      <c r="H247" s="1749" t="inlineStr">
        <is>
          <t>SERVIÇO</t>
        </is>
      </c>
      <c r="I247" s="1750" t="inlineStr">
        <is>
          <t>04.003.012.007</t>
        </is>
      </c>
      <c r="J247" s="1751" t="inlineStr">
        <is>
          <t>Armação Aço CA-50, Diâmetro de 20,0mm para Supraestrutura, Corte e dobra em Indústria</t>
        </is>
      </c>
      <c r="K247" s="1752" t="inlineStr">
        <is>
          <t>kg</t>
        </is>
      </c>
      <c r="L247" s="1753" t="n">
        <v>34107.76032555878</v>
      </c>
      <c r="M247" s="1753" t="n">
        <v>8.484965000000001</v>
      </c>
      <c r="N247" s="1754" t="n">
        <v>289403.152590755</v>
      </c>
      <c r="O247" s="1755" t="inlineStr">
        <is>
          <t>Quantidades resumo de projetos</t>
        </is>
      </c>
      <c r="P247" s="1721" t="inlineStr">
        <is>
          <t>Pendente</t>
        </is>
      </c>
    </row>
    <row r="248" hidden="1" outlineLevel="3" ht="13.5" customHeight="1">
      <c r="A248" s="2117" t="n">
        <v>0</v>
      </c>
      <c r="B248" s="2117" t="n">
        <v>4</v>
      </c>
      <c r="C248" s="2117" t="n">
        <v>3</v>
      </c>
      <c r="D248" s="2118" t="n">
        <v>12</v>
      </c>
      <c r="E248" s="2118" t="n">
        <v>8</v>
      </c>
      <c r="G248" s="1748" t="inlineStr">
        <is>
          <t>SUPRAESTRUTURA</t>
        </is>
      </c>
      <c r="H248" s="1749" t="inlineStr">
        <is>
          <t>SERVIÇO</t>
        </is>
      </c>
      <c r="I248" s="1750" t="inlineStr">
        <is>
          <t>04.003.012.008</t>
        </is>
      </c>
      <c r="J248" s="1751" t="inlineStr">
        <is>
          <t>Armação Aço CA-50, Diâmetro de 25,0mm para Supraestrutura, Corte e dobra em Indústria</t>
        </is>
      </c>
      <c r="K248" s="1752" t="inlineStr">
        <is>
          <t>kg</t>
        </is>
      </c>
      <c r="L248" s="1753" t="n">
        <v>162254.9738824101</v>
      </c>
      <c r="M248" s="1753" t="n">
        <v>8.484965000000001</v>
      </c>
      <c r="N248" s="1754" t="n">
        <v>1376727.77446816</v>
      </c>
      <c r="O248" s="1755" t="inlineStr">
        <is>
          <t>Quantidades resumo de projetos</t>
        </is>
      </c>
      <c r="P248" s="1721" t="inlineStr">
        <is>
          <t>Pendente</t>
        </is>
      </c>
    </row>
    <row r="249" hidden="1" outlineLevel="2" ht="13.5" customHeight="1">
      <c r="A249" s="2117" t="n">
        <v>0</v>
      </c>
      <c r="B249" s="2117" t="n">
        <v>4</v>
      </c>
      <c r="C249" s="2117" t="n">
        <v>3</v>
      </c>
      <c r="D249" s="2118" t="n">
        <v>13</v>
      </c>
      <c r="E249" s="2118" t="n">
        <v>0</v>
      </c>
      <c r="G249" s="1740" t="n"/>
      <c r="H249" s="1741" t="inlineStr">
        <is>
          <t>SUBETAPA</t>
        </is>
      </c>
      <c r="I249" s="1742" t="inlineStr">
        <is>
          <t>04.003.013</t>
        </is>
      </c>
      <c r="J249" s="1743" t="inlineStr">
        <is>
          <t>Armadura - Duplex inferior</t>
        </is>
      </c>
      <c r="K249" s="1744" t="n"/>
      <c r="L249" s="1745" t="n"/>
      <c r="M249" s="1745" t="n"/>
      <c r="N249" s="1746" t="n">
        <v>80629.9419652041</v>
      </c>
      <c r="O249" s="1747" t="n">
        <v>4.813822718012</v>
      </c>
      <c r="P249" s="1720" t="n"/>
    </row>
    <row r="250" hidden="1" outlineLevel="3" ht="13.5" customHeight="1">
      <c r="A250" s="2117" t="n">
        <v>0</v>
      </c>
      <c r="B250" s="2117" t="n">
        <v>4</v>
      </c>
      <c r="C250" s="2117" t="n">
        <v>3</v>
      </c>
      <c r="D250" s="2118" t="n">
        <v>13</v>
      </c>
      <c r="E250" s="2118" t="n">
        <v>1</v>
      </c>
      <c r="G250" s="1748" t="inlineStr">
        <is>
          <t>SUPRAESTRUTURA</t>
        </is>
      </c>
      <c r="H250" s="1749" t="inlineStr">
        <is>
          <t>SERVIÇO</t>
        </is>
      </c>
      <c r="I250" s="1750" t="inlineStr">
        <is>
          <t>04.003.013.001</t>
        </is>
      </c>
      <c r="J250" s="1751" t="inlineStr">
        <is>
          <t>Armação Aço CA-60, Diâmetro de 5,0mm para Supraestrutura, Corte e dobra em Indústria</t>
        </is>
      </c>
      <c r="K250" s="1752" t="inlineStr">
        <is>
          <t>kg</t>
        </is>
      </c>
      <c r="L250" s="1753" t="n">
        <v>52.83418367346942</v>
      </c>
      <c r="M250" s="1753" t="n">
        <v>8.964965000000001</v>
      </c>
      <c r="N250" s="1754" t="n">
        <v>473.656607436225</v>
      </c>
      <c r="O250" s="1755" t="inlineStr">
        <is>
          <t>Quantidades resumo de projetos</t>
        </is>
      </c>
      <c r="P250" s="1721" t="inlineStr">
        <is>
          <t>Pendente</t>
        </is>
      </c>
    </row>
    <row r="251" hidden="1" outlineLevel="3" ht="13.5" customHeight="1">
      <c r="A251" s="2117" t="n">
        <v>0</v>
      </c>
      <c r="B251" s="2117" t="n">
        <v>4</v>
      </c>
      <c r="C251" s="2117" t="n">
        <v>3</v>
      </c>
      <c r="D251" s="2118" t="n">
        <v>13</v>
      </c>
      <c r="E251" s="2118" t="n">
        <v>2</v>
      </c>
      <c r="G251" s="1748" t="inlineStr">
        <is>
          <t>SUPRAESTRUTURA</t>
        </is>
      </c>
      <c r="H251" s="1749" t="inlineStr">
        <is>
          <t>SERVIÇO</t>
        </is>
      </c>
      <c r="I251" s="1750" t="inlineStr">
        <is>
          <t>04.003.013.002</t>
        </is>
      </c>
      <c r="J251" s="1751" t="inlineStr">
        <is>
          <t>Armação Aço CA-50, Diâmetro de 6,3mm para Supraestrutura, Corte e dobra em Indústria</t>
        </is>
      </c>
      <c r="K251" s="1752" t="inlineStr">
        <is>
          <t>kg</t>
        </is>
      </c>
      <c r="L251" s="1753" t="n">
        <v>592.5790816326529</v>
      </c>
      <c r="M251" s="1753" t="n">
        <v>8.964965000000001</v>
      </c>
      <c r="N251" s="1754" t="n">
        <v>5312.45072656888</v>
      </c>
      <c r="O251" s="1755" t="inlineStr">
        <is>
          <t>Quantidades resumo de projetos</t>
        </is>
      </c>
      <c r="P251" s="1721" t="inlineStr">
        <is>
          <t>Pendente</t>
        </is>
      </c>
    </row>
    <row r="252" hidden="1" outlineLevel="3" ht="13.5" customHeight="1">
      <c r="A252" s="2117" t="n">
        <v>0</v>
      </c>
      <c r="B252" s="2117" t="n">
        <v>4</v>
      </c>
      <c r="C252" s="2117" t="n">
        <v>3</v>
      </c>
      <c r="D252" s="2118" t="n">
        <v>13</v>
      </c>
      <c r="E252" s="2118" t="n">
        <v>3</v>
      </c>
      <c r="G252" s="1748" t="inlineStr">
        <is>
          <t>SUPRAESTRUTURA</t>
        </is>
      </c>
      <c r="H252" s="1749" t="inlineStr">
        <is>
          <t>SERVIÇO</t>
        </is>
      </c>
      <c r="I252" s="1750" t="inlineStr">
        <is>
          <t>04.003.013.003</t>
        </is>
      </c>
      <c r="J252" s="1751" t="inlineStr">
        <is>
          <t>Armação Aço CA-50, Diâmetro de 8,0mm para Supraestrutura, Corte e dobra em Indústria</t>
        </is>
      </c>
      <c r="K252" s="1752" t="inlineStr">
        <is>
          <t>kg</t>
        </is>
      </c>
      <c r="L252" s="1753" t="n">
        <v>654.9158163265305</v>
      </c>
      <c r="M252" s="1753" t="n">
        <v>8.964965000000001</v>
      </c>
      <c r="N252" s="1754" t="n">
        <v>5871.29737131378</v>
      </c>
      <c r="O252" s="1755" t="inlineStr">
        <is>
          <t>Quantidades resumo de projetos</t>
        </is>
      </c>
      <c r="P252" s="1721" t="inlineStr">
        <is>
          <t>Pendente</t>
        </is>
      </c>
    </row>
    <row r="253" hidden="1" outlineLevel="3" ht="13.5" customHeight="1">
      <c r="A253" s="2117" t="n">
        <v>0</v>
      </c>
      <c r="B253" s="2117" t="n">
        <v>4</v>
      </c>
      <c r="C253" s="2117" t="n">
        <v>3</v>
      </c>
      <c r="D253" s="2118" t="n">
        <v>13</v>
      </c>
      <c r="E253" s="2118" t="n">
        <v>4</v>
      </c>
      <c r="G253" s="1748" t="inlineStr">
        <is>
          <t>SUPRAESTRUTURA</t>
        </is>
      </c>
      <c r="H253" s="1749" t="inlineStr">
        <is>
          <t>SERVIÇO</t>
        </is>
      </c>
      <c r="I253" s="1750" t="inlineStr">
        <is>
          <t>04.003.013.004</t>
        </is>
      </c>
      <c r="J253" s="1751" t="inlineStr">
        <is>
          <t>Armação Aço CA-50, Diâmetro de 10,0mm para Supraestrutura, Corte e dobra em Indústria</t>
        </is>
      </c>
      <c r="K253" s="1752" t="inlineStr">
        <is>
          <t>kg</t>
        </is>
      </c>
      <c r="L253" s="1753" t="n">
        <v>744.6198979591833</v>
      </c>
      <c r="M253" s="1753" t="n">
        <v>8.964965000000001</v>
      </c>
      <c r="N253" s="1754" t="n">
        <v>6675.49132350765</v>
      </c>
      <c r="O253" s="1755" t="inlineStr">
        <is>
          <t>Quantidades resumo de projetos</t>
        </is>
      </c>
      <c r="P253" s="1721" t="inlineStr">
        <is>
          <t>Pendente</t>
        </is>
      </c>
    </row>
    <row r="254" hidden="1" outlineLevel="3" ht="13.5" customHeight="1">
      <c r="A254" s="2117" t="n">
        <v>0</v>
      </c>
      <c r="B254" s="2117" t="n">
        <v>4</v>
      </c>
      <c r="C254" s="2117" t="n">
        <v>3</v>
      </c>
      <c r="D254" s="2118" t="n">
        <v>13</v>
      </c>
      <c r="E254" s="2118" t="n">
        <v>5</v>
      </c>
      <c r="G254" s="1748" t="inlineStr">
        <is>
          <t>SUPRAESTRUTURA</t>
        </is>
      </c>
      <c r="H254" s="1749" t="inlineStr">
        <is>
          <t>SERVIÇO</t>
        </is>
      </c>
      <c r="I254" s="1750" t="inlineStr">
        <is>
          <t>04.003.013.005</t>
        </is>
      </c>
      <c r="J254" s="1751" t="inlineStr">
        <is>
          <t>Armação Aço CA-50, Diâmetro de 12,5mm para Supraestrutura, Corte e dobra em Indústria</t>
        </is>
      </c>
      <c r="K254" s="1752" t="inlineStr">
        <is>
          <t>kg</t>
        </is>
      </c>
      <c r="L254" s="1753" t="n">
        <v>842.6862244897958</v>
      </c>
      <c r="M254" s="1753" t="n">
        <v>8.484965000000001</v>
      </c>
      <c r="N254" s="1754" t="n">
        <v>7150.16312077806</v>
      </c>
      <c r="O254" s="1755" t="inlineStr">
        <is>
          <t>Quantidades resumo de projetos</t>
        </is>
      </c>
      <c r="P254" s="1721" t="inlineStr">
        <is>
          <t>Pendente</t>
        </is>
      </c>
    </row>
    <row r="255" hidden="1" outlineLevel="3" ht="13.5" customHeight="1">
      <c r="A255" s="2117" t="n">
        <v>0</v>
      </c>
      <c r="B255" s="2117" t="n">
        <v>4</v>
      </c>
      <c r="C255" s="2117" t="n">
        <v>3</v>
      </c>
      <c r="D255" s="2118" t="n">
        <v>13</v>
      </c>
      <c r="E255" s="2118" t="n">
        <v>6</v>
      </c>
      <c r="G255" s="1748" t="inlineStr">
        <is>
          <t>SUPRAESTRUTURA</t>
        </is>
      </c>
      <c r="H255" s="1749" t="inlineStr">
        <is>
          <t>SERVIÇO</t>
        </is>
      </c>
      <c r="I255" s="1750" t="inlineStr">
        <is>
          <t>04.003.013.006</t>
        </is>
      </c>
      <c r="J255" s="1751" t="inlineStr">
        <is>
          <t>Armação Aço CA-50, Diâmetro de 16,0mm para Supraestrutura, Corte e dobra em Indústria</t>
        </is>
      </c>
      <c r="K255" s="1752" t="inlineStr">
        <is>
          <t>kg</t>
        </is>
      </c>
      <c r="L255" s="1753" t="n">
        <v>282.4158163265306</v>
      </c>
      <c r="M255" s="1753" t="n">
        <v>8.484965000000001</v>
      </c>
      <c r="N255" s="1754" t="n">
        <v>2396.28831697704</v>
      </c>
      <c r="O255" s="1755" t="inlineStr">
        <is>
          <t>Quantidades resumo de projetos</t>
        </is>
      </c>
      <c r="P255" s="1721" t="inlineStr">
        <is>
          <t>Pendente</t>
        </is>
      </c>
    </row>
    <row r="256" hidden="1" outlineLevel="3" ht="13.5" customHeight="1">
      <c r="A256" s="2117" t="n">
        <v>0</v>
      </c>
      <c r="B256" s="2117" t="n">
        <v>4</v>
      </c>
      <c r="C256" s="2117" t="n">
        <v>3</v>
      </c>
      <c r="D256" s="2118" t="n">
        <v>13</v>
      </c>
      <c r="E256" s="2118" t="n">
        <v>7</v>
      </c>
      <c r="G256" s="1748" t="inlineStr">
        <is>
          <t>SUPRAESTRUTURA</t>
        </is>
      </c>
      <c r="H256" s="1749" t="inlineStr">
        <is>
          <t>SERVIÇO</t>
        </is>
      </c>
      <c r="I256" s="1750" t="inlineStr">
        <is>
          <t>04.003.013.007</t>
        </is>
      </c>
      <c r="J256" s="1751" t="inlineStr">
        <is>
          <t>Armação Aço CA-50, Diâmetro de 20,0mm para Supraestrutura, Corte e dobra em Indústria</t>
        </is>
      </c>
      <c r="K256" s="1752" t="inlineStr">
        <is>
          <t>kg</t>
        </is>
      </c>
      <c r="L256" s="1753" t="n">
        <v>1079.869897959183</v>
      </c>
      <c r="M256" s="1753" t="n">
        <v>8.484965000000001</v>
      </c>
      <c r="N256" s="1754" t="n">
        <v>9162.658288737241</v>
      </c>
      <c r="O256" s="1755" t="inlineStr">
        <is>
          <t>Quantidades resumo de projetos</t>
        </is>
      </c>
      <c r="P256" s="1721" t="inlineStr">
        <is>
          <t>Pendente</t>
        </is>
      </c>
    </row>
    <row r="257" hidden="1" outlineLevel="3" ht="13.5" customHeight="1">
      <c r="A257" s="2117" t="n">
        <v>0</v>
      </c>
      <c r="B257" s="2117" t="n">
        <v>4</v>
      </c>
      <c r="C257" s="2117" t="n">
        <v>3</v>
      </c>
      <c r="D257" s="2118" t="n">
        <v>13</v>
      </c>
      <c r="E257" s="2118" t="n">
        <v>8</v>
      </c>
      <c r="G257" s="1748" t="inlineStr">
        <is>
          <t>SUPRAESTRUTURA</t>
        </is>
      </c>
      <c r="H257" s="1749" t="inlineStr">
        <is>
          <t>SERVIÇO</t>
        </is>
      </c>
      <c r="I257" s="1750" t="inlineStr">
        <is>
          <t>04.003.013.008</t>
        </is>
      </c>
      <c r="J257" s="1751" t="inlineStr">
        <is>
          <t>Armação Aço CA-50, Diâmetro de 25,0mm para Supraestrutura, Corte e dobra em Indústria</t>
        </is>
      </c>
      <c r="K257" s="1752" t="inlineStr">
        <is>
          <t>kg</t>
        </is>
      </c>
      <c r="L257" s="1753" t="n">
        <v>5137.079081632653</v>
      </c>
      <c r="M257" s="1753" t="n">
        <v>8.484965000000001</v>
      </c>
      <c r="N257" s="1754" t="n">
        <v>43587.9362098852</v>
      </c>
      <c r="O257" s="1755" t="inlineStr">
        <is>
          <t>Quantidades resumo de projetos</t>
        </is>
      </c>
      <c r="P257" s="1721" t="inlineStr">
        <is>
          <t>Pendente</t>
        </is>
      </c>
    </row>
    <row r="258" hidden="1" outlineLevel="2" ht="13.5" customHeight="1">
      <c r="A258" s="2117" t="n">
        <v>0</v>
      </c>
      <c r="B258" s="2117" t="n">
        <v>4</v>
      </c>
      <c r="C258" s="2117" t="n">
        <v>3</v>
      </c>
      <c r="D258" s="2118" t="n">
        <v>14</v>
      </c>
      <c r="E258" s="2118" t="n">
        <v>0</v>
      </c>
      <c r="G258" s="1740" t="n"/>
      <c r="H258" s="1741" t="inlineStr">
        <is>
          <t>SUBETAPA</t>
        </is>
      </c>
      <c r="I258" s="1742" t="inlineStr">
        <is>
          <t>04.003.014</t>
        </is>
      </c>
      <c r="J258" s="1743" t="inlineStr">
        <is>
          <t>Armadura - Duplex superior</t>
        </is>
      </c>
      <c r="K258" s="1744" t="n"/>
      <c r="L258" s="1745" t="n"/>
      <c r="M258" s="1745" t="n"/>
      <c r="N258" s="1746" t="n">
        <v>69386.2438686395</v>
      </c>
      <c r="O258" s="1747" t="n">
        <v>4.14254393481421</v>
      </c>
      <c r="P258" s="1720" t="n"/>
    </row>
    <row r="259" hidden="1" outlineLevel="3" ht="13.5" customHeight="1">
      <c r="A259" s="2117" t="n">
        <v>0</v>
      </c>
      <c r="B259" s="2117" t="n">
        <v>4</v>
      </c>
      <c r="C259" s="2117" t="n">
        <v>3</v>
      </c>
      <c r="D259" s="2118" t="n">
        <v>14</v>
      </c>
      <c r="E259" s="2118" t="n">
        <v>1</v>
      </c>
      <c r="G259" s="1748" t="inlineStr">
        <is>
          <t>SUPRAESTRUTURA</t>
        </is>
      </c>
      <c r="H259" s="1749" t="inlineStr">
        <is>
          <t>SERVIÇO</t>
        </is>
      </c>
      <c r="I259" s="1750" t="inlineStr">
        <is>
          <t>04.003.014.001</t>
        </is>
      </c>
      <c r="J259" s="1751" t="inlineStr">
        <is>
          <t>Armação Aço CA-60, Diâmetro de 5,0mm para Supraestrutura, Corte e dobra em Indústria</t>
        </is>
      </c>
      <c r="K259" s="1752" t="inlineStr">
        <is>
          <t>kg</t>
        </is>
      </c>
      <c r="L259" s="1753" t="n">
        <v>45.46655328798189</v>
      </c>
      <c r="M259" s="1753" t="n">
        <v>8.964965000000001</v>
      </c>
      <c r="N259" s="1754" t="n">
        <v>407.606058897393</v>
      </c>
      <c r="O259" s="1755" t="inlineStr">
        <is>
          <t>Quantidades resumo de projetos</t>
        </is>
      </c>
      <c r="P259" s="1721" t="inlineStr">
        <is>
          <t>Pendente</t>
        </is>
      </c>
    </row>
    <row r="260" hidden="1" outlineLevel="3" ht="13.5" customHeight="1">
      <c r="A260" s="2117" t="n">
        <v>0</v>
      </c>
      <c r="B260" s="2117" t="n">
        <v>4</v>
      </c>
      <c r="C260" s="2117" t="n">
        <v>3</v>
      </c>
      <c r="D260" s="2118" t="n">
        <v>14</v>
      </c>
      <c r="E260" s="2118" t="n">
        <v>2</v>
      </c>
      <c r="G260" s="1748" t="inlineStr">
        <is>
          <t>SUPRAESTRUTURA</t>
        </is>
      </c>
      <c r="H260" s="1749" t="inlineStr">
        <is>
          <t>SERVIÇO</t>
        </is>
      </c>
      <c r="I260" s="1750" t="inlineStr">
        <is>
          <t>04.003.014.002</t>
        </is>
      </c>
      <c r="J260" s="1751" t="inlineStr">
        <is>
          <t>Armação Aço CA-50, Diâmetro de 6,3mm para Supraestrutura, Corte e dobra em Indústria</t>
        </is>
      </c>
      <c r="K260" s="1752" t="inlineStr">
        <is>
          <t>kg</t>
        </is>
      </c>
      <c r="L260" s="1753" t="n">
        <v>509.9450113378684</v>
      </c>
      <c r="M260" s="1753" t="n">
        <v>8.964965000000001</v>
      </c>
      <c r="N260" s="1754" t="n">
        <v>4571.63917856859</v>
      </c>
      <c r="O260" s="1755" t="inlineStr">
        <is>
          <t>Quantidades resumo de projetos</t>
        </is>
      </c>
      <c r="P260" s="1721" t="inlineStr">
        <is>
          <t>Pendente</t>
        </is>
      </c>
    </row>
    <row r="261" hidden="1" outlineLevel="3" ht="13.5" customHeight="1">
      <c r="A261" s="2117" t="n">
        <v>0</v>
      </c>
      <c r="B261" s="2117" t="n">
        <v>4</v>
      </c>
      <c r="C261" s="2117" t="n">
        <v>3</v>
      </c>
      <c r="D261" s="2118" t="n">
        <v>14</v>
      </c>
      <c r="E261" s="2118" t="n">
        <v>3</v>
      </c>
      <c r="G261" s="1748" t="inlineStr">
        <is>
          <t>SUPRAESTRUTURA</t>
        </is>
      </c>
      <c r="H261" s="1749" t="inlineStr">
        <is>
          <t>SERVIÇO</t>
        </is>
      </c>
      <c r="I261" s="1750" t="inlineStr">
        <is>
          <t>04.003.014.003</t>
        </is>
      </c>
      <c r="J261" s="1751" t="inlineStr">
        <is>
          <t>Armação Aço CA-50, Diâmetro de 8,0mm para Supraestrutura, Corte e dobra em Indústria</t>
        </is>
      </c>
      <c r="K261" s="1752" t="inlineStr">
        <is>
          <t>kg</t>
        </is>
      </c>
      <c r="L261" s="1753" t="n">
        <v>563.5890022675736</v>
      </c>
      <c r="M261" s="1753" t="n">
        <v>8.964965000000001</v>
      </c>
      <c r="N261" s="1754" t="n">
        <v>5052.55567971372</v>
      </c>
      <c r="O261" s="1755" t="inlineStr">
        <is>
          <t>Quantidades resumo de projetos</t>
        </is>
      </c>
      <c r="P261" s="1721" t="inlineStr">
        <is>
          <t>Pendente</t>
        </is>
      </c>
    </row>
    <row r="262" hidden="1" outlineLevel="3" ht="13.5" customHeight="1">
      <c r="A262" s="2117" t="n">
        <v>0</v>
      </c>
      <c r="B262" s="2117" t="n">
        <v>4</v>
      </c>
      <c r="C262" s="2117" t="n">
        <v>3</v>
      </c>
      <c r="D262" s="2118" t="n">
        <v>14</v>
      </c>
      <c r="E262" s="2118" t="n">
        <v>4</v>
      </c>
      <c r="G262" s="1748" t="inlineStr">
        <is>
          <t>SUPRAESTRUTURA</t>
        </is>
      </c>
      <c r="H262" s="1749" t="inlineStr">
        <is>
          <t>SERVIÇO</t>
        </is>
      </c>
      <c r="I262" s="1750" t="inlineStr">
        <is>
          <t>04.003.014.004</t>
        </is>
      </c>
      <c r="J262" s="1751" t="inlineStr">
        <is>
          <t>Armação Aço CA-50, Diâmetro de 10,0mm para Supraestrutura, Corte e dobra em Indústria</t>
        </is>
      </c>
      <c r="K262" s="1752" t="inlineStr">
        <is>
          <t>kg</t>
        </is>
      </c>
      <c r="L262" s="1753" t="n">
        <v>640.7840136054419</v>
      </c>
      <c r="M262" s="1753" t="n">
        <v>8.964965000000001</v>
      </c>
      <c r="N262" s="1754" t="n">
        <v>5744.60625453231</v>
      </c>
      <c r="O262" s="1755" t="inlineStr">
        <is>
          <t>Quantidades resumo de projetos</t>
        </is>
      </c>
      <c r="P262" s="1721" t="inlineStr">
        <is>
          <t>Pendente</t>
        </is>
      </c>
    </row>
    <row r="263" hidden="1" outlineLevel="3" ht="13.5" customHeight="1">
      <c r="A263" s="2117" t="n">
        <v>0</v>
      </c>
      <c r="B263" s="2117" t="n">
        <v>4</v>
      </c>
      <c r="C263" s="2117" t="n">
        <v>3</v>
      </c>
      <c r="D263" s="2118" t="n">
        <v>14</v>
      </c>
      <c r="E263" s="2118" t="n">
        <v>5</v>
      </c>
      <c r="G263" s="1748" t="inlineStr">
        <is>
          <t>SUPRAESTRUTURA</t>
        </is>
      </c>
      <c r="H263" s="1749" t="inlineStr">
        <is>
          <t>SERVIÇO</t>
        </is>
      </c>
      <c r="I263" s="1750" t="inlineStr">
        <is>
          <t>04.003.014.005</t>
        </is>
      </c>
      <c r="J263" s="1751" t="inlineStr">
        <is>
          <t>Armação Aço CA-50, Diâmetro de 12,5mm para Supraestrutura, Corte e dobra em Indústria</t>
        </is>
      </c>
      <c r="K263" s="1752" t="inlineStr">
        <is>
          <t>kg</t>
        </is>
      </c>
      <c r="L263" s="1753" t="n">
        <v>725.175170068027</v>
      </c>
      <c r="M263" s="1753" t="n">
        <v>8.484965000000001</v>
      </c>
      <c r="N263" s="1754" t="n">
        <v>6153.08593689626</v>
      </c>
      <c r="O263" s="1755" t="inlineStr">
        <is>
          <t>Quantidades resumo de projetos</t>
        </is>
      </c>
      <c r="P263" s="1721" t="inlineStr">
        <is>
          <t>Pendente</t>
        </is>
      </c>
    </row>
    <row r="264" hidden="1" outlineLevel="3" ht="13.5" customHeight="1">
      <c r="A264" s="2117" t="n">
        <v>0</v>
      </c>
      <c r="B264" s="2117" t="n">
        <v>4</v>
      </c>
      <c r="C264" s="2117" t="n">
        <v>3</v>
      </c>
      <c r="D264" s="2118" t="n">
        <v>14</v>
      </c>
      <c r="E264" s="2118" t="n">
        <v>6</v>
      </c>
      <c r="G264" s="1748" t="inlineStr">
        <is>
          <t>SUPRAESTRUTURA</t>
        </is>
      </c>
      <c r="H264" s="1749" t="inlineStr">
        <is>
          <t>SERVIÇO</t>
        </is>
      </c>
      <c r="I264" s="1750" t="inlineStr">
        <is>
          <t>04.003.014.006</t>
        </is>
      </c>
      <c r="J264" s="1751" t="inlineStr">
        <is>
          <t>Armação Aço CA-50, Diâmetro de 16,0mm para Supraestrutura, Corte e dobra em Indústria</t>
        </is>
      </c>
      <c r="K264" s="1752" t="inlineStr">
        <is>
          <t>kg</t>
        </is>
      </c>
      <c r="L264" s="1753" t="n">
        <v>243.0334467120181</v>
      </c>
      <c r="M264" s="1753" t="n">
        <v>8.484965000000001</v>
      </c>
      <c r="N264" s="1754" t="n">
        <v>2062.13028918084</v>
      </c>
      <c r="O264" s="1755" t="inlineStr">
        <is>
          <t>Quantidades resumo de projetos</t>
        </is>
      </c>
      <c r="P264" s="1721" t="inlineStr">
        <is>
          <t>Pendente</t>
        </is>
      </c>
    </row>
    <row r="265" hidden="1" outlineLevel="3" ht="13.5" customHeight="1">
      <c r="A265" s="2117" t="n">
        <v>0</v>
      </c>
      <c r="B265" s="2117" t="n">
        <v>4</v>
      </c>
      <c r="C265" s="2117" t="n">
        <v>3</v>
      </c>
      <c r="D265" s="2118" t="n">
        <v>14</v>
      </c>
      <c r="E265" s="2118" t="n">
        <v>7</v>
      </c>
      <c r="G265" s="1748" t="inlineStr">
        <is>
          <t>SUPRAESTRUTURA</t>
        </is>
      </c>
      <c r="H265" s="1749" t="inlineStr">
        <is>
          <t>SERVIÇO</t>
        </is>
      </c>
      <c r="I265" s="1750" t="inlineStr">
        <is>
          <t>04.003.014.007</t>
        </is>
      </c>
      <c r="J265" s="1751" t="inlineStr">
        <is>
          <t>Armação Aço CA-50, Diâmetro de 20,0mm para Supraestrutura, Corte e dobra em Indústria</t>
        </is>
      </c>
      <c r="K265" s="1752" t="inlineStr">
        <is>
          <t>kg</t>
        </is>
      </c>
      <c r="L265" s="1753" t="n">
        <v>929.2840136054419</v>
      </c>
      <c r="M265" s="1753" t="n">
        <v>8.484965000000001</v>
      </c>
      <c r="N265" s="1754" t="n">
        <v>7884.9423305017</v>
      </c>
      <c r="O265" s="1755" t="inlineStr">
        <is>
          <t>Quantidades resumo de projetos</t>
        </is>
      </c>
      <c r="P265" s="1721" t="inlineStr">
        <is>
          <t>Pendente</t>
        </is>
      </c>
    </row>
    <row r="266" hidden="1" outlineLevel="3" ht="13.5" customHeight="1">
      <c r="A266" s="2117" t="n">
        <v>0</v>
      </c>
      <c r="B266" s="2117" t="n">
        <v>4</v>
      </c>
      <c r="C266" s="2117" t="n">
        <v>3</v>
      </c>
      <c r="D266" s="2118" t="n">
        <v>14</v>
      </c>
      <c r="E266" s="2118" t="n">
        <v>8</v>
      </c>
      <c r="G266" s="1748" t="inlineStr">
        <is>
          <t>SUPRAESTRUTURA</t>
        </is>
      </c>
      <c r="H266" s="1749" t="inlineStr">
        <is>
          <t>SERVIÇO</t>
        </is>
      </c>
      <c r="I266" s="1750" t="inlineStr">
        <is>
          <t>04.003.014.008</t>
        </is>
      </c>
      <c r="J266" s="1751" t="inlineStr">
        <is>
          <t>Armação Aço CA-50, Diâmetro de 25,0mm para Supraestrutura, Corte e dobra em Indústria</t>
        </is>
      </c>
      <c r="K266" s="1752" t="inlineStr">
        <is>
          <t>kg</t>
        </is>
      </c>
      <c r="L266" s="1753" t="n">
        <v>4420.722789115646</v>
      </c>
      <c r="M266" s="1753" t="n">
        <v>8.484965000000001</v>
      </c>
      <c r="N266" s="1754" t="n">
        <v>37509.6781403486</v>
      </c>
      <c r="O266" s="1755" t="inlineStr">
        <is>
          <t>Quantidades resumo de projetos</t>
        </is>
      </c>
      <c r="P266" s="1721" t="inlineStr">
        <is>
          <t>Pendente</t>
        </is>
      </c>
    </row>
    <row r="267" hidden="1" outlineLevel="2" ht="13.5" customHeight="1">
      <c r="A267" s="2117" t="n">
        <v>0</v>
      </c>
      <c r="B267" s="2117" t="n">
        <v>4</v>
      </c>
      <c r="C267" s="2117" t="n">
        <v>3</v>
      </c>
      <c r="D267" s="2118" t="n">
        <v>15</v>
      </c>
      <c r="E267" s="2118" t="n">
        <v>0</v>
      </c>
      <c r="G267" s="1740" t="n"/>
      <c r="H267" s="1741" t="inlineStr">
        <is>
          <t>SUBETAPA</t>
        </is>
      </c>
      <c r="I267" s="1742" t="inlineStr">
        <is>
          <t>04.003.015</t>
        </is>
      </c>
      <c r="J267" s="1743" t="inlineStr">
        <is>
          <t>Armadura - Cobertura | Barrilete</t>
        </is>
      </c>
      <c r="K267" s="1744" t="n"/>
      <c r="L267" s="1745" t="n"/>
      <c r="M267" s="1745" t="n"/>
      <c r="N267" s="1746" t="n">
        <v>90253.364795</v>
      </c>
      <c r="O267" s="1747" t="n">
        <v>5.38836674364331</v>
      </c>
      <c r="P267" s="1720" t="n"/>
    </row>
    <row r="268" hidden="1" outlineLevel="3" ht="13.5" customHeight="1">
      <c r="A268" s="2117" t="n">
        <v>0</v>
      </c>
      <c r="B268" s="2117" t="n">
        <v>4</v>
      </c>
      <c r="C268" s="2117" t="n">
        <v>3</v>
      </c>
      <c r="D268" s="2118" t="n">
        <v>15</v>
      </c>
      <c r="E268" s="2118" t="n">
        <v>1</v>
      </c>
      <c r="G268" s="1748" t="inlineStr">
        <is>
          <t>SUPRAESTRUTURA</t>
        </is>
      </c>
      <c r="H268" s="1749" t="inlineStr">
        <is>
          <t>SERVIÇO</t>
        </is>
      </c>
      <c r="I268" s="1750" t="inlineStr">
        <is>
          <t>04.003.015.001</t>
        </is>
      </c>
      <c r="J268" s="1751" t="inlineStr">
        <is>
          <t>Armação Aço CA-60, Diâmetro de 5,0mm para Supraestrutura, Corte e dobra em Indústria</t>
        </is>
      </c>
      <c r="K268" s="1752" t="inlineStr">
        <is>
          <t>kg</t>
        </is>
      </c>
      <c r="L268" s="1753" t="n">
        <v>1699.362</v>
      </c>
      <c r="M268" s="1753" t="n">
        <v>8.964965000000001</v>
      </c>
      <c r="N268" s="1754" t="n">
        <v>15234.72085233</v>
      </c>
      <c r="O268" s="1755" t="inlineStr">
        <is>
          <t>Quantidades resumo de projetos</t>
        </is>
      </c>
      <c r="P268" s="1721" t="inlineStr">
        <is>
          <t>Pendente</t>
        </is>
      </c>
    </row>
    <row r="269" hidden="1" outlineLevel="3" ht="13.5" customHeight="1">
      <c r="A269" s="2117" t="n">
        <v>0</v>
      </c>
      <c r="B269" s="2117" t="n">
        <v>4</v>
      </c>
      <c r="C269" s="2117" t="n">
        <v>3</v>
      </c>
      <c r="D269" s="2118" t="n">
        <v>15</v>
      </c>
      <c r="E269" s="2118" t="n">
        <v>2</v>
      </c>
      <c r="G269" s="1748" t="inlineStr">
        <is>
          <t>SUPRAESTRUTURA</t>
        </is>
      </c>
      <c r="H269" s="1749" t="inlineStr">
        <is>
          <t>SERVIÇO</t>
        </is>
      </c>
      <c r="I269" s="1750" t="inlineStr">
        <is>
          <t>04.003.015.002</t>
        </is>
      </c>
      <c r="J269" s="1751" t="inlineStr">
        <is>
          <t>Armação Aço CA-50, Diâmetro de 6,3mm para Supraestrutura, Corte e dobra em Indústria</t>
        </is>
      </c>
      <c r="K269" s="1752" t="inlineStr">
        <is>
          <t>kg</t>
        </is>
      </c>
      <c r="L269" s="1753" t="n">
        <v>862</v>
      </c>
      <c r="M269" s="1753" t="n">
        <v>8.964965000000001</v>
      </c>
      <c r="N269" s="1754" t="n">
        <v>7727.79983</v>
      </c>
      <c r="O269" s="1755" t="inlineStr">
        <is>
          <t>Quantidades resumo de projetos</t>
        </is>
      </c>
      <c r="P269" s="1721" t="inlineStr">
        <is>
          <t>Pendente</t>
        </is>
      </c>
    </row>
    <row r="270" hidden="1" outlineLevel="3" ht="13.5" customHeight="1">
      <c r="A270" s="2117" t="n">
        <v>0</v>
      </c>
      <c r="B270" s="2117" t="n">
        <v>4</v>
      </c>
      <c r="C270" s="2117" t="n">
        <v>3</v>
      </c>
      <c r="D270" s="2118" t="n">
        <v>15</v>
      </c>
      <c r="E270" s="2118" t="n">
        <v>3</v>
      </c>
      <c r="G270" s="1748" t="inlineStr">
        <is>
          <t>SUPRAESTRUTURA</t>
        </is>
      </c>
      <c r="H270" s="1749" t="inlineStr">
        <is>
          <t>SERVIÇO</t>
        </is>
      </c>
      <c r="I270" s="1750" t="inlineStr">
        <is>
          <t>04.003.015.003</t>
        </is>
      </c>
      <c r="J270" s="1751" t="inlineStr">
        <is>
          <t>Armação Aço CA-50, Diâmetro de 8,0mm para Supraestrutura, Corte e dobra em Indústria</t>
        </is>
      </c>
      <c r="K270" s="1752" t="inlineStr">
        <is>
          <t>kg</t>
        </is>
      </c>
      <c r="L270" s="1753" t="n">
        <v>14</v>
      </c>
      <c r="M270" s="1753" t="n">
        <v>8.964965000000001</v>
      </c>
      <c r="N270" s="1754" t="n">
        <v>125.50951</v>
      </c>
      <c r="O270" s="1755" t="inlineStr">
        <is>
          <t>Quantidades resumo de projetos</t>
        </is>
      </c>
      <c r="P270" s="1721" t="inlineStr">
        <is>
          <t>Pendente</t>
        </is>
      </c>
    </row>
    <row r="271" hidden="1" outlineLevel="3" ht="13.5" customHeight="1">
      <c r="A271" s="2117" t="n">
        <v>0</v>
      </c>
      <c r="B271" s="2117" t="n">
        <v>4</v>
      </c>
      <c r="C271" s="2117" t="n">
        <v>3</v>
      </c>
      <c r="D271" s="2118" t="n">
        <v>15</v>
      </c>
      <c r="E271" s="2118" t="n">
        <v>4</v>
      </c>
      <c r="G271" s="1748" t="inlineStr">
        <is>
          <t>SUPRAESTRUTURA</t>
        </is>
      </c>
      <c r="H271" s="1749" t="inlineStr">
        <is>
          <t>SERVIÇO</t>
        </is>
      </c>
      <c r="I271" s="1750" t="inlineStr">
        <is>
          <t>04.003.015.004</t>
        </is>
      </c>
      <c r="J271" s="1751" t="inlineStr">
        <is>
          <t>Armação Aço CA-50, Diâmetro de 10,0mm para Supraestrutura, Corte e dobra em Indústria</t>
        </is>
      </c>
      <c r="K271" s="1752" t="inlineStr">
        <is>
          <t>kg</t>
        </is>
      </c>
      <c r="L271" s="1753" t="n">
        <v>1629.25</v>
      </c>
      <c r="M271" s="1753" t="n">
        <v>8.964965000000001</v>
      </c>
      <c r="N271" s="1754" t="n">
        <v>14606.16922625</v>
      </c>
      <c r="O271" s="1755" t="inlineStr">
        <is>
          <t>Quantidades resumo de projetos</t>
        </is>
      </c>
      <c r="P271" s="1721" t="inlineStr">
        <is>
          <t>Pendente</t>
        </is>
      </c>
    </row>
    <row r="272" hidden="1" outlineLevel="3" ht="13.5" customHeight="1">
      <c r="A272" s="2117" t="n">
        <v>0</v>
      </c>
      <c r="B272" s="2117" t="n">
        <v>4</v>
      </c>
      <c r="C272" s="2117" t="n">
        <v>3</v>
      </c>
      <c r="D272" s="2118" t="n">
        <v>15</v>
      </c>
      <c r="E272" s="2118" t="n">
        <v>5</v>
      </c>
      <c r="G272" s="1748" t="inlineStr">
        <is>
          <t>SUPRAESTRUTURA</t>
        </is>
      </c>
      <c r="H272" s="1749" t="inlineStr">
        <is>
          <t>SERVIÇO</t>
        </is>
      </c>
      <c r="I272" s="1750" t="inlineStr">
        <is>
          <t>04.003.015.005</t>
        </is>
      </c>
      <c r="J272" s="1751" t="inlineStr">
        <is>
          <t>Armação Aço CA-50, Diâmetro de 12,5mm para Supraestrutura, Corte e dobra em Indústria</t>
        </is>
      </c>
      <c r="K272" s="1752" t="inlineStr">
        <is>
          <t>kg</t>
        </is>
      </c>
      <c r="L272" s="1753" t="n">
        <v>5502.388</v>
      </c>
      <c r="M272" s="1753" t="n">
        <v>8.484965000000001</v>
      </c>
      <c r="N272" s="1754" t="n">
        <v>46687.56959642</v>
      </c>
      <c r="O272" s="1755" t="inlineStr">
        <is>
          <t>Quantidades resumo de projetos</t>
        </is>
      </c>
      <c r="P272" s="1721" t="inlineStr">
        <is>
          <t>Pendente</t>
        </is>
      </c>
    </row>
    <row r="273" hidden="1" outlineLevel="3" ht="13.5" customHeight="1">
      <c r="A273" s="2117" t="n">
        <v>0</v>
      </c>
      <c r="B273" s="2117" t="n">
        <v>4</v>
      </c>
      <c r="C273" s="2117" t="n">
        <v>3</v>
      </c>
      <c r="D273" s="2118" t="n">
        <v>15</v>
      </c>
      <c r="E273" s="2118" t="n">
        <v>6</v>
      </c>
      <c r="G273" s="1748" t="inlineStr">
        <is>
          <t>SUPRAESTRUTURA</t>
        </is>
      </c>
      <c r="H273" s="1749" t="inlineStr">
        <is>
          <t>SERVIÇO</t>
        </is>
      </c>
      <c r="I273" s="1750" t="inlineStr">
        <is>
          <t>04.003.015.006</t>
        </is>
      </c>
      <c r="J273" s="1751" t="inlineStr">
        <is>
          <t>Armação Aço CA-50, Diâmetro de 16,0mm para Supraestrutura, Corte e dobra em Indústria</t>
        </is>
      </c>
      <c r="K273" s="1752" t="inlineStr">
        <is>
          <t>kg</t>
        </is>
      </c>
      <c r="L273" s="1753" t="n">
        <v>692</v>
      </c>
      <c r="M273" s="1753" t="n">
        <v>8.484965000000001</v>
      </c>
      <c r="N273" s="1754" t="n">
        <v>5871.59578</v>
      </c>
      <c r="O273" s="1755" t="inlineStr">
        <is>
          <t>Quantidades resumo de projetos</t>
        </is>
      </c>
      <c r="P273" s="1721" t="inlineStr">
        <is>
          <t>Pendente</t>
        </is>
      </c>
    </row>
    <row r="274" hidden="1" outlineLevel="2" ht="13.5" customHeight="1">
      <c r="A274" s="2117" t="n">
        <v>0</v>
      </c>
      <c r="B274" s="2117" t="n">
        <v>4</v>
      </c>
      <c r="C274" s="2117" t="n">
        <v>3</v>
      </c>
      <c r="D274" s="2118" t="n">
        <v>16</v>
      </c>
      <c r="E274" s="2118" t="n">
        <v>0</v>
      </c>
      <c r="G274" s="1740" t="n"/>
      <c r="H274" s="1741" t="inlineStr">
        <is>
          <t>SUBETAPA</t>
        </is>
      </c>
      <c r="I274" s="1742" t="inlineStr">
        <is>
          <t>04.003.016</t>
        </is>
      </c>
      <c r="J274" s="1743" t="inlineStr">
        <is>
          <t>Armadura - Reservatório</t>
        </is>
      </c>
      <c r="K274" s="1744" t="n"/>
      <c r="L274" s="1745" t="n"/>
      <c r="M274" s="1745" t="n"/>
      <c r="N274" s="1746" t="n">
        <v>69302.88812</v>
      </c>
      <c r="O274" s="1747" t="n">
        <v>4.13756737416319</v>
      </c>
      <c r="P274" s="1720" t="n"/>
    </row>
    <row r="275" hidden="1" outlineLevel="3" ht="13.5" customHeight="1">
      <c r="A275" s="2117" t="n">
        <v>0</v>
      </c>
      <c r="B275" s="2117" t="n">
        <v>4</v>
      </c>
      <c r="C275" s="2117" t="n">
        <v>3</v>
      </c>
      <c r="D275" s="2118" t="n">
        <v>16</v>
      </c>
      <c r="E275" s="2118" t="n">
        <v>1</v>
      </c>
      <c r="G275" s="1748" t="inlineStr">
        <is>
          <t>SUPRAESTRUTURA</t>
        </is>
      </c>
      <c r="H275" s="1749" t="inlineStr">
        <is>
          <t>SERVIÇO</t>
        </is>
      </c>
      <c r="I275" s="1750" t="inlineStr">
        <is>
          <t>04.003.016.001</t>
        </is>
      </c>
      <c r="J275" s="1751" t="inlineStr">
        <is>
          <t>Armação Aço CA-60, Diâmetro de 5,0mm para Supraestrutura, Corte e dobra em Indústria</t>
        </is>
      </c>
      <c r="K275" s="1752" t="inlineStr">
        <is>
          <t>kg</t>
        </is>
      </c>
      <c r="L275" s="1753" t="n">
        <v>1514</v>
      </c>
      <c r="M275" s="1753" t="n">
        <v>8.964965000000001</v>
      </c>
      <c r="N275" s="1754" t="n">
        <v>13572.95701</v>
      </c>
      <c r="O275" s="1755" t="inlineStr">
        <is>
          <t>Quantidades resumo de projetos</t>
        </is>
      </c>
      <c r="P275" s="1721" t="inlineStr">
        <is>
          <t>Pendente</t>
        </is>
      </c>
    </row>
    <row r="276" hidden="1" outlineLevel="3" ht="13.5" customHeight="1">
      <c r="A276" s="2117" t="n">
        <v>0</v>
      </c>
      <c r="B276" s="2117" t="n">
        <v>4</v>
      </c>
      <c r="C276" s="2117" t="n">
        <v>3</v>
      </c>
      <c r="D276" s="2118" t="n">
        <v>16</v>
      </c>
      <c r="E276" s="2118" t="n">
        <v>2</v>
      </c>
      <c r="G276" s="1748" t="inlineStr">
        <is>
          <t>SUPRAESTRUTURA</t>
        </is>
      </c>
      <c r="H276" s="1749" t="inlineStr">
        <is>
          <t>SERVIÇO</t>
        </is>
      </c>
      <c r="I276" s="1750" t="inlineStr">
        <is>
          <t>04.003.016.002</t>
        </is>
      </c>
      <c r="J276" s="1751" t="inlineStr">
        <is>
          <t>Armação Aço CA-50, Diâmetro de 6,3mm para Supraestrutura, Corte e dobra em Indústria</t>
        </is>
      </c>
      <c r="K276" s="1752" t="inlineStr">
        <is>
          <t>kg</t>
        </is>
      </c>
      <c r="L276" s="1753" t="n">
        <v>120</v>
      </c>
      <c r="M276" s="1753" t="n">
        <v>8.964965000000001</v>
      </c>
      <c r="N276" s="1754" t="n">
        <v>1075.7958</v>
      </c>
      <c r="O276" s="1755" t="inlineStr">
        <is>
          <t>Quantidades resumo de projetos</t>
        </is>
      </c>
      <c r="P276" s="1721" t="inlineStr">
        <is>
          <t>Pendente</t>
        </is>
      </c>
    </row>
    <row r="277" hidden="1" outlineLevel="3" ht="13.5" customHeight="1">
      <c r="A277" s="2117" t="n">
        <v>0</v>
      </c>
      <c r="B277" s="2117" t="n">
        <v>4</v>
      </c>
      <c r="C277" s="2117" t="n">
        <v>3</v>
      </c>
      <c r="D277" s="2118" t="n">
        <v>16</v>
      </c>
      <c r="E277" s="2118" t="n">
        <v>3</v>
      </c>
      <c r="G277" s="1748" t="inlineStr">
        <is>
          <t>SUPRAESTRUTURA</t>
        </is>
      </c>
      <c r="H277" s="1749" t="inlineStr">
        <is>
          <t>SERVIÇO</t>
        </is>
      </c>
      <c r="I277" s="1750" t="inlineStr">
        <is>
          <t>04.003.016.003</t>
        </is>
      </c>
      <c r="J277" s="1751" t="inlineStr">
        <is>
          <t>Armação Aço CA-50, Diâmetro de 10,0mm para Supraestrutura, Corte e dobra em Indústria</t>
        </is>
      </c>
      <c r="K277" s="1752" t="inlineStr">
        <is>
          <t>kg</t>
        </is>
      </c>
      <c r="L277" s="1753" t="n">
        <v>5432</v>
      </c>
      <c r="M277" s="1753" t="n">
        <v>8.964965000000001</v>
      </c>
      <c r="N277" s="1754" t="n">
        <v>48697.68988</v>
      </c>
      <c r="O277" s="1755" t="inlineStr">
        <is>
          <t>Quantidades resumo de projetos</t>
        </is>
      </c>
      <c r="P277" s="1721" t="inlineStr">
        <is>
          <t>Pendente</t>
        </is>
      </c>
    </row>
    <row r="278" hidden="1" outlineLevel="3" ht="13.5" customHeight="1">
      <c r="A278" s="2117" t="n">
        <v>0</v>
      </c>
      <c r="B278" s="2117" t="n">
        <v>4</v>
      </c>
      <c r="C278" s="2117" t="n">
        <v>3</v>
      </c>
      <c r="D278" s="2118" t="n">
        <v>16</v>
      </c>
      <c r="E278" s="2118" t="n">
        <v>4</v>
      </c>
      <c r="G278" s="1748" t="inlineStr">
        <is>
          <t>SUPRAESTRUTURA</t>
        </is>
      </c>
      <c r="H278" s="1749" t="inlineStr">
        <is>
          <t>SERVIÇO</t>
        </is>
      </c>
      <c r="I278" s="1750" t="inlineStr">
        <is>
          <t>04.003.016.004</t>
        </is>
      </c>
      <c r="J278" s="1751" t="inlineStr">
        <is>
          <t>Armação Aço CA-50, Diâmetro de 12,5mm para Supraestrutura, Corte e dobra em Indústria</t>
        </is>
      </c>
      <c r="K278" s="1752" t="inlineStr">
        <is>
          <t>kg</t>
        </is>
      </c>
      <c r="L278" s="1753" t="n">
        <v>372</v>
      </c>
      <c r="M278" s="1753" t="n">
        <v>8.484965000000001</v>
      </c>
      <c r="N278" s="1754" t="n">
        <v>3156.40698</v>
      </c>
      <c r="O278" s="1755" t="inlineStr">
        <is>
          <t>Quantidades resumo de projetos</t>
        </is>
      </c>
      <c r="P278" s="1721" t="inlineStr">
        <is>
          <t>Pendente</t>
        </is>
      </c>
    </row>
    <row r="279" hidden="1" outlineLevel="3" ht="13.5" customHeight="1">
      <c r="A279" s="2117" t="n">
        <v>0</v>
      </c>
      <c r="B279" s="2117" t="n">
        <v>4</v>
      </c>
      <c r="C279" s="2117" t="n">
        <v>3</v>
      </c>
      <c r="D279" s="2118" t="n">
        <v>16</v>
      </c>
      <c r="E279" s="2118" t="n">
        <v>5</v>
      </c>
      <c r="G279" s="1748" t="inlineStr">
        <is>
          <t>SUPRAESTRUTURA</t>
        </is>
      </c>
      <c r="H279" s="1749" t="inlineStr">
        <is>
          <t>SERVIÇO</t>
        </is>
      </c>
      <c r="I279" s="1750" t="inlineStr">
        <is>
          <t>04.003.016.005</t>
        </is>
      </c>
      <c r="J279" s="1751" t="inlineStr">
        <is>
          <t>Armação Aço CA-50, Diâmetro de 16,0mm para Supraestrutura, Corte e dobra em Indústria</t>
        </is>
      </c>
      <c r="K279" s="1752" t="inlineStr">
        <is>
          <t>kg</t>
        </is>
      </c>
      <c r="L279" s="1753" t="n">
        <v>330</v>
      </c>
      <c r="M279" s="1753" t="n">
        <v>8.484965000000001</v>
      </c>
      <c r="N279" s="1754" t="n">
        <v>2800.03845</v>
      </c>
      <c r="O279" s="1755" t="inlineStr">
        <is>
          <t>Quantidades resumo de projetos</t>
        </is>
      </c>
      <c r="P279" s="1721" t="inlineStr">
        <is>
          <t>Pendente</t>
        </is>
      </c>
    </row>
    <row r="280" hidden="1" outlineLevel="1" ht="13.5" customHeight="1">
      <c r="A280" s="2117" t="n">
        <v>0</v>
      </c>
      <c r="B280" s="2117" t="n">
        <v>4</v>
      </c>
      <c r="C280" s="2117" t="n">
        <v>4</v>
      </c>
      <c r="D280" s="2118" t="n">
        <v>0</v>
      </c>
      <c r="E280" s="2118" t="n">
        <v>5</v>
      </c>
      <c r="G280" s="1733" t="n"/>
      <c r="H280" s="1734" t="inlineStr">
        <is>
          <t>ETAPA</t>
        </is>
      </c>
      <c r="I280" s="1735" t="inlineStr">
        <is>
          <t>04.004</t>
        </is>
      </c>
      <c r="J280" s="1736" t="inlineStr">
        <is>
          <t>CONCRETO</t>
        </is>
      </c>
      <c r="K280" s="1737" t="n"/>
      <c r="L280" s="1738" t="n"/>
      <c r="M280" s="1738" t="n"/>
      <c r="N280" s="1739" t="n">
        <v>4228107.65346357</v>
      </c>
      <c r="O280" s="1722" t="n">
        <v>252.429310754395</v>
      </c>
      <c r="P280" s="1719" t="n"/>
    </row>
    <row r="281" hidden="1" outlineLevel="2" ht="13.5" customHeight="1">
      <c r="A281" s="2117" t="n">
        <v>0</v>
      </c>
      <c r="B281" s="2117" t="n">
        <v>4</v>
      </c>
      <c r="C281" s="2117" t="n">
        <v>4</v>
      </c>
      <c r="D281" s="2118" t="n">
        <v>1</v>
      </c>
      <c r="E281" s="2118" t="n">
        <v>0</v>
      </c>
      <c r="G281" s="1740" t="n"/>
      <c r="H281" s="1741" t="inlineStr">
        <is>
          <t>SUBETAPA</t>
        </is>
      </c>
      <c r="I281" s="1742" t="inlineStr">
        <is>
          <t>04.004.001</t>
        </is>
      </c>
      <c r="J281" s="1743" t="inlineStr">
        <is>
          <t>Concreto - Térreo</t>
        </is>
      </c>
      <c r="K281" s="1744" t="n"/>
      <c r="L281" s="1745" t="n"/>
      <c r="M281" s="1745" t="n"/>
      <c r="N281" s="1746" t="n">
        <v>141892.4744</v>
      </c>
      <c r="O281" s="1747" t="n">
        <v>8.47135939991654</v>
      </c>
      <c r="P281" s="1720" t="n"/>
    </row>
    <row r="282" hidden="1" outlineLevel="3" ht="12.75" customHeight="1">
      <c r="A282" s="2117" t="n">
        <v>0</v>
      </c>
      <c r="B282" s="2117" t="n">
        <v>4</v>
      </c>
      <c r="C282" s="2117" t="n">
        <v>4</v>
      </c>
      <c r="D282" s="2118" t="n">
        <v>1</v>
      </c>
      <c r="E282" s="2118" t="n">
        <v>1</v>
      </c>
      <c r="G282" s="1748" t="inlineStr">
        <is>
          <t>SUPRAESTRUTURA</t>
        </is>
      </c>
      <c r="H282" s="1749" t="inlineStr">
        <is>
          <t>SERVIÇO</t>
        </is>
      </c>
      <c r="I282" s="1750" t="inlineStr">
        <is>
          <t>04.004.001.001</t>
        </is>
      </c>
      <c r="J282" s="1751" t="inlineStr">
        <is>
          <t>Concreto Usinado FCK = 50MPa Bombeavel Para Supraestrutura</t>
        </is>
      </c>
      <c r="K282" s="1752" t="inlineStr">
        <is>
          <t>m3</t>
        </is>
      </c>
      <c r="L282" s="1753" t="n">
        <v>208.4</v>
      </c>
      <c r="M282" s="1753" t="n">
        <v>680.8660000000001</v>
      </c>
      <c r="N282" s="1754" t="n">
        <v>141892.4744</v>
      </c>
      <c r="O282" s="1761" t="n"/>
      <c r="P282" s="1721" t="inlineStr">
        <is>
          <t>Pendente</t>
        </is>
      </c>
    </row>
    <row r="283" hidden="1" outlineLevel="2" ht="13.5" customHeight="1">
      <c r="A283" s="2117" t="n">
        <v>0</v>
      </c>
      <c r="B283" s="2117" t="n">
        <v>4</v>
      </c>
      <c r="C283" s="2117" t="n">
        <v>4</v>
      </c>
      <c r="D283" s="2118" t="n">
        <v>2</v>
      </c>
      <c r="E283" s="2118" t="n">
        <v>0</v>
      </c>
      <c r="G283" s="1740" t="n"/>
      <c r="H283" s="1741" t="inlineStr">
        <is>
          <t>SUBETAPA</t>
        </is>
      </c>
      <c r="I283" s="1742" t="inlineStr">
        <is>
          <t>04.004.002</t>
        </is>
      </c>
      <c r="J283" s="1743" t="inlineStr">
        <is>
          <t>Concreto - G1</t>
        </is>
      </c>
      <c r="K283" s="1744" t="n"/>
      <c r="L283" s="1745" t="n"/>
      <c r="M283" s="1745" t="n"/>
      <c r="N283" s="1746" t="n">
        <v>166812.17</v>
      </c>
      <c r="O283" s="1747" t="n">
        <v>9.95913173214756</v>
      </c>
      <c r="P283" s="1720" t="n"/>
    </row>
    <row r="284" hidden="1" outlineLevel="3" ht="12.75" customHeight="1">
      <c r="A284" s="2117" t="n">
        <v>0</v>
      </c>
      <c r="B284" s="2117" t="n">
        <v>4</v>
      </c>
      <c r="C284" s="2117" t="n">
        <v>4</v>
      </c>
      <c r="D284" s="2118" t="n">
        <v>2</v>
      </c>
      <c r="E284" s="2118" t="n">
        <v>1</v>
      </c>
      <c r="G284" s="1748" t="inlineStr">
        <is>
          <t>SUPRAESTRUTURA</t>
        </is>
      </c>
      <c r="H284" s="1749" t="inlineStr">
        <is>
          <t>SERVIÇO</t>
        </is>
      </c>
      <c r="I284" s="1750" t="inlineStr">
        <is>
          <t>04.004.002.001</t>
        </is>
      </c>
      <c r="J284" s="1751" t="inlineStr">
        <is>
          <t>Concreto Usinado FCK = 50MPa Bombeavel Para Supraestrutura</t>
        </is>
      </c>
      <c r="K284" s="1752" t="inlineStr">
        <is>
          <t>m3</t>
        </is>
      </c>
      <c r="L284" s="1753" t="n">
        <v>245</v>
      </c>
      <c r="M284" s="1753" t="n">
        <v>680.8660000000001</v>
      </c>
      <c r="N284" s="1754" t="n">
        <v>166812.17</v>
      </c>
      <c r="O284" s="1761" t="n"/>
      <c r="P284" s="1721" t="inlineStr">
        <is>
          <t>Pendente</t>
        </is>
      </c>
    </row>
    <row r="285" hidden="1" outlineLevel="2" ht="13.5" customHeight="1">
      <c r="A285" s="2117" t="n">
        <v>0</v>
      </c>
      <c r="B285" s="2117" t="n">
        <v>4</v>
      </c>
      <c r="C285" s="2117" t="n">
        <v>4</v>
      </c>
      <c r="D285" s="2118" t="n">
        <v>3</v>
      </c>
      <c r="E285" s="2118" t="n">
        <v>0</v>
      </c>
      <c r="G285" s="1740" t="n"/>
      <c r="H285" s="1741" t="inlineStr">
        <is>
          <t>SUBETAPA</t>
        </is>
      </c>
      <c r="I285" s="1742" t="inlineStr">
        <is>
          <t>04.004.003</t>
        </is>
      </c>
      <c r="J285" s="1743" t="inlineStr">
        <is>
          <t>Concreto - G2</t>
        </is>
      </c>
      <c r="K285" s="1744" t="n"/>
      <c r="L285" s="1745" t="n"/>
      <c r="M285" s="1745" t="n"/>
      <c r="N285" s="1746" t="n">
        <v>191799.9522</v>
      </c>
      <c r="O285" s="1747" t="n">
        <v>11.450969016106</v>
      </c>
      <c r="P285" s="1720" t="n"/>
    </row>
    <row r="286" hidden="1" outlineLevel="3" ht="12.75" customHeight="1">
      <c r="A286" s="2117" t="n">
        <v>0</v>
      </c>
      <c r="B286" s="2117" t="n">
        <v>4</v>
      </c>
      <c r="C286" s="2117" t="n">
        <v>4</v>
      </c>
      <c r="D286" s="2118" t="n">
        <v>3</v>
      </c>
      <c r="E286" s="2118" t="n">
        <v>1</v>
      </c>
      <c r="G286" s="1748" t="inlineStr">
        <is>
          <t>SUPRAESTRUTURA</t>
        </is>
      </c>
      <c r="H286" s="1749" t="inlineStr">
        <is>
          <t>SERVIÇO</t>
        </is>
      </c>
      <c r="I286" s="1750" t="inlineStr">
        <is>
          <t>04.004.003.001</t>
        </is>
      </c>
      <c r="J286" s="1751" t="inlineStr">
        <is>
          <t>Concreto Usinado FCK = 50MPa Bombeavel Para Supraestrutura</t>
        </is>
      </c>
      <c r="K286" s="1752" t="inlineStr">
        <is>
          <t>m3</t>
        </is>
      </c>
      <c r="L286" s="1753" t="n">
        <v>281.7</v>
      </c>
      <c r="M286" s="1753" t="n">
        <v>680.8660000000001</v>
      </c>
      <c r="N286" s="1754" t="n">
        <v>191799.9522</v>
      </c>
      <c r="O286" s="1761" t="n"/>
      <c r="P286" s="1721" t="inlineStr">
        <is>
          <t>Pendente</t>
        </is>
      </c>
    </row>
    <row r="287" hidden="1" outlineLevel="2" ht="13.5" customHeight="1">
      <c r="A287" s="2117" t="n">
        <v>0</v>
      </c>
      <c r="B287" s="2117" t="n">
        <v>4</v>
      </c>
      <c r="C287" s="2117" t="n">
        <v>4</v>
      </c>
      <c r="D287" s="2118" t="n">
        <v>4</v>
      </c>
      <c r="E287" s="2118" t="n">
        <v>0</v>
      </c>
      <c r="G287" s="1740" t="n"/>
      <c r="H287" s="1741" t="inlineStr">
        <is>
          <t>SUBETAPA</t>
        </is>
      </c>
      <c r="I287" s="1742" t="inlineStr">
        <is>
          <t>04.004.004</t>
        </is>
      </c>
      <c r="J287" s="1743" t="inlineStr">
        <is>
          <t>Concreto - G3</t>
        </is>
      </c>
      <c r="K287" s="1744" t="n"/>
      <c r="L287" s="1745" t="n"/>
      <c r="M287" s="1745" t="n"/>
      <c r="N287" s="1746" t="n">
        <v>193297.8574</v>
      </c>
      <c r="O287" s="1747" t="n">
        <v>11.5403979541089</v>
      </c>
      <c r="P287" s="1720" t="n"/>
    </row>
    <row r="288" hidden="1" outlineLevel="3" ht="12.75" customHeight="1">
      <c r="A288" s="2117" t="n">
        <v>0</v>
      </c>
      <c r="B288" s="2117" t="n">
        <v>4</v>
      </c>
      <c r="C288" s="2117" t="n">
        <v>4</v>
      </c>
      <c r="D288" s="2118" t="n">
        <v>4</v>
      </c>
      <c r="E288" s="2118" t="n">
        <v>1</v>
      </c>
      <c r="G288" s="1748" t="inlineStr">
        <is>
          <t>SUPRAESTRUTURA</t>
        </is>
      </c>
      <c r="H288" s="1749" t="inlineStr">
        <is>
          <t>SERVIÇO</t>
        </is>
      </c>
      <c r="I288" s="1750" t="inlineStr">
        <is>
          <t>04.004.004.001</t>
        </is>
      </c>
      <c r="J288" s="1751" t="inlineStr">
        <is>
          <t>Concreto Usinado FCK = 50MPa Bombeavel Para Supraestrutura</t>
        </is>
      </c>
      <c r="K288" s="1752" t="inlineStr">
        <is>
          <t>m3</t>
        </is>
      </c>
      <c r="L288" s="1753" t="n">
        <v>283.9</v>
      </c>
      <c r="M288" s="1753" t="n">
        <v>680.8660000000001</v>
      </c>
      <c r="N288" s="1754" t="n">
        <v>193297.8574</v>
      </c>
      <c r="O288" s="1761" t="n"/>
      <c r="P288" s="1721" t="inlineStr">
        <is>
          <t>Pendente</t>
        </is>
      </c>
    </row>
    <row r="289" hidden="1" outlineLevel="2" ht="13.5" customHeight="1">
      <c r="A289" s="2117" t="n">
        <v>0</v>
      </c>
      <c r="B289" s="2117" t="n">
        <v>4</v>
      </c>
      <c r="C289" s="2117" t="n">
        <v>4</v>
      </c>
      <c r="D289" s="2118" t="n">
        <v>5</v>
      </c>
      <c r="E289" s="2118" t="n">
        <v>0</v>
      </c>
      <c r="G289" s="1740" t="n"/>
      <c r="H289" s="1741" t="inlineStr">
        <is>
          <t>SUBETAPA</t>
        </is>
      </c>
      <c r="I289" s="1742" t="inlineStr">
        <is>
          <t>04.004.005</t>
        </is>
      </c>
      <c r="J289" s="1743" t="inlineStr">
        <is>
          <t>Concreto - G4</t>
        </is>
      </c>
      <c r="K289" s="1744" t="n"/>
      <c r="L289" s="1745" t="n"/>
      <c r="M289" s="1745" t="n"/>
      <c r="N289" s="1746" t="n">
        <v>193428.436604944</v>
      </c>
      <c r="O289" s="1747" t="n">
        <v>11.5481938811298</v>
      </c>
      <c r="P289" s="1720" t="n"/>
    </row>
    <row r="290" hidden="1" outlineLevel="3" ht="12.75" customHeight="1">
      <c r="A290" s="2117" t="n">
        <v>0</v>
      </c>
      <c r="B290" s="2117" t="n">
        <v>4</v>
      </c>
      <c r="C290" s="2117" t="n">
        <v>4</v>
      </c>
      <c r="D290" s="2118" t="n">
        <v>5</v>
      </c>
      <c r="E290" s="2118" t="n">
        <v>1</v>
      </c>
      <c r="G290" s="1748" t="inlineStr">
        <is>
          <t>SUPRAESTRUTURA</t>
        </is>
      </c>
      <c r="H290" s="1749" t="inlineStr">
        <is>
          <t>SERVIÇO</t>
        </is>
      </c>
      <c r="I290" s="1750" t="inlineStr">
        <is>
          <t>04.004.005.001</t>
        </is>
      </c>
      <c r="J290" s="1751" t="inlineStr">
        <is>
          <t>Concreto Usinado FCK = 50MPa Bombeavel Para Supraestrutura</t>
        </is>
      </c>
      <c r="K290" s="1752" t="inlineStr">
        <is>
          <t>m3</t>
        </is>
      </c>
      <c r="L290" s="1753" t="n">
        <v>284.091784</v>
      </c>
      <c r="M290" s="1753" t="n">
        <v>680.8660000000001</v>
      </c>
      <c r="N290" s="1754" t="n">
        <v>193428.436604944</v>
      </c>
      <c r="O290" s="1761" t="n"/>
      <c r="P290" s="1721" t="inlineStr">
        <is>
          <t>Pendente</t>
        </is>
      </c>
    </row>
    <row r="291" hidden="1" outlineLevel="2" ht="13.5" customHeight="1">
      <c r="A291" s="2117" t="n">
        <v>0</v>
      </c>
      <c r="B291" s="2117" t="n">
        <v>4</v>
      </c>
      <c r="C291" s="2117" t="n">
        <v>4</v>
      </c>
      <c r="D291" s="2118" t="n">
        <v>6</v>
      </c>
      <c r="E291" s="2118" t="n">
        <v>0</v>
      </c>
      <c r="G291" s="1740" t="n"/>
      <c r="H291" s="1741" t="inlineStr">
        <is>
          <t>SUBETAPA</t>
        </is>
      </c>
      <c r="I291" s="1742" t="inlineStr">
        <is>
          <t>04.004.006</t>
        </is>
      </c>
      <c r="J291" s="1743" t="inlineStr">
        <is>
          <t>Concreto - G5</t>
        </is>
      </c>
      <c r="K291" s="1744" t="n"/>
      <c r="L291" s="1745" t="n"/>
      <c r="M291" s="1745" t="n"/>
      <c r="N291" s="1746" t="n">
        <v>195471.034604944</v>
      </c>
      <c r="O291" s="1747" t="n">
        <v>11.6701424329521</v>
      </c>
      <c r="P291" s="1720" t="n"/>
    </row>
    <row r="292" hidden="1" outlineLevel="3" ht="12.75" customHeight="1">
      <c r="A292" s="2117" t="n">
        <v>0</v>
      </c>
      <c r="B292" s="2117" t="n">
        <v>4</v>
      </c>
      <c r="C292" s="2117" t="n">
        <v>4</v>
      </c>
      <c r="D292" s="2118" t="n">
        <v>6</v>
      </c>
      <c r="E292" s="2118" t="n">
        <v>1</v>
      </c>
      <c r="G292" s="1748" t="inlineStr">
        <is>
          <t>SUPRAESTRUTURA</t>
        </is>
      </c>
      <c r="H292" s="1749" t="inlineStr">
        <is>
          <t>SERVIÇO</t>
        </is>
      </c>
      <c r="I292" s="1750" t="inlineStr">
        <is>
          <t>04.004.006.001</t>
        </is>
      </c>
      <c r="J292" s="1751" t="inlineStr">
        <is>
          <t>Concreto Usinado FCK = 50MPa Bombeavel Para Supraestrutura</t>
        </is>
      </c>
      <c r="K292" s="1752" t="inlineStr">
        <is>
          <t>m3</t>
        </is>
      </c>
      <c r="L292" s="1753" t="n">
        <v>287.091784</v>
      </c>
      <c r="M292" s="1753" t="n">
        <v>680.8660000000001</v>
      </c>
      <c r="N292" s="1754" t="n">
        <v>195471.034604944</v>
      </c>
      <c r="O292" s="1761" t="n"/>
      <c r="P292" s="1721" t="inlineStr">
        <is>
          <t>Pendente</t>
        </is>
      </c>
    </row>
    <row r="293" hidden="1" outlineLevel="2" ht="13.5" customHeight="1">
      <c r="A293" s="2117" t="n">
        <v>0</v>
      </c>
      <c r="B293" s="2117" t="n">
        <v>4</v>
      </c>
      <c r="C293" s="2117" t="n">
        <v>4</v>
      </c>
      <c r="D293" s="2118" t="n">
        <v>7</v>
      </c>
      <c r="E293" s="2118" t="n">
        <v>0</v>
      </c>
      <c r="G293" s="1740" t="n"/>
      <c r="H293" s="1741" t="inlineStr">
        <is>
          <t>SUBETAPA</t>
        </is>
      </c>
      <c r="I293" s="1742" t="inlineStr">
        <is>
          <t>04.004.007</t>
        </is>
      </c>
      <c r="J293" s="1743" t="inlineStr">
        <is>
          <t>Concreto - Lazer | Garagem</t>
        </is>
      </c>
      <c r="K293" s="1744" t="n"/>
      <c r="L293" s="1745" t="n"/>
      <c r="M293" s="1745" t="n"/>
      <c r="N293" s="1746" t="n">
        <v>204118.032804944</v>
      </c>
      <c r="O293" s="1747" t="n">
        <v>12.1863913023328</v>
      </c>
      <c r="P293" s="1720" t="n"/>
    </row>
    <row r="294" hidden="1" outlineLevel="3" ht="12.75" customHeight="1">
      <c r="A294" s="2117" t="n">
        <v>0</v>
      </c>
      <c r="B294" s="2117" t="n">
        <v>4</v>
      </c>
      <c r="C294" s="2117" t="n">
        <v>4</v>
      </c>
      <c r="D294" s="2118" t="n">
        <v>7</v>
      </c>
      <c r="E294" s="2118" t="n">
        <v>1</v>
      </c>
      <c r="G294" s="1748" t="inlineStr">
        <is>
          <t>SUPRAESTRUTURA</t>
        </is>
      </c>
      <c r="H294" s="1749" t="inlineStr">
        <is>
          <t>SERVIÇO</t>
        </is>
      </c>
      <c r="I294" s="1750" t="inlineStr">
        <is>
          <t>04.004.007.001</t>
        </is>
      </c>
      <c r="J294" s="1751" t="inlineStr">
        <is>
          <t>Concreto Usinado FCK = 50MPa Bombeavel Para Supraestrutura</t>
        </is>
      </c>
      <c r="K294" s="1752" t="inlineStr">
        <is>
          <t>m3</t>
        </is>
      </c>
      <c r="L294" s="1753" t="n">
        <v>299.7917840000001</v>
      </c>
      <c r="M294" s="1753" t="n">
        <v>680.8660000000001</v>
      </c>
      <c r="N294" s="1754" t="n">
        <v>204118.032804944</v>
      </c>
      <c r="O294" s="1761" t="n"/>
      <c r="P294" s="1721" t="inlineStr">
        <is>
          <t>Pendente</t>
        </is>
      </c>
    </row>
    <row r="295" hidden="1" outlineLevel="2" ht="13.5" customHeight="1">
      <c r="A295" s="2117" t="n">
        <v>0</v>
      </c>
      <c r="B295" s="2117" t="n">
        <v>4</v>
      </c>
      <c r="C295" s="2117" t="n">
        <v>4</v>
      </c>
      <c r="D295" s="2118" t="n">
        <v>8</v>
      </c>
      <c r="E295" s="2118" t="n">
        <v>0</v>
      </c>
      <c r="G295" s="1740" t="n"/>
      <c r="H295" s="1741" t="inlineStr">
        <is>
          <t>SUBETAPA</t>
        </is>
      </c>
      <c r="I295" s="1742" t="inlineStr">
        <is>
          <t>04.004.008</t>
        </is>
      </c>
      <c r="J295" s="1743" t="inlineStr">
        <is>
          <t>Concreto - Patamar Intermediário</t>
        </is>
      </c>
      <c r="K295" s="1744" t="n"/>
      <c r="L295" s="1745" t="n"/>
      <c r="M295" s="1745" t="n"/>
      <c r="N295" s="1746" t="n">
        <v>55280.725204944</v>
      </c>
      <c r="O295" s="1747" t="n">
        <v>3.3004068262207</v>
      </c>
      <c r="P295" s="1720" t="n"/>
    </row>
    <row r="296" hidden="1" outlineLevel="3" ht="12.75" customHeight="1">
      <c r="A296" s="2117" t="n">
        <v>0</v>
      </c>
      <c r="B296" s="2117" t="n">
        <v>4</v>
      </c>
      <c r="C296" s="2117" t="n">
        <v>4</v>
      </c>
      <c r="D296" s="2118" t="n">
        <v>8</v>
      </c>
      <c r="E296" s="2118" t="n">
        <v>1</v>
      </c>
      <c r="G296" s="1748" t="inlineStr">
        <is>
          <t>SUPRAESTRUTURA</t>
        </is>
      </c>
      <c r="H296" s="1749" t="inlineStr">
        <is>
          <t>SERVIÇO</t>
        </is>
      </c>
      <c r="I296" s="1750" t="inlineStr">
        <is>
          <t>04.004.008.001</t>
        </is>
      </c>
      <c r="J296" s="1751" t="inlineStr">
        <is>
          <t>Concreto Usinado FCK = 50MPa Bombeavel Para Supraestrutura</t>
        </is>
      </c>
      <c r="K296" s="1752" t="inlineStr">
        <is>
          <t>m3</t>
        </is>
      </c>
      <c r="L296" s="1753" t="n">
        <v>81.19178400000001</v>
      </c>
      <c r="M296" s="1753" t="n">
        <v>680.8660000000001</v>
      </c>
      <c r="N296" s="1754" t="n">
        <v>55280.725204944</v>
      </c>
      <c r="O296" s="1761" t="n"/>
      <c r="P296" s="1721" t="inlineStr">
        <is>
          <t>Pendente</t>
        </is>
      </c>
    </row>
    <row r="297" hidden="1" outlineLevel="2" ht="13.5" customHeight="1">
      <c r="A297" s="2117" t="n">
        <v>0</v>
      </c>
      <c r="B297" s="2117" t="n">
        <v>4</v>
      </c>
      <c r="C297" s="2117" t="n">
        <v>4</v>
      </c>
      <c r="D297" s="2118" t="n">
        <v>9</v>
      </c>
      <c r="E297" s="2118" t="n">
        <v>0</v>
      </c>
      <c r="G297" s="1740" t="n"/>
      <c r="H297" s="1741" t="inlineStr">
        <is>
          <t>SUBETAPA</t>
        </is>
      </c>
      <c r="I297" s="1742" t="inlineStr">
        <is>
          <t>04.004.009</t>
        </is>
      </c>
      <c r="J297" s="1743" t="inlineStr">
        <is>
          <t>Concreto - Lazer</t>
        </is>
      </c>
      <c r="K297" s="1744" t="n"/>
      <c r="L297" s="1745" t="n"/>
      <c r="M297" s="1745" t="n"/>
      <c r="N297" s="1746" t="n">
        <v>148763.627004944</v>
      </c>
      <c r="O297" s="1747" t="n">
        <v>8.88158554795074</v>
      </c>
      <c r="P297" s="1720" t="n"/>
    </row>
    <row r="298" hidden="1" outlineLevel="3" ht="12.75" customHeight="1">
      <c r="A298" s="2117" t="n">
        <v>0</v>
      </c>
      <c r="B298" s="2117" t="n">
        <v>4</v>
      </c>
      <c r="C298" s="2117" t="n">
        <v>4</v>
      </c>
      <c r="D298" s="2118" t="n">
        <v>9</v>
      </c>
      <c r="E298" s="2118" t="n">
        <v>1</v>
      </c>
      <c r="G298" s="1748" t="inlineStr">
        <is>
          <t>SUPRAESTRUTURA</t>
        </is>
      </c>
      <c r="H298" s="1749" t="inlineStr">
        <is>
          <t>SERVIÇO</t>
        </is>
      </c>
      <c r="I298" s="1750" t="inlineStr">
        <is>
          <t>04.004.009.001</t>
        </is>
      </c>
      <c r="J298" s="1751" t="inlineStr">
        <is>
          <t>Concreto Usinado FCK = 50MPa Bombeavel Para Supraestrutura</t>
        </is>
      </c>
      <c r="K298" s="1752" t="inlineStr">
        <is>
          <t>m3</t>
        </is>
      </c>
      <c r="L298" s="1753" t="n">
        <v>218.491784</v>
      </c>
      <c r="M298" s="1753" t="n">
        <v>680.8660000000001</v>
      </c>
      <c r="N298" s="1754" t="n">
        <v>148763.627004944</v>
      </c>
      <c r="O298" s="1761" t="n"/>
      <c r="P298" s="1721" t="inlineStr">
        <is>
          <t>Pendente</t>
        </is>
      </c>
    </row>
    <row r="299" hidden="1" outlineLevel="2" ht="13.5" customHeight="1">
      <c r="A299" s="2117" t="n">
        <v>0</v>
      </c>
      <c r="B299" s="2117" t="n">
        <v>4</v>
      </c>
      <c r="C299" s="2117" t="n">
        <v>4</v>
      </c>
      <c r="D299" s="2118" t="n">
        <v>10</v>
      </c>
      <c r="E299" s="2118" t="n">
        <v>0</v>
      </c>
      <c r="G299" s="1740" t="n"/>
      <c r="H299" s="1741" t="inlineStr">
        <is>
          <t>SUBETAPA</t>
        </is>
      </c>
      <c r="I299" s="1742" t="inlineStr">
        <is>
          <t>04.004.010</t>
        </is>
      </c>
      <c r="J299" s="1743" t="inlineStr">
        <is>
          <t>Concreto - Tipo diferenciado</t>
        </is>
      </c>
      <c r="K299" s="1744" t="n"/>
      <c r="L299" s="1745" t="n"/>
      <c r="M299" s="1745" t="n"/>
      <c r="N299" s="1746" t="n">
        <v>95193.09012494401</v>
      </c>
      <c r="O299" s="1747" t="n">
        <v>5.68328152882678</v>
      </c>
      <c r="P299" s="1720" t="n"/>
    </row>
    <row r="300" hidden="1" outlineLevel="3" ht="12.75" customHeight="1">
      <c r="A300" s="2117" t="n">
        <v>0</v>
      </c>
      <c r="B300" s="2117" t="n">
        <v>4</v>
      </c>
      <c r="C300" s="2117" t="n">
        <v>4</v>
      </c>
      <c r="D300" s="2118" t="n">
        <v>10</v>
      </c>
      <c r="E300" s="2118" t="n">
        <v>1</v>
      </c>
      <c r="G300" s="1748" t="inlineStr">
        <is>
          <t>SUPRAESTRUTURA</t>
        </is>
      </c>
      <c r="H300" s="1749" t="inlineStr">
        <is>
          <t>SERVIÇO</t>
        </is>
      </c>
      <c r="I300" s="1750" t="inlineStr">
        <is>
          <t>04.004.010.001</t>
        </is>
      </c>
      <c r="J300" s="1751" t="inlineStr">
        <is>
          <t>Concreto Usinado FCK = 50MPa Bombeavel Para Supraestrutura</t>
        </is>
      </c>
      <c r="K300" s="1752" t="inlineStr">
        <is>
          <t>m3</t>
        </is>
      </c>
      <c r="L300" s="1753" t="n">
        <v>139.811784</v>
      </c>
      <c r="M300" s="1753" t="n">
        <v>680.8660000000001</v>
      </c>
      <c r="N300" s="1754" t="n">
        <v>95193.09012494401</v>
      </c>
      <c r="O300" s="1761" t="n"/>
      <c r="P300" s="1721" t="inlineStr">
        <is>
          <t>Pendente</t>
        </is>
      </c>
    </row>
    <row r="301" hidden="1" outlineLevel="2" ht="13.5" customHeight="1">
      <c r="A301" s="2117" t="n">
        <v>0</v>
      </c>
      <c r="B301" s="2117" t="n">
        <v>4</v>
      </c>
      <c r="C301" s="2117" t="n">
        <v>4</v>
      </c>
      <c r="D301" s="2118" t="n">
        <v>11</v>
      </c>
      <c r="E301" s="2118" t="n">
        <v>0</v>
      </c>
      <c r="G301" s="1740" t="n"/>
      <c r="H301" s="1741" t="inlineStr">
        <is>
          <t>SUBETAPA</t>
        </is>
      </c>
      <c r="I301" s="1742" t="inlineStr">
        <is>
          <t>04.004.011</t>
        </is>
      </c>
      <c r="J301" s="1743" t="inlineStr">
        <is>
          <t>Concreto - Tipo x8</t>
        </is>
      </c>
      <c r="K301" s="1744" t="n"/>
      <c r="L301" s="1745" t="n"/>
      <c r="M301" s="1745" t="n"/>
      <c r="N301" s="1746" t="n">
        <v>626754.870416088</v>
      </c>
      <c r="O301" s="1747" t="n">
        <v>37.4189384278071</v>
      </c>
      <c r="P301" s="1720" t="n"/>
    </row>
    <row r="302" hidden="1" outlineLevel="3" ht="12.75" customHeight="1">
      <c r="A302" s="2117" t="n">
        <v>0</v>
      </c>
      <c r="B302" s="2117" t="n">
        <v>4</v>
      </c>
      <c r="C302" s="2117" t="n">
        <v>4</v>
      </c>
      <c r="D302" s="2118" t="n">
        <v>11</v>
      </c>
      <c r="E302" s="2118" t="n">
        <v>1</v>
      </c>
      <c r="G302" s="1748" t="inlineStr">
        <is>
          <t>SUPRAESTRUTURA</t>
        </is>
      </c>
      <c r="H302" s="1749" t="inlineStr">
        <is>
          <t>SERVIÇO</t>
        </is>
      </c>
      <c r="I302" s="1750" t="inlineStr">
        <is>
          <t>04.004.011.001</t>
        </is>
      </c>
      <c r="J302" s="1751" t="inlineStr">
        <is>
          <t>Concreto Usinado FCK = 45MPa Bombeavel Para Supraestrutura</t>
        </is>
      </c>
      <c r="K302" s="1752" t="inlineStr">
        <is>
          <t>m3</t>
        </is>
      </c>
      <c r="L302" s="1753" t="n">
        <v>1010.231784</v>
      </c>
      <c r="M302" s="1753" t="n">
        <v>620.407</v>
      </c>
      <c r="N302" s="1754" t="n">
        <v>626754.870416088</v>
      </c>
      <c r="O302" s="1761" t="n"/>
      <c r="P302" s="1721" t="inlineStr">
        <is>
          <t>Pendente</t>
        </is>
      </c>
    </row>
    <row r="303" hidden="1" outlineLevel="2" ht="13.5" customHeight="1">
      <c r="A303" s="2117" t="n">
        <v>0</v>
      </c>
      <c r="B303" s="2117" t="n">
        <v>4</v>
      </c>
      <c r="C303" s="2117" t="n">
        <v>4</v>
      </c>
      <c r="D303" s="2118" t="n">
        <v>12</v>
      </c>
      <c r="E303" s="2118" t="n">
        <v>0</v>
      </c>
      <c r="G303" s="1740" t="n"/>
      <c r="H303" s="1741" t="inlineStr">
        <is>
          <t>SUBETAPA</t>
        </is>
      </c>
      <c r="I303" s="1742" t="inlineStr">
        <is>
          <t>04.004.012</t>
        </is>
      </c>
      <c r="J303" s="1743" t="inlineStr">
        <is>
          <t>Concreto - Penthouse x22</t>
        </is>
      </c>
      <c r="K303" s="1744" t="n"/>
      <c r="L303" s="1745" t="n"/>
      <c r="M303" s="1745" t="n"/>
      <c r="N303" s="1746" t="n">
        <v>1732746.65189394</v>
      </c>
      <c r="O303" s="1747" t="n">
        <v>103.449599418612</v>
      </c>
      <c r="P303" s="1720" t="n"/>
    </row>
    <row r="304" hidden="1" outlineLevel="3" ht="12.75" customHeight="1">
      <c r="A304" s="2117" t="n">
        <v>0</v>
      </c>
      <c r="B304" s="2117" t="n">
        <v>4</v>
      </c>
      <c r="C304" s="2117" t="n">
        <v>4</v>
      </c>
      <c r="D304" s="2118" t="n">
        <v>12</v>
      </c>
      <c r="E304" s="2118" t="n">
        <v>1</v>
      </c>
      <c r="G304" s="1748" t="inlineStr">
        <is>
          <t>SUPRAESTRUTURA</t>
        </is>
      </c>
      <c r="H304" s="1749" t="inlineStr">
        <is>
          <t>SERVIÇO</t>
        </is>
      </c>
      <c r="I304" s="1750" t="inlineStr">
        <is>
          <t>04.004.012.001</t>
        </is>
      </c>
      <c r="J304" s="1751" t="inlineStr">
        <is>
          <t>Concreto Usinado FCK = 45MPa Bombeavel Para Supraestrutura</t>
        </is>
      </c>
      <c r="K304" s="1752" t="inlineStr">
        <is>
          <t>m3</t>
        </is>
      </c>
      <c r="L304" s="1753" t="n">
        <v>2792.919248</v>
      </c>
      <c r="M304" s="1753" t="n">
        <v>620.407</v>
      </c>
      <c r="N304" s="1754" t="n">
        <v>1732746.65189394</v>
      </c>
      <c r="O304" s="1761" t="n"/>
      <c r="P304" s="1721" t="inlineStr">
        <is>
          <t>Pendente</t>
        </is>
      </c>
    </row>
    <row r="305" hidden="1" outlineLevel="2" ht="13.5" customHeight="1">
      <c r="A305" s="2117" t="n">
        <v>0</v>
      </c>
      <c r="B305" s="2117" t="n">
        <v>4</v>
      </c>
      <c r="C305" s="2117" t="n">
        <v>4</v>
      </c>
      <c r="D305" s="2118" t="n">
        <v>13</v>
      </c>
      <c r="E305" s="2118" t="n">
        <v>0</v>
      </c>
      <c r="G305" s="1740" t="n"/>
      <c r="H305" s="1741" t="inlineStr">
        <is>
          <t>SUBETAPA</t>
        </is>
      </c>
      <c r="I305" s="1742" t="inlineStr">
        <is>
          <t>04.004.013</t>
        </is>
      </c>
      <c r="J305" s="1743" t="inlineStr">
        <is>
          <t>Concreto - Duplex inferior</t>
        </is>
      </c>
      <c r="K305" s="1744" t="n"/>
      <c r="L305" s="1745" t="n"/>
      <c r="M305" s="1745" t="n"/>
      <c r="N305" s="1746" t="n">
        <v>77910.599709904</v>
      </c>
      <c r="O305" s="1747" t="n">
        <v>4.65147072807428</v>
      </c>
      <c r="P305" s="1720" t="n"/>
    </row>
    <row r="306" hidden="1" outlineLevel="3" ht="12.75" customHeight="1">
      <c r="A306" s="2117" t="n">
        <v>0</v>
      </c>
      <c r="B306" s="2117" t="n">
        <v>4</v>
      </c>
      <c r="C306" s="2117" t="n">
        <v>4</v>
      </c>
      <c r="D306" s="2118" t="n">
        <v>13</v>
      </c>
      <c r="E306" s="2118" t="n">
        <v>1</v>
      </c>
      <c r="G306" s="1748" t="inlineStr">
        <is>
          <t>SUPRAESTRUTURA</t>
        </is>
      </c>
      <c r="H306" s="1749" t="inlineStr">
        <is>
          <t>SERVIÇO</t>
        </is>
      </c>
      <c r="I306" s="1750" t="inlineStr">
        <is>
          <t>04.004.013.001</t>
        </is>
      </c>
      <c r="J306" s="1751" t="inlineStr">
        <is>
          <t>Concreto Usinado FCK = 40MPa Bombeavel Para Supraestrutura</t>
        </is>
      </c>
      <c r="K306" s="1752" t="inlineStr">
        <is>
          <t>m3</t>
        </is>
      </c>
      <c r="L306" s="1753" t="n">
        <v>123.411784</v>
      </c>
      <c r="M306" s="1753" t="n">
        <v>631.306</v>
      </c>
      <c r="N306" s="1754" t="n">
        <v>77910.599709904</v>
      </c>
      <c r="O306" s="1761" t="n"/>
      <c r="P306" s="1721" t="inlineStr">
        <is>
          <t>Pendente</t>
        </is>
      </c>
    </row>
    <row r="307" hidden="1" outlineLevel="2" ht="13.5" customHeight="1">
      <c r="A307" s="2117" t="n">
        <v>0</v>
      </c>
      <c r="B307" s="2117" t="n">
        <v>4</v>
      </c>
      <c r="C307" s="2117" t="n">
        <v>4</v>
      </c>
      <c r="D307" s="2118" t="n">
        <v>14</v>
      </c>
      <c r="E307" s="2118" t="n">
        <v>0</v>
      </c>
      <c r="G307" s="1740" t="n"/>
      <c r="H307" s="1741" t="inlineStr">
        <is>
          <t>SUBETAPA</t>
        </is>
      </c>
      <c r="I307" s="1742" t="inlineStr">
        <is>
          <t>04.004.014</t>
        </is>
      </c>
      <c r="J307" s="1743" t="inlineStr">
        <is>
          <t>Concreto - Duplex superior</t>
        </is>
      </c>
      <c r="K307" s="1744" t="n"/>
      <c r="L307" s="1745" t="n"/>
      <c r="M307" s="1745" t="n"/>
      <c r="N307" s="1746" t="n">
        <v>72127.836749904</v>
      </c>
      <c r="O307" s="1747" t="n">
        <v>4.30622434650378</v>
      </c>
      <c r="P307" s="1720" t="n"/>
    </row>
    <row r="308" hidden="1" outlineLevel="3" ht="12.75" customHeight="1">
      <c r="A308" s="2117" t="n">
        <v>0</v>
      </c>
      <c r="B308" s="2117" t="n">
        <v>4</v>
      </c>
      <c r="C308" s="2117" t="n">
        <v>4</v>
      </c>
      <c r="D308" s="2118" t="n">
        <v>14</v>
      </c>
      <c r="E308" s="2118" t="n">
        <v>1</v>
      </c>
      <c r="G308" s="1748" t="inlineStr">
        <is>
          <t>SUPRAESTRUTURA</t>
        </is>
      </c>
      <c r="H308" s="1749" t="inlineStr">
        <is>
          <t>SERVIÇO</t>
        </is>
      </c>
      <c r="I308" s="1750" t="inlineStr">
        <is>
          <t>04.004.014.001</t>
        </is>
      </c>
      <c r="J308" s="1751" t="inlineStr">
        <is>
          <t>Concreto Usinado FCK = 40MPa Bombeavel Para Supraestrutura</t>
        </is>
      </c>
      <c r="K308" s="1752" t="inlineStr">
        <is>
          <t>m3</t>
        </is>
      </c>
      <c r="L308" s="1753" t="n">
        <v>114.251784</v>
      </c>
      <c r="M308" s="1753" t="n">
        <v>631.306</v>
      </c>
      <c r="N308" s="1754" t="n">
        <v>72127.836749904</v>
      </c>
      <c r="O308" s="1761" t="n"/>
      <c r="P308" s="1721" t="inlineStr">
        <is>
          <t>Pendente</t>
        </is>
      </c>
    </row>
    <row r="309" hidden="1" outlineLevel="2" ht="13.5" customHeight="1">
      <c r="A309" s="2117" t="n">
        <v>0</v>
      </c>
      <c r="B309" s="2117" t="n">
        <v>4</v>
      </c>
      <c r="C309" s="2117" t="n">
        <v>4</v>
      </c>
      <c r="D309" s="2118" t="n">
        <v>15</v>
      </c>
      <c r="E309" s="2118" t="n">
        <v>0</v>
      </c>
      <c r="G309" s="1740" t="n"/>
      <c r="H309" s="1741" t="inlineStr">
        <is>
          <t>SUBETAPA</t>
        </is>
      </c>
      <c r="I309" s="1742" t="inlineStr">
        <is>
          <t>04.004.015</t>
        </is>
      </c>
      <c r="J309" s="1743" t="inlineStr">
        <is>
          <t>Concreto - Cobertura | Barrilete</t>
        </is>
      </c>
      <c r="K309" s="1744" t="n"/>
      <c r="L309" s="1745" t="n"/>
      <c r="M309" s="1745" t="n"/>
      <c r="N309" s="1746" t="n">
        <v>85340.529944076</v>
      </c>
      <c r="O309" s="1747" t="n">
        <v>5.09505739182181</v>
      </c>
      <c r="P309" s="1720" t="n"/>
    </row>
    <row r="310" hidden="1" outlineLevel="3" ht="12.75" customHeight="1">
      <c r="A310" s="2117" t="n">
        <v>0</v>
      </c>
      <c r="B310" s="2117" t="n">
        <v>4</v>
      </c>
      <c r="C310" s="2117" t="n">
        <v>4</v>
      </c>
      <c r="D310" s="2118" t="n">
        <v>15</v>
      </c>
      <c r="E310" s="2118" t="n">
        <v>1</v>
      </c>
      <c r="G310" s="1748" t="inlineStr">
        <is>
          <t>SUPRAESTRUTURA</t>
        </is>
      </c>
      <c r="H310" s="1749" t="inlineStr">
        <is>
          <t>SERVIÇO</t>
        </is>
      </c>
      <c r="I310" s="1750" t="inlineStr">
        <is>
          <t>04.004.015.001</t>
        </is>
      </c>
      <c r="J310" s="1751" t="inlineStr">
        <is>
          <t>Concreto Usinado FCK = 35MPa Bombeavel Para Supraestrutura</t>
        </is>
      </c>
      <c r="K310" s="1752" t="inlineStr">
        <is>
          <t>m3</t>
        </is>
      </c>
      <c r="L310" s="1753" t="n">
        <v>125.921784</v>
      </c>
      <c r="M310" s="1753" t="n">
        <v>677.7265</v>
      </c>
      <c r="N310" s="1754" t="n">
        <v>85340.529944076</v>
      </c>
      <c r="O310" s="1761" t="n"/>
      <c r="P310" s="1721" t="inlineStr">
        <is>
          <t>Pendente</t>
        </is>
      </c>
    </row>
    <row r="311" hidden="1" outlineLevel="2" ht="13.5" customHeight="1">
      <c r="A311" s="2117" t="n">
        <v>0</v>
      </c>
      <c r="B311" s="2117" t="n">
        <v>4</v>
      </c>
      <c r="C311" s="2117" t="n">
        <v>4</v>
      </c>
      <c r="D311" s="2118" t="n">
        <v>16</v>
      </c>
      <c r="E311" s="2118" t="n">
        <v>0</v>
      </c>
      <c r="G311" s="1740" t="n"/>
      <c r="H311" s="1741" t="inlineStr">
        <is>
          <t>SUBETAPA</t>
        </is>
      </c>
      <c r="I311" s="1742" t="inlineStr">
        <is>
          <t>04.004.016</t>
        </is>
      </c>
      <c r="J311" s="1743" t="inlineStr">
        <is>
          <t>Concreto - Reservatório</t>
        </is>
      </c>
      <c r="K311" s="1744" t="n"/>
      <c r="L311" s="1745" t="n"/>
      <c r="M311" s="1745" t="n"/>
      <c r="N311" s="1746" t="n">
        <v>47169.7644</v>
      </c>
      <c r="O311" s="1747" t="n">
        <v>2.81616081988481</v>
      </c>
      <c r="P311" s="1720" t="n"/>
    </row>
    <row r="312" hidden="1" outlineLevel="3" ht="12.75" customHeight="1">
      <c r="A312" s="2117" t="n">
        <v>0</v>
      </c>
      <c r="B312" s="2117" t="n">
        <v>4</v>
      </c>
      <c r="C312" s="2117" t="n">
        <v>4</v>
      </c>
      <c r="D312" s="2118" t="n">
        <v>16</v>
      </c>
      <c r="E312" s="2118" t="n">
        <v>1</v>
      </c>
      <c r="G312" s="1748" t="inlineStr">
        <is>
          <t>SUPRAESTRUTURA</t>
        </is>
      </c>
      <c r="H312" s="1749" t="inlineStr">
        <is>
          <t>SERVIÇO</t>
        </is>
      </c>
      <c r="I312" s="1750" t="inlineStr">
        <is>
          <t>04.004.016.001</t>
        </is>
      </c>
      <c r="J312" s="1751" t="inlineStr">
        <is>
          <t>Concreto Usinado FCK = 35MPa Bombeavel Para Supraestrutura</t>
        </is>
      </c>
      <c r="K312" s="1752" t="inlineStr">
        <is>
          <t>m3</t>
        </is>
      </c>
      <c r="L312" s="1753" t="n">
        <v>69.59999999999999</v>
      </c>
      <c r="M312" s="1753" t="n">
        <v>677.7265</v>
      </c>
      <c r="N312" s="1754" t="n">
        <v>47169.7644</v>
      </c>
      <c r="O312" s="1765" t="n"/>
      <c r="P312" s="1721" t="inlineStr">
        <is>
          <t>Pendente</t>
        </is>
      </c>
    </row>
    <row r="313" hidden="1" outlineLevel="1" ht="13.5" customHeight="1">
      <c r="A313" s="2117" t="n">
        <v>0</v>
      </c>
      <c r="B313" s="2117" t="n">
        <v>4</v>
      </c>
      <c r="C313" s="2117" t="n">
        <v>5</v>
      </c>
      <c r="D313" s="2118" t="n">
        <v>0</v>
      </c>
      <c r="E313" s="2118" t="n">
        <v>1</v>
      </c>
      <c r="G313" s="1733" t="n"/>
      <c r="H313" s="1734" t="inlineStr">
        <is>
          <t>ETAPA</t>
        </is>
      </c>
      <c r="I313" s="1735" t="inlineStr">
        <is>
          <t>04.005</t>
        </is>
      </c>
      <c r="J313" s="1736" t="inlineStr">
        <is>
          <t>COMPLEMENTARES</t>
        </is>
      </c>
      <c r="K313" s="1737" t="n"/>
      <c r="L313" s="1738" t="n"/>
      <c r="M313" s="1738" t="n"/>
      <c r="N313" s="1739" t="n">
        <v>303185.252954035</v>
      </c>
      <c r="O313" s="1722" t="n">
        <v>18.1009687327592</v>
      </c>
      <c r="P313" s="1719" t="n"/>
    </row>
    <row r="314" hidden="1" outlineLevel="2" ht="12.6" customHeight="1">
      <c r="A314" s="2117" t="n">
        <v>0</v>
      </c>
      <c r="B314" s="2117" t="n">
        <v>4</v>
      </c>
      <c r="C314" s="2117" t="n">
        <v>5</v>
      </c>
      <c r="D314" s="2118" t="n">
        <v>1</v>
      </c>
      <c r="E314" s="2118" t="n">
        <v>0</v>
      </c>
      <c r="G314" s="1740" t="n"/>
      <c r="H314" s="1741" t="inlineStr">
        <is>
          <t>SUBETAPA</t>
        </is>
      </c>
      <c r="I314" s="1742" t="inlineStr">
        <is>
          <t>04.005.001</t>
        </is>
      </c>
      <c r="J314" s="1743" t="inlineStr">
        <is>
          <t>Complementares - Térreo</t>
        </is>
      </c>
      <c r="K314" s="1744" t="n"/>
      <c r="L314" s="1745" t="n"/>
      <c r="M314" s="1745" t="n"/>
      <c r="N314" s="1746" t="n">
        <v>14412.6945441251</v>
      </c>
      <c r="O314" s="1747" t="n">
        <v>0.860476328436628</v>
      </c>
      <c r="P314" s="1720" t="n"/>
    </row>
    <row r="315" hidden="1" outlineLevel="3" ht="12.6" customHeight="1">
      <c r="A315" s="2117" t="n">
        <v>0</v>
      </c>
      <c r="B315" s="2117" t="n">
        <v>4</v>
      </c>
      <c r="C315" s="2117" t="n">
        <v>5</v>
      </c>
      <c r="D315" s="2118" t="n">
        <v>1</v>
      </c>
      <c r="E315" s="2118" t="n">
        <v>1</v>
      </c>
      <c r="G315" s="1748" t="inlineStr">
        <is>
          <t>SUPRAESTRUTURA</t>
        </is>
      </c>
      <c r="H315" s="1749" t="inlineStr">
        <is>
          <t>SERVIÇO</t>
        </is>
      </c>
      <c r="I315" s="1750" t="inlineStr">
        <is>
          <t>04.005.001.001</t>
        </is>
      </c>
      <c r="J315" s="1751" t="inlineStr">
        <is>
          <t>Locação de escoramento metálico pe direito simples</t>
        </is>
      </c>
      <c r="K315" s="1752" t="inlineStr">
        <is>
          <t>m2</t>
        </is>
      </c>
      <c r="L315" s="1753" t="n">
        <v>784.58</v>
      </c>
      <c r="M315" s="1753" t="n">
        <v>18.36994894609235</v>
      </c>
      <c r="N315" s="1754" t="n">
        <v>14412.6945441251</v>
      </c>
      <c r="O315" s="1761" t="inlineStr">
        <is>
          <t>Repessado pela Gessele na reunião do dia 05/03/2026 - GASTOS 101K  PARA EXECUÇÃO EMBASAMENTO</t>
        </is>
      </c>
      <c r="P315" s="1721" t="inlineStr">
        <is>
          <t>Pendente</t>
        </is>
      </c>
    </row>
    <row r="316" hidden="1" outlineLevel="2" ht="12.6" customHeight="1">
      <c r="A316" s="2117" t="n">
        <v>0</v>
      </c>
      <c r="B316" s="2117" t="n">
        <v>4</v>
      </c>
      <c r="C316" s="2117" t="n">
        <v>5</v>
      </c>
      <c r="D316" s="2118" t="n">
        <v>2</v>
      </c>
      <c r="E316" s="2118" t="n">
        <v>0</v>
      </c>
      <c r="G316" s="1740" t="n"/>
      <c r="H316" s="1741" t="inlineStr">
        <is>
          <t>SUBETAPA</t>
        </is>
      </c>
      <c r="I316" s="1742" t="inlineStr">
        <is>
          <t>04.005.002</t>
        </is>
      </c>
      <c r="J316" s="1743" t="inlineStr">
        <is>
          <t>Complementares - G1</t>
        </is>
      </c>
      <c r="K316" s="1744" t="n"/>
      <c r="L316" s="1745" t="n"/>
      <c r="M316" s="1745" t="n"/>
      <c r="N316" s="1746" t="n">
        <v>14717.0845981619</v>
      </c>
      <c r="O316" s="1747" t="n">
        <v>0.878649227009361</v>
      </c>
      <c r="P316" s="1720" t="n"/>
    </row>
    <row r="317" hidden="1" outlineLevel="3" ht="12.6" customHeight="1">
      <c r="A317" s="2117" t="n">
        <v>0</v>
      </c>
      <c r="B317" s="2117" t="n">
        <v>4</v>
      </c>
      <c r="C317" s="2117" t="n">
        <v>5</v>
      </c>
      <c r="D317" s="2118" t="n">
        <v>2</v>
      </c>
      <c r="E317" s="2118" t="n">
        <v>1</v>
      </c>
      <c r="G317" s="1748" t="inlineStr">
        <is>
          <t>SUPRAESTRUTURA</t>
        </is>
      </c>
      <c r="H317" s="1749" t="inlineStr">
        <is>
          <t>SERVIÇO</t>
        </is>
      </c>
      <c r="I317" s="1750" t="inlineStr">
        <is>
          <t>04.005.002.001</t>
        </is>
      </c>
      <c r="J317" s="1751" t="inlineStr">
        <is>
          <t>Locação de escoramento metálico pe direito simples</t>
        </is>
      </c>
      <c r="K317" s="1752" t="inlineStr">
        <is>
          <t>m2</t>
        </is>
      </c>
      <c r="L317" s="1753" t="n">
        <v>801.15</v>
      </c>
      <c r="M317" s="1753" t="n">
        <v>18.36994894609236</v>
      </c>
      <c r="N317" s="1754" t="n">
        <v>14717.0845981619</v>
      </c>
      <c r="O317" s="1761" t="inlineStr">
        <is>
          <t>Repessado pela Gessele na reunião do dia 05/03/2026 - GASTOS 101K  PARA EXECUÇÃO EMBASAMENTO</t>
        </is>
      </c>
      <c r="P317" s="1721" t="inlineStr">
        <is>
          <t>Pendente</t>
        </is>
      </c>
    </row>
    <row r="318" hidden="1" outlineLevel="2" ht="12.6" customHeight="1">
      <c r="A318" s="2117" t="n">
        <v>0</v>
      </c>
      <c r="B318" s="2117" t="n">
        <v>4</v>
      </c>
      <c r="C318" s="2117" t="n">
        <v>5</v>
      </c>
      <c r="D318" s="2118" t="n">
        <v>3</v>
      </c>
      <c r="E318" s="2118" t="n">
        <v>0</v>
      </c>
      <c r="G318" s="1740" t="n"/>
      <c r="H318" s="1741" t="inlineStr">
        <is>
          <t>SUBETAPA</t>
        </is>
      </c>
      <c r="I318" s="1742" t="inlineStr">
        <is>
          <t>04.005.003</t>
        </is>
      </c>
      <c r="J318" s="1743" t="inlineStr">
        <is>
          <t>Complementares - G2</t>
        </is>
      </c>
      <c r="K318" s="1744" t="n"/>
      <c r="L318" s="1745" t="n"/>
      <c r="M318" s="1745" t="n"/>
      <c r="N318" s="1746" t="n">
        <v>16138.0001491422</v>
      </c>
      <c r="O318" s="1747" t="n">
        <v>0.963481677498254</v>
      </c>
      <c r="P318" s="1720" t="n"/>
    </row>
    <row r="319" hidden="1" outlineLevel="3" ht="12.6" customHeight="1">
      <c r="A319" s="2117" t="n">
        <v>0</v>
      </c>
      <c r="B319" s="2117" t="n">
        <v>4</v>
      </c>
      <c r="C319" s="2117" t="n">
        <v>5</v>
      </c>
      <c r="D319" s="2118" t="n">
        <v>3</v>
      </c>
      <c r="E319" s="2118" t="n">
        <v>1</v>
      </c>
      <c r="G319" s="1748" t="inlineStr">
        <is>
          <t>SUPRAESTRUTURA</t>
        </is>
      </c>
      <c r="H319" s="1749" t="inlineStr">
        <is>
          <t>SERVIÇO</t>
        </is>
      </c>
      <c r="I319" s="1750" t="inlineStr">
        <is>
          <t>04.005.003.001</t>
        </is>
      </c>
      <c r="J319" s="1751" t="inlineStr">
        <is>
          <t>Locação de escoramento metálico pe direito simples</t>
        </is>
      </c>
      <c r="K319" s="1752" t="inlineStr">
        <is>
          <t>m2</t>
        </is>
      </c>
      <c r="L319" s="1753" t="n">
        <v>878.5</v>
      </c>
      <c r="M319" s="1753" t="n">
        <v>18.3699489460924</v>
      </c>
      <c r="N319" s="1754" t="n">
        <v>16138.0001491422</v>
      </c>
      <c r="O319" s="1761" t="inlineStr">
        <is>
          <t>Repessado pela Gessele na reunião do dia 05/03/2026 - GASTOS 101K  PARA EXECUÇÃO EMBASAMENTO</t>
        </is>
      </c>
      <c r="P319" s="1721" t="inlineStr">
        <is>
          <t>Pendente</t>
        </is>
      </c>
    </row>
    <row r="320" hidden="1" outlineLevel="2" ht="12.6" customHeight="1">
      <c r="A320" s="2117" t="n">
        <v>0</v>
      </c>
      <c r="B320" s="2117" t="n">
        <v>4</v>
      </c>
      <c r="C320" s="2117" t="n">
        <v>5</v>
      </c>
      <c r="D320" s="2118" t="n">
        <v>4</v>
      </c>
      <c r="E320" s="2118" t="n">
        <v>0</v>
      </c>
      <c r="G320" s="1740" t="n"/>
      <c r="H320" s="1741" t="inlineStr">
        <is>
          <t>SUBETAPA</t>
        </is>
      </c>
      <c r="I320" s="1742" t="inlineStr">
        <is>
          <t>04.005.004</t>
        </is>
      </c>
      <c r="J320" s="1743" t="inlineStr">
        <is>
          <t>Complementares - G3</t>
        </is>
      </c>
      <c r="K320" s="1744" t="n"/>
      <c r="L320" s="1745" t="n"/>
      <c r="M320" s="1745" t="n"/>
      <c r="N320" s="1746" t="n">
        <v>16138.0001491422</v>
      </c>
      <c r="O320" s="1747" t="n">
        <v>0.963481677498254</v>
      </c>
      <c r="P320" s="1720" t="n"/>
    </row>
    <row r="321" hidden="1" outlineLevel="3" ht="12.6" customHeight="1">
      <c r="A321" s="2117" t="n">
        <v>0</v>
      </c>
      <c r="B321" s="2117" t="n">
        <v>4</v>
      </c>
      <c r="C321" s="2117" t="n">
        <v>5</v>
      </c>
      <c r="D321" s="2118" t="n">
        <v>4</v>
      </c>
      <c r="E321" s="2118" t="n">
        <v>1</v>
      </c>
      <c r="G321" s="1748" t="inlineStr">
        <is>
          <t>SUPRAESTRUTURA</t>
        </is>
      </c>
      <c r="H321" s="1749" t="inlineStr">
        <is>
          <t>SERVIÇO</t>
        </is>
      </c>
      <c r="I321" s="1750" t="inlineStr">
        <is>
          <t>04.005.004.001</t>
        </is>
      </c>
      <c r="J321" s="1751" t="inlineStr">
        <is>
          <t>Locação de escoramento metálico pe direito simples</t>
        </is>
      </c>
      <c r="K321" s="1752" t="inlineStr">
        <is>
          <t>m2</t>
        </is>
      </c>
      <c r="L321" s="1753" t="n">
        <v>878.5</v>
      </c>
      <c r="M321" s="1753" t="n">
        <v>18.3699489460924</v>
      </c>
      <c r="N321" s="1754" t="n">
        <v>16138.0001491422</v>
      </c>
      <c r="O321" s="1761" t="inlineStr">
        <is>
          <t>Repessado pela Gessele na reunião do dia 05/03/2026 - GASTOS 101K  PARA EXECUÇÃO EMBASAMENTO</t>
        </is>
      </c>
      <c r="P321" s="1721" t="inlineStr">
        <is>
          <t>Pendente</t>
        </is>
      </c>
    </row>
    <row r="322" hidden="1" outlineLevel="2" ht="12.6" customHeight="1">
      <c r="A322" s="2117" t="n">
        <v>0</v>
      </c>
      <c r="B322" s="2117" t="n">
        <v>4</v>
      </c>
      <c r="C322" s="2117" t="n">
        <v>5</v>
      </c>
      <c r="D322" s="2118" t="n">
        <v>5</v>
      </c>
      <c r="E322" s="2118" t="n">
        <v>0</v>
      </c>
      <c r="G322" s="1740" t="n"/>
      <c r="H322" s="1741" t="inlineStr">
        <is>
          <t>SUBETAPA</t>
        </is>
      </c>
      <c r="I322" s="1742" t="inlineStr">
        <is>
          <t>04.005.005</t>
        </is>
      </c>
      <c r="J322" s="1743" t="inlineStr">
        <is>
          <t>Complementares - G4</t>
        </is>
      </c>
      <c r="K322" s="1744" t="n"/>
      <c r="L322" s="1745" t="n"/>
      <c r="M322" s="1745" t="n"/>
      <c r="N322" s="1746" t="n">
        <v>16138.0001491422</v>
      </c>
      <c r="O322" s="1747" t="n">
        <v>0.963481677498254</v>
      </c>
      <c r="P322" s="1720" t="n"/>
    </row>
    <row r="323" hidden="1" outlineLevel="3" ht="12.6" customHeight="1">
      <c r="A323" s="2117" t="n">
        <v>0</v>
      </c>
      <c r="B323" s="2117" t="n">
        <v>4</v>
      </c>
      <c r="C323" s="2117" t="n">
        <v>5</v>
      </c>
      <c r="D323" s="2118" t="n">
        <v>5</v>
      </c>
      <c r="E323" s="2118" t="n">
        <v>1</v>
      </c>
      <c r="G323" s="1748" t="inlineStr">
        <is>
          <t>SUPRAESTRUTURA</t>
        </is>
      </c>
      <c r="H323" s="1749" t="inlineStr">
        <is>
          <t>SERVIÇO</t>
        </is>
      </c>
      <c r="I323" s="1750" t="inlineStr">
        <is>
          <t>04.005.005.001</t>
        </is>
      </c>
      <c r="J323" s="1751" t="inlineStr">
        <is>
          <t>Locação de escoramento metálico pe direito simples</t>
        </is>
      </c>
      <c r="K323" s="1752" t="inlineStr">
        <is>
          <t>m2</t>
        </is>
      </c>
      <c r="L323" s="1753" t="n">
        <v>878.5</v>
      </c>
      <c r="M323" s="1753" t="n">
        <v>18.3699489460924</v>
      </c>
      <c r="N323" s="1754" t="n">
        <v>16138.0001491422</v>
      </c>
      <c r="O323" s="1761" t="inlineStr">
        <is>
          <t>Repessado pela Gessele na reunião do dia 05/03/2026 - GASTOS 101K  PARA EXECUÇÃO EMBASAMENTO</t>
        </is>
      </c>
      <c r="P323" s="1721" t="inlineStr">
        <is>
          <t>Pendente</t>
        </is>
      </c>
    </row>
    <row r="324" hidden="1" outlineLevel="2" ht="12.6" customHeight="1">
      <c r="A324" s="2117" t="n">
        <v>0</v>
      </c>
      <c r="B324" s="2117" t="n">
        <v>4</v>
      </c>
      <c r="C324" s="2117" t="n">
        <v>5</v>
      </c>
      <c r="D324" s="2118" t="n">
        <v>6</v>
      </c>
      <c r="E324" s="2118" t="n">
        <v>0</v>
      </c>
      <c r="G324" s="1740" t="n"/>
      <c r="H324" s="1741" t="inlineStr">
        <is>
          <t>SUBETAPA</t>
        </is>
      </c>
      <c r="I324" s="1742" t="inlineStr">
        <is>
          <t>04.005.006</t>
        </is>
      </c>
      <c r="J324" s="1743" t="inlineStr">
        <is>
          <t>Complementares - G5</t>
        </is>
      </c>
      <c r="K324" s="1744" t="n"/>
      <c r="L324" s="1745" t="n"/>
      <c r="M324" s="1745" t="n"/>
      <c r="N324" s="1746" t="n">
        <v>16394.2609369401</v>
      </c>
      <c r="O324" s="1747" t="n">
        <v>0.978781130430637</v>
      </c>
      <c r="P324" s="1720" t="n"/>
    </row>
    <row r="325" hidden="1" outlineLevel="3" ht="12.6" customHeight="1">
      <c r="A325" s="2117" t="n">
        <v>0</v>
      </c>
      <c r="B325" s="2117" t="n">
        <v>4</v>
      </c>
      <c r="C325" s="2117" t="n">
        <v>5</v>
      </c>
      <c r="D325" s="2118" t="n">
        <v>6</v>
      </c>
      <c r="E325" s="2118" t="n">
        <v>1</v>
      </c>
      <c r="G325" s="1748" t="inlineStr">
        <is>
          <t>SUPRAESTRUTURA</t>
        </is>
      </c>
      <c r="H325" s="1749" t="inlineStr">
        <is>
          <t>SERVIÇO</t>
        </is>
      </c>
      <c r="I325" s="1750" t="inlineStr">
        <is>
          <t>04.005.006.001</t>
        </is>
      </c>
      <c r="J325" s="1751" t="inlineStr">
        <is>
          <t>Locação de escoramento metálico pe direito simples</t>
        </is>
      </c>
      <c r="K325" s="1752" t="inlineStr">
        <is>
          <t>m2</t>
        </is>
      </c>
      <c r="L325" s="1753" t="n">
        <v>892.45</v>
      </c>
      <c r="M325" s="1753" t="n">
        <v>18.36994894609236</v>
      </c>
      <c r="N325" s="1754" t="n">
        <v>16394.2609369401</v>
      </c>
      <c r="O325" s="1761" t="inlineStr">
        <is>
          <t>Repessado pela Gessele na reunião do dia 05/03/2026 - GASTOS 101K  PARA EXECUÇÃO EMBASAMENTO</t>
        </is>
      </c>
      <c r="P325" s="1721" t="inlineStr">
        <is>
          <t>Pendente</t>
        </is>
      </c>
    </row>
    <row r="326" hidden="1" outlineLevel="2" ht="12.6" customHeight="1">
      <c r="A326" s="2117" t="n">
        <v>0</v>
      </c>
      <c r="B326" s="2117" t="n">
        <v>4</v>
      </c>
      <c r="C326" s="2117" t="n">
        <v>5</v>
      </c>
      <c r="D326" s="2118" t="n">
        <v>7</v>
      </c>
      <c r="E326" s="2118" t="n">
        <v>0</v>
      </c>
      <c r="G326" s="1740" t="n"/>
      <c r="H326" s="1741" t="inlineStr">
        <is>
          <t>SUBETAPA</t>
        </is>
      </c>
      <c r="I326" s="1742" t="inlineStr">
        <is>
          <t>04.005.007</t>
        </is>
      </c>
      <c r="J326" s="1743" t="inlineStr">
        <is>
          <t>Complementares - Lazer | Garagem</t>
        </is>
      </c>
      <c r="K326" s="1744" t="n"/>
      <c r="L326" s="1745" t="n"/>
      <c r="M326" s="1745" t="n"/>
      <c r="N326" s="1746" t="n">
        <v>714.591014002994</v>
      </c>
      <c r="O326" s="1747" t="n">
        <v>0.0426629906143222</v>
      </c>
      <c r="P326" s="1720" t="n"/>
    </row>
    <row r="327" hidden="1" outlineLevel="3" ht="12.6" customHeight="1">
      <c r="A327" s="2117" t="n">
        <v>0</v>
      </c>
      <c r="B327" s="2117" t="n">
        <v>4</v>
      </c>
      <c r="C327" s="2117" t="n">
        <v>5</v>
      </c>
      <c r="D327" s="2118" t="n">
        <v>7</v>
      </c>
      <c r="E327" s="2118" t="n">
        <v>1</v>
      </c>
      <c r="G327" s="1748" t="inlineStr">
        <is>
          <t>SUPRAESTRUTURA</t>
        </is>
      </c>
      <c r="H327" s="1749" t="inlineStr">
        <is>
          <t>SERVIÇO</t>
        </is>
      </c>
      <c r="I327" s="1750" t="inlineStr">
        <is>
          <t>04.005.007.001</t>
        </is>
      </c>
      <c r="J327" s="1751" t="inlineStr">
        <is>
          <t>Locação de escoramento metálico pe direito simples</t>
        </is>
      </c>
      <c r="K327" s="1752" t="inlineStr">
        <is>
          <t>m2</t>
        </is>
      </c>
      <c r="L327" s="1753" t="n">
        <v>38.9</v>
      </c>
      <c r="M327" s="1753" t="n">
        <v>18.36994894609239</v>
      </c>
      <c r="N327" s="1754" t="n">
        <v>714.591014002994</v>
      </c>
      <c r="O327" s="1761" t="inlineStr">
        <is>
          <t>Repessado pela Gessele na reunião do dia 05/03/2026 - GASTOS 101K  PARA EXECUÇÃO EMBASAMENTO</t>
        </is>
      </c>
      <c r="P327" s="1721" t="inlineStr">
        <is>
          <t>Pendente</t>
        </is>
      </c>
    </row>
    <row r="328" hidden="1" outlineLevel="2" ht="12.6" customHeight="1">
      <c r="A328" s="2117" t="n">
        <v>0</v>
      </c>
      <c r="B328" s="2117" t="n">
        <v>4</v>
      </c>
      <c r="C328" s="2117" t="n">
        <v>5</v>
      </c>
      <c r="D328" s="2118" t="n">
        <v>8</v>
      </c>
      <c r="E328" s="2118" t="n">
        <v>0</v>
      </c>
      <c r="G328" s="1740" t="n"/>
      <c r="H328" s="1741" t="inlineStr">
        <is>
          <t>SUBETAPA</t>
        </is>
      </c>
      <c r="I328" s="1742" t="inlineStr">
        <is>
          <t>04.005.008</t>
        </is>
      </c>
      <c r="J328" s="1743" t="inlineStr">
        <is>
          <t>Complementares - Patamar Intermediário</t>
        </is>
      </c>
      <c r="K328" s="1744" t="n"/>
      <c r="L328" s="1745" t="n"/>
      <c r="M328" s="1745" t="n"/>
      <c r="N328" s="1746" t="n">
        <v>6347.36845934331</v>
      </c>
      <c r="O328" s="1747" t="n">
        <v>0.37895483668295</v>
      </c>
      <c r="P328" s="1720" t="n"/>
    </row>
    <row r="329" hidden="1" outlineLevel="3" ht="12.6" customHeight="1">
      <c r="A329" s="2117" t="n">
        <v>0</v>
      </c>
      <c r="B329" s="2117" t="n">
        <v>4</v>
      </c>
      <c r="C329" s="2117" t="n">
        <v>5</v>
      </c>
      <c r="D329" s="2118" t="n">
        <v>8</v>
      </c>
      <c r="E329" s="2118" t="n">
        <v>1</v>
      </c>
      <c r="G329" s="1748" t="inlineStr">
        <is>
          <t>SUPRAESTRUTURA</t>
        </is>
      </c>
      <c r="H329" s="1749" t="inlineStr">
        <is>
          <t>SERVIÇO</t>
        </is>
      </c>
      <c r="I329" s="1750" t="inlineStr">
        <is>
          <t>04.005.008.001</t>
        </is>
      </c>
      <c r="J329" s="1751" t="inlineStr">
        <is>
          <t>Locação de escoramento metálico pe direito simples</t>
        </is>
      </c>
      <c r="K329" s="1752" t="inlineStr">
        <is>
          <t>m2</t>
        </is>
      </c>
      <c r="L329" s="1753" t="n">
        <v>345.53</v>
      </c>
      <c r="M329" s="1753" t="n">
        <v>18.3699489460924</v>
      </c>
      <c r="N329" s="1754" t="n">
        <v>6347.36845934331</v>
      </c>
      <c r="O329" s="1761" t="inlineStr">
        <is>
          <t>Repessado pela Gessele na reunião do dia 05/03/2026 - GASTOS 101K  PARA EXECUÇÃO EMBASAMENTO</t>
        </is>
      </c>
      <c r="P329" s="1721" t="inlineStr">
        <is>
          <t>Pendente</t>
        </is>
      </c>
    </row>
    <row r="330" hidden="1" outlineLevel="2" ht="12.6" customHeight="1">
      <c r="A330" s="2117" t="n">
        <v>0</v>
      </c>
      <c r="B330" s="2117" t="n">
        <v>4</v>
      </c>
      <c r="C330" s="2117" t="n">
        <v>5</v>
      </c>
      <c r="D330" s="2118" t="n">
        <v>9</v>
      </c>
      <c r="E330" s="2118" t="n">
        <v>0</v>
      </c>
      <c r="G330" s="1740" t="n"/>
      <c r="H330" s="1741" t="inlineStr">
        <is>
          <t>SUBETAPA</t>
        </is>
      </c>
      <c r="I330" s="1742" t="inlineStr">
        <is>
          <t>04.005.009</t>
        </is>
      </c>
      <c r="J330" s="1743" t="inlineStr">
        <is>
          <t>Complementares - Lazer</t>
        </is>
      </c>
      <c r="K330" s="1744" t="n"/>
      <c r="L330" s="1745" t="n"/>
      <c r="M330" s="1745" t="n"/>
      <c r="N330" s="1746" t="n">
        <v>5700</v>
      </c>
      <c r="O330" s="1747" t="n">
        <v>0.340305211983281</v>
      </c>
      <c r="P330" s="1720" t="n"/>
    </row>
    <row r="331" hidden="1" outlineLevel="3" ht="12.6" customHeight="1">
      <c r="A331" s="2117" t="n">
        <v>0</v>
      </c>
      <c r="B331" s="2117" t="n">
        <v>4</v>
      </c>
      <c r="C331" s="2117" t="n">
        <v>5</v>
      </c>
      <c r="D331" s="2118" t="n">
        <v>9</v>
      </c>
      <c r="E331" s="2118" t="n">
        <v>1</v>
      </c>
      <c r="G331" s="1748" t="inlineStr">
        <is>
          <t>SUPRAESTRUTURA</t>
        </is>
      </c>
      <c r="H331" s="1749" t="inlineStr">
        <is>
          <t>SERVIÇO</t>
        </is>
      </c>
      <c r="I331" s="1750" t="inlineStr">
        <is>
          <t>04.005.009.001</t>
        </is>
      </c>
      <c r="J331" s="1751" t="inlineStr">
        <is>
          <t>Locação de escoramento metálico pe direito simples</t>
        </is>
      </c>
      <c r="K331" s="1752" t="inlineStr">
        <is>
          <t>m2</t>
        </is>
      </c>
      <c r="L331" s="1753" t="n">
        <v>499.27</v>
      </c>
      <c r="M331" s="1753" t="n">
        <v>11.41666833577023</v>
      </c>
      <c r="N331" s="1754" t="n">
        <v>5700</v>
      </c>
      <c r="O331" s="1761" t="inlineStr">
        <is>
          <t xml:space="preserve">Repessado pela Gessele na reunião do dia 05/03/2026 - COTAÇÃO ALUGUEL TIP: R$ 17K POR MÊS 17K / 10 DIAS POR LAJE  APROXIMADAMENTE R$ 5,7K POR PAVTO </t>
        </is>
      </c>
      <c r="P331" s="1721" t="inlineStr">
        <is>
          <t>Pendente</t>
        </is>
      </c>
    </row>
    <row r="332" hidden="1" outlineLevel="2" ht="12.6" customHeight="1">
      <c r="A332" s="2117" t="n">
        <v>0</v>
      </c>
      <c r="B332" s="2117" t="n">
        <v>4</v>
      </c>
      <c r="C332" s="2117" t="n">
        <v>5</v>
      </c>
      <c r="D332" s="2118" t="n">
        <v>10</v>
      </c>
      <c r="E332" s="2118" t="n">
        <v>0</v>
      </c>
      <c r="G332" s="1740" t="n"/>
      <c r="H332" s="1741" t="inlineStr">
        <is>
          <t>SUBETAPA</t>
        </is>
      </c>
      <c r="I332" s="1742" t="inlineStr">
        <is>
          <t>04.005.010</t>
        </is>
      </c>
      <c r="J332" s="1743" t="inlineStr">
        <is>
          <t>Complementares - Tipo diferenciado</t>
        </is>
      </c>
      <c r="K332" s="1744" t="n"/>
      <c r="L332" s="1745" t="n"/>
      <c r="M332" s="1745" t="n"/>
      <c r="N332" s="1746" t="n">
        <v>5700</v>
      </c>
      <c r="O332" s="1747" t="n">
        <v>0.340305211983281</v>
      </c>
      <c r="P332" s="1720" t="n"/>
    </row>
    <row r="333" hidden="1" outlineLevel="3" ht="12.6" customHeight="1">
      <c r="A333" s="2117" t="n">
        <v>0</v>
      </c>
      <c r="B333" s="2117" t="n">
        <v>4</v>
      </c>
      <c r="C333" s="2117" t="n">
        <v>5</v>
      </c>
      <c r="D333" s="2118" t="n">
        <v>10</v>
      </c>
      <c r="E333" s="2118" t="n">
        <v>1</v>
      </c>
      <c r="G333" s="1748" t="inlineStr">
        <is>
          <t>SUPRAESTRUTURA</t>
        </is>
      </c>
      <c r="H333" s="1749" t="inlineStr">
        <is>
          <t>SERVIÇO</t>
        </is>
      </c>
      <c r="I333" s="1750" t="inlineStr">
        <is>
          <t>04.005.010.001</t>
        </is>
      </c>
      <c r="J333" s="1751" t="inlineStr">
        <is>
          <t>Locação de escoramento metálico pe direito simples</t>
        </is>
      </c>
      <c r="K333" s="1752" t="inlineStr">
        <is>
          <t>m2</t>
        </is>
      </c>
      <c r="L333" s="1753" t="n">
        <v>345.53</v>
      </c>
      <c r="M333" s="1753" t="n">
        <v>16.49639683963766</v>
      </c>
      <c r="N333" s="1754" t="n">
        <v>5700</v>
      </c>
      <c r="O333" s="1761" t="inlineStr">
        <is>
          <t xml:space="preserve">Repessado pela Gessele na reunião do dia 05/03/2026 - COTAÇÃO ALUGUEL TIP: R$ 17K POR MÊS 17K / 10 DIAS POR LAJE  APROXIMADAMENTE R$ 5,7K POR PAVTO </t>
        </is>
      </c>
      <c r="P333" s="1721" t="inlineStr">
        <is>
          <t>Pendente</t>
        </is>
      </c>
    </row>
    <row r="334" hidden="1" outlineLevel="2" ht="12.6" customHeight="1">
      <c r="A334" s="2117" t="n">
        <v>0</v>
      </c>
      <c r="B334" s="2117" t="n">
        <v>4</v>
      </c>
      <c r="C334" s="2117" t="n">
        <v>5</v>
      </c>
      <c r="D334" s="2118" t="n">
        <v>11</v>
      </c>
      <c r="E334" s="2118" t="n">
        <v>0</v>
      </c>
      <c r="G334" s="1740" t="n"/>
      <c r="H334" s="1741" t="inlineStr">
        <is>
          <t>SUBETAPA</t>
        </is>
      </c>
      <c r="I334" s="1742" t="inlineStr">
        <is>
          <t>04.005.011</t>
        </is>
      </c>
      <c r="J334" s="1743" t="inlineStr">
        <is>
          <t>Complementares - Tipo x8</t>
        </is>
      </c>
      <c r="K334" s="1744" t="n"/>
      <c r="L334" s="1745" t="n"/>
      <c r="M334" s="1745" t="n"/>
      <c r="N334" s="1746" t="n">
        <v>45600</v>
      </c>
      <c r="O334" s="1747" t="n">
        <v>2.72244169586625</v>
      </c>
      <c r="P334" s="1720" t="n"/>
    </row>
    <row r="335" hidden="1" outlineLevel="3" ht="12.6" customHeight="1">
      <c r="A335" s="2117" t="n">
        <v>0</v>
      </c>
      <c r="B335" s="2117" t="n">
        <v>4</v>
      </c>
      <c r="C335" s="2117" t="n">
        <v>5</v>
      </c>
      <c r="D335" s="2118" t="n">
        <v>11</v>
      </c>
      <c r="E335" s="2118" t="n">
        <v>1</v>
      </c>
      <c r="G335" s="1748" t="inlineStr">
        <is>
          <t>SUPRAESTRUTURA</t>
        </is>
      </c>
      <c r="H335" s="1749" t="inlineStr">
        <is>
          <t>SERVIÇO</t>
        </is>
      </c>
      <c r="I335" s="1750" t="inlineStr">
        <is>
          <t>04.005.011.001</t>
        </is>
      </c>
      <c r="J335" s="1751" t="inlineStr">
        <is>
          <t>Locação de escoramento metálico pe direito simples</t>
        </is>
      </c>
      <c r="K335" s="1752" t="inlineStr">
        <is>
          <t>m2</t>
        </is>
      </c>
      <c r="L335" s="1753" t="n">
        <v>2427.28</v>
      </c>
      <c r="M335" s="1753" t="n">
        <v>18.78646056491216</v>
      </c>
      <c r="N335" s="1754" t="n">
        <v>45600</v>
      </c>
      <c r="O335" s="1761" t="inlineStr">
        <is>
          <t xml:space="preserve">Repessado pela Gessele na reunião do dia 05/03/2026 - COTAÇÃO ALUGUEL TIP: R$ 17K POR MÊS 17K / 10 DIAS POR LAJE  APROXIMADAMENTE R$ 5,7K POR PAVTO </t>
        </is>
      </c>
      <c r="P335" s="1721" t="inlineStr">
        <is>
          <t>Pendente</t>
        </is>
      </c>
    </row>
    <row r="336" hidden="1" outlineLevel="2" ht="12.6" customHeight="1">
      <c r="A336" s="2117" t="n">
        <v>0</v>
      </c>
      <c r="B336" s="2117" t="n">
        <v>4</v>
      </c>
      <c r="C336" s="2117" t="n">
        <v>5</v>
      </c>
      <c r="D336" s="2118" t="n">
        <v>12</v>
      </c>
      <c r="E336" s="2118" t="n">
        <v>0</v>
      </c>
      <c r="G336" s="1740" t="n"/>
      <c r="H336" s="1741" t="inlineStr">
        <is>
          <t>SUBETAPA</t>
        </is>
      </c>
      <c r="I336" s="1742" t="inlineStr">
        <is>
          <t>04.005.012</t>
        </is>
      </c>
      <c r="J336" s="1743" t="inlineStr">
        <is>
          <t>Complementares - Penthouse x22</t>
        </is>
      </c>
      <c r="K336" s="1744" t="n"/>
      <c r="L336" s="1745" t="n"/>
      <c r="M336" s="1745" t="n"/>
      <c r="N336" s="1746" t="n">
        <v>125400</v>
      </c>
      <c r="O336" s="1747" t="n">
        <v>7.48671466363218</v>
      </c>
      <c r="P336" s="1720" t="n"/>
    </row>
    <row r="337" hidden="1" outlineLevel="3" ht="12.6" customHeight="1">
      <c r="A337" s="2117" t="n">
        <v>0</v>
      </c>
      <c r="B337" s="2117" t="n">
        <v>4</v>
      </c>
      <c r="C337" s="2117" t="n">
        <v>5</v>
      </c>
      <c r="D337" s="2118" t="n">
        <v>12</v>
      </c>
      <c r="E337" s="2118" t="n">
        <v>1</v>
      </c>
      <c r="G337" s="1748" t="inlineStr">
        <is>
          <t>SUPRAESTRUTURA</t>
        </is>
      </c>
      <c r="H337" s="1749" t="inlineStr">
        <is>
          <t>SERVIÇO</t>
        </is>
      </c>
      <c r="I337" s="1750" t="inlineStr">
        <is>
          <t>04.005.012.001</t>
        </is>
      </c>
      <c r="J337" s="1751" t="inlineStr">
        <is>
          <t>Locação de escoramento metálico pe direito simples</t>
        </is>
      </c>
      <c r="K337" s="1752" t="inlineStr">
        <is>
          <t>m2</t>
        </is>
      </c>
      <c r="L337" s="1753" t="n">
        <v>6374.97</v>
      </c>
      <c r="M337" s="1753" t="n">
        <v>19.67068080320378</v>
      </c>
      <c r="N337" s="1754" t="n">
        <v>125400</v>
      </c>
      <c r="O337" s="1761" t="inlineStr">
        <is>
          <t xml:space="preserve">Repessado pela Gessele na reunião do dia 05/03/2026 - COTAÇÃO ALUGUEL TIP: R$ 17K POR MÊS 17K / 10 DIAS POR LAJE  APROXIMADAMENTE R$ 5,7K POR PAVTO </t>
        </is>
      </c>
      <c r="P337" s="1721" t="inlineStr">
        <is>
          <t>Pendente</t>
        </is>
      </c>
    </row>
    <row r="338" hidden="1" outlineLevel="2" ht="12.6" customHeight="1">
      <c r="A338" s="2117" t="n">
        <v>0</v>
      </c>
      <c r="B338" s="2117" t="n">
        <v>4</v>
      </c>
      <c r="C338" s="2117" t="n">
        <v>5</v>
      </c>
      <c r="D338" s="2118" t="n">
        <v>13</v>
      </c>
      <c r="E338" s="2118" t="n">
        <v>0</v>
      </c>
      <c r="G338" s="1740" t="n"/>
      <c r="H338" s="1741" t="inlineStr">
        <is>
          <t>SUBETAPA</t>
        </is>
      </c>
      <c r="I338" s="1742" t="inlineStr">
        <is>
          <t>04.005.013</t>
        </is>
      </c>
      <c r="J338" s="1743" t="inlineStr">
        <is>
          <t>Complementares - Duplex inferior</t>
        </is>
      </c>
      <c r="K338" s="1744" t="n"/>
      <c r="L338" s="1745" t="n"/>
      <c r="M338" s="1745" t="n"/>
      <c r="N338" s="1746" t="n">
        <v>5700</v>
      </c>
      <c r="O338" s="1747" t="n">
        <v>0.340305211983281</v>
      </c>
      <c r="P338" s="1720" t="n"/>
    </row>
    <row r="339" hidden="1" outlineLevel="3" ht="12.6" customHeight="1">
      <c r="A339" s="2117" t="n">
        <v>0</v>
      </c>
      <c r="B339" s="2117" t="n">
        <v>4</v>
      </c>
      <c r="C339" s="2117" t="n">
        <v>5</v>
      </c>
      <c r="D339" s="2118" t="n">
        <v>13</v>
      </c>
      <c r="E339" s="2118" t="n">
        <v>1</v>
      </c>
      <c r="G339" s="1748" t="inlineStr">
        <is>
          <t>SUPRAESTRUTURA</t>
        </is>
      </c>
      <c r="H339" s="1749" t="inlineStr">
        <is>
          <t>SERVIÇO</t>
        </is>
      </c>
      <c r="I339" s="1750" t="inlineStr">
        <is>
          <t>04.005.013.001</t>
        </is>
      </c>
      <c r="J339" s="1751" t="inlineStr">
        <is>
          <t>Locação de escoramento metálico pe direito simples</t>
        </is>
      </c>
      <c r="K339" s="1752" t="inlineStr">
        <is>
          <t>m2</t>
        </is>
      </c>
      <c r="L339" s="1753" t="n">
        <v>303.57</v>
      </c>
      <c r="M339" s="1753" t="n">
        <v>18.7765589485127</v>
      </c>
      <c r="N339" s="1754" t="n">
        <v>5700</v>
      </c>
      <c r="O339" s="1761" t="inlineStr">
        <is>
          <t xml:space="preserve">Repessado pela Gessele na reunião do dia 05/03/2026 - COTAÇÃO ALUGUEL TIP: R$ 17K POR MÊS 17K / 10 DIAS POR LAJE  APROXIMADAMENTE R$ 5,7K POR PAVTO </t>
        </is>
      </c>
      <c r="P339" s="1721" t="inlineStr">
        <is>
          <t>Pendente</t>
        </is>
      </c>
    </row>
    <row r="340" hidden="1" outlineLevel="2" ht="12.6" customHeight="1">
      <c r="A340" s="2117" t="n">
        <v>0</v>
      </c>
      <c r="B340" s="2117" t="n">
        <v>4</v>
      </c>
      <c r="C340" s="2117" t="n">
        <v>5</v>
      </c>
      <c r="D340" s="2118" t="n">
        <v>14</v>
      </c>
      <c r="E340" s="2118" t="n">
        <v>0</v>
      </c>
      <c r="G340" s="1740" t="n"/>
      <c r="H340" s="1741" t="inlineStr">
        <is>
          <t>SUBETAPA</t>
        </is>
      </c>
      <c r="I340" s="1742" t="inlineStr">
        <is>
          <t>04.005.014</t>
        </is>
      </c>
      <c r="J340" s="1743" t="inlineStr">
        <is>
          <t>Complementares - Duplex superior</t>
        </is>
      </c>
      <c r="K340" s="1744" t="n"/>
      <c r="L340" s="1745" t="n"/>
      <c r="M340" s="1745" t="n"/>
      <c r="N340" s="1746" t="n">
        <v>5700</v>
      </c>
      <c r="O340" s="1747" t="n">
        <v>0.340305211983281</v>
      </c>
      <c r="P340" s="1720" t="n"/>
    </row>
    <row r="341" hidden="1" outlineLevel="3" ht="12.6" customHeight="1">
      <c r="A341" s="2117" t="n">
        <v>0</v>
      </c>
      <c r="B341" s="2117" t="n">
        <v>4</v>
      </c>
      <c r="C341" s="2117" t="n">
        <v>5</v>
      </c>
      <c r="D341" s="2118" t="n">
        <v>14</v>
      </c>
      <c r="E341" s="2118" t="n">
        <v>1</v>
      </c>
      <c r="G341" s="1748" t="inlineStr">
        <is>
          <t>SUPRAESTRUTURA</t>
        </is>
      </c>
      <c r="H341" s="1749" t="inlineStr">
        <is>
          <t>SERVIÇO</t>
        </is>
      </c>
      <c r="I341" s="1750" t="inlineStr">
        <is>
          <t>04.005.014.001</t>
        </is>
      </c>
      <c r="J341" s="1751" t="inlineStr">
        <is>
          <t>Locação de escoramento metálico pe direito simples</t>
        </is>
      </c>
      <c r="K341" s="1752" t="inlineStr">
        <is>
          <t>m2</t>
        </is>
      </c>
      <c r="L341" s="1753" t="n">
        <v>292.96</v>
      </c>
      <c r="M341" s="1753" t="n">
        <v>19.45658110322228</v>
      </c>
      <c r="N341" s="1754" t="n">
        <v>5700</v>
      </c>
      <c r="O341" s="1761" t="inlineStr">
        <is>
          <t xml:space="preserve">Repessado pela Gessele na reunião do dia 05/03/2026 - COTAÇÃO ALUGUEL TIP: R$ 17K POR MÊS 17K / 10 DIAS POR LAJE  APROXIMADAMENTE R$ 5,7K POR PAVTO </t>
        </is>
      </c>
      <c r="P341" s="1721" t="inlineStr">
        <is>
          <t>Pendente</t>
        </is>
      </c>
    </row>
    <row r="342" hidden="1" outlineLevel="2" ht="12.6" customHeight="1">
      <c r="A342" s="2117" t="n">
        <v>0</v>
      </c>
      <c r="B342" s="2117" t="n">
        <v>4</v>
      </c>
      <c r="C342" s="2117" t="n">
        <v>5</v>
      </c>
      <c r="D342" s="2118" t="n">
        <v>15</v>
      </c>
      <c r="E342" s="2118" t="n">
        <v>0</v>
      </c>
      <c r="G342" s="1740" t="n"/>
      <c r="H342" s="1741" t="inlineStr">
        <is>
          <t>SUBETAPA</t>
        </is>
      </c>
      <c r="I342" s="1742" t="inlineStr">
        <is>
          <t>04.005.015</t>
        </is>
      </c>
      <c r="J342" s="1743" t="inlineStr">
        <is>
          <t>Complementares - Cobertura | Barrilete</t>
        </is>
      </c>
      <c r="K342" s="1744" t="n"/>
      <c r="L342" s="1745" t="n"/>
      <c r="M342" s="1745" t="n"/>
      <c r="N342" s="1746" t="n">
        <v>5700</v>
      </c>
      <c r="O342" s="1747" t="n">
        <v>0.340305211983281</v>
      </c>
      <c r="P342" s="1720" t="n"/>
    </row>
    <row r="343" hidden="1" outlineLevel="3" ht="12.6" customHeight="1">
      <c r="A343" s="2117" t="n">
        <v>0</v>
      </c>
      <c r="B343" s="2117" t="n">
        <v>4</v>
      </c>
      <c r="C343" s="2117" t="n">
        <v>5</v>
      </c>
      <c r="D343" s="2118" t="n">
        <v>15</v>
      </c>
      <c r="E343" s="2118" t="n">
        <v>1</v>
      </c>
      <c r="G343" s="1748" t="inlineStr">
        <is>
          <t>SUPRAESTRUTURA</t>
        </is>
      </c>
      <c r="H343" s="1749" t="inlineStr">
        <is>
          <t>SERVIÇO</t>
        </is>
      </c>
      <c r="I343" s="1750" t="inlineStr">
        <is>
          <t>04.005.015.001</t>
        </is>
      </c>
      <c r="J343" s="1751" t="inlineStr">
        <is>
          <t>Locação de escoramento metálico pe direito simples</t>
        </is>
      </c>
      <c r="K343" s="1752" t="inlineStr">
        <is>
          <t>m2</t>
        </is>
      </c>
      <c r="L343" s="1753" t="n">
        <v>426.24</v>
      </c>
      <c r="M343" s="1753" t="n">
        <v>13.37274774774775</v>
      </c>
      <c r="N343" s="1754" t="n">
        <v>5700</v>
      </c>
      <c r="O343" s="1761" t="inlineStr">
        <is>
          <t xml:space="preserve">Repessado pela Gessele na reunião do dia 05/03/2026 - COTAÇÃO ALUGUEL TIP: R$ 17K POR MÊS 17K / 10 DIAS POR LAJE  APROXIMADAMENTE R$ 5,7K POR PAVTO </t>
        </is>
      </c>
      <c r="P343" s="1721" t="inlineStr">
        <is>
          <t>Pendente</t>
        </is>
      </c>
    </row>
    <row r="344" hidden="1" outlineLevel="2" ht="12.6" customHeight="1">
      <c r="A344" s="2117" t="n">
        <v>0</v>
      </c>
      <c r="B344" s="2117" t="n">
        <v>4</v>
      </c>
      <c r="C344" s="2117" t="n">
        <v>5</v>
      </c>
      <c r="D344" s="2118" t="n">
        <v>16</v>
      </c>
      <c r="E344" s="2118" t="n">
        <v>0</v>
      </c>
      <c r="G344" s="1740" t="n"/>
      <c r="H344" s="1741" t="inlineStr">
        <is>
          <t>SUBETAPA</t>
        </is>
      </c>
      <c r="I344" s="1742" t="inlineStr">
        <is>
          <t>04.005.016</t>
        </is>
      </c>
      <c r="J344" s="1743" t="inlineStr">
        <is>
          <t>Complementares - Reservatório</t>
        </is>
      </c>
      <c r="K344" s="1744" t="n"/>
      <c r="L344" s="1745" t="n"/>
      <c r="M344" s="1745" t="n"/>
      <c r="N344" s="1746" t="n">
        <v>2685.25295403491</v>
      </c>
      <c r="O344" s="1747" t="n">
        <v>0.160316767675716</v>
      </c>
      <c r="P344" s="1720" t="n"/>
    </row>
    <row r="345" hidden="1" outlineLevel="3" ht="12.6" customHeight="1">
      <c r="A345" s="2117" t="n">
        <v>0</v>
      </c>
      <c r="B345" s="2117" t="n">
        <v>4</v>
      </c>
      <c r="C345" s="2117" t="n">
        <v>5</v>
      </c>
      <c r="D345" s="2118" t="n">
        <v>16</v>
      </c>
      <c r="E345" s="2118" t="n">
        <v>1</v>
      </c>
      <c r="G345" s="1748" t="inlineStr">
        <is>
          <t>SUPRAESTRUTURA</t>
        </is>
      </c>
      <c r="H345" s="1749" t="inlineStr">
        <is>
          <t>SERVIÇO</t>
        </is>
      </c>
      <c r="I345" s="1750" t="inlineStr">
        <is>
          <t>04.005.016.001</t>
        </is>
      </c>
      <c r="J345" s="1751" t="inlineStr">
        <is>
          <t>Locação de escoramento metálico pe direito simples</t>
        </is>
      </c>
      <c r="K345" s="1752" t="inlineStr">
        <is>
          <t>m2</t>
        </is>
      </c>
      <c r="L345" s="1753" t="n">
        <v>73.72</v>
      </c>
      <c r="M345" s="1753" t="n">
        <v>36.42502650617072</v>
      </c>
      <c r="N345" s="1754" t="n">
        <v>2685.25295403491</v>
      </c>
      <c r="O345" s="1755" t="n"/>
      <c r="P345" s="1721" t="inlineStr">
        <is>
          <t>Pendente</t>
        </is>
      </c>
    </row>
    <row r="346" hidden="1" outlineLevel="1" ht="13.5" customHeight="1">
      <c r="A346" s="2117" t="n">
        <v>0</v>
      </c>
      <c r="B346" s="2117" t="n">
        <v>4</v>
      </c>
      <c r="C346" s="2117" t="n">
        <v>6</v>
      </c>
      <c r="D346" s="2118" t="n">
        <v>0</v>
      </c>
      <c r="E346" s="2118" t="n">
        <v>1</v>
      </c>
      <c r="G346" s="1733" t="n"/>
      <c r="H346" s="1734" t="inlineStr">
        <is>
          <t>ETAPA</t>
        </is>
      </c>
      <c r="I346" s="1735" t="inlineStr">
        <is>
          <t>04.006</t>
        </is>
      </c>
      <c r="J346" s="1736" t="inlineStr">
        <is>
          <t>MÃO DE OBRA</t>
        </is>
      </c>
      <c r="K346" s="1737" t="n"/>
      <c r="L346" s="1738" t="n"/>
      <c r="M346" s="1738" t="n"/>
      <c r="N346" s="1739" t="n"/>
      <c r="O346" s="1722" t="n"/>
      <c r="P346" s="1719" t="n"/>
    </row>
    <row r="347" hidden="1" outlineLevel="2" ht="13.5" customHeight="1">
      <c r="A347" s="2117" t="n">
        <v>0</v>
      </c>
      <c r="B347" s="2117" t="n">
        <v>4</v>
      </c>
      <c r="C347" s="2117" t="n">
        <v>6</v>
      </c>
      <c r="D347" s="2118" t="n">
        <v>1</v>
      </c>
      <c r="E347" s="2118" t="n">
        <v>0</v>
      </c>
      <c r="G347" s="1740" t="n"/>
      <c r="H347" s="1741" t="inlineStr">
        <is>
          <t>SUBETAPA</t>
        </is>
      </c>
      <c r="I347" s="1742" t="inlineStr">
        <is>
          <t>04.006.001</t>
        </is>
      </c>
      <c r="J347" s="1743" t="inlineStr">
        <is>
          <t>Mão de obra - Térreo</t>
        </is>
      </c>
      <c r="K347" s="1744" t="n"/>
      <c r="L347" s="1745" t="n"/>
      <c r="M347" s="1745" t="n"/>
      <c r="N347" s="1746" t="n"/>
      <c r="O347" s="1747" t="n"/>
      <c r="P347" s="1720" t="n"/>
    </row>
    <row r="348" hidden="1" outlineLevel="3" ht="12.75" customHeight="1">
      <c r="A348" s="2117" t="n">
        <v>0</v>
      </c>
      <c r="B348" s="2117" t="n">
        <v>4</v>
      </c>
      <c r="C348" s="2117" t="n">
        <v>6</v>
      </c>
      <c r="D348" s="2118" t="n">
        <v>1</v>
      </c>
      <c r="E348" s="2118" t="n">
        <v>1</v>
      </c>
      <c r="G348" s="1748" t="inlineStr">
        <is>
          <t>SUPRAESTRUTURA</t>
        </is>
      </c>
      <c r="H348" s="1749" t="inlineStr">
        <is>
          <t>SERVIÇO</t>
        </is>
      </c>
      <c r="I348" s="1750" t="inlineStr">
        <is>
          <t>04.006.001.001</t>
        </is>
      </c>
      <c r="J348" s="1751" t="inlineStr">
        <is>
          <t>Mão de obra para execução de supraestrutura de concreto armado</t>
        </is>
      </c>
      <c r="K348" s="1752" t="inlineStr">
        <is>
          <t>vb</t>
        </is>
      </c>
      <c r="L348" s="1753" t="n">
        <v>1</v>
      </c>
      <c r="M348" s="1753" t="e">
        <v>#REF!</v>
      </c>
      <c r="N348" s="1754" t="n"/>
      <c r="O348" s="1761" t="inlineStr">
        <is>
          <t>Repessado pela Gessele na reunião do dia 05/03/2026 - 214k Serra Mar + 294k Oliveira + M.O MP</t>
        </is>
      </c>
      <c r="P348" s="1721" t="inlineStr">
        <is>
          <t>Pendente</t>
        </is>
      </c>
    </row>
    <row r="349" hidden="1" outlineLevel="2" ht="13.5" customHeight="1">
      <c r="A349" s="2117" t="n">
        <v>0</v>
      </c>
      <c r="B349" s="2117" t="n">
        <v>4</v>
      </c>
      <c r="C349" s="2117" t="n">
        <v>6</v>
      </c>
      <c r="D349" s="2118" t="n">
        <v>2</v>
      </c>
      <c r="E349" s="2118" t="n">
        <v>0</v>
      </c>
      <c r="G349" s="1740" t="n"/>
      <c r="H349" s="1741" t="inlineStr">
        <is>
          <t>SUBETAPA</t>
        </is>
      </c>
      <c r="I349" s="1742" t="inlineStr">
        <is>
          <t>04.006.002</t>
        </is>
      </c>
      <c r="J349" s="1743" t="inlineStr">
        <is>
          <t>Mão de obra - Mezanino G1</t>
        </is>
      </c>
      <c r="K349" s="1744" t="n"/>
      <c r="L349" s="1745" t="n"/>
      <c r="M349" s="1745" t="n"/>
      <c r="N349" s="1746" t="n"/>
      <c r="O349" s="1747" t="n"/>
      <c r="P349" s="1720" t="n"/>
    </row>
    <row r="350" hidden="1" outlineLevel="3" ht="12.75" customHeight="1">
      <c r="A350" s="2117" t="n">
        <v>0</v>
      </c>
      <c r="B350" s="2117" t="n">
        <v>4</v>
      </c>
      <c r="C350" s="2117" t="n">
        <v>6</v>
      </c>
      <c r="D350" s="2118" t="n">
        <v>2</v>
      </c>
      <c r="E350" s="2118" t="n">
        <v>1</v>
      </c>
      <c r="G350" s="1748" t="inlineStr">
        <is>
          <t>SUPRAESTRUTURA</t>
        </is>
      </c>
      <c r="H350" s="1749" t="inlineStr">
        <is>
          <t>SERVIÇO</t>
        </is>
      </c>
      <c r="I350" s="1750" t="inlineStr">
        <is>
          <t>04.006.002.001</t>
        </is>
      </c>
      <c r="J350" s="1751" t="inlineStr">
        <is>
          <t>Mão de obra para execução de supraestrutura de concreto armado</t>
        </is>
      </c>
      <c r="K350" s="1752" t="inlineStr">
        <is>
          <t>vb</t>
        </is>
      </c>
      <c r="L350" s="1753" t="n">
        <v>1</v>
      </c>
      <c r="M350" s="1753" t="e">
        <v>#REF!</v>
      </c>
      <c r="N350" s="1754" t="n"/>
      <c r="O350" s="1761" t="inlineStr">
        <is>
          <t>Repessado pela Gessele na reunião do dia 05/03/2026 - 34k Oliveira + M.O da MP</t>
        </is>
      </c>
      <c r="P350" s="1721" t="inlineStr">
        <is>
          <t>Pendente</t>
        </is>
      </c>
    </row>
    <row r="351" hidden="1" outlineLevel="2" ht="13.5" customHeight="1">
      <c r="A351" s="2117" t="n">
        <v>0</v>
      </c>
      <c r="B351" s="2117" t="n">
        <v>4</v>
      </c>
      <c r="C351" s="2117" t="n">
        <v>6</v>
      </c>
      <c r="D351" s="2118" t="n">
        <v>3</v>
      </c>
      <c r="E351" s="2118" t="n">
        <v>0</v>
      </c>
      <c r="G351" s="1740" t="n"/>
      <c r="H351" s="1741" t="inlineStr">
        <is>
          <t>SUBETAPA</t>
        </is>
      </c>
      <c r="I351" s="1742" t="inlineStr">
        <is>
          <t>04.006.003</t>
        </is>
      </c>
      <c r="J351" s="1743" t="inlineStr">
        <is>
          <t>Mão de obra - G2</t>
        </is>
      </c>
      <c r="K351" s="1744" t="n"/>
      <c r="L351" s="1745" t="n"/>
      <c r="M351" s="1745" t="n"/>
      <c r="N351" s="1746" t="n"/>
      <c r="O351" s="1747" t="n"/>
      <c r="P351" s="1720" t="n"/>
    </row>
    <row r="352" hidden="1" outlineLevel="3" ht="12.75" customHeight="1">
      <c r="A352" s="2117" t="n">
        <v>0</v>
      </c>
      <c r="B352" s="2117" t="n">
        <v>4</v>
      </c>
      <c r="C352" s="2117" t="n">
        <v>6</v>
      </c>
      <c r="D352" s="2118" t="n">
        <v>3</v>
      </c>
      <c r="E352" s="2118" t="n">
        <v>1</v>
      </c>
      <c r="G352" s="1748" t="inlineStr">
        <is>
          <t>SUPRAESTRUTURA</t>
        </is>
      </c>
      <c r="H352" s="1749" t="inlineStr">
        <is>
          <t>SERVIÇO</t>
        </is>
      </c>
      <c r="I352" s="1750" t="inlineStr">
        <is>
          <t>04.006.003.001</t>
        </is>
      </c>
      <c r="J352" s="1751" t="inlineStr">
        <is>
          <t>Mão de obra para execução de supraestrutura de concreto armado</t>
        </is>
      </c>
      <c r="K352" s="1752" t="inlineStr">
        <is>
          <t>vb</t>
        </is>
      </c>
      <c r="L352" s="1753" t="n">
        <v>1</v>
      </c>
      <c r="M352" s="1753" t="e">
        <v>#REF!</v>
      </c>
      <c r="N352" s="1754" t="n"/>
      <c r="O352" s="1765" t="inlineStr">
        <is>
          <t>Repessado pela Gessele na reunião do dia 05/03/2026 - VER ABA "M.O. ESTRUTURA - MP"</t>
        </is>
      </c>
      <c r="P352" s="1721" t="inlineStr">
        <is>
          <t>Pendente</t>
        </is>
      </c>
    </row>
    <row r="353" hidden="1" outlineLevel="2" ht="13.5" customHeight="1">
      <c r="A353" s="2117" t="n">
        <v>0</v>
      </c>
      <c r="B353" s="2117" t="n">
        <v>4</v>
      </c>
      <c r="C353" s="2117" t="n">
        <v>6</v>
      </c>
      <c r="D353" s="2118" t="n">
        <v>4</v>
      </c>
      <c r="E353" s="2118" t="n">
        <v>0</v>
      </c>
      <c r="G353" s="1740" t="n"/>
      <c r="H353" s="1741" t="inlineStr">
        <is>
          <t>SUBETAPA</t>
        </is>
      </c>
      <c r="I353" s="1742" t="inlineStr">
        <is>
          <t>04.006.004</t>
        </is>
      </c>
      <c r="J353" s="1743" t="inlineStr">
        <is>
          <t>Mão de obra -  Mezanino G2</t>
        </is>
      </c>
      <c r="K353" s="1744" t="n"/>
      <c r="L353" s="1745" t="n"/>
      <c r="M353" s="1745" t="n"/>
      <c r="N353" s="1746" t="n"/>
      <c r="O353" s="1747" t="n"/>
      <c r="P353" s="1720" t="n"/>
    </row>
    <row r="354" hidden="1" outlineLevel="3" ht="12.75" customHeight="1">
      <c r="A354" s="2117" t="n">
        <v>0</v>
      </c>
      <c r="B354" s="2117" t="n">
        <v>4</v>
      </c>
      <c r="C354" s="2117" t="n">
        <v>6</v>
      </c>
      <c r="D354" s="2118" t="n">
        <v>4</v>
      </c>
      <c r="E354" s="2118" t="n">
        <v>1</v>
      </c>
      <c r="G354" s="1748" t="inlineStr">
        <is>
          <t>SUPRAESTRUTURA</t>
        </is>
      </c>
      <c r="H354" s="1749" t="inlineStr">
        <is>
          <t>SERVIÇO</t>
        </is>
      </c>
      <c r="I354" s="1750" t="inlineStr">
        <is>
          <t>04.006.004.001</t>
        </is>
      </c>
      <c r="J354" s="1751" t="inlineStr">
        <is>
          <t>Mão de obra para execução de supraestrutura de concreto armado</t>
        </is>
      </c>
      <c r="K354" s="1752" t="inlineStr">
        <is>
          <t>vb</t>
        </is>
      </c>
      <c r="L354" s="1753" t="n">
        <v>1</v>
      </c>
      <c r="M354" s="1753" t="e">
        <v>#REF!</v>
      </c>
      <c r="N354" s="1754" t="n"/>
      <c r="O354" s="1765" t="inlineStr">
        <is>
          <t>Repessado pela Gessele na reunião do dia 05/03/2026 - VER ABA "M.O. ESTRUTURA - MP"</t>
        </is>
      </c>
      <c r="P354" s="1721" t="inlineStr">
        <is>
          <t>Pendente</t>
        </is>
      </c>
    </row>
    <row r="355" hidden="1" outlineLevel="2" ht="13.5" customHeight="1">
      <c r="A355" s="2117" t="n">
        <v>0</v>
      </c>
      <c r="B355" s="2117" t="n">
        <v>4</v>
      </c>
      <c r="C355" s="2117" t="n">
        <v>6</v>
      </c>
      <c r="D355" s="2118" t="n">
        <v>5</v>
      </c>
      <c r="E355" s="2118" t="n">
        <v>0</v>
      </c>
      <c r="G355" s="1740" t="n"/>
      <c r="H355" s="1741" t="inlineStr">
        <is>
          <t>SUBETAPA</t>
        </is>
      </c>
      <c r="I355" s="1742" t="inlineStr">
        <is>
          <t>04.006.005</t>
        </is>
      </c>
      <c r="J355" s="1743" t="inlineStr">
        <is>
          <t>Mão de obra - G3</t>
        </is>
      </c>
      <c r="K355" s="1744" t="n"/>
      <c r="L355" s="1745" t="n"/>
      <c r="M355" s="1745" t="n"/>
      <c r="N355" s="1746" t="n"/>
      <c r="O355" s="1747" t="n"/>
      <c r="P355" s="1720" t="n"/>
    </row>
    <row r="356" hidden="1" outlineLevel="3" ht="12.75" customHeight="1">
      <c r="A356" s="2117" t="n">
        <v>0</v>
      </c>
      <c r="B356" s="2117" t="n">
        <v>4</v>
      </c>
      <c r="C356" s="2117" t="n">
        <v>6</v>
      </c>
      <c r="D356" s="2118" t="n">
        <v>5</v>
      </c>
      <c r="E356" s="2118" t="n">
        <v>1</v>
      </c>
      <c r="G356" s="1748" t="inlineStr">
        <is>
          <t>SUPRAESTRUTURA</t>
        </is>
      </c>
      <c r="H356" s="1749" t="inlineStr">
        <is>
          <t>SERVIÇO</t>
        </is>
      </c>
      <c r="I356" s="1750" t="inlineStr">
        <is>
          <t>04.006.005.001</t>
        </is>
      </c>
      <c r="J356" s="1751" t="inlineStr">
        <is>
          <t>Mão de obra para execução de supraestrutura de concreto armado</t>
        </is>
      </c>
      <c r="K356" s="1752" t="inlineStr">
        <is>
          <t>vb</t>
        </is>
      </c>
      <c r="L356" s="1753" t="n">
        <v>1</v>
      </c>
      <c r="M356" s="1753" t="e">
        <v>#REF!</v>
      </c>
      <c r="N356" s="1754" t="n"/>
      <c r="O356" s="1765" t="inlineStr">
        <is>
          <t>Repessado pela Gessele na reunião do dia 05/03/2026 - VER ABA "M.O. ESTRUTURA - MP"</t>
        </is>
      </c>
      <c r="P356" s="1721" t="inlineStr">
        <is>
          <t>Pendente</t>
        </is>
      </c>
    </row>
    <row r="357" hidden="1" outlineLevel="2" ht="13.5" customHeight="1">
      <c r="A357" s="2117" t="n">
        <v>0</v>
      </c>
      <c r="B357" s="2117" t="n">
        <v>4</v>
      </c>
      <c r="C357" s="2117" t="n">
        <v>6</v>
      </c>
      <c r="D357" s="2118" t="n">
        <v>6</v>
      </c>
      <c r="E357" s="2118" t="n">
        <v>0</v>
      </c>
      <c r="G357" s="1740" t="n"/>
      <c r="H357" s="1741" t="inlineStr">
        <is>
          <t>SUBETAPA</t>
        </is>
      </c>
      <c r="I357" s="1742" t="inlineStr">
        <is>
          <t>04.006.006</t>
        </is>
      </c>
      <c r="J357" s="1743" t="inlineStr">
        <is>
          <t>Mão de obra -  Mezanino G3</t>
        </is>
      </c>
      <c r="K357" s="1744" t="n"/>
      <c r="L357" s="1745" t="n"/>
      <c r="M357" s="1745" t="n"/>
      <c r="N357" s="1746" t="n"/>
      <c r="O357" s="1747" t="n"/>
      <c r="P357" s="1720" t="n"/>
    </row>
    <row r="358" hidden="1" outlineLevel="3" ht="12.75" customHeight="1">
      <c r="A358" s="2117" t="n">
        <v>0</v>
      </c>
      <c r="B358" s="2117" t="n">
        <v>4</v>
      </c>
      <c r="C358" s="2117" t="n">
        <v>6</v>
      </c>
      <c r="D358" s="2118" t="n">
        <v>6</v>
      </c>
      <c r="E358" s="2118" t="n">
        <v>1</v>
      </c>
      <c r="G358" s="1748" t="inlineStr">
        <is>
          <t>SUPRAESTRUTURA</t>
        </is>
      </c>
      <c r="H358" s="1749" t="inlineStr">
        <is>
          <t>SERVIÇO</t>
        </is>
      </c>
      <c r="I358" s="1750" t="inlineStr">
        <is>
          <t>04.006.006.001</t>
        </is>
      </c>
      <c r="J358" s="1751" t="inlineStr">
        <is>
          <t>Mão de obra para execução de supraestrutura de concreto armado</t>
        </is>
      </c>
      <c r="K358" s="1752" t="inlineStr">
        <is>
          <t>vb</t>
        </is>
      </c>
      <c r="L358" s="1753" t="n">
        <v>1</v>
      </c>
      <c r="M358" s="1753" t="e">
        <v>#REF!</v>
      </c>
      <c r="N358" s="1754" t="n"/>
      <c r="O358" s="1765" t="inlineStr">
        <is>
          <t>Repessado pela Gessele na reunião do dia 05/03/2026 - VER ABA "M.O. ESTRUTURA - MP"</t>
        </is>
      </c>
      <c r="P358" s="1721" t="inlineStr">
        <is>
          <t>Pendente</t>
        </is>
      </c>
    </row>
    <row r="359" hidden="1" outlineLevel="2" ht="13.5" customHeight="1">
      <c r="A359" s="2117" t="n">
        <v>0</v>
      </c>
      <c r="B359" s="2117" t="n">
        <v>4</v>
      </c>
      <c r="C359" s="2117" t="n">
        <v>6</v>
      </c>
      <c r="D359" s="2118" t="n">
        <v>7</v>
      </c>
      <c r="E359" s="2118" t="n">
        <v>0</v>
      </c>
      <c r="G359" s="1740" t="n"/>
      <c r="H359" s="1741" t="inlineStr">
        <is>
          <t>SUBETAPA</t>
        </is>
      </c>
      <c r="I359" s="1742" t="inlineStr">
        <is>
          <t>04.006.007</t>
        </is>
      </c>
      <c r="J359" s="1743" t="inlineStr">
        <is>
          <t>Mão de obra - Lazer | Garagem</t>
        </is>
      </c>
      <c r="K359" s="1744" t="n"/>
      <c r="L359" s="1745" t="n"/>
      <c r="M359" s="1745" t="n"/>
      <c r="N359" s="1746" t="n"/>
      <c r="O359" s="1747" t="n"/>
      <c r="P359" s="1720" t="n"/>
    </row>
    <row r="360" hidden="1" outlineLevel="3" ht="12.75" customHeight="1">
      <c r="A360" s="2117" t="n">
        <v>0</v>
      </c>
      <c r="B360" s="2117" t="n">
        <v>4</v>
      </c>
      <c r="C360" s="2117" t="n">
        <v>6</v>
      </c>
      <c r="D360" s="2118" t="n">
        <v>7</v>
      </c>
      <c r="E360" s="2118" t="n">
        <v>1</v>
      </c>
      <c r="G360" s="1748" t="inlineStr">
        <is>
          <t>SUPRAESTRUTURA</t>
        </is>
      </c>
      <c r="H360" s="1749" t="inlineStr">
        <is>
          <t>SERVIÇO</t>
        </is>
      </c>
      <c r="I360" s="1750" t="inlineStr">
        <is>
          <t>04.006.007.001</t>
        </is>
      </c>
      <c r="J360" s="1751" t="inlineStr">
        <is>
          <t>Mão de obra para execução de supraestrutura de concreto armado</t>
        </is>
      </c>
      <c r="K360" s="1752" t="inlineStr">
        <is>
          <t>vb</t>
        </is>
      </c>
      <c r="L360" s="1753" t="n">
        <v>1</v>
      </c>
      <c r="M360" s="1753" t="e">
        <v>#REF!</v>
      </c>
      <c r="N360" s="1754" t="n"/>
      <c r="O360" s="1765" t="inlineStr">
        <is>
          <t>Repessado pela Gessele na reunião do dia 05/03/2026 - VER ABA "M.O. ESTRUTURA - MP"</t>
        </is>
      </c>
      <c r="P360" s="1721" t="inlineStr">
        <is>
          <t>Pendente</t>
        </is>
      </c>
    </row>
    <row r="361" hidden="1" outlineLevel="2" ht="13.5" customHeight="1">
      <c r="A361" s="2117" t="n">
        <v>0</v>
      </c>
      <c r="B361" s="2117" t="n">
        <v>4</v>
      </c>
      <c r="C361" s="2117" t="n">
        <v>6</v>
      </c>
      <c r="D361" s="2118" t="n">
        <v>8</v>
      </c>
      <c r="E361" s="2118" t="n">
        <v>0</v>
      </c>
      <c r="G361" s="1740" t="n"/>
      <c r="H361" s="1741" t="inlineStr">
        <is>
          <t>SUBETAPA</t>
        </is>
      </c>
      <c r="I361" s="1742" t="inlineStr">
        <is>
          <t>04.006.008</t>
        </is>
      </c>
      <c r="J361" s="1743" t="inlineStr">
        <is>
          <t>Mão de obra - Lazer | Garagem</t>
        </is>
      </c>
      <c r="K361" s="1744" t="n"/>
      <c r="L361" s="1745" t="n"/>
      <c r="M361" s="1745" t="n"/>
      <c r="N361" s="1746" t="n"/>
      <c r="O361" s="1747" t="n"/>
      <c r="P361" s="1720" t="n"/>
    </row>
    <row r="362" hidden="1" outlineLevel="3" ht="12.75" customHeight="1">
      <c r="A362" s="2117" t="n">
        <v>0</v>
      </c>
      <c r="B362" s="2117" t="n">
        <v>4</v>
      </c>
      <c r="C362" s="2117" t="n">
        <v>6</v>
      </c>
      <c r="D362" s="2118" t="n">
        <v>8</v>
      </c>
      <c r="E362" s="2118" t="n">
        <v>1</v>
      </c>
      <c r="G362" s="1748" t="inlineStr">
        <is>
          <t>SUPRAESTRUTURA</t>
        </is>
      </c>
      <c r="H362" s="1749" t="inlineStr">
        <is>
          <t>SERVIÇO</t>
        </is>
      </c>
      <c r="I362" s="1750" t="inlineStr">
        <is>
          <t>04.006.008.001</t>
        </is>
      </c>
      <c r="J362" s="1751" t="inlineStr">
        <is>
          <t>Mão de obra para execução de supraestrutura de concreto armado</t>
        </is>
      </c>
      <c r="K362" s="1752" t="inlineStr">
        <is>
          <t>vb</t>
        </is>
      </c>
      <c r="L362" s="1753" t="n">
        <v>1</v>
      </c>
      <c r="M362" s="1753" t="e">
        <v>#REF!</v>
      </c>
      <c r="N362" s="1754" t="n"/>
      <c r="O362" s="1765" t="inlineStr">
        <is>
          <t>Repessado pela Gessele na reunião do dia 05/03/2026 - VER ABA "M.O. ESTRUTURA - MP"</t>
        </is>
      </c>
      <c r="P362" s="1721" t="inlineStr">
        <is>
          <t>Pendente</t>
        </is>
      </c>
    </row>
    <row r="363" hidden="1" outlineLevel="2" ht="13.5" customHeight="1">
      <c r="A363" s="2117" t="n">
        <v>0</v>
      </c>
      <c r="B363" s="2117" t="n">
        <v>4</v>
      </c>
      <c r="C363" s="2117" t="n">
        <v>6</v>
      </c>
      <c r="D363" s="2118" t="n">
        <v>9</v>
      </c>
      <c r="E363" s="2118" t="n">
        <v>0</v>
      </c>
      <c r="G363" s="1740" t="n"/>
      <c r="H363" s="1741" t="inlineStr">
        <is>
          <t>SUBETAPA</t>
        </is>
      </c>
      <c r="I363" s="1742" t="inlineStr">
        <is>
          <t>04.006.009</t>
        </is>
      </c>
      <c r="J363" s="1743" t="inlineStr">
        <is>
          <t>Mão de obra - Lazer</t>
        </is>
      </c>
      <c r="K363" s="1744" t="n"/>
      <c r="L363" s="1745" t="n"/>
      <c r="M363" s="1745" t="n"/>
      <c r="N363" s="1746" t="n"/>
      <c r="O363" s="1747" t="n"/>
      <c r="P363" s="1720" t="n"/>
    </row>
    <row r="364" hidden="1" outlineLevel="3" ht="12.75" customHeight="1">
      <c r="A364" s="2117" t="n">
        <v>0</v>
      </c>
      <c r="B364" s="2117" t="n">
        <v>4</v>
      </c>
      <c r="C364" s="2117" t="n">
        <v>6</v>
      </c>
      <c r="D364" s="2118" t="n">
        <v>9</v>
      </c>
      <c r="E364" s="2118" t="n">
        <v>1</v>
      </c>
      <c r="G364" s="1748" t="inlineStr">
        <is>
          <t>SUPRAESTRUTURA</t>
        </is>
      </c>
      <c r="H364" s="1749" t="inlineStr">
        <is>
          <t>SERVIÇO</t>
        </is>
      </c>
      <c r="I364" s="1750" t="inlineStr">
        <is>
          <t>04.006.009.001</t>
        </is>
      </c>
      <c r="J364" s="1751" t="inlineStr">
        <is>
          <t>Mão de obra para execução de supraestrutura de concreto armado</t>
        </is>
      </c>
      <c r="K364" s="1752" t="inlineStr">
        <is>
          <t>vb</t>
        </is>
      </c>
      <c r="L364" s="1753" t="n">
        <v>1</v>
      </c>
      <c r="M364" s="1753" t="e">
        <v>#REF!</v>
      </c>
      <c r="N364" s="1754" t="n"/>
      <c r="O364" s="1765" t="inlineStr">
        <is>
          <t>Repessado pela Gessele na reunião do dia 05/03/2026 - VER ABA "M.O. ESTRUTURA - MP"</t>
        </is>
      </c>
      <c r="P364" s="1721" t="inlineStr">
        <is>
          <t>Pendente</t>
        </is>
      </c>
    </row>
    <row r="365" hidden="1" outlineLevel="2" ht="13.5" customHeight="1">
      <c r="A365" s="2117" t="n">
        <v>0</v>
      </c>
      <c r="B365" s="2117" t="n">
        <v>4</v>
      </c>
      <c r="C365" s="2117" t="n">
        <v>6</v>
      </c>
      <c r="D365" s="2118" t="n">
        <v>10</v>
      </c>
      <c r="E365" s="2118" t="n">
        <v>0</v>
      </c>
      <c r="G365" s="1740" t="n"/>
      <c r="H365" s="1741" t="inlineStr">
        <is>
          <t>SUBETAPA</t>
        </is>
      </c>
      <c r="I365" s="1742" t="inlineStr">
        <is>
          <t>04.006.010</t>
        </is>
      </c>
      <c r="J365" s="1743" t="inlineStr">
        <is>
          <t>Mão de obra - Tipo diferenciado</t>
        </is>
      </c>
      <c r="K365" s="1744" t="n"/>
      <c r="L365" s="1745" t="n"/>
      <c r="M365" s="1745" t="n"/>
      <c r="N365" s="1746" t="n"/>
      <c r="O365" s="1747" t="n"/>
      <c r="P365" s="1720" t="n"/>
    </row>
    <row r="366" hidden="1" outlineLevel="3" ht="12.75" customHeight="1">
      <c r="A366" s="2117" t="n">
        <v>0</v>
      </c>
      <c r="B366" s="2117" t="n">
        <v>4</v>
      </c>
      <c r="C366" s="2117" t="n">
        <v>6</v>
      </c>
      <c r="D366" s="2118" t="n">
        <v>10</v>
      </c>
      <c r="E366" s="2118" t="n">
        <v>1</v>
      </c>
      <c r="G366" s="1748" t="inlineStr">
        <is>
          <t>SUPRAESTRUTURA</t>
        </is>
      </c>
      <c r="H366" s="1749" t="inlineStr">
        <is>
          <t>SERVIÇO</t>
        </is>
      </c>
      <c r="I366" s="1750" t="inlineStr">
        <is>
          <t>04.006.010.001</t>
        </is>
      </c>
      <c r="J366" s="1751" t="inlineStr">
        <is>
          <t>Mão de obra para execução de supraestrutura de concreto armado</t>
        </is>
      </c>
      <c r="K366" s="1752" t="inlineStr">
        <is>
          <t>vb</t>
        </is>
      </c>
      <c r="L366" s="1753" t="n">
        <v>1</v>
      </c>
      <c r="M366" s="1753" t="e">
        <v>#REF!</v>
      </c>
      <c r="N366" s="1754" t="n"/>
      <c r="O366" s="1765" t="inlineStr">
        <is>
          <t>Repessado pela Gessele na reunião do dia 05/03/2026 - VER ABA "M.O. ESTRUTURA - MP"</t>
        </is>
      </c>
      <c r="P366" s="1721" t="inlineStr">
        <is>
          <t>Pendente</t>
        </is>
      </c>
    </row>
    <row r="367" hidden="1" outlineLevel="2" ht="13.5" customHeight="1">
      <c r="A367" s="2117" t="n">
        <v>0</v>
      </c>
      <c r="B367" s="2117" t="n">
        <v>4</v>
      </c>
      <c r="C367" s="2117" t="n">
        <v>6</v>
      </c>
      <c r="D367" s="2118" t="n">
        <v>11</v>
      </c>
      <c r="E367" s="2118" t="n">
        <v>0</v>
      </c>
      <c r="G367" s="1740" t="n"/>
      <c r="H367" s="1741" t="inlineStr">
        <is>
          <t>SUBETAPA</t>
        </is>
      </c>
      <c r="I367" s="1742" t="inlineStr">
        <is>
          <t>04.006.011</t>
        </is>
      </c>
      <c r="J367" s="1743" t="inlineStr">
        <is>
          <t>Mão de obra - Tipo x8</t>
        </is>
      </c>
      <c r="K367" s="1744" t="n"/>
      <c r="L367" s="1745" t="n"/>
      <c r="M367" s="1745" t="n"/>
      <c r="N367" s="1746" t="n"/>
      <c r="O367" s="1747" t="n"/>
      <c r="P367" s="1720" t="n"/>
    </row>
    <row r="368" hidden="1" outlineLevel="3" ht="12.75" customHeight="1">
      <c r="A368" s="2117" t="n">
        <v>0</v>
      </c>
      <c r="B368" s="2117" t="n">
        <v>4</v>
      </c>
      <c r="C368" s="2117" t="n">
        <v>6</v>
      </c>
      <c r="D368" s="2118" t="n">
        <v>11</v>
      </c>
      <c r="E368" s="2118" t="n">
        <v>1</v>
      </c>
      <c r="G368" s="1748" t="inlineStr">
        <is>
          <t>SUPRAESTRUTURA</t>
        </is>
      </c>
      <c r="H368" s="1749" t="inlineStr">
        <is>
          <t>SERVIÇO</t>
        </is>
      </c>
      <c r="I368" s="1750" t="inlineStr">
        <is>
          <t>04.006.011.001</t>
        </is>
      </c>
      <c r="J368" s="1751" t="inlineStr">
        <is>
          <t>Mão de obra para execução de supraestrutura de concreto armado</t>
        </is>
      </c>
      <c r="K368" s="1752" t="inlineStr">
        <is>
          <t>vb</t>
        </is>
      </c>
      <c r="L368" s="1753" t="n">
        <v>1</v>
      </c>
      <c r="M368" s="1753" t="e">
        <v>#REF!</v>
      </c>
      <c r="N368" s="1754" t="n"/>
      <c r="O368" s="1765" t="inlineStr">
        <is>
          <t>Repessado pela Gessele na reunião do dia 05/03/2026 - VER ABA "M.O. ESTRUTURA - MP"</t>
        </is>
      </c>
      <c r="P368" s="1721" t="inlineStr">
        <is>
          <t>Pendente</t>
        </is>
      </c>
    </row>
    <row r="369" hidden="1" outlineLevel="2" ht="13.5" customHeight="1">
      <c r="A369" s="2117" t="n">
        <v>0</v>
      </c>
      <c r="B369" s="2117" t="n">
        <v>4</v>
      </c>
      <c r="C369" s="2117" t="n">
        <v>6</v>
      </c>
      <c r="D369" s="2118" t="n">
        <v>12</v>
      </c>
      <c r="E369" s="2118" t="n">
        <v>0</v>
      </c>
      <c r="G369" s="1740" t="n"/>
      <c r="H369" s="1741" t="inlineStr">
        <is>
          <t>SUBETAPA</t>
        </is>
      </c>
      <c r="I369" s="1742" t="inlineStr">
        <is>
          <t>04.006.012</t>
        </is>
      </c>
      <c r="J369" s="1743" t="inlineStr">
        <is>
          <t>Mão de obra - Penthouse x22</t>
        </is>
      </c>
      <c r="K369" s="1744" t="n"/>
      <c r="L369" s="1745" t="n"/>
      <c r="M369" s="1745" t="n"/>
      <c r="N369" s="1746" t="n"/>
      <c r="O369" s="1747" t="n"/>
      <c r="P369" s="1720" t="n"/>
    </row>
    <row r="370" hidden="1" outlineLevel="3" ht="12.75" customHeight="1">
      <c r="A370" s="2117" t="n">
        <v>0</v>
      </c>
      <c r="B370" s="2117" t="n">
        <v>4</v>
      </c>
      <c r="C370" s="2117" t="n">
        <v>6</v>
      </c>
      <c r="D370" s="2118" t="n">
        <v>12</v>
      </c>
      <c r="E370" s="2118" t="n">
        <v>1</v>
      </c>
      <c r="G370" s="1748" t="inlineStr">
        <is>
          <t>SUPRAESTRUTURA</t>
        </is>
      </c>
      <c r="H370" s="1749" t="inlineStr">
        <is>
          <t>SERVIÇO</t>
        </is>
      </c>
      <c r="I370" s="1750" t="inlineStr">
        <is>
          <t>04.006.012.001</t>
        </is>
      </c>
      <c r="J370" s="1751" t="inlineStr">
        <is>
          <t>Mão de obra para execução de supraestrutura de concreto armado</t>
        </is>
      </c>
      <c r="K370" s="1752" t="inlineStr">
        <is>
          <t>vb</t>
        </is>
      </c>
      <c r="L370" s="1753" t="n">
        <v>1</v>
      </c>
      <c r="M370" s="1753" t="e">
        <v>#REF!</v>
      </c>
      <c r="N370" s="1754" t="n"/>
      <c r="O370" s="1765" t="inlineStr">
        <is>
          <t>Repessado pela Gessele na reunião do dia 05/03/2026 - VER ABA "M.O. ESTRUTURA - MP"</t>
        </is>
      </c>
      <c r="P370" s="1721" t="inlineStr">
        <is>
          <t>Pendente</t>
        </is>
      </c>
    </row>
    <row r="371" hidden="1" outlineLevel="2" ht="13.5" customHeight="1">
      <c r="A371" s="2117" t="n">
        <v>0</v>
      </c>
      <c r="B371" s="2117" t="n">
        <v>4</v>
      </c>
      <c r="C371" s="2117" t="n">
        <v>6</v>
      </c>
      <c r="D371" s="2118" t="n">
        <v>13</v>
      </c>
      <c r="E371" s="2118" t="n">
        <v>0</v>
      </c>
      <c r="G371" s="1740" t="n"/>
      <c r="H371" s="1741" t="inlineStr">
        <is>
          <t>SUBETAPA</t>
        </is>
      </c>
      <c r="I371" s="1742" t="inlineStr">
        <is>
          <t>04.006.013</t>
        </is>
      </c>
      <c r="J371" s="1743" t="inlineStr">
        <is>
          <t>Mão de obra - Duplex inferior</t>
        </is>
      </c>
      <c r="K371" s="1744" t="n"/>
      <c r="L371" s="1745" t="n"/>
      <c r="M371" s="1745" t="n"/>
      <c r="N371" s="1746" t="n"/>
      <c r="O371" s="1747" t="n"/>
      <c r="P371" s="1720" t="n"/>
    </row>
    <row r="372" hidden="1" outlineLevel="3" ht="12.75" customHeight="1">
      <c r="A372" s="2117" t="n">
        <v>0</v>
      </c>
      <c r="B372" s="2117" t="n">
        <v>4</v>
      </c>
      <c r="C372" s="2117" t="n">
        <v>6</v>
      </c>
      <c r="D372" s="2118" t="n">
        <v>13</v>
      </c>
      <c r="E372" s="2118" t="n">
        <v>1</v>
      </c>
      <c r="G372" s="1748" t="inlineStr">
        <is>
          <t>SUPRAESTRUTURA</t>
        </is>
      </c>
      <c r="H372" s="1749" t="inlineStr">
        <is>
          <t>SERVIÇO</t>
        </is>
      </c>
      <c r="I372" s="1750" t="inlineStr">
        <is>
          <t>04.006.013.001</t>
        </is>
      </c>
      <c r="J372" s="1751" t="inlineStr">
        <is>
          <t>Mão de obra para execução de supraestrutura de concreto armado</t>
        </is>
      </c>
      <c r="K372" s="1752" t="inlineStr">
        <is>
          <t>vb</t>
        </is>
      </c>
      <c r="L372" s="1753" t="n">
        <v>1</v>
      </c>
      <c r="M372" s="1753" t="e">
        <v>#REF!</v>
      </c>
      <c r="N372" s="1754" t="n"/>
      <c r="O372" s="1765" t="inlineStr">
        <is>
          <t>Repessado pela Gessele na reunião do dia 05/03/2026 - VER ABA "M.O. ESTRUTURA - MP"</t>
        </is>
      </c>
      <c r="P372" s="1721" t="inlineStr">
        <is>
          <t>Pendente</t>
        </is>
      </c>
    </row>
    <row r="373" hidden="1" outlineLevel="2" ht="13.5" customHeight="1">
      <c r="A373" s="2117" t="n">
        <v>0</v>
      </c>
      <c r="B373" s="2117" t="n">
        <v>4</v>
      </c>
      <c r="C373" s="2117" t="n">
        <v>6</v>
      </c>
      <c r="D373" s="2118" t="n">
        <v>14</v>
      </c>
      <c r="E373" s="2118" t="n">
        <v>0</v>
      </c>
      <c r="G373" s="1740" t="n"/>
      <c r="H373" s="1741" t="inlineStr">
        <is>
          <t>SUBETAPA</t>
        </is>
      </c>
      <c r="I373" s="1742" t="inlineStr">
        <is>
          <t>04.006.014</t>
        </is>
      </c>
      <c r="J373" s="1743" t="inlineStr">
        <is>
          <t>Mão de obra - Duplex superior</t>
        </is>
      </c>
      <c r="K373" s="1744" t="n"/>
      <c r="L373" s="1745" t="n"/>
      <c r="M373" s="1745" t="n"/>
      <c r="N373" s="1746" t="n"/>
      <c r="O373" s="1747" t="n"/>
      <c r="P373" s="1720" t="n"/>
    </row>
    <row r="374" hidden="1" outlineLevel="3" ht="12.75" customHeight="1">
      <c r="A374" s="2117" t="n">
        <v>0</v>
      </c>
      <c r="B374" s="2117" t="n">
        <v>4</v>
      </c>
      <c r="C374" s="2117" t="n">
        <v>6</v>
      </c>
      <c r="D374" s="2118" t="n">
        <v>14</v>
      </c>
      <c r="E374" s="2118" t="n">
        <v>1</v>
      </c>
      <c r="G374" s="1748" t="inlineStr">
        <is>
          <t>SUPRAESTRUTURA</t>
        </is>
      </c>
      <c r="H374" s="1749" t="inlineStr">
        <is>
          <t>SERVIÇO</t>
        </is>
      </c>
      <c r="I374" s="1750" t="inlineStr">
        <is>
          <t>04.006.014.001</t>
        </is>
      </c>
      <c r="J374" s="1751" t="inlineStr">
        <is>
          <t>Mão de obra para execução de supraestrutura de concreto armado</t>
        </is>
      </c>
      <c r="K374" s="1752" t="inlineStr">
        <is>
          <t>vb</t>
        </is>
      </c>
      <c r="L374" s="1753" t="n">
        <v>1</v>
      </c>
      <c r="M374" s="1753" t="e">
        <v>#REF!</v>
      </c>
      <c r="N374" s="1754" t="n"/>
      <c r="O374" s="1765" t="inlineStr">
        <is>
          <t>Repessado pela Gessele na reunião do dia 05/03/2026 - VER ABA "M.O. ESTRUTURA - MP"</t>
        </is>
      </c>
      <c r="P374" s="1721" t="inlineStr">
        <is>
          <t>Pendente</t>
        </is>
      </c>
    </row>
    <row r="375" hidden="1" outlineLevel="2" ht="13.5" customHeight="1">
      <c r="A375" s="2117" t="n">
        <v>0</v>
      </c>
      <c r="B375" s="2117" t="n">
        <v>4</v>
      </c>
      <c r="C375" s="2117" t="n">
        <v>6</v>
      </c>
      <c r="D375" s="2118" t="n">
        <v>15</v>
      </c>
      <c r="E375" s="2118" t="n">
        <v>0</v>
      </c>
      <c r="G375" s="1740" t="n"/>
      <c r="H375" s="1741" t="inlineStr">
        <is>
          <t>SUBETAPA</t>
        </is>
      </c>
      <c r="I375" s="1742" t="inlineStr">
        <is>
          <t>04.006.015</t>
        </is>
      </c>
      <c r="J375" s="1743" t="inlineStr">
        <is>
          <t>Mão de obra - Cobertura | Barrilete</t>
        </is>
      </c>
      <c r="K375" s="1744" t="n"/>
      <c r="L375" s="1745" t="n"/>
      <c r="M375" s="1745" t="n"/>
      <c r="N375" s="1746" t="n"/>
      <c r="O375" s="1747" t="n"/>
      <c r="P375" s="1720" t="n"/>
    </row>
    <row r="376" hidden="1" outlineLevel="3" ht="12.75" customHeight="1">
      <c r="A376" s="2117" t="n">
        <v>0</v>
      </c>
      <c r="B376" s="2117" t="n">
        <v>4</v>
      </c>
      <c r="C376" s="2117" t="n">
        <v>6</v>
      </c>
      <c r="D376" s="2118" t="n">
        <v>15</v>
      </c>
      <c r="E376" s="2118" t="n">
        <v>1</v>
      </c>
      <c r="G376" s="1748" t="inlineStr">
        <is>
          <t>SUPRAESTRUTURA</t>
        </is>
      </c>
      <c r="H376" s="1749" t="inlineStr">
        <is>
          <t>SERVIÇO</t>
        </is>
      </c>
      <c r="I376" s="1750" t="inlineStr">
        <is>
          <t>04.006.015.001</t>
        </is>
      </c>
      <c r="J376" s="1751" t="inlineStr">
        <is>
          <t>Mão de obra para execução de supraestrutura de concreto armado</t>
        </is>
      </c>
      <c r="K376" s="1752" t="inlineStr">
        <is>
          <t>vb</t>
        </is>
      </c>
      <c r="L376" s="1753" t="n">
        <v>1</v>
      </c>
      <c r="M376" s="1753" t="e">
        <v>#REF!</v>
      </c>
      <c r="N376" s="1754" t="n"/>
      <c r="O376" s="1765" t="inlineStr">
        <is>
          <t>Repessado pela Gessele na reunião do dia 05/03/2026 - VER ABA "M.O. ESTRUTURA - MP"</t>
        </is>
      </c>
      <c r="P376" s="1721" t="inlineStr">
        <is>
          <t>Pendente</t>
        </is>
      </c>
    </row>
    <row r="377" hidden="1" outlineLevel="2" ht="13.5" customHeight="1">
      <c r="A377" s="2117" t="n">
        <v>0</v>
      </c>
      <c r="B377" s="2117" t="n">
        <v>4</v>
      </c>
      <c r="C377" s="2117" t="n">
        <v>6</v>
      </c>
      <c r="D377" s="2118" t="n">
        <v>16</v>
      </c>
      <c r="E377" s="2118" t="n">
        <v>0</v>
      </c>
      <c r="G377" s="1740" t="n"/>
      <c r="H377" s="1741" t="inlineStr">
        <is>
          <t>SUBETAPA</t>
        </is>
      </c>
      <c r="I377" s="1742" t="inlineStr">
        <is>
          <t>04.006.016</t>
        </is>
      </c>
      <c r="J377" s="1743" t="inlineStr">
        <is>
          <t>Mão de obra - Reservatório</t>
        </is>
      </c>
      <c r="K377" s="1744" t="n"/>
      <c r="L377" s="1745" t="n"/>
      <c r="M377" s="1745" t="n"/>
      <c r="N377" s="1746" t="n"/>
      <c r="O377" s="1747" t="n"/>
      <c r="P377" s="1720" t="n"/>
    </row>
    <row r="378" hidden="1" outlineLevel="3" ht="12.75" customHeight="1">
      <c r="A378" s="2117" t="n">
        <v>0</v>
      </c>
      <c r="B378" s="2117" t="n">
        <v>4</v>
      </c>
      <c r="C378" s="2117" t="n">
        <v>6</v>
      </c>
      <c r="D378" s="2118" t="n">
        <v>16</v>
      </c>
      <c r="E378" s="2118" t="n">
        <v>1</v>
      </c>
      <c r="G378" s="1748" t="inlineStr">
        <is>
          <t>SUPRAESTRUTURA</t>
        </is>
      </c>
      <c r="H378" s="1749" t="inlineStr">
        <is>
          <t>SERVIÇO</t>
        </is>
      </c>
      <c r="I378" s="1750" t="inlineStr">
        <is>
          <t>04.006.016.001</t>
        </is>
      </c>
      <c r="J378" s="1751" t="inlineStr">
        <is>
          <t>Mão de obra para execução de supraestrutura de concreto armado</t>
        </is>
      </c>
      <c r="K378" s="1752" t="inlineStr">
        <is>
          <t>vb</t>
        </is>
      </c>
      <c r="L378" s="1753" t="n">
        <v>1</v>
      </c>
      <c r="M378" s="1753" t="e">
        <v>#REF!</v>
      </c>
      <c r="N378" s="1754" t="n"/>
      <c r="O378" s="1765" t="inlineStr">
        <is>
          <t>Repessado pela Gessele na reunião do dia 05/03/2026 - VER ABA "M.O. ESTRUTURA - MP"</t>
        </is>
      </c>
      <c r="P378" s="1721" t="inlineStr">
        <is>
          <t>Pendente</t>
        </is>
      </c>
    </row>
    <row r="379" collapsed="1" ht="13.9" customHeight="1">
      <c r="A379" s="2117" t="n">
        <v>0</v>
      </c>
      <c r="B379" s="2117" t="n">
        <v>6</v>
      </c>
      <c r="C379" s="2117" t="n">
        <v>0</v>
      </c>
      <c r="D379" s="2118" t="n">
        <v>4</v>
      </c>
      <c r="E379" s="2118" t="n">
        <v>2</v>
      </c>
      <c r="F379" s="474" t="n"/>
      <c r="G379" s="1726" t="n"/>
      <c r="H379" s="1727" t="inlineStr">
        <is>
          <t>CÉLULA CONSTRUTIVA</t>
        </is>
      </c>
      <c r="I379" s="1728" t="inlineStr">
        <is>
          <t>06</t>
        </is>
      </c>
      <c r="J379" s="1729" t="inlineStr">
        <is>
          <t>SISTEMAS E INSTALAÇÕES ELÉTRICAS</t>
        </is>
      </c>
      <c r="K379" s="1730" t="n"/>
      <c r="L379" s="1731" t="n"/>
      <c r="M379" s="1731" t="n"/>
      <c r="N379" s="1732" t="n">
        <v>3569163.7245957</v>
      </c>
      <c r="O379" s="1770" t="n">
        <v>213.088599631856</v>
      </c>
      <c r="P379" s="1724" t="n"/>
    </row>
    <row r="380" hidden="1" outlineLevel="1" ht="13.9" customHeight="1">
      <c r="A380" s="2117" t="n">
        <v>0</v>
      </c>
      <c r="B380" s="2117" t="n">
        <v>6</v>
      </c>
      <c r="C380" s="2117" t="n">
        <v>1</v>
      </c>
      <c r="D380" s="2118" t="n">
        <v>0</v>
      </c>
      <c r="E380" s="2118" t="n">
        <v>2</v>
      </c>
      <c r="G380" s="1733" t="n"/>
      <c r="H380" s="1734" t="inlineStr">
        <is>
          <t>ETAPA</t>
        </is>
      </c>
      <c r="I380" s="1735" t="inlineStr">
        <is>
          <t>06.001</t>
        </is>
      </c>
      <c r="J380" s="1736" t="inlineStr">
        <is>
          <t>SISTEMAS E INSTALAÇÕES ELÉTRICAS - Térreo</t>
        </is>
      </c>
      <c r="K380" s="1737" t="n"/>
      <c r="L380" s="1738" t="n"/>
      <c r="M380" s="1738" t="n"/>
      <c r="N380" s="1739" t="n">
        <v>1732378.97939512</v>
      </c>
      <c r="O380" s="1722" t="n"/>
      <c r="P380" s="1725" t="n"/>
    </row>
    <row r="381" hidden="1" outlineLevel="2" ht="13.9" customHeight="1">
      <c r="A381" s="2117" t="n">
        <v>0</v>
      </c>
      <c r="B381" s="2117" t="n">
        <v>6</v>
      </c>
      <c r="C381" s="2117" t="n">
        <v>1</v>
      </c>
      <c r="D381" s="2118" t="n">
        <v>1</v>
      </c>
      <c r="E381" s="2118" t="n">
        <v>0</v>
      </c>
      <c r="G381" s="1740" t="n"/>
      <c r="H381" s="1741" t="inlineStr">
        <is>
          <t>SUBETAPA</t>
        </is>
      </c>
      <c r="I381" s="1742" t="inlineStr">
        <is>
          <t>06.001.001</t>
        </is>
      </c>
      <c r="J381" s="1743" t="inlineStr">
        <is>
          <t>Entrada de energia</t>
        </is>
      </c>
      <c r="K381" s="1744" t="n"/>
      <c r="L381" s="1745" t="n"/>
      <c r="M381" s="1745" t="n"/>
      <c r="N381" s="1746" t="n">
        <v>443271.6488</v>
      </c>
      <c r="O381" s="1747" t="n"/>
      <c r="P381" s="1720" t="n"/>
    </row>
    <row r="382" hidden="1" outlineLevel="3" ht="13.9" customHeight="1">
      <c r="A382" s="2117" t="n">
        <v>0</v>
      </c>
      <c r="B382" s="2117" t="n">
        <v>6</v>
      </c>
      <c r="C382" s="2117" t="n">
        <v>1</v>
      </c>
      <c r="D382" s="2118" t="n">
        <v>1</v>
      </c>
      <c r="E382" s="2118" t="n">
        <v>1</v>
      </c>
      <c r="G382" s="1790" t="inlineStr">
        <is>
          <t>SISTEMAS E INSTALAÇÕES ELÉTRICAS</t>
        </is>
      </c>
      <c r="H382" s="1749" t="inlineStr">
        <is>
          <t>SERVIÇO</t>
        </is>
      </c>
      <c r="I382" s="1750" t="inlineStr">
        <is>
          <t>06.001.001.001</t>
        </is>
      </c>
      <c r="J382" s="1751" t="inlineStr">
        <is>
          <t>Entrada de energia</t>
        </is>
      </c>
      <c r="K382" s="1752" t="inlineStr">
        <is>
          <t>vb</t>
        </is>
      </c>
      <c r="L382" s="1753" t="n">
        <v>1</v>
      </c>
      <c r="M382" s="1753" t="n">
        <v>443271.6488</v>
      </c>
      <c r="N382" s="1754" t="n">
        <v>443271.6488</v>
      </c>
      <c r="O382" s="1755" t="inlineStr">
        <is>
          <t>quantidades conforme quantidades do projetista</t>
        </is>
      </c>
      <c r="P382" s="1721" t="inlineStr">
        <is>
          <t>Pendente</t>
        </is>
      </c>
    </row>
    <row r="383" hidden="1" outlineLevel="2" ht="13.9" customHeight="1">
      <c r="A383" s="2117" t="n">
        <v>0</v>
      </c>
      <c r="B383" s="2117" t="n">
        <v>6</v>
      </c>
      <c r="C383" s="2117" t="n">
        <v>1</v>
      </c>
      <c r="D383" s="2118" t="n">
        <v>2</v>
      </c>
      <c r="E383" s="2118" t="n">
        <v>0</v>
      </c>
      <c r="G383" s="1740" t="n"/>
      <c r="H383" s="1741" t="inlineStr">
        <is>
          <t>SUBETAPA</t>
        </is>
      </c>
      <c r="I383" s="1742" t="inlineStr">
        <is>
          <t>06.001.002</t>
        </is>
      </c>
      <c r="J383" s="1743" t="inlineStr">
        <is>
          <t>Subestação de Energia</t>
        </is>
      </c>
      <c r="K383" s="1744" t="n"/>
      <c r="L383" s="1745" t="n"/>
      <c r="M383" s="1745" t="n"/>
      <c r="N383" s="1746" t="n">
        <v>641526.71</v>
      </c>
      <c r="O383" s="1747" t="n"/>
      <c r="P383" s="1720" t="n"/>
    </row>
    <row r="384" hidden="1" outlineLevel="3" ht="13.9" customHeight="1">
      <c r="A384" s="2117" t="n">
        <v>0</v>
      </c>
      <c r="B384" s="2117" t="n">
        <v>6</v>
      </c>
      <c r="C384" s="2117" t="n">
        <v>1</v>
      </c>
      <c r="D384" s="2118" t="n">
        <v>2</v>
      </c>
      <c r="E384" s="2118" t="n">
        <v>1</v>
      </c>
      <c r="G384" s="1790" t="inlineStr">
        <is>
          <t>SISTEMAS E INSTALAÇÕES ELÉTRICAS</t>
        </is>
      </c>
      <c r="H384" s="1749" t="inlineStr">
        <is>
          <t>SERVIÇO</t>
        </is>
      </c>
      <c r="I384" s="1750" t="inlineStr">
        <is>
          <t>06.001.002.001</t>
        </is>
      </c>
      <c r="J384" s="1751" t="inlineStr">
        <is>
          <t>Subestação de Energia</t>
        </is>
      </c>
      <c r="K384" s="1752" t="inlineStr">
        <is>
          <t>vb</t>
        </is>
      </c>
      <c r="L384" s="1753" t="n">
        <v>1</v>
      </c>
      <c r="M384" s="1753" t="n">
        <v>641526.71</v>
      </c>
      <c r="N384" s="1754" t="n">
        <v>641526.71</v>
      </c>
      <c r="O384" s="1755" t="inlineStr">
        <is>
          <t>quantidades conforme quantidades do projetista</t>
        </is>
      </c>
      <c r="P384" s="1721" t="inlineStr">
        <is>
          <t>Pendente</t>
        </is>
      </c>
    </row>
    <row r="385" hidden="1" outlineLevel="2" ht="13.9" customHeight="1">
      <c r="A385" s="2117" t="n">
        <v>0</v>
      </c>
      <c r="B385" s="2117" t="n">
        <v>6</v>
      </c>
      <c r="C385" s="2117" t="n">
        <v>1</v>
      </c>
      <c r="D385" s="2118" t="n">
        <v>3</v>
      </c>
      <c r="E385" s="2118" t="n">
        <v>0</v>
      </c>
      <c r="G385" s="1740" t="n"/>
      <c r="H385" s="1741" t="inlineStr">
        <is>
          <t>SUBETAPA</t>
        </is>
      </c>
      <c r="I385" s="1742" t="inlineStr">
        <is>
          <t>06.001.003</t>
        </is>
      </c>
      <c r="J385" s="1743" t="inlineStr">
        <is>
          <t>Grupo gerador</t>
        </is>
      </c>
      <c r="K385" s="1744" t="n"/>
      <c r="L385" s="1745" t="n"/>
      <c r="M385" s="1745" t="n"/>
      <c r="N385" s="1746" t="n">
        <v>249995</v>
      </c>
      <c r="O385" s="1747" t="n"/>
      <c r="P385" s="1720" t="n"/>
    </row>
    <row r="386" hidden="1" outlineLevel="3" ht="13.9" customHeight="1">
      <c r="A386" s="2117" t="n">
        <v>0</v>
      </c>
      <c r="B386" s="2117" t="n">
        <v>6</v>
      </c>
      <c r="C386" s="2117" t="n">
        <v>1</v>
      </c>
      <c r="D386" s="2118" t="n">
        <v>3</v>
      </c>
      <c r="E386" s="2118" t="n">
        <v>1</v>
      </c>
      <c r="G386" s="1790" t="inlineStr">
        <is>
          <t>SISTEMAS E INSTALAÇÕES ELÉTRICAS</t>
        </is>
      </c>
      <c r="H386" s="1749" t="inlineStr">
        <is>
          <t>SERVIÇO</t>
        </is>
      </c>
      <c r="I386" s="1750" t="inlineStr">
        <is>
          <t>06.001.003.001</t>
        </is>
      </c>
      <c r="J386" s="1751" t="inlineStr">
        <is>
          <t>Grupo gerador</t>
        </is>
      </c>
      <c r="K386" s="1752" t="inlineStr">
        <is>
          <t>vb</t>
        </is>
      </c>
      <c r="L386" s="1753" t="n">
        <v>1</v>
      </c>
      <c r="M386" s="1753" t="n">
        <v>249995</v>
      </c>
      <c r="N386" s="1754" t="n">
        <v>249995</v>
      </c>
      <c r="O386" s="1755" t="inlineStr">
        <is>
          <t>quantidades conforme quantidades do projetista</t>
        </is>
      </c>
      <c r="P386" s="1721" t="inlineStr">
        <is>
          <t>Pendente</t>
        </is>
      </c>
    </row>
    <row r="387" hidden="1" outlineLevel="2" ht="13.9" customHeight="1">
      <c r="A387" s="2117" t="n">
        <v>0</v>
      </c>
      <c r="B387" s="2117" t="n">
        <v>6</v>
      </c>
      <c r="C387" s="2117" t="n">
        <v>1</v>
      </c>
      <c r="D387" s="2118" t="n">
        <v>4</v>
      </c>
      <c r="E387" s="2118" t="n">
        <v>0</v>
      </c>
      <c r="G387" s="1740" t="n"/>
      <c r="H387" s="1741" t="inlineStr">
        <is>
          <t>SUBETAPA</t>
        </is>
      </c>
      <c r="I387" s="1742" t="inlineStr">
        <is>
          <t>06.001.004</t>
        </is>
      </c>
      <c r="J387" s="1743" t="inlineStr">
        <is>
          <t>Quadros elétricos e disjuntores</t>
        </is>
      </c>
      <c r="K387" s="1744" t="n"/>
      <c r="L387" s="1745" t="n"/>
      <c r="M387" s="1745" t="n"/>
      <c r="N387" s="1746" t="n">
        <v>6551.71</v>
      </c>
      <c r="O387" s="1747" t="n"/>
      <c r="P387" s="1720" t="n"/>
    </row>
    <row r="388" hidden="1" outlineLevel="3" ht="13.9" customHeight="1">
      <c r="A388" s="2117" t="n">
        <v>0</v>
      </c>
      <c r="B388" s="2117" t="n">
        <v>6</v>
      </c>
      <c r="C388" s="2117" t="n">
        <v>1</v>
      </c>
      <c r="D388" s="2118" t="n">
        <v>4</v>
      </c>
      <c r="E388" s="2118" t="n">
        <v>1</v>
      </c>
      <c r="G388" s="1790" t="inlineStr">
        <is>
          <t>SISTEMAS E INSTALAÇÕES ELÉTRICAS</t>
        </is>
      </c>
      <c r="H388" s="1749" t="inlineStr">
        <is>
          <t>SERVIÇO</t>
        </is>
      </c>
      <c r="I388" s="1750" t="inlineStr">
        <is>
          <t>06.001.004.001</t>
        </is>
      </c>
      <c r="J388" s="1751" t="inlineStr">
        <is>
          <t>Quadros elétricos e disjuntores</t>
        </is>
      </c>
      <c r="K388" s="1752" t="inlineStr">
        <is>
          <t>vb</t>
        </is>
      </c>
      <c r="L388" s="1753" t="n">
        <v>1</v>
      </c>
      <c r="M388" s="1753" t="n">
        <v>6551.71</v>
      </c>
      <c r="N388" s="1754" t="n">
        <v>6551.71</v>
      </c>
      <c r="O388" s="1755" t="inlineStr">
        <is>
          <t>quantidades conforme quantidades do projetista</t>
        </is>
      </c>
      <c r="P388" s="1721" t="inlineStr">
        <is>
          <t>Pendente</t>
        </is>
      </c>
    </row>
    <row r="389" hidden="1" outlineLevel="2" ht="13.9" customHeight="1">
      <c r="A389" s="2117" t="n">
        <v>0</v>
      </c>
      <c r="B389" s="2117" t="n">
        <v>6</v>
      </c>
      <c r="C389" s="2117" t="n">
        <v>1</v>
      </c>
      <c r="D389" s="2118" t="n">
        <v>5</v>
      </c>
      <c r="E389" s="2118" t="n">
        <v>0</v>
      </c>
      <c r="G389" s="1740" t="n"/>
      <c r="H389" s="1741" t="inlineStr">
        <is>
          <t>SUBETAPA</t>
        </is>
      </c>
      <c r="I389" s="1742" t="inlineStr">
        <is>
          <t>06.001.005</t>
        </is>
      </c>
      <c r="J389" s="1743" t="inlineStr">
        <is>
          <t>Eletrodutos e eletrocalhas</t>
        </is>
      </c>
      <c r="K389" s="1744" t="n"/>
      <c r="L389" s="1745" t="n"/>
      <c r="M389" s="1745" t="n"/>
      <c r="N389" s="1746" t="n">
        <v>2334.05</v>
      </c>
      <c r="O389" s="1747" t="n"/>
      <c r="P389" s="1720" t="n"/>
    </row>
    <row r="390" hidden="1" outlineLevel="3" ht="13.9" customHeight="1">
      <c r="A390" s="2117" t="n">
        <v>0</v>
      </c>
      <c r="B390" s="2117" t="n">
        <v>6</v>
      </c>
      <c r="C390" s="2117" t="n">
        <v>1</v>
      </c>
      <c r="D390" s="2118" t="n">
        <v>5</v>
      </c>
      <c r="E390" s="2118" t="n">
        <v>1</v>
      </c>
      <c r="G390" s="1790" t="inlineStr">
        <is>
          <t>SISTEMAS E INSTALAÇÕES ELÉTRICAS</t>
        </is>
      </c>
      <c r="H390" s="1749" t="inlineStr">
        <is>
          <t>SERVIÇO</t>
        </is>
      </c>
      <c r="I390" s="1750" t="inlineStr">
        <is>
          <t>06.001.005.001</t>
        </is>
      </c>
      <c r="J390" s="1751" t="inlineStr">
        <is>
          <t>Eletrodutos e eletrocalhas</t>
        </is>
      </c>
      <c r="K390" s="1752" t="inlineStr">
        <is>
          <t>vb</t>
        </is>
      </c>
      <c r="L390" s="1753" t="n">
        <v>1</v>
      </c>
      <c r="M390" s="1753" t="n">
        <v>2334.05</v>
      </c>
      <c r="N390" s="1754" t="n">
        <v>2334.05</v>
      </c>
      <c r="O390" s="1755" t="inlineStr">
        <is>
          <t>quantidades conforme quantidades do projetista</t>
        </is>
      </c>
      <c r="P390" s="1721" t="inlineStr">
        <is>
          <t>Pendente</t>
        </is>
      </c>
    </row>
    <row r="391" hidden="1" outlineLevel="2" ht="13.9" customHeight="1">
      <c r="A391" s="2117" t="n">
        <v>0</v>
      </c>
      <c r="B391" s="2117" t="n">
        <v>6</v>
      </c>
      <c r="C391" s="2117" t="n">
        <v>1</v>
      </c>
      <c r="D391" s="2118" t="n">
        <v>6</v>
      </c>
      <c r="E391" s="2118" t="n">
        <v>0</v>
      </c>
      <c r="G391" s="1740" t="n"/>
      <c r="H391" s="1741" t="inlineStr">
        <is>
          <t>SUBETAPA</t>
        </is>
      </c>
      <c r="I391" s="1742" t="inlineStr">
        <is>
          <t>06.001.006</t>
        </is>
      </c>
      <c r="J391" s="1743" t="inlineStr">
        <is>
          <t>Fios e cabos elétricos</t>
        </is>
      </c>
      <c r="K391" s="1744" t="n"/>
      <c r="L391" s="1745" t="n"/>
      <c r="M391" s="1745" t="n"/>
      <c r="N391" s="1746" t="n">
        <v>247400.663</v>
      </c>
      <c r="O391" s="1747" t="n"/>
      <c r="P391" s="1720" t="n"/>
    </row>
    <row r="392" hidden="1" outlineLevel="3" ht="13.9" customHeight="1">
      <c r="A392" s="2117" t="n">
        <v>0</v>
      </c>
      <c r="B392" s="2117" t="n">
        <v>6</v>
      </c>
      <c r="C392" s="2117" t="n">
        <v>1</v>
      </c>
      <c r="D392" s="2118" t="n">
        <v>6</v>
      </c>
      <c r="E392" s="2118" t="n">
        <v>1</v>
      </c>
      <c r="G392" s="1790" t="inlineStr">
        <is>
          <t>SISTEMAS E INSTALAÇÕES ELÉTRICAS</t>
        </is>
      </c>
      <c r="H392" s="1749" t="inlineStr">
        <is>
          <t>SERVIÇO</t>
        </is>
      </c>
      <c r="I392" s="1750" t="inlineStr">
        <is>
          <t>06.001.006.001</t>
        </is>
      </c>
      <c r="J392" s="1751" t="inlineStr">
        <is>
          <t>Fios e cabos elétricos</t>
        </is>
      </c>
      <c r="K392" s="1752" t="inlineStr">
        <is>
          <t>vb</t>
        </is>
      </c>
      <c r="L392" s="1753" t="n">
        <v>1</v>
      </c>
      <c r="M392" s="1753" t="n">
        <v>247400.663</v>
      </c>
      <c r="N392" s="1754" t="n">
        <v>247400.663</v>
      </c>
      <c r="O392" s="1755" t="inlineStr">
        <is>
          <t>quantidades conforme quantidades do projetista</t>
        </is>
      </c>
      <c r="P392" s="1721" t="inlineStr">
        <is>
          <t>Pendente</t>
        </is>
      </c>
    </row>
    <row r="393" hidden="1" outlineLevel="2" ht="13.9" customHeight="1">
      <c r="A393" s="2117" t="n">
        <v>0</v>
      </c>
      <c r="B393" s="2117" t="n">
        <v>6</v>
      </c>
      <c r="C393" s="2117" t="n">
        <v>1</v>
      </c>
      <c r="D393" s="2118" t="n">
        <v>7</v>
      </c>
      <c r="E393" s="2118" t="n">
        <v>0</v>
      </c>
      <c r="G393" s="1740" t="n"/>
      <c r="H393" s="1741" t="inlineStr">
        <is>
          <t>SUBETAPA</t>
        </is>
      </c>
      <c r="I393" s="1742" t="inlineStr">
        <is>
          <t>06.001.007</t>
        </is>
      </c>
      <c r="J393" s="1743" t="inlineStr">
        <is>
          <t>Pontos de tomadas e interruptores</t>
        </is>
      </c>
      <c r="K393" s="1744" t="n"/>
      <c r="L393" s="1745" t="n"/>
      <c r="M393" s="1745" t="n"/>
      <c r="N393" s="1746" t="n">
        <v>3653.25</v>
      </c>
      <c r="O393" s="1747" t="n"/>
      <c r="P393" s="1720" t="n"/>
    </row>
    <row r="394" hidden="1" outlineLevel="3" ht="13.9" customHeight="1">
      <c r="A394" s="2117" t="n">
        <v>0</v>
      </c>
      <c r="B394" s="2117" t="n">
        <v>6</v>
      </c>
      <c r="C394" s="2117" t="n">
        <v>1</v>
      </c>
      <c r="D394" s="2118" t="n">
        <v>7</v>
      </c>
      <c r="E394" s="2118" t="n">
        <v>1</v>
      </c>
      <c r="G394" s="1790" t="inlineStr">
        <is>
          <t>SISTEMAS E INSTALAÇÕES ELÉTRICAS</t>
        </is>
      </c>
      <c r="H394" s="1749" t="inlineStr">
        <is>
          <t>SERVIÇO</t>
        </is>
      </c>
      <c r="I394" s="1750" t="inlineStr">
        <is>
          <t>06.001.007.001</t>
        </is>
      </c>
      <c r="J394" s="1751" t="inlineStr">
        <is>
          <t>Pontos de tomadas e interruptores</t>
        </is>
      </c>
      <c r="K394" s="1752" t="inlineStr">
        <is>
          <t>vb</t>
        </is>
      </c>
      <c r="L394" s="1753" t="n">
        <v>1</v>
      </c>
      <c r="M394" s="1753" t="n">
        <v>3653.25</v>
      </c>
      <c r="N394" s="1754" t="n">
        <v>3653.25</v>
      </c>
      <c r="O394" s="1755" t="inlineStr">
        <is>
          <t>quantidades conforme quantidades do projetista</t>
        </is>
      </c>
      <c r="P394" s="1721" t="inlineStr">
        <is>
          <t>Pendente</t>
        </is>
      </c>
    </row>
    <row r="395" hidden="1" outlineLevel="2" ht="13.9" customHeight="1">
      <c r="A395" s="2117" t="n">
        <v>0</v>
      </c>
      <c r="B395" s="2117" t="n">
        <v>6</v>
      </c>
      <c r="C395" s="2117" t="n">
        <v>1</v>
      </c>
      <c r="D395" s="2118" t="n">
        <v>8</v>
      </c>
      <c r="E395" s="2118" t="n">
        <v>0</v>
      </c>
      <c r="G395" s="1740" t="n"/>
      <c r="H395" s="1741" t="inlineStr">
        <is>
          <t>SUBETAPA</t>
        </is>
      </c>
      <c r="I395" s="1742" t="inlineStr">
        <is>
          <t>06.001.008</t>
        </is>
      </c>
      <c r="J395" s="1743" t="inlineStr">
        <is>
          <t xml:space="preserve">Luminárias, lâmpadas e acessórios </t>
        </is>
      </c>
      <c r="K395" s="1744" t="n"/>
      <c r="L395" s="1745" t="n"/>
      <c r="M395" s="1745" t="n"/>
      <c r="N395" s="1746" t="n">
        <v>8750.98759512098</v>
      </c>
      <c r="O395" s="1747" t="n"/>
      <c r="P395" s="1720" t="n"/>
    </row>
    <row r="396" hidden="1" outlineLevel="3" ht="13.9" customHeight="1">
      <c r="A396" s="2117" t="n">
        <v>0</v>
      </c>
      <c r="B396" s="2117" t="n">
        <v>6</v>
      </c>
      <c r="C396" s="2117" t="n">
        <v>1</v>
      </c>
      <c r="D396" s="2118" t="n">
        <v>8</v>
      </c>
      <c r="E396" s="2118" t="n">
        <v>1</v>
      </c>
      <c r="G396" s="1790" t="inlineStr">
        <is>
          <t>SISTEMAS E INSTALAÇÕES ELÉTRICAS</t>
        </is>
      </c>
      <c r="H396" s="1749" t="inlineStr">
        <is>
          <t>SERVIÇO</t>
        </is>
      </c>
      <c r="I396" s="1750" t="inlineStr">
        <is>
          <t>06.001.008.001</t>
        </is>
      </c>
      <c r="J396" s="1751" t="inlineStr">
        <is>
          <t xml:space="preserve">Luminárias, lâmpadas e acessórios </t>
        </is>
      </c>
      <c r="K396" s="1752" t="inlineStr">
        <is>
          <t>vb</t>
        </is>
      </c>
      <c r="L396" s="1753" t="n">
        <v>1</v>
      </c>
      <c r="M396" s="1753" t="n">
        <v>8750.987595120978</v>
      </c>
      <c r="N396" s="1754" t="n">
        <v>8750.98759512098</v>
      </c>
      <c r="O396" s="1755" t="inlineStr">
        <is>
          <t>quantidades ESTIMADA, devido a ausência de quantitativos</t>
        </is>
      </c>
      <c r="P396" s="1721" t="inlineStr">
        <is>
          <t>Pendente</t>
        </is>
      </c>
    </row>
    <row r="397" hidden="1" outlineLevel="2" ht="13.9" customHeight="1">
      <c r="A397" s="2117" t="n">
        <v>0</v>
      </c>
      <c r="B397" s="2117" t="n">
        <v>6</v>
      </c>
      <c r="C397" s="2117" t="n">
        <v>1</v>
      </c>
      <c r="D397" s="2118" t="n">
        <v>9</v>
      </c>
      <c r="E397" s="2118" t="n">
        <v>0</v>
      </c>
      <c r="G397" s="1740" t="n"/>
      <c r="H397" s="1741" t="inlineStr">
        <is>
          <t>SUBETAPA</t>
        </is>
      </c>
      <c r="I397" s="1742" t="inlineStr">
        <is>
          <t>06.001.009</t>
        </is>
      </c>
      <c r="J397" s="1743" t="inlineStr">
        <is>
          <t>Mão de obra - Sistemas e instalações elétricas</t>
        </is>
      </c>
      <c r="K397" s="1744" t="n"/>
      <c r="L397" s="1745" t="n"/>
      <c r="M397" s="1745" t="n"/>
      <c r="N397" s="1746" t="n">
        <v>128894.96</v>
      </c>
      <c r="O397" s="1747" t="n"/>
      <c r="P397" s="1720" t="n"/>
    </row>
    <row r="398" hidden="1" outlineLevel="3" ht="13.9" customHeight="1">
      <c r="A398" s="2117" t="n">
        <v>0</v>
      </c>
      <c r="B398" s="2117" t="n">
        <v>6</v>
      </c>
      <c r="C398" s="2117" t="n">
        <v>1</v>
      </c>
      <c r="D398" s="2118" t="n">
        <v>9</v>
      </c>
      <c r="E398" s="2118" t="n">
        <v>1</v>
      </c>
      <c r="G398" s="1790" t="inlineStr">
        <is>
          <t>SISTEMAS E INSTALAÇÕES ELÉTRICAS</t>
        </is>
      </c>
      <c r="H398" s="1749" t="inlineStr">
        <is>
          <t>SERVIÇO</t>
        </is>
      </c>
      <c r="I398" s="1750" t="inlineStr">
        <is>
          <t>06.001.009.001</t>
        </is>
      </c>
      <c r="J398" s="1751" t="inlineStr">
        <is>
          <t>Mão de obra para instalações elétricas</t>
        </is>
      </c>
      <c r="K398" s="1752" t="inlineStr">
        <is>
          <t>vb</t>
        </is>
      </c>
      <c r="L398" s="1753" t="n">
        <v>1</v>
      </c>
      <c r="M398" s="1753" t="n">
        <v>128894.96</v>
      </c>
      <c r="N398" s="1754" t="n">
        <v>128894.96</v>
      </c>
      <c r="O398" s="1755" t="inlineStr">
        <is>
          <t>Considerado conforme os contratos disponibilizados pelo GESSELE</t>
        </is>
      </c>
      <c r="P398" s="1721" t="inlineStr">
        <is>
          <t>Pendente</t>
        </is>
      </c>
    </row>
    <row r="399" hidden="1" outlineLevel="1" ht="13.9" customHeight="1">
      <c r="A399" s="2117" t="n">
        <v>0</v>
      </c>
      <c r="B399" s="2117" t="n">
        <v>6</v>
      </c>
      <c r="C399" s="2117" t="n">
        <v>2</v>
      </c>
      <c r="D399" s="2118" t="n">
        <v>0</v>
      </c>
      <c r="E399" s="2118" t="n">
        <v>1</v>
      </c>
      <c r="G399" s="1733" t="n"/>
      <c r="H399" s="1734" t="inlineStr">
        <is>
          <t>ETAPA</t>
        </is>
      </c>
      <c r="I399" s="1735" t="inlineStr">
        <is>
          <t>06.002</t>
        </is>
      </c>
      <c r="J399" s="1736" t="inlineStr">
        <is>
          <t>SISTEMAS E INSTALAÇÕES ELÉTRICAS - Mezanino G1</t>
        </is>
      </c>
      <c r="K399" s="1737" t="n"/>
      <c r="L399" s="1738" t="n"/>
      <c r="M399" s="1738" t="n"/>
      <c r="N399" s="1739" t="n">
        <v>72484.843776863</v>
      </c>
      <c r="O399" s="1722" t="n"/>
      <c r="P399" s="1725" t="n"/>
    </row>
    <row r="400" hidden="1" outlineLevel="2" ht="13.9" customHeight="1">
      <c r="A400" s="2117" t="n">
        <v>0</v>
      </c>
      <c r="B400" s="2117" t="n">
        <v>6</v>
      </c>
      <c r="C400" s="2117" t="n">
        <v>2</v>
      </c>
      <c r="D400" s="2118" t="n">
        <v>1</v>
      </c>
      <c r="E400" s="2118" t="n">
        <v>0</v>
      </c>
      <c r="G400" s="1740" t="n"/>
      <c r="H400" s="1741" t="inlineStr">
        <is>
          <t>SUBETAPA</t>
        </is>
      </c>
      <c r="I400" s="1742" t="inlineStr">
        <is>
          <t>06.002.001</t>
        </is>
      </c>
      <c r="J400" s="1743" t="inlineStr">
        <is>
          <t>Quadros elétricos e disjuntores</t>
        </is>
      </c>
      <c r="K400" s="1744" t="n"/>
      <c r="L400" s="1745" t="n"/>
      <c r="M400" s="1745" t="n"/>
      <c r="N400" s="1746" t="n">
        <v>973.3200000000001</v>
      </c>
      <c r="O400" s="1747" t="n"/>
      <c r="P400" s="1720" t="n"/>
    </row>
    <row r="401" hidden="1" outlineLevel="3" ht="13.9" customHeight="1">
      <c r="A401" s="2117" t="n">
        <v>0</v>
      </c>
      <c r="B401" s="2117" t="n">
        <v>6</v>
      </c>
      <c r="C401" s="2117" t="n">
        <v>2</v>
      </c>
      <c r="D401" s="2118" t="n">
        <v>1</v>
      </c>
      <c r="E401" s="2118" t="n">
        <v>1</v>
      </c>
      <c r="G401" s="1790" t="inlineStr">
        <is>
          <t>SISTEMAS E INSTALAÇÕES ELÉTRICAS</t>
        </is>
      </c>
      <c r="H401" s="1749" t="inlineStr">
        <is>
          <t>SERVIÇO</t>
        </is>
      </c>
      <c r="I401" s="1750" t="inlineStr">
        <is>
          <t>06.002.001.001</t>
        </is>
      </c>
      <c r="J401" s="1751" t="inlineStr">
        <is>
          <t>Quadros elétricos e disjuntores</t>
        </is>
      </c>
      <c r="K401" s="1752" t="inlineStr">
        <is>
          <t>vb</t>
        </is>
      </c>
      <c r="L401" s="1753" t="n">
        <v>1</v>
      </c>
      <c r="M401" s="1753" t="n">
        <v>973.3199999999999</v>
      </c>
      <c r="N401" s="1754" t="n">
        <v>973.3200000000001</v>
      </c>
      <c r="O401" s="1755" t="inlineStr">
        <is>
          <t>quantidades conforme quantidades do projetista</t>
        </is>
      </c>
      <c r="P401" s="1721" t="inlineStr">
        <is>
          <t>Pendente</t>
        </is>
      </c>
    </row>
    <row r="402" hidden="1" outlineLevel="2" ht="13.9" customHeight="1">
      <c r="A402" s="2117" t="n">
        <v>0</v>
      </c>
      <c r="B402" s="2117" t="n">
        <v>6</v>
      </c>
      <c r="C402" s="2117" t="n">
        <v>2</v>
      </c>
      <c r="D402" s="2118" t="n">
        <v>2</v>
      </c>
      <c r="E402" s="2118" t="n">
        <v>0</v>
      </c>
      <c r="G402" s="1740" t="n"/>
      <c r="H402" s="1741" t="inlineStr">
        <is>
          <t>SUBETAPA</t>
        </is>
      </c>
      <c r="I402" s="1742" t="inlineStr">
        <is>
          <t>06.002.002</t>
        </is>
      </c>
      <c r="J402" s="1743" t="inlineStr">
        <is>
          <t>Eletrodutos e eletrocalhas</t>
        </is>
      </c>
      <c r="K402" s="1744" t="n"/>
      <c r="L402" s="1745" t="n"/>
      <c r="M402" s="1745" t="n"/>
      <c r="N402" s="1746" t="n">
        <v>2608.45</v>
      </c>
      <c r="O402" s="1747" t="n"/>
      <c r="P402" s="1720" t="n"/>
    </row>
    <row r="403" hidden="1" outlineLevel="3" ht="13.9" customHeight="1">
      <c r="A403" s="2117" t="n">
        <v>0</v>
      </c>
      <c r="B403" s="2117" t="n">
        <v>6</v>
      </c>
      <c r="C403" s="2117" t="n">
        <v>2</v>
      </c>
      <c r="D403" s="2118" t="n">
        <v>2</v>
      </c>
      <c r="E403" s="2118" t="n">
        <v>1</v>
      </c>
      <c r="G403" s="1790" t="inlineStr">
        <is>
          <t>SISTEMAS E INSTALAÇÕES ELÉTRICAS</t>
        </is>
      </c>
      <c r="H403" s="1749" t="inlineStr">
        <is>
          <t>SERVIÇO</t>
        </is>
      </c>
      <c r="I403" s="1750" t="inlineStr">
        <is>
          <t>06.002.002.001</t>
        </is>
      </c>
      <c r="J403" s="1751" t="inlineStr">
        <is>
          <t>Eletrodutos e eletrocalhas</t>
        </is>
      </c>
      <c r="K403" s="1752" t="inlineStr">
        <is>
          <t>vb</t>
        </is>
      </c>
      <c r="L403" s="1753" t="n">
        <v>1</v>
      </c>
      <c r="M403" s="1753" t="n">
        <v>2608.45</v>
      </c>
      <c r="N403" s="1754" t="n">
        <v>2608.45</v>
      </c>
      <c r="O403" s="1755" t="inlineStr">
        <is>
          <t>quantidades conforme quantidades do projetista</t>
        </is>
      </c>
      <c r="P403" s="1721" t="inlineStr">
        <is>
          <t>Pendente</t>
        </is>
      </c>
    </row>
    <row r="404" hidden="1" outlineLevel="2" ht="13.9" customHeight="1">
      <c r="A404" s="2117" t="n">
        <v>0</v>
      </c>
      <c r="B404" s="2117" t="n">
        <v>6</v>
      </c>
      <c r="C404" s="2117" t="n">
        <v>2</v>
      </c>
      <c r="D404" s="2118" t="n">
        <v>3</v>
      </c>
      <c r="E404" s="2118" t="n">
        <v>0</v>
      </c>
      <c r="G404" s="1740" t="n"/>
      <c r="H404" s="1741" t="inlineStr">
        <is>
          <t>SUBETAPA</t>
        </is>
      </c>
      <c r="I404" s="1742" t="inlineStr">
        <is>
          <t>06.002.003</t>
        </is>
      </c>
      <c r="J404" s="1743" t="inlineStr">
        <is>
          <t>Fios e cabos elétricos</t>
        </is>
      </c>
      <c r="K404" s="1744" t="n"/>
      <c r="L404" s="1745" t="n"/>
      <c r="M404" s="1745" t="n"/>
      <c r="N404" s="1746" t="n">
        <v>7968.779</v>
      </c>
      <c r="O404" s="1747" t="n"/>
      <c r="P404" s="1720" t="n"/>
    </row>
    <row r="405" hidden="1" outlineLevel="3" ht="13.9" customHeight="1">
      <c r="A405" s="2117" t="n">
        <v>0</v>
      </c>
      <c r="B405" s="2117" t="n">
        <v>6</v>
      </c>
      <c r="C405" s="2117" t="n">
        <v>2</v>
      </c>
      <c r="D405" s="2118" t="n">
        <v>3</v>
      </c>
      <c r="E405" s="2118" t="n">
        <v>1</v>
      </c>
      <c r="G405" s="1790" t="inlineStr">
        <is>
          <t>SISTEMAS E INSTALAÇÕES ELÉTRICAS</t>
        </is>
      </c>
      <c r="H405" s="1749" t="inlineStr">
        <is>
          <t>SERVIÇO</t>
        </is>
      </c>
      <c r="I405" s="1750" t="inlineStr">
        <is>
          <t>06.002.003.001</t>
        </is>
      </c>
      <c r="J405" s="1751" t="inlineStr">
        <is>
          <t>Fios e cabos elétricos</t>
        </is>
      </c>
      <c r="K405" s="1752" t="inlineStr">
        <is>
          <t>vb</t>
        </is>
      </c>
      <c r="L405" s="1753" t="n">
        <v>1</v>
      </c>
      <c r="M405" s="1753" t="n">
        <v>7968.778999999999</v>
      </c>
      <c r="N405" s="1754" t="n">
        <v>7968.779</v>
      </c>
      <c r="O405" s="1755" t="inlineStr">
        <is>
          <t>quantidades conforme quantidades do projetista</t>
        </is>
      </c>
      <c r="P405" s="1721" t="inlineStr">
        <is>
          <t>Pendente</t>
        </is>
      </c>
    </row>
    <row r="406" hidden="1" outlineLevel="2" ht="13.9" customHeight="1">
      <c r="A406" s="2117" t="n">
        <v>0</v>
      </c>
      <c r="B406" s="2117" t="n">
        <v>6</v>
      </c>
      <c r="C406" s="2117" t="n">
        <v>2</v>
      </c>
      <c r="D406" s="2118" t="n">
        <v>4</v>
      </c>
      <c r="E406" s="2118" t="n">
        <v>0</v>
      </c>
      <c r="G406" s="1740" t="n"/>
      <c r="H406" s="1741" t="inlineStr">
        <is>
          <t>SUBETAPA</t>
        </is>
      </c>
      <c r="I406" s="1742" t="inlineStr">
        <is>
          <t>06.002.004</t>
        </is>
      </c>
      <c r="J406" s="1743" t="inlineStr">
        <is>
          <t>Pontos de tomadas e interruptores</t>
        </is>
      </c>
      <c r="K406" s="1744" t="n"/>
      <c r="L406" s="1745" t="n"/>
      <c r="M406" s="1745" t="n"/>
      <c r="N406" s="1746" t="n">
        <v>2070.85</v>
      </c>
      <c r="O406" s="1747" t="n"/>
      <c r="P406" s="1720" t="n"/>
    </row>
    <row r="407" hidden="1" outlineLevel="3" ht="13.9" customHeight="1">
      <c r="A407" s="2117" t="n">
        <v>0</v>
      </c>
      <c r="B407" s="2117" t="n">
        <v>6</v>
      </c>
      <c r="C407" s="2117" t="n">
        <v>2</v>
      </c>
      <c r="D407" s="2118" t="n">
        <v>4</v>
      </c>
      <c r="E407" s="2118" t="n">
        <v>1</v>
      </c>
      <c r="G407" s="1790" t="inlineStr">
        <is>
          <t>SISTEMAS E INSTALAÇÕES ELÉTRICAS</t>
        </is>
      </c>
      <c r="H407" s="1749" t="inlineStr">
        <is>
          <t>SERVIÇO</t>
        </is>
      </c>
      <c r="I407" s="1750" t="inlineStr">
        <is>
          <t>06.002.004.001</t>
        </is>
      </c>
      <c r="J407" s="1751" t="inlineStr">
        <is>
          <t>Pontos de tomadas e interruptores</t>
        </is>
      </c>
      <c r="K407" s="1752" t="inlineStr">
        <is>
          <t>vb</t>
        </is>
      </c>
      <c r="L407" s="1753" t="n">
        <v>1</v>
      </c>
      <c r="M407" s="1753" t="n">
        <v>2070.85</v>
      </c>
      <c r="N407" s="1754" t="n">
        <v>2070.85</v>
      </c>
      <c r="O407" s="1755" t="inlineStr">
        <is>
          <t>quantidades conforme quantidades do projetista</t>
        </is>
      </c>
      <c r="P407" s="1721" t="inlineStr">
        <is>
          <t>Pendente</t>
        </is>
      </c>
    </row>
    <row r="408" hidden="1" outlineLevel="2" ht="13.9" customHeight="1">
      <c r="A408" s="2117" t="n">
        <v>0</v>
      </c>
      <c r="B408" s="2117" t="n">
        <v>6</v>
      </c>
      <c r="C408" s="2117" t="n">
        <v>2</v>
      </c>
      <c r="D408" s="2118" t="n">
        <v>5</v>
      </c>
      <c r="E408" s="2118" t="n">
        <v>0</v>
      </c>
      <c r="G408" s="1740" t="n"/>
      <c r="H408" s="1741" t="inlineStr">
        <is>
          <t>SUBETAPA</t>
        </is>
      </c>
      <c r="I408" s="1742" t="inlineStr">
        <is>
          <t>06.002.005</t>
        </is>
      </c>
      <c r="J408" s="1743" t="inlineStr">
        <is>
          <t xml:space="preserve">Luminárias, lâmpadas e acessórios </t>
        </is>
      </c>
      <c r="K408" s="1744" t="n"/>
      <c r="L408" s="1745" t="n"/>
      <c r="M408" s="1745" t="n"/>
      <c r="N408" s="1746" t="n">
        <v>8935.804776863</v>
      </c>
      <c r="O408" s="1747" t="n"/>
      <c r="P408" s="1720" t="n"/>
    </row>
    <row r="409" hidden="1" outlineLevel="3" ht="13.9" customHeight="1">
      <c r="A409" s="2117" t="n">
        <v>0</v>
      </c>
      <c r="B409" s="2117" t="n">
        <v>6</v>
      </c>
      <c r="C409" s="2117" t="n">
        <v>2</v>
      </c>
      <c r="D409" s="2118" t="n">
        <v>5</v>
      </c>
      <c r="E409" s="2118" t="n">
        <v>1</v>
      </c>
      <c r="G409" s="1790" t="inlineStr">
        <is>
          <t>SISTEMAS E INSTALAÇÕES ELÉTRICAS</t>
        </is>
      </c>
      <c r="H409" s="1749" t="inlineStr">
        <is>
          <t>SERVIÇO</t>
        </is>
      </c>
      <c r="I409" s="1750" t="inlineStr">
        <is>
          <t>06.002.005.001</t>
        </is>
      </c>
      <c r="J409" s="1751" t="inlineStr">
        <is>
          <t xml:space="preserve">Luminárias, lâmpadas e acessórios </t>
        </is>
      </c>
      <c r="K409" s="1752" t="inlineStr">
        <is>
          <t>vb</t>
        </is>
      </c>
      <c r="L409" s="1753" t="n">
        <v>1</v>
      </c>
      <c r="M409" s="1753" t="n">
        <v>8935.804776862999</v>
      </c>
      <c r="N409" s="1754" t="n">
        <v>8935.804776863</v>
      </c>
      <c r="O409" s="1755" t="inlineStr">
        <is>
          <t>quantidades ESTIMADA, devido a ausência de quantitativos</t>
        </is>
      </c>
      <c r="P409" s="1721" t="inlineStr">
        <is>
          <t>Pendente</t>
        </is>
      </c>
    </row>
    <row r="410" hidden="1" outlineLevel="2" ht="13.9" customHeight="1">
      <c r="A410" s="2117" t="n">
        <v>0</v>
      </c>
      <c r="B410" s="2117" t="n">
        <v>6</v>
      </c>
      <c r="C410" s="2117" t="n">
        <v>2</v>
      </c>
      <c r="D410" s="2118" t="n">
        <v>6</v>
      </c>
      <c r="E410" s="2118" t="n">
        <v>0</v>
      </c>
      <c r="G410" s="1740" t="n"/>
      <c r="H410" s="1741" t="inlineStr">
        <is>
          <t>SUBETAPA</t>
        </is>
      </c>
      <c r="I410" s="1742" t="inlineStr">
        <is>
          <t>06.002.006</t>
        </is>
      </c>
      <c r="J410" s="1743" t="inlineStr">
        <is>
          <t>Mão de obra - Sistemas e instalações elétricas</t>
        </is>
      </c>
      <c r="K410" s="1744" t="n"/>
      <c r="L410" s="1745" t="n"/>
      <c r="M410" s="1745" t="n"/>
      <c r="N410" s="1746" t="n">
        <v>49927.64</v>
      </c>
      <c r="O410" s="1747" t="n"/>
      <c r="P410" s="1720" t="n"/>
    </row>
    <row r="411" hidden="1" outlineLevel="3" ht="13.9" customHeight="1">
      <c r="A411" s="2117" t="n">
        <v>0</v>
      </c>
      <c r="B411" s="2117" t="n">
        <v>6</v>
      </c>
      <c r="C411" s="2117" t="n">
        <v>2</v>
      </c>
      <c r="D411" s="2118" t="n">
        <v>6</v>
      </c>
      <c r="E411" s="2118" t="n">
        <v>1</v>
      </c>
      <c r="G411" s="1790" t="inlineStr">
        <is>
          <t>SISTEMAS E INSTALAÇÕES ELÉTRICAS</t>
        </is>
      </c>
      <c r="H411" s="1749" t="inlineStr">
        <is>
          <t>SERVIÇO</t>
        </is>
      </c>
      <c r="I411" s="1750" t="inlineStr">
        <is>
          <t>06.002.006.001</t>
        </is>
      </c>
      <c r="J411" s="1751" t="inlineStr">
        <is>
          <t>Mão de obra para instalações elétricas</t>
        </is>
      </c>
      <c r="K411" s="1752" t="inlineStr">
        <is>
          <t>vb</t>
        </is>
      </c>
      <c r="L411" s="1753" t="n">
        <v>1</v>
      </c>
      <c r="M411" s="1753" t="n">
        <v>49927.64</v>
      </c>
      <c r="N411" s="1754" t="n">
        <v>49927.64</v>
      </c>
      <c r="O411" s="1755" t="inlineStr">
        <is>
          <t>Considerado conforme os contratos disponibilizados pelo GESSELE</t>
        </is>
      </c>
      <c r="P411" s="1721" t="inlineStr">
        <is>
          <t>Pendente</t>
        </is>
      </c>
    </row>
    <row r="412" hidden="1" outlineLevel="1" ht="13.9" customHeight="1">
      <c r="A412" s="2117" t="n">
        <v>0</v>
      </c>
      <c r="B412" s="2117" t="n">
        <v>6</v>
      </c>
      <c r="C412" s="2117" t="n">
        <v>3</v>
      </c>
      <c r="D412" s="2118" t="n">
        <v>0</v>
      </c>
      <c r="E412" s="2118" t="n">
        <v>1</v>
      </c>
      <c r="G412" s="1733" t="n"/>
      <c r="H412" s="1734" t="inlineStr">
        <is>
          <t>ETAPA</t>
        </is>
      </c>
      <c r="I412" s="1735" t="inlineStr">
        <is>
          <t>06.003</t>
        </is>
      </c>
      <c r="J412" s="1736" t="inlineStr">
        <is>
          <t>SISTEMAS E INSTALAÇÕES ELÉTRICAS - G2</t>
        </is>
      </c>
      <c r="K412" s="1737" t="n"/>
      <c r="L412" s="1738" t="n"/>
      <c r="M412" s="1738" t="n"/>
      <c r="N412" s="1739" t="n">
        <v>69814.52621185069</v>
      </c>
      <c r="O412" s="1722" t="n"/>
      <c r="P412" s="1725" t="n"/>
    </row>
    <row r="413" hidden="1" outlineLevel="2" ht="13.9" customHeight="1">
      <c r="A413" s="2117" t="n">
        <v>0</v>
      </c>
      <c r="B413" s="2117" t="n">
        <v>6</v>
      </c>
      <c r="C413" s="2117" t="n">
        <v>3</v>
      </c>
      <c r="D413" s="2118" t="n">
        <v>1</v>
      </c>
      <c r="E413" s="2118" t="n">
        <v>0</v>
      </c>
      <c r="G413" s="1740" t="n"/>
      <c r="H413" s="1741" t="inlineStr">
        <is>
          <t>SUBETAPA</t>
        </is>
      </c>
      <c r="I413" s="1742" t="inlineStr">
        <is>
          <t>06.003.001</t>
        </is>
      </c>
      <c r="J413" s="1743" t="inlineStr">
        <is>
          <t>Quadros elétricos e disjuntores</t>
        </is>
      </c>
      <c r="K413" s="1744" t="n"/>
      <c r="L413" s="1745" t="n"/>
      <c r="M413" s="1745" t="n"/>
      <c r="N413" s="1746" t="n">
        <v>960.27</v>
      </c>
      <c r="O413" s="1747" t="n"/>
      <c r="P413" s="1720" t="n"/>
    </row>
    <row r="414" hidden="1" outlineLevel="3" ht="13.9" customHeight="1">
      <c r="A414" s="2117" t="n">
        <v>0</v>
      </c>
      <c r="B414" s="2117" t="n">
        <v>6</v>
      </c>
      <c r="C414" s="2117" t="n">
        <v>3</v>
      </c>
      <c r="D414" s="2118" t="n">
        <v>1</v>
      </c>
      <c r="E414" s="2118" t="n">
        <v>1</v>
      </c>
      <c r="G414" s="1790" t="inlineStr">
        <is>
          <t>SISTEMAS E INSTALAÇÕES ELÉTRICAS</t>
        </is>
      </c>
      <c r="H414" s="1749" t="inlineStr">
        <is>
          <t>SERVIÇO</t>
        </is>
      </c>
      <c r="I414" s="1750" t="inlineStr">
        <is>
          <t>06.003.001.001</t>
        </is>
      </c>
      <c r="J414" s="1751" t="inlineStr">
        <is>
          <t>Quadros elétricos e disjuntores</t>
        </is>
      </c>
      <c r="K414" s="1752" t="inlineStr">
        <is>
          <t>vb</t>
        </is>
      </c>
      <c r="L414" s="1753" t="n">
        <v>1</v>
      </c>
      <c r="M414" s="1753" t="n">
        <v>960.27</v>
      </c>
      <c r="N414" s="1754" t="n">
        <v>960.27</v>
      </c>
      <c r="O414" s="1755" t="inlineStr">
        <is>
          <t>quantidades conforme quantidades do projetista</t>
        </is>
      </c>
      <c r="P414" s="1721" t="inlineStr">
        <is>
          <t>Pendente</t>
        </is>
      </c>
    </row>
    <row r="415" hidden="1" outlineLevel="2" ht="13.9" customHeight="1">
      <c r="A415" s="2117" t="n">
        <v>0</v>
      </c>
      <c r="B415" s="2117" t="n">
        <v>6</v>
      </c>
      <c r="C415" s="2117" t="n">
        <v>3</v>
      </c>
      <c r="D415" s="2118" t="n">
        <v>2</v>
      </c>
      <c r="E415" s="2118" t="n">
        <v>0</v>
      </c>
      <c r="G415" s="1740" t="n"/>
      <c r="H415" s="1741" t="inlineStr">
        <is>
          <t>SUBETAPA</t>
        </is>
      </c>
      <c r="I415" s="1742" t="inlineStr">
        <is>
          <t>06.003.002</t>
        </is>
      </c>
      <c r="J415" s="1743" t="inlineStr">
        <is>
          <t>Eletrodutos e eletrocalhas</t>
        </is>
      </c>
      <c r="K415" s="1744" t="n"/>
      <c r="L415" s="1745" t="n"/>
      <c r="M415" s="1745" t="n"/>
      <c r="N415" s="1746" t="n">
        <v>952.95</v>
      </c>
      <c r="O415" s="1747" t="n"/>
      <c r="P415" s="1720" t="n"/>
    </row>
    <row r="416" hidden="1" outlineLevel="3" ht="13.9" customHeight="1">
      <c r="A416" s="2117" t="n">
        <v>0</v>
      </c>
      <c r="B416" s="2117" t="n">
        <v>6</v>
      </c>
      <c r="C416" s="2117" t="n">
        <v>3</v>
      </c>
      <c r="D416" s="2118" t="n">
        <v>2</v>
      </c>
      <c r="E416" s="2118" t="n">
        <v>1</v>
      </c>
      <c r="G416" s="1790" t="inlineStr">
        <is>
          <t>SISTEMAS E INSTALAÇÕES ELÉTRICAS</t>
        </is>
      </c>
      <c r="H416" s="1749" t="inlineStr">
        <is>
          <t>SERVIÇO</t>
        </is>
      </c>
      <c r="I416" s="1750" t="inlineStr">
        <is>
          <t>06.003.002.001</t>
        </is>
      </c>
      <c r="J416" s="1751" t="inlineStr">
        <is>
          <t>Eletrodutos e eletrocalhas</t>
        </is>
      </c>
      <c r="K416" s="1752" t="inlineStr">
        <is>
          <t>vb</t>
        </is>
      </c>
      <c r="L416" s="1753" t="n">
        <v>1</v>
      </c>
      <c r="M416" s="1753" t="n">
        <v>952.9499999999999</v>
      </c>
      <c r="N416" s="1754" t="n">
        <v>952.95</v>
      </c>
      <c r="O416" s="1755" t="inlineStr">
        <is>
          <t>quantidades conforme quantidades do projetista</t>
        </is>
      </c>
      <c r="P416" s="1721" t="inlineStr">
        <is>
          <t>Pendente</t>
        </is>
      </c>
    </row>
    <row r="417" hidden="1" outlineLevel="2" ht="13.9" customHeight="1">
      <c r="A417" s="2117" t="n">
        <v>0</v>
      </c>
      <c r="B417" s="2117" t="n">
        <v>6</v>
      </c>
      <c r="C417" s="2117" t="n">
        <v>3</v>
      </c>
      <c r="D417" s="2118" t="n">
        <v>3</v>
      </c>
      <c r="E417" s="2118" t="n">
        <v>0</v>
      </c>
      <c r="G417" s="1740" t="n"/>
      <c r="H417" s="1741" t="inlineStr">
        <is>
          <t>SUBETAPA</t>
        </is>
      </c>
      <c r="I417" s="1742" t="inlineStr">
        <is>
          <t>06.003.003</t>
        </is>
      </c>
      <c r="J417" s="1743" t="inlineStr">
        <is>
          <t>Fios e cabos elétricos</t>
        </is>
      </c>
      <c r="K417" s="1744" t="n"/>
      <c r="L417" s="1745" t="n"/>
      <c r="M417" s="1745" t="n"/>
      <c r="N417" s="1746" t="n">
        <v>2280.851</v>
      </c>
      <c r="O417" s="1747" t="n"/>
      <c r="P417" s="1720" t="n"/>
    </row>
    <row r="418" hidden="1" outlineLevel="3" ht="13.9" customHeight="1">
      <c r="A418" s="2117" t="n">
        <v>0</v>
      </c>
      <c r="B418" s="2117" t="n">
        <v>6</v>
      </c>
      <c r="C418" s="2117" t="n">
        <v>3</v>
      </c>
      <c r="D418" s="2118" t="n">
        <v>3</v>
      </c>
      <c r="E418" s="2118" t="n">
        <v>1</v>
      </c>
      <c r="G418" s="1790" t="inlineStr">
        <is>
          <t>SISTEMAS E INSTALAÇÕES ELÉTRICAS</t>
        </is>
      </c>
      <c r="H418" s="1749" t="inlineStr">
        <is>
          <t>SERVIÇO</t>
        </is>
      </c>
      <c r="I418" s="1750" t="inlineStr">
        <is>
          <t>06.003.003.001</t>
        </is>
      </c>
      <c r="J418" s="1751" t="inlineStr">
        <is>
          <t>Fios e cabos elétricos</t>
        </is>
      </c>
      <c r="K418" s="1752" t="inlineStr">
        <is>
          <t>vb</t>
        </is>
      </c>
      <c r="L418" s="1753" t="n">
        <v>1</v>
      </c>
      <c r="M418" s="1753" t="n">
        <v>2280.851</v>
      </c>
      <c r="N418" s="1754" t="n">
        <v>2280.851</v>
      </c>
      <c r="O418" s="1755" t="inlineStr">
        <is>
          <t>quantidades conforme quantidades do projetista</t>
        </is>
      </c>
      <c r="P418" s="1721" t="inlineStr">
        <is>
          <t>Pendente</t>
        </is>
      </c>
    </row>
    <row r="419" hidden="1" outlineLevel="2" ht="13.9" customHeight="1">
      <c r="A419" s="2117" t="n">
        <v>0</v>
      </c>
      <c r="B419" s="2117" t="n">
        <v>6</v>
      </c>
      <c r="C419" s="2117" t="n">
        <v>3</v>
      </c>
      <c r="D419" s="2118" t="n">
        <v>4</v>
      </c>
      <c r="E419" s="2118" t="n">
        <v>0</v>
      </c>
      <c r="G419" s="1740" t="n"/>
      <c r="H419" s="1741" t="inlineStr">
        <is>
          <t>SUBETAPA</t>
        </is>
      </c>
      <c r="I419" s="1742" t="inlineStr">
        <is>
          <t>06.003.004</t>
        </is>
      </c>
      <c r="J419" s="1743" t="inlineStr">
        <is>
          <t>Pontos de tomadas e interruptores</t>
        </is>
      </c>
      <c r="K419" s="1744" t="n"/>
      <c r="L419" s="1745" t="n"/>
      <c r="M419" s="1745" t="n"/>
      <c r="N419" s="1746" t="n">
        <v>1073.75</v>
      </c>
      <c r="O419" s="1747" t="n"/>
      <c r="P419" s="1720" t="n"/>
    </row>
    <row r="420" hidden="1" outlineLevel="3" ht="13.9" customHeight="1">
      <c r="A420" s="2117" t="n">
        <v>0</v>
      </c>
      <c r="B420" s="2117" t="n">
        <v>6</v>
      </c>
      <c r="C420" s="2117" t="n">
        <v>3</v>
      </c>
      <c r="D420" s="2118" t="n">
        <v>4</v>
      </c>
      <c r="E420" s="2118" t="n">
        <v>1</v>
      </c>
      <c r="G420" s="1790" t="inlineStr">
        <is>
          <t>SISTEMAS E INSTALAÇÕES ELÉTRICAS</t>
        </is>
      </c>
      <c r="H420" s="1749" t="inlineStr">
        <is>
          <t>SERVIÇO</t>
        </is>
      </c>
      <c r="I420" s="1750" t="inlineStr">
        <is>
          <t>06.003.004.001</t>
        </is>
      </c>
      <c r="J420" s="1751" t="inlineStr">
        <is>
          <t>Pontos de tomadas e interruptores</t>
        </is>
      </c>
      <c r="K420" s="1752" t="inlineStr">
        <is>
          <t>vb</t>
        </is>
      </c>
      <c r="L420" s="1753" t="n">
        <v>1</v>
      </c>
      <c r="M420" s="1753" t="n">
        <v>1073.75</v>
      </c>
      <c r="N420" s="1754" t="n">
        <v>1073.75</v>
      </c>
      <c r="O420" s="1755" t="inlineStr">
        <is>
          <t>quantidades conforme quantidades do projetista</t>
        </is>
      </c>
      <c r="P420" s="1721" t="inlineStr">
        <is>
          <t>Pendente</t>
        </is>
      </c>
    </row>
    <row r="421" hidden="1" outlineLevel="2" ht="13.9" customHeight="1">
      <c r="A421" s="2117" t="n">
        <v>0</v>
      </c>
      <c r="B421" s="2117" t="n">
        <v>6</v>
      </c>
      <c r="C421" s="2117" t="n">
        <v>3</v>
      </c>
      <c r="D421" s="2118" t="n">
        <v>5</v>
      </c>
      <c r="E421" s="2118" t="n">
        <v>0</v>
      </c>
      <c r="G421" s="1740" t="n"/>
      <c r="H421" s="1741" t="inlineStr">
        <is>
          <t>SUBETAPA</t>
        </is>
      </c>
      <c r="I421" s="1742" t="inlineStr">
        <is>
          <t>06.003.005</t>
        </is>
      </c>
      <c r="J421" s="1743" t="inlineStr">
        <is>
          <t xml:space="preserve">Luminárias, lâmpadas e acessórios </t>
        </is>
      </c>
      <c r="K421" s="1744" t="n"/>
      <c r="L421" s="1745" t="n"/>
      <c r="M421" s="1745" t="n"/>
      <c r="N421" s="1746" t="n">
        <v>9798.545211850649</v>
      </c>
      <c r="O421" s="1747" t="n"/>
      <c r="P421" s="1720" t="n"/>
    </row>
    <row r="422" hidden="1" outlineLevel="3" ht="13.9" customHeight="1">
      <c r="A422" s="2117" t="n">
        <v>0</v>
      </c>
      <c r="B422" s="2117" t="n">
        <v>6</v>
      </c>
      <c r="C422" s="2117" t="n">
        <v>3</v>
      </c>
      <c r="D422" s="2118" t="n">
        <v>5</v>
      </c>
      <c r="E422" s="2118" t="n">
        <v>1</v>
      </c>
      <c r="G422" s="1790" t="inlineStr">
        <is>
          <t>SISTEMAS E INSTALAÇÕES ELÉTRICAS</t>
        </is>
      </c>
      <c r="H422" s="1749" t="inlineStr">
        <is>
          <t>SERVIÇO</t>
        </is>
      </c>
      <c r="I422" s="1750" t="inlineStr">
        <is>
          <t>06.003.005.001</t>
        </is>
      </c>
      <c r="J422" s="1751" t="inlineStr">
        <is>
          <t xml:space="preserve">Luminárias, lâmpadas e acessórios </t>
        </is>
      </c>
      <c r="K422" s="1752" t="inlineStr">
        <is>
          <t>vb</t>
        </is>
      </c>
      <c r="L422" s="1753" t="n">
        <v>1</v>
      </c>
      <c r="M422" s="1753" t="n">
        <v>9798.545211850646</v>
      </c>
      <c r="N422" s="1754" t="n">
        <v>9798.545211850649</v>
      </c>
      <c r="O422" s="1755" t="inlineStr">
        <is>
          <t>quantidades ESTIMADA, devido a ausência de quantitativos</t>
        </is>
      </c>
      <c r="P422" s="1721" t="inlineStr">
        <is>
          <t>Pendente</t>
        </is>
      </c>
    </row>
    <row r="423" hidden="1" outlineLevel="2" ht="13.9" customHeight="1">
      <c r="A423" s="2117" t="n">
        <v>0</v>
      </c>
      <c r="B423" s="2117" t="n">
        <v>6</v>
      </c>
      <c r="C423" s="2117" t="n">
        <v>3</v>
      </c>
      <c r="D423" s="2118" t="n">
        <v>6</v>
      </c>
      <c r="E423" s="2118" t="n">
        <v>0</v>
      </c>
      <c r="G423" s="1740" t="n"/>
      <c r="H423" s="1741" t="inlineStr">
        <is>
          <t>SUBETAPA</t>
        </is>
      </c>
      <c r="I423" s="1742" t="inlineStr">
        <is>
          <t>06.003.006</t>
        </is>
      </c>
      <c r="J423" s="1743" t="inlineStr">
        <is>
          <t>Mão de obra - Sistemas e instalações elétricas</t>
        </is>
      </c>
      <c r="K423" s="1744" t="n"/>
      <c r="L423" s="1745" t="n"/>
      <c r="M423" s="1745" t="n"/>
      <c r="N423" s="1746" t="n">
        <v>54748.16</v>
      </c>
      <c r="O423" s="1747" t="n"/>
      <c r="P423" s="1720" t="n"/>
    </row>
    <row r="424" hidden="1" outlineLevel="3" ht="13.9" customHeight="1">
      <c r="A424" s="2117" t="n">
        <v>0</v>
      </c>
      <c r="B424" s="2117" t="n">
        <v>6</v>
      </c>
      <c r="C424" s="2117" t="n">
        <v>3</v>
      </c>
      <c r="D424" s="2118" t="n">
        <v>6</v>
      </c>
      <c r="E424" s="2118" t="n">
        <v>1</v>
      </c>
      <c r="G424" s="1790" t="inlineStr">
        <is>
          <t>SISTEMAS E INSTALAÇÕES ELÉTRICAS</t>
        </is>
      </c>
      <c r="H424" s="1749" t="inlineStr">
        <is>
          <t>SERVIÇO</t>
        </is>
      </c>
      <c r="I424" s="1750" t="inlineStr">
        <is>
          <t>06.003.006.001</t>
        </is>
      </c>
      <c r="J424" s="1751" t="inlineStr">
        <is>
          <t>Mão de obra para instalações elétricas</t>
        </is>
      </c>
      <c r="K424" s="1752" t="inlineStr">
        <is>
          <t>vb</t>
        </is>
      </c>
      <c r="L424" s="1753" t="n">
        <v>1</v>
      </c>
      <c r="M424" s="1753" t="n">
        <v>54748.16</v>
      </c>
      <c r="N424" s="1754" t="n">
        <v>54748.16</v>
      </c>
      <c r="O424" s="1755" t="inlineStr">
        <is>
          <t>Considerado conforme os contratos disponibilizados pelo GESSELE</t>
        </is>
      </c>
      <c r="P424" s="1721" t="inlineStr">
        <is>
          <t>Pendente</t>
        </is>
      </c>
    </row>
    <row r="425" hidden="1" outlineLevel="1" ht="13.9" customHeight="1">
      <c r="A425" s="2117" t="n">
        <v>0</v>
      </c>
      <c r="B425" s="2117" t="n">
        <v>6</v>
      </c>
      <c r="C425" s="2117" t="n">
        <v>4</v>
      </c>
      <c r="D425" s="2118" t="n">
        <v>0</v>
      </c>
      <c r="E425" s="2118" t="n">
        <v>1</v>
      </c>
      <c r="G425" s="1733" t="n"/>
      <c r="H425" s="1734" t="inlineStr">
        <is>
          <t>ETAPA</t>
        </is>
      </c>
      <c r="I425" s="1735" t="inlineStr">
        <is>
          <t>06.004</t>
        </is>
      </c>
      <c r="J425" s="1736" t="inlineStr">
        <is>
          <t>SISTEMAS E INSTALAÇÕES ELÉTRICAS - Mezanino G2</t>
        </is>
      </c>
      <c r="K425" s="1737" t="n"/>
      <c r="L425" s="1738" t="n"/>
      <c r="M425" s="1738" t="n"/>
      <c r="N425" s="1739" t="n">
        <v>69573.49221185069</v>
      </c>
      <c r="O425" s="1722" t="n"/>
      <c r="P425" s="1725" t="n"/>
    </row>
    <row r="426" hidden="1" outlineLevel="2" ht="13.9" customHeight="1">
      <c r="A426" s="2117" t="n">
        <v>0</v>
      </c>
      <c r="B426" s="2117" t="n">
        <v>6</v>
      </c>
      <c r="C426" s="2117" t="n">
        <v>4</v>
      </c>
      <c r="D426" s="2118" t="n">
        <v>1</v>
      </c>
      <c r="E426" s="2118" t="n">
        <v>0</v>
      </c>
      <c r="G426" s="1740" t="n"/>
      <c r="H426" s="1741" t="inlineStr">
        <is>
          <t>SUBETAPA</t>
        </is>
      </c>
      <c r="I426" s="1742" t="inlineStr">
        <is>
          <t>06.004.001</t>
        </is>
      </c>
      <c r="J426" s="1743" t="inlineStr">
        <is>
          <t>Quadros elétricos e disjuntores</t>
        </is>
      </c>
      <c r="K426" s="1744" t="n"/>
      <c r="L426" s="1745" t="n"/>
      <c r="M426" s="1745" t="n"/>
      <c r="N426" s="1746" t="n">
        <v>960.27</v>
      </c>
      <c r="O426" s="1747" t="n"/>
      <c r="P426" s="1720" t="n"/>
    </row>
    <row r="427" hidden="1" outlineLevel="3" ht="13.9" customHeight="1">
      <c r="A427" s="2117" t="n">
        <v>0</v>
      </c>
      <c r="B427" s="2117" t="n">
        <v>6</v>
      </c>
      <c r="C427" s="2117" t="n">
        <v>4</v>
      </c>
      <c r="D427" s="2118" t="n">
        <v>1</v>
      </c>
      <c r="E427" s="2118" t="n">
        <v>1</v>
      </c>
      <c r="G427" s="1790" t="inlineStr">
        <is>
          <t>SISTEMAS E INSTALAÇÕES ELÉTRICAS</t>
        </is>
      </c>
      <c r="H427" s="1749" t="inlineStr">
        <is>
          <t>SERVIÇO</t>
        </is>
      </c>
      <c r="I427" s="1750" t="inlineStr">
        <is>
          <t>06.004.001.001</t>
        </is>
      </c>
      <c r="J427" s="1751" t="inlineStr">
        <is>
          <t>Quadros elétricos e disjuntores</t>
        </is>
      </c>
      <c r="K427" s="1752" t="inlineStr">
        <is>
          <t>vb</t>
        </is>
      </c>
      <c r="L427" s="1753" t="n">
        <v>1</v>
      </c>
      <c r="M427" s="1753" t="n">
        <v>960.27</v>
      </c>
      <c r="N427" s="1754" t="n">
        <v>960.27</v>
      </c>
      <c r="O427" s="1755" t="inlineStr">
        <is>
          <t>quantidades conforme quantidades do projetista</t>
        </is>
      </c>
      <c r="P427" s="1721" t="inlineStr">
        <is>
          <t>Pendente</t>
        </is>
      </c>
    </row>
    <row r="428" hidden="1" outlineLevel="2" ht="13.9" customHeight="1">
      <c r="A428" s="2117" t="n">
        <v>0</v>
      </c>
      <c r="B428" s="2117" t="n">
        <v>6</v>
      </c>
      <c r="C428" s="2117" t="n">
        <v>4</v>
      </c>
      <c r="D428" s="2118" t="n">
        <v>2</v>
      </c>
      <c r="E428" s="2118" t="n">
        <v>0</v>
      </c>
      <c r="G428" s="1740" t="n"/>
      <c r="H428" s="1741" t="inlineStr">
        <is>
          <t>SUBETAPA</t>
        </is>
      </c>
      <c r="I428" s="1742" t="inlineStr">
        <is>
          <t>06.004.002</t>
        </is>
      </c>
      <c r="J428" s="1743" t="inlineStr">
        <is>
          <t>Eletrodutos e eletrocalhas</t>
        </is>
      </c>
      <c r="K428" s="1744" t="n"/>
      <c r="L428" s="1745" t="n"/>
      <c r="M428" s="1745" t="n"/>
      <c r="N428" s="1746" t="n">
        <v>890.55</v>
      </c>
      <c r="O428" s="1747" t="n"/>
      <c r="P428" s="1720" t="n"/>
    </row>
    <row r="429" hidden="1" outlineLevel="3" ht="13.9" customHeight="1">
      <c r="A429" s="2117" t="n">
        <v>0</v>
      </c>
      <c r="B429" s="2117" t="n">
        <v>6</v>
      </c>
      <c r="C429" s="2117" t="n">
        <v>4</v>
      </c>
      <c r="D429" s="2118" t="n">
        <v>2</v>
      </c>
      <c r="E429" s="2118" t="n">
        <v>1</v>
      </c>
      <c r="G429" s="1790" t="inlineStr">
        <is>
          <t>SISTEMAS E INSTALAÇÕES ELÉTRICAS</t>
        </is>
      </c>
      <c r="H429" s="1749" t="inlineStr">
        <is>
          <t>SERVIÇO</t>
        </is>
      </c>
      <c r="I429" s="1750" t="inlineStr">
        <is>
          <t>06.004.002.001</t>
        </is>
      </c>
      <c r="J429" s="1751" t="inlineStr">
        <is>
          <t>Eletrodutos e eletrocalhas</t>
        </is>
      </c>
      <c r="K429" s="1752" t="inlineStr">
        <is>
          <t>vb</t>
        </is>
      </c>
      <c r="L429" s="1753" t="n">
        <v>1</v>
      </c>
      <c r="M429" s="1753" t="n">
        <v>890.5500000000001</v>
      </c>
      <c r="N429" s="1754" t="n">
        <v>890.55</v>
      </c>
      <c r="O429" s="1755" t="inlineStr">
        <is>
          <t>quantidades conforme quantidades do projetista</t>
        </is>
      </c>
      <c r="P429" s="1721" t="inlineStr">
        <is>
          <t>Pendente</t>
        </is>
      </c>
    </row>
    <row r="430" hidden="1" outlineLevel="2" ht="13.9" customHeight="1">
      <c r="A430" s="2117" t="n">
        <v>0</v>
      </c>
      <c r="B430" s="2117" t="n">
        <v>6</v>
      </c>
      <c r="C430" s="2117" t="n">
        <v>4</v>
      </c>
      <c r="D430" s="2118" t="n">
        <v>3</v>
      </c>
      <c r="E430" s="2118" t="n">
        <v>0</v>
      </c>
      <c r="G430" s="1740" t="n"/>
      <c r="H430" s="1741" t="inlineStr">
        <is>
          <t>SUBETAPA</t>
        </is>
      </c>
      <c r="I430" s="1742" t="inlineStr">
        <is>
          <t>06.004.003</t>
        </is>
      </c>
      <c r="J430" s="1743" t="inlineStr">
        <is>
          <t>Fios e cabos elétricos</t>
        </is>
      </c>
      <c r="K430" s="1744" t="n"/>
      <c r="L430" s="1745" t="n"/>
      <c r="M430" s="1745" t="n"/>
      <c r="N430" s="1746" t="n">
        <v>2132.017</v>
      </c>
      <c r="O430" s="1747" t="n"/>
      <c r="P430" s="1720" t="n"/>
    </row>
    <row r="431" hidden="1" outlineLevel="3" ht="13.9" customHeight="1">
      <c r="A431" s="2117" t="n">
        <v>0</v>
      </c>
      <c r="B431" s="2117" t="n">
        <v>6</v>
      </c>
      <c r="C431" s="2117" t="n">
        <v>4</v>
      </c>
      <c r="D431" s="2118" t="n">
        <v>3</v>
      </c>
      <c r="E431" s="2118" t="n">
        <v>1</v>
      </c>
      <c r="G431" s="1790" t="inlineStr">
        <is>
          <t>SISTEMAS E INSTALAÇÕES ELÉTRICAS</t>
        </is>
      </c>
      <c r="H431" s="1749" t="inlineStr">
        <is>
          <t>SERVIÇO</t>
        </is>
      </c>
      <c r="I431" s="1750" t="inlineStr">
        <is>
          <t>06.004.003.001</t>
        </is>
      </c>
      <c r="J431" s="1751" t="inlineStr">
        <is>
          <t>Fios e cabos elétricos</t>
        </is>
      </c>
      <c r="K431" s="1752" t="inlineStr">
        <is>
          <t>vb</t>
        </is>
      </c>
      <c r="L431" s="1753" t="n">
        <v>1</v>
      </c>
      <c r="M431" s="1753" t="n">
        <v>2132.017</v>
      </c>
      <c r="N431" s="1754" t="n">
        <v>2132.017</v>
      </c>
      <c r="O431" s="1755" t="inlineStr">
        <is>
          <t>quantidades conforme quantidades do projetista</t>
        </is>
      </c>
      <c r="P431" s="1721" t="inlineStr">
        <is>
          <t>Pendente</t>
        </is>
      </c>
    </row>
    <row r="432" hidden="1" outlineLevel="2" ht="13.9" customHeight="1">
      <c r="A432" s="2117" t="n">
        <v>0</v>
      </c>
      <c r="B432" s="2117" t="n">
        <v>6</v>
      </c>
      <c r="C432" s="2117" t="n">
        <v>4</v>
      </c>
      <c r="D432" s="2118" t="n">
        <v>4</v>
      </c>
      <c r="E432" s="2118" t="n">
        <v>0</v>
      </c>
      <c r="G432" s="1740" t="n"/>
      <c r="H432" s="1741" t="inlineStr">
        <is>
          <t>SUBETAPA</t>
        </is>
      </c>
      <c r="I432" s="1742" t="inlineStr">
        <is>
          <t>06.004.004</t>
        </is>
      </c>
      <c r="J432" s="1743" t="inlineStr">
        <is>
          <t>Pontos de tomadas e interruptores</t>
        </is>
      </c>
      <c r="K432" s="1744" t="n"/>
      <c r="L432" s="1745" t="n"/>
      <c r="M432" s="1745" t="n"/>
      <c r="N432" s="1746" t="n">
        <v>1043.95</v>
      </c>
      <c r="O432" s="1747" t="n"/>
      <c r="P432" s="1720" t="n"/>
    </row>
    <row r="433" hidden="1" outlineLevel="3" ht="13.9" customHeight="1">
      <c r="A433" s="2117" t="n">
        <v>0</v>
      </c>
      <c r="B433" s="2117" t="n">
        <v>6</v>
      </c>
      <c r="C433" s="2117" t="n">
        <v>4</v>
      </c>
      <c r="D433" s="2118" t="n">
        <v>4</v>
      </c>
      <c r="E433" s="2118" t="n">
        <v>1</v>
      </c>
      <c r="G433" s="1790" t="inlineStr">
        <is>
          <t>SISTEMAS E INSTALAÇÕES ELÉTRICAS</t>
        </is>
      </c>
      <c r="H433" s="1749" t="inlineStr">
        <is>
          <t>SERVIÇO</t>
        </is>
      </c>
      <c r="I433" s="1750" t="inlineStr">
        <is>
          <t>06.004.004.001</t>
        </is>
      </c>
      <c r="J433" s="1751" t="inlineStr">
        <is>
          <t>Pontos de tomadas e interruptores</t>
        </is>
      </c>
      <c r="K433" s="1752" t="inlineStr">
        <is>
          <t>vb</t>
        </is>
      </c>
      <c r="L433" s="1753" t="n">
        <v>1</v>
      </c>
      <c r="M433" s="1753" t="n">
        <v>1043.95</v>
      </c>
      <c r="N433" s="1754" t="n">
        <v>1043.95</v>
      </c>
      <c r="O433" s="1755" t="inlineStr">
        <is>
          <t>quantidades conforme quantidades do projetista</t>
        </is>
      </c>
      <c r="P433" s="1721" t="inlineStr">
        <is>
          <t>Pendente</t>
        </is>
      </c>
    </row>
    <row r="434" hidden="1" outlineLevel="2" ht="13.9" customHeight="1">
      <c r="A434" s="2117" t="n">
        <v>0</v>
      </c>
      <c r="B434" s="2117" t="n">
        <v>6</v>
      </c>
      <c r="C434" s="2117" t="n">
        <v>4</v>
      </c>
      <c r="D434" s="2118" t="n">
        <v>5</v>
      </c>
      <c r="E434" s="2118" t="n">
        <v>0</v>
      </c>
      <c r="G434" s="1740" t="n"/>
      <c r="H434" s="1741" t="inlineStr">
        <is>
          <t>SUBETAPA</t>
        </is>
      </c>
      <c r="I434" s="1742" t="inlineStr">
        <is>
          <t>06.004.005</t>
        </is>
      </c>
      <c r="J434" s="1743" t="inlineStr">
        <is>
          <t xml:space="preserve">Luminárias, lâmpadas e acessórios </t>
        </is>
      </c>
      <c r="K434" s="1744" t="n"/>
      <c r="L434" s="1745" t="n"/>
      <c r="M434" s="1745" t="n"/>
      <c r="N434" s="1746" t="n">
        <v>9798.545211850649</v>
      </c>
      <c r="O434" s="1747" t="n"/>
      <c r="P434" s="1720" t="n"/>
    </row>
    <row r="435" hidden="1" outlineLevel="3" ht="13.9" customHeight="1">
      <c r="A435" s="2117" t="n">
        <v>0</v>
      </c>
      <c r="B435" s="2117" t="n">
        <v>6</v>
      </c>
      <c r="C435" s="2117" t="n">
        <v>4</v>
      </c>
      <c r="D435" s="2118" t="n">
        <v>5</v>
      </c>
      <c r="E435" s="2118" t="n">
        <v>1</v>
      </c>
      <c r="G435" s="1790" t="inlineStr">
        <is>
          <t>SISTEMAS E INSTALAÇÕES ELÉTRICAS</t>
        </is>
      </c>
      <c r="H435" s="1749" t="inlineStr">
        <is>
          <t>SERVIÇO</t>
        </is>
      </c>
      <c r="I435" s="1750" t="inlineStr">
        <is>
          <t>06.004.005.001</t>
        </is>
      </c>
      <c r="J435" s="1751" t="inlineStr">
        <is>
          <t xml:space="preserve">Luminárias, lâmpadas e acessórios </t>
        </is>
      </c>
      <c r="K435" s="1752" t="inlineStr">
        <is>
          <t>vb</t>
        </is>
      </c>
      <c r="L435" s="1753" t="n">
        <v>1</v>
      </c>
      <c r="M435" s="1753" t="n">
        <v>9798.545211850646</v>
      </c>
      <c r="N435" s="1754" t="n">
        <v>9798.545211850649</v>
      </c>
      <c r="O435" s="1755" t="inlineStr">
        <is>
          <t>quantidades ESTIMADA, devido a ausência de quantitativos</t>
        </is>
      </c>
      <c r="P435" s="1721" t="inlineStr">
        <is>
          <t>Pendente</t>
        </is>
      </c>
    </row>
    <row r="436" hidden="1" outlineLevel="2" ht="13.9" customHeight="1">
      <c r="A436" s="2117" t="n">
        <v>0</v>
      </c>
      <c r="B436" s="2117" t="n">
        <v>6</v>
      </c>
      <c r="C436" s="2117" t="n">
        <v>4</v>
      </c>
      <c r="D436" s="2118" t="n">
        <v>6</v>
      </c>
      <c r="E436" s="2118" t="n">
        <v>0</v>
      </c>
      <c r="G436" s="1740" t="n"/>
      <c r="H436" s="1741" t="inlineStr">
        <is>
          <t>SUBETAPA</t>
        </is>
      </c>
      <c r="I436" s="1742" t="inlineStr">
        <is>
          <t>06.004.006</t>
        </is>
      </c>
      <c r="J436" s="1743" t="inlineStr">
        <is>
          <t>Mão de obra - Sistemas e instalações elétricas</t>
        </is>
      </c>
      <c r="K436" s="1744" t="n"/>
      <c r="L436" s="1745" t="n"/>
      <c r="M436" s="1745" t="n"/>
      <c r="N436" s="1746" t="n">
        <v>54748.16</v>
      </c>
      <c r="O436" s="1747" t="n"/>
      <c r="P436" s="1720" t="n"/>
    </row>
    <row r="437" hidden="1" outlineLevel="3" ht="13.9" customHeight="1">
      <c r="A437" s="2117" t="n">
        <v>0</v>
      </c>
      <c r="B437" s="2117" t="n">
        <v>6</v>
      </c>
      <c r="C437" s="2117" t="n">
        <v>4</v>
      </c>
      <c r="D437" s="2118" t="n">
        <v>6</v>
      </c>
      <c r="E437" s="2118" t="n">
        <v>1</v>
      </c>
      <c r="G437" s="1790" t="inlineStr">
        <is>
          <t>SISTEMAS E INSTALAÇÕES ELÉTRICAS</t>
        </is>
      </c>
      <c r="H437" s="1749" t="inlineStr">
        <is>
          <t>SERVIÇO</t>
        </is>
      </c>
      <c r="I437" s="1750" t="inlineStr">
        <is>
          <t>06.004.006.001</t>
        </is>
      </c>
      <c r="J437" s="1751" t="inlineStr">
        <is>
          <t>Mão de obra para instalações elétricas</t>
        </is>
      </c>
      <c r="K437" s="1752" t="inlineStr">
        <is>
          <t>vb</t>
        </is>
      </c>
      <c r="L437" s="1753" t="n">
        <v>1</v>
      </c>
      <c r="M437" s="1753" t="n">
        <v>54748.16</v>
      </c>
      <c r="N437" s="1754" t="n">
        <v>54748.16</v>
      </c>
      <c r="O437" s="1755" t="inlineStr">
        <is>
          <t>Considerado conforme os contratos disponibilizados pelo GESSELE</t>
        </is>
      </c>
      <c r="P437" s="1721" t="inlineStr">
        <is>
          <t>Pendente</t>
        </is>
      </c>
    </row>
    <row r="438" hidden="1" outlineLevel="1" ht="13.9" customHeight="1">
      <c r="A438" s="2117" t="n">
        <v>0</v>
      </c>
      <c r="B438" s="2117" t="n">
        <v>6</v>
      </c>
      <c r="C438" s="2117" t="n">
        <v>5</v>
      </c>
      <c r="D438" s="2118" t="n">
        <v>0</v>
      </c>
      <c r="E438" s="2118" t="n">
        <v>1</v>
      </c>
      <c r="G438" s="1733" t="n"/>
      <c r="H438" s="1734" t="inlineStr">
        <is>
          <t>ETAPA</t>
        </is>
      </c>
      <c r="I438" s="1735" t="inlineStr">
        <is>
          <t>06.005</t>
        </is>
      </c>
      <c r="J438" s="1736" t="inlineStr">
        <is>
          <t>SISTEMAS E INSTALAÇÕES ELÉTRICAS - G3</t>
        </is>
      </c>
      <c r="K438" s="1737" t="n"/>
      <c r="L438" s="1738" t="n"/>
      <c r="M438" s="1738" t="n"/>
      <c r="N438" s="1739" t="n">
        <v>70327.7882118507</v>
      </c>
      <c r="O438" s="1722" t="n"/>
      <c r="P438" s="1725" t="n"/>
    </row>
    <row r="439" hidden="1" outlineLevel="2" ht="13.9" customHeight="1">
      <c r="A439" s="2117" t="n">
        <v>0</v>
      </c>
      <c r="B439" s="2117" t="n">
        <v>6</v>
      </c>
      <c r="C439" s="2117" t="n">
        <v>5</v>
      </c>
      <c r="D439" s="2118" t="n">
        <v>1</v>
      </c>
      <c r="E439" s="2118" t="n">
        <v>0</v>
      </c>
      <c r="G439" s="1740" t="n"/>
      <c r="H439" s="1741" t="inlineStr">
        <is>
          <t>SUBETAPA</t>
        </is>
      </c>
      <c r="I439" s="1742" t="inlineStr">
        <is>
          <t>06.005.001</t>
        </is>
      </c>
      <c r="J439" s="1743" t="inlineStr">
        <is>
          <t>Quadros elétricos e disjuntores</t>
        </is>
      </c>
      <c r="K439" s="1744" t="n"/>
      <c r="L439" s="1745" t="n"/>
      <c r="M439" s="1745" t="n"/>
      <c r="N439" s="1746" t="n">
        <v>973.3200000000001</v>
      </c>
      <c r="O439" s="1747" t="n"/>
      <c r="P439" s="1720" t="n"/>
    </row>
    <row r="440" hidden="1" outlineLevel="3" ht="13.9" customHeight="1">
      <c r="A440" s="2117" t="n">
        <v>0</v>
      </c>
      <c r="B440" s="2117" t="n">
        <v>6</v>
      </c>
      <c r="C440" s="2117" t="n">
        <v>5</v>
      </c>
      <c r="D440" s="2118" t="n">
        <v>1</v>
      </c>
      <c r="E440" s="2118" t="n">
        <v>1</v>
      </c>
      <c r="G440" s="1790" t="inlineStr">
        <is>
          <t>SISTEMAS E INSTALAÇÕES ELÉTRICAS</t>
        </is>
      </c>
      <c r="H440" s="1749" t="inlineStr">
        <is>
          <t>SERVIÇO</t>
        </is>
      </c>
      <c r="I440" s="1750" t="inlineStr">
        <is>
          <t>06.005.001.001</t>
        </is>
      </c>
      <c r="J440" s="1751" t="inlineStr">
        <is>
          <t>Quadros elétricos e disjuntores</t>
        </is>
      </c>
      <c r="K440" s="1752" t="inlineStr">
        <is>
          <t>vb</t>
        </is>
      </c>
      <c r="L440" s="1753" t="n">
        <v>1</v>
      </c>
      <c r="M440" s="1753" t="n">
        <v>973.3199999999999</v>
      </c>
      <c r="N440" s="1754" t="n">
        <v>973.3200000000001</v>
      </c>
      <c r="O440" s="1755" t="inlineStr">
        <is>
          <t>quantidades conforme quantidades do projetista</t>
        </is>
      </c>
      <c r="P440" s="1721" t="inlineStr">
        <is>
          <t>Pendente</t>
        </is>
      </c>
    </row>
    <row r="441" hidden="1" outlineLevel="2" ht="13.9" customHeight="1">
      <c r="A441" s="2117" t="n">
        <v>0</v>
      </c>
      <c r="B441" s="2117" t="n">
        <v>6</v>
      </c>
      <c r="C441" s="2117" t="n">
        <v>5</v>
      </c>
      <c r="D441" s="2118" t="n">
        <v>2</v>
      </c>
      <c r="E441" s="2118" t="n">
        <v>0</v>
      </c>
      <c r="G441" s="1740" t="n"/>
      <c r="H441" s="1741" t="inlineStr">
        <is>
          <t>SUBETAPA</t>
        </is>
      </c>
      <c r="I441" s="1742" t="inlineStr">
        <is>
          <t>06.005.002</t>
        </is>
      </c>
      <c r="J441" s="1743" t="inlineStr">
        <is>
          <t>Eletrodutos e eletrocalhas</t>
        </is>
      </c>
      <c r="K441" s="1744" t="n"/>
      <c r="L441" s="1745" t="n"/>
      <c r="M441" s="1745" t="n"/>
      <c r="N441" s="1746" t="n">
        <v>917.8</v>
      </c>
      <c r="O441" s="1747" t="n"/>
      <c r="P441" s="1720" t="n"/>
    </row>
    <row r="442" hidden="1" outlineLevel="3" ht="13.9" customHeight="1">
      <c r="A442" s="2117" t="n">
        <v>0</v>
      </c>
      <c r="B442" s="2117" t="n">
        <v>6</v>
      </c>
      <c r="C442" s="2117" t="n">
        <v>5</v>
      </c>
      <c r="D442" s="2118" t="n">
        <v>2</v>
      </c>
      <c r="E442" s="2118" t="n">
        <v>1</v>
      </c>
      <c r="G442" s="1790" t="inlineStr">
        <is>
          <t>SISTEMAS E INSTALAÇÕES ELÉTRICAS</t>
        </is>
      </c>
      <c r="H442" s="1749" t="inlineStr">
        <is>
          <t>SERVIÇO</t>
        </is>
      </c>
      <c r="I442" s="1750" t="inlineStr">
        <is>
          <t>06.005.002.001</t>
        </is>
      </c>
      <c r="J442" s="1751" t="inlineStr">
        <is>
          <t>Eletrodutos e eletrocalhas</t>
        </is>
      </c>
      <c r="K442" s="1752" t="inlineStr">
        <is>
          <t>vb</t>
        </is>
      </c>
      <c r="L442" s="1753" t="n">
        <v>1</v>
      </c>
      <c r="M442" s="1753" t="n">
        <v>917.8000000000001</v>
      </c>
      <c r="N442" s="1754" t="n">
        <v>917.8</v>
      </c>
      <c r="O442" s="1755" t="inlineStr">
        <is>
          <t>quantidades conforme quantidades do projetista</t>
        </is>
      </c>
      <c r="P442" s="1721" t="inlineStr">
        <is>
          <t>Pendente</t>
        </is>
      </c>
    </row>
    <row r="443" hidden="1" outlineLevel="2" ht="13.9" customHeight="1">
      <c r="A443" s="2117" t="n">
        <v>0</v>
      </c>
      <c r="B443" s="2117" t="n">
        <v>6</v>
      </c>
      <c r="C443" s="2117" t="n">
        <v>5</v>
      </c>
      <c r="D443" s="2118" t="n">
        <v>3</v>
      </c>
      <c r="E443" s="2118" t="n">
        <v>0</v>
      </c>
      <c r="G443" s="1740" t="n"/>
      <c r="H443" s="1741" t="inlineStr">
        <is>
          <t>SUBETAPA</t>
        </is>
      </c>
      <c r="I443" s="1742" t="inlineStr">
        <is>
          <t>06.005.003</t>
        </is>
      </c>
      <c r="J443" s="1743" t="inlineStr">
        <is>
          <t>Fios e cabos elétricos</t>
        </is>
      </c>
      <c r="K443" s="1744" t="n"/>
      <c r="L443" s="1745" t="n"/>
      <c r="M443" s="1745" t="n"/>
      <c r="N443" s="1746" t="n">
        <v>2104.623</v>
      </c>
      <c r="O443" s="1747" t="n"/>
      <c r="P443" s="1720" t="n"/>
    </row>
    <row r="444" hidden="1" outlineLevel="3" ht="13.9" customHeight="1">
      <c r="A444" s="2117" t="n">
        <v>0</v>
      </c>
      <c r="B444" s="2117" t="n">
        <v>6</v>
      </c>
      <c r="C444" s="2117" t="n">
        <v>5</v>
      </c>
      <c r="D444" s="2118" t="n">
        <v>3</v>
      </c>
      <c r="E444" s="2118" t="n">
        <v>1</v>
      </c>
      <c r="G444" s="1790" t="inlineStr">
        <is>
          <t>SISTEMAS E INSTALAÇÕES ELÉTRICAS</t>
        </is>
      </c>
      <c r="H444" s="1749" t="inlineStr">
        <is>
          <t>SERVIÇO</t>
        </is>
      </c>
      <c r="I444" s="1750" t="inlineStr">
        <is>
          <t>06.005.003.001</t>
        </is>
      </c>
      <c r="J444" s="1751" t="inlineStr">
        <is>
          <t>Fios e cabos elétricos</t>
        </is>
      </c>
      <c r="K444" s="1752" t="inlineStr">
        <is>
          <t>vb</t>
        </is>
      </c>
      <c r="L444" s="1753" t="n">
        <v>1</v>
      </c>
      <c r="M444" s="1753" t="n">
        <v>2104.623</v>
      </c>
      <c r="N444" s="1754" t="n">
        <v>2104.623</v>
      </c>
      <c r="O444" s="1755" t="inlineStr">
        <is>
          <t>quantidades conforme quantidades do projetista</t>
        </is>
      </c>
      <c r="P444" s="1721" t="inlineStr">
        <is>
          <t>Pendente</t>
        </is>
      </c>
    </row>
    <row r="445" hidden="1" outlineLevel="2" ht="13.9" customHeight="1">
      <c r="A445" s="2117" t="n">
        <v>0</v>
      </c>
      <c r="B445" s="2117" t="n">
        <v>6</v>
      </c>
      <c r="C445" s="2117" t="n">
        <v>5</v>
      </c>
      <c r="D445" s="2118" t="n">
        <v>4</v>
      </c>
      <c r="E445" s="2118" t="n">
        <v>0</v>
      </c>
      <c r="G445" s="1740" t="n"/>
      <c r="H445" s="1741" t="inlineStr">
        <is>
          <t>SUBETAPA</t>
        </is>
      </c>
      <c r="I445" s="1742" t="inlineStr">
        <is>
          <t>06.005.004</t>
        </is>
      </c>
      <c r="J445" s="1743" t="inlineStr">
        <is>
          <t>Pontos de tomadas e interruptores</t>
        </is>
      </c>
      <c r="K445" s="1744" t="n"/>
      <c r="L445" s="1745" t="n"/>
      <c r="M445" s="1745" t="n"/>
      <c r="N445" s="1746" t="n">
        <v>1117.7</v>
      </c>
      <c r="O445" s="1747" t="n"/>
      <c r="P445" s="1720" t="n"/>
    </row>
    <row r="446" hidden="1" outlineLevel="3" ht="13.9" customHeight="1">
      <c r="A446" s="2117" t="n">
        <v>0</v>
      </c>
      <c r="B446" s="2117" t="n">
        <v>6</v>
      </c>
      <c r="C446" s="2117" t="n">
        <v>5</v>
      </c>
      <c r="D446" s="2118" t="n">
        <v>4</v>
      </c>
      <c r="E446" s="2118" t="n">
        <v>1</v>
      </c>
      <c r="G446" s="1790" t="inlineStr">
        <is>
          <t>SISTEMAS E INSTALAÇÕES ELÉTRICAS</t>
        </is>
      </c>
      <c r="H446" s="1749" t="inlineStr">
        <is>
          <t>SERVIÇO</t>
        </is>
      </c>
      <c r="I446" s="1750" t="inlineStr">
        <is>
          <t>06.005.004.001</t>
        </is>
      </c>
      <c r="J446" s="1751" t="inlineStr">
        <is>
          <t>Pontos de tomadas e interruptores</t>
        </is>
      </c>
      <c r="K446" s="1752" t="inlineStr">
        <is>
          <t>vb</t>
        </is>
      </c>
      <c r="L446" s="1753" t="n">
        <v>1</v>
      </c>
      <c r="M446" s="1753" t="n">
        <v>1117.7</v>
      </c>
      <c r="N446" s="1754" t="n">
        <v>1117.7</v>
      </c>
      <c r="O446" s="1755" t="inlineStr">
        <is>
          <t>quantidades conforme quantidades do projetista</t>
        </is>
      </c>
      <c r="P446" s="1721" t="inlineStr">
        <is>
          <t>Pendente</t>
        </is>
      </c>
    </row>
    <row r="447" hidden="1" outlineLevel="2" ht="13.9" customHeight="1">
      <c r="A447" s="2117" t="n">
        <v>0</v>
      </c>
      <c r="B447" s="2117" t="n">
        <v>6</v>
      </c>
      <c r="C447" s="2117" t="n">
        <v>5</v>
      </c>
      <c r="D447" s="2118" t="n">
        <v>5</v>
      </c>
      <c r="E447" s="2118" t="n">
        <v>0</v>
      </c>
      <c r="G447" s="1740" t="n"/>
      <c r="H447" s="1741" t="inlineStr">
        <is>
          <t>SUBETAPA</t>
        </is>
      </c>
      <c r="I447" s="1742" t="inlineStr">
        <is>
          <t>06.005.005</t>
        </is>
      </c>
      <c r="J447" s="1743" t="inlineStr">
        <is>
          <t xml:space="preserve">Luminárias, lâmpadas e acessórios </t>
        </is>
      </c>
      <c r="K447" s="1744" t="n"/>
      <c r="L447" s="1745" t="n"/>
      <c r="M447" s="1745" t="n"/>
      <c r="N447" s="1746" t="n">
        <v>9798.545211850649</v>
      </c>
      <c r="O447" s="1747" t="n"/>
      <c r="P447" s="1720" t="n"/>
    </row>
    <row r="448" hidden="1" outlineLevel="3" ht="13.9" customHeight="1">
      <c r="A448" s="2117" t="n">
        <v>0</v>
      </c>
      <c r="B448" s="2117" t="n">
        <v>6</v>
      </c>
      <c r="C448" s="2117" t="n">
        <v>5</v>
      </c>
      <c r="D448" s="2118" t="n">
        <v>5</v>
      </c>
      <c r="E448" s="2118" t="n">
        <v>1</v>
      </c>
      <c r="G448" s="1790" t="inlineStr">
        <is>
          <t>SISTEMAS E INSTALAÇÕES ELÉTRICAS</t>
        </is>
      </c>
      <c r="H448" s="1749" t="inlineStr">
        <is>
          <t>SERVIÇO</t>
        </is>
      </c>
      <c r="I448" s="1750" t="inlineStr">
        <is>
          <t>06.005.005.001</t>
        </is>
      </c>
      <c r="J448" s="1751" t="inlineStr">
        <is>
          <t xml:space="preserve">Luminárias, lâmpadas e acessórios </t>
        </is>
      </c>
      <c r="K448" s="1752" t="inlineStr">
        <is>
          <t>vb</t>
        </is>
      </c>
      <c r="L448" s="1753" t="n">
        <v>1</v>
      </c>
      <c r="M448" s="1753" t="n">
        <v>9798.545211850646</v>
      </c>
      <c r="N448" s="1754" t="n">
        <v>9798.545211850649</v>
      </c>
      <c r="O448" s="1755" t="inlineStr">
        <is>
          <t>quantidades ESTIMADA, devido a ausência de quantitativos</t>
        </is>
      </c>
      <c r="P448" s="1721" t="inlineStr">
        <is>
          <t>Pendente</t>
        </is>
      </c>
    </row>
    <row r="449" hidden="1" outlineLevel="2" ht="13.9" customHeight="1">
      <c r="A449" s="2117" t="n">
        <v>0</v>
      </c>
      <c r="B449" s="2117" t="n">
        <v>6</v>
      </c>
      <c r="C449" s="2117" t="n">
        <v>5</v>
      </c>
      <c r="D449" s="2118" t="n">
        <v>6</v>
      </c>
      <c r="E449" s="2118" t="n">
        <v>0</v>
      </c>
      <c r="G449" s="1740" t="n"/>
      <c r="H449" s="1741" t="inlineStr">
        <is>
          <t>SUBETAPA</t>
        </is>
      </c>
      <c r="I449" s="1742" t="inlineStr">
        <is>
          <t>06.005.006</t>
        </is>
      </c>
      <c r="J449" s="1743" t="inlineStr">
        <is>
          <t>Mão de obra - Sistemas e instalações elétricas</t>
        </is>
      </c>
      <c r="K449" s="1744" t="n"/>
      <c r="L449" s="1745" t="n"/>
      <c r="M449" s="1745" t="n"/>
      <c r="N449" s="1746" t="n">
        <v>55415.8</v>
      </c>
      <c r="O449" s="1747" t="n"/>
      <c r="P449" s="1720" t="n"/>
    </row>
    <row r="450" hidden="1" outlineLevel="3" ht="13.9" customHeight="1">
      <c r="A450" s="2117" t="n">
        <v>0</v>
      </c>
      <c r="B450" s="2117" t="n">
        <v>6</v>
      </c>
      <c r="C450" s="2117" t="n">
        <v>5</v>
      </c>
      <c r="D450" s="2118" t="n">
        <v>6</v>
      </c>
      <c r="E450" s="2118" t="n">
        <v>1</v>
      </c>
      <c r="G450" s="1790" t="inlineStr">
        <is>
          <t>SISTEMAS E INSTALAÇÕES ELÉTRICAS</t>
        </is>
      </c>
      <c r="H450" s="1749" t="inlineStr">
        <is>
          <t>SERVIÇO</t>
        </is>
      </c>
      <c r="I450" s="1750" t="inlineStr">
        <is>
          <t>06.005.006.001</t>
        </is>
      </c>
      <c r="J450" s="1751" t="inlineStr">
        <is>
          <t>Mão de obra para instalações elétricas</t>
        </is>
      </c>
      <c r="K450" s="1752" t="inlineStr">
        <is>
          <t>vb</t>
        </is>
      </c>
      <c r="L450" s="1753" t="n">
        <v>1</v>
      </c>
      <c r="M450" s="1753" t="n">
        <v>55415.8</v>
      </c>
      <c r="N450" s="1754" t="n">
        <v>55415.8</v>
      </c>
      <c r="O450" s="1755" t="inlineStr">
        <is>
          <t>Considerado conforme os contratos disponibilizados pelo GESSELE</t>
        </is>
      </c>
      <c r="P450" s="1721" t="inlineStr">
        <is>
          <t>Pendente</t>
        </is>
      </c>
    </row>
    <row r="451" hidden="1" outlineLevel="1" ht="13.9" customHeight="1">
      <c r="A451" s="2117" t="n">
        <v>0</v>
      </c>
      <c r="B451" s="2117" t="n">
        <v>6</v>
      </c>
      <c r="C451" s="2117" t="n">
        <v>6</v>
      </c>
      <c r="D451" s="2118" t="n">
        <v>0</v>
      </c>
      <c r="E451" s="2118" t="n">
        <v>1</v>
      </c>
      <c r="G451" s="1733" t="n"/>
      <c r="H451" s="1734" t="inlineStr">
        <is>
          <t>ETAPA</t>
        </is>
      </c>
      <c r="I451" s="1735" t="inlineStr">
        <is>
          <t>06.006</t>
        </is>
      </c>
      <c r="J451" s="1736" t="inlineStr">
        <is>
          <t>SISTEMAS E INSTALAÇÕES ELÉTRICAS - Mezanino G3</t>
        </is>
      </c>
      <c r="K451" s="1737" t="n"/>
      <c r="L451" s="1738" t="n"/>
      <c r="M451" s="1738" t="n"/>
      <c r="N451" s="1739" t="n">
        <v>72359.7326406558</v>
      </c>
      <c r="O451" s="1722" t="n"/>
      <c r="P451" s="1725" t="n"/>
    </row>
    <row r="452" hidden="1" outlineLevel="2" ht="13.9" customHeight="1">
      <c r="A452" s="2117" t="n">
        <v>0</v>
      </c>
      <c r="B452" s="2117" t="n">
        <v>6</v>
      </c>
      <c r="C452" s="2117" t="n">
        <v>6</v>
      </c>
      <c r="D452" s="2118" t="n">
        <v>1</v>
      </c>
      <c r="E452" s="2118" t="n">
        <v>0</v>
      </c>
      <c r="G452" s="1740" t="n"/>
      <c r="H452" s="1741" t="inlineStr">
        <is>
          <t>SUBETAPA</t>
        </is>
      </c>
      <c r="I452" s="1742" t="inlineStr">
        <is>
          <t>06.006.001</t>
        </is>
      </c>
      <c r="J452" s="1743" t="inlineStr">
        <is>
          <t>Quadros elétricos e disjuntores</t>
        </is>
      </c>
      <c r="K452" s="1744" t="n"/>
      <c r="L452" s="1745" t="n"/>
      <c r="M452" s="1745" t="n"/>
      <c r="N452" s="1746" t="n">
        <v>929.27</v>
      </c>
      <c r="O452" s="1747" t="n"/>
      <c r="P452" s="1720" t="n"/>
    </row>
    <row r="453" hidden="1" outlineLevel="3" ht="13.9" customHeight="1">
      <c r="A453" s="2117" t="n">
        <v>0</v>
      </c>
      <c r="B453" s="2117" t="n">
        <v>6</v>
      </c>
      <c r="C453" s="2117" t="n">
        <v>6</v>
      </c>
      <c r="D453" s="2118" t="n">
        <v>1</v>
      </c>
      <c r="E453" s="2118" t="n">
        <v>1</v>
      </c>
      <c r="G453" s="1790" t="inlineStr">
        <is>
          <t>SISTEMAS E INSTALAÇÕES ELÉTRICAS</t>
        </is>
      </c>
      <c r="H453" s="1749" t="inlineStr">
        <is>
          <t>SERVIÇO</t>
        </is>
      </c>
      <c r="I453" s="1750" t="inlineStr">
        <is>
          <t>06.006.001.001</t>
        </is>
      </c>
      <c r="J453" s="1751" t="inlineStr">
        <is>
          <t>Quadros elétricos e disjuntores</t>
        </is>
      </c>
      <c r="K453" s="1752" t="inlineStr">
        <is>
          <t>vb</t>
        </is>
      </c>
      <c r="L453" s="1753" t="n">
        <v>1</v>
      </c>
      <c r="M453" s="1753" t="n">
        <v>929.27</v>
      </c>
      <c r="N453" s="1754" t="n">
        <v>929.27</v>
      </c>
      <c r="O453" s="1755" t="inlineStr">
        <is>
          <t>quantidades conforme quantidades do projetista</t>
        </is>
      </c>
      <c r="P453" s="1721" t="inlineStr">
        <is>
          <t>Pendente</t>
        </is>
      </c>
    </row>
    <row r="454" hidden="1" outlineLevel="2" ht="13.9" customHeight="1">
      <c r="A454" s="2117" t="n">
        <v>0</v>
      </c>
      <c r="B454" s="2117" t="n">
        <v>6</v>
      </c>
      <c r="C454" s="2117" t="n">
        <v>6</v>
      </c>
      <c r="D454" s="2118" t="n">
        <v>2</v>
      </c>
      <c r="E454" s="2118" t="n">
        <v>0</v>
      </c>
      <c r="G454" s="1740" t="n"/>
      <c r="H454" s="1741" t="inlineStr">
        <is>
          <t>SUBETAPA</t>
        </is>
      </c>
      <c r="I454" s="1742" t="inlineStr">
        <is>
          <t>06.006.002</t>
        </is>
      </c>
      <c r="J454" s="1743" t="inlineStr">
        <is>
          <t>Eletrodutos e eletrocalhas</t>
        </is>
      </c>
      <c r="K454" s="1744" t="n"/>
      <c r="L454" s="1745" t="n"/>
      <c r="M454" s="1745" t="n"/>
      <c r="N454" s="1746" t="n">
        <v>1000.55</v>
      </c>
      <c r="O454" s="1747" t="n"/>
      <c r="P454" s="1720" t="n"/>
    </row>
    <row r="455" hidden="1" outlineLevel="3" ht="13.9" customHeight="1">
      <c r="A455" s="2117" t="n">
        <v>0</v>
      </c>
      <c r="B455" s="2117" t="n">
        <v>6</v>
      </c>
      <c r="C455" s="2117" t="n">
        <v>6</v>
      </c>
      <c r="D455" s="2118" t="n">
        <v>2</v>
      </c>
      <c r="E455" s="2118" t="n">
        <v>1</v>
      </c>
      <c r="G455" s="1790" t="inlineStr">
        <is>
          <t>SISTEMAS E INSTALAÇÕES ELÉTRICAS</t>
        </is>
      </c>
      <c r="H455" s="1749" t="inlineStr">
        <is>
          <t>SERVIÇO</t>
        </is>
      </c>
      <c r="I455" s="1750" t="inlineStr">
        <is>
          <t>06.006.002.001</t>
        </is>
      </c>
      <c r="J455" s="1751" t="inlineStr">
        <is>
          <t>Eletrodutos e eletrocalhas</t>
        </is>
      </c>
      <c r="K455" s="1752" t="inlineStr">
        <is>
          <t>vb</t>
        </is>
      </c>
      <c r="L455" s="1753" t="n">
        <v>1</v>
      </c>
      <c r="M455" s="1753" t="n">
        <v>1000.55</v>
      </c>
      <c r="N455" s="1754" t="n">
        <v>1000.55</v>
      </c>
      <c r="O455" s="1755" t="inlineStr">
        <is>
          <t>quantidades conforme quantidades do projetista</t>
        </is>
      </c>
      <c r="P455" s="1721" t="inlineStr">
        <is>
          <t>Pendente</t>
        </is>
      </c>
    </row>
    <row r="456" hidden="1" outlineLevel="2" ht="13.9" customHeight="1">
      <c r="A456" s="2117" t="n">
        <v>0</v>
      </c>
      <c r="B456" s="2117" t="n">
        <v>6</v>
      </c>
      <c r="C456" s="2117" t="n">
        <v>6</v>
      </c>
      <c r="D456" s="2118" t="n">
        <v>3</v>
      </c>
      <c r="E456" s="2118" t="n">
        <v>0</v>
      </c>
      <c r="G456" s="1740" t="n"/>
      <c r="H456" s="1741" t="inlineStr">
        <is>
          <t>SUBETAPA</t>
        </is>
      </c>
      <c r="I456" s="1742" t="inlineStr">
        <is>
          <t>06.006.003</t>
        </is>
      </c>
      <c r="J456" s="1743" t="inlineStr">
        <is>
          <t>Fios e cabos elétricos</t>
        </is>
      </c>
      <c r="K456" s="1744" t="n"/>
      <c r="L456" s="1745" t="n"/>
      <c r="M456" s="1745" t="n"/>
      <c r="N456" s="1746" t="n">
        <v>3038.793</v>
      </c>
      <c r="O456" s="1747" t="n"/>
      <c r="P456" s="1720" t="n"/>
    </row>
    <row r="457" hidden="1" outlineLevel="3" ht="13.9" customHeight="1">
      <c r="A457" s="2117" t="n">
        <v>0</v>
      </c>
      <c r="B457" s="2117" t="n">
        <v>6</v>
      </c>
      <c r="C457" s="2117" t="n">
        <v>6</v>
      </c>
      <c r="D457" s="2118" t="n">
        <v>3</v>
      </c>
      <c r="E457" s="2118" t="n">
        <v>1</v>
      </c>
      <c r="G457" s="1790" t="inlineStr">
        <is>
          <t>SISTEMAS E INSTALAÇÕES ELÉTRICAS</t>
        </is>
      </c>
      <c r="H457" s="1749" t="inlineStr">
        <is>
          <t>SERVIÇO</t>
        </is>
      </c>
      <c r="I457" s="1750" t="inlineStr">
        <is>
          <t>06.006.003.001</t>
        </is>
      </c>
      <c r="J457" s="1751" t="inlineStr">
        <is>
          <t>Fios e cabos elétricos</t>
        </is>
      </c>
      <c r="K457" s="1752" t="inlineStr">
        <is>
          <t>vb</t>
        </is>
      </c>
      <c r="L457" s="1753" t="n">
        <v>1</v>
      </c>
      <c r="M457" s="1753" t="n">
        <v>3038.793</v>
      </c>
      <c r="N457" s="1754" t="n">
        <v>3038.793</v>
      </c>
      <c r="O457" s="1755" t="inlineStr">
        <is>
          <t>quantidades conforme quantidades do projetista</t>
        </is>
      </c>
      <c r="P457" s="1721" t="inlineStr">
        <is>
          <t>Pendente</t>
        </is>
      </c>
    </row>
    <row r="458" hidden="1" outlineLevel="2" ht="13.9" customHeight="1">
      <c r="A458" s="2117" t="n">
        <v>0</v>
      </c>
      <c r="B458" s="2117" t="n">
        <v>6</v>
      </c>
      <c r="C458" s="2117" t="n">
        <v>6</v>
      </c>
      <c r="D458" s="2118" t="n">
        <v>4</v>
      </c>
      <c r="E458" s="2118" t="n">
        <v>0</v>
      </c>
      <c r="G458" s="1740" t="n"/>
      <c r="H458" s="1741" t="inlineStr">
        <is>
          <t>SUBETAPA</t>
        </is>
      </c>
      <c r="I458" s="1742" t="inlineStr">
        <is>
          <t>06.006.004</t>
        </is>
      </c>
      <c r="J458" s="1743" t="inlineStr">
        <is>
          <t>Pontos de tomadas e interruptores</t>
        </is>
      </c>
      <c r="K458" s="1744" t="n"/>
      <c r="L458" s="1745" t="n"/>
      <c r="M458" s="1745" t="n"/>
      <c r="N458" s="1746" t="n">
        <v>1005.6</v>
      </c>
      <c r="O458" s="1747" t="n"/>
      <c r="P458" s="1720" t="n"/>
    </row>
    <row r="459" hidden="1" outlineLevel="3" ht="13.9" customHeight="1">
      <c r="A459" s="2117" t="n">
        <v>0</v>
      </c>
      <c r="B459" s="2117" t="n">
        <v>6</v>
      </c>
      <c r="C459" s="2117" t="n">
        <v>6</v>
      </c>
      <c r="D459" s="2118" t="n">
        <v>4</v>
      </c>
      <c r="E459" s="2118" t="n">
        <v>1</v>
      </c>
      <c r="G459" s="1790" t="inlineStr">
        <is>
          <t>SISTEMAS E INSTALAÇÕES ELÉTRICAS</t>
        </is>
      </c>
      <c r="H459" s="1749" t="inlineStr">
        <is>
          <t>SERVIÇO</t>
        </is>
      </c>
      <c r="I459" s="1750" t="inlineStr">
        <is>
          <t>06.006.004.001</t>
        </is>
      </c>
      <c r="J459" s="1751" t="inlineStr">
        <is>
          <t>Pontos de tomadas e interruptores</t>
        </is>
      </c>
      <c r="K459" s="1752" t="inlineStr">
        <is>
          <t>vb</t>
        </is>
      </c>
      <c r="L459" s="1753" t="n">
        <v>1</v>
      </c>
      <c r="M459" s="1753" t="n">
        <v>1005.6</v>
      </c>
      <c r="N459" s="1754" t="n">
        <v>1005.6</v>
      </c>
      <c r="O459" s="1755" t="inlineStr">
        <is>
          <t>quantidades conforme quantidades do projetista</t>
        </is>
      </c>
      <c r="P459" s="1721" t="inlineStr">
        <is>
          <t>Pendente</t>
        </is>
      </c>
    </row>
    <row r="460" hidden="1" outlineLevel="2" ht="13.9" customHeight="1">
      <c r="A460" s="2117" t="n">
        <v>0</v>
      </c>
      <c r="B460" s="2117" t="n">
        <v>6</v>
      </c>
      <c r="C460" s="2117" t="n">
        <v>6</v>
      </c>
      <c r="D460" s="2118" t="n">
        <v>5</v>
      </c>
      <c r="E460" s="2118" t="n">
        <v>0</v>
      </c>
      <c r="G460" s="1740" t="n"/>
      <c r="H460" s="1741" t="inlineStr">
        <is>
          <t>SUBETAPA</t>
        </is>
      </c>
      <c r="I460" s="1742" t="inlineStr">
        <is>
          <t>06.006.005</t>
        </is>
      </c>
      <c r="J460" s="1743" t="inlineStr">
        <is>
          <t xml:space="preserve">Luminárias, lâmpadas e acessórios </t>
        </is>
      </c>
      <c r="K460" s="1744" t="n"/>
      <c r="L460" s="1745" t="n"/>
      <c r="M460" s="1745" t="n"/>
      <c r="N460" s="1746" t="n">
        <v>9954.139640655791</v>
      </c>
      <c r="O460" s="1747" t="n"/>
      <c r="P460" s="1720" t="n"/>
    </row>
    <row r="461" hidden="1" outlineLevel="3" ht="13.9" customHeight="1">
      <c r="A461" s="2117" t="n">
        <v>0</v>
      </c>
      <c r="B461" s="2117" t="n">
        <v>6</v>
      </c>
      <c r="C461" s="2117" t="n">
        <v>6</v>
      </c>
      <c r="D461" s="2118" t="n">
        <v>5</v>
      </c>
      <c r="E461" s="2118" t="n">
        <v>1</v>
      </c>
      <c r="G461" s="1790" t="inlineStr">
        <is>
          <t>SISTEMAS E INSTALAÇÕES ELÉTRICAS</t>
        </is>
      </c>
      <c r="H461" s="1749" t="inlineStr">
        <is>
          <t>SERVIÇO</t>
        </is>
      </c>
      <c r="I461" s="1750" t="inlineStr">
        <is>
          <t>06.006.005.001</t>
        </is>
      </c>
      <c r="J461" s="1751" t="inlineStr">
        <is>
          <t xml:space="preserve">Luminárias, lâmpadas e acessórios </t>
        </is>
      </c>
      <c r="K461" s="1752" t="inlineStr">
        <is>
          <t>vb</t>
        </is>
      </c>
      <c r="L461" s="1753" t="n">
        <v>1</v>
      </c>
      <c r="M461" s="1753" t="n">
        <v>9954.139640655787</v>
      </c>
      <c r="N461" s="1754" t="n">
        <v>9954.139640655791</v>
      </c>
      <c r="O461" s="1755" t="inlineStr">
        <is>
          <t>quantidades ESTIMADA, devido a ausência de quantitativos</t>
        </is>
      </c>
      <c r="P461" s="1721" t="inlineStr">
        <is>
          <t>Pendente</t>
        </is>
      </c>
    </row>
    <row r="462" hidden="1" outlineLevel="2" ht="13.9" customHeight="1">
      <c r="A462" s="2117" t="n">
        <v>0</v>
      </c>
      <c r="B462" s="2117" t="n">
        <v>6</v>
      </c>
      <c r="C462" s="2117" t="n">
        <v>6</v>
      </c>
      <c r="D462" s="2118" t="n">
        <v>6</v>
      </c>
      <c r="E462" s="2118" t="n">
        <v>0</v>
      </c>
      <c r="G462" s="1740" t="n"/>
      <c r="H462" s="1741" t="inlineStr">
        <is>
          <t>SUBETAPA</t>
        </is>
      </c>
      <c r="I462" s="1742" t="inlineStr">
        <is>
          <t>06.006.006</t>
        </is>
      </c>
      <c r="J462" s="1743" t="inlineStr">
        <is>
          <t>Mão de obra - Sistemas e instalações elétricas</t>
        </is>
      </c>
      <c r="K462" s="1744" t="n"/>
      <c r="L462" s="1745" t="n"/>
      <c r="M462" s="1745" t="n"/>
      <c r="N462" s="1746" t="n">
        <v>56431.38</v>
      </c>
      <c r="O462" s="1747" t="n"/>
      <c r="P462" s="1720" t="n"/>
    </row>
    <row r="463" hidden="1" outlineLevel="3" ht="13.9" customHeight="1">
      <c r="A463" s="2117" t="n">
        <v>0</v>
      </c>
      <c r="B463" s="2117" t="n">
        <v>6</v>
      </c>
      <c r="C463" s="2117" t="n">
        <v>6</v>
      </c>
      <c r="D463" s="2118" t="n">
        <v>6</v>
      </c>
      <c r="E463" s="2118" t="n">
        <v>1</v>
      </c>
      <c r="G463" s="1790" t="inlineStr">
        <is>
          <t>SISTEMAS E INSTALAÇÕES ELÉTRICAS</t>
        </is>
      </c>
      <c r="H463" s="1749" t="inlineStr">
        <is>
          <t>SERVIÇO</t>
        </is>
      </c>
      <c r="I463" s="1750" t="inlineStr">
        <is>
          <t>06.006.006.001</t>
        </is>
      </c>
      <c r="J463" s="1751" t="inlineStr">
        <is>
          <t>Mão de obra para instalações elétricas</t>
        </is>
      </c>
      <c r="K463" s="1752" t="inlineStr">
        <is>
          <t>vb</t>
        </is>
      </c>
      <c r="L463" s="1753" t="n">
        <v>1</v>
      </c>
      <c r="M463" s="1753" t="n">
        <v>56431.38</v>
      </c>
      <c r="N463" s="1754" t="n">
        <v>56431.38</v>
      </c>
      <c r="O463" s="1755" t="inlineStr">
        <is>
          <t>Considerado conforme os contratos disponibilizados pelo GESSELE</t>
        </is>
      </c>
      <c r="P463" s="1721" t="inlineStr">
        <is>
          <t>Pendente</t>
        </is>
      </c>
    </row>
    <row r="464" hidden="1" outlineLevel="1" ht="13.9" customHeight="1">
      <c r="A464" s="2117" t="n">
        <v>0</v>
      </c>
      <c r="B464" s="2117" t="n">
        <v>6</v>
      </c>
      <c r="C464" s="2117" t="n">
        <v>7</v>
      </c>
      <c r="D464" s="2118" t="n">
        <v>0</v>
      </c>
      <c r="E464" s="2118" t="n">
        <v>1</v>
      </c>
      <c r="G464" s="1733" t="n"/>
      <c r="H464" s="1734" t="inlineStr">
        <is>
          <t>ETAPA</t>
        </is>
      </c>
      <c r="I464" s="1735" t="inlineStr">
        <is>
          <t>06.007</t>
        </is>
      </c>
      <c r="J464" s="1736" t="inlineStr">
        <is>
          <t>SISTEMAS E INSTALAÇÕES ELÉTRICAS - Lazer | Garagem</t>
        </is>
      </c>
      <c r="K464" s="1737" t="n"/>
      <c r="L464" s="1738" t="n"/>
      <c r="M464" s="1738" t="n"/>
      <c r="N464" s="1739" t="n">
        <v>81697.7066406558</v>
      </c>
      <c r="O464" s="1722" t="n"/>
      <c r="P464" s="1725" t="n"/>
    </row>
    <row r="465" hidden="1" outlineLevel="2" ht="13.9" customHeight="1">
      <c r="A465" s="2117" t="n">
        <v>0</v>
      </c>
      <c r="B465" s="2117" t="n">
        <v>6</v>
      </c>
      <c r="C465" s="2117" t="n">
        <v>7</v>
      </c>
      <c r="D465" s="2118" t="n">
        <v>1</v>
      </c>
      <c r="E465" s="2118" t="n">
        <v>0</v>
      </c>
      <c r="G465" s="1740" t="n"/>
      <c r="H465" s="1741" t="inlineStr">
        <is>
          <t>SUBETAPA</t>
        </is>
      </c>
      <c r="I465" s="1742" t="inlineStr">
        <is>
          <t>06.007.001</t>
        </is>
      </c>
      <c r="J465" s="1743" t="inlineStr">
        <is>
          <t>Quadros elétricos e disjuntores</t>
        </is>
      </c>
      <c r="K465" s="1744" t="n"/>
      <c r="L465" s="1745" t="n"/>
      <c r="M465" s="1745" t="n"/>
      <c r="N465" s="1746" t="n">
        <v>2807.64</v>
      </c>
      <c r="O465" s="1747" t="n"/>
      <c r="P465" s="1720" t="n"/>
    </row>
    <row r="466" hidden="1" outlineLevel="3" ht="13.9" customHeight="1">
      <c r="A466" s="2117" t="n">
        <v>0</v>
      </c>
      <c r="B466" s="2117" t="n">
        <v>6</v>
      </c>
      <c r="C466" s="2117" t="n">
        <v>7</v>
      </c>
      <c r="D466" s="2118" t="n">
        <v>1</v>
      </c>
      <c r="E466" s="2118" t="n">
        <v>1</v>
      </c>
      <c r="G466" s="1790" t="inlineStr">
        <is>
          <t>SISTEMAS E INSTALAÇÕES ELÉTRICAS</t>
        </is>
      </c>
      <c r="H466" s="1749" t="inlineStr">
        <is>
          <t>SERVIÇO</t>
        </is>
      </c>
      <c r="I466" s="1750" t="inlineStr">
        <is>
          <t>06.007.001.001</t>
        </is>
      </c>
      <c r="J466" s="1751" t="inlineStr">
        <is>
          <t>Quadros elétricos e disjuntores</t>
        </is>
      </c>
      <c r="K466" s="1752" t="inlineStr">
        <is>
          <t>vb</t>
        </is>
      </c>
      <c r="L466" s="1753" t="n">
        <v>1</v>
      </c>
      <c r="M466" s="1753" t="n">
        <v>2807.64</v>
      </c>
      <c r="N466" s="1754" t="n">
        <v>2807.64</v>
      </c>
      <c r="O466" s="1755" t="inlineStr">
        <is>
          <t>quantidades conforme quantidades do projetista</t>
        </is>
      </c>
      <c r="P466" s="1721" t="inlineStr">
        <is>
          <t>Pendente</t>
        </is>
      </c>
    </row>
    <row r="467" hidden="1" outlineLevel="2" ht="13.9" customHeight="1">
      <c r="A467" s="2117" t="n">
        <v>0</v>
      </c>
      <c r="B467" s="2117" t="n">
        <v>6</v>
      </c>
      <c r="C467" s="2117" t="n">
        <v>7</v>
      </c>
      <c r="D467" s="2118" t="n">
        <v>2</v>
      </c>
      <c r="E467" s="2118" t="n">
        <v>0</v>
      </c>
      <c r="G467" s="1740" t="n"/>
      <c r="H467" s="1741" t="inlineStr">
        <is>
          <t>SUBETAPA</t>
        </is>
      </c>
      <c r="I467" s="1742" t="inlineStr">
        <is>
          <t>06.007.002</t>
        </is>
      </c>
      <c r="J467" s="1743" t="inlineStr">
        <is>
          <t>Eletrodutos e eletrocalhas</t>
        </is>
      </c>
      <c r="K467" s="1744" t="n"/>
      <c r="L467" s="1745" t="n"/>
      <c r="M467" s="1745" t="n"/>
      <c r="N467" s="1746" t="n">
        <v>2979.55</v>
      </c>
      <c r="O467" s="1747" t="n"/>
      <c r="P467" s="1720" t="n"/>
    </row>
    <row r="468" hidden="1" outlineLevel="3" ht="13.9" customHeight="1">
      <c r="A468" s="2117" t="n">
        <v>0</v>
      </c>
      <c r="B468" s="2117" t="n">
        <v>6</v>
      </c>
      <c r="C468" s="2117" t="n">
        <v>7</v>
      </c>
      <c r="D468" s="2118" t="n">
        <v>2</v>
      </c>
      <c r="E468" s="2118" t="n">
        <v>1</v>
      </c>
      <c r="G468" s="1790" t="inlineStr">
        <is>
          <t>SISTEMAS E INSTALAÇÕES ELÉTRICAS</t>
        </is>
      </c>
      <c r="H468" s="1749" t="inlineStr">
        <is>
          <t>SERVIÇO</t>
        </is>
      </c>
      <c r="I468" s="1750" t="inlineStr">
        <is>
          <t>06.007.002.001</t>
        </is>
      </c>
      <c r="J468" s="1751" t="inlineStr">
        <is>
          <t>Eletrodutos e eletrocalhas</t>
        </is>
      </c>
      <c r="K468" s="1752" t="inlineStr">
        <is>
          <t>vb</t>
        </is>
      </c>
      <c r="L468" s="1753" t="n">
        <v>1</v>
      </c>
      <c r="M468" s="1753" t="n">
        <v>2979.55</v>
      </c>
      <c r="N468" s="1754" t="n">
        <v>2979.55</v>
      </c>
      <c r="O468" s="1755" t="inlineStr">
        <is>
          <t>quantidades conforme quantidades do projetista</t>
        </is>
      </c>
      <c r="P468" s="1721" t="inlineStr">
        <is>
          <t>Pendente</t>
        </is>
      </c>
    </row>
    <row r="469" hidden="1" outlineLevel="2" ht="13.9" customHeight="1">
      <c r="A469" s="2117" t="n">
        <v>0</v>
      </c>
      <c r="B469" s="2117" t="n">
        <v>6</v>
      </c>
      <c r="C469" s="2117" t="n">
        <v>7</v>
      </c>
      <c r="D469" s="2118" t="n">
        <v>3</v>
      </c>
      <c r="E469" s="2118" t="n">
        <v>0</v>
      </c>
      <c r="G469" s="1740" t="n"/>
      <c r="H469" s="1741" t="inlineStr">
        <is>
          <t>SUBETAPA</t>
        </is>
      </c>
      <c r="I469" s="1742" t="inlineStr">
        <is>
          <t>06.007.003</t>
        </is>
      </c>
      <c r="J469" s="1743" t="inlineStr">
        <is>
          <t>Fios e cabos elétricos</t>
        </is>
      </c>
      <c r="K469" s="1744" t="n"/>
      <c r="L469" s="1745" t="n"/>
      <c r="M469" s="1745" t="n"/>
      <c r="N469" s="1746" t="n">
        <v>7370.947</v>
      </c>
      <c r="O469" s="1747" t="n"/>
      <c r="P469" s="1720" t="n"/>
    </row>
    <row r="470" hidden="1" outlineLevel="3" ht="13.9" customHeight="1">
      <c r="A470" s="2117" t="n">
        <v>0</v>
      </c>
      <c r="B470" s="2117" t="n">
        <v>6</v>
      </c>
      <c r="C470" s="2117" t="n">
        <v>7</v>
      </c>
      <c r="D470" s="2118" t="n">
        <v>3</v>
      </c>
      <c r="E470" s="2118" t="n">
        <v>1</v>
      </c>
      <c r="G470" s="1790" t="inlineStr">
        <is>
          <t>SISTEMAS E INSTALAÇÕES ELÉTRICAS</t>
        </is>
      </c>
      <c r="H470" s="1749" t="inlineStr">
        <is>
          <t>SERVIÇO</t>
        </is>
      </c>
      <c r="I470" s="1750" t="inlineStr">
        <is>
          <t>06.007.003.001</t>
        </is>
      </c>
      <c r="J470" s="1751" t="inlineStr">
        <is>
          <t>Fios e cabos elétricos</t>
        </is>
      </c>
      <c r="K470" s="1752" t="inlineStr">
        <is>
          <t>vb</t>
        </is>
      </c>
      <c r="L470" s="1753" t="n">
        <v>1</v>
      </c>
      <c r="M470" s="1753" t="n">
        <v>7370.946999999999</v>
      </c>
      <c r="N470" s="1754" t="n">
        <v>7370.947</v>
      </c>
      <c r="O470" s="1755" t="inlineStr">
        <is>
          <t>quantidades conforme quantidades do projetista</t>
        </is>
      </c>
      <c r="P470" s="1721" t="inlineStr">
        <is>
          <t>Pendente</t>
        </is>
      </c>
    </row>
    <row r="471" hidden="1" outlineLevel="2" ht="13.9" customHeight="1">
      <c r="A471" s="2117" t="n">
        <v>0</v>
      </c>
      <c r="B471" s="2117" t="n">
        <v>6</v>
      </c>
      <c r="C471" s="2117" t="n">
        <v>7</v>
      </c>
      <c r="D471" s="2118" t="n">
        <v>4</v>
      </c>
      <c r="E471" s="2118" t="n">
        <v>0</v>
      </c>
      <c r="G471" s="1740" t="n"/>
      <c r="H471" s="1741" t="inlineStr">
        <is>
          <t>SUBETAPA</t>
        </is>
      </c>
      <c r="I471" s="1742" t="inlineStr">
        <is>
          <t>06.007.004</t>
        </is>
      </c>
      <c r="J471" s="1743" t="inlineStr">
        <is>
          <t>Pontos de tomadas e interruptores</t>
        </is>
      </c>
      <c r="K471" s="1744" t="n"/>
      <c r="L471" s="1745" t="n"/>
      <c r="M471" s="1745" t="n"/>
      <c r="N471" s="1746" t="n">
        <v>2289.69</v>
      </c>
      <c r="O471" s="1747" t="n"/>
      <c r="P471" s="1720" t="n"/>
    </row>
    <row r="472" hidden="1" outlineLevel="3" ht="13.9" customHeight="1">
      <c r="A472" s="2117" t="n">
        <v>0</v>
      </c>
      <c r="B472" s="2117" t="n">
        <v>6</v>
      </c>
      <c r="C472" s="2117" t="n">
        <v>7</v>
      </c>
      <c r="D472" s="2118" t="n">
        <v>4</v>
      </c>
      <c r="E472" s="2118" t="n">
        <v>1</v>
      </c>
      <c r="G472" s="1790" t="inlineStr">
        <is>
          <t>SISTEMAS E INSTALAÇÕES ELÉTRICAS</t>
        </is>
      </c>
      <c r="H472" s="1749" t="inlineStr">
        <is>
          <t>SERVIÇO</t>
        </is>
      </c>
      <c r="I472" s="1750" t="inlineStr">
        <is>
          <t>06.007.004.001</t>
        </is>
      </c>
      <c r="J472" s="1751" t="inlineStr">
        <is>
          <t>Pontos de tomadas e interruptores</t>
        </is>
      </c>
      <c r="K472" s="1752" t="inlineStr">
        <is>
          <t>vb</t>
        </is>
      </c>
      <c r="L472" s="1753" t="n">
        <v>1</v>
      </c>
      <c r="M472" s="1753" t="n">
        <v>2289.69</v>
      </c>
      <c r="N472" s="1754" t="n">
        <v>2289.69</v>
      </c>
      <c r="O472" s="1755" t="inlineStr">
        <is>
          <t>quantidades conforme quantidades do projetista</t>
        </is>
      </c>
      <c r="P472" s="1721" t="inlineStr">
        <is>
          <t>Pendente</t>
        </is>
      </c>
    </row>
    <row r="473" hidden="1" outlineLevel="2" ht="13.9" customHeight="1">
      <c r="A473" s="2117" t="n">
        <v>0</v>
      </c>
      <c r="B473" s="2117" t="n">
        <v>6</v>
      </c>
      <c r="C473" s="2117" t="n">
        <v>7</v>
      </c>
      <c r="D473" s="2118" t="n">
        <v>5</v>
      </c>
      <c r="E473" s="2118" t="n">
        <v>0</v>
      </c>
      <c r="G473" s="1740" t="n"/>
      <c r="H473" s="1741" t="inlineStr">
        <is>
          <t>SUBETAPA</t>
        </is>
      </c>
      <c r="I473" s="1742" t="inlineStr">
        <is>
          <t>06.007.005</t>
        </is>
      </c>
      <c r="J473" s="1743" t="inlineStr">
        <is>
          <t xml:space="preserve">Luminárias, lâmpadas e acessórios </t>
        </is>
      </c>
      <c r="K473" s="1744" t="n"/>
      <c r="L473" s="1745" t="n"/>
      <c r="M473" s="1745" t="n"/>
      <c r="N473" s="1746" t="n">
        <v>9954.139640655791</v>
      </c>
      <c r="O473" s="1747" t="n"/>
      <c r="P473" s="1720" t="n"/>
    </row>
    <row r="474" hidden="1" outlineLevel="3" ht="13.9" customHeight="1">
      <c r="A474" s="2117" t="n">
        <v>0</v>
      </c>
      <c r="B474" s="2117" t="n">
        <v>6</v>
      </c>
      <c r="C474" s="2117" t="n">
        <v>7</v>
      </c>
      <c r="D474" s="2118" t="n">
        <v>5</v>
      </c>
      <c r="E474" s="2118" t="n">
        <v>1</v>
      </c>
      <c r="G474" s="1790" t="inlineStr">
        <is>
          <t>SISTEMAS E INSTALAÇÕES ELÉTRICAS</t>
        </is>
      </c>
      <c r="H474" s="1749" t="inlineStr">
        <is>
          <t>SERVIÇO</t>
        </is>
      </c>
      <c r="I474" s="1750" t="inlineStr">
        <is>
          <t>06.007.005.001</t>
        </is>
      </c>
      <c r="J474" s="1751" t="inlineStr">
        <is>
          <t xml:space="preserve">Luminárias, lâmpadas e acessórios </t>
        </is>
      </c>
      <c r="K474" s="1752" t="inlineStr">
        <is>
          <t>vb</t>
        </is>
      </c>
      <c r="L474" s="1753" t="n">
        <v>1</v>
      </c>
      <c r="M474" s="1753" t="n">
        <v>9954.139640655787</v>
      </c>
      <c r="N474" s="1754" t="n">
        <v>9954.139640655791</v>
      </c>
      <c r="O474" s="1755" t="inlineStr">
        <is>
          <t>quantidades ESTIMADA, devido a ausência de quantitativos</t>
        </is>
      </c>
      <c r="P474" s="1721" t="inlineStr">
        <is>
          <t>Pendente</t>
        </is>
      </c>
    </row>
    <row r="475" hidden="1" outlineLevel="2" ht="13.9" customHeight="1">
      <c r="A475" s="2117" t="n">
        <v>0</v>
      </c>
      <c r="B475" s="2117" t="n">
        <v>6</v>
      </c>
      <c r="C475" s="2117" t="n">
        <v>7</v>
      </c>
      <c r="D475" s="2118" t="n">
        <v>6</v>
      </c>
      <c r="E475" s="2118" t="n">
        <v>0</v>
      </c>
      <c r="G475" s="1740" t="n"/>
      <c r="H475" s="1741" t="inlineStr">
        <is>
          <t>SUBETAPA</t>
        </is>
      </c>
      <c r="I475" s="1742" t="inlineStr">
        <is>
          <t>06.007.006</t>
        </is>
      </c>
      <c r="J475" s="1743" t="inlineStr">
        <is>
          <t>Mão de obra - Sistemas e instalações elétricas</t>
        </is>
      </c>
      <c r="K475" s="1744" t="n"/>
      <c r="L475" s="1745" t="n"/>
      <c r="M475" s="1745" t="n"/>
      <c r="N475" s="1746" t="n">
        <v>56295.74</v>
      </c>
      <c r="O475" s="1747" t="n"/>
      <c r="P475" s="1720" t="n"/>
    </row>
    <row r="476" hidden="1" outlineLevel="3" ht="13.9" customHeight="1">
      <c r="A476" s="2117" t="n">
        <v>0</v>
      </c>
      <c r="B476" s="2117" t="n">
        <v>6</v>
      </c>
      <c r="C476" s="2117" t="n">
        <v>7</v>
      </c>
      <c r="D476" s="2118" t="n">
        <v>6</v>
      </c>
      <c r="E476" s="2118" t="n">
        <v>1</v>
      </c>
      <c r="G476" s="1790" t="inlineStr">
        <is>
          <t>SISTEMAS E INSTALAÇÕES ELÉTRICAS</t>
        </is>
      </c>
      <c r="H476" s="1749" t="inlineStr">
        <is>
          <t>SERVIÇO</t>
        </is>
      </c>
      <c r="I476" s="1750" t="inlineStr">
        <is>
          <t>06.007.006.001</t>
        </is>
      </c>
      <c r="J476" s="1751" t="inlineStr">
        <is>
          <t>Mão de obra para instalações elétricas</t>
        </is>
      </c>
      <c r="K476" s="1752" t="inlineStr">
        <is>
          <t>vb</t>
        </is>
      </c>
      <c r="L476" s="1753" t="n">
        <v>1</v>
      </c>
      <c r="M476" s="1753" t="n">
        <v>56295.74</v>
      </c>
      <c r="N476" s="1754" t="n">
        <v>56295.74</v>
      </c>
      <c r="O476" s="1755" t="inlineStr">
        <is>
          <t>Considerado conforme os contratos disponibilizados pelo GESSELE</t>
        </is>
      </c>
      <c r="P476" s="1721" t="inlineStr">
        <is>
          <t>Pendente</t>
        </is>
      </c>
    </row>
    <row r="477" hidden="1" outlineLevel="1" ht="13.9" customHeight="1">
      <c r="A477" s="2117" t="n">
        <v>0</v>
      </c>
      <c r="B477" s="2117" t="n">
        <v>6</v>
      </c>
      <c r="C477" s="2117" t="n">
        <v>8</v>
      </c>
      <c r="D477" s="2118" t="n">
        <v>0</v>
      </c>
      <c r="E477" s="2118" t="n">
        <v>1</v>
      </c>
      <c r="G477" s="1733" t="n"/>
      <c r="H477" s="1734" t="inlineStr">
        <is>
          <t>ETAPA</t>
        </is>
      </c>
      <c r="I477" s="1735" t="inlineStr">
        <is>
          <t>06.008</t>
        </is>
      </c>
      <c r="J477" s="1736" t="inlineStr">
        <is>
          <t>SISTEMAS E INSTALAÇÕES ELÉTRICAS - Lazer</t>
        </is>
      </c>
      <c r="K477" s="1737" t="n"/>
      <c r="L477" s="1738" t="n"/>
      <c r="M477" s="1738" t="n"/>
      <c r="N477" s="1739" t="n">
        <v>59626.1100300747</v>
      </c>
      <c r="O477" s="1722" t="n"/>
      <c r="P477" s="1725" t="n"/>
    </row>
    <row r="478" hidden="1" outlineLevel="2" ht="13.9" customHeight="1">
      <c r="A478" s="2117" t="n">
        <v>0</v>
      </c>
      <c r="B478" s="2117" t="n">
        <v>6</v>
      </c>
      <c r="C478" s="2117" t="n">
        <v>8</v>
      </c>
      <c r="D478" s="2118" t="n">
        <v>1</v>
      </c>
      <c r="E478" s="2118" t="n">
        <v>0</v>
      </c>
      <c r="G478" s="1740" t="n"/>
      <c r="H478" s="1741" t="inlineStr">
        <is>
          <t>SUBETAPA</t>
        </is>
      </c>
      <c r="I478" s="1742" t="inlineStr">
        <is>
          <t>06.008.001</t>
        </is>
      </c>
      <c r="J478" s="1743" t="inlineStr">
        <is>
          <t>Quadros elétricos e disjuntores</t>
        </is>
      </c>
      <c r="K478" s="1744" t="n"/>
      <c r="L478" s="1745" t="n"/>
      <c r="M478" s="1745" t="n"/>
      <c r="N478" s="1746" t="n">
        <v>2101.14</v>
      </c>
      <c r="O478" s="1747" t="n"/>
      <c r="P478" s="1720" t="n"/>
    </row>
    <row r="479" hidden="1" outlineLevel="3" ht="13.9" customHeight="1">
      <c r="A479" s="2117" t="n">
        <v>0</v>
      </c>
      <c r="B479" s="2117" t="n">
        <v>6</v>
      </c>
      <c r="C479" s="2117" t="n">
        <v>8</v>
      </c>
      <c r="D479" s="2118" t="n">
        <v>1</v>
      </c>
      <c r="E479" s="2118" t="n">
        <v>1</v>
      </c>
      <c r="G479" s="1790" t="inlineStr">
        <is>
          <t>SISTEMAS E INSTALAÇÕES ELÉTRICAS</t>
        </is>
      </c>
      <c r="H479" s="1749" t="inlineStr">
        <is>
          <t>SERVIÇO</t>
        </is>
      </c>
      <c r="I479" s="1750" t="inlineStr">
        <is>
          <t>06.008.001.001</t>
        </is>
      </c>
      <c r="J479" s="1751" t="inlineStr">
        <is>
          <t>Quadros elétricos e disjuntores</t>
        </is>
      </c>
      <c r="K479" s="1752" t="inlineStr">
        <is>
          <t>vb</t>
        </is>
      </c>
      <c r="L479" s="1753" t="n">
        <v>1</v>
      </c>
      <c r="M479" s="1753" t="n">
        <v>2101.14</v>
      </c>
      <c r="N479" s="1754" t="n">
        <v>2101.14</v>
      </c>
      <c r="O479" s="1755" t="inlineStr">
        <is>
          <t>quantidades conforme quantidades do projetista</t>
        </is>
      </c>
      <c r="P479" s="1721" t="inlineStr">
        <is>
          <t>Pendente</t>
        </is>
      </c>
    </row>
    <row r="480" hidden="1" outlineLevel="2" ht="13.9" customHeight="1">
      <c r="A480" s="2117" t="n">
        <v>0</v>
      </c>
      <c r="B480" s="2117" t="n">
        <v>6</v>
      </c>
      <c r="C480" s="2117" t="n">
        <v>8</v>
      </c>
      <c r="D480" s="2118" t="n">
        <v>2</v>
      </c>
      <c r="E480" s="2118" t="n">
        <v>0</v>
      </c>
      <c r="G480" s="1740" t="n"/>
      <c r="H480" s="1741" t="inlineStr">
        <is>
          <t>SUBETAPA</t>
        </is>
      </c>
      <c r="I480" s="1742" t="inlineStr">
        <is>
          <t>06.008.002</t>
        </is>
      </c>
      <c r="J480" s="1743" t="inlineStr">
        <is>
          <t>Eletrodutos e eletrocalhas</t>
        </is>
      </c>
      <c r="K480" s="1744" t="n"/>
      <c r="L480" s="1745" t="n"/>
      <c r="M480" s="1745" t="n"/>
      <c r="N480" s="1746" t="n">
        <v>2863.95</v>
      </c>
      <c r="O480" s="1747" t="n"/>
      <c r="P480" s="1720" t="n"/>
    </row>
    <row r="481" hidden="1" outlineLevel="3" ht="13.9" customHeight="1">
      <c r="A481" s="2117" t="n">
        <v>0</v>
      </c>
      <c r="B481" s="2117" t="n">
        <v>6</v>
      </c>
      <c r="C481" s="2117" t="n">
        <v>8</v>
      </c>
      <c r="D481" s="2118" t="n">
        <v>2</v>
      </c>
      <c r="E481" s="2118" t="n">
        <v>1</v>
      </c>
      <c r="G481" s="1790" t="inlineStr">
        <is>
          <t>SISTEMAS E INSTALAÇÕES ELÉTRICAS</t>
        </is>
      </c>
      <c r="H481" s="1749" t="inlineStr">
        <is>
          <t>SERVIÇO</t>
        </is>
      </c>
      <c r="I481" s="1750" t="inlineStr">
        <is>
          <t>06.008.002.001</t>
        </is>
      </c>
      <c r="J481" s="1751" t="inlineStr">
        <is>
          <t>Eletrodutos e eletrocalhas</t>
        </is>
      </c>
      <c r="K481" s="1752" t="inlineStr">
        <is>
          <t>vb</t>
        </is>
      </c>
      <c r="L481" s="1753" t="n">
        <v>1</v>
      </c>
      <c r="M481" s="1753" t="n">
        <v>2863.95</v>
      </c>
      <c r="N481" s="1754" t="n">
        <v>2863.95</v>
      </c>
      <c r="O481" s="1755" t="inlineStr">
        <is>
          <t>quantidades conforme quantidades do projetista</t>
        </is>
      </c>
      <c r="P481" s="1721" t="inlineStr">
        <is>
          <t>Pendente</t>
        </is>
      </c>
    </row>
    <row r="482" hidden="1" outlineLevel="2" ht="13.9" customHeight="1">
      <c r="A482" s="2117" t="n">
        <v>0</v>
      </c>
      <c r="B482" s="2117" t="n">
        <v>6</v>
      </c>
      <c r="C482" s="2117" t="n">
        <v>8</v>
      </c>
      <c r="D482" s="2118" t="n">
        <v>3</v>
      </c>
      <c r="E482" s="2118" t="n">
        <v>0</v>
      </c>
      <c r="G482" s="1740" t="n"/>
      <c r="H482" s="1741" t="inlineStr">
        <is>
          <t>SUBETAPA</t>
        </is>
      </c>
      <c r="I482" s="1742" t="inlineStr">
        <is>
          <t>06.008.003</t>
        </is>
      </c>
      <c r="J482" s="1743" t="inlineStr">
        <is>
          <t>Fios e cabos elétricos</t>
        </is>
      </c>
      <c r="K482" s="1744" t="n"/>
      <c r="L482" s="1745" t="n"/>
      <c r="M482" s="1745" t="n"/>
      <c r="N482" s="1746" t="n">
        <v>8164.381</v>
      </c>
      <c r="O482" s="1747" t="n"/>
      <c r="P482" s="1720" t="n"/>
    </row>
    <row r="483" hidden="1" outlineLevel="3" ht="13.9" customHeight="1">
      <c r="A483" s="2117" t="n">
        <v>0</v>
      </c>
      <c r="B483" s="2117" t="n">
        <v>6</v>
      </c>
      <c r="C483" s="2117" t="n">
        <v>8</v>
      </c>
      <c r="D483" s="2118" t="n">
        <v>3</v>
      </c>
      <c r="E483" s="2118" t="n">
        <v>1</v>
      </c>
      <c r="G483" s="1790" t="inlineStr">
        <is>
          <t>SISTEMAS E INSTALAÇÕES ELÉTRICAS</t>
        </is>
      </c>
      <c r="H483" s="1749" t="inlineStr">
        <is>
          <t>SERVIÇO</t>
        </is>
      </c>
      <c r="I483" s="1750" t="inlineStr">
        <is>
          <t>06.008.003.001</t>
        </is>
      </c>
      <c r="J483" s="1751" t="inlineStr">
        <is>
          <t>Fios e cabos elétricos</t>
        </is>
      </c>
      <c r="K483" s="1752" t="inlineStr">
        <is>
          <t>vb</t>
        </is>
      </c>
      <c r="L483" s="1753" t="n">
        <v>1</v>
      </c>
      <c r="M483" s="1753" t="n">
        <v>8164.380999999999</v>
      </c>
      <c r="N483" s="1754" t="n">
        <v>8164.381</v>
      </c>
      <c r="O483" s="1755" t="inlineStr">
        <is>
          <t>quantidades conforme quantidades do projetista</t>
        </is>
      </c>
      <c r="P483" s="1721" t="inlineStr">
        <is>
          <t>Pendente</t>
        </is>
      </c>
    </row>
    <row r="484" hidden="1" outlineLevel="2" ht="13.9" customHeight="1">
      <c r="A484" s="2117" t="n">
        <v>0</v>
      </c>
      <c r="B484" s="2117" t="n">
        <v>6</v>
      </c>
      <c r="C484" s="2117" t="n">
        <v>8</v>
      </c>
      <c r="D484" s="2118" t="n">
        <v>4</v>
      </c>
      <c r="E484" s="2118" t="n">
        <v>0</v>
      </c>
      <c r="G484" s="1740" t="n"/>
      <c r="H484" s="1741" t="inlineStr">
        <is>
          <t>SUBETAPA</t>
        </is>
      </c>
      <c r="I484" s="1742" t="inlineStr">
        <is>
          <t>06.008.004</t>
        </is>
      </c>
      <c r="J484" s="1743" t="inlineStr">
        <is>
          <t>Pontos de tomadas e interruptores</t>
        </is>
      </c>
      <c r="K484" s="1744" t="n"/>
      <c r="L484" s="1745" t="n"/>
      <c r="M484" s="1745" t="n"/>
      <c r="N484" s="1746" t="n">
        <v>2983.4</v>
      </c>
      <c r="O484" s="1747" t="n"/>
      <c r="P484" s="1720" t="n"/>
    </row>
    <row r="485" hidden="1" outlineLevel="3" ht="13.9" customHeight="1">
      <c r="A485" s="2117" t="n">
        <v>0</v>
      </c>
      <c r="B485" s="2117" t="n">
        <v>6</v>
      </c>
      <c r="C485" s="2117" t="n">
        <v>8</v>
      </c>
      <c r="D485" s="2118" t="n">
        <v>4</v>
      </c>
      <c r="E485" s="2118" t="n">
        <v>1</v>
      </c>
      <c r="G485" s="1790" t="inlineStr">
        <is>
          <t>SISTEMAS E INSTALAÇÕES ELÉTRICAS</t>
        </is>
      </c>
      <c r="H485" s="1749" t="inlineStr">
        <is>
          <t>SERVIÇO</t>
        </is>
      </c>
      <c r="I485" s="1750" t="inlineStr">
        <is>
          <t>06.008.004.001</t>
        </is>
      </c>
      <c r="J485" s="1751" t="inlineStr">
        <is>
          <t>Pontos de tomadas e interruptores</t>
        </is>
      </c>
      <c r="K485" s="1752" t="inlineStr">
        <is>
          <t>vb</t>
        </is>
      </c>
      <c r="L485" s="1753" t="n">
        <v>1</v>
      </c>
      <c r="M485" s="1753" t="n">
        <v>2983.400000000001</v>
      </c>
      <c r="N485" s="1754" t="n">
        <v>2983.4</v>
      </c>
      <c r="O485" s="1755" t="inlineStr">
        <is>
          <t>quantidades conforme quantidades do projetista</t>
        </is>
      </c>
      <c r="P485" s="1721" t="inlineStr">
        <is>
          <t>Pendente</t>
        </is>
      </c>
    </row>
    <row r="486" hidden="1" outlineLevel="2" ht="13.9" customHeight="1">
      <c r="A486" s="2117" t="n">
        <v>0</v>
      </c>
      <c r="B486" s="2117" t="n">
        <v>6</v>
      </c>
      <c r="C486" s="2117" t="n">
        <v>8</v>
      </c>
      <c r="D486" s="2118" t="n">
        <v>5</v>
      </c>
      <c r="E486" s="2118" t="n">
        <v>0</v>
      </c>
      <c r="G486" s="1740" t="n"/>
      <c r="H486" s="1741" t="inlineStr">
        <is>
          <t>SUBETAPA</t>
        </is>
      </c>
      <c r="I486" s="1742" t="inlineStr">
        <is>
          <t>06.008.005</t>
        </is>
      </c>
      <c r="J486" s="1743" t="inlineStr">
        <is>
          <t xml:space="preserve">Luminárias, lâmpadas e acessórios </t>
        </is>
      </c>
      <c r="K486" s="1744" t="n"/>
      <c r="L486" s="1745" t="n"/>
      <c r="M486" s="1745" t="n"/>
      <c r="N486" s="1746" t="n">
        <v>5568.71903007475</v>
      </c>
      <c r="O486" s="1747" t="n"/>
      <c r="P486" s="1720" t="n"/>
    </row>
    <row r="487" hidden="1" outlineLevel="3" ht="13.9" customHeight="1">
      <c r="A487" s="2117" t="n">
        <v>0</v>
      </c>
      <c r="B487" s="2117" t="n">
        <v>6</v>
      </c>
      <c r="C487" s="2117" t="n">
        <v>8</v>
      </c>
      <c r="D487" s="2118" t="n">
        <v>5</v>
      </c>
      <c r="E487" s="2118" t="n">
        <v>1</v>
      </c>
      <c r="G487" s="1790" t="inlineStr">
        <is>
          <t>SISTEMAS E INSTALAÇÕES ELÉTRICAS</t>
        </is>
      </c>
      <c r="H487" s="1749" t="inlineStr">
        <is>
          <t>SERVIÇO</t>
        </is>
      </c>
      <c r="I487" s="1750" t="inlineStr">
        <is>
          <t>06.008.005.001</t>
        </is>
      </c>
      <c r="J487" s="1751" t="inlineStr">
        <is>
          <t xml:space="preserve">Luminárias, lâmpadas e acessórios </t>
        </is>
      </c>
      <c r="K487" s="1752" t="inlineStr">
        <is>
          <t>vb</t>
        </is>
      </c>
      <c r="L487" s="1753" t="n">
        <v>1</v>
      </c>
      <c r="M487" s="1753" t="n">
        <v>5568.719030074753</v>
      </c>
      <c r="N487" s="1754" t="n">
        <v>5568.71903007475</v>
      </c>
      <c r="O487" s="1755" t="inlineStr">
        <is>
          <t>quantidades ESTIMADA, devido a ausência de quantitativos</t>
        </is>
      </c>
      <c r="P487" s="1721" t="inlineStr">
        <is>
          <t>Pendente</t>
        </is>
      </c>
    </row>
    <row r="488" hidden="1" outlineLevel="2" ht="13.9" customHeight="1">
      <c r="A488" s="2117" t="n">
        <v>0</v>
      </c>
      <c r="B488" s="2117" t="n">
        <v>6</v>
      </c>
      <c r="C488" s="2117" t="n">
        <v>8</v>
      </c>
      <c r="D488" s="2118" t="n">
        <v>6</v>
      </c>
      <c r="E488" s="2118" t="n">
        <v>0</v>
      </c>
      <c r="G488" s="1740" t="n"/>
      <c r="H488" s="1741" t="inlineStr">
        <is>
          <t>SUBETAPA</t>
        </is>
      </c>
      <c r="I488" s="1742" t="inlineStr">
        <is>
          <t>06.008.006</t>
        </is>
      </c>
      <c r="J488" s="1743" t="inlineStr">
        <is>
          <t>Mão de obra - Sistemas e instalações elétricas</t>
        </is>
      </c>
      <c r="K488" s="1744" t="n"/>
      <c r="L488" s="1745" t="n"/>
      <c r="M488" s="1745" t="n"/>
      <c r="N488" s="1746" t="n">
        <v>37944.52</v>
      </c>
      <c r="O488" s="1747" t="n"/>
      <c r="P488" s="1720" t="n"/>
    </row>
    <row r="489" hidden="1" outlineLevel="3" ht="13.9" customHeight="1">
      <c r="A489" s="2117" t="n">
        <v>0</v>
      </c>
      <c r="B489" s="2117" t="n">
        <v>6</v>
      </c>
      <c r="C489" s="2117" t="n">
        <v>8</v>
      </c>
      <c r="D489" s="2118" t="n">
        <v>6</v>
      </c>
      <c r="E489" s="2118" t="n">
        <v>1</v>
      </c>
      <c r="G489" s="1790" t="inlineStr">
        <is>
          <t>SISTEMAS E INSTALAÇÕES ELÉTRICAS</t>
        </is>
      </c>
      <c r="H489" s="1749" t="inlineStr">
        <is>
          <t>SERVIÇO</t>
        </is>
      </c>
      <c r="I489" s="1750" t="inlineStr">
        <is>
          <t>06.008.006.001</t>
        </is>
      </c>
      <c r="J489" s="1751" t="inlineStr">
        <is>
          <t>Mão de obra para instalações elétricas</t>
        </is>
      </c>
      <c r="K489" s="1752" t="inlineStr">
        <is>
          <t>vb</t>
        </is>
      </c>
      <c r="L489" s="1753" t="n">
        <v>1</v>
      </c>
      <c r="M489" s="1753" t="n">
        <v>37944.52</v>
      </c>
      <c r="N489" s="1754" t="n">
        <v>37944.52</v>
      </c>
      <c r="O489" s="1755" t="inlineStr">
        <is>
          <t>Considerado conforme os contratos disponibilizados pelo GESSELE</t>
        </is>
      </c>
      <c r="P489" s="1721" t="inlineStr">
        <is>
          <t>Pendente</t>
        </is>
      </c>
    </row>
    <row r="490" hidden="1" outlineLevel="1" ht="13.9" customHeight="1">
      <c r="A490" s="2117" t="n">
        <v>0</v>
      </c>
      <c r="B490" s="2117" t="n">
        <v>6</v>
      </c>
      <c r="C490" s="2117" t="n">
        <v>9</v>
      </c>
      <c r="D490" s="2118" t="n">
        <v>0</v>
      </c>
      <c r="E490" s="2118" t="n">
        <v>1</v>
      </c>
      <c r="G490" s="1733" t="n"/>
      <c r="H490" s="1734" t="inlineStr">
        <is>
          <t>ETAPA</t>
        </is>
      </c>
      <c r="I490" s="1735" t="inlineStr">
        <is>
          <t>06.009</t>
        </is>
      </c>
      <c r="J490" s="1736" t="inlineStr">
        <is>
          <t>SISTEMAS E INSTALAÇÕES ELÉTRICAS - Tipo diferenciado</t>
        </is>
      </c>
      <c r="K490" s="1737" t="n"/>
      <c r="L490" s="1738" t="n"/>
      <c r="M490" s="1738" t="n"/>
      <c r="N490" s="1739" t="n">
        <v>48631.1547336947</v>
      </c>
      <c r="O490" s="1722" t="n"/>
      <c r="P490" s="1725" t="n"/>
    </row>
    <row r="491" hidden="1" outlineLevel="2" ht="13.9" customHeight="1">
      <c r="A491" s="2117" t="n">
        <v>0</v>
      </c>
      <c r="B491" s="2117" t="n">
        <v>6</v>
      </c>
      <c r="C491" s="2117" t="n">
        <v>9</v>
      </c>
      <c r="D491" s="2118" t="n">
        <v>1</v>
      </c>
      <c r="E491" s="2118" t="n">
        <v>0</v>
      </c>
      <c r="G491" s="1740" t="n"/>
      <c r="H491" s="1741" t="inlineStr">
        <is>
          <t>SUBETAPA</t>
        </is>
      </c>
      <c r="I491" s="1742" t="inlineStr">
        <is>
          <t>06.009.001</t>
        </is>
      </c>
      <c r="J491" s="1743" t="inlineStr">
        <is>
          <t>Quadros elétricos e disjuntores</t>
        </is>
      </c>
      <c r="K491" s="1744" t="n"/>
      <c r="L491" s="1745" t="n"/>
      <c r="M491" s="1745" t="n"/>
      <c r="N491" s="1746" t="n">
        <v>3445.31</v>
      </c>
      <c r="O491" s="1747" t="n"/>
      <c r="P491" s="1720" t="n"/>
    </row>
    <row r="492" hidden="1" outlineLevel="3" ht="13.9" customHeight="1">
      <c r="A492" s="2117" t="n">
        <v>0</v>
      </c>
      <c r="B492" s="2117" t="n">
        <v>6</v>
      </c>
      <c r="C492" s="2117" t="n">
        <v>9</v>
      </c>
      <c r="D492" s="2118" t="n">
        <v>1</v>
      </c>
      <c r="E492" s="2118" t="n">
        <v>1</v>
      </c>
      <c r="G492" s="1790" t="inlineStr">
        <is>
          <t>SISTEMAS E INSTALAÇÕES ELÉTRICAS</t>
        </is>
      </c>
      <c r="H492" s="1749" t="inlineStr">
        <is>
          <t>SERVIÇO</t>
        </is>
      </c>
      <c r="I492" s="1750" t="inlineStr">
        <is>
          <t>06.009.001.001</t>
        </is>
      </c>
      <c r="J492" s="1751" t="inlineStr">
        <is>
          <t>Quadros elétricos e disjuntores</t>
        </is>
      </c>
      <c r="K492" s="1752" t="inlineStr">
        <is>
          <t>vb</t>
        </is>
      </c>
      <c r="L492" s="1753" t="n">
        <v>1</v>
      </c>
      <c r="M492" s="1753" t="n">
        <v>3445.31</v>
      </c>
      <c r="N492" s="1754" t="n">
        <v>3445.31</v>
      </c>
      <c r="O492" s="1755" t="inlineStr">
        <is>
          <t>quantidades conforme quantidades do projetista</t>
        </is>
      </c>
      <c r="P492" s="1721" t="inlineStr">
        <is>
          <t>Pendente</t>
        </is>
      </c>
    </row>
    <row r="493" hidden="1" outlineLevel="2" ht="13.9" customHeight="1">
      <c r="A493" s="2117" t="n">
        <v>0</v>
      </c>
      <c r="B493" s="2117" t="n">
        <v>6</v>
      </c>
      <c r="C493" s="2117" t="n">
        <v>9</v>
      </c>
      <c r="D493" s="2118" t="n">
        <v>2</v>
      </c>
      <c r="E493" s="2118" t="n">
        <v>0</v>
      </c>
      <c r="G493" s="1740" t="n"/>
      <c r="H493" s="1741" t="inlineStr">
        <is>
          <t>SUBETAPA</t>
        </is>
      </c>
      <c r="I493" s="1742" t="inlineStr">
        <is>
          <t>06.009.002</t>
        </is>
      </c>
      <c r="J493" s="1743" t="inlineStr">
        <is>
          <t>Eletrodutos e eletrocalhas</t>
        </is>
      </c>
      <c r="K493" s="1744" t="n"/>
      <c r="L493" s="1745" t="n"/>
      <c r="M493" s="1745" t="n"/>
      <c r="N493" s="1746" t="n">
        <v>2741.05</v>
      </c>
      <c r="O493" s="1747" t="n"/>
      <c r="P493" s="1720" t="n"/>
    </row>
    <row r="494" hidden="1" outlineLevel="3" ht="13.9" customHeight="1">
      <c r="A494" s="2117" t="n">
        <v>0</v>
      </c>
      <c r="B494" s="2117" t="n">
        <v>6</v>
      </c>
      <c r="C494" s="2117" t="n">
        <v>9</v>
      </c>
      <c r="D494" s="2118" t="n">
        <v>2</v>
      </c>
      <c r="E494" s="2118" t="n">
        <v>1</v>
      </c>
      <c r="G494" s="1790" t="inlineStr">
        <is>
          <t>SISTEMAS E INSTALAÇÕES ELÉTRICAS</t>
        </is>
      </c>
      <c r="H494" s="1749" t="inlineStr">
        <is>
          <t>SERVIÇO</t>
        </is>
      </c>
      <c r="I494" s="1750" t="inlineStr">
        <is>
          <t>06.009.002.001</t>
        </is>
      </c>
      <c r="J494" s="1751" t="inlineStr">
        <is>
          <t>Eletrodutos e eletrocalhas</t>
        </is>
      </c>
      <c r="K494" s="1752" t="inlineStr">
        <is>
          <t>vb</t>
        </is>
      </c>
      <c r="L494" s="1753" t="n">
        <v>1</v>
      </c>
      <c r="M494" s="1753" t="n">
        <v>2741.05</v>
      </c>
      <c r="N494" s="1754" t="n">
        <v>2741.05</v>
      </c>
      <c r="O494" s="1755" t="inlineStr">
        <is>
          <t>quantidades conforme quantidades do projetista</t>
        </is>
      </c>
      <c r="P494" s="1721" t="inlineStr">
        <is>
          <t>Pendente</t>
        </is>
      </c>
    </row>
    <row r="495" hidden="1" outlineLevel="2" ht="13.9" customHeight="1">
      <c r="A495" s="2117" t="n">
        <v>0</v>
      </c>
      <c r="B495" s="2117" t="n">
        <v>6</v>
      </c>
      <c r="C495" s="2117" t="n">
        <v>9</v>
      </c>
      <c r="D495" s="2118" t="n">
        <v>3</v>
      </c>
      <c r="E495" s="2118" t="n">
        <v>0</v>
      </c>
      <c r="G495" s="1740" t="n"/>
      <c r="H495" s="1741" t="inlineStr">
        <is>
          <t>SUBETAPA</t>
        </is>
      </c>
      <c r="I495" s="1742" t="inlineStr">
        <is>
          <t>06.009.003</t>
        </is>
      </c>
      <c r="J495" s="1743" t="inlineStr">
        <is>
          <t>Fios e cabos elétricos</t>
        </is>
      </c>
      <c r="K495" s="1744" t="n"/>
      <c r="L495" s="1745" t="n"/>
      <c r="M495" s="1745" t="n"/>
      <c r="N495" s="1746" t="n">
        <v>7421.719</v>
      </c>
      <c r="O495" s="1747" t="n"/>
      <c r="P495" s="1720" t="n"/>
    </row>
    <row r="496" hidden="1" outlineLevel="3" ht="13.9" customHeight="1">
      <c r="A496" s="2117" t="n">
        <v>0</v>
      </c>
      <c r="B496" s="2117" t="n">
        <v>6</v>
      </c>
      <c r="C496" s="2117" t="n">
        <v>9</v>
      </c>
      <c r="D496" s="2118" t="n">
        <v>3</v>
      </c>
      <c r="E496" s="2118" t="n">
        <v>1</v>
      </c>
      <c r="G496" s="1790" t="inlineStr">
        <is>
          <t>SISTEMAS E INSTALAÇÕES ELÉTRICAS</t>
        </is>
      </c>
      <c r="H496" s="1749" t="inlineStr">
        <is>
          <t>SERVIÇO</t>
        </is>
      </c>
      <c r="I496" s="1750" t="inlineStr">
        <is>
          <t>06.009.003.001</t>
        </is>
      </c>
      <c r="J496" s="1751" t="inlineStr">
        <is>
          <t>Fios e cabos elétricos</t>
        </is>
      </c>
      <c r="K496" s="1752" t="inlineStr">
        <is>
          <t>vb</t>
        </is>
      </c>
      <c r="L496" s="1753" t="n">
        <v>1</v>
      </c>
      <c r="M496" s="1753" t="n">
        <v>7421.718999999999</v>
      </c>
      <c r="N496" s="1754" t="n">
        <v>7421.719</v>
      </c>
      <c r="O496" s="1755" t="inlineStr">
        <is>
          <t>quantidades conforme quantidades do projetista</t>
        </is>
      </c>
      <c r="P496" s="1721" t="inlineStr">
        <is>
          <t>Pendente</t>
        </is>
      </c>
    </row>
    <row r="497" hidden="1" outlineLevel="2" ht="13.9" customHeight="1">
      <c r="A497" s="2117" t="n">
        <v>0</v>
      </c>
      <c r="B497" s="2117" t="n">
        <v>6</v>
      </c>
      <c r="C497" s="2117" t="n">
        <v>9</v>
      </c>
      <c r="D497" s="2118" t="n">
        <v>4</v>
      </c>
      <c r="E497" s="2118" t="n">
        <v>0</v>
      </c>
      <c r="G497" s="1740" t="n"/>
      <c r="H497" s="1741" t="inlineStr">
        <is>
          <t>SUBETAPA</t>
        </is>
      </c>
      <c r="I497" s="1742" t="inlineStr">
        <is>
          <t>06.009.004</t>
        </is>
      </c>
      <c r="J497" s="1743" t="inlineStr">
        <is>
          <t>Pontos de tomadas e interruptores</t>
        </is>
      </c>
      <c r="K497" s="1744" t="n"/>
      <c r="L497" s="1745" t="n"/>
      <c r="M497" s="1745" t="n"/>
      <c r="N497" s="1746" t="n">
        <v>4908.85</v>
      </c>
      <c r="O497" s="1747" t="n"/>
      <c r="P497" s="1720" t="n"/>
    </row>
    <row r="498" hidden="1" outlineLevel="3" ht="13.9" customHeight="1">
      <c r="A498" s="2117" t="n">
        <v>0</v>
      </c>
      <c r="B498" s="2117" t="n">
        <v>6</v>
      </c>
      <c r="C498" s="2117" t="n">
        <v>9</v>
      </c>
      <c r="D498" s="2118" t="n">
        <v>4</v>
      </c>
      <c r="E498" s="2118" t="n">
        <v>1</v>
      </c>
      <c r="G498" s="1790" t="inlineStr">
        <is>
          <t>SISTEMAS E INSTALAÇÕES ELÉTRICAS</t>
        </is>
      </c>
      <c r="H498" s="1749" t="inlineStr">
        <is>
          <t>SERVIÇO</t>
        </is>
      </c>
      <c r="I498" s="1750" t="inlineStr">
        <is>
          <t>06.009.004.001</t>
        </is>
      </c>
      <c r="J498" s="1751" t="inlineStr">
        <is>
          <t>Pontos de tomadas e interruptores</t>
        </is>
      </c>
      <c r="K498" s="1752" t="inlineStr">
        <is>
          <t>vb</t>
        </is>
      </c>
      <c r="L498" s="1753" t="n">
        <v>1</v>
      </c>
      <c r="M498" s="1753" t="n">
        <v>4908.85</v>
      </c>
      <c r="N498" s="1754" t="n">
        <v>4908.85</v>
      </c>
      <c r="O498" s="1755" t="inlineStr">
        <is>
          <t>quantidades conforme quantidades do projetista</t>
        </is>
      </c>
      <c r="P498" s="1721" t="inlineStr">
        <is>
          <t>Pendente</t>
        </is>
      </c>
    </row>
    <row r="499" hidden="1" outlineLevel="2" ht="13.9" customHeight="1">
      <c r="A499" s="2117" t="n">
        <v>0</v>
      </c>
      <c r="B499" s="2117" t="n">
        <v>6</v>
      </c>
      <c r="C499" s="2117" t="n">
        <v>9</v>
      </c>
      <c r="D499" s="2118" t="n">
        <v>5</v>
      </c>
      <c r="E499" s="2118" t="n">
        <v>0</v>
      </c>
      <c r="G499" s="1740" t="n"/>
      <c r="H499" s="1741" t="inlineStr">
        <is>
          <t>SUBETAPA</t>
        </is>
      </c>
      <c r="I499" s="1742" t="inlineStr">
        <is>
          <t>06.009.005</t>
        </is>
      </c>
      <c r="J499" s="1743" t="inlineStr">
        <is>
          <t xml:space="preserve">Luminárias, lâmpadas e acessórios </t>
        </is>
      </c>
      <c r="K499" s="1744" t="n"/>
      <c r="L499" s="1745" t="n"/>
      <c r="M499" s="1745" t="n"/>
      <c r="N499" s="1746" t="n">
        <v>3853.94573369465</v>
      </c>
      <c r="O499" s="1747" t="n"/>
      <c r="P499" s="1720" t="n"/>
    </row>
    <row r="500" hidden="1" outlineLevel="3" ht="13.9" customHeight="1">
      <c r="A500" s="2117" t="n">
        <v>0</v>
      </c>
      <c r="B500" s="2117" t="n">
        <v>6</v>
      </c>
      <c r="C500" s="2117" t="n">
        <v>9</v>
      </c>
      <c r="D500" s="2118" t="n">
        <v>5</v>
      </c>
      <c r="E500" s="2118" t="n">
        <v>1</v>
      </c>
      <c r="G500" s="1790" t="inlineStr">
        <is>
          <t>SISTEMAS E INSTALAÇÕES ELÉTRICAS</t>
        </is>
      </c>
      <c r="H500" s="1749" t="inlineStr">
        <is>
          <t>SERVIÇO</t>
        </is>
      </c>
      <c r="I500" s="1750" t="inlineStr">
        <is>
          <t>06.009.005.001</t>
        </is>
      </c>
      <c r="J500" s="1751" t="inlineStr">
        <is>
          <t xml:space="preserve">Luminárias, lâmpadas e acessórios </t>
        </is>
      </c>
      <c r="K500" s="1752" t="inlineStr">
        <is>
          <t>vb</t>
        </is>
      </c>
      <c r="L500" s="1753" t="n">
        <v>1</v>
      </c>
      <c r="M500" s="1753" t="n">
        <v>3853.945733694653</v>
      </c>
      <c r="N500" s="1754" t="n">
        <v>3853.94573369465</v>
      </c>
      <c r="O500" s="1755" t="inlineStr">
        <is>
          <t>quantidades ESTIMADA, devido a ausência de quantitativos</t>
        </is>
      </c>
      <c r="P500" s="1721" t="inlineStr">
        <is>
          <t>Pendente</t>
        </is>
      </c>
    </row>
    <row r="501" hidden="1" outlineLevel="2" ht="13.9" customHeight="1">
      <c r="A501" s="2117" t="n">
        <v>0</v>
      </c>
      <c r="B501" s="2117" t="n">
        <v>6</v>
      </c>
      <c r="C501" s="2117" t="n">
        <v>9</v>
      </c>
      <c r="D501" s="2118" t="n">
        <v>6</v>
      </c>
      <c r="E501" s="2118" t="n">
        <v>0</v>
      </c>
      <c r="G501" s="1740" t="n"/>
      <c r="H501" s="1741" t="inlineStr">
        <is>
          <t>SUBETAPA</t>
        </is>
      </c>
      <c r="I501" s="1742" t="inlineStr">
        <is>
          <t>06.009.006</t>
        </is>
      </c>
      <c r="J501" s="1743" t="inlineStr">
        <is>
          <t>Mão de obra - Sistemas e instalações elétricas</t>
        </is>
      </c>
      <c r="K501" s="1744" t="n"/>
      <c r="L501" s="1745" t="n"/>
      <c r="M501" s="1745" t="n"/>
      <c r="N501" s="1746" t="n">
        <v>26260.28</v>
      </c>
      <c r="O501" s="1747" t="n"/>
      <c r="P501" s="1720" t="n"/>
    </row>
    <row r="502" hidden="1" outlineLevel="3" ht="13.9" customHeight="1">
      <c r="A502" s="2117" t="n">
        <v>0</v>
      </c>
      <c r="B502" s="2117" t="n">
        <v>6</v>
      </c>
      <c r="C502" s="2117" t="n">
        <v>9</v>
      </c>
      <c r="D502" s="2118" t="n">
        <v>6</v>
      </c>
      <c r="E502" s="2118" t="n">
        <v>1</v>
      </c>
      <c r="G502" s="1790" t="inlineStr">
        <is>
          <t>SISTEMAS E INSTALAÇÕES ELÉTRICAS</t>
        </is>
      </c>
      <c r="H502" s="1749" t="inlineStr">
        <is>
          <t>SERVIÇO</t>
        </is>
      </c>
      <c r="I502" s="1750" t="inlineStr">
        <is>
          <t>06.009.006.001</t>
        </is>
      </c>
      <c r="J502" s="1751" t="inlineStr">
        <is>
          <t>Mão de obra para instalações elétricas</t>
        </is>
      </c>
      <c r="K502" s="1752" t="inlineStr">
        <is>
          <t>vb</t>
        </is>
      </c>
      <c r="L502" s="1753" t="n">
        <v>1</v>
      </c>
      <c r="M502" s="1753" t="n">
        <v>26260.28</v>
      </c>
      <c r="N502" s="1754" t="n">
        <v>26260.28</v>
      </c>
      <c r="O502" s="1755" t="inlineStr">
        <is>
          <t>Considerado conforme os contratos disponibilizados pelo GESSELE</t>
        </is>
      </c>
      <c r="P502" s="1721" t="inlineStr">
        <is>
          <t>Pendente</t>
        </is>
      </c>
    </row>
    <row r="503" hidden="1" outlineLevel="1" ht="13.9" customHeight="1">
      <c r="A503" s="2117" t="n">
        <v>0</v>
      </c>
      <c r="B503" s="2117" t="n">
        <v>6</v>
      </c>
      <c r="C503" s="2117" t="n">
        <v>10</v>
      </c>
      <c r="D503" s="2118" t="n">
        <v>0</v>
      </c>
      <c r="E503" s="2118" t="n">
        <v>1</v>
      </c>
      <c r="G503" s="1733" t="n"/>
      <c r="H503" s="1734" t="inlineStr">
        <is>
          <t>ETAPA</t>
        </is>
      </c>
      <c r="I503" s="1735" t="inlineStr">
        <is>
          <t>06.010</t>
        </is>
      </c>
      <c r="J503" s="1736" t="inlineStr">
        <is>
          <t>SISTEMAS E INSTALAÇÕES ELÉTRICAS - Tipo x8</t>
        </is>
      </c>
      <c r="K503" s="1737" t="n"/>
      <c r="L503" s="1738" t="n"/>
      <c r="M503" s="1738" t="n"/>
      <c r="N503" s="1739" t="n">
        <v>337780.159537645</v>
      </c>
      <c r="O503" s="1722" t="n"/>
      <c r="P503" s="1725" t="n"/>
    </row>
    <row r="504" hidden="1" outlineLevel="2" ht="13.9" customHeight="1">
      <c r="A504" s="2117" t="n">
        <v>0</v>
      </c>
      <c r="B504" s="2117" t="n">
        <v>6</v>
      </c>
      <c r="C504" s="2117" t="n">
        <v>10</v>
      </c>
      <c r="D504" s="2118" t="n">
        <v>1</v>
      </c>
      <c r="E504" s="2118" t="n">
        <v>0</v>
      </c>
      <c r="G504" s="1740" t="n"/>
      <c r="H504" s="1741" t="inlineStr">
        <is>
          <t>SUBETAPA</t>
        </is>
      </c>
      <c r="I504" s="1742" t="inlineStr">
        <is>
          <t>06.010.001</t>
        </is>
      </c>
      <c r="J504" s="1743" t="inlineStr">
        <is>
          <t>Quadros elétricos e disjuntores</t>
        </is>
      </c>
      <c r="K504" s="1744" t="n"/>
      <c r="L504" s="1745" t="n"/>
      <c r="M504" s="1745" t="n"/>
      <c r="N504" s="1746" t="n">
        <v>19590.34</v>
      </c>
      <c r="O504" s="1747" t="n"/>
      <c r="P504" s="1720" t="n"/>
    </row>
    <row r="505" hidden="1" outlineLevel="3" ht="13.9" customHeight="1">
      <c r="A505" s="2117" t="n">
        <v>0</v>
      </c>
      <c r="B505" s="2117" t="n">
        <v>6</v>
      </c>
      <c r="C505" s="2117" t="n">
        <v>10</v>
      </c>
      <c r="D505" s="2118" t="n">
        <v>1</v>
      </c>
      <c r="E505" s="2118" t="n">
        <v>1</v>
      </c>
      <c r="G505" s="1790" t="inlineStr">
        <is>
          <t>SISTEMAS E INSTALAÇÕES ELÉTRICAS</t>
        </is>
      </c>
      <c r="H505" s="1749" t="inlineStr">
        <is>
          <t>SERVIÇO</t>
        </is>
      </c>
      <c r="I505" s="1750" t="inlineStr">
        <is>
          <t>06.010.001.001</t>
        </is>
      </c>
      <c r="J505" s="1751" t="inlineStr">
        <is>
          <t>Quadros elétricos e disjuntores</t>
        </is>
      </c>
      <c r="K505" s="1752" t="inlineStr">
        <is>
          <t>vb</t>
        </is>
      </c>
      <c r="L505" s="1753" t="n">
        <v>1</v>
      </c>
      <c r="M505" s="1753" t="n">
        <v>19590.34</v>
      </c>
      <c r="N505" s="1754" t="n">
        <v>19590.34</v>
      </c>
      <c r="O505" s="1755" t="inlineStr">
        <is>
          <t>quantidades conforme quantidades do projetista</t>
        </is>
      </c>
      <c r="P505" s="1721" t="inlineStr">
        <is>
          <t>Pendente</t>
        </is>
      </c>
    </row>
    <row r="506" hidden="1" outlineLevel="2" ht="13.9" customHeight="1">
      <c r="A506" s="2117" t="n">
        <v>0</v>
      </c>
      <c r="B506" s="2117" t="n">
        <v>6</v>
      </c>
      <c r="C506" s="2117" t="n">
        <v>10</v>
      </c>
      <c r="D506" s="2118" t="n">
        <v>2</v>
      </c>
      <c r="E506" s="2118" t="n">
        <v>0</v>
      </c>
      <c r="G506" s="1740" t="n"/>
      <c r="H506" s="1741" t="inlineStr">
        <is>
          <t>SUBETAPA</t>
        </is>
      </c>
      <c r="I506" s="1742" t="inlineStr">
        <is>
          <t>06.010.002</t>
        </is>
      </c>
      <c r="J506" s="1743" t="inlineStr">
        <is>
          <t>Eletrodutos e eletrocalhas</t>
        </is>
      </c>
      <c r="K506" s="1744" t="n"/>
      <c r="L506" s="1745" t="n"/>
      <c r="M506" s="1745" t="n"/>
      <c r="N506" s="1746" t="n">
        <v>18686.15</v>
      </c>
      <c r="O506" s="1747" t="n"/>
      <c r="P506" s="1720" t="n"/>
    </row>
    <row r="507" hidden="1" outlineLevel="3" ht="13.9" customHeight="1">
      <c r="A507" s="2117" t="n">
        <v>0</v>
      </c>
      <c r="B507" s="2117" t="n">
        <v>6</v>
      </c>
      <c r="C507" s="2117" t="n">
        <v>10</v>
      </c>
      <c r="D507" s="2118" t="n">
        <v>2</v>
      </c>
      <c r="E507" s="2118" t="n">
        <v>1</v>
      </c>
      <c r="G507" s="1790" t="inlineStr">
        <is>
          <t>SISTEMAS E INSTALAÇÕES ELÉTRICAS</t>
        </is>
      </c>
      <c r="H507" s="1749" t="inlineStr">
        <is>
          <t>SERVIÇO</t>
        </is>
      </c>
      <c r="I507" s="1750" t="inlineStr">
        <is>
          <t>06.010.002.001</t>
        </is>
      </c>
      <c r="J507" s="1751" t="inlineStr">
        <is>
          <t>Eletrodutos e eletrocalhas</t>
        </is>
      </c>
      <c r="K507" s="1752" t="inlineStr">
        <is>
          <t>vb</t>
        </is>
      </c>
      <c r="L507" s="1753" t="n">
        <v>1</v>
      </c>
      <c r="M507" s="1753" t="n">
        <v>18686.15</v>
      </c>
      <c r="N507" s="1754" t="n">
        <v>18686.15</v>
      </c>
      <c r="O507" s="1755" t="inlineStr">
        <is>
          <t>quantidades conforme quantidades do projetista</t>
        </is>
      </c>
      <c r="P507" s="1721" t="inlineStr">
        <is>
          <t>Pendente</t>
        </is>
      </c>
    </row>
    <row r="508" hidden="1" outlineLevel="2" ht="13.9" customHeight="1">
      <c r="A508" s="2117" t="n">
        <v>0</v>
      </c>
      <c r="B508" s="2117" t="n">
        <v>6</v>
      </c>
      <c r="C508" s="2117" t="n">
        <v>10</v>
      </c>
      <c r="D508" s="2118" t="n">
        <v>3</v>
      </c>
      <c r="E508" s="2118" t="n">
        <v>0</v>
      </c>
      <c r="G508" s="1740" t="n"/>
      <c r="H508" s="1741" t="inlineStr">
        <is>
          <t>SUBETAPA</t>
        </is>
      </c>
      <c r="I508" s="1742" t="inlineStr">
        <is>
          <t>06.010.003</t>
        </is>
      </c>
      <c r="J508" s="1743" t="inlineStr">
        <is>
          <t>Fios e cabos elétricos</t>
        </is>
      </c>
      <c r="K508" s="1744" t="n"/>
      <c r="L508" s="1745" t="n"/>
      <c r="M508" s="1745" t="n"/>
      <c r="N508" s="1746" t="n">
        <v>54396.062</v>
      </c>
      <c r="O508" s="1747" t="n"/>
      <c r="P508" s="1720" t="n"/>
    </row>
    <row r="509" hidden="1" outlineLevel="3" ht="13.9" customHeight="1">
      <c r="A509" s="2117" t="n">
        <v>0</v>
      </c>
      <c r="B509" s="2117" t="n">
        <v>6</v>
      </c>
      <c r="C509" s="2117" t="n">
        <v>10</v>
      </c>
      <c r="D509" s="2118" t="n">
        <v>3</v>
      </c>
      <c r="E509" s="2118" t="n">
        <v>1</v>
      </c>
      <c r="G509" s="1790" t="inlineStr">
        <is>
          <t>SISTEMAS E INSTALAÇÕES ELÉTRICAS</t>
        </is>
      </c>
      <c r="H509" s="1749" t="inlineStr">
        <is>
          <t>SERVIÇO</t>
        </is>
      </c>
      <c r="I509" s="1750" t="inlineStr">
        <is>
          <t>06.010.003.001</t>
        </is>
      </c>
      <c r="J509" s="1751" t="inlineStr">
        <is>
          <t>Fios e cabos elétricos</t>
        </is>
      </c>
      <c r="K509" s="1752" t="inlineStr">
        <is>
          <t>vb</t>
        </is>
      </c>
      <c r="L509" s="1753" t="n">
        <v>1</v>
      </c>
      <c r="M509" s="1753" t="n">
        <v>54396.062</v>
      </c>
      <c r="N509" s="1754" t="n">
        <v>54396.062</v>
      </c>
      <c r="O509" s="1755" t="inlineStr">
        <is>
          <t>quantidades conforme quantidades do projetista</t>
        </is>
      </c>
      <c r="P509" s="1721" t="inlineStr">
        <is>
          <t>Pendente</t>
        </is>
      </c>
    </row>
    <row r="510" hidden="1" outlineLevel="2" ht="13.9" customHeight="1">
      <c r="A510" s="2117" t="n">
        <v>0</v>
      </c>
      <c r="B510" s="2117" t="n">
        <v>6</v>
      </c>
      <c r="C510" s="2117" t="n">
        <v>10</v>
      </c>
      <c r="D510" s="2118" t="n">
        <v>4</v>
      </c>
      <c r="E510" s="2118" t="n">
        <v>0</v>
      </c>
      <c r="G510" s="1740" t="n"/>
      <c r="H510" s="1741" t="inlineStr">
        <is>
          <t>SUBETAPA</t>
        </is>
      </c>
      <c r="I510" s="1742" t="inlineStr">
        <is>
          <t>06.010.004</t>
        </is>
      </c>
      <c r="J510" s="1743" t="inlineStr">
        <is>
          <t>Pontos de tomadas e interruptores</t>
        </is>
      </c>
      <c r="K510" s="1744" t="n"/>
      <c r="L510" s="1745" t="n"/>
      <c r="M510" s="1745" t="n"/>
      <c r="N510" s="1746" t="n">
        <v>33560.8</v>
      </c>
      <c r="O510" s="1747" t="n"/>
      <c r="P510" s="1720" t="n"/>
    </row>
    <row r="511" hidden="1" outlineLevel="3" ht="13.9" customHeight="1">
      <c r="A511" s="2117" t="n">
        <v>0</v>
      </c>
      <c r="B511" s="2117" t="n">
        <v>6</v>
      </c>
      <c r="C511" s="2117" t="n">
        <v>10</v>
      </c>
      <c r="D511" s="2118" t="n">
        <v>4</v>
      </c>
      <c r="E511" s="2118" t="n">
        <v>1</v>
      </c>
      <c r="G511" s="1790" t="inlineStr">
        <is>
          <t>SISTEMAS E INSTALAÇÕES ELÉTRICAS</t>
        </is>
      </c>
      <c r="H511" s="1749" t="inlineStr">
        <is>
          <t>SERVIÇO</t>
        </is>
      </c>
      <c r="I511" s="1750" t="inlineStr">
        <is>
          <t>06.010.004.001</t>
        </is>
      </c>
      <c r="J511" s="1751" t="inlineStr">
        <is>
          <t>Pontos de tomadas e interruptores</t>
        </is>
      </c>
      <c r="K511" s="1752" t="inlineStr">
        <is>
          <t>vb</t>
        </is>
      </c>
      <c r="L511" s="1753" t="n">
        <v>1</v>
      </c>
      <c r="M511" s="1753" t="n">
        <v>33560.8</v>
      </c>
      <c r="N511" s="1754" t="n">
        <v>33560.8</v>
      </c>
      <c r="O511" s="1755" t="inlineStr">
        <is>
          <t>quantidades conforme quantidades do projetista</t>
        </is>
      </c>
      <c r="P511" s="1721" t="inlineStr">
        <is>
          <t>Pendente</t>
        </is>
      </c>
    </row>
    <row r="512" hidden="1" outlineLevel="2" ht="13.9" customHeight="1">
      <c r="A512" s="2117" t="n">
        <v>0</v>
      </c>
      <c r="B512" s="2117" t="n">
        <v>6</v>
      </c>
      <c r="C512" s="2117" t="n">
        <v>10</v>
      </c>
      <c r="D512" s="2118" t="n">
        <v>5</v>
      </c>
      <c r="E512" s="2118" t="n">
        <v>0</v>
      </c>
      <c r="G512" s="1740" t="n"/>
      <c r="H512" s="1741" t="inlineStr">
        <is>
          <t>SUBETAPA</t>
        </is>
      </c>
      <c r="I512" s="1742" t="inlineStr">
        <is>
          <t>06.010.005</t>
        </is>
      </c>
      <c r="J512" s="1743" t="inlineStr">
        <is>
          <t xml:space="preserve">Luminárias, lâmpadas e acessórios </t>
        </is>
      </c>
      <c r="K512" s="1744" t="n"/>
      <c r="L512" s="1745" t="n"/>
      <c r="M512" s="1745" t="n"/>
      <c r="N512" s="1746" t="n">
        <v>27073.2075376447</v>
      </c>
      <c r="O512" s="1747" t="n"/>
      <c r="P512" s="1720" t="n"/>
    </row>
    <row r="513" hidden="1" outlineLevel="3" ht="13.9" customHeight="1">
      <c r="A513" s="2117" t="n">
        <v>0</v>
      </c>
      <c r="B513" s="2117" t="n">
        <v>6</v>
      </c>
      <c r="C513" s="2117" t="n">
        <v>10</v>
      </c>
      <c r="D513" s="2118" t="n">
        <v>5</v>
      </c>
      <c r="E513" s="2118" t="n">
        <v>1</v>
      </c>
      <c r="G513" s="1790" t="inlineStr">
        <is>
          <t>SISTEMAS E INSTALAÇÕES ELÉTRICAS</t>
        </is>
      </c>
      <c r="H513" s="1749" t="inlineStr">
        <is>
          <t>SERVIÇO</t>
        </is>
      </c>
      <c r="I513" s="1750" t="inlineStr">
        <is>
          <t>06.010.005.001</t>
        </is>
      </c>
      <c r="J513" s="1751" t="inlineStr">
        <is>
          <t xml:space="preserve">Luminárias, lâmpadas e acessórios </t>
        </is>
      </c>
      <c r="K513" s="1752" t="inlineStr">
        <is>
          <t>vb</t>
        </is>
      </c>
      <c r="L513" s="1753" t="n">
        <v>1</v>
      </c>
      <c r="M513" s="1753" t="n">
        <v>27073.20753764466</v>
      </c>
      <c r="N513" s="1754" t="n">
        <v>27073.2075376447</v>
      </c>
      <c r="O513" s="1755" t="inlineStr">
        <is>
          <t>quantidades ESTIMADA, devido a ausência de quantitativos</t>
        </is>
      </c>
      <c r="P513" s="1721" t="inlineStr">
        <is>
          <t>Pendente</t>
        </is>
      </c>
    </row>
    <row r="514" hidden="1" outlineLevel="2" ht="13.9" customHeight="1">
      <c r="A514" s="2117" t="n">
        <v>0</v>
      </c>
      <c r="B514" s="2117" t="n">
        <v>6</v>
      </c>
      <c r="C514" s="2117" t="n">
        <v>10</v>
      </c>
      <c r="D514" s="2118" t="n">
        <v>6</v>
      </c>
      <c r="E514" s="2118" t="n">
        <v>0</v>
      </c>
      <c r="G514" s="1740" t="n"/>
      <c r="H514" s="1741" t="inlineStr">
        <is>
          <t>SUBETAPA</t>
        </is>
      </c>
      <c r="I514" s="1742" t="inlineStr">
        <is>
          <t>06.010.006</t>
        </is>
      </c>
      <c r="J514" s="1743" t="inlineStr">
        <is>
          <t>Mão de obra - Sistemas e instalações elétricas</t>
        </is>
      </c>
      <c r="K514" s="1744" t="n"/>
      <c r="L514" s="1745" t="n"/>
      <c r="M514" s="1745" t="n"/>
      <c r="N514" s="1746" t="n">
        <v>184473.6</v>
      </c>
      <c r="O514" s="1747" t="n"/>
      <c r="P514" s="1720" t="n"/>
    </row>
    <row r="515" hidden="1" outlineLevel="3" ht="13.9" customHeight="1">
      <c r="A515" s="2117" t="n">
        <v>0</v>
      </c>
      <c r="B515" s="2117" t="n">
        <v>6</v>
      </c>
      <c r="C515" s="2117" t="n">
        <v>10</v>
      </c>
      <c r="D515" s="2118" t="n">
        <v>6</v>
      </c>
      <c r="E515" s="2118" t="n">
        <v>1</v>
      </c>
      <c r="G515" s="1790" t="inlineStr">
        <is>
          <t>SISTEMAS E INSTALAÇÕES ELÉTRICAS</t>
        </is>
      </c>
      <c r="H515" s="1749" t="inlineStr">
        <is>
          <t>SERVIÇO</t>
        </is>
      </c>
      <c r="I515" s="1750" t="inlineStr">
        <is>
          <t>06.010.006.001</t>
        </is>
      </c>
      <c r="J515" s="1751" t="inlineStr">
        <is>
          <t>Mão de obra para instalações elétricas</t>
        </is>
      </c>
      <c r="K515" s="1752" t="inlineStr">
        <is>
          <t>vb</t>
        </is>
      </c>
      <c r="L515" s="1753" t="n">
        <v>1</v>
      </c>
      <c r="M515" s="1753" t="n">
        <v>184473.6000000001</v>
      </c>
      <c r="N515" s="1754" t="n">
        <v>184473.6</v>
      </c>
      <c r="O515" s="1755" t="inlineStr">
        <is>
          <t>Considerado conforme os contratos disponibilizados pelo GESSELE</t>
        </is>
      </c>
      <c r="P515" s="1721" t="inlineStr">
        <is>
          <t>Pendente</t>
        </is>
      </c>
    </row>
    <row r="516" hidden="1" outlineLevel="1" ht="13.9" customHeight="1">
      <c r="A516" s="2117" t="n">
        <v>0</v>
      </c>
      <c r="B516" s="2117" t="n">
        <v>6</v>
      </c>
      <c r="C516" s="2117" t="n">
        <v>11</v>
      </c>
      <c r="D516" s="2118" t="n">
        <v>0</v>
      </c>
      <c r="E516" s="2118" t="n">
        <v>1</v>
      </c>
      <c r="G516" s="1733" t="n"/>
      <c r="H516" s="1734" t="inlineStr">
        <is>
          <t>ETAPA</t>
        </is>
      </c>
      <c r="I516" s="1735" t="inlineStr">
        <is>
          <t>06.011</t>
        </is>
      </c>
      <c r="J516" s="1736" t="inlineStr">
        <is>
          <t>SISTEMAS E INSTALAÇÕES ELÉTRICAS - Penthouse x22</t>
        </is>
      </c>
      <c r="K516" s="1737" t="n"/>
      <c r="L516" s="1738" t="n"/>
      <c r="M516" s="1738" t="n"/>
      <c r="N516" s="1739" t="n">
        <v>857673.0542939</v>
      </c>
      <c r="O516" s="1722" t="n"/>
      <c r="P516" s="1725" t="n"/>
    </row>
    <row r="517" hidden="1" outlineLevel="2" ht="13.9" customHeight="1">
      <c r="A517" s="2117" t="n">
        <v>0</v>
      </c>
      <c r="B517" s="2117" t="n">
        <v>6</v>
      </c>
      <c r="C517" s="2117" t="n">
        <v>11</v>
      </c>
      <c r="D517" s="2118" t="n">
        <v>1</v>
      </c>
      <c r="E517" s="2118" t="n">
        <v>0</v>
      </c>
      <c r="G517" s="1740" t="n"/>
      <c r="H517" s="1741" t="inlineStr">
        <is>
          <t>SUBETAPA</t>
        </is>
      </c>
      <c r="I517" s="1742" t="inlineStr">
        <is>
          <t>06.011.001</t>
        </is>
      </c>
      <c r="J517" s="1743" t="inlineStr">
        <is>
          <t>Quadros elétricos e disjuntores</t>
        </is>
      </c>
      <c r="K517" s="1744" t="n"/>
      <c r="L517" s="1745" t="n"/>
      <c r="M517" s="1745" t="n"/>
      <c r="N517" s="1746" t="n">
        <v>40511.23</v>
      </c>
      <c r="O517" s="1747" t="n"/>
      <c r="P517" s="1720" t="n"/>
    </row>
    <row r="518" hidden="1" outlineLevel="3" ht="13.9" customHeight="1">
      <c r="A518" s="2117" t="n">
        <v>0</v>
      </c>
      <c r="B518" s="2117" t="n">
        <v>6</v>
      </c>
      <c r="C518" s="2117" t="n">
        <v>11</v>
      </c>
      <c r="D518" s="2118" t="n">
        <v>1</v>
      </c>
      <c r="E518" s="2118" t="n">
        <v>1</v>
      </c>
      <c r="G518" s="1790" t="inlineStr">
        <is>
          <t>SISTEMAS E INSTALAÇÕES ELÉTRICAS</t>
        </is>
      </c>
      <c r="H518" s="1749" t="inlineStr">
        <is>
          <t>SERVIÇO</t>
        </is>
      </c>
      <c r="I518" s="1750" t="inlineStr">
        <is>
          <t>06.011.001.001</t>
        </is>
      </c>
      <c r="J518" s="1751" t="inlineStr">
        <is>
          <t>Quadros elétricos e disjuntores</t>
        </is>
      </c>
      <c r="K518" s="1752" t="inlineStr">
        <is>
          <t>vb</t>
        </is>
      </c>
      <c r="L518" s="1753" t="n">
        <v>1</v>
      </c>
      <c r="M518" s="1753" t="n">
        <v>40511.23</v>
      </c>
      <c r="N518" s="1754" t="n">
        <v>40511.23</v>
      </c>
      <c r="O518" s="1755" t="inlineStr">
        <is>
          <t>quantidades conforme quantidades do projetista</t>
        </is>
      </c>
      <c r="P518" s="1721" t="inlineStr">
        <is>
          <t>Pendente</t>
        </is>
      </c>
    </row>
    <row r="519" hidden="1" outlineLevel="2" ht="13.9" customHeight="1">
      <c r="A519" s="2117" t="n">
        <v>0</v>
      </c>
      <c r="B519" s="2117" t="n">
        <v>6</v>
      </c>
      <c r="C519" s="2117" t="n">
        <v>11</v>
      </c>
      <c r="D519" s="2118" t="n">
        <v>2</v>
      </c>
      <c r="E519" s="2118" t="n">
        <v>0</v>
      </c>
      <c r="G519" s="1740" t="n"/>
      <c r="H519" s="1741" t="inlineStr">
        <is>
          <t>SUBETAPA</t>
        </is>
      </c>
      <c r="I519" s="1742" t="inlineStr">
        <is>
          <t>06.011.002</t>
        </is>
      </c>
      <c r="J519" s="1743" t="inlineStr">
        <is>
          <t>Eletrodutos e eletrocalhas</t>
        </is>
      </c>
      <c r="K519" s="1744" t="n"/>
      <c r="L519" s="1745" t="n"/>
      <c r="M519" s="1745" t="n"/>
      <c r="N519" s="1746" t="n">
        <v>44290.7</v>
      </c>
      <c r="O519" s="1747" t="n"/>
      <c r="P519" s="1720" t="n"/>
    </row>
    <row r="520" hidden="1" outlineLevel="3" ht="13.9" customHeight="1">
      <c r="A520" s="2117" t="n">
        <v>0</v>
      </c>
      <c r="B520" s="2117" t="n">
        <v>6</v>
      </c>
      <c r="C520" s="2117" t="n">
        <v>11</v>
      </c>
      <c r="D520" s="2118" t="n">
        <v>2</v>
      </c>
      <c r="E520" s="2118" t="n">
        <v>1</v>
      </c>
      <c r="G520" s="1790" t="inlineStr">
        <is>
          <t>SISTEMAS E INSTALAÇÕES ELÉTRICAS</t>
        </is>
      </c>
      <c r="H520" s="1749" t="inlineStr">
        <is>
          <t>SERVIÇO</t>
        </is>
      </c>
      <c r="I520" s="1750" t="inlineStr">
        <is>
          <t>06.011.002.001</t>
        </is>
      </c>
      <c r="J520" s="1751" t="inlineStr">
        <is>
          <t>Eletrodutos e eletrocalhas</t>
        </is>
      </c>
      <c r="K520" s="1752" t="inlineStr">
        <is>
          <t>vb</t>
        </is>
      </c>
      <c r="L520" s="1753" t="n">
        <v>1</v>
      </c>
      <c r="M520" s="1753" t="n">
        <v>44290.7</v>
      </c>
      <c r="N520" s="1754" t="n">
        <v>44290.7</v>
      </c>
      <c r="O520" s="1755" t="inlineStr">
        <is>
          <t>quantidades conforme quantidades do projetista</t>
        </is>
      </c>
      <c r="P520" s="1721" t="inlineStr">
        <is>
          <t>Pendente</t>
        </is>
      </c>
    </row>
    <row r="521" hidden="1" outlineLevel="2" ht="13.9" customHeight="1">
      <c r="A521" s="2117" t="n">
        <v>0</v>
      </c>
      <c r="B521" s="2117" t="n">
        <v>6</v>
      </c>
      <c r="C521" s="2117" t="n">
        <v>11</v>
      </c>
      <c r="D521" s="2118" t="n">
        <v>3</v>
      </c>
      <c r="E521" s="2118" t="n">
        <v>0</v>
      </c>
      <c r="G521" s="1740" t="n"/>
      <c r="H521" s="1741" t="inlineStr">
        <is>
          <t>SUBETAPA</t>
        </is>
      </c>
      <c r="I521" s="1742" t="inlineStr">
        <is>
          <t>06.011.003</t>
        </is>
      </c>
      <c r="J521" s="1743" t="inlineStr">
        <is>
          <t>Fios e cabos elétricos</t>
        </is>
      </c>
      <c r="K521" s="1744" t="n"/>
      <c r="L521" s="1745" t="n"/>
      <c r="M521" s="1745" t="n"/>
      <c r="N521" s="1746" t="n">
        <v>121966.558</v>
      </c>
      <c r="O521" s="1747" t="n"/>
      <c r="P521" s="1720" t="n"/>
    </row>
    <row r="522" hidden="1" outlineLevel="3" ht="13.9" customHeight="1">
      <c r="A522" s="2117" t="n">
        <v>0</v>
      </c>
      <c r="B522" s="2117" t="n">
        <v>6</v>
      </c>
      <c r="C522" s="2117" t="n">
        <v>11</v>
      </c>
      <c r="D522" s="2118" t="n">
        <v>3</v>
      </c>
      <c r="E522" s="2118" t="n">
        <v>1</v>
      </c>
      <c r="G522" s="1790" t="inlineStr">
        <is>
          <t>SISTEMAS E INSTALAÇÕES ELÉTRICAS</t>
        </is>
      </c>
      <c r="H522" s="1749" t="inlineStr">
        <is>
          <t>SERVIÇO</t>
        </is>
      </c>
      <c r="I522" s="1750" t="inlineStr">
        <is>
          <t>06.011.003.001</t>
        </is>
      </c>
      <c r="J522" s="1751" t="inlineStr">
        <is>
          <t>Fios e cabos elétricos</t>
        </is>
      </c>
      <c r="K522" s="1752" t="inlineStr">
        <is>
          <t>vb</t>
        </is>
      </c>
      <c r="L522" s="1753" t="n">
        <v>1</v>
      </c>
      <c r="M522" s="1753" t="n">
        <v>121966.558</v>
      </c>
      <c r="N522" s="1754" t="n">
        <v>121966.558</v>
      </c>
      <c r="O522" s="1755" t="inlineStr">
        <is>
          <t>quantidades conforme quantidades do projetista</t>
        </is>
      </c>
      <c r="P522" s="1721" t="inlineStr">
        <is>
          <t>Pendente</t>
        </is>
      </c>
    </row>
    <row r="523" hidden="1" outlineLevel="2" ht="13.9" customHeight="1">
      <c r="A523" s="2117" t="n">
        <v>0</v>
      </c>
      <c r="B523" s="2117" t="n">
        <v>6</v>
      </c>
      <c r="C523" s="2117" t="n">
        <v>11</v>
      </c>
      <c r="D523" s="2118" t="n">
        <v>4</v>
      </c>
      <c r="E523" s="2118" t="n">
        <v>0</v>
      </c>
      <c r="G523" s="1740" t="n"/>
      <c r="H523" s="1741" t="inlineStr">
        <is>
          <t>SUBETAPA</t>
        </is>
      </c>
      <c r="I523" s="1742" t="inlineStr">
        <is>
          <t>06.011.004</t>
        </is>
      </c>
      <c r="J523" s="1743" t="inlineStr">
        <is>
          <t>Pontos de tomadas e interruptores</t>
        </is>
      </c>
      <c r="K523" s="1744" t="n"/>
      <c r="L523" s="1745" t="n"/>
      <c r="M523" s="1745" t="n"/>
      <c r="N523" s="1746" t="n">
        <v>72230.44</v>
      </c>
      <c r="O523" s="1747" t="n"/>
      <c r="P523" s="1720" t="n"/>
    </row>
    <row r="524" hidden="1" outlineLevel="3" ht="13.9" customHeight="1">
      <c r="A524" s="2117" t="n">
        <v>0</v>
      </c>
      <c r="B524" s="2117" t="n">
        <v>6</v>
      </c>
      <c r="C524" s="2117" t="n">
        <v>11</v>
      </c>
      <c r="D524" s="2118" t="n">
        <v>4</v>
      </c>
      <c r="E524" s="2118" t="n">
        <v>1</v>
      </c>
      <c r="G524" s="1790" t="inlineStr">
        <is>
          <t>SISTEMAS E INSTALAÇÕES ELÉTRICAS</t>
        </is>
      </c>
      <c r="H524" s="1749" t="inlineStr">
        <is>
          <t>SERVIÇO</t>
        </is>
      </c>
      <c r="I524" s="1750" t="inlineStr">
        <is>
          <t>06.011.004.001</t>
        </is>
      </c>
      <c r="J524" s="1751" t="inlineStr">
        <is>
          <t>Pontos de tomadas e interruptores</t>
        </is>
      </c>
      <c r="K524" s="1752" t="inlineStr">
        <is>
          <t>vb</t>
        </is>
      </c>
      <c r="L524" s="1753" t="n">
        <v>1</v>
      </c>
      <c r="M524" s="1753" t="n">
        <v>72230.44</v>
      </c>
      <c r="N524" s="1754" t="n">
        <v>72230.44</v>
      </c>
      <c r="O524" s="1755" t="inlineStr">
        <is>
          <t>quantidades conforme quantidades do projetista</t>
        </is>
      </c>
      <c r="P524" s="1721" t="inlineStr">
        <is>
          <t>Pendente</t>
        </is>
      </c>
    </row>
    <row r="525" hidden="1" outlineLevel="2" ht="13.9" customHeight="1">
      <c r="A525" s="2117" t="n">
        <v>0</v>
      </c>
      <c r="B525" s="2117" t="n">
        <v>6</v>
      </c>
      <c r="C525" s="2117" t="n">
        <v>11</v>
      </c>
      <c r="D525" s="2118" t="n">
        <v>5</v>
      </c>
      <c r="E525" s="2118" t="n">
        <v>0</v>
      </c>
      <c r="G525" s="1740" t="n"/>
      <c r="H525" s="1741" t="inlineStr">
        <is>
          <t>SUBETAPA</t>
        </is>
      </c>
      <c r="I525" s="1742" t="inlineStr">
        <is>
          <t>06.011.005</t>
        </is>
      </c>
      <c r="J525" s="1743" t="inlineStr">
        <is>
          <t xml:space="preserve">Luminárias, lâmpadas e acessórios </t>
        </is>
      </c>
      <c r="K525" s="1744" t="n"/>
      <c r="L525" s="1745" t="n"/>
      <c r="M525" s="1745" t="n"/>
      <c r="N525" s="1746" t="n">
        <v>71104.6462939004</v>
      </c>
      <c r="O525" s="1747" t="n"/>
      <c r="P525" s="1720" t="n"/>
    </row>
    <row r="526" hidden="1" outlineLevel="3" ht="13.9" customHeight="1">
      <c r="A526" s="2117" t="n">
        <v>0</v>
      </c>
      <c r="B526" s="2117" t="n">
        <v>6</v>
      </c>
      <c r="C526" s="2117" t="n">
        <v>11</v>
      </c>
      <c r="D526" s="2118" t="n">
        <v>5</v>
      </c>
      <c r="E526" s="2118" t="n">
        <v>1</v>
      </c>
      <c r="G526" s="1790" t="inlineStr">
        <is>
          <t>SISTEMAS E INSTALAÇÕES ELÉTRICAS</t>
        </is>
      </c>
      <c r="H526" s="1749" t="inlineStr">
        <is>
          <t>SERVIÇO</t>
        </is>
      </c>
      <c r="I526" s="1750" t="inlineStr">
        <is>
          <t>06.011.005.001</t>
        </is>
      </c>
      <c r="J526" s="1751" t="inlineStr">
        <is>
          <t xml:space="preserve">Luminárias, lâmpadas e acessórios </t>
        </is>
      </c>
      <c r="K526" s="1752" t="inlineStr">
        <is>
          <t>vb</t>
        </is>
      </c>
      <c r="L526" s="1753" t="n">
        <v>1</v>
      </c>
      <c r="M526" s="1753" t="n">
        <v>71104.64629390041</v>
      </c>
      <c r="N526" s="1754" t="n">
        <v>71104.6462939004</v>
      </c>
      <c r="O526" s="1755" t="inlineStr">
        <is>
          <t>quantidades ESTIMADA, devido a ausência de quantitativos</t>
        </is>
      </c>
      <c r="P526" s="1721" t="inlineStr">
        <is>
          <t>Pendente</t>
        </is>
      </c>
    </row>
    <row r="527" hidden="1" outlineLevel="2" ht="13.9" customHeight="1">
      <c r="A527" s="2117" t="n">
        <v>0</v>
      </c>
      <c r="B527" s="2117" t="n">
        <v>6</v>
      </c>
      <c r="C527" s="2117" t="n">
        <v>11</v>
      </c>
      <c r="D527" s="2118" t="n">
        <v>6</v>
      </c>
      <c r="E527" s="2118" t="n">
        <v>0</v>
      </c>
      <c r="G527" s="1740" t="n"/>
      <c r="H527" s="1741" t="inlineStr">
        <is>
          <t>SUBETAPA</t>
        </is>
      </c>
      <c r="I527" s="1742" t="inlineStr">
        <is>
          <t>06.011.006</t>
        </is>
      </c>
      <c r="J527" s="1743" t="inlineStr">
        <is>
          <t>Mão de obra - Sistemas e instalações elétricas</t>
        </is>
      </c>
      <c r="K527" s="1744" t="n"/>
      <c r="L527" s="1745" t="n"/>
      <c r="M527" s="1745" t="n"/>
      <c r="N527" s="1746" t="n">
        <v>507569.48</v>
      </c>
      <c r="O527" s="1747" t="n"/>
      <c r="P527" s="1720" t="n"/>
    </row>
    <row r="528" hidden="1" outlineLevel="3" ht="13.9" customHeight="1">
      <c r="A528" s="2117" t="n">
        <v>0</v>
      </c>
      <c r="B528" s="2117" t="n">
        <v>6</v>
      </c>
      <c r="C528" s="2117" t="n">
        <v>11</v>
      </c>
      <c r="D528" s="2118" t="n">
        <v>6</v>
      </c>
      <c r="E528" s="2118" t="n">
        <v>1</v>
      </c>
      <c r="G528" s="1790" t="inlineStr">
        <is>
          <t>SISTEMAS E INSTALAÇÕES ELÉTRICAS</t>
        </is>
      </c>
      <c r="H528" s="1749" t="inlineStr">
        <is>
          <t>SERVIÇO</t>
        </is>
      </c>
      <c r="I528" s="1750" t="inlineStr">
        <is>
          <t>06.011.006.001</t>
        </is>
      </c>
      <c r="J528" s="1751" t="inlineStr">
        <is>
          <t>Mão de obra para instalações elétricas</t>
        </is>
      </c>
      <c r="K528" s="1752" t="inlineStr">
        <is>
          <t>vb</t>
        </is>
      </c>
      <c r="L528" s="1753" t="n">
        <v>1</v>
      </c>
      <c r="M528" s="1753" t="n">
        <v>507569.4799999996</v>
      </c>
      <c r="N528" s="1754" t="n">
        <v>507569.48</v>
      </c>
      <c r="O528" s="1755" t="inlineStr">
        <is>
          <t>Considerado conforme os contratos disponibilizados pelo GESSELE</t>
        </is>
      </c>
      <c r="P528" s="1721" t="inlineStr">
        <is>
          <t>Pendente</t>
        </is>
      </c>
    </row>
    <row r="529" hidden="1" outlineLevel="1" ht="13.9" customHeight="1">
      <c r="A529" s="2117" t="n">
        <v>0</v>
      </c>
      <c r="B529" s="2117" t="n">
        <v>6</v>
      </c>
      <c r="C529" s="2117" t="n">
        <v>12</v>
      </c>
      <c r="D529" s="2118" t="n">
        <v>0</v>
      </c>
      <c r="E529" s="2118" t="n">
        <v>1</v>
      </c>
      <c r="G529" s="1733" t="n"/>
      <c r="H529" s="1734" t="inlineStr">
        <is>
          <t>ETAPA</t>
        </is>
      </c>
      <c r="I529" s="1735" t="inlineStr">
        <is>
          <t>06.012</t>
        </is>
      </c>
      <c r="J529" s="1736" t="inlineStr">
        <is>
          <t>SISTEMAS E INSTALAÇÕES ELÉTRICAS - Duplex Inferior</t>
        </is>
      </c>
      <c r="K529" s="1737" t="n"/>
      <c r="L529" s="1738" t="n"/>
      <c r="M529" s="1738" t="n"/>
      <c r="N529" s="1739" t="n">
        <v>38786.3015378048</v>
      </c>
      <c r="O529" s="1722" t="n"/>
      <c r="P529" s="1725" t="n"/>
    </row>
    <row r="530" hidden="1" outlineLevel="2" ht="13.9" customHeight="1">
      <c r="A530" s="2117" t="n">
        <v>0</v>
      </c>
      <c r="B530" s="2117" t="n">
        <v>6</v>
      </c>
      <c r="C530" s="2117" t="n">
        <v>12</v>
      </c>
      <c r="D530" s="2118" t="n">
        <v>1</v>
      </c>
      <c r="E530" s="2118" t="n">
        <v>0</v>
      </c>
      <c r="G530" s="1740" t="n"/>
      <c r="H530" s="1741" t="inlineStr">
        <is>
          <t>SUBETAPA</t>
        </is>
      </c>
      <c r="I530" s="1742" t="inlineStr">
        <is>
          <t>06.012.001</t>
        </is>
      </c>
      <c r="J530" s="1743" t="inlineStr">
        <is>
          <t>Quadros elétricos e disjuntores</t>
        </is>
      </c>
      <c r="K530" s="1744" t="n"/>
      <c r="L530" s="1745" t="n"/>
      <c r="M530" s="1745" t="n"/>
      <c r="N530" s="1746" t="n">
        <v>1688.57</v>
      </c>
      <c r="O530" s="1747" t="n"/>
      <c r="P530" s="1720" t="n"/>
    </row>
    <row r="531" hidden="1" outlineLevel="3" ht="13.9" customHeight="1">
      <c r="A531" s="2117" t="n">
        <v>0</v>
      </c>
      <c r="B531" s="2117" t="n">
        <v>6</v>
      </c>
      <c r="C531" s="2117" t="n">
        <v>12</v>
      </c>
      <c r="D531" s="2118" t="n">
        <v>1</v>
      </c>
      <c r="E531" s="2118" t="n">
        <v>1</v>
      </c>
      <c r="G531" s="1790" t="inlineStr">
        <is>
          <t>SISTEMAS E INSTALAÇÕES ELÉTRICAS</t>
        </is>
      </c>
      <c r="H531" s="1749" t="inlineStr">
        <is>
          <t>SERVIÇO</t>
        </is>
      </c>
      <c r="I531" s="1750" t="inlineStr">
        <is>
          <t>06.012.001.001</t>
        </is>
      </c>
      <c r="J531" s="1751" t="inlineStr">
        <is>
          <t>Quadros elétricos e disjuntores</t>
        </is>
      </c>
      <c r="K531" s="1752" t="inlineStr">
        <is>
          <t>vb</t>
        </is>
      </c>
      <c r="L531" s="1753" t="n">
        <v>1</v>
      </c>
      <c r="M531" s="1753" t="n">
        <v>1688.57</v>
      </c>
      <c r="N531" s="1754" t="n">
        <v>1688.57</v>
      </c>
      <c r="O531" s="1755" t="inlineStr">
        <is>
          <t>quantidades conforme quantidades do projetista</t>
        </is>
      </c>
      <c r="P531" s="1721" t="inlineStr">
        <is>
          <t>Pendente</t>
        </is>
      </c>
    </row>
    <row r="532" hidden="1" outlineLevel="2" ht="13.9" customHeight="1">
      <c r="A532" s="2117" t="n">
        <v>0</v>
      </c>
      <c r="B532" s="2117" t="n">
        <v>6</v>
      </c>
      <c r="C532" s="2117" t="n">
        <v>12</v>
      </c>
      <c r="D532" s="2118" t="n">
        <v>2</v>
      </c>
      <c r="E532" s="2118" t="n">
        <v>0</v>
      </c>
      <c r="G532" s="1740" t="n"/>
      <c r="H532" s="1741" t="inlineStr">
        <is>
          <t>SUBETAPA</t>
        </is>
      </c>
      <c r="I532" s="1742" t="inlineStr">
        <is>
          <t>06.012.002</t>
        </is>
      </c>
      <c r="J532" s="1743" t="inlineStr">
        <is>
          <t>Eletrodutos e eletrocalhas</t>
        </is>
      </c>
      <c r="K532" s="1744" t="n"/>
      <c r="L532" s="1745" t="n"/>
      <c r="M532" s="1745" t="n"/>
      <c r="N532" s="1746" t="n">
        <v>2018.1</v>
      </c>
      <c r="O532" s="1747" t="n"/>
      <c r="P532" s="1720" t="n"/>
    </row>
    <row r="533" hidden="1" outlineLevel="3" ht="13.9" customHeight="1">
      <c r="A533" s="2117" t="n">
        <v>0</v>
      </c>
      <c r="B533" s="2117" t="n">
        <v>6</v>
      </c>
      <c r="C533" s="2117" t="n">
        <v>12</v>
      </c>
      <c r="D533" s="2118" t="n">
        <v>2</v>
      </c>
      <c r="E533" s="2118" t="n">
        <v>1</v>
      </c>
      <c r="G533" s="1790" t="inlineStr">
        <is>
          <t>SISTEMAS E INSTALAÇÕES ELÉTRICAS</t>
        </is>
      </c>
      <c r="H533" s="1749" t="inlineStr">
        <is>
          <t>SERVIÇO</t>
        </is>
      </c>
      <c r="I533" s="1750" t="inlineStr">
        <is>
          <t>06.012.002.001</t>
        </is>
      </c>
      <c r="J533" s="1751" t="inlineStr">
        <is>
          <t>Eletrodutos e eletrocalhas</t>
        </is>
      </c>
      <c r="K533" s="1752" t="inlineStr">
        <is>
          <t>vb</t>
        </is>
      </c>
      <c r="L533" s="1753" t="n">
        <v>1</v>
      </c>
      <c r="M533" s="1753" t="n">
        <v>2018.1</v>
      </c>
      <c r="N533" s="1754" t="n">
        <v>2018.1</v>
      </c>
      <c r="O533" s="1755" t="inlineStr">
        <is>
          <t>quantidades conforme quantidades do projetista</t>
        </is>
      </c>
      <c r="P533" s="1721" t="inlineStr">
        <is>
          <t>Pendente</t>
        </is>
      </c>
    </row>
    <row r="534" hidden="1" outlineLevel="2" ht="13.9" customHeight="1">
      <c r="A534" s="2117" t="n">
        <v>0</v>
      </c>
      <c r="B534" s="2117" t="n">
        <v>6</v>
      </c>
      <c r="C534" s="2117" t="n">
        <v>12</v>
      </c>
      <c r="D534" s="2118" t="n">
        <v>3</v>
      </c>
      <c r="E534" s="2118" t="n">
        <v>0</v>
      </c>
      <c r="G534" s="1740" t="n"/>
      <c r="H534" s="1741" t="inlineStr">
        <is>
          <t>SUBETAPA</t>
        </is>
      </c>
      <c r="I534" s="1742" t="inlineStr">
        <is>
          <t>06.012.003</t>
        </is>
      </c>
      <c r="J534" s="1743" t="inlineStr">
        <is>
          <t>Fios e cabos elétricos</t>
        </is>
      </c>
      <c r="K534" s="1744" t="n"/>
      <c r="L534" s="1745" t="n"/>
      <c r="M534" s="1745" t="n"/>
      <c r="N534" s="1746" t="n">
        <v>6066.446</v>
      </c>
      <c r="O534" s="1747" t="n"/>
      <c r="P534" s="1720" t="n"/>
    </row>
    <row r="535" hidden="1" outlineLevel="3" ht="13.9" customHeight="1">
      <c r="A535" s="2117" t="n">
        <v>0</v>
      </c>
      <c r="B535" s="2117" t="n">
        <v>6</v>
      </c>
      <c r="C535" s="2117" t="n">
        <v>12</v>
      </c>
      <c r="D535" s="2118" t="n">
        <v>3</v>
      </c>
      <c r="E535" s="2118" t="n">
        <v>1</v>
      </c>
      <c r="G535" s="1790" t="inlineStr">
        <is>
          <t>SISTEMAS E INSTALAÇÕES ELÉTRICAS</t>
        </is>
      </c>
      <c r="H535" s="1749" t="inlineStr">
        <is>
          <t>SERVIÇO</t>
        </is>
      </c>
      <c r="I535" s="1750" t="inlineStr">
        <is>
          <t>06.012.003.001</t>
        </is>
      </c>
      <c r="J535" s="1751" t="inlineStr">
        <is>
          <t>Fios e cabos elétricos</t>
        </is>
      </c>
      <c r="K535" s="1752" t="inlineStr">
        <is>
          <t>vb</t>
        </is>
      </c>
      <c r="L535" s="1753" t="n">
        <v>1</v>
      </c>
      <c r="M535" s="1753" t="n">
        <v>6066.446000000001</v>
      </c>
      <c r="N535" s="1754" t="n">
        <v>6066.446</v>
      </c>
      <c r="O535" s="1755" t="inlineStr">
        <is>
          <t>quantidades conforme quantidades do projetista</t>
        </is>
      </c>
      <c r="P535" s="1721" t="inlineStr">
        <is>
          <t>Pendente</t>
        </is>
      </c>
    </row>
    <row r="536" hidden="1" outlineLevel="2" ht="13.9" customHeight="1">
      <c r="A536" s="2117" t="n">
        <v>0</v>
      </c>
      <c r="B536" s="2117" t="n">
        <v>6</v>
      </c>
      <c r="C536" s="2117" t="n">
        <v>12</v>
      </c>
      <c r="D536" s="2118" t="n">
        <v>4</v>
      </c>
      <c r="E536" s="2118" t="n">
        <v>0</v>
      </c>
      <c r="G536" s="1740" t="n"/>
      <c r="H536" s="1741" t="inlineStr">
        <is>
          <t>SUBETAPA</t>
        </is>
      </c>
      <c r="I536" s="1742" t="inlineStr">
        <is>
          <t>06.012.004</t>
        </is>
      </c>
      <c r="J536" s="1743" t="inlineStr">
        <is>
          <t>Pontos de tomadas e interruptores</t>
        </is>
      </c>
      <c r="K536" s="1744" t="n"/>
      <c r="L536" s="1745" t="n"/>
      <c r="M536" s="1745" t="n"/>
      <c r="N536" s="1746" t="n">
        <v>3362.31</v>
      </c>
      <c r="O536" s="1747" t="n"/>
      <c r="P536" s="1720" t="n"/>
    </row>
    <row r="537" hidden="1" outlineLevel="3" ht="13.9" customHeight="1">
      <c r="A537" s="2117" t="n">
        <v>0</v>
      </c>
      <c r="B537" s="2117" t="n">
        <v>6</v>
      </c>
      <c r="C537" s="2117" t="n">
        <v>12</v>
      </c>
      <c r="D537" s="2118" t="n">
        <v>4</v>
      </c>
      <c r="E537" s="2118" t="n">
        <v>1</v>
      </c>
      <c r="G537" s="1790" t="inlineStr">
        <is>
          <t>SISTEMAS E INSTALAÇÕES ELÉTRICAS</t>
        </is>
      </c>
      <c r="H537" s="1749" t="inlineStr">
        <is>
          <t>SERVIÇO</t>
        </is>
      </c>
      <c r="I537" s="1750" t="inlineStr">
        <is>
          <t>06.012.004.001</t>
        </is>
      </c>
      <c r="J537" s="1751" t="inlineStr">
        <is>
          <t>Pontos de tomadas e interruptores</t>
        </is>
      </c>
      <c r="K537" s="1752" t="inlineStr">
        <is>
          <t>vb</t>
        </is>
      </c>
      <c r="L537" s="1753" t="n">
        <v>1</v>
      </c>
      <c r="M537" s="1753" t="n">
        <v>3362.31</v>
      </c>
      <c r="N537" s="1754" t="n">
        <v>3362.31</v>
      </c>
      <c r="O537" s="1755" t="inlineStr">
        <is>
          <t>quantidades conforme quantidades do projetista</t>
        </is>
      </c>
      <c r="P537" s="1721" t="inlineStr">
        <is>
          <t>Pendente</t>
        </is>
      </c>
    </row>
    <row r="538" hidden="1" outlineLevel="2" ht="13.9" customHeight="1">
      <c r="A538" s="2117" t="n">
        <v>0</v>
      </c>
      <c r="B538" s="2117" t="n">
        <v>6</v>
      </c>
      <c r="C538" s="2117" t="n">
        <v>12</v>
      </c>
      <c r="D538" s="2118" t="n">
        <v>5</v>
      </c>
      <c r="E538" s="2118" t="n">
        <v>0</v>
      </c>
      <c r="G538" s="1740" t="n"/>
      <c r="H538" s="1741" t="inlineStr">
        <is>
          <t>SUBETAPA</t>
        </is>
      </c>
      <c r="I538" s="1742" t="inlineStr">
        <is>
          <t>06.012.005</t>
        </is>
      </c>
      <c r="J538" s="1743" t="inlineStr">
        <is>
          <t xml:space="preserve">Luminárias, lâmpadas e acessórios </t>
        </is>
      </c>
      <c r="K538" s="1744" t="n"/>
      <c r="L538" s="1745" t="n"/>
      <c r="M538" s="1745" t="n"/>
      <c r="N538" s="1746" t="n">
        <v>3385.93553780478</v>
      </c>
      <c r="O538" s="1747" t="n"/>
      <c r="P538" s="1720" t="n"/>
    </row>
    <row r="539" hidden="1" outlineLevel="3" ht="13.9" customHeight="1">
      <c r="A539" s="2117" t="n">
        <v>0</v>
      </c>
      <c r="B539" s="2117" t="n">
        <v>6</v>
      </c>
      <c r="C539" s="2117" t="n">
        <v>12</v>
      </c>
      <c r="D539" s="2118" t="n">
        <v>5</v>
      </c>
      <c r="E539" s="2118" t="n">
        <v>1</v>
      </c>
      <c r="G539" s="1790" t="inlineStr">
        <is>
          <t>SISTEMAS E INSTALAÇÕES ELÉTRICAS</t>
        </is>
      </c>
      <c r="H539" s="1749" t="inlineStr">
        <is>
          <t>SERVIÇO</t>
        </is>
      </c>
      <c r="I539" s="1750" t="inlineStr">
        <is>
          <t>06.012.005.001</t>
        </is>
      </c>
      <c r="J539" s="1751" t="inlineStr">
        <is>
          <t xml:space="preserve">Luminárias, lâmpadas e acessórios </t>
        </is>
      </c>
      <c r="K539" s="1752" t="inlineStr">
        <is>
          <t>vb</t>
        </is>
      </c>
      <c r="L539" s="1753" t="n">
        <v>1</v>
      </c>
      <c r="M539" s="1753" t="n">
        <v>3385.935537804781</v>
      </c>
      <c r="N539" s="1754" t="n">
        <v>3385.93553780478</v>
      </c>
      <c r="O539" s="1755" t="inlineStr">
        <is>
          <t>quantidades ESTIMADA, devido a ausência de quantitativos</t>
        </is>
      </c>
      <c r="P539" s="1721" t="inlineStr">
        <is>
          <t>Pendente</t>
        </is>
      </c>
    </row>
    <row r="540" hidden="1" outlineLevel="2" ht="13.9" customHeight="1">
      <c r="A540" s="2117" t="n">
        <v>0</v>
      </c>
      <c r="B540" s="2117" t="n">
        <v>6</v>
      </c>
      <c r="C540" s="2117" t="n">
        <v>12</v>
      </c>
      <c r="D540" s="2118" t="n">
        <v>6</v>
      </c>
      <c r="E540" s="2118" t="n">
        <v>0</v>
      </c>
      <c r="G540" s="1740" t="n"/>
      <c r="H540" s="1741" t="inlineStr">
        <is>
          <t>SUBETAPA</t>
        </is>
      </c>
      <c r="I540" s="1742" t="inlineStr">
        <is>
          <t>06.012.006</t>
        </is>
      </c>
      <c r="J540" s="1743" t="inlineStr">
        <is>
          <t>Mão de obra - Sistemas e instalações elétricas</t>
        </is>
      </c>
      <c r="K540" s="1744" t="n"/>
      <c r="L540" s="1745" t="n"/>
      <c r="M540" s="1745" t="n"/>
      <c r="N540" s="1746" t="n">
        <v>22264.94</v>
      </c>
      <c r="O540" s="1747" t="n"/>
      <c r="P540" s="1720" t="n"/>
    </row>
    <row r="541" hidden="1" outlineLevel="3" ht="13.9" customHeight="1">
      <c r="A541" s="2117" t="n">
        <v>0</v>
      </c>
      <c r="B541" s="2117" t="n">
        <v>6</v>
      </c>
      <c r="C541" s="2117" t="n">
        <v>12</v>
      </c>
      <c r="D541" s="2118" t="n">
        <v>6</v>
      </c>
      <c r="E541" s="2118" t="n">
        <v>1</v>
      </c>
      <c r="G541" s="1790" t="inlineStr">
        <is>
          <t>SISTEMAS E INSTALAÇÕES ELÉTRICAS</t>
        </is>
      </c>
      <c r="H541" s="1749" t="inlineStr">
        <is>
          <t>SERVIÇO</t>
        </is>
      </c>
      <c r="I541" s="1750" t="inlineStr">
        <is>
          <t>06.012.006.001</t>
        </is>
      </c>
      <c r="J541" s="1751" t="inlineStr">
        <is>
          <t>Mão de obra para instalações elétricas</t>
        </is>
      </c>
      <c r="K541" s="1752" t="inlineStr">
        <is>
          <t>vb</t>
        </is>
      </c>
      <c r="L541" s="1753" t="n">
        <v>1</v>
      </c>
      <c r="M541" s="1753" t="n">
        <v>22264.94</v>
      </c>
      <c r="N541" s="1754" t="n">
        <v>22264.94</v>
      </c>
      <c r="O541" s="1755" t="inlineStr">
        <is>
          <t>Considerado conforme os contratos disponibilizados pelo GESSELE</t>
        </is>
      </c>
      <c r="P541" s="1721" t="inlineStr">
        <is>
          <t>Pendente</t>
        </is>
      </c>
    </row>
    <row r="542" hidden="1" outlineLevel="1" ht="13.9" customHeight="1">
      <c r="A542" s="2117" t="n">
        <v>0</v>
      </c>
      <c r="B542" s="2117" t="n">
        <v>6</v>
      </c>
      <c r="C542" s="2117" t="n">
        <v>13</v>
      </c>
      <c r="D542" s="2118" t="n">
        <v>0</v>
      </c>
      <c r="E542" s="2118" t="n">
        <v>1</v>
      </c>
      <c r="G542" s="1733" t="n"/>
      <c r="H542" s="1734" t="inlineStr">
        <is>
          <t>ETAPA</t>
        </is>
      </c>
      <c r="I542" s="1735" t="inlineStr">
        <is>
          <t>06.013</t>
        </is>
      </c>
      <c r="J542" s="1736" t="inlineStr">
        <is>
          <t>SISTEMAS E INSTALAÇÕES ELÉTRICAS - Duplex Superior</t>
        </is>
      </c>
      <c r="K542" s="1737" t="n"/>
      <c r="L542" s="1738" t="n"/>
      <c r="M542" s="1738" t="n"/>
      <c r="N542" s="1739" t="n">
        <v>35206.8635421329</v>
      </c>
      <c r="O542" s="1722" t="n"/>
      <c r="P542" s="1725" t="n"/>
    </row>
    <row r="543" hidden="1" outlineLevel="2" ht="13.9" customHeight="1">
      <c r="A543" s="2117" t="n">
        <v>0</v>
      </c>
      <c r="B543" s="2117" t="n">
        <v>6</v>
      </c>
      <c r="C543" s="2117" t="n">
        <v>13</v>
      </c>
      <c r="D543" s="2118" t="n">
        <v>1</v>
      </c>
      <c r="E543" s="2118" t="n">
        <v>0</v>
      </c>
      <c r="G543" s="1740" t="n"/>
      <c r="H543" s="1741" t="inlineStr">
        <is>
          <t>SUBETAPA</t>
        </is>
      </c>
      <c r="I543" s="1742" t="inlineStr">
        <is>
          <t>06.013.001</t>
        </is>
      </c>
      <c r="J543" s="1743" t="inlineStr">
        <is>
          <t>Quadros elétricos e disjuntores</t>
        </is>
      </c>
      <c r="K543" s="1744" t="n"/>
      <c r="L543" s="1745" t="n"/>
      <c r="M543" s="1745" t="n"/>
      <c r="N543" s="1746" t="n">
        <v>1914.35</v>
      </c>
      <c r="O543" s="1747" t="n"/>
      <c r="P543" s="1720" t="n"/>
    </row>
    <row r="544" hidden="1" outlineLevel="3" ht="13.9" customHeight="1">
      <c r="A544" s="2117" t="n">
        <v>0</v>
      </c>
      <c r="B544" s="2117" t="n">
        <v>6</v>
      </c>
      <c r="C544" s="2117" t="n">
        <v>13</v>
      </c>
      <c r="D544" s="2118" t="n">
        <v>1</v>
      </c>
      <c r="E544" s="2118" t="n">
        <v>1</v>
      </c>
      <c r="G544" s="1790" t="inlineStr">
        <is>
          <t>SISTEMAS E INSTALAÇÕES ELÉTRICAS</t>
        </is>
      </c>
      <c r="H544" s="1749" t="inlineStr">
        <is>
          <t>SERVIÇO</t>
        </is>
      </c>
      <c r="I544" s="1750" t="inlineStr">
        <is>
          <t>06.013.001.001</t>
        </is>
      </c>
      <c r="J544" s="1751" t="inlineStr">
        <is>
          <t>Quadros elétricos e disjuntores</t>
        </is>
      </c>
      <c r="K544" s="1752" t="inlineStr">
        <is>
          <t>vb</t>
        </is>
      </c>
      <c r="L544" s="1753" t="n">
        <v>1</v>
      </c>
      <c r="M544" s="1753" t="n">
        <v>1914.35</v>
      </c>
      <c r="N544" s="1754" t="n">
        <v>1914.35</v>
      </c>
      <c r="O544" s="1755" t="inlineStr">
        <is>
          <t>quantidades conforme quantidades do projetista</t>
        </is>
      </c>
      <c r="P544" s="1721" t="inlineStr">
        <is>
          <t>Pendente</t>
        </is>
      </c>
    </row>
    <row r="545" hidden="1" outlineLevel="2" ht="13.9" customHeight="1">
      <c r="A545" s="2117" t="n">
        <v>0</v>
      </c>
      <c r="B545" s="2117" t="n">
        <v>6</v>
      </c>
      <c r="C545" s="2117" t="n">
        <v>13</v>
      </c>
      <c r="D545" s="2118" t="n">
        <v>2</v>
      </c>
      <c r="E545" s="2118" t="n">
        <v>0</v>
      </c>
      <c r="G545" s="1740" t="n"/>
      <c r="H545" s="1741" t="inlineStr">
        <is>
          <t>SUBETAPA</t>
        </is>
      </c>
      <c r="I545" s="1742" t="inlineStr">
        <is>
          <t>06.013.002</t>
        </is>
      </c>
      <c r="J545" s="1743" t="inlineStr">
        <is>
          <t>Eletrodutos e eletrocalhas</t>
        </is>
      </c>
      <c r="K545" s="1744" t="n"/>
      <c r="L545" s="1745" t="n"/>
      <c r="M545" s="1745" t="n"/>
      <c r="N545" s="1746" t="n">
        <v>1498.65</v>
      </c>
      <c r="O545" s="1747" t="n"/>
      <c r="P545" s="1720" t="n"/>
    </row>
    <row r="546" hidden="1" outlineLevel="3" ht="13.9" customHeight="1">
      <c r="A546" s="2117" t="n">
        <v>0</v>
      </c>
      <c r="B546" s="2117" t="n">
        <v>6</v>
      </c>
      <c r="C546" s="2117" t="n">
        <v>13</v>
      </c>
      <c r="D546" s="2118" t="n">
        <v>2</v>
      </c>
      <c r="E546" s="2118" t="n">
        <v>1</v>
      </c>
      <c r="G546" s="1790" t="inlineStr">
        <is>
          <t>SISTEMAS E INSTALAÇÕES ELÉTRICAS</t>
        </is>
      </c>
      <c r="H546" s="1749" t="inlineStr">
        <is>
          <t>SERVIÇO</t>
        </is>
      </c>
      <c r="I546" s="1750" t="inlineStr">
        <is>
          <t>06.013.002.001</t>
        </is>
      </c>
      <c r="J546" s="1751" t="inlineStr">
        <is>
          <t>Eletrodutos e eletrocalhas</t>
        </is>
      </c>
      <c r="K546" s="1752" t="inlineStr">
        <is>
          <t>vb</t>
        </is>
      </c>
      <c r="L546" s="1753" t="n">
        <v>1</v>
      </c>
      <c r="M546" s="1753" t="n">
        <v>1498.65</v>
      </c>
      <c r="N546" s="1754" t="n">
        <v>1498.65</v>
      </c>
      <c r="O546" s="1755" t="inlineStr">
        <is>
          <t>quantidades conforme quantidades do projetista</t>
        </is>
      </c>
      <c r="P546" s="1721" t="inlineStr">
        <is>
          <t>Pendente</t>
        </is>
      </c>
    </row>
    <row r="547" hidden="1" outlineLevel="2" ht="13.9" customHeight="1">
      <c r="A547" s="2117" t="n">
        <v>0</v>
      </c>
      <c r="B547" s="2117" t="n">
        <v>6</v>
      </c>
      <c r="C547" s="2117" t="n">
        <v>13</v>
      </c>
      <c r="D547" s="2118" t="n">
        <v>3</v>
      </c>
      <c r="E547" s="2118" t="n">
        <v>0</v>
      </c>
      <c r="G547" s="1740" t="n"/>
      <c r="H547" s="1741" t="inlineStr">
        <is>
          <t>SUBETAPA</t>
        </is>
      </c>
      <c r="I547" s="1742" t="inlineStr">
        <is>
          <t>06.013.003</t>
        </is>
      </c>
      <c r="J547" s="1743" t="inlineStr">
        <is>
          <t>Fios e cabos elétricos</t>
        </is>
      </c>
      <c r="K547" s="1744" t="n"/>
      <c r="L547" s="1745" t="n"/>
      <c r="M547" s="1745" t="n"/>
      <c r="N547" s="1746" t="n">
        <v>5058.539</v>
      </c>
      <c r="O547" s="1747" t="n"/>
      <c r="P547" s="1720" t="n"/>
    </row>
    <row r="548" hidden="1" outlineLevel="3" ht="13.9" customHeight="1">
      <c r="A548" s="2117" t="n">
        <v>0</v>
      </c>
      <c r="B548" s="2117" t="n">
        <v>6</v>
      </c>
      <c r="C548" s="2117" t="n">
        <v>13</v>
      </c>
      <c r="D548" s="2118" t="n">
        <v>3</v>
      </c>
      <c r="E548" s="2118" t="n">
        <v>1</v>
      </c>
      <c r="G548" s="1790" t="inlineStr">
        <is>
          <t>SISTEMAS E INSTALAÇÕES ELÉTRICAS</t>
        </is>
      </c>
      <c r="H548" s="1749" t="inlineStr">
        <is>
          <t>SERVIÇO</t>
        </is>
      </c>
      <c r="I548" s="1750" t="inlineStr">
        <is>
          <t>06.013.003.001</t>
        </is>
      </c>
      <c r="J548" s="1751" t="inlineStr">
        <is>
          <t>Fios e cabos elétricos</t>
        </is>
      </c>
      <c r="K548" s="1752" t="inlineStr">
        <is>
          <t>vb</t>
        </is>
      </c>
      <c r="L548" s="1753" t="n">
        <v>1</v>
      </c>
      <c r="M548" s="1753" t="n">
        <v>5058.539000000002</v>
      </c>
      <c r="N548" s="1754" t="n">
        <v>5058.539</v>
      </c>
      <c r="O548" s="1755" t="inlineStr">
        <is>
          <t>quantidades conforme quantidades do projetista</t>
        </is>
      </c>
      <c r="P548" s="1721" t="inlineStr">
        <is>
          <t>Pendente</t>
        </is>
      </c>
    </row>
    <row r="549" hidden="1" outlineLevel="2" ht="13.9" customHeight="1">
      <c r="A549" s="2117" t="n">
        <v>0</v>
      </c>
      <c r="B549" s="2117" t="n">
        <v>6</v>
      </c>
      <c r="C549" s="2117" t="n">
        <v>13</v>
      </c>
      <c r="D549" s="2118" t="n">
        <v>4</v>
      </c>
      <c r="E549" s="2118" t="n">
        <v>0</v>
      </c>
      <c r="G549" s="1740" t="n"/>
      <c r="H549" s="1741" t="inlineStr">
        <is>
          <t>SUBETAPA</t>
        </is>
      </c>
      <c r="I549" s="1742" t="inlineStr">
        <is>
          <t>06.013.004</t>
        </is>
      </c>
      <c r="J549" s="1743" t="inlineStr">
        <is>
          <t>Pontos de tomadas e interruptores</t>
        </is>
      </c>
      <c r="K549" s="1744" t="n"/>
      <c r="L549" s="1745" t="n"/>
      <c r="M549" s="1745" t="n"/>
      <c r="N549" s="1746" t="n">
        <v>2278.93</v>
      </c>
      <c r="O549" s="1747" t="n"/>
      <c r="P549" s="1720" t="n"/>
    </row>
    <row r="550" hidden="1" outlineLevel="3" ht="13.9" customHeight="1">
      <c r="A550" s="2117" t="n">
        <v>0</v>
      </c>
      <c r="B550" s="2117" t="n">
        <v>6</v>
      </c>
      <c r="C550" s="2117" t="n">
        <v>13</v>
      </c>
      <c r="D550" s="2118" t="n">
        <v>4</v>
      </c>
      <c r="E550" s="2118" t="n">
        <v>1</v>
      </c>
      <c r="G550" s="1790" t="inlineStr">
        <is>
          <t>SISTEMAS E INSTALAÇÕES ELÉTRICAS</t>
        </is>
      </c>
      <c r="H550" s="1749" t="inlineStr">
        <is>
          <t>SERVIÇO</t>
        </is>
      </c>
      <c r="I550" s="1750" t="inlineStr">
        <is>
          <t>06.013.004.001</t>
        </is>
      </c>
      <c r="J550" s="1751" t="inlineStr">
        <is>
          <t>Pontos de tomadas e interruptores</t>
        </is>
      </c>
      <c r="K550" s="1752" t="inlineStr">
        <is>
          <t>vb</t>
        </is>
      </c>
      <c r="L550" s="1753" t="n">
        <v>1</v>
      </c>
      <c r="M550" s="1753" t="n">
        <v>2278.93</v>
      </c>
      <c r="N550" s="1754" t="n">
        <v>2278.93</v>
      </c>
      <c r="O550" s="1755" t="inlineStr">
        <is>
          <t>quantidades conforme quantidades do projetista</t>
        </is>
      </c>
      <c r="P550" s="1721" t="inlineStr">
        <is>
          <t>Pendente</t>
        </is>
      </c>
    </row>
    <row r="551" hidden="1" outlineLevel="2" ht="13.9" customHeight="1">
      <c r="A551" s="2117" t="n">
        <v>0</v>
      </c>
      <c r="B551" s="2117" t="n">
        <v>6</v>
      </c>
      <c r="C551" s="2117" t="n">
        <v>13</v>
      </c>
      <c r="D551" s="2118" t="n">
        <v>5</v>
      </c>
      <c r="E551" s="2118" t="n">
        <v>0</v>
      </c>
      <c r="G551" s="1740" t="n"/>
      <c r="H551" s="1741" t="inlineStr">
        <is>
          <t>SUBETAPA</t>
        </is>
      </c>
      <c r="I551" s="1742" t="inlineStr">
        <is>
          <t>06.013.005</t>
        </is>
      </c>
      <c r="J551" s="1743" t="inlineStr">
        <is>
          <t xml:space="preserve">Luminárias, lâmpadas e acessórios </t>
        </is>
      </c>
      <c r="K551" s="1744" t="n"/>
      <c r="L551" s="1745" t="n"/>
      <c r="M551" s="1745" t="n"/>
      <c r="N551" s="1746" t="n">
        <v>3267.59454213291</v>
      </c>
      <c r="O551" s="1747" t="n"/>
      <c r="P551" s="1720" t="n"/>
    </row>
    <row r="552" hidden="1" outlineLevel="3" ht="13.9" customHeight="1">
      <c r="A552" s="2117" t="n">
        <v>0</v>
      </c>
      <c r="B552" s="2117" t="n">
        <v>6</v>
      </c>
      <c r="C552" s="2117" t="n">
        <v>13</v>
      </c>
      <c r="D552" s="2118" t="n">
        <v>5</v>
      </c>
      <c r="E552" s="2118" t="n">
        <v>1</v>
      </c>
      <c r="G552" s="1790" t="inlineStr">
        <is>
          <t>SISTEMAS E INSTALAÇÕES ELÉTRICAS</t>
        </is>
      </c>
      <c r="H552" s="1749" t="inlineStr">
        <is>
          <t>SERVIÇO</t>
        </is>
      </c>
      <c r="I552" s="1750" t="inlineStr">
        <is>
          <t>06.013.005.001</t>
        </is>
      </c>
      <c r="J552" s="1751" t="inlineStr">
        <is>
          <t xml:space="preserve">Luminárias, lâmpadas e acessórios </t>
        </is>
      </c>
      <c r="K552" s="1752" t="inlineStr">
        <is>
          <t>vb</t>
        </is>
      </c>
      <c r="L552" s="1753" t="n">
        <v>1</v>
      </c>
      <c r="M552" s="1753" t="n">
        <v>3267.594542132914</v>
      </c>
      <c r="N552" s="1754" t="n">
        <v>3267.59454213291</v>
      </c>
      <c r="O552" s="1755" t="inlineStr">
        <is>
          <t>quantidades ESTIMADA, devido a ausência de quantitativos</t>
        </is>
      </c>
      <c r="P552" s="1721" t="inlineStr">
        <is>
          <t>Pendente</t>
        </is>
      </c>
    </row>
    <row r="553" hidden="1" outlineLevel="2" ht="13.9" customHeight="1">
      <c r="A553" s="2117" t="n">
        <v>0</v>
      </c>
      <c r="B553" s="2117" t="n">
        <v>6</v>
      </c>
      <c r="C553" s="2117" t="n">
        <v>13</v>
      </c>
      <c r="D553" s="2118" t="n">
        <v>6</v>
      </c>
      <c r="E553" s="2118" t="n">
        <v>0</v>
      </c>
      <c r="G553" s="1740" t="n"/>
      <c r="H553" s="1741" t="inlineStr">
        <is>
          <t>SUBETAPA</t>
        </is>
      </c>
      <c r="I553" s="1742" t="inlineStr">
        <is>
          <t>06.013.006</t>
        </is>
      </c>
      <c r="J553" s="1743" t="inlineStr">
        <is>
          <t>Mão de obra - Sistemas e instalações elétricas</t>
        </is>
      </c>
      <c r="K553" s="1744" t="n"/>
      <c r="L553" s="1745" t="n"/>
      <c r="M553" s="1745" t="n"/>
      <c r="N553" s="1746" t="n">
        <v>21188.8</v>
      </c>
      <c r="O553" s="1747" t="n"/>
      <c r="P553" s="1720" t="n"/>
    </row>
    <row r="554" hidden="1" outlineLevel="3" ht="13.9" customHeight="1">
      <c r="A554" s="2117" t="n">
        <v>0</v>
      </c>
      <c r="B554" s="2117" t="n">
        <v>6</v>
      </c>
      <c r="C554" s="2117" t="n">
        <v>13</v>
      </c>
      <c r="D554" s="2118" t="n">
        <v>6</v>
      </c>
      <c r="E554" s="2118" t="n">
        <v>1</v>
      </c>
      <c r="G554" s="1790" t="inlineStr">
        <is>
          <t>SISTEMAS E INSTALAÇÕES ELÉTRICAS</t>
        </is>
      </c>
      <c r="H554" s="1749" t="inlineStr">
        <is>
          <t>SERVIÇO</t>
        </is>
      </c>
      <c r="I554" s="1750" t="inlineStr">
        <is>
          <t>06.013.006.001</t>
        </is>
      </c>
      <c r="J554" s="1751" t="inlineStr">
        <is>
          <t>Mão de obra para instalações elétricas</t>
        </is>
      </c>
      <c r="K554" s="1752" t="inlineStr">
        <is>
          <t>vb</t>
        </is>
      </c>
      <c r="L554" s="1753" t="n">
        <v>1</v>
      </c>
      <c r="M554" s="1753" t="n">
        <v>21188.8</v>
      </c>
      <c r="N554" s="1754" t="n">
        <v>21188.8</v>
      </c>
      <c r="O554" s="1755" t="inlineStr">
        <is>
          <t>Considerado conforme os contratos disponibilizados pelo GESSELE</t>
        </is>
      </c>
      <c r="P554" s="1721" t="inlineStr">
        <is>
          <t>Pendente</t>
        </is>
      </c>
    </row>
    <row r="555" hidden="1" outlineLevel="1" ht="13.9" customHeight="1">
      <c r="A555" s="2117" t="n">
        <v>0</v>
      </c>
      <c r="B555" s="2117" t="n">
        <v>6</v>
      </c>
      <c r="C555" s="2117" t="n">
        <v>14</v>
      </c>
      <c r="D555" s="2118" t="n">
        <v>0</v>
      </c>
      <c r="E555" s="2118" t="n">
        <v>1</v>
      </c>
      <c r="G555" s="1733" t="n"/>
      <c r="H555" s="1734" t="inlineStr">
        <is>
          <t>ETAPA</t>
        </is>
      </c>
      <c r="I555" s="1735" t="inlineStr">
        <is>
          <t>06.014</t>
        </is>
      </c>
      <c r="J555" s="1736" t="inlineStr">
        <is>
          <t>SISTEMAS E INSTALAÇÕES ELÉTRICAS - Cobertura | Barrilete</t>
        </is>
      </c>
      <c r="K555" s="1737" t="n"/>
      <c r="L555" s="1738" t="n"/>
      <c r="M555" s="1738" t="n"/>
      <c r="N555" s="1739" t="n">
        <v>22823.0118316038</v>
      </c>
      <c r="O555" s="1722" t="n"/>
      <c r="P555" s="1725" t="n"/>
    </row>
    <row r="556" hidden="1" outlineLevel="2" ht="13.9" customHeight="1">
      <c r="A556" s="2117" t="n">
        <v>0</v>
      </c>
      <c r="B556" s="2117" t="n">
        <v>6</v>
      </c>
      <c r="C556" s="2117" t="n">
        <v>14</v>
      </c>
      <c r="D556" s="2118" t="n">
        <v>1</v>
      </c>
      <c r="E556" s="2118" t="n">
        <v>0</v>
      </c>
      <c r="G556" s="1740" t="n"/>
      <c r="H556" s="1741" t="inlineStr">
        <is>
          <t>SUBETAPA</t>
        </is>
      </c>
      <c r="I556" s="1742" t="inlineStr">
        <is>
          <t>06.014.001</t>
        </is>
      </c>
      <c r="J556" s="1743" t="inlineStr">
        <is>
          <t>Quadros elétricos e disjuntores</t>
        </is>
      </c>
      <c r="K556" s="1744" t="n"/>
      <c r="L556" s="1745" t="n"/>
      <c r="M556" s="1745" t="n"/>
      <c r="N556" s="1746" t="n">
        <v>949.52</v>
      </c>
      <c r="O556" s="1747" t="n"/>
      <c r="P556" s="1720" t="n"/>
    </row>
    <row r="557" hidden="1" outlineLevel="3" ht="13.9" customHeight="1">
      <c r="A557" s="2117" t="n">
        <v>0</v>
      </c>
      <c r="B557" s="2117" t="n">
        <v>6</v>
      </c>
      <c r="C557" s="2117" t="n">
        <v>14</v>
      </c>
      <c r="D557" s="2118" t="n">
        <v>1</v>
      </c>
      <c r="E557" s="2118" t="n">
        <v>1</v>
      </c>
      <c r="G557" s="1790" t="inlineStr">
        <is>
          <t>SISTEMAS E INSTALAÇÕES ELÉTRICAS</t>
        </is>
      </c>
      <c r="H557" s="1749" t="inlineStr">
        <is>
          <t>SERVIÇO</t>
        </is>
      </c>
      <c r="I557" s="1750" t="inlineStr">
        <is>
          <t>06.014.001.001</t>
        </is>
      </c>
      <c r="J557" s="1751" t="inlineStr">
        <is>
          <t>Quadros elétricos e disjuntores</t>
        </is>
      </c>
      <c r="K557" s="1752" t="inlineStr">
        <is>
          <t>vb</t>
        </is>
      </c>
      <c r="L557" s="1753" t="n">
        <v>1</v>
      </c>
      <c r="M557" s="1753" t="n">
        <v>949.52</v>
      </c>
      <c r="N557" s="1754" t="n">
        <v>949.52</v>
      </c>
      <c r="O557" s="1755" t="inlineStr">
        <is>
          <t>quantidades conforme quantidades do projetista</t>
        </is>
      </c>
      <c r="P557" s="1721" t="inlineStr">
        <is>
          <t>Pendente</t>
        </is>
      </c>
    </row>
    <row r="558" hidden="1" outlineLevel="2" ht="13.9" customHeight="1">
      <c r="A558" s="2117" t="n">
        <v>0</v>
      </c>
      <c r="B558" s="2117" t="n">
        <v>6</v>
      </c>
      <c r="C558" s="2117" t="n">
        <v>14</v>
      </c>
      <c r="D558" s="2118" t="n">
        <v>2</v>
      </c>
      <c r="E558" s="2118" t="n">
        <v>0</v>
      </c>
      <c r="G558" s="1740" t="n"/>
      <c r="H558" s="1741" t="inlineStr">
        <is>
          <t>SUBETAPA</t>
        </is>
      </c>
      <c r="I558" s="1742" t="inlineStr">
        <is>
          <t>06.014.002</t>
        </is>
      </c>
      <c r="J558" s="1743" t="inlineStr">
        <is>
          <t>Eletrodutos e eletrocalhas</t>
        </is>
      </c>
      <c r="K558" s="1744" t="n"/>
      <c r="L558" s="1745" t="n"/>
      <c r="M558" s="1745" t="n"/>
      <c r="N558" s="1746" t="n">
        <v>353.1</v>
      </c>
      <c r="O558" s="1747" t="n"/>
      <c r="P558" s="1720" t="n"/>
    </row>
    <row r="559" hidden="1" outlineLevel="3" ht="13.9" customHeight="1">
      <c r="A559" s="2117" t="n">
        <v>0</v>
      </c>
      <c r="B559" s="2117" t="n">
        <v>6</v>
      </c>
      <c r="C559" s="2117" t="n">
        <v>14</v>
      </c>
      <c r="D559" s="2118" t="n">
        <v>2</v>
      </c>
      <c r="E559" s="2118" t="n">
        <v>1</v>
      </c>
      <c r="G559" s="1790" t="inlineStr">
        <is>
          <t>SISTEMAS E INSTALAÇÕES ELÉTRICAS</t>
        </is>
      </c>
      <c r="H559" s="1749" t="inlineStr">
        <is>
          <t>SERVIÇO</t>
        </is>
      </c>
      <c r="I559" s="1750" t="inlineStr">
        <is>
          <t>06.014.002.001</t>
        </is>
      </c>
      <c r="J559" s="1751" t="inlineStr">
        <is>
          <t>Eletrodutos e eletrocalhas</t>
        </is>
      </c>
      <c r="K559" s="1752" t="inlineStr">
        <is>
          <t>vb</t>
        </is>
      </c>
      <c r="L559" s="1753" t="n">
        <v>1</v>
      </c>
      <c r="M559" s="1753" t="n">
        <v>353.1</v>
      </c>
      <c r="N559" s="1754" t="n">
        <v>353.1</v>
      </c>
      <c r="O559" s="1755" t="inlineStr">
        <is>
          <t>quantidades conforme quantidades do projetista</t>
        </is>
      </c>
      <c r="P559" s="1721" t="inlineStr">
        <is>
          <t>Pendente</t>
        </is>
      </c>
    </row>
    <row r="560" hidden="1" outlineLevel="2" ht="13.9" customHeight="1">
      <c r="A560" s="2117" t="n">
        <v>0</v>
      </c>
      <c r="B560" s="2117" t="n">
        <v>6</v>
      </c>
      <c r="C560" s="2117" t="n">
        <v>14</v>
      </c>
      <c r="D560" s="2118" t="n">
        <v>3</v>
      </c>
      <c r="E560" s="2118" t="n">
        <v>0</v>
      </c>
      <c r="G560" s="1740" t="n"/>
      <c r="H560" s="1741" t="inlineStr">
        <is>
          <t>SUBETAPA</t>
        </is>
      </c>
      <c r="I560" s="1742" t="inlineStr">
        <is>
          <t>06.014.003</t>
        </is>
      </c>
      <c r="J560" s="1743" t="inlineStr">
        <is>
          <t>Fios e cabos elétricos</t>
        </is>
      </c>
      <c r="K560" s="1744" t="n"/>
      <c r="L560" s="1745" t="n"/>
      <c r="M560" s="1745" t="n"/>
      <c r="N560" s="1746" t="n">
        <v>1230.224</v>
      </c>
      <c r="O560" s="1747" t="n"/>
      <c r="P560" s="1720" t="n"/>
    </row>
    <row r="561" hidden="1" outlineLevel="3" ht="13.9" customHeight="1">
      <c r="A561" s="2117" t="n">
        <v>0</v>
      </c>
      <c r="B561" s="2117" t="n">
        <v>6</v>
      </c>
      <c r="C561" s="2117" t="n">
        <v>14</v>
      </c>
      <c r="D561" s="2118" t="n">
        <v>3</v>
      </c>
      <c r="E561" s="2118" t="n">
        <v>1</v>
      </c>
      <c r="G561" s="1790" t="inlineStr">
        <is>
          <t>SISTEMAS E INSTALAÇÕES ELÉTRICAS</t>
        </is>
      </c>
      <c r="H561" s="1749" t="inlineStr">
        <is>
          <t>SERVIÇO</t>
        </is>
      </c>
      <c r="I561" s="1750" t="inlineStr">
        <is>
          <t>06.014.003.001</t>
        </is>
      </c>
      <c r="J561" s="1751" t="inlineStr">
        <is>
          <t>Fios e cabos elétricos</t>
        </is>
      </c>
      <c r="K561" s="1752" t="inlineStr">
        <is>
          <t>vb</t>
        </is>
      </c>
      <c r="L561" s="1753" t="n">
        <v>1</v>
      </c>
      <c r="M561" s="1753" t="n">
        <v>1230.224</v>
      </c>
      <c r="N561" s="1754" t="n">
        <v>1230.224</v>
      </c>
      <c r="O561" s="1755" t="inlineStr">
        <is>
          <t>quantidades conforme quantidades do projetista</t>
        </is>
      </c>
      <c r="P561" s="1721" t="inlineStr">
        <is>
          <t>Pendente</t>
        </is>
      </c>
    </row>
    <row r="562" hidden="1" outlineLevel="2" ht="13.9" customHeight="1">
      <c r="A562" s="2117" t="n">
        <v>0</v>
      </c>
      <c r="B562" s="2117" t="n">
        <v>6</v>
      </c>
      <c r="C562" s="2117" t="n">
        <v>14</v>
      </c>
      <c r="D562" s="2118" t="n">
        <v>4</v>
      </c>
      <c r="E562" s="2118" t="n">
        <v>0</v>
      </c>
      <c r="G562" s="1740" t="n"/>
      <c r="H562" s="1741" t="inlineStr">
        <is>
          <t>SUBETAPA</t>
        </is>
      </c>
      <c r="I562" s="1742" t="inlineStr">
        <is>
          <t>06.014.004</t>
        </is>
      </c>
      <c r="J562" s="1743" t="inlineStr">
        <is>
          <t>Pontos de tomadas e interruptores</t>
        </is>
      </c>
      <c r="K562" s="1744" t="n"/>
      <c r="L562" s="1745" t="n"/>
      <c r="M562" s="1745" t="n"/>
      <c r="N562" s="1746" t="n">
        <v>369.05</v>
      </c>
      <c r="O562" s="1747" t="n"/>
      <c r="P562" s="1720" t="n"/>
    </row>
    <row r="563" hidden="1" outlineLevel="3" ht="13.9" customHeight="1">
      <c r="A563" s="2117" t="n">
        <v>0</v>
      </c>
      <c r="B563" s="2117" t="n">
        <v>6</v>
      </c>
      <c r="C563" s="2117" t="n">
        <v>14</v>
      </c>
      <c r="D563" s="2118" t="n">
        <v>4</v>
      </c>
      <c r="E563" s="2118" t="n">
        <v>1</v>
      </c>
      <c r="G563" s="1790" t="inlineStr">
        <is>
          <t>SISTEMAS E INSTALAÇÕES ELÉTRICAS</t>
        </is>
      </c>
      <c r="H563" s="1749" t="inlineStr">
        <is>
          <t>SERVIÇO</t>
        </is>
      </c>
      <c r="I563" s="1750" t="inlineStr">
        <is>
          <t>06.014.004.001</t>
        </is>
      </c>
      <c r="J563" s="1751" t="inlineStr">
        <is>
          <t>Pontos de tomadas e interruptores</t>
        </is>
      </c>
      <c r="K563" s="1752" t="inlineStr">
        <is>
          <t>vb</t>
        </is>
      </c>
      <c r="L563" s="1753" t="n">
        <v>1</v>
      </c>
      <c r="M563" s="1753" t="n">
        <v>369.05</v>
      </c>
      <c r="N563" s="1754" t="n">
        <v>369.05</v>
      </c>
      <c r="O563" s="1755" t="inlineStr">
        <is>
          <t>quantidades conforme quantidades do projetista</t>
        </is>
      </c>
      <c r="P563" s="1721" t="inlineStr">
        <is>
          <t>Pendente</t>
        </is>
      </c>
    </row>
    <row r="564" hidden="1" outlineLevel="2" ht="13.9" customHeight="1">
      <c r="A564" s="2117" t="n">
        <v>0</v>
      </c>
      <c r="B564" s="2117" t="n">
        <v>6</v>
      </c>
      <c r="C564" s="2117" t="n">
        <v>14</v>
      </c>
      <c r="D564" s="2118" t="n">
        <v>5</v>
      </c>
      <c r="E564" s="2118" t="n">
        <v>0</v>
      </c>
      <c r="G564" s="1740" t="n"/>
      <c r="H564" s="1741" t="inlineStr">
        <is>
          <t>SUBETAPA</t>
        </is>
      </c>
      <c r="I564" s="1742" t="inlineStr">
        <is>
          <t>06.014.005</t>
        </is>
      </c>
      <c r="J564" s="1743" t="inlineStr">
        <is>
          <t xml:space="preserve">Luminárias, lâmpadas e acessórios </t>
        </is>
      </c>
      <c r="K564" s="1744" t="n"/>
      <c r="L564" s="1745" t="n"/>
      <c r="M564" s="1745" t="n"/>
      <c r="N564" s="1746" t="n">
        <v>3109.65783160382</v>
      </c>
      <c r="O564" s="1747" t="n"/>
      <c r="P564" s="1720" t="n"/>
    </row>
    <row r="565" hidden="1" outlineLevel="3" ht="13.9" customHeight="1">
      <c r="A565" s="2117" t="n">
        <v>0</v>
      </c>
      <c r="B565" s="2117" t="n">
        <v>6</v>
      </c>
      <c r="C565" s="2117" t="n">
        <v>14</v>
      </c>
      <c r="D565" s="2118" t="n">
        <v>5</v>
      </c>
      <c r="E565" s="2118" t="n">
        <v>1</v>
      </c>
      <c r="G565" s="1790" t="inlineStr">
        <is>
          <t>SISTEMAS E INSTALAÇÕES ELÉTRICAS</t>
        </is>
      </c>
      <c r="H565" s="1749" t="inlineStr">
        <is>
          <t>SERVIÇO</t>
        </is>
      </c>
      <c r="I565" s="1750" t="inlineStr">
        <is>
          <t>06.014.005.001</t>
        </is>
      </c>
      <c r="J565" s="1751" t="inlineStr">
        <is>
          <t xml:space="preserve">Luminárias, lâmpadas e acessórios </t>
        </is>
      </c>
      <c r="K565" s="1752" t="inlineStr">
        <is>
          <t>vb</t>
        </is>
      </c>
      <c r="L565" s="1753" t="n">
        <v>1</v>
      </c>
      <c r="M565" s="1753" t="n">
        <v>3109.657831603824</v>
      </c>
      <c r="N565" s="1754" t="n">
        <v>3109.65783160382</v>
      </c>
      <c r="O565" s="1755" t="inlineStr">
        <is>
          <t>quantidades ESTIMADA, devido a ausência de quantitativos</t>
        </is>
      </c>
      <c r="P565" s="1721" t="inlineStr">
        <is>
          <t>Pendente</t>
        </is>
      </c>
    </row>
    <row r="566" hidden="1" outlineLevel="2" ht="13.9" customHeight="1">
      <c r="A566" s="2117" t="n">
        <v>0</v>
      </c>
      <c r="B566" s="2117" t="n">
        <v>6</v>
      </c>
      <c r="C566" s="2117" t="n">
        <v>14</v>
      </c>
      <c r="D566" s="2118" t="n">
        <v>6</v>
      </c>
      <c r="E566" s="2118" t="n">
        <v>0</v>
      </c>
      <c r="G566" s="1740" t="n"/>
      <c r="H566" s="1741" t="inlineStr">
        <is>
          <t>SUBETAPA</t>
        </is>
      </c>
      <c r="I566" s="1742" t="inlineStr">
        <is>
          <t>06.014.006</t>
        </is>
      </c>
      <c r="J566" s="1743" t="inlineStr">
        <is>
          <t>Mão de obra - Sistemas e instalações elétricas</t>
        </is>
      </c>
      <c r="K566" s="1744" t="n"/>
      <c r="L566" s="1745" t="n"/>
      <c r="M566" s="1745" t="n"/>
      <c r="N566" s="1746" t="n">
        <v>16811.46</v>
      </c>
      <c r="O566" s="1747" t="n"/>
      <c r="P566" s="1720" t="n"/>
    </row>
    <row r="567" hidden="1" outlineLevel="3" ht="13.9" customHeight="1">
      <c r="A567" s="2117" t="n">
        <v>0</v>
      </c>
      <c r="B567" s="2117" t="n">
        <v>6</v>
      </c>
      <c r="C567" s="2117" t="n">
        <v>14</v>
      </c>
      <c r="D567" s="2118" t="n">
        <v>6</v>
      </c>
      <c r="E567" s="2118" t="n">
        <v>1</v>
      </c>
      <c r="G567" s="1790" t="inlineStr">
        <is>
          <t>SISTEMAS E INSTALAÇÕES ELÉTRICAS</t>
        </is>
      </c>
      <c r="H567" s="1749" t="inlineStr">
        <is>
          <t>SERVIÇO</t>
        </is>
      </c>
      <c r="I567" s="1750" t="inlineStr">
        <is>
          <t>06.014.006.001</t>
        </is>
      </c>
      <c r="J567" s="1751" t="inlineStr">
        <is>
          <t>Mão de obra para instalações elétricas</t>
        </is>
      </c>
      <c r="K567" s="1752" t="inlineStr">
        <is>
          <t>vb</t>
        </is>
      </c>
      <c r="L567" s="1753" t="n">
        <v>1</v>
      </c>
      <c r="M567" s="1753" t="n">
        <v>16811.46</v>
      </c>
      <c r="N567" s="1754" t="n">
        <v>16811.46</v>
      </c>
      <c r="O567" s="1755" t="inlineStr">
        <is>
          <t>Considerado conforme os contratos disponibilizados pelo GESSELE</t>
        </is>
      </c>
      <c r="P567" s="1721" t="inlineStr">
        <is>
          <t>Pendente</t>
        </is>
      </c>
    </row>
    <row r="568" collapsed="1" ht="13.9" customHeight="1">
      <c r="A568" s="2117" t="n">
        <v>0</v>
      </c>
      <c r="B568" s="2117" t="n">
        <v>7</v>
      </c>
      <c r="C568" s="2117" t="n">
        <v>0</v>
      </c>
      <c r="D568" s="2118" t="n">
        <v>6</v>
      </c>
      <c r="E568" s="2118" t="n">
        <v>1</v>
      </c>
      <c r="F568" s="474" t="n"/>
      <c r="G568" s="1791" t="n"/>
      <c r="H568" s="1727" t="inlineStr">
        <is>
          <t>CÉLULA CONSTRUTIVA</t>
        </is>
      </c>
      <c r="I568" s="1728" t="inlineStr">
        <is>
          <t>07</t>
        </is>
      </c>
      <c r="J568" s="1729" t="inlineStr">
        <is>
          <t>SISTEMAS E INSTALAÇÕES HIDROSSANITÁRIAS E DRENAGEM</t>
        </is>
      </c>
      <c r="K568" s="1730" t="n"/>
      <c r="L568" s="1731" t="n"/>
      <c r="M568" s="1731" t="n"/>
      <c r="N568" s="1732" t="n">
        <v>2801537.89336211</v>
      </c>
      <c r="O568" s="1770" t="n">
        <v>167.259288891191</v>
      </c>
      <c r="P568" s="1724" t="n"/>
    </row>
    <row r="569" hidden="1" outlineLevel="1" ht="13.9" customHeight="1">
      <c r="A569" s="2117" t="n">
        <v>0</v>
      </c>
      <c r="B569" s="2117" t="n">
        <v>7</v>
      </c>
      <c r="C569" s="2117" t="n">
        <v>1</v>
      </c>
      <c r="D569" s="2118" t="n">
        <v>0</v>
      </c>
      <c r="E569" s="2118" t="n">
        <v>1</v>
      </c>
      <c r="G569" s="1733" t="n"/>
      <c r="H569" s="1734" t="inlineStr">
        <is>
          <t>ETAPA</t>
        </is>
      </c>
      <c r="I569" s="1735" t="inlineStr">
        <is>
          <t>07.001</t>
        </is>
      </c>
      <c r="J569" s="1736" t="inlineStr">
        <is>
          <t>SISTEMAS E INSTALAÇÕES HIDROSSANITÁRIAS E DRENAGEM - Térreo</t>
        </is>
      </c>
      <c r="K569" s="1737" t="n"/>
      <c r="L569" s="1738" t="n"/>
      <c r="M569" s="1738" t="n"/>
      <c r="N569" s="1739" t="n">
        <v>299058.903490763</v>
      </c>
      <c r="O569" s="1722" t="n"/>
      <c r="P569" s="1725" t="n"/>
    </row>
    <row r="570" hidden="1" outlineLevel="2" ht="13.9" customHeight="1">
      <c r="A570" s="2117" t="n">
        <v>0</v>
      </c>
      <c r="B570" s="2117" t="n">
        <v>7</v>
      </c>
      <c r="C570" s="2117" t="n">
        <v>1</v>
      </c>
      <c r="D570" s="2118" t="n">
        <v>1</v>
      </c>
      <c r="E570" s="2118" t="n">
        <v>0</v>
      </c>
      <c r="G570" s="1764" t="n"/>
      <c r="H570" s="1741" t="inlineStr">
        <is>
          <t>SUBETAPA</t>
        </is>
      </c>
      <c r="I570" s="1742" t="inlineStr">
        <is>
          <t>07.001.001</t>
        </is>
      </c>
      <c r="J570" s="1743" t="inlineStr">
        <is>
          <t>Instalações de água fria</t>
        </is>
      </c>
      <c r="K570" s="1744" t="n"/>
      <c r="L570" s="1745" t="n"/>
      <c r="M570" s="1745" t="n"/>
      <c r="N570" s="1746" t="n">
        <v>139834.96731662</v>
      </c>
      <c r="O570" s="1747" t="n"/>
      <c r="P570" s="1720" t="n"/>
    </row>
    <row r="571" hidden="1" outlineLevel="3" ht="13.9" customHeight="1">
      <c r="A571" s="2117" t="n">
        <v>0</v>
      </c>
      <c r="B571" s="2117" t="n">
        <v>7</v>
      </c>
      <c r="C571" s="2117" t="n">
        <v>1</v>
      </c>
      <c r="D571" s="2118" t="n">
        <v>1</v>
      </c>
      <c r="E571" s="2118" t="n">
        <v>1</v>
      </c>
      <c r="G571" s="1748" t="inlineStr">
        <is>
          <t>SISTEMAS E INSTALAÇÕES HIDROSSANITÁRIAS E DRENAGEM</t>
        </is>
      </c>
      <c r="H571" s="1749" t="inlineStr">
        <is>
          <t>SERVIÇO</t>
        </is>
      </c>
      <c r="I571" s="1750" t="inlineStr">
        <is>
          <t>07.001.001.001</t>
        </is>
      </c>
      <c r="J571" s="1751" t="inlineStr">
        <is>
          <t>Instalações de água fria e quente</t>
        </is>
      </c>
      <c r="K571" s="1752" t="inlineStr">
        <is>
          <t>vb</t>
        </is>
      </c>
      <c r="L571" s="1753" t="n">
        <v>1</v>
      </c>
      <c r="M571" s="1753" t="n">
        <v>139834.9673166199</v>
      </c>
      <c r="N571" s="1754" t="n">
        <v>139834.96731662</v>
      </c>
      <c r="O571" s="1755" t="inlineStr">
        <is>
          <t>quantidades conforme quantidades do projetista</t>
        </is>
      </c>
      <c r="P571" s="1721" t="inlineStr">
        <is>
          <t>Pendente</t>
        </is>
      </c>
    </row>
    <row r="572" hidden="1" outlineLevel="2" ht="13.9" customHeight="1">
      <c r="A572" s="2117" t="n">
        <v>0</v>
      </c>
      <c r="B572" s="2117" t="n">
        <v>7</v>
      </c>
      <c r="C572" s="2117" t="n">
        <v>1</v>
      </c>
      <c r="D572" s="2118" t="n">
        <v>2</v>
      </c>
      <c r="E572" s="2118" t="n">
        <v>0</v>
      </c>
      <c r="G572" s="1764" t="n"/>
      <c r="H572" s="1741" t="inlineStr">
        <is>
          <t>SUBETAPA</t>
        </is>
      </c>
      <c r="I572" s="1742" t="inlineStr">
        <is>
          <t>07.001.002</t>
        </is>
      </c>
      <c r="J572" s="1743" t="inlineStr">
        <is>
          <t>Instalações de esgoto e pluviais</t>
        </is>
      </c>
      <c r="K572" s="1744" t="n"/>
      <c r="L572" s="1745" t="n"/>
      <c r="M572" s="1745" t="n"/>
      <c r="N572" s="1746" t="n">
        <v>40168.4461741433</v>
      </c>
      <c r="O572" s="1747" t="n"/>
      <c r="P572" s="1720" t="n"/>
    </row>
    <row r="573" hidden="1" outlineLevel="3" ht="13.9" customHeight="1">
      <c r="A573" s="2117" t="n">
        <v>0</v>
      </c>
      <c r="B573" s="2117" t="n">
        <v>7</v>
      </c>
      <c r="C573" s="2117" t="n">
        <v>1</v>
      </c>
      <c r="D573" s="2118" t="n">
        <v>2</v>
      </c>
      <c r="E573" s="2118" t="n">
        <v>1</v>
      </c>
      <c r="G573" s="1748" t="inlineStr">
        <is>
          <t>SISTEMAS E INSTALAÇÕES HIDROSSANITÁRIAS E DRENAGEM</t>
        </is>
      </c>
      <c r="H573" s="1749" t="inlineStr">
        <is>
          <t>SERVIÇO</t>
        </is>
      </c>
      <c r="I573" s="1750" t="inlineStr">
        <is>
          <t>07.001.002.001</t>
        </is>
      </c>
      <c r="J573" s="1751" t="inlineStr">
        <is>
          <t>Instalações de esgoto e pluviais</t>
        </is>
      </c>
      <c r="K573" s="1752" t="inlineStr">
        <is>
          <t>vb</t>
        </is>
      </c>
      <c r="L573" s="1753" t="n">
        <v>1</v>
      </c>
      <c r="M573" s="1753" t="n">
        <v>40168.44617414331</v>
      </c>
      <c r="N573" s="1754" t="n">
        <v>40168.4461741433</v>
      </c>
      <c r="O573" s="1755" t="inlineStr">
        <is>
          <t>quantidades conforme quantidades do projetista</t>
        </is>
      </c>
      <c r="P573" s="1721" t="inlineStr">
        <is>
          <t>Pendente</t>
        </is>
      </c>
    </row>
    <row r="574" hidden="1" outlineLevel="2" ht="13.9" customHeight="1">
      <c r="A574" s="2117" t="n">
        <v>0</v>
      </c>
      <c r="B574" s="2117" t="n">
        <v>7</v>
      </c>
      <c r="C574" s="2117" t="n">
        <v>1</v>
      </c>
      <c r="D574" s="2118" t="n">
        <v>3</v>
      </c>
      <c r="E574" s="2118" t="n">
        <v>0</v>
      </c>
      <c r="G574" s="1764" t="n"/>
      <c r="H574" s="1741" t="inlineStr">
        <is>
          <t>SUBETAPA</t>
        </is>
      </c>
      <c r="I574" s="1742" t="inlineStr">
        <is>
          <t>07.001.003</t>
        </is>
      </c>
      <c r="J574" s="1743" t="inlineStr">
        <is>
          <t>Hidrômetros</t>
        </is>
      </c>
      <c r="K574" s="1744" t="n"/>
      <c r="L574" s="1745" t="n"/>
      <c r="M574" s="1745" t="n"/>
      <c r="N574" s="1746" t="n">
        <v>252</v>
      </c>
      <c r="O574" s="1747" t="n"/>
      <c r="P574" s="1720" t="n"/>
    </row>
    <row r="575" hidden="1" outlineLevel="3" ht="13.9" customHeight="1">
      <c r="A575" s="2117" t="n">
        <v>0</v>
      </c>
      <c r="B575" s="2117" t="n">
        <v>7</v>
      </c>
      <c r="C575" s="2117" t="n">
        <v>1</v>
      </c>
      <c r="D575" s="2118" t="n">
        <v>3</v>
      </c>
      <c r="E575" s="2118" t="n">
        <v>1</v>
      </c>
      <c r="G575" s="1748" t="inlineStr">
        <is>
          <t>SISTEMAS E INSTALAÇÕES HIDROSSANITÁRIAS E DRENAGEM</t>
        </is>
      </c>
      <c r="H575" s="1749" t="inlineStr">
        <is>
          <t>SERVIÇO</t>
        </is>
      </c>
      <c r="I575" s="1750" t="inlineStr">
        <is>
          <t>07.001.003.001</t>
        </is>
      </c>
      <c r="J575" s="1751" t="inlineStr">
        <is>
          <t>Hidrômetros</t>
        </is>
      </c>
      <c r="K575" s="1752" t="inlineStr">
        <is>
          <t>vb</t>
        </is>
      </c>
      <c r="L575" s="1753" t="n">
        <v>1</v>
      </c>
      <c r="M575" s="1753" t="n">
        <v>252</v>
      </c>
      <c r="N575" s="1754" t="n">
        <v>252</v>
      </c>
      <c r="O575" s="1755" t="inlineStr">
        <is>
          <t>Devido a ausencia de quantitativos, estimamos um Hidrometro multijato 3/4" vazao maxima 5 m³/h por apartamento + 1 por pavimento</t>
        </is>
      </c>
      <c r="P575" s="1721" t="inlineStr">
        <is>
          <t>Pendente</t>
        </is>
      </c>
    </row>
    <row r="576" hidden="1" outlineLevel="2" ht="13.9" customHeight="1">
      <c r="A576" s="2117" t="n">
        <v>0</v>
      </c>
      <c r="B576" s="2117" t="n">
        <v>7</v>
      </c>
      <c r="C576" s="2117" t="n">
        <v>1</v>
      </c>
      <c r="D576" s="2118" t="n">
        <v>4</v>
      </c>
      <c r="E576" s="2118" t="n">
        <v>0</v>
      </c>
      <c r="G576" s="1764" t="n"/>
      <c r="H576" s="1741" t="inlineStr">
        <is>
          <t>SUBETAPA</t>
        </is>
      </c>
      <c r="I576" s="1742" t="inlineStr">
        <is>
          <t>07.001.004</t>
        </is>
      </c>
      <c r="J576" s="1743" t="inlineStr">
        <is>
          <t>Sistema de bombas</t>
        </is>
      </c>
      <c r="K576" s="1744" t="n"/>
      <c r="L576" s="1745" t="n"/>
      <c r="M576" s="1745" t="n"/>
      <c r="N576" s="1746" t="n">
        <v>73297.85000000001</v>
      </c>
      <c r="O576" s="1747" t="n"/>
      <c r="P576" s="1720" t="n"/>
    </row>
    <row r="577" hidden="1" outlineLevel="3" ht="13.9" customHeight="1">
      <c r="A577" s="2117" t="n">
        <v>0</v>
      </c>
      <c r="B577" s="2117" t="n">
        <v>7</v>
      </c>
      <c r="C577" s="2117" t="n">
        <v>1</v>
      </c>
      <c r="D577" s="2118" t="n">
        <v>4</v>
      </c>
      <c r="E577" s="2118" t="n">
        <v>1</v>
      </c>
      <c r="G577" s="1748" t="inlineStr">
        <is>
          <t>SISTEMAS E INSTALAÇÕES HIDROSSANITÁRIAS E DRENAGEM</t>
        </is>
      </c>
      <c r="H577" s="1749" t="inlineStr">
        <is>
          <t>SERVIÇO</t>
        </is>
      </c>
      <c r="I577" s="1750" t="inlineStr">
        <is>
          <t>07.001.004.001</t>
        </is>
      </c>
      <c r="J577" s="1751" t="inlineStr">
        <is>
          <t>Sistema de bombas</t>
        </is>
      </c>
      <c r="K577" s="1752" t="inlineStr">
        <is>
          <t>vb</t>
        </is>
      </c>
      <c r="L577" s="1753" t="n">
        <v>1</v>
      </c>
      <c r="M577" s="1753" t="n">
        <v>73297.85000000001</v>
      </c>
      <c r="N577" s="1754" t="n">
        <v>73297.85000000001</v>
      </c>
      <c r="O577" s="1755" t="inlineStr">
        <is>
          <t>quantidades conforme quantidades do projetista + complemento cartesian</t>
        </is>
      </c>
      <c r="P577" s="1721" t="inlineStr">
        <is>
          <t>Pendente</t>
        </is>
      </c>
    </row>
    <row r="578" hidden="1" outlineLevel="2" ht="13.9" customHeight="1">
      <c r="A578" s="2117" t="n">
        <v>0</v>
      </c>
      <c r="B578" s="2117" t="n">
        <v>7</v>
      </c>
      <c r="C578" s="2117" t="n">
        <v>1</v>
      </c>
      <c r="D578" s="2118" t="n">
        <v>5</v>
      </c>
      <c r="E578" s="2118" t="n">
        <v>0</v>
      </c>
      <c r="G578" s="1764" t="n"/>
      <c r="H578" s="1741" t="inlineStr">
        <is>
          <t>SUBETAPA</t>
        </is>
      </c>
      <c r="I578" s="1742" t="inlineStr">
        <is>
          <t>07.001.005</t>
        </is>
      </c>
      <c r="J578" s="1743" t="inlineStr">
        <is>
          <t xml:space="preserve">Mão de obra - instalações hidrossanitárias e drenagem </t>
        </is>
      </c>
      <c r="K578" s="1744" t="n"/>
      <c r="L578" s="1745" t="n"/>
      <c r="M578" s="1745" t="n"/>
      <c r="N578" s="1746" t="n">
        <v>45505.64</v>
      </c>
      <c r="O578" s="1747" t="n"/>
      <c r="P578" s="1720" t="n"/>
    </row>
    <row r="579" hidden="1" outlineLevel="3" ht="13.9" customHeight="1">
      <c r="A579" s="2117" t="n">
        <v>0</v>
      </c>
      <c r="B579" s="2117" t="n">
        <v>7</v>
      </c>
      <c r="C579" s="2117" t="n">
        <v>1</v>
      </c>
      <c r="D579" s="2118" t="n">
        <v>5</v>
      </c>
      <c r="E579" s="2118" t="n">
        <v>1</v>
      </c>
      <c r="G579" s="1748" t="inlineStr">
        <is>
          <t>SISTEMAS E INSTALAÇÕES HIDROSSANITÁRIAS E DRENAGEM</t>
        </is>
      </c>
      <c r="H579" s="1749" t="inlineStr">
        <is>
          <t>SERVIÇO</t>
        </is>
      </c>
      <c r="I579" s="1750" t="inlineStr">
        <is>
          <t>07.001.005.001</t>
        </is>
      </c>
      <c r="J579" s="1751" t="inlineStr">
        <is>
          <t>Mão de obra Instalação Hidráulica</t>
        </is>
      </c>
      <c r="K579" s="1752" t="inlineStr">
        <is>
          <t>vb</t>
        </is>
      </c>
      <c r="L579" s="1753" t="n">
        <v>1</v>
      </c>
      <c r="M579" s="1753" t="n">
        <v>45505.64</v>
      </c>
      <c r="N579" s="1754" t="n">
        <v>45505.64</v>
      </c>
      <c r="O579" s="1761" t="inlineStr">
        <is>
          <t>Repessado pela Gessele na reunião do dia 05/03/2026 - Provavelmente vamos trocar de fornecedor, considerar M.O. R$58,00 / m2</t>
        </is>
      </c>
      <c r="P579" s="1721" t="inlineStr">
        <is>
          <t>Pendente</t>
        </is>
      </c>
    </row>
    <row r="580" hidden="1" outlineLevel="1" ht="13.9" customHeight="1">
      <c r="A580" s="2117" t="n">
        <v>0</v>
      </c>
      <c r="B580" s="2117" t="n">
        <v>7</v>
      </c>
      <c r="C580" s="2117" t="n">
        <v>2</v>
      </c>
      <c r="D580" s="2118" t="n">
        <v>0</v>
      </c>
      <c r="E580" s="2118" t="n">
        <v>1</v>
      </c>
      <c r="G580" s="1733" t="n"/>
      <c r="H580" s="1734" t="inlineStr">
        <is>
          <t>ETAPA</t>
        </is>
      </c>
      <c r="I580" s="1735" t="inlineStr">
        <is>
          <t>07.002</t>
        </is>
      </c>
      <c r="J580" s="1736" t="inlineStr">
        <is>
          <t>SISTEMAS E INSTALAÇÕES HIDROSSANITÁRIAS E DRENAGEM - Mezanino G1</t>
        </is>
      </c>
      <c r="K580" s="1737" t="n"/>
      <c r="L580" s="1738" t="n"/>
      <c r="M580" s="1738" t="n"/>
      <c r="N580" s="1739" t="n">
        <v>56495.3901999309</v>
      </c>
      <c r="O580" s="1722" t="n"/>
      <c r="P580" s="1725" t="n"/>
    </row>
    <row r="581" hidden="1" outlineLevel="2" ht="13.9" customHeight="1">
      <c r="A581" s="2117" t="n">
        <v>0</v>
      </c>
      <c r="B581" s="2117" t="n">
        <v>7</v>
      </c>
      <c r="C581" s="2117" t="n">
        <v>2</v>
      </c>
      <c r="D581" s="2118" t="n">
        <v>1</v>
      </c>
      <c r="E581" s="2118" t="n">
        <v>0</v>
      </c>
      <c r="G581" s="1764" t="n"/>
      <c r="H581" s="1741" t="inlineStr">
        <is>
          <t>SUBETAPA</t>
        </is>
      </c>
      <c r="I581" s="1742" t="inlineStr">
        <is>
          <t>07.002.001</t>
        </is>
      </c>
      <c r="J581" s="1743" t="inlineStr">
        <is>
          <t>Instalações de água fria</t>
        </is>
      </c>
      <c r="K581" s="1744" t="n"/>
      <c r="L581" s="1745" t="n"/>
      <c r="M581" s="1745" t="n"/>
      <c r="N581" s="1746" t="n">
        <v>1924.7412</v>
      </c>
      <c r="O581" s="1747" t="n"/>
      <c r="P581" s="1720" t="n"/>
    </row>
    <row r="582" hidden="1" outlineLevel="3" ht="13.9" customHeight="1">
      <c r="A582" s="2117" t="n">
        <v>0</v>
      </c>
      <c r="B582" s="2117" t="n">
        <v>7</v>
      </c>
      <c r="C582" s="2117" t="n">
        <v>2</v>
      </c>
      <c r="D582" s="2118" t="n">
        <v>1</v>
      </c>
      <c r="E582" s="2118" t="n">
        <v>1</v>
      </c>
      <c r="G582" s="1748" t="inlineStr">
        <is>
          <t>SISTEMAS E INSTALAÇÕES HIDROSSANITÁRIAS E DRENAGEM</t>
        </is>
      </c>
      <c r="H582" s="1749" t="inlineStr">
        <is>
          <t>SERVIÇO</t>
        </is>
      </c>
      <c r="I582" s="1750" t="inlineStr">
        <is>
          <t>07.002.001.001</t>
        </is>
      </c>
      <c r="J582" s="1751" t="inlineStr">
        <is>
          <t>Instalações de água fria e quente</t>
        </is>
      </c>
      <c r="K582" s="1752" t="inlineStr">
        <is>
          <t>vb</t>
        </is>
      </c>
      <c r="L582" s="1753" t="n">
        <v>1</v>
      </c>
      <c r="M582" s="1753" t="n">
        <v>1924.7412</v>
      </c>
      <c r="N582" s="1754" t="n">
        <v>1924.7412</v>
      </c>
      <c r="O582" s="1755" t="inlineStr">
        <is>
          <t>quantidades conforme quantidades do projetista</t>
        </is>
      </c>
      <c r="P582" s="1721" t="inlineStr">
        <is>
          <t>Pendente</t>
        </is>
      </c>
    </row>
    <row r="583" hidden="1" outlineLevel="2" ht="13.9" customHeight="1">
      <c r="A583" s="2117" t="n">
        <v>0</v>
      </c>
      <c r="B583" s="2117" t="n">
        <v>7</v>
      </c>
      <c r="C583" s="2117" t="n">
        <v>2</v>
      </c>
      <c r="D583" s="2118" t="n">
        <v>2</v>
      </c>
      <c r="E583" s="2118" t="n">
        <v>0</v>
      </c>
      <c r="G583" s="1764" t="n"/>
      <c r="H583" s="1741" t="inlineStr">
        <is>
          <t>SUBETAPA</t>
        </is>
      </c>
      <c r="I583" s="1742" t="inlineStr">
        <is>
          <t>07.002.002</t>
        </is>
      </c>
      <c r="J583" s="1743" t="inlineStr">
        <is>
          <t>Instalações de esgoto e pluviais</t>
        </is>
      </c>
      <c r="K583" s="1744" t="n"/>
      <c r="L583" s="1745" t="n"/>
      <c r="M583" s="1745" t="n"/>
      <c r="N583" s="1746" t="n">
        <v>7851.94899993087</v>
      </c>
      <c r="O583" s="1747" t="n"/>
      <c r="P583" s="1720" t="n"/>
    </row>
    <row r="584" hidden="1" outlineLevel="3" ht="13.9" customHeight="1">
      <c r="A584" s="2117" t="n">
        <v>0</v>
      </c>
      <c r="B584" s="2117" t="n">
        <v>7</v>
      </c>
      <c r="C584" s="2117" t="n">
        <v>2</v>
      </c>
      <c r="D584" s="2118" t="n">
        <v>2</v>
      </c>
      <c r="E584" s="2118" t="n">
        <v>1</v>
      </c>
      <c r="G584" s="1748" t="inlineStr">
        <is>
          <t>SISTEMAS E INSTALAÇÕES HIDROSSANITÁRIAS E DRENAGEM</t>
        </is>
      </c>
      <c r="H584" s="1749" t="inlineStr">
        <is>
          <t>SERVIÇO</t>
        </is>
      </c>
      <c r="I584" s="1750" t="inlineStr">
        <is>
          <t>07.002.002.001</t>
        </is>
      </c>
      <c r="J584" s="1751" t="inlineStr">
        <is>
          <t>Instalações de esgoto e pluviais</t>
        </is>
      </c>
      <c r="K584" s="1752" t="inlineStr">
        <is>
          <t>vb</t>
        </is>
      </c>
      <c r="L584" s="1753" t="n">
        <v>1</v>
      </c>
      <c r="M584" s="1753" t="n">
        <v>7851.94899993087</v>
      </c>
      <c r="N584" s="1754" t="n">
        <v>7851.94899993087</v>
      </c>
      <c r="O584" s="1755" t="inlineStr">
        <is>
          <t>quantidades conforme quantidades do projetista</t>
        </is>
      </c>
      <c r="P584" s="1721" t="inlineStr">
        <is>
          <t>Pendente</t>
        </is>
      </c>
    </row>
    <row r="585" hidden="1" outlineLevel="2" ht="13.9" customHeight="1">
      <c r="A585" s="2117" t="n">
        <v>0</v>
      </c>
      <c r="B585" s="2117" t="n">
        <v>7</v>
      </c>
      <c r="C585" s="2117" t="n">
        <v>2</v>
      </c>
      <c r="D585" s="2118" t="n">
        <v>3</v>
      </c>
      <c r="E585" s="2118" t="n">
        <v>0</v>
      </c>
      <c r="G585" s="1764" t="n"/>
      <c r="H585" s="1741" t="inlineStr">
        <is>
          <t>SUBETAPA</t>
        </is>
      </c>
      <c r="I585" s="1742" t="inlineStr">
        <is>
          <t>07.002.003</t>
        </is>
      </c>
      <c r="J585" s="1743" t="inlineStr">
        <is>
          <t>Hidrômetros</t>
        </is>
      </c>
      <c r="K585" s="1744" t="n"/>
      <c r="L585" s="1745" t="n"/>
      <c r="M585" s="1745" t="n"/>
      <c r="N585" s="1746" t="n">
        <v>252</v>
      </c>
      <c r="O585" s="1747" t="n"/>
      <c r="P585" s="1720" t="n"/>
    </row>
    <row r="586" hidden="1" outlineLevel="3" ht="13.9" customHeight="1">
      <c r="A586" s="2117" t="n">
        <v>0</v>
      </c>
      <c r="B586" s="2117" t="n">
        <v>7</v>
      </c>
      <c r="C586" s="2117" t="n">
        <v>2</v>
      </c>
      <c r="D586" s="2118" t="n">
        <v>3</v>
      </c>
      <c r="E586" s="2118" t="n">
        <v>1</v>
      </c>
      <c r="G586" s="1748" t="inlineStr">
        <is>
          <t>SISTEMAS E INSTALAÇÕES HIDROSSANITÁRIAS E DRENAGEM</t>
        </is>
      </c>
      <c r="H586" s="1749" t="inlineStr">
        <is>
          <t>SERVIÇO</t>
        </is>
      </c>
      <c r="I586" s="1750" t="inlineStr">
        <is>
          <t>07.002.003.001</t>
        </is>
      </c>
      <c r="J586" s="1751" t="inlineStr">
        <is>
          <t>Hidrômetros</t>
        </is>
      </c>
      <c r="K586" s="1752" t="inlineStr">
        <is>
          <t>vb</t>
        </is>
      </c>
      <c r="L586" s="1753" t="n">
        <v>1</v>
      </c>
      <c r="M586" s="1753" t="n">
        <v>252</v>
      </c>
      <c r="N586" s="1754" t="n">
        <v>252</v>
      </c>
      <c r="O586" s="1755" t="inlineStr">
        <is>
          <t>Devido a ausencia de quantitativos, estimamos um Hidrometro multijato 3/4" vazao maxima 5 m³/h por apartamento + 1 por pavimento</t>
        </is>
      </c>
      <c r="P586" s="1721" t="inlineStr">
        <is>
          <t>Pendente</t>
        </is>
      </c>
    </row>
    <row r="587" hidden="1" outlineLevel="2" ht="13.9" customHeight="1">
      <c r="A587" s="2117" t="n">
        <v>0</v>
      </c>
      <c r="B587" s="2117" t="n">
        <v>7</v>
      </c>
      <c r="C587" s="2117" t="n">
        <v>2</v>
      </c>
      <c r="D587" s="2118" t="n">
        <v>4</v>
      </c>
      <c r="E587" s="2118" t="n">
        <v>0</v>
      </c>
      <c r="G587" s="1764" t="n"/>
      <c r="H587" s="1741" t="inlineStr">
        <is>
          <t>SUBETAPA</t>
        </is>
      </c>
      <c r="I587" s="1742" t="inlineStr">
        <is>
          <t>07.002.004</t>
        </is>
      </c>
      <c r="J587" s="1743" t="inlineStr">
        <is>
          <t xml:space="preserve">Mão de obra - instalações hidrossanitárias e drenagem </t>
        </is>
      </c>
      <c r="K587" s="1744" t="n"/>
      <c r="L587" s="1745" t="n"/>
      <c r="M587" s="1745" t="n"/>
      <c r="N587" s="1746" t="n">
        <v>46466.7</v>
      </c>
      <c r="O587" s="1747" t="n"/>
      <c r="P587" s="1720" t="n"/>
    </row>
    <row r="588" hidden="1" outlineLevel="3" ht="13.9" customHeight="1">
      <c r="A588" s="2117" t="n">
        <v>0</v>
      </c>
      <c r="B588" s="2117" t="n">
        <v>7</v>
      </c>
      <c r="C588" s="2117" t="n">
        <v>2</v>
      </c>
      <c r="D588" s="2118" t="n">
        <v>4</v>
      </c>
      <c r="E588" s="2118" t="n">
        <v>1</v>
      </c>
      <c r="G588" s="1748" t="inlineStr">
        <is>
          <t>SISTEMAS E INSTALAÇÕES HIDROSSANITÁRIAS E DRENAGEM</t>
        </is>
      </c>
      <c r="H588" s="1749" t="inlineStr">
        <is>
          <t>SERVIÇO</t>
        </is>
      </c>
      <c r="I588" s="1750" t="inlineStr">
        <is>
          <t>07.002.004.001</t>
        </is>
      </c>
      <c r="J588" s="1751" t="inlineStr">
        <is>
          <t>Mão de obra Instalação Hidráulica</t>
        </is>
      </c>
      <c r="K588" s="1752" t="inlineStr">
        <is>
          <t>vb</t>
        </is>
      </c>
      <c r="L588" s="1753" t="n">
        <v>1</v>
      </c>
      <c r="M588" s="1753" t="n">
        <v>46466.7</v>
      </c>
      <c r="N588" s="1754" t="n">
        <v>46466.7</v>
      </c>
      <c r="O588" s="1761" t="inlineStr">
        <is>
          <t>Repessado pela Gessele na reunião do dia 05/03/2026 - Provavelmente vamos trocar de fornecedor, considerar M.O. R$58,00 / m2</t>
        </is>
      </c>
      <c r="P588" s="1721" t="inlineStr">
        <is>
          <t>Pendente</t>
        </is>
      </c>
    </row>
    <row r="589" hidden="1" outlineLevel="1" ht="13.9" customHeight="1">
      <c r="A589" s="2117" t="n">
        <v>0</v>
      </c>
      <c r="B589" s="2117" t="n">
        <v>7</v>
      </c>
      <c r="C589" s="2117" t="n">
        <v>3</v>
      </c>
      <c r="D589" s="2118" t="n">
        <v>0</v>
      </c>
      <c r="E589" s="2118" t="n">
        <v>1</v>
      </c>
      <c r="G589" s="1733" t="n"/>
      <c r="H589" s="1734" t="inlineStr">
        <is>
          <t>ETAPA</t>
        </is>
      </c>
      <c r="I589" s="1735" t="inlineStr">
        <is>
          <t>07.003</t>
        </is>
      </c>
      <c r="J589" s="1736" t="inlineStr">
        <is>
          <t>SISTEMAS E INSTALAÇÕES HIDROSSANITÁRIAS E DRENAGEM - G2</t>
        </is>
      </c>
      <c r="K589" s="1737" t="n"/>
      <c r="L589" s="1738" t="n"/>
      <c r="M589" s="1738" t="n"/>
      <c r="N589" s="1739" t="n">
        <v>58401.67</v>
      </c>
      <c r="O589" s="1722" t="n"/>
      <c r="P589" s="1725" t="n"/>
    </row>
    <row r="590" hidden="1" outlineLevel="2" ht="13.9" customHeight="1">
      <c r="A590" s="2117" t="n">
        <v>0</v>
      </c>
      <c r="B590" s="2117" t="n">
        <v>7</v>
      </c>
      <c r="C590" s="2117" t="n">
        <v>3</v>
      </c>
      <c r="D590" s="2118" t="n">
        <v>1</v>
      </c>
      <c r="E590" s="2118" t="n">
        <v>0</v>
      </c>
      <c r="G590" s="1764" t="n"/>
      <c r="H590" s="1741" t="inlineStr">
        <is>
          <t>SUBETAPA</t>
        </is>
      </c>
      <c r="I590" s="1742" t="inlineStr">
        <is>
          <t>07.003.001</t>
        </is>
      </c>
      <c r="J590" s="1743" t="inlineStr">
        <is>
          <t>Instalações de água fria</t>
        </is>
      </c>
      <c r="K590" s="1744" t="n"/>
      <c r="L590" s="1745" t="n"/>
      <c r="M590" s="1745" t="n"/>
      <c r="N590" s="1746" t="n">
        <v>5667.797</v>
      </c>
      <c r="O590" s="1747" t="n"/>
      <c r="P590" s="1720" t="n"/>
    </row>
    <row r="591" hidden="1" outlineLevel="3" ht="13.9" customHeight="1">
      <c r="A591" s="2117" t="n">
        <v>0</v>
      </c>
      <c r="B591" s="2117" t="n">
        <v>7</v>
      </c>
      <c r="C591" s="2117" t="n">
        <v>3</v>
      </c>
      <c r="D591" s="2118" t="n">
        <v>1</v>
      </c>
      <c r="E591" s="2118" t="n">
        <v>1</v>
      </c>
      <c r="G591" s="1748" t="inlineStr">
        <is>
          <t>SISTEMAS E INSTALAÇÕES HIDROSSANITÁRIAS E DRENAGEM</t>
        </is>
      </c>
      <c r="H591" s="1749" t="inlineStr">
        <is>
          <t>SERVIÇO</t>
        </is>
      </c>
      <c r="I591" s="1750" t="inlineStr">
        <is>
          <t>07.003.001.001</t>
        </is>
      </c>
      <c r="J591" s="1751" t="inlineStr">
        <is>
          <t>Instalações de água fria e quente</t>
        </is>
      </c>
      <c r="K591" s="1752" t="inlineStr">
        <is>
          <t>vb</t>
        </is>
      </c>
      <c r="L591" s="1753" t="n">
        <v>1</v>
      </c>
      <c r="M591" s="1753" t="n">
        <v>5667.797</v>
      </c>
      <c r="N591" s="1754" t="n">
        <v>5667.797</v>
      </c>
      <c r="O591" s="1755" t="inlineStr">
        <is>
          <t>quantidades conforme quantidades do projetista</t>
        </is>
      </c>
      <c r="P591" s="1721" t="inlineStr">
        <is>
          <t>Pendente</t>
        </is>
      </c>
    </row>
    <row r="592" hidden="1" outlineLevel="2" ht="13.9" customHeight="1">
      <c r="A592" s="2117" t="n">
        <v>0</v>
      </c>
      <c r="B592" s="2117" t="n">
        <v>7</v>
      </c>
      <c r="C592" s="2117" t="n">
        <v>3</v>
      </c>
      <c r="D592" s="2118" t="n">
        <v>2</v>
      </c>
      <c r="E592" s="2118" t="n">
        <v>0</v>
      </c>
      <c r="G592" s="1764" t="n"/>
      <c r="H592" s="1741" t="inlineStr">
        <is>
          <t>SUBETAPA</t>
        </is>
      </c>
      <c r="I592" s="1742" t="inlineStr">
        <is>
          <t>07.003.002</t>
        </is>
      </c>
      <c r="J592" s="1743" t="inlineStr">
        <is>
          <t>Instalações de esgoto e pluviais</t>
        </is>
      </c>
      <c r="K592" s="1744" t="n"/>
      <c r="L592" s="1745" t="n"/>
      <c r="M592" s="1745" t="n"/>
      <c r="N592" s="1746" t="n">
        <v>1528.873</v>
      </c>
      <c r="O592" s="1747" t="n"/>
      <c r="P592" s="1720" t="n"/>
    </row>
    <row r="593" hidden="1" outlineLevel="3" ht="13.9" customHeight="1">
      <c r="A593" s="2117" t="n">
        <v>0</v>
      </c>
      <c r="B593" s="2117" t="n">
        <v>7</v>
      </c>
      <c r="C593" s="2117" t="n">
        <v>3</v>
      </c>
      <c r="D593" s="2118" t="n">
        <v>2</v>
      </c>
      <c r="E593" s="2118" t="n">
        <v>1</v>
      </c>
      <c r="G593" s="1748" t="inlineStr">
        <is>
          <t>SISTEMAS E INSTALAÇÕES HIDROSSANITÁRIAS E DRENAGEM</t>
        </is>
      </c>
      <c r="H593" s="1749" t="inlineStr">
        <is>
          <t>SERVIÇO</t>
        </is>
      </c>
      <c r="I593" s="1750" t="inlineStr">
        <is>
          <t>07.003.002.001</t>
        </is>
      </c>
      <c r="J593" s="1751" t="inlineStr">
        <is>
          <t>Instalações de esgoto e pluviais</t>
        </is>
      </c>
      <c r="K593" s="1752" t="inlineStr">
        <is>
          <t>vb</t>
        </is>
      </c>
      <c r="L593" s="1753" t="n">
        <v>1</v>
      </c>
      <c r="M593" s="1753" t="n">
        <v>1528.873</v>
      </c>
      <c r="N593" s="1754" t="n">
        <v>1528.873</v>
      </c>
      <c r="O593" s="1755" t="inlineStr">
        <is>
          <t>quantidades conforme quantidades do projetista</t>
        </is>
      </c>
      <c r="P593" s="1721" t="inlineStr">
        <is>
          <t>Pendente</t>
        </is>
      </c>
    </row>
    <row r="594" hidden="1" outlineLevel="2" ht="13.9" customHeight="1">
      <c r="A594" s="2117" t="n">
        <v>0</v>
      </c>
      <c r="B594" s="2117" t="n">
        <v>7</v>
      </c>
      <c r="C594" s="2117" t="n">
        <v>3</v>
      </c>
      <c r="D594" s="2118" t="n">
        <v>3</v>
      </c>
      <c r="E594" s="2118" t="n">
        <v>0</v>
      </c>
      <c r="G594" s="1764" t="n"/>
      <c r="H594" s="1741" t="inlineStr">
        <is>
          <t>SUBETAPA</t>
        </is>
      </c>
      <c r="I594" s="1742" t="inlineStr">
        <is>
          <t>07.003.003</t>
        </is>
      </c>
      <c r="J594" s="1743" t="inlineStr">
        <is>
          <t>Hidrômetros</t>
        </is>
      </c>
      <c r="K594" s="1744" t="n"/>
      <c r="L594" s="1745" t="n"/>
      <c r="M594" s="1745" t="n"/>
      <c r="N594" s="1746" t="n">
        <v>252</v>
      </c>
      <c r="O594" s="1747" t="n"/>
      <c r="P594" s="1720" t="n"/>
    </row>
    <row r="595" hidden="1" outlineLevel="3" ht="13.9" customHeight="1">
      <c r="A595" s="2117" t="n">
        <v>0</v>
      </c>
      <c r="B595" s="2117" t="n">
        <v>7</v>
      </c>
      <c r="C595" s="2117" t="n">
        <v>3</v>
      </c>
      <c r="D595" s="2118" t="n">
        <v>3</v>
      </c>
      <c r="E595" s="2118" t="n">
        <v>1</v>
      </c>
      <c r="G595" s="1748" t="inlineStr">
        <is>
          <t>SISTEMAS E INSTALAÇÕES HIDROSSANITÁRIAS E DRENAGEM</t>
        </is>
      </c>
      <c r="H595" s="1749" t="inlineStr">
        <is>
          <t>SERVIÇO</t>
        </is>
      </c>
      <c r="I595" s="1750" t="inlineStr">
        <is>
          <t>07.003.003.001</t>
        </is>
      </c>
      <c r="J595" s="1751" t="inlineStr">
        <is>
          <t>Hidrômetros</t>
        </is>
      </c>
      <c r="K595" s="1752" t="inlineStr">
        <is>
          <t>vb</t>
        </is>
      </c>
      <c r="L595" s="1753" t="n">
        <v>1</v>
      </c>
      <c r="M595" s="1753" t="n">
        <v>252</v>
      </c>
      <c r="N595" s="1754" t="n">
        <v>252</v>
      </c>
      <c r="O595" s="1755" t="inlineStr">
        <is>
          <t>Devido a ausencia de quantitativos, estimamos um Hidrometro multijato 3/4" vazao maxima 5 m³/h por apartamento + 1 por pavimento</t>
        </is>
      </c>
      <c r="P595" s="1721" t="inlineStr">
        <is>
          <t>Pendente</t>
        </is>
      </c>
    </row>
    <row r="596" hidden="1" outlineLevel="2" ht="13.9" customHeight="1">
      <c r="A596" s="2117" t="n">
        <v>0</v>
      </c>
      <c r="B596" s="2117" t="n">
        <v>7</v>
      </c>
      <c r="C596" s="2117" t="n">
        <v>3</v>
      </c>
      <c r="D596" s="2118" t="n">
        <v>4</v>
      </c>
      <c r="E596" s="2118" t="n">
        <v>0</v>
      </c>
      <c r="G596" s="1764" t="n"/>
      <c r="H596" s="1741" t="inlineStr">
        <is>
          <t>SUBETAPA</t>
        </is>
      </c>
      <c r="I596" s="1742" t="inlineStr">
        <is>
          <t>07.003.004</t>
        </is>
      </c>
      <c r="J596" s="1743" t="inlineStr">
        <is>
          <t xml:space="preserve">Mão de obra - instalações hidrossanitárias e drenagem </t>
        </is>
      </c>
      <c r="K596" s="1744" t="n"/>
      <c r="L596" s="1745" t="n"/>
      <c r="M596" s="1745" t="n"/>
      <c r="N596" s="1746" t="n">
        <v>50953</v>
      </c>
      <c r="O596" s="1747" t="n"/>
      <c r="P596" s="1720" t="n"/>
    </row>
    <row r="597" hidden="1" outlineLevel="3" ht="13.9" customHeight="1">
      <c r="A597" s="2117" t="n">
        <v>0</v>
      </c>
      <c r="B597" s="2117" t="n">
        <v>7</v>
      </c>
      <c r="C597" s="2117" t="n">
        <v>3</v>
      </c>
      <c r="D597" s="2118" t="n">
        <v>4</v>
      </c>
      <c r="E597" s="2118" t="n">
        <v>1</v>
      </c>
      <c r="G597" s="1748" t="inlineStr">
        <is>
          <t>SISTEMAS E INSTALAÇÕES HIDROSSANITÁRIAS E DRENAGEM</t>
        </is>
      </c>
      <c r="H597" s="1749" t="inlineStr">
        <is>
          <t>SERVIÇO</t>
        </is>
      </c>
      <c r="I597" s="1750" t="inlineStr">
        <is>
          <t>07.003.004.001</t>
        </is>
      </c>
      <c r="J597" s="1751" t="inlineStr">
        <is>
          <t>Mão de obra Instalação Hidráulica</t>
        </is>
      </c>
      <c r="K597" s="1752" t="inlineStr">
        <is>
          <t>vb</t>
        </is>
      </c>
      <c r="L597" s="1753" t="n">
        <v>1</v>
      </c>
      <c r="M597" s="1753" t="n">
        <v>50953</v>
      </c>
      <c r="N597" s="1754" t="n">
        <v>50953</v>
      </c>
      <c r="O597" s="1761" t="inlineStr">
        <is>
          <t>Repessado pela Gessele na reunião do dia 05/03/2026 - Provavelmente vamos trocar de fornecedor, considerar M.O. R$58,00 / m2</t>
        </is>
      </c>
      <c r="P597" s="1721" t="inlineStr">
        <is>
          <t>Pendente</t>
        </is>
      </c>
    </row>
    <row r="598" hidden="1" outlineLevel="1" ht="13.9" customHeight="1">
      <c r="A598" s="2117" t="n">
        <v>0</v>
      </c>
      <c r="B598" s="2117" t="n">
        <v>7</v>
      </c>
      <c r="C598" s="2117" t="n">
        <v>4</v>
      </c>
      <c r="D598" s="2118" t="n">
        <v>0</v>
      </c>
      <c r="E598" s="2118" t="n">
        <v>1</v>
      </c>
      <c r="G598" s="1733" t="n"/>
      <c r="H598" s="1734" t="inlineStr">
        <is>
          <t>ETAPA</t>
        </is>
      </c>
      <c r="I598" s="1735" t="inlineStr">
        <is>
          <t>07.004</t>
        </is>
      </c>
      <c r="J598" s="1736" t="inlineStr">
        <is>
          <t>SISTEMAS E INSTALAÇÕES HIDROSSANITÁRIAS E DRENAGEM - Mezanino G2</t>
        </is>
      </c>
      <c r="K598" s="1737" t="n"/>
      <c r="L598" s="1738" t="n"/>
      <c r="M598" s="1738" t="n"/>
      <c r="N598" s="1739" t="n">
        <v>62749.5444</v>
      </c>
      <c r="O598" s="1722" t="n"/>
      <c r="P598" s="1725" t="n"/>
    </row>
    <row r="599" hidden="1" outlineLevel="2" ht="13.9" customHeight="1">
      <c r="A599" s="2117" t="n">
        <v>0</v>
      </c>
      <c r="B599" s="2117" t="n">
        <v>7</v>
      </c>
      <c r="C599" s="2117" t="n">
        <v>4</v>
      </c>
      <c r="D599" s="2118" t="n">
        <v>1</v>
      </c>
      <c r="E599" s="2118" t="n">
        <v>0</v>
      </c>
      <c r="G599" s="1764" t="n"/>
      <c r="H599" s="1741" t="inlineStr">
        <is>
          <t>SUBETAPA</t>
        </is>
      </c>
      <c r="I599" s="1742" t="inlineStr">
        <is>
          <t>07.004.001</t>
        </is>
      </c>
      <c r="J599" s="1743" t="inlineStr">
        <is>
          <t>Instalações de água fria</t>
        </is>
      </c>
      <c r="K599" s="1744" t="n"/>
      <c r="L599" s="1745" t="n"/>
      <c r="M599" s="1745" t="n"/>
      <c r="N599" s="1746" t="n">
        <v>5933.377</v>
      </c>
      <c r="O599" s="1747" t="n"/>
      <c r="P599" s="1720" t="n"/>
    </row>
    <row r="600" hidden="1" outlineLevel="3" ht="13.9" customHeight="1">
      <c r="A600" s="2117" t="n">
        <v>0</v>
      </c>
      <c r="B600" s="2117" t="n">
        <v>7</v>
      </c>
      <c r="C600" s="2117" t="n">
        <v>4</v>
      </c>
      <c r="D600" s="2118" t="n">
        <v>1</v>
      </c>
      <c r="E600" s="2118" t="n">
        <v>1</v>
      </c>
      <c r="G600" s="1748" t="inlineStr">
        <is>
          <t>SISTEMAS E INSTALAÇÕES HIDROSSANITÁRIAS E DRENAGEM</t>
        </is>
      </c>
      <c r="H600" s="1749" t="inlineStr">
        <is>
          <t>SERVIÇO</t>
        </is>
      </c>
      <c r="I600" s="1750" t="inlineStr">
        <is>
          <t>07.004.001.001</t>
        </is>
      </c>
      <c r="J600" s="1751" t="inlineStr">
        <is>
          <t>Instalações de água fria e quente</t>
        </is>
      </c>
      <c r="K600" s="1752" t="inlineStr">
        <is>
          <t>vb</t>
        </is>
      </c>
      <c r="L600" s="1753" t="n">
        <v>1</v>
      </c>
      <c r="M600" s="1753" t="n">
        <v>5933.377</v>
      </c>
      <c r="N600" s="1754" t="n">
        <v>5933.377</v>
      </c>
      <c r="O600" s="1755" t="inlineStr">
        <is>
          <t>quantidades conforme quantidades do projetista</t>
        </is>
      </c>
      <c r="P600" s="1721" t="inlineStr">
        <is>
          <t>Pendente</t>
        </is>
      </c>
    </row>
    <row r="601" hidden="1" outlineLevel="2" ht="13.9" customHeight="1">
      <c r="A601" s="2117" t="n">
        <v>0</v>
      </c>
      <c r="B601" s="2117" t="n">
        <v>7</v>
      </c>
      <c r="C601" s="2117" t="n">
        <v>4</v>
      </c>
      <c r="D601" s="2118" t="n">
        <v>2</v>
      </c>
      <c r="E601" s="2118" t="n">
        <v>0</v>
      </c>
      <c r="G601" s="1764" t="n"/>
      <c r="H601" s="1741" t="inlineStr">
        <is>
          <t>SUBETAPA</t>
        </is>
      </c>
      <c r="I601" s="1742" t="inlineStr">
        <is>
          <t>07.004.002</t>
        </is>
      </c>
      <c r="J601" s="1743" t="inlineStr">
        <is>
          <t>Instalações de esgoto e pluviais</t>
        </is>
      </c>
      <c r="K601" s="1744" t="n"/>
      <c r="L601" s="1745" t="n"/>
      <c r="M601" s="1745" t="n"/>
      <c r="N601" s="1746" t="n">
        <v>5611.1674</v>
      </c>
      <c r="O601" s="1747" t="n"/>
      <c r="P601" s="1720" t="n"/>
    </row>
    <row r="602" hidden="1" outlineLevel="3" ht="13.9" customHeight="1">
      <c r="A602" s="2117" t="n">
        <v>0</v>
      </c>
      <c r="B602" s="2117" t="n">
        <v>7</v>
      </c>
      <c r="C602" s="2117" t="n">
        <v>4</v>
      </c>
      <c r="D602" s="2118" t="n">
        <v>2</v>
      </c>
      <c r="E602" s="2118" t="n">
        <v>1</v>
      </c>
      <c r="G602" s="1748" t="inlineStr">
        <is>
          <t>SISTEMAS E INSTALAÇÕES HIDROSSANITÁRIAS E DRENAGEM</t>
        </is>
      </c>
      <c r="H602" s="1749" t="inlineStr">
        <is>
          <t>SERVIÇO</t>
        </is>
      </c>
      <c r="I602" s="1750" t="inlineStr">
        <is>
          <t>07.004.002.001</t>
        </is>
      </c>
      <c r="J602" s="1751" t="inlineStr">
        <is>
          <t>Instalações de esgoto e pluviais</t>
        </is>
      </c>
      <c r="K602" s="1752" t="inlineStr">
        <is>
          <t>vb</t>
        </is>
      </c>
      <c r="L602" s="1753" t="n">
        <v>1</v>
      </c>
      <c r="M602" s="1753" t="n">
        <v>5611.1674</v>
      </c>
      <c r="N602" s="1754" t="n">
        <v>5611.1674</v>
      </c>
      <c r="O602" s="1755" t="inlineStr">
        <is>
          <t>quantidades conforme quantidades do projetista</t>
        </is>
      </c>
      <c r="P602" s="1721" t="inlineStr">
        <is>
          <t>Pendente</t>
        </is>
      </c>
    </row>
    <row r="603" hidden="1" outlineLevel="2" ht="13.9" customHeight="1">
      <c r="A603" s="2117" t="n">
        <v>0</v>
      </c>
      <c r="B603" s="2117" t="n">
        <v>7</v>
      </c>
      <c r="C603" s="2117" t="n">
        <v>4</v>
      </c>
      <c r="D603" s="2118" t="n">
        <v>3</v>
      </c>
      <c r="E603" s="2118" t="n">
        <v>0</v>
      </c>
      <c r="G603" s="1764" t="n"/>
      <c r="H603" s="1741" t="inlineStr">
        <is>
          <t>SUBETAPA</t>
        </is>
      </c>
      <c r="I603" s="1742" t="inlineStr">
        <is>
          <t>07.004.003</t>
        </is>
      </c>
      <c r="J603" s="1743" t="inlineStr">
        <is>
          <t>Hidrômetros</t>
        </is>
      </c>
      <c r="K603" s="1744" t="n"/>
      <c r="L603" s="1745" t="n"/>
      <c r="M603" s="1745" t="n"/>
      <c r="N603" s="1746" t="n">
        <v>252</v>
      </c>
      <c r="O603" s="1747" t="n"/>
      <c r="P603" s="1720" t="n"/>
    </row>
    <row r="604" hidden="1" outlineLevel="3" ht="13.9" customHeight="1">
      <c r="A604" s="2117" t="n">
        <v>0</v>
      </c>
      <c r="B604" s="2117" t="n">
        <v>7</v>
      </c>
      <c r="C604" s="2117" t="n">
        <v>4</v>
      </c>
      <c r="D604" s="2118" t="n">
        <v>3</v>
      </c>
      <c r="E604" s="2118" t="n">
        <v>1</v>
      </c>
      <c r="G604" s="1748" t="inlineStr">
        <is>
          <t>SISTEMAS E INSTALAÇÕES HIDROSSANITÁRIAS E DRENAGEM</t>
        </is>
      </c>
      <c r="H604" s="1749" t="inlineStr">
        <is>
          <t>SERVIÇO</t>
        </is>
      </c>
      <c r="I604" s="1750" t="inlineStr">
        <is>
          <t>07.004.003.001</t>
        </is>
      </c>
      <c r="J604" s="1751" t="inlineStr">
        <is>
          <t>Hidrômetros</t>
        </is>
      </c>
      <c r="K604" s="1752" t="inlineStr">
        <is>
          <t>vb</t>
        </is>
      </c>
      <c r="L604" s="1753" t="n">
        <v>1</v>
      </c>
      <c r="M604" s="1753" t="n">
        <v>252</v>
      </c>
      <c r="N604" s="1754" t="n">
        <v>252</v>
      </c>
      <c r="O604" s="1755" t="inlineStr">
        <is>
          <t>Devido a ausencia de quantitativos, estimamos um Hidrometro multijato 3/4" vazao maxima 5 m³/h por apartamento + 1 por pavimento</t>
        </is>
      </c>
      <c r="P604" s="1721" t="inlineStr">
        <is>
          <t>Pendente</t>
        </is>
      </c>
    </row>
    <row r="605" hidden="1" outlineLevel="2" ht="13.9" customHeight="1">
      <c r="A605" s="2117" t="n">
        <v>0</v>
      </c>
      <c r="B605" s="2117" t="n">
        <v>7</v>
      </c>
      <c r="C605" s="2117" t="n">
        <v>4</v>
      </c>
      <c r="D605" s="2118" t="n">
        <v>4</v>
      </c>
      <c r="E605" s="2118" t="n">
        <v>0</v>
      </c>
      <c r="G605" s="1764" t="n"/>
      <c r="H605" s="1741" t="inlineStr">
        <is>
          <t>SUBETAPA</t>
        </is>
      </c>
      <c r="I605" s="1742" t="inlineStr">
        <is>
          <t>07.004.004</t>
        </is>
      </c>
      <c r="J605" s="1743" t="inlineStr">
        <is>
          <t xml:space="preserve">Mão de obra - instalações hidrossanitárias e drenagem </t>
        </is>
      </c>
      <c r="K605" s="1744" t="n"/>
      <c r="L605" s="1745" t="n"/>
      <c r="M605" s="1745" t="n"/>
      <c r="N605" s="1746" t="n">
        <v>50953</v>
      </c>
      <c r="O605" s="1747" t="n"/>
      <c r="P605" s="1720" t="n"/>
    </row>
    <row r="606" hidden="1" outlineLevel="3" ht="13.9" customHeight="1">
      <c r="A606" s="2117" t="n">
        <v>0</v>
      </c>
      <c r="B606" s="2117" t="n">
        <v>7</v>
      </c>
      <c r="C606" s="2117" t="n">
        <v>4</v>
      </c>
      <c r="D606" s="2118" t="n">
        <v>4</v>
      </c>
      <c r="E606" s="2118" t="n">
        <v>1</v>
      </c>
      <c r="G606" s="1748" t="inlineStr">
        <is>
          <t>SISTEMAS E INSTALAÇÕES HIDROSSANITÁRIAS E DRENAGEM</t>
        </is>
      </c>
      <c r="H606" s="1749" t="inlineStr">
        <is>
          <t>SERVIÇO</t>
        </is>
      </c>
      <c r="I606" s="1750" t="inlineStr">
        <is>
          <t>07.004.004.001</t>
        </is>
      </c>
      <c r="J606" s="1751" t="inlineStr">
        <is>
          <t>Mão de obra Instalação Hidráulica</t>
        </is>
      </c>
      <c r="K606" s="1752" t="inlineStr">
        <is>
          <t>vb</t>
        </is>
      </c>
      <c r="L606" s="1753" t="n">
        <v>1</v>
      </c>
      <c r="M606" s="1753" t="n">
        <v>50953</v>
      </c>
      <c r="N606" s="1754" t="n">
        <v>50953</v>
      </c>
      <c r="O606" s="1761" t="inlineStr">
        <is>
          <t>Repessado pela Gessele na reunião do dia 05/03/2026 - Provavelmente vamos trocar de fornecedor, considerar M.O. R$58,00 / m2</t>
        </is>
      </c>
      <c r="P606" s="1721" t="inlineStr">
        <is>
          <t>Pendente</t>
        </is>
      </c>
    </row>
    <row r="607" hidden="1" outlineLevel="1" ht="13.9" customHeight="1">
      <c r="A607" s="2117" t="n">
        <v>0</v>
      </c>
      <c r="B607" s="2117" t="n">
        <v>7</v>
      </c>
      <c r="C607" s="2117" t="n">
        <v>5</v>
      </c>
      <c r="D607" s="2118" t="n">
        <v>0</v>
      </c>
      <c r="E607" s="2118" t="n">
        <v>1</v>
      </c>
      <c r="G607" s="1733" t="n"/>
      <c r="H607" s="1734" t="inlineStr">
        <is>
          <t>ETAPA</t>
        </is>
      </c>
      <c r="I607" s="1735" t="inlineStr">
        <is>
          <t>07.005</t>
        </is>
      </c>
      <c r="J607" s="1736" t="inlineStr">
        <is>
          <t>SISTEMAS E INSTALAÇÕES HIDROSSANITÁRIAS E DRENAGEM - G3</t>
        </is>
      </c>
      <c r="K607" s="1737" t="n"/>
      <c r="L607" s="1738" t="n"/>
      <c r="M607" s="1738" t="n"/>
      <c r="N607" s="1739" t="n">
        <v>54662.7683</v>
      </c>
      <c r="O607" s="1722" t="n"/>
      <c r="P607" s="1725" t="n"/>
    </row>
    <row r="608" hidden="1" outlineLevel="2" ht="13.9" customHeight="1">
      <c r="A608" s="2117" t="n">
        <v>0</v>
      </c>
      <c r="B608" s="2117" t="n">
        <v>7</v>
      </c>
      <c r="C608" s="2117" t="n">
        <v>5</v>
      </c>
      <c r="D608" s="2118" t="n">
        <v>1</v>
      </c>
      <c r="E608" s="2118" t="n">
        <v>0</v>
      </c>
      <c r="G608" s="1764" t="n"/>
      <c r="H608" s="1741" t="inlineStr">
        <is>
          <t>SUBETAPA</t>
        </is>
      </c>
      <c r="I608" s="1742" t="inlineStr">
        <is>
          <t>07.005.001</t>
        </is>
      </c>
      <c r="J608" s="1743" t="inlineStr">
        <is>
          <t>Instalações de água fria</t>
        </is>
      </c>
      <c r="K608" s="1744" t="n"/>
      <c r="L608" s="1745" t="n"/>
      <c r="M608" s="1745" t="n"/>
      <c r="N608" s="1746" t="n">
        <v>943.6079</v>
      </c>
      <c r="O608" s="1747" t="n"/>
      <c r="P608" s="1720" t="n"/>
    </row>
    <row r="609" hidden="1" outlineLevel="3" ht="13.9" customHeight="1">
      <c r="A609" s="2117" t="n">
        <v>0</v>
      </c>
      <c r="B609" s="2117" t="n">
        <v>7</v>
      </c>
      <c r="C609" s="2117" t="n">
        <v>5</v>
      </c>
      <c r="D609" s="2118" t="n">
        <v>1</v>
      </c>
      <c r="E609" s="2118" t="n">
        <v>1</v>
      </c>
      <c r="G609" s="1748" t="inlineStr">
        <is>
          <t>SISTEMAS E INSTALAÇÕES HIDROSSANITÁRIAS E DRENAGEM</t>
        </is>
      </c>
      <c r="H609" s="1749" t="inlineStr">
        <is>
          <t>SERVIÇO</t>
        </is>
      </c>
      <c r="I609" s="1750" t="inlineStr">
        <is>
          <t>07.005.001.001</t>
        </is>
      </c>
      <c r="J609" s="1751" t="inlineStr">
        <is>
          <t>Instalações de água fria e quente</t>
        </is>
      </c>
      <c r="K609" s="1752" t="inlineStr">
        <is>
          <t>vb</t>
        </is>
      </c>
      <c r="L609" s="1753" t="n">
        <v>1</v>
      </c>
      <c r="M609" s="1753" t="n">
        <v>943.6079</v>
      </c>
      <c r="N609" s="1754" t="n">
        <v>943.6079</v>
      </c>
      <c r="O609" s="1755" t="inlineStr">
        <is>
          <t>quantidades conforme quantidades do projetista</t>
        </is>
      </c>
      <c r="P609" s="1721" t="inlineStr">
        <is>
          <t>Pendente</t>
        </is>
      </c>
    </row>
    <row r="610" hidden="1" outlineLevel="2" ht="13.9" customHeight="1">
      <c r="A610" s="2117" t="n">
        <v>0</v>
      </c>
      <c r="B610" s="2117" t="n">
        <v>7</v>
      </c>
      <c r="C610" s="2117" t="n">
        <v>5</v>
      </c>
      <c r="D610" s="2118" t="n">
        <v>2</v>
      </c>
      <c r="E610" s="2118" t="n">
        <v>0</v>
      </c>
      <c r="G610" s="1764" t="n"/>
      <c r="H610" s="1741" t="inlineStr">
        <is>
          <t>SUBETAPA</t>
        </is>
      </c>
      <c r="I610" s="1742" t="inlineStr">
        <is>
          <t>07.005.002</t>
        </is>
      </c>
      <c r="J610" s="1743" t="inlineStr">
        <is>
          <t>Instalações de esgoto e pluviais</t>
        </is>
      </c>
      <c r="K610" s="1744" t="n"/>
      <c r="L610" s="1745" t="n"/>
      <c r="M610" s="1745" t="n"/>
      <c r="N610" s="1746" t="n">
        <v>2514.1604</v>
      </c>
      <c r="O610" s="1747" t="n"/>
      <c r="P610" s="1720" t="n"/>
    </row>
    <row r="611" hidden="1" outlineLevel="3" ht="13.9" customHeight="1">
      <c r="A611" s="2117" t="n">
        <v>0</v>
      </c>
      <c r="B611" s="2117" t="n">
        <v>7</v>
      </c>
      <c r="C611" s="2117" t="n">
        <v>5</v>
      </c>
      <c r="D611" s="2118" t="n">
        <v>2</v>
      </c>
      <c r="E611" s="2118" t="n">
        <v>1</v>
      </c>
      <c r="G611" s="1748" t="inlineStr">
        <is>
          <t>SISTEMAS E INSTALAÇÕES HIDROSSANITÁRIAS E DRENAGEM</t>
        </is>
      </c>
      <c r="H611" s="1749" t="inlineStr">
        <is>
          <t>SERVIÇO</t>
        </is>
      </c>
      <c r="I611" s="1750" t="inlineStr">
        <is>
          <t>07.005.002.001</t>
        </is>
      </c>
      <c r="J611" s="1751" t="inlineStr">
        <is>
          <t>Instalações de esgoto e pluviais</t>
        </is>
      </c>
      <c r="K611" s="1752" t="inlineStr">
        <is>
          <t>vb</t>
        </is>
      </c>
      <c r="L611" s="1753" t="n">
        <v>1</v>
      </c>
      <c r="M611" s="1753" t="n">
        <v>2514.1604</v>
      </c>
      <c r="N611" s="1754" t="n">
        <v>2514.1604</v>
      </c>
      <c r="O611" s="1755" t="inlineStr">
        <is>
          <t>quantidades conforme quantidades do projetista</t>
        </is>
      </c>
      <c r="P611" s="1721" t="inlineStr">
        <is>
          <t>Pendente</t>
        </is>
      </c>
    </row>
    <row r="612" hidden="1" outlineLevel="2" ht="13.9" customHeight="1">
      <c r="A612" s="2117" t="n">
        <v>0</v>
      </c>
      <c r="B612" s="2117" t="n">
        <v>7</v>
      </c>
      <c r="C612" s="2117" t="n">
        <v>5</v>
      </c>
      <c r="D612" s="2118" t="n">
        <v>3</v>
      </c>
      <c r="E612" s="2118" t="n">
        <v>0</v>
      </c>
      <c r="G612" s="1764" t="n"/>
      <c r="H612" s="1741" t="inlineStr">
        <is>
          <t>SUBETAPA</t>
        </is>
      </c>
      <c r="I612" s="1742" t="inlineStr">
        <is>
          <t>07.005.003</t>
        </is>
      </c>
      <c r="J612" s="1743" t="inlineStr">
        <is>
          <t>Hidrômetros</t>
        </is>
      </c>
      <c r="K612" s="1744" t="n"/>
      <c r="L612" s="1745" t="n"/>
      <c r="M612" s="1745" t="n"/>
      <c r="N612" s="1746" t="n">
        <v>252</v>
      </c>
      <c r="O612" s="1747" t="n"/>
      <c r="P612" s="1720" t="n"/>
    </row>
    <row r="613" hidden="1" outlineLevel="3" ht="13.9" customHeight="1">
      <c r="A613" s="2117" t="n">
        <v>0</v>
      </c>
      <c r="B613" s="2117" t="n">
        <v>7</v>
      </c>
      <c r="C613" s="2117" t="n">
        <v>5</v>
      </c>
      <c r="D613" s="2118" t="n">
        <v>3</v>
      </c>
      <c r="E613" s="2118" t="n">
        <v>1</v>
      </c>
      <c r="G613" s="1748" t="inlineStr">
        <is>
          <t>SISTEMAS E INSTALAÇÕES HIDROSSANITÁRIAS E DRENAGEM</t>
        </is>
      </c>
      <c r="H613" s="1749" t="inlineStr">
        <is>
          <t>SERVIÇO</t>
        </is>
      </c>
      <c r="I613" s="1750" t="inlineStr">
        <is>
          <t>07.005.003.001</t>
        </is>
      </c>
      <c r="J613" s="1751" t="inlineStr">
        <is>
          <t>Hidrômetros</t>
        </is>
      </c>
      <c r="K613" s="1752" t="inlineStr">
        <is>
          <t>vb</t>
        </is>
      </c>
      <c r="L613" s="1753" t="n">
        <v>1</v>
      </c>
      <c r="M613" s="1753" t="n">
        <v>252</v>
      </c>
      <c r="N613" s="1754" t="n">
        <v>252</v>
      </c>
      <c r="O613" s="1755" t="inlineStr">
        <is>
          <t>Devido a ausencia de quantitativos, estimamos um Hidrometro multijato 3/4" vazao maxima 5 m³/h por apartamento + 1 por pavimento</t>
        </is>
      </c>
      <c r="P613" s="1721" t="inlineStr">
        <is>
          <t>Pendente</t>
        </is>
      </c>
    </row>
    <row r="614" hidden="1" outlineLevel="2" ht="13.9" customHeight="1">
      <c r="A614" s="2117" t="n">
        <v>0</v>
      </c>
      <c r="B614" s="2117" t="n">
        <v>7</v>
      </c>
      <c r="C614" s="2117" t="n">
        <v>5</v>
      </c>
      <c r="D614" s="2118" t="n">
        <v>4</v>
      </c>
      <c r="E614" s="2118" t="n">
        <v>0</v>
      </c>
      <c r="G614" s="1764" t="n"/>
      <c r="H614" s="1741" t="inlineStr">
        <is>
          <t>SUBETAPA</t>
        </is>
      </c>
      <c r="I614" s="1742" t="inlineStr">
        <is>
          <t>07.005.004</t>
        </is>
      </c>
      <c r="J614" s="1743" t="inlineStr">
        <is>
          <t xml:space="preserve">Mão de obra - instalações hidrossanitárias e drenagem </t>
        </is>
      </c>
      <c r="K614" s="1744" t="n"/>
      <c r="L614" s="1745" t="n"/>
      <c r="M614" s="1745" t="n"/>
      <c r="N614" s="1746" t="n">
        <v>50953</v>
      </c>
      <c r="O614" s="1747" t="n"/>
      <c r="P614" s="1720" t="n"/>
    </row>
    <row r="615" hidden="1" outlineLevel="3" ht="13.9" customHeight="1">
      <c r="A615" s="2117" t="n">
        <v>0</v>
      </c>
      <c r="B615" s="2117" t="n">
        <v>7</v>
      </c>
      <c r="C615" s="2117" t="n">
        <v>5</v>
      </c>
      <c r="D615" s="2118" t="n">
        <v>4</v>
      </c>
      <c r="E615" s="2118" t="n">
        <v>1</v>
      </c>
      <c r="G615" s="1748" t="inlineStr">
        <is>
          <t>SISTEMAS E INSTALAÇÕES HIDROSSANITÁRIAS E DRENAGEM</t>
        </is>
      </c>
      <c r="H615" s="1749" t="inlineStr">
        <is>
          <t>SERVIÇO</t>
        </is>
      </c>
      <c r="I615" s="1750" t="inlineStr">
        <is>
          <t>07.005.004.001</t>
        </is>
      </c>
      <c r="J615" s="1751" t="inlineStr">
        <is>
          <t>Mão de obra Instalação Hidráulica</t>
        </is>
      </c>
      <c r="K615" s="1752" t="inlineStr">
        <is>
          <t>vb</t>
        </is>
      </c>
      <c r="L615" s="1753" t="n">
        <v>1</v>
      </c>
      <c r="M615" s="1753" t="n">
        <v>50953</v>
      </c>
      <c r="N615" s="1754" t="n">
        <v>50953</v>
      </c>
      <c r="O615" s="1761" t="inlineStr">
        <is>
          <t>Repessado pela Gessele na reunião do dia 05/03/2026 - Provavelmente vamos trocar de fornecedor, considerar M.O. R$58,00 / m2</t>
        </is>
      </c>
      <c r="P615" s="1721" t="inlineStr">
        <is>
          <t>Pendente</t>
        </is>
      </c>
    </row>
    <row r="616" hidden="1" outlineLevel="1" ht="13.9" customHeight="1">
      <c r="A616" s="2117" t="n">
        <v>0</v>
      </c>
      <c r="B616" s="2117" t="n">
        <v>7</v>
      </c>
      <c r="C616" s="2117" t="n">
        <v>6</v>
      </c>
      <c r="D616" s="2118" t="n">
        <v>0</v>
      </c>
      <c r="E616" s="2118" t="n">
        <v>1</v>
      </c>
      <c r="G616" s="1733" t="n"/>
      <c r="H616" s="1734" t="inlineStr">
        <is>
          <t>ETAPA</t>
        </is>
      </c>
      <c r="I616" s="1735" t="inlineStr">
        <is>
          <t>07.006</t>
        </is>
      </c>
      <c r="J616" s="1736" t="inlineStr">
        <is>
          <t>SISTEMAS E INSTALAÇÕES HIDROSSANITÁRIAS E DRENAGEM - Mezanino G3</t>
        </is>
      </c>
      <c r="K616" s="1737" t="n"/>
      <c r="L616" s="1738" t="n"/>
      <c r="M616" s="1738" t="n"/>
      <c r="N616" s="1739" t="n">
        <v>62630.8677076474</v>
      </c>
      <c r="O616" s="1722" t="n"/>
      <c r="P616" s="1725" t="n"/>
    </row>
    <row r="617" hidden="1" outlineLevel="2" ht="13.9" customHeight="1">
      <c r="A617" s="2117" t="n">
        <v>0</v>
      </c>
      <c r="B617" s="2117" t="n">
        <v>7</v>
      </c>
      <c r="C617" s="2117" t="n">
        <v>6</v>
      </c>
      <c r="D617" s="2118" t="n">
        <v>1</v>
      </c>
      <c r="E617" s="2118" t="n">
        <v>0</v>
      </c>
      <c r="G617" s="1764" t="n"/>
      <c r="H617" s="1741" t="inlineStr">
        <is>
          <t>SUBETAPA</t>
        </is>
      </c>
      <c r="I617" s="1742" t="inlineStr">
        <is>
          <t>07.006.001</t>
        </is>
      </c>
      <c r="J617" s="1743" t="inlineStr">
        <is>
          <t>Instalações de água fria</t>
        </is>
      </c>
      <c r="K617" s="1744" t="n"/>
      <c r="L617" s="1745" t="n"/>
      <c r="M617" s="1745" t="n"/>
      <c r="N617" s="1746" t="n">
        <v>2324.199</v>
      </c>
      <c r="O617" s="1747" t="n"/>
      <c r="P617" s="1720" t="n"/>
    </row>
    <row r="618" hidden="1" outlineLevel="3" ht="13.9" customHeight="1">
      <c r="A618" s="2117" t="n">
        <v>0</v>
      </c>
      <c r="B618" s="2117" t="n">
        <v>7</v>
      </c>
      <c r="C618" s="2117" t="n">
        <v>6</v>
      </c>
      <c r="D618" s="2118" t="n">
        <v>1</v>
      </c>
      <c r="E618" s="2118" t="n">
        <v>1</v>
      </c>
      <c r="G618" s="1748" t="inlineStr">
        <is>
          <t>SISTEMAS E INSTALAÇÕES HIDROSSANITÁRIAS E DRENAGEM</t>
        </is>
      </c>
      <c r="H618" s="1749" t="inlineStr">
        <is>
          <t>SERVIÇO</t>
        </is>
      </c>
      <c r="I618" s="1750" t="inlineStr">
        <is>
          <t>07.006.001.001</t>
        </is>
      </c>
      <c r="J618" s="1751" t="inlineStr">
        <is>
          <t>Instalações de água fria e quente</t>
        </is>
      </c>
      <c r="K618" s="1752" t="inlineStr">
        <is>
          <t>vb</t>
        </is>
      </c>
      <c r="L618" s="1753" t="n">
        <v>1</v>
      </c>
      <c r="M618" s="1753" t="n">
        <v>2324.199</v>
      </c>
      <c r="N618" s="1754" t="n">
        <v>2324.199</v>
      </c>
      <c r="O618" s="1755" t="inlineStr">
        <is>
          <t>quantidades conforme quantidades do projetista</t>
        </is>
      </c>
      <c r="P618" s="1721" t="inlineStr">
        <is>
          <t>Pendente</t>
        </is>
      </c>
    </row>
    <row r="619" hidden="1" outlineLevel="2" ht="13.9" customHeight="1">
      <c r="A619" s="2117" t="n">
        <v>0</v>
      </c>
      <c r="B619" s="2117" t="n">
        <v>7</v>
      </c>
      <c r="C619" s="2117" t="n">
        <v>6</v>
      </c>
      <c r="D619" s="2118" t="n">
        <v>2</v>
      </c>
      <c r="E619" s="2118" t="n">
        <v>0</v>
      </c>
      <c r="G619" s="1764" t="n"/>
      <c r="H619" s="1741" t="inlineStr">
        <is>
          <t>SUBETAPA</t>
        </is>
      </c>
      <c r="I619" s="1742" t="inlineStr">
        <is>
          <t>07.006.002</t>
        </is>
      </c>
      <c r="J619" s="1743" t="inlineStr">
        <is>
          <t>Instalações de esgoto e pluviais</t>
        </is>
      </c>
      <c r="K619" s="1744" t="n"/>
      <c r="L619" s="1745" t="n"/>
      <c r="M619" s="1745" t="n"/>
      <c r="N619" s="1746" t="n">
        <v>8292.56870764737</v>
      </c>
      <c r="O619" s="1747" t="n"/>
      <c r="P619" s="1720" t="n"/>
    </row>
    <row r="620" hidden="1" outlineLevel="3" ht="13.9" customHeight="1">
      <c r="A620" s="2117" t="n">
        <v>0</v>
      </c>
      <c r="B620" s="2117" t="n">
        <v>7</v>
      </c>
      <c r="C620" s="2117" t="n">
        <v>6</v>
      </c>
      <c r="D620" s="2118" t="n">
        <v>2</v>
      </c>
      <c r="E620" s="2118" t="n">
        <v>1</v>
      </c>
      <c r="G620" s="1748" t="inlineStr">
        <is>
          <t>SISTEMAS E INSTALAÇÕES HIDROSSANITÁRIAS E DRENAGEM</t>
        </is>
      </c>
      <c r="H620" s="1749" t="inlineStr">
        <is>
          <t>SERVIÇO</t>
        </is>
      </c>
      <c r="I620" s="1750" t="inlineStr">
        <is>
          <t>07.006.002.001</t>
        </is>
      </c>
      <c r="J620" s="1751" t="inlineStr">
        <is>
          <t>Instalações de esgoto e pluviais</t>
        </is>
      </c>
      <c r="K620" s="1752" t="inlineStr">
        <is>
          <t>vb</t>
        </is>
      </c>
      <c r="L620" s="1753" t="n">
        <v>1</v>
      </c>
      <c r="M620" s="1753" t="n">
        <v>8292.568707647371</v>
      </c>
      <c r="N620" s="1754" t="n">
        <v>8292.56870764737</v>
      </c>
      <c r="O620" s="1755" t="inlineStr">
        <is>
          <t>quantidades conforme quantidades do projetista</t>
        </is>
      </c>
      <c r="P620" s="1721" t="inlineStr">
        <is>
          <t>Pendente</t>
        </is>
      </c>
    </row>
    <row r="621" hidden="1" outlineLevel="2" ht="13.9" customHeight="1">
      <c r="A621" s="2117" t="n">
        <v>0</v>
      </c>
      <c r="B621" s="2117" t="n">
        <v>7</v>
      </c>
      <c r="C621" s="2117" t="n">
        <v>6</v>
      </c>
      <c r="D621" s="2118" t="n">
        <v>3</v>
      </c>
      <c r="E621" s="2118" t="n">
        <v>0</v>
      </c>
      <c r="G621" s="1764" t="n"/>
      <c r="H621" s="1741" t="inlineStr">
        <is>
          <t>SUBETAPA</t>
        </is>
      </c>
      <c r="I621" s="1742" t="inlineStr">
        <is>
          <t>07.006.003</t>
        </is>
      </c>
      <c r="J621" s="1743" t="inlineStr">
        <is>
          <t>Hidrômetros</t>
        </is>
      </c>
      <c r="K621" s="1744" t="n"/>
      <c r="L621" s="1745" t="n"/>
      <c r="M621" s="1745" t="n"/>
      <c r="N621" s="1746" t="n">
        <v>252</v>
      </c>
      <c r="O621" s="1747" t="n"/>
      <c r="P621" s="1720" t="n"/>
    </row>
    <row r="622" hidden="1" outlineLevel="3" ht="13.9" customHeight="1">
      <c r="A622" s="2117" t="n">
        <v>0</v>
      </c>
      <c r="B622" s="2117" t="n">
        <v>7</v>
      </c>
      <c r="C622" s="2117" t="n">
        <v>6</v>
      </c>
      <c r="D622" s="2118" t="n">
        <v>3</v>
      </c>
      <c r="E622" s="2118" t="n">
        <v>1</v>
      </c>
      <c r="G622" s="1748" t="inlineStr">
        <is>
          <t>SISTEMAS E INSTALAÇÕES HIDROSSANITÁRIAS E DRENAGEM</t>
        </is>
      </c>
      <c r="H622" s="1749" t="inlineStr">
        <is>
          <t>SERVIÇO</t>
        </is>
      </c>
      <c r="I622" s="1750" t="inlineStr">
        <is>
          <t>07.006.003.001</t>
        </is>
      </c>
      <c r="J622" s="1751" t="inlineStr">
        <is>
          <t>Hidrômetros</t>
        </is>
      </c>
      <c r="K622" s="1752" t="inlineStr">
        <is>
          <t>vb</t>
        </is>
      </c>
      <c r="L622" s="1753" t="n">
        <v>1</v>
      </c>
      <c r="M622" s="1753" t="n">
        <v>252</v>
      </c>
      <c r="N622" s="1754" t="n">
        <v>252</v>
      </c>
      <c r="O622" s="1755" t="inlineStr">
        <is>
          <t>Devido a ausencia de quantitativos, estimamos um Hidrometro multijato 3/4" vazao maxima 5 m³/h por apartamento + 1 por pavimento</t>
        </is>
      </c>
      <c r="P622" s="1721" t="inlineStr">
        <is>
          <t>Pendente</t>
        </is>
      </c>
    </row>
    <row r="623" hidden="1" outlineLevel="2" ht="13.9" customHeight="1">
      <c r="A623" s="2117" t="n">
        <v>0</v>
      </c>
      <c r="B623" s="2117" t="n">
        <v>7</v>
      </c>
      <c r="C623" s="2117" t="n">
        <v>6</v>
      </c>
      <c r="D623" s="2118" t="n">
        <v>4</v>
      </c>
      <c r="E623" s="2118" t="n">
        <v>0</v>
      </c>
      <c r="G623" s="1764" t="n"/>
      <c r="H623" s="1741" t="inlineStr">
        <is>
          <t>SUBETAPA</t>
        </is>
      </c>
      <c r="I623" s="1742" t="inlineStr">
        <is>
          <t>07.006.004</t>
        </is>
      </c>
      <c r="J623" s="1743" t="inlineStr">
        <is>
          <t xml:space="preserve">Mão de obra - instalações hidrossanitárias e drenagem </t>
        </is>
      </c>
      <c r="K623" s="1744" t="n"/>
      <c r="L623" s="1745" t="n"/>
      <c r="M623" s="1745" t="n"/>
      <c r="N623" s="1746" t="n">
        <v>51762.1</v>
      </c>
      <c r="O623" s="1747" t="n"/>
      <c r="P623" s="1720" t="n"/>
    </row>
    <row r="624" hidden="1" outlineLevel="3" ht="13.9" customHeight="1">
      <c r="A624" s="2117" t="n">
        <v>0</v>
      </c>
      <c r="B624" s="2117" t="n">
        <v>7</v>
      </c>
      <c r="C624" s="2117" t="n">
        <v>6</v>
      </c>
      <c r="D624" s="2118" t="n">
        <v>4</v>
      </c>
      <c r="E624" s="2118" t="n">
        <v>1</v>
      </c>
      <c r="G624" s="1748" t="inlineStr">
        <is>
          <t>SISTEMAS E INSTALAÇÕES HIDROSSANITÁRIAS E DRENAGEM</t>
        </is>
      </c>
      <c r="H624" s="1749" t="inlineStr">
        <is>
          <t>SERVIÇO</t>
        </is>
      </c>
      <c r="I624" s="1750" t="inlineStr">
        <is>
          <t>07.006.004.001</t>
        </is>
      </c>
      <c r="J624" s="1751" t="inlineStr">
        <is>
          <t>Mão de obra Instalação Hidráulica</t>
        </is>
      </c>
      <c r="K624" s="1752" t="inlineStr">
        <is>
          <t>vb</t>
        </is>
      </c>
      <c r="L624" s="1753" t="n">
        <v>1</v>
      </c>
      <c r="M624" s="1753" t="n">
        <v>51762.10000000001</v>
      </c>
      <c r="N624" s="1754" t="n">
        <v>51762.1</v>
      </c>
      <c r="O624" s="1761" t="inlineStr">
        <is>
          <t>Repessado pela Gessele na reunião do dia 05/03/2026 - Provavelmente vamos trocar de fornecedor, considerar M.O. R$58,00 / m2</t>
        </is>
      </c>
      <c r="P624" s="1721" t="inlineStr">
        <is>
          <t>Pendente</t>
        </is>
      </c>
    </row>
    <row r="625" hidden="1" outlineLevel="1" ht="13.9" customHeight="1">
      <c r="A625" s="2117" t="n">
        <v>0</v>
      </c>
      <c r="B625" s="2117" t="n">
        <v>7</v>
      </c>
      <c r="C625" s="2117" t="n">
        <v>7</v>
      </c>
      <c r="D625" s="2118" t="n">
        <v>0</v>
      </c>
      <c r="E625" s="2118" t="n">
        <v>1</v>
      </c>
      <c r="G625" s="1733" t="n"/>
      <c r="H625" s="1734" t="inlineStr">
        <is>
          <t>ETAPA</t>
        </is>
      </c>
      <c r="I625" s="1735" t="inlineStr">
        <is>
          <t>07.007</t>
        </is>
      </c>
      <c r="J625" s="1736" t="inlineStr">
        <is>
          <t>SISTEMAS E INSTALAÇÕES HIDROSSANITÁRIAS E DRENAGEM - Lazer | Garagem</t>
        </is>
      </c>
      <c r="K625" s="1737" t="n"/>
      <c r="L625" s="1738" t="n"/>
      <c r="M625" s="1738" t="n"/>
      <c r="N625" s="1739" t="n">
        <v>68292.7027744853</v>
      </c>
      <c r="O625" s="1722" t="n"/>
      <c r="P625" s="1725" t="n"/>
    </row>
    <row r="626" hidden="1" outlineLevel="2" ht="13.9" customHeight="1">
      <c r="A626" s="2117" t="n">
        <v>0</v>
      </c>
      <c r="B626" s="2117" t="n">
        <v>7</v>
      </c>
      <c r="C626" s="2117" t="n">
        <v>7</v>
      </c>
      <c r="D626" s="2118" t="n">
        <v>1</v>
      </c>
      <c r="E626" s="2118" t="n">
        <v>0</v>
      </c>
      <c r="G626" s="1764" t="n"/>
      <c r="H626" s="1741" t="inlineStr">
        <is>
          <t>SUBETAPA</t>
        </is>
      </c>
      <c r="I626" s="1742" t="inlineStr">
        <is>
          <t>07.007.001</t>
        </is>
      </c>
      <c r="J626" s="1743" t="inlineStr">
        <is>
          <t>Instalações de água fria</t>
        </is>
      </c>
      <c r="K626" s="1744" t="n"/>
      <c r="L626" s="1745" t="n"/>
      <c r="M626" s="1745" t="n"/>
      <c r="N626" s="1746" t="n">
        <v>1836.40446821347</v>
      </c>
      <c r="O626" s="1747" t="n"/>
      <c r="P626" s="1720" t="n"/>
    </row>
    <row r="627" hidden="1" outlineLevel="3" ht="13.9" customHeight="1">
      <c r="A627" s="2117" t="n">
        <v>0</v>
      </c>
      <c r="B627" s="2117" t="n">
        <v>7</v>
      </c>
      <c r="C627" s="2117" t="n">
        <v>7</v>
      </c>
      <c r="D627" s="2118" t="n">
        <v>1</v>
      </c>
      <c r="E627" s="2118" t="n">
        <v>1</v>
      </c>
      <c r="G627" s="1748" t="inlineStr">
        <is>
          <t>SISTEMAS E INSTALAÇÕES HIDROSSANITÁRIAS E DRENAGEM</t>
        </is>
      </c>
      <c r="H627" s="1749" t="inlineStr">
        <is>
          <t>SERVIÇO</t>
        </is>
      </c>
      <c r="I627" s="1750" t="inlineStr">
        <is>
          <t>07.007.001.001</t>
        </is>
      </c>
      <c r="J627" s="1751" t="inlineStr">
        <is>
          <t>Instalações de água fria e quente</t>
        </is>
      </c>
      <c r="K627" s="1752" t="inlineStr">
        <is>
          <t>vb</t>
        </is>
      </c>
      <c r="L627" s="1753" t="n">
        <v>1</v>
      </c>
      <c r="M627" s="1753" t="n">
        <v>1836.404468213474</v>
      </c>
      <c r="N627" s="1754" t="n">
        <v>1836.40446821347</v>
      </c>
      <c r="O627" s="1755" t="inlineStr">
        <is>
          <t>quantidades conforme quantidades do projetista</t>
        </is>
      </c>
      <c r="P627" s="1721" t="inlineStr">
        <is>
          <t>Pendente</t>
        </is>
      </c>
    </row>
    <row r="628" hidden="1" outlineLevel="2" ht="13.9" customHeight="1">
      <c r="A628" s="2117" t="n">
        <v>0</v>
      </c>
      <c r="B628" s="2117" t="n">
        <v>7</v>
      </c>
      <c r="C628" s="2117" t="n">
        <v>7</v>
      </c>
      <c r="D628" s="2118" t="n">
        <v>2</v>
      </c>
      <c r="E628" s="2118" t="n">
        <v>0</v>
      </c>
      <c r="G628" s="1764" t="n"/>
      <c r="H628" s="1741" t="inlineStr">
        <is>
          <t>SUBETAPA</t>
        </is>
      </c>
      <c r="I628" s="1742" t="inlineStr">
        <is>
          <t>07.007.002</t>
        </is>
      </c>
      <c r="J628" s="1743" t="inlineStr">
        <is>
          <t>Instalações de esgoto e pluviais</t>
        </is>
      </c>
      <c r="K628" s="1744" t="n"/>
      <c r="L628" s="1745" t="n"/>
      <c r="M628" s="1745" t="n"/>
      <c r="N628" s="1746" t="n">
        <v>14442.1983062718</v>
      </c>
      <c r="O628" s="1747" t="n"/>
      <c r="P628" s="1720" t="n"/>
    </row>
    <row r="629" hidden="1" outlineLevel="3" ht="13.9" customHeight="1">
      <c r="A629" s="2117" t="n">
        <v>0</v>
      </c>
      <c r="B629" s="2117" t="n">
        <v>7</v>
      </c>
      <c r="C629" s="2117" t="n">
        <v>7</v>
      </c>
      <c r="D629" s="2118" t="n">
        <v>2</v>
      </c>
      <c r="E629" s="2118" t="n">
        <v>1</v>
      </c>
      <c r="G629" s="1748" t="inlineStr">
        <is>
          <t>SISTEMAS E INSTALAÇÕES HIDROSSANITÁRIAS E DRENAGEM</t>
        </is>
      </c>
      <c r="H629" s="1749" t="inlineStr">
        <is>
          <t>SERVIÇO</t>
        </is>
      </c>
      <c r="I629" s="1750" t="inlineStr">
        <is>
          <t>07.007.002.001</t>
        </is>
      </c>
      <c r="J629" s="1751" t="inlineStr">
        <is>
          <t>Instalações de esgoto e pluviais</t>
        </is>
      </c>
      <c r="K629" s="1752" t="inlineStr">
        <is>
          <t>vb</t>
        </is>
      </c>
      <c r="L629" s="1753" t="n">
        <v>1</v>
      </c>
      <c r="M629" s="1753" t="n">
        <v>14442.19830627185</v>
      </c>
      <c r="N629" s="1754" t="n">
        <v>14442.1983062718</v>
      </c>
      <c r="O629" s="1755" t="inlineStr">
        <is>
          <t>quantidades conforme quantidades do projetista</t>
        </is>
      </c>
      <c r="P629" s="1721" t="inlineStr">
        <is>
          <t>Pendente</t>
        </is>
      </c>
    </row>
    <row r="630" hidden="1" outlineLevel="2" ht="13.9" customHeight="1">
      <c r="A630" s="2117" t="n">
        <v>0</v>
      </c>
      <c r="B630" s="2117" t="n">
        <v>7</v>
      </c>
      <c r="C630" s="2117" t="n">
        <v>7</v>
      </c>
      <c r="D630" s="2118" t="n">
        <v>3</v>
      </c>
      <c r="E630" s="2118" t="n">
        <v>0</v>
      </c>
      <c r="G630" s="1764" t="n"/>
      <c r="H630" s="1741" t="inlineStr">
        <is>
          <t>SUBETAPA</t>
        </is>
      </c>
      <c r="I630" s="1742" t="inlineStr">
        <is>
          <t>07.007.003</t>
        </is>
      </c>
      <c r="J630" s="1743" t="inlineStr">
        <is>
          <t>Hidrômetros</t>
        </is>
      </c>
      <c r="K630" s="1744" t="n"/>
      <c r="L630" s="1745" t="n"/>
      <c r="M630" s="1745" t="n"/>
      <c r="N630" s="1746" t="n">
        <v>252</v>
      </c>
      <c r="O630" s="1747" t="n"/>
      <c r="P630" s="1720" t="n"/>
    </row>
    <row r="631" hidden="1" outlineLevel="3" ht="13.9" customHeight="1">
      <c r="A631" s="2117" t="n">
        <v>0</v>
      </c>
      <c r="B631" s="2117" t="n">
        <v>7</v>
      </c>
      <c r="C631" s="2117" t="n">
        <v>7</v>
      </c>
      <c r="D631" s="2118" t="n">
        <v>3</v>
      </c>
      <c r="E631" s="2118" t="n">
        <v>1</v>
      </c>
      <c r="G631" s="1748" t="inlineStr">
        <is>
          <t>SISTEMAS E INSTALAÇÕES HIDROSSANITÁRIAS E DRENAGEM</t>
        </is>
      </c>
      <c r="H631" s="1749" t="inlineStr">
        <is>
          <t>SERVIÇO</t>
        </is>
      </c>
      <c r="I631" s="1750" t="inlineStr">
        <is>
          <t>07.007.003.001</t>
        </is>
      </c>
      <c r="J631" s="1751" t="inlineStr">
        <is>
          <t>Hidrômetros</t>
        </is>
      </c>
      <c r="K631" s="1752" t="inlineStr">
        <is>
          <t>vb</t>
        </is>
      </c>
      <c r="L631" s="1753" t="n">
        <v>1</v>
      </c>
      <c r="M631" s="1753" t="n">
        <v>252</v>
      </c>
      <c r="N631" s="1754" t="n">
        <v>252</v>
      </c>
      <c r="O631" s="1755" t="inlineStr">
        <is>
          <t>Devido a ausencia de quantitativos, estimamos um Hidrometro multijato 3/4" vazao maxima 5 m³/h por apartamento + 1 por pavimento</t>
        </is>
      </c>
      <c r="P631" s="1721" t="inlineStr">
        <is>
          <t>Pendente</t>
        </is>
      </c>
    </row>
    <row r="632" hidden="1" outlineLevel="2" ht="13.9" customHeight="1">
      <c r="A632" s="2117" t="n">
        <v>0</v>
      </c>
      <c r="B632" s="2117" t="n">
        <v>7</v>
      </c>
      <c r="C632" s="2117" t="n">
        <v>7</v>
      </c>
      <c r="D632" s="2118" t="n">
        <v>4</v>
      </c>
      <c r="E632" s="2118" t="n">
        <v>0</v>
      </c>
      <c r="G632" s="1764" t="n"/>
      <c r="H632" s="1741" t="inlineStr">
        <is>
          <t>SUBETAPA</t>
        </is>
      </c>
      <c r="I632" s="1742" t="inlineStr">
        <is>
          <t>07.007.004</t>
        </is>
      </c>
      <c r="J632" s="1743" t="inlineStr">
        <is>
          <t xml:space="preserve">Mão de obra - instalações hidrossanitárias e drenagem </t>
        </is>
      </c>
      <c r="K632" s="1744" t="n"/>
      <c r="L632" s="1745" t="n"/>
      <c r="M632" s="1745" t="n"/>
      <c r="N632" s="1746" t="n">
        <v>51762.1</v>
      </c>
      <c r="O632" s="1747" t="n"/>
      <c r="P632" s="1720" t="n"/>
    </row>
    <row r="633" hidden="1" outlineLevel="3" ht="13.9" customHeight="1">
      <c r="A633" s="2117" t="n">
        <v>0</v>
      </c>
      <c r="B633" s="2117" t="n">
        <v>7</v>
      </c>
      <c r="C633" s="2117" t="n">
        <v>7</v>
      </c>
      <c r="D633" s="2118" t="n">
        <v>4</v>
      </c>
      <c r="E633" s="2118" t="n">
        <v>1</v>
      </c>
      <c r="G633" s="1748" t="inlineStr">
        <is>
          <t>SISTEMAS E INSTALAÇÕES HIDROSSANITÁRIAS E DRENAGEM</t>
        </is>
      </c>
      <c r="H633" s="1749" t="inlineStr">
        <is>
          <t>SERVIÇO</t>
        </is>
      </c>
      <c r="I633" s="1750" t="inlineStr">
        <is>
          <t>07.007.004.001</t>
        </is>
      </c>
      <c r="J633" s="1751" t="inlineStr">
        <is>
          <t>Mão de obra Instalação Hidráulica</t>
        </is>
      </c>
      <c r="K633" s="1752" t="inlineStr">
        <is>
          <t>vb</t>
        </is>
      </c>
      <c r="L633" s="1753" t="n">
        <v>1</v>
      </c>
      <c r="M633" s="1753" t="n">
        <v>51762.10000000001</v>
      </c>
      <c r="N633" s="1754" t="n">
        <v>51762.1</v>
      </c>
      <c r="O633" s="1761" t="inlineStr">
        <is>
          <t>Repessado pela Gessele na reunião do dia 05/03/2026 - Provavelmente vamos trocar de fornecedor, considerar M.O. R$58,00 / m2</t>
        </is>
      </c>
      <c r="P633" s="1721" t="inlineStr">
        <is>
          <t>Pendente</t>
        </is>
      </c>
    </row>
    <row r="634" hidden="1" outlineLevel="1" ht="13.9" customHeight="1">
      <c r="A634" s="2117" t="n">
        <v>0</v>
      </c>
      <c r="B634" s="2117" t="n">
        <v>7</v>
      </c>
      <c r="C634" s="2117" t="n">
        <v>8</v>
      </c>
      <c r="D634" s="2118" t="n">
        <v>0</v>
      </c>
      <c r="E634" s="2118" t="n">
        <v>1</v>
      </c>
      <c r="G634" s="1733" t="n"/>
      <c r="H634" s="1734" t="inlineStr">
        <is>
          <t>ETAPA</t>
        </is>
      </c>
      <c r="I634" s="1735" t="inlineStr">
        <is>
          <t>07.008</t>
        </is>
      </c>
      <c r="J634" s="1736" t="inlineStr">
        <is>
          <t>SISTEMAS E INSTALAÇÕES HIDROSSANITÁRIAS E DRENAGEM - Lazer</t>
        </is>
      </c>
      <c r="K634" s="1737" t="n"/>
      <c r="L634" s="1738" t="n"/>
      <c r="M634" s="1738" t="n"/>
      <c r="N634" s="1739" t="n">
        <v>105736.117348628</v>
      </c>
      <c r="O634" s="1722" t="n"/>
      <c r="P634" s="1725" t="n"/>
    </row>
    <row r="635" hidden="1" outlineLevel="2" ht="13.9" customHeight="1">
      <c r="A635" s="2117" t="n">
        <v>0</v>
      </c>
      <c r="B635" s="2117" t="n">
        <v>7</v>
      </c>
      <c r="C635" s="2117" t="n">
        <v>8</v>
      </c>
      <c r="D635" s="2118" t="n">
        <v>1</v>
      </c>
      <c r="E635" s="2118" t="n">
        <v>0</v>
      </c>
      <c r="G635" s="1764" t="n"/>
      <c r="H635" s="1741" t="inlineStr">
        <is>
          <t>SUBETAPA</t>
        </is>
      </c>
      <c r="I635" s="1742" t="inlineStr">
        <is>
          <t>07.008.001</t>
        </is>
      </c>
      <c r="J635" s="1743" t="inlineStr">
        <is>
          <t>Instalações de água fria</t>
        </is>
      </c>
      <c r="K635" s="1744" t="n"/>
      <c r="L635" s="1745" t="n"/>
      <c r="M635" s="1745" t="n"/>
      <c r="N635" s="1746" t="n">
        <v>1549.01395250033</v>
      </c>
      <c r="O635" s="1747" t="n"/>
      <c r="P635" s="1720" t="n"/>
    </row>
    <row r="636" hidden="1" outlineLevel="3" ht="13.9" customHeight="1">
      <c r="A636" s="2117" t="n">
        <v>0</v>
      </c>
      <c r="B636" s="2117" t="n">
        <v>7</v>
      </c>
      <c r="C636" s="2117" t="n">
        <v>8</v>
      </c>
      <c r="D636" s="2118" t="n">
        <v>1</v>
      </c>
      <c r="E636" s="2118" t="n">
        <v>1</v>
      </c>
      <c r="G636" s="1748" t="inlineStr">
        <is>
          <t>SISTEMAS E INSTALAÇÕES HIDROSSANITÁRIAS E DRENAGEM</t>
        </is>
      </c>
      <c r="H636" s="1749" t="inlineStr">
        <is>
          <t>SERVIÇO</t>
        </is>
      </c>
      <c r="I636" s="1750" t="inlineStr">
        <is>
          <t>07.008.001.001</t>
        </is>
      </c>
      <c r="J636" s="1751" t="inlineStr">
        <is>
          <t>Instalações de água fria e quente</t>
        </is>
      </c>
      <c r="K636" s="1752" t="inlineStr">
        <is>
          <t>vb</t>
        </is>
      </c>
      <c r="L636" s="1753" t="n">
        <v>1</v>
      </c>
      <c r="M636" s="1753" t="n">
        <v>1549.013952500328</v>
      </c>
      <c r="N636" s="1754" t="n">
        <v>1549.01395250033</v>
      </c>
      <c r="O636" s="1755" t="inlineStr">
        <is>
          <t>quantidades conforme quantidades do projetista</t>
        </is>
      </c>
      <c r="P636" s="1721" t="inlineStr">
        <is>
          <t>Pendente</t>
        </is>
      </c>
    </row>
    <row r="637" hidden="1" outlineLevel="2" ht="13.9" customHeight="1">
      <c r="A637" s="2117" t="n">
        <v>0</v>
      </c>
      <c r="B637" s="2117" t="n">
        <v>7</v>
      </c>
      <c r="C637" s="2117" t="n">
        <v>8</v>
      </c>
      <c r="D637" s="2118" t="n">
        <v>2</v>
      </c>
      <c r="E637" s="2118" t="n">
        <v>0</v>
      </c>
      <c r="G637" s="1764" t="n"/>
      <c r="H637" s="1741" t="inlineStr">
        <is>
          <t>SUBETAPA</t>
        </is>
      </c>
      <c r="I637" s="1742" t="inlineStr">
        <is>
          <t>07.008.002</t>
        </is>
      </c>
      <c r="J637" s="1743" t="inlineStr">
        <is>
          <t>Instalações de esgoto e pluviais</t>
        </is>
      </c>
      <c r="K637" s="1744" t="n"/>
      <c r="L637" s="1745" t="n"/>
      <c r="M637" s="1745" t="n"/>
      <c r="N637" s="1746" t="n">
        <v>74977.4433961278</v>
      </c>
      <c r="O637" s="1747" t="n"/>
      <c r="P637" s="1720" t="n"/>
    </row>
    <row r="638" hidden="1" outlineLevel="3" ht="13.9" customHeight="1">
      <c r="A638" s="2117" t="n">
        <v>0</v>
      </c>
      <c r="B638" s="2117" t="n">
        <v>7</v>
      </c>
      <c r="C638" s="2117" t="n">
        <v>8</v>
      </c>
      <c r="D638" s="2118" t="n">
        <v>2</v>
      </c>
      <c r="E638" s="2118" t="n">
        <v>1</v>
      </c>
      <c r="G638" s="1748" t="inlineStr">
        <is>
          <t>SISTEMAS E INSTALAÇÕES HIDROSSANITÁRIAS E DRENAGEM</t>
        </is>
      </c>
      <c r="H638" s="1749" t="inlineStr">
        <is>
          <t>SERVIÇO</t>
        </is>
      </c>
      <c r="I638" s="1750" t="inlineStr">
        <is>
          <t>07.008.002.001</t>
        </is>
      </c>
      <c r="J638" s="1751" t="inlineStr">
        <is>
          <t>Instalações de esgoto e pluviais</t>
        </is>
      </c>
      <c r="K638" s="1752" t="inlineStr">
        <is>
          <t>vb</t>
        </is>
      </c>
      <c r="L638" s="1753" t="n">
        <v>1</v>
      </c>
      <c r="M638" s="1753" t="n">
        <v>74977.4433961278</v>
      </c>
      <c r="N638" s="1754" t="n">
        <v>74977.4433961278</v>
      </c>
      <c r="O638" s="1755" t="inlineStr">
        <is>
          <t>quantidades conforme quantidades do projetista</t>
        </is>
      </c>
      <c r="P638" s="1721" t="inlineStr">
        <is>
          <t>Pendente</t>
        </is>
      </c>
    </row>
    <row r="639" hidden="1" outlineLevel="2" ht="13.9" customHeight="1">
      <c r="A639" s="2117" t="n">
        <v>0</v>
      </c>
      <c r="B639" s="2117" t="n">
        <v>7</v>
      </c>
      <c r="C639" s="2117" t="n">
        <v>8</v>
      </c>
      <c r="D639" s="2118" t="n">
        <v>3</v>
      </c>
      <c r="E639" s="2118" t="n">
        <v>0</v>
      </c>
      <c r="G639" s="1764" t="n"/>
      <c r="H639" s="1741" t="inlineStr">
        <is>
          <t>SUBETAPA</t>
        </is>
      </c>
      <c r="I639" s="1742" t="inlineStr">
        <is>
          <t>07.008.003</t>
        </is>
      </c>
      <c r="J639" s="1743" t="inlineStr">
        <is>
          <t>Hidrômetros</t>
        </is>
      </c>
      <c r="K639" s="1744" t="n"/>
      <c r="L639" s="1745" t="n"/>
      <c r="M639" s="1745" t="n"/>
      <c r="N639" s="1746" t="n">
        <v>252</v>
      </c>
      <c r="O639" s="1747" t="n"/>
      <c r="P639" s="1720" t="n"/>
    </row>
    <row r="640" hidden="1" outlineLevel="3" ht="13.9" customHeight="1">
      <c r="A640" s="2117" t="n">
        <v>0</v>
      </c>
      <c r="B640" s="2117" t="n">
        <v>7</v>
      </c>
      <c r="C640" s="2117" t="n">
        <v>8</v>
      </c>
      <c r="D640" s="2118" t="n">
        <v>3</v>
      </c>
      <c r="E640" s="2118" t="n">
        <v>1</v>
      </c>
      <c r="G640" s="1748" t="inlineStr">
        <is>
          <t>SISTEMAS E INSTALAÇÕES HIDROSSANITÁRIAS E DRENAGEM</t>
        </is>
      </c>
      <c r="H640" s="1749" t="inlineStr">
        <is>
          <t>SERVIÇO</t>
        </is>
      </c>
      <c r="I640" s="1750" t="inlineStr">
        <is>
          <t>07.008.003.001</t>
        </is>
      </c>
      <c r="J640" s="1751" t="inlineStr">
        <is>
          <t>Hidrômetros</t>
        </is>
      </c>
      <c r="K640" s="1752" t="inlineStr">
        <is>
          <t>vb</t>
        </is>
      </c>
      <c r="L640" s="1753" t="n">
        <v>1</v>
      </c>
      <c r="M640" s="1753" t="n">
        <v>252</v>
      </c>
      <c r="N640" s="1754" t="n">
        <v>252</v>
      </c>
      <c r="O640" s="1755" t="inlineStr">
        <is>
          <t>Devido a ausencia de quantitativos, estimamos um Hidrometro multijato 3/4" vazao maxima 5 m³/h por apartamento + 1 por pavimento</t>
        </is>
      </c>
      <c r="P640" s="1721" t="inlineStr">
        <is>
          <t>Pendente</t>
        </is>
      </c>
    </row>
    <row r="641" hidden="1" outlineLevel="2" ht="13.9" customHeight="1">
      <c r="A641" s="2117" t="n">
        <v>0</v>
      </c>
      <c r="B641" s="2117" t="n">
        <v>7</v>
      </c>
      <c r="C641" s="2117" t="n">
        <v>8</v>
      </c>
      <c r="D641" s="2118" t="n">
        <v>4</v>
      </c>
      <c r="E641" s="2118" t="n">
        <v>0</v>
      </c>
      <c r="G641" s="1764" t="n"/>
      <c r="H641" s="1741" t="inlineStr">
        <is>
          <t>SUBETAPA</t>
        </is>
      </c>
      <c r="I641" s="1742" t="inlineStr">
        <is>
          <t>07.008.004</t>
        </is>
      </c>
      <c r="J641" s="1743" t="inlineStr">
        <is>
          <t xml:space="preserve">Mão de obra - instalações hidrossanitárias e drenagem </t>
        </is>
      </c>
      <c r="K641" s="1744" t="n"/>
      <c r="L641" s="1745" t="n"/>
      <c r="M641" s="1745" t="n"/>
      <c r="N641" s="1746" t="n">
        <v>28957.66</v>
      </c>
      <c r="O641" s="1747" t="n"/>
      <c r="P641" s="1720" t="n"/>
    </row>
    <row r="642" hidden="1" outlineLevel="3" ht="13.9" customHeight="1">
      <c r="A642" s="2117" t="n">
        <v>0</v>
      </c>
      <c r="B642" s="2117" t="n">
        <v>7</v>
      </c>
      <c r="C642" s="2117" t="n">
        <v>8</v>
      </c>
      <c r="D642" s="2118" t="n">
        <v>4</v>
      </c>
      <c r="E642" s="2118" t="n">
        <v>1</v>
      </c>
      <c r="G642" s="1748" t="inlineStr">
        <is>
          <t>SISTEMAS E INSTALAÇÕES HIDROSSANITÁRIAS E DRENAGEM</t>
        </is>
      </c>
      <c r="H642" s="1749" t="inlineStr">
        <is>
          <t>SERVIÇO</t>
        </is>
      </c>
      <c r="I642" s="1750" t="inlineStr">
        <is>
          <t>07.008.004.001</t>
        </is>
      </c>
      <c r="J642" s="1751" t="inlineStr">
        <is>
          <t>Mão de obra Instalação Hidráulica</t>
        </is>
      </c>
      <c r="K642" s="1752" t="inlineStr">
        <is>
          <t>vb</t>
        </is>
      </c>
      <c r="L642" s="1753" t="n">
        <v>1</v>
      </c>
      <c r="M642" s="1753" t="n">
        <v>28957.66</v>
      </c>
      <c r="N642" s="1754" t="n">
        <v>28957.66</v>
      </c>
      <c r="O642" s="1761" t="inlineStr">
        <is>
          <t>Repessado pela Gessele na reunião do dia 05/03/2026 - Provavelmente vamos trocar de fornecedor, considerar M.O. R$58,00 / m2</t>
        </is>
      </c>
      <c r="P642" s="1721" t="inlineStr">
        <is>
          <t>Pendente</t>
        </is>
      </c>
    </row>
    <row r="643" hidden="1" outlineLevel="1" ht="13.9" customHeight="1">
      <c r="A643" s="2117" t="n">
        <v>0</v>
      </c>
      <c r="B643" s="2117" t="n">
        <v>7</v>
      </c>
      <c r="C643" s="2117" t="n">
        <v>9</v>
      </c>
      <c r="D643" s="2118" t="n">
        <v>0</v>
      </c>
      <c r="E643" s="2118" t="n">
        <v>1</v>
      </c>
      <c r="G643" s="1733" t="n"/>
      <c r="H643" s="1734" t="inlineStr">
        <is>
          <t>ETAPA</t>
        </is>
      </c>
      <c r="I643" s="1735" t="inlineStr">
        <is>
          <t>07.009</t>
        </is>
      </c>
      <c r="J643" s="1736" t="inlineStr">
        <is>
          <t>SISTEMAS E INSTALAÇÕES HIDROSSANITÁRIAS E DRENAGEM - Tipo diferenciado</t>
        </is>
      </c>
      <c r="K643" s="1737" t="n"/>
      <c r="L643" s="1738" t="n"/>
      <c r="M643" s="1738" t="n"/>
      <c r="N643" s="1739" t="n">
        <v>161488.916559046</v>
      </c>
      <c r="O643" s="1722" t="n"/>
      <c r="P643" s="1725" t="n"/>
    </row>
    <row r="644" hidden="1" outlineLevel="2" ht="13.9" customHeight="1">
      <c r="A644" s="2117" t="n">
        <v>0</v>
      </c>
      <c r="B644" s="2117" t="n">
        <v>7</v>
      </c>
      <c r="C644" s="2117" t="n">
        <v>9</v>
      </c>
      <c r="D644" s="2118" t="n">
        <v>1</v>
      </c>
      <c r="E644" s="2118" t="n">
        <v>0</v>
      </c>
      <c r="G644" s="1764" t="n"/>
      <c r="H644" s="1741" t="inlineStr">
        <is>
          <t>SUBETAPA</t>
        </is>
      </c>
      <c r="I644" s="1742" t="inlineStr">
        <is>
          <t>07.009.001</t>
        </is>
      </c>
      <c r="J644" s="1743" t="inlineStr">
        <is>
          <t>Instalações de água fria</t>
        </is>
      </c>
      <c r="K644" s="1744" t="n"/>
      <c r="L644" s="1745" t="n"/>
      <c r="M644" s="1745" t="n"/>
      <c r="N644" s="1746" t="n">
        <v>75503.946584484</v>
      </c>
      <c r="O644" s="1747" t="n"/>
      <c r="P644" s="1720" t="n"/>
    </row>
    <row r="645" hidden="1" outlineLevel="3" ht="13.9" customHeight="1">
      <c r="A645" s="2117" t="n">
        <v>0</v>
      </c>
      <c r="B645" s="2117" t="n">
        <v>7</v>
      </c>
      <c r="C645" s="2117" t="n">
        <v>9</v>
      </c>
      <c r="D645" s="2118" t="n">
        <v>1</v>
      </c>
      <c r="E645" s="2118" t="n">
        <v>1</v>
      </c>
      <c r="G645" s="1748" t="inlineStr">
        <is>
          <t>SISTEMAS E INSTALAÇÕES HIDROSSANITÁRIAS E DRENAGEM</t>
        </is>
      </c>
      <c r="H645" s="1749" t="inlineStr">
        <is>
          <t>SERVIÇO</t>
        </is>
      </c>
      <c r="I645" s="1750" t="inlineStr">
        <is>
          <t>07.009.001.001</t>
        </is>
      </c>
      <c r="J645" s="1751" t="inlineStr">
        <is>
          <t>Instalações de água fria e quente</t>
        </is>
      </c>
      <c r="K645" s="1752" t="inlineStr">
        <is>
          <t>vb</t>
        </is>
      </c>
      <c r="L645" s="1753" t="n">
        <v>1</v>
      </c>
      <c r="M645" s="1753" t="n">
        <v>75503.946584484</v>
      </c>
      <c r="N645" s="1754" t="n">
        <v>75503.946584484</v>
      </c>
      <c r="O645" s="1755" t="inlineStr">
        <is>
          <t>quantidades conforme quantidades do projetista</t>
        </is>
      </c>
      <c r="P645" s="1721" t="inlineStr">
        <is>
          <t>Pendente</t>
        </is>
      </c>
    </row>
    <row r="646" hidden="1" outlineLevel="2" ht="13.9" customHeight="1">
      <c r="A646" s="2117" t="n">
        <v>0</v>
      </c>
      <c r="B646" s="2117" t="n">
        <v>7</v>
      </c>
      <c r="C646" s="2117" t="n">
        <v>9</v>
      </c>
      <c r="D646" s="2118" t="n">
        <v>2</v>
      </c>
      <c r="E646" s="2118" t="n">
        <v>0</v>
      </c>
      <c r="G646" s="1764" t="n"/>
      <c r="H646" s="1741" t="inlineStr">
        <is>
          <t>SUBETAPA</t>
        </is>
      </c>
      <c r="I646" s="1742" t="inlineStr">
        <is>
          <t>07.009.002</t>
        </is>
      </c>
      <c r="J646" s="1743" t="inlineStr">
        <is>
          <t>Instalações de esgoto e pluviais</t>
        </is>
      </c>
      <c r="K646" s="1744" t="n"/>
      <c r="L646" s="1745" t="n"/>
      <c r="M646" s="1745" t="n"/>
      <c r="N646" s="1746" t="n">
        <v>65692.2299745622</v>
      </c>
      <c r="O646" s="1747" t="n"/>
      <c r="P646" s="1720" t="n"/>
    </row>
    <row r="647" hidden="1" outlineLevel="3" ht="13.9" customHeight="1">
      <c r="A647" s="2117" t="n">
        <v>0</v>
      </c>
      <c r="B647" s="2117" t="n">
        <v>7</v>
      </c>
      <c r="C647" s="2117" t="n">
        <v>9</v>
      </c>
      <c r="D647" s="2118" t="n">
        <v>2</v>
      </c>
      <c r="E647" s="2118" t="n">
        <v>1</v>
      </c>
      <c r="G647" s="1748" t="inlineStr">
        <is>
          <t>SISTEMAS E INSTALAÇÕES HIDROSSANITÁRIAS E DRENAGEM</t>
        </is>
      </c>
      <c r="H647" s="1749" t="inlineStr">
        <is>
          <t>SERVIÇO</t>
        </is>
      </c>
      <c r="I647" s="1750" t="inlineStr">
        <is>
          <t>07.009.002.001</t>
        </is>
      </c>
      <c r="J647" s="1751" t="inlineStr">
        <is>
          <t>Instalações de esgoto e pluviais</t>
        </is>
      </c>
      <c r="K647" s="1752" t="inlineStr">
        <is>
          <t>vb</t>
        </is>
      </c>
      <c r="L647" s="1753" t="n">
        <v>1</v>
      </c>
      <c r="M647" s="1753" t="n">
        <v>65692.22997456219</v>
      </c>
      <c r="N647" s="1754" t="n">
        <v>65692.2299745622</v>
      </c>
      <c r="O647" s="1755" t="inlineStr">
        <is>
          <t>quantidades conforme quantidades do projetista</t>
        </is>
      </c>
      <c r="P647" s="1721" t="inlineStr">
        <is>
          <t>Pendente</t>
        </is>
      </c>
    </row>
    <row r="648" hidden="1" outlineLevel="2" ht="13.9" customHeight="1">
      <c r="A648" s="2117" t="n">
        <v>0</v>
      </c>
      <c r="B648" s="2117" t="n">
        <v>7</v>
      </c>
      <c r="C648" s="2117" t="n">
        <v>9</v>
      </c>
      <c r="D648" s="2118" t="n">
        <v>3</v>
      </c>
      <c r="E648" s="2118" t="n">
        <v>0</v>
      </c>
      <c r="G648" s="1764" t="n"/>
      <c r="H648" s="1741" t="inlineStr">
        <is>
          <t>SUBETAPA</t>
        </is>
      </c>
      <c r="I648" s="1742" t="inlineStr">
        <is>
          <t>07.009.003</t>
        </is>
      </c>
      <c r="J648" s="1743" t="inlineStr">
        <is>
          <t>Hidrômetros</t>
        </is>
      </c>
      <c r="K648" s="1744" t="n"/>
      <c r="L648" s="1745" t="n"/>
      <c r="M648" s="1745" t="n"/>
      <c r="N648" s="1746" t="n">
        <v>252</v>
      </c>
      <c r="O648" s="1747" t="n"/>
      <c r="P648" s="1720" t="n"/>
    </row>
    <row r="649" hidden="1" outlineLevel="3" ht="13.9" customHeight="1">
      <c r="A649" s="2117" t="n">
        <v>0</v>
      </c>
      <c r="B649" s="2117" t="n">
        <v>7</v>
      </c>
      <c r="C649" s="2117" t="n">
        <v>9</v>
      </c>
      <c r="D649" s="2118" t="n">
        <v>3</v>
      </c>
      <c r="E649" s="2118" t="n">
        <v>1</v>
      </c>
      <c r="G649" s="1748" t="inlineStr">
        <is>
          <t>SISTEMAS E INSTALAÇÕES HIDROSSANITÁRIAS E DRENAGEM</t>
        </is>
      </c>
      <c r="H649" s="1749" t="inlineStr">
        <is>
          <t>SERVIÇO</t>
        </is>
      </c>
      <c r="I649" s="1750" t="inlineStr">
        <is>
          <t>07.009.003.001</t>
        </is>
      </c>
      <c r="J649" s="1751" t="inlineStr">
        <is>
          <t>Hidrômetros</t>
        </is>
      </c>
      <c r="K649" s="1752" t="inlineStr">
        <is>
          <t>vb</t>
        </is>
      </c>
      <c r="L649" s="1753" t="n">
        <v>1</v>
      </c>
      <c r="M649" s="1753" t="n">
        <v>252</v>
      </c>
      <c r="N649" s="1754" t="n">
        <v>252</v>
      </c>
      <c r="O649" s="1755" t="inlineStr">
        <is>
          <t>Devido a ausencia de quantitativos, estimamos um Hidrometro multijato 3/4" vazao maxima 5 m³/h por apartamento + 1 por pavimento</t>
        </is>
      </c>
      <c r="P649" s="1721" t="inlineStr">
        <is>
          <t>Pendente</t>
        </is>
      </c>
    </row>
    <row r="650" hidden="1" outlineLevel="2" ht="13.9" customHeight="1">
      <c r="A650" s="2117" t="n">
        <v>0</v>
      </c>
      <c r="B650" s="2117" t="n">
        <v>7</v>
      </c>
      <c r="C650" s="2117" t="n">
        <v>9</v>
      </c>
      <c r="D650" s="2118" t="n">
        <v>4</v>
      </c>
      <c r="E650" s="2118" t="n">
        <v>0</v>
      </c>
      <c r="G650" s="1764" t="n"/>
      <c r="H650" s="1741" t="inlineStr">
        <is>
          <t>SUBETAPA</t>
        </is>
      </c>
      <c r="I650" s="1742" t="inlineStr">
        <is>
          <t>07.009.004</t>
        </is>
      </c>
      <c r="J650" s="1743" t="inlineStr">
        <is>
          <t xml:space="preserve">Mão de obra - instalações hidrossanitárias e drenagem </t>
        </is>
      </c>
      <c r="K650" s="1744" t="n"/>
      <c r="L650" s="1745" t="n"/>
      <c r="M650" s="1745" t="n"/>
      <c r="N650" s="1746" t="n">
        <v>20040.74</v>
      </c>
      <c r="O650" s="1747" t="n"/>
      <c r="P650" s="1720" t="n"/>
    </row>
    <row r="651" hidden="1" outlineLevel="3" ht="13.9" customHeight="1">
      <c r="A651" s="2117" t="n">
        <v>0</v>
      </c>
      <c r="B651" s="2117" t="n">
        <v>7</v>
      </c>
      <c r="C651" s="2117" t="n">
        <v>9</v>
      </c>
      <c r="D651" s="2118" t="n">
        <v>4</v>
      </c>
      <c r="E651" s="2118" t="n">
        <v>1</v>
      </c>
      <c r="G651" s="1748" t="inlineStr">
        <is>
          <t>SISTEMAS E INSTALAÇÕES HIDROSSANITÁRIAS E DRENAGEM</t>
        </is>
      </c>
      <c r="H651" s="1749" t="inlineStr">
        <is>
          <t>SERVIÇO</t>
        </is>
      </c>
      <c r="I651" s="1750" t="inlineStr">
        <is>
          <t>07.009.004.001</t>
        </is>
      </c>
      <c r="J651" s="1751" t="inlineStr">
        <is>
          <t>Mão de obra Instalação Hidráulica</t>
        </is>
      </c>
      <c r="K651" s="1752" t="inlineStr">
        <is>
          <t>vb</t>
        </is>
      </c>
      <c r="L651" s="1753" t="n">
        <v>1</v>
      </c>
      <c r="M651" s="1753" t="n">
        <v>20040.74</v>
      </c>
      <c r="N651" s="1754" t="n">
        <v>20040.74</v>
      </c>
      <c r="O651" s="1761" t="inlineStr">
        <is>
          <t>Repessado pela Gessele na reunião do dia 05/03/2026 - Provavelmente vamos trocar de fornecedor, considerar M.O. R$58,00 / m2</t>
        </is>
      </c>
      <c r="P651" s="1721" t="inlineStr">
        <is>
          <t>Pendente</t>
        </is>
      </c>
    </row>
    <row r="652" hidden="1" outlineLevel="1" ht="13.9" customHeight="1">
      <c r="A652" s="2117" t="n">
        <v>0</v>
      </c>
      <c r="B652" s="2117" t="n">
        <v>7</v>
      </c>
      <c r="C652" s="2117" t="n">
        <v>10</v>
      </c>
      <c r="D652" s="2118" t="n">
        <v>0</v>
      </c>
      <c r="E652" s="2118" t="n">
        <v>1</v>
      </c>
      <c r="G652" s="1733" t="n"/>
      <c r="H652" s="1734" t="inlineStr">
        <is>
          <t>ETAPA</t>
        </is>
      </c>
      <c r="I652" s="1735" t="inlineStr">
        <is>
          <t>07.010</t>
        </is>
      </c>
      <c r="J652" s="1736" t="inlineStr">
        <is>
          <t>SISTEMAS E INSTALAÇÕES HIDROSSANITÁRIAS E DRENAGEM - Tipo x8</t>
        </is>
      </c>
      <c r="K652" s="1737" t="n"/>
      <c r="L652" s="1738" t="n"/>
      <c r="M652" s="1738" t="n"/>
      <c r="N652" s="1739" t="n">
        <v>615624.037662778</v>
      </c>
      <c r="O652" s="1722" t="n"/>
      <c r="P652" s="1725" t="n"/>
    </row>
    <row r="653" hidden="1" outlineLevel="2" ht="13.9" customHeight="1">
      <c r="A653" s="2117" t="n">
        <v>0</v>
      </c>
      <c r="B653" s="2117" t="n">
        <v>7</v>
      </c>
      <c r="C653" s="2117" t="n">
        <v>10</v>
      </c>
      <c r="D653" s="2118" t="n">
        <v>1</v>
      </c>
      <c r="E653" s="2118" t="n">
        <v>0</v>
      </c>
      <c r="G653" s="1764" t="n"/>
      <c r="H653" s="1741" t="inlineStr">
        <is>
          <t>SUBETAPA</t>
        </is>
      </c>
      <c r="I653" s="1742" t="inlineStr">
        <is>
          <t>07.010.001</t>
        </is>
      </c>
      <c r="J653" s="1743" t="inlineStr">
        <is>
          <t>Instalações de água fria</t>
        </is>
      </c>
      <c r="K653" s="1744" t="n"/>
      <c r="L653" s="1745" t="n"/>
      <c r="M653" s="1745" t="n"/>
      <c r="N653" s="1746" t="n">
        <v>201471.088023801</v>
      </c>
      <c r="O653" s="1747" t="n"/>
      <c r="P653" s="1720" t="n"/>
    </row>
    <row r="654" hidden="1" outlineLevel="3" ht="13.9" customHeight="1">
      <c r="A654" s="2117" t="n">
        <v>0</v>
      </c>
      <c r="B654" s="2117" t="n">
        <v>7</v>
      </c>
      <c r="C654" s="2117" t="n">
        <v>10</v>
      </c>
      <c r="D654" s="2118" t="n">
        <v>1</v>
      </c>
      <c r="E654" s="2118" t="n">
        <v>1</v>
      </c>
      <c r="G654" s="1748" t="inlineStr">
        <is>
          <t>SISTEMAS E INSTALAÇÕES HIDROSSANITÁRIAS E DRENAGEM</t>
        </is>
      </c>
      <c r="H654" s="1749" t="inlineStr">
        <is>
          <t>SERVIÇO</t>
        </is>
      </c>
      <c r="I654" s="1750" t="inlineStr">
        <is>
          <t>07.010.001.001</t>
        </is>
      </c>
      <c r="J654" s="1751" t="inlineStr">
        <is>
          <t>Instalações de água fria e quente</t>
        </is>
      </c>
      <c r="K654" s="1752" t="inlineStr">
        <is>
          <t>vb</t>
        </is>
      </c>
      <c r="L654" s="1753" t="n">
        <v>1</v>
      </c>
      <c r="M654" s="1753" t="n">
        <v>201471.0880238007</v>
      </c>
      <c r="N654" s="1754" t="n">
        <v>201471.088023801</v>
      </c>
      <c r="O654" s="1755" t="inlineStr">
        <is>
          <t>quantidades conforme quantidades do projetista</t>
        </is>
      </c>
      <c r="P654" s="1721" t="inlineStr">
        <is>
          <t>Pendente</t>
        </is>
      </c>
    </row>
    <row r="655" hidden="1" outlineLevel="2" ht="13.9" customHeight="1">
      <c r="A655" s="2117" t="n">
        <v>0</v>
      </c>
      <c r="B655" s="2117" t="n">
        <v>7</v>
      </c>
      <c r="C655" s="2117" t="n">
        <v>10</v>
      </c>
      <c r="D655" s="2118" t="n">
        <v>2</v>
      </c>
      <c r="E655" s="2118" t="n">
        <v>0</v>
      </c>
      <c r="G655" s="1764" t="n"/>
      <c r="H655" s="1741" t="inlineStr">
        <is>
          <t>SUBETAPA</t>
        </is>
      </c>
      <c r="I655" s="1742" t="inlineStr">
        <is>
          <t>07.010.002</t>
        </is>
      </c>
      <c r="J655" s="1743" t="inlineStr">
        <is>
          <t>Instalações de esgoto e pluviais</t>
        </is>
      </c>
      <c r="K655" s="1744" t="n"/>
      <c r="L655" s="1745" t="n"/>
      <c r="M655" s="1745" t="n"/>
      <c r="N655" s="1746" t="n">
        <v>270753.849638978</v>
      </c>
      <c r="O655" s="1747" t="n"/>
      <c r="P655" s="1720" t="n"/>
    </row>
    <row r="656" hidden="1" outlineLevel="3" ht="13.9" customHeight="1">
      <c r="A656" s="2117" t="n">
        <v>0</v>
      </c>
      <c r="B656" s="2117" t="n">
        <v>7</v>
      </c>
      <c r="C656" s="2117" t="n">
        <v>10</v>
      </c>
      <c r="D656" s="2118" t="n">
        <v>2</v>
      </c>
      <c r="E656" s="2118" t="n">
        <v>1</v>
      </c>
      <c r="G656" s="1748" t="inlineStr">
        <is>
          <t>SISTEMAS E INSTALAÇÕES HIDROSSANITÁRIAS E DRENAGEM</t>
        </is>
      </c>
      <c r="H656" s="1749" t="inlineStr">
        <is>
          <t>SERVIÇO</t>
        </is>
      </c>
      <c r="I656" s="1750" t="inlineStr">
        <is>
          <t>07.010.002.001</t>
        </is>
      </c>
      <c r="J656" s="1751" t="inlineStr">
        <is>
          <t>Instalações de esgoto e pluviais</t>
        </is>
      </c>
      <c r="K656" s="1752" t="inlineStr">
        <is>
          <t>vb</t>
        </is>
      </c>
      <c r="L656" s="1753" t="n">
        <v>1</v>
      </c>
      <c r="M656" s="1753" t="n">
        <v>270753.8496389777</v>
      </c>
      <c r="N656" s="1754" t="n">
        <v>270753.849638978</v>
      </c>
      <c r="O656" s="1755" t="inlineStr">
        <is>
          <t>quantidades conforme quantidades do projetista</t>
        </is>
      </c>
      <c r="P656" s="1721" t="inlineStr">
        <is>
          <t>Pendente</t>
        </is>
      </c>
    </row>
    <row r="657" hidden="1" outlineLevel="2" ht="13.9" customHeight="1">
      <c r="A657" s="2117" t="n">
        <v>0</v>
      </c>
      <c r="B657" s="2117" t="n">
        <v>7</v>
      </c>
      <c r="C657" s="2117" t="n">
        <v>10</v>
      </c>
      <c r="D657" s="2118" t="n">
        <v>3</v>
      </c>
      <c r="E657" s="2118" t="n">
        <v>0</v>
      </c>
      <c r="G657" s="1764" t="n"/>
      <c r="H657" s="1741" t="inlineStr">
        <is>
          <t>SUBETAPA</t>
        </is>
      </c>
      <c r="I657" s="1742" t="inlineStr">
        <is>
          <t>07.010.003</t>
        </is>
      </c>
      <c r="J657" s="1743" t="inlineStr">
        <is>
          <t>Hidrômetros</t>
        </is>
      </c>
      <c r="K657" s="1744" t="n"/>
      <c r="L657" s="1745" t="n"/>
      <c r="M657" s="1745" t="n"/>
      <c r="N657" s="1746" t="n">
        <v>2016</v>
      </c>
      <c r="O657" s="1747" t="n"/>
      <c r="P657" s="1720" t="n"/>
    </row>
    <row r="658" hidden="1" outlineLevel="3" ht="13.9" customHeight="1">
      <c r="A658" s="2117" t="n">
        <v>0</v>
      </c>
      <c r="B658" s="2117" t="n">
        <v>7</v>
      </c>
      <c r="C658" s="2117" t="n">
        <v>10</v>
      </c>
      <c r="D658" s="2118" t="n">
        <v>3</v>
      </c>
      <c r="E658" s="2118" t="n">
        <v>1</v>
      </c>
      <c r="G658" s="1748" t="inlineStr">
        <is>
          <t>SISTEMAS E INSTALAÇÕES HIDROSSANITÁRIAS E DRENAGEM</t>
        </is>
      </c>
      <c r="H658" s="1749" t="inlineStr">
        <is>
          <t>SERVIÇO</t>
        </is>
      </c>
      <c r="I658" s="1750" t="inlineStr">
        <is>
          <t>07.010.003.001</t>
        </is>
      </c>
      <c r="J658" s="1751" t="inlineStr">
        <is>
          <t>Hidrômetros</t>
        </is>
      </c>
      <c r="K658" s="1752" t="inlineStr">
        <is>
          <t>vb</t>
        </is>
      </c>
      <c r="L658" s="1753" t="n">
        <v>1</v>
      </c>
      <c r="M658" s="1753" t="n">
        <v>2016</v>
      </c>
      <c r="N658" s="1754" t="n">
        <v>2016</v>
      </c>
      <c r="O658" s="1755" t="inlineStr">
        <is>
          <t>Devido a ausencia de quantitativos, estimamos um Hidrometro multijato 3/4" vazao maxima 5 m³/h por apartamento + 1 por pavimento</t>
        </is>
      </c>
      <c r="P658" s="1721" t="inlineStr">
        <is>
          <t>Pendente</t>
        </is>
      </c>
    </row>
    <row r="659" hidden="1" outlineLevel="2" ht="13.9" customHeight="1">
      <c r="A659" s="2117" t="n">
        <v>0</v>
      </c>
      <c r="B659" s="2117" t="n">
        <v>7</v>
      </c>
      <c r="C659" s="2117" t="n">
        <v>10</v>
      </c>
      <c r="D659" s="2118" t="n">
        <v>4</v>
      </c>
      <c r="E659" s="2118" t="n">
        <v>0</v>
      </c>
      <c r="G659" s="1764" t="n"/>
      <c r="H659" s="1741" t="inlineStr">
        <is>
          <t>SUBETAPA</t>
        </is>
      </c>
      <c r="I659" s="1742" t="inlineStr">
        <is>
          <t>07.010.004</t>
        </is>
      </c>
      <c r="J659" s="1743" t="inlineStr">
        <is>
          <t>Sistema de bombas</t>
        </is>
      </c>
      <c r="K659" s="1744" t="n"/>
      <c r="L659" s="1745" t="n"/>
      <c r="M659" s="1745" t="n"/>
      <c r="N659" s="1746" t="n">
        <v>600.86</v>
      </c>
      <c r="O659" s="1747" t="n"/>
      <c r="P659" s="1720" t="n"/>
    </row>
    <row r="660" hidden="1" outlineLevel="3" ht="13.9" customHeight="1">
      <c r="A660" s="2117" t="n">
        <v>0</v>
      </c>
      <c r="B660" s="2117" t="n">
        <v>7</v>
      </c>
      <c r="C660" s="2117" t="n">
        <v>10</v>
      </c>
      <c r="D660" s="2118" t="n">
        <v>4</v>
      </c>
      <c r="E660" s="2118" t="n">
        <v>1</v>
      </c>
      <c r="G660" s="1748" t="inlineStr">
        <is>
          <t>SISTEMAS E INSTALAÇÕES HIDROSSANITÁRIAS E DRENAGEM</t>
        </is>
      </c>
      <c r="H660" s="1749" t="inlineStr">
        <is>
          <t>SERVIÇO</t>
        </is>
      </c>
      <c r="I660" s="1750" t="inlineStr">
        <is>
          <t>07.010.004.001</t>
        </is>
      </c>
      <c r="J660" s="1751" t="inlineStr">
        <is>
          <t>Sistema de bombas</t>
        </is>
      </c>
      <c r="K660" s="1752" t="inlineStr">
        <is>
          <t>vb</t>
        </is>
      </c>
      <c r="L660" s="1753" t="n">
        <v>1</v>
      </c>
      <c r="M660" s="1753" t="n">
        <v>600.86</v>
      </c>
      <c r="N660" s="1754" t="n">
        <v>600.86</v>
      </c>
      <c r="O660" s="1755" t="inlineStr">
        <is>
          <t>quantidades conforme quantidades do projetista + complemento cartesian</t>
        </is>
      </c>
      <c r="P660" s="1721" t="inlineStr">
        <is>
          <t>Pendente</t>
        </is>
      </c>
    </row>
    <row r="661" hidden="1" outlineLevel="2" ht="13.9" customHeight="1">
      <c r="A661" s="2117" t="n">
        <v>0</v>
      </c>
      <c r="B661" s="2117" t="n">
        <v>7</v>
      </c>
      <c r="C661" s="2117" t="n">
        <v>10</v>
      </c>
      <c r="D661" s="2118" t="n">
        <v>5</v>
      </c>
      <c r="E661" s="2118" t="n">
        <v>0</v>
      </c>
      <c r="G661" s="1764" t="n"/>
      <c r="H661" s="1741" t="inlineStr">
        <is>
          <t>SUBETAPA</t>
        </is>
      </c>
      <c r="I661" s="1742" t="inlineStr">
        <is>
          <t>07.010.005</t>
        </is>
      </c>
      <c r="J661" s="1743" t="inlineStr">
        <is>
          <t xml:space="preserve">Mão de obra - instalações hidrossanitárias e drenagem </t>
        </is>
      </c>
      <c r="K661" s="1744" t="n"/>
      <c r="L661" s="1745" t="n"/>
      <c r="M661" s="1745" t="n"/>
      <c r="N661" s="1746" t="n">
        <v>140782.24</v>
      </c>
      <c r="O661" s="1747" t="n"/>
      <c r="P661" s="1720" t="n"/>
    </row>
    <row r="662" hidden="1" outlineLevel="3" ht="13.9" customHeight="1">
      <c r="A662" s="2117" t="n">
        <v>0</v>
      </c>
      <c r="B662" s="2117" t="n">
        <v>7</v>
      </c>
      <c r="C662" s="2117" t="n">
        <v>10</v>
      </c>
      <c r="D662" s="2118" t="n">
        <v>5</v>
      </c>
      <c r="E662" s="2118" t="n">
        <v>1</v>
      </c>
      <c r="G662" s="1748" t="inlineStr">
        <is>
          <t>SISTEMAS E INSTALAÇÕES HIDROSSANITÁRIAS E DRENAGEM</t>
        </is>
      </c>
      <c r="H662" s="1749" t="inlineStr">
        <is>
          <t>SERVIÇO</t>
        </is>
      </c>
      <c r="I662" s="1750" t="inlineStr">
        <is>
          <t>07.010.005.001</t>
        </is>
      </c>
      <c r="J662" s="1751" t="inlineStr">
        <is>
          <t>Mão de obra Instalação Hidráulica</t>
        </is>
      </c>
      <c r="K662" s="1752" t="inlineStr">
        <is>
          <t>vb</t>
        </is>
      </c>
      <c r="L662" s="1753" t="n">
        <v>1</v>
      </c>
      <c r="M662" s="1753" t="n">
        <v>140782.24</v>
      </c>
      <c r="N662" s="1754" t="n">
        <v>140782.24</v>
      </c>
      <c r="O662" s="1761" t="inlineStr">
        <is>
          <t>Repessado pela Gessele na reunião do dia 05/03/2026 - Provavelmente vamos trocar de fornecedor, considerar M.O. R$58,00 / m2</t>
        </is>
      </c>
      <c r="P662" s="1721" t="inlineStr">
        <is>
          <t>Pendente</t>
        </is>
      </c>
    </row>
    <row r="663" hidden="1" outlineLevel="1" ht="13.9" customHeight="1">
      <c r="A663" s="2117" t="n">
        <v>0</v>
      </c>
      <c r="B663" s="2117" t="n">
        <v>7</v>
      </c>
      <c r="C663" s="2117" t="n">
        <v>11</v>
      </c>
      <c r="D663" s="2118" t="n">
        <v>0</v>
      </c>
      <c r="E663" s="2118" t="n">
        <v>1</v>
      </c>
      <c r="G663" s="1733" t="n"/>
      <c r="H663" s="1734" t="inlineStr">
        <is>
          <t>ETAPA</t>
        </is>
      </c>
      <c r="I663" s="1735" t="inlineStr">
        <is>
          <t>07.011</t>
        </is>
      </c>
      <c r="J663" s="1736" t="inlineStr">
        <is>
          <t>SISTEMAS E INSTALAÇÕES HIDROSSANITÁRIAS E DRENAGEM - Penthouse x22</t>
        </is>
      </c>
      <c r="K663" s="1737" t="n"/>
      <c r="L663" s="1738" t="n"/>
      <c r="M663" s="1738" t="n"/>
      <c r="N663" s="1739" t="n">
        <v>578435.105667852</v>
      </c>
      <c r="O663" s="1722" t="n"/>
      <c r="P663" s="1725" t="n"/>
    </row>
    <row r="664" hidden="1" outlineLevel="2" ht="13.9" customHeight="1">
      <c r="A664" s="2117" t="n">
        <v>0</v>
      </c>
      <c r="B664" s="2117" t="n">
        <v>7</v>
      </c>
      <c r="C664" s="2117" t="n">
        <v>11</v>
      </c>
      <c r="D664" s="2118" t="n">
        <v>1</v>
      </c>
      <c r="E664" s="2118" t="n">
        <v>0</v>
      </c>
      <c r="G664" s="1764" t="n"/>
      <c r="H664" s="1741" t="inlineStr">
        <is>
          <t>SUBETAPA</t>
        </is>
      </c>
      <c r="I664" s="1742" t="inlineStr">
        <is>
          <t>07.011.001</t>
        </is>
      </c>
      <c r="J664" s="1743" t="inlineStr">
        <is>
          <t>Instalações de água fria</t>
        </is>
      </c>
      <c r="K664" s="1744" t="n"/>
      <c r="L664" s="1745" t="n"/>
      <c r="M664" s="1745" t="n"/>
      <c r="N664" s="1746" t="n">
        <v>116667.340702675</v>
      </c>
      <c r="O664" s="1747" t="n"/>
      <c r="P664" s="1720" t="n"/>
    </row>
    <row r="665" hidden="1" outlineLevel="3" ht="13.9" customHeight="1">
      <c r="A665" s="2117" t="n">
        <v>0</v>
      </c>
      <c r="B665" s="2117" t="n">
        <v>7</v>
      </c>
      <c r="C665" s="2117" t="n">
        <v>11</v>
      </c>
      <c r="D665" s="2118" t="n">
        <v>1</v>
      </c>
      <c r="E665" s="2118" t="n">
        <v>1</v>
      </c>
      <c r="G665" s="1748" t="inlineStr">
        <is>
          <t>SISTEMAS E INSTALAÇÕES HIDROSSANITÁRIAS E DRENAGEM</t>
        </is>
      </c>
      <c r="H665" s="1749" t="inlineStr">
        <is>
          <t>SERVIÇO</t>
        </is>
      </c>
      <c r="I665" s="1750" t="inlineStr">
        <is>
          <t>07.011.001.001</t>
        </is>
      </c>
      <c r="J665" s="1751" t="inlineStr">
        <is>
          <t>Instalações de água fria e quente</t>
        </is>
      </c>
      <c r="K665" s="1752" t="inlineStr">
        <is>
          <t>vb</t>
        </is>
      </c>
      <c r="L665" s="1753" t="n">
        <v>1</v>
      </c>
      <c r="M665" s="1753" t="n">
        <v>116667.3407026754</v>
      </c>
      <c r="N665" s="1754" t="n">
        <v>116667.340702675</v>
      </c>
      <c r="O665" s="1755" t="inlineStr">
        <is>
          <t>quantidades conforme quantidades do projetista</t>
        </is>
      </c>
      <c r="P665" s="1721" t="inlineStr">
        <is>
          <t>Pendente</t>
        </is>
      </c>
    </row>
    <row r="666" hidden="1" outlineLevel="2" ht="13.9" customHeight="1">
      <c r="A666" s="2117" t="n">
        <v>0</v>
      </c>
      <c r="B666" s="2117" t="n">
        <v>7</v>
      </c>
      <c r="C666" s="2117" t="n">
        <v>11</v>
      </c>
      <c r="D666" s="2118" t="n">
        <v>2</v>
      </c>
      <c r="E666" s="2118" t="n">
        <v>0</v>
      </c>
      <c r="G666" s="1764" t="n"/>
      <c r="H666" s="1741" t="inlineStr">
        <is>
          <t>SUBETAPA</t>
        </is>
      </c>
      <c r="I666" s="1742" t="inlineStr">
        <is>
          <t>07.011.002</t>
        </is>
      </c>
      <c r="J666" s="1743" t="inlineStr">
        <is>
          <t>Instalações de esgoto e pluviais</t>
        </is>
      </c>
      <c r="K666" s="1744" t="n"/>
      <c r="L666" s="1745" t="n"/>
      <c r="M666" s="1745" t="n"/>
      <c r="N666" s="1746" t="n">
        <v>67666.72496517681</v>
      </c>
      <c r="O666" s="1747" t="n"/>
      <c r="P666" s="1720" t="n"/>
    </row>
    <row r="667" hidden="1" outlineLevel="3" ht="13.9" customHeight="1">
      <c r="A667" s="2117" t="n">
        <v>0</v>
      </c>
      <c r="B667" s="2117" t="n">
        <v>7</v>
      </c>
      <c r="C667" s="2117" t="n">
        <v>11</v>
      </c>
      <c r="D667" s="2118" t="n">
        <v>2</v>
      </c>
      <c r="E667" s="2118" t="n">
        <v>1</v>
      </c>
      <c r="G667" s="1748" t="inlineStr">
        <is>
          <t>SISTEMAS E INSTALAÇÕES HIDROSSANITÁRIAS E DRENAGEM</t>
        </is>
      </c>
      <c r="H667" s="1749" t="inlineStr">
        <is>
          <t>SERVIÇO</t>
        </is>
      </c>
      <c r="I667" s="1750" t="inlineStr">
        <is>
          <t>07.011.002.001</t>
        </is>
      </c>
      <c r="J667" s="1751" t="inlineStr">
        <is>
          <t>Instalações de esgoto e pluviais</t>
        </is>
      </c>
      <c r="K667" s="1752" t="inlineStr">
        <is>
          <t>vb</t>
        </is>
      </c>
      <c r="L667" s="1753" t="n">
        <v>1</v>
      </c>
      <c r="M667" s="1753" t="n">
        <v>67666.72496517684</v>
      </c>
      <c r="N667" s="1754" t="n">
        <v>67666.72496517681</v>
      </c>
      <c r="O667" s="1755" t="inlineStr">
        <is>
          <t>quantidades conforme quantidades do projetista</t>
        </is>
      </c>
      <c r="P667" s="1721" t="inlineStr">
        <is>
          <t>Pendente</t>
        </is>
      </c>
    </row>
    <row r="668" hidden="1" outlineLevel="2" ht="13.9" customHeight="1">
      <c r="A668" s="2117" t="n">
        <v>0</v>
      </c>
      <c r="B668" s="2117" t="n">
        <v>7</v>
      </c>
      <c r="C668" s="2117" t="n">
        <v>11</v>
      </c>
      <c r="D668" s="2118" t="n">
        <v>3</v>
      </c>
      <c r="E668" s="2118" t="n">
        <v>0</v>
      </c>
      <c r="G668" s="1764" t="n"/>
      <c r="H668" s="1741" t="inlineStr">
        <is>
          <t>SUBETAPA</t>
        </is>
      </c>
      <c r="I668" s="1742" t="inlineStr">
        <is>
          <t>07.011.003</t>
        </is>
      </c>
      <c r="J668" s="1743" t="inlineStr">
        <is>
          <t>Hidrômetros</t>
        </is>
      </c>
      <c r="K668" s="1744" t="n"/>
      <c r="L668" s="1745" t="n"/>
      <c r="M668" s="1745" t="n"/>
      <c r="N668" s="1746" t="n">
        <v>5544</v>
      </c>
      <c r="O668" s="1747" t="n"/>
      <c r="P668" s="1720" t="n"/>
    </row>
    <row r="669" hidden="1" outlineLevel="3" ht="13.9" customHeight="1">
      <c r="A669" s="2117" t="n">
        <v>0</v>
      </c>
      <c r="B669" s="2117" t="n">
        <v>7</v>
      </c>
      <c r="C669" s="2117" t="n">
        <v>11</v>
      </c>
      <c r="D669" s="2118" t="n">
        <v>3</v>
      </c>
      <c r="E669" s="2118" t="n">
        <v>1</v>
      </c>
      <c r="G669" s="1748" t="inlineStr">
        <is>
          <t>SISTEMAS E INSTALAÇÕES HIDROSSANITÁRIAS E DRENAGEM</t>
        </is>
      </c>
      <c r="H669" s="1749" t="inlineStr">
        <is>
          <t>SERVIÇO</t>
        </is>
      </c>
      <c r="I669" s="1750" t="inlineStr">
        <is>
          <t>07.011.003.001</t>
        </is>
      </c>
      <c r="J669" s="1751" t="inlineStr">
        <is>
          <t>Hidrômetros</t>
        </is>
      </c>
      <c r="K669" s="1752" t="inlineStr">
        <is>
          <t>vb</t>
        </is>
      </c>
      <c r="L669" s="1753" t="n">
        <v>1</v>
      </c>
      <c r="M669" s="1753" t="n">
        <v>5544</v>
      </c>
      <c r="N669" s="1754" t="n">
        <v>5544</v>
      </c>
      <c r="O669" s="1755" t="inlineStr">
        <is>
          <t>Devido a ausencia de quantitativos, estimamos um Hidrometro multijato 3/4" vazao maxima 5 m³/h por apartamento + 1 por pavimento</t>
        </is>
      </c>
      <c r="P669" s="1721" t="inlineStr">
        <is>
          <t>Pendente</t>
        </is>
      </c>
    </row>
    <row r="670" hidden="1" outlineLevel="2" ht="13.9" customHeight="1">
      <c r="A670" s="2117" t="n">
        <v>0</v>
      </c>
      <c r="B670" s="2117" t="n">
        <v>7</v>
      </c>
      <c r="C670" s="2117" t="n">
        <v>11</v>
      </c>
      <c r="D670" s="2118" t="n">
        <v>4</v>
      </c>
      <c r="E670" s="2118" t="n">
        <v>0</v>
      </c>
      <c r="G670" s="1764" t="n"/>
      <c r="H670" s="1741" t="inlineStr">
        <is>
          <t>SUBETAPA</t>
        </is>
      </c>
      <c r="I670" s="1742" t="inlineStr">
        <is>
          <t>07.011.004</t>
        </is>
      </c>
      <c r="J670" s="1743" t="inlineStr">
        <is>
          <t>Sistema de bombas</t>
        </is>
      </c>
      <c r="K670" s="1744" t="n"/>
      <c r="L670" s="1745" t="n"/>
      <c r="M670" s="1745" t="n"/>
      <c r="N670" s="1746" t="n">
        <v>1201.72</v>
      </c>
      <c r="O670" s="1747" t="n"/>
      <c r="P670" s="1720" t="n"/>
    </row>
    <row r="671" hidden="1" outlineLevel="3" ht="13.9" customHeight="1">
      <c r="A671" s="2117" t="n">
        <v>0</v>
      </c>
      <c r="B671" s="2117" t="n">
        <v>7</v>
      </c>
      <c r="C671" s="2117" t="n">
        <v>11</v>
      </c>
      <c r="D671" s="2118" t="n">
        <v>4</v>
      </c>
      <c r="E671" s="2118" t="n">
        <v>1</v>
      </c>
      <c r="G671" s="1748" t="inlineStr">
        <is>
          <t>SISTEMAS E INSTALAÇÕES HIDROSSANITÁRIAS E DRENAGEM</t>
        </is>
      </c>
      <c r="H671" s="1749" t="inlineStr">
        <is>
          <t>SERVIÇO</t>
        </is>
      </c>
      <c r="I671" s="1750" t="inlineStr">
        <is>
          <t>07.011.004.001</t>
        </is>
      </c>
      <c r="J671" s="1751" t="inlineStr">
        <is>
          <t>Sistema de bombas</t>
        </is>
      </c>
      <c r="K671" s="1752" t="inlineStr">
        <is>
          <t>vb</t>
        </is>
      </c>
      <c r="L671" s="1753" t="n">
        <v>1</v>
      </c>
      <c r="M671" s="1753" t="n">
        <v>1201.72</v>
      </c>
      <c r="N671" s="1754" t="n">
        <v>1201.72</v>
      </c>
      <c r="O671" s="1755" t="inlineStr">
        <is>
          <t>quantidades conforme quantidades do projetista + complemento cartesian</t>
        </is>
      </c>
      <c r="P671" s="1721" t="inlineStr">
        <is>
          <t>Pendente</t>
        </is>
      </c>
    </row>
    <row r="672" hidden="1" outlineLevel="2" ht="13.9" customHeight="1">
      <c r="A672" s="2117" t="n">
        <v>0</v>
      </c>
      <c r="B672" s="2117" t="n">
        <v>7</v>
      </c>
      <c r="C672" s="2117" t="n">
        <v>11</v>
      </c>
      <c r="D672" s="2118" t="n">
        <v>5</v>
      </c>
      <c r="E672" s="2118" t="n">
        <v>0</v>
      </c>
      <c r="G672" s="1764" t="n"/>
      <c r="H672" s="1741" t="inlineStr">
        <is>
          <t>SUBETAPA</t>
        </is>
      </c>
      <c r="I672" s="1742" t="inlineStr">
        <is>
          <t>07.011.005</t>
        </is>
      </c>
      <c r="J672" s="1743" t="inlineStr">
        <is>
          <t xml:space="preserve">Mão de obra - instalações hidrossanitárias e drenagem </t>
        </is>
      </c>
      <c r="K672" s="1744" t="n"/>
      <c r="L672" s="1745" t="n"/>
      <c r="M672" s="1745" t="n"/>
      <c r="N672" s="1746" t="n">
        <v>387355.32</v>
      </c>
      <c r="O672" s="1747" t="n"/>
      <c r="P672" s="1720" t="n"/>
    </row>
    <row r="673" hidden="1" outlineLevel="3" ht="13.9" customHeight="1">
      <c r="A673" s="2117" t="n">
        <v>0</v>
      </c>
      <c r="B673" s="2117" t="n">
        <v>7</v>
      </c>
      <c r="C673" s="2117" t="n">
        <v>11</v>
      </c>
      <c r="D673" s="2118" t="n">
        <v>5</v>
      </c>
      <c r="E673" s="2118" t="n">
        <v>1</v>
      </c>
      <c r="G673" s="1748" t="inlineStr">
        <is>
          <t>SISTEMAS E INSTALAÇÕES HIDROSSANITÁRIAS E DRENAGEM</t>
        </is>
      </c>
      <c r="H673" s="1749" t="inlineStr">
        <is>
          <t>SERVIÇO</t>
        </is>
      </c>
      <c r="I673" s="1750" t="inlineStr">
        <is>
          <t>07.011.005.001</t>
        </is>
      </c>
      <c r="J673" s="1751" t="inlineStr">
        <is>
          <t>Mão de obra Instalação Hidráulica</t>
        </is>
      </c>
      <c r="K673" s="1752" t="inlineStr">
        <is>
          <t>vb</t>
        </is>
      </c>
      <c r="L673" s="1753" t="n">
        <v>1</v>
      </c>
      <c r="M673" s="1753" t="n">
        <v>387355.32</v>
      </c>
      <c r="N673" s="1754" t="n">
        <v>387355.32</v>
      </c>
      <c r="O673" s="1761" t="inlineStr">
        <is>
          <t>Repessado pela Gessele na reunião do dia 05/03/2026 - Provavelmente vamos trocar de fornecedor, considerar M.O. R$58,00 / m2</t>
        </is>
      </c>
      <c r="P673" s="1721" t="inlineStr">
        <is>
          <t>Pendente</t>
        </is>
      </c>
    </row>
    <row r="674" hidden="1" outlineLevel="1" ht="13.9" customHeight="1">
      <c r="A674" s="2117" t="n">
        <v>0</v>
      </c>
      <c r="B674" s="2117" t="n">
        <v>7</v>
      </c>
      <c r="C674" s="2117" t="n">
        <v>12</v>
      </c>
      <c r="D674" s="2118" t="n">
        <v>0</v>
      </c>
      <c r="E674" s="2118" t="n">
        <v>1</v>
      </c>
      <c r="G674" s="1733" t="n"/>
      <c r="H674" s="1734" t="inlineStr">
        <is>
          <t>ETAPA</t>
        </is>
      </c>
      <c r="I674" s="1735" t="inlineStr">
        <is>
          <t>07.012</t>
        </is>
      </c>
      <c r="J674" s="1736" t="inlineStr">
        <is>
          <t>SISTEMAS E INSTALAÇÕES HIDROSSANITÁRIAS E DRENAGEM - Duplex Inferior</t>
        </is>
      </c>
      <c r="K674" s="1737" t="n"/>
      <c r="L674" s="1738" t="n"/>
      <c r="M674" s="1738" t="n"/>
      <c r="N674" s="1739" t="n">
        <v>108194.941435812</v>
      </c>
      <c r="O674" s="1722" t="n"/>
      <c r="P674" s="1725" t="n"/>
    </row>
    <row r="675" hidden="1" outlineLevel="2" ht="13.9" customHeight="1">
      <c r="A675" s="2117" t="n">
        <v>0</v>
      </c>
      <c r="B675" s="2117" t="n">
        <v>7</v>
      </c>
      <c r="C675" s="2117" t="n">
        <v>12</v>
      </c>
      <c r="D675" s="2118" t="n">
        <v>1</v>
      </c>
      <c r="E675" s="2118" t="n">
        <v>0</v>
      </c>
      <c r="G675" s="1764" t="n"/>
      <c r="H675" s="1741" t="inlineStr">
        <is>
          <t>SUBETAPA</t>
        </is>
      </c>
      <c r="I675" s="1742" t="inlineStr">
        <is>
          <t>07.012.001</t>
        </is>
      </c>
      <c r="J675" s="1743" t="inlineStr">
        <is>
          <t>Instalações de água fria</t>
        </is>
      </c>
      <c r="K675" s="1744" t="n"/>
      <c r="L675" s="1745" t="n"/>
      <c r="M675" s="1745" t="n"/>
      <c r="N675" s="1746" t="n">
        <v>60914.0220713853</v>
      </c>
      <c r="O675" s="1747" t="n"/>
      <c r="P675" s="1720" t="n"/>
    </row>
    <row r="676" hidden="1" outlineLevel="3" ht="13.9" customHeight="1">
      <c r="A676" s="2117" t="n">
        <v>0</v>
      </c>
      <c r="B676" s="2117" t="n">
        <v>7</v>
      </c>
      <c r="C676" s="2117" t="n">
        <v>12</v>
      </c>
      <c r="D676" s="2118" t="n">
        <v>1</v>
      </c>
      <c r="E676" s="2118" t="n">
        <v>1</v>
      </c>
      <c r="G676" s="1748" t="inlineStr">
        <is>
          <t>SISTEMAS E INSTALAÇÕES HIDROSSANITÁRIAS E DRENAGEM</t>
        </is>
      </c>
      <c r="H676" s="1749" t="inlineStr">
        <is>
          <t>SERVIÇO</t>
        </is>
      </c>
      <c r="I676" s="1750" t="inlineStr">
        <is>
          <t>07.012.001.001</t>
        </is>
      </c>
      <c r="J676" s="1751" t="inlineStr">
        <is>
          <t>Instalações de água fria e quente</t>
        </is>
      </c>
      <c r="K676" s="1752" t="inlineStr">
        <is>
          <t>vb</t>
        </is>
      </c>
      <c r="L676" s="1753" t="n">
        <v>1</v>
      </c>
      <c r="M676" s="1753" t="n">
        <v>60914.02207138531</v>
      </c>
      <c r="N676" s="1754" t="n">
        <v>60914.0220713853</v>
      </c>
      <c r="O676" s="1755" t="inlineStr">
        <is>
          <t>quantidades conforme quantidades do projetista</t>
        </is>
      </c>
      <c r="P676" s="1721" t="inlineStr">
        <is>
          <t>Pendente</t>
        </is>
      </c>
    </row>
    <row r="677" hidden="1" outlineLevel="2" ht="13.9" customHeight="1">
      <c r="A677" s="2117" t="n">
        <v>0</v>
      </c>
      <c r="B677" s="2117" t="n">
        <v>7</v>
      </c>
      <c r="C677" s="2117" t="n">
        <v>12</v>
      </c>
      <c r="D677" s="2118" t="n">
        <v>2</v>
      </c>
      <c r="E677" s="2118" t="n">
        <v>0</v>
      </c>
      <c r="G677" s="1764" t="n"/>
      <c r="H677" s="1741" t="inlineStr">
        <is>
          <t>SUBETAPA</t>
        </is>
      </c>
      <c r="I677" s="1742" t="inlineStr">
        <is>
          <t>07.012.002</t>
        </is>
      </c>
      <c r="J677" s="1743" t="inlineStr">
        <is>
          <t>Instalações de esgoto e pluviais</t>
        </is>
      </c>
      <c r="K677" s="1744" t="n"/>
      <c r="L677" s="1745" t="n"/>
      <c r="M677" s="1745" t="n"/>
      <c r="N677" s="1746" t="n">
        <v>30037.2393644266</v>
      </c>
      <c r="O677" s="1747" t="n"/>
      <c r="P677" s="1720" t="n"/>
    </row>
    <row r="678" hidden="1" outlineLevel="3" ht="13.9" customHeight="1">
      <c r="A678" s="2117" t="n">
        <v>0</v>
      </c>
      <c r="B678" s="2117" t="n">
        <v>7</v>
      </c>
      <c r="C678" s="2117" t="n">
        <v>12</v>
      </c>
      <c r="D678" s="2118" t="n">
        <v>2</v>
      </c>
      <c r="E678" s="2118" t="n">
        <v>1</v>
      </c>
      <c r="G678" s="1748" t="inlineStr">
        <is>
          <t>SISTEMAS E INSTALAÇÕES HIDROSSANITÁRIAS E DRENAGEM</t>
        </is>
      </c>
      <c r="H678" s="1749" t="inlineStr">
        <is>
          <t>SERVIÇO</t>
        </is>
      </c>
      <c r="I678" s="1750" t="inlineStr">
        <is>
          <t>07.012.002.001</t>
        </is>
      </c>
      <c r="J678" s="1751" t="inlineStr">
        <is>
          <t>Instalações de esgoto e pluviais</t>
        </is>
      </c>
      <c r="K678" s="1752" t="inlineStr">
        <is>
          <t>vb</t>
        </is>
      </c>
      <c r="L678" s="1753" t="n">
        <v>1</v>
      </c>
      <c r="M678" s="1753" t="n">
        <v>30037.23936442665</v>
      </c>
      <c r="N678" s="1754" t="n">
        <v>30037.2393644266</v>
      </c>
      <c r="O678" s="1755" t="inlineStr">
        <is>
          <t>quantidades conforme quantidades do projetista</t>
        </is>
      </c>
      <c r="P678" s="1721" t="inlineStr">
        <is>
          <t>Pendente</t>
        </is>
      </c>
    </row>
    <row r="679" hidden="1" outlineLevel="2" ht="13.9" customHeight="1">
      <c r="A679" s="2117" t="n">
        <v>0</v>
      </c>
      <c r="B679" s="2117" t="n">
        <v>7</v>
      </c>
      <c r="C679" s="2117" t="n">
        <v>12</v>
      </c>
      <c r="D679" s="2118" t="n">
        <v>3</v>
      </c>
      <c r="E679" s="2118" t="n">
        <v>0</v>
      </c>
      <c r="G679" s="1764" t="n"/>
      <c r="H679" s="1741" t="inlineStr">
        <is>
          <t>SUBETAPA</t>
        </is>
      </c>
      <c r="I679" s="1742" t="inlineStr">
        <is>
          <t>07.012.003</t>
        </is>
      </c>
      <c r="J679" s="1743" t="inlineStr">
        <is>
          <t>Hidrômetros</t>
        </is>
      </c>
      <c r="K679" s="1744" t="n"/>
      <c r="L679" s="1745" t="n"/>
      <c r="M679" s="1745" t="n"/>
      <c r="N679" s="1746" t="n">
        <v>252</v>
      </c>
      <c r="O679" s="1747" t="n"/>
      <c r="P679" s="1720" t="n"/>
    </row>
    <row r="680" hidden="1" outlineLevel="3" ht="13.9" customHeight="1">
      <c r="A680" s="2117" t="n">
        <v>0</v>
      </c>
      <c r="B680" s="2117" t="n">
        <v>7</v>
      </c>
      <c r="C680" s="2117" t="n">
        <v>12</v>
      </c>
      <c r="D680" s="2118" t="n">
        <v>3</v>
      </c>
      <c r="E680" s="2118" t="n">
        <v>1</v>
      </c>
      <c r="G680" s="1748" t="inlineStr">
        <is>
          <t>SISTEMAS E INSTALAÇÕES HIDROSSANITÁRIAS E DRENAGEM</t>
        </is>
      </c>
      <c r="H680" s="1749" t="inlineStr">
        <is>
          <t>SERVIÇO</t>
        </is>
      </c>
      <c r="I680" s="1750" t="inlineStr">
        <is>
          <t>07.012.003.001</t>
        </is>
      </c>
      <c r="J680" s="1751" t="inlineStr">
        <is>
          <t>Hidrômetros</t>
        </is>
      </c>
      <c r="K680" s="1752" t="inlineStr">
        <is>
          <t>vb</t>
        </is>
      </c>
      <c r="L680" s="1753" t="n">
        <v>1</v>
      </c>
      <c r="M680" s="1753" t="n">
        <v>252</v>
      </c>
      <c r="N680" s="1754" t="n">
        <v>252</v>
      </c>
      <c r="O680" s="1755" t="inlineStr">
        <is>
          <t>Devido a ausencia de quantitativos, estimamos um Hidrometro multijato 3/4" vazao maxima 5 m³/h por apartamento + 1 por pavimento</t>
        </is>
      </c>
      <c r="P680" s="1721" t="inlineStr">
        <is>
          <t>Pendente</t>
        </is>
      </c>
    </row>
    <row r="681" hidden="1" outlineLevel="2" ht="13.9" customHeight="1">
      <c r="A681" s="2117" t="n">
        <v>0</v>
      </c>
      <c r="B681" s="2117" t="n">
        <v>7</v>
      </c>
      <c r="C681" s="2117" t="n">
        <v>12</v>
      </c>
      <c r="D681" s="2118" t="n">
        <v>4</v>
      </c>
      <c r="E681" s="2118" t="n">
        <v>0</v>
      </c>
      <c r="G681" s="1764" t="n"/>
      <c r="H681" s="1741" t="inlineStr">
        <is>
          <t>SUBETAPA</t>
        </is>
      </c>
      <c r="I681" s="1742" t="inlineStr">
        <is>
          <t>07.012.004</t>
        </is>
      </c>
      <c r="J681" s="1743" t="inlineStr">
        <is>
          <t xml:space="preserve">Mão de obra - instalações hidrossanitárias e drenagem </t>
        </is>
      </c>
      <c r="K681" s="1744" t="n"/>
      <c r="L681" s="1745" t="n"/>
      <c r="M681" s="1745" t="n"/>
      <c r="N681" s="1746" t="n">
        <v>16991.68</v>
      </c>
      <c r="O681" s="1747" t="n"/>
      <c r="P681" s="1720" t="n"/>
    </row>
    <row r="682" hidden="1" outlineLevel="3" ht="13.9" customHeight="1">
      <c r="A682" s="2117" t="n">
        <v>0</v>
      </c>
      <c r="B682" s="2117" t="n">
        <v>7</v>
      </c>
      <c r="C682" s="2117" t="n">
        <v>12</v>
      </c>
      <c r="D682" s="2118" t="n">
        <v>4</v>
      </c>
      <c r="E682" s="2118" t="n">
        <v>1</v>
      </c>
      <c r="G682" s="1748" t="inlineStr">
        <is>
          <t>SISTEMAS E INSTALAÇÕES HIDROSSANITÁRIAS E DRENAGEM</t>
        </is>
      </c>
      <c r="H682" s="1749" t="inlineStr">
        <is>
          <t>SERVIÇO</t>
        </is>
      </c>
      <c r="I682" s="1750" t="inlineStr">
        <is>
          <t>07.012.004.001</t>
        </is>
      </c>
      <c r="J682" s="1751" t="inlineStr">
        <is>
          <t>Mão de obra Instalação Hidráulica</t>
        </is>
      </c>
      <c r="K682" s="1752" t="inlineStr">
        <is>
          <t>vb</t>
        </is>
      </c>
      <c r="L682" s="1753" t="n">
        <v>1</v>
      </c>
      <c r="M682" s="1753" t="n">
        <v>16991.68</v>
      </c>
      <c r="N682" s="1754" t="n">
        <v>16991.68</v>
      </c>
      <c r="O682" s="1761" t="inlineStr">
        <is>
          <t>Repessado pela Gessele na reunião do dia 05/03/2026 - Provavelmente vamos trocar de fornecedor, considerar M.O. R$58,00 / m2</t>
        </is>
      </c>
      <c r="P682" s="1721" t="inlineStr">
        <is>
          <t>Pendente</t>
        </is>
      </c>
    </row>
    <row r="683" hidden="1" outlineLevel="1" ht="13.9" customHeight="1">
      <c r="A683" s="2117" t="n">
        <v>0</v>
      </c>
      <c r="B683" s="2117" t="n">
        <v>7</v>
      </c>
      <c r="C683" s="2117" t="n">
        <v>13</v>
      </c>
      <c r="D683" s="2118" t="n">
        <v>0</v>
      </c>
      <c r="E683" s="2118" t="n">
        <v>1</v>
      </c>
      <c r="G683" s="1733" t="n"/>
      <c r="H683" s="1734" t="inlineStr">
        <is>
          <t>ETAPA</t>
        </is>
      </c>
      <c r="I683" s="1735" t="inlineStr">
        <is>
          <t>07.013</t>
        </is>
      </c>
      <c r="J683" s="1736" t="inlineStr">
        <is>
          <t>SISTEMAS E INSTALAÇÕES HIDROSSANITÁRIAS E DRENAGEM - Duplex Superior</t>
        </is>
      </c>
      <c r="K683" s="1737" t="n"/>
      <c r="L683" s="1738" t="n"/>
      <c r="M683" s="1738" t="n"/>
      <c r="N683" s="1739" t="n">
        <v>61518.1903044386</v>
      </c>
      <c r="O683" s="1722" t="n"/>
      <c r="P683" s="1725" t="n"/>
    </row>
    <row r="684" hidden="1" outlineLevel="2" ht="13.9" customHeight="1">
      <c r="A684" s="2117" t="n">
        <v>0</v>
      </c>
      <c r="B684" s="2117" t="n">
        <v>7</v>
      </c>
      <c r="C684" s="2117" t="n">
        <v>13</v>
      </c>
      <c r="D684" s="2118" t="n">
        <v>1</v>
      </c>
      <c r="E684" s="2118" t="n">
        <v>0</v>
      </c>
      <c r="G684" s="1764" t="n"/>
      <c r="H684" s="1741" t="inlineStr">
        <is>
          <t>SUBETAPA</t>
        </is>
      </c>
      <c r="I684" s="1742" t="inlineStr">
        <is>
          <t>07.013.001</t>
        </is>
      </c>
      <c r="J684" s="1743" t="inlineStr">
        <is>
          <t>Instalações de água fria</t>
        </is>
      </c>
      <c r="K684" s="1744" t="n"/>
      <c r="L684" s="1745" t="n"/>
      <c r="M684" s="1745" t="n"/>
      <c r="N684" s="1746" t="n">
        <v>25503.4952449443</v>
      </c>
      <c r="O684" s="1747" t="n"/>
      <c r="P684" s="1720" t="n"/>
    </row>
    <row r="685" hidden="1" outlineLevel="3" ht="13.9" customHeight="1">
      <c r="A685" s="2117" t="n">
        <v>0</v>
      </c>
      <c r="B685" s="2117" t="n">
        <v>7</v>
      </c>
      <c r="C685" s="2117" t="n">
        <v>13</v>
      </c>
      <c r="D685" s="2118" t="n">
        <v>1</v>
      </c>
      <c r="E685" s="2118" t="n">
        <v>1</v>
      </c>
      <c r="G685" s="1748" t="inlineStr">
        <is>
          <t>SISTEMAS E INSTALAÇÕES HIDROSSANITÁRIAS E DRENAGEM</t>
        </is>
      </c>
      <c r="H685" s="1749" t="inlineStr">
        <is>
          <t>SERVIÇO</t>
        </is>
      </c>
      <c r="I685" s="1750" t="inlineStr">
        <is>
          <t>07.013.001.001</t>
        </is>
      </c>
      <c r="J685" s="1751" t="inlineStr">
        <is>
          <t>Instalações de água fria e quente</t>
        </is>
      </c>
      <c r="K685" s="1752" t="inlineStr">
        <is>
          <t>vb</t>
        </is>
      </c>
      <c r="L685" s="1753" t="n">
        <v>1</v>
      </c>
      <c r="M685" s="1753" t="n">
        <v>25503.49524494425</v>
      </c>
      <c r="N685" s="1754" t="n">
        <v>25503.4952449443</v>
      </c>
      <c r="O685" s="1755" t="inlineStr">
        <is>
          <t>quantidades conforme quantidades do projetista</t>
        </is>
      </c>
      <c r="P685" s="1721" t="inlineStr">
        <is>
          <t>Pendente</t>
        </is>
      </c>
    </row>
    <row r="686" hidden="1" outlineLevel="2" ht="13.9" customHeight="1">
      <c r="A686" s="2117" t="n">
        <v>0</v>
      </c>
      <c r="B686" s="2117" t="n">
        <v>7</v>
      </c>
      <c r="C686" s="2117" t="n">
        <v>13</v>
      </c>
      <c r="D686" s="2118" t="n">
        <v>2</v>
      </c>
      <c r="E686" s="2118" t="n">
        <v>0</v>
      </c>
      <c r="G686" s="1764" t="n"/>
      <c r="H686" s="1741" t="inlineStr">
        <is>
          <t>SUBETAPA</t>
        </is>
      </c>
      <c r="I686" s="1742" t="inlineStr">
        <is>
          <t>07.013.002</t>
        </is>
      </c>
      <c r="J686" s="1743" t="inlineStr">
        <is>
          <t>Instalações de esgoto e pluviais</t>
        </is>
      </c>
      <c r="K686" s="1744" t="n"/>
      <c r="L686" s="1745" t="n"/>
      <c r="M686" s="1745" t="n"/>
      <c r="N686" s="1746" t="n">
        <v>19592.2950594943</v>
      </c>
      <c r="O686" s="1747" t="n"/>
      <c r="P686" s="1720" t="n"/>
    </row>
    <row r="687" hidden="1" outlineLevel="3" ht="13.9" customHeight="1">
      <c r="A687" s="2117" t="n">
        <v>0</v>
      </c>
      <c r="B687" s="2117" t="n">
        <v>7</v>
      </c>
      <c r="C687" s="2117" t="n">
        <v>13</v>
      </c>
      <c r="D687" s="2118" t="n">
        <v>2</v>
      </c>
      <c r="E687" s="2118" t="n">
        <v>1</v>
      </c>
      <c r="G687" s="1748" t="inlineStr">
        <is>
          <t>SISTEMAS E INSTALAÇÕES HIDROSSANITÁRIAS E DRENAGEM</t>
        </is>
      </c>
      <c r="H687" s="1749" t="inlineStr">
        <is>
          <t>SERVIÇO</t>
        </is>
      </c>
      <c r="I687" s="1750" t="inlineStr">
        <is>
          <t>07.013.002.001</t>
        </is>
      </c>
      <c r="J687" s="1751" t="inlineStr">
        <is>
          <t>Instalações de esgoto e pluviais</t>
        </is>
      </c>
      <c r="K687" s="1752" t="inlineStr">
        <is>
          <t>vb</t>
        </is>
      </c>
      <c r="L687" s="1753" t="n">
        <v>1</v>
      </c>
      <c r="M687" s="1753" t="n">
        <v>19592.29505949432</v>
      </c>
      <c r="N687" s="1754" t="n">
        <v>19592.2950594943</v>
      </c>
      <c r="O687" s="1755" t="inlineStr">
        <is>
          <t>quantidades conforme quantidades do projetista</t>
        </is>
      </c>
      <c r="P687" s="1721" t="inlineStr">
        <is>
          <t>Pendente</t>
        </is>
      </c>
    </row>
    <row r="688" hidden="1" outlineLevel="2" ht="13.9" customHeight="1">
      <c r="A688" s="2117" t="n">
        <v>0</v>
      </c>
      <c r="B688" s="2117" t="n">
        <v>7</v>
      </c>
      <c r="C688" s="2117" t="n">
        <v>13</v>
      </c>
      <c r="D688" s="2118" t="n">
        <v>3</v>
      </c>
      <c r="E688" s="2118" t="n">
        <v>0</v>
      </c>
      <c r="G688" s="1764" t="n"/>
      <c r="H688" s="1741" t="inlineStr">
        <is>
          <t>SUBETAPA</t>
        </is>
      </c>
      <c r="I688" s="1742" t="inlineStr">
        <is>
          <t>07.013.003</t>
        </is>
      </c>
      <c r="J688" s="1743" t="inlineStr">
        <is>
          <t>Hidrômetros</t>
        </is>
      </c>
      <c r="K688" s="1744" t="n"/>
      <c r="L688" s="1745" t="n"/>
      <c r="M688" s="1745" t="n"/>
      <c r="N688" s="1746" t="n">
        <v>252</v>
      </c>
      <c r="O688" s="1747" t="n"/>
      <c r="P688" s="1720" t="n"/>
    </row>
    <row r="689" hidden="1" outlineLevel="3" ht="13.9" customHeight="1">
      <c r="A689" s="2117" t="n">
        <v>0</v>
      </c>
      <c r="B689" s="2117" t="n">
        <v>7</v>
      </c>
      <c r="C689" s="2117" t="n">
        <v>13</v>
      </c>
      <c r="D689" s="2118" t="n">
        <v>3</v>
      </c>
      <c r="E689" s="2118" t="n">
        <v>1</v>
      </c>
      <c r="G689" s="1748" t="inlineStr">
        <is>
          <t>SISTEMAS E INSTALAÇÕES HIDROSSANITÁRIAS E DRENAGEM</t>
        </is>
      </c>
      <c r="H689" s="1749" t="inlineStr">
        <is>
          <t>SERVIÇO</t>
        </is>
      </c>
      <c r="I689" s="1750" t="inlineStr">
        <is>
          <t>07.013.003.001</t>
        </is>
      </c>
      <c r="J689" s="1751" t="inlineStr">
        <is>
          <t>Hidrômetros</t>
        </is>
      </c>
      <c r="K689" s="1752" t="inlineStr">
        <is>
          <t>vb</t>
        </is>
      </c>
      <c r="L689" s="1753" t="n">
        <v>1</v>
      </c>
      <c r="M689" s="1753" t="n">
        <v>252</v>
      </c>
      <c r="N689" s="1754" t="n">
        <v>252</v>
      </c>
      <c r="O689" s="1755" t="inlineStr">
        <is>
          <t>Devido a ausencia de quantitativos, estimamos um Hidrometro multijato 3/4" vazao maxima 5 m³/h por apartamento + 1 por pavimento</t>
        </is>
      </c>
      <c r="P689" s="1721" t="inlineStr">
        <is>
          <t>Pendente</t>
        </is>
      </c>
    </row>
    <row r="690" hidden="1" outlineLevel="2" ht="13.9" customHeight="1">
      <c r="A690" s="2117" t="n">
        <v>0</v>
      </c>
      <c r="B690" s="2117" t="n">
        <v>7</v>
      </c>
      <c r="C690" s="2117" t="n">
        <v>13</v>
      </c>
      <c r="D690" s="2118" t="n">
        <v>4</v>
      </c>
      <c r="E690" s="2118" t="n">
        <v>0</v>
      </c>
      <c r="G690" s="1764" t="n"/>
      <c r="H690" s="1741" t="inlineStr">
        <is>
          <t>SUBETAPA</t>
        </is>
      </c>
      <c r="I690" s="1742" t="inlineStr">
        <is>
          <t>07.013.004</t>
        </is>
      </c>
      <c r="J690" s="1743" t="inlineStr">
        <is>
          <t xml:space="preserve">Mão de obra - instalações hidrossanitárias e drenagem </t>
        </is>
      </c>
      <c r="K690" s="1744" t="n"/>
      <c r="L690" s="1745" t="n"/>
      <c r="M690" s="1745" t="n"/>
      <c r="N690" s="1746" t="n">
        <v>16170.4</v>
      </c>
      <c r="O690" s="1747" t="n"/>
      <c r="P690" s="1720" t="n"/>
    </row>
    <row r="691" hidden="1" outlineLevel="3" ht="13.9" customHeight="1">
      <c r="A691" s="2117" t="n">
        <v>0</v>
      </c>
      <c r="B691" s="2117" t="n">
        <v>7</v>
      </c>
      <c r="C691" s="2117" t="n">
        <v>13</v>
      </c>
      <c r="D691" s="2118" t="n">
        <v>4</v>
      </c>
      <c r="E691" s="2118" t="n">
        <v>1</v>
      </c>
      <c r="G691" s="1748" t="inlineStr">
        <is>
          <t>SISTEMAS E INSTALAÇÕES HIDROSSANITÁRIAS E DRENAGEM</t>
        </is>
      </c>
      <c r="H691" s="1749" t="inlineStr">
        <is>
          <t>SERVIÇO</t>
        </is>
      </c>
      <c r="I691" s="1750" t="inlineStr">
        <is>
          <t>07.013.004.001</t>
        </is>
      </c>
      <c r="J691" s="1751" t="inlineStr">
        <is>
          <t>Mão de obra Instalação Hidráulica</t>
        </is>
      </c>
      <c r="K691" s="1752" t="inlineStr">
        <is>
          <t>vb</t>
        </is>
      </c>
      <c r="L691" s="1753" t="n">
        <v>1</v>
      </c>
      <c r="M691" s="1753" t="n">
        <v>16170.4</v>
      </c>
      <c r="N691" s="1754" t="n">
        <v>16170.4</v>
      </c>
      <c r="O691" s="1761" t="inlineStr">
        <is>
          <t>Repessado pela Gessele na reunião do dia 05/03/2026 - Provavelmente vamos trocar de fornecedor, considerar M.O. R$58,00 / m2</t>
        </is>
      </c>
      <c r="P691" s="1721" t="inlineStr">
        <is>
          <t>Pendente</t>
        </is>
      </c>
    </row>
    <row r="692" hidden="1" outlineLevel="1" ht="13.9" customHeight="1">
      <c r="A692" s="2117" t="n">
        <v>0</v>
      </c>
      <c r="B692" s="2117" t="n">
        <v>7</v>
      </c>
      <c r="C692" s="2117" t="n">
        <v>14</v>
      </c>
      <c r="D692" s="2118" t="n">
        <v>0</v>
      </c>
      <c r="E692" s="2118" t="n">
        <v>1</v>
      </c>
      <c r="G692" s="1733" t="n"/>
      <c r="H692" s="1734" t="inlineStr">
        <is>
          <t>ETAPA</t>
        </is>
      </c>
      <c r="I692" s="1735" t="inlineStr">
        <is>
          <t>07.014</t>
        </is>
      </c>
      <c r="J692" s="1736" t="inlineStr">
        <is>
          <t>SISTEMAS E INSTALAÇÕES HIDROSSANITÁRIAS E DRENAGEM - Cobertura | Barrilete</t>
        </is>
      </c>
      <c r="K692" s="1737" t="n"/>
      <c r="L692" s="1738" t="n"/>
      <c r="M692" s="1738" t="n"/>
      <c r="N692" s="1739" t="n">
        <v>508248.737510726</v>
      </c>
      <c r="O692" s="1722" t="n"/>
      <c r="P692" s="1725" t="n"/>
    </row>
    <row r="693" hidden="1" outlineLevel="2" ht="13.9" customHeight="1">
      <c r="A693" s="2117" t="n">
        <v>0</v>
      </c>
      <c r="B693" s="2117" t="n">
        <v>7</v>
      </c>
      <c r="C693" s="2117" t="n">
        <v>14</v>
      </c>
      <c r="D693" s="2118" t="n">
        <v>1</v>
      </c>
      <c r="E693" s="2118" t="n">
        <v>0</v>
      </c>
      <c r="G693" s="1764" t="n"/>
      <c r="H693" s="1741" t="inlineStr">
        <is>
          <t>SUBETAPA</t>
        </is>
      </c>
      <c r="I693" s="1742" t="inlineStr">
        <is>
          <t>07.014.001</t>
        </is>
      </c>
      <c r="J693" s="1743" t="inlineStr">
        <is>
          <t>Instalações de água fria</t>
        </is>
      </c>
      <c r="K693" s="1744" t="n"/>
      <c r="L693" s="1745" t="n"/>
      <c r="M693" s="1745" t="n"/>
      <c r="N693" s="1746" t="n">
        <v>165838.402899175</v>
      </c>
      <c r="O693" s="1747" t="n"/>
      <c r="P693" s="1720" t="n"/>
    </row>
    <row r="694" hidden="1" outlineLevel="3" ht="13.9" customHeight="1">
      <c r="A694" s="2117" t="n">
        <v>0</v>
      </c>
      <c r="B694" s="2117" t="n">
        <v>7</v>
      </c>
      <c r="C694" s="2117" t="n">
        <v>14</v>
      </c>
      <c r="D694" s="2118" t="n">
        <v>1</v>
      </c>
      <c r="E694" s="2118" t="n">
        <v>1</v>
      </c>
      <c r="G694" s="1748" t="inlineStr">
        <is>
          <t>SISTEMAS E INSTALAÇÕES HIDROSSANITÁRIAS E DRENAGEM</t>
        </is>
      </c>
      <c r="H694" s="1749" t="inlineStr">
        <is>
          <t>SERVIÇO</t>
        </is>
      </c>
      <c r="I694" s="1750" t="inlineStr">
        <is>
          <t>07.014.001.001</t>
        </is>
      </c>
      <c r="J694" s="1751" t="inlineStr">
        <is>
          <t>Instalações de água fria e quente</t>
        </is>
      </c>
      <c r="K694" s="1752" t="inlineStr">
        <is>
          <t>vb</t>
        </is>
      </c>
      <c r="L694" s="1753" t="n">
        <v>1</v>
      </c>
      <c r="M694" s="1753" t="n">
        <v>165838.4028991752</v>
      </c>
      <c r="N694" s="1754" t="n">
        <v>165838.402899175</v>
      </c>
      <c r="O694" s="1755" t="inlineStr">
        <is>
          <t>quantidades conforme quantidades do projetista</t>
        </is>
      </c>
      <c r="P694" s="1721" t="inlineStr">
        <is>
          <t>Pendente</t>
        </is>
      </c>
    </row>
    <row r="695" hidden="1" outlineLevel="2" ht="13.9" customHeight="1">
      <c r="A695" s="2117" t="n">
        <v>0</v>
      </c>
      <c r="B695" s="2117" t="n">
        <v>7</v>
      </c>
      <c r="C695" s="2117" t="n">
        <v>14</v>
      </c>
      <c r="D695" s="2118" t="n">
        <v>2</v>
      </c>
      <c r="E695" s="2118" t="n">
        <v>0</v>
      </c>
      <c r="G695" s="1764" t="n"/>
      <c r="H695" s="1741" t="inlineStr">
        <is>
          <t>SUBETAPA</t>
        </is>
      </c>
      <c r="I695" s="1742" t="inlineStr">
        <is>
          <t>07.014.002</t>
        </is>
      </c>
      <c r="J695" s="1743" t="inlineStr">
        <is>
          <t>Instalações de esgoto e pluviais</t>
        </is>
      </c>
      <c r="K695" s="1744" t="n"/>
      <c r="L695" s="1745" t="n"/>
      <c r="M695" s="1745" t="n"/>
      <c r="N695" s="1746" t="n">
        <v>277434.454611551</v>
      </c>
      <c r="O695" s="1747" t="n"/>
      <c r="P695" s="1720" t="n"/>
    </row>
    <row r="696" hidden="1" outlineLevel="3" ht="13.9" customHeight="1">
      <c r="A696" s="2117" t="n">
        <v>0</v>
      </c>
      <c r="B696" s="2117" t="n">
        <v>7</v>
      </c>
      <c r="C696" s="2117" t="n">
        <v>14</v>
      </c>
      <c r="D696" s="2118" t="n">
        <v>2</v>
      </c>
      <c r="E696" s="2118" t="n">
        <v>1</v>
      </c>
      <c r="G696" s="1748" t="inlineStr">
        <is>
          <t>SISTEMAS E INSTALAÇÕES HIDROSSANITÁRIAS E DRENAGEM</t>
        </is>
      </c>
      <c r="H696" s="1749" t="inlineStr">
        <is>
          <t>SERVIÇO</t>
        </is>
      </c>
      <c r="I696" s="1750" t="inlineStr">
        <is>
          <t>07.014.002.001</t>
        </is>
      </c>
      <c r="J696" s="1751" t="inlineStr">
        <is>
          <t>Instalações de esgoto e pluviais</t>
        </is>
      </c>
      <c r="K696" s="1752" t="inlineStr">
        <is>
          <t>vb</t>
        </is>
      </c>
      <c r="L696" s="1753" t="n">
        <v>1</v>
      </c>
      <c r="M696" s="1753" t="n">
        <v>277434.4546115512</v>
      </c>
      <c r="N696" s="1754" t="n">
        <v>277434.454611551</v>
      </c>
      <c r="O696" s="1755" t="inlineStr">
        <is>
          <t>quantidades conforme quantidades do projetista</t>
        </is>
      </c>
      <c r="P696" s="1721" t="inlineStr">
        <is>
          <t>Pendente</t>
        </is>
      </c>
    </row>
    <row r="697" hidden="1" outlineLevel="2" ht="13.9" customHeight="1">
      <c r="A697" s="2117" t="n">
        <v>0</v>
      </c>
      <c r="B697" s="2117" t="n">
        <v>7</v>
      </c>
      <c r="C697" s="2117" t="n">
        <v>14</v>
      </c>
      <c r="D697" s="2118" t="n">
        <v>3</v>
      </c>
      <c r="E697" s="2118" t="n">
        <v>0</v>
      </c>
      <c r="G697" s="1764" t="n"/>
      <c r="H697" s="1741" t="inlineStr">
        <is>
          <t>SUBETAPA</t>
        </is>
      </c>
      <c r="I697" s="1742" t="inlineStr">
        <is>
          <t>07.014.003</t>
        </is>
      </c>
      <c r="J697" s="1743" t="inlineStr">
        <is>
          <t>Hidrômetros</t>
        </is>
      </c>
      <c r="K697" s="1744" t="n"/>
      <c r="L697" s="1745" t="n"/>
      <c r="M697" s="1745" t="n"/>
      <c r="N697" s="1746" t="n">
        <v>252</v>
      </c>
      <c r="O697" s="1747" t="n"/>
      <c r="P697" s="1720" t="n"/>
    </row>
    <row r="698" hidden="1" outlineLevel="3" ht="13.9" customHeight="1">
      <c r="A698" s="2117" t="n">
        <v>0</v>
      </c>
      <c r="B698" s="2117" t="n">
        <v>7</v>
      </c>
      <c r="C698" s="2117" t="n">
        <v>14</v>
      </c>
      <c r="D698" s="2118" t="n">
        <v>3</v>
      </c>
      <c r="E698" s="2118" t="n">
        <v>1</v>
      </c>
      <c r="G698" s="1748" t="inlineStr">
        <is>
          <t>SISTEMAS E INSTALAÇÕES HIDROSSANITÁRIAS E DRENAGEM</t>
        </is>
      </c>
      <c r="H698" s="1749" t="inlineStr">
        <is>
          <t>SERVIÇO</t>
        </is>
      </c>
      <c r="I698" s="1750" t="inlineStr">
        <is>
          <t>07.014.003.001</t>
        </is>
      </c>
      <c r="J698" s="1751" t="inlineStr">
        <is>
          <t>Hidrômetros</t>
        </is>
      </c>
      <c r="K698" s="1752" t="inlineStr">
        <is>
          <t>vb</t>
        </is>
      </c>
      <c r="L698" s="1753" t="n">
        <v>1</v>
      </c>
      <c r="M698" s="1753" t="n">
        <v>252</v>
      </c>
      <c r="N698" s="1754" t="n">
        <v>252</v>
      </c>
      <c r="O698" s="1755" t="inlineStr">
        <is>
          <t>Devido a ausencia de quantitativos, estimamos um Hidrometro multijato 3/4" vazao maxima 5 m³/h por apartamento + 1 por pavimento</t>
        </is>
      </c>
      <c r="P698" s="1721" t="inlineStr">
        <is>
          <t>Pendente</t>
        </is>
      </c>
    </row>
    <row r="699" hidden="1" outlineLevel="2" ht="13.9" customHeight="1">
      <c r="A699" s="2117" t="n">
        <v>0</v>
      </c>
      <c r="B699" s="2117" t="n">
        <v>7</v>
      </c>
      <c r="C699" s="2117" t="n">
        <v>14</v>
      </c>
      <c r="D699" s="2118" t="n">
        <v>4</v>
      </c>
      <c r="E699" s="2118" t="n">
        <v>0</v>
      </c>
      <c r="G699" s="1764" t="n"/>
      <c r="H699" s="1741" t="inlineStr">
        <is>
          <t>SUBETAPA</t>
        </is>
      </c>
      <c r="I699" s="1742" t="inlineStr">
        <is>
          <t>07.014.004</t>
        </is>
      </c>
      <c r="J699" s="1743" t="inlineStr">
        <is>
          <t>Sistema de bombas</t>
        </is>
      </c>
      <c r="K699" s="1744" t="n"/>
      <c r="L699" s="1745" t="n"/>
      <c r="M699" s="1745" t="n"/>
      <c r="N699" s="1746" t="n">
        <v>60448.12</v>
      </c>
      <c r="O699" s="1747" t="n"/>
      <c r="P699" s="1720" t="n"/>
    </row>
    <row r="700" hidden="1" outlineLevel="3" ht="13.9" customHeight="1">
      <c r="A700" s="2117" t="n">
        <v>0</v>
      </c>
      <c r="B700" s="2117" t="n">
        <v>7</v>
      </c>
      <c r="C700" s="2117" t="n">
        <v>14</v>
      </c>
      <c r="D700" s="2118" t="n">
        <v>4</v>
      </c>
      <c r="E700" s="2118" t="n">
        <v>1</v>
      </c>
      <c r="G700" s="1748" t="inlineStr">
        <is>
          <t>SISTEMAS E INSTALAÇÕES HIDROSSANITÁRIAS E DRENAGEM</t>
        </is>
      </c>
      <c r="H700" s="1749" t="inlineStr">
        <is>
          <t>SERVIÇO</t>
        </is>
      </c>
      <c r="I700" s="1750" t="inlineStr">
        <is>
          <t>07.014.004.001</t>
        </is>
      </c>
      <c r="J700" s="1751" t="inlineStr">
        <is>
          <t>Sistema de bombas</t>
        </is>
      </c>
      <c r="K700" s="1752" t="inlineStr">
        <is>
          <t>vb</t>
        </is>
      </c>
      <c r="L700" s="1753" t="n">
        <v>1</v>
      </c>
      <c r="M700" s="1753" t="n">
        <v>60448.12</v>
      </c>
      <c r="N700" s="1754" t="n">
        <v>60448.12</v>
      </c>
      <c r="O700" s="1755" t="inlineStr">
        <is>
          <t>quantidades conforme quantidades do projetista + complemento cartesian</t>
        </is>
      </c>
      <c r="P700" s="1721" t="inlineStr">
        <is>
          <t>Pendente</t>
        </is>
      </c>
    </row>
    <row r="701" hidden="1" outlineLevel="2" ht="13.9" customHeight="1">
      <c r="A701" s="2117" t="n">
        <v>0</v>
      </c>
      <c r="B701" s="2117" t="n">
        <v>7</v>
      </c>
      <c r="C701" s="2117" t="n">
        <v>14</v>
      </c>
      <c r="D701" s="2118" t="n">
        <v>5</v>
      </c>
      <c r="E701" s="2118" t="n">
        <v>0</v>
      </c>
      <c r="G701" s="1764" t="n"/>
      <c r="H701" s="1741" t="inlineStr">
        <is>
          <t>SUBETAPA</t>
        </is>
      </c>
      <c r="I701" s="1742" t="inlineStr">
        <is>
          <t>07.014.005</t>
        </is>
      </c>
      <c r="J701" s="1743" t="inlineStr">
        <is>
          <t xml:space="preserve">Mão de obra - instalações hidrossanitárias e drenagem </t>
        </is>
      </c>
      <c r="K701" s="1744" t="n"/>
      <c r="L701" s="1745" t="n"/>
      <c r="M701" s="1745" t="n"/>
      <c r="N701" s="1746" t="n">
        <v>4275.76</v>
      </c>
      <c r="O701" s="1747" t="n"/>
      <c r="P701" s="1720" t="n"/>
    </row>
    <row r="702" hidden="1" outlineLevel="3" ht="13.9" customHeight="1">
      <c r="A702" s="2117" t="n">
        <v>0</v>
      </c>
      <c r="B702" s="2117" t="n">
        <v>7</v>
      </c>
      <c r="C702" s="2117" t="n">
        <v>14</v>
      </c>
      <c r="D702" s="2118" t="n">
        <v>5</v>
      </c>
      <c r="E702" s="2118" t="n">
        <v>1</v>
      </c>
      <c r="G702" s="1748" t="inlineStr">
        <is>
          <t>SISTEMAS E INSTALAÇÕES HIDROSSANITÁRIAS E DRENAGEM</t>
        </is>
      </c>
      <c r="H702" s="1749" t="inlineStr">
        <is>
          <t>SERVIÇO</t>
        </is>
      </c>
      <c r="I702" s="1750" t="inlineStr">
        <is>
          <t>07.014.005.001</t>
        </is>
      </c>
      <c r="J702" s="1751" t="inlineStr">
        <is>
          <t>Mão de obra Instalação Hidráulica</t>
        </is>
      </c>
      <c r="K702" s="1752" t="inlineStr">
        <is>
          <t>vb</t>
        </is>
      </c>
      <c r="L702" s="1753" t="n">
        <v>1</v>
      </c>
      <c r="M702" s="1753" t="n">
        <v>4275.76</v>
      </c>
      <c r="N702" s="1754" t="n">
        <v>4275.76</v>
      </c>
      <c r="O702" s="1761" t="inlineStr">
        <is>
          <t>Repessado pela Gessele na reunião do dia 05/03/2026 - Provavelmente vamos trocar de fornecedor, considerar M.O. R$58,00 / m2</t>
        </is>
      </c>
      <c r="P702" s="1721" t="inlineStr">
        <is>
          <t>Pendente</t>
        </is>
      </c>
    </row>
    <row r="703" collapsed="1" ht="13.9" customHeight="1">
      <c r="A703" s="2117" t="n">
        <v>0</v>
      </c>
      <c r="B703" s="2117" t="n">
        <v>8</v>
      </c>
      <c r="C703" s="2117" t="n">
        <v>0</v>
      </c>
      <c r="D703" s="2118" t="n">
        <v>5</v>
      </c>
      <c r="E703" s="2118" t="n">
        <v>1</v>
      </c>
      <c r="F703" s="474" t="n"/>
      <c r="G703" s="1791" t="n"/>
      <c r="H703" s="1727" t="inlineStr">
        <is>
          <t>CÉLULA CONSTRUTIVA</t>
        </is>
      </c>
      <c r="I703" s="1728" t="inlineStr">
        <is>
          <t>08</t>
        </is>
      </c>
      <c r="J703" s="1729" t="inlineStr">
        <is>
          <t>INSTALAÇÕES PREVENTIVAS</t>
        </is>
      </c>
      <c r="K703" s="1730" t="n"/>
      <c r="L703" s="1731" t="n"/>
      <c r="M703" s="1731" t="n"/>
      <c r="N703" s="1732" t="n">
        <v>2726218.0508</v>
      </c>
      <c r="O703" s="1770" t="n">
        <v>162.762493278972</v>
      </c>
      <c r="P703" s="1723" t="n"/>
    </row>
    <row r="704" hidden="1" outlineLevel="1" ht="13.9" customHeight="1">
      <c r="A704" s="2117" t="n">
        <v>0</v>
      </c>
      <c r="B704" s="2117" t="n">
        <v>8</v>
      </c>
      <c r="C704" s="2117" t="n">
        <v>1</v>
      </c>
      <c r="D704" s="2118" t="n">
        <v>0</v>
      </c>
      <c r="E704" s="2118" t="n">
        <v>1</v>
      </c>
      <c r="G704" s="1733" t="n"/>
      <c r="H704" s="1734" t="inlineStr">
        <is>
          <t>ETAPA</t>
        </is>
      </c>
      <c r="I704" s="1735" t="inlineStr">
        <is>
          <t>08.001</t>
        </is>
      </c>
      <c r="J704" s="1736" t="inlineStr">
        <is>
          <t>INSTALAÇÕES PREVENTIVAS - Térreo</t>
        </is>
      </c>
      <c r="K704" s="1737" t="n"/>
      <c r="L704" s="1738" t="n"/>
      <c r="M704" s="1738" t="n"/>
      <c r="N704" s="1739" t="n">
        <v>95954.48699999999</v>
      </c>
      <c r="O704" s="1722" t="n"/>
      <c r="P704" s="1725" t="n"/>
    </row>
    <row r="705" hidden="1" outlineLevel="2" ht="13.9" customHeight="1">
      <c r="A705" s="2117" t="n">
        <v>0</v>
      </c>
      <c r="B705" s="2117" t="n">
        <v>8</v>
      </c>
      <c r="C705" s="2117" t="n">
        <v>1</v>
      </c>
      <c r="D705" s="2118" t="n">
        <v>1</v>
      </c>
      <c r="E705" s="2118" t="n">
        <v>0</v>
      </c>
      <c r="G705" s="1740" t="n"/>
      <c r="H705" s="1741" t="inlineStr">
        <is>
          <t>SUBETAPA</t>
        </is>
      </c>
      <c r="I705" s="1742" t="inlineStr">
        <is>
          <t>08.001.001</t>
        </is>
      </c>
      <c r="J705" s="1743" t="inlineStr">
        <is>
          <t>Hidrantes</t>
        </is>
      </c>
      <c r="K705" s="1744" t="n"/>
      <c r="L705" s="1745" t="n"/>
      <c r="M705" s="1745" t="n"/>
      <c r="N705" s="1746" t="n">
        <v>16802</v>
      </c>
      <c r="O705" s="1747" t="n"/>
      <c r="P705" s="1720" t="n"/>
    </row>
    <row r="706" hidden="1" outlineLevel="3" ht="13.9" customHeight="1">
      <c r="A706" s="2117" t="n">
        <v>0</v>
      </c>
      <c r="B706" s="2117" t="n">
        <v>8</v>
      </c>
      <c r="C706" s="2117" t="n">
        <v>1</v>
      </c>
      <c r="D706" s="2118" t="n">
        <v>1</v>
      </c>
      <c r="E706" s="2118" t="n">
        <v>1</v>
      </c>
      <c r="G706" s="1790" t="inlineStr">
        <is>
          <t>INSTALAÇÕES PREVENTIVAS</t>
        </is>
      </c>
      <c r="H706" s="1749" t="inlineStr">
        <is>
          <t>SERVIÇO</t>
        </is>
      </c>
      <c r="I706" s="1750" t="inlineStr">
        <is>
          <t>08.001.001.001</t>
        </is>
      </c>
      <c r="J706" s="1751" t="inlineStr">
        <is>
          <t>Hidrantes</t>
        </is>
      </c>
      <c r="K706" s="1752" t="inlineStr">
        <is>
          <t>vb</t>
        </is>
      </c>
      <c r="L706" s="1753" t="n">
        <v>1</v>
      </c>
      <c r="M706" s="1753" t="n">
        <v>16802</v>
      </c>
      <c r="N706" s="1754" t="n">
        <v>16802</v>
      </c>
      <c r="O706" s="1755" t="inlineStr">
        <is>
          <t>quantidades confirme quantidades do projetista</t>
        </is>
      </c>
      <c r="P706" s="1721" t="inlineStr">
        <is>
          <t>Pendente</t>
        </is>
      </c>
    </row>
    <row r="707" hidden="1" outlineLevel="2" ht="13.9" customHeight="1">
      <c r="A707" s="2117" t="n">
        <v>0</v>
      </c>
      <c r="B707" s="2117" t="n">
        <v>8</v>
      </c>
      <c r="C707" s="2117" t="n">
        <v>1</v>
      </c>
      <c r="D707" s="2118" t="n">
        <v>2</v>
      </c>
      <c r="E707" s="2118" t="n">
        <v>0</v>
      </c>
      <c r="G707" s="1740" t="n"/>
      <c r="H707" s="1741" t="inlineStr">
        <is>
          <t>SUBETAPA</t>
        </is>
      </c>
      <c r="I707" s="1742" t="inlineStr">
        <is>
          <t>08.001.002</t>
        </is>
      </c>
      <c r="J707" s="1743" t="inlineStr">
        <is>
          <t xml:space="preserve">Sinalização de emergência e extintores </t>
        </is>
      </c>
      <c r="K707" s="1744" t="n"/>
      <c r="L707" s="1745" t="n"/>
      <c r="M707" s="1745" t="n"/>
      <c r="N707" s="1746" t="n">
        <v>2892.59</v>
      </c>
      <c r="O707" s="1747" t="n"/>
      <c r="P707" s="1720" t="n"/>
    </row>
    <row r="708" hidden="1" outlineLevel="3" ht="13.9" customHeight="1">
      <c r="A708" s="2117" t="n">
        <v>0</v>
      </c>
      <c r="B708" s="2117" t="n">
        <v>8</v>
      </c>
      <c r="C708" s="2117" t="n">
        <v>1</v>
      </c>
      <c r="D708" s="2118" t="n">
        <v>2</v>
      </c>
      <c r="E708" s="2118" t="n">
        <v>1</v>
      </c>
      <c r="G708" s="1790" t="inlineStr">
        <is>
          <t>INSTALAÇÕES PREVENTIVAS</t>
        </is>
      </c>
      <c r="H708" s="1749" t="inlineStr">
        <is>
          <t>SERVIÇO</t>
        </is>
      </c>
      <c r="I708" s="1750" t="inlineStr">
        <is>
          <t>08.001.002.001</t>
        </is>
      </c>
      <c r="J708" s="1751" t="inlineStr">
        <is>
          <t xml:space="preserve">Sinalização de emergência e extintores </t>
        </is>
      </c>
      <c r="K708" s="1752" t="inlineStr">
        <is>
          <t>vb</t>
        </is>
      </c>
      <c r="L708" s="1753" t="n">
        <v>1</v>
      </c>
      <c r="M708" s="1753" t="n">
        <v>2892.59</v>
      </c>
      <c r="N708" s="1754" t="n">
        <v>2892.59</v>
      </c>
      <c r="O708" s="1755" t="inlineStr">
        <is>
          <t>quantidades confirme quantidades do projetista</t>
        </is>
      </c>
      <c r="P708" s="1721" t="inlineStr">
        <is>
          <t>Pendente</t>
        </is>
      </c>
    </row>
    <row r="709" hidden="1" outlineLevel="2" ht="13.9" customHeight="1">
      <c r="A709" s="2117" t="n">
        <v>0</v>
      </c>
      <c r="B709" s="2117" t="n">
        <v>8</v>
      </c>
      <c r="C709" s="2117" t="n">
        <v>1</v>
      </c>
      <c r="D709" s="2118" t="n">
        <v>3</v>
      </c>
      <c r="E709" s="2118" t="n">
        <v>0</v>
      </c>
      <c r="G709" s="1740" t="n"/>
      <c r="H709" s="1741" t="inlineStr">
        <is>
          <t>SUBETAPA</t>
        </is>
      </c>
      <c r="I709" s="1742" t="inlineStr">
        <is>
          <t>08.001.003</t>
        </is>
      </c>
      <c r="J709" s="1743" t="inlineStr">
        <is>
          <t>Sprinkles</t>
        </is>
      </c>
      <c r="K709" s="1744" t="n"/>
      <c r="L709" s="1745" t="n"/>
      <c r="M709" s="1745" t="n"/>
      <c r="N709" s="1746" t="n">
        <v>66734.2</v>
      </c>
      <c r="O709" s="1747" t="n"/>
      <c r="P709" s="1720" t="n"/>
    </row>
    <row r="710" hidden="1" outlineLevel="3" ht="13.9" customHeight="1">
      <c r="A710" s="2117" t="n">
        <v>0</v>
      </c>
      <c r="B710" s="2117" t="n">
        <v>8</v>
      </c>
      <c r="C710" s="2117" t="n">
        <v>1</v>
      </c>
      <c r="D710" s="2118" t="n">
        <v>3</v>
      </c>
      <c r="E710" s="2118" t="n">
        <v>1</v>
      </c>
      <c r="G710" s="1790" t="inlineStr">
        <is>
          <t>INSTALAÇÕES PREVENTIVAS</t>
        </is>
      </c>
      <c r="H710" s="1749" t="inlineStr">
        <is>
          <t>SERVIÇO</t>
        </is>
      </c>
      <c r="I710" s="1750" t="inlineStr">
        <is>
          <t>08.001.003.001</t>
        </is>
      </c>
      <c r="J710" s="1751" t="inlineStr">
        <is>
          <t>Sprinkles</t>
        </is>
      </c>
      <c r="K710" s="1752" t="inlineStr">
        <is>
          <t>vb</t>
        </is>
      </c>
      <c r="L710" s="1753" t="n">
        <v>1</v>
      </c>
      <c r="M710" s="1753" t="n">
        <v>66734.2</v>
      </c>
      <c r="N710" s="1754" t="n">
        <v>66734.2</v>
      </c>
      <c r="O710" s="1755" t="inlineStr">
        <is>
          <t>quantidades confirme quantidades do projetista</t>
        </is>
      </c>
      <c r="P710" s="1721" t="inlineStr">
        <is>
          <t>Pendente</t>
        </is>
      </c>
    </row>
    <row r="711" hidden="1" outlineLevel="2" ht="13.9" customHeight="1">
      <c r="A711" s="2117" t="n">
        <v>0</v>
      </c>
      <c r="B711" s="2117" t="n">
        <v>8</v>
      </c>
      <c r="C711" s="2117" t="n">
        <v>1</v>
      </c>
      <c r="D711" s="2118" t="n">
        <v>4</v>
      </c>
      <c r="E711" s="2118" t="n">
        <v>0</v>
      </c>
      <c r="G711" s="1740" t="n"/>
      <c r="H711" s="1741" t="inlineStr">
        <is>
          <t>SUBETAPA</t>
        </is>
      </c>
      <c r="I711" s="1742" t="inlineStr">
        <is>
          <t>08.001.004</t>
        </is>
      </c>
      <c r="J711" s="1743" t="inlineStr">
        <is>
          <t>Instalações de proteção e aterramento -SPDA</t>
        </is>
      </c>
      <c r="K711" s="1744" t="n"/>
      <c r="L711" s="1745" t="n"/>
      <c r="M711" s="1745" t="n"/>
      <c r="N711" s="1746" t="n">
        <v>0</v>
      </c>
      <c r="O711" s="1747" t="n"/>
      <c r="P711" s="1720" t="n"/>
    </row>
    <row r="712" hidden="1" outlineLevel="3" ht="13.9" customHeight="1">
      <c r="A712" s="2117" t="n">
        <v>0</v>
      </c>
      <c r="B712" s="2117" t="n">
        <v>8</v>
      </c>
      <c r="C712" s="2117" t="n">
        <v>1</v>
      </c>
      <c r="D712" s="2118" t="n">
        <v>4</v>
      </c>
      <c r="E712" s="2118" t="n">
        <v>1</v>
      </c>
      <c r="G712" s="1790" t="inlineStr">
        <is>
          <t>INSTALAÇÕES PREVENTIVAS</t>
        </is>
      </c>
      <c r="H712" s="1749" t="inlineStr">
        <is>
          <t>SERVIÇO</t>
        </is>
      </c>
      <c r="I712" s="1750" t="inlineStr">
        <is>
          <t>08.001.004.001</t>
        </is>
      </c>
      <c r="J712" s="1751" t="inlineStr">
        <is>
          <t>Instalações de proteção e aterramento -SPDA</t>
        </is>
      </c>
      <c r="K712" s="1752" t="inlineStr">
        <is>
          <t>vb</t>
        </is>
      </c>
      <c r="L712" s="1753" t="n">
        <v>1</v>
      </c>
      <c r="M712" s="1753" t="n">
        <v>0</v>
      </c>
      <c r="N712" s="1754" t="n">
        <v>0</v>
      </c>
      <c r="O712" s="1755" t="inlineStr">
        <is>
          <t>Estimado devido a ausencia de quantitativos</t>
        </is>
      </c>
      <c r="P712" s="1721" t="inlineStr">
        <is>
          <t>Pendente</t>
        </is>
      </c>
    </row>
    <row r="713" hidden="1" outlineLevel="2" ht="13.9" customHeight="1">
      <c r="A713" s="2117" t="n">
        <v>0</v>
      </c>
      <c r="B713" s="2117" t="n">
        <v>8</v>
      </c>
      <c r="C713" s="2117" t="n">
        <v>1</v>
      </c>
      <c r="D713" s="2118" t="n">
        <v>5</v>
      </c>
      <c r="E713" s="2118" t="n">
        <v>0</v>
      </c>
      <c r="G713" s="1740" t="n"/>
      <c r="H713" s="1741" t="inlineStr">
        <is>
          <t>SUBETAPA</t>
        </is>
      </c>
      <c r="I713" s="1742" t="inlineStr">
        <is>
          <t>08.001.005</t>
        </is>
      </c>
      <c r="J713" s="1743" t="inlineStr">
        <is>
          <t>Central de Alarmes</t>
        </is>
      </c>
      <c r="K713" s="1744" t="n"/>
      <c r="L713" s="1745" t="n"/>
      <c r="M713" s="1745" t="n"/>
      <c r="N713" s="1746" t="n">
        <v>5602.797</v>
      </c>
      <c r="O713" s="1747" t="n"/>
      <c r="P713" s="1720" t="n"/>
    </row>
    <row r="714" hidden="1" outlineLevel="3" ht="13.9" customHeight="1">
      <c r="A714" s="2117" t="n">
        <v>0</v>
      </c>
      <c r="B714" s="2117" t="n">
        <v>8</v>
      </c>
      <c r="C714" s="2117" t="n">
        <v>1</v>
      </c>
      <c r="D714" s="2118" t="n">
        <v>5</v>
      </c>
      <c r="E714" s="2118" t="n">
        <v>1</v>
      </c>
      <c r="G714" s="1790" t="inlineStr">
        <is>
          <t>INSTALAÇÕES PREVENTIVAS</t>
        </is>
      </c>
      <c r="H714" s="1749" t="inlineStr">
        <is>
          <t>SERVIÇO</t>
        </is>
      </c>
      <c r="I714" s="1750" t="inlineStr">
        <is>
          <t>08.001.005.001</t>
        </is>
      </c>
      <c r="J714" s="1751" t="inlineStr">
        <is>
          <t>Central de Alarmes</t>
        </is>
      </c>
      <c r="K714" s="1752" t="inlineStr">
        <is>
          <t>vb</t>
        </is>
      </c>
      <c r="L714" s="1753" t="n">
        <v>1</v>
      </c>
      <c r="M714" s="1753" t="n">
        <v>5602.797</v>
      </c>
      <c r="N714" s="1754" t="n">
        <v>5602.797</v>
      </c>
      <c r="O714" s="1755" t="inlineStr">
        <is>
          <t>quantidades confirme quantidades do projetista</t>
        </is>
      </c>
      <c r="P714" s="1721" t="inlineStr">
        <is>
          <t>Pendente</t>
        </is>
      </c>
    </row>
    <row r="715" hidden="1" outlineLevel="2" ht="13.9" customHeight="1">
      <c r="A715" s="2117" t="n">
        <v>0</v>
      </c>
      <c r="B715" s="2117" t="n">
        <v>8</v>
      </c>
      <c r="C715" s="2117" t="n">
        <v>1</v>
      </c>
      <c r="D715" s="2118" t="n">
        <v>6</v>
      </c>
      <c r="E715" s="2118" t="n">
        <v>0</v>
      </c>
      <c r="G715" s="1740" t="n"/>
      <c r="H715" s="1741" t="inlineStr">
        <is>
          <t>SUBETAPA</t>
        </is>
      </c>
      <c r="I715" s="1742" t="inlineStr">
        <is>
          <t>08.001.006</t>
        </is>
      </c>
      <c r="J715" s="1743" t="inlineStr">
        <is>
          <t>Sistema de bombas</t>
        </is>
      </c>
      <c r="K715" s="1744" t="n"/>
      <c r="L715" s="1745" t="n"/>
      <c r="M715" s="1745" t="n"/>
      <c r="N715" s="1746" t="n">
        <v>0</v>
      </c>
      <c r="O715" s="1747" t="n"/>
      <c r="P715" s="1720" t="n"/>
    </row>
    <row r="716" hidden="1" outlineLevel="3" ht="13.9" customHeight="1">
      <c r="A716" s="2117" t="n">
        <v>0</v>
      </c>
      <c r="B716" s="2117" t="n">
        <v>8</v>
      </c>
      <c r="C716" s="2117" t="n">
        <v>1</v>
      </c>
      <c r="D716" s="2118" t="n">
        <v>6</v>
      </c>
      <c r="E716" s="2118" t="n">
        <v>1</v>
      </c>
      <c r="G716" s="1790" t="inlineStr">
        <is>
          <t>INSTALAÇÕES PREVENTIVAS</t>
        </is>
      </c>
      <c r="H716" s="1749" t="inlineStr">
        <is>
          <t>SERVIÇO</t>
        </is>
      </c>
      <c r="I716" s="1750" t="inlineStr">
        <is>
          <t>08.001.006.001</t>
        </is>
      </c>
      <c r="J716" s="1751" t="inlineStr">
        <is>
          <t>Sistema de bombas</t>
        </is>
      </c>
      <c r="K716" s="1752" t="inlineStr">
        <is>
          <t>vb</t>
        </is>
      </c>
      <c r="L716" s="1753" t="n">
        <v>1</v>
      </c>
      <c r="M716" s="1753" t="n">
        <v>0</v>
      </c>
      <c r="N716" s="1754" t="n">
        <v>0</v>
      </c>
      <c r="O716" s="1755" t="inlineStr">
        <is>
          <t>quantidades confirme quantidades do projetista</t>
        </is>
      </c>
      <c r="P716" s="1721" t="inlineStr">
        <is>
          <t>Pendente</t>
        </is>
      </c>
    </row>
    <row r="717" hidden="1" outlineLevel="2" ht="13.9" customHeight="1">
      <c r="A717" s="2117" t="n">
        <v>0</v>
      </c>
      <c r="B717" s="2117" t="n">
        <v>8</v>
      </c>
      <c r="C717" s="2117" t="n">
        <v>1</v>
      </c>
      <c r="D717" s="2118" t="n">
        <v>7</v>
      </c>
      <c r="E717" s="2118" t="n">
        <v>0</v>
      </c>
      <c r="G717" s="1740" t="n"/>
      <c r="H717" s="1741" t="inlineStr">
        <is>
          <t>SUBETAPA</t>
        </is>
      </c>
      <c r="I717" s="1742" t="inlineStr">
        <is>
          <t>08.001.007</t>
        </is>
      </c>
      <c r="J717" s="1743" t="inlineStr">
        <is>
          <t>Mão de obra</t>
        </is>
      </c>
      <c r="K717" s="1744" t="n"/>
      <c r="L717" s="1745" t="n"/>
      <c r="M717" s="1745" t="n"/>
      <c r="N717" s="1746" t="n">
        <v>3922.9</v>
      </c>
      <c r="O717" s="1747" t="n"/>
      <c r="P717" s="1720" t="n"/>
    </row>
    <row r="718" hidden="1" outlineLevel="3" ht="13.9" customHeight="1">
      <c r="A718" s="2117" t="n">
        <v>0</v>
      </c>
      <c r="B718" s="2117" t="n">
        <v>8</v>
      </c>
      <c r="C718" s="2117" t="n">
        <v>1</v>
      </c>
      <c r="D718" s="2118" t="n">
        <v>7</v>
      </c>
      <c r="E718" s="2118" t="n">
        <v>1</v>
      </c>
      <c r="G718" s="1790" t="inlineStr">
        <is>
          <t>INSTALAÇÕES PREVENTIVAS</t>
        </is>
      </c>
      <c r="H718" s="1749" t="inlineStr">
        <is>
          <t>SERVIÇO</t>
        </is>
      </c>
      <c r="I718" s="1750" t="inlineStr">
        <is>
          <t>08.001.007.001</t>
        </is>
      </c>
      <c r="J718" s="1751" t="inlineStr">
        <is>
          <t>Mão de obra PPCI</t>
        </is>
      </c>
      <c r="K718" s="1752" t="inlineStr">
        <is>
          <t>vb</t>
        </is>
      </c>
      <c r="L718" s="1753" t="n">
        <v>1</v>
      </c>
      <c r="M718" s="1753" t="n">
        <v>3922.9</v>
      </c>
      <c r="N718" s="1754" t="n">
        <v>3922.9</v>
      </c>
      <c r="O718" s="1765" t="inlineStr">
        <is>
          <t>Considerado R$5/m²</t>
        </is>
      </c>
      <c r="P718" s="1721" t="inlineStr">
        <is>
          <t>Pendente</t>
        </is>
      </c>
    </row>
    <row r="719" hidden="1" outlineLevel="1" ht="13.9" customHeight="1">
      <c r="A719" s="2117" t="n">
        <v>0</v>
      </c>
      <c r="B719" s="2117" t="n">
        <v>8</v>
      </c>
      <c r="C719" s="2117" t="n">
        <v>2</v>
      </c>
      <c r="D719" s="2118" t="n">
        <v>0</v>
      </c>
      <c r="E719" s="2118" t="n">
        <v>1</v>
      </c>
      <c r="G719" s="1733" t="n"/>
      <c r="H719" s="1734" t="inlineStr">
        <is>
          <t>ETAPA</t>
        </is>
      </c>
      <c r="I719" s="1735" t="inlineStr">
        <is>
          <t>08.002</t>
        </is>
      </c>
      <c r="J719" s="1736" t="inlineStr">
        <is>
          <t>INSTALAÇÕES PREVENTIVAS - Mezanino G1</t>
        </is>
      </c>
      <c r="K719" s="1737" t="n"/>
      <c r="L719" s="1738" t="n"/>
      <c r="M719" s="1738" t="n"/>
      <c r="N719" s="1739" t="n">
        <v>138596.635</v>
      </c>
      <c r="O719" s="1722" t="n"/>
      <c r="P719" s="1725" t="n"/>
    </row>
    <row r="720" hidden="1" outlineLevel="2" ht="13.9" customHeight="1">
      <c r="A720" s="2117" t="n">
        <v>0</v>
      </c>
      <c r="B720" s="2117" t="n">
        <v>8</v>
      </c>
      <c r="C720" s="2117" t="n">
        <v>2</v>
      </c>
      <c r="D720" s="2118" t="n">
        <v>1</v>
      </c>
      <c r="E720" s="2118" t="n">
        <v>0</v>
      </c>
      <c r="G720" s="1740" t="n"/>
      <c r="H720" s="1741" t="inlineStr">
        <is>
          <t>SUBETAPA</t>
        </is>
      </c>
      <c r="I720" s="1742" t="inlineStr">
        <is>
          <t>08.002.001</t>
        </is>
      </c>
      <c r="J720" s="1743" t="inlineStr">
        <is>
          <t>Hidrantes</t>
        </is>
      </c>
      <c r="K720" s="1744" t="n"/>
      <c r="L720" s="1745" t="n"/>
      <c r="M720" s="1745" t="n"/>
      <c r="N720" s="1746" t="n">
        <v>6776</v>
      </c>
      <c r="O720" s="1747" t="n"/>
      <c r="P720" s="1720" t="n"/>
    </row>
    <row r="721" hidden="1" outlineLevel="3" ht="13.9" customHeight="1">
      <c r="A721" s="2117" t="n">
        <v>0</v>
      </c>
      <c r="B721" s="2117" t="n">
        <v>8</v>
      </c>
      <c r="C721" s="2117" t="n">
        <v>2</v>
      </c>
      <c r="D721" s="2118" t="n">
        <v>1</v>
      </c>
      <c r="E721" s="2118" t="n">
        <v>1</v>
      </c>
      <c r="G721" s="1790" t="inlineStr">
        <is>
          <t>INSTALAÇÕES PREVENTIVAS</t>
        </is>
      </c>
      <c r="H721" s="1749" t="inlineStr">
        <is>
          <t>SERVIÇO</t>
        </is>
      </c>
      <c r="I721" s="1750" t="inlineStr">
        <is>
          <t>08.002.001.001</t>
        </is>
      </c>
      <c r="J721" s="1751" t="inlineStr">
        <is>
          <t>Hidrantes</t>
        </is>
      </c>
      <c r="K721" s="1752" t="inlineStr">
        <is>
          <t>vb</t>
        </is>
      </c>
      <c r="L721" s="1753" t="n">
        <v>1</v>
      </c>
      <c r="M721" s="1753" t="n">
        <v>6776</v>
      </c>
      <c r="N721" s="1754" t="n">
        <v>6776</v>
      </c>
      <c r="O721" s="1755" t="inlineStr">
        <is>
          <t>quantidades confirme quantidades do projetista</t>
        </is>
      </c>
      <c r="P721" s="1721" t="inlineStr">
        <is>
          <t>Pendente</t>
        </is>
      </c>
    </row>
    <row r="722" hidden="1" outlineLevel="2" ht="13.9" customHeight="1">
      <c r="A722" s="2117" t="n">
        <v>0</v>
      </c>
      <c r="B722" s="2117" t="n">
        <v>8</v>
      </c>
      <c r="C722" s="2117" t="n">
        <v>2</v>
      </c>
      <c r="D722" s="2118" t="n">
        <v>2</v>
      </c>
      <c r="E722" s="2118" t="n">
        <v>0</v>
      </c>
      <c r="G722" s="1740" t="n"/>
      <c r="H722" s="1741" t="inlineStr">
        <is>
          <t>SUBETAPA</t>
        </is>
      </c>
      <c r="I722" s="1742" t="inlineStr">
        <is>
          <t>08.002.002</t>
        </is>
      </c>
      <c r="J722" s="1743" t="inlineStr">
        <is>
          <t xml:space="preserve">Sinalização de emergência e extintores </t>
        </is>
      </c>
      <c r="K722" s="1744" t="n"/>
      <c r="L722" s="1745" t="n"/>
      <c r="M722" s="1745" t="n"/>
      <c r="N722" s="1746" t="n">
        <v>2329.23</v>
      </c>
      <c r="O722" s="1747" t="n"/>
      <c r="P722" s="1720" t="n"/>
    </row>
    <row r="723" hidden="1" outlineLevel="3" ht="13.9" customHeight="1">
      <c r="A723" s="2117" t="n">
        <v>0</v>
      </c>
      <c r="B723" s="2117" t="n">
        <v>8</v>
      </c>
      <c r="C723" s="2117" t="n">
        <v>2</v>
      </c>
      <c r="D723" s="2118" t="n">
        <v>2</v>
      </c>
      <c r="E723" s="2118" t="n">
        <v>1</v>
      </c>
      <c r="G723" s="1790" t="inlineStr">
        <is>
          <t>INSTALAÇÕES PREVENTIVAS</t>
        </is>
      </c>
      <c r="H723" s="1749" t="inlineStr">
        <is>
          <t>SERVIÇO</t>
        </is>
      </c>
      <c r="I723" s="1750" t="inlineStr">
        <is>
          <t>08.002.002.001</t>
        </is>
      </c>
      <c r="J723" s="1751" t="inlineStr">
        <is>
          <t xml:space="preserve">Sinalização de emergência e extintores </t>
        </is>
      </c>
      <c r="K723" s="1752" t="inlineStr">
        <is>
          <t>vb</t>
        </is>
      </c>
      <c r="L723" s="1753" t="n">
        <v>1</v>
      </c>
      <c r="M723" s="1753" t="n">
        <v>2329.23</v>
      </c>
      <c r="N723" s="1754" t="n">
        <v>2329.23</v>
      </c>
      <c r="O723" s="1755" t="inlineStr">
        <is>
          <t>quantidades confirme quantidades do projetista</t>
        </is>
      </c>
      <c r="P723" s="1721" t="inlineStr">
        <is>
          <t>Pendente</t>
        </is>
      </c>
    </row>
    <row r="724" hidden="1" outlineLevel="2" ht="13.9" customHeight="1">
      <c r="A724" s="2117" t="n">
        <v>0</v>
      </c>
      <c r="B724" s="2117" t="n">
        <v>8</v>
      </c>
      <c r="C724" s="2117" t="n">
        <v>2</v>
      </c>
      <c r="D724" s="2118" t="n">
        <v>3</v>
      </c>
      <c r="E724" s="2118" t="n">
        <v>0</v>
      </c>
      <c r="G724" s="1740" t="n"/>
      <c r="H724" s="1741" t="inlineStr">
        <is>
          <t>SUBETAPA</t>
        </is>
      </c>
      <c r="I724" s="1742" t="inlineStr">
        <is>
          <t>08.002.003</t>
        </is>
      </c>
      <c r="J724" s="1743" t="inlineStr">
        <is>
          <t>Sprinkles</t>
        </is>
      </c>
      <c r="K724" s="1744" t="n"/>
      <c r="L724" s="1745" t="n"/>
      <c r="M724" s="1745" t="n"/>
      <c r="N724" s="1746" t="n">
        <v>116980.6</v>
      </c>
      <c r="O724" s="1747" t="n"/>
      <c r="P724" s="1720" t="n"/>
    </row>
    <row r="725" hidden="1" outlineLevel="3" ht="13.9" customHeight="1">
      <c r="A725" s="2117" t="n">
        <v>0</v>
      </c>
      <c r="B725" s="2117" t="n">
        <v>8</v>
      </c>
      <c r="C725" s="2117" t="n">
        <v>2</v>
      </c>
      <c r="D725" s="2118" t="n">
        <v>3</v>
      </c>
      <c r="E725" s="2118" t="n">
        <v>1</v>
      </c>
      <c r="G725" s="1790" t="inlineStr">
        <is>
          <t>INSTALAÇÕES PREVENTIVAS</t>
        </is>
      </c>
      <c r="H725" s="1749" t="inlineStr">
        <is>
          <t>SERVIÇO</t>
        </is>
      </c>
      <c r="I725" s="1750" t="inlineStr">
        <is>
          <t>08.002.003.001</t>
        </is>
      </c>
      <c r="J725" s="1751" t="inlineStr">
        <is>
          <t>Sprinkles</t>
        </is>
      </c>
      <c r="K725" s="1752" t="inlineStr">
        <is>
          <t>vb</t>
        </is>
      </c>
      <c r="L725" s="1753" t="n">
        <v>1</v>
      </c>
      <c r="M725" s="1753" t="n">
        <v>116980.6</v>
      </c>
      <c r="N725" s="1754" t="n">
        <v>116980.6</v>
      </c>
      <c r="O725" s="1755" t="inlineStr">
        <is>
          <t>quantidades confirme quantidades do projetista</t>
        </is>
      </c>
      <c r="P725" s="1721" t="inlineStr">
        <is>
          <t>Pendente</t>
        </is>
      </c>
    </row>
    <row r="726" hidden="1" outlineLevel="2" ht="13.9" customHeight="1">
      <c r="A726" s="2117" t="n">
        <v>0</v>
      </c>
      <c r="B726" s="2117" t="n">
        <v>8</v>
      </c>
      <c r="C726" s="2117" t="n">
        <v>2</v>
      </c>
      <c r="D726" s="2118" t="n">
        <v>4</v>
      </c>
      <c r="E726" s="2118" t="n">
        <v>0</v>
      </c>
      <c r="G726" s="1740" t="n"/>
      <c r="H726" s="1741" t="inlineStr">
        <is>
          <t>SUBETAPA</t>
        </is>
      </c>
      <c r="I726" s="1742" t="inlineStr">
        <is>
          <t>08.002.004</t>
        </is>
      </c>
      <c r="J726" s="1743" t="inlineStr">
        <is>
          <t>Instalações de proteção e aterramento -SPDA</t>
        </is>
      </c>
      <c r="K726" s="1744" t="n"/>
      <c r="L726" s="1745" t="n"/>
      <c r="M726" s="1745" t="n"/>
      <c r="N726" s="1746" t="n">
        <v>0</v>
      </c>
      <c r="O726" s="1747" t="n"/>
      <c r="P726" s="1720" t="n"/>
    </row>
    <row r="727" hidden="1" outlineLevel="3" ht="13.9" customHeight="1">
      <c r="A727" s="2117" t="n">
        <v>0</v>
      </c>
      <c r="B727" s="2117" t="n">
        <v>8</v>
      </c>
      <c r="C727" s="2117" t="n">
        <v>2</v>
      </c>
      <c r="D727" s="2118" t="n">
        <v>4</v>
      </c>
      <c r="E727" s="2118" t="n">
        <v>1</v>
      </c>
      <c r="G727" s="1790" t="inlineStr">
        <is>
          <t>INSTALAÇÕES PREVENTIVAS</t>
        </is>
      </c>
      <c r="H727" s="1749" t="inlineStr">
        <is>
          <t>SERVIÇO</t>
        </is>
      </c>
      <c r="I727" s="1750" t="inlineStr">
        <is>
          <t>08.002.004.001</t>
        </is>
      </c>
      <c r="J727" s="1751" t="inlineStr">
        <is>
          <t>Instalações de proteção e aterramento -SPDA</t>
        </is>
      </c>
      <c r="K727" s="1752" t="inlineStr">
        <is>
          <t>vb</t>
        </is>
      </c>
      <c r="L727" s="1753" t="n">
        <v>1</v>
      </c>
      <c r="M727" s="1753" t="n"/>
      <c r="N727" s="1754" t="n">
        <v>0</v>
      </c>
      <c r="O727" s="1755" t="inlineStr">
        <is>
          <t>Estimado devido a ausencia de quantitativos</t>
        </is>
      </c>
      <c r="P727" s="1721" t="inlineStr">
        <is>
          <t>Pendente</t>
        </is>
      </c>
    </row>
    <row r="728" hidden="1" outlineLevel="2" ht="13.9" customHeight="1">
      <c r="A728" s="2117" t="n">
        <v>0</v>
      </c>
      <c r="B728" s="2117" t="n">
        <v>8</v>
      </c>
      <c r="C728" s="2117" t="n">
        <v>2</v>
      </c>
      <c r="D728" s="2118" t="n">
        <v>5</v>
      </c>
      <c r="E728" s="2118" t="n">
        <v>0</v>
      </c>
      <c r="G728" s="1740" t="n"/>
      <c r="H728" s="1741" t="inlineStr">
        <is>
          <t>SUBETAPA</t>
        </is>
      </c>
      <c r="I728" s="1742" t="inlineStr">
        <is>
          <t>08.002.005</t>
        </is>
      </c>
      <c r="J728" s="1743" t="inlineStr">
        <is>
          <t>Central de Alarmes</t>
        </is>
      </c>
      <c r="K728" s="1744" t="n"/>
      <c r="L728" s="1745" t="n"/>
      <c r="M728" s="1745" t="n"/>
      <c r="N728" s="1746" t="n">
        <v>8505.055</v>
      </c>
      <c r="O728" s="1747" t="n"/>
      <c r="P728" s="1720" t="n"/>
    </row>
    <row r="729" hidden="1" outlineLevel="3" ht="13.9" customHeight="1">
      <c r="A729" s="2117" t="n">
        <v>0</v>
      </c>
      <c r="B729" s="2117" t="n">
        <v>8</v>
      </c>
      <c r="C729" s="2117" t="n">
        <v>2</v>
      </c>
      <c r="D729" s="2118" t="n">
        <v>5</v>
      </c>
      <c r="E729" s="2118" t="n">
        <v>1</v>
      </c>
      <c r="G729" s="1790" t="inlineStr">
        <is>
          <t>INSTALAÇÕES PREVENTIVAS</t>
        </is>
      </c>
      <c r="H729" s="1749" t="inlineStr">
        <is>
          <t>SERVIÇO</t>
        </is>
      </c>
      <c r="I729" s="1750" t="inlineStr">
        <is>
          <t>08.002.005.001</t>
        </is>
      </c>
      <c r="J729" s="1751" t="inlineStr">
        <is>
          <t>Central de Alarmes</t>
        </is>
      </c>
      <c r="K729" s="1752" t="inlineStr">
        <is>
          <t>vb</t>
        </is>
      </c>
      <c r="L729" s="1753" t="n">
        <v>1</v>
      </c>
      <c r="M729" s="1753" t="n">
        <v>8505.055</v>
      </c>
      <c r="N729" s="1754" t="n">
        <v>8505.055</v>
      </c>
      <c r="O729" s="1755" t="inlineStr">
        <is>
          <t>quantidades confirme quantidades do projetista</t>
        </is>
      </c>
      <c r="P729" s="1721" t="inlineStr">
        <is>
          <t>Pendente</t>
        </is>
      </c>
    </row>
    <row r="730" hidden="1" outlineLevel="2" ht="13.9" customHeight="1">
      <c r="A730" s="2117" t="n">
        <v>0</v>
      </c>
      <c r="B730" s="2117" t="n">
        <v>8</v>
      </c>
      <c r="C730" s="2117" t="n">
        <v>2</v>
      </c>
      <c r="D730" s="2118" t="n">
        <v>6</v>
      </c>
      <c r="E730" s="2118" t="n">
        <v>0</v>
      </c>
      <c r="G730" s="1740" t="n"/>
      <c r="H730" s="1741" t="inlineStr">
        <is>
          <t>SUBETAPA</t>
        </is>
      </c>
      <c r="I730" s="1742" t="inlineStr">
        <is>
          <t>08.002.006</t>
        </is>
      </c>
      <c r="J730" s="1743" t="inlineStr">
        <is>
          <t>Sistema de bombas</t>
        </is>
      </c>
      <c r="K730" s="1744" t="n"/>
      <c r="L730" s="1745" t="n"/>
      <c r="M730" s="1745" t="n"/>
      <c r="N730" s="1746" t="n">
        <v>0</v>
      </c>
      <c r="O730" s="1747" t="n"/>
      <c r="P730" s="1720" t="n"/>
    </row>
    <row r="731" hidden="1" outlineLevel="3" ht="13.9" customHeight="1">
      <c r="A731" s="2117" t="n">
        <v>0</v>
      </c>
      <c r="B731" s="2117" t="n">
        <v>8</v>
      </c>
      <c r="C731" s="2117" t="n">
        <v>2</v>
      </c>
      <c r="D731" s="2118" t="n">
        <v>6</v>
      </c>
      <c r="E731" s="2118" t="n">
        <v>1</v>
      </c>
      <c r="G731" s="1790" t="inlineStr">
        <is>
          <t>INSTALAÇÕES PREVENTIVAS</t>
        </is>
      </c>
      <c r="H731" s="1749" t="inlineStr">
        <is>
          <t>SERVIÇO</t>
        </is>
      </c>
      <c r="I731" s="1750" t="inlineStr">
        <is>
          <t>08.002.006.001</t>
        </is>
      </c>
      <c r="J731" s="1751" t="inlineStr">
        <is>
          <t>Sistema de bombas</t>
        </is>
      </c>
      <c r="K731" s="1752" t="inlineStr">
        <is>
          <t>vb</t>
        </is>
      </c>
      <c r="L731" s="1753" t="n">
        <v>1</v>
      </c>
      <c r="M731" s="1753" t="n"/>
      <c r="N731" s="1754" t="n">
        <v>0</v>
      </c>
      <c r="O731" s="1755" t="inlineStr">
        <is>
          <t>quantidades confirme quantidades do projetista</t>
        </is>
      </c>
      <c r="P731" s="1721" t="inlineStr">
        <is>
          <t>Pendente</t>
        </is>
      </c>
    </row>
    <row r="732" hidden="1" outlineLevel="2" ht="13.9" customHeight="1">
      <c r="A732" s="2117" t="n">
        <v>0</v>
      </c>
      <c r="B732" s="2117" t="n">
        <v>8</v>
      </c>
      <c r="C732" s="2117" t="n">
        <v>2</v>
      </c>
      <c r="D732" s="2118" t="n">
        <v>7</v>
      </c>
      <c r="E732" s="2118" t="n">
        <v>0</v>
      </c>
      <c r="G732" s="1740" t="n"/>
      <c r="H732" s="1741" t="inlineStr">
        <is>
          <t>SUBETAPA</t>
        </is>
      </c>
      <c r="I732" s="1742" t="inlineStr">
        <is>
          <t>08.002.007</t>
        </is>
      </c>
      <c r="J732" s="1743" t="inlineStr">
        <is>
          <t>Mão de obra</t>
        </is>
      </c>
      <c r="K732" s="1744" t="n"/>
      <c r="L732" s="1745" t="n"/>
      <c r="M732" s="1745" t="n"/>
      <c r="N732" s="1746" t="n">
        <v>4005.75</v>
      </c>
      <c r="O732" s="1747" t="n"/>
      <c r="P732" s="1720" t="n"/>
    </row>
    <row r="733" hidden="1" outlineLevel="3" ht="13.9" customHeight="1">
      <c r="A733" s="2117" t="n">
        <v>0</v>
      </c>
      <c r="B733" s="2117" t="n">
        <v>8</v>
      </c>
      <c r="C733" s="2117" t="n">
        <v>2</v>
      </c>
      <c r="D733" s="2118" t="n">
        <v>7</v>
      </c>
      <c r="E733" s="2118" t="n">
        <v>1</v>
      </c>
      <c r="G733" s="1790" t="inlineStr">
        <is>
          <t>INSTALAÇÕES PREVENTIVAS</t>
        </is>
      </c>
      <c r="H733" s="1749" t="inlineStr">
        <is>
          <t>SERVIÇO</t>
        </is>
      </c>
      <c r="I733" s="1750" t="inlineStr">
        <is>
          <t>08.002.007.001</t>
        </is>
      </c>
      <c r="J733" s="1751" t="inlineStr">
        <is>
          <t>Mão de obra PPCI</t>
        </is>
      </c>
      <c r="K733" s="1752" t="inlineStr">
        <is>
          <t>vb</t>
        </is>
      </c>
      <c r="L733" s="1753" t="n">
        <v>1</v>
      </c>
      <c r="M733" s="1753" t="n">
        <v>4005.75</v>
      </c>
      <c r="N733" s="1754" t="n">
        <v>4005.75</v>
      </c>
      <c r="O733" s="1765" t="inlineStr">
        <is>
          <t>Considerado R$5/m²</t>
        </is>
      </c>
      <c r="P733" s="1721" t="inlineStr">
        <is>
          <t>Pendente</t>
        </is>
      </c>
    </row>
    <row r="734" hidden="1" outlineLevel="1" ht="13.9" customHeight="1">
      <c r="A734" s="2117" t="n">
        <v>0</v>
      </c>
      <c r="B734" s="2117" t="n">
        <v>8</v>
      </c>
      <c r="C734" s="2117" t="n">
        <v>3</v>
      </c>
      <c r="D734" s="2118" t="n">
        <v>0</v>
      </c>
      <c r="E734" s="2118" t="n">
        <v>1</v>
      </c>
      <c r="G734" s="1733" t="n"/>
      <c r="H734" s="1734" t="inlineStr">
        <is>
          <t>ETAPA</t>
        </is>
      </c>
      <c r="I734" s="1735" t="inlineStr">
        <is>
          <t>08.003</t>
        </is>
      </c>
      <c r="J734" s="1736" t="inlineStr">
        <is>
          <t>INSTALAÇÕES PREVENTIVAS - G2</t>
        </is>
      </c>
      <c r="K734" s="1737" t="n"/>
      <c r="L734" s="1738" t="n"/>
      <c r="M734" s="1738" t="n"/>
      <c r="N734" s="1739" t="n">
        <v>206623.302</v>
      </c>
      <c r="O734" s="1722" t="n"/>
      <c r="P734" s="1725" t="n"/>
    </row>
    <row r="735" hidden="1" outlineLevel="2" ht="13.9" customHeight="1">
      <c r="A735" s="2117" t="n">
        <v>0</v>
      </c>
      <c r="B735" s="2117" t="n">
        <v>8</v>
      </c>
      <c r="C735" s="2117" t="n">
        <v>3</v>
      </c>
      <c r="D735" s="2118" t="n">
        <v>1</v>
      </c>
      <c r="E735" s="2118" t="n">
        <v>0</v>
      </c>
      <c r="G735" s="1740" t="n"/>
      <c r="H735" s="1741" t="inlineStr">
        <is>
          <t>SUBETAPA</t>
        </is>
      </c>
      <c r="I735" s="1742" t="inlineStr">
        <is>
          <t>08.003.001</t>
        </is>
      </c>
      <c r="J735" s="1743" t="inlineStr">
        <is>
          <t>Hidrantes</t>
        </is>
      </c>
      <c r="K735" s="1744" t="n"/>
      <c r="L735" s="1745" t="n"/>
      <c r="M735" s="1745" t="n"/>
      <c r="N735" s="1746" t="n">
        <v>5453.5</v>
      </c>
      <c r="O735" s="1747" t="n"/>
      <c r="P735" s="1720" t="n"/>
    </row>
    <row r="736" hidden="1" outlineLevel="3" ht="13.9" customHeight="1">
      <c r="A736" s="2117" t="n">
        <v>0</v>
      </c>
      <c r="B736" s="2117" t="n">
        <v>8</v>
      </c>
      <c r="C736" s="2117" t="n">
        <v>3</v>
      </c>
      <c r="D736" s="2118" t="n">
        <v>1</v>
      </c>
      <c r="E736" s="2118" t="n">
        <v>1</v>
      </c>
      <c r="G736" s="1790" t="inlineStr">
        <is>
          <t>INSTALAÇÕES PREVENTIVAS</t>
        </is>
      </c>
      <c r="H736" s="1749" t="inlineStr">
        <is>
          <t>SERVIÇO</t>
        </is>
      </c>
      <c r="I736" s="1750" t="inlineStr">
        <is>
          <t>08.003.001.001</t>
        </is>
      </c>
      <c r="J736" s="1751" t="inlineStr">
        <is>
          <t>Hidrantes</t>
        </is>
      </c>
      <c r="K736" s="1752" t="inlineStr">
        <is>
          <t>vb</t>
        </is>
      </c>
      <c r="L736" s="1753" t="n">
        <v>1</v>
      </c>
      <c r="M736" s="1753" t="n">
        <v>5453.5</v>
      </c>
      <c r="N736" s="1754" t="n">
        <v>5453.5</v>
      </c>
      <c r="O736" s="1755" t="inlineStr">
        <is>
          <t>quantidades confirme quantidades do projetista</t>
        </is>
      </c>
      <c r="P736" s="1721" t="inlineStr">
        <is>
          <t>Pendente</t>
        </is>
      </c>
    </row>
    <row r="737" hidden="1" outlineLevel="2" ht="13.9" customHeight="1">
      <c r="A737" s="2117" t="n">
        <v>0</v>
      </c>
      <c r="B737" s="2117" t="n">
        <v>8</v>
      </c>
      <c r="C737" s="2117" t="n">
        <v>3</v>
      </c>
      <c r="D737" s="2118" t="n">
        <v>2</v>
      </c>
      <c r="E737" s="2118" t="n">
        <v>0</v>
      </c>
      <c r="G737" s="1740" t="n"/>
      <c r="H737" s="1741" t="inlineStr">
        <is>
          <t>SUBETAPA</t>
        </is>
      </c>
      <c r="I737" s="1742" t="inlineStr">
        <is>
          <t>08.003.002</t>
        </is>
      </c>
      <c r="J737" s="1743" t="inlineStr">
        <is>
          <t xml:space="preserve">Sinalização de emergência e extintores </t>
        </is>
      </c>
      <c r="K737" s="1744" t="n"/>
      <c r="L737" s="1745" t="n"/>
      <c r="M737" s="1745" t="n"/>
      <c r="N737" s="1746" t="n">
        <v>2033.84</v>
      </c>
      <c r="O737" s="1747" t="n"/>
      <c r="P737" s="1720" t="n"/>
    </row>
    <row r="738" hidden="1" outlineLevel="3" ht="13.9" customHeight="1">
      <c r="A738" s="2117" t="n">
        <v>0</v>
      </c>
      <c r="B738" s="2117" t="n">
        <v>8</v>
      </c>
      <c r="C738" s="2117" t="n">
        <v>3</v>
      </c>
      <c r="D738" s="2118" t="n">
        <v>2</v>
      </c>
      <c r="E738" s="2118" t="n">
        <v>1</v>
      </c>
      <c r="G738" s="1790" t="inlineStr">
        <is>
          <t>INSTALAÇÕES PREVENTIVAS</t>
        </is>
      </c>
      <c r="H738" s="1749" t="inlineStr">
        <is>
          <t>SERVIÇO</t>
        </is>
      </c>
      <c r="I738" s="1750" t="inlineStr">
        <is>
          <t>08.003.002.001</t>
        </is>
      </c>
      <c r="J738" s="1751" t="inlineStr">
        <is>
          <t xml:space="preserve">Sinalização de emergência e extintores </t>
        </is>
      </c>
      <c r="K738" s="1752" t="inlineStr">
        <is>
          <t>vb</t>
        </is>
      </c>
      <c r="L738" s="1753" t="n">
        <v>1</v>
      </c>
      <c r="M738" s="1753" t="n">
        <v>2033.84</v>
      </c>
      <c r="N738" s="1754" t="n">
        <v>2033.84</v>
      </c>
      <c r="O738" s="1755" t="inlineStr">
        <is>
          <t>quantidades confirme quantidades do projetista</t>
        </is>
      </c>
      <c r="P738" s="1721" t="inlineStr">
        <is>
          <t>Pendente</t>
        </is>
      </c>
    </row>
    <row r="739" hidden="1" outlineLevel="2" ht="13.9" customHeight="1">
      <c r="A739" s="2117" t="n">
        <v>0</v>
      </c>
      <c r="B739" s="2117" t="n">
        <v>8</v>
      </c>
      <c r="C739" s="2117" t="n">
        <v>3</v>
      </c>
      <c r="D739" s="2118" t="n">
        <v>3</v>
      </c>
      <c r="E739" s="2118" t="n">
        <v>0</v>
      </c>
      <c r="G739" s="1740" t="n"/>
      <c r="H739" s="1741" t="inlineStr">
        <is>
          <t>SUBETAPA</t>
        </is>
      </c>
      <c r="I739" s="1742" t="inlineStr">
        <is>
          <t>08.003.003</t>
        </is>
      </c>
      <c r="J739" s="1743" t="inlineStr">
        <is>
          <t>Sprinkles</t>
        </is>
      </c>
      <c r="K739" s="1744" t="n"/>
      <c r="L739" s="1745" t="n"/>
      <c r="M739" s="1745" t="n"/>
      <c r="N739" s="1746" t="n">
        <v>187329.8</v>
      </c>
      <c r="O739" s="1747" t="n"/>
      <c r="P739" s="1720" t="n"/>
    </row>
    <row r="740" hidden="1" outlineLevel="3" ht="13.9" customHeight="1">
      <c r="A740" s="2117" t="n">
        <v>0</v>
      </c>
      <c r="B740" s="2117" t="n">
        <v>8</v>
      </c>
      <c r="C740" s="2117" t="n">
        <v>3</v>
      </c>
      <c r="D740" s="2118" t="n">
        <v>3</v>
      </c>
      <c r="E740" s="2118" t="n">
        <v>1</v>
      </c>
      <c r="G740" s="1790" t="inlineStr">
        <is>
          <t>INSTALAÇÕES PREVENTIVAS</t>
        </is>
      </c>
      <c r="H740" s="1749" t="inlineStr">
        <is>
          <t>SERVIÇO</t>
        </is>
      </c>
      <c r="I740" s="1750" t="inlineStr">
        <is>
          <t>08.003.003.001</t>
        </is>
      </c>
      <c r="J740" s="1751" t="inlineStr">
        <is>
          <t>Sprinkles</t>
        </is>
      </c>
      <c r="K740" s="1752" t="inlineStr">
        <is>
          <t>vb</t>
        </is>
      </c>
      <c r="L740" s="1753" t="n">
        <v>1</v>
      </c>
      <c r="M740" s="1753" t="n">
        <v>187329.8</v>
      </c>
      <c r="N740" s="1754" t="n">
        <v>187329.8</v>
      </c>
      <c r="O740" s="1755" t="inlineStr">
        <is>
          <t>quantidades confirme quantidades do projetista</t>
        </is>
      </c>
      <c r="P740" s="1721" t="inlineStr">
        <is>
          <t>Pendente</t>
        </is>
      </c>
    </row>
    <row r="741" hidden="1" outlineLevel="2" ht="13.9" customHeight="1">
      <c r="A741" s="2117" t="n">
        <v>0</v>
      </c>
      <c r="B741" s="2117" t="n">
        <v>8</v>
      </c>
      <c r="C741" s="2117" t="n">
        <v>3</v>
      </c>
      <c r="D741" s="2118" t="n">
        <v>4</v>
      </c>
      <c r="E741" s="2118" t="n">
        <v>0</v>
      </c>
      <c r="G741" s="1740" t="n"/>
      <c r="H741" s="1741" t="inlineStr">
        <is>
          <t>SUBETAPA</t>
        </is>
      </c>
      <c r="I741" s="1742" t="inlineStr">
        <is>
          <t>08.003.004</t>
        </is>
      </c>
      <c r="J741" s="1743" t="inlineStr">
        <is>
          <t>Instalações de proteção e aterramento -SPDA</t>
        </is>
      </c>
      <c r="K741" s="1744" t="n"/>
      <c r="L741" s="1745" t="n"/>
      <c r="M741" s="1745" t="n"/>
      <c r="N741" s="1746" t="n">
        <v>0</v>
      </c>
      <c r="O741" s="1747" t="n"/>
      <c r="P741" s="1720" t="n"/>
    </row>
    <row r="742" hidden="1" outlineLevel="3" ht="13.9" customHeight="1">
      <c r="A742" s="2117" t="n">
        <v>0</v>
      </c>
      <c r="B742" s="2117" t="n">
        <v>8</v>
      </c>
      <c r="C742" s="2117" t="n">
        <v>3</v>
      </c>
      <c r="D742" s="2118" t="n">
        <v>4</v>
      </c>
      <c r="E742" s="2118" t="n">
        <v>1</v>
      </c>
      <c r="G742" s="1790" t="inlineStr">
        <is>
          <t>INSTALAÇÕES PREVENTIVAS</t>
        </is>
      </c>
      <c r="H742" s="1749" t="inlineStr">
        <is>
          <t>SERVIÇO</t>
        </is>
      </c>
      <c r="I742" s="1750" t="inlineStr">
        <is>
          <t>08.003.004.001</t>
        </is>
      </c>
      <c r="J742" s="1751" t="inlineStr">
        <is>
          <t>Instalações de proteção e aterramento -SPDA</t>
        </is>
      </c>
      <c r="K742" s="1752" t="inlineStr">
        <is>
          <t>vb</t>
        </is>
      </c>
      <c r="L742" s="1753" t="n">
        <v>1</v>
      </c>
      <c r="M742" s="1753" t="n">
        <v>0</v>
      </c>
      <c r="N742" s="1754" t="n">
        <v>0</v>
      </c>
      <c r="O742" s="1755" t="inlineStr">
        <is>
          <t>Estimado devido a ausencia de quantitativos</t>
        </is>
      </c>
      <c r="P742" s="1721" t="inlineStr">
        <is>
          <t>Pendente</t>
        </is>
      </c>
    </row>
    <row r="743" hidden="1" outlineLevel="2" ht="13.9" customHeight="1">
      <c r="A743" s="2117" t="n">
        <v>0</v>
      </c>
      <c r="B743" s="2117" t="n">
        <v>8</v>
      </c>
      <c r="C743" s="2117" t="n">
        <v>3</v>
      </c>
      <c r="D743" s="2118" t="n">
        <v>5</v>
      </c>
      <c r="E743" s="2118" t="n">
        <v>0</v>
      </c>
      <c r="G743" s="1740" t="n"/>
      <c r="H743" s="1741" t="inlineStr">
        <is>
          <t>SUBETAPA</t>
        </is>
      </c>
      <c r="I743" s="1742" t="inlineStr">
        <is>
          <t>08.003.005</t>
        </is>
      </c>
      <c r="J743" s="1743" t="inlineStr">
        <is>
          <t>Central de Alarmes</t>
        </is>
      </c>
      <c r="K743" s="1744" t="n"/>
      <c r="L743" s="1745" t="n"/>
      <c r="M743" s="1745" t="n"/>
      <c r="N743" s="1746" t="n">
        <v>7413.662</v>
      </c>
      <c r="O743" s="1747" t="n"/>
      <c r="P743" s="1720" t="n"/>
    </row>
    <row r="744" hidden="1" outlineLevel="3" ht="13.9" customHeight="1">
      <c r="A744" s="2117" t="n">
        <v>0</v>
      </c>
      <c r="B744" s="2117" t="n">
        <v>8</v>
      </c>
      <c r="C744" s="2117" t="n">
        <v>3</v>
      </c>
      <c r="D744" s="2118" t="n">
        <v>5</v>
      </c>
      <c r="E744" s="2118" t="n">
        <v>1</v>
      </c>
      <c r="G744" s="1790" t="inlineStr">
        <is>
          <t>INSTALAÇÕES PREVENTIVAS</t>
        </is>
      </c>
      <c r="H744" s="1749" t="inlineStr">
        <is>
          <t>SERVIÇO</t>
        </is>
      </c>
      <c r="I744" s="1750" t="inlineStr">
        <is>
          <t>08.003.005.001</t>
        </is>
      </c>
      <c r="J744" s="1751" t="inlineStr">
        <is>
          <t>Central de Alarmes</t>
        </is>
      </c>
      <c r="K744" s="1752" t="inlineStr">
        <is>
          <t>vb</t>
        </is>
      </c>
      <c r="L744" s="1753" t="n">
        <v>1</v>
      </c>
      <c r="M744" s="1753" t="n">
        <v>7413.662000000001</v>
      </c>
      <c r="N744" s="1754" t="n">
        <v>7413.662</v>
      </c>
      <c r="O744" s="1755" t="inlineStr">
        <is>
          <t>quantidades confirme quantidades do projetista</t>
        </is>
      </c>
      <c r="P744" s="1721" t="inlineStr">
        <is>
          <t>Pendente</t>
        </is>
      </c>
    </row>
    <row r="745" hidden="1" outlineLevel="2" ht="13.9" customHeight="1">
      <c r="A745" s="2117" t="n">
        <v>0</v>
      </c>
      <c r="B745" s="2117" t="n">
        <v>8</v>
      </c>
      <c r="C745" s="2117" t="n">
        <v>3</v>
      </c>
      <c r="D745" s="2118" t="n">
        <v>6</v>
      </c>
      <c r="E745" s="2118" t="n">
        <v>0</v>
      </c>
      <c r="G745" s="1740" t="n"/>
      <c r="H745" s="1741" t="inlineStr">
        <is>
          <t>SUBETAPA</t>
        </is>
      </c>
      <c r="I745" s="1742" t="inlineStr">
        <is>
          <t>08.003.006</t>
        </is>
      </c>
      <c r="J745" s="1743" t="inlineStr">
        <is>
          <t>Sistema de bombas</t>
        </is>
      </c>
      <c r="K745" s="1744" t="n"/>
      <c r="L745" s="1745" t="n"/>
      <c r="M745" s="1745" t="n"/>
      <c r="N745" s="1746" t="n">
        <v>0</v>
      </c>
      <c r="O745" s="1747" t="n"/>
      <c r="P745" s="1720" t="n"/>
    </row>
    <row r="746" hidden="1" outlineLevel="3" ht="13.9" customHeight="1">
      <c r="A746" s="2117" t="n">
        <v>0</v>
      </c>
      <c r="B746" s="2117" t="n">
        <v>8</v>
      </c>
      <c r="C746" s="2117" t="n">
        <v>3</v>
      </c>
      <c r="D746" s="2118" t="n">
        <v>6</v>
      </c>
      <c r="E746" s="2118" t="n">
        <v>1</v>
      </c>
      <c r="G746" s="1790" t="inlineStr">
        <is>
          <t>INSTALAÇÕES PREVENTIVAS</t>
        </is>
      </c>
      <c r="H746" s="1749" t="inlineStr">
        <is>
          <t>SERVIÇO</t>
        </is>
      </c>
      <c r="I746" s="1750" t="inlineStr">
        <is>
          <t>08.003.006.001</t>
        </is>
      </c>
      <c r="J746" s="1751" t="inlineStr">
        <is>
          <t>Sistema de bombas</t>
        </is>
      </c>
      <c r="K746" s="1752" t="inlineStr">
        <is>
          <t>vb</t>
        </is>
      </c>
      <c r="L746" s="1753" t="n">
        <v>1</v>
      </c>
      <c r="M746" s="1753" t="n">
        <v>0</v>
      </c>
      <c r="N746" s="1754" t="n">
        <v>0</v>
      </c>
      <c r="O746" s="1755" t="inlineStr">
        <is>
          <t>quantidades confirme quantidades do projetista</t>
        </is>
      </c>
      <c r="P746" s="1721" t="inlineStr">
        <is>
          <t>Pendente</t>
        </is>
      </c>
    </row>
    <row r="747" hidden="1" outlineLevel="2" ht="13.9" customHeight="1">
      <c r="A747" s="2117" t="n">
        <v>0</v>
      </c>
      <c r="B747" s="2117" t="n">
        <v>8</v>
      </c>
      <c r="C747" s="2117" t="n">
        <v>3</v>
      </c>
      <c r="D747" s="2118" t="n">
        <v>7</v>
      </c>
      <c r="E747" s="2118" t="n">
        <v>0</v>
      </c>
      <c r="G747" s="1740" t="n"/>
      <c r="H747" s="1741" t="inlineStr">
        <is>
          <t>SUBETAPA</t>
        </is>
      </c>
      <c r="I747" s="1742" t="inlineStr">
        <is>
          <t>08.003.007</t>
        </is>
      </c>
      <c r="J747" s="1743" t="inlineStr">
        <is>
          <t>Mão de obra</t>
        </is>
      </c>
      <c r="K747" s="1744" t="n"/>
      <c r="L747" s="1745" t="n"/>
      <c r="M747" s="1745" t="n"/>
      <c r="N747" s="1746" t="n">
        <v>4392.5</v>
      </c>
      <c r="O747" s="1747" t="n"/>
      <c r="P747" s="1720" t="n"/>
    </row>
    <row r="748" hidden="1" outlineLevel="3" ht="13.9" customHeight="1">
      <c r="A748" s="2117" t="n">
        <v>0</v>
      </c>
      <c r="B748" s="2117" t="n">
        <v>8</v>
      </c>
      <c r="C748" s="2117" t="n">
        <v>3</v>
      </c>
      <c r="D748" s="2118" t="n">
        <v>7</v>
      </c>
      <c r="E748" s="2118" t="n">
        <v>1</v>
      </c>
      <c r="G748" s="1790" t="inlineStr">
        <is>
          <t>INSTALAÇÕES PREVENTIVAS</t>
        </is>
      </c>
      <c r="H748" s="1749" t="inlineStr">
        <is>
          <t>SERVIÇO</t>
        </is>
      </c>
      <c r="I748" s="1750" t="inlineStr">
        <is>
          <t>08.003.007.001</t>
        </is>
      </c>
      <c r="J748" s="1751" t="inlineStr">
        <is>
          <t>Mão de obra PPCI</t>
        </is>
      </c>
      <c r="K748" s="1752" t="inlineStr">
        <is>
          <t>vb</t>
        </is>
      </c>
      <c r="L748" s="1753" t="n">
        <v>1</v>
      </c>
      <c r="M748" s="1753" t="n">
        <v>4392.5</v>
      </c>
      <c r="N748" s="1754" t="n">
        <v>4392.5</v>
      </c>
      <c r="O748" s="1765" t="inlineStr">
        <is>
          <t>Considerado R$5/m²</t>
        </is>
      </c>
      <c r="P748" s="1721" t="inlineStr">
        <is>
          <t>Pendente</t>
        </is>
      </c>
    </row>
    <row r="749" hidden="1" outlineLevel="1" ht="13.9" customHeight="1">
      <c r="A749" s="2117" t="n">
        <v>0</v>
      </c>
      <c r="B749" s="2117" t="n">
        <v>8</v>
      </c>
      <c r="C749" s="2117" t="n">
        <v>4</v>
      </c>
      <c r="D749" s="2118" t="n">
        <v>0</v>
      </c>
      <c r="E749" s="2118" t="n">
        <v>1</v>
      </c>
      <c r="G749" s="1733" t="n"/>
      <c r="H749" s="1734" t="inlineStr">
        <is>
          <t>ETAPA</t>
        </is>
      </c>
      <c r="I749" s="1735" t="inlineStr">
        <is>
          <t>08.004</t>
        </is>
      </c>
      <c r="J749" s="1736" t="inlineStr">
        <is>
          <t>INSTALAÇÕES PREVENTIVAS - Mezanino G2</t>
        </is>
      </c>
      <c r="K749" s="1737" t="n"/>
      <c r="L749" s="1738" t="n"/>
      <c r="M749" s="1738" t="n"/>
      <c r="N749" s="1739" t="n">
        <v>219050.859</v>
      </c>
      <c r="O749" s="1722" t="n"/>
      <c r="P749" s="1725" t="n"/>
    </row>
    <row r="750" hidden="1" outlineLevel="2" ht="13.9" customHeight="1">
      <c r="A750" s="2117" t="n">
        <v>0</v>
      </c>
      <c r="B750" s="2117" t="n">
        <v>8</v>
      </c>
      <c r="C750" s="2117" t="n">
        <v>4</v>
      </c>
      <c r="D750" s="2118" t="n">
        <v>1</v>
      </c>
      <c r="E750" s="2118" t="n">
        <v>0</v>
      </c>
      <c r="G750" s="1740" t="n"/>
      <c r="H750" s="1741" t="inlineStr">
        <is>
          <t>SUBETAPA</t>
        </is>
      </c>
      <c r="I750" s="1742" t="inlineStr">
        <is>
          <t>08.004.001</t>
        </is>
      </c>
      <c r="J750" s="1743" t="inlineStr">
        <is>
          <t>Hidrantes</t>
        </is>
      </c>
      <c r="K750" s="1744" t="n"/>
      <c r="L750" s="1745" t="n"/>
      <c r="M750" s="1745" t="n"/>
      <c r="N750" s="1746" t="n">
        <v>5453.5</v>
      </c>
      <c r="O750" s="1747" t="n"/>
      <c r="P750" s="1720" t="n"/>
    </row>
    <row r="751" hidden="1" outlineLevel="3" ht="13.9" customHeight="1">
      <c r="A751" s="2117" t="n">
        <v>0</v>
      </c>
      <c r="B751" s="2117" t="n">
        <v>8</v>
      </c>
      <c r="C751" s="2117" t="n">
        <v>4</v>
      </c>
      <c r="D751" s="2118" t="n">
        <v>1</v>
      </c>
      <c r="E751" s="2118" t="n">
        <v>1</v>
      </c>
      <c r="G751" s="1790" t="inlineStr">
        <is>
          <t>INSTALAÇÕES PREVENTIVAS</t>
        </is>
      </c>
      <c r="H751" s="1749" t="inlineStr">
        <is>
          <t>SERVIÇO</t>
        </is>
      </c>
      <c r="I751" s="1750" t="inlineStr">
        <is>
          <t>08.004.001.001</t>
        </is>
      </c>
      <c r="J751" s="1751" t="inlineStr">
        <is>
          <t>Hidrantes</t>
        </is>
      </c>
      <c r="K751" s="1752" t="inlineStr">
        <is>
          <t>vb</t>
        </is>
      </c>
      <c r="L751" s="1753" t="n">
        <v>1</v>
      </c>
      <c r="M751" s="1753" t="n">
        <v>5453.5</v>
      </c>
      <c r="N751" s="1754" t="n">
        <v>5453.5</v>
      </c>
      <c r="O751" s="1755" t="inlineStr">
        <is>
          <t>quantidades confirme quantidades do projetista</t>
        </is>
      </c>
      <c r="P751" s="1721" t="inlineStr">
        <is>
          <t>Pendente</t>
        </is>
      </c>
    </row>
    <row r="752" hidden="1" outlineLevel="2" ht="13.9" customHeight="1">
      <c r="A752" s="2117" t="n">
        <v>0</v>
      </c>
      <c r="B752" s="2117" t="n">
        <v>8</v>
      </c>
      <c r="C752" s="2117" t="n">
        <v>4</v>
      </c>
      <c r="D752" s="2118" t="n">
        <v>2</v>
      </c>
      <c r="E752" s="2118" t="n">
        <v>0</v>
      </c>
      <c r="G752" s="1740" t="n"/>
      <c r="H752" s="1741" t="inlineStr">
        <is>
          <t>SUBETAPA</t>
        </is>
      </c>
      <c r="I752" s="1742" t="inlineStr">
        <is>
          <t>08.004.002</t>
        </is>
      </c>
      <c r="J752" s="1743" t="inlineStr">
        <is>
          <t xml:space="preserve">Sinalização de emergência e extintores </t>
        </is>
      </c>
      <c r="K752" s="1744" t="n"/>
      <c r="L752" s="1745" t="n"/>
      <c r="M752" s="1745" t="n"/>
      <c r="N752" s="1746" t="n">
        <v>2028.04</v>
      </c>
      <c r="O752" s="1747" t="n"/>
      <c r="P752" s="1720" t="n"/>
    </row>
    <row r="753" hidden="1" outlineLevel="3" ht="13.9" customHeight="1">
      <c r="A753" s="2117" t="n">
        <v>0</v>
      </c>
      <c r="B753" s="2117" t="n">
        <v>8</v>
      </c>
      <c r="C753" s="2117" t="n">
        <v>4</v>
      </c>
      <c r="D753" s="2118" t="n">
        <v>2</v>
      </c>
      <c r="E753" s="2118" t="n">
        <v>1</v>
      </c>
      <c r="G753" s="1790" t="inlineStr">
        <is>
          <t>INSTALAÇÕES PREVENTIVAS</t>
        </is>
      </c>
      <c r="H753" s="1749" t="inlineStr">
        <is>
          <t>SERVIÇO</t>
        </is>
      </c>
      <c r="I753" s="1750" t="inlineStr">
        <is>
          <t>08.004.002.001</t>
        </is>
      </c>
      <c r="J753" s="1751" t="inlineStr">
        <is>
          <t xml:space="preserve">Sinalização de emergência e extintores </t>
        </is>
      </c>
      <c r="K753" s="1752" t="inlineStr">
        <is>
          <t>vb</t>
        </is>
      </c>
      <c r="L753" s="1753" t="n">
        <v>1</v>
      </c>
      <c r="M753" s="1753" t="n">
        <v>2028.04</v>
      </c>
      <c r="N753" s="1754" t="n">
        <v>2028.04</v>
      </c>
      <c r="O753" s="1755" t="inlineStr">
        <is>
          <t>quantidades confirme quantidades do projetista</t>
        </is>
      </c>
      <c r="P753" s="1721" t="inlineStr">
        <is>
          <t>Pendente</t>
        </is>
      </c>
    </row>
    <row r="754" hidden="1" outlineLevel="2" ht="13.9" customHeight="1">
      <c r="A754" s="2117" t="n">
        <v>0</v>
      </c>
      <c r="B754" s="2117" t="n">
        <v>8</v>
      </c>
      <c r="C754" s="2117" t="n">
        <v>4</v>
      </c>
      <c r="D754" s="2118" t="n">
        <v>3</v>
      </c>
      <c r="E754" s="2118" t="n">
        <v>0</v>
      </c>
      <c r="G754" s="1740" t="n"/>
      <c r="H754" s="1741" t="inlineStr">
        <is>
          <t>SUBETAPA</t>
        </is>
      </c>
      <c r="I754" s="1742" t="inlineStr">
        <is>
          <t>08.004.003</t>
        </is>
      </c>
      <c r="J754" s="1743" t="inlineStr">
        <is>
          <t>Sprinkles</t>
        </is>
      </c>
      <c r="K754" s="1744" t="n"/>
      <c r="L754" s="1745" t="n"/>
      <c r="M754" s="1745" t="n"/>
      <c r="N754" s="1746" t="n">
        <v>199625.6</v>
      </c>
      <c r="O754" s="1747" t="n"/>
      <c r="P754" s="1720" t="n"/>
    </row>
    <row r="755" hidden="1" outlineLevel="3" ht="13.9" customHeight="1">
      <c r="A755" s="2117" t="n">
        <v>0</v>
      </c>
      <c r="B755" s="2117" t="n">
        <v>8</v>
      </c>
      <c r="C755" s="2117" t="n">
        <v>4</v>
      </c>
      <c r="D755" s="2118" t="n">
        <v>3</v>
      </c>
      <c r="E755" s="2118" t="n">
        <v>1</v>
      </c>
      <c r="G755" s="1790" t="inlineStr">
        <is>
          <t>INSTALAÇÕES PREVENTIVAS</t>
        </is>
      </c>
      <c r="H755" s="1749" t="inlineStr">
        <is>
          <t>SERVIÇO</t>
        </is>
      </c>
      <c r="I755" s="1750" t="inlineStr">
        <is>
          <t>08.004.003.001</t>
        </is>
      </c>
      <c r="J755" s="1751" t="inlineStr">
        <is>
          <t>Sprinkles</t>
        </is>
      </c>
      <c r="K755" s="1752" t="inlineStr">
        <is>
          <t>vb</t>
        </is>
      </c>
      <c r="L755" s="1753" t="n">
        <v>1</v>
      </c>
      <c r="M755" s="1753" t="n">
        <v>199625.6</v>
      </c>
      <c r="N755" s="1754" t="n">
        <v>199625.6</v>
      </c>
      <c r="O755" s="1755" t="inlineStr">
        <is>
          <t>quantidades confirme quantidades do projetista</t>
        </is>
      </c>
      <c r="P755" s="1721" t="inlineStr">
        <is>
          <t>Pendente</t>
        </is>
      </c>
    </row>
    <row r="756" hidden="1" outlineLevel="2" ht="13.9" customHeight="1">
      <c r="A756" s="2117" t="n">
        <v>0</v>
      </c>
      <c r="B756" s="2117" t="n">
        <v>8</v>
      </c>
      <c r="C756" s="2117" t="n">
        <v>4</v>
      </c>
      <c r="D756" s="2118" t="n">
        <v>4</v>
      </c>
      <c r="E756" s="2118" t="n">
        <v>0</v>
      </c>
      <c r="G756" s="1740" t="n"/>
      <c r="H756" s="1741" t="inlineStr">
        <is>
          <t>SUBETAPA</t>
        </is>
      </c>
      <c r="I756" s="1742" t="inlineStr">
        <is>
          <t>08.004.004</t>
        </is>
      </c>
      <c r="J756" s="1743" t="inlineStr">
        <is>
          <t>Instalações de proteção e aterramento -SPDA</t>
        </is>
      </c>
      <c r="K756" s="1744" t="n"/>
      <c r="L756" s="1745" t="n"/>
      <c r="M756" s="1745" t="n"/>
      <c r="N756" s="1746" t="n">
        <v>0</v>
      </c>
      <c r="O756" s="1747" t="n"/>
      <c r="P756" s="1720" t="n"/>
    </row>
    <row r="757" hidden="1" outlineLevel="3" ht="13.9" customHeight="1">
      <c r="A757" s="2117" t="n">
        <v>0</v>
      </c>
      <c r="B757" s="2117" t="n">
        <v>8</v>
      </c>
      <c r="C757" s="2117" t="n">
        <v>4</v>
      </c>
      <c r="D757" s="2118" t="n">
        <v>4</v>
      </c>
      <c r="E757" s="2118" t="n">
        <v>1</v>
      </c>
      <c r="G757" s="1790" t="inlineStr">
        <is>
          <t>INSTALAÇÕES PREVENTIVAS</t>
        </is>
      </c>
      <c r="H757" s="1749" t="inlineStr">
        <is>
          <t>SERVIÇO</t>
        </is>
      </c>
      <c r="I757" s="1750" t="inlineStr">
        <is>
          <t>08.004.004.001</t>
        </is>
      </c>
      <c r="J757" s="1751" t="inlineStr">
        <is>
          <t>Instalações de proteção e aterramento -SPDA</t>
        </is>
      </c>
      <c r="K757" s="1752" t="inlineStr">
        <is>
          <t>vb</t>
        </is>
      </c>
      <c r="L757" s="1753" t="n">
        <v>1</v>
      </c>
      <c r="M757" s="1753" t="n"/>
      <c r="N757" s="1754" t="n">
        <v>0</v>
      </c>
      <c r="O757" s="1755" t="inlineStr">
        <is>
          <t>Estimado devido a ausencia de quantitativos</t>
        </is>
      </c>
      <c r="P757" s="1721" t="inlineStr">
        <is>
          <t>Pendente</t>
        </is>
      </c>
    </row>
    <row r="758" hidden="1" outlineLevel="2" ht="13.9" customHeight="1">
      <c r="A758" s="2117" t="n">
        <v>0</v>
      </c>
      <c r="B758" s="2117" t="n">
        <v>8</v>
      </c>
      <c r="C758" s="2117" t="n">
        <v>4</v>
      </c>
      <c r="D758" s="2118" t="n">
        <v>5</v>
      </c>
      <c r="E758" s="2118" t="n">
        <v>0</v>
      </c>
      <c r="G758" s="1740" t="n"/>
      <c r="H758" s="1741" t="inlineStr">
        <is>
          <t>SUBETAPA</t>
        </is>
      </c>
      <c r="I758" s="1742" t="inlineStr">
        <is>
          <t>08.004.005</t>
        </is>
      </c>
      <c r="J758" s="1743" t="inlineStr">
        <is>
          <t>Central de Alarmes</t>
        </is>
      </c>
      <c r="K758" s="1744" t="n"/>
      <c r="L758" s="1745" t="n"/>
      <c r="M758" s="1745" t="n"/>
      <c r="N758" s="1746" t="n">
        <v>7551.219</v>
      </c>
      <c r="O758" s="1747" t="n"/>
      <c r="P758" s="1720" t="n"/>
    </row>
    <row r="759" hidden="1" outlineLevel="3" ht="13.9" customHeight="1">
      <c r="A759" s="2117" t="n">
        <v>0</v>
      </c>
      <c r="B759" s="2117" t="n">
        <v>8</v>
      </c>
      <c r="C759" s="2117" t="n">
        <v>4</v>
      </c>
      <c r="D759" s="2118" t="n">
        <v>5</v>
      </c>
      <c r="E759" s="2118" t="n">
        <v>1</v>
      </c>
      <c r="G759" s="1790" t="inlineStr">
        <is>
          <t>INSTALAÇÕES PREVENTIVAS</t>
        </is>
      </c>
      <c r="H759" s="1749" t="inlineStr">
        <is>
          <t>SERVIÇO</t>
        </is>
      </c>
      <c r="I759" s="1750" t="inlineStr">
        <is>
          <t>08.004.005.001</t>
        </is>
      </c>
      <c r="J759" s="1751" t="inlineStr">
        <is>
          <t>Central de Alarmes</t>
        </is>
      </c>
      <c r="K759" s="1752" t="inlineStr">
        <is>
          <t>vb</t>
        </is>
      </c>
      <c r="L759" s="1753" t="n">
        <v>1</v>
      </c>
      <c r="M759" s="1753" t="n">
        <v>7551.218999999998</v>
      </c>
      <c r="N759" s="1754" t="n">
        <v>7551.219</v>
      </c>
      <c r="O759" s="1755" t="inlineStr">
        <is>
          <t>quantidades confirme quantidades do projetista</t>
        </is>
      </c>
      <c r="P759" s="1721" t="inlineStr">
        <is>
          <t>Pendente</t>
        </is>
      </c>
    </row>
    <row r="760" hidden="1" outlineLevel="2" ht="13.9" customHeight="1">
      <c r="A760" s="2117" t="n">
        <v>0</v>
      </c>
      <c r="B760" s="2117" t="n">
        <v>8</v>
      </c>
      <c r="C760" s="2117" t="n">
        <v>4</v>
      </c>
      <c r="D760" s="2118" t="n">
        <v>6</v>
      </c>
      <c r="E760" s="2118" t="n">
        <v>0</v>
      </c>
      <c r="G760" s="1740" t="n"/>
      <c r="H760" s="1741" t="inlineStr">
        <is>
          <t>SUBETAPA</t>
        </is>
      </c>
      <c r="I760" s="1742" t="inlineStr">
        <is>
          <t>08.004.006</t>
        </is>
      </c>
      <c r="J760" s="1743" t="inlineStr">
        <is>
          <t>Sistema de bombas</t>
        </is>
      </c>
      <c r="K760" s="1744" t="n"/>
      <c r="L760" s="1745" t="n"/>
      <c r="M760" s="1745" t="n"/>
      <c r="N760" s="1746" t="n">
        <v>0</v>
      </c>
      <c r="O760" s="1747" t="n"/>
      <c r="P760" s="1720" t="n"/>
    </row>
    <row r="761" hidden="1" outlineLevel="3" ht="13.9" customHeight="1">
      <c r="A761" s="2117" t="n">
        <v>0</v>
      </c>
      <c r="B761" s="2117" t="n">
        <v>8</v>
      </c>
      <c r="C761" s="2117" t="n">
        <v>4</v>
      </c>
      <c r="D761" s="2118" t="n">
        <v>6</v>
      </c>
      <c r="E761" s="2118" t="n">
        <v>1</v>
      </c>
      <c r="G761" s="1790" t="inlineStr">
        <is>
          <t>INSTALAÇÕES PREVENTIVAS</t>
        </is>
      </c>
      <c r="H761" s="1749" t="inlineStr">
        <is>
          <t>SERVIÇO</t>
        </is>
      </c>
      <c r="I761" s="1750" t="inlineStr">
        <is>
          <t>08.004.006.001</t>
        </is>
      </c>
      <c r="J761" s="1751" t="inlineStr">
        <is>
          <t>Sistema de bombas</t>
        </is>
      </c>
      <c r="K761" s="1752" t="inlineStr">
        <is>
          <t>vb</t>
        </is>
      </c>
      <c r="L761" s="1753" t="n">
        <v>1</v>
      </c>
      <c r="M761" s="1753" t="n"/>
      <c r="N761" s="1754" t="n">
        <v>0</v>
      </c>
      <c r="O761" s="1755" t="inlineStr">
        <is>
          <t>quantidades confirme quantidades do projetista</t>
        </is>
      </c>
      <c r="P761" s="1721" t="inlineStr">
        <is>
          <t>Pendente</t>
        </is>
      </c>
    </row>
    <row r="762" hidden="1" outlineLevel="2" ht="13.9" customHeight="1">
      <c r="A762" s="2117" t="n">
        <v>0</v>
      </c>
      <c r="B762" s="2117" t="n">
        <v>8</v>
      </c>
      <c r="C762" s="2117" t="n">
        <v>4</v>
      </c>
      <c r="D762" s="2118" t="n">
        <v>7</v>
      </c>
      <c r="E762" s="2118" t="n">
        <v>0</v>
      </c>
      <c r="G762" s="1740" t="n"/>
      <c r="H762" s="1741" t="inlineStr">
        <is>
          <t>SUBETAPA</t>
        </is>
      </c>
      <c r="I762" s="1742" t="inlineStr">
        <is>
          <t>08.004.007</t>
        </is>
      </c>
      <c r="J762" s="1743" t="inlineStr">
        <is>
          <t>Mão de obra</t>
        </is>
      </c>
      <c r="K762" s="1744" t="n"/>
      <c r="L762" s="1745" t="n"/>
      <c r="M762" s="1745" t="n"/>
      <c r="N762" s="1746" t="n">
        <v>4392.5</v>
      </c>
      <c r="O762" s="1747" t="n"/>
      <c r="P762" s="1720" t="n"/>
    </row>
    <row r="763" hidden="1" outlineLevel="3" ht="13.9" customHeight="1">
      <c r="A763" s="2117" t="n">
        <v>0</v>
      </c>
      <c r="B763" s="2117" t="n">
        <v>8</v>
      </c>
      <c r="C763" s="2117" t="n">
        <v>4</v>
      </c>
      <c r="D763" s="2118" t="n">
        <v>7</v>
      </c>
      <c r="E763" s="2118" t="n">
        <v>1</v>
      </c>
      <c r="G763" s="1790" t="inlineStr">
        <is>
          <t>INSTALAÇÕES PREVENTIVAS</t>
        </is>
      </c>
      <c r="H763" s="1749" t="inlineStr">
        <is>
          <t>SERVIÇO</t>
        </is>
      </c>
      <c r="I763" s="1750" t="inlineStr">
        <is>
          <t>08.004.007.001</t>
        </is>
      </c>
      <c r="J763" s="1751" t="inlineStr">
        <is>
          <t>Mão de obra PPCI</t>
        </is>
      </c>
      <c r="K763" s="1752" t="inlineStr">
        <is>
          <t>vb</t>
        </is>
      </c>
      <c r="L763" s="1753" t="n">
        <v>1</v>
      </c>
      <c r="M763" s="1753" t="n">
        <v>4392.5</v>
      </c>
      <c r="N763" s="1754" t="n">
        <v>4392.5</v>
      </c>
      <c r="O763" s="1765" t="inlineStr">
        <is>
          <t>Considerado R$5/m²</t>
        </is>
      </c>
      <c r="P763" s="1721" t="inlineStr">
        <is>
          <t>Pendente</t>
        </is>
      </c>
    </row>
    <row r="764" hidden="1" outlineLevel="1" ht="13.9" customHeight="1">
      <c r="A764" s="2117" t="n">
        <v>0</v>
      </c>
      <c r="B764" s="2117" t="n">
        <v>8</v>
      </c>
      <c r="C764" s="2117" t="n">
        <v>5</v>
      </c>
      <c r="D764" s="2118" t="n">
        <v>0</v>
      </c>
      <c r="E764" s="2118" t="n">
        <v>1</v>
      </c>
      <c r="G764" s="1733" t="n"/>
      <c r="H764" s="1734" t="inlineStr">
        <is>
          <t>ETAPA</t>
        </is>
      </c>
      <c r="I764" s="1735" t="inlineStr">
        <is>
          <t>08.005</t>
        </is>
      </c>
      <c r="J764" s="1736" t="inlineStr">
        <is>
          <t>INSTALAÇÕES PREVENTIVAS - G3</t>
        </is>
      </c>
      <c r="K764" s="1737" t="n"/>
      <c r="L764" s="1738" t="n"/>
      <c r="M764" s="1738" t="n"/>
      <c r="N764" s="1739" t="n">
        <v>228438.611</v>
      </c>
      <c r="O764" s="1722" t="n"/>
      <c r="P764" s="1725" t="n"/>
    </row>
    <row r="765" hidden="1" outlineLevel="2" ht="13.9" customHeight="1">
      <c r="A765" s="2117" t="n">
        <v>0</v>
      </c>
      <c r="B765" s="2117" t="n">
        <v>8</v>
      </c>
      <c r="C765" s="2117" t="n">
        <v>5</v>
      </c>
      <c r="D765" s="2118" t="n">
        <v>1</v>
      </c>
      <c r="E765" s="2118" t="n">
        <v>0</v>
      </c>
      <c r="G765" s="1740" t="n"/>
      <c r="H765" s="1741" t="inlineStr">
        <is>
          <t>SUBETAPA</t>
        </is>
      </c>
      <c r="I765" s="1742" t="inlineStr">
        <is>
          <t>08.005.001</t>
        </is>
      </c>
      <c r="J765" s="1743" t="inlineStr">
        <is>
          <t>Hidrantes</t>
        </is>
      </c>
      <c r="K765" s="1744" t="n"/>
      <c r="L765" s="1745" t="n"/>
      <c r="M765" s="1745" t="n"/>
      <c r="N765" s="1746" t="n">
        <v>18467.89</v>
      </c>
      <c r="O765" s="1747" t="n"/>
      <c r="P765" s="1720" t="n"/>
    </row>
    <row r="766" hidden="1" outlineLevel="3" ht="13.9" customHeight="1">
      <c r="A766" s="2117" t="n">
        <v>0</v>
      </c>
      <c r="B766" s="2117" t="n">
        <v>8</v>
      </c>
      <c r="C766" s="2117" t="n">
        <v>5</v>
      </c>
      <c r="D766" s="2118" t="n">
        <v>1</v>
      </c>
      <c r="E766" s="2118" t="n">
        <v>1</v>
      </c>
      <c r="G766" s="1790" t="inlineStr">
        <is>
          <t>INSTALAÇÕES PREVENTIVAS</t>
        </is>
      </c>
      <c r="H766" s="1749" t="inlineStr">
        <is>
          <t>SERVIÇO</t>
        </is>
      </c>
      <c r="I766" s="1750" t="inlineStr">
        <is>
          <t>08.005.001.001</t>
        </is>
      </c>
      <c r="J766" s="1751" t="inlineStr">
        <is>
          <t>Hidrantes</t>
        </is>
      </c>
      <c r="K766" s="1752" t="inlineStr">
        <is>
          <t>vb</t>
        </is>
      </c>
      <c r="L766" s="1753" t="n">
        <v>1</v>
      </c>
      <c r="M766" s="1753" t="n">
        <v>18467.89</v>
      </c>
      <c r="N766" s="1754" t="n">
        <v>18467.89</v>
      </c>
      <c r="O766" s="1755" t="inlineStr">
        <is>
          <t>quantidades confirme quantidades do projetista</t>
        </is>
      </c>
      <c r="P766" s="1721" t="inlineStr">
        <is>
          <t>Pendente</t>
        </is>
      </c>
    </row>
    <row r="767" hidden="1" outlineLevel="2" ht="13.9" customHeight="1">
      <c r="A767" s="2117" t="n">
        <v>0</v>
      </c>
      <c r="B767" s="2117" t="n">
        <v>8</v>
      </c>
      <c r="C767" s="2117" t="n">
        <v>5</v>
      </c>
      <c r="D767" s="2118" t="n">
        <v>2</v>
      </c>
      <c r="E767" s="2118" t="n">
        <v>0</v>
      </c>
      <c r="G767" s="1740" t="n"/>
      <c r="H767" s="1741" t="inlineStr">
        <is>
          <t>SUBETAPA</t>
        </is>
      </c>
      <c r="I767" s="1742" t="inlineStr">
        <is>
          <t>08.005.002</t>
        </is>
      </c>
      <c r="J767" s="1743" t="inlineStr">
        <is>
          <t xml:space="preserve">Sinalização de emergência e extintores </t>
        </is>
      </c>
      <c r="K767" s="1744" t="n"/>
      <c r="L767" s="1745" t="n"/>
      <c r="M767" s="1745" t="n"/>
      <c r="N767" s="1746" t="n">
        <v>2092.54</v>
      </c>
      <c r="O767" s="1747" t="n"/>
      <c r="P767" s="1720" t="n"/>
    </row>
    <row r="768" hidden="1" outlineLevel="3" ht="13.9" customHeight="1">
      <c r="A768" s="2117" t="n">
        <v>0</v>
      </c>
      <c r="B768" s="2117" t="n">
        <v>8</v>
      </c>
      <c r="C768" s="2117" t="n">
        <v>5</v>
      </c>
      <c r="D768" s="2118" t="n">
        <v>2</v>
      </c>
      <c r="E768" s="2118" t="n">
        <v>1</v>
      </c>
      <c r="G768" s="1790" t="inlineStr">
        <is>
          <t>INSTALAÇÕES PREVENTIVAS</t>
        </is>
      </c>
      <c r="H768" s="1749" t="inlineStr">
        <is>
          <t>SERVIÇO</t>
        </is>
      </c>
      <c r="I768" s="1750" t="inlineStr">
        <is>
          <t>08.005.002.001</t>
        </is>
      </c>
      <c r="J768" s="1751" t="inlineStr">
        <is>
          <t xml:space="preserve">Sinalização de emergência e extintores </t>
        </is>
      </c>
      <c r="K768" s="1752" t="inlineStr">
        <is>
          <t>vb</t>
        </is>
      </c>
      <c r="L768" s="1753" t="n">
        <v>1</v>
      </c>
      <c r="M768" s="1753" t="n">
        <v>2092.54</v>
      </c>
      <c r="N768" s="1754" t="n">
        <v>2092.54</v>
      </c>
      <c r="O768" s="1755" t="inlineStr">
        <is>
          <t>quantidades confirme quantidades do projetista</t>
        </is>
      </c>
      <c r="P768" s="1721" t="inlineStr">
        <is>
          <t>Pendente</t>
        </is>
      </c>
    </row>
    <row r="769" hidden="1" outlineLevel="2" ht="13.9" customHeight="1">
      <c r="A769" s="2117" t="n">
        <v>0</v>
      </c>
      <c r="B769" s="2117" t="n">
        <v>8</v>
      </c>
      <c r="C769" s="2117" t="n">
        <v>5</v>
      </c>
      <c r="D769" s="2118" t="n">
        <v>3</v>
      </c>
      <c r="E769" s="2118" t="n">
        <v>0</v>
      </c>
      <c r="G769" s="1740" t="n"/>
      <c r="H769" s="1741" t="inlineStr">
        <is>
          <t>SUBETAPA</t>
        </is>
      </c>
      <c r="I769" s="1742" t="inlineStr">
        <is>
          <t>08.005.003</t>
        </is>
      </c>
      <c r="J769" s="1743" t="inlineStr">
        <is>
          <t>Sprinkles</t>
        </is>
      </c>
      <c r="K769" s="1744" t="n"/>
      <c r="L769" s="1745" t="n"/>
      <c r="M769" s="1745" t="n"/>
      <c r="N769" s="1746" t="n">
        <v>195429.9</v>
      </c>
      <c r="O769" s="1747" t="n"/>
      <c r="P769" s="1720" t="n"/>
    </row>
    <row r="770" hidden="1" outlineLevel="3" ht="13.9" customHeight="1">
      <c r="A770" s="2117" t="n">
        <v>0</v>
      </c>
      <c r="B770" s="2117" t="n">
        <v>8</v>
      </c>
      <c r="C770" s="2117" t="n">
        <v>5</v>
      </c>
      <c r="D770" s="2118" t="n">
        <v>3</v>
      </c>
      <c r="E770" s="2118" t="n">
        <v>1</v>
      </c>
      <c r="G770" s="1790" t="inlineStr">
        <is>
          <t>INSTALAÇÕES PREVENTIVAS</t>
        </is>
      </c>
      <c r="H770" s="1749" t="inlineStr">
        <is>
          <t>SERVIÇO</t>
        </is>
      </c>
      <c r="I770" s="1750" t="inlineStr">
        <is>
          <t>08.005.003.001</t>
        </is>
      </c>
      <c r="J770" s="1751" t="inlineStr">
        <is>
          <t>Sprinkles</t>
        </is>
      </c>
      <c r="K770" s="1752" t="inlineStr">
        <is>
          <t>vb</t>
        </is>
      </c>
      <c r="L770" s="1753" t="n">
        <v>1</v>
      </c>
      <c r="M770" s="1753" t="n">
        <v>195429.9</v>
      </c>
      <c r="N770" s="1754" t="n">
        <v>195429.9</v>
      </c>
      <c r="O770" s="1755" t="inlineStr">
        <is>
          <t>quantidades confirme quantidades do projetista</t>
        </is>
      </c>
      <c r="P770" s="1721" t="inlineStr">
        <is>
          <t>Pendente</t>
        </is>
      </c>
    </row>
    <row r="771" hidden="1" outlineLevel="2" ht="13.9" customHeight="1">
      <c r="A771" s="2117" t="n">
        <v>0</v>
      </c>
      <c r="B771" s="2117" t="n">
        <v>8</v>
      </c>
      <c r="C771" s="2117" t="n">
        <v>5</v>
      </c>
      <c r="D771" s="2118" t="n">
        <v>4</v>
      </c>
      <c r="E771" s="2118" t="n">
        <v>0</v>
      </c>
      <c r="G771" s="1740" t="n"/>
      <c r="H771" s="1741" t="inlineStr">
        <is>
          <t>SUBETAPA</t>
        </is>
      </c>
      <c r="I771" s="1742" t="inlineStr">
        <is>
          <t>08.005.004</t>
        </is>
      </c>
      <c r="J771" s="1743" t="inlineStr">
        <is>
          <t>Instalações de proteção e aterramento -SPDA</t>
        </is>
      </c>
      <c r="K771" s="1744" t="n"/>
      <c r="L771" s="1745" t="n"/>
      <c r="M771" s="1745" t="n"/>
      <c r="N771" s="1746" t="n">
        <v>0</v>
      </c>
      <c r="O771" s="1747" t="n"/>
      <c r="P771" s="1720" t="n"/>
    </row>
    <row r="772" hidden="1" outlineLevel="3" ht="13.9" customHeight="1">
      <c r="A772" s="2117" t="n">
        <v>0</v>
      </c>
      <c r="B772" s="2117" t="n">
        <v>8</v>
      </c>
      <c r="C772" s="2117" t="n">
        <v>5</v>
      </c>
      <c r="D772" s="2118" t="n">
        <v>4</v>
      </c>
      <c r="E772" s="2118" t="n">
        <v>1</v>
      </c>
      <c r="G772" s="1790" t="inlineStr">
        <is>
          <t>INSTALAÇÕES PREVENTIVAS</t>
        </is>
      </c>
      <c r="H772" s="1749" t="inlineStr">
        <is>
          <t>SERVIÇO</t>
        </is>
      </c>
      <c r="I772" s="1750" t="inlineStr">
        <is>
          <t>08.005.004.001</t>
        </is>
      </c>
      <c r="J772" s="1751" t="inlineStr">
        <is>
          <t>Instalações de proteção e aterramento -SPDA</t>
        </is>
      </c>
      <c r="K772" s="1752" t="inlineStr">
        <is>
          <t>vb</t>
        </is>
      </c>
      <c r="L772" s="1753" t="n">
        <v>1</v>
      </c>
      <c r="M772" s="1753" t="n"/>
      <c r="N772" s="1754" t="n">
        <v>0</v>
      </c>
      <c r="O772" s="1755" t="inlineStr">
        <is>
          <t>Estimado devido a ausencia de quantitativos</t>
        </is>
      </c>
      <c r="P772" s="1721" t="inlineStr">
        <is>
          <t>Pendente</t>
        </is>
      </c>
    </row>
    <row r="773" hidden="1" outlineLevel="2" ht="13.9" customHeight="1">
      <c r="A773" s="2117" t="n">
        <v>0</v>
      </c>
      <c r="B773" s="2117" t="n">
        <v>8</v>
      </c>
      <c r="C773" s="2117" t="n">
        <v>5</v>
      </c>
      <c r="D773" s="2118" t="n">
        <v>5</v>
      </c>
      <c r="E773" s="2118" t="n">
        <v>0</v>
      </c>
      <c r="G773" s="1740" t="n"/>
      <c r="H773" s="1741" t="inlineStr">
        <is>
          <t>SUBETAPA</t>
        </is>
      </c>
      <c r="I773" s="1742" t="inlineStr">
        <is>
          <t>08.005.005</t>
        </is>
      </c>
      <c r="J773" s="1743" t="inlineStr">
        <is>
          <t>Central de Alarmes</t>
        </is>
      </c>
      <c r="K773" s="1744" t="n"/>
      <c r="L773" s="1745" t="n"/>
      <c r="M773" s="1745" t="n"/>
      <c r="N773" s="1746" t="n">
        <v>8055.781</v>
      </c>
      <c r="O773" s="1747" t="n"/>
      <c r="P773" s="1720" t="n"/>
    </row>
    <row r="774" hidden="1" outlineLevel="3" ht="13.9" customHeight="1">
      <c r="A774" s="2117" t="n">
        <v>0</v>
      </c>
      <c r="B774" s="2117" t="n">
        <v>8</v>
      </c>
      <c r="C774" s="2117" t="n">
        <v>5</v>
      </c>
      <c r="D774" s="2118" t="n">
        <v>5</v>
      </c>
      <c r="E774" s="2118" t="n">
        <v>1</v>
      </c>
      <c r="G774" s="1790" t="inlineStr">
        <is>
          <t>INSTALAÇÕES PREVENTIVAS</t>
        </is>
      </c>
      <c r="H774" s="1749" t="inlineStr">
        <is>
          <t>SERVIÇO</t>
        </is>
      </c>
      <c r="I774" s="1750" t="inlineStr">
        <is>
          <t>08.005.005.001</t>
        </is>
      </c>
      <c r="J774" s="1751" t="inlineStr">
        <is>
          <t>Central de Alarmes</t>
        </is>
      </c>
      <c r="K774" s="1752" t="inlineStr">
        <is>
          <t>vb</t>
        </is>
      </c>
      <c r="L774" s="1753" t="n">
        <v>1</v>
      </c>
      <c r="M774" s="1753" t="n">
        <v>8055.781000000001</v>
      </c>
      <c r="N774" s="1754" t="n">
        <v>8055.781</v>
      </c>
      <c r="O774" s="1755" t="inlineStr">
        <is>
          <t>quantidades confirme quantidades do projetista</t>
        </is>
      </c>
      <c r="P774" s="1721" t="inlineStr">
        <is>
          <t>Pendente</t>
        </is>
      </c>
    </row>
    <row r="775" hidden="1" outlineLevel="2" ht="13.9" customHeight="1">
      <c r="A775" s="2117" t="n">
        <v>0</v>
      </c>
      <c r="B775" s="2117" t="n">
        <v>8</v>
      </c>
      <c r="C775" s="2117" t="n">
        <v>5</v>
      </c>
      <c r="D775" s="2118" t="n">
        <v>6</v>
      </c>
      <c r="E775" s="2118" t="n">
        <v>0</v>
      </c>
      <c r="G775" s="1740" t="n"/>
      <c r="H775" s="1741" t="inlineStr">
        <is>
          <t>SUBETAPA</t>
        </is>
      </c>
      <c r="I775" s="1742" t="inlineStr">
        <is>
          <t>08.005.006</t>
        </is>
      </c>
      <c r="J775" s="1743" t="inlineStr">
        <is>
          <t>Sistema de bombas</t>
        </is>
      </c>
      <c r="K775" s="1744" t="n"/>
      <c r="L775" s="1745" t="n"/>
      <c r="M775" s="1745" t="n"/>
      <c r="N775" s="1746" t="n">
        <v>0</v>
      </c>
      <c r="O775" s="1747" t="n"/>
      <c r="P775" s="1720" t="n"/>
    </row>
    <row r="776" hidden="1" outlineLevel="3" ht="13.9" customHeight="1">
      <c r="A776" s="2117" t="n">
        <v>0</v>
      </c>
      <c r="B776" s="2117" t="n">
        <v>8</v>
      </c>
      <c r="C776" s="2117" t="n">
        <v>5</v>
      </c>
      <c r="D776" s="2118" t="n">
        <v>6</v>
      </c>
      <c r="E776" s="2118" t="n">
        <v>1</v>
      </c>
      <c r="G776" s="1790" t="inlineStr">
        <is>
          <t>INSTALAÇÕES PREVENTIVAS</t>
        </is>
      </c>
      <c r="H776" s="1749" t="inlineStr">
        <is>
          <t>SERVIÇO</t>
        </is>
      </c>
      <c r="I776" s="1750" t="inlineStr">
        <is>
          <t>08.005.006.001</t>
        </is>
      </c>
      <c r="J776" s="1751" t="inlineStr">
        <is>
          <t>Sistema de bombas</t>
        </is>
      </c>
      <c r="K776" s="1752" t="inlineStr">
        <is>
          <t>vb</t>
        </is>
      </c>
      <c r="L776" s="1753" t="n">
        <v>1</v>
      </c>
      <c r="M776" s="1753" t="n"/>
      <c r="N776" s="1754" t="n">
        <v>0</v>
      </c>
      <c r="O776" s="1755" t="inlineStr">
        <is>
          <t>quantidades confirme quantidades do projetista</t>
        </is>
      </c>
      <c r="P776" s="1721" t="inlineStr">
        <is>
          <t>Pendente</t>
        </is>
      </c>
    </row>
    <row r="777" hidden="1" outlineLevel="2" ht="13.9" customHeight="1">
      <c r="A777" s="2117" t="n">
        <v>0</v>
      </c>
      <c r="B777" s="2117" t="n">
        <v>8</v>
      </c>
      <c r="C777" s="2117" t="n">
        <v>5</v>
      </c>
      <c r="D777" s="2118" t="n">
        <v>7</v>
      </c>
      <c r="E777" s="2118" t="n">
        <v>0</v>
      </c>
      <c r="G777" s="1740" t="n"/>
      <c r="H777" s="1741" t="inlineStr">
        <is>
          <t>SUBETAPA</t>
        </is>
      </c>
      <c r="I777" s="1742" t="inlineStr">
        <is>
          <t>08.005.007</t>
        </is>
      </c>
      <c r="J777" s="1743" t="inlineStr">
        <is>
          <t>Mão de obra</t>
        </is>
      </c>
      <c r="K777" s="1744" t="n"/>
      <c r="L777" s="1745" t="n"/>
      <c r="M777" s="1745" t="n"/>
      <c r="N777" s="1746" t="n">
        <v>4392.5</v>
      </c>
      <c r="O777" s="1747" t="n"/>
      <c r="P777" s="1720" t="n"/>
    </row>
    <row r="778" hidden="1" outlineLevel="3" ht="13.9" customHeight="1">
      <c r="A778" s="2117" t="n">
        <v>0</v>
      </c>
      <c r="B778" s="2117" t="n">
        <v>8</v>
      </c>
      <c r="C778" s="2117" t="n">
        <v>5</v>
      </c>
      <c r="D778" s="2118" t="n">
        <v>7</v>
      </c>
      <c r="E778" s="2118" t="n">
        <v>1</v>
      </c>
      <c r="G778" s="1790" t="inlineStr">
        <is>
          <t>INSTALAÇÕES PREVENTIVAS</t>
        </is>
      </c>
      <c r="H778" s="1749" t="inlineStr">
        <is>
          <t>SERVIÇO</t>
        </is>
      </c>
      <c r="I778" s="1750" t="inlineStr">
        <is>
          <t>08.005.007.001</t>
        </is>
      </c>
      <c r="J778" s="1751" t="inlineStr">
        <is>
          <t>Mão de obra PPCI</t>
        </is>
      </c>
      <c r="K778" s="1752" t="inlineStr">
        <is>
          <t>vb</t>
        </is>
      </c>
      <c r="L778" s="1753" t="n">
        <v>1</v>
      </c>
      <c r="M778" s="1753" t="n">
        <v>4392.5</v>
      </c>
      <c r="N778" s="1754" t="n">
        <v>4392.5</v>
      </c>
      <c r="O778" s="1765" t="inlineStr">
        <is>
          <t>Considerado R$5/m²</t>
        </is>
      </c>
      <c r="P778" s="1721" t="inlineStr">
        <is>
          <t>Pendente</t>
        </is>
      </c>
    </row>
    <row r="779" hidden="1" outlineLevel="1" ht="13.9" customHeight="1">
      <c r="A779" s="2117" t="n">
        <v>0</v>
      </c>
      <c r="B779" s="2117" t="n">
        <v>8</v>
      </c>
      <c r="C779" s="2117" t="n">
        <v>6</v>
      </c>
      <c r="D779" s="2118" t="n">
        <v>0</v>
      </c>
      <c r="E779" s="2118" t="n">
        <v>1</v>
      </c>
      <c r="G779" s="1733" t="n"/>
      <c r="H779" s="1734" t="inlineStr">
        <is>
          <t>ETAPA</t>
        </is>
      </c>
      <c r="I779" s="1735" t="inlineStr">
        <is>
          <t>08.006</t>
        </is>
      </c>
      <c r="J779" s="1736" t="inlineStr">
        <is>
          <t>INSTALAÇÕES PREVENTIVAS - Mezanino G3</t>
        </is>
      </c>
      <c r="K779" s="1737" t="n"/>
      <c r="L779" s="1738" t="n"/>
      <c r="M779" s="1738" t="n"/>
      <c r="N779" s="1739" t="n">
        <v>258084.546</v>
      </c>
      <c r="O779" s="1722" t="n"/>
      <c r="P779" s="1725" t="n"/>
    </row>
    <row r="780" hidden="1" outlineLevel="2" ht="13.9" customHeight="1">
      <c r="A780" s="2117" t="n">
        <v>0</v>
      </c>
      <c r="B780" s="2117" t="n">
        <v>8</v>
      </c>
      <c r="C780" s="2117" t="n">
        <v>6</v>
      </c>
      <c r="D780" s="2118" t="n">
        <v>1</v>
      </c>
      <c r="E780" s="2118" t="n">
        <v>0</v>
      </c>
      <c r="G780" s="1740" t="n"/>
      <c r="H780" s="1741" t="inlineStr">
        <is>
          <t>SUBETAPA</t>
        </is>
      </c>
      <c r="I780" s="1742" t="inlineStr">
        <is>
          <t>08.006.001</t>
        </is>
      </c>
      <c r="J780" s="1743" t="inlineStr">
        <is>
          <t>Hidrantes</t>
        </is>
      </c>
      <c r="K780" s="1744" t="n"/>
      <c r="L780" s="1745" t="n"/>
      <c r="M780" s="1745" t="n"/>
      <c r="N780" s="1746" t="n">
        <v>5145</v>
      </c>
      <c r="O780" s="1747" t="n"/>
      <c r="P780" s="1720" t="n"/>
    </row>
    <row r="781" hidden="1" outlineLevel="3" ht="13.9" customHeight="1">
      <c r="A781" s="2117" t="n">
        <v>0</v>
      </c>
      <c r="B781" s="2117" t="n">
        <v>8</v>
      </c>
      <c r="C781" s="2117" t="n">
        <v>6</v>
      </c>
      <c r="D781" s="2118" t="n">
        <v>1</v>
      </c>
      <c r="E781" s="2118" t="n">
        <v>1</v>
      </c>
      <c r="G781" s="1790" t="inlineStr">
        <is>
          <t>INSTALAÇÕES PREVENTIVAS</t>
        </is>
      </c>
      <c r="H781" s="1749" t="inlineStr">
        <is>
          <t>SERVIÇO</t>
        </is>
      </c>
      <c r="I781" s="1750" t="inlineStr">
        <is>
          <t>08.006.001.001</t>
        </is>
      </c>
      <c r="J781" s="1751" t="inlineStr">
        <is>
          <t>Hidrantes</t>
        </is>
      </c>
      <c r="K781" s="1752" t="inlineStr">
        <is>
          <t>vb</t>
        </is>
      </c>
      <c r="L781" s="1753" t="n">
        <v>1</v>
      </c>
      <c r="M781" s="1753" t="n">
        <v>5145</v>
      </c>
      <c r="N781" s="1754" t="n">
        <v>5145</v>
      </c>
      <c r="O781" s="1755" t="inlineStr">
        <is>
          <t>quantidades confirme quantidades do projetista</t>
        </is>
      </c>
      <c r="P781" s="1721" t="inlineStr">
        <is>
          <t>Pendente</t>
        </is>
      </c>
    </row>
    <row r="782" hidden="1" outlineLevel="2" ht="13.9" customHeight="1">
      <c r="A782" s="2117" t="n">
        <v>0</v>
      </c>
      <c r="B782" s="2117" t="n">
        <v>8</v>
      </c>
      <c r="C782" s="2117" t="n">
        <v>6</v>
      </c>
      <c r="D782" s="2118" t="n">
        <v>2</v>
      </c>
      <c r="E782" s="2118" t="n">
        <v>0</v>
      </c>
      <c r="G782" s="1740" t="n"/>
      <c r="H782" s="1741" t="inlineStr">
        <is>
          <t>SUBETAPA</t>
        </is>
      </c>
      <c r="I782" s="1742" t="inlineStr">
        <is>
          <t>08.006.002</t>
        </is>
      </c>
      <c r="J782" s="1743" t="inlineStr">
        <is>
          <t xml:space="preserve">Sinalização de emergência e extintores </t>
        </is>
      </c>
      <c r="K782" s="1744" t="n"/>
      <c r="L782" s="1745" t="n"/>
      <c r="M782" s="1745" t="n"/>
      <c r="N782" s="1746" t="n">
        <v>2712.84</v>
      </c>
      <c r="O782" s="1747" t="n"/>
      <c r="P782" s="1720" t="n"/>
    </row>
    <row r="783" hidden="1" outlineLevel="3" ht="13.9" customHeight="1">
      <c r="A783" s="2117" t="n">
        <v>0</v>
      </c>
      <c r="B783" s="2117" t="n">
        <v>8</v>
      </c>
      <c r="C783" s="2117" t="n">
        <v>6</v>
      </c>
      <c r="D783" s="2118" t="n">
        <v>2</v>
      </c>
      <c r="E783" s="2118" t="n">
        <v>1</v>
      </c>
      <c r="G783" s="1790" t="inlineStr">
        <is>
          <t>INSTALAÇÕES PREVENTIVAS</t>
        </is>
      </c>
      <c r="H783" s="1749" t="inlineStr">
        <is>
          <t>SERVIÇO</t>
        </is>
      </c>
      <c r="I783" s="1750" t="inlineStr">
        <is>
          <t>08.006.002.001</t>
        </is>
      </c>
      <c r="J783" s="1751" t="inlineStr">
        <is>
          <t xml:space="preserve">Sinalização de emergência e extintores </t>
        </is>
      </c>
      <c r="K783" s="1752" t="inlineStr">
        <is>
          <t>vb</t>
        </is>
      </c>
      <c r="L783" s="1753" t="n">
        <v>1</v>
      </c>
      <c r="M783" s="1753" t="n">
        <v>2712.84</v>
      </c>
      <c r="N783" s="1754" t="n">
        <v>2712.84</v>
      </c>
      <c r="O783" s="1755" t="inlineStr">
        <is>
          <t>quantidades confirme quantidades do projetista</t>
        </is>
      </c>
      <c r="P783" s="1721" t="inlineStr">
        <is>
          <t>Pendente</t>
        </is>
      </c>
    </row>
    <row r="784" hidden="1" outlineLevel="2" ht="13.9" customHeight="1">
      <c r="A784" s="2117" t="n">
        <v>0</v>
      </c>
      <c r="B784" s="2117" t="n">
        <v>8</v>
      </c>
      <c r="C784" s="2117" t="n">
        <v>6</v>
      </c>
      <c r="D784" s="2118" t="n">
        <v>3</v>
      </c>
      <c r="E784" s="2118" t="n">
        <v>0</v>
      </c>
      <c r="G784" s="1740" t="n"/>
      <c r="H784" s="1741" t="inlineStr">
        <is>
          <t>SUBETAPA</t>
        </is>
      </c>
      <c r="I784" s="1742" t="inlineStr">
        <is>
          <t>08.006.003</t>
        </is>
      </c>
      <c r="J784" s="1743" t="inlineStr">
        <is>
          <t>Sprinkles</t>
        </is>
      </c>
      <c r="K784" s="1744" t="n"/>
      <c r="L784" s="1745" t="n"/>
      <c r="M784" s="1745" t="n"/>
      <c r="N784" s="1746" t="n">
        <v>237305.2</v>
      </c>
      <c r="O784" s="1747" t="n"/>
      <c r="P784" s="1720" t="n"/>
    </row>
    <row r="785" hidden="1" outlineLevel="3" ht="13.9" customHeight="1">
      <c r="A785" s="2117" t="n">
        <v>0</v>
      </c>
      <c r="B785" s="2117" t="n">
        <v>8</v>
      </c>
      <c r="C785" s="2117" t="n">
        <v>6</v>
      </c>
      <c r="D785" s="2118" t="n">
        <v>3</v>
      </c>
      <c r="E785" s="2118" t="n">
        <v>1</v>
      </c>
      <c r="G785" s="1790" t="inlineStr">
        <is>
          <t>INSTALAÇÕES PREVENTIVAS</t>
        </is>
      </c>
      <c r="H785" s="1749" t="inlineStr">
        <is>
          <t>SERVIÇO</t>
        </is>
      </c>
      <c r="I785" s="1750" t="inlineStr">
        <is>
          <t>08.006.003.001</t>
        </is>
      </c>
      <c r="J785" s="1751" t="inlineStr">
        <is>
          <t>Sprinkles</t>
        </is>
      </c>
      <c r="K785" s="1752" t="inlineStr">
        <is>
          <t>vb</t>
        </is>
      </c>
      <c r="L785" s="1753" t="n">
        <v>1</v>
      </c>
      <c r="M785" s="1753" t="n">
        <v>237305.2</v>
      </c>
      <c r="N785" s="1754" t="n">
        <v>237305.2</v>
      </c>
      <c r="O785" s="1755" t="inlineStr">
        <is>
          <t>quantidades confirme quantidades do projetista</t>
        </is>
      </c>
      <c r="P785" s="1721" t="inlineStr">
        <is>
          <t>Pendente</t>
        </is>
      </c>
    </row>
    <row r="786" hidden="1" outlineLevel="2" ht="13.9" customHeight="1">
      <c r="A786" s="2117" t="n">
        <v>0</v>
      </c>
      <c r="B786" s="2117" t="n">
        <v>8</v>
      </c>
      <c r="C786" s="2117" t="n">
        <v>6</v>
      </c>
      <c r="D786" s="2118" t="n">
        <v>4</v>
      </c>
      <c r="E786" s="2118" t="n">
        <v>0</v>
      </c>
      <c r="G786" s="1740" t="n"/>
      <c r="H786" s="1741" t="inlineStr">
        <is>
          <t>SUBETAPA</t>
        </is>
      </c>
      <c r="I786" s="1742" t="inlineStr">
        <is>
          <t>08.006.004</t>
        </is>
      </c>
      <c r="J786" s="1743" t="inlineStr">
        <is>
          <t>Instalações de proteção e aterramento -SPDA</t>
        </is>
      </c>
      <c r="K786" s="1744" t="n"/>
      <c r="L786" s="1745" t="n"/>
      <c r="M786" s="1745" t="n"/>
      <c r="N786" s="1746" t="n">
        <v>0</v>
      </c>
      <c r="O786" s="1747" t="n"/>
      <c r="P786" s="1720" t="n"/>
    </row>
    <row r="787" hidden="1" outlineLevel="3" ht="13.9" customHeight="1">
      <c r="A787" s="2117" t="n">
        <v>0</v>
      </c>
      <c r="B787" s="2117" t="n">
        <v>8</v>
      </c>
      <c r="C787" s="2117" t="n">
        <v>6</v>
      </c>
      <c r="D787" s="2118" t="n">
        <v>4</v>
      </c>
      <c r="E787" s="2118" t="n">
        <v>1</v>
      </c>
      <c r="G787" s="1790" t="inlineStr">
        <is>
          <t>INSTALAÇÕES PREVENTIVAS</t>
        </is>
      </c>
      <c r="H787" s="1749" t="inlineStr">
        <is>
          <t>SERVIÇO</t>
        </is>
      </c>
      <c r="I787" s="1750" t="inlineStr">
        <is>
          <t>08.006.004.001</t>
        </is>
      </c>
      <c r="J787" s="1751" t="inlineStr">
        <is>
          <t>Instalações de proteção e aterramento -SPDA</t>
        </is>
      </c>
      <c r="K787" s="1752" t="inlineStr">
        <is>
          <t>vb</t>
        </is>
      </c>
      <c r="L787" s="1753" t="n">
        <v>1</v>
      </c>
      <c r="M787" s="1753" t="n"/>
      <c r="N787" s="1754" t="n">
        <v>0</v>
      </c>
      <c r="O787" s="1755" t="inlineStr">
        <is>
          <t>Estimado devido a ausencia de quantitativos</t>
        </is>
      </c>
      <c r="P787" s="1721" t="inlineStr">
        <is>
          <t>Pendente</t>
        </is>
      </c>
    </row>
    <row r="788" hidden="1" outlineLevel="2" ht="13.9" customHeight="1">
      <c r="A788" s="2117" t="n">
        <v>0</v>
      </c>
      <c r="B788" s="2117" t="n">
        <v>8</v>
      </c>
      <c r="C788" s="2117" t="n">
        <v>6</v>
      </c>
      <c r="D788" s="2118" t="n">
        <v>5</v>
      </c>
      <c r="E788" s="2118" t="n">
        <v>0</v>
      </c>
      <c r="G788" s="1740" t="n"/>
      <c r="H788" s="1741" t="inlineStr">
        <is>
          <t>SUBETAPA</t>
        </is>
      </c>
      <c r="I788" s="1742" t="inlineStr">
        <is>
          <t>08.006.005</t>
        </is>
      </c>
      <c r="J788" s="1743" t="inlineStr">
        <is>
          <t>Central de Alarmes</t>
        </is>
      </c>
      <c r="K788" s="1744" t="n"/>
      <c r="L788" s="1745" t="n"/>
      <c r="M788" s="1745" t="n"/>
      <c r="N788" s="1746" t="n">
        <v>8459.255999999999</v>
      </c>
      <c r="O788" s="1747" t="n"/>
      <c r="P788" s="1720" t="n"/>
    </row>
    <row r="789" hidden="1" outlineLevel="3" ht="13.9" customHeight="1">
      <c r="A789" s="2117" t="n">
        <v>0</v>
      </c>
      <c r="B789" s="2117" t="n">
        <v>8</v>
      </c>
      <c r="C789" s="2117" t="n">
        <v>6</v>
      </c>
      <c r="D789" s="2118" t="n">
        <v>5</v>
      </c>
      <c r="E789" s="2118" t="n">
        <v>1</v>
      </c>
      <c r="G789" s="1790" t="inlineStr">
        <is>
          <t>INSTALAÇÕES PREVENTIVAS</t>
        </is>
      </c>
      <c r="H789" s="1749" t="inlineStr">
        <is>
          <t>SERVIÇO</t>
        </is>
      </c>
      <c r="I789" s="1750" t="inlineStr">
        <is>
          <t>08.006.005.001</t>
        </is>
      </c>
      <c r="J789" s="1751" t="inlineStr">
        <is>
          <t>Central de Alarmes</t>
        </is>
      </c>
      <c r="K789" s="1752" t="inlineStr">
        <is>
          <t>vb</t>
        </is>
      </c>
      <c r="L789" s="1753" t="n">
        <v>1</v>
      </c>
      <c r="M789" s="1753" t="n">
        <v>8459.255999999998</v>
      </c>
      <c r="N789" s="1754" t="n">
        <v>8459.255999999999</v>
      </c>
      <c r="O789" s="1755" t="inlineStr">
        <is>
          <t>quantidades confirme quantidades do projetista</t>
        </is>
      </c>
      <c r="P789" s="1721" t="inlineStr">
        <is>
          <t>Pendente</t>
        </is>
      </c>
    </row>
    <row r="790" hidden="1" outlineLevel="2" ht="13.9" customHeight="1">
      <c r="A790" s="2117" t="n">
        <v>0</v>
      </c>
      <c r="B790" s="2117" t="n">
        <v>8</v>
      </c>
      <c r="C790" s="2117" t="n">
        <v>6</v>
      </c>
      <c r="D790" s="2118" t="n">
        <v>6</v>
      </c>
      <c r="E790" s="2118" t="n">
        <v>0</v>
      </c>
      <c r="G790" s="1740" t="n"/>
      <c r="H790" s="1741" t="inlineStr">
        <is>
          <t>SUBETAPA</t>
        </is>
      </c>
      <c r="I790" s="1742" t="inlineStr">
        <is>
          <t>08.006.006</t>
        </is>
      </c>
      <c r="J790" s="1743" t="inlineStr">
        <is>
          <t>Sistema de bombas</t>
        </is>
      </c>
      <c r="K790" s="1744" t="n"/>
      <c r="L790" s="1745" t="n"/>
      <c r="M790" s="1745" t="n"/>
      <c r="N790" s="1746" t="n">
        <v>0</v>
      </c>
      <c r="O790" s="1747" t="n"/>
      <c r="P790" s="1720" t="n"/>
    </row>
    <row r="791" hidden="1" outlineLevel="3" ht="13.9" customHeight="1">
      <c r="A791" s="2117" t="n">
        <v>0</v>
      </c>
      <c r="B791" s="2117" t="n">
        <v>8</v>
      </c>
      <c r="C791" s="2117" t="n">
        <v>6</v>
      </c>
      <c r="D791" s="2118" t="n">
        <v>6</v>
      </c>
      <c r="E791" s="2118" t="n">
        <v>1</v>
      </c>
      <c r="G791" s="1790" t="inlineStr">
        <is>
          <t>INSTALAÇÕES PREVENTIVAS</t>
        </is>
      </c>
      <c r="H791" s="1749" t="inlineStr">
        <is>
          <t>SERVIÇO</t>
        </is>
      </c>
      <c r="I791" s="1750" t="inlineStr">
        <is>
          <t>08.006.006.001</t>
        </is>
      </c>
      <c r="J791" s="1751" t="inlineStr">
        <is>
          <t>Sistema de bombas</t>
        </is>
      </c>
      <c r="K791" s="1752" t="inlineStr">
        <is>
          <t>vb</t>
        </is>
      </c>
      <c r="L791" s="1753" t="n">
        <v>1</v>
      </c>
      <c r="M791" s="1753" t="n"/>
      <c r="N791" s="1754" t="n">
        <v>0</v>
      </c>
      <c r="O791" s="1755" t="inlineStr">
        <is>
          <t>quantidades confirme quantidades do projetista</t>
        </is>
      </c>
      <c r="P791" s="1721" t="inlineStr">
        <is>
          <t>Pendente</t>
        </is>
      </c>
    </row>
    <row r="792" hidden="1" outlineLevel="2" ht="13.9" customHeight="1">
      <c r="A792" s="2117" t="n">
        <v>0</v>
      </c>
      <c r="B792" s="2117" t="n">
        <v>8</v>
      </c>
      <c r="C792" s="2117" t="n">
        <v>6</v>
      </c>
      <c r="D792" s="2118" t="n">
        <v>7</v>
      </c>
      <c r="E792" s="2118" t="n">
        <v>0</v>
      </c>
      <c r="G792" s="1740" t="n"/>
      <c r="H792" s="1741" t="inlineStr">
        <is>
          <t>SUBETAPA</t>
        </is>
      </c>
      <c r="I792" s="1742" t="inlineStr">
        <is>
          <t>08.006.007</t>
        </is>
      </c>
      <c r="J792" s="1743" t="inlineStr">
        <is>
          <t>Mão de obra</t>
        </is>
      </c>
      <c r="K792" s="1744" t="n"/>
      <c r="L792" s="1745" t="n"/>
      <c r="M792" s="1745" t="n"/>
      <c r="N792" s="1746" t="n">
        <v>4462.25</v>
      </c>
      <c r="O792" s="1747" t="n"/>
      <c r="P792" s="1720" t="n"/>
    </row>
    <row r="793" hidden="1" outlineLevel="3" ht="13.9" customHeight="1">
      <c r="A793" s="2117" t="n">
        <v>0</v>
      </c>
      <c r="B793" s="2117" t="n">
        <v>8</v>
      </c>
      <c r="C793" s="2117" t="n">
        <v>6</v>
      </c>
      <c r="D793" s="2118" t="n">
        <v>7</v>
      </c>
      <c r="E793" s="2118" t="n">
        <v>1</v>
      </c>
      <c r="G793" s="1790" t="inlineStr">
        <is>
          <t>INSTALAÇÕES PREVENTIVAS</t>
        </is>
      </c>
      <c r="H793" s="1749" t="inlineStr">
        <is>
          <t>SERVIÇO</t>
        </is>
      </c>
      <c r="I793" s="1750" t="inlineStr">
        <is>
          <t>08.006.007.001</t>
        </is>
      </c>
      <c r="J793" s="1751" t="inlineStr">
        <is>
          <t>Mão de obra PPCI</t>
        </is>
      </c>
      <c r="K793" s="1752" t="inlineStr">
        <is>
          <t>vb</t>
        </is>
      </c>
      <c r="L793" s="1753" t="n">
        <v>1</v>
      </c>
      <c r="M793" s="1753" t="n">
        <v>4462.25</v>
      </c>
      <c r="N793" s="1754" t="n">
        <v>4462.25</v>
      </c>
      <c r="O793" s="1765" t="inlineStr">
        <is>
          <t>Considerado R$5/m²</t>
        </is>
      </c>
      <c r="P793" s="1721" t="inlineStr">
        <is>
          <t>Pendente</t>
        </is>
      </c>
    </row>
    <row r="794" hidden="1" outlineLevel="1" ht="13.9" customHeight="1">
      <c r="A794" s="2117" t="n">
        <v>0</v>
      </c>
      <c r="B794" s="2117" t="n">
        <v>8</v>
      </c>
      <c r="C794" s="2117" t="n">
        <v>7</v>
      </c>
      <c r="D794" s="2118" t="n">
        <v>0</v>
      </c>
      <c r="E794" s="2118" t="n">
        <v>1</v>
      </c>
      <c r="G794" s="1733" t="n"/>
      <c r="H794" s="1734" t="inlineStr">
        <is>
          <t>ETAPA</t>
        </is>
      </c>
      <c r="I794" s="1735" t="inlineStr">
        <is>
          <t>08.007</t>
        </is>
      </c>
      <c r="J794" s="1736" t="inlineStr">
        <is>
          <t>INSTALAÇÕES PREVENTIVAS - Lazer | Garagem</t>
        </is>
      </c>
      <c r="K794" s="1737" t="n"/>
      <c r="L794" s="1738" t="n"/>
      <c r="M794" s="1738" t="n"/>
      <c r="N794" s="1739" t="n">
        <v>187448.41</v>
      </c>
      <c r="O794" s="1722" t="n"/>
      <c r="P794" s="1725" t="n"/>
    </row>
    <row r="795" hidden="1" outlineLevel="2" ht="13.9" customHeight="1">
      <c r="A795" s="2117" t="n">
        <v>0</v>
      </c>
      <c r="B795" s="2117" t="n">
        <v>8</v>
      </c>
      <c r="C795" s="2117" t="n">
        <v>7</v>
      </c>
      <c r="D795" s="2118" t="n">
        <v>1</v>
      </c>
      <c r="E795" s="2118" t="n">
        <v>0</v>
      </c>
      <c r="G795" s="1740" t="n"/>
      <c r="H795" s="1741" t="inlineStr">
        <is>
          <t>SUBETAPA</t>
        </is>
      </c>
      <c r="I795" s="1742" t="inlineStr">
        <is>
          <t>08.007.001</t>
        </is>
      </c>
      <c r="J795" s="1743" t="inlineStr">
        <is>
          <t>Hidrantes</t>
        </is>
      </c>
      <c r="K795" s="1744" t="n"/>
      <c r="L795" s="1745" t="n"/>
      <c r="M795" s="1745" t="n"/>
      <c r="N795" s="1746" t="n">
        <v>8801</v>
      </c>
      <c r="O795" s="1747" t="n"/>
      <c r="P795" s="1720" t="n"/>
    </row>
    <row r="796" hidden="1" outlineLevel="3" ht="13.9" customHeight="1">
      <c r="A796" s="2117" t="n">
        <v>0</v>
      </c>
      <c r="B796" s="2117" t="n">
        <v>8</v>
      </c>
      <c r="C796" s="2117" t="n">
        <v>7</v>
      </c>
      <c r="D796" s="2118" t="n">
        <v>1</v>
      </c>
      <c r="E796" s="2118" t="n">
        <v>1</v>
      </c>
      <c r="G796" s="1790" t="inlineStr">
        <is>
          <t>INSTALAÇÕES PREVENTIVAS</t>
        </is>
      </c>
      <c r="H796" s="1749" t="inlineStr">
        <is>
          <t>SERVIÇO</t>
        </is>
      </c>
      <c r="I796" s="1750" t="inlineStr">
        <is>
          <t>08.007.001.001</t>
        </is>
      </c>
      <c r="J796" s="1751" t="inlineStr">
        <is>
          <t>Hidrantes</t>
        </is>
      </c>
      <c r="K796" s="1752" t="inlineStr">
        <is>
          <t>vb</t>
        </is>
      </c>
      <c r="L796" s="1753" t="n">
        <v>1</v>
      </c>
      <c r="M796" s="1753" t="n">
        <v>8801</v>
      </c>
      <c r="N796" s="1754" t="n">
        <v>8801</v>
      </c>
      <c r="O796" s="1755" t="inlineStr">
        <is>
          <t>quantidades confirme quantidades do projetista</t>
        </is>
      </c>
      <c r="P796" s="1721" t="inlineStr">
        <is>
          <t>Pendente</t>
        </is>
      </c>
    </row>
    <row r="797" hidden="1" outlineLevel="2" ht="13.9" customHeight="1">
      <c r="A797" s="2117" t="n">
        <v>0</v>
      </c>
      <c r="B797" s="2117" t="n">
        <v>8</v>
      </c>
      <c r="C797" s="2117" t="n">
        <v>7</v>
      </c>
      <c r="D797" s="2118" t="n">
        <v>2</v>
      </c>
      <c r="E797" s="2118" t="n">
        <v>0</v>
      </c>
      <c r="G797" s="1740" t="n"/>
      <c r="H797" s="1741" t="inlineStr">
        <is>
          <t>SUBETAPA</t>
        </is>
      </c>
      <c r="I797" s="1742" t="inlineStr">
        <is>
          <t>08.007.002</t>
        </is>
      </c>
      <c r="J797" s="1743" t="inlineStr">
        <is>
          <t xml:space="preserve">Sinalização de emergência e extintores </t>
        </is>
      </c>
      <c r="K797" s="1744" t="n"/>
      <c r="L797" s="1745" t="n"/>
      <c r="M797" s="1745" t="n"/>
      <c r="N797" s="1746" t="n">
        <v>2298.57</v>
      </c>
      <c r="O797" s="1747" t="n"/>
      <c r="P797" s="1720" t="n"/>
    </row>
    <row r="798" hidden="1" outlineLevel="3" ht="13.9" customHeight="1">
      <c r="A798" s="2117" t="n">
        <v>0</v>
      </c>
      <c r="B798" s="2117" t="n">
        <v>8</v>
      </c>
      <c r="C798" s="2117" t="n">
        <v>7</v>
      </c>
      <c r="D798" s="2118" t="n">
        <v>2</v>
      </c>
      <c r="E798" s="2118" t="n">
        <v>1</v>
      </c>
      <c r="G798" s="1790" t="inlineStr">
        <is>
          <t>INSTALAÇÕES PREVENTIVAS</t>
        </is>
      </c>
      <c r="H798" s="1749" t="inlineStr">
        <is>
          <t>SERVIÇO</t>
        </is>
      </c>
      <c r="I798" s="1750" t="inlineStr">
        <is>
          <t>08.007.002.001</t>
        </is>
      </c>
      <c r="J798" s="1751" t="inlineStr">
        <is>
          <t xml:space="preserve">Sinalização de emergência e extintores </t>
        </is>
      </c>
      <c r="K798" s="1752" t="inlineStr">
        <is>
          <t>vb</t>
        </is>
      </c>
      <c r="L798" s="1753" t="n">
        <v>1</v>
      </c>
      <c r="M798" s="1753" t="n">
        <v>2298.57</v>
      </c>
      <c r="N798" s="1754" t="n">
        <v>2298.57</v>
      </c>
      <c r="O798" s="1755" t="inlineStr">
        <is>
          <t>quantidades confirme quantidades do projetista</t>
        </is>
      </c>
      <c r="P798" s="1721" t="inlineStr">
        <is>
          <t>Pendente</t>
        </is>
      </c>
    </row>
    <row r="799" hidden="1" outlineLevel="2" ht="13.9" customHeight="1">
      <c r="A799" s="2117" t="n">
        <v>0</v>
      </c>
      <c r="B799" s="2117" t="n">
        <v>8</v>
      </c>
      <c r="C799" s="2117" t="n">
        <v>7</v>
      </c>
      <c r="D799" s="2118" t="n">
        <v>3</v>
      </c>
      <c r="E799" s="2118" t="n">
        <v>0</v>
      </c>
      <c r="G799" s="1740" t="n"/>
      <c r="H799" s="1741" t="inlineStr">
        <is>
          <t>SUBETAPA</t>
        </is>
      </c>
      <c r="I799" s="1742" t="inlineStr">
        <is>
          <t>08.007.003</t>
        </is>
      </c>
      <c r="J799" s="1743" t="inlineStr">
        <is>
          <t>Sprinkles</t>
        </is>
      </c>
      <c r="K799" s="1744" t="n"/>
      <c r="L799" s="1745" t="n"/>
      <c r="M799" s="1745" t="n"/>
      <c r="N799" s="1746" t="n">
        <v>163725.9</v>
      </c>
      <c r="O799" s="1747" t="n"/>
      <c r="P799" s="1720" t="n"/>
    </row>
    <row r="800" hidden="1" outlineLevel="3" ht="13.9" customHeight="1">
      <c r="A800" s="2117" t="n">
        <v>0</v>
      </c>
      <c r="B800" s="2117" t="n">
        <v>8</v>
      </c>
      <c r="C800" s="2117" t="n">
        <v>7</v>
      </c>
      <c r="D800" s="2118" t="n">
        <v>3</v>
      </c>
      <c r="E800" s="2118" t="n">
        <v>1</v>
      </c>
      <c r="G800" s="1790" t="inlineStr">
        <is>
          <t>INSTALAÇÕES PREVENTIVAS</t>
        </is>
      </c>
      <c r="H800" s="1749" t="inlineStr">
        <is>
          <t>SERVIÇO</t>
        </is>
      </c>
      <c r="I800" s="1750" t="inlineStr">
        <is>
          <t>08.007.003.001</t>
        </is>
      </c>
      <c r="J800" s="1751" t="inlineStr">
        <is>
          <t>Sprinkles</t>
        </is>
      </c>
      <c r="K800" s="1752" t="inlineStr">
        <is>
          <t>vb</t>
        </is>
      </c>
      <c r="L800" s="1753" t="n">
        <v>1</v>
      </c>
      <c r="M800" s="1753" t="n">
        <v>163725.9</v>
      </c>
      <c r="N800" s="1754" t="n">
        <v>163725.9</v>
      </c>
      <c r="O800" s="1755" t="inlineStr">
        <is>
          <t>quantidades confirme quantidades do projetista</t>
        </is>
      </c>
      <c r="P800" s="1721" t="inlineStr">
        <is>
          <t>Pendente</t>
        </is>
      </c>
    </row>
    <row r="801" hidden="1" outlineLevel="2" ht="13.9" customHeight="1">
      <c r="A801" s="2117" t="n">
        <v>0</v>
      </c>
      <c r="B801" s="2117" t="n">
        <v>8</v>
      </c>
      <c r="C801" s="2117" t="n">
        <v>7</v>
      </c>
      <c r="D801" s="2118" t="n">
        <v>4</v>
      </c>
      <c r="E801" s="2118" t="n">
        <v>0</v>
      </c>
      <c r="G801" s="1740" t="n"/>
      <c r="H801" s="1741" t="inlineStr">
        <is>
          <t>SUBETAPA</t>
        </is>
      </c>
      <c r="I801" s="1742" t="inlineStr">
        <is>
          <t>08.007.004</t>
        </is>
      </c>
      <c r="J801" s="1743" t="inlineStr">
        <is>
          <t>Instalações de proteção e aterramento -SPDA</t>
        </is>
      </c>
      <c r="K801" s="1744" t="n"/>
      <c r="L801" s="1745" t="n"/>
      <c r="M801" s="1745" t="n"/>
      <c r="N801" s="1746" t="n">
        <v>0</v>
      </c>
      <c r="O801" s="1747" t="n"/>
      <c r="P801" s="1720" t="n"/>
    </row>
    <row r="802" hidden="1" outlineLevel="3" ht="13.9" customHeight="1">
      <c r="A802" s="2117" t="n">
        <v>0</v>
      </c>
      <c r="B802" s="2117" t="n">
        <v>8</v>
      </c>
      <c r="C802" s="2117" t="n">
        <v>7</v>
      </c>
      <c r="D802" s="2118" t="n">
        <v>4</v>
      </c>
      <c r="E802" s="2118" t="n">
        <v>1</v>
      </c>
      <c r="G802" s="1790" t="inlineStr">
        <is>
          <t>INSTALAÇÕES PREVENTIVAS</t>
        </is>
      </c>
      <c r="H802" s="1749" t="inlineStr">
        <is>
          <t>SERVIÇO</t>
        </is>
      </c>
      <c r="I802" s="1750" t="inlineStr">
        <is>
          <t>08.007.004.001</t>
        </is>
      </c>
      <c r="J802" s="1751" t="inlineStr">
        <is>
          <t>Instalações de proteção e aterramento -SPDA</t>
        </is>
      </c>
      <c r="K802" s="1752" t="inlineStr">
        <is>
          <t>vb</t>
        </is>
      </c>
      <c r="L802" s="1753" t="n">
        <v>1</v>
      </c>
      <c r="M802" s="1753" t="n"/>
      <c r="N802" s="1754" t="n">
        <v>0</v>
      </c>
      <c r="O802" s="1755" t="inlineStr">
        <is>
          <t>Estimado devido a ausencia de quantitativos</t>
        </is>
      </c>
      <c r="P802" s="1721" t="inlineStr">
        <is>
          <t>Pendente</t>
        </is>
      </c>
    </row>
    <row r="803" hidden="1" outlineLevel="2" ht="13.9" customHeight="1">
      <c r="A803" s="2117" t="n">
        <v>0</v>
      </c>
      <c r="B803" s="2117" t="n">
        <v>8</v>
      </c>
      <c r="C803" s="2117" t="n">
        <v>7</v>
      </c>
      <c r="D803" s="2118" t="n">
        <v>5</v>
      </c>
      <c r="E803" s="2118" t="n">
        <v>0</v>
      </c>
      <c r="G803" s="1740" t="n"/>
      <c r="H803" s="1741" t="inlineStr">
        <is>
          <t>SUBETAPA</t>
        </is>
      </c>
      <c r="I803" s="1742" t="inlineStr">
        <is>
          <t>08.007.005</t>
        </is>
      </c>
      <c r="J803" s="1743" t="inlineStr">
        <is>
          <t>Central de Alarmes</t>
        </is>
      </c>
      <c r="K803" s="1744" t="n"/>
      <c r="L803" s="1745" t="n"/>
      <c r="M803" s="1745" t="n"/>
      <c r="N803" s="1746" t="n">
        <v>8160.69</v>
      </c>
      <c r="O803" s="1747" t="n"/>
      <c r="P803" s="1720" t="n"/>
    </row>
    <row r="804" hidden="1" outlineLevel="3" ht="13.9" customHeight="1">
      <c r="A804" s="2117" t="n">
        <v>0</v>
      </c>
      <c r="B804" s="2117" t="n">
        <v>8</v>
      </c>
      <c r="C804" s="2117" t="n">
        <v>7</v>
      </c>
      <c r="D804" s="2118" t="n">
        <v>5</v>
      </c>
      <c r="E804" s="2118" t="n">
        <v>1</v>
      </c>
      <c r="G804" s="1790" t="inlineStr">
        <is>
          <t>INSTALAÇÕES PREVENTIVAS</t>
        </is>
      </c>
      <c r="H804" s="1749" t="inlineStr">
        <is>
          <t>SERVIÇO</t>
        </is>
      </c>
      <c r="I804" s="1750" t="inlineStr">
        <is>
          <t>08.007.005.001</t>
        </is>
      </c>
      <c r="J804" s="1751" t="inlineStr">
        <is>
          <t>Central de Alarmes</t>
        </is>
      </c>
      <c r="K804" s="1752" t="inlineStr">
        <is>
          <t>vb</t>
        </is>
      </c>
      <c r="L804" s="1753" t="n">
        <v>1</v>
      </c>
      <c r="M804" s="1753" t="n">
        <v>8160.690000000001</v>
      </c>
      <c r="N804" s="1754" t="n">
        <v>8160.69</v>
      </c>
      <c r="O804" s="1755" t="inlineStr">
        <is>
          <t>quantidades confirme quantidades do projetista</t>
        </is>
      </c>
      <c r="P804" s="1721" t="inlineStr">
        <is>
          <t>Pendente</t>
        </is>
      </c>
    </row>
    <row r="805" hidden="1" outlineLevel="2" ht="13.9" customHeight="1">
      <c r="A805" s="2117" t="n">
        <v>0</v>
      </c>
      <c r="B805" s="2117" t="n">
        <v>8</v>
      </c>
      <c r="C805" s="2117" t="n">
        <v>7</v>
      </c>
      <c r="D805" s="2118" t="n">
        <v>6</v>
      </c>
      <c r="E805" s="2118" t="n">
        <v>0</v>
      </c>
      <c r="G805" s="1740" t="n"/>
      <c r="H805" s="1741" t="inlineStr">
        <is>
          <t>SUBETAPA</t>
        </is>
      </c>
      <c r="I805" s="1742" t="inlineStr">
        <is>
          <t>08.007.006</t>
        </is>
      </c>
      <c r="J805" s="1743" t="inlineStr">
        <is>
          <t>Sistema de bombas</t>
        </is>
      </c>
      <c r="K805" s="1744" t="n"/>
      <c r="L805" s="1745" t="n"/>
      <c r="M805" s="1745" t="n"/>
      <c r="N805" s="1746" t="n">
        <v>0</v>
      </c>
      <c r="O805" s="1747" t="n"/>
      <c r="P805" s="1720" t="n"/>
    </row>
    <row r="806" hidden="1" outlineLevel="3" ht="13.9" customHeight="1">
      <c r="A806" s="2117" t="n">
        <v>0</v>
      </c>
      <c r="B806" s="2117" t="n">
        <v>8</v>
      </c>
      <c r="C806" s="2117" t="n">
        <v>7</v>
      </c>
      <c r="D806" s="2118" t="n">
        <v>6</v>
      </c>
      <c r="E806" s="2118" t="n">
        <v>1</v>
      </c>
      <c r="G806" s="1790" t="inlineStr">
        <is>
          <t>INSTALAÇÕES PREVENTIVAS</t>
        </is>
      </c>
      <c r="H806" s="1749" t="inlineStr">
        <is>
          <t>SERVIÇO</t>
        </is>
      </c>
      <c r="I806" s="1750" t="inlineStr">
        <is>
          <t>08.007.006.001</t>
        </is>
      </c>
      <c r="J806" s="1751" t="inlineStr">
        <is>
          <t>Sistema de bombas</t>
        </is>
      </c>
      <c r="K806" s="1752" t="inlineStr">
        <is>
          <t>vb</t>
        </is>
      </c>
      <c r="L806" s="1753" t="n">
        <v>1</v>
      </c>
      <c r="M806" s="1753" t="n"/>
      <c r="N806" s="1754" t="n">
        <v>0</v>
      </c>
      <c r="O806" s="1755" t="inlineStr">
        <is>
          <t>quantidades confirme quantidades do projetista</t>
        </is>
      </c>
      <c r="P806" s="1721" t="inlineStr">
        <is>
          <t>Pendente</t>
        </is>
      </c>
    </row>
    <row r="807" hidden="1" outlineLevel="2" ht="13.9" customHeight="1">
      <c r="A807" s="2117" t="n">
        <v>0</v>
      </c>
      <c r="B807" s="2117" t="n">
        <v>8</v>
      </c>
      <c r="C807" s="2117" t="n">
        <v>7</v>
      </c>
      <c r="D807" s="2118" t="n">
        <v>7</v>
      </c>
      <c r="E807" s="2118" t="n">
        <v>0</v>
      </c>
      <c r="G807" s="1740" t="n"/>
      <c r="H807" s="1741" t="inlineStr">
        <is>
          <t>SUBETAPA</t>
        </is>
      </c>
      <c r="I807" s="1742" t="inlineStr">
        <is>
          <t>08.007.007</t>
        </is>
      </c>
      <c r="J807" s="1743" t="inlineStr">
        <is>
          <t>Mão de obra</t>
        </is>
      </c>
      <c r="K807" s="1744" t="n"/>
      <c r="L807" s="1745" t="n"/>
      <c r="M807" s="1745" t="n"/>
      <c r="N807" s="1746" t="n">
        <v>4462.25</v>
      </c>
      <c r="O807" s="1747" t="n"/>
      <c r="P807" s="1720" t="n"/>
    </row>
    <row r="808" hidden="1" outlineLevel="3" ht="13.9" customHeight="1">
      <c r="A808" s="2117" t="n">
        <v>0</v>
      </c>
      <c r="B808" s="2117" t="n">
        <v>8</v>
      </c>
      <c r="C808" s="2117" t="n">
        <v>7</v>
      </c>
      <c r="D808" s="2118" t="n">
        <v>7</v>
      </c>
      <c r="E808" s="2118" t="n">
        <v>1</v>
      </c>
      <c r="G808" s="1790" t="inlineStr">
        <is>
          <t>INSTALAÇÕES PREVENTIVAS</t>
        </is>
      </c>
      <c r="H808" s="1749" t="inlineStr">
        <is>
          <t>SERVIÇO</t>
        </is>
      </c>
      <c r="I808" s="1750" t="inlineStr">
        <is>
          <t>08.007.007.001</t>
        </is>
      </c>
      <c r="J808" s="1751" t="inlineStr">
        <is>
          <t>Mão de obra PPCI</t>
        </is>
      </c>
      <c r="K808" s="1752" t="inlineStr">
        <is>
          <t>vb</t>
        </is>
      </c>
      <c r="L808" s="1753" t="n">
        <v>1</v>
      </c>
      <c r="M808" s="1753" t="n">
        <v>4462.25</v>
      </c>
      <c r="N808" s="1754" t="n">
        <v>4462.25</v>
      </c>
      <c r="O808" s="1765" t="inlineStr">
        <is>
          <t>Considerado R$5/m²</t>
        </is>
      </c>
      <c r="P808" s="1721" t="inlineStr">
        <is>
          <t>Pendente</t>
        </is>
      </c>
    </row>
    <row r="809" hidden="1" outlineLevel="1" ht="13.9" customHeight="1">
      <c r="A809" s="2117" t="n">
        <v>0</v>
      </c>
      <c r="B809" s="2117" t="n">
        <v>8</v>
      </c>
      <c r="C809" s="2117" t="n">
        <v>8</v>
      </c>
      <c r="D809" s="2118" t="n">
        <v>0</v>
      </c>
      <c r="E809" s="2118" t="n">
        <v>1</v>
      </c>
      <c r="G809" s="1733" t="n"/>
      <c r="H809" s="1734" t="inlineStr">
        <is>
          <t>ETAPA</t>
        </is>
      </c>
      <c r="I809" s="1735" t="inlineStr">
        <is>
          <t>08.008</t>
        </is>
      </c>
      <c r="J809" s="1736" t="inlineStr">
        <is>
          <t>INSTALAÇÕES PREVENTIVAS - Lazer</t>
        </is>
      </c>
      <c r="K809" s="1737" t="n"/>
      <c r="L809" s="1738" t="n"/>
      <c r="M809" s="1738" t="n"/>
      <c r="N809" s="1739" t="n">
        <v>44273.484</v>
      </c>
      <c r="O809" s="1722" t="n"/>
      <c r="P809" s="1725" t="n"/>
    </row>
    <row r="810" hidden="1" outlineLevel="2" ht="13.9" customHeight="1">
      <c r="A810" s="2117" t="n">
        <v>0</v>
      </c>
      <c r="B810" s="2117" t="n">
        <v>8</v>
      </c>
      <c r="C810" s="2117" t="n">
        <v>8</v>
      </c>
      <c r="D810" s="2118" t="n">
        <v>1</v>
      </c>
      <c r="E810" s="2118" t="n">
        <v>0</v>
      </c>
      <c r="G810" s="1740" t="n"/>
      <c r="H810" s="1741" t="inlineStr">
        <is>
          <t>SUBETAPA</t>
        </is>
      </c>
      <c r="I810" s="1742" t="inlineStr">
        <is>
          <t>08.008.001</t>
        </is>
      </c>
      <c r="J810" s="1743" t="inlineStr">
        <is>
          <t>Hidrantes</t>
        </is>
      </c>
      <c r="K810" s="1744" t="n"/>
      <c r="L810" s="1745" t="n"/>
      <c r="M810" s="1745" t="n"/>
      <c r="N810" s="1746" t="n">
        <v>3982.75</v>
      </c>
      <c r="O810" s="1747" t="n"/>
      <c r="P810" s="1720" t="n"/>
    </row>
    <row r="811" hidden="1" outlineLevel="3" ht="13.9" customHeight="1">
      <c r="A811" s="2117" t="n">
        <v>0</v>
      </c>
      <c r="B811" s="2117" t="n">
        <v>8</v>
      </c>
      <c r="C811" s="2117" t="n">
        <v>8</v>
      </c>
      <c r="D811" s="2118" t="n">
        <v>1</v>
      </c>
      <c r="E811" s="2118" t="n">
        <v>1</v>
      </c>
      <c r="G811" s="1790" t="inlineStr">
        <is>
          <t>INSTALAÇÕES PREVENTIVAS</t>
        </is>
      </c>
      <c r="H811" s="1749" t="inlineStr">
        <is>
          <t>SERVIÇO</t>
        </is>
      </c>
      <c r="I811" s="1750" t="inlineStr">
        <is>
          <t>08.008.001.001</t>
        </is>
      </c>
      <c r="J811" s="1751" t="inlineStr">
        <is>
          <t>Hidrantes</t>
        </is>
      </c>
      <c r="K811" s="1752" t="inlineStr">
        <is>
          <t>vb</t>
        </is>
      </c>
      <c r="L811" s="1753" t="n">
        <v>1</v>
      </c>
      <c r="M811" s="1753" t="n">
        <v>3982.75</v>
      </c>
      <c r="N811" s="1754" t="n">
        <v>3982.75</v>
      </c>
      <c r="O811" s="1755" t="inlineStr">
        <is>
          <t>quantidades confirme quantidades do projetista</t>
        </is>
      </c>
      <c r="P811" s="1721" t="inlineStr">
        <is>
          <t>Pendente</t>
        </is>
      </c>
    </row>
    <row r="812" hidden="1" outlineLevel="2" ht="13.9" customHeight="1">
      <c r="A812" s="2117" t="n">
        <v>0</v>
      </c>
      <c r="B812" s="2117" t="n">
        <v>8</v>
      </c>
      <c r="C812" s="2117" t="n">
        <v>8</v>
      </c>
      <c r="D812" s="2118" t="n">
        <v>2</v>
      </c>
      <c r="E812" s="2118" t="n">
        <v>0</v>
      </c>
      <c r="G812" s="1740" t="n"/>
      <c r="H812" s="1741" t="inlineStr">
        <is>
          <t>SUBETAPA</t>
        </is>
      </c>
      <c r="I812" s="1742" t="inlineStr">
        <is>
          <t>08.008.002</t>
        </is>
      </c>
      <c r="J812" s="1743" t="inlineStr">
        <is>
          <t xml:space="preserve">Sinalização de emergência e extintores </t>
        </is>
      </c>
      <c r="K812" s="1744" t="n"/>
      <c r="L812" s="1745" t="n"/>
      <c r="M812" s="1745" t="n"/>
      <c r="N812" s="1746" t="n">
        <v>1517.74</v>
      </c>
      <c r="O812" s="1747" t="n"/>
      <c r="P812" s="1720" t="n"/>
    </row>
    <row r="813" hidden="1" outlineLevel="3" ht="13.9" customHeight="1">
      <c r="A813" s="2117" t="n">
        <v>0</v>
      </c>
      <c r="B813" s="2117" t="n">
        <v>8</v>
      </c>
      <c r="C813" s="2117" t="n">
        <v>8</v>
      </c>
      <c r="D813" s="2118" t="n">
        <v>2</v>
      </c>
      <c r="E813" s="2118" t="n">
        <v>1</v>
      </c>
      <c r="G813" s="1790" t="inlineStr">
        <is>
          <t>INSTALAÇÕES PREVENTIVAS</t>
        </is>
      </c>
      <c r="H813" s="1749" t="inlineStr">
        <is>
          <t>SERVIÇO</t>
        </is>
      </c>
      <c r="I813" s="1750" t="inlineStr">
        <is>
          <t>08.008.002.001</t>
        </is>
      </c>
      <c r="J813" s="1751" t="inlineStr">
        <is>
          <t xml:space="preserve">Sinalização de emergência e extintores </t>
        </is>
      </c>
      <c r="K813" s="1752" t="inlineStr">
        <is>
          <t>vb</t>
        </is>
      </c>
      <c r="L813" s="1753" t="n">
        <v>1</v>
      </c>
      <c r="M813" s="1753" t="n">
        <v>1517.74</v>
      </c>
      <c r="N813" s="1754" t="n">
        <v>1517.74</v>
      </c>
      <c r="O813" s="1755" t="inlineStr">
        <is>
          <t>quantidades confirme quantidades do projetista</t>
        </is>
      </c>
      <c r="P813" s="1721" t="inlineStr">
        <is>
          <t>Pendente</t>
        </is>
      </c>
    </row>
    <row r="814" hidden="1" outlineLevel="2" ht="13.9" customHeight="1">
      <c r="A814" s="2117" t="n">
        <v>0</v>
      </c>
      <c r="B814" s="2117" t="n">
        <v>8</v>
      </c>
      <c r="C814" s="2117" t="n">
        <v>8</v>
      </c>
      <c r="D814" s="2118" t="n">
        <v>3</v>
      </c>
      <c r="E814" s="2118" t="n">
        <v>0</v>
      </c>
      <c r="G814" s="1740" t="n"/>
      <c r="H814" s="1741" t="inlineStr">
        <is>
          <t>SUBETAPA</t>
        </is>
      </c>
      <c r="I814" s="1742" t="inlineStr">
        <is>
          <t>08.008.003</t>
        </is>
      </c>
      <c r="J814" s="1743" t="inlineStr">
        <is>
          <t>Sprinkles</t>
        </is>
      </c>
      <c r="K814" s="1744" t="n"/>
      <c r="L814" s="1745" t="n"/>
      <c r="M814" s="1745" t="n"/>
      <c r="N814" s="1746" t="n">
        <v>30559.1</v>
      </c>
      <c r="O814" s="1747" t="n"/>
      <c r="P814" s="1720" t="n"/>
    </row>
    <row r="815" hidden="1" outlineLevel="3" ht="13.9" customHeight="1">
      <c r="A815" s="2117" t="n">
        <v>0</v>
      </c>
      <c r="B815" s="2117" t="n">
        <v>8</v>
      </c>
      <c r="C815" s="2117" t="n">
        <v>8</v>
      </c>
      <c r="D815" s="2118" t="n">
        <v>3</v>
      </c>
      <c r="E815" s="2118" t="n">
        <v>1</v>
      </c>
      <c r="G815" s="1790" t="inlineStr">
        <is>
          <t>INSTALAÇÕES PREVENTIVAS</t>
        </is>
      </c>
      <c r="H815" s="1749" t="inlineStr">
        <is>
          <t>SERVIÇO</t>
        </is>
      </c>
      <c r="I815" s="1750" t="inlineStr">
        <is>
          <t>08.008.003.001</t>
        </is>
      </c>
      <c r="J815" s="1751" t="inlineStr">
        <is>
          <t>Sprinkles</t>
        </is>
      </c>
      <c r="K815" s="1752" t="inlineStr">
        <is>
          <t>vb</t>
        </is>
      </c>
      <c r="L815" s="1753" t="n">
        <v>1</v>
      </c>
      <c r="M815" s="1753" t="n">
        <v>30559.1</v>
      </c>
      <c r="N815" s="1754" t="n">
        <v>30559.1</v>
      </c>
      <c r="O815" s="1755" t="inlineStr">
        <is>
          <t>quantidades confirme quantidades do projetista</t>
        </is>
      </c>
      <c r="P815" s="1721" t="inlineStr">
        <is>
          <t>Pendente</t>
        </is>
      </c>
    </row>
    <row r="816" hidden="1" outlineLevel="2" ht="13.9" customHeight="1">
      <c r="A816" s="2117" t="n">
        <v>0</v>
      </c>
      <c r="B816" s="2117" t="n">
        <v>8</v>
      </c>
      <c r="C816" s="2117" t="n">
        <v>8</v>
      </c>
      <c r="D816" s="2118" t="n">
        <v>4</v>
      </c>
      <c r="E816" s="2118" t="n">
        <v>0</v>
      </c>
      <c r="G816" s="1740" t="n"/>
      <c r="H816" s="1741" t="inlineStr">
        <is>
          <t>SUBETAPA</t>
        </is>
      </c>
      <c r="I816" s="1742" t="inlineStr">
        <is>
          <t>08.008.004</t>
        </is>
      </c>
      <c r="J816" s="1743" t="inlineStr">
        <is>
          <t>Instalações de proteção e aterramento -SPDA</t>
        </is>
      </c>
      <c r="K816" s="1744" t="n"/>
      <c r="L816" s="1745" t="n"/>
      <c r="M816" s="1745" t="n"/>
      <c r="N816" s="1746" t="n">
        <v>0</v>
      </c>
      <c r="O816" s="1747" t="n"/>
      <c r="P816" s="1720" t="n"/>
    </row>
    <row r="817" hidden="1" outlineLevel="3" ht="13.9" customHeight="1">
      <c r="A817" s="2117" t="n">
        <v>0</v>
      </c>
      <c r="B817" s="2117" t="n">
        <v>8</v>
      </c>
      <c r="C817" s="2117" t="n">
        <v>8</v>
      </c>
      <c r="D817" s="2118" t="n">
        <v>4</v>
      </c>
      <c r="E817" s="2118" t="n">
        <v>1</v>
      </c>
      <c r="G817" s="1790" t="inlineStr">
        <is>
          <t>INSTALAÇÕES PREVENTIVAS</t>
        </is>
      </c>
      <c r="H817" s="1749" t="inlineStr">
        <is>
          <t>SERVIÇO</t>
        </is>
      </c>
      <c r="I817" s="1750" t="inlineStr">
        <is>
          <t>08.008.004.001</t>
        </is>
      </c>
      <c r="J817" s="1751" t="inlineStr">
        <is>
          <t>Instalações de proteção e aterramento -SPDA</t>
        </is>
      </c>
      <c r="K817" s="1752" t="inlineStr">
        <is>
          <t>vb</t>
        </is>
      </c>
      <c r="L817" s="1753" t="n">
        <v>1</v>
      </c>
      <c r="M817" s="1753" t="n"/>
      <c r="N817" s="1754" t="n">
        <v>0</v>
      </c>
      <c r="O817" s="1755" t="inlineStr">
        <is>
          <t>Estimado devido a ausencia de quantitativos</t>
        </is>
      </c>
      <c r="P817" s="1721" t="inlineStr">
        <is>
          <t>Pendente</t>
        </is>
      </c>
    </row>
    <row r="818" hidden="1" outlineLevel="2" ht="13.9" customHeight="1">
      <c r="A818" s="2117" t="n">
        <v>0</v>
      </c>
      <c r="B818" s="2117" t="n">
        <v>8</v>
      </c>
      <c r="C818" s="2117" t="n">
        <v>8</v>
      </c>
      <c r="D818" s="2118" t="n">
        <v>5</v>
      </c>
      <c r="E818" s="2118" t="n">
        <v>0</v>
      </c>
      <c r="G818" s="1740" t="n"/>
      <c r="H818" s="1741" t="inlineStr">
        <is>
          <t>SUBETAPA</t>
        </is>
      </c>
      <c r="I818" s="1742" t="inlineStr">
        <is>
          <t>08.008.005</t>
        </is>
      </c>
      <c r="J818" s="1743" t="inlineStr">
        <is>
          <t>Central de Alarmes</t>
        </is>
      </c>
      <c r="K818" s="1744" t="n"/>
      <c r="L818" s="1745" t="n"/>
      <c r="M818" s="1745" t="n"/>
      <c r="N818" s="1746" t="n">
        <v>5717.544</v>
      </c>
      <c r="O818" s="1747" t="n"/>
      <c r="P818" s="1720" t="n"/>
    </row>
    <row r="819" hidden="1" outlineLevel="3" ht="13.9" customHeight="1">
      <c r="A819" s="2117" t="n">
        <v>0</v>
      </c>
      <c r="B819" s="2117" t="n">
        <v>8</v>
      </c>
      <c r="C819" s="2117" t="n">
        <v>8</v>
      </c>
      <c r="D819" s="2118" t="n">
        <v>5</v>
      </c>
      <c r="E819" s="2118" t="n">
        <v>1</v>
      </c>
      <c r="G819" s="1790" t="inlineStr">
        <is>
          <t>INSTALAÇÕES PREVENTIVAS</t>
        </is>
      </c>
      <c r="H819" s="1749" t="inlineStr">
        <is>
          <t>SERVIÇO</t>
        </is>
      </c>
      <c r="I819" s="1750" t="inlineStr">
        <is>
          <t>08.008.005.001</t>
        </is>
      </c>
      <c r="J819" s="1751" t="inlineStr">
        <is>
          <t>Central de Alarmes</t>
        </is>
      </c>
      <c r="K819" s="1752" t="inlineStr">
        <is>
          <t>vb</t>
        </is>
      </c>
      <c r="L819" s="1753" t="n">
        <v>1</v>
      </c>
      <c r="M819" s="1753" t="n">
        <v>5717.544</v>
      </c>
      <c r="N819" s="1754" t="n">
        <v>5717.544</v>
      </c>
      <c r="O819" s="1755" t="inlineStr">
        <is>
          <t>quantidades confirme quantidades do projetista</t>
        </is>
      </c>
      <c r="P819" s="1721" t="inlineStr">
        <is>
          <t>Pendente</t>
        </is>
      </c>
    </row>
    <row r="820" hidden="1" outlineLevel="2" ht="13.9" customHeight="1">
      <c r="A820" s="2117" t="n">
        <v>0</v>
      </c>
      <c r="B820" s="2117" t="n">
        <v>8</v>
      </c>
      <c r="C820" s="2117" t="n">
        <v>8</v>
      </c>
      <c r="D820" s="2118" t="n">
        <v>6</v>
      </c>
      <c r="E820" s="2118" t="n">
        <v>0</v>
      </c>
      <c r="G820" s="1740" t="n"/>
      <c r="H820" s="1741" t="inlineStr">
        <is>
          <t>SUBETAPA</t>
        </is>
      </c>
      <c r="I820" s="1742" t="inlineStr">
        <is>
          <t>08.008.006</t>
        </is>
      </c>
      <c r="J820" s="1743" t="inlineStr">
        <is>
          <t>Sistema de bombas</t>
        </is>
      </c>
      <c r="K820" s="1744" t="n"/>
      <c r="L820" s="1745" t="n"/>
      <c r="M820" s="1745" t="n"/>
      <c r="N820" s="1746" t="n">
        <v>0</v>
      </c>
      <c r="O820" s="1747" t="n"/>
      <c r="P820" s="1720" t="n"/>
    </row>
    <row r="821" hidden="1" outlineLevel="3" ht="13.9" customHeight="1">
      <c r="A821" s="2117" t="n">
        <v>0</v>
      </c>
      <c r="B821" s="2117" t="n">
        <v>8</v>
      </c>
      <c r="C821" s="2117" t="n">
        <v>8</v>
      </c>
      <c r="D821" s="2118" t="n">
        <v>6</v>
      </c>
      <c r="E821" s="2118" t="n">
        <v>1</v>
      </c>
      <c r="G821" s="1790" t="inlineStr">
        <is>
          <t>INSTALAÇÕES PREVENTIVAS</t>
        </is>
      </c>
      <c r="H821" s="1749" t="inlineStr">
        <is>
          <t>SERVIÇO</t>
        </is>
      </c>
      <c r="I821" s="1750" t="inlineStr">
        <is>
          <t>08.008.006.001</t>
        </is>
      </c>
      <c r="J821" s="1751" t="inlineStr">
        <is>
          <t>Sistema de bombas</t>
        </is>
      </c>
      <c r="K821" s="1752" t="inlineStr">
        <is>
          <t>vb</t>
        </is>
      </c>
      <c r="L821" s="1753" t="n">
        <v>1</v>
      </c>
      <c r="M821" s="1753" t="n"/>
      <c r="N821" s="1754" t="n">
        <v>0</v>
      </c>
      <c r="O821" s="1755" t="inlineStr">
        <is>
          <t>quantidades confirme quantidades do projetista</t>
        </is>
      </c>
      <c r="P821" s="1721" t="inlineStr">
        <is>
          <t>Pendente</t>
        </is>
      </c>
    </row>
    <row r="822" hidden="1" outlineLevel="2" ht="13.9" customHeight="1">
      <c r="A822" s="2117" t="n">
        <v>0</v>
      </c>
      <c r="B822" s="2117" t="n">
        <v>8</v>
      </c>
      <c r="C822" s="2117" t="n">
        <v>8</v>
      </c>
      <c r="D822" s="2118" t="n">
        <v>7</v>
      </c>
      <c r="E822" s="2118" t="n">
        <v>0</v>
      </c>
      <c r="G822" s="1740" t="n"/>
      <c r="H822" s="1741" t="inlineStr">
        <is>
          <t>SUBETAPA</t>
        </is>
      </c>
      <c r="I822" s="1742" t="inlineStr">
        <is>
          <t>08.008.007</t>
        </is>
      </c>
      <c r="J822" s="1743" t="inlineStr">
        <is>
          <t>Mão de obra</t>
        </is>
      </c>
      <c r="K822" s="1744" t="n"/>
      <c r="L822" s="1745" t="n"/>
      <c r="M822" s="1745" t="n"/>
      <c r="N822" s="1746" t="n">
        <v>2496.35</v>
      </c>
      <c r="O822" s="1747" t="n"/>
      <c r="P822" s="1720" t="n"/>
    </row>
    <row r="823" hidden="1" outlineLevel="3" ht="13.9" customHeight="1">
      <c r="A823" s="2117" t="n">
        <v>0</v>
      </c>
      <c r="B823" s="2117" t="n">
        <v>8</v>
      </c>
      <c r="C823" s="2117" t="n">
        <v>8</v>
      </c>
      <c r="D823" s="2118" t="n">
        <v>7</v>
      </c>
      <c r="E823" s="2118" t="n">
        <v>1</v>
      </c>
      <c r="G823" s="1790" t="inlineStr">
        <is>
          <t>INSTALAÇÕES PREVENTIVAS</t>
        </is>
      </c>
      <c r="H823" s="1749" t="inlineStr">
        <is>
          <t>SERVIÇO</t>
        </is>
      </c>
      <c r="I823" s="1750" t="inlineStr">
        <is>
          <t>08.008.007.001</t>
        </is>
      </c>
      <c r="J823" s="1751" t="inlineStr">
        <is>
          <t>Mão de obra PPCI</t>
        </is>
      </c>
      <c r="K823" s="1752" t="inlineStr">
        <is>
          <t>vb</t>
        </is>
      </c>
      <c r="L823" s="1753" t="n">
        <v>1</v>
      </c>
      <c r="M823" s="1753" t="n">
        <v>2496.35</v>
      </c>
      <c r="N823" s="1754" t="n">
        <v>2496.35</v>
      </c>
      <c r="O823" s="1765" t="inlineStr">
        <is>
          <t>Considerado R$5/m²</t>
        </is>
      </c>
      <c r="P823" s="1721" t="inlineStr">
        <is>
          <t>Pendente</t>
        </is>
      </c>
    </row>
    <row r="824" hidden="1" outlineLevel="1" ht="13.9" customHeight="1">
      <c r="A824" s="2117" t="n">
        <v>0</v>
      </c>
      <c r="B824" s="2117" t="n">
        <v>8</v>
      </c>
      <c r="C824" s="2117" t="n">
        <v>9</v>
      </c>
      <c r="D824" s="2118" t="n">
        <v>0</v>
      </c>
      <c r="E824" s="2118" t="n">
        <v>1</v>
      </c>
      <c r="G824" s="1733" t="n"/>
      <c r="H824" s="1734" t="inlineStr">
        <is>
          <t>ETAPA</t>
        </is>
      </c>
      <c r="I824" s="1735" t="inlineStr">
        <is>
          <t>08.009</t>
        </is>
      </c>
      <c r="J824" s="1736" t="inlineStr">
        <is>
          <t>INSTALAÇÕES PREVENTIVAS - Tipo diferenciado</t>
        </is>
      </c>
      <c r="K824" s="1737" t="n"/>
      <c r="L824" s="1738" t="n"/>
      <c r="M824" s="1738" t="n"/>
      <c r="N824" s="1739" t="n">
        <v>32959.9472</v>
      </c>
      <c r="O824" s="1722" t="n"/>
      <c r="P824" s="1725" t="n"/>
    </row>
    <row r="825" hidden="1" outlineLevel="2" ht="13.9" customHeight="1">
      <c r="A825" s="2117" t="n">
        <v>0</v>
      </c>
      <c r="B825" s="2117" t="n">
        <v>8</v>
      </c>
      <c r="C825" s="2117" t="n">
        <v>9</v>
      </c>
      <c r="D825" s="2118" t="n">
        <v>1</v>
      </c>
      <c r="E825" s="2118" t="n">
        <v>0</v>
      </c>
      <c r="G825" s="1740" t="n"/>
      <c r="H825" s="1741" t="inlineStr">
        <is>
          <t>SUBETAPA</t>
        </is>
      </c>
      <c r="I825" s="1742" t="inlineStr">
        <is>
          <t>08.009.001</t>
        </is>
      </c>
      <c r="J825" s="1743" t="inlineStr">
        <is>
          <t>Hidrantes</t>
        </is>
      </c>
      <c r="K825" s="1744" t="n"/>
      <c r="L825" s="1745" t="n"/>
      <c r="M825" s="1745" t="n"/>
      <c r="N825" s="1746" t="n">
        <v>3346.25</v>
      </c>
      <c r="O825" s="1747" t="n"/>
      <c r="P825" s="1720" t="n"/>
    </row>
    <row r="826" hidden="1" outlineLevel="3" ht="13.9" customHeight="1">
      <c r="A826" s="2117" t="n">
        <v>0</v>
      </c>
      <c r="B826" s="2117" t="n">
        <v>8</v>
      </c>
      <c r="C826" s="2117" t="n">
        <v>9</v>
      </c>
      <c r="D826" s="2118" t="n">
        <v>1</v>
      </c>
      <c r="E826" s="2118" t="n">
        <v>1</v>
      </c>
      <c r="G826" s="1790" t="inlineStr">
        <is>
          <t>INSTALAÇÕES PREVENTIVAS</t>
        </is>
      </c>
      <c r="H826" s="1749" t="inlineStr">
        <is>
          <t>SERVIÇO</t>
        </is>
      </c>
      <c r="I826" s="1750" t="inlineStr">
        <is>
          <t>08.009.001.001</t>
        </is>
      </c>
      <c r="J826" s="1751" t="inlineStr">
        <is>
          <t>Hidrantes</t>
        </is>
      </c>
      <c r="K826" s="1752" t="inlineStr">
        <is>
          <t>vb</t>
        </is>
      </c>
      <c r="L826" s="1753" t="n">
        <v>1</v>
      </c>
      <c r="M826" s="1753" t="n">
        <v>3346.25</v>
      </c>
      <c r="N826" s="1754" t="n">
        <v>3346.25</v>
      </c>
      <c r="O826" s="1755" t="inlineStr">
        <is>
          <t>quantidades confirme quantidades do projetista</t>
        </is>
      </c>
      <c r="P826" s="1721" t="inlineStr">
        <is>
          <t>Pendente</t>
        </is>
      </c>
    </row>
    <row r="827" hidden="1" outlineLevel="2" ht="13.9" customHeight="1">
      <c r="A827" s="2117" t="n">
        <v>0</v>
      </c>
      <c r="B827" s="2117" t="n">
        <v>8</v>
      </c>
      <c r="C827" s="2117" t="n">
        <v>9</v>
      </c>
      <c r="D827" s="2118" t="n">
        <v>2</v>
      </c>
      <c r="E827" s="2118" t="n">
        <v>0</v>
      </c>
      <c r="G827" s="1740" t="n"/>
      <c r="H827" s="1741" t="inlineStr">
        <is>
          <t>SUBETAPA</t>
        </is>
      </c>
      <c r="I827" s="1742" t="inlineStr">
        <is>
          <t>08.009.002</t>
        </is>
      </c>
      <c r="J827" s="1743" t="inlineStr">
        <is>
          <t xml:space="preserve">Sinalização de emergência e extintores </t>
        </is>
      </c>
      <c r="K827" s="1744" t="n"/>
      <c r="L827" s="1745" t="n"/>
      <c r="M827" s="1745" t="n"/>
      <c r="N827" s="1746" t="n">
        <v>600.45</v>
      </c>
      <c r="O827" s="1747" t="n"/>
      <c r="P827" s="1720" t="n"/>
    </row>
    <row r="828" hidden="1" outlineLevel="3" ht="13.9" customHeight="1">
      <c r="A828" s="2117" t="n">
        <v>0</v>
      </c>
      <c r="B828" s="2117" t="n">
        <v>8</v>
      </c>
      <c r="C828" s="2117" t="n">
        <v>9</v>
      </c>
      <c r="D828" s="2118" t="n">
        <v>2</v>
      </c>
      <c r="E828" s="2118" t="n">
        <v>1</v>
      </c>
      <c r="G828" s="1790" t="inlineStr">
        <is>
          <t>INSTALAÇÕES PREVENTIVAS</t>
        </is>
      </c>
      <c r="H828" s="1749" t="inlineStr">
        <is>
          <t>SERVIÇO</t>
        </is>
      </c>
      <c r="I828" s="1750" t="inlineStr">
        <is>
          <t>08.009.002.001</t>
        </is>
      </c>
      <c r="J828" s="1751" t="inlineStr">
        <is>
          <t xml:space="preserve">Sinalização de emergência e extintores </t>
        </is>
      </c>
      <c r="K828" s="1752" t="inlineStr">
        <is>
          <t>vb</t>
        </is>
      </c>
      <c r="L828" s="1753" t="n">
        <v>1</v>
      </c>
      <c r="M828" s="1753" t="n">
        <v>600.45</v>
      </c>
      <c r="N828" s="1754" t="n">
        <v>600.45</v>
      </c>
      <c r="O828" s="1755" t="inlineStr">
        <is>
          <t>quantidades confirme quantidades do projetista</t>
        </is>
      </c>
      <c r="P828" s="1721" t="inlineStr">
        <is>
          <t>Pendente</t>
        </is>
      </c>
    </row>
    <row r="829" hidden="1" outlineLevel="2" ht="13.9" customHeight="1">
      <c r="A829" s="2117" t="n">
        <v>0</v>
      </c>
      <c r="B829" s="2117" t="n">
        <v>8</v>
      </c>
      <c r="C829" s="2117" t="n">
        <v>9</v>
      </c>
      <c r="D829" s="2118" t="n">
        <v>3</v>
      </c>
      <c r="E829" s="2118" t="n">
        <v>0</v>
      </c>
      <c r="G829" s="1740" t="n"/>
      <c r="H829" s="1741" t="inlineStr">
        <is>
          <t>SUBETAPA</t>
        </is>
      </c>
      <c r="I829" s="1742" t="inlineStr">
        <is>
          <t>08.009.003</t>
        </is>
      </c>
      <c r="J829" s="1743" t="inlineStr">
        <is>
          <t>Sprinkles</t>
        </is>
      </c>
      <c r="K829" s="1744" t="n"/>
      <c r="L829" s="1745" t="n"/>
      <c r="M829" s="1745" t="n"/>
      <c r="N829" s="1746" t="n">
        <v>24380.45</v>
      </c>
      <c r="O829" s="1747" t="n"/>
      <c r="P829" s="1720" t="n"/>
    </row>
    <row r="830" hidden="1" outlineLevel="3" ht="13.9" customHeight="1">
      <c r="A830" s="2117" t="n">
        <v>0</v>
      </c>
      <c r="B830" s="2117" t="n">
        <v>8</v>
      </c>
      <c r="C830" s="2117" t="n">
        <v>9</v>
      </c>
      <c r="D830" s="2118" t="n">
        <v>3</v>
      </c>
      <c r="E830" s="2118" t="n">
        <v>1</v>
      </c>
      <c r="G830" s="1790" t="inlineStr">
        <is>
          <t>INSTALAÇÕES PREVENTIVAS</t>
        </is>
      </c>
      <c r="H830" s="1749" t="inlineStr">
        <is>
          <t>SERVIÇO</t>
        </is>
      </c>
      <c r="I830" s="1750" t="inlineStr">
        <is>
          <t>08.009.003.001</t>
        </is>
      </c>
      <c r="J830" s="1751" t="inlineStr">
        <is>
          <t>Sprinkles</t>
        </is>
      </c>
      <c r="K830" s="1752" t="inlineStr">
        <is>
          <t>vb</t>
        </is>
      </c>
      <c r="L830" s="1753" t="n">
        <v>1</v>
      </c>
      <c r="M830" s="1753" t="n">
        <v>24380.45</v>
      </c>
      <c r="N830" s="1754" t="n">
        <v>24380.45</v>
      </c>
      <c r="O830" s="1755" t="inlineStr">
        <is>
          <t>quantidades confirme quantidades do projetista</t>
        </is>
      </c>
      <c r="P830" s="1721" t="inlineStr">
        <is>
          <t>Pendente</t>
        </is>
      </c>
    </row>
    <row r="831" hidden="1" outlineLevel="2" ht="13.9" customHeight="1">
      <c r="A831" s="2117" t="n">
        <v>0</v>
      </c>
      <c r="B831" s="2117" t="n">
        <v>8</v>
      </c>
      <c r="C831" s="2117" t="n">
        <v>9</v>
      </c>
      <c r="D831" s="2118" t="n">
        <v>4</v>
      </c>
      <c r="E831" s="2118" t="n">
        <v>0</v>
      </c>
      <c r="G831" s="1740" t="n"/>
      <c r="H831" s="1741" t="inlineStr">
        <is>
          <t>SUBETAPA</t>
        </is>
      </c>
      <c r="I831" s="1742" t="inlineStr">
        <is>
          <t>08.009.004</t>
        </is>
      </c>
      <c r="J831" s="1743" t="inlineStr">
        <is>
          <t>Instalações de proteção e aterramento -SPDA</t>
        </is>
      </c>
      <c r="K831" s="1744" t="n"/>
      <c r="L831" s="1745" t="n"/>
      <c r="M831" s="1745" t="n"/>
      <c r="N831" s="1746" t="n">
        <v>0</v>
      </c>
      <c r="O831" s="1747" t="n"/>
      <c r="P831" s="1720" t="n"/>
    </row>
    <row r="832" hidden="1" outlineLevel="3" ht="13.9" customHeight="1">
      <c r="A832" s="2117" t="n">
        <v>0</v>
      </c>
      <c r="B832" s="2117" t="n">
        <v>8</v>
      </c>
      <c r="C832" s="2117" t="n">
        <v>9</v>
      </c>
      <c r="D832" s="2118" t="n">
        <v>4</v>
      </c>
      <c r="E832" s="2118" t="n">
        <v>1</v>
      </c>
      <c r="G832" s="1790" t="inlineStr">
        <is>
          <t>INSTALAÇÕES PREVENTIVAS</t>
        </is>
      </c>
      <c r="H832" s="1749" t="inlineStr">
        <is>
          <t>SERVIÇO</t>
        </is>
      </c>
      <c r="I832" s="1750" t="inlineStr">
        <is>
          <t>08.009.004.001</t>
        </is>
      </c>
      <c r="J832" s="1751" t="inlineStr">
        <is>
          <t>Instalações de proteção e aterramento -SPDA</t>
        </is>
      </c>
      <c r="K832" s="1752" t="inlineStr">
        <is>
          <t>vb</t>
        </is>
      </c>
      <c r="L832" s="1753" t="n">
        <v>1</v>
      </c>
      <c r="M832" s="1753" t="n"/>
      <c r="N832" s="1754" t="n">
        <v>0</v>
      </c>
      <c r="O832" s="1755" t="inlineStr">
        <is>
          <t>Estimado devido a ausencia de quantitativos</t>
        </is>
      </c>
      <c r="P832" s="1721" t="inlineStr">
        <is>
          <t>Pendente</t>
        </is>
      </c>
    </row>
    <row r="833" hidden="1" outlineLevel="2" ht="13.9" customHeight="1">
      <c r="A833" s="2117" t="n">
        <v>0</v>
      </c>
      <c r="B833" s="2117" t="n">
        <v>8</v>
      </c>
      <c r="C833" s="2117" t="n">
        <v>9</v>
      </c>
      <c r="D833" s="2118" t="n">
        <v>5</v>
      </c>
      <c r="E833" s="2118" t="n">
        <v>0</v>
      </c>
      <c r="G833" s="1740" t="n"/>
      <c r="H833" s="1741" t="inlineStr">
        <is>
          <t>SUBETAPA</t>
        </is>
      </c>
      <c r="I833" s="1742" t="inlineStr">
        <is>
          <t>08.009.005</t>
        </is>
      </c>
      <c r="J833" s="1743" t="inlineStr">
        <is>
          <t>Central de Alarmes</t>
        </is>
      </c>
      <c r="K833" s="1744" t="n"/>
      <c r="L833" s="1745" t="n"/>
      <c r="M833" s="1745" t="n"/>
      <c r="N833" s="1746" t="n">
        <v>2905.1472</v>
      </c>
      <c r="O833" s="1747" t="n"/>
      <c r="P833" s="1720" t="n"/>
    </row>
    <row r="834" hidden="1" outlineLevel="3" ht="13.9" customHeight="1">
      <c r="A834" s="2117" t="n">
        <v>0</v>
      </c>
      <c r="B834" s="2117" t="n">
        <v>8</v>
      </c>
      <c r="C834" s="2117" t="n">
        <v>9</v>
      </c>
      <c r="D834" s="2118" t="n">
        <v>5</v>
      </c>
      <c r="E834" s="2118" t="n">
        <v>1</v>
      </c>
      <c r="G834" s="1790" t="inlineStr">
        <is>
          <t>INSTALAÇÕES PREVENTIVAS</t>
        </is>
      </c>
      <c r="H834" s="1749" t="inlineStr">
        <is>
          <t>SERVIÇO</t>
        </is>
      </c>
      <c r="I834" s="1750" t="inlineStr">
        <is>
          <t>08.009.005.001</t>
        </is>
      </c>
      <c r="J834" s="1751" t="inlineStr">
        <is>
          <t>Central de Alarmes</t>
        </is>
      </c>
      <c r="K834" s="1752" t="inlineStr">
        <is>
          <t>vb</t>
        </is>
      </c>
      <c r="L834" s="1753" t="n">
        <v>1</v>
      </c>
      <c r="M834" s="1753" t="n">
        <v>2905.1472</v>
      </c>
      <c r="N834" s="1754" t="n">
        <v>2905.1472</v>
      </c>
      <c r="O834" s="1755" t="inlineStr">
        <is>
          <t>quantidades confirme quantidades do projetista</t>
        </is>
      </c>
      <c r="P834" s="1721" t="inlineStr">
        <is>
          <t>Pendente</t>
        </is>
      </c>
    </row>
    <row r="835" hidden="1" outlineLevel="2" ht="13.9" customHeight="1">
      <c r="A835" s="2117" t="n">
        <v>0</v>
      </c>
      <c r="B835" s="2117" t="n">
        <v>8</v>
      </c>
      <c r="C835" s="2117" t="n">
        <v>9</v>
      </c>
      <c r="D835" s="2118" t="n">
        <v>6</v>
      </c>
      <c r="E835" s="2118" t="n">
        <v>0</v>
      </c>
      <c r="G835" s="1740" t="n"/>
      <c r="H835" s="1741" t="inlineStr">
        <is>
          <t>SUBETAPA</t>
        </is>
      </c>
      <c r="I835" s="1742" t="inlineStr">
        <is>
          <t>08.009.006</t>
        </is>
      </c>
      <c r="J835" s="1743" t="inlineStr">
        <is>
          <t>Sistema de bombas</t>
        </is>
      </c>
      <c r="K835" s="1744" t="n"/>
      <c r="L835" s="1745" t="n"/>
      <c r="M835" s="1745" t="n"/>
      <c r="N835" s="1746" t="n">
        <v>0</v>
      </c>
      <c r="O835" s="1747" t="n"/>
      <c r="P835" s="1720" t="n"/>
    </row>
    <row r="836" hidden="1" outlineLevel="3" ht="13.9" customHeight="1">
      <c r="A836" s="2117" t="n">
        <v>0</v>
      </c>
      <c r="B836" s="2117" t="n">
        <v>8</v>
      </c>
      <c r="C836" s="2117" t="n">
        <v>9</v>
      </c>
      <c r="D836" s="2118" t="n">
        <v>6</v>
      </c>
      <c r="E836" s="2118" t="n">
        <v>1</v>
      </c>
      <c r="G836" s="1790" t="inlineStr">
        <is>
          <t>INSTALAÇÕES PREVENTIVAS</t>
        </is>
      </c>
      <c r="H836" s="1749" t="inlineStr">
        <is>
          <t>SERVIÇO</t>
        </is>
      </c>
      <c r="I836" s="1750" t="inlineStr">
        <is>
          <t>08.009.006.001</t>
        </is>
      </c>
      <c r="J836" s="1751" t="inlineStr">
        <is>
          <t>Sistema de bombas</t>
        </is>
      </c>
      <c r="K836" s="1752" t="inlineStr">
        <is>
          <t>vb</t>
        </is>
      </c>
      <c r="L836" s="1753" t="n">
        <v>1</v>
      </c>
      <c r="M836" s="1753" t="n"/>
      <c r="N836" s="1754" t="n">
        <v>0</v>
      </c>
      <c r="O836" s="1755" t="inlineStr">
        <is>
          <t>quantidades confirme quantidades do projetista</t>
        </is>
      </c>
      <c r="P836" s="1721" t="inlineStr">
        <is>
          <t>Pendente</t>
        </is>
      </c>
    </row>
    <row r="837" hidden="1" outlineLevel="2" ht="13.9" customHeight="1">
      <c r="A837" s="2117" t="n">
        <v>0</v>
      </c>
      <c r="B837" s="2117" t="n">
        <v>8</v>
      </c>
      <c r="C837" s="2117" t="n">
        <v>9</v>
      </c>
      <c r="D837" s="2118" t="n">
        <v>7</v>
      </c>
      <c r="E837" s="2118" t="n">
        <v>0</v>
      </c>
      <c r="G837" s="1740" t="n"/>
      <c r="H837" s="1741" t="inlineStr">
        <is>
          <t>SUBETAPA</t>
        </is>
      </c>
      <c r="I837" s="1742" t="inlineStr">
        <is>
          <t>08.009.007</t>
        </is>
      </c>
      <c r="J837" s="1743" t="inlineStr">
        <is>
          <t>Mão de obra</t>
        </is>
      </c>
      <c r="K837" s="1744" t="n"/>
      <c r="L837" s="1745" t="n"/>
      <c r="M837" s="1745" t="n"/>
      <c r="N837" s="1746" t="n">
        <v>1727.65</v>
      </c>
      <c r="O837" s="1747" t="n"/>
      <c r="P837" s="1720" t="n"/>
    </row>
    <row r="838" hidden="1" outlineLevel="3" ht="13.9" customHeight="1">
      <c r="A838" s="2117" t="n">
        <v>0</v>
      </c>
      <c r="B838" s="2117" t="n">
        <v>8</v>
      </c>
      <c r="C838" s="2117" t="n">
        <v>9</v>
      </c>
      <c r="D838" s="2118" t="n">
        <v>7</v>
      </c>
      <c r="E838" s="2118" t="n">
        <v>1</v>
      </c>
      <c r="G838" s="1790" t="inlineStr">
        <is>
          <t>INSTALAÇÕES PREVENTIVAS</t>
        </is>
      </c>
      <c r="H838" s="1749" t="inlineStr">
        <is>
          <t>SERVIÇO</t>
        </is>
      </c>
      <c r="I838" s="1750" t="inlineStr">
        <is>
          <t>08.009.007.001</t>
        </is>
      </c>
      <c r="J838" s="1751" t="inlineStr">
        <is>
          <t>Mão de obra PPCI</t>
        </is>
      </c>
      <c r="K838" s="1752" t="inlineStr">
        <is>
          <t>vb</t>
        </is>
      </c>
      <c r="L838" s="1753" t="n">
        <v>1</v>
      </c>
      <c r="M838" s="1753" t="n">
        <v>1727.65</v>
      </c>
      <c r="N838" s="1754" t="n">
        <v>1727.65</v>
      </c>
      <c r="O838" s="1765" t="inlineStr">
        <is>
          <t>Considerado R$5/m²</t>
        </is>
      </c>
      <c r="P838" s="1721" t="inlineStr">
        <is>
          <t>Pendente</t>
        </is>
      </c>
    </row>
    <row r="839" hidden="1" outlineLevel="1" ht="13.9" customHeight="1">
      <c r="A839" s="2117" t="n">
        <v>0</v>
      </c>
      <c r="B839" s="2117" t="n">
        <v>8</v>
      </c>
      <c r="C839" s="2117" t="n">
        <v>10</v>
      </c>
      <c r="D839" s="2118" t="n">
        <v>0</v>
      </c>
      <c r="E839" s="2118" t="n">
        <v>1</v>
      </c>
      <c r="G839" s="1733" t="n"/>
      <c r="H839" s="1734" t="inlineStr">
        <is>
          <t>ETAPA</t>
        </is>
      </c>
      <c r="I839" s="1735" t="inlineStr">
        <is>
          <t>08.010</t>
        </is>
      </c>
      <c r="J839" s="1736" t="inlineStr">
        <is>
          <t>INSTALAÇÕES PREVENTIVAS - Tipo x8</t>
        </is>
      </c>
      <c r="K839" s="1737" t="n"/>
      <c r="L839" s="1738" t="n"/>
      <c r="M839" s="1738" t="n"/>
      <c r="N839" s="1739" t="n">
        <v>291075.5668</v>
      </c>
      <c r="O839" s="1722" t="n"/>
      <c r="P839" s="1725" t="n"/>
    </row>
    <row r="840" hidden="1" outlineLevel="2" ht="13.9" customHeight="1">
      <c r="A840" s="2117" t="n">
        <v>0</v>
      </c>
      <c r="B840" s="2117" t="n">
        <v>8</v>
      </c>
      <c r="C840" s="2117" t="n">
        <v>10</v>
      </c>
      <c r="D840" s="2118" t="n">
        <v>1</v>
      </c>
      <c r="E840" s="2118" t="n">
        <v>0</v>
      </c>
      <c r="G840" s="1740" t="n"/>
      <c r="H840" s="1741" t="inlineStr">
        <is>
          <t>SUBETAPA</t>
        </is>
      </c>
      <c r="I840" s="1742" t="inlineStr">
        <is>
          <t>08.010.001</t>
        </is>
      </c>
      <c r="J840" s="1743" t="inlineStr">
        <is>
          <t>Hidrantes</t>
        </is>
      </c>
      <c r="K840" s="1744" t="n"/>
      <c r="L840" s="1745" t="n"/>
      <c r="M840" s="1745" t="n"/>
      <c r="N840" s="1746" t="n">
        <v>27689.796</v>
      </c>
      <c r="O840" s="1747" t="n"/>
      <c r="P840" s="1720" t="n"/>
    </row>
    <row r="841" hidden="1" outlineLevel="3" ht="13.9" customHeight="1">
      <c r="A841" s="2117" t="n">
        <v>0</v>
      </c>
      <c r="B841" s="2117" t="n">
        <v>8</v>
      </c>
      <c r="C841" s="2117" t="n">
        <v>10</v>
      </c>
      <c r="D841" s="2118" t="n">
        <v>1</v>
      </c>
      <c r="E841" s="2118" t="n">
        <v>1</v>
      </c>
      <c r="G841" s="1790" t="inlineStr">
        <is>
          <t>INSTALAÇÕES PREVENTIVAS</t>
        </is>
      </c>
      <c r="H841" s="1749" t="inlineStr">
        <is>
          <t>SERVIÇO</t>
        </is>
      </c>
      <c r="I841" s="1750" t="inlineStr">
        <is>
          <t>08.010.001.001</t>
        </is>
      </c>
      <c r="J841" s="1751" t="inlineStr">
        <is>
          <t>Hidrantes</t>
        </is>
      </c>
      <c r="K841" s="1752" t="inlineStr">
        <is>
          <t>vb</t>
        </is>
      </c>
      <c r="L841" s="1753" t="n">
        <v>1</v>
      </c>
      <c r="M841" s="1753" t="n">
        <v>27689.796</v>
      </c>
      <c r="N841" s="1754" t="n">
        <v>27689.796</v>
      </c>
      <c r="O841" s="1755" t="inlineStr">
        <is>
          <t>quantidades confirme quantidades do projetista</t>
        </is>
      </c>
      <c r="P841" s="1721" t="inlineStr">
        <is>
          <t>Pendente</t>
        </is>
      </c>
    </row>
    <row r="842" hidden="1" outlineLevel="2" ht="13.9" customHeight="1">
      <c r="A842" s="2117" t="n">
        <v>0</v>
      </c>
      <c r="B842" s="2117" t="n">
        <v>8</v>
      </c>
      <c r="C842" s="2117" t="n">
        <v>10</v>
      </c>
      <c r="D842" s="2118" t="n">
        <v>2</v>
      </c>
      <c r="E842" s="2118" t="n">
        <v>0</v>
      </c>
      <c r="G842" s="1740" t="n"/>
      <c r="H842" s="1741" t="inlineStr">
        <is>
          <t>SUBETAPA</t>
        </is>
      </c>
      <c r="I842" s="1742" t="inlineStr">
        <is>
          <t>08.010.002</t>
        </is>
      </c>
      <c r="J842" s="1743" t="inlineStr">
        <is>
          <t xml:space="preserve">Sinalização de emergência e extintores </t>
        </is>
      </c>
      <c r="K842" s="1744" t="n"/>
      <c r="L842" s="1745" t="n"/>
      <c r="M842" s="1745" t="n"/>
      <c r="N842" s="1746" t="n">
        <v>6153.6</v>
      </c>
      <c r="O842" s="1747" t="n"/>
      <c r="P842" s="1720" t="n"/>
    </row>
    <row r="843" hidden="1" outlineLevel="3" ht="13.9" customHeight="1">
      <c r="A843" s="2117" t="n">
        <v>0</v>
      </c>
      <c r="B843" s="2117" t="n">
        <v>8</v>
      </c>
      <c r="C843" s="2117" t="n">
        <v>10</v>
      </c>
      <c r="D843" s="2118" t="n">
        <v>2</v>
      </c>
      <c r="E843" s="2118" t="n">
        <v>1</v>
      </c>
      <c r="G843" s="1790" t="inlineStr">
        <is>
          <t>INSTALAÇÕES PREVENTIVAS</t>
        </is>
      </c>
      <c r="H843" s="1749" t="inlineStr">
        <is>
          <t>SERVIÇO</t>
        </is>
      </c>
      <c r="I843" s="1750" t="inlineStr">
        <is>
          <t>08.010.002.001</t>
        </is>
      </c>
      <c r="J843" s="1751" t="inlineStr">
        <is>
          <t xml:space="preserve">Sinalização de emergência e extintores </t>
        </is>
      </c>
      <c r="K843" s="1752" t="inlineStr">
        <is>
          <t>vb</t>
        </is>
      </c>
      <c r="L843" s="1753" t="n">
        <v>1</v>
      </c>
      <c r="M843" s="1753" t="n">
        <v>6153.6</v>
      </c>
      <c r="N843" s="1754" t="n">
        <v>6153.6</v>
      </c>
      <c r="O843" s="1755" t="inlineStr">
        <is>
          <t>quantidades confirme quantidades do projetista</t>
        </is>
      </c>
      <c r="P843" s="1721" t="inlineStr">
        <is>
          <t>Pendente</t>
        </is>
      </c>
    </row>
    <row r="844" hidden="1" outlineLevel="2" ht="13.9" customHeight="1">
      <c r="A844" s="2117" t="n">
        <v>0</v>
      </c>
      <c r="B844" s="2117" t="n">
        <v>8</v>
      </c>
      <c r="C844" s="2117" t="n">
        <v>10</v>
      </c>
      <c r="D844" s="2118" t="n">
        <v>3</v>
      </c>
      <c r="E844" s="2118" t="n">
        <v>0</v>
      </c>
      <c r="G844" s="1740" t="n"/>
      <c r="H844" s="1741" t="inlineStr">
        <is>
          <t>SUBETAPA</t>
        </is>
      </c>
      <c r="I844" s="1742" t="inlineStr">
        <is>
          <t>08.010.003</t>
        </is>
      </c>
      <c r="J844" s="1743" t="inlineStr">
        <is>
          <t>Sprinkles</t>
        </is>
      </c>
      <c r="K844" s="1744" t="n"/>
      <c r="L844" s="1745" t="n"/>
      <c r="M844" s="1745" t="n"/>
      <c r="N844" s="1746" t="n">
        <v>219912.65</v>
      </c>
      <c r="O844" s="1747" t="n"/>
      <c r="P844" s="1720" t="n"/>
    </row>
    <row r="845" hidden="1" outlineLevel="3" ht="13.9" customHeight="1">
      <c r="A845" s="2117" t="n">
        <v>0</v>
      </c>
      <c r="B845" s="2117" t="n">
        <v>8</v>
      </c>
      <c r="C845" s="2117" t="n">
        <v>10</v>
      </c>
      <c r="D845" s="2118" t="n">
        <v>3</v>
      </c>
      <c r="E845" s="2118" t="n">
        <v>1</v>
      </c>
      <c r="G845" s="1790" t="inlineStr">
        <is>
          <t>INSTALAÇÕES PREVENTIVAS</t>
        </is>
      </c>
      <c r="H845" s="1749" t="inlineStr">
        <is>
          <t>SERVIÇO</t>
        </is>
      </c>
      <c r="I845" s="1750" t="inlineStr">
        <is>
          <t>08.010.003.001</t>
        </is>
      </c>
      <c r="J845" s="1751" t="inlineStr">
        <is>
          <t>Sprinkles</t>
        </is>
      </c>
      <c r="K845" s="1752" t="inlineStr">
        <is>
          <t>vb</t>
        </is>
      </c>
      <c r="L845" s="1753" t="n">
        <v>1</v>
      </c>
      <c r="M845" s="1753" t="n">
        <v>219912.65</v>
      </c>
      <c r="N845" s="1754" t="n">
        <v>219912.65</v>
      </c>
      <c r="O845" s="1755" t="inlineStr">
        <is>
          <t>quantidades confirme quantidades do projetista</t>
        </is>
      </c>
      <c r="P845" s="1721" t="inlineStr">
        <is>
          <t>Pendente</t>
        </is>
      </c>
    </row>
    <row r="846" hidden="1" outlineLevel="2" ht="13.9" customHeight="1">
      <c r="A846" s="2117" t="n">
        <v>0</v>
      </c>
      <c r="B846" s="2117" t="n">
        <v>8</v>
      </c>
      <c r="C846" s="2117" t="n">
        <v>10</v>
      </c>
      <c r="D846" s="2118" t="n">
        <v>4</v>
      </c>
      <c r="E846" s="2118" t="n">
        <v>0</v>
      </c>
      <c r="G846" s="1740" t="n"/>
      <c r="H846" s="1741" t="inlineStr">
        <is>
          <t>SUBETAPA</t>
        </is>
      </c>
      <c r="I846" s="1742" t="inlineStr">
        <is>
          <t>08.010.004</t>
        </is>
      </c>
      <c r="J846" s="1743" t="inlineStr">
        <is>
          <t>Instalações de proteção e aterramento -SPDA</t>
        </is>
      </c>
      <c r="K846" s="1744" t="n"/>
      <c r="L846" s="1745" t="n"/>
      <c r="M846" s="1745" t="n"/>
      <c r="N846" s="1746" t="n">
        <v>0</v>
      </c>
      <c r="O846" s="1747" t="n"/>
      <c r="P846" s="1720" t="n"/>
    </row>
    <row r="847" hidden="1" outlineLevel="3" ht="13.9" customHeight="1">
      <c r="A847" s="2117" t="n">
        <v>0</v>
      </c>
      <c r="B847" s="2117" t="n">
        <v>8</v>
      </c>
      <c r="C847" s="2117" t="n">
        <v>10</v>
      </c>
      <c r="D847" s="2118" t="n">
        <v>4</v>
      </c>
      <c r="E847" s="2118" t="n">
        <v>1</v>
      </c>
      <c r="G847" s="1790" t="inlineStr">
        <is>
          <t>INSTALAÇÕES PREVENTIVAS</t>
        </is>
      </c>
      <c r="H847" s="1749" t="inlineStr">
        <is>
          <t>SERVIÇO</t>
        </is>
      </c>
      <c r="I847" s="1750" t="inlineStr">
        <is>
          <t>08.010.004.001</t>
        </is>
      </c>
      <c r="J847" s="1751" t="inlineStr">
        <is>
          <t>Instalações de proteção e aterramento -SPDA</t>
        </is>
      </c>
      <c r="K847" s="1752" t="inlineStr">
        <is>
          <t>vb</t>
        </is>
      </c>
      <c r="L847" s="1753" t="n">
        <v>1</v>
      </c>
      <c r="M847" s="1753" t="n"/>
      <c r="N847" s="1754" t="n">
        <v>0</v>
      </c>
      <c r="O847" s="1755" t="inlineStr">
        <is>
          <t>Estimado devido a ausencia de quantitativos</t>
        </is>
      </c>
      <c r="P847" s="1721" t="inlineStr">
        <is>
          <t>Pendente</t>
        </is>
      </c>
    </row>
    <row r="848" hidden="1" outlineLevel="2" ht="13.9" customHeight="1">
      <c r="A848" s="2117" t="n">
        <v>0</v>
      </c>
      <c r="B848" s="2117" t="n">
        <v>8</v>
      </c>
      <c r="C848" s="2117" t="n">
        <v>10</v>
      </c>
      <c r="D848" s="2118" t="n">
        <v>5</v>
      </c>
      <c r="E848" s="2118" t="n">
        <v>0</v>
      </c>
      <c r="G848" s="1740" t="n"/>
      <c r="H848" s="1741" t="inlineStr">
        <is>
          <t>SUBETAPA</t>
        </is>
      </c>
      <c r="I848" s="1742" t="inlineStr">
        <is>
          <t>08.010.005</t>
        </is>
      </c>
      <c r="J848" s="1743" t="inlineStr">
        <is>
          <t>Central de Alarmes</t>
        </is>
      </c>
      <c r="K848" s="1744" t="n"/>
      <c r="L848" s="1745" t="n"/>
      <c r="M848" s="1745" t="n"/>
      <c r="N848" s="1746" t="n">
        <v>25183.1208</v>
      </c>
      <c r="O848" s="1747" t="n"/>
      <c r="P848" s="1720" t="n"/>
    </row>
    <row r="849" hidden="1" outlineLevel="3" ht="13.9" customHeight="1">
      <c r="A849" s="2117" t="n">
        <v>0</v>
      </c>
      <c r="B849" s="2117" t="n">
        <v>8</v>
      </c>
      <c r="C849" s="2117" t="n">
        <v>10</v>
      </c>
      <c r="D849" s="2118" t="n">
        <v>5</v>
      </c>
      <c r="E849" s="2118" t="n">
        <v>1</v>
      </c>
      <c r="G849" s="1790" t="inlineStr">
        <is>
          <t>INSTALAÇÕES PREVENTIVAS</t>
        </is>
      </c>
      <c r="H849" s="1749" t="inlineStr">
        <is>
          <t>SERVIÇO</t>
        </is>
      </c>
      <c r="I849" s="1750" t="inlineStr">
        <is>
          <t>08.010.005.001</t>
        </is>
      </c>
      <c r="J849" s="1751" t="inlineStr">
        <is>
          <t>Central de Alarmes</t>
        </is>
      </c>
      <c r="K849" s="1752" t="inlineStr">
        <is>
          <t>vb</t>
        </is>
      </c>
      <c r="L849" s="1753" t="n">
        <v>1</v>
      </c>
      <c r="M849" s="1753" t="n">
        <v>25183.1208</v>
      </c>
      <c r="N849" s="1754" t="n">
        <v>25183.1208</v>
      </c>
      <c r="O849" s="1755" t="inlineStr">
        <is>
          <t>quantidades confirme quantidades do projetista</t>
        </is>
      </c>
      <c r="P849" s="1721" t="inlineStr">
        <is>
          <t>Pendente</t>
        </is>
      </c>
    </row>
    <row r="850" hidden="1" outlineLevel="2" ht="13.9" customHeight="1">
      <c r="A850" s="2117" t="n">
        <v>0</v>
      </c>
      <c r="B850" s="2117" t="n">
        <v>8</v>
      </c>
      <c r="C850" s="2117" t="n">
        <v>10</v>
      </c>
      <c r="D850" s="2118" t="n">
        <v>6</v>
      </c>
      <c r="E850" s="2118" t="n">
        <v>0</v>
      </c>
      <c r="G850" s="1740" t="n"/>
      <c r="H850" s="1741" t="inlineStr">
        <is>
          <t>SUBETAPA</t>
        </is>
      </c>
      <c r="I850" s="1742" t="inlineStr">
        <is>
          <t>08.010.006</t>
        </is>
      </c>
      <c r="J850" s="1743" t="inlineStr">
        <is>
          <t>Sistema de bombas</t>
        </is>
      </c>
      <c r="K850" s="1744" t="n"/>
      <c r="L850" s="1745" t="n"/>
      <c r="M850" s="1745" t="n"/>
      <c r="N850" s="1746" t="n">
        <v>0</v>
      </c>
      <c r="O850" s="1747" t="n"/>
      <c r="P850" s="1720" t="n"/>
    </row>
    <row r="851" hidden="1" outlineLevel="3" ht="13.9" customHeight="1">
      <c r="A851" s="2117" t="n">
        <v>0</v>
      </c>
      <c r="B851" s="2117" t="n">
        <v>8</v>
      </c>
      <c r="C851" s="2117" t="n">
        <v>10</v>
      </c>
      <c r="D851" s="2118" t="n">
        <v>6</v>
      </c>
      <c r="E851" s="2118" t="n">
        <v>1</v>
      </c>
      <c r="G851" s="1790" t="inlineStr">
        <is>
          <t>INSTALAÇÕES PREVENTIVAS</t>
        </is>
      </c>
      <c r="H851" s="1749" t="inlineStr">
        <is>
          <t>SERVIÇO</t>
        </is>
      </c>
      <c r="I851" s="1750" t="inlineStr">
        <is>
          <t>08.010.006.001</t>
        </is>
      </c>
      <c r="J851" s="1751" t="inlineStr">
        <is>
          <t>Sistema de bombas</t>
        </is>
      </c>
      <c r="K851" s="1752" t="inlineStr">
        <is>
          <t>vb</t>
        </is>
      </c>
      <c r="L851" s="1753" t="n">
        <v>1</v>
      </c>
      <c r="M851" s="1753" t="n"/>
      <c r="N851" s="1754" t="n">
        <v>0</v>
      </c>
      <c r="O851" s="1755" t="inlineStr">
        <is>
          <t>quantidades confirme quantidades do projetista</t>
        </is>
      </c>
      <c r="P851" s="1721" t="inlineStr">
        <is>
          <t>Pendente</t>
        </is>
      </c>
    </row>
    <row r="852" hidden="1" outlineLevel="2" ht="13.9" customHeight="1">
      <c r="A852" s="2117" t="n">
        <v>0</v>
      </c>
      <c r="B852" s="2117" t="n">
        <v>8</v>
      </c>
      <c r="C852" s="2117" t="n">
        <v>10</v>
      </c>
      <c r="D852" s="2118" t="n">
        <v>7</v>
      </c>
      <c r="E852" s="2118" t="n">
        <v>0</v>
      </c>
      <c r="G852" s="1740" t="n"/>
      <c r="H852" s="1741" t="inlineStr">
        <is>
          <t>SUBETAPA</t>
        </is>
      </c>
      <c r="I852" s="1742" t="inlineStr">
        <is>
          <t>08.010.007</t>
        </is>
      </c>
      <c r="J852" s="1743" t="inlineStr">
        <is>
          <t>Mão de obra</t>
        </is>
      </c>
      <c r="K852" s="1744" t="n"/>
      <c r="L852" s="1745" t="n"/>
      <c r="M852" s="1745" t="n"/>
      <c r="N852" s="1746" t="n">
        <v>12136.4</v>
      </c>
      <c r="O852" s="1747" t="n"/>
      <c r="P852" s="1720" t="n"/>
    </row>
    <row r="853" hidden="1" outlineLevel="3" ht="13.9" customHeight="1">
      <c r="A853" s="2117" t="n">
        <v>0</v>
      </c>
      <c r="B853" s="2117" t="n">
        <v>8</v>
      </c>
      <c r="C853" s="2117" t="n">
        <v>10</v>
      </c>
      <c r="D853" s="2118" t="n">
        <v>7</v>
      </c>
      <c r="E853" s="2118" t="n">
        <v>1</v>
      </c>
      <c r="G853" s="1790" t="inlineStr">
        <is>
          <t>INSTALAÇÕES PREVENTIVAS</t>
        </is>
      </c>
      <c r="H853" s="1749" t="inlineStr">
        <is>
          <t>SERVIÇO</t>
        </is>
      </c>
      <c r="I853" s="1750" t="inlineStr">
        <is>
          <t>08.010.007.001</t>
        </is>
      </c>
      <c r="J853" s="1751" t="inlineStr">
        <is>
          <t>Mão de obra PPCI</t>
        </is>
      </c>
      <c r="K853" s="1752" t="inlineStr">
        <is>
          <t>vb</t>
        </is>
      </c>
      <c r="L853" s="1753" t="n">
        <v>1</v>
      </c>
      <c r="M853" s="1753" t="n">
        <v>12136.4</v>
      </c>
      <c r="N853" s="1754" t="n">
        <v>12136.4</v>
      </c>
      <c r="O853" s="1765" t="inlineStr">
        <is>
          <t>Considerado R$5/m²</t>
        </is>
      </c>
      <c r="P853" s="1721" t="inlineStr">
        <is>
          <t>Pendente</t>
        </is>
      </c>
    </row>
    <row r="854" hidden="1" outlineLevel="1" ht="13.9" customHeight="1">
      <c r="A854" s="2117" t="n">
        <v>0</v>
      </c>
      <c r="B854" s="2117" t="n">
        <v>8</v>
      </c>
      <c r="C854" s="2117" t="n">
        <v>11</v>
      </c>
      <c r="D854" s="2118" t="n">
        <v>0</v>
      </c>
      <c r="E854" s="2118" t="n">
        <v>1</v>
      </c>
      <c r="G854" s="1733" t="n"/>
      <c r="H854" s="1734" t="inlineStr">
        <is>
          <t>ETAPA</t>
        </is>
      </c>
      <c r="I854" s="1735" t="inlineStr">
        <is>
          <t>08.011</t>
        </is>
      </c>
      <c r="J854" s="1736" t="inlineStr">
        <is>
          <t>INSTALAÇÕES PREVENTIVAS - Penthouse x22</t>
        </is>
      </c>
      <c r="K854" s="1737" t="n"/>
      <c r="L854" s="1738" t="n"/>
      <c r="M854" s="1738" t="n"/>
      <c r="N854" s="1739" t="n">
        <v>705113.9193</v>
      </c>
      <c r="O854" s="1722" t="n"/>
      <c r="P854" s="1725" t="n"/>
    </row>
    <row r="855" hidden="1" outlineLevel="2" ht="13.9" customHeight="1">
      <c r="A855" s="2117" t="n">
        <v>0</v>
      </c>
      <c r="B855" s="2117" t="n">
        <v>8</v>
      </c>
      <c r="C855" s="2117" t="n">
        <v>11</v>
      </c>
      <c r="D855" s="2118" t="n">
        <v>1</v>
      </c>
      <c r="E855" s="2118" t="n">
        <v>0</v>
      </c>
      <c r="G855" s="1740" t="n"/>
      <c r="H855" s="1741" t="inlineStr">
        <is>
          <t>SUBETAPA</t>
        </is>
      </c>
      <c r="I855" s="1742" t="inlineStr">
        <is>
          <t>08.011.001</t>
        </is>
      </c>
      <c r="J855" s="1743" t="inlineStr">
        <is>
          <t>Hidrantes</t>
        </is>
      </c>
      <c r="K855" s="1744" t="n"/>
      <c r="L855" s="1745" t="n"/>
      <c r="M855" s="1745" t="n"/>
      <c r="N855" s="1746" t="n">
        <v>62099.82</v>
      </c>
      <c r="O855" s="1747" t="n"/>
      <c r="P855" s="1720" t="n"/>
    </row>
    <row r="856" hidden="1" outlineLevel="3" ht="13.9" customHeight="1">
      <c r="A856" s="2117" t="n">
        <v>0</v>
      </c>
      <c r="B856" s="2117" t="n">
        <v>8</v>
      </c>
      <c r="C856" s="2117" t="n">
        <v>11</v>
      </c>
      <c r="D856" s="2118" t="n">
        <v>1</v>
      </c>
      <c r="E856" s="2118" t="n">
        <v>1</v>
      </c>
      <c r="G856" s="1790" t="inlineStr">
        <is>
          <t>INSTALAÇÕES PREVENTIVAS</t>
        </is>
      </c>
      <c r="H856" s="1749" t="inlineStr">
        <is>
          <t>SERVIÇO</t>
        </is>
      </c>
      <c r="I856" s="1750" t="inlineStr">
        <is>
          <t>08.011.001.001</t>
        </is>
      </c>
      <c r="J856" s="1751" t="inlineStr">
        <is>
          <t>Hidrantes</t>
        </is>
      </c>
      <c r="K856" s="1752" t="inlineStr">
        <is>
          <t>vb</t>
        </is>
      </c>
      <c r="L856" s="1753" t="n">
        <v>1</v>
      </c>
      <c r="M856" s="1753" t="n">
        <v>62099.82</v>
      </c>
      <c r="N856" s="1754" t="n">
        <v>62099.82</v>
      </c>
      <c r="O856" s="1755" t="inlineStr">
        <is>
          <t>quantidades confirme quantidades do projetista</t>
        </is>
      </c>
      <c r="P856" s="1721" t="inlineStr">
        <is>
          <t>Pendente</t>
        </is>
      </c>
    </row>
    <row r="857" hidden="1" outlineLevel="2" ht="13.9" customHeight="1">
      <c r="A857" s="2117" t="n">
        <v>0</v>
      </c>
      <c r="B857" s="2117" t="n">
        <v>8</v>
      </c>
      <c r="C857" s="2117" t="n">
        <v>11</v>
      </c>
      <c r="D857" s="2118" t="n">
        <v>2</v>
      </c>
      <c r="E857" s="2118" t="n">
        <v>0</v>
      </c>
      <c r="G857" s="1740" t="n"/>
      <c r="H857" s="1741" t="inlineStr">
        <is>
          <t>SUBETAPA</t>
        </is>
      </c>
      <c r="I857" s="1742" t="inlineStr">
        <is>
          <t>08.011.002</t>
        </is>
      </c>
      <c r="J857" s="1743" t="inlineStr">
        <is>
          <t xml:space="preserve">Sinalização de emergência e extintores </t>
        </is>
      </c>
      <c r="K857" s="1744" t="n"/>
      <c r="L857" s="1745" t="n"/>
      <c r="M857" s="1745" t="n"/>
      <c r="N857" s="1746" t="n">
        <v>14952.7</v>
      </c>
      <c r="O857" s="1747" t="n"/>
      <c r="P857" s="1720" t="n"/>
    </row>
    <row r="858" hidden="1" outlineLevel="3" ht="13.9" customHeight="1">
      <c r="A858" s="2117" t="n">
        <v>0</v>
      </c>
      <c r="B858" s="2117" t="n">
        <v>8</v>
      </c>
      <c r="C858" s="2117" t="n">
        <v>11</v>
      </c>
      <c r="D858" s="2118" t="n">
        <v>2</v>
      </c>
      <c r="E858" s="2118" t="n">
        <v>1</v>
      </c>
      <c r="G858" s="1790" t="inlineStr">
        <is>
          <t>INSTALAÇÕES PREVENTIVAS</t>
        </is>
      </c>
      <c r="H858" s="1749" t="inlineStr">
        <is>
          <t>SERVIÇO</t>
        </is>
      </c>
      <c r="I858" s="1750" t="inlineStr">
        <is>
          <t>08.011.002.001</t>
        </is>
      </c>
      <c r="J858" s="1751" t="inlineStr">
        <is>
          <t xml:space="preserve">Sinalização de emergência e extintores </t>
        </is>
      </c>
      <c r="K858" s="1752" t="inlineStr">
        <is>
          <t>vb</t>
        </is>
      </c>
      <c r="L858" s="1753" t="n">
        <v>1</v>
      </c>
      <c r="M858" s="1753" t="n">
        <v>14952.7</v>
      </c>
      <c r="N858" s="1754" t="n">
        <v>14952.7</v>
      </c>
      <c r="O858" s="1755" t="inlineStr">
        <is>
          <t>quantidades confirme quantidades do projetista</t>
        </is>
      </c>
      <c r="P858" s="1721" t="inlineStr">
        <is>
          <t>Pendente</t>
        </is>
      </c>
    </row>
    <row r="859" hidden="1" outlineLevel="2" ht="13.9" customHeight="1">
      <c r="A859" s="2117" t="n">
        <v>0</v>
      </c>
      <c r="B859" s="2117" t="n">
        <v>8</v>
      </c>
      <c r="C859" s="2117" t="n">
        <v>11</v>
      </c>
      <c r="D859" s="2118" t="n">
        <v>3</v>
      </c>
      <c r="E859" s="2118" t="n">
        <v>0</v>
      </c>
      <c r="G859" s="1740" t="n"/>
      <c r="H859" s="1741" t="inlineStr">
        <is>
          <t>SUBETAPA</t>
        </is>
      </c>
      <c r="I859" s="1742" t="inlineStr">
        <is>
          <t>08.011.003</t>
        </is>
      </c>
      <c r="J859" s="1743" t="inlineStr">
        <is>
          <t>Sprinkles</t>
        </is>
      </c>
      <c r="K859" s="1744" t="n"/>
      <c r="L859" s="1745" t="n"/>
      <c r="M859" s="1745" t="n"/>
      <c r="N859" s="1746" t="n">
        <v>511713.1</v>
      </c>
      <c r="O859" s="1747" t="n"/>
      <c r="P859" s="1720" t="n"/>
    </row>
    <row r="860" hidden="1" outlineLevel="3" ht="13.9" customHeight="1">
      <c r="A860" s="2117" t="n">
        <v>0</v>
      </c>
      <c r="B860" s="2117" t="n">
        <v>8</v>
      </c>
      <c r="C860" s="2117" t="n">
        <v>11</v>
      </c>
      <c r="D860" s="2118" t="n">
        <v>3</v>
      </c>
      <c r="E860" s="2118" t="n">
        <v>1</v>
      </c>
      <c r="G860" s="1790" t="inlineStr">
        <is>
          <t>INSTALAÇÕES PREVENTIVAS</t>
        </is>
      </c>
      <c r="H860" s="1749" t="inlineStr">
        <is>
          <t>SERVIÇO</t>
        </is>
      </c>
      <c r="I860" s="1750" t="inlineStr">
        <is>
          <t>08.011.003.001</t>
        </is>
      </c>
      <c r="J860" s="1751" t="inlineStr">
        <is>
          <t>Sprinkles</t>
        </is>
      </c>
      <c r="K860" s="1752" t="inlineStr">
        <is>
          <t>vb</t>
        </is>
      </c>
      <c r="L860" s="1753" t="n">
        <v>1</v>
      </c>
      <c r="M860" s="1753" t="n">
        <v>511713.1</v>
      </c>
      <c r="N860" s="1754" t="n">
        <v>511713.1</v>
      </c>
      <c r="O860" s="1755" t="inlineStr">
        <is>
          <t>quantidades confirme quantidades do projetista</t>
        </is>
      </c>
      <c r="P860" s="1721" t="inlineStr">
        <is>
          <t>Pendente</t>
        </is>
      </c>
    </row>
    <row r="861" hidden="1" outlineLevel="2" ht="13.9" customHeight="1">
      <c r="A861" s="2117" t="n">
        <v>0</v>
      </c>
      <c r="B861" s="2117" t="n">
        <v>8</v>
      </c>
      <c r="C861" s="2117" t="n">
        <v>11</v>
      </c>
      <c r="D861" s="2118" t="n">
        <v>4</v>
      </c>
      <c r="E861" s="2118" t="n">
        <v>0</v>
      </c>
      <c r="G861" s="1740" t="n"/>
      <c r="H861" s="1741" t="inlineStr">
        <is>
          <t>SUBETAPA</t>
        </is>
      </c>
      <c r="I861" s="1742" t="inlineStr">
        <is>
          <t>08.011.004</t>
        </is>
      </c>
      <c r="J861" s="1743" t="inlineStr">
        <is>
          <t>Instalações de proteção e aterramento -SPDA</t>
        </is>
      </c>
      <c r="K861" s="1744" t="n"/>
      <c r="L861" s="1745" t="n"/>
      <c r="M861" s="1745" t="n"/>
      <c r="N861" s="1746" t="n">
        <v>0</v>
      </c>
      <c r="O861" s="1747" t="n"/>
      <c r="P861" s="1720" t="n"/>
    </row>
    <row r="862" hidden="1" outlineLevel="3" ht="13.9" customHeight="1">
      <c r="A862" s="2117" t="n">
        <v>0</v>
      </c>
      <c r="B862" s="2117" t="n">
        <v>8</v>
      </c>
      <c r="C862" s="2117" t="n">
        <v>11</v>
      </c>
      <c r="D862" s="2118" t="n">
        <v>4</v>
      </c>
      <c r="E862" s="2118" t="n">
        <v>1</v>
      </c>
      <c r="G862" s="1790" t="inlineStr">
        <is>
          <t>INSTALAÇÕES PREVENTIVAS</t>
        </is>
      </c>
      <c r="H862" s="1749" t="inlineStr">
        <is>
          <t>SERVIÇO</t>
        </is>
      </c>
      <c r="I862" s="1750" t="inlineStr">
        <is>
          <t>08.011.004.001</t>
        </is>
      </c>
      <c r="J862" s="1751" t="inlineStr">
        <is>
          <t>Instalações de proteção e aterramento -SPDA</t>
        </is>
      </c>
      <c r="K862" s="1752" t="inlineStr">
        <is>
          <t>vb</t>
        </is>
      </c>
      <c r="L862" s="1753" t="n">
        <v>1</v>
      </c>
      <c r="M862" s="1753" t="n"/>
      <c r="N862" s="1754" t="n">
        <v>0</v>
      </c>
      <c r="O862" s="1755" t="inlineStr">
        <is>
          <t>Estimado devido a ausencia de quantitativos</t>
        </is>
      </c>
      <c r="P862" s="1721" t="inlineStr">
        <is>
          <t>Pendente</t>
        </is>
      </c>
    </row>
    <row r="863" hidden="1" outlineLevel="2" ht="13.9" customHeight="1">
      <c r="A863" s="2117" t="n">
        <v>0</v>
      </c>
      <c r="B863" s="2117" t="n">
        <v>8</v>
      </c>
      <c r="C863" s="2117" t="n">
        <v>11</v>
      </c>
      <c r="D863" s="2118" t="n">
        <v>5</v>
      </c>
      <c r="E863" s="2118" t="n">
        <v>0</v>
      </c>
      <c r="G863" s="1740" t="n"/>
      <c r="H863" s="1741" t="inlineStr">
        <is>
          <t>SUBETAPA</t>
        </is>
      </c>
      <c r="I863" s="1742" t="inlineStr">
        <is>
          <t>08.011.005</t>
        </is>
      </c>
      <c r="J863" s="1743" t="inlineStr">
        <is>
          <t>Central de Alarmes</t>
        </is>
      </c>
      <c r="K863" s="1744" t="n"/>
      <c r="L863" s="1745" t="n"/>
      <c r="M863" s="1745" t="n"/>
      <c r="N863" s="1746" t="n">
        <v>84473.44929999999</v>
      </c>
      <c r="O863" s="1747" t="n"/>
      <c r="P863" s="1720" t="n"/>
    </row>
    <row r="864" hidden="1" outlineLevel="3" ht="13.9" customHeight="1">
      <c r="A864" s="2117" t="n">
        <v>0</v>
      </c>
      <c r="B864" s="2117" t="n">
        <v>8</v>
      </c>
      <c r="C864" s="2117" t="n">
        <v>11</v>
      </c>
      <c r="D864" s="2118" t="n">
        <v>5</v>
      </c>
      <c r="E864" s="2118" t="n">
        <v>1</v>
      </c>
      <c r="G864" s="1790" t="inlineStr">
        <is>
          <t>INSTALAÇÕES PREVENTIVAS</t>
        </is>
      </c>
      <c r="H864" s="1749" t="inlineStr">
        <is>
          <t>SERVIÇO</t>
        </is>
      </c>
      <c r="I864" s="1750" t="inlineStr">
        <is>
          <t>08.011.005.001</t>
        </is>
      </c>
      <c r="J864" s="1751" t="inlineStr">
        <is>
          <t>Central de Alarmes</t>
        </is>
      </c>
      <c r="K864" s="1752" t="inlineStr">
        <is>
          <t>vb</t>
        </is>
      </c>
      <c r="L864" s="1753" t="n">
        <v>1</v>
      </c>
      <c r="M864" s="1753" t="n">
        <v>84473.44930000001</v>
      </c>
      <c r="N864" s="1754" t="n">
        <v>84473.44929999999</v>
      </c>
      <c r="O864" s="1755" t="inlineStr">
        <is>
          <t>quantidades confirme quantidades do projetista</t>
        </is>
      </c>
      <c r="P864" s="1721" t="inlineStr">
        <is>
          <t>Pendente</t>
        </is>
      </c>
    </row>
    <row r="865" hidden="1" outlineLevel="2" ht="13.9" customHeight="1">
      <c r="A865" s="2117" t="n">
        <v>0</v>
      </c>
      <c r="B865" s="2117" t="n">
        <v>8</v>
      </c>
      <c r="C865" s="2117" t="n">
        <v>11</v>
      </c>
      <c r="D865" s="2118" t="n">
        <v>6</v>
      </c>
      <c r="E865" s="2118" t="n">
        <v>0</v>
      </c>
      <c r="G865" s="1740" t="n"/>
      <c r="H865" s="1741" t="inlineStr">
        <is>
          <t>SUBETAPA</t>
        </is>
      </c>
      <c r="I865" s="1742" t="inlineStr">
        <is>
          <t>08.011.006</t>
        </is>
      </c>
      <c r="J865" s="1743" t="inlineStr">
        <is>
          <t>Sistema de bombas</t>
        </is>
      </c>
      <c r="K865" s="1744" t="n"/>
      <c r="L865" s="1745" t="n"/>
      <c r="M865" s="1745" t="n"/>
      <c r="N865" s="1746" t="n">
        <v>0</v>
      </c>
      <c r="O865" s="1747" t="n"/>
      <c r="P865" s="1720" t="n"/>
    </row>
    <row r="866" hidden="1" outlineLevel="3" ht="13.9" customHeight="1">
      <c r="A866" s="2117" t="n">
        <v>0</v>
      </c>
      <c r="B866" s="2117" t="n">
        <v>8</v>
      </c>
      <c r="C866" s="2117" t="n">
        <v>11</v>
      </c>
      <c r="D866" s="2118" t="n">
        <v>6</v>
      </c>
      <c r="E866" s="2118" t="n">
        <v>1</v>
      </c>
      <c r="G866" s="1790" t="inlineStr">
        <is>
          <t>INSTALAÇÕES PREVENTIVAS</t>
        </is>
      </c>
      <c r="H866" s="1749" t="inlineStr">
        <is>
          <t>SERVIÇO</t>
        </is>
      </c>
      <c r="I866" s="1750" t="inlineStr">
        <is>
          <t>08.011.006.001</t>
        </is>
      </c>
      <c r="J866" s="1751" t="inlineStr">
        <is>
          <t>Sistema de bombas</t>
        </is>
      </c>
      <c r="K866" s="1752" t="inlineStr">
        <is>
          <t>vb</t>
        </is>
      </c>
      <c r="L866" s="1753" t="n">
        <v>1</v>
      </c>
      <c r="M866" s="1753" t="n"/>
      <c r="N866" s="1754" t="n">
        <v>0</v>
      </c>
      <c r="O866" s="1755" t="inlineStr">
        <is>
          <t>quantidades confirme quantidades do projetista</t>
        </is>
      </c>
      <c r="P866" s="1721" t="inlineStr">
        <is>
          <t>Pendente</t>
        </is>
      </c>
    </row>
    <row r="867" hidden="1" outlineLevel="2" ht="13.9" customHeight="1">
      <c r="A867" s="2117" t="n">
        <v>0</v>
      </c>
      <c r="B867" s="2117" t="n">
        <v>8</v>
      </c>
      <c r="C867" s="2117" t="n">
        <v>11</v>
      </c>
      <c r="D867" s="2118" t="n">
        <v>7</v>
      </c>
      <c r="E867" s="2118" t="n">
        <v>0</v>
      </c>
      <c r="G867" s="1740" t="n"/>
      <c r="H867" s="1741" t="inlineStr">
        <is>
          <t>SUBETAPA</t>
        </is>
      </c>
      <c r="I867" s="1742" t="inlineStr">
        <is>
          <t>08.011.007</t>
        </is>
      </c>
      <c r="J867" s="1743" t="inlineStr">
        <is>
          <t>Mão de obra</t>
        </is>
      </c>
      <c r="K867" s="1744" t="n"/>
      <c r="L867" s="1745" t="n"/>
      <c r="M867" s="1745" t="n"/>
      <c r="N867" s="1746" t="n">
        <v>31874.85</v>
      </c>
      <c r="O867" s="1747" t="n"/>
      <c r="P867" s="1720" t="n"/>
    </row>
    <row r="868" hidden="1" outlineLevel="3" ht="13.9" customHeight="1">
      <c r="A868" s="2117" t="n">
        <v>0</v>
      </c>
      <c r="B868" s="2117" t="n">
        <v>8</v>
      </c>
      <c r="C868" s="2117" t="n">
        <v>11</v>
      </c>
      <c r="D868" s="2118" t="n">
        <v>7</v>
      </c>
      <c r="E868" s="2118" t="n">
        <v>1</v>
      </c>
      <c r="G868" s="1790" t="inlineStr">
        <is>
          <t>INSTALAÇÕES PREVENTIVAS</t>
        </is>
      </c>
      <c r="H868" s="1749" t="inlineStr">
        <is>
          <t>SERVIÇO</t>
        </is>
      </c>
      <c r="I868" s="1750" t="inlineStr">
        <is>
          <t>08.011.007.001</t>
        </is>
      </c>
      <c r="J868" s="1751" t="inlineStr">
        <is>
          <t>Mão de obra PPCI</t>
        </is>
      </c>
      <c r="K868" s="1752" t="inlineStr">
        <is>
          <t>vb</t>
        </is>
      </c>
      <c r="L868" s="1753" t="n">
        <v>1</v>
      </c>
      <c r="M868" s="1753" t="n">
        <v>31874.85</v>
      </c>
      <c r="N868" s="1754" t="n">
        <v>31874.85</v>
      </c>
      <c r="O868" s="1765" t="inlineStr">
        <is>
          <t>Considerado R$5/m²</t>
        </is>
      </c>
      <c r="P868" s="1721" t="inlineStr">
        <is>
          <t>Pendente</t>
        </is>
      </c>
    </row>
    <row r="869" hidden="1" outlineLevel="1" ht="13.9" customHeight="1">
      <c r="A869" s="2117" t="n">
        <v>0</v>
      </c>
      <c r="B869" s="2117" t="n">
        <v>8</v>
      </c>
      <c r="C869" s="2117" t="n">
        <v>12</v>
      </c>
      <c r="D869" s="2118" t="n">
        <v>0</v>
      </c>
      <c r="E869" s="2118" t="n">
        <v>1</v>
      </c>
      <c r="G869" s="1733" t="n"/>
      <c r="H869" s="1734" t="inlineStr">
        <is>
          <t>ETAPA</t>
        </is>
      </c>
      <c r="I869" s="1735" t="inlineStr">
        <is>
          <t>08.012</t>
        </is>
      </c>
      <c r="J869" s="1736" t="inlineStr">
        <is>
          <t>INSTALAÇÕES PREVENTIVAS - Duplex Inferior</t>
        </is>
      </c>
      <c r="K869" s="1737" t="n"/>
      <c r="L869" s="1738" t="n"/>
      <c r="M869" s="1738" t="n"/>
      <c r="N869" s="1739" t="n">
        <v>30016.7702</v>
      </c>
      <c r="O869" s="1722" t="n"/>
      <c r="P869" s="1725" t="n"/>
    </row>
    <row r="870" hidden="1" outlineLevel="2" ht="13.9" customHeight="1">
      <c r="A870" s="2117" t="n">
        <v>0</v>
      </c>
      <c r="B870" s="2117" t="n">
        <v>8</v>
      </c>
      <c r="C870" s="2117" t="n">
        <v>12</v>
      </c>
      <c r="D870" s="2118" t="n">
        <v>1</v>
      </c>
      <c r="E870" s="2118" t="n">
        <v>0</v>
      </c>
      <c r="G870" s="1740" t="n"/>
      <c r="H870" s="1741" t="inlineStr">
        <is>
          <t>SUBETAPA</t>
        </is>
      </c>
      <c r="I870" s="1742" t="inlineStr">
        <is>
          <t>08.012.001</t>
        </is>
      </c>
      <c r="J870" s="1743" t="inlineStr">
        <is>
          <t>Hidrantes</t>
        </is>
      </c>
      <c r="K870" s="1744" t="n"/>
      <c r="L870" s="1745" t="n"/>
      <c r="M870" s="1745" t="n"/>
      <c r="N870" s="1746" t="n">
        <v>3267.2</v>
      </c>
      <c r="O870" s="1747" t="n"/>
      <c r="P870" s="1720" t="n"/>
    </row>
    <row r="871" hidden="1" outlineLevel="3" ht="13.9" customHeight="1">
      <c r="A871" s="2117" t="n">
        <v>0</v>
      </c>
      <c r="B871" s="2117" t="n">
        <v>8</v>
      </c>
      <c r="C871" s="2117" t="n">
        <v>12</v>
      </c>
      <c r="D871" s="2118" t="n">
        <v>1</v>
      </c>
      <c r="E871" s="2118" t="n">
        <v>1</v>
      </c>
      <c r="G871" s="1790" t="inlineStr">
        <is>
          <t>INSTALAÇÕES PREVENTIVAS</t>
        </is>
      </c>
      <c r="H871" s="1749" t="inlineStr">
        <is>
          <t>SERVIÇO</t>
        </is>
      </c>
      <c r="I871" s="1750" t="inlineStr">
        <is>
          <t>08.012.001.001</t>
        </is>
      </c>
      <c r="J871" s="1751" t="inlineStr">
        <is>
          <t>Hidrantes</t>
        </is>
      </c>
      <c r="K871" s="1752" t="inlineStr">
        <is>
          <t>vb</t>
        </is>
      </c>
      <c r="L871" s="1753" t="n">
        <v>1</v>
      </c>
      <c r="M871" s="1753" t="n">
        <v>3267.2</v>
      </c>
      <c r="N871" s="1754" t="n">
        <v>3267.2</v>
      </c>
      <c r="O871" s="1755" t="inlineStr">
        <is>
          <t>quantidades confirme quantidades do projetista</t>
        </is>
      </c>
      <c r="P871" s="1721" t="inlineStr">
        <is>
          <t>Pendente</t>
        </is>
      </c>
    </row>
    <row r="872" hidden="1" outlineLevel="2" ht="13.9" customHeight="1">
      <c r="A872" s="2117" t="n">
        <v>0</v>
      </c>
      <c r="B872" s="2117" t="n">
        <v>8</v>
      </c>
      <c r="C872" s="2117" t="n">
        <v>12</v>
      </c>
      <c r="D872" s="2118" t="n">
        <v>2</v>
      </c>
      <c r="E872" s="2118" t="n">
        <v>0</v>
      </c>
      <c r="G872" s="1740" t="n"/>
      <c r="H872" s="1741" t="inlineStr">
        <is>
          <t>SUBETAPA</t>
        </is>
      </c>
      <c r="I872" s="1742" t="inlineStr">
        <is>
          <t>08.012.002</t>
        </is>
      </c>
      <c r="J872" s="1743" t="inlineStr">
        <is>
          <t xml:space="preserve">Sinalização de emergência e extintores </t>
        </is>
      </c>
      <c r="K872" s="1744" t="n"/>
      <c r="L872" s="1745" t="n"/>
      <c r="M872" s="1745" t="n"/>
      <c r="N872" s="1746" t="n">
        <v>600.45</v>
      </c>
      <c r="O872" s="1747" t="n"/>
      <c r="P872" s="1720" t="n"/>
    </row>
    <row r="873" hidden="1" outlineLevel="3" ht="13.9" customHeight="1">
      <c r="A873" s="2117" t="n">
        <v>0</v>
      </c>
      <c r="B873" s="2117" t="n">
        <v>8</v>
      </c>
      <c r="C873" s="2117" t="n">
        <v>12</v>
      </c>
      <c r="D873" s="2118" t="n">
        <v>2</v>
      </c>
      <c r="E873" s="2118" t="n">
        <v>1</v>
      </c>
      <c r="G873" s="1790" t="inlineStr">
        <is>
          <t>INSTALAÇÕES PREVENTIVAS</t>
        </is>
      </c>
      <c r="H873" s="1749" t="inlineStr">
        <is>
          <t>SERVIÇO</t>
        </is>
      </c>
      <c r="I873" s="1750" t="inlineStr">
        <is>
          <t>08.012.002.001</t>
        </is>
      </c>
      <c r="J873" s="1751" t="inlineStr">
        <is>
          <t xml:space="preserve">Sinalização de emergência e extintores </t>
        </is>
      </c>
      <c r="K873" s="1752" t="inlineStr">
        <is>
          <t>vb</t>
        </is>
      </c>
      <c r="L873" s="1753" t="n">
        <v>1</v>
      </c>
      <c r="M873" s="1753" t="n">
        <v>600.45</v>
      </c>
      <c r="N873" s="1754" t="n">
        <v>600.45</v>
      </c>
      <c r="O873" s="1755" t="inlineStr">
        <is>
          <t>quantidades confirme quantidades do projetista</t>
        </is>
      </c>
      <c r="P873" s="1721" t="inlineStr">
        <is>
          <t>Pendente</t>
        </is>
      </c>
    </row>
    <row r="874" hidden="1" outlineLevel="2" ht="13.9" customHeight="1">
      <c r="A874" s="2117" t="n">
        <v>0</v>
      </c>
      <c r="B874" s="2117" t="n">
        <v>8</v>
      </c>
      <c r="C874" s="2117" t="n">
        <v>12</v>
      </c>
      <c r="D874" s="2118" t="n">
        <v>3</v>
      </c>
      <c r="E874" s="2118" t="n">
        <v>0</v>
      </c>
      <c r="G874" s="1740" t="n"/>
      <c r="H874" s="1741" t="inlineStr">
        <is>
          <t>SUBETAPA</t>
        </is>
      </c>
      <c r="I874" s="1742" t="inlineStr">
        <is>
          <t>08.012.003</t>
        </is>
      </c>
      <c r="J874" s="1743" t="inlineStr">
        <is>
          <t>Sprinkles</t>
        </is>
      </c>
      <c r="K874" s="1744" t="n"/>
      <c r="L874" s="1745" t="n"/>
      <c r="M874" s="1745" t="n"/>
      <c r="N874" s="1746" t="n">
        <v>21722</v>
      </c>
      <c r="O874" s="1747" t="n"/>
      <c r="P874" s="1720" t="n"/>
    </row>
    <row r="875" hidden="1" outlineLevel="3" ht="13.9" customHeight="1">
      <c r="A875" s="2117" t="n">
        <v>0</v>
      </c>
      <c r="B875" s="2117" t="n">
        <v>8</v>
      </c>
      <c r="C875" s="2117" t="n">
        <v>12</v>
      </c>
      <c r="D875" s="2118" t="n">
        <v>3</v>
      </c>
      <c r="E875" s="2118" t="n">
        <v>1</v>
      </c>
      <c r="G875" s="1790" t="inlineStr">
        <is>
          <t>INSTALAÇÕES PREVENTIVAS</t>
        </is>
      </c>
      <c r="H875" s="1749" t="inlineStr">
        <is>
          <t>SERVIÇO</t>
        </is>
      </c>
      <c r="I875" s="1750" t="inlineStr">
        <is>
          <t>08.012.003.001</t>
        </is>
      </c>
      <c r="J875" s="1751" t="inlineStr">
        <is>
          <t>Sprinkles</t>
        </is>
      </c>
      <c r="K875" s="1752" t="inlineStr">
        <is>
          <t>vb</t>
        </is>
      </c>
      <c r="L875" s="1753" t="n">
        <v>1</v>
      </c>
      <c r="M875" s="1753" t="n">
        <v>21722</v>
      </c>
      <c r="N875" s="1754" t="n">
        <v>21722</v>
      </c>
      <c r="O875" s="1755" t="inlineStr">
        <is>
          <t>quantidades confirme quantidades do projetista</t>
        </is>
      </c>
      <c r="P875" s="1721" t="inlineStr">
        <is>
          <t>Pendente</t>
        </is>
      </c>
    </row>
    <row r="876" hidden="1" outlineLevel="2" ht="13.9" customHeight="1">
      <c r="A876" s="2117" t="n">
        <v>0</v>
      </c>
      <c r="B876" s="2117" t="n">
        <v>8</v>
      </c>
      <c r="C876" s="2117" t="n">
        <v>12</v>
      </c>
      <c r="D876" s="2118" t="n">
        <v>4</v>
      </c>
      <c r="E876" s="2118" t="n">
        <v>0</v>
      </c>
      <c r="G876" s="1740" t="n"/>
      <c r="H876" s="1741" t="inlineStr">
        <is>
          <t>SUBETAPA</t>
        </is>
      </c>
      <c r="I876" s="1742" t="inlineStr">
        <is>
          <t>08.012.004</t>
        </is>
      </c>
      <c r="J876" s="1743" t="inlineStr">
        <is>
          <t>Instalações de proteção e aterramento -SPDA</t>
        </is>
      </c>
      <c r="K876" s="1744" t="n"/>
      <c r="L876" s="1745" t="n"/>
      <c r="M876" s="1745" t="n"/>
      <c r="N876" s="1746" t="n">
        <v>0</v>
      </c>
      <c r="O876" s="1747" t="n"/>
      <c r="P876" s="1720" t="n"/>
    </row>
    <row r="877" hidden="1" outlineLevel="3" ht="13.9" customHeight="1">
      <c r="A877" s="2117" t="n">
        <v>0</v>
      </c>
      <c r="B877" s="2117" t="n">
        <v>8</v>
      </c>
      <c r="C877" s="2117" t="n">
        <v>12</v>
      </c>
      <c r="D877" s="2118" t="n">
        <v>4</v>
      </c>
      <c r="E877" s="2118" t="n">
        <v>1</v>
      </c>
      <c r="G877" s="1790" t="inlineStr">
        <is>
          <t>INSTALAÇÕES PREVENTIVAS</t>
        </is>
      </c>
      <c r="H877" s="1749" t="inlineStr">
        <is>
          <t>SERVIÇO</t>
        </is>
      </c>
      <c r="I877" s="1750" t="inlineStr">
        <is>
          <t>08.012.004.001</t>
        </is>
      </c>
      <c r="J877" s="1751" t="inlineStr">
        <is>
          <t>Instalações de proteção e aterramento -SPDA</t>
        </is>
      </c>
      <c r="K877" s="1752" t="inlineStr">
        <is>
          <t>vb</t>
        </is>
      </c>
      <c r="L877" s="1753" t="n">
        <v>1</v>
      </c>
      <c r="M877" s="1753" t="n"/>
      <c r="N877" s="1754" t="n">
        <v>0</v>
      </c>
      <c r="O877" s="1755" t="inlineStr">
        <is>
          <t>Estimado devido a ausencia de quantitativos</t>
        </is>
      </c>
      <c r="P877" s="1721" t="inlineStr">
        <is>
          <t>Pendente</t>
        </is>
      </c>
    </row>
    <row r="878" hidden="1" outlineLevel="2" ht="13.9" customHeight="1">
      <c r="A878" s="2117" t="n">
        <v>0</v>
      </c>
      <c r="B878" s="2117" t="n">
        <v>8</v>
      </c>
      <c r="C878" s="2117" t="n">
        <v>12</v>
      </c>
      <c r="D878" s="2118" t="n">
        <v>5</v>
      </c>
      <c r="E878" s="2118" t="n">
        <v>0</v>
      </c>
      <c r="G878" s="1740" t="n"/>
      <c r="H878" s="1741" t="inlineStr">
        <is>
          <t>SUBETAPA</t>
        </is>
      </c>
      <c r="I878" s="1742" t="inlineStr">
        <is>
          <t>08.012.005</t>
        </is>
      </c>
      <c r="J878" s="1743" t="inlineStr">
        <is>
          <t>Central de Alarmes</t>
        </is>
      </c>
      <c r="K878" s="1744" t="n"/>
      <c r="L878" s="1745" t="n"/>
      <c r="M878" s="1745" t="n"/>
      <c r="N878" s="1746" t="n">
        <v>2909.2702</v>
      </c>
      <c r="O878" s="1747" t="n"/>
      <c r="P878" s="1720" t="n"/>
    </row>
    <row r="879" hidden="1" outlineLevel="3" ht="13.9" customHeight="1">
      <c r="A879" s="2117" t="n">
        <v>0</v>
      </c>
      <c r="B879" s="2117" t="n">
        <v>8</v>
      </c>
      <c r="C879" s="2117" t="n">
        <v>12</v>
      </c>
      <c r="D879" s="2118" t="n">
        <v>5</v>
      </c>
      <c r="E879" s="2118" t="n">
        <v>1</v>
      </c>
      <c r="G879" s="1790" t="inlineStr">
        <is>
          <t>INSTALAÇÕES PREVENTIVAS</t>
        </is>
      </c>
      <c r="H879" s="1749" t="inlineStr">
        <is>
          <t>SERVIÇO</t>
        </is>
      </c>
      <c r="I879" s="1750" t="inlineStr">
        <is>
          <t>08.012.005.001</t>
        </is>
      </c>
      <c r="J879" s="1751" t="inlineStr">
        <is>
          <t>Central de Alarmes</t>
        </is>
      </c>
      <c r="K879" s="1752" t="inlineStr">
        <is>
          <t>vb</t>
        </is>
      </c>
      <c r="L879" s="1753" t="n">
        <v>1</v>
      </c>
      <c r="M879" s="1753" t="n">
        <v>2909.2702</v>
      </c>
      <c r="N879" s="1754" t="n">
        <v>2909.2702</v>
      </c>
      <c r="O879" s="1755" t="inlineStr">
        <is>
          <t>quantidades confirme quantidades do projetista</t>
        </is>
      </c>
      <c r="P879" s="1721" t="inlineStr">
        <is>
          <t>Pendente</t>
        </is>
      </c>
    </row>
    <row r="880" hidden="1" outlineLevel="2" ht="13.9" customHeight="1">
      <c r="A880" s="2117" t="n">
        <v>0</v>
      </c>
      <c r="B880" s="2117" t="n">
        <v>8</v>
      </c>
      <c r="C880" s="2117" t="n">
        <v>12</v>
      </c>
      <c r="D880" s="2118" t="n">
        <v>6</v>
      </c>
      <c r="E880" s="2118" t="n">
        <v>0</v>
      </c>
      <c r="G880" s="1740" t="n"/>
      <c r="H880" s="1741" t="inlineStr">
        <is>
          <t>SUBETAPA</t>
        </is>
      </c>
      <c r="I880" s="1742" t="inlineStr">
        <is>
          <t>08.012.006</t>
        </is>
      </c>
      <c r="J880" s="1743" t="inlineStr">
        <is>
          <t>Sistema de bombas</t>
        </is>
      </c>
      <c r="K880" s="1744" t="n"/>
      <c r="L880" s="1745" t="n"/>
      <c r="M880" s="1745" t="n"/>
      <c r="N880" s="1746" t="n">
        <v>0</v>
      </c>
      <c r="O880" s="1747" t="n"/>
      <c r="P880" s="1720" t="n"/>
    </row>
    <row r="881" hidden="1" outlineLevel="3" ht="13.9" customHeight="1">
      <c r="A881" s="2117" t="n">
        <v>0</v>
      </c>
      <c r="B881" s="2117" t="n">
        <v>8</v>
      </c>
      <c r="C881" s="2117" t="n">
        <v>12</v>
      </c>
      <c r="D881" s="2118" t="n">
        <v>6</v>
      </c>
      <c r="E881" s="2118" t="n">
        <v>1</v>
      </c>
      <c r="G881" s="1790" t="inlineStr">
        <is>
          <t>INSTALAÇÕES PREVENTIVAS</t>
        </is>
      </c>
      <c r="H881" s="1749" t="inlineStr">
        <is>
          <t>SERVIÇO</t>
        </is>
      </c>
      <c r="I881" s="1750" t="inlineStr">
        <is>
          <t>08.012.006.001</t>
        </is>
      </c>
      <c r="J881" s="1751" t="inlineStr">
        <is>
          <t>Sistema de bombas</t>
        </is>
      </c>
      <c r="K881" s="1752" t="inlineStr">
        <is>
          <t>vb</t>
        </is>
      </c>
      <c r="L881" s="1753" t="n">
        <v>1</v>
      </c>
      <c r="M881" s="1753" t="n"/>
      <c r="N881" s="1754" t="n">
        <v>0</v>
      </c>
      <c r="O881" s="1755" t="inlineStr">
        <is>
          <t>quantidades confirme quantidades do projetista</t>
        </is>
      </c>
      <c r="P881" s="1721" t="inlineStr">
        <is>
          <t>Pendente</t>
        </is>
      </c>
    </row>
    <row r="882" hidden="1" outlineLevel="2" ht="13.9" customHeight="1">
      <c r="A882" s="2117" t="n">
        <v>0</v>
      </c>
      <c r="B882" s="2117" t="n">
        <v>8</v>
      </c>
      <c r="C882" s="2117" t="n">
        <v>12</v>
      </c>
      <c r="D882" s="2118" t="n">
        <v>7</v>
      </c>
      <c r="E882" s="2118" t="n">
        <v>0</v>
      </c>
      <c r="G882" s="1740" t="n"/>
      <c r="H882" s="1741" t="inlineStr">
        <is>
          <t>SUBETAPA</t>
        </is>
      </c>
      <c r="I882" s="1742" t="inlineStr">
        <is>
          <t>08.012.007</t>
        </is>
      </c>
      <c r="J882" s="1743" t="inlineStr">
        <is>
          <t>Mão de obra</t>
        </is>
      </c>
      <c r="K882" s="1744" t="n"/>
      <c r="L882" s="1745" t="n"/>
      <c r="M882" s="1745" t="n"/>
      <c r="N882" s="1746" t="n">
        <v>1517.85</v>
      </c>
      <c r="O882" s="1747" t="n"/>
      <c r="P882" s="1720" t="n"/>
    </row>
    <row r="883" hidden="1" outlineLevel="3" ht="13.9" customHeight="1">
      <c r="A883" s="2117" t="n">
        <v>0</v>
      </c>
      <c r="B883" s="2117" t="n">
        <v>8</v>
      </c>
      <c r="C883" s="2117" t="n">
        <v>12</v>
      </c>
      <c r="D883" s="2118" t="n">
        <v>7</v>
      </c>
      <c r="E883" s="2118" t="n">
        <v>1</v>
      </c>
      <c r="G883" s="1790" t="inlineStr">
        <is>
          <t>INSTALAÇÕES PREVENTIVAS</t>
        </is>
      </c>
      <c r="H883" s="1749" t="inlineStr">
        <is>
          <t>SERVIÇO</t>
        </is>
      </c>
      <c r="I883" s="1750" t="inlineStr">
        <is>
          <t>08.012.007.001</t>
        </is>
      </c>
      <c r="J883" s="1751" t="inlineStr">
        <is>
          <t>Mão de obra PPCI</t>
        </is>
      </c>
      <c r="K883" s="1752" t="inlineStr">
        <is>
          <t>vb</t>
        </is>
      </c>
      <c r="L883" s="1753" t="n">
        <v>1</v>
      </c>
      <c r="M883" s="1753" t="n">
        <v>1517.85</v>
      </c>
      <c r="N883" s="1754" t="n">
        <v>1517.85</v>
      </c>
      <c r="O883" s="1765" t="inlineStr">
        <is>
          <t>Considerado R$5/m²</t>
        </is>
      </c>
      <c r="P883" s="1721" t="inlineStr">
        <is>
          <t>Pendente</t>
        </is>
      </c>
    </row>
    <row r="884" hidden="1" outlineLevel="1" ht="13.9" customHeight="1">
      <c r="A884" s="2117" t="n">
        <v>0</v>
      </c>
      <c r="B884" s="2117" t="n">
        <v>8</v>
      </c>
      <c r="C884" s="2117" t="n">
        <v>13</v>
      </c>
      <c r="D884" s="2118" t="n">
        <v>0</v>
      </c>
      <c r="E884" s="2118" t="n">
        <v>1</v>
      </c>
      <c r="G884" s="1733" t="n"/>
      <c r="H884" s="1734" t="inlineStr">
        <is>
          <t>ETAPA</t>
        </is>
      </c>
      <c r="I884" s="1735" t="inlineStr">
        <is>
          <t>08.013</t>
        </is>
      </c>
      <c r="J884" s="1736" t="inlineStr">
        <is>
          <t>INSTALAÇÕES PREVENTIVAS - Duplex Superior</t>
        </is>
      </c>
      <c r="K884" s="1737" t="n"/>
      <c r="L884" s="1738" t="n"/>
      <c r="M884" s="1738" t="n"/>
      <c r="N884" s="1739" t="n">
        <v>36851.27</v>
      </c>
      <c r="O884" s="1722" t="n"/>
      <c r="P884" s="1725" t="n"/>
    </row>
    <row r="885" hidden="1" outlineLevel="2" ht="13.9" customHeight="1">
      <c r="A885" s="2117" t="n">
        <v>0</v>
      </c>
      <c r="B885" s="2117" t="n">
        <v>8</v>
      </c>
      <c r="C885" s="2117" t="n">
        <v>13</v>
      </c>
      <c r="D885" s="2118" t="n">
        <v>1</v>
      </c>
      <c r="E885" s="2118" t="n">
        <v>0</v>
      </c>
      <c r="G885" s="1740" t="n"/>
      <c r="H885" s="1741" t="inlineStr">
        <is>
          <t>SUBETAPA</t>
        </is>
      </c>
      <c r="I885" s="1742" t="inlineStr">
        <is>
          <t>08.013.001</t>
        </is>
      </c>
      <c r="J885" s="1743" t="inlineStr">
        <is>
          <t>Hidrantes</t>
        </is>
      </c>
      <c r="K885" s="1744" t="n"/>
      <c r="L885" s="1745" t="n"/>
      <c r="M885" s="1745" t="n"/>
      <c r="N885" s="1746" t="n">
        <v>4400.41</v>
      </c>
      <c r="O885" s="1747" t="n"/>
      <c r="P885" s="1720" t="n"/>
    </row>
    <row r="886" hidden="1" outlineLevel="3" ht="13.9" customHeight="1">
      <c r="A886" s="2117" t="n">
        <v>0</v>
      </c>
      <c r="B886" s="2117" t="n">
        <v>8</v>
      </c>
      <c r="C886" s="2117" t="n">
        <v>13</v>
      </c>
      <c r="D886" s="2118" t="n">
        <v>1</v>
      </c>
      <c r="E886" s="2118" t="n">
        <v>1</v>
      </c>
      <c r="G886" s="1790" t="inlineStr">
        <is>
          <t>INSTALAÇÕES PREVENTIVAS</t>
        </is>
      </c>
      <c r="H886" s="1749" t="inlineStr">
        <is>
          <t>SERVIÇO</t>
        </is>
      </c>
      <c r="I886" s="1750" t="inlineStr">
        <is>
          <t>08.013.001.001</t>
        </is>
      </c>
      <c r="J886" s="1751" t="inlineStr">
        <is>
          <t>Hidrantes</t>
        </is>
      </c>
      <c r="K886" s="1752" t="inlineStr">
        <is>
          <t>vb</t>
        </is>
      </c>
      <c r="L886" s="1753" t="n">
        <v>1</v>
      </c>
      <c r="M886" s="1753" t="n">
        <v>4400.41</v>
      </c>
      <c r="N886" s="1754" t="n">
        <v>4400.41</v>
      </c>
      <c r="O886" s="1755" t="inlineStr">
        <is>
          <t>quantidades confirme quantidades do projetista</t>
        </is>
      </c>
      <c r="P886" s="1721" t="inlineStr">
        <is>
          <t>Pendente</t>
        </is>
      </c>
    </row>
    <row r="887" hidden="1" outlineLevel="2" ht="13.9" customHeight="1">
      <c r="A887" s="2117" t="n">
        <v>0</v>
      </c>
      <c r="B887" s="2117" t="n">
        <v>8</v>
      </c>
      <c r="C887" s="2117" t="n">
        <v>13</v>
      </c>
      <c r="D887" s="2118" t="n">
        <v>2</v>
      </c>
      <c r="E887" s="2118" t="n">
        <v>0</v>
      </c>
      <c r="G887" s="1740" t="n"/>
      <c r="H887" s="1741" t="inlineStr">
        <is>
          <t>SUBETAPA</t>
        </is>
      </c>
      <c r="I887" s="1742" t="inlineStr">
        <is>
          <t>08.013.002</t>
        </is>
      </c>
      <c r="J887" s="1743" t="inlineStr">
        <is>
          <t xml:space="preserve">Sinalização de emergência e extintores </t>
        </is>
      </c>
      <c r="K887" s="1744" t="n"/>
      <c r="L887" s="1745" t="n"/>
      <c r="M887" s="1745" t="n"/>
      <c r="N887" s="1746" t="n">
        <v>538.95</v>
      </c>
      <c r="O887" s="1747" t="n"/>
      <c r="P887" s="1720" t="n"/>
    </row>
    <row r="888" hidden="1" outlineLevel="3" ht="13.9" customHeight="1">
      <c r="A888" s="2117" t="n">
        <v>0</v>
      </c>
      <c r="B888" s="2117" t="n">
        <v>8</v>
      </c>
      <c r="C888" s="2117" t="n">
        <v>13</v>
      </c>
      <c r="D888" s="2118" t="n">
        <v>2</v>
      </c>
      <c r="E888" s="2118" t="n">
        <v>1</v>
      </c>
      <c r="G888" s="1790" t="inlineStr">
        <is>
          <t>INSTALAÇÕES PREVENTIVAS</t>
        </is>
      </c>
      <c r="H888" s="1749" t="inlineStr">
        <is>
          <t>SERVIÇO</t>
        </is>
      </c>
      <c r="I888" s="1750" t="inlineStr">
        <is>
          <t>08.013.002.001</t>
        </is>
      </c>
      <c r="J888" s="1751" t="inlineStr">
        <is>
          <t xml:space="preserve">Sinalização de emergência e extintores </t>
        </is>
      </c>
      <c r="K888" s="1752" t="inlineStr">
        <is>
          <t>vb</t>
        </is>
      </c>
      <c r="L888" s="1753" t="n">
        <v>1</v>
      </c>
      <c r="M888" s="1753" t="n">
        <v>538.95</v>
      </c>
      <c r="N888" s="1754" t="n">
        <v>538.95</v>
      </c>
      <c r="O888" s="1755" t="inlineStr">
        <is>
          <t>quantidades confirme quantidades do projetista</t>
        </is>
      </c>
      <c r="P888" s="1721" t="inlineStr">
        <is>
          <t>Pendente</t>
        </is>
      </c>
    </row>
    <row r="889" hidden="1" outlineLevel="2" ht="13.9" customHeight="1">
      <c r="A889" s="2117" t="n">
        <v>0</v>
      </c>
      <c r="B889" s="2117" t="n">
        <v>8</v>
      </c>
      <c r="C889" s="2117" t="n">
        <v>13</v>
      </c>
      <c r="D889" s="2118" t="n">
        <v>3</v>
      </c>
      <c r="E889" s="2118" t="n">
        <v>0</v>
      </c>
      <c r="G889" s="1740" t="n"/>
      <c r="H889" s="1741" t="inlineStr">
        <is>
          <t>SUBETAPA</t>
        </is>
      </c>
      <c r="I889" s="1742" t="inlineStr">
        <is>
          <t>08.013.003</t>
        </is>
      </c>
      <c r="J889" s="1743" t="inlineStr">
        <is>
          <t>Sprinkles</t>
        </is>
      </c>
      <c r="K889" s="1744" t="n"/>
      <c r="L889" s="1745" t="n"/>
      <c r="M889" s="1745" t="n"/>
      <c r="N889" s="1746" t="n">
        <v>28146.2</v>
      </c>
      <c r="O889" s="1747" t="n"/>
      <c r="P889" s="1720" t="n"/>
    </row>
    <row r="890" hidden="1" outlineLevel="3" ht="13.9" customHeight="1">
      <c r="A890" s="2117" t="n">
        <v>0</v>
      </c>
      <c r="B890" s="2117" t="n">
        <v>8</v>
      </c>
      <c r="C890" s="2117" t="n">
        <v>13</v>
      </c>
      <c r="D890" s="2118" t="n">
        <v>3</v>
      </c>
      <c r="E890" s="2118" t="n">
        <v>1</v>
      </c>
      <c r="G890" s="1790" t="inlineStr">
        <is>
          <t>INSTALAÇÕES PREVENTIVAS</t>
        </is>
      </c>
      <c r="H890" s="1749" t="inlineStr">
        <is>
          <t>SERVIÇO</t>
        </is>
      </c>
      <c r="I890" s="1750" t="inlineStr">
        <is>
          <t>08.013.003.001</t>
        </is>
      </c>
      <c r="J890" s="1751" t="inlineStr">
        <is>
          <t>Sprinkles</t>
        </is>
      </c>
      <c r="K890" s="1752" t="inlineStr">
        <is>
          <t>vb</t>
        </is>
      </c>
      <c r="L890" s="1753" t="n">
        <v>1</v>
      </c>
      <c r="M890" s="1753" t="n">
        <v>28146.2</v>
      </c>
      <c r="N890" s="1754" t="n">
        <v>28146.2</v>
      </c>
      <c r="O890" s="1755" t="inlineStr">
        <is>
          <t>quantidades confirme quantidades do projetista</t>
        </is>
      </c>
      <c r="P890" s="1721" t="inlineStr">
        <is>
          <t>Pendente</t>
        </is>
      </c>
    </row>
    <row r="891" hidden="1" outlineLevel="2" ht="13.9" customHeight="1">
      <c r="A891" s="2117" t="n">
        <v>0</v>
      </c>
      <c r="B891" s="2117" t="n">
        <v>8</v>
      </c>
      <c r="C891" s="2117" t="n">
        <v>13</v>
      </c>
      <c r="D891" s="2118" t="n">
        <v>4</v>
      </c>
      <c r="E891" s="2118" t="n">
        <v>0</v>
      </c>
      <c r="G891" s="1740" t="n"/>
      <c r="H891" s="1741" t="inlineStr">
        <is>
          <t>SUBETAPA</t>
        </is>
      </c>
      <c r="I891" s="1742" t="inlineStr">
        <is>
          <t>08.013.004</t>
        </is>
      </c>
      <c r="J891" s="1743" t="inlineStr">
        <is>
          <t>Instalações de proteção e aterramento -SPDA</t>
        </is>
      </c>
      <c r="K891" s="1744" t="n"/>
      <c r="L891" s="1745" t="n"/>
      <c r="M891" s="1745" t="n"/>
      <c r="N891" s="1746" t="n">
        <v>0</v>
      </c>
      <c r="O891" s="1747" t="n"/>
      <c r="P891" s="1720" t="n"/>
    </row>
    <row r="892" hidden="1" outlineLevel="3" ht="13.9" customHeight="1">
      <c r="A892" s="2117" t="n">
        <v>0</v>
      </c>
      <c r="B892" s="2117" t="n">
        <v>8</v>
      </c>
      <c r="C892" s="2117" t="n">
        <v>13</v>
      </c>
      <c r="D892" s="2118" t="n">
        <v>4</v>
      </c>
      <c r="E892" s="2118" t="n">
        <v>1</v>
      </c>
      <c r="G892" s="1790" t="inlineStr">
        <is>
          <t>INSTALAÇÕES PREVENTIVAS</t>
        </is>
      </c>
      <c r="H892" s="1749" t="inlineStr">
        <is>
          <t>SERVIÇO</t>
        </is>
      </c>
      <c r="I892" s="1750" t="inlineStr">
        <is>
          <t>08.013.004.001</t>
        </is>
      </c>
      <c r="J892" s="1751" t="inlineStr">
        <is>
          <t>Instalações de proteção e aterramento -SPDA</t>
        </is>
      </c>
      <c r="K892" s="1752" t="inlineStr">
        <is>
          <t>vb</t>
        </is>
      </c>
      <c r="L892" s="1753" t="n">
        <v>1</v>
      </c>
      <c r="M892" s="1753" t="n"/>
      <c r="N892" s="1754" t="n">
        <v>0</v>
      </c>
      <c r="O892" s="1755" t="inlineStr">
        <is>
          <t>Estimado devido a ausencia de quantitativos</t>
        </is>
      </c>
      <c r="P892" s="1721" t="inlineStr">
        <is>
          <t>Pendente</t>
        </is>
      </c>
    </row>
    <row r="893" hidden="1" outlineLevel="2" ht="13.9" customHeight="1">
      <c r="A893" s="2117" t="n">
        <v>0</v>
      </c>
      <c r="B893" s="2117" t="n">
        <v>8</v>
      </c>
      <c r="C893" s="2117" t="n">
        <v>13</v>
      </c>
      <c r="D893" s="2118" t="n">
        <v>5</v>
      </c>
      <c r="E893" s="2118" t="n">
        <v>0</v>
      </c>
      <c r="G893" s="1740" t="n"/>
      <c r="H893" s="1741" t="inlineStr">
        <is>
          <t>SUBETAPA</t>
        </is>
      </c>
      <c r="I893" s="1742" t="inlineStr">
        <is>
          <t>08.013.005</t>
        </is>
      </c>
      <c r="J893" s="1743" t="inlineStr">
        <is>
          <t>Central de Alarmes</t>
        </is>
      </c>
      <c r="K893" s="1744" t="n"/>
      <c r="L893" s="1745" t="n"/>
      <c r="M893" s="1745" t="n"/>
      <c r="N893" s="1746" t="n">
        <v>2300.91</v>
      </c>
      <c r="O893" s="1747" t="n"/>
      <c r="P893" s="1720" t="n"/>
    </row>
    <row r="894" hidden="1" outlineLevel="3" ht="13.9" customHeight="1">
      <c r="A894" s="2117" t="n">
        <v>0</v>
      </c>
      <c r="B894" s="2117" t="n">
        <v>8</v>
      </c>
      <c r="C894" s="2117" t="n">
        <v>13</v>
      </c>
      <c r="D894" s="2118" t="n">
        <v>5</v>
      </c>
      <c r="E894" s="2118" t="n">
        <v>1</v>
      </c>
      <c r="G894" s="1790" t="inlineStr">
        <is>
          <t>INSTALAÇÕES PREVENTIVAS</t>
        </is>
      </c>
      <c r="H894" s="1749" t="inlineStr">
        <is>
          <t>SERVIÇO</t>
        </is>
      </c>
      <c r="I894" s="1750" t="inlineStr">
        <is>
          <t>08.013.005.001</t>
        </is>
      </c>
      <c r="J894" s="1751" t="inlineStr">
        <is>
          <t>Central de Alarmes</t>
        </is>
      </c>
      <c r="K894" s="1752" t="inlineStr">
        <is>
          <t>vb</t>
        </is>
      </c>
      <c r="L894" s="1753" t="n">
        <v>1</v>
      </c>
      <c r="M894" s="1753" t="n">
        <v>2300.910000000001</v>
      </c>
      <c r="N894" s="1754" t="n">
        <v>2300.91</v>
      </c>
      <c r="O894" s="1755" t="inlineStr">
        <is>
          <t>quantidades confirme quantidades do projetista</t>
        </is>
      </c>
      <c r="P894" s="1721" t="inlineStr">
        <is>
          <t>Pendente</t>
        </is>
      </c>
    </row>
    <row r="895" hidden="1" outlineLevel="2" ht="13.9" customHeight="1">
      <c r="A895" s="2117" t="n">
        <v>0</v>
      </c>
      <c r="B895" s="2117" t="n">
        <v>8</v>
      </c>
      <c r="C895" s="2117" t="n">
        <v>13</v>
      </c>
      <c r="D895" s="2118" t="n">
        <v>6</v>
      </c>
      <c r="E895" s="2118" t="n">
        <v>0</v>
      </c>
      <c r="G895" s="1740" t="n"/>
      <c r="H895" s="1741" t="inlineStr">
        <is>
          <t>SUBETAPA</t>
        </is>
      </c>
      <c r="I895" s="1742" t="inlineStr">
        <is>
          <t>08.013.006</t>
        </is>
      </c>
      <c r="J895" s="1743" t="inlineStr">
        <is>
          <t>Sistema de bombas</t>
        </is>
      </c>
      <c r="K895" s="1744" t="n"/>
      <c r="L895" s="1745" t="n"/>
      <c r="M895" s="1745" t="n"/>
      <c r="N895" s="1746" t="n">
        <v>0</v>
      </c>
      <c r="O895" s="1747" t="n"/>
      <c r="P895" s="1720" t="n"/>
    </row>
    <row r="896" hidden="1" outlineLevel="3" ht="13.9" customHeight="1">
      <c r="A896" s="2117" t="n">
        <v>0</v>
      </c>
      <c r="B896" s="2117" t="n">
        <v>8</v>
      </c>
      <c r="C896" s="2117" t="n">
        <v>13</v>
      </c>
      <c r="D896" s="2118" t="n">
        <v>6</v>
      </c>
      <c r="E896" s="2118" t="n">
        <v>1</v>
      </c>
      <c r="G896" s="1790" t="inlineStr">
        <is>
          <t>INSTALAÇÕES PREVENTIVAS</t>
        </is>
      </c>
      <c r="H896" s="1749" t="inlineStr">
        <is>
          <t>SERVIÇO</t>
        </is>
      </c>
      <c r="I896" s="1750" t="inlineStr">
        <is>
          <t>08.013.006.001</t>
        </is>
      </c>
      <c r="J896" s="1751" t="inlineStr">
        <is>
          <t>Sistema de bombas</t>
        </is>
      </c>
      <c r="K896" s="1752" t="inlineStr">
        <is>
          <t>vb</t>
        </is>
      </c>
      <c r="L896" s="1753" t="n">
        <v>1</v>
      </c>
      <c r="M896" s="1753" t="n"/>
      <c r="N896" s="1754" t="n">
        <v>0</v>
      </c>
      <c r="O896" s="1755" t="inlineStr">
        <is>
          <t>quantidades confirme quantidades do projetista</t>
        </is>
      </c>
      <c r="P896" s="1721" t="inlineStr">
        <is>
          <t>Pendente</t>
        </is>
      </c>
    </row>
    <row r="897" hidden="1" outlineLevel="2" ht="13.9" customHeight="1">
      <c r="A897" s="2117" t="n">
        <v>0</v>
      </c>
      <c r="B897" s="2117" t="n">
        <v>8</v>
      </c>
      <c r="C897" s="2117" t="n">
        <v>13</v>
      </c>
      <c r="D897" s="2118" t="n">
        <v>7</v>
      </c>
      <c r="E897" s="2118" t="n">
        <v>0</v>
      </c>
      <c r="G897" s="1740" t="n"/>
      <c r="H897" s="1741" t="inlineStr">
        <is>
          <t>SUBETAPA</t>
        </is>
      </c>
      <c r="I897" s="1742" t="inlineStr">
        <is>
          <t>08.013.007</t>
        </is>
      </c>
      <c r="J897" s="1743" t="inlineStr">
        <is>
          <t>Mão de obra</t>
        </is>
      </c>
      <c r="K897" s="1744" t="n"/>
      <c r="L897" s="1745" t="n"/>
      <c r="M897" s="1745" t="n"/>
      <c r="N897" s="1746" t="n">
        <v>1464.8</v>
      </c>
      <c r="O897" s="1747" t="n"/>
      <c r="P897" s="1720" t="n"/>
    </row>
    <row r="898" hidden="1" outlineLevel="3" ht="13.9" customHeight="1">
      <c r="A898" s="2117" t="n">
        <v>0</v>
      </c>
      <c r="B898" s="2117" t="n">
        <v>8</v>
      </c>
      <c r="C898" s="2117" t="n">
        <v>13</v>
      </c>
      <c r="D898" s="2118" t="n">
        <v>7</v>
      </c>
      <c r="E898" s="2118" t="n">
        <v>1</v>
      </c>
      <c r="G898" s="1790" t="inlineStr">
        <is>
          <t>INSTALAÇÕES PREVENTIVAS</t>
        </is>
      </c>
      <c r="H898" s="1749" t="inlineStr">
        <is>
          <t>SERVIÇO</t>
        </is>
      </c>
      <c r="I898" s="1750" t="inlineStr">
        <is>
          <t>08.013.007.001</t>
        </is>
      </c>
      <c r="J898" s="1751" t="inlineStr">
        <is>
          <t>Mão de obra PPCI</t>
        </is>
      </c>
      <c r="K898" s="1752" t="inlineStr">
        <is>
          <t>vb</t>
        </is>
      </c>
      <c r="L898" s="1753" t="n">
        <v>1</v>
      </c>
      <c r="M898" s="1753" t="n">
        <v>1464.8</v>
      </c>
      <c r="N898" s="1754" t="n">
        <v>1464.8</v>
      </c>
      <c r="O898" s="1765" t="inlineStr">
        <is>
          <t>Considerado R$5/m²</t>
        </is>
      </c>
      <c r="P898" s="1721" t="inlineStr">
        <is>
          <t>Pendente</t>
        </is>
      </c>
    </row>
    <row r="899" hidden="1" outlineLevel="1" ht="13.9" customHeight="1">
      <c r="A899" s="2117" t="n">
        <v>0</v>
      </c>
      <c r="B899" s="2117" t="n">
        <v>8</v>
      </c>
      <c r="C899" s="2117" t="n">
        <v>14</v>
      </c>
      <c r="D899" s="2118" t="n">
        <v>0</v>
      </c>
      <c r="E899" s="2118" t="n">
        <v>1</v>
      </c>
      <c r="G899" s="1733" t="n"/>
      <c r="H899" s="1734" t="inlineStr">
        <is>
          <t>ETAPA</t>
        </is>
      </c>
      <c r="I899" s="1735" t="inlineStr">
        <is>
          <t>08.014</t>
        </is>
      </c>
      <c r="J899" s="1736" t="inlineStr">
        <is>
          <t>INSTALAÇÕES PREVENTIVAS - Cobertura | Barrilete</t>
        </is>
      </c>
      <c r="K899" s="1737" t="n"/>
      <c r="L899" s="1738" t="n"/>
      <c r="M899" s="1738" t="n"/>
      <c r="N899" s="1739" t="n">
        <v>251730.2433</v>
      </c>
      <c r="O899" s="1722" t="n"/>
      <c r="P899" s="1725" t="n"/>
    </row>
    <row r="900" hidden="1" outlineLevel="2" ht="13.9" customHeight="1">
      <c r="A900" s="2117" t="n">
        <v>0</v>
      </c>
      <c r="B900" s="2117" t="n">
        <v>8</v>
      </c>
      <c r="C900" s="2117" t="n">
        <v>14</v>
      </c>
      <c r="D900" s="2118" t="n">
        <v>1</v>
      </c>
      <c r="E900" s="2118" t="n">
        <v>0</v>
      </c>
      <c r="G900" s="1740" t="n"/>
      <c r="H900" s="1741" t="inlineStr">
        <is>
          <t>SUBETAPA</t>
        </is>
      </c>
      <c r="I900" s="1742" t="inlineStr">
        <is>
          <t>08.014.001</t>
        </is>
      </c>
      <c r="J900" s="1743" t="inlineStr">
        <is>
          <t>Hidrantes</t>
        </is>
      </c>
      <c r="K900" s="1744" t="n"/>
      <c r="L900" s="1745" t="n"/>
      <c r="M900" s="1745" t="n"/>
      <c r="N900" s="1746" t="n">
        <v>27210.58</v>
      </c>
      <c r="O900" s="1747" t="n"/>
      <c r="P900" s="1720" t="n"/>
    </row>
    <row r="901" hidden="1" outlineLevel="3" ht="13.9" customHeight="1">
      <c r="A901" s="2117" t="n">
        <v>0</v>
      </c>
      <c r="B901" s="2117" t="n">
        <v>8</v>
      </c>
      <c r="C901" s="2117" t="n">
        <v>14</v>
      </c>
      <c r="D901" s="2118" t="n">
        <v>1</v>
      </c>
      <c r="E901" s="2118" t="n">
        <v>1</v>
      </c>
      <c r="G901" s="1790" t="inlineStr">
        <is>
          <t>INSTALAÇÕES PREVENTIVAS</t>
        </is>
      </c>
      <c r="H901" s="1749" t="inlineStr">
        <is>
          <t>SERVIÇO</t>
        </is>
      </c>
      <c r="I901" s="1750" t="inlineStr">
        <is>
          <t>08.014.001.001</t>
        </is>
      </c>
      <c r="J901" s="1751" t="inlineStr">
        <is>
          <t>Hidrantes</t>
        </is>
      </c>
      <c r="K901" s="1752" t="inlineStr">
        <is>
          <t>vb</t>
        </is>
      </c>
      <c r="L901" s="1753" t="n">
        <v>1</v>
      </c>
      <c r="M901" s="1753" t="n">
        <v>27210.58</v>
      </c>
      <c r="N901" s="1754" t="n">
        <v>27210.58</v>
      </c>
      <c r="O901" s="1755" t="inlineStr">
        <is>
          <t>quantidades confirme quantidades do projetista</t>
        </is>
      </c>
      <c r="P901" s="1721" t="inlineStr">
        <is>
          <t>Pendente</t>
        </is>
      </c>
    </row>
    <row r="902" hidden="1" outlineLevel="2" ht="13.9" customHeight="1">
      <c r="A902" s="2117" t="n">
        <v>0</v>
      </c>
      <c r="B902" s="2117" t="n">
        <v>8</v>
      </c>
      <c r="C902" s="2117" t="n">
        <v>14</v>
      </c>
      <c r="D902" s="2118" t="n">
        <v>2</v>
      </c>
      <c r="E902" s="2118" t="n">
        <v>0</v>
      </c>
      <c r="G902" s="1740" t="n"/>
      <c r="H902" s="1741" t="inlineStr">
        <is>
          <t>SUBETAPA</t>
        </is>
      </c>
      <c r="I902" s="1742" t="inlineStr">
        <is>
          <t>08.014.002</t>
        </is>
      </c>
      <c r="J902" s="1743" t="inlineStr">
        <is>
          <t xml:space="preserve">Sinalização de emergência e extintores </t>
        </is>
      </c>
      <c r="K902" s="1744" t="n"/>
      <c r="L902" s="1745" t="n"/>
      <c r="M902" s="1745" t="n"/>
      <c r="N902" s="1746" t="n">
        <v>1445.66</v>
      </c>
      <c r="O902" s="1747" t="n"/>
      <c r="P902" s="1720" t="n"/>
    </row>
    <row r="903" hidden="1" outlineLevel="3" ht="13.9" customHeight="1">
      <c r="A903" s="2117" t="n">
        <v>0</v>
      </c>
      <c r="B903" s="2117" t="n">
        <v>8</v>
      </c>
      <c r="C903" s="2117" t="n">
        <v>14</v>
      </c>
      <c r="D903" s="2118" t="n">
        <v>2</v>
      </c>
      <c r="E903" s="2118" t="n">
        <v>1</v>
      </c>
      <c r="G903" s="1790" t="inlineStr">
        <is>
          <t>INSTALAÇÕES PREVENTIVAS</t>
        </is>
      </c>
      <c r="H903" s="1749" t="inlineStr">
        <is>
          <t>SERVIÇO</t>
        </is>
      </c>
      <c r="I903" s="1750" t="inlineStr">
        <is>
          <t>08.014.002.001</t>
        </is>
      </c>
      <c r="J903" s="1751" t="inlineStr">
        <is>
          <t xml:space="preserve">Sinalização de emergência e extintores </t>
        </is>
      </c>
      <c r="K903" s="1752" t="inlineStr">
        <is>
          <t>vb</t>
        </is>
      </c>
      <c r="L903" s="1753" t="n">
        <v>1</v>
      </c>
      <c r="M903" s="1753" t="n">
        <v>1445.66</v>
      </c>
      <c r="N903" s="1754" t="n">
        <v>1445.66</v>
      </c>
      <c r="O903" s="1755" t="inlineStr">
        <is>
          <t>quantidades confirme quantidades do projetista</t>
        </is>
      </c>
      <c r="P903" s="1721" t="inlineStr">
        <is>
          <t>Pendente</t>
        </is>
      </c>
    </row>
    <row r="904" hidden="1" outlineLevel="2" ht="13.9" customHeight="1">
      <c r="A904" s="2117" t="n">
        <v>0</v>
      </c>
      <c r="B904" s="2117" t="n">
        <v>8</v>
      </c>
      <c r="C904" s="2117" t="n">
        <v>14</v>
      </c>
      <c r="D904" s="2118" t="n">
        <v>3</v>
      </c>
      <c r="E904" s="2118" t="n">
        <v>0</v>
      </c>
      <c r="G904" s="1740" t="n"/>
      <c r="H904" s="1741" t="inlineStr">
        <is>
          <t>SUBETAPA</t>
        </is>
      </c>
      <c r="I904" s="1742" t="inlineStr">
        <is>
          <t>08.014.003</t>
        </is>
      </c>
      <c r="J904" s="1743" t="inlineStr">
        <is>
          <t>Sprinkles</t>
        </is>
      </c>
      <c r="K904" s="1744" t="n"/>
      <c r="L904" s="1745" t="n"/>
      <c r="M904" s="1745" t="n"/>
      <c r="N904" s="1746" t="n">
        <v>75139.7</v>
      </c>
      <c r="O904" s="1747" t="n"/>
      <c r="P904" s="1720" t="n"/>
    </row>
    <row r="905" hidden="1" outlineLevel="3" ht="13.9" customHeight="1">
      <c r="A905" s="2117" t="n">
        <v>0</v>
      </c>
      <c r="B905" s="2117" t="n">
        <v>8</v>
      </c>
      <c r="C905" s="2117" t="n">
        <v>14</v>
      </c>
      <c r="D905" s="2118" t="n">
        <v>3</v>
      </c>
      <c r="E905" s="2118" t="n">
        <v>1</v>
      </c>
      <c r="G905" s="1790" t="inlineStr">
        <is>
          <t>INSTALAÇÕES PREVENTIVAS</t>
        </is>
      </c>
      <c r="H905" s="1749" t="inlineStr">
        <is>
          <t>SERVIÇO</t>
        </is>
      </c>
      <c r="I905" s="1750" t="inlineStr">
        <is>
          <t>08.014.003.001</t>
        </is>
      </c>
      <c r="J905" s="1751" t="inlineStr">
        <is>
          <t>Sprinkles</t>
        </is>
      </c>
      <c r="K905" s="1752" t="inlineStr">
        <is>
          <t>vb</t>
        </is>
      </c>
      <c r="L905" s="1753" t="n">
        <v>1</v>
      </c>
      <c r="M905" s="1753" t="n">
        <v>75139.7</v>
      </c>
      <c r="N905" s="1754" t="n">
        <v>75139.7</v>
      </c>
      <c r="O905" s="1755" t="inlineStr">
        <is>
          <t>quantidades confirme quantidades do projetista</t>
        </is>
      </c>
      <c r="P905" s="1721" t="inlineStr">
        <is>
          <t>Pendente</t>
        </is>
      </c>
    </row>
    <row r="906" hidden="1" outlineLevel="2" ht="13.9" customHeight="1">
      <c r="A906" s="2117" t="n">
        <v>0</v>
      </c>
      <c r="B906" s="2117" t="n">
        <v>8</v>
      </c>
      <c r="C906" s="2117" t="n">
        <v>14</v>
      </c>
      <c r="D906" s="2118" t="n">
        <v>4</v>
      </c>
      <c r="E906" s="2118" t="n">
        <v>0</v>
      </c>
      <c r="G906" s="1740" t="n"/>
      <c r="H906" s="1741" t="inlineStr">
        <is>
          <t>SUBETAPA</t>
        </is>
      </c>
      <c r="I906" s="1742" t="inlineStr">
        <is>
          <t>08.014.004</t>
        </is>
      </c>
      <c r="J906" s="1743" t="inlineStr">
        <is>
          <t>Instalações de proteção e aterramento -SPDA</t>
        </is>
      </c>
      <c r="K906" s="1744" t="n"/>
      <c r="L906" s="1745" t="n"/>
      <c r="M906" s="1745" t="n"/>
      <c r="N906" s="1746" t="n">
        <v>133997.36</v>
      </c>
      <c r="O906" s="1747" t="n"/>
      <c r="P906" s="1720" t="n"/>
    </row>
    <row r="907" hidden="1" outlineLevel="3" ht="13.9" customHeight="1">
      <c r="A907" s="2117" t="n">
        <v>0</v>
      </c>
      <c r="B907" s="2117" t="n">
        <v>8</v>
      </c>
      <c r="C907" s="2117" t="n">
        <v>14</v>
      </c>
      <c r="D907" s="2118" t="n">
        <v>4</v>
      </c>
      <c r="E907" s="2118" t="n">
        <v>1</v>
      </c>
      <c r="G907" s="1790" t="inlineStr">
        <is>
          <t>INSTALAÇÕES PREVENTIVAS</t>
        </is>
      </c>
      <c r="H907" s="1749" t="inlineStr">
        <is>
          <t>SERVIÇO</t>
        </is>
      </c>
      <c r="I907" s="1750" t="inlineStr">
        <is>
          <t>08.014.004.001</t>
        </is>
      </c>
      <c r="J907" s="1751" t="inlineStr">
        <is>
          <t>Instalações de proteção e aterramento -SPDA</t>
        </is>
      </c>
      <c r="K907" s="1752" t="inlineStr">
        <is>
          <t>vb</t>
        </is>
      </c>
      <c r="L907" s="1753" t="n">
        <v>1</v>
      </c>
      <c r="M907" s="1753" t="n">
        <v>133997.36</v>
      </c>
      <c r="N907" s="1754" t="n">
        <v>133997.36</v>
      </c>
      <c r="O907" s="1755" t="inlineStr">
        <is>
          <t>Estimado devido a ausencia de quantitativos</t>
        </is>
      </c>
      <c r="P907" s="1721" t="inlineStr">
        <is>
          <t>Pendente</t>
        </is>
      </c>
    </row>
    <row r="908" hidden="1" outlineLevel="2" ht="13.9" customHeight="1">
      <c r="A908" s="2117" t="n">
        <v>0</v>
      </c>
      <c r="B908" s="2117" t="n">
        <v>8</v>
      </c>
      <c r="C908" s="2117" t="n">
        <v>14</v>
      </c>
      <c r="D908" s="2118" t="n">
        <v>5</v>
      </c>
      <c r="E908" s="2118" t="n">
        <v>0</v>
      </c>
      <c r="G908" s="1740" t="n"/>
      <c r="H908" s="1741" t="inlineStr">
        <is>
          <t>SUBETAPA</t>
        </is>
      </c>
      <c r="I908" s="1742" t="inlineStr">
        <is>
          <t>08.014.005</t>
        </is>
      </c>
      <c r="J908" s="1743" t="inlineStr">
        <is>
          <t>Central de Alarmes</t>
        </is>
      </c>
      <c r="K908" s="1744" t="n"/>
      <c r="L908" s="1745" t="n"/>
      <c r="M908" s="1745" t="n"/>
      <c r="N908" s="1746" t="n">
        <v>3782.9433</v>
      </c>
      <c r="O908" s="1747" t="n"/>
      <c r="P908" s="1720" t="n"/>
    </row>
    <row r="909" hidden="1" outlineLevel="3" ht="13.9" customHeight="1">
      <c r="A909" s="2117" t="n">
        <v>0</v>
      </c>
      <c r="B909" s="2117" t="n">
        <v>8</v>
      </c>
      <c r="C909" s="2117" t="n">
        <v>14</v>
      </c>
      <c r="D909" s="2118" t="n">
        <v>5</v>
      </c>
      <c r="E909" s="2118" t="n">
        <v>1</v>
      </c>
      <c r="G909" s="1790" t="inlineStr">
        <is>
          <t>INSTALAÇÕES PREVENTIVAS</t>
        </is>
      </c>
      <c r="H909" s="1749" t="inlineStr">
        <is>
          <t>SERVIÇO</t>
        </is>
      </c>
      <c r="I909" s="1750" t="inlineStr">
        <is>
          <t>08.014.005.001</t>
        </is>
      </c>
      <c r="J909" s="1751" t="inlineStr">
        <is>
          <t>Central de Alarmes</t>
        </is>
      </c>
      <c r="K909" s="1752" t="inlineStr">
        <is>
          <t>vb</t>
        </is>
      </c>
      <c r="L909" s="1753" t="n">
        <v>1</v>
      </c>
      <c r="M909" s="1753" t="n">
        <v>3782.9433</v>
      </c>
      <c r="N909" s="1754" t="n">
        <v>3782.9433</v>
      </c>
      <c r="O909" s="1755" t="inlineStr">
        <is>
          <t>quantidades confirme quantidades do projetista</t>
        </is>
      </c>
      <c r="P909" s="1721" t="inlineStr">
        <is>
          <t>Pendente</t>
        </is>
      </c>
    </row>
    <row r="910" hidden="1" outlineLevel="2" ht="13.9" customHeight="1">
      <c r="A910" s="2117" t="n">
        <v>0</v>
      </c>
      <c r="B910" s="2117" t="n">
        <v>8</v>
      </c>
      <c r="C910" s="2117" t="n">
        <v>14</v>
      </c>
      <c r="D910" s="2118" t="n">
        <v>6</v>
      </c>
      <c r="E910" s="2118" t="n">
        <v>0</v>
      </c>
      <c r="G910" s="1740" t="n"/>
      <c r="H910" s="1741" t="inlineStr">
        <is>
          <t>SUBETAPA</t>
        </is>
      </c>
      <c r="I910" s="1742" t="inlineStr">
        <is>
          <t>08.014.006</t>
        </is>
      </c>
      <c r="J910" s="1743" t="inlineStr">
        <is>
          <t>Sistema de bombas</t>
        </is>
      </c>
      <c r="K910" s="1744" t="n"/>
      <c r="L910" s="1745" t="n"/>
      <c r="M910" s="1745" t="n"/>
      <c r="N910" s="1746" t="n">
        <v>8760</v>
      </c>
      <c r="O910" s="1747" t="n"/>
      <c r="P910" s="1720" t="n"/>
    </row>
    <row r="911" hidden="1" outlineLevel="3" ht="13.9" customHeight="1">
      <c r="A911" s="2117" t="n">
        <v>0</v>
      </c>
      <c r="B911" s="2117" t="n">
        <v>8</v>
      </c>
      <c r="C911" s="2117" t="n">
        <v>14</v>
      </c>
      <c r="D911" s="2118" t="n">
        <v>6</v>
      </c>
      <c r="E911" s="2118" t="n">
        <v>1</v>
      </c>
      <c r="G911" s="1790" t="inlineStr">
        <is>
          <t>INSTALAÇÕES PREVENTIVAS</t>
        </is>
      </c>
      <c r="H911" s="1749" t="inlineStr">
        <is>
          <t>SERVIÇO</t>
        </is>
      </c>
      <c r="I911" s="1750" t="inlineStr">
        <is>
          <t>08.014.006.001</t>
        </is>
      </c>
      <c r="J911" s="1751" t="inlineStr">
        <is>
          <t>Sistema de bombas</t>
        </is>
      </c>
      <c r="K911" s="1752" t="inlineStr">
        <is>
          <t>vb</t>
        </is>
      </c>
      <c r="L911" s="1753" t="n">
        <v>1</v>
      </c>
      <c r="M911" s="1753" t="n">
        <v>8760</v>
      </c>
      <c r="N911" s="1754" t="n">
        <v>8760</v>
      </c>
      <c r="O911" s="1755" t="inlineStr">
        <is>
          <t>quantidades confirme quantidades do projetista</t>
        </is>
      </c>
      <c r="P911" s="1721" t="inlineStr">
        <is>
          <t>Pendente</t>
        </is>
      </c>
    </row>
    <row r="912" hidden="1" outlineLevel="2" ht="13.9" customHeight="1">
      <c r="A912" s="2117" t="n">
        <v>0</v>
      </c>
      <c r="B912" s="2117" t="n">
        <v>8</v>
      </c>
      <c r="C912" s="2117" t="n">
        <v>14</v>
      </c>
      <c r="D912" s="2118" t="n">
        <v>7</v>
      </c>
      <c r="E912" s="2118" t="n">
        <v>0</v>
      </c>
      <c r="G912" s="1740" t="n"/>
      <c r="H912" s="1741" t="inlineStr">
        <is>
          <t>SUBETAPA</t>
        </is>
      </c>
      <c r="I912" s="1742" t="inlineStr">
        <is>
          <t>08.014.007</t>
        </is>
      </c>
      <c r="J912" s="1743" t="inlineStr">
        <is>
          <t>Mão de obra</t>
        </is>
      </c>
      <c r="K912" s="1744" t="n"/>
      <c r="L912" s="1745" t="n"/>
      <c r="M912" s="1745" t="n"/>
      <c r="N912" s="1746" t="n">
        <v>1394</v>
      </c>
      <c r="O912" s="1747" t="n"/>
      <c r="P912" s="1720" t="n"/>
    </row>
    <row r="913" hidden="1" outlineLevel="3" ht="13.9" customHeight="1">
      <c r="A913" s="2117" t="n">
        <v>0</v>
      </c>
      <c r="B913" s="2117" t="n">
        <v>8</v>
      </c>
      <c r="C913" s="2117" t="n">
        <v>14</v>
      </c>
      <c r="D913" s="2118" t="n">
        <v>7</v>
      </c>
      <c r="E913" s="2118" t="n">
        <v>1</v>
      </c>
      <c r="G913" s="1790" t="inlineStr">
        <is>
          <t>INSTALAÇÕES PREVENTIVAS</t>
        </is>
      </c>
      <c r="H913" s="1749" t="inlineStr">
        <is>
          <t>SERVIÇO</t>
        </is>
      </c>
      <c r="I913" s="1750" t="inlineStr">
        <is>
          <t>08.014.007.001</t>
        </is>
      </c>
      <c r="J913" s="1751" t="inlineStr">
        <is>
          <t>Mão de obra PPCI</t>
        </is>
      </c>
      <c r="K913" s="1752" t="inlineStr">
        <is>
          <t>vb</t>
        </is>
      </c>
      <c r="L913" s="1753" t="n">
        <v>1</v>
      </c>
      <c r="M913" s="1753" t="n">
        <v>1394</v>
      </c>
      <c r="N913" s="1754" t="n">
        <v>1394</v>
      </c>
      <c r="O913" s="1765" t="inlineStr">
        <is>
          <t>Considerado R$5/m²</t>
        </is>
      </c>
      <c r="P913" s="1721" t="inlineStr">
        <is>
          <t>Pendente</t>
        </is>
      </c>
    </row>
    <row r="914" collapsed="1" ht="13.9" customHeight="1">
      <c r="A914" s="2117" t="n">
        <v>0</v>
      </c>
      <c r="B914" s="2117" t="n">
        <v>9</v>
      </c>
      <c r="C914" s="2117" t="n">
        <v>0</v>
      </c>
      <c r="D914" s="2118" t="n">
        <v>7</v>
      </c>
      <c r="E914" s="2118" t="n">
        <v>1</v>
      </c>
      <c r="F914" s="474" t="n"/>
      <c r="G914" s="1726" t="n"/>
      <c r="H914" s="1727" t="inlineStr">
        <is>
          <t>CÉLULA CONSTRUTIVA</t>
        </is>
      </c>
      <c r="I914" s="1728" t="inlineStr">
        <is>
          <t>09</t>
        </is>
      </c>
      <c r="J914" s="1729" t="inlineStr">
        <is>
          <t>INSTALAÇÕES DE GÁS</t>
        </is>
      </c>
      <c r="K914" s="1730" t="n"/>
      <c r="L914" s="1731" t="n"/>
      <c r="M914" s="1731" t="n"/>
      <c r="N914" s="1732" t="n">
        <v>250000</v>
      </c>
      <c r="O914" s="1770" t="n">
        <v>14.9256671922492</v>
      </c>
      <c r="P914" s="1723" t="n"/>
    </row>
    <row r="915" hidden="1" outlineLevel="1" ht="13.9" customHeight="1">
      <c r="A915" s="2117" t="n">
        <v>0</v>
      </c>
      <c r="B915" s="2117" t="n">
        <v>9</v>
      </c>
      <c r="C915" s="2117" t="n">
        <v>1</v>
      </c>
      <c r="D915" s="2118" t="n">
        <v>0</v>
      </c>
      <c r="E915" s="2118" t="n">
        <v>1</v>
      </c>
      <c r="G915" s="1733" t="n"/>
      <c r="H915" s="1734" t="inlineStr">
        <is>
          <t>ETAPA</t>
        </is>
      </c>
      <c r="I915" s="1735" t="inlineStr">
        <is>
          <t>09.001</t>
        </is>
      </c>
      <c r="J915" s="1736" t="inlineStr">
        <is>
          <t>INSTALAÇÕES DE GÁS - Térreo</t>
        </is>
      </c>
      <c r="K915" s="1737" t="n"/>
      <c r="L915" s="1738" t="n"/>
      <c r="M915" s="1738" t="n"/>
      <c r="N915" s="1739" t="n">
        <v>26282.6044747727</v>
      </c>
      <c r="O915" s="1792" t="n"/>
      <c r="P915" s="1725" t="n"/>
    </row>
    <row r="916" hidden="1" outlineLevel="2" ht="13.9" customHeight="1">
      <c r="A916" s="2117" t="n">
        <v>0</v>
      </c>
      <c r="B916" s="2117" t="n">
        <v>9</v>
      </c>
      <c r="C916" s="2117" t="n">
        <v>1</v>
      </c>
      <c r="D916" s="2118" t="n">
        <v>1</v>
      </c>
      <c r="E916" s="2118" t="n">
        <v>0</v>
      </c>
      <c r="G916" s="1764" t="n"/>
      <c r="H916" s="1741" t="inlineStr">
        <is>
          <t>SUBETAPA</t>
        </is>
      </c>
      <c r="I916" s="1742" t="inlineStr">
        <is>
          <t>09.001.001</t>
        </is>
      </c>
      <c r="J916" s="1743" t="inlineStr">
        <is>
          <t>Medidores</t>
        </is>
      </c>
      <c r="K916" s="1744" t="n"/>
      <c r="L916" s="1745" t="n"/>
      <c r="M916" s="1745" t="n"/>
      <c r="N916" s="1746" t="n">
        <v>1013.31249199854</v>
      </c>
      <c r="O916" s="1762" t="n"/>
      <c r="P916" s="1720" t="n"/>
    </row>
    <row r="917" hidden="1" outlineLevel="3" ht="13.9" customHeight="1">
      <c r="A917" s="2117" t="n">
        <v>0</v>
      </c>
      <c r="B917" s="2117" t="n">
        <v>9</v>
      </c>
      <c r="C917" s="2117" t="n">
        <v>1</v>
      </c>
      <c r="D917" s="2118" t="n">
        <v>1</v>
      </c>
      <c r="E917" s="2118" t="n">
        <v>1</v>
      </c>
      <c r="G917" s="1748" t="inlineStr">
        <is>
          <t>INSTALAÇÕES DE GÁS</t>
        </is>
      </c>
      <c r="H917" s="1749" t="inlineStr">
        <is>
          <t>SERVIÇO</t>
        </is>
      </c>
      <c r="I917" s="1750" t="inlineStr">
        <is>
          <t>09.001.001.001</t>
        </is>
      </c>
      <c r="J917" s="1751" t="inlineStr">
        <is>
          <t>Medidores</t>
        </is>
      </c>
      <c r="K917" s="1752" t="inlineStr">
        <is>
          <t>vb</t>
        </is>
      </c>
      <c r="L917" s="1753" t="n">
        <v>1</v>
      </c>
      <c r="M917" s="1753" t="n">
        <v>1013.312491998538</v>
      </c>
      <c r="N917" s="1754" t="n">
        <v>1013.31249199854</v>
      </c>
      <c r="O917" s="1761" t="inlineStr">
        <is>
          <t>Repessado pela Gessele na reunião do dia 05/03/2026 - vamos fechar em R$ 250k - Material  (aço + multicamada) + M.O</t>
        </is>
      </c>
      <c r="P917" s="1721" t="inlineStr">
        <is>
          <t>Pendente</t>
        </is>
      </c>
    </row>
    <row r="918" hidden="1" outlineLevel="2" ht="13.9" customHeight="1">
      <c r="A918" s="2117" t="n">
        <v>0</v>
      </c>
      <c r="B918" s="2117" t="n">
        <v>9</v>
      </c>
      <c r="C918" s="2117" t="n">
        <v>1</v>
      </c>
      <c r="D918" s="2118" t="n">
        <v>2</v>
      </c>
      <c r="E918" s="2118" t="n">
        <v>0</v>
      </c>
      <c r="G918" s="1764" t="n"/>
      <c r="H918" s="1741" t="inlineStr">
        <is>
          <t>SUBETAPA</t>
        </is>
      </c>
      <c r="I918" s="1742" t="inlineStr">
        <is>
          <t>09.001.002</t>
        </is>
      </c>
      <c r="J918" s="1743" t="inlineStr">
        <is>
          <t>Sistema de Gás</t>
        </is>
      </c>
      <c r="K918" s="1744" t="n"/>
      <c r="L918" s="1745" t="n"/>
      <c r="M918" s="1745" t="n"/>
      <c r="N918" s="1746" t="n">
        <v>22367.2559542302</v>
      </c>
      <c r="O918" s="1762" t="n"/>
      <c r="P918" s="1720" t="n"/>
    </row>
    <row r="919" hidden="1" outlineLevel="3" ht="13.9" customHeight="1">
      <c r="A919" s="2117" t="n">
        <v>0</v>
      </c>
      <c r="B919" s="2117" t="n">
        <v>9</v>
      </c>
      <c r="C919" s="2117" t="n">
        <v>1</v>
      </c>
      <c r="D919" s="2118" t="n">
        <v>2</v>
      </c>
      <c r="E919" s="2118" t="n">
        <v>1</v>
      </c>
      <c r="G919" s="1748" t="inlineStr">
        <is>
          <t>INSTALAÇÕES DE GÁS</t>
        </is>
      </c>
      <c r="H919" s="1749" t="inlineStr">
        <is>
          <t>SERVIÇO</t>
        </is>
      </c>
      <c r="I919" s="1750" t="inlineStr">
        <is>
          <t>09.001.002.001</t>
        </is>
      </c>
      <c r="J919" s="1751" t="inlineStr">
        <is>
          <t>Sistema de Gás</t>
        </is>
      </c>
      <c r="K919" s="1752" t="inlineStr">
        <is>
          <t>vb</t>
        </is>
      </c>
      <c r="L919" s="1753" t="n">
        <v>1</v>
      </c>
      <c r="M919" s="1753" t="n">
        <v>22367.25595423024</v>
      </c>
      <c r="N919" s="1754" t="n">
        <v>22367.2559542302</v>
      </c>
      <c r="O919" s="1761" t="inlineStr">
        <is>
          <t>Repessado pela Gessele na reunião do dia 05/03/2026 - vamos fechar em R$ 250k - Material  (aço + multicamada) + M.O</t>
        </is>
      </c>
      <c r="P919" s="1721" t="inlineStr">
        <is>
          <t>Pendente</t>
        </is>
      </c>
    </row>
    <row r="920" hidden="1" outlineLevel="2" ht="13.9" customHeight="1">
      <c r="A920" s="2117" t="n">
        <v>0</v>
      </c>
      <c r="B920" s="2117" t="n">
        <v>9</v>
      </c>
      <c r="C920" s="2117" t="n">
        <v>1</v>
      </c>
      <c r="D920" s="2118" t="n">
        <v>3</v>
      </c>
      <c r="E920" s="2118" t="n">
        <v>0</v>
      </c>
      <c r="G920" s="1764" t="n"/>
      <c r="H920" s="1741" t="inlineStr">
        <is>
          <t>SUBETAPA</t>
        </is>
      </c>
      <c r="I920" s="1742" t="inlineStr">
        <is>
          <t>09.001.003</t>
        </is>
      </c>
      <c r="J920" s="1743" t="inlineStr">
        <is>
          <t>Mão de obra</t>
        </is>
      </c>
      <c r="K920" s="1744" t="n"/>
      <c r="L920" s="1745" t="n"/>
      <c r="M920" s="1745" t="n"/>
      <c r="N920" s="1746" t="n">
        <v>2902.03602854389</v>
      </c>
      <c r="O920" s="1762" t="n"/>
      <c r="P920" s="1720" t="n"/>
    </row>
    <row r="921" hidden="1" outlineLevel="3" ht="13.9" customHeight="1">
      <c r="A921" s="2117" t="n">
        <v>0</v>
      </c>
      <c r="B921" s="2117" t="n">
        <v>9</v>
      </c>
      <c r="C921" s="2117" t="n">
        <v>1</v>
      </c>
      <c r="D921" s="2118" t="n">
        <v>3</v>
      </c>
      <c r="E921" s="2118" t="n">
        <v>1</v>
      </c>
      <c r="G921" s="1748" t="inlineStr">
        <is>
          <t>INSTALAÇÕES DE GÁS</t>
        </is>
      </c>
      <c r="H921" s="1749" t="inlineStr">
        <is>
          <t>SERVIÇO</t>
        </is>
      </c>
      <c r="I921" s="1750" t="inlineStr">
        <is>
          <t>09.001.003.001</t>
        </is>
      </c>
      <c r="J921" s="1751" t="inlineStr">
        <is>
          <t>Mão de obra para instalações gás</t>
        </is>
      </c>
      <c r="K921" s="1752" t="inlineStr">
        <is>
          <t>vb</t>
        </is>
      </c>
      <c r="L921" s="1753" t="n">
        <v>1</v>
      </c>
      <c r="M921" s="1753" t="n">
        <v>2902.03602854389</v>
      </c>
      <c r="N921" s="1754" t="n">
        <v>2902.03602854389</v>
      </c>
      <c r="O921" s="1761" t="inlineStr">
        <is>
          <t>Repessado pela Gessele na reunião do dia 05/03/2026 - vamos fechar em R$ 250k - Material  (aço + multicamada) + M.O</t>
        </is>
      </c>
      <c r="P921" s="1721" t="inlineStr">
        <is>
          <t>Pendente</t>
        </is>
      </c>
    </row>
    <row r="922" hidden="1" outlineLevel="1" ht="13.9" customHeight="1">
      <c r="A922" s="2117" t="n">
        <v>0</v>
      </c>
      <c r="B922" s="2117" t="n">
        <v>9</v>
      </c>
      <c r="C922" s="2117" t="n">
        <v>2</v>
      </c>
      <c r="D922" s="2118" t="n">
        <v>0</v>
      </c>
      <c r="E922" s="2118" t="n">
        <v>1</v>
      </c>
      <c r="G922" s="1733" t="n"/>
      <c r="H922" s="1734" t="inlineStr">
        <is>
          <t>ETAPA</t>
        </is>
      </c>
      <c r="I922" s="1735" t="inlineStr">
        <is>
          <t>09.002</t>
        </is>
      </c>
      <c r="J922" s="1736" t="inlineStr">
        <is>
          <t>INSTALAÇÕES DE GÁS - Mezanino G1</t>
        </is>
      </c>
      <c r="K922" s="1737" t="n"/>
      <c r="L922" s="1738" t="n"/>
      <c r="M922" s="1738" t="n"/>
      <c r="N922" s="1739" t="n">
        <v>5591.4490962267</v>
      </c>
      <c r="O922" s="1792" t="n"/>
      <c r="P922" s="1725" t="n"/>
    </row>
    <row r="923" hidden="1" outlineLevel="2" ht="13.9" customHeight="1">
      <c r="A923" s="2117" t="n">
        <v>0</v>
      </c>
      <c r="B923" s="2117" t="n">
        <v>9</v>
      </c>
      <c r="C923" s="2117" t="n">
        <v>2</v>
      </c>
      <c r="D923" s="2118" t="n">
        <v>1</v>
      </c>
      <c r="E923" s="2118" t="n">
        <v>0</v>
      </c>
      <c r="G923" s="1764" t="n"/>
      <c r="H923" s="1741" t="inlineStr">
        <is>
          <t>SUBETAPA</t>
        </is>
      </c>
      <c r="I923" s="1742" t="inlineStr">
        <is>
          <t>09.002.001</t>
        </is>
      </c>
      <c r="J923" s="1743" t="inlineStr">
        <is>
          <t>Sistema de Gás</t>
        </is>
      </c>
      <c r="K923" s="1744" t="n"/>
      <c r="L923" s="1745" t="n"/>
      <c r="M923" s="1745" t="n"/>
      <c r="N923" s="1746" t="n">
        <v>2628.12328589769</v>
      </c>
      <c r="O923" s="1762" t="n"/>
      <c r="P923" s="1720" t="n"/>
    </row>
    <row r="924" hidden="1" outlineLevel="3" ht="13.9" customHeight="1">
      <c r="A924" s="2117" t="n">
        <v>0</v>
      </c>
      <c r="B924" s="2117" t="n">
        <v>9</v>
      </c>
      <c r="C924" s="2117" t="n">
        <v>2</v>
      </c>
      <c r="D924" s="2118" t="n">
        <v>1</v>
      </c>
      <c r="E924" s="2118" t="n">
        <v>1</v>
      </c>
      <c r="G924" s="1748" t="inlineStr">
        <is>
          <t>INSTALAÇÕES DE GÁS</t>
        </is>
      </c>
      <c r="H924" s="1749" t="inlineStr">
        <is>
          <t>SERVIÇO</t>
        </is>
      </c>
      <c r="I924" s="1750" t="inlineStr">
        <is>
          <t>09.002.001.001</t>
        </is>
      </c>
      <c r="J924" s="1751" t="inlineStr">
        <is>
          <t>Sistema de Gás</t>
        </is>
      </c>
      <c r="K924" s="1752" t="inlineStr">
        <is>
          <t>vb</t>
        </is>
      </c>
      <c r="L924" s="1753" t="n">
        <v>1</v>
      </c>
      <c r="M924" s="1753" t="n">
        <v>2628.123285897685</v>
      </c>
      <c r="N924" s="1754" t="n">
        <v>2628.12328589769</v>
      </c>
      <c r="O924" s="1761" t="inlineStr">
        <is>
          <t>Repessado pela Gessele na reunião do dia 05/03/2026 - vamos fechar em R$ 250k - Material  (aço + multicamada) + M.O</t>
        </is>
      </c>
      <c r="P924" s="1721" t="inlineStr">
        <is>
          <t>Pendente</t>
        </is>
      </c>
    </row>
    <row r="925" hidden="1" outlineLevel="2" ht="13.9" customHeight="1">
      <c r="A925" s="2117" t="n">
        <v>0</v>
      </c>
      <c r="B925" s="2117" t="n">
        <v>9</v>
      </c>
      <c r="C925" s="2117" t="n">
        <v>2</v>
      </c>
      <c r="D925" s="2118" t="n">
        <v>2</v>
      </c>
      <c r="E925" s="2118" t="n">
        <v>0</v>
      </c>
      <c r="G925" s="1764" t="n"/>
      <c r="H925" s="1741" t="inlineStr">
        <is>
          <t>SUBETAPA</t>
        </is>
      </c>
      <c r="I925" s="1742" t="inlineStr">
        <is>
          <t>09.002.002</t>
        </is>
      </c>
      <c r="J925" s="1743" t="inlineStr">
        <is>
          <t>Mão de obra</t>
        </is>
      </c>
      <c r="K925" s="1744" t="n"/>
      <c r="L925" s="1745" t="n"/>
      <c r="M925" s="1745" t="n"/>
      <c r="N925" s="1746" t="n">
        <v>2963.32581032901</v>
      </c>
      <c r="O925" s="1762" t="n"/>
      <c r="P925" s="1720" t="n"/>
    </row>
    <row r="926" hidden="1" outlineLevel="3" ht="13.9" customHeight="1">
      <c r="A926" s="2117" t="n">
        <v>0</v>
      </c>
      <c r="B926" s="2117" t="n">
        <v>9</v>
      </c>
      <c r="C926" s="2117" t="n">
        <v>2</v>
      </c>
      <c r="D926" s="2118" t="n">
        <v>2</v>
      </c>
      <c r="E926" s="2118" t="n">
        <v>1</v>
      </c>
      <c r="G926" s="1748" t="inlineStr">
        <is>
          <t>INSTALAÇÕES DE GÁS</t>
        </is>
      </c>
      <c r="H926" s="1749" t="inlineStr">
        <is>
          <t>SERVIÇO</t>
        </is>
      </c>
      <c r="I926" s="1750" t="inlineStr">
        <is>
          <t>09.002.002.001</t>
        </is>
      </c>
      <c r="J926" s="1751" t="inlineStr">
        <is>
          <t>Mão de obra para instalações gás</t>
        </is>
      </c>
      <c r="K926" s="1752" t="inlineStr">
        <is>
          <t>vb</t>
        </is>
      </c>
      <c r="L926" s="1753" t="n">
        <v>1</v>
      </c>
      <c r="M926" s="1753" t="n">
        <v>2963.325810329013</v>
      </c>
      <c r="N926" s="1754" t="n">
        <v>2963.32581032901</v>
      </c>
      <c r="O926" s="1761" t="inlineStr">
        <is>
          <t>Repessado pela Gessele na reunião do dia 05/03/2026 - vamos fechar em R$ 250k - Material  (aço + multicamada) + M.O</t>
        </is>
      </c>
      <c r="P926" s="1721" t="inlineStr">
        <is>
          <t>Pendente</t>
        </is>
      </c>
    </row>
    <row r="927" hidden="1" outlineLevel="1" ht="13.9" customHeight="1">
      <c r="A927" s="2117" t="n">
        <v>0</v>
      </c>
      <c r="B927" s="2117" t="n">
        <v>9</v>
      </c>
      <c r="C927" s="2117" t="n">
        <v>3</v>
      </c>
      <c r="D927" s="2118" t="n">
        <v>0</v>
      </c>
      <c r="E927" s="2118" t="n">
        <v>1</v>
      </c>
      <c r="G927" s="1733" t="n"/>
      <c r="H927" s="1734" t="inlineStr">
        <is>
          <t>ETAPA</t>
        </is>
      </c>
      <c r="I927" s="1735" t="inlineStr">
        <is>
          <t>09.003</t>
        </is>
      </c>
      <c r="J927" s="1736" t="inlineStr">
        <is>
          <t>INSTALAÇÕES DE GÁS - G2</t>
        </is>
      </c>
      <c r="K927" s="1737" t="n"/>
      <c r="L927" s="1738" t="n"/>
      <c r="M927" s="1738" t="n"/>
      <c r="N927" s="1739" t="n">
        <v>27552.9575073401</v>
      </c>
      <c r="O927" s="1792" t="n"/>
      <c r="P927" s="1725" t="n"/>
    </row>
    <row r="928" hidden="1" outlineLevel="2" ht="13.9" customHeight="1">
      <c r="A928" s="2117" t="n">
        <v>0</v>
      </c>
      <c r="B928" s="2117" t="n">
        <v>9</v>
      </c>
      <c r="C928" s="2117" t="n">
        <v>3</v>
      </c>
      <c r="D928" s="2118" t="n">
        <v>1</v>
      </c>
      <c r="E928" s="2118" t="n">
        <v>0</v>
      </c>
      <c r="G928" s="1764" t="n"/>
      <c r="H928" s="1741" t="inlineStr">
        <is>
          <t>SUBETAPA</t>
        </is>
      </c>
      <c r="I928" s="1742" t="inlineStr">
        <is>
          <t>09.003.001</t>
        </is>
      </c>
      <c r="J928" s="1743" t="inlineStr">
        <is>
          <t>Sistema de Gás</t>
        </is>
      </c>
      <c r="K928" s="1744" t="n"/>
      <c r="L928" s="1745" t="n"/>
      <c r="M928" s="1745" t="n"/>
      <c r="N928" s="1746" t="n">
        <v>24303.5264090763</v>
      </c>
      <c r="O928" s="1762" t="n"/>
      <c r="P928" s="1720" t="n"/>
    </row>
    <row r="929" hidden="1" outlineLevel="3" ht="13.9" customHeight="1">
      <c r="A929" s="2117" t="n">
        <v>0</v>
      </c>
      <c r="B929" s="2117" t="n">
        <v>9</v>
      </c>
      <c r="C929" s="2117" t="n">
        <v>3</v>
      </c>
      <c r="D929" s="2118" t="n">
        <v>1</v>
      </c>
      <c r="E929" s="2118" t="n">
        <v>1</v>
      </c>
      <c r="G929" s="1748" t="inlineStr">
        <is>
          <t>INSTALAÇÕES DE GÁS</t>
        </is>
      </c>
      <c r="H929" s="1749" t="inlineStr">
        <is>
          <t>SERVIÇO</t>
        </is>
      </c>
      <c r="I929" s="1750" t="inlineStr">
        <is>
          <t>09.003.001.001</t>
        </is>
      </c>
      <c r="J929" s="1751" t="inlineStr">
        <is>
          <t>Sistema de Gás</t>
        </is>
      </c>
      <c r="K929" s="1752" t="inlineStr">
        <is>
          <t>vb</t>
        </is>
      </c>
      <c r="L929" s="1753" t="n">
        <v>1</v>
      </c>
      <c r="M929" s="1753" t="n">
        <v>24303.52640907626</v>
      </c>
      <c r="N929" s="1754" t="n">
        <v>24303.5264090763</v>
      </c>
      <c r="O929" s="1761" t="inlineStr">
        <is>
          <t>Repessado pela Gessele na reunião do dia 05/03/2026 - vamos fechar em R$ 250k - Material  (aço + multicamada) + M.O</t>
        </is>
      </c>
      <c r="P929" s="1721" t="inlineStr">
        <is>
          <t>Pendente</t>
        </is>
      </c>
    </row>
    <row r="930" hidden="1" outlineLevel="2" ht="13.9" customHeight="1">
      <c r="A930" s="2117" t="n">
        <v>0</v>
      </c>
      <c r="B930" s="2117" t="n">
        <v>9</v>
      </c>
      <c r="C930" s="2117" t="n">
        <v>3</v>
      </c>
      <c r="D930" s="2118" t="n">
        <v>2</v>
      </c>
      <c r="E930" s="2118" t="n">
        <v>0</v>
      </c>
      <c r="G930" s="1764" t="n"/>
      <c r="H930" s="1741" t="inlineStr">
        <is>
          <t>SUBETAPA</t>
        </is>
      </c>
      <c r="I930" s="1742" t="inlineStr">
        <is>
          <t>09.003.002</t>
        </is>
      </c>
      <c r="J930" s="1743" t="inlineStr">
        <is>
          <t>Mão de obra</t>
        </is>
      </c>
      <c r="K930" s="1744" t="n"/>
      <c r="L930" s="1745" t="n"/>
      <c r="M930" s="1745" t="n"/>
      <c r="N930" s="1746" t="n">
        <v>3249.43109826379</v>
      </c>
      <c r="O930" s="1762" t="n"/>
      <c r="P930" s="1720" t="n"/>
    </row>
    <row r="931" hidden="1" outlineLevel="3" ht="13.9" customHeight="1">
      <c r="A931" s="2117" t="n">
        <v>0</v>
      </c>
      <c r="B931" s="2117" t="n">
        <v>9</v>
      </c>
      <c r="C931" s="2117" t="n">
        <v>3</v>
      </c>
      <c r="D931" s="2118" t="n">
        <v>2</v>
      </c>
      <c r="E931" s="2118" t="n">
        <v>1</v>
      </c>
      <c r="G931" s="1748" t="inlineStr">
        <is>
          <t>INSTALAÇÕES DE GÁS</t>
        </is>
      </c>
      <c r="H931" s="1749" t="inlineStr">
        <is>
          <t>SERVIÇO</t>
        </is>
      </c>
      <c r="I931" s="1750" t="inlineStr">
        <is>
          <t>09.003.002.001</t>
        </is>
      </c>
      <c r="J931" s="1751" t="inlineStr">
        <is>
          <t>Mão de obra para instalações gás</t>
        </is>
      </c>
      <c r="K931" s="1752" t="inlineStr">
        <is>
          <t>vb</t>
        </is>
      </c>
      <c r="L931" s="1753" t="n">
        <v>1</v>
      </c>
      <c r="M931" s="1753" t="n">
        <v>3249.431098263794</v>
      </c>
      <c r="N931" s="1754" t="n">
        <v>3249.43109826379</v>
      </c>
      <c r="O931" s="1761" t="inlineStr">
        <is>
          <t>Repessado pela Gessele na reunião do dia 05/03/2026 - vamos fechar em R$ 250k - Material  (aço + multicamada) + M.O</t>
        </is>
      </c>
      <c r="P931" s="1721" t="inlineStr">
        <is>
          <t>Pendente</t>
        </is>
      </c>
    </row>
    <row r="932" hidden="1" outlineLevel="1" ht="13.9" customHeight="1">
      <c r="A932" s="2117" t="n">
        <v>0</v>
      </c>
      <c r="B932" s="2117" t="n">
        <v>9</v>
      </c>
      <c r="C932" s="2117" t="n">
        <v>4</v>
      </c>
      <c r="D932" s="2118" t="n">
        <v>0</v>
      </c>
      <c r="E932" s="2118" t="n">
        <v>1</v>
      </c>
      <c r="G932" s="1733" t="n"/>
      <c r="H932" s="1734" t="inlineStr">
        <is>
          <t>ETAPA</t>
        </is>
      </c>
      <c r="I932" s="1735" t="inlineStr">
        <is>
          <t>09.004</t>
        </is>
      </c>
      <c r="J932" s="1736" t="inlineStr">
        <is>
          <t>INSTALAÇÕES DE GÁS - Mezanino G2</t>
        </is>
      </c>
      <c r="K932" s="1737" t="n"/>
      <c r="L932" s="1738" t="n"/>
      <c r="M932" s="1738" t="n"/>
      <c r="N932" s="1739" t="n">
        <v>4125.47219356302</v>
      </c>
      <c r="O932" s="1792" t="n"/>
      <c r="P932" s="1725" t="n"/>
    </row>
    <row r="933" hidden="1" outlineLevel="2" ht="13.9" customHeight="1">
      <c r="A933" s="2117" t="n">
        <v>0</v>
      </c>
      <c r="B933" s="2117" t="n">
        <v>9</v>
      </c>
      <c r="C933" s="2117" t="n">
        <v>4</v>
      </c>
      <c r="D933" s="2118" t="n">
        <v>1</v>
      </c>
      <c r="E933" s="2118" t="n">
        <v>0</v>
      </c>
      <c r="G933" s="1764" t="n"/>
      <c r="H933" s="1741" t="inlineStr">
        <is>
          <t>SUBETAPA</t>
        </is>
      </c>
      <c r="I933" s="1742" t="inlineStr">
        <is>
          <t>09.004.001</t>
        </is>
      </c>
      <c r="J933" s="1743" t="inlineStr">
        <is>
          <t>Sistema de Gás</t>
        </is>
      </c>
      <c r="K933" s="1744" t="n"/>
      <c r="L933" s="1745" t="n"/>
      <c r="M933" s="1745" t="n"/>
      <c r="N933" s="1746" t="n">
        <v>876.041095299229</v>
      </c>
      <c r="O933" s="1762" t="n"/>
      <c r="P933" s="1720" t="n"/>
    </row>
    <row r="934" hidden="1" outlineLevel="3" ht="13.9" customHeight="1">
      <c r="A934" s="2117" t="n">
        <v>0</v>
      </c>
      <c r="B934" s="2117" t="n">
        <v>9</v>
      </c>
      <c r="C934" s="2117" t="n">
        <v>4</v>
      </c>
      <c r="D934" s="2118" t="n">
        <v>1</v>
      </c>
      <c r="E934" s="2118" t="n">
        <v>1</v>
      </c>
      <c r="G934" s="1748" t="inlineStr">
        <is>
          <t>INSTALAÇÕES DE GÁS</t>
        </is>
      </c>
      <c r="H934" s="1749" t="inlineStr">
        <is>
          <t>SERVIÇO</t>
        </is>
      </c>
      <c r="I934" s="1750" t="inlineStr">
        <is>
          <t>09.004.001.001</t>
        </is>
      </c>
      <c r="J934" s="1751" t="inlineStr">
        <is>
          <t>Sistema de Gás</t>
        </is>
      </c>
      <c r="K934" s="1752" t="inlineStr">
        <is>
          <t>vb</t>
        </is>
      </c>
      <c r="L934" s="1753" t="n">
        <v>1</v>
      </c>
      <c r="M934" s="1753" t="n">
        <v>876.0410952992286</v>
      </c>
      <c r="N934" s="1754" t="n">
        <v>876.041095299229</v>
      </c>
      <c r="O934" s="1761" t="inlineStr">
        <is>
          <t>Repessado pela Gessele na reunião do dia 05/03/2026 - vamos fechar em R$ 250k - Material  (aço + multicamada) + M.O</t>
        </is>
      </c>
      <c r="P934" s="1721" t="inlineStr">
        <is>
          <t>Pendente</t>
        </is>
      </c>
    </row>
    <row r="935" hidden="1" outlineLevel="2" ht="13.9" customHeight="1">
      <c r="A935" s="2117" t="n">
        <v>0</v>
      </c>
      <c r="B935" s="2117" t="n">
        <v>9</v>
      </c>
      <c r="C935" s="2117" t="n">
        <v>4</v>
      </c>
      <c r="D935" s="2118" t="n">
        <v>2</v>
      </c>
      <c r="E935" s="2118" t="n">
        <v>0</v>
      </c>
      <c r="G935" s="1764" t="n"/>
      <c r="H935" s="1741" t="inlineStr">
        <is>
          <t>SUBETAPA</t>
        </is>
      </c>
      <c r="I935" s="1742" t="inlineStr">
        <is>
          <t>09.004.002</t>
        </is>
      </c>
      <c r="J935" s="1743" t="inlineStr">
        <is>
          <t>Mão de obra</t>
        </is>
      </c>
      <c r="K935" s="1744" t="n"/>
      <c r="L935" s="1745" t="n"/>
      <c r="M935" s="1745" t="n"/>
      <c r="N935" s="1746" t="n">
        <v>3249.43109826379</v>
      </c>
      <c r="O935" s="1762" t="n"/>
      <c r="P935" s="1720" t="n"/>
    </row>
    <row r="936" hidden="1" outlineLevel="3" ht="13.9" customHeight="1">
      <c r="A936" s="2117" t="n">
        <v>0</v>
      </c>
      <c r="B936" s="2117" t="n">
        <v>9</v>
      </c>
      <c r="C936" s="2117" t="n">
        <v>4</v>
      </c>
      <c r="D936" s="2118" t="n">
        <v>2</v>
      </c>
      <c r="E936" s="2118" t="n">
        <v>1</v>
      </c>
      <c r="G936" s="1748" t="inlineStr">
        <is>
          <t>INSTALAÇÕES DE GÁS</t>
        </is>
      </c>
      <c r="H936" s="1749" t="inlineStr">
        <is>
          <t>SERVIÇO</t>
        </is>
      </c>
      <c r="I936" s="1750" t="inlineStr">
        <is>
          <t>09.004.002.001</t>
        </is>
      </c>
      <c r="J936" s="1751" t="inlineStr">
        <is>
          <t>Mão de obra para instalações gás</t>
        </is>
      </c>
      <c r="K936" s="1752" t="inlineStr">
        <is>
          <t>vb</t>
        </is>
      </c>
      <c r="L936" s="1753" t="n">
        <v>1</v>
      </c>
      <c r="M936" s="1753" t="n">
        <v>3249.431098263794</v>
      </c>
      <c r="N936" s="1754" t="n">
        <v>3249.43109826379</v>
      </c>
      <c r="O936" s="1761" t="inlineStr">
        <is>
          <t>Repessado pela Gessele na reunião do dia 05/03/2026 - vamos fechar em R$ 250k - Material  (aço + multicamada) + M.O</t>
        </is>
      </c>
      <c r="P936" s="1721" t="inlineStr">
        <is>
          <t>Pendente</t>
        </is>
      </c>
    </row>
    <row r="937" hidden="1" outlineLevel="1" ht="13.9" customHeight="1">
      <c r="A937" s="2117" t="n">
        <v>0</v>
      </c>
      <c r="B937" s="2117" t="n">
        <v>9</v>
      </c>
      <c r="C937" s="2117" t="n">
        <v>5</v>
      </c>
      <c r="D937" s="2118" t="n">
        <v>0</v>
      </c>
      <c r="E937" s="2118" t="n">
        <v>1</v>
      </c>
      <c r="G937" s="1733" t="n"/>
      <c r="H937" s="1734" t="inlineStr">
        <is>
          <t>ETAPA</t>
        </is>
      </c>
      <c r="I937" s="1735" t="inlineStr">
        <is>
          <t>09.005</t>
        </is>
      </c>
      <c r="J937" s="1736" t="inlineStr">
        <is>
          <t>INSTALAÇÕES DE GÁS - G3</t>
        </is>
      </c>
      <c r="K937" s="1737" t="n"/>
      <c r="L937" s="1738" t="n"/>
      <c r="M937" s="1738" t="n"/>
      <c r="N937" s="1739" t="n">
        <v>4178.22933507993</v>
      </c>
      <c r="O937" s="1792" t="n"/>
      <c r="P937" s="1725" t="n"/>
    </row>
    <row r="938" hidden="1" outlineLevel="2" ht="13.9" customHeight="1">
      <c r="A938" s="2117" t="n">
        <v>0</v>
      </c>
      <c r="B938" s="2117" t="n">
        <v>9</v>
      </c>
      <c r="C938" s="2117" t="n">
        <v>5</v>
      </c>
      <c r="D938" s="2118" t="n">
        <v>1</v>
      </c>
      <c r="E938" s="2118" t="n">
        <v>0</v>
      </c>
      <c r="G938" s="1764" t="n"/>
      <c r="H938" s="1741" t="inlineStr">
        <is>
          <t>SUBETAPA</t>
        </is>
      </c>
      <c r="I938" s="1742" t="inlineStr">
        <is>
          <t>09.005.001</t>
        </is>
      </c>
      <c r="J938" s="1743" t="inlineStr">
        <is>
          <t>Sistema de Gás</t>
        </is>
      </c>
      <c r="K938" s="1744" t="n"/>
      <c r="L938" s="1745" t="n"/>
      <c r="M938" s="1745" t="n"/>
      <c r="N938" s="1746" t="n">
        <v>928.798236816138</v>
      </c>
      <c r="O938" s="1762" t="n"/>
      <c r="P938" s="1720" t="n"/>
    </row>
    <row r="939" hidden="1" outlineLevel="3" ht="13.9" customHeight="1">
      <c r="A939" s="2117" t="n">
        <v>0</v>
      </c>
      <c r="B939" s="2117" t="n">
        <v>9</v>
      </c>
      <c r="C939" s="2117" t="n">
        <v>5</v>
      </c>
      <c r="D939" s="2118" t="n">
        <v>1</v>
      </c>
      <c r="E939" s="2118" t="n">
        <v>1</v>
      </c>
      <c r="G939" s="1748" t="inlineStr">
        <is>
          <t>INSTALAÇÕES DE GÁS</t>
        </is>
      </c>
      <c r="H939" s="1749" t="inlineStr">
        <is>
          <t>SERVIÇO</t>
        </is>
      </c>
      <c r="I939" s="1750" t="inlineStr">
        <is>
          <t>09.005.001.001</t>
        </is>
      </c>
      <c r="J939" s="1751" t="inlineStr">
        <is>
          <t>Sistema de Gás</t>
        </is>
      </c>
      <c r="K939" s="1752" t="inlineStr">
        <is>
          <t>vb</t>
        </is>
      </c>
      <c r="L939" s="1753" t="n">
        <v>1</v>
      </c>
      <c r="M939" s="1753" t="n">
        <v>928.7982368161375</v>
      </c>
      <c r="N939" s="1754" t="n">
        <v>928.798236816138</v>
      </c>
      <c r="O939" s="1761" t="inlineStr">
        <is>
          <t>Repessado pela Gessele na reunião do dia 05/03/2026 - vamos fechar em R$ 250k - Material  (aço + multicamada) + M.O</t>
        </is>
      </c>
      <c r="P939" s="1721" t="inlineStr">
        <is>
          <t>Pendente</t>
        </is>
      </c>
    </row>
    <row r="940" hidden="1" outlineLevel="2" ht="13.9" customHeight="1">
      <c r="A940" s="2117" t="n">
        <v>0</v>
      </c>
      <c r="B940" s="2117" t="n">
        <v>9</v>
      </c>
      <c r="C940" s="2117" t="n">
        <v>5</v>
      </c>
      <c r="D940" s="2118" t="n">
        <v>2</v>
      </c>
      <c r="E940" s="2118" t="n">
        <v>0</v>
      </c>
      <c r="G940" s="1764" t="n"/>
      <c r="H940" s="1741" t="inlineStr">
        <is>
          <t>SUBETAPA</t>
        </is>
      </c>
      <c r="I940" s="1742" t="inlineStr">
        <is>
          <t>09.005.002</t>
        </is>
      </c>
      <c r="J940" s="1743" t="inlineStr">
        <is>
          <t>Mão de obra</t>
        </is>
      </c>
      <c r="K940" s="1744" t="n"/>
      <c r="L940" s="1745" t="n"/>
      <c r="M940" s="1745" t="n"/>
      <c r="N940" s="1746" t="n">
        <v>3249.43109826379</v>
      </c>
      <c r="O940" s="1762" t="n"/>
      <c r="P940" s="1720" t="n"/>
    </row>
    <row r="941" hidden="1" outlineLevel="3" ht="13.9" customHeight="1">
      <c r="A941" s="2117" t="n">
        <v>0</v>
      </c>
      <c r="B941" s="2117" t="n">
        <v>9</v>
      </c>
      <c r="C941" s="2117" t="n">
        <v>5</v>
      </c>
      <c r="D941" s="2118" t="n">
        <v>2</v>
      </c>
      <c r="E941" s="2118" t="n">
        <v>1</v>
      </c>
      <c r="G941" s="1748" t="inlineStr">
        <is>
          <t>INSTALAÇÕES DE GÁS</t>
        </is>
      </c>
      <c r="H941" s="1749" t="inlineStr">
        <is>
          <t>SERVIÇO</t>
        </is>
      </c>
      <c r="I941" s="1750" t="inlineStr">
        <is>
          <t>09.005.002.001</t>
        </is>
      </c>
      <c r="J941" s="1751" t="inlineStr">
        <is>
          <t>Mão de obra para instalações gás</t>
        </is>
      </c>
      <c r="K941" s="1752" t="inlineStr">
        <is>
          <t>vb</t>
        </is>
      </c>
      <c r="L941" s="1753" t="n">
        <v>1</v>
      </c>
      <c r="M941" s="1753" t="n">
        <v>3249.431098263794</v>
      </c>
      <c r="N941" s="1754" t="n">
        <v>3249.43109826379</v>
      </c>
      <c r="O941" s="1761" t="inlineStr">
        <is>
          <t>Repessado pela Gessele na reunião do dia 05/03/2026 - vamos fechar em R$ 250k - Material  (aço + multicamada) + M.O</t>
        </is>
      </c>
      <c r="P941" s="1721" t="inlineStr">
        <is>
          <t>Pendente</t>
        </is>
      </c>
    </row>
    <row r="942" hidden="1" outlineLevel="1" ht="13.9" customHeight="1">
      <c r="A942" s="2117" t="n">
        <v>0</v>
      </c>
      <c r="B942" s="2117" t="n">
        <v>9</v>
      </c>
      <c r="C942" s="2117" t="n">
        <v>6</v>
      </c>
      <c r="D942" s="2118" t="n">
        <v>0</v>
      </c>
      <c r="E942" s="2118" t="n">
        <v>1</v>
      </c>
      <c r="G942" s="1733" t="n"/>
      <c r="H942" s="1734" t="inlineStr">
        <is>
          <t>ETAPA</t>
        </is>
      </c>
      <c r="I942" s="1735" t="inlineStr">
        <is>
          <t>09.006</t>
        </is>
      </c>
      <c r="J942" s="1736" t="inlineStr">
        <is>
          <t>INSTALAÇÕES DE GÁS - Mezanino G3</t>
        </is>
      </c>
      <c r="K942" s="1737" t="n"/>
      <c r="L942" s="1738" t="n"/>
      <c r="M942" s="1738" t="n"/>
      <c r="N942" s="1739" t="n">
        <v>4298.31909501528</v>
      </c>
      <c r="O942" s="1792" t="n"/>
      <c r="P942" s="1725" t="n"/>
    </row>
    <row r="943" hidden="1" outlineLevel="2" ht="13.9" customHeight="1">
      <c r="A943" s="2117" t="n">
        <v>0</v>
      </c>
      <c r="B943" s="2117" t="n">
        <v>9</v>
      </c>
      <c r="C943" s="2117" t="n">
        <v>6</v>
      </c>
      <c r="D943" s="2118" t="n">
        <v>1</v>
      </c>
      <c r="E943" s="2118" t="n">
        <v>0</v>
      </c>
      <c r="G943" s="1764" t="n"/>
      <c r="H943" s="1741" t="inlineStr">
        <is>
          <t>SUBETAPA</t>
        </is>
      </c>
      <c r="I943" s="1742" t="inlineStr">
        <is>
          <t>09.006.001</t>
        </is>
      </c>
      <c r="J943" s="1743" t="inlineStr">
        <is>
          <t>Sistema de Gás</t>
        </is>
      </c>
      <c r="K943" s="1744" t="n"/>
      <c r="L943" s="1745" t="n"/>
      <c r="M943" s="1745" t="n"/>
      <c r="N943" s="1746" t="n">
        <v>997.289176238364</v>
      </c>
      <c r="O943" s="1762" t="n"/>
      <c r="P943" s="1720" t="n"/>
    </row>
    <row r="944" hidden="1" outlineLevel="3" ht="13.9" customHeight="1">
      <c r="A944" s="2117" t="n">
        <v>0</v>
      </c>
      <c r="B944" s="2117" t="n">
        <v>9</v>
      </c>
      <c r="C944" s="2117" t="n">
        <v>6</v>
      </c>
      <c r="D944" s="2118" t="n">
        <v>1</v>
      </c>
      <c r="E944" s="2118" t="n">
        <v>1</v>
      </c>
      <c r="G944" s="1748" t="inlineStr">
        <is>
          <t>INSTALAÇÕES DE GÁS</t>
        </is>
      </c>
      <c r="H944" s="1749" t="inlineStr">
        <is>
          <t>SERVIÇO</t>
        </is>
      </c>
      <c r="I944" s="1750" t="inlineStr">
        <is>
          <t>09.006.001.001</t>
        </is>
      </c>
      <c r="J944" s="1751" t="inlineStr">
        <is>
          <t>Sistema de Gás</t>
        </is>
      </c>
      <c r="K944" s="1752" t="inlineStr">
        <is>
          <t>vb</t>
        </is>
      </c>
      <c r="L944" s="1753" t="n">
        <v>1</v>
      </c>
      <c r="M944" s="1753" t="n">
        <v>997.2891762383639</v>
      </c>
      <c r="N944" s="1754" t="n">
        <v>997.289176238364</v>
      </c>
      <c r="O944" s="1761" t="inlineStr">
        <is>
          <t>Repessado pela Gessele na reunião do dia 05/03/2026 - vamos fechar em R$ 250k - Material  (aço + multicamada) + M.O</t>
        </is>
      </c>
      <c r="P944" s="1721" t="inlineStr">
        <is>
          <t>Pendente</t>
        </is>
      </c>
    </row>
    <row r="945" hidden="1" outlineLevel="2" ht="13.9" customHeight="1">
      <c r="A945" s="2117" t="n">
        <v>0</v>
      </c>
      <c r="B945" s="2117" t="n">
        <v>9</v>
      </c>
      <c r="C945" s="2117" t="n">
        <v>6</v>
      </c>
      <c r="D945" s="2118" t="n">
        <v>2</v>
      </c>
      <c r="E945" s="2118" t="n">
        <v>0</v>
      </c>
      <c r="G945" s="1764" t="n"/>
      <c r="H945" s="1741" t="inlineStr">
        <is>
          <t>SUBETAPA</t>
        </is>
      </c>
      <c r="I945" s="1742" t="inlineStr">
        <is>
          <t>09.006.002</t>
        </is>
      </c>
      <c r="J945" s="1743" t="inlineStr">
        <is>
          <t>Mão de obra</t>
        </is>
      </c>
      <c r="K945" s="1744" t="n"/>
      <c r="L945" s="1745" t="n"/>
      <c r="M945" s="1745" t="n"/>
      <c r="N945" s="1746" t="n">
        <v>3301.02991877692</v>
      </c>
      <c r="O945" s="1762" t="n"/>
      <c r="P945" s="1720" t="n"/>
    </row>
    <row r="946" hidden="1" outlineLevel="3" ht="13.9" customHeight="1">
      <c r="A946" s="2117" t="n">
        <v>0</v>
      </c>
      <c r="B946" s="2117" t="n">
        <v>9</v>
      </c>
      <c r="C946" s="2117" t="n">
        <v>6</v>
      </c>
      <c r="D946" s="2118" t="n">
        <v>2</v>
      </c>
      <c r="E946" s="2118" t="n">
        <v>1</v>
      </c>
      <c r="G946" s="1748" t="inlineStr">
        <is>
          <t>INSTALAÇÕES DE GÁS</t>
        </is>
      </c>
      <c r="H946" s="1749" t="inlineStr">
        <is>
          <t>SERVIÇO</t>
        </is>
      </c>
      <c r="I946" s="1750" t="inlineStr">
        <is>
          <t>09.006.002.001</t>
        </is>
      </c>
      <c r="J946" s="1751" t="inlineStr">
        <is>
          <t>Mão de obra para instalações gás</t>
        </is>
      </c>
      <c r="K946" s="1752" t="inlineStr">
        <is>
          <t>vb</t>
        </is>
      </c>
      <c r="L946" s="1753" t="n">
        <v>1</v>
      </c>
      <c r="M946" s="1753" t="n">
        <v>3301.029918776918</v>
      </c>
      <c r="N946" s="1754" t="n">
        <v>3301.02991877692</v>
      </c>
      <c r="O946" s="1761" t="inlineStr">
        <is>
          <t>Repessado pela Gessele na reunião do dia 05/03/2026 - vamos fechar em R$ 250k - Material  (aço + multicamada) + M.O</t>
        </is>
      </c>
      <c r="P946" s="1721" t="inlineStr">
        <is>
          <t>Pendente</t>
        </is>
      </c>
    </row>
    <row r="947" hidden="1" outlineLevel="1" ht="13.9" customHeight="1">
      <c r="A947" s="2117" t="n">
        <v>0</v>
      </c>
      <c r="B947" s="2117" t="n">
        <v>9</v>
      </c>
      <c r="C947" s="2117" t="n">
        <v>7</v>
      </c>
      <c r="D947" s="2118" t="n">
        <v>0</v>
      </c>
      <c r="E947" s="2118" t="n">
        <v>1</v>
      </c>
      <c r="G947" s="1733" t="n"/>
      <c r="H947" s="1734" t="inlineStr">
        <is>
          <t>ETAPA</t>
        </is>
      </c>
      <c r="I947" s="1735" t="inlineStr">
        <is>
          <t>09.007</t>
        </is>
      </c>
      <c r="J947" s="1736" t="inlineStr">
        <is>
          <t>INSTALAÇÕES DE GÁS - Lazer | Garagem</t>
        </is>
      </c>
      <c r="K947" s="1737" t="n"/>
      <c r="L947" s="1738" t="n"/>
      <c r="M947" s="1738" t="n"/>
      <c r="N947" s="1739" t="n">
        <v>6612.36043357779</v>
      </c>
      <c r="O947" s="1792" t="n"/>
      <c r="P947" s="1725" t="n"/>
    </row>
    <row r="948" hidden="1" outlineLevel="2" ht="13.9" customHeight="1">
      <c r="A948" s="2117" t="n">
        <v>0</v>
      </c>
      <c r="B948" s="2117" t="n">
        <v>9</v>
      </c>
      <c r="C948" s="2117" t="n">
        <v>7</v>
      </c>
      <c r="D948" s="2118" t="n">
        <v>1</v>
      </c>
      <c r="E948" s="2118" t="n">
        <v>0</v>
      </c>
      <c r="G948" s="1764" t="n"/>
      <c r="H948" s="1741" t="inlineStr">
        <is>
          <t>SUBETAPA</t>
        </is>
      </c>
      <c r="I948" s="1742" t="inlineStr">
        <is>
          <t>09.007.001</t>
        </is>
      </c>
      <c r="J948" s="1743" t="inlineStr">
        <is>
          <t>Medidores</t>
        </is>
      </c>
      <c r="K948" s="1744" t="n"/>
      <c r="L948" s="1745" t="n"/>
      <c r="M948" s="1745" t="n"/>
      <c r="N948" s="1746" t="n">
        <v>202.662498399708</v>
      </c>
      <c r="O948" s="1762" t="n"/>
      <c r="P948" s="1720" t="n"/>
    </row>
    <row r="949" hidden="1" outlineLevel="3" ht="13.9" customHeight="1">
      <c r="A949" s="2117" t="n">
        <v>0</v>
      </c>
      <c r="B949" s="2117" t="n">
        <v>9</v>
      </c>
      <c r="C949" s="2117" t="n">
        <v>7</v>
      </c>
      <c r="D949" s="2118" t="n">
        <v>1</v>
      </c>
      <c r="E949" s="2118" t="n">
        <v>1</v>
      </c>
      <c r="G949" s="1748" t="inlineStr">
        <is>
          <t>INSTALAÇÕES DE GÁS</t>
        </is>
      </c>
      <c r="H949" s="1749" t="inlineStr">
        <is>
          <t>SERVIÇO</t>
        </is>
      </c>
      <c r="I949" s="1750" t="inlineStr">
        <is>
          <t>09.007.001.001</t>
        </is>
      </c>
      <c r="J949" s="1751" t="inlineStr">
        <is>
          <t>Medidores</t>
        </is>
      </c>
      <c r="K949" s="1752" t="inlineStr">
        <is>
          <t>vb</t>
        </is>
      </c>
      <c r="L949" s="1753" t="n">
        <v>1</v>
      </c>
      <c r="M949" s="1753" t="n">
        <v>202.6624983997076</v>
      </c>
      <c r="N949" s="1754" t="n">
        <v>202.662498399708</v>
      </c>
      <c r="O949" s="1761" t="inlineStr">
        <is>
          <t>Repessado pela Gessele na reunião do dia 05/03/2026 - vamos fechar em R$ 250k - Material  (aço + multicamada) + M.O</t>
        </is>
      </c>
      <c r="P949" s="1721" t="inlineStr">
        <is>
          <t>Pendente</t>
        </is>
      </c>
    </row>
    <row r="950" hidden="1" outlineLevel="2" ht="13.9" customHeight="1">
      <c r="A950" s="2117" t="n">
        <v>0</v>
      </c>
      <c r="B950" s="2117" t="n">
        <v>9</v>
      </c>
      <c r="C950" s="2117" t="n">
        <v>7</v>
      </c>
      <c r="D950" s="2118" t="n">
        <v>2</v>
      </c>
      <c r="E950" s="2118" t="n">
        <v>0</v>
      </c>
      <c r="G950" s="1764" t="n"/>
      <c r="H950" s="1741" t="inlineStr">
        <is>
          <t>SUBETAPA</t>
        </is>
      </c>
      <c r="I950" s="1742" t="inlineStr">
        <is>
          <t>09.007.002</t>
        </is>
      </c>
      <c r="J950" s="1743" t="inlineStr">
        <is>
          <t>Sistema de Gás</t>
        </is>
      </c>
      <c r="K950" s="1744" t="n"/>
      <c r="L950" s="1745" t="n"/>
      <c r="M950" s="1745" t="n"/>
      <c r="N950" s="1746" t="n">
        <v>3108.66801640117</v>
      </c>
      <c r="O950" s="1762" t="n"/>
      <c r="P950" s="1720" t="n"/>
    </row>
    <row r="951" hidden="1" outlineLevel="3" ht="13.9" customHeight="1">
      <c r="A951" s="2117" t="n">
        <v>0</v>
      </c>
      <c r="B951" s="2117" t="n">
        <v>9</v>
      </c>
      <c r="C951" s="2117" t="n">
        <v>7</v>
      </c>
      <c r="D951" s="2118" t="n">
        <v>2</v>
      </c>
      <c r="E951" s="2118" t="n">
        <v>1</v>
      </c>
      <c r="G951" s="1748" t="inlineStr">
        <is>
          <t>INSTALAÇÕES DE GÁS</t>
        </is>
      </c>
      <c r="H951" s="1749" t="inlineStr">
        <is>
          <t>SERVIÇO</t>
        </is>
      </c>
      <c r="I951" s="1750" t="inlineStr">
        <is>
          <t>09.007.002.001</t>
        </is>
      </c>
      <c r="J951" s="1751" t="inlineStr">
        <is>
          <t>Sistema de Gás</t>
        </is>
      </c>
      <c r="K951" s="1752" t="inlineStr">
        <is>
          <t>vb</t>
        </is>
      </c>
      <c r="L951" s="1753" t="n">
        <v>1</v>
      </c>
      <c r="M951" s="1753" t="n">
        <v>3108.668016401169</v>
      </c>
      <c r="N951" s="1754" t="n">
        <v>3108.66801640117</v>
      </c>
      <c r="O951" s="1761" t="inlineStr">
        <is>
          <t>Repessado pela Gessele na reunião do dia 05/03/2026 - vamos fechar em R$ 250k - Material  (aço + multicamada) + M.O</t>
        </is>
      </c>
      <c r="P951" s="1721" t="inlineStr">
        <is>
          <t>Pendente</t>
        </is>
      </c>
    </row>
    <row r="952" hidden="1" outlineLevel="2" ht="13.9" customHeight="1">
      <c r="A952" s="2117" t="n">
        <v>0</v>
      </c>
      <c r="B952" s="2117" t="n">
        <v>9</v>
      </c>
      <c r="C952" s="2117" t="n">
        <v>7</v>
      </c>
      <c r="D952" s="2118" t="n">
        <v>3</v>
      </c>
      <c r="E952" s="2118" t="n">
        <v>0</v>
      </c>
      <c r="G952" s="1764" t="n"/>
      <c r="H952" s="1741" t="inlineStr">
        <is>
          <t>SUBETAPA</t>
        </is>
      </c>
      <c r="I952" s="1742" t="inlineStr">
        <is>
          <t>09.007.003</t>
        </is>
      </c>
      <c r="J952" s="1743" t="inlineStr">
        <is>
          <t>Mão de obra</t>
        </is>
      </c>
      <c r="K952" s="1744" t="n"/>
      <c r="L952" s="1745" t="n"/>
      <c r="M952" s="1745" t="n"/>
      <c r="N952" s="1746" t="n">
        <v>3301.02991877692</v>
      </c>
      <c r="O952" s="1762" t="n"/>
      <c r="P952" s="1720" t="n"/>
    </row>
    <row r="953" hidden="1" outlineLevel="3" ht="13.9" customHeight="1">
      <c r="A953" s="2117" t="n">
        <v>0</v>
      </c>
      <c r="B953" s="2117" t="n">
        <v>9</v>
      </c>
      <c r="C953" s="2117" t="n">
        <v>7</v>
      </c>
      <c r="D953" s="2118" t="n">
        <v>3</v>
      </c>
      <c r="E953" s="2118" t="n">
        <v>1</v>
      </c>
      <c r="G953" s="1748" t="inlineStr">
        <is>
          <t>INSTALAÇÕES DE GÁS</t>
        </is>
      </c>
      <c r="H953" s="1749" t="inlineStr">
        <is>
          <t>SERVIÇO</t>
        </is>
      </c>
      <c r="I953" s="1750" t="inlineStr">
        <is>
          <t>09.007.003.001</t>
        </is>
      </c>
      <c r="J953" s="1751" t="inlineStr">
        <is>
          <t>Mão de obra para instalações gás</t>
        </is>
      </c>
      <c r="K953" s="1752" t="inlineStr">
        <is>
          <t>vb</t>
        </is>
      </c>
      <c r="L953" s="1753" t="n">
        <v>1</v>
      </c>
      <c r="M953" s="1753" t="n">
        <v>3301.029918776918</v>
      </c>
      <c r="N953" s="1754" t="n">
        <v>3301.02991877692</v>
      </c>
      <c r="O953" s="1761" t="inlineStr">
        <is>
          <t>Repessado pela Gessele na reunião do dia 05/03/2026 - vamos fechar em R$ 250k - Material  (aço + multicamada) + M.O</t>
        </is>
      </c>
      <c r="P953" s="1721" t="inlineStr">
        <is>
          <t>Pendente</t>
        </is>
      </c>
    </row>
    <row r="954" hidden="1" outlineLevel="1" ht="13.9" customHeight="1">
      <c r="A954" s="2117" t="n">
        <v>0</v>
      </c>
      <c r="B954" s="2117" t="n">
        <v>9</v>
      </c>
      <c r="C954" s="2117" t="n">
        <v>8</v>
      </c>
      <c r="D954" s="2118" t="n">
        <v>0</v>
      </c>
      <c r="E954" s="2118" t="n">
        <v>1</v>
      </c>
      <c r="G954" s="1733" t="n"/>
      <c r="H954" s="1734" t="inlineStr">
        <is>
          <t>ETAPA</t>
        </is>
      </c>
      <c r="I954" s="1735" t="inlineStr">
        <is>
          <t>09.008</t>
        </is>
      </c>
      <c r="J954" s="1736" t="inlineStr">
        <is>
          <t>INSTALAÇÕES DE GÁS - Lazer</t>
        </is>
      </c>
      <c r="K954" s="1737" t="n"/>
      <c r="L954" s="1738" t="n"/>
      <c r="M954" s="1738" t="n"/>
      <c r="N954" s="1739" t="n">
        <v>5977.56068984039</v>
      </c>
      <c r="O954" s="1792" t="n"/>
      <c r="P954" s="1725" t="n"/>
    </row>
    <row r="955" hidden="1" outlineLevel="2" ht="13.9" customHeight="1">
      <c r="A955" s="2117" t="n">
        <v>0</v>
      </c>
      <c r="B955" s="2117" t="n">
        <v>9</v>
      </c>
      <c r="C955" s="2117" t="n">
        <v>8</v>
      </c>
      <c r="D955" s="2118" t="n">
        <v>1</v>
      </c>
      <c r="E955" s="2118" t="n">
        <v>0</v>
      </c>
      <c r="G955" s="1764" t="n"/>
      <c r="H955" s="1741" t="inlineStr">
        <is>
          <t>SUBETAPA</t>
        </is>
      </c>
      <c r="I955" s="1742" t="inlineStr">
        <is>
          <t>09.008.001</t>
        </is>
      </c>
      <c r="J955" s="1743" t="inlineStr">
        <is>
          <t>Medidores</t>
        </is>
      </c>
      <c r="K955" s="1744" t="n"/>
      <c r="L955" s="1745" t="n"/>
      <c r="M955" s="1745" t="n"/>
      <c r="N955" s="1746" t="n">
        <v>333.943870515774</v>
      </c>
      <c r="O955" s="1762" t="n"/>
      <c r="P955" s="1720" t="n"/>
    </row>
    <row r="956" hidden="1" outlineLevel="3" ht="13.9" customHeight="1">
      <c r="A956" s="2117" t="n">
        <v>0</v>
      </c>
      <c r="B956" s="2117" t="n">
        <v>9</v>
      </c>
      <c r="C956" s="2117" t="n">
        <v>8</v>
      </c>
      <c r="D956" s="2118" t="n">
        <v>1</v>
      </c>
      <c r="E956" s="2118" t="n">
        <v>1</v>
      </c>
      <c r="G956" s="1748" t="inlineStr">
        <is>
          <t>INSTALAÇÕES DE GÁS</t>
        </is>
      </c>
      <c r="H956" s="1749" t="inlineStr">
        <is>
          <t>SERVIÇO</t>
        </is>
      </c>
      <c r="I956" s="1750" t="inlineStr">
        <is>
          <t>09.008.001.001</t>
        </is>
      </c>
      <c r="J956" s="1751" t="inlineStr">
        <is>
          <t>Medidores</t>
        </is>
      </c>
      <c r="K956" s="1752" t="inlineStr">
        <is>
          <t>vb</t>
        </is>
      </c>
      <c r="L956" s="1753" t="n">
        <v>1</v>
      </c>
      <c r="M956" s="1753" t="n">
        <v>333.9438705157743</v>
      </c>
      <c r="N956" s="1754" t="n">
        <v>333.943870515774</v>
      </c>
      <c r="O956" s="1761" t="inlineStr">
        <is>
          <t>Repessado pela Gessele na reunião do dia 05/03/2026 - vamos fechar em R$ 250k - Material  (aço + multicamada) + M.O</t>
        </is>
      </c>
      <c r="P956" s="1721" t="inlineStr">
        <is>
          <t>Pendente</t>
        </is>
      </c>
    </row>
    <row r="957" hidden="1" outlineLevel="2" ht="13.9" customHeight="1">
      <c r="A957" s="2117" t="n">
        <v>0</v>
      </c>
      <c r="B957" s="2117" t="n">
        <v>9</v>
      </c>
      <c r="C957" s="2117" t="n">
        <v>8</v>
      </c>
      <c r="D957" s="2118" t="n">
        <v>2</v>
      </c>
      <c r="E957" s="2118" t="n">
        <v>0</v>
      </c>
      <c r="G957" s="1764" t="n"/>
      <c r="H957" s="1741" t="inlineStr">
        <is>
          <t>SUBETAPA</t>
        </is>
      </c>
      <c r="I957" s="1742" t="inlineStr">
        <is>
          <t>09.008.002</t>
        </is>
      </c>
      <c r="J957" s="1743" t="inlineStr">
        <is>
          <t>Sistema de Gás</t>
        </is>
      </c>
      <c r="K957" s="1744" t="n"/>
      <c r="L957" s="1745" t="n"/>
      <c r="M957" s="1745" t="n"/>
      <c r="N957" s="1746" t="n">
        <v>3796.89688257998</v>
      </c>
      <c r="O957" s="1762" t="n"/>
      <c r="P957" s="1720" t="n"/>
    </row>
    <row r="958" hidden="1" outlineLevel="3" ht="13.9" customHeight="1">
      <c r="A958" s="2117" t="n">
        <v>0</v>
      </c>
      <c r="B958" s="2117" t="n">
        <v>9</v>
      </c>
      <c r="C958" s="2117" t="n">
        <v>8</v>
      </c>
      <c r="D958" s="2118" t="n">
        <v>2</v>
      </c>
      <c r="E958" s="2118" t="n">
        <v>1</v>
      </c>
      <c r="G958" s="1748" t="inlineStr">
        <is>
          <t>INSTALAÇÕES DE GÁS</t>
        </is>
      </c>
      <c r="H958" s="1749" t="inlineStr">
        <is>
          <t>SERVIÇO</t>
        </is>
      </c>
      <c r="I958" s="1750" t="inlineStr">
        <is>
          <t>09.008.002.001</t>
        </is>
      </c>
      <c r="J958" s="1751" t="inlineStr">
        <is>
          <t>Sistema de Gás</t>
        </is>
      </c>
      <c r="K958" s="1752" t="inlineStr">
        <is>
          <t>vb</t>
        </is>
      </c>
      <c r="L958" s="1753" t="n">
        <v>1</v>
      </c>
      <c r="M958" s="1753" t="n">
        <v>3796.896882579978</v>
      </c>
      <c r="N958" s="1754" t="n">
        <v>3796.89688257998</v>
      </c>
      <c r="O958" s="1761" t="inlineStr">
        <is>
          <t>Repessado pela Gessele na reunião do dia 05/03/2026 - vamos fechar em R$ 250k - Material  (aço + multicamada) + M.O</t>
        </is>
      </c>
      <c r="P958" s="1721" t="inlineStr">
        <is>
          <t>Pendente</t>
        </is>
      </c>
    </row>
    <row r="959" hidden="1" outlineLevel="2" ht="13.9" customHeight="1">
      <c r="A959" s="2117" t="n">
        <v>0</v>
      </c>
      <c r="B959" s="2117" t="n">
        <v>9</v>
      </c>
      <c r="C959" s="2117" t="n">
        <v>8</v>
      </c>
      <c r="D959" s="2118" t="n">
        <v>3</v>
      </c>
      <c r="E959" s="2118" t="n">
        <v>0</v>
      </c>
      <c r="G959" s="1764" t="n"/>
      <c r="H959" s="1741" t="inlineStr">
        <is>
          <t>SUBETAPA</t>
        </is>
      </c>
      <c r="I959" s="1742" t="inlineStr">
        <is>
          <t>09.008.003</t>
        </is>
      </c>
      <c r="J959" s="1743" t="inlineStr">
        <is>
          <t>Mão de obra</t>
        </is>
      </c>
      <c r="K959" s="1744" t="n"/>
      <c r="L959" s="1745" t="n"/>
      <c r="M959" s="1745" t="n"/>
      <c r="N959" s="1746" t="n">
        <v>1846.71993674464</v>
      </c>
      <c r="O959" s="1762" t="n"/>
      <c r="P959" s="1720" t="n"/>
    </row>
    <row r="960" hidden="1" outlineLevel="3" ht="13.9" customHeight="1">
      <c r="A960" s="2117" t="n">
        <v>0</v>
      </c>
      <c r="B960" s="2117" t="n">
        <v>9</v>
      </c>
      <c r="C960" s="2117" t="n">
        <v>8</v>
      </c>
      <c r="D960" s="2118" t="n">
        <v>3</v>
      </c>
      <c r="E960" s="2118" t="n">
        <v>1</v>
      </c>
      <c r="G960" s="1748" t="inlineStr">
        <is>
          <t>INSTALAÇÕES DE GÁS</t>
        </is>
      </c>
      <c r="H960" s="1749" t="inlineStr">
        <is>
          <t>SERVIÇO</t>
        </is>
      </c>
      <c r="I960" s="1750" t="inlineStr">
        <is>
          <t>09.008.003.001</t>
        </is>
      </c>
      <c r="J960" s="1751" t="inlineStr">
        <is>
          <t>Mão de obra para instalações gás</t>
        </is>
      </c>
      <c r="K960" s="1752" t="inlineStr">
        <is>
          <t>vb</t>
        </is>
      </c>
      <c r="L960" s="1753" t="n">
        <v>1</v>
      </c>
      <c r="M960" s="1753" t="n">
        <v>1846.719936744638</v>
      </c>
      <c r="N960" s="1754" t="n">
        <v>1846.71993674464</v>
      </c>
      <c r="O960" s="1761" t="inlineStr">
        <is>
          <t>Repessado pela Gessele na reunião do dia 05/03/2026 - vamos fechar em R$ 250k - Material  (aço + multicamada) + M.O</t>
        </is>
      </c>
      <c r="P960" s="1721" t="inlineStr">
        <is>
          <t>Pendente</t>
        </is>
      </c>
    </row>
    <row r="961" hidden="1" outlineLevel="1" ht="13.9" customHeight="1">
      <c r="A961" s="2117" t="n">
        <v>0</v>
      </c>
      <c r="B961" s="2117" t="n">
        <v>9</v>
      </c>
      <c r="C961" s="2117" t="n">
        <v>9</v>
      </c>
      <c r="D961" s="2118" t="n">
        <v>0</v>
      </c>
      <c r="E961" s="2118" t="n">
        <v>1</v>
      </c>
      <c r="G961" s="1733" t="n"/>
      <c r="H961" s="1734" t="inlineStr">
        <is>
          <t>ETAPA</t>
        </is>
      </c>
      <c r="I961" s="1735" t="inlineStr">
        <is>
          <t>09.009</t>
        </is>
      </c>
      <c r="J961" s="1736" t="inlineStr">
        <is>
          <t>INSTALAÇÕES DE GÁS - Tipo Diferenciado</t>
        </is>
      </c>
      <c r="K961" s="1737" t="n"/>
      <c r="L961" s="1738" t="n"/>
      <c r="M961" s="1738" t="n"/>
      <c r="N961" s="1739" t="n">
        <v>5891.49232277987</v>
      </c>
      <c r="O961" s="1792" t="n"/>
      <c r="P961" s="1725" t="n"/>
    </row>
    <row r="962" hidden="1" outlineLevel="2" ht="13.9" customHeight="1">
      <c r="A962" s="2117" t="n">
        <v>0</v>
      </c>
      <c r="B962" s="2117" t="n">
        <v>9</v>
      </c>
      <c r="C962" s="2117" t="n">
        <v>9</v>
      </c>
      <c r="D962" s="2118" t="n">
        <v>1</v>
      </c>
      <c r="E962" s="2118" t="n">
        <v>0</v>
      </c>
      <c r="G962" s="1764" t="n"/>
      <c r="H962" s="1741" t="inlineStr">
        <is>
          <t>SUBETAPA</t>
        </is>
      </c>
      <c r="I962" s="1742" t="inlineStr">
        <is>
          <t>09.009.001</t>
        </is>
      </c>
      <c r="J962" s="1743" t="inlineStr">
        <is>
          <t>Medidores</t>
        </is>
      </c>
      <c r="K962" s="1744" t="n"/>
      <c r="L962" s="1745" t="n"/>
      <c r="M962" s="1745" t="n"/>
      <c r="N962" s="1746" t="n">
        <v>703.827888531004</v>
      </c>
      <c r="O962" s="1762" t="n"/>
      <c r="P962" s="1720" t="n"/>
    </row>
    <row r="963" hidden="1" outlineLevel="3" ht="13.9" customHeight="1">
      <c r="A963" s="2117" t="n">
        <v>0</v>
      </c>
      <c r="B963" s="2117" t="n">
        <v>9</v>
      </c>
      <c r="C963" s="2117" t="n">
        <v>9</v>
      </c>
      <c r="D963" s="2118" t="n">
        <v>1</v>
      </c>
      <c r="E963" s="2118" t="n">
        <v>1</v>
      </c>
      <c r="G963" s="1748" t="inlineStr">
        <is>
          <t>INSTALAÇÕES DE GÁS</t>
        </is>
      </c>
      <c r="H963" s="1749" t="inlineStr">
        <is>
          <t>SERVIÇO</t>
        </is>
      </c>
      <c r="I963" s="1750" t="inlineStr">
        <is>
          <t>09.009.001.001</t>
        </is>
      </c>
      <c r="J963" s="1751" t="inlineStr">
        <is>
          <t>Medidores</t>
        </is>
      </c>
      <c r="K963" s="1752" t="inlineStr">
        <is>
          <t>vb</t>
        </is>
      </c>
      <c r="L963" s="1753" t="n">
        <v>1</v>
      </c>
      <c r="M963" s="1753" t="n">
        <v>703.8278885310041</v>
      </c>
      <c r="N963" s="1754" t="n">
        <v>703.827888531004</v>
      </c>
      <c r="O963" s="1761" t="inlineStr">
        <is>
          <t>Repessado pela Gessele na reunião do dia 05/03/2026 - vamos fechar em R$ 250k - Material  (aço + multicamada) + M.O</t>
        </is>
      </c>
      <c r="P963" s="1721" t="inlineStr">
        <is>
          <t>Pendente</t>
        </is>
      </c>
    </row>
    <row r="964" hidden="1" outlineLevel="2" ht="13.9" customHeight="1">
      <c r="A964" s="2117" t="n">
        <v>0</v>
      </c>
      <c r="B964" s="2117" t="n">
        <v>9</v>
      </c>
      <c r="C964" s="2117" t="n">
        <v>9</v>
      </c>
      <c r="D964" s="2118" t="n">
        <v>2</v>
      </c>
      <c r="E964" s="2118" t="n">
        <v>0</v>
      </c>
      <c r="G964" s="1764" t="n"/>
      <c r="H964" s="1741" t="inlineStr">
        <is>
          <t>SUBETAPA</t>
        </is>
      </c>
      <c r="I964" s="1742" t="inlineStr">
        <is>
          <t>09.009.002</t>
        </is>
      </c>
      <c r="J964" s="1743" t="inlineStr">
        <is>
          <t>Sistema de Gás</t>
        </is>
      </c>
      <c r="K964" s="1744" t="n"/>
      <c r="L964" s="1745" t="n"/>
      <c r="M964" s="1745" t="n"/>
      <c r="N964" s="1746" t="n">
        <v>3909.60418680084</v>
      </c>
      <c r="O964" s="1762" t="n"/>
      <c r="P964" s="1720" t="n"/>
    </row>
    <row r="965" hidden="1" outlineLevel="3" ht="13.9" customHeight="1">
      <c r="A965" s="2117" t="n">
        <v>0</v>
      </c>
      <c r="B965" s="2117" t="n">
        <v>9</v>
      </c>
      <c r="C965" s="2117" t="n">
        <v>9</v>
      </c>
      <c r="D965" s="2118" t="n">
        <v>2</v>
      </c>
      <c r="E965" s="2118" t="n">
        <v>1</v>
      </c>
      <c r="G965" s="1748" t="inlineStr">
        <is>
          <t>INSTALAÇÕES DE GÁS</t>
        </is>
      </c>
      <c r="H965" s="1749" t="inlineStr">
        <is>
          <t>SERVIÇO</t>
        </is>
      </c>
      <c r="I965" s="1750" t="inlineStr">
        <is>
          <t>09.009.002.001</t>
        </is>
      </c>
      <c r="J965" s="1751" t="inlineStr">
        <is>
          <t>Sistema de Gás</t>
        </is>
      </c>
      <c r="K965" s="1752" t="inlineStr">
        <is>
          <t>vb</t>
        </is>
      </c>
      <c r="L965" s="1753" t="n">
        <v>1</v>
      </c>
      <c r="M965" s="1753" t="n">
        <v>3909.60418680084</v>
      </c>
      <c r="N965" s="1754" t="n">
        <v>3909.60418680084</v>
      </c>
      <c r="O965" s="1761" t="inlineStr">
        <is>
          <t>Repessado pela Gessele na reunião do dia 05/03/2026 - vamos fechar em R$ 250k - Material  (aço + multicamada) + M.O</t>
        </is>
      </c>
      <c r="P965" s="1721" t="inlineStr">
        <is>
          <t>Pendente</t>
        </is>
      </c>
    </row>
    <row r="966" hidden="1" outlineLevel="2" ht="13.9" customHeight="1">
      <c r="A966" s="2117" t="n">
        <v>0</v>
      </c>
      <c r="B966" s="2117" t="n">
        <v>9</v>
      </c>
      <c r="C966" s="2117" t="n">
        <v>9</v>
      </c>
      <c r="D966" s="2118" t="n">
        <v>3</v>
      </c>
      <c r="E966" s="2118" t="n">
        <v>0</v>
      </c>
      <c r="G966" s="1764" t="n"/>
      <c r="H966" s="1741" t="inlineStr">
        <is>
          <t>SUBETAPA</t>
        </is>
      </c>
      <c r="I966" s="1742" t="inlineStr">
        <is>
          <t>09.009.003</t>
        </is>
      </c>
      <c r="J966" s="1743" t="inlineStr">
        <is>
          <t>Mão de obra</t>
        </is>
      </c>
      <c r="K966" s="1744" t="n"/>
      <c r="L966" s="1745" t="n"/>
      <c r="M966" s="1745" t="n"/>
      <c r="N966" s="1746" t="n">
        <v>1278.06024744802</v>
      </c>
      <c r="O966" s="1762" t="n"/>
      <c r="P966" s="1720" t="n"/>
    </row>
    <row r="967" hidden="1" outlineLevel="3" ht="13.9" customHeight="1">
      <c r="A967" s="2117" t="n">
        <v>0</v>
      </c>
      <c r="B967" s="2117" t="n">
        <v>9</v>
      </c>
      <c r="C967" s="2117" t="n">
        <v>9</v>
      </c>
      <c r="D967" s="2118" t="n">
        <v>3</v>
      </c>
      <c r="E967" s="2118" t="n">
        <v>1</v>
      </c>
      <c r="G967" s="1748" t="inlineStr">
        <is>
          <t>INSTALAÇÕES DE GÁS</t>
        </is>
      </c>
      <c r="H967" s="1749" t="inlineStr">
        <is>
          <t>SERVIÇO</t>
        </is>
      </c>
      <c r="I967" s="1750" t="inlineStr">
        <is>
          <t>09.009.003.001</t>
        </is>
      </c>
      <c r="J967" s="1751" t="inlineStr">
        <is>
          <t>Mão de obra para instalações gás</t>
        </is>
      </c>
      <c r="K967" s="1752" t="inlineStr">
        <is>
          <t>vb</t>
        </is>
      </c>
      <c r="L967" s="1753" t="n">
        <v>1</v>
      </c>
      <c r="M967" s="1753" t="n">
        <v>1278.060247448023</v>
      </c>
      <c r="N967" s="1754" t="n">
        <v>1278.06024744802</v>
      </c>
      <c r="O967" s="1761" t="inlineStr">
        <is>
          <t>Repessado pela Gessele na reunião do dia 05/03/2026 - vamos fechar em R$ 250k - Material  (aço + multicamada) + M.O</t>
        </is>
      </c>
      <c r="P967" s="1721" t="inlineStr">
        <is>
          <t>Pendente</t>
        </is>
      </c>
    </row>
    <row r="968" hidden="1" outlineLevel="1" ht="13.9" customHeight="1">
      <c r="A968" s="2117" t="n">
        <v>0</v>
      </c>
      <c r="B968" s="2117" t="n">
        <v>9</v>
      </c>
      <c r="C968" s="2117" t="n">
        <v>10</v>
      </c>
      <c r="D968" s="2118" t="n">
        <v>0</v>
      </c>
      <c r="E968" s="2118" t="n">
        <v>1</v>
      </c>
      <c r="G968" s="1733" t="n"/>
      <c r="H968" s="1734" t="inlineStr">
        <is>
          <t>ETAPA</t>
        </is>
      </c>
      <c r="I968" s="1735" t="inlineStr">
        <is>
          <t>09.010</t>
        </is>
      </c>
      <c r="J968" s="1736" t="inlineStr">
        <is>
          <t>INSTALAÇÕES DE GÁS - Tipo x8</t>
        </is>
      </c>
      <c r="K968" s="1737" t="n"/>
      <c r="L968" s="1738" t="n"/>
      <c r="M968" s="1738" t="n"/>
      <c r="N968" s="1739" t="n">
        <v>48047.0178657521</v>
      </c>
      <c r="O968" s="1792" t="n"/>
      <c r="P968" s="1725" t="n"/>
    </row>
    <row r="969" hidden="1" outlineLevel="2" ht="13.9" customHeight="1">
      <c r="A969" s="2117" t="n">
        <v>0</v>
      </c>
      <c r="B969" s="2117" t="n">
        <v>9</v>
      </c>
      <c r="C969" s="2117" t="n">
        <v>10</v>
      </c>
      <c r="D969" s="2118" t="n">
        <v>1</v>
      </c>
      <c r="E969" s="2118" t="n">
        <v>0</v>
      </c>
      <c r="G969" s="1764" t="n"/>
      <c r="H969" s="1741" t="inlineStr">
        <is>
          <t>SUBETAPA</t>
        </is>
      </c>
      <c r="I969" s="1742" t="inlineStr">
        <is>
          <t>09.010.001</t>
        </is>
      </c>
      <c r="J969" s="1743" t="inlineStr">
        <is>
          <t>Medidores</t>
        </is>
      </c>
      <c r="K969" s="1744" t="n"/>
      <c r="L969" s="1745" t="n"/>
      <c r="M969" s="1745" t="n"/>
      <c r="N969" s="1746" t="n">
        <v>5982.53705251353</v>
      </c>
      <c r="O969" s="1762" t="n"/>
      <c r="P969" s="1720" t="n"/>
    </row>
    <row r="970" hidden="1" outlineLevel="3" ht="13.9" customHeight="1">
      <c r="A970" s="2117" t="n">
        <v>0</v>
      </c>
      <c r="B970" s="2117" t="n">
        <v>9</v>
      </c>
      <c r="C970" s="2117" t="n">
        <v>10</v>
      </c>
      <c r="D970" s="2118" t="n">
        <v>1</v>
      </c>
      <c r="E970" s="2118" t="n">
        <v>1</v>
      </c>
      <c r="G970" s="1748" t="inlineStr">
        <is>
          <t>INSTALAÇÕES DE GÁS</t>
        </is>
      </c>
      <c r="H970" s="1749" t="inlineStr">
        <is>
          <t>SERVIÇO</t>
        </is>
      </c>
      <c r="I970" s="1750" t="inlineStr">
        <is>
          <t>09.010.001.001</t>
        </is>
      </c>
      <c r="J970" s="1751" t="inlineStr">
        <is>
          <t>Medidores</t>
        </is>
      </c>
      <c r="K970" s="1752" t="inlineStr">
        <is>
          <t>vb</t>
        </is>
      </c>
      <c r="L970" s="1753" t="n">
        <v>1</v>
      </c>
      <c r="M970" s="1753" t="n">
        <v>5982.537052513535</v>
      </c>
      <c r="N970" s="1754" t="n">
        <v>5982.53705251353</v>
      </c>
      <c r="O970" s="1761" t="inlineStr">
        <is>
          <t>Repessado pela Gessele na reunião do dia 05/03/2026 - vamos fechar em R$ 250k - Material  (aço + multicamada) + M.O</t>
        </is>
      </c>
      <c r="P970" s="1721" t="inlineStr">
        <is>
          <t>Pendente</t>
        </is>
      </c>
    </row>
    <row r="971" hidden="1" outlineLevel="2" ht="13.9" customHeight="1">
      <c r="A971" s="2117" t="n">
        <v>0</v>
      </c>
      <c r="B971" s="2117" t="n">
        <v>9</v>
      </c>
      <c r="C971" s="2117" t="n">
        <v>10</v>
      </c>
      <c r="D971" s="2118" t="n">
        <v>2</v>
      </c>
      <c r="E971" s="2118" t="n">
        <v>0</v>
      </c>
      <c r="G971" s="1764" t="n"/>
      <c r="H971" s="1741" t="inlineStr">
        <is>
          <t>SUBETAPA</t>
        </is>
      </c>
      <c r="I971" s="1742" t="inlineStr">
        <is>
          <t>09.010.002</t>
        </is>
      </c>
      <c r="J971" s="1743" t="inlineStr">
        <is>
          <t>Sistema de Gás</t>
        </is>
      </c>
      <c r="K971" s="1744" t="n"/>
      <c r="L971" s="1745" t="n"/>
      <c r="M971" s="1745" t="n"/>
      <c r="N971" s="1746" t="n">
        <v>33086.3600207585</v>
      </c>
      <c r="O971" s="1762" t="n"/>
      <c r="P971" s="1720" t="n"/>
    </row>
    <row r="972" hidden="1" outlineLevel="3" ht="13.9" customHeight="1">
      <c r="A972" s="2117" t="n">
        <v>0</v>
      </c>
      <c r="B972" s="2117" t="n">
        <v>9</v>
      </c>
      <c r="C972" s="2117" t="n">
        <v>10</v>
      </c>
      <c r="D972" s="2118" t="n">
        <v>2</v>
      </c>
      <c r="E972" s="2118" t="n">
        <v>1</v>
      </c>
      <c r="G972" s="1748" t="inlineStr">
        <is>
          <t>INSTALAÇÕES DE GÁS</t>
        </is>
      </c>
      <c r="H972" s="1749" t="inlineStr">
        <is>
          <t>SERVIÇO</t>
        </is>
      </c>
      <c r="I972" s="1750" t="inlineStr">
        <is>
          <t>09.010.002.001</t>
        </is>
      </c>
      <c r="J972" s="1751" t="inlineStr">
        <is>
          <t>Sistema de Gás</t>
        </is>
      </c>
      <c r="K972" s="1752" t="inlineStr">
        <is>
          <t>vb</t>
        </is>
      </c>
      <c r="L972" s="1753" t="n">
        <v>1</v>
      </c>
      <c r="M972" s="1753" t="n">
        <v>33086.36002075848</v>
      </c>
      <c r="N972" s="1754" t="n">
        <v>33086.3600207585</v>
      </c>
      <c r="O972" s="1761" t="inlineStr">
        <is>
          <t>Repessado pela Gessele na reunião do dia 05/03/2026 - vamos fechar em R$ 250k - Material  (aço + multicamada) + M.O</t>
        </is>
      </c>
      <c r="P972" s="1721" t="inlineStr">
        <is>
          <t>Pendente</t>
        </is>
      </c>
    </row>
    <row r="973" hidden="1" outlineLevel="2" ht="13.9" customHeight="1">
      <c r="A973" s="2117" t="n">
        <v>0</v>
      </c>
      <c r="B973" s="2117" t="n">
        <v>9</v>
      </c>
      <c r="C973" s="2117" t="n">
        <v>10</v>
      </c>
      <c r="D973" s="2118" t="n">
        <v>3</v>
      </c>
      <c r="E973" s="2118" t="n">
        <v>0</v>
      </c>
      <c r="G973" s="1764" t="n"/>
      <c r="H973" s="1741" t="inlineStr">
        <is>
          <t>SUBETAPA</t>
        </is>
      </c>
      <c r="I973" s="1742" t="inlineStr">
        <is>
          <t>09.010.003</t>
        </is>
      </c>
      <c r="J973" s="1743" t="inlineStr">
        <is>
          <t>Mão de obra</t>
        </is>
      </c>
      <c r="K973" s="1744" t="n"/>
      <c r="L973" s="1745" t="n"/>
      <c r="M973" s="1745" t="n"/>
      <c r="N973" s="1746" t="n">
        <v>8978.120792480069</v>
      </c>
      <c r="O973" s="1762" t="n"/>
      <c r="P973" s="1720" t="n"/>
    </row>
    <row r="974" hidden="1" outlineLevel="3" ht="13.9" customHeight="1">
      <c r="A974" s="2117" t="n">
        <v>0</v>
      </c>
      <c r="B974" s="2117" t="n">
        <v>9</v>
      </c>
      <c r="C974" s="2117" t="n">
        <v>10</v>
      </c>
      <c r="D974" s="2118" t="n">
        <v>3</v>
      </c>
      <c r="E974" s="2118" t="n">
        <v>1</v>
      </c>
      <c r="G974" s="1748" t="inlineStr">
        <is>
          <t>INSTALAÇÕES DE GÁS</t>
        </is>
      </c>
      <c r="H974" s="1749" t="inlineStr">
        <is>
          <t>SERVIÇO</t>
        </is>
      </c>
      <c r="I974" s="1750" t="inlineStr">
        <is>
          <t>09.010.003.001</t>
        </is>
      </c>
      <c r="J974" s="1751" t="inlineStr">
        <is>
          <t>Mão de obra para instalações gás</t>
        </is>
      </c>
      <c r="K974" s="1752" t="inlineStr">
        <is>
          <t>vb</t>
        </is>
      </c>
      <c r="L974" s="1753" t="n">
        <v>1</v>
      </c>
      <c r="M974" s="1753" t="n">
        <v>8978.120792480071</v>
      </c>
      <c r="N974" s="1754" t="n">
        <v>8978.120792480069</v>
      </c>
      <c r="O974" s="1761" t="inlineStr">
        <is>
          <t>Repessado pela Gessele na reunião do dia 05/03/2026 - vamos fechar em R$ 250k - Material  (aço + multicamada) + M.O</t>
        </is>
      </c>
      <c r="P974" s="1721" t="inlineStr">
        <is>
          <t>Pendente</t>
        </is>
      </c>
    </row>
    <row r="975" hidden="1" outlineLevel="1" ht="13.9" customHeight="1">
      <c r="A975" s="2117" t="n">
        <v>0</v>
      </c>
      <c r="B975" s="2117" t="n">
        <v>9</v>
      </c>
      <c r="C975" s="2117" t="n">
        <v>11</v>
      </c>
      <c r="D975" s="2118" t="n">
        <v>0</v>
      </c>
      <c r="E975" s="2118" t="n">
        <v>1</v>
      </c>
      <c r="G975" s="1733" t="n"/>
      <c r="H975" s="1734" t="inlineStr">
        <is>
          <t>ETAPA</t>
        </is>
      </c>
      <c r="I975" s="1735" t="inlineStr">
        <is>
          <t>09.011</t>
        </is>
      </c>
      <c r="J975" s="1736" t="inlineStr">
        <is>
          <t>INSTALAÇÕES DE GÁS - Penthouse x22</t>
        </is>
      </c>
      <c r="K975" s="1737" t="n"/>
      <c r="L975" s="1738" t="n"/>
      <c r="M975" s="1738" t="n"/>
      <c r="N975" s="1739" t="n">
        <v>102824.426404815</v>
      </c>
      <c r="O975" s="1792" t="n"/>
      <c r="P975" s="1725" t="n"/>
    </row>
    <row r="976" hidden="1" outlineLevel="2" ht="13.9" customHeight="1">
      <c r="A976" s="2117" t="n">
        <v>0</v>
      </c>
      <c r="B976" s="2117" t="n">
        <v>9</v>
      </c>
      <c r="C976" s="2117" t="n">
        <v>11</v>
      </c>
      <c r="D976" s="2118" t="n">
        <v>1</v>
      </c>
      <c r="E976" s="2118" t="n">
        <v>0</v>
      </c>
      <c r="G976" s="1764" t="n"/>
      <c r="H976" s="1741" t="inlineStr">
        <is>
          <t>SUBETAPA</t>
        </is>
      </c>
      <c r="I976" s="1742" t="inlineStr">
        <is>
          <t>09.011.001</t>
        </is>
      </c>
      <c r="J976" s="1743" t="inlineStr">
        <is>
          <t>Medidores</t>
        </is>
      </c>
      <c r="K976" s="1744" t="n"/>
      <c r="L976" s="1745" t="n"/>
      <c r="M976" s="1745" t="n"/>
      <c r="N976" s="1746" t="n">
        <v>7390.19282957554</v>
      </c>
      <c r="O976" s="1762" t="n"/>
      <c r="P976" s="1720" t="n"/>
    </row>
    <row r="977" hidden="1" outlineLevel="3" ht="13.9" customHeight="1">
      <c r="A977" s="2117" t="n">
        <v>0</v>
      </c>
      <c r="B977" s="2117" t="n">
        <v>9</v>
      </c>
      <c r="C977" s="2117" t="n">
        <v>11</v>
      </c>
      <c r="D977" s="2118" t="n">
        <v>1</v>
      </c>
      <c r="E977" s="2118" t="n">
        <v>1</v>
      </c>
      <c r="G977" s="1748" t="inlineStr">
        <is>
          <t>INSTALAÇÕES DE GÁS</t>
        </is>
      </c>
      <c r="H977" s="1749" t="inlineStr">
        <is>
          <t>SERVIÇO</t>
        </is>
      </c>
      <c r="I977" s="1750" t="inlineStr">
        <is>
          <t>09.011.001.001</t>
        </is>
      </c>
      <c r="J977" s="1751" t="inlineStr">
        <is>
          <t>Medidores</t>
        </is>
      </c>
      <c r="K977" s="1752" t="inlineStr">
        <is>
          <t>vb</t>
        </is>
      </c>
      <c r="L977" s="1753" t="n">
        <v>1</v>
      </c>
      <c r="M977" s="1753" t="n">
        <v>7390.192829575542</v>
      </c>
      <c r="N977" s="1754" t="n">
        <v>7390.19282957554</v>
      </c>
      <c r="O977" s="1761" t="inlineStr">
        <is>
          <t>Repessado pela Gessele na reunião do dia 05/03/2026 - vamos fechar em R$ 250k - Material  (aço + multicamada) + M.O</t>
        </is>
      </c>
      <c r="P977" s="1721" t="inlineStr">
        <is>
          <t>Pendente</t>
        </is>
      </c>
    </row>
    <row r="978" hidden="1" outlineLevel="2" ht="13.9" customHeight="1">
      <c r="A978" s="2117" t="n">
        <v>0</v>
      </c>
      <c r="B978" s="2117" t="n">
        <v>9</v>
      </c>
      <c r="C978" s="2117" t="n">
        <v>11</v>
      </c>
      <c r="D978" s="2118" t="n">
        <v>2</v>
      </c>
      <c r="E978" s="2118" t="n">
        <v>0</v>
      </c>
      <c r="G978" s="1764" t="n"/>
      <c r="H978" s="1741" t="inlineStr">
        <is>
          <t>SUBETAPA</t>
        </is>
      </c>
      <c r="I978" s="1742" t="inlineStr">
        <is>
          <t>09.011.002</t>
        </is>
      </c>
      <c r="J978" s="1743" t="inlineStr">
        <is>
          <t>Sistema de Gás</t>
        </is>
      </c>
      <c r="K978" s="1744" t="n"/>
      <c r="L978" s="1745" t="n"/>
      <c r="M978" s="1745" t="n"/>
      <c r="N978" s="1746" t="n">
        <v>71854.238391974</v>
      </c>
      <c r="O978" s="1762" t="n"/>
      <c r="P978" s="1720" t="n"/>
    </row>
    <row r="979" hidden="1" outlineLevel="3" ht="13.9" customHeight="1">
      <c r="A979" s="2117" t="n">
        <v>0</v>
      </c>
      <c r="B979" s="2117" t="n">
        <v>9</v>
      </c>
      <c r="C979" s="2117" t="n">
        <v>11</v>
      </c>
      <c r="D979" s="2118" t="n">
        <v>2</v>
      </c>
      <c r="E979" s="2118" t="n">
        <v>1</v>
      </c>
      <c r="G979" s="1748" t="inlineStr">
        <is>
          <t>INSTALAÇÕES DE GÁS</t>
        </is>
      </c>
      <c r="H979" s="1749" t="inlineStr">
        <is>
          <t>SERVIÇO</t>
        </is>
      </c>
      <c r="I979" s="1750" t="inlineStr">
        <is>
          <t>09.011.002.001</t>
        </is>
      </c>
      <c r="J979" s="1751" t="inlineStr">
        <is>
          <t>Sistema de Gás</t>
        </is>
      </c>
      <c r="K979" s="1752" t="inlineStr">
        <is>
          <t>vb</t>
        </is>
      </c>
      <c r="L979" s="1753" t="n">
        <v>1</v>
      </c>
      <c r="M979" s="1753" t="n">
        <v>71854.23839197395</v>
      </c>
      <c r="N979" s="1754" t="n">
        <v>71854.238391974</v>
      </c>
      <c r="O979" s="1761" t="inlineStr">
        <is>
          <t>Repessado pela Gessele na reunião do dia 05/03/2026 - vamos fechar em R$ 250k - Material  (aço + multicamada) + M.O</t>
        </is>
      </c>
      <c r="P979" s="1721" t="inlineStr">
        <is>
          <t>Pendente</t>
        </is>
      </c>
    </row>
    <row r="980" hidden="1" outlineLevel="2" ht="13.9" customHeight="1">
      <c r="A980" s="2117" t="n">
        <v>0</v>
      </c>
      <c r="B980" s="2117" t="n">
        <v>9</v>
      </c>
      <c r="C980" s="2117" t="n">
        <v>11</v>
      </c>
      <c r="D980" s="2118" t="n">
        <v>3</v>
      </c>
      <c r="E980" s="2118" t="n">
        <v>0</v>
      </c>
      <c r="G980" s="1764" t="n"/>
      <c r="H980" s="1741" t="inlineStr">
        <is>
          <t>SUBETAPA</t>
        </is>
      </c>
      <c r="I980" s="1742" t="inlineStr">
        <is>
          <t>09.011.003</t>
        </is>
      </c>
      <c r="J980" s="1743" t="inlineStr">
        <is>
          <t>Mão de obra</t>
        </is>
      </c>
      <c r="K980" s="1744" t="n"/>
      <c r="L980" s="1745" t="n"/>
      <c r="M980" s="1745" t="n"/>
      <c r="N980" s="1746" t="n">
        <v>23579.9951832655</v>
      </c>
      <c r="O980" s="1762" t="n"/>
      <c r="P980" s="1720" t="n"/>
    </row>
    <row r="981" hidden="1" outlineLevel="3" ht="13.9" customHeight="1">
      <c r="A981" s="2117" t="n">
        <v>0</v>
      </c>
      <c r="B981" s="2117" t="n">
        <v>9</v>
      </c>
      <c r="C981" s="2117" t="n">
        <v>11</v>
      </c>
      <c r="D981" s="2118" t="n">
        <v>3</v>
      </c>
      <c r="E981" s="2118" t="n">
        <v>1</v>
      </c>
      <c r="G981" s="1748" t="inlineStr">
        <is>
          <t>INSTALAÇÕES DE GÁS</t>
        </is>
      </c>
      <c r="H981" s="1749" t="inlineStr">
        <is>
          <t>SERVIÇO</t>
        </is>
      </c>
      <c r="I981" s="1750" t="inlineStr">
        <is>
          <t>09.011.003.001</t>
        </is>
      </c>
      <c r="J981" s="1751" t="inlineStr">
        <is>
          <t>Mão de obra para instalações gás</t>
        </is>
      </c>
      <c r="K981" s="1752" t="inlineStr">
        <is>
          <t>vb</t>
        </is>
      </c>
      <c r="L981" s="1753" t="n">
        <v>1</v>
      </c>
      <c r="M981" s="1753" t="n">
        <v>23579.9951832655</v>
      </c>
      <c r="N981" s="1754" t="n">
        <v>23579.9951832655</v>
      </c>
      <c r="O981" s="1761" t="inlineStr">
        <is>
          <t>Repessado pela Gessele na reunião do dia 05/03/2026 - vamos fechar em R$ 250k - Material  (aço + multicamada) + M.O</t>
        </is>
      </c>
      <c r="P981" s="1721" t="inlineStr">
        <is>
          <t>Pendente</t>
        </is>
      </c>
    </row>
    <row r="982" hidden="1" outlineLevel="1" ht="13.9" customHeight="1">
      <c r="A982" s="2117" t="n">
        <v>0</v>
      </c>
      <c r="B982" s="2117" t="n">
        <v>9</v>
      </c>
      <c r="C982" s="2117" t="n">
        <v>12</v>
      </c>
      <c r="D982" s="2118" t="n">
        <v>0</v>
      </c>
      <c r="E982" s="2118" t="n">
        <v>1</v>
      </c>
      <c r="G982" s="1733" t="n"/>
      <c r="H982" s="1734" t="inlineStr">
        <is>
          <t>ETAPA</t>
        </is>
      </c>
      <c r="I982" s="1735" t="inlineStr">
        <is>
          <t>09.012</t>
        </is>
      </c>
      <c r="J982" s="1736" t="inlineStr">
        <is>
          <t>INSTALAÇÕES DE GÁS - Duplex Inferior</t>
        </is>
      </c>
      <c r="K982" s="1737" t="n"/>
      <c r="L982" s="1738" t="n"/>
      <c r="M982" s="1738" t="n"/>
      <c r="N982" s="1739" t="n">
        <v>1612.90082464391</v>
      </c>
      <c r="O982" s="1792" t="n"/>
      <c r="P982" s="1725" t="n"/>
    </row>
    <row r="983" hidden="1" outlineLevel="2" ht="13.9" customHeight="1">
      <c r="A983" s="2117" t="n">
        <v>0</v>
      </c>
      <c r="B983" s="2117" t="n">
        <v>9</v>
      </c>
      <c r="C983" s="2117" t="n">
        <v>12</v>
      </c>
      <c r="D983" s="2118" t="n">
        <v>1</v>
      </c>
      <c r="E983" s="2118" t="n">
        <v>0</v>
      </c>
      <c r="G983" s="1764" t="n"/>
      <c r="H983" s="1741" t="inlineStr">
        <is>
          <t>SUBETAPA</t>
        </is>
      </c>
      <c r="I983" s="1742" t="inlineStr">
        <is>
          <t>09.012.001</t>
        </is>
      </c>
      <c r="J983" s="1743" t="inlineStr">
        <is>
          <t>Sistema de Gás</t>
        </is>
      </c>
      <c r="K983" s="1744" t="n"/>
      <c r="L983" s="1745" t="n"/>
      <c r="M983" s="1745" t="n"/>
      <c r="N983" s="1746" t="n">
        <v>490.043911155076</v>
      </c>
      <c r="O983" s="1762" t="n"/>
      <c r="P983" s="1720" t="n"/>
    </row>
    <row r="984" hidden="1" outlineLevel="3" ht="13.9" customHeight="1">
      <c r="A984" s="2117" t="n">
        <v>0</v>
      </c>
      <c r="B984" s="2117" t="n">
        <v>9</v>
      </c>
      <c r="C984" s="2117" t="n">
        <v>12</v>
      </c>
      <c r="D984" s="2118" t="n">
        <v>1</v>
      </c>
      <c r="E984" s="2118" t="n">
        <v>1</v>
      </c>
      <c r="G984" s="1748" t="inlineStr">
        <is>
          <t>INSTALAÇÕES DE GÁS</t>
        </is>
      </c>
      <c r="H984" s="1749" t="inlineStr">
        <is>
          <t>SERVIÇO</t>
        </is>
      </c>
      <c r="I984" s="1750" t="inlineStr">
        <is>
          <t>09.012.001.001</t>
        </is>
      </c>
      <c r="J984" s="1751" t="inlineStr">
        <is>
          <t>Sistema de Gás</t>
        </is>
      </c>
      <c r="K984" s="1752" t="inlineStr">
        <is>
          <t>vb</t>
        </is>
      </c>
      <c r="L984" s="1753" t="n">
        <v>1</v>
      </c>
      <c r="M984" s="1753" t="n">
        <v>490.0439111550761</v>
      </c>
      <c r="N984" s="1754" t="n">
        <v>490.043911155076</v>
      </c>
      <c r="O984" s="1761" t="inlineStr">
        <is>
          <t>Repessado pela Gessele na reunião do dia 05/03/2026 - vamos fechar em R$ 250k - Material  (aço + multicamada) + M.O</t>
        </is>
      </c>
      <c r="P984" s="1721" t="inlineStr">
        <is>
          <t>Pendente</t>
        </is>
      </c>
    </row>
    <row r="985" hidden="1" outlineLevel="2" ht="13.9" customHeight="1">
      <c r="A985" s="2117" t="n">
        <v>0</v>
      </c>
      <c r="B985" s="2117" t="n">
        <v>9</v>
      </c>
      <c r="C985" s="2117" t="n">
        <v>12</v>
      </c>
      <c r="D985" s="2118" t="n">
        <v>2</v>
      </c>
      <c r="E985" s="2118" t="n">
        <v>0</v>
      </c>
      <c r="G985" s="1764" t="n"/>
      <c r="H985" s="1741" t="inlineStr">
        <is>
          <t>SUBETAPA</t>
        </is>
      </c>
      <c r="I985" s="1742" t="inlineStr">
        <is>
          <t>09.012.002</t>
        </is>
      </c>
      <c r="J985" s="1743" t="inlineStr">
        <is>
          <t>Mão de obra</t>
        </is>
      </c>
      <c r="K985" s="1744" t="n"/>
      <c r="L985" s="1745" t="n"/>
      <c r="M985" s="1745" t="n"/>
      <c r="N985" s="1746" t="n">
        <v>1122.85691348883</v>
      </c>
      <c r="O985" s="1762" t="n"/>
      <c r="P985" s="1720" t="n"/>
    </row>
    <row r="986" hidden="1" outlineLevel="3" ht="13.9" customHeight="1">
      <c r="A986" s="2117" t="n">
        <v>0</v>
      </c>
      <c r="B986" s="2117" t="n">
        <v>9</v>
      </c>
      <c r="C986" s="2117" t="n">
        <v>12</v>
      </c>
      <c r="D986" s="2118" t="n">
        <v>2</v>
      </c>
      <c r="E986" s="2118" t="n">
        <v>1</v>
      </c>
      <c r="G986" s="1748" t="inlineStr">
        <is>
          <t>INSTALAÇÕES DE GÁS</t>
        </is>
      </c>
      <c r="H986" s="1749" t="inlineStr">
        <is>
          <t>SERVIÇO</t>
        </is>
      </c>
      <c r="I986" s="1750" t="inlineStr">
        <is>
          <t>09.012.002.001</t>
        </is>
      </c>
      <c r="J986" s="1751" t="inlineStr">
        <is>
          <t>Mão de obra para instalações gás</t>
        </is>
      </c>
      <c r="K986" s="1752" t="inlineStr">
        <is>
          <t>vb</t>
        </is>
      </c>
      <c r="L986" s="1753" t="n">
        <v>1</v>
      </c>
      <c r="M986" s="1753" t="n">
        <v>1122.856913488833</v>
      </c>
      <c r="N986" s="1754" t="n">
        <v>1122.85691348883</v>
      </c>
      <c r="O986" s="1761" t="inlineStr">
        <is>
          <t>Repessado pela Gessele na reunião do dia 05/03/2026 - vamos fechar em R$ 250k - Material  (aço + multicamada) + M.O</t>
        </is>
      </c>
      <c r="P986" s="1721" t="inlineStr">
        <is>
          <t>Pendente</t>
        </is>
      </c>
    </row>
    <row r="987" hidden="1" outlineLevel="1" ht="13.9" customHeight="1">
      <c r="A987" s="2117" t="n">
        <v>0</v>
      </c>
      <c r="B987" s="2117" t="n">
        <v>9</v>
      </c>
      <c r="C987" s="2117" t="n">
        <v>13</v>
      </c>
      <c r="D987" s="2118" t="n">
        <v>0</v>
      </c>
      <c r="E987" s="2118" t="n">
        <v>1</v>
      </c>
      <c r="G987" s="1733" t="n"/>
      <c r="H987" s="1734" t="inlineStr">
        <is>
          <t>ETAPA</t>
        </is>
      </c>
      <c r="I987" s="1735" t="inlineStr">
        <is>
          <t>09.013</t>
        </is>
      </c>
      <c r="J987" s="1736" t="inlineStr">
        <is>
          <t>INSTALAÇÕES DE GÁS - Duplex Superior</t>
        </is>
      </c>
      <c r="K987" s="1737" t="n"/>
      <c r="L987" s="1738" t="n"/>
      <c r="M987" s="1738" t="n"/>
      <c r="N987" s="1739" t="n">
        <v>5893.87650231462</v>
      </c>
      <c r="O987" s="1792" t="n"/>
      <c r="P987" s="1725" t="n"/>
    </row>
    <row r="988" hidden="1" outlineLevel="2" ht="13.9" customHeight="1">
      <c r="A988" s="2117" t="n">
        <v>0</v>
      </c>
      <c r="B988" s="2117" t="n">
        <v>9</v>
      </c>
      <c r="C988" s="2117" t="n">
        <v>13</v>
      </c>
      <c r="D988" s="2118" t="n">
        <v>1</v>
      </c>
      <c r="E988" s="2118" t="n">
        <v>0</v>
      </c>
      <c r="G988" s="1764" t="n"/>
      <c r="H988" s="1741" t="inlineStr">
        <is>
          <t>SUBETAPA</t>
        </is>
      </c>
      <c r="I988" s="1742" t="inlineStr">
        <is>
          <t>09.013.001</t>
        </is>
      </c>
      <c r="J988" s="1743" t="inlineStr">
        <is>
          <t>Medidores</t>
        </is>
      </c>
      <c r="K988" s="1744" t="n"/>
      <c r="L988" s="1745" t="n"/>
      <c r="M988" s="1745" t="n"/>
      <c r="N988" s="1746" t="n">
        <v>351.913944265502</v>
      </c>
      <c r="O988" s="1762" t="n"/>
      <c r="P988" s="1720" t="n"/>
    </row>
    <row r="989" hidden="1" outlineLevel="3" ht="13.9" customHeight="1">
      <c r="A989" s="2117" t="n">
        <v>0</v>
      </c>
      <c r="B989" s="2117" t="n">
        <v>9</v>
      </c>
      <c r="C989" s="2117" t="n">
        <v>13</v>
      </c>
      <c r="D989" s="2118" t="n">
        <v>1</v>
      </c>
      <c r="E989" s="2118" t="n">
        <v>1</v>
      </c>
      <c r="G989" s="1748" t="inlineStr">
        <is>
          <t>INSTALAÇÕES DE GÁS</t>
        </is>
      </c>
      <c r="H989" s="1749" t="inlineStr">
        <is>
          <t>SERVIÇO</t>
        </is>
      </c>
      <c r="I989" s="1750" t="inlineStr">
        <is>
          <t>09.013.001.001</t>
        </is>
      </c>
      <c r="J989" s="1751" t="inlineStr">
        <is>
          <t>Medidores</t>
        </is>
      </c>
      <c r="K989" s="1752" t="inlineStr">
        <is>
          <t>vb</t>
        </is>
      </c>
      <c r="L989" s="1753" t="n">
        <v>1</v>
      </c>
      <c r="M989" s="1753" t="n">
        <v>351.913944265502</v>
      </c>
      <c r="N989" s="1754" t="n">
        <v>351.913944265502</v>
      </c>
      <c r="O989" s="1761" t="inlineStr">
        <is>
          <t>Repessado pela Gessele na reunião do dia 05/03/2026 - vamos fechar em R$ 250k - Material  (aço + multicamada) + M.O</t>
        </is>
      </c>
      <c r="P989" s="1721" t="inlineStr">
        <is>
          <t>Pendente</t>
        </is>
      </c>
    </row>
    <row r="990" hidden="1" outlineLevel="2" ht="13.9" customHeight="1">
      <c r="A990" s="2117" t="n">
        <v>0</v>
      </c>
      <c r="B990" s="2117" t="n">
        <v>9</v>
      </c>
      <c r="C990" s="2117" t="n">
        <v>13</v>
      </c>
      <c r="D990" s="2118" t="n">
        <v>2</v>
      </c>
      <c r="E990" s="2118" t="n">
        <v>0</v>
      </c>
      <c r="G990" s="1764" t="n"/>
      <c r="H990" s="1741" t="inlineStr">
        <is>
          <t>SUBETAPA</t>
        </is>
      </c>
      <c r="I990" s="1742" t="inlineStr">
        <is>
          <t>09.013.002</t>
        </is>
      </c>
      <c r="J990" s="1743" t="inlineStr">
        <is>
          <t>Sistema de Gás</t>
        </is>
      </c>
      <c r="K990" s="1744" t="n"/>
      <c r="L990" s="1745" t="n"/>
      <c r="M990" s="1745" t="n"/>
      <c r="N990" s="1746" t="n">
        <v>4458.3503388717</v>
      </c>
      <c r="O990" s="1762" t="n"/>
      <c r="P990" s="1720" t="n"/>
    </row>
    <row r="991" hidden="1" outlineLevel="3" ht="13.9" customHeight="1">
      <c r="A991" s="2117" t="n">
        <v>0</v>
      </c>
      <c r="B991" s="2117" t="n">
        <v>9</v>
      </c>
      <c r="C991" s="2117" t="n">
        <v>13</v>
      </c>
      <c r="D991" s="2118" t="n">
        <v>2</v>
      </c>
      <c r="E991" s="2118" t="n">
        <v>1</v>
      </c>
      <c r="G991" s="1748" t="inlineStr">
        <is>
          <t>INSTALAÇÕES DE GÁS</t>
        </is>
      </c>
      <c r="H991" s="1749" t="inlineStr">
        <is>
          <t>SERVIÇO</t>
        </is>
      </c>
      <c r="I991" s="1750" t="inlineStr">
        <is>
          <t>09.013.002.001</t>
        </is>
      </c>
      <c r="J991" s="1751" t="inlineStr">
        <is>
          <t>Sistema de Gás</t>
        </is>
      </c>
      <c r="K991" s="1752" t="inlineStr">
        <is>
          <t>vb</t>
        </is>
      </c>
      <c r="L991" s="1753" t="n">
        <v>1</v>
      </c>
      <c r="M991" s="1753" t="n">
        <v>4458.350338871695</v>
      </c>
      <c r="N991" s="1754" t="n">
        <v>4458.3503388717</v>
      </c>
      <c r="O991" s="1761" t="inlineStr">
        <is>
          <t>Repessado pela Gessele na reunião do dia 05/03/2026 - vamos fechar em R$ 250k - Material  (aço + multicamada) + M.O</t>
        </is>
      </c>
      <c r="P991" s="1721" t="inlineStr">
        <is>
          <t>Pendente</t>
        </is>
      </c>
    </row>
    <row r="992" hidden="1" outlineLevel="2" ht="13.9" customHeight="1">
      <c r="A992" s="2117" t="n">
        <v>0</v>
      </c>
      <c r="B992" s="2117" t="n">
        <v>9</v>
      </c>
      <c r="C992" s="2117" t="n">
        <v>13</v>
      </c>
      <c r="D992" s="2118" t="n">
        <v>3</v>
      </c>
      <c r="E992" s="2118" t="n">
        <v>0</v>
      </c>
      <c r="G992" s="1764" t="n"/>
      <c r="H992" s="1741" t="inlineStr">
        <is>
          <t>SUBETAPA</t>
        </is>
      </c>
      <c r="I992" s="1742" t="inlineStr">
        <is>
          <t>09.013.003</t>
        </is>
      </c>
      <c r="J992" s="1743" t="inlineStr">
        <is>
          <t>Mão de obra</t>
        </is>
      </c>
      <c r="K992" s="1744" t="n"/>
      <c r="L992" s="1745" t="n"/>
      <c r="M992" s="1745" t="n"/>
      <c r="N992" s="1746" t="n">
        <v>1083.61221917742</v>
      </c>
      <c r="O992" s="1762" t="n"/>
      <c r="P992" s="1720" t="n"/>
    </row>
    <row r="993" hidden="1" outlineLevel="3" ht="13.9" customHeight="1">
      <c r="A993" s="2117" t="n">
        <v>0</v>
      </c>
      <c r="B993" s="2117" t="n">
        <v>9</v>
      </c>
      <c r="C993" s="2117" t="n">
        <v>13</v>
      </c>
      <c r="D993" s="2118" t="n">
        <v>3</v>
      </c>
      <c r="E993" s="2118" t="n">
        <v>1</v>
      </c>
      <c r="G993" s="1748" t="inlineStr">
        <is>
          <t>INSTALAÇÕES DE GÁS</t>
        </is>
      </c>
      <c r="H993" s="1749" t="inlineStr">
        <is>
          <t>SERVIÇO</t>
        </is>
      </c>
      <c r="I993" s="1750" t="inlineStr">
        <is>
          <t>09.013.003.001</t>
        </is>
      </c>
      <c r="J993" s="1751" t="inlineStr">
        <is>
          <t>Mão de obra para instalações gás</t>
        </is>
      </c>
      <c r="K993" s="1752" t="inlineStr">
        <is>
          <t>vb</t>
        </is>
      </c>
      <c r="L993" s="1753" t="n">
        <v>1</v>
      </c>
      <c r="M993" s="1753" t="n">
        <v>1083.612219177417</v>
      </c>
      <c r="N993" s="1754" t="n">
        <v>1083.61221917742</v>
      </c>
      <c r="O993" s="1761" t="inlineStr">
        <is>
          <t>Repessado pela Gessele na reunião do dia 05/03/2026 - vamos fechar em R$ 250k - Material  (aço + multicamada) + M.O</t>
        </is>
      </c>
      <c r="P993" s="1721" t="inlineStr">
        <is>
          <t>Pendente</t>
        </is>
      </c>
    </row>
    <row r="994" hidden="1" outlineLevel="1" ht="13.9" customHeight="1">
      <c r="A994" s="2117" t="n">
        <v>0</v>
      </c>
      <c r="B994" s="2117" t="n">
        <v>9</v>
      </c>
      <c r="C994" s="2117" t="n">
        <v>14</v>
      </c>
      <c r="D994" s="2118" t="n">
        <v>0</v>
      </c>
      <c r="E994" s="2118" t="n">
        <v>1</v>
      </c>
      <c r="G994" s="1733" t="n"/>
      <c r="H994" s="1734" t="inlineStr">
        <is>
          <t>ETAPA</t>
        </is>
      </c>
      <c r="I994" s="1735" t="inlineStr">
        <is>
          <t>09.014</t>
        </is>
      </c>
      <c r="J994" s="1736" t="inlineStr">
        <is>
          <t>INSTALAÇÕES DE GÁS - Cobertura | Barrilete</t>
        </is>
      </c>
      <c r="K994" s="1737" t="n"/>
      <c r="L994" s="1738" t="n"/>
      <c r="M994" s="1738" t="n"/>
      <c r="N994" s="1739" t="n">
        <v>1111.33325427872</v>
      </c>
      <c r="O994" s="1792" t="n"/>
      <c r="P994" s="1725" t="n"/>
    </row>
    <row r="995" hidden="1" outlineLevel="2" ht="13.9" customHeight="1">
      <c r="A995" s="2117" t="n">
        <v>0</v>
      </c>
      <c r="B995" s="2117" t="n">
        <v>9</v>
      </c>
      <c r="C995" s="2117" t="n">
        <v>14</v>
      </c>
      <c r="D995" s="2118" t="n">
        <v>1</v>
      </c>
      <c r="E995" s="2118" t="n">
        <v>0</v>
      </c>
      <c r="G995" s="1764" t="n"/>
      <c r="H995" s="1741" t="inlineStr">
        <is>
          <t>SUBETAPA</t>
        </is>
      </c>
      <c r="I995" s="1742" t="inlineStr">
        <is>
          <t>09.014.001</t>
        </is>
      </c>
      <c r="J995" s="1743" t="inlineStr">
        <is>
          <t>Sistema de Gás</t>
        </is>
      </c>
      <c r="K995" s="1744" t="n"/>
      <c r="L995" s="1745" t="n"/>
      <c r="M995" s="1745" t="n"/>
      <c r="N995" s="1746" t="n">
        <v>80.09661205225881</v>
      </c>
      <c r="O995" s="1762" t="n"/>
      <c r="P995" s="1720" t="n"/>
    </row>
    <row r="996" hidden="1" outlineLevel="3" ht="13.9" customHeight="1">
      <c r="A996" s="2117" t="n">
        <v>0</v>
      </c>
      <c r="B996" s="2117" t="n">
        <v>9</v>
      </c>
      <c r="C996" s="2117" t="n">
        <v>14</v>
      </c>
      <c r="D996" s="2118" t="n">
        <v>1</v>
      </c>
      <c r="E996" s="2118" t="n">
        <v>1</v>
      </c>
      <c r="G996" s="1748" t="inlineStr">
        <is>
          <t>INSTALAÇÕES DE GÁS</t>
        </is>
      </c>
      <c r="H996" s="1749" t="inlineStr">
        <is>
          <t>SERVIÇO</t>
        </is>
      </c>
      <c r="I996" s="1750" t="inlineStr">
        <is>
          <t>09.014.001.001</t>
        </is>
      </c>
      <c r="J996" s="1751" t="inlineStr">
        <is>
          <t>Sistema de Gás</t>
        </is>
      </c>
      <c r="K996" s="1752" t="inlineStr">
        <is>
          <t>vb</t>
        </is>
      </c>
      <c r="L996" s="1753" t="n">
        <v>1</v>
      </c>
      <c r="M996" s="1753" t="n">
        <v>80.09661205225879</v>
      </c>
      <c r="N996" s="1754" t="n">
        <v>80.09661205225881</v>
      </c>
      <c r="O996" s="1761" t="inlineStr">
        <is>
          <t>Repessado pela Gessele na reunião do dia 05/03/2026 - vamos fechar em R$ 250k - Material  (aço + multicamada) + M.O</t>
        </is>
      </c>
      <c r="P996" s="1721" t="inlineStr">
        <is>
          <t>Pendente</t>
        </is>
      </c>
    </row>
    <row r="997" hidden="1" outlineLevel="2" ht="13.9" customHeight="1">
      <c r="A997" s="2117" t="n">
        <v>0</v>
      </c>
      <c r="B997" s="2117" t="n">
        <v>9</v>
      </c>
      <c r="C997" s="2117" t="n">
        <v>14</v>
      </c>
      <c r="D997" s="2118" t="n">
        <v>2</v>
      </c>
      <c r="E997" s="2118" t="n">
        <v>0</v>
      </c>
      <c r="G997" s="1764" t="n"/>
      <c r="H997" s="1741" t="inlineStr">
        <is>
          <t>SUBETAPA</t>
        </is>
      </c>
      <c r="I997" s="1742" t="inlineStr">
        <is>
          <t>09.014.002</t>
        </is>
      </c>
      <c r="J997" s="1743" t="inlineStr">
        <is>
          <t>Mão de obra</t>
        </is>
      </c>
      <c r="K997" s="1744" t="n"/>
      <c r="L997" s="1745" t="n"/>
      <c r="M997" s="1745" t="n"/>
      <c r="N997" s="1746" t="n">
        <v>1031.23664222646</v>
      </c>
      <c r="O997" s="1762" t="n"/>
      <c r="P997" s="1720" t="n"/>
    </row>
    <row r="998" hidden="1" outlineLevel="3" ht="13.9" customHeight="1">
      <c r="A998" s="2117" t="n">
        <v>0</v>
      </c>
      <c r="B998" s="2117" t="n">
        <v>9</v>
      </c>
      <c r="C998" s="2117" t="n">
        <v>14</v>
      </c>
      <c r="D998" s="2118" t="n">
        <v>2</v>
      </c>
      <c r="E998" s="2118" t="n">
        <v>1</v>
      </c>
      <c r="G998" s="1748" t="inlineStr">
        <is>
          <t>INSTALAÇÕES DE GÁS</t>
        </is>
      </c>
      <c r="H998" s="1749" t="inlineStr">
        <is>
          <t>SERVIÇO</t>
        </is>
      </c>
      <c r="I998" s="1750" t="inlineStr">
        <is>
          <t>09.014.002.001</t>
        </is>
      </c>
      <c r="J998" s="1751" t="inlineStr">
        <is>
          <t>Mão de obra para instalações gás</t>
        </is>
      </c>
      <c r="K998" s="1752" t="inlineStr">
        <is>
          <t>vb</t>
        </is>
      </c>
      <c r="L998" s="1753" t="n">
        <v>1</v>
      </c>
      <c r="M998" s="1753" t="n">
        <v>1031.236642226461</v>
      </c>
      <c r="N998" s="1754" t="n">
        <v>1031.23664222646</v>
      </c>
      <c r="O998" s="1761" t="inlineStr">
        <is>
          <t>Repessado pela Gessele na reunião do dia 05/03/2026 - vamos fechar em R$ 250k - Material  (aço + multicamada) + M.O</t>
        </is>
      </c>
      <c r="P998" s="1721" t="inlineStr">
        <is>
          <t>Pendente</t>
        </is>
      </c>
    </row>
    <row r="999" collapsed="1" ht="13.9" customHeight="1">
      <c r="A999" s="2117" t="n">
        <v>0</v>
      </c>
      <c r="B999" s="2117" t="n">
        <v>10</v>
      </c>
      <c r="C999" s="2117" t="n">
        <v>0</v>
      </c>
      <c r="D999" s="2118" t="n">
        <v>2</v>
      </c>
      <c r="E999" s="2118" t="n">
        <v>1</v>
      </c>
      <c r="F999" s="474" t="n"/>
      <c r="G999" s="1791" t="n"/>
      <c r="H999" s="1727" t="inlineStr">
        <is>
          <t>CÉLULA CONSTRUTIVA</t>
        </is>
      </c>
      <c r="I999" s="1728" t="inlineStr">
        <is>
          <t>10</t>
        </is>
      </c>
      <c r="J999" s="1729" t="inlineStr">
        <is>
          <t>EQUIPAMENTOS E SISTEMAS ESPECIAIS</t>
        </is>
      </c>
      <c r="K999" s="1730" t="n"/>
      <c r="L999" s="1731" t="n"/>
      <c r="M999" s="1731" t="n"/>
      <c r="N999" s="1732" t="n">
        <v>7315899.738</v>
      </c>
      <c r="O999" s="1770" t="n">
        <v>436.778738805003</v>
      </c>
      <c r="P999" s="1724" t="n"/>
    </row>
    <row r="1000" hidden="1" outlineLevel="1" ht="13.9" customHeight="1">
      <c r="A1000" s="2117" t="n">
        <v>0</v>
      </c>
      <c r="B1000" s="2117" t="n">
        <v>10</v>
      </c>
      <c r="C1000" s="2117" t="n">
        <v>1</v>
      </c>
      <c r="D1000" s="2118" t="n">
        <v>0</v>
      </c>
      <c r="E1000" s="2118" t="n">
        <v>1</v>
      </c>
      <c r="G1000" s="1763" t="n"/>
      <c r="H1000" s="1734" t="inlineStr">
        <is>
          <t>ETAPA</t>
        </is>
      </c>
      <c r="I1000" s="1735" t="inlineStr">
        <is>
          <t>10.001</t>
        </is>
      </c>
      <c r="J1000" s="1736" t="inlineStr">
        <is>
          <t>EQUIPAMENTOS E SISTEMAS ESPECIAIS</t>
        </is>
      </c>
      <c r="K1000" s="1737" t="n"/>
      <c r="L1000" s="1738" t="n"/>
      <c r="M1000" s="1738" t="n"/>
      <c r="N1000" s="1739" t="n">
        <v>7315899.738</v>
      </c>
      <c r="O1000" s="1722" t="n"/>
      <c r="P1000" s="1725" t="n"/>
    </row>
    <row r="1001" hidden="1" outlineLevel="2" ht="13.9" customHeight="1">
      <c r="A1001" s="2117" t="n">
        <v>0</v>
      </c>
      <c r="B1001" s="2117" t="n">
        <v>10</v>
      </c>
      <c r="C1001" s="2117" t="n">
        <v>1</v>
      </c>
      <c r="D1001" s="2118" t="n">
        <v>1</v>
      </c>
      <c r="E1001" s="2118" t="n">
        <v>0</v>
      </c>
      <c r="G1001" s="1764" t="n"/>
      <c r="H1001" s="1741" t="inlineStr">
        <is>
          <t>SUBETAPA</t>
        </is>
      </c>
      <c r="I1001" s="1742" t="inlineStr">
        <is>
          <t>10.001.001</t>
        </is>
      </c>
      <c r="J1001" s="1743" t="inlineStr">
        <is>
          <t xml:space="preserve">Equipamentos de piscina </t>
        </is>
      </c>
      <c r="K1001" s="1744" t="n"/>
      <c r="L1001" s="1745" t="n"/>
      <c r="M1001" s="1745" t="n"/>
      <c r="N1001" s="1746" t="n">
        <v>335622.948</v>
      </c>
      <c r="O1001" s="1747" t="n"/>
      <c r="P1001" s="1720" t="n"/>
    </row>
    <row r="1002" hidden="1" outlineLevel="3" ht="13.9" customHeight="1">
      <c r="A1002" s="2117" t="n">
        <v>0</v>
      </c>
      <c r="B1002" s="2117" t="n">
        <v>10</v>
      </c>
      <c r="C1002" s="2117" t="n">
        <v>1</v>
      </c>
      <c r="D1002" s="2118" t="n">
        <v>1</v>
      </c>
      <c r="E1002" s="2118" t="n">
        <v>1</v>
      </c>
      <c r="G1002" s="1748" t="inlineStr">
        <is>
          <t>INSTALAÇÕES E EQUIPAMENTOS E SISTEMAS ESPECIAIS</t>
        </is>
      </c>
      <c r="H1002" s="1749" t="inlineStr">
        <is>
          <t>SERVIÇO</t>
        </is>
      </c>
      <c r="I1002" s="1750" t="inlineStr">
        <is>
          <t>10.001.001.001</t>
        </is>
      </c>
      <c r="J1002" s="1751" t="inlineStr">
        <is>
          <t>Equipamentos de piscina</t>
        </is>
      </c>
      <c r="K1002" s="1752" t="inlineStr">
        <is>
          <t>vb</t>
        </is>
      </c>
      <c r="L1002" s="1753" t="n">
        <v>1</v>
      </c>
      <c r="M1002" s="1753" t="n">
        <v>84457.09800000001</v>
      </c>
      <c r="N1002" s="1754" t="n">
        <v>84457.098</v>
      </c>
      <c r="O1002" s="1755" t="n"/>
      <c r="P1002" s="1721" t="inlineStr">
        <is>
          <t>Pendente</t>
        </is>
      </c>
    </row>
    <row r="1003" hidden="1" outlineLevel="3" ht="13.9" customHeight="1">
      <c r="A1003" s="2117" t="n">
        <v>0</v>
      </c>
      <c r="B1003" s="2117" t="n">
        <v>10</v>
      </c>
      <c r="C1003" s="2117" t="n">
        <v>1</v>
      </c>
      <c r="D1003" s="2118" t="n">
        <v>1</v>
      </c>
      <c r="E1003" s="2118" t="n">
        <v>2</v>
      </c>
      <c r="G1003" s="1748" t="inlineStr">
        <is>
          <t>INSTALAÇÕES E EQUIPAMENTOS E SISTEMAS ESPECIAIS</t>
        </is>
      </c>
      <c r="H1003" s="1749" t="inlineStr">
        <is>
          <t>SERVIÇO</t>
        </is>
      </c>
      <c r="I1003" s="1750" t="inlineStr">
        <is>
          <t>10.001.001.002</t>
        </is>
      </c>
      <c r="J1003" s="1751" t="inlineStr">
        <is>
          <t>Piscina IGUI</t>
        </is>
      </c>
      <c r="K1003" s="1752" t="inlineStr">
        <is>
          <t>vb</t>
        </is>
      </c>
      <c r="L1003" s="1753" t="n">
        <v>1</v>
      </c>
      <c r="M1003" s="1753" t="n">
        <v>251165.85</v>
      </c>
      <c r="N1003" s="1754" t="n">
        <v>251165.85</v>
      </c>
      <c r="O1003" s="1755" t="n"/>
      <c r="P1003" s="1721" t="inlineStr">
        <is>
          <t>Pendente</t>
        </is>
      </c>
    </row>
    <row r="1004" hidden="1" outlineLevel="2" ht="13.9" customHeight="1">
      <c r="A1004" s="2117" t="n">
        <v>0</v>
      </c>
      <c r="B1004" s="2117" t="n">
        <v>10</v>
      </c>
      <c r="C1004" s="2117" t="n">
        <v>1</v>
      </c>
      <c r="D1004" s="2118" t="n">
        <v>2</v>
      </c>
      <c r="E1004" s="2118" t="n">
        <v>0</v>
      </c>
      <c r="G1004" s="1764" t="n"/>
      <c r="H1004" s="1741" t="inlineStr">
        <is>
          <t>SUBETAPA</t>
        </is>
      </c>
      <c r="I1004" s="1742" t="inlineStr">
        <is>
          <t>10.001.002</t>
        </is>
      </c>
      <c r="J1004" s="1743" t="inlineStr">
        <is>
          <t>Elevadores</t>
        </is>
      </c>
      <c r="K1004" s="1744" t="n"/>
      <c r="L1004" s="1745" t="n"/>
      <c r="M1004" s="1745" t="n"/>
      <c r="N1004" s="1746" t="n">
        <v>6949076.79</v>
      </c>
      <c r="O1004" s="1747" t="n"/>
      <c r="P1004" s="1720" t="n"/>
    </row>
    <row r="1005" hidden="1" outlineLevel="3" ht="13.9" customHeight="1">
      <c r="A1005" s="2117" t="n">
        <v>0</v>
      </c>
      <c r="B1005" s="2117" t="n">
        <v>10</v>
      </c>
      <c r="C1005" s="2117" t="n">
        <v>1</v>
      </c>
      <c r="D1005" s="2118" t="n">
        <v>2</v>
      </c>
      <c r="E1005" s="2118" t="n">
        <v>1</v>
      </c>
      <c r="G1005" s="1748" t="inlineStr">
        <is>
          <t>INSTALAÇÕES E EQUIPAMENTOS E SISTEMAS ESPECIAIS</t>
        </is>
      </c>
      <c r="H1005" s="1749" t="inlineStr">
        <is>
          <t>SERVIÇO</t>
        </is>
      </c>
      <c r="I1005" s="1750" t="inlineStr">
        <is>
          <t>10.001.002.001</t>
        </is>
      </c>
      <c r="J1005" s="1751" t="inlineStr">
        <is>
          <t>Elevadores Duplex</t>
        </is>
      </c>
      <c r="K1005" s="1752" t="inlineStr">
        <is>
          <t>un</t>
        </is>
      </c>
      <c r="L1005" s="1753" t="n">
        <v>1</v>
      </c>
      <c r="M1005" s="1753" t="n">
        <v>72000</v>
      </c>
      <c r="N1005" s="1754" t="n">
        <v>72000</v>
      </c>
      <c r="O1005" s="1761" t="inlineStr">
        <is>
          <t>Repessado pela Gessele na reunião do dia 05/03/2026 - incluir elevador duplex e plataforma elevatória lazer</t>
        </is>
      </c>
      <c r="P1005" s="1721" t="inlineStr">
        <is>
          <t>Pendente</t>
        </is>
      </c>
    </row>
    <row r="1006" hidden="1" outlineLevel="3" ht="13.9" customHeight="1">
      <c r="A1006" s="2117" t="n">
        <v>0</v>
      </c>
      <c r="B1006" s="2117" t="n">
        <v>10</v>
      </c>
      <c r="C1006" s="2117" t="n">
        <v>1</v>
      </c>
      <c r="D1006" s="2118" t="n">
        <v>2</v>
      </c>
      <c r="E1006" s="2118" t="n">
        <v>2</v>
      </c>
      <c r="G1006" s="1748" t="inlineStr">
        <is>
          <t>INSTALAÇÕES E EQUIPAMENTOS E SISTEMAS ESPECIAIS</t>
        </is>
      </c>
      <c r="H1006" s="1749" t="inlineStr">
        <is>
          <t>SERVIÇO</t>
        </is>
      </c>
      <c r="I1006" s="1750" t="inlineStr">
        <is>
          <t>10.001.002.002</t>
        </is>
      </c>
      <c r="J1006" s="1751" t="inlineStr">
        <is>
          <t>Plataforma elevatória lazer</t>
        </is>
      </c>
      <c r="K1006" s="1752" t="inlineStr">
        <is>
          <t>un</t>
        </is>
      </c>
      <c r="L1006" s="1753" t="n">
        <v>1</v>
      </c>
      <c r="M1006" s="1753" t="n">
        <v>29342.86</v>
      </c>
      <c r="N1006" s="1754" t="n">
        <v>29342.86</v>
      </c>
      <c r="O1006" s="1761" t="inlineStr">
        <is>
          <t>Repessado pela Gessele na reunião do dia 05/03/2026 - incluir elevador duplex e plataforma elevatória lazer</t>
        </is>
      </c>
      <c r="P1006" s="1721" t="inlineStr">
        <is>
          <t>Pendente</t>
        </is>
      </c>
    </row>
    <row r="1007" hidden="1" outlineLevel="3" ht="13.9" customHeight="1">
      <c r="A1007" s="2117" t="n">
        <v>0</v>
      </c>
      <c r="B1007" s="2117" t="n">
        <v>10</v>
      </c>
      <c r="C1007" s="2117" t="n">
        <v>1</v>
      </c>
      <c r="D1007" s="2118" t="n">
        <v>2</v>
      </c>
      <c r="E1007" s="2118" t="n">
        <v>3</v>
      </c>
      <c r="G1007" s="1748" t="inlineStr">
        <is>
          <t>INSTALAÇÕES E EQUIPAMENTOS E SISTEMAS ESPECIAIS</t>
        </is>
      </c>
      <c r="H1007" s="1749" t="inlineStr">
        <is>
          <t>SERVIÇO</t>
        </is>
      </c>
      <c r="I1007" s="1750" t="inlineStr">
        <is>
          <t>10.001.002.003</t>
        </is>
      </c>
      <c r="J1007" s="1751" t="inlineStr">
        <is>
          <t>Elevadores Sociais</t>
        </is>
      </c>
      <c r="K1007" s="1752" t="inlineStr">
        <is>
          <t>un</t>
        </is>
      </c>
      <c r="L1007" s="1753" t="n">
        <v>1</v>
      </c>
      <c r="M1007" s="1753" t="n">
        <v>1175729.59</v>
      </c>
      <c r="N1007" s="1754" t="n">
        <v>1175729.59</v>
      </c>
      <c r="O1007" s="1755" t="inlineStr">
        <is>
          <t>Proposta TKE</t>
        </is>
      </c>
      <c r="P1007" s="1721" t="inlineStr">
        <is>
          <t>Pendente</t>
        </is>
      </c>
    </row>
    <row r="1008" hidden="1" outlineLevel="3" ht="13.9" customHeight="1">
      <c r="A1008" s="2117" t="n">
        <v>0</v>
      </c>
      <c r="B1008" s="2117" t="n">
        <v>10</v>
      </c>
      <c r="C1008" s="2117" t="n">
        <v>1</v>
      </c>
      <c r="D1008" s="2118" t="n">
        <v>2</v>
      </c>
      <c r="E1008" s="2118" t="n">
        <v>4</v>
      </c>
      <c r="G1008" s="1748" t="inlineStr">
        <is>
          <t>INSTALAÇÕES E EQUIPAMENTOS E SISTEMAS ESPECIAIS</t>
        </is>
      </c>
      <c r="H1008" s="1749" t="inlineStr">
        <is>
          <t>SERVIÇO</t>
        </is>
      </c>
      <c r="I1008" s="1750" t="inlineStr">
        <is>
          <t>10.001.002.004</t>
        </is>
      </c>
      <c r="J1008" s="1751" t="inlineStr">
        <is>
          <t>Elevadores Emergência</t>
        </is>
      </c>
      <c r="K1008" s="1752" t="inlineStr">
        <is>
          <t>un</t>
        </is>
      </c>
      <c r="L1008" s="1753" t="n">
        <v>2</v>
      </c>
      <c r="M1008" s="1753" t="n">
        <v>1486002.17</v>
      </c>
      <c r="N1008" s="1754" t="n">
        <v>2972004.34</v>
      </c>
      <c r="O1008" s="1755" t="inlineStr">
        <is>
          <t>Proposta TKE</t>
        </is>
      </c>
      <c r="P1008" s="1721" t="inlineStr">
        <is>
          <t>Pendente</t>
        </is>
      </c>
    </row>
    <row r="1009" hidden="1" outlineLevel="3" ht="13.9" customHeight="1">
      <c r="A1009" s="2117" t="n">
        <v>0</v>
      </c>
      <c r="B1009" s="2117" t="n">
        <v>10</v>
      </c>
      <c r="C1009" s="2117" t="n">
        <v>1</v>
      </c>
      <c r="D1009" s="2118" t="n">
        <v>2</v>
      </c>
      <c r="E1009" s="2118" t="n">
        <v>5</v>
      </c>
      <c r="G1009" s="1748" t="inlineStr">
        <is>
          <t>INSTALAÇÕES E EQUIPAMENTOS E SISTEMAS ESPECIAIS</t>
        </is>
      </c>
      <c r="H1009" s="1749" t="inlineStr">
        <is>
          <t>SERVIÇO</t>
        </is>
      </c>
      <c r="I1009" s="1750" t="inlineStr">
        <is>
          <t>10.001.002.005</t>
        </is>
      </c>
      <c r="J1009" s="1751" t="inlineStr">
        <is>
          <t>Elevadores de Automoveis</t>
        </is>
      </c>
      <c r="K1009" s="1752" t="inlineStr">
        <is>
          <t>un</t>
        </is>
      </c>
      <c r="L1009" s="1753" t="n">
        <v>2</v>
      </c>
      <c r="M1009" s="1753" t="n">
        <v>1350000</v>
      </c>
      <c r="N1009" s="1754" t="n">
        <v>2700000</v>
      </c>
      <c r="O1009" s="1761" t="inlineStr">
        <is>
          <t>Repessado pela Gessele na reunião do dia 05/03/2026 - talvez fecharemos com a Elotech --&gt; R$ 2,7MM os 2 elevadores</t>
        </is>
      </c>
      <c r="P1009" s="1721" t="inlineStr">
        <is>
          <t>Pendente</t>
        </is>
      </c>
    </row>
    <row r="1010" hidden="1" outlineLevel="2" ht="13.9" customHeight="1">
      <c r="A1010" s="2117" t="n">
        <v>0</v>
      </c>
      <c r="B1010" s="2117" t="n">
        <v>10</v>
      </c>
      <c r="C1010" s="2117" t="n">
        <v>1</v>
      </c>
      <c r="D1010" s="2118" t="n">
        <v>3</v>
      </c>
      <c r="E1010" s="2118" t="n">
        <v>0</v>
      </c>
      <c r="G1010" s="1764" t="n"/>
      <c r="H1010" s="1741" t="inlineStr">
        <is>
          <t>SUBETAPA</t>
        </is>
      </c>
      <c r="I1010" s="1742" t="inlineStr">
        <is>
          <t>10.001.003</t>
        </is>
      </c>
      <c r="J1010" s="1743" t="inlineStr">
        <is>
          <t>Infraestrutura para carregamento de carro elétrico</t>
        </is>
      </c>
      <c r="K1010" s="1744" t="n"/>
      <c r="L1010" s="1745" t="n"/>
      <c r="M1010" s="1745" t="n"/>
      <c r="N1010" s="1746" t="n">
        <v>31200</v>
      </c>
      <c r="O1010" s="1747" t="n"/>
      <c r="P1010" s="1720" t="n"/>
    </row>
    <row r="1011" hidden="1" outlineLevel="3" ht="13.9" customHeight="1">
      <c r="A1011" s="2117" t="n">
        <v>0</v>
      </c>
      <c r="B1011" s="2117" t="n">
        <v>10</v>
      </c>
      <c r="C1011" s="2117" t="n">
        <v>1</v>
      </c>
      <c r="D1011" s="2118" t="n">
        <v>3</v>
      </c>
      <c r="E1011" s="2118" t="n">
        <v>1</v>
      </c>
      <c r="G1011" s="1748" t="inlineStr">
        <is>
          <t>INSTALAÇÕES E EQUIPAMENTOS E SISTEMAS ESPECIAIS</t>
        </is>
      </c>
      <c r="H1011" s="1749" t="inlineStr">
        <is>
          <t>SERVIÇO</t>
        </is>
      </c>
      <c r="I1011" s="1750" t="inlineStr">
        <is>
          <t>10.001.003.001</t>
        </is>
      </c>
      <c r="J1011" s="1751" t="inlineStr">
        <is>
          <t>Infraestrutura para carregamento de carro elétrico</t>
        </is>
      </c>
      <c r="K1011" s="1752" t="inlineStr">
        <is>
          <t>un</t>
        </is>
      </c>
      <c r="L1011" s="1753" t="n">
        <v>48</v>
      </c>
      <c r="M1011" s="1753" t="n">
        <v>650</v>
      </c>
      <c r="N1011" s="1754" t="n">
        <v>31200</v>
      </c>
      <c r="O1011" s="1765" t="inlineStr">
        <is>
          <t>Considerado os ponto conforme o projeto de eletrica</t>
        </is>
      </c>
      <c r="P1011" s="1721" t="inlineStr">
        <is>
          <t>Pendente</t>
        </is>
      </c>
    </row>
    <row r="1012" collapsed="1" ht="13.9" customHeight="1">
      <c r="A1012" s="2117" t="n">
        <v>0</v>
      </c>
      <c r="B1012" s="2117" t="n">
        <v>11</v>
      </c>
      <c r="C1012" s="2117" t="n">
        <v>0</v>
      </c>
      <c r="D1012" s="2118" t="n">
        <v>3</v>
      </c>
      <c r="E1012" s="2118" t="n">
        <v>1</v>
      </c>
      <c r="F1012" s="474" t="n"/>
      <c r="G1012" s="1791" t="n"/>
      <c r="H1012" s="1727" t="inlineStr">
        <is>
          <t>CÉLULA CONSTRUTIVA</t>
        </is>
      </c>
      <c r="I1012" s="1728" t="inlineStr">
        <is>
          <t>11</t>
        </is>
      </c>
      <c r="J1012" s="1729" t="inlineStr">
        <is>
          <t>CLIMATIZAÇÃO, EXAUSTÃO MECÂNICA</t>
        </is>
      </c>
      <c r="K1012" s="1730" t="n"/>
      <c r="L1012" s="1731" t="n"/>
      <c r="M1012" s="1731" t="n"/>
      <c r="N1012" s="1732" t="n">
        <v>933451.700000001</v>
      </c>
      <c r="O1012" s="1770" t="n">
        <v>55.7295576569568</v>
      </c>
      <c r="P1012" s="1724" t="n"/>
    </row>
    <row r="1013" hidden="1" outlineLevel="1" ht="13.9" customHeight="1">
      <c r="A1013" s="2117" t="n">
        <v>0</v>
      </c>
      <c r="B1013" s="2117" t="n">
        <v>11</v>
      </c>
      <c r="C1013" s="2117" t="n">
        <v>1</v>
      </c>
      <c r="D1013" s="2118" t="n">
        <v>0</v>
      </c>
      <c r="E1013" s="2118" t="n">
        <v>1</v>
      </c>
      <c r="G1013" s="1733" t="n"/>
      <c r="H1013" s="1734" t="inlineStr">
        <is>
          <t>ETAPA</t>
        </is>
      </c>
      <c r="I1013" s="1735" t="inlineStr">
        <is>
          <t>11.001</t>
        </is>
      </c>
      <c r="J1013" s="1736" t="inlineStr">
        <is>
          <t>CLIMATIZAÇÃO, EXAUSTÃO MECÂNICA E PRESSURIZAÇÃO - Térreo</t>
        </is>
      </c>
      <c r="K1013" s="1737" t="n"/>
      <c r="L1013" s="1738" t="n"/>
      <c r="M1013" s="1738" t="n"/>
      <c r="N1013" s="1739" t="n">
        <v>50951.7837720021</v>
      </c>
      <c r="O1013" s="1722" t="n"/>
      <c r="P1013" s="1725" t="n"/>
    </row>
    <row r="1014" hidden="1" outlineLevel="2" ht="13.9" customHeight="1">
      <c r="A1014" s="2117" t="n">
        <v>0</v>
      </c>
      <c r="B1014" s="2117" t="n">
        <v>11</v>
      </c>
      <c r="C1014" s="2117" t="n">
        <v>1</v>
      </c>
      <c r="D1014" s="2118" t="n">
        <v>1</v>
      </c>
      <c r="E1014" s="2118" t="n">
        <v>0</v>
      </c>
      <c r="G1014" s="1740" t="n"/>
      <c r="H1014" s="1741" t="inlineStr">
        <is>
          <t>SUBETAPA</t>
        </is>
      </c>
      <c r="I1014" s="1742" t="inlineStr">
        <is>
          <t>11.001.001</t>
        </is>
      </c>
      <c r="J1014" s="1743" t="inlineStr">
        <is>
          <t>Climatização</t>
        </is>
      </c>
      <c r="K1014" s="1744" t="n"/>
      <c r="L1014" s="1745" t="n"/>
      <c r="M1014" s="1745" t="n"/>
      <c r="N1014" s="1746" t="n">
        <v>33389.609572922</v>
      </c>
      <c r="O1014" s="1747" t="n"/>
      <c r="P1014" s="1720" t="n"/>
    </row>
    <row r="1015" hidden="1" outlineLevel="3" ht="33.75" customHeight="1">
      <c r="A1015" s="2117" t="n">
        <v>0</v>
      </c>
      <c r="B1015" s="2117" t="n">
        <v>11</v>
      </c>
      <c r="C1015" s="2117" t="n">
        <v>1</v>
      </c>
      <c r="D1015" s="2118" t="n">
        <v>1</v>
      </c>
      <c r="E1015" s="2118" t="n">
        <v>1</v>
      </c>
      <c r="G1015" s="1790" t="inlineStr">
        <is>
          <t>CLIMATIZAÇÃO, EXAUSTÃO MECÂNICA</t>
        </is>
      </c>
      <c r="H1015" s="1749" t="inlineStr">
        <is>
          <t>SERVIÇO</t>
        </is>
      </c>
      <c r="I1015" s="1750" t="inlineStr">
        <is>
          <t>11.001.001.001</t>
        </is>
      </c>
      <c r="J1015" s="1751" t="inlineStr">
        <is>
          <t>Infraestrutura para instalação de ar condicionado</t>
        </is>
      </c>
      <c r="K1015" s="1752" t="inlineStr">
        <is>
          <t>vb</t>
        </is>
      </c>
      <c r="L1015" s="1753" t="n">
        <v>1</v>
      </c>
      <c r="M1015" s="1753" t="n">
        <v>25725.17851273137</v>
      </c>
      <c r="N1015" s="1754" t="n">
        <v>25725.1785127314</v>
      </c>
      <c r="O1015" s="1761" t="inlineStr">
        <is>
          <t>Repessado pela Gessele na reunião do dia 05/03/2026 - temos orçamento climatização + aspiração: material + M.O - climatização: R$ 400k - aspiração: R$ 212k - exceto equipamentos e exaustão churrasqueiras</t>
        </is>
      </c>
      <c r="P1015" s="1721" t="inlineStr">
        <is>
          <t>Pendente</t>
        </is>
      </c>
    </row>
    <row r="1016" hidden="1" outlineLevel="3" ht="33" customHeight="1">
      <c r="A1016" s="2117" t="n">
        <v>0</v>
      </c>
      <c r="B1016" s="2117" t="n">
        <v>11</v>
      </c>
      <c r="C1016" s="2117" t="n">
        <v>1</v>
      </c>
      <c r="D1016" s="2118" t="n">
        <v>1</v>
      </c>
      <c r="E1016" s="2118" t="n">
        <v>2</v>
      </c>
      <c r="G1016" s="1790" t="inlineStr">
        <is>
          <t>CLIMATIZAÇÃO, EXAUSTÃO MECÂNICA</t>
        </is>
      </c>
      <c r="H1016" s="1749" t="inlineStr">
        <is>
          <t>SERVIÇO</t>
        </is>
      </c>
      <c r="I1016" s="1750" t="inlineStr">
        <is>
          <t>11.001.001.002</t>
        </is>
      </c>
      <c r="J1016" s="1751" t="inlineStr">
        <is>
          <t>Equipamento de ar condicionado</t>
        </is>
      </c>
      <c r="K1016" s="1752" t="inlineStr">
        <is>
          <t>vb</t>
        </is>
      </c>
      <c r="L1016" s="1753" t="n">
        <v>1</v>
      </c>
      <c r="M1016" s="1753" t="n">
        <v>7664.431060190622</v>
      </c>
      <c r="N1016" s="1754" t="n">
        <v>7664.43106019062</v>
      </c>
      <c r="O1016" s="1761" t="inlineStr">
        <is>
          <t xml:space="preserve">Repessado pela Gessele na reunião do dia 05/03/2026 - considerar equipamentos somente das áreas comum: hall, guarita, lazer 01 e 02 </t>
        </is>
      </c>
      <c r="P1016" s="1721" t="inlineStr">
        <is>
          <t>Pendente</t>
        </is>
      </c>
    </row>
    <row r="1017" hidden="1" outlineLevel="2" ht="13.9" customHeight="1">
      <c r="A1017" s="2117" t="n">
        <v>0</v>
      </c>
      <c r="B1017" s="2117" t="n">
        <v>11</v>
      </c>
      <c r="C1017" s="2117" t="n">
        <v>1</v>
      </c>
      <c r="D1017" s="2118" t="n">
        <v>2</v>
      </c>
      <c r="E1017" s="2118" t="n">
        <v>0</v>
      </c>
      <c r="G1017" s="1740" t="n"/>
      <c r="H1017" s="1741" t="inlineStr">
        <is>
          <t>SUBETAPA</t>
        </is>
      </c>
      <c r="I1017" s="1742" t="inlineStr">
        <is>
          <t>11.001.002</t>
        </is>
      </c>
      <c r="J1017" s="1743" t="inlineStr">
        <is>
          <t>Exaustão</t>
        </is>
      </c>
      <c r="K1017" s="1744" t="n"/>
      <c r="L1017" s="1745" t="n"/>
      <c r="M1017" s="1745" t="n"/>
      <c r="N1017" s="1746" t="n">
        <v>1952.03940813531</v>
      </c>
      <c r="O1017" s="1747" t="n"/>
      <c r="P1017" s="1720" t="n"/>
    </row>
    <row r="1018" hidden="1" outlineLevel="3" ht="13.9" customHeight="1">
      <c r="A1018" s="2117" t="n">
        <v>0</v>
      </c>
      <c r="B1018" s="2117" t="n">
        <v>11</v>
      </c>
      <c r="C1018" s="2117" t="n">
        <v>1</v>
      </c>
      <c r="D1018" s="2118" t="n">
        <v>2</v>
      </c>
      <c r="E1018" s="2118" t="n">
        <v>1</v>
      </c>
      <c r="G1018" s="1790" t="inlineStr">
        <is>
          <t>CLIMATIZAÇÃO, EXAUSTÃO MECÂNICA</t>
        </is>
      </c>
      <c r="H1018" s="1749" t="inlineStr">
        <is>
          <t>SERVIÇO</t>
        </is>
      </c>
      <c r="I1018" s="1750" t="inlineStr">
        <is>
          <t>11.001.002.001</t>
        </is>
      </c>
      <c r="J1018" s="1751" t="inlineStr">
        <is>
          <t>Equipamento de exaustão</t>
        </is>
      </c>
      <c r="K1018" s="1752" t="inlineStr">
        <is>
          <t>vb</t>
        </is>
      </c>
      <c r="L1018" s="1753" t="n">
        <v>1</v>
      </c>
      <c r="M1018" s="1753" t="n">
        <v>1952.039408135313</v>
      </c>
      <c r="N1018" s="1754" t="n">
        <v>1952.03940813531</v>
      </c>
      <c r="O1018" s="1755" t="inlineStr">
        <is>
          <t>Exaustor</t>
        </is>
      </c>
      <c r="P1018" s="1721" t="inlineStr">
        <is>
          <t>Pendente</t>
        </is>
      </c>
    </row>
    <row r="1019" hidden="1" outlineLevel="2" ht="13.9" customHeight="1">
      <c r="A1019" s="2117" t="n">
        <v>0</v>
      </c>
      <c r="B1019" s="2117" t="n">
        <v>11</v>
      </c>
      <c r="C1019" s="2117" t="n">
        <v>1</v>
      </c>
      <c r="D1019" s="2118" t="n">
        <v>3</v>
      </c>
      <c r="E1019" s="2118" t="n">
        <v>0</v>
      </c>
      <c r="G1019" s="1740" t="n"/>
      <c r="H1019" s="1741" t="inlineStr">
        <is>
          <t>SUBETAPA</t>
        </is>
      </c>
      <c r="I1019" s="1742" t="inlineStr">
        <is>
          <t>11.001.003</t>
        </is>
      </c>
      <c r="J1019" s="1743" t="inlineStr">
        <is>
          <t>Aspiração</t>
        </is>
      </c>
      <c r="K1019" s="1744" t="n"/>
      <c r="L1019" s="1745" t="n"/>
      <c r="M1019" s="1745" t="n"/>
      <c r="N1019" s="1746" t="n">
        <v>13757.9219380282</v>
      </c>
      <c r="O1019" s="1747" t="n"/>
      <c r="P1019" s="1720" t="n"/>
    </row>
    <row r="1020" hidden="1" outlineLevel="3" ht="13.9" customHeight="1">
      <c r="A1020" s="2117" t="n">
        <v>0</v>
      </c>
      <c r="B1020" s="2117" t="n">
        <v>11</v>
      </c>
      <c r="C1020" s="2117" t="n">
        <v>1</v>
      </c>
      <c r="D1020" s="2118" t="n">
        <v>3</v>
      </c>
      <c r="E1020" s="2118" t="n">
        <v>1</v>
      </c>
      <c r="G1020" s="1790" t="inlineStr">
        <is>
          <t>CLIMATIZAÇÃO, EXAUSTÃO MECÂNICA</t>
        </is>
      </c>
      <c r="H1020" s="1749" t="inlineStr">
        <is>
          <t>SERVIÇO</t>
        </is>
      </c>
      <c r="I1020" s="1750" t="inlineStr">
        <is>
          <t>11.001.003.001</t>
        </is>
      </c>
      <c r="J1020" s="1751" t="inlineStr">
        <is>
          <t>Equipamento de Aspiração</t>
        </is>
      </c>
      <c r="K1020" s="1752" t="inlineStr">
        <is>
          <t>vb</t>
        </is>
      </c>
      <c r="L1020" s="1753" t="n">
        <v>1</v>
      </c>
      <c r="M1020" s="1753" t="n">
        <v>123.5773262805333</v>
      </c>
      <c r="N1020" s="1754" t="n">
        <v>123.577326280533</v>
      </c>
      <c r="O1020" s="1755" t="inlineStr">
        <is>
          <t>Equipamento de aspiração + Considerado o material de aspiração localizado na planilha de iluminação</t>
        </is>
      </c>
      <c r="P1020" s="1721" t="inlineStr">
        <is>
          <t>Pendente</t>
        </is>
      </c>
    </row>
    <row r="1021" hidden="1" outlineLevel="3" ht="13.9" customHeight="1">
      <c r="A1021" s="2117" t="n">
        <v>0</v>
      </c>
      <c r="B1021" s="2117" t="n">
        <v>11</v>
      </c>
      <c r="C1021" s="2117" t="n">
        <v>1</v>
      </c>
      <c r="D1021" s="2118" t="n">
        <v>3</v>
      </c>
      <c r="E1021" s="2118" t="n">
        <v>2</v>
      </c>
      <c r="G1021" s="1790" t="inlineStr">
        <is>
          <t>CLIMATIZAÇÃO, EXAUSTÃO MECÂNICA</t>
        </is>
      </c>
      <c r="H1021" s="1749" t="inlineStr">
        <is>
          <t>SERVIÇO</t>
        </is>
      </c>
      <c r="I1021" s="1750" t="inlineStr">
        <is>
          <t>11.001.003.002</t>
        </is>
      </c>
      <c r="J1021" s="1751" t="inlineStr">
        <is>
          <t>Infraestrutua de Aspiração</t>
        </is>
      </c>
      <c r="K1021" s="1752" t="inlineStr">
        <is>
          <t>vb</t>
        </is>
      </c>
      <c r="L1021" s="1753" t="n">
        <v>1</v>
      </c>
      <c r="M1021" s="1753" t="n">
        <v>13634.34461174763</v>
      </c>
      <c r="N1021" s="1754" t="n">
        <v>13634.3446117476</v>
      </c>
      <c r="O1021" s="1761" t="inlineStr">
        <is>
          <t>Repessado pela Gessele na reunião do dia 05/03/2026 - temos orçamento climatização + aspiração: material + M.O - climatização: R$ 400k - aspiração: R$ 212k - exceto equipamentos e exaustão churrasqueiras</t>
        </is>
      </c>
      <c r="P1021" s="1721" t="inlineStr">
        <is>
          <t>Pendente</t>
        </is>
      </c>
    </row>
    <row r="1022" hidden="1" outlineLevel="2" ht="13.9" customHeight="1">
      <c r="A1022" s="2117" t="n">
        <v>0</v>
      </c>
      <c r="B1022" s="2117" t="n">
        <v>11</v>
      </c>
      <c r="C1022" s="2117" t="n">
        <v>1</v>
      </c>
      <c r="D1022" s="2118" t="n">
        <v>4</v>
      </c>
      <c r="E1022" s="2118" t="n">
        <v>0</v>
      </c>
      <c r="G1022" s="1740" t="n"/>
      <c r="H1022" s="1741" t="inlineStr">
        <is>
          <t>SUBETAPA</t>
        </is>
      </c>
      <c r="I1022" s="1742" t="inlineStr">
        <is>
          <t>11.001.004</t>
        </is>
      </c>
      <c r="J1022" s="1743" t="inlineStr">
        <is>
          <t>Exaustão de churrasqueiras</t>
        </is>
      </c>
      <c r="K1022" s="1744" t="n"/>
      <c r="L1022" s="1745" t="n"/>
      <c r="M1022" s="1745" t="n"/>
      <c r="N1022" s="1746" t="n">
        <v>0</v>
      </c>
      <c r="O1022" s="1747" t="n"/>
      <c r="P1022" s="1720" t="n"/>
    </row>
    <row r="1023" hidden="1" outlineLevel="3" ht="13.9" customHeight="1">
      <c r="A1023" s="2117" t="n">
        <v>0</v>
      </c>
      <c r="B1023" s="2117" t="n">
        <v>11</v>
      </c>
      <c r="C1023" s="2117" t="n">
        <v>1</v>
      </c>
      <c r="D1023" s="2118" t="n">
        <v>4</v>
      </c>
      <c r="E1023" s="2118" t="n">
        <v>1</v>
      </c>
      <c r="G1023" s="1790" t="inlineStr">
        <is>
          <t>CLIMATIZAÇÃO, EXAUSTÃO MECÂNICA</t>
        </is>
      </c>
      <c r="H1023" s="1749" t="inlineStr">
        <is>
          <t>SERVIÇO</t>
        </is>
      </c>
      <c r="I1023" s="1750" t="inlineStr">
        <is>
          <t>11.001.004.001</t>
        </is>
      </c>
      <c r="J1023" s="1751" t="inlineStr">
        <is>
          <t>Exaustão de churrasqueiras</t>
        </is>
      </c>
      <c r="K1023" s="1752" t="inlineStr">
        <is>
          <t>un</t>
        </is>
      </c>
      <c r="L1023" s="1753" t="n">
        <v>0</v>
      </c>
      <c r="M1023" s="1753" t="n">
        <v>2262</v>
      </c>
      <c r="N1023" s="1754" t="n">
        <v>0</v>
      </c>
      <c r="O1023" s="1755" t="inlineStr">
        <is>
          <t>Considerado 1 por churrasqueira</t>
        </is>
      </c>
      <c r="P1023" s="1721" t="inlineStr">
        <is>
          <t>Pendente</t>
        </is>
      </c>
    </row>
    <row r="1024" hidden="1" outlineLevel="3" ht="13.9" customHeight="1">
      <c r="A1024" s="2117" t="n">
        <v>0</v>
      </c>
      <c r="B1024" s="2117" t="n">
        <v>11</v>
      </c>
      <c r="C1024" s="2117" t="n">
        <v>1</v>
      </c>
      <c r="D1024" s="2118" t="n">
        <v>4</v>
      </c>
      <c r="E1024" s="2118" t="n">
        <v>2</v>
      </c>
      <c r="G1024" s="1790" t="inlineStr">
        <is>
          <t>CLIMATIZAÇÃO, EXAUSTÃO MECÂNICA</t>
        </is>
      </c>
      <c r="H1024" s="1749" t="inlineStr">
        <is>
          <t>SERVIÇO</t>
        </is>
      </c>
      <c r="I1024" s="1750" t="inlineStr">
        <is>
          <t>11.001.004.002</t>
        </is>
      </c>
      <c r="J1024" s="1751" t="inlineStr">
        <is>
          <t>Exaustão de cozinha</t>
        </is>
      </c>
      <c r="K1024" s="1752" t="inlineStr">
        <is>
          <t>un</t>
        </is>
      </c>
      <c r="L1024" s="1753" t="n">
        <v>0</v>
      </c>
      <c r="M1024" s="1753" t="n">
        <v>1100</v>
      </c>
      <c r="N1024" s="1754" t="n">
        <v>0</v>
      </c>
      <c r="O1024" s="1755" t="inlineStr">
        <is>
          <t>Considerado 1 por cozinha</t>
        </is>
      </c>
      <c r="P1024" s="1721" t="inlineStr">
        <is>
          <t>Pendente</t>
        </is>
      </c>
    </row>
    <row r="1025" hidden="1" outlineLevel="2" ht="13.9" customHeight="1">
      <c r="A1025" s="2117" t="n">
        <v>0</v>
      </c>
      <c r="B1025" s="2117" t="n">
        <v>11</v>
      </c>
      <c r="C1025" s="2117" t="n">
        <v>1</v>
      </c>
      <c r="D1025" s="2118" t="n">
        <v>5</v>
      </c>
      <c r="E1025" s="2118" t="n">
        <v>0</v>
      </c>
      <c r="G1025" s="1740" t="n"/>
      <c r="H1025" s="1741" t="inlineStr">
        <is>
          <t>SUBETAPA</t>
        </is>
      </c>
      <c r="I1025" s="1742" t="inlineStr">
        <is>
          <t>11.001.005</t>
        </is>
      </c>
      <c r="J1025" s="1743" t="inlineStr">
        <is>
          <t>Mão de obra</t>
        </is>
      </c>
      <c r="K1025" s="1744" t="n"/>
      <c r="L1025" s="1745" t="n"/>
      <c r="M1025" s="1745" t="n"/>
      <c r="N1025" s="1746" t="n">
        <v>1852.21285291666</v>
      </c>
      <c r="O1025" s="1747" t="n"/>
      <c r="P1025" s="1720" t="n"/>
    </row>
    <row r="1026" hidden="1" outlineLevel="3" ht="13.9" customHeight="1">
      <c r="A1026" s="2117" t="n">
        <v>0</v>
      </c>
      <c r="B1026" s="2117" t="n">
        <v>11</v>
      </c>
      <c r="C1026" s="2117" t="n">
        <v>1</v>
      </c>
      <c r="D1026" s="2118" t="n">
        <v>5</v>
      </c>
      <c r="E1026" s="2118" t="n">
        <v>1</v>
      </c>
      <c r="G1026" s="1790" t="inlineStr">
        <is>
          <t>CLIMATIZAÇÃO, EXAUSTÃO MECÂNICA</t>
        </is>
      </c>
      <c r="H1026" s="1749" t="inlineStr">
        <is>
          <t>SERVIÇO</t>
        </is>
      </c>
      <c r="I1026" s="1750" t="inlineStr">
        <is>
          <t>11.001.005.001</t>
        </is>
      </c>
      <c r="J1026" s="1751" t="inlineStr">
        <is>
          <t>Mão de obra de instalação de equipamentos</t>
        </is>
      </c>
      <c r="K1026" s="1752" t="inlineStr">
        <is>
          <t>vb</t>
        </is>
      </c>
      <c r="L1026" s="1753" t="n">
        <v>1</v>
      </c>
      <c r="M1026" s="1753" t="n">
        <v>1852.212852916659</v>
      </c>
      <c r="N1026" s="1754" t="n">
        <v>1852.21285291666</v>
      </c>
      <c r="O1026" s="1755" t="inlineStr">
        <is>
          <t>Considerado 1200 por equipamento (lazer) - retirado os outros itens da mão de obra, pois englobam nos valores repassados pela GESSELE</t>
        </is>
      </c>
      <c r="P1026" s="1721" t="inlineStr">
        <is>
          <t>Pendente</t>
        </is>
      </c>
    </row>
    <row r="1027" hidden="1" outlineLevel="1" ht="13.9" customHeight="1">
      <c r="A1027" s="2117" t="n">
        <v>0</v>
      </c>
      <c r="B1027" s="2117" t="n">
        <v>11</v>
      </c>
      <c r="C1027" s="2117" t="n">
        <v>2</v>
      </c>
      <c r="D1027" s="2118" t="n">
        <v>0</v>
      </c>
      <c r="E1027" s="2118" t="n">
        <v>1</v>
      </c>
      <c r="G1027" s="1733" t="n"/>
      <c r="H1027" s="1734" t="inlineStr">
        <is>
          <t>ETAPA</t>
        </is>
      </c>
      <c r="I1027" s="1735" t="inlineStr">
        <is>
          <t>11.002</t>
        </is>
      </c>
      <c r="J1027" s="1736" t="inlineStr">
        <is>
          <t>CLIMATIZAÇÃO, EXAUSTÃO MECÂNICA E PRESSURIZAÇÃO - Lazer | Garagem</t>
        </is>
      </c>
      <c r="K1027" s="1737" t="n"/>
      <c r="L1027" s="1738" t="n"/>
      <c r="M1027" s="1738" t="n"/>
      <c r="N1027" s="1739" t="n">
        <v>57957.0208612548</v>
      </c>
      <c r="O1027" s="1722" t="n"/>
      <c r="P1027" s="1725" t="n"/>
    </row>
    <row r="1028" hidden="1" outlineLevel="2" ht="13.9" customHeight="1">
      <c r="A1028" s="2117" t="n">
        <v>0</v>
      </c>
      <c r="B1028" s="2117" t="n">
        <v>11</v>
      </c>
      <c r="C1028" s="2117" t="n">
        <v>2</v>
      </c>
      <c r="D1028" s="2118" t="n">
        <v>1</v>
      </c>
      <c r="E1028" s="2118" t="n">
        <v>0</v>
      </c>
      <c r="G1028" s="1740" t="n"/>
      <c r="H1028" s="1741" t="inlineStr">
        <is>
          <t>SUBETAPA</t>
        </is>
      </c>
      <c r="I1028" s="1742" t="inlineStr">
        <is>
          <t>11.002.001</t>
        </is>
      </c>
      <c r="J1028" s="1743" t="inlineStr">
        <is>
          <t>Climatização</t>
        </is>
      </c>
      <c r="K1028" s="1744" t="n"/>
      <c r="L1028" s="1745" t="n"/>
      <c r="M1028" s="1745" t="n"/>
      <c r="N1028" s="1746" t="n">
        <v>37980.2659554848</v>
      </c>
      <c r="O1028" s="1747" t="n"/>
      <c r="P1028" s="1720" t="n"/>
    </row>
    <row r="1029" hidden="1" outlineLevel="3" ht="33.75" customHeight="1">
      <c r="A1029" s="2117" t="n">
        <v>0</v>
      </c>
      <c r="B1029" s="2117" t="n">
        <v>11</v>
      </c>
      <c r="C1029" s="2117" t="n">
        <v>2</v>
      </c>
      <c r="D1029" s="2118" t="n">
        <v>1</v>
      </c>
      <c r="E1029" s="2118" t="n">
        <v>1</v>
      </c>
      <c r="G1029" s="1790" t="inlineStr">
        <is>
          <t>CLIMATIZAÇÃO, EXAUSTÃO MECÂNICA</t>
        </is>
      </c>
      <c r="H1029" s="1749" t="inlineStr">
        <is>
          <t>SERVIÇO</t>
        </is>
      </c>
      <c r="I1029" s="1750" t="inlineStr">
        <is>
          <t>11.002.001.001</t>
        </is>
      </c>
      <c r="J1029" s="1751" t="inlineStr">
        <is>
          <t>Infraestrutura para instalação de ar condicionado</t>
        </is>
      </c>
      <c r="K1029" s="1752" t="inlineStr">
        <is>
          <t>vb</t>
        </is>
      </c>
      <c r="L1029" s="1753" t="n">
        <v>1</v>
      </c>
      <c r="M1029" s="1753" t="n">
        <v>29262.07087064049</v>
      </c>
      <c r="N1029" s="1754" t="n">
        <v>29262.0708706405</v>
      </c>
      <c r="O1029" s="1761" t="inlineStr">
        <is>
          <t>Repessado pela Gessele na reunião do dia 05/03/2026 - temos orçamento climatização + aspiração: material + M.O - climatização: R$ 400k - aspiração: R$ 212k - exceto equipamentos e exaustão churrasqueiras</t>
        </is>
      </c>
      <c r="P1029" s="1721" t="inlineStr">
        <is>
          <t>Pendente</t>
        </is>
      </c>
    </row>
    <row r="1030" hidden="1" outlineLevel="3" ht="33" customHeight="1">
      <c r="A1030" s="2117" t="n">
        <v>0</v>
      </c>
      <c r="B1030" s="2117" t="n">
        <v>11</v>
      </c>
      <c r="C1030" s="2117" t="n">
        <v>2</v>
      </c>
      <c r="D1030" s="2118" t="n">
        <v>1</v>
      </c>
      <c r="E1030" s="2118" t="n">
        <v>2</v>
      </c>
      <c r="G1030" s="1790" t="inlineStr">
        <is>
          <t>CLIMATIZAÇÃO, EXAUSTÃO MECÂNICA</t>
        </is>
      </c>
      <c r="H1030" s="1749" t="inlineStr">
        <is>
          <t>SERVIÇO</t>
        </is>
      </c>
      <c r="I1030" s="1750" t="inlineStr">
        <is>
          <t>11.002.001.002</t>
        </is>
      </c>
      <c r="J1030" s="1751" t="inlineStr">
        <is>
          <t>Equipamento de ar condicionado</t>
        </is>
      </c>
      <c r="K1030" s="1752" t="inlineStr">
        <is>
          <t>vb</t>
        </is>
      </c>
      <c r="L1030" s="1753" t="n">
        <v>1</v>
      </c>
      <c r="M1030" s="1753" t="n">
        <v>8718.195084844274</v>
      </c>
      <c r="N1030" s="1754" t="n">
        <v>8718.19508484427</v>
      </c>
      <c r="O1030" s="1761" t="inlineStr">
        <is>
          <t xml:space="preserve">Repessado pela Gessele na reunião do dia 05/03/2026 - considerar equipamentos somente das áreas comum: hall, guarita, lazer 01 e 02 </t>
        </is>
      </c>
      <c r="P1030" s="1721" t="inlineStr">
        <is>
          <t>Pendente</t>
        </is>
      </c>
    </row>
    <row r="1031" hidden="1" outlineLevel="2" ht="13.9" customHeight="1">
      <c r="A1031" s="2117" t="n">
        <v>0</v>
      </c>
      <c r="B1031" s="2117" t="n">
        <v>11</v>
      </c>
      <c r="C1031" s="2117" t="n">
        <v>2</v>
      </c>
      <c r="D1031" s="2118" t="n">
        <v>2</v>
      </c>
      <c r="E1031" s="2118" t="n">
        <v>0</v>
      </c>
      <c r="G1031" s="1740" t="n"/>
      <c r="H1031" s="1741" t="inlineStr">
        <is>
          <t>SUBETAPA</t>
        </is>
      </c>
      <c r="I1031" s="1742" t="inlineStr">
        <is>
          <t>11.002.002</t>
        </is>
      </c>
      <c r="J1031" s="1743" t="inlineStr">
        <is>
          <t>Exaustão</t>
        </is>
      </c>
      <c r="K1031" s="1744" t="n"/>
      <c r="L1031" s="1745" t="n"/>
      <c r="M1031" s="1745" t="n"/>
      <c r="N1031" s="1746" t="n">
        <v>2220.42056869964</v>
      </c>
      <c r="O1031" s="1747" t="n"/>
      <c r="P1031" s="1720" t="n"/>
    </row>
    <row r="1032" hidden="1" outlineLevel="3" ht="13.9" customHeight="1">
      <c r="A1032" s="2117" t="n">
        <v>0</v>
      </c>
      <c r="B1032" s="2117" t="n">
        <v>11</v>
      </c>
      <c r="C1032" s="2117" t="n">
        <v>2</v>
      </c>
      <c r="D1032" s="2118" t="n">
        <v>2</v>
      </c>
      <c r="E1032" s="2118" t="n">
        <v>1</v>
      </c>
      <c r="G1032" s="1790" t="inlineStr">
        <is>
          <t>CLIMATIZAÇÃO, EXAUSTÃO MECÂNICA</t>
        </is>
      </c>
      <c r="H1032" s="1749" t="inlineStr">
        <is>
          <t>SERVIÇO</t>
        </is>
      </c>
      <c r="I1032" s="1750" t="inlineStr">
        <is>
          <t>11.002.002.001</t>
        </is>
      </c>
      <c r="J1032" s="1751" t="inlineStr">
        <is>
          <t>Equipamento de exaustão</t>
        </is>
      </c>
      <c r="K1032" s="1752" t="inlineStr">
        <is>
          <t>vb</t>
        </is>
      </c>
      <c r="L1032" s="1753" t="n">
        <v>1</v>
      </c>
      <c r="M1032" s="1753" t="n">
        <v>2220.420568699636</v>
      </c>
      <c r="N1032" s="1754" t="n">
        <v>2220.42056869964</v>
      </c>
      <c r="O1032" s="1755" t="inlineStr">
        <is>
          <t>Exaustor</t>
        </is>
      </c>
      <c r="P1032" s="1721" t="inlineStr">
        <is>
          <t>Pendente</t>
        </is>
      </c>
    </row>
    <row r="1033" hidden="1" outlineLevel="2" ht="13.9" customHeight="1">
      <c r="A1033" s="2117" t="n">
        <v>0</v>
      </c>
      <c r="B1033" s="2117" t="n">
        <v>11</v>
      </c>
      <c r="C1033" s="2117" t="n">
        <v>2</v>
      </c>
      <c r="D1033" s="2118" t="n">
        <v>3</v>
      </c>
      <c r="E1033" s="2118" t="n">
        <v>0</v>
      </c>
      <c r="G1033" s="1740" t="n"/>
      <c r="H1033" s="1741" t="inlineStr">
        <is>
          <t>SUBETAPA</t>
        </is>
      </c>
      <c r="I1033" s="1742" t="inlineStr">
        <is>
          <t>11.002.003</t>
        </is>
      </c>
      <c r="J1033" s="1743" t="inlineStr">
        <is>
          <t>Aspiração</t>
        </is>
      </c>
      <c r="K1033" s="1744" t="n"/>
      <c r="L1033" s="1745" t="n"/>
      <c r="M1033" s="1745" t="n"/>
      <c r="N1033" s="1746" t="n">
        <v>15649.4652343843</v>
      </c>
      <c r="O1033" s="1747" t="n"/>
      <c r="P1033" s="1720" t="n"/>
    </row>
    <row r="1034" hidden="1" outlineLevel="3" ht="13.9" customHeight="1">
      <c r="A1034" s="2117" t="n">
        <v>0</v>
      </c>
      <c r="B1034" s="2117" t="n">
        <v>11</v>
      </c>
      <c r="C1034" s="2117" t="n">
        <v>2</v>
      </c>
      <c r="D1034" s="2118" t="n">
        <v>3</v>
      </c>
      <c r="E1034" s="2118" t="n">
        <v>1</v>
      </c>
      <c r="G1034" s="1790" t="inlineStr">
        <is>
          <t>CLIMATIZAÇÃO, EXAUSTÃO MECÂNICA</t>
        </is>
      </c>
      <c r="H1034" s="1749" t="inlineStr">
        <is>
          <t>SERVIÇO</t>
        </is>
      </c>
      <c r="I1034" s="1750" t="inlineStr">
        <is>
          <t>11.002.003.001</t>
        </is>
      </c>
      <c r="J1034" s="1751" t="inlineStr">
        <is>
          <t>Equipamento de Aspiração</t>
        </is>
      </c>
      <c r="K1034" s="1752" t="inlineStr">
        <is>
          <t>vb</t>
        </is>
      </c>
      <c r="L1034" s="1753" t="n">
        <v>1</v>
      </c>
      <c r="M1034" s="1753" t="n">
        <v>140.5676729448392</v>
      </c>
      <c r="N1034" s="1754" t="n">
        <v>140.567672944839</v>
      </c>
      <c r="O1034" s="1755" t="inlineStr">
        <is>
          <t>Equipamento de aspiração + Considerado o material de aspiração localizado na planilha de iluminação</t>
        </is>
      </c>
      <c r="P1034" s="1721" t="inlineStr">
        <is>
          <t>Pendente</t>
        </is>
      </c>
    </row>
    <row r="1035" hidden="1" outlineLevel="3" ht="13.9" customHeight="1">
      <c r="A1035" s="2117" t="n">
        <v>0</v>
      </c>
      <c r="B1035" s="2117" t="n">
        <v>11</v>
      </c>
      <c r="C1035" s="2117" t="n">
        <v>2</v>
      </c>
      <c r="D1035" s="2118" t="n">
        <v>3</v>
      </c>
      <c r="E1035" s="2118" t="n">
        <v>2</v>
      </c>
      <c r="G1035" s="1790" t="inlineStr">
        <is>
          <t>CLIMATIZAÇÃO, EXAUSTÃO MECÂNICA</t>
        </is>
      </c>
      <c r="H1035" s="1749" t="inlineStr">
        <is>
          <t>SERVIÇO</t>
        </is>
      </c>
      <c r="I1035" s="1750" t="inlineStr">
        <is>
          <t>11.002.003.002</t>
        </is>
      </c>
      <c r="J1035" s="1751" t="inlineStr">
        <is>
          <t>Infraestrutua de Aspiração</t>
        </is>
      </c>
      <c r="K1035" s="1752" t="inlineStr">
        <is>
          <t>vb</t>
        </is>
      </c>
      <c r="L1035" s="1753" t="n">
        <v>1</v>
      </c>
      <c r="M1035" s="1753" t="n">
        <v>15508.89756143946</v>
      </c>
      <c r="N1035" s="1754" t="n">
        <v>15508.8975614395</v>
      </c>
      <c r="O1035" s="1761" t="inlineStr">
        <is>
          <t>Repessado pela Gessele na reunião do dia 05/03/2026 - temos orçamento climatização + aspiração: material + M.O - climatização: R$ 400k - aspiração: R$ 212k - exceto equipamentos e exaustão churrasqueiras</t>
        </is>
      </c>
      <c r="P1035" s="1721" t="inlineStr">
        <is>
          <t>Pendente</t>
        </is>
      </c>
    </row>
    <row r="1036" hidden="1" outlineLevel="2" ht="13.9" customHeight="1">
      <c r="A1036" s="2117" t="n">
        <v>0</v>
      </c>
      <c r="B1036" s="2117" t="n">
        <v>11</v>
      </c>
      <c r="C1036" s="2117" t="n">
        <v>2</v>
      </c>
      <c r="D1036" s="2118" t="n">
        <v>4</v>
      </c>
      <c r="E1036" s="2118" t="n">
        <v>0</v>
      </c>
      <c r="G1036" s="1740" t="n"/>
      <c r="H1036" s="1741" t="inlineStr">
        <is>
          <t>SUBETAPA</t>
        </is>
      </c>
      <c r="I1036" s="1742" t="inlineStr">
        <is>
          <t>11.002.004</t>
        </is>
      </c>
      <c r="J1036" s="1743" t="inlineStr">
        <is>
          <t>Exaustão de churrasqueiras</t>
        </is>
      </c>
      <c r="K1036" s="1744" t="n"/>
      <c r="L1036" s="1745" t="n"/>
      <c r="M1036" s="1745" t="n"/>
      <c r="N1036" s="1746" t="n">
        <v>0</v>
      </c>
      <c r="O1036" s="1747" t="n"/>
      <c r="P1036" s="1720" t="n"/>
    </row>
    <row r="1037" hidden="1" outlineLevel="3" ht="13.9" customHeight="1">
      <c r="A1037" s="2117" t="n">
        <v>0</v>
      </c>
      <c r="B1037" s="2117" t="n">
        <v>11</v>
      </c>
      <c r="C1037" s="2117" t="n">
        <v>2</v>
      </c>
      <c r="D1037" s="2118" t="n">
        <v>4</v>
      </c>
      <c r="E1037" s="2118" t="n">
        <v>1</v>
      </c>
      <c r="G1037" s="1790" t="inlineStr">
        <is>
          <t>CLIMATIZAÇÃO, EXAUSTÃO MECÂNICA</t>
        </is>
      </c>
      <c r="H1037" s="1749" t="inlineStr">
        <is>
          <t>SERVIÇO</t>
        </is>
      </c>
      <c r="I1037" s="1750" t="inlineStr">
        <is>
          <t>11.002.004.001</t>
        </is>
      </c>
      <c r="J1037" s="1751" t="inlineStr">
        <is>
          <t>Exaustão de churrasqueiras</t>
        </is>
      </c>
      <c r="K1037" s="1752" t="inlineStr">
        <is>
          <t>un</t>
        </is>
      </c>
      <c r="L1037" s="1753" t="n">
        <v>0</v>
      </c>
      <c r="M1037" s="1753" t="n">
        <v>2262</v>
      </c>
      <c r="N1037" s="1754" t="n">
        <v>0</v>
      </c>
      <c r="O1037" s="1755" t="inlineStr">
        <is>
          <t>Considerado 1 por churrasqueira</t>
        </is>
      </c>
      <c r="P1037" s="1721" t="inlineStr">
        <is>
          <t>Pendente</t>
        </is>
      </c>
    </row>
    <row r="1038" hidden="1" outlineLevel="3" ht="13.9" customHeight="1">
      <c r="A1038" s="2117" t="n">
        <v>0</v>
      </c>
      <c r="B1038" s="2117" t="n">
        <v>11</v>
      </c>
      <c r="C1038" s="2117" t="n">
        <v>2</v>
      </c>
      <c r="D1038" s="2118" t="n">
        <v>4</v>
      </c>
      <c r="E1038" s="2118" t="n">
        <v>2</v>
      </c>
      <c r="G1038" s="1790" t="inlineStr">
        <is>
          <t>CLIMATIZAÇÃO, EXAUSTÃO MECÂNICA</t>
        </is>
      </c>
      <c r="H1038" s="1749" t="inlineStr">
        <is>
          <t>SERVIÇO</t>
        </is>
      </c>
      <c r="I1038" s="1750" t="inlineStr">
        <is>
          <t>11.002.004.002</t>
        </is>
      </c>
      <c r="J1038" s="1751" t="inlineStr">
        <is>
          <t>Exaustão de cozinha</t>
        </is>
      </c>
      <c r="K1038" s="1752" t="inlineStr">
        <is>
          <t>un</t>
        </is>
      </c>
      <c r="L1038" s="1753" t="n">
        <v>0</v>
      </c>
      <c r="M1038" s="1753" t="n">
        <v>1100</v>
      </c>
      <c r="N1038" s="1754" t="n">
        <v>0</v>
      </c>
      <c r="O1038" s="1755" t="inlineStr">
        <is>
          <t>Considerado 1 por cozinha</t>
        </is>
      </c>
      <c r="P1038" s="1721" t="inlineStr">
        <is>
          <t>Pendente</t>
        </is>
      </c>
    </row>
    <row r="1039" hidden="1" outlineLevel="2" ht="13.9" customHeight="1">
      <c r="A1039" s="2117" t="n">
        <v>0</v>
      </c>
      <c r="B1039" s="2117" t="n">
        <v>11</v>
      </c>
      <c r="C1039" s="2117" t="n">
        <v>2</v>
      </c>
      <c r="D1039" s="2118" t="n">
        <v>5</v>
      </c>
      <c r="E1039" s="2118" t="n">
        <v>0</v>
      </c>
      <c r="G1039" s="1740" t="n"/>
      <c r="H1039" s="1741" t="inlineStr">
        <is>
          <t>SUBETAPA</t>
        </is>
      </c>
      <c r="I1039" s="1742" t="inlineStr">
        <is>
          <t>11.002.005</t>
        </is>
      </c>
      <c r="J1039" s="1743" t="inlineStr">
        <is>
          <t>Mão de obra</t>
        </is>
      </c>
      <c r="K1039" s="1744" t="n"/>
      <c r="L1039" s="1745" t="n"/>
      <c r="M1039" s="1745" t="n"/>
      <c r="N1039" s="1746" t="n">
        <v>2106.86910268612</v>
      </c>
      <c r="O1039" s="1747" t="n"/>
      <c r="P1039" s="1720" t="n"/>
    </row>
    <row r="1040" hidden="1" outlineLevel="3" ht="13.9" customHeight="1">
      <c r="A1040" s="2117" t="n">
        <v>0</v>
      </c>
      <c r="B1040" s="2117" t="n">
        <v>11</v>
      </c>
      <c r="C1040" s="2117" t="n">
        <v>2</v>
      </c>
      <c r="D1040" s="2118" t="n">
        <v>5</v>
      </c>
      <c r="E1040" s="2118" t="n">
        <v>1</v>
      </c>
      <c r="G1040" s="1790" t="inlineStr">
        <is>
          <t>CLIMATIZAÇÃO, EXAUSTÃO MECÂNICA</t>
        </is>
      </c>
      <c r="H1040" s="1749" t="inlineStr">
        <is>
          <t>SERVIÇO</t>
        </is>
      </c>
      <c r="I1040" s="1750" t="inlineStr">
        <is>
          <t>11.002.005.001</t>
        </is>
      </c>
      <c r="J1040" s="1751" t="inlineStr">
        <is>
          <t>Mão de obra de instalação de equipamentos</t>
        </is>
      </c>
      <c r="K1040" s="1752" t="inlineStr">
        <is>
          <t>vb</t>
        </is>
      </c>
      <c r="L1040" s="1753" t="n">
        <v>1</v>
      </c>
      <c r="M1040" s="1753" t="n">
        <v>2106.869102686115</v>
      </c>
      <c r="N1040" s="1754" t="n">
        <v>2106.86910268612</v>
      </c>
      <c r="O1040" s="1755" t="inlineStr">
        <is>
          <t>Considerado 1200 por equipamento (lazer) - retirado os outros itens da mão de obra, pois englobam nos valores repassados pela GESSELE</t>
        </is>
      </c>
      <c r="P1040" s="1721" t="inlineStr">
        <is>
          <t>Pendente</t>
        </is>
      </c>
    </row>
    <row r="1041" hidden="1" outlineLevel="1" ht="13.9" customHeight="1">
      <c r="A1041" s="2117" t="n">
        <v>0</v>
      </c>
      <c r="B1041" s="2117" t="n">
        <v>11</v>
      </c>
      <c r="C1041" s="2117" t="n">
        <v>3</v>
      </c>
      <c r="D1041" s="2118" t="n">
        <v>0</v>
      </c>
      <c r="E1041" s="2118" t="n">
        <v>1</v>
      </c>
      <c r="G1041" s="1733" t="n"/>
      <c r="H1041" s="1734" t="inlineStr">
        <is>
          <t>ETAPA</t>
        </is>
      </c>
      <c r="I1041" s="1735" t="inlineStr">
        <is>
          <t>11.003</t>
        </is>
      </c>
      <c r="J1041" s="1736" t="inlineStr">
        <is>
          <t>CLIMATIZAÇÃO, EXAUSTÃO MECÂNICA E PRESSURIZAÇÃO - Lazer 02</t>
        </is>
      </c>
      <c r="K1041" s="1737" t="n"/>
      <c r="L1041" s="1738" t="n"/>
      <c r="M1041" s="1738" t="n"/>
      <c r="N1041" s="1739" t="n">
        <v>35785.3310610104</v>
      </c>
      <c r="O1041" s="1722" t="n"/>
      <c r="P1041" s="1725" t="n"/>
    </row>
    <row r="1042" hidden="1" outlineLevel="2" ht="13.9" customHeight="1">
      <c r="A1042" s="2117" t="n">
        <v>0</v>
      </c>
      <c r="B1042" s="2117" t="n">
        <v>11</v>
      </c>
      <c r="C1042" s="2117" t="n">
        <v>3</v>
      </c>
      <c r="D1042" s="2118" t="n">
        <v>1</v>
      </c>
      <c r="E1042" s="2118" t="n">
        <v>0</v>
      </c>
      <c r="G1042" s="1740" t="n"/>
      <c r="H1042" s="1741" t="inlineStr">
        <is>
          <t>SUBETAPA</t>
        </is>
      </c>
      <c r="I1042" s="1742" t="inlineStr">
        <is>
          <t>11.003.001</t>
        </is>
      </c>
      <c r="J1042" s="1743" t="inlineStr">
        <is>
          <t>Climatização</t>
        </is>
      </c>
      <c r="K1042" s="1744" t="n"/>
      <c r="L1042" s="1745" t="n"/>
      <c r="M1042" s="1745" t="n"/>
      <c r="N1042" s="1746" t="n">
        <v>21247.5851684631</v>
      </c>
      <c r="O1042" s="1747" t="n"/>
      <c r="P1042" s="1720" t="n"/>
    </row>
    <row r="1043" hidden="1" outlineLevel="3" ht="33.75" customHeight="1">
      <c r="A1043" s="2117" t="n">
        <v>0</v>
      </c>
      <c r="B1043" s="2117" t="n">
        <v>11</v>
      </c>
      <c r="C1043" s="2117" t="n">
        <v>3</v>
      </c>
      <c r="D1043" s="2118" t="n">
        <v>1</v>
      </c>
      <c r="E1043" s="2118" t="n">
        <v>1</v>
      </c>
      <c r="G1043" s="1790" t="inlineStr">
        <is>
          <t>CLIMATIZAÇÃO, EXAUSTÃO MECÂNICA</t>
        </is>
      </c>
      <c r="H1043" s="1749" t="inlineStr">
        <is>
          <t>SERVIÇO</t>
        </is>
      </c>
      <c r="I1043" s="1750" t="inlineStr">
        <is>
          <t>11.003.001.001</t>
        </is>
      </c>
      <c r="J1043" s="1751" t="inlineStr">
        <is>
          <t>Infraestrutura para instalação de ar condicionado</t>
        </is>
      </c>
      <c r="K1043" s="1752" t="inlineStr">
        <is>
          <t>vb</t>
        </is>
      </c>
      <c r="L1043" s="1753" t="n">
        <v>1</v>
      </c>
      <c r="M1043" s="1753" t="n">
        <v>16370.29987515791</v>
      </c>
      <c r="N1043" s="1754" t="n">
        <v>16370.2998751579</v>
      </c>
      <c r="O1043" s="1761" t="inlineStr">
        <is>
          <t>Repessado pela Gessele na reunião do dia 05/03/2026 - temos orçamento climatização + aspiração: material + M.O - climatização: R$ 400k - aspiração: R$ 212k - exceto equipamentos e exaustão churrasqueiras</t>
        </is>
      </c>
      <c r="P1043" s="1721" t="inlineStr">
        <is>
          <t>Pendente</t>
        </is>
      </c>
    </row>
    <row r="1044" hidden="1" outlineLevel="3" ht="33" customHeight="1">
      <c r="A1044" s="2117" t="n">
        <v>0</v>
      </c>
      <c r="B1044" s="2117" t="n">
        <v>11</v>
      </c>
      <c r="C1044" s="2117" t="n">
        <v>3</v>
      </c>
      <c r="D1044" s="2118" t="n">
        <v>1</v>
      </c>
      <c r="E1044" s="2118" t="n">
        <v>2</v>
      </c>
      <c r="G1044" s="1790" t="inlineStr">
        <is>
          <t>CLIMATIZAÇÃO, EXAUSTÃO MECÂNICA</t>
        </is>
      </c>
      <c r="H1044" s="1749" t="inlineStr">
        <is>
          <t>SERVIÇO</t>
        </is>
      </c>
      <c r="I1044" s="1750" t="inlineStr">
        <is>
          <t>11.003.001.002</t>
        </is>
      </c>
      <c r="J1044" s="1751" t="inlineStr">
        <is>
          <t>Equipamento de ar condicionado</t>
        </is>
      </c>
      <c r="K1044" s="1752" t="inlineStr">
        <is>
          <t>vb</t>
        </is>
      </c>
      <c r="L1044" s="1753" t="n">
        <v>1</v>
      </c>
      <c r="M1044" s="1753" t="n">
        <v>4877.285293305172</v>
      </c>
      <c r="N1044" s="1754" t="n">
        <v>4877.28529330517</v>
      </c>
      <c r="O1044" s="1761" t="inlineStr">
        <is>
          <t xml:space="preserve">Repessado pela Gessele na reunião do dia 05/03/2026 - considerar equipamentos somente das áreas comum: hall, guarita, lazer 01 e 02 </t>
        </is>
      </c>
      <c r="P1044" s="1721" t="inlineStr">
        <is>
          <t>Pendente</t>
        </is>
      </c>
    </row>
    <row r="1045" hidden="1" outlineLevel="2" ht="13.9" customHeight="1">
      <c r="A1045" s="2117" t="n">
        <v>0</v>
      </c>
      <c r="B1045" s="2117" t="n">
        <v>11</v>
      </c>
      <c r="C1045" s="2117" t="n">
        <v>3</v>
      </c>
      <c r="D1045" s="2118" t="n">
        <v>2</v>
      </c>
      <c r="E1045" s="2118" t="n">
        <v>0</v>
      </c>
      <c r="G1045" s="1740" t="n"/>
      <c r="H1045" s="1741" t="inlineStr">
        <is>
          <t>SUBETAPA</t>
        </is>
      </c>
      <c r="I1045" s="1742" t="inlineStr">
        <is>
          <t>11.003.002</t>
        </is>
      </c>
      <c r="J1045" s="1743" t="inlineStr">
        <is>
          <t>Exaustão</t>
        </is>
      </c>
      <c r="K1045" s="1744" t="n"/>
      <c r="L1045" s="1745" t="n"/>
      <c r="M1045" s="1745" t="n"/>
      <c r="N1045" s="1746" t="n">
        <v>1242.18653967692</v>
      </c>
      <c r="O1045" s="1747" t="n"/>
      <c r="P1045" s="1720" t="n"/>
    </row>
    <row r="1046" hidden="1" outlineLevel="3" ht="13.9" customHeight="1">
      <c r="A1046" s="2117" t="n">
        <v>0</v>
      </c>
      <c r="B1046" s="2117" t="n">
        <v>11</v>
      </c>
      <c r="C1046" s="2117" t="n">
        <v>3</v>
      </c>
      <c r="D1046" s="2118" t="n">
        <v>2</v>
      </c>
      <c r="E1046" s="2118" t="n">
        <v>1</v>
      </c>
      <c r="G1046" s="1790" t="inlineStr">
        <is>
          <t>CLIMATIZAÇÃO, EXAUSTÃO MECÂNICA</t>
        </is>
      </c>
      <c r="H1046" s="1749" t="inlineStr">
        <is>
          <t>SERVIÇO</t>
        </is>
      </c>
      <c r="I1046" s="1750" t="inlineStr">
        <is>
          <t>11.003.002.001</t>
        </is>
      </c>
      <c r="J1046" s="1751" t="inlineStr">
        <is>
          <t>Equipamento de exaustão</t>
        </is>
      </c>
      <c r="K1046" s="1752" t="inlineStr">
        <is>
          <t>vb</t>
        </is>
      </c>
      <c r="L1046" s="1753" t="n">
        <v>1</v>
      </c>
      <c r="M1046" s="1753" t="n">
        <v>1242.18653967692</v>
      </c>
      <c r="N1046" s="1754" t="n">
        <v>1242.18653967692</v>
      </c>
      <c r="O1046" s="1755" t="inlineStr">
        <is>
          <t>Exaustor</t>
        </is>
      </c>
      <c r="P1046" s="1721" t="inlineStr">
        <is>
          <t>Pendente</t>
        </is>
      </c>
    </row>
    <row r="1047" hidden="1" outlineLevel="2" ht="13.9" customHeight="1">
      <c r="A1047" s="2117" t="n">
        <v>0</v>
      </c>
      <c r="B1047" s="2117" t="n">
        <v>11</v>
      </c>
      <c r="C1047" s="2117" t="n">
        <v>3</v>
      </c>
      <c r="D1047" s="2118" t="n">
        <v>3</v>
      </c>
      <c r="E1047" s="2118" t="n">
        <v>0</v>
      </c>
      <c r="G1047" s="1740" t="n"/>
      <c r="H1047" s="1741" t="inlineStr">
        <is>
          <t>SUBETAPA</t>
        </is>
      </c>
      <c r="I1047" s="1742" t="inlineStr">
        <is>
          <t>11.003.003</t>
        </is>
      </c>
      <c r="J1047" s="1743" t="inlineStr">
        <is>
          <t>Aspiração</t>
        </is>
      </c>
      <c r="K1047" s="1744" t="n"/>
      <c r="L1047" s="1745" t="n"/>
      <c r="M1047" s="1745" t="n"/>
      <c r="N1047" s="1746" t="n">
        <v>8754.89776185898</v>
      </c>
      <c r="O1047" s="1747" t="n"/>
      <c r="P1047" s="1720" t="n"/>
    </row>
    <row r="1048" hidden="1" outlineLevel="3" ht="13.9" customHeight="1">
      <c r="A1048" s="2117" t="n">
        <v>0</v>
      </c>
      <c r="B1048" s="2117" t="n">
        <v>11</v>
      </c>
      <c r="C1048" s="2117" t="n">
        <v>3</v>
      </c>
      <c r="D1048" s="2118" t="n">
        <v>3</v>
      </c>
      <c r="E1048" s="2118" t="n">
        <v>1</v>
      </c>
      <c r="G1048" s="1790" t="inlineStr">
        <is>
          <t>CLIMATIZAÇÃO, EXAUSTÃO MECÂNICA</t>
        </is>
      </c>
      <c r="H1048" s="1749" t="inlineStr">
        <is>
          <t>SERVIÇO</t>
        </is>
      </c>
      <c r="I1048" s="1750" t="inlineStr">
        <is>
          <t>11.003.003.001</t>
        </is>
      </c>
      <c r="J1048" s="1751" t="inlineStr">
        <is>
          <t>Equipamento de Aspiração</t>
        </is>
      </c>
      <c r="K1048" s="1752" t="inlineStr">
        <is>
          <t>vb</t>
        </is>
      </c>
      <c r="L1048" s="1753" t="n">
        <v>1</v>
      </c>
      <c r="M1048" s="1753" t="n">
        <v>78.63882802528981</v>
      </c>
      <c r="N1048" s="1754" t="n">
        <v>78.6388280252898</v>
      </c>
      <c r="O1048" s="1755" t="inlineStr">
        <is>
          <t>Equipamento de aspiração + Considerado o material de aspiração localizado na planilha de iluminação</t>
        </is>
      </c>
      <c r="P1048" s="1721" t="inlineStr">
        <is>
          <t>Pendente</t>
        </is>
      </c>
    </row>
    <row r="1049" hidden="1" outlineLevel="3" ht="13.9" customHeight="1">
      <c r="A1049" s="2117" t="n">
        <v>0</v>
      </c>
      <c r="B1049" s="2117" t="n">
        <v>11</v>
      </c>
      <c r="C1049" s="2117" t="n">
        <v>3</v>
      </c>
      <c r="D1049" s="2118" t="n">
        <v>3</v>
      </c>
      <c r="E1049" s="2118" t="n">
        <v>2</v>
      </c>
      <c r="G1049" s="1790" t="inlineStr">
        <is>
          <t>CLIMATIZAÇÃO, EXAUSTÃO MECÂNICA</t>
        </is>
      </c>
      <c r="H1049" s="1749" t="inlineStr">
        <is>
          <t>SERVIÇO</t>
        </is>
      </c>
      <c r="I1049" s="1750" t="inlineStr">
        <is>
          <t>11.003.003.002</t>
        </is>
      </c>
      <c r="J1049" s="1751" t="inlineStr">
        <is>
          <t>Infraestrutua de Aspiração</t>
        </is>
      </c>
      <c r="K1049" s="1752" t="inlineStr">
        <is>
          <t>vb</t>
        </is>
      </c>
      <c r="L1049" s="1753" t="n">
        <v>1</v>
      </c>
      <c r="M1049" s="1753" t="n">
        <v>8676.258933833691</v>
      </c>
      <c r="N1049" s="1754" t="n">
        <v>8676.258933833689</v>
      </c>
      <c r="O1049" s="1761" t="inlineStr">
        <is>
          <t>Repessado pela Gessele na reunião do dia 05/03/2026 - temos orçamento climatização + aspiração: material + M.O - climatização: R$ 400k - aspiração: R$ 212k - exceto equipamentos e exaustão churrasqueiras</t>
        </is>
      </c>
      <c r="P1049" s="1721" t="inlineStr">
        <is>
          <t>Pendente</t>
        </is>
      </c>
    </row>
    <row r="1050" hidden="1" outlineLevel="2" ht="13.9" customHeight="1">
      <c r="A1050" s="2117" t="n">
        <v>0</v>
      </c>
      <c r="B1050" s="2117" t="n">
        <v>11</v>
      </c>
      <c r="C1050" s="2117" t="n">
        <v>3</v>
      </c>
      <c r="D1050" s="2118" t="n">
        <v>4</v>
      </c>
      <c r="E1050" s="2118" t="n">
        <v>0</v>
      </c>
      <c r="G1050" s="1740" t="n"/>
      <c r="H1050" s="1741" t="inlineStr">
        <is>
          <t>SUBETAPA</t>
        </is>
      </c>
      <c r="I1050" s="1742" t="inlineStr">
        <is>
          <t>11.003.004</t>
        </is>
      </c>
      <c r="J1050" s="1743" t="inlineStr">
        <is>
          <t>Exaustão de churrasqueiras</t>
        </is>
      </c>
      <c r="K1050" s="1744" t="n"/>
      <c r="L1050" s="1745" t="n"/>
      <c r="M1050" s="1745" t="n"/>
      <c r="N1050" s="1746" t="n">
        <v>3362</v>
      </c>
      <c r="O1050" s="1747" t="n"/>
      <c r="P1050" s="1720" t="n"/>
    </row>
    <row r="1051" hidden="1" outlineLevel="3" ht="13.9" customHeight="1">
      <c r="A1051" s="2117" t="n">
        <v>0</v>
      </c>
      <c r="B1051" s="2117" t="n">
        <v>11</v>
      </c>
      <c r="C1051" s="2117" t="n">
        <v>3</v>
      </c>
      <c r="D1051" s="2118" t="n">
        <v>4</v>
      </c>
      <c r="E1051" s="2118" t="n">
        <v>1</v>
      </c>
      <c r="G1051" s="1790" t="inlineStr">
        <is>
          <t>CLIMATIZAÇÃO, EXAUSTÃO MECÂNICA</t>
        </is>
      </c>
      <c r="H1051" s="1749" t="inlineStr">
        <is>
          <t>SERVIÇO</t>
        </is>
      </c>
      <c r="I1051" s="1750" t="inlineStr">
        <is>
          <t>11.003.004.001</t>
        </is>
      </c>
      <c r="J1051" s="1751" t="inlineStr">
        <is>
          <t>Exaustão de churrasqueiras</t>
        </is>
      </c>
      <c r="K1051" s="1752" t="inlineStr">
        <is>
          <t>un</t>
        </is>
      </c>
      <c r="L1051" s="1753" t="n">
        <v>1</v>
      </c>
      <c r="M1051" s="1753" t="n">
        <v>2262</v>
      </c>
      <c r="N1051" s="1754" t="n">
        <v>2262</v>
      </c>
      <c r="O1051" s="1755" t="inlineStr">
        <is>
          <t>Considerado 1 por churrasqueira</t>
        </is>
      </c>
      <c r="P1051" s="1721" t="inlineStr">
        <is>
          <t>Pendente</t>
        </is>
      </c>
    </row>
    <row r="1052" hidden="1" outlineLevel="3" ht="13.9" customHeight="1">
      <c r="A1052" s="2117" t="n">
        <v>0</v>
      </c>
      <c r="B1052" s="2117" t="n">
        <v>11</v>
      </c>
      <c r="C1052" s="2117" t="n">
        <v>3</v>
      </c>
      <c r="D1052" s="2118" t="n">
        <v>4</v>
      </c>
      <c r="E1052" s="2118" t="n">
        <v>2</v>
      </c>
      <c r="G1052" s="1790" t="inlineStr">
        <is>
          <t>CLIMATIZAÇÃO, EXAUSTÃO MECÂNICA</t>
        </is>
      </c>
      <c r="H1052" s="1749" t="inlineStr">
        <is>
          <t>SERVIÇO</t>
        </is>
      </c>
      <c r="I1052" s="1750" t="inlineStr">
        <is>
          <t>11.003.004.002</t>
        </is>
      </c>
      <c r="J1052" s="1751" t="inlineStr">
        <is>
          <t>Exaustão de cozinha</t>
        </is>
      </c>
      <c r="K1052" s="1752" t="inlineStr">
        <is>
          <t>un</t>
        </is>
      </c>
      <c r="L1052" s="1753" t="n">
        <v>1</v>
      </c>
      <c r="M1052" s="1753" t="n">
        <v>1100</v>
      </c>
      <c r="N1052" s="1754" t="n">
        <v>1100</v>
      </c>
      <c r="O1052" s="1755" t="inlineStr">
        <is>
          <t>Considerado 1 por cozinha</t>
        </is>
      </c>
      <c r="P1052" s="1721" t="inlineStr">
        <is>
          <t>Pendente</t>
        </is>
      </c>
    </row>
    <row r="1053" hidden="1" outlineLevel="2" ht="13.9" customHeight="1">
      <c r="A1053" s="2117" t="n">
        <v>0</v>
      </c>
      <c r="B1053" s="2117" t="n">
        <v>11</v>
      </c>
      <c r="C1053" s="2117" t="n">
        <v>3</v>
      </c>
      <c r="D1053" s="2118" t="n">
        <v>5</v>
      </c>
      <c r="E1053" s="2118" t="n">
        <v>0</v>
      </c>
      <c r="G1053" s="1740" t="n"/>
      <c r="H1053" s="1741" t="inlineStr">
        <is>
          <t>SUBETAPA</t>
        </is>
      </c>
      <c r="I1053" s="1742" t="inlineStr">
        <is>
          <t>11.003.005</t>
        </is>
      </c>
      <c r="J1053" s="1743" t="inlineStr">
        <is>
          <t>Mão de obra</t>
        </is>
      </c>
      <c r="K1053" s="1744" t="n"/>
      <c r="L1053" s="1745" t="n"/>
      <c r="M1053" s="1745" t="n"/>
      <c r="N1053" s="1746" t="n">
        <v>1178.66159101137</v>
      </c>
      <c r="O1053" s="1747" t="n"/>
      <c r="P1053" s="1720" t="n"/>
    </row>
    <row r="1054" hidden="1" outlineLevel="3" ht="13.9" customHeight="1">
      <c r="A1054" s="2117" t="n">
        <v>0</v>
      </c>
      <c r="B1054" s="2117" t="n">
        <v>11</v>
      </c>
      <c r="C1054" s="2117" t="n">
        <v>3</v>
      </c>
      <c r="D1054" s="2118" t="n">
        <v>5</v>
      </c>
      <c r="E1054" s="2118" t="n">
        <v>1</v>
      </c>
      <c r="G1054" s="1790" t="inlineStr">
        <is>
          <t>CLIMATIZAÇÃO, EXAUSTÃO MECÂNICA</t>
        </is>
      </c>
      <c r="H1054" s="1749" t="inlineStr">
        <is>
          <t>SERVIÇO</t>
        </is>
      </c>
      <c r="I1054" s="1750" t="inlineStr">
        <is>
          <t>11.003.005.001</t>
        </is>
      </c>
      <c r="J1054" s="1751" t="inlineStr">
        <is>
          <t>Mão de obra de instalação de equipamentos</t>
        </is>
      </c>
      <c r="K1054" s="1752" t="inlineStr">
        <is>
          <t>vb</t>
        </is>
      </c>
      <c r="L1054" s="1753" t="n">
        <v>1</v>
      </c>
      <c r="M1054" s="1753" t="n">
        <v>1178.661591011369</v>
      </c>
      <c r="N1054" s="1754" t="n">
        <v>1178.66159101137</v>
      </c>
      <c r="O1054" s="1755" t="inlineStr">
        <is>
          <t>Considerado 1200 por equipamento (lazer) - retirado os outros itens da mão de obra, pois englobam nos valores repassados pela GESSELE</t>
        </is>
      </c>
      <c r="P1054" s="1721" t="inlineStr">
        <is>
          <t>Pendente</t>
        </is>
      </c>
    </row>
    <row r="1055" hidden="1" outlineLevel="1" ht="13.9" customHeight="1">
      <c r="A1055" s="2117" t="n">
        <v>0</v>
      </c>
      <c r="B1055" s="2117" t="n">
        <v>11</v>
      </c>
      <c r="C1055" s="2117" t="n">
        <v>4</v>
      </c>
      <c r="D1055" s="2118" t="n">
        <v>0</v>
      </c>
      <c r="E1055" s="2118" t="n">
        <v>1</v>
      </c>
      <c r="G1055" s="1733" t="n"/>
      <c r="H1055" s="1734" t="inlineStr">
        <is>
          <t>ETAPA</t>
        </is>
      </c>
      <c r="I1055" s="1735" t="inlineStr">
        <is>
          <t>11.004</t>
        </is>
      </c>
      <c r="J1055" s="1736" t="inlineStr">
        <is>
          <t>CLIMATIZAÇÃO, EXAUSTÃO MECÂNICA E PRESSURIZAÇÃO - Tipo diferenciado</t>
        </is>
      </c>
      <c r="K1055" s="1737" t="n"/>
      <c r="L1055" s="1738" t="n"/>
      <c r="M1055" s="1738" t="n"/>
      <c r="N1055" s="1739" t="n">
        <v>29163.2284365392</v>
      </c>
      <c r="O1055" s="1722" t="n"/>
      <c r="P1055" s="1725" t="n"/>
    </row>
    <row r="1056" hidden="1" outlineLevel="2" ht="13.9" customHeight="1">
      <c r="A1056" s="2117" t="n">
        <v>0</v>
      </c>
      <c r="B1056" s="2117" t="n">
        <v>11</v>
      </c>
      <c r="C1056" s="2117" t="n">
        <v>4</v>
      </c>
      <c r="D1056" s="2118" t="n">
        <v>1</v>
      </c>
      <c r="E1056" s="2118" t="n">
        <v>0</v>
      </c>
      <c r="G1056" s="1740" t="n"/>
      <c r="H1056" s="1741" t="inlineStr">
        <is>
          <t>SUBETAPA</t>
        </is>
      </c>
      <c r="I1056" s="1742" t="inlineStr">
        <is>
          <t>11.004.001</t>
        </is>
      </c>
      <c r="J1056" s="1743" t="inlineStr">
        <is>
          <t>Climatização</t>
        </is>
      </c>
      <c r="K1056" s="1744" t="n"/>
      <c r="L1056" s="1745" t="n"/>
      <c r="M1056" s="1745" t="n"/>
      <c r="N1056" s="1746" t="n">
        <v>14704.8252513851</v>
      </c>
      <c r="O1056" s="1747" t="n"/>
      <c r="P1056" s="1720" t="n"/>
    </row>
    <row r="1057" hidden="1" outlineLevel="3" ht="33.75" customHeight="1">
      <c r="A1057" s="2117" t="n">
        <v>0</v>
      </c>
      <c r="B1057" s="2117" t="n">
        <v>11</v>
      </c>
      <c r="C1057" s="2117" t="n">
        <v>4</v>
      </c>
      <c r="D1057" s="2118" t="n">
        <v>1</v>
      </c>
      <c r="E1057" s="2118" t="n">
        <v>1</v>
      </c>
      <c r="G1057" s="1790" t="inlineStr">
        <is>
          <t>CLIMATIZAÇÃO, EXAUSTÃO MECÂNICA</t>
        </is>
      </c>
      <c r="H1057" s="1749" t="inlineStr">
        <is>
          <t>SERVIÇO</t>
        </is>
      </c>
      <c r="I1057" s="1750" t="inlineStr">
        <is>
          <t>11.004.001.001</t>
        </is>
      </c>
      <c r="J1057" s="1751" t="inlineStr">
        <is>
          <t>Infraestrutura para instalação de ar condicionado</t>
        </is>
      </c>
      <c r="K1057" s="1752" t="inlineStr">
        <is>
          <t>vb</t>
        </is>
      </c>
      <c r="L1057" s="1753" t="n">
        <v>1</v>
      </c>
      <c r="M1057" s="1753" t="n">
        <v>11329.40035624674</v>
      </c>
      <c r="N1057" s="1754" t="n">
        <v>11329.4003562467</v>
      </c>
      <c r="O1057" s="1761" t="inlineStr">
        <is>
          <t>Repessado pela Gessele na reunião do dia 05/03/2026 - temos orçamento climatização + aspiração: material + M.O - climatização: R$ 400k - aspiração: R$ 212k - exceto equipamentos e exaustão churrasqueiras</t>
        </is>
      </c>
      <c r="P1057" s="1721" t="inlineStr">
        <is>
          <t>Pendente</t>
        </is>
      </c>
    </row>
    <row r="1058" hidden="1" outlineLevel="3" ht="33" customHeight="1">
      <c r="A1058" s="2117" t="n">
        <v>0</v>
      </c>
      <c r="B1058" s="2117" t="n">
        <v>11</v>
      </c>
      <c r="C1058" s="2117" t="n">
        <v>4</v>
      </c>
      <c r="D1058" s="2118" t="n">
        <v>1</v>
      </c>
      <c r="E1058" s="2118" t="n">
        <v>2</v>
      </c>
      <c r="G1058" s="1790" t="inlineStr">
        <is>
          <t>CLIMATIZAÇÃO, EXAUSTÃO MECÂNICA</t>
        </is>
      </c>
      <c r="H1058" s="1749" t="inlineStr">
        <is>
          <t>SERVIÇO</t>
        </is>
      </c>
      <c r="I1058" s="1750" t="inlineStr">
        <is>
          <t>11.004.001.002</t>
        </is>
      </c>
      <c r="J1058" s="1751" t="inlineStr">
        <is>
          <t>Equipamento de ar condicionado</t>
        </is>
      </c>
      <c r="K1058" s="1752" t="inlineStr">
        <is>
          <t>vb</t>
        </is>
      </c>
      <c r="L1058" s="1753" t="n">
        <v>1</v>
      </c>
      <c r="M1058" s="1753" t="n">
        <v>3375.424895138374</v>
      </c>
      <c r="N1058" s="1754" t="n">
        <v>3375.42489513837</v>
      </c>
      <c r="O1058" s="1761" t="inlineStr">
        <is>
          <t xml:space="preserve">Repessado pela Gessele na reunião do dia 05/03/2026 - considerar equipamentos somente das áreas comum: hall, guarita, lazer 01 e 02 </t>
        </is>
      </c>
      <c r="P1058" s="1721" t="inlineStr">
        <is>
          <t>Pendente</t>
        </is>
      </c>
    </row>
    <row r="1059" hidden="1" outlineLevel="2" ht="13.9" customHeight="1">
      <c r="A1059" s="2117" t="n">
        <v>0</v>
      </c>
      <c r="B1059" s="2117" t="n">
        <v>11</v>
      </c>
      <c r="C1059" s="2117" t="n">
        <v>4</v>
      </c>
      <c r="D1059" s="2118" t="n">
        <v>2</v>
      </c>
      <c r="E1059" s="2118" t="n">
        <v>0</v>
      </c>
      <c r="G1059" s="1740" t="n"/>
      <c r="H1059" s="1741" t="inlineStr">
        <is>
          <t>SUBETAPA</t>
        </is>
      </c>
      <c r="I1059" s="1742" t="inlineStr">
        <is>
          <t>11.004.002</t>
        </is>
      </c>
      <c r="J1059" s="1743" t="inlineStr">
        <is>
          <t>Exaustão</t>
        </is>
      </c>
      <c r="K1059" s="1744" t="n"/>
      <c r="L1059" s="1745" t="n"/>
      <c r="M1059" s="1745" t="n"/>
      <c r="N1059" s="1746" t="n">
        <v>859.680563732181</v>
      </c>
      <c r="O1059" s="1747" t="n"/>
      <c r="P1059" s="1720" t="n"/>
    </row>
    <row r="1060" hidden="1" outlineLevel="3" ht="13.9" customHeight="1">
      <c r="A1060" s="2117" t="n">
        <v>0</v>
      </c>
      <c r="B1060" s="2117" t="n">
        <v>11</v>
      </c>
      <c r="C1060" s="2117" t="n">
        <v>4</v>
      </c>
      <c r="D1060" s="2118" t="n">
        <v>2</v>
      </c>
      <c r="E1060" s="2118" t="n">
        <v>1</v>
      </c>
      <c r="G1060" s="1790" t="inlineStr">
        <is>
          <t>CLIMATIZAÇÃO, EXAUSTÃO MECÂNICA</t>
        </is>
      </c>
      <c r="H1060" s="1749" t="inlineStr">
        <is>
          <t>SERVIÇO</t>
        </is>
      </c>
      <c r="I1060" s="1750" t="inlineStr">
        <is>
          <t>11.004.002.001</t>
        </is>
      </c>
      <c r="J1060" s="1751" t="inlineStr">
        <is>
          <t>Equipamento de exaustão</t>
        </is>
      </c>
      <c r="K1060" s="1752" t="inlineStr">
        <is>
          <t>vb</t>
        </is>
      </c>
      <c r="L1060" s="1753" t="n">
        <v>1</v>
      </c>
      <c r="M1060" s="1753" t="n">
        <v>859.6805637321811</v>
      </c>
      <c r="N1060" s="1754" t="n">
        <v>859.680563732181</v>
      </c>
      <c r="O1060" s="1755" t="inlineStr">
        <is>
          <t>Exaustor</t>
        </is>
      </c>
      <c r="P1060" s="1721" t="inlineStr">
        <is>
          <t>Pendente</t>
        </is>
      </c>
    </row>
    <row r="1061" hidden="1" outlineLevel="2" ht="13.9" customHeight="1">
      <c r="A1061" s="2117" t="n">
        <v>0</v>
      </c>
      <c r="B1061" s="2117" t="n">
        <v>11</v>
      </c>
      <c r="C1061" s="2117" t="n">
        <v>4</v>
      </c>
      <c r="D1061" s="2118" t="n">
        <v>3</v>
      </c>
      <c r="E1061" s="2118" t="n">
        <v>0</v>
      </c>
      <c r="G1061" s="1740" t="n"/>
      <c r="H1061" s="1741" t="inlineStr">
        <is>
          <t>SUBETAPA</t>
        </is>
      </c>
      <c r="I1061" s="1742" t="inlineStr">
        <is>
          <t>11.004.003</t>
        </is>
      </c>
      <c r="J1061" s="1743" t="inlineStr">
        <is>
          <t>Aspiração</t>
        </is>
      </c>
      <c r="K1061" s="1744" t="n"/>
      <c r="L1061" s="1745" t="n"/>
      <c r="M1061" s="1745" t="n"/>
      <c r="N1061" s="1746" t="n">
        <v>6059.00579577209</v>
      </c>
      <c r="O1061" s="1747" t="n"/>
      <c r="P1061" s="1720" t="n"/>
    </row>
    <row r="1062" hidden="1" outlineLevel="3" ht="13.9" customHeight="1">
      <c r="A1062" s="2117" t="n">
        <v>0</v>
      </c>
      <c r="B1062" s="2117" t="n">
        <v>11</v>
      </c>
      <c r="C1062" s="2117" t="n">
        <v>4</v>
      </c>
      <c r="D1062" s="2118" t="n">
        <v>3</v>
      </c>
      <c r="E1062" s="2118" t="n">
        <v>1</v>
      </c>
      <c r="G1062" s="1790" t="inlineStr">
        <is>
          <t>CLIMATIZAÇÃO, EXAUSTÃO MECÂNICA</t>
        </is>
      </c>
      <c r="H1062" s="1749" t="inlineStr">
        <is>
          <t>SERVIÇO</t>
        </is>
      </c>
      <c r="I1062" s="1750" t="inlineStr">
        <is>
          <t>11.004.003.001</t>
        </is>
      </c>
      <c r="J1062" s="1751" t="inlineStr">
        <is>
          <t>Equipamento de Aspiração</t>
        </is>
      </c>
      <c r="K1062" s="1752" t="inlineStr">
        <is>
          <t>vb</t>
        </is>
      </c>
      <c r="L1062" s="1753" t="n">
        <v>1</v>
      </c>
      <c r="M1062" s="1753" t="n">
        <v>54.4236069613203</v>
      </c>
      <c r="N1062" s="1754" t="n">
        <v>54.4236069613203</v>
      </c>
      <c r="O1062" s="1755" t="inlineStr">
        <is>
          <t>Equipamento de aspiração + Considerado o material de aspiração localizado na planilha de iluminação</t>
        </is>
      </c>
      <c r="P1062" s="1721" t="inlineStr">
        <is>
          <t>Pendente</t>
        </is>
      </c>
    </row>
    <row r="1063" hidden="1" outlineLevel="3" ht="13.9" customHeight="1">
      <c r="A1063" s="2117" t="n">
        <v>0</v>
      </c>
      <c r="B1063" s="2117" t="n">
        <v>11</v>
      </c>
      <c r="C1063" s="2117" t="n">
        <v>4</v>
      </c>
      <c r="D1063" s="2118" t="n">
        <v>3</v>
      </c>
      <c r="E1063" s="2118" t="n">
        <v>2</v>
      </c>
      <c r="G1063" s="1790" t="inlineStr">
        <is>
          <t>CLIMATIZAÇÃO, EXAUSTÃO MECÂNICA</t>
        </is>
      </c>
      <c r="H1063" s="1749" t="inlineStr">
        <is>
          <t>SERVIÇO</t>
        </is>
      </c>
      <c r="I1063" s="1750" t="inlineStr">
        <is>
          <t>11.004.003.002</t>
        </is>
      </c>
      <c r="J1063" s="1751" t="inlineStr">
        <is>
          <t>Infraestrutua de Aspiração</t>
        </is>
      </c>
      <c r="K1063" s="1752" t="inlineStr">
        <is>
          <t>vb</t>
        </is>
      </c>
      <c r="L1063" s="1753" t="n">
        <v>1</v>
      </c>
      <c r="M1063" s="1753" t="n">
        <v>6004.582188810774</v>
      </c>
      <c r="N1063" s="1754" t="n">
        <v>6004.58218881077</v>
      </c>
      <c r="O1063" s="1761" t="inlineStr">
        <is>
          <t>Repessado pela Gessele na reunião do dia 05/03/2026 - temos orçamento climatização + aspiração: material + M.O - climatização: R$ 400k - aspiração: R$ 212k - exceto equipamentos e exaustão churrasqueiras</t>
        </is>
      </c>
      <c r="P1063" s="1721" t="inlineStr">
        <is>
          <t>Pendente</t>
        </is>
      </c>
    </row>
    <row r="1064" hidden="1" outlineLevel="2" ht="13.9" customHeight="1">
      <c r="A1064" s="2117" t="n">
        <v>0</v>
      </c>
      <c r="B1064" s="2117" t="n">
        <v>11</v>
      </c>
      <c r="C1064" s="2117" t="n">
        <v>4</v>
      </c>
      <c r="D1064" s="2118" t="n">
        <v>4</v>
      </c>
      <c r="E1064" s="2118" t="n">
        <v>0</v>
      </c>
      <c r="G1064" s="1740" t="n"/>
      <c r="H1064" s="1741" t="inlineStr">
        <is>
          <t>SUBETAPA</t>
        </is>
      </c>
      <c r="I1064" s="1742" t="inlineStr">
        <is>
          <t>11.004.004</t>
        </is>
      </c>
      <c r="J1064" s="1743" t="inlineStr">
        <is>
          <t>Exaustão de churrasqueiras</t>
        </is>
      </c>
      <c r="K1064" s="1744" t="n"/>
      <c r="L1064" s="1745" t="n"/>
      <c r="M1064" s="1745" t="n"/>
      <c r="N1064" s="1746" t="n">
        <v>6724</v>
      </c>
      <c r="O1064" s="1747" t="n"/>
      <c r="P1064" s="1720" t="n"/>
    </row>
    <row r="1065" hidden="1" outlineLevel="3" ht="13.9" customHeight="1">
      <c r="A1065" s="2117" t="n">
        <v>0</v>
      </c>
      <c r="B1065" s="2117" t="n">
        <v>11</v>
      </c>
      <c r="C1065" s="2117" t="n">
        <v>4</v>
      </c>
      <c r="D1065" s="2118" t="n">
        <v>4</v>
      </c>
      <c r="E1065" s="2118" t="n">
        <v>1</v>
      </c>
      <c r="G1065" s="1790" t="inlineStr">
        <is>
          <t>CLIMATIZAÇÃO, EXAUSTÃO MECÂNICA</t>
        </is>
      </c>
      <c r="H1065" s="1749" t="inlineStr">
        <is>
          <t>SERVIÇO</t>
        </is>
      </c>
      <c r="I1065" s="1750" t="inlineStr">
        <is>
          <t>11.004.004.001</t>
        </is>
      </c>
      <c r="J1065" s="1751" t="inlineStr">
        <is>
          <t>Exaustão de churrasqueiras</t>
        </is>
      </c>
      <c r="K1065" s="1752" t="inlineStr">
        <is>
          <t>un</t>
        </is>
      </c>
      <c r="L1065" s="1753" t="n">
        <v>2</v>
      </c>
      <c r="M1065" s="1753" t="n">
        <v>2262</v>
      </c>
      <c r="N1065" s="1754" t="n">
        <v>4524</v>
      </c>
      <c r="O1065" s="1755" t="inlineStr">
        <is>
          <t>Considerado 1 por churrasqueira</t>
        </is>
      </c>
      <c r="P1065" s="1721" t="inlineStr">
        <is>
          <t>Pendente</t>
        </is>
      </c>
    </row>
    <row r="1066" hidden="1" outlineLevel="3" ht="13.9" customHeight="1">
      <c r="A1066" s="2117" t="n">
        <v>0</v>
      </c>
      <c r="B1066" s="2117" t="n">
        <v>11</v>
      </c>
      <c r="C1066" s="2117" t="n">
        <v>4</v>
      </c>
      <c r="D1066" s="2118" t="n">
        <v>4</v>
      </c>
      <c r="E1066" s="2118" t="n">
        <v>2</v>
      </c>
      <c r="G1066" s="1790" t="inlineStr">
        <is>
          <t>CLIMATIZAÇÃO, EXAUSTÃO MECÂNICA</t>
        </is>
      </c>
      <c r="H1066" s="1749" t="inlineStr">
        <is>
          <t>SERVIÇO</t>
        </is>
      </c>
      <c r="I1066" s="1750" t="inlineStr">
        <is>
          <t>11.004.004.002</t>
        </is>
      </c>
      <c r="J1066" s="1751" t="inlineStr">
        <is>
          <t>Exaustão de cozinha</t>
        </is>
      </c>
      <c r="K1066" s="1752" t="inlineStr">
        <is>
          <t>un</t>
        </is>
      </c>
      <c r="L1066" s="1753" t="n">
        <v>2</v>
      </c>
      <c r="M1066" s="1753" t="n">
        <v>1100</v>
      </c>
      <c r="N1066" s="1754" t="n">
        <v>2200</v>
      </c>
      <c r="O1066" s="1755" t="inlineStr">
        <is>
          <t>Considerado 1 por cozinha</t>
        </is>
      </c>
      <c r="P1066" s="1721" t="inlineStr">
        <is>
          <t>Pendente</t>
        </is>
      </c>
    </row>
    <row r="1067" hidden="1" outlineLevel="2" ht="13.9" customHeight="1">
      <c r="A1067" s="2117" t="n">
        <v>0</v>
      </c>
      <c r="B1067" s="2117" t="n">
        <v>11</v>
      </c>
      <c r="C1067" s="2117" t="n">
        <v>4</v>
      </c>
      <c r="D1067" s="2118" t="n">
        <v>5</v>
      </c>
      <c r="E1067" s="2118" t="n">
        <v>0</v>
      </c>
      <c r="G1067" s="1740" t="n"/>
      <c r="H1067" s="1741" t="inlineStr">
        <is>
          <t>SUBETAPA</t>
        </is>
      </c>
      <c r="I1067" s="1742" t="inlineStr">
        <is>
          <t>11.004.005</t>
        </is>
      </c>
      <c r="J1067" s="1743" t="inlineStr">
        <is>
          <t>Mão de obra</t>
        </is>
      </c>
      <c r="K1067" s="1744" t="n"/>
      <c r="L1067" s="1745" t="n"/>
      <c r="M1067" s="1745" t="n"/>
      <c r="N1067" s="1746" t="n">
        <v>815.716825649765</v>
      </c>
      <c r="O1067" s="1747" t="n"/>
      <c r="P1067" s="1720" t="n"/>
    </row>
    <row r="1068" hidden="1" outlineLevel="3" ht="13.9" customHeight="1">
      <c r="A1068" s="2117" t="n">
        <v>0</v>
      </c>
      <c r="B1068" s="2117" t="n">
        <v>11</v>
      </c>
      <c r="C1068" s="2117" t="n">
        <v>4</v>
      </c>
      <c r="D1068" s="2118" t="n">
        <v>5</v>
      </c>
      <c r="E1068" s="2118" t="n">
        <v>1</v>
      </c>
      <c r="G1068" s="1790" t="inlineStr">
        <is>
          <t>CLIMATIZAÇÃO, EXAUSTÃO MECÂNICA</t>
        </is>
      </c>
      <c r="H1068" s="1749" t="inlineStr">
        <is>
          <t>SERVIÇO</t>
        </is>
      </c>
      <c r="I1068" s="1750" t="inlineStr">
        <is>
          <t>11.004.005.001</t>
        </is>
      </c>
      <c r="J1068" s="1751" t="inlineStr">
        <is>
          <t>Mão de obra de instalação de equipamentos</t>
        </is>
      </c>
      <c r="K1068" s="1752" t="inlineStr">
        <is>
          <t>vb</t>
        </is>
      </c>
      <c r="L1068" s="1753" t="n">
        <v>1</v>
      </c>
      <c r="M1068" s="1753" t="n">
        <v>815.7168256497655</v>
      </c>
      <c r="N1068" s="1754" t="n">
        <v>815.716825649765</v>
      </c>
      <c r="O1068" s="1755" t="inlineStr">
        <is>
          <t>Considerado 1200 por equipamento (lazer) - retirado os outros itens da mão de obra, pois englobam nos valores repassados pela GESSELE</t>
        </is>
      </c>
      <c r="P1068" s="1721" t="inlineStr">
        <is>
          <t>Pendente</t>
        </is>
      </c>
    </row>
    <row r="1069" hidden="1" outlineLevel="1" ht="13.9" customHeight="1">
      <c r="A1069" s="2117" t="n">
        <v>0</v>
      </c>
      <c r="B1069" s="2117" t="n">
        <v>11</v>
      </c>
      <c r="C1069" s="2117" t="n">
        <v>5</v>
      </c>
      <c r="D1069" s="2118" t="n">
        <v>0</v>
      </c>
      <c r="E1069" s="2118" t="n">
        <v>1</v>
      </c>
      <c r="G1069" s="1733" t="n"/>
      <c r="H1069" s="1734" t="inlineStr">
        <is>
          <t>ETAPA</t>
        </is>
      </c>
      <c r="I1069" s="1735" t="inlineStr">
        <is>
          <t>11.005</t>
        </is>
      </c>
      <c r="J1069" s="1736" t="inlineStr">
        <is>
          <t>CLIMATIZAÇÃO, EXAUSTÃO MECÂNICA E PRESSURIZAÇÃO - Tipo x8</t>
        </is>
      </c>
      <c r="K1069" s="1737" t="n"/>
      <c r="L1069" s="1738" t="n"/>
      <c r="M1069" s="1738" t="n"/>
      <c r="N1069" s="1739" t="n">
        <v>211423.147510904</v>
      </c>
      <c r="O1069" s="1722" t="n"/>
      <c r="P1069" s="1725" t="n"/>
    </row>
    <row r="1070" hidden="1" outlineLevel="2" ht="13.9" customHeight="1">
      <c r="A1070" s="2117" t="n">
        <v>0</v>
      </c>
      <c r="B1070" s="2117" t="n">
        <v>11</v>
      </c>
      <c r="C1070" s="2117" t="n">
        <v>5</v>
      </c>
      <c r="D1070" s="2118" t="n">
        <v>1</v>
      </c>
      <c r="E1070" s="2118" t="n">
        <v>0</v>
      </c>
      <c r="G1070" s="1740" t="n"/>
      <c r="H1070" s="1741" t="inlineStr">
        <is>
          <t>SUBETAPA</t>
        </is>
      </c>
      <c r="I1070" s="1742" t="inlineStr">
        <is>
          <t>11.005.001</t>
        </is>
      </c>
      <c r="J1070" s="1743" t="inlineStr">
        <is>
          <t>Climatização</t>
        </is>
      </c>
      <c r="K1070" s="1744" t="n"/>
      <c r="L1070" s="1745" t="n"/>
      <c r="M1070" s="1745" t="n"/>
      <c r="N1070" s="1746" t="n">
        <v>103298.492854982</v>
      </c>
      <c r="O1070" s="1747" t="n"/>
      <c r="P1070" s="1720" t="n"/>
    </row>
    <row r="1071" hidden="1" outlineLevel="3" ht="33.75" customHeight="1">
      <c r="A1071" s="2117" t="n">
        <v>0</v>
      </c>
      <c r="B1071" s="2117" t="n">
        <v>11</v>
      </c>
      <c r="C1071" s="2117" t="n">
        <v>5</v>
      </c>
      <c r="D1071" s="2118" t="n">
        <v>1</v>
      </c>
      <c r="E1071" s="2118" t="n">
        <v>1</v>
      </c>
      <c r="G1071" s="1790" t="inlineStr">
        <is>
          <t>CLIMATIZAÇÃO, EXAUSTÃO MECÂNICA</t>
        </is>
      </c>
      <c r="H1071" s="1749" t="inlineStr">
        <is>
          <t>SERVIÇO</t>
        </is>
      </c>
      <c r="I1071" s="1750" t="inlineStr">
        <is>
          <t>11.005.001.001</t>
        </is>
      </c>
      <c r="J1071" s="1751" t="inlineStr">
        <is>
          <t>Infraestrutura para instalação de ar condicionado</t>
        </is>
      </c>
      <c r="K1071" s="1752" t="inlineStr">
        <is>
          <t>vb</t>
        </is>
      </c>
      <c r="L1071" s="1753" t="n">
        <v>1</v>
      </c>
      <c r="M1071" s="1753" t="n">
        <v>79586.79968949324</v>
      </c>
      <c r="N1071" s="1754" t="n">
        <v>79586.7996894932</v>
      </c>
      <c r="O1071" s="1761" t="inlineStr">
        <is>
          <t>Repessado pela Gessele na reunião do dia 05/03/2026 - temos orçamento climatização + aspiração: material + M.O - climatização: R$ 400k - aspiração: R$ 212k - exceto equipamentos e exaustão churrasqueiras</t>
        </is>
      </c>
      <c r="P1071" s="1721" t="inlineStr">
        <is>
          <t>Pendente</t>
        </is>
      </c>
    </row>
    <row r="1072" hidden="1" outlineLevel="3" ht="33" customHeight="1">
      <c r="A1072" s="2117" t="n">
        <v>0</v>
      </c>
      <c r="B1072" s="2117" t="n">
        <v>11</v>
      </c>
      <c r="C1072" s="2117" t="n">
        <v>5</v>
      </c>
      <c r="D1072" s="2118" t="n">
        <v>1</v>
      </c>
      <c r="E1072" s="2118" t="n">
        <v>2</v>
      </c>
      <c r="G1072" s="1790" t="inlineStr">
        <is>
          <t>CLIMATIZAÇÃO, EXAUSTÃO MECÂNICA</t>
        </is>
      </c>
      <c r="H1072" s="1749" t="inlineStr">
        <is>
          <t>SERVIÇO</t>
        </is>
      </c>
      <c r="I1072" s="1750" t="inlineStr">
        <is>
          <t>11.005.001.002</t>
        </is>
      </c>
      <c r="J1072" s="1751" t="inlineStr">
        <is>
          <t>Equipamento de ar condicionado</t>
        </is>
      </c>
      <c r="K1072" s="1752" t="inlineStr">
        <is>
          <t>vb</t>
        </is>
      </c>
      <c r="L1072" s="1753" t="n">
        <v>1</v>
      </c>
      <c r="M1072" s="1753" t="n">
        <v>23711.69316548917</v>
      </c>
      <c r="N1072" s="1754" t="n">
        <v>23711.6931654892</v>
      </c>
      <c r="O1072" s="1761" t="inlineStr">
        <is>
          <t xml:space="preserve">Repessado pela Gessele na reunião do dia 05/03/2026 - considerar equipamentos somente das áreas comum: hall, guarita, lazer 01 e 02 </t>
        </is>
      </c>
      <c r="P1072" s="1721" t="inlineStr">
        <is>
          <t>Pendente</t>
        </is>
      </c>
    </row>
    <row r="1073" hidden="1" outlineLevel="2" ht="13.9" customHeight="1">
      <c r="A1073" s="2117" t="n">
        <v>0</v>
      </c>
      <c r="B1073" s="2117" t="n">
        <v>11</v>
      </c>
      <c r="C1073" s="2117" t="n">
        <v>5</v>
      </c>
      <c r="D1073" s="2118" t="n">
        <v>2</v>
      </c>
      <c r="E1073" s="2118" t="n">
        <v>0</v>
      </c>
      <c r="G1073" s="1740" t="n"/>
      <c r="H1073" s="1741" t="inlineStr">
        <is>
          <t>SUBETAPA</t>
        </is>
      </c>
      <c r="I1073" s="1742" t="inlineStr">
        <is>
          <t>11.005.002</t>
        </is>
      </c>
      <c r="J1073" s="1743" t="inlineStr">
        <is>
          <t>Exaustão</t>
        </is>
      </c>
      <c r="K1073" s="1744" t="n"/>
      <c r="L1073" s="1745" t="n"/>
      <c r="M1073" s="1745" t="n"/>
      <c r="N1073" s="1746" t="n">
        <v>6039.08615383859</v>
      </c>
      <c r="O1073" s="1747" t="n"/>
      <c r="P1073" s="1720" t="n"/>
    </row>
    <row r="1074" hidden="1" outlineLevel="3" ht="13.9" customHeight="1">
      <c r="A1074" s="2117" t="n">
        <v>0</v>
      </c>
      <c r="B1074" s="2117" t="n">
        <v>11</v>
      </c>
      <c r="C1074" s="2117" t="n">
        <v>5</v>
      </c>
      <c r="D1074" s="2118" t="n">
        <v>2</v>
      </c>
      <c r="E1074" s="2118" t="n">
        <v>1</v>
      </c>
      <c r="G1074" s="1790" t="inlineStr">
        <is>
          <t>CLIMATIZAÇÃO, EXAUSTÃO MECÂNICA</t>
        </is>
      </c>
      <c r="H1074" s="1749" t="inlineStr">
        <is>
          <t>SERVIÇO</t>
        </is>
      </c>
      <c r="I1074" s="1750" t="inlineStr">
        <is>
          <t>11.005.002.001</t>
        </is>
      </c>
      <c r="J1074" s="1751" t="inlineStr">
        <is>
          <t>Equipamento de exaustão</t>
        </is>
      </c>
      <c r="K1074" s="1752" t="inlineStr">
        <is>
          <t>vb</t>
        </is>
      </c>
      <c r="L1074" s="1753" t="n">
        <v>1</v>
      </c>
      <c r="M1074" s="1753" t="n">
        <v>6039.086153838593</v>
      </c>
      <c r="N1074" s="1754" t="n">
        <v>6039.08615383859</v>
      </c>
      <c r="O1074" s="1755" t="inlineStr">
        <is>
          <t>Exaustor</t>
        </is>
      </c>
      <c r="P1074" s="1721" t="inlineStr">
        <is>
          <t>Pendente</t>
        </is>
      </c>
    </row>
    <row r="1075" hidden="1" outlineLevel="2" ht="13.9" customHeight="1">
      <c r="A1075" s="2117" t="n">
        <v>0</v>
      </c>
      <c r="B1075" s="2117" t="n">
        <v>11</v>
      </c>
      <c r="C1075" s="2117" t="n">
        <v>5</v>
      </c>
      <c r="D1075" s="2118" t="n">
        <v>3</v>
      </c>
      <c r="E1075" s="2118" t="n">
        <v>0</v>
      </c>
      <c r="G1075" s="1740" t="n"/>
      <c r="H1075" s="1741" t="inlineStr">
        <is>
          <t>SUBETAPA</t>
        </is>
      </c>
      <c r="I1075" s="1742" t="inlineStr">
        <is>
          <t>11.005.003</t>
        </is>
      </c>
      <c r="J1075" s="1743" t="inlineStr">
        <is>
          <t>Aspiração</t>
        </is>
      </c>
      <c r="K1075" s="1744" t="n"/>
      <c r="L1075" s="1745" t="n"/>
      <c r="M1075" s="1745" t="n"/>
      <c r="N1075" s="1746" t="n">
        <v>42563.3189244398</v>
      </c>
      <c r="O1075" s="1747" t="n"/>
      <c r="P1075" s="1720" t="n"/>
    </row>
    <row r="1076" hidden="1" outlineLevel="3" ht="13.9" customHeight="1">
      <c r="A1076" s="2117" t="n">
        <v>0</v>
      </c>
      <c r="B1076" s="2117" t="n">
        <v>11</v>
      </c>
      <c r="C1076" s="2117" t="n">
        <v>5</v>
      </c>
      <c r="D1076" s="2118" t="n">
        <v>3</v>
      </c>
      <c r="E1076" s="2118" t="n">
        <v>1</v>
      </c>
      <c r="G1076" s="1790" t="inlineStr">
        <is>
          <t>CLIMATIZAÇÃO, EXAUSTÃO MECÂNICA</t>
        </is>
      </c>
      <c r="H1076" s="1749" t="inlineStr">
        <is>
          <t>SERVIÇO</t>
        </is>
      </c>
      <c r="I1076" s="1750" t="inlineStr">
        <is>
          <t>11.005.003.001</t>
        </is>
      </c>
      <c r="J1076" s="1751" t="inlineStr">
        <is>
          <t>Equipamento de Aspiração</t>
        </is>
      </c>
      <c r="K1076" s="1752" t="inlineStr">
        <is>
          <t>vb</t>
        </is>
      </c>
      <c r="L1076" s="1753" t="n">
        <v>1</v>
      </c>
      <c r="M1076" s="1753" t="n">
        <v>382.3150890084032</v>
      </c>
      <c r="N1076" s="1754" t="n">
        <v>382.315089008403</v>
      </c>
      <c r="O1076" s="1755" t="inlineStr">
        <is>
          <t>Equipamento de aspiração + Considerado o material de aspiração localizado na planilha de iluminação</t>
        </is>
      </c>
      <c r="P1076" s="1721" t="inlineStr">
        <is>
          <t>Pendente</t>
        </is>
      </c>
    </row>
    <row r="1077" hidden="1" outlineLevel="3" ht="13.9" customHeight="1">
      <c r="A1077" s="2117" t="n">
        <v>0</v>
      </c>
      <c r="B1077" s="2117" t="n">
        <v>11</v>
      </c>
      <c r="C1077" s="2117" t="n">
        <v>5</v>
      </c>
      <c r="D1077" s="2118" t="n">
        <v>3</v>
      </c>
      <c r="E1077" s="2118" t="n">
        <v>2</v>
      </c>
      <c r="G1077" s="1790" t="inlineStr">
        <is>
          <t>CLIMATIZAÇÃO, EXAUSTÃO MECÂNICA</t>
        </is>
      </c>
      <c r="H1077" s="1749" t="inlineStr">
        <is>
          <t>SERVIÇO</t>
        </is>
      </c>
      <c r="I1077" s="1750" t="inlineStr">
        <is>
          <t>11.005.003.002</t>
        </is>
      </c>
      <c r="J1077" s="1751" t="inlineStr">
        <is>
          <t>Infraestrutua de Aspiração</t>
        </is>
      </c>
      <c r="K1077" s="1752" t="inlineStr">
        <is>
          <t>vb</t>
        </is>
      </c>
      <c r="L1077" s="1753" t="n">
        <v>1</v>
      </c>
      <c r="M1077" s="1753" t="n">
        <v>42181.00383543142</v>
      </c>
      <c r="N1077" s="1754" t="n">
        <v>42181.0038354314</v>
      </c>
      <c r="O1077" s="1761" t="inlineStr">
        <is>
          <t>Repessado pela Gessele na reunião do dia 05/03/2026 - temos orçamento climatização + aspiração: material + M.O - climatização: R$ 400k - aspiração: R$ 212k - exceto equipamentos e exaustão churrasqueiras</t>
        </is>
      </c>
      <c r="P1077" s="1721" t="inlineStr">
        <is>
          <t>Pendente</t>
        </is>
      </c>
    </row>
    <row r="1078" hidden="1" outlineLevel="2" ht="13.9" customHeight="1">
      <c r="A1078" s="2117" t="n">
        <v>0</v>
      </c>
      <c r="B1078" s="2117" t="n">
        <v>11</v>
      </c>
      <c r="C1078" s="2117" t="n">
        <v>5</v>
      </c>
      <c r="D1078" s="2118" t="n">
        <v>4</v>
      </c>
      <c r="E1078" s="2118" t="n">
        <v>0</v>
      </c>
      <c r="G1078" s="1740" t="n"/>
      <c r="H1078" s="1741" t="inlineStr">
        <is>
          <t>SUBETAPA</t>
        </is>
      </c>
      <c r="I1078" s="1742" t="inlineStr">
        <is>
          <t>11.005.004</t>
        </is>
      </c>
      <c r="J1078" s="1743" t="inlineStr">
        <is>
          <t>Exaustão de churrasqueiras</t>
        </is>
      </c>
      <c r="K1078" s="1744" t="n"/>
      <c r="L1078" s="1745" t="n"/>
      <c r="M1078" s="1745" t="n"/>
      <c r="N1078" s="1746" t="n">
        <v>53792</v>
      </c>
      <c r="O1078" s="1747" t="n"/>
      <c r="P1078" s="1720" t="n"/>
    </row>
    <row r="1079" hidden="1" outlineLevel="3" ht="13.9" customHeight="1">
      <c r="A1079" s="2117" t="n">
        <v>0</v>
      </c>
      <c r="B1079" s="2117" t="n">
        <v>11</v>
      </c>
      <c r="C1079" s="2117" t="n">
        <v>5</v>
      </c>
      <c r="D1079" s="2118" t="n">
        <v>4</v>
      </c>
      <c r="E1079" s="2118" t="n">
        <v>1</v>
      </c>
      <c r="G1079" s="1790" t="inlineStr">
        <is>
          <t>CLIMATIZAÇÃO, EXAUSTÃO MECÂNICA</t>
        </is>
      </c>
      <c r="H1079" s="1749" t="inlineStr">
        <is>
          <t>SERVIÇO</t>
        </is>
      </c>
      <c r="I1079" s="1750" t="inlineStr">
        <is>
          <t>11.005.004.001</t>
        </is>
      </c>
      <c r="J1079" s="1751" t="inlineStr">
        <is>
          <t>Exaustão de churrasqueiras</t>
        </is>
      </c>
      <c r="K1079" s="1752" t="inlineStr">
        <is>
          <t>un</t>
        </is>
      </c>
      <c r="L1079" s="1753" t="n">
        <v>16</v>
      </c>
      <c r="M1079" s="1753" t="n">
        <v>2262</v>
      </c>
      <c r="N1079" s="1754" t="n">
        <v>36192</v>
      </c>
      <c r="O1079" s="1755" t="inlineStr">
        <is>
          <t>Considerado 1 por churrasqueira</t>
        </is>
      </c>
      <c r="P1079" s="1721" t="inlineStr">
        <is>
          <t>Pendente</t>
        </is>
      </c>
    </row>
    <row r="1080" hidden="1" outlineLevel="3" ht="13.9" customHeight="1">
      <c r="A1080" s="2117" t="n">
        <v>0</v>
      </c>
      <c r="B1080" s="2117" t="n">
        <v>11</v>
      </c>
      <c r="C1080" s="2117" t="n">
        <v>5</v>
      </c>
      <c r="D1080" s="2118" t="n">
        <v>4</v>
      </c>
      <c r="E1080" s="2118" t="n">
        <v>2</v>
      </c>
      <c r="G1080" s="1790" t="inlineStr">
        <is>
          <t>CLIMATIZAÇÃO, EXAUSTÃO MECÂNICA</t>
        </is>
      </c>
      <c r="H1080" s="1749" t="inlineStr">
        <is>
          <t>SERVIÇO</t>
        </is>
      </c>
      <c r="I1080" s="1750" t="inlineStr">
        <is>
          <t>11.005.004.002</t>
        </is>
      </c>
      <c r="J1080" s="1751" t="inlineStr">
        <is>
          <t>Exaustão de cozinha</t>
        </is>
      </c>
      <c r="K1080" s="1752" t="inlineStr">
        <is>
          <t>un</t>
        </is>
      </c>
      <c r="L1080" s="1753" t="n">
        <v>16</v>
      </c>
      <c r="M1080" s="1753" t="n">
        <v>1100</v>
      </c>
      <c r="N1080" s="1754" t="n">
        <v>17600</v>
      </c>
      <c r="O1080" s="1755" t="inlineStr">
        <is>
          <t>Considerado 1 por cozinha</t>
        </is>
      </c>
      <c r="P1080" s="1721" t="inlineStr">
        <is>
          <t>Pendente</t>
        </is>
      </c>
    </row>
    <row r="1081" hidden="1" outlineLevel="2" ht="13.9" customHeight="1">
      <c r="A1081" s="2117" t="n">
        <v>0</v>
      </c>
      <c r="B1081" s="2117" t="n">
        <v>11</v>
      </c>
      <c r="C1081" s="2117" t="n">
        <v>5</v>
      </c>
      <c r="D1081" s="2118" t="n">
        <v>5</v>
      </c>
      <c r="E1081" s="2118" t="n">
        <v>0</v>
      </c>
      <c r="G1081" s="1740" t="n"/>
      <c r="H1081" s="1741" t="inlineStr">
        <is>
          <t>SUBETAPA</t>
        </is>
      </c>
      <c r="I1081" s="1742" t="inlineStr">
        <is>
          <t>11.005.005</t>
        </is>
      </c>
      <c r="J1081" s="1743" t="inlineStr">
        <is>
          <t>Mão de obra</t>
        </is>
      </c>
      <c r="K1081" s="1744" t="n"/>
      <c r="L1081" s="1745" t="n"/>
      <c r="M1081" s="1745" t="n"/>
      <c r="N1081" s="1746" t="n">
        <v>5730.24957764351</v>
      </c>
      <c r="O1081" s="1747" t="n"/>
      <c r="P1081" s="1720" t="n"/>
    </row>
    <row r="1082" hidden="1" outlineLevel="3" ht="13.9" customHeight="1">
      <c r="A1082" s="2117" t="n">
        <v>0</v>
      </c>
      <c r="B1082" s="2117" t="n">
        <v>11</v>
      </c>
      <c r="C1082" s="2117" t="n">
        <v>5</v>
      </c>
      <c r="D1082" s="2118" t="n">
        <v>5</v>
      </c>
      <c r="E1082" s="2118" t="n">
        <v>1</v>
      </c>
      <c r="G1082" s="1790" t="inlineStr">
        <is>
          <t>CLIMATIZAÇÃO, EXAUSTÃO MECÂNICA</t>
        </is>
      </c>
      <c r="H1082" s="1749" t="inlineStr">
        <is>
          <t>SERVIÇO</t>
        </is>
      </c>
      <c r="I1082" s="1750" t="inlineStr">
        <is>
          <t>11.005.005.001</t>
        </is>
      </c>
      <c r="J1082" s="1751" t="inlineStr">
        <is>
          <t>Mão de obra de instalação de equipamentos</t>
        </is>
      </c>
      <c r="K1082" s="1752" t="inlineStr">
        <is>
          <t>vb</t>
        </is>
      </c>
      <c r="L1082" s="1753" t="n">
        <v>1</v>
      </c>
      <c r="M1082" s="1753" t="n">
        <v>5730.249577643513</v>
      </c>
      <c r="N1082" s="1754" t="n">
        <v>5730.24957764351</v>
      </c>
      <c r="O1082" s="1755" t="inlineStr">
        <is>
          <t>Considerado 1200 por equipamento (lazer) - retirado os outros itens da mão de obra, pois englobam nos valores repassados pela GESSELE</t>
        </is>
      </c>
      <c r="P1082" s="1721" t="inlineStr">
        <is>
          <t>Pendente</t>
        </is>
      </c>
    </row>
    <row r="1083" hidden="1" outlineLevel="1" ht="13.9" customHeight="1">
      <c r="A1083" s="2117" t="n">
        <v>0</v>
      </c>
      <c r="B1083" s="2117" t="n">
        <v>11</v>
      </c>
      <c r="C1083" s="2117" t="n">
        <v>6</v>
      </c>
      <c r="D1083" s="2118" t="n">
        <v>0</v>
      </c>
      <c r="E1083" s="2118" t="n">
        <v>1</v>
      </c>
      <c r="G1083" s="1733" t="n"/>
      <c r="H1083" s="1734" t="inlineStr">
        <is>
          <t>ETAPA</t>
        </is>
      </c>
      <c r="I1083" s="1735" t="inlineStr">
        <is>
          <t>11.006</t>
        </is>
      </c>
      <c r="J1083" s="1736" t="inlineStr">
        <is>
          <t>CLIMATIZAÇÃO, EXAUSTÃO MECÂNICA E PRESSURIZAÇÃO - Penthouse x22</t>
        </is>
      </c>
      <c r="K1083" s="1737" t="n"/>
      <c r="L1083" s="1738" t="n"/>
      <c r="M1083" s="1738" t="n"/>
      <c r="N1083" s="1739" t="n">
        <v>507678.249652893</v>
      </c>
      <c r="O1083" s="1722" t="n"/>
      <c r="P1083" s="1725" t="n"/>
    </row>
    <row r="1084" hidden="1" outlineLevel="2" ht="13.9" customHeight="1">
      <c r="A1084" s="2117" t="n">
        <v>0</v>
      </c>
      <c r="B1084" s="2117" t="n">
        <v>11</v>
      </c>
      <c r="C1084" s="2117" t="n">
        <v>6</v>
      </c>
      <c r="D1084" s="2118" t="n">
        <v>1</v>
      </c>
      <c r="E1084" s="2118" t="n">
        <v>0</v>
      </c>
      <c r="G1084" s="1740" t="n"/>
      <c r="H1084" s="1741" t="inlineStr">
        <is>
          <t>SUBETAPA</t>
        </is>
      </c>
      <c r="I1084" s="1742" t="inlineStr">
        <is>
          <t>11.006.001</t>
        </is>
      </c>
      <c r="J1084" s="1743" t="inlineStr">
        <is>
          <t>Climatização</t>
        </is>
      </c>
      <c r="K1084" s="1744" t="n"/>
      <c r="L1084" s="1745" t="n"/>
      <c r="M1084" s="1745" t="n"/>
      <c r="N1084" s="1746" t="n">
        <v>284220.657061284</v>
      </c>
      <c r="O1084" s="1747" t="n"/>
      <c r="P1084" s="1720" t="n"/>
    </row>
    <row r="1085" hidden="1" outlineLevel="3" ht="33.75" customHeight="1">
      <c r="A1085" s="2117" t="n">
        <v>0</v>
      </c>
      <c r="B1085" s="2117" t="n">
        <v>11</v>
      </c>
      <c r="C1085" s="2117" t="n">
        <v>6</v>
      </c>
      <c r="D1085" s="2118" t="n">
        <v>1</v>
      </c>
      <c r="E1085" s="2118" t="n">
        <v>1</v>
      </c>
      <c r="G1085" s="1790" t="inlineStr">
        <is>
          <t>CLIMATIZAÇÃO, EXAUSTÃO MECÂNICA</t>
        </is>
      </c>
      <c r="H1085" s="1749" t="inlineStr">
        <is>
          <t>SERVIÇO</t>
        </is>
      </c>
      <c r="I1085" s="1750" t="inlineStr">
        <is>
          <t>11.006.001.001</t>
        </is>
      </c>
      <c r="J1085" s="1751" t="inlineStr">
        <is>
          <t>Infraestrutura para instalação de ar condicionado</t>
        </is>
      </c>
      <c r="K1085" s="1752" t="inlineStr">
        <is>
          <t>vb</t>
        </is>
      </c>
      <c r="L1085" s="1753" t="n">
        <v>1</v>
      </c>
      <c r="M1085" s="1753" t="n">
        <v>218979.1145637372</v>
      </c>
      <c r="N1085" s="1754" t="n">
        <v>218979.114563737</v>
      </c>
      <c r="O1085" s="1761" t="inlineStr">
        <is>
          <t>Repessado pela Gessele na reunião do dia 05/03/2026 - temos orçamento climatização + aspiração: material + M.O - climatização: R$ 400k - aspiração: R$ 212k - exceto equipamentos e exaustão churrasqueiras</t>
        </is>
      </c>
      <c r="P1085" s="1721" t="inlineStr">
        <is>
          <t>Pendente</t>
        </is>
      </c>
    </row>
    <row r="1086" hidden="1" outlineLevel="3" ht="33" customHeight="1">
      <c r="A1086" s="2117" t="n">
        <v>0</v>
      </c>
      <c r="B1086" s="2117" t="n">
        <v>11</v>
      </c>
      <c r="C1086" s="2117" t="n">
        <v>6</v>
      </c>
      <c r="D1086" s="2118" t="n">
        <v>1</v>
      </c>
      <c r="E1086" s="2118" t="n">
        <v>2</v>
      </c>
      <c r="G1086" s="1790" t="inlineStr">
        <is>
          <t>CLIMATIZAÇÃO, EXAUSTÃO MECÂNICA</t>
        </is>
      </c>
      <c r="H1086" s="1749" t="inlineStr">
        <is>
          <t>SERVIÇO</t>
        </is>
      </c>
      <c r="I1086" s="1750" t="inlineStr">
        <is>
          <t>11.006.001.002</t>
        </is>
      </c>
      <c r="J1086" s="1751" t="inlineStr">
        <is>
          <t>Equipamento de ar condicionado</t>
        </is>
      </c>
      <c r="K1086" s="1752" t="inlineStr">
        <is>
          <t>vb</t>
        </is>
      </c>
      <c r="L1086" s="1753" t="n">
        <v>1</v>
      </c>
      <c r="M1086" s="1753" t="n">
        <v>65241.54249754705</v>
      </c>
      <c r="N1086" s="1754" t="n">
        <v>65241.5424975471</v>
      </c>
      <c r="O1086" s="1761" t="inlineStr">
        <is>
          <t xml:space="preserve">Repessado pela Gessele na reunião do dia 05/03/2026 - considerar equipamentos somente das áreas comum: hall, guarita, lazer 01 e 02 </t>
        </is>
      </c>
      <c r="P1086" s="1721" t="inlineStr">
        <is>
          <t>Pendente</t>
        </is>
      </c>
    </row>
    <row r="1087" hidden="1" outlineLevel="2" ht="13.9" customHeight="1">
      <c r="A1087" s="2117" t="n">
        <v>0</v>
      </c>
      <c r="B1087" s="2117" t="n">
        <v>11</v>
      </c>
      <c r="C1087" s="2117" t="n">
        <v>6</v>
      </c>
      <c r="D1087" s="2118" t="n">
        <v>2</v>
      </c>
      <c r="E1087" s="2118" t="n">
        <v>0</v>
      </c>
      <c r="G1087" s="1740" t="n"/>
      <c r="H1087" s="1741" t="inlineStr">
        <is>
          <t>SUBETAPA</t>
        </is>
      </c>
      <c r="I1087" s="1742" t="inlineStr">
        <is>
          <t>11.006.002</t>
        </is>
      </c>
      <c r="J1087" s="1743" t="inlineStr">
        <is>
          <t>Exaustão</t>
        </is>
      </c>
      <c r="K1087" s="1744" t="n"/>
      <c r="L1087" s="1745" t="n"/>
      <c r="M1087" s="1745" t="n"/>
      <c r="N1087" s="1746" t="n">
        <v>16616.2447026537</v>
      </c>
      <c r="O1087" s="1747" t="n"/>
      <c r="P1087" s="1720" t="n"/>
    </row>
    <row r="1088" hidden="1" outlineLevel="3" ht="13.9" customHeight="1">
      <c r="A1088" s="2117" t="n">
        <v>0</v>
      </c>
      <c r="B1088" s="2117" t="n">
        <v>11</v>
      </c>
      <c r="C1088" s="2117" t="n">
        <v>6</v>
      </c>
      <c r="D1088" s="2118" t="n">
        <v>2</v>
      </c>
      <c r="E1088" s="2118" t="n">
        <v>1</v>
      </c>
      <c r="G1088" s="1790" t="inlineStr">
        <is>
          <t>CLIMATIZAÇÃO, EXAUSTÃO MECÂNICA</t>
        </is>
      </c>
      <c r="H1088" s="1749" t="inlineStr">
        <is>
          <t>SERVIÇO</t>
        </is>
      </c>
      <c r="I1088" s="1750" t="inlineStr">
        <is>
          <t>11.006.002.001</t>
        </is>
      </c>
      <c r="J1088" s="1751" t="inlineStr">
        <is>
          <t>Equipamento de exaustão</t>
        </is>
      </c>
      <c r="K1088" s="1752" t="inlineStr">
        <is>
          <t>vb</t>
        </is>
      </c>
      <c r="L1088" s="1753" t="n">
        <v>1</v>
      </c>
      <c r="M1088" s="1753" t="n">
        <v>16616.24470265366</v>
      </c>
      <c r="N1088" s="1754" t="n">
        <v>16616.2447026537</v>
      </c>
      <c r="O1088" s="1755" t="inlineStr">
        <is>
          <t>Exaustor</t>
        </is>
      </c>
      <c r="P1088" s="1721" t="inlineStr">
        <is>
          <t>Pendente</t>
        </is>
      </c>
    </row>
    <row r="1089" hidden="1" outlineLevel="2" ht="13.9" customHeight="1">
      <c r="A1089" s="2117" t="n">
        <v>0</v>
      </c>
      <c r="B1089" s="2117" t="n">
        <v>11</v>
      </c>
      <c r="C1089" s="2117" t="n">
        <v>6</v>
      </c>
      <c r="D1089" s="2118" t="n">
        <v>3</v>
      </c>
      <c r="E1089" s="2118" t="n">
        <v>0</v>
      </c>
      <c r="G1089" s="1740" t="n"/>
      <c r="H1089" s="1741" t="inlineStr">
        <is>
          <t>SUBETAPA</t>
        </is>
      </c>
      <c r="I1089" s="1742" t="inlineStr">
        <is>
          <t>11.006.003</t>
        </is>
      </c>
      <c r="J1089" s="1743" t="inlineStr">
        <is>
          <t>Aspiração</t>
        </is>
      </c>
      <c r="K1089" s="1744" t="n"/>
      <c r="L1089" s="1745" t="n"/>
      <c r="M1089" s="1745" t="n"/>
      <c r="N1089" s="1746" t="n">
        <v>117110.851640366</v>
      </c>
      <c r="O1089" s="1747" t="n"/>
      <c r="P1089" s="1720" t="n"/>
    </row>
    <row r="1090" hidden="1" outlineLevel="3" ht="13.9" customHeight="1">
      <c r="A1090" s="2117" t="n">
        <v>0</v>
      </c>
      <c r="B1090" s="2117" t="n">
        <v>11</v>
      </c>
      <c r="C1090" s="2117" t="n">
        <v>6</v>
      </c>
      <c r="D1090" s="2118" t="n">
        <v>3</v>
      </c>
      <c r="E1090" s="2118" t="n">
        <v>1</v>
      </c>
      <c r="G1090" s="1790" t="inlineStr">
        <is>
          <t>CLIMATIZAÇÃO, EXAUSTÃO MECÂNICA</t>
        </is>
      </c>
      <c r="H1090" s="1749" t="inlineStr">
        <is>
          <t>SERVIÇO</t>
        </is>
      </c>
      <c r="I1090" s="1750" t="inlineStr">
        <is>
          <t>11.006.003.001</t>
        </is>
      </c>
      <c r="J1090" s="1751" t="inlineStr">
        <is>
          <t>Equipamento de Aspiração</t>
        </is>
      </c>
      <c r="K1090" s="1752" t="inlineStr">
        <is>
          <t>vb</t>
        </is>
      </c>
      <c r="L1090" s="1753" t="n">
        <v>1</v>
      </c>
      <c r="M1090" s="1753" t="n">
        <v>1051.920921585553</v>
      </c>
      <c r="N1090" s="1754" t="n">
        <v>1051.92092158555</v>
      </c>
      <c r="O1090" s="1755" t="inlineStr">
        <is>
          <t>Equipamento de aspiração + Considerado o material de aspiração localizado na planilha de iluminação</t>
        </is>
      </c>
      <c r="P1090" s="1721" t="inlineStr">
        <is>
          <t>Pendente</t>
        </is>
      </c>
    </row>
    <row r="1091" hidden="1" outlineLevel="3" ht="13.9" customHeight="1">
      <c r="A1091" s="2117" t="n">
        <v>0</v>
      </c>
      <c r="B1091" s="2117" t="n">
        <v>11</v>
      </c>
      <c r="C1091" s="2117" t="n">
        <v>6</v>
      </c>
      <c r="D1091" s="2118" t="n">
        <v>3</v>
      </c>
      <c r="E1091" s="2118" t="n">
        <v>2</v>
      </c>
      <c r="G1091" s="1790" t="inlineStr">
        <is>
          <t>CLIMATIZAÇÃO, EXAUSTÃO MECÂNICA</t>
        </is>
      </c>
      <c r="H1091" s="1749" t="inlineStr">
        <is>
          <t>SERVIÇO</t>
        </is>
      </c>
      <c r="I1091" s="1750" t="inlineStr">
        <is>
          <t>11.006.003.002</t>
        </is>
      </c>
      <c r="J1091" s="1751" t="inlineStr">
        <is>
          <t>Infraestrutua de Aspiração</t>
        </is>
      </c>
      <c r="K1091" s="1752" t="inlineStr">
        <is>
          <t>vb</t>
        </is>
      </c>
      <c r="L1091" s="1753" t="n">
        <v>1</v>
      </c>
      <c r="M1091" s="1753" t="n">
        <v>116058.9307187807</v>
      </c>
      <c r="N1091" s="1754" t="n">
        <v>116058.930718781</v>
      </c>
      <c r="O1091" s="1761" t="inlineStr">
        <is>
          <t>Repessado pela Gessele na reunião do dia 05/03/2026 - temos orçamento climatização + aspiração: material + M.O - climatização: R$ 400k - aspiração: R$ 212k - exceto equipamentos e exaustão churrasqueiras</t>
        </is>
      </c>
      <c r="P1091" s="1721" t="inlineStr">
        <is>
          <t>Pendente</t>
        </is>
      </c>
    </row>
    <row r="1092" hidden="1" outlineLevel="2" ht="13.9" customHeight="1">
      <c r="A1092" s="2117" t="n">
        <v>0</v>
      </c>
      <c r="B1092" s="2117" t="n">
        <v>11</v>
      </c>
      <c r="C1092" s="2117" t="n">
        <v>6</v>
      </c>
      <c r="D1092" s="2118" t="n">
        <v>4</v>
      </c>
      <c r="E1092" s="2118" t="n">
        <v>0</v>
      </c>
      <c r="G1092" s="1740" t="n"/>
      <c r="H1092" s="1741" t="inlineStr">
        <is>
          <t>SUBETAPA</t>
        </is>
      </c>
      <c r="I1092" s="1742" t="inlineStr">
        <is>
          <t>11.006.004</t>
        </is>
      </c>
      <c r="J1092" s="1743" t="inlineStr">
        <is>
          <t>Exaustão de churrasqueiras</t>
        </is>
      </c>
      <c r="K1092" s="1744" t="n"/>
      <c r="L1092" s="1745" t="n"/>
      <c r="M1092" s="1745" t="n"/>
      <c r="N1092" s="1746" t="n">
        <v>73964</v>
      </c>
      <c r="O1092" s="1747" t="n"/>
      <c r="P1092" s="1720" t="n"/>
    </row>
    <row r="1093" hidden="1" outlineLevel="3" ht="13.9" customHeight="1">
      <c r="A1093" s="2117" t="n">
        <v>0</v>
      </c>
      <c r="B1093" s="2117" t="n">
        <v>11</v>
      </c>
      <c r="C1093" s="2117" t="n">
        <v>6</v>
      </c>
      <c r="D1093" s="2118" t="n">
        <v>4</v>
      </c>
      <c r="E1093" s="2118" t="n">
        <v>1</v>
      </c>
      <c r="G1093" s="1790" t="inlineStr">
        <is>
          <t>CLIMATIZAÇÃO, EXAUSTÃO MECÂNICA</t>
        </is>
      </c>
      <c r="H1093" s="1749" t="inlineStr">
        <is>
          <t>SERVIÇO</t>
        </is>
      </c>
      <c r="I1093" s="1750" t="inlineStr">
        <is>
          <t>11.006.004.001</t>
        </is>
      </c>
      <c r="J1093" s="1751" t="inlineStr">
        <is>
          <t>Exaustão de churrasqueiras</t>
        </is>
      </c>
      <c r="K1093" s="1752" t="inlineStr">
        <is>
          <t>un</t>
        </is>
      </c>
      <c r="L1093" s="1753" t="n">
        <v>22</v>
      </c>
      <c r="M1093" s="1753" t="n">
        <v>2262</v>
      </c>
      <c r="N1093" s="1754" t="n">
        <v>49764</v>
      </c>
      <c r="O1093" s="1755" t="inlineStr">
        <is>
          <t>Considerado 1 por churrasqueira</t>
        </is>
      </c>
      <c r="P1093" s="1721" t="inlineStr">
        <is>
          <t>Pendente</t>
        </is>
      </c>
    </row>
    <row r="1094" hidden="1" outlineLevel="3" ht="13.9" customHeight="1">
      <c r="A1094" s="2117" t="n">
        <v>0</v>
      </c>
      <c r="B1094" s="2117" t="n">
        <v>11</v>
      </c>
      <c r="C1094" s="2117" t="n">
        <v>6</v>
      </c>
      <c r="D1094" s="2118" t="n">
        <v>4</v>
      </c>
      <c r="E1094" s="2118" t="n">
        <v>2</v>
      </c>
      <c r="G1094" s="1790" t="inlineStr">
        <is>
          <t>CLIMATIZAÇÃO, EXAUSTÃO MECÂNICA</t>
        </is>
      </c>
      <c r="H1094" s="1749" t="inlineStr">
        <is>
          <t>SERVIÇO</t>
        </is>
      </c>
      <c r="I1094" s="1750" t="inlineStr">
        <is>
          <t>11.006.004.002</t>
        </is>
      </c>
      <c r="J1094" s="1751" t="inlineStr">
        <is>
          <t>Exaustão de cozinha</t>
        </is>
      </c>
      <c r="K1094" s="1752" t="inlineStr">
        <is>
          <t>un</t>
        </is>
      </c>
      <c r="L1094" s="1753" t="n">
        <v>22</v>
      </c>
      <c r="M1094" s="1753" t="n">
        <v>1100</v>
      </c>
      <c r="N1094" s="1754" t="n">
        <v>24200</v>
      </c>
      <c r="O1094" s="1755" t="inlineStr">
        <is>
          <t>Considerado 1 por cozinha</t>
        </is>
      </c>
      <c r="P1094" s="1721" t="inlineStr">
        <is>
          <t>Pendente</t>
        </is>
      </c>
    </row>
    <row r="1095" hidden="1" outlineLevel="2" ht="13.9" customHeight="1">
      <c r="A1095" s="2117" t="n">
        <v>0</v>
      </c>
      <c r="B1095" s="2117" t="n">
        <v>11</v>
      </c>
      <c r="C1095" s="2117" t="n">
        <v>6</v>
      </c>
      <c r="D1095" s="2118" t="n">
        <v>5</v>
      </c>
      <c r="E1095" s="2118" t="n">
        <v>0</v>
      </c>
      <c r="G1095" s="1740" t="n"/>
      <c r="H1095" s="1741" t="inlineStr">
        <is>
          <t>SUBETAPA</t>
        </is>
      </c>
      <c r="I1095" s="1742" t="inlineStr">
        <is>
          <t>11.006.005</t>
        </is>
      </c>
      <c r="J1095" s="1743" t="inlineStr">
        <is>
          <t>Mão de obra</t>
        </is>
      </c>
      <c r="K1095" s="1744" t="n"/>
      <c r="L1095" s="1745" t="n"/>
      <c r="M1095" s="1745" t="n"/>
      <c r="N1095" s="1746" t="n">
        <v>15766.4962485891</v>
      </c>
      <c r="O1095" s="1747" t="n"/>
      <c r="P1095" s="1720" t="n"/>
    </row>
    <row r="1096" hidden="1" outlineLevel="3" ht="13.9" customHeight="1">
      <c r="A1096" s="2117" t="n">
        <v>0</v>
      </c>
      <c r="B1096" s="2117" t="n">
        <v>11</v>
      </c>
      <c r="C1096" s="2117" t="n">
        <v>6</v>
      </c>
      <c r="D1096" s="2118" t="n">
        <v>5</v>
      </c>
      <c r="E1096" s="2118" t="n">
        <v>1</v>
      </c>
      <c r="G1096" s="1790" t="inlineStr">
        <is>
          <t>CLIMATIZAÇÃO, EXAUSTÃO MECÂNICA</t>
        </is>
      </c>
      <c r="H1096" s="1749" t="inlineStr">
        <is>
          <t>SERVIÇO</t>
        </is>
      </c>
      <c r="I1096" s="1750" t="inlineStr">
        <is>
          <t>11.006.005.001</t>
        </is>
      </c>
      <c r="J1096" s="1751" t="inlineStr">
        <is>
          <t>Mão de obra de instalação de equipamentos</t>
        </is>
      </c>
      <c r="K1096" s="1752" t="inlineStr">
        <is>
          <t>vb</t>
        </is>
      </c>
      <c r="L1096" s="1753" t="n">
        <v>1</v>
      </c>
      <c r="M1096" s="1753" t="n">
        <v>15766.49624858909</v>
      </c>
      <c r="N1096" s="1754" t="n">
        <v>15766.4962485891</v>
      </c>
      <c r="O1096" s="1755" t="inlineStr">
        <is>
          <t>Considerado 1200 por equipamento (lazer) - retirado os outros itens da mão de obra, pois englobam nos valores repassados pela GESSELE</t>
        </is>
      </c>
      <c r="P1096" s="1721" t="inlineStr">
        <is>
          <t>Pendente</t>
        </is>
      </c>
    </row>
    <row r="1097" hidden="1" outlineLevel="1" ht="13.9" customHeight="1">
      <c r="A1097" s="2117" t="n">
        <v>0</v>
      </c>
      <c r="B1097" s="2117" t="n">
        <v>11</v>
      </c>
      <c r="C1097" s="2117" t="n">
        <v>7</v>
      </c>
      <c r="D1097" s="2118" t="n">
        <v>0</v>
      </c>
      <c r="E1097" s="2118" t="n">
        <v>1</v>
      </c>
      <c r="G1097" s="1733" t="n"/>
      <c r="H1097" s="1734" t="inlineStr">
        <is>
          <t>ETAPA</t>
        </is>
      </c>
      <c r="I1097" s="1735" t="inlineStr">
        <is>
          <t>11.007</t>
        </is>
      </c>
      <c r="J1097" s="1736" t="inlineStr">
        <is>
          <t>CLIMATIZAÇÃO, EXAUSTÃO MECÂNICA E PRESSURIZAÇÃO - Duplex Inferior</t>
        </is>
      </c>
      <c r="K1097" s="1737" t="n"/>
      <c r="L1097" s="1738" t="n"/>
      <c r="M1097" s="1738" t="n"/>
      <c r="N1097" s="1739" t="n">
        <v>22387.2550075782</v>
      </c>
      <c r="O1097" s="1722" t="n"/>
      <c r="P1097" s="1725" t="n"/>
    </row>
    <row r="1098" hidden="1" outlineLevel="2" ht="13.9" customHeight="1">
      <c r="A1098" s="2117" t="n">
        <v>0</v>
      </c>
      <c r="B1098" s="2117" t="n">
        <v>11</v>
      </c>
      <c r="C1098" s="2117" t="n">
        <v>7</v>
      </c>
      <c r="D1098" s="2118" t="n">
        <v>1</v>
      </c>
      <c r="E1098" s="2118" t="n">
        <v>0</v>
      </c>
      <c r="G1098" s="1740" t="n"/>
      <c r="H1098" s="1741" t="inlineStr">
        <is>
          <t>SUBETAPA</t>
        </is>
      </c>
      <c r="I1098" s="1742" t="inlineStr">
        <is>
          <t>11.007.001</t>
        </is>
      </c>
      <c r="J1098" s="1743" t="inlineStr">
        <is>
          <t>Climatização</t>
        </is>
      </c>
      <c r="K1098" s="1744" t="n"/>
      <c r="L1098" s="1745" t="n"/>
      <c r="M1098" s="1745" t="n"/>
      <c r="N1098" s="1746" t="n">
        <v>12467.5877800648</v>
      </c>
      <c r="O1098" s="1747" t="n"/>
      <c r="P1098" s="1720" t="n"/>
    </row>
    <row r="1099" hidden="1" outlineLevel="3" ht="33.75" customHeight="1">
      <c r="A1099" s="2117" t="n">
        <v>0</v>
      </c>
      <c r="B1099" s="2117" t="n">
        <v>11</v>
      </c>
      <c r="C1099" s="2117" t="n">
        <v>7</v>
      </c>
      <c r="D1099" s="2118" t="n">
        <v>1</v>
      </c>
      <c r="E1099" s="2118" t="n">
        <v>1</v>
      </c>
      <c r="G1099" s="1790" t="inlineStr">
        <is>
          <t>CLIMATIZAÇÃO, EXAUSTÃO MECÂNICA</t>
        </is>
      </c>
      <c r="H1099" s="1749" t="inlineStr">
        <is>
          <t>SERVIÇO</t>
        </is>
      </c>
      <c r="I1099" s="1750" t="inlineStr">
        <is>
          <t>11.007.001.001</t>
        </is>
      </c>
      <c r="J1099" s="1751" t="inlineStr">
        <is>
          <t>Infraestrutura para instalação de ar condicionado</t>
        </is>
      </c>
      <c r="K1099" s="1752" t="inlineStr">
        <is>
          <t>vb</t>
        </is>
      </c>
      <c r="L1099" s="1753" t="n">
        <v>1</v>
      </c>
      <c r="M1099" s="1753" t="n">
        <v>9605.710440095061</v>
      </c>
      <c r="N1099" s="1754" t="n">
        <v>9605.710440095059</v>
      </c>
      <c r="O1099" s="1761" t="inlineStr">
        <is>
          <t>Repessado pela Gessele na reunião do dia 05/03/2026 - temos orçamento climatização + aspiração: material + M.O - climatização: R$ 400k - aspiração: R$ 212k - exceto equipamentos e exaustão churrasqueiras</t>
        </is>
      </c>
      <c r="P1099" s="1721" t="inlineStr">
        <is>
          <t>Pendente</t>
        </is>
      </c>
    </row>
    <row r="1100" hidden="1" outlineLevel="3" ht="33" customHeight="1">
      <c r="A1100" s="2117" t="n">
        <v>0</v>
      </c>
      <c r="B1100" s="2117" t="n">
        <v>11</v>
      </c>
      <c r="C1100" s="2117" t="n">
        <v>7</v>
      </c>
      <c r="D1100" s="2118" t="n">
        <v>1</v>
      </c>
      <c r="E1100" s="2118" t="n">
        <v>2</v>
      </c>
      <c r="G1100" s="1790" t="inlineStr">
        <is>
          <t>CLIMATIZAÇÃO, EXAUSTÃO MECÂNICA</t>
        </is>
      </c>
      <c r="H1100" s="1749" t="inlineStr">
        <is>
          <t>SERVIÇO</t>
        </is>
      </c>
      <c r="I1100" s="1750" t="inlineStr">
        <is>
          <t>11.007.001.002</t>
        </is>
      </c>
      <c r="J1100" s="1751" t="inlineStr">
        <is>
          <t>Equipamento de ar condicionado</t>
        </is>
      </c>
      <c r="K1100" s="1752" t="inlineStr">
        <is>
          <t>vb</t>
        </is>
      </c>
      <c r="L1100" s="1753" t="n">
        <v>1</v>
      </c>
      <c r="M1100" s="1753" t="n">
        <v>2861.877339969722</v>
      </c>
      <c r="N1100" s="1754" t="n">
        <v>2861.87733996972</v>
      </c>
      <c r="O1100" s="1761" t="inlineStr">
        <is>
          <t xml:space="preserve">Repessado pela Gessele na reunião do dia 05/03/2026 - considerar equipamentos somente das áreas comum: hall, guarita, lazer 01 e 02 </t>
        </is>
      </c>
      <c r="P1100" s="1721" t="inlineStr">
        <is>
          <t>Pendente</t>
        </is>
      </c>
    </row>
    <row r="1101" hidden="1" outlineLevel="2" ht="13.9" customHeight="1">
      <c r="A1101" s="2117" t="n">
        <v>0</v>
      </c>
      <c r="B1101" s="2117" t="n">
        <v>11</v>
      </c>
      <c r="C1101" s="2117" t="n">
        <v>7</v>
      </c>
      <c r="D1101" s="2118" t="n">
        <v>2</v>
      </c>
      <c r="E1101" s="2118" t="n">
        <v>0</v>
      </c>
      <c r="G1101" s="1740" t="n"/>
      <c r="H1101" s="1741" t="inlineStr">
        <is>
          <t>SUBETAPA</t>
        </is>
      </c>
      <c r="I1101" s="1742" t="inlineStr">
        <is>
          <t>11.007.002</t>
        </is>
      </c>
      <c r="J1101" s="1743" t="inlineStr">
        <is>
          <t>Exaustão</t>
        </is>
      </c>
      <c r="K1101" s="1744" t="n"/>
      <c r="L1101" s="1745" t="n"/>
      <c r="M1101" s="1745" t="n"/>
      <c r="N1101" s="1746" t="n">
        <v>728.886111049633</v>
      </c>
      <c r="O1101" s="1747" t="n"/>
      <c r="P1101" s="1720" t="n"/>
    </row>
    <row r="1102" hidden="1" outlineLevel="3" ht="13.9" customHeight="1">
      <c r="A1102" s="2117" t="n">
        <v>0</v>
      </c>
      <c r="B1102" s="2117" t="n">
        <v>11</v>
      </c>
      <c r="C1102" s="2117" t="n">
        <v>7</v>
      </c>
      <c r="D1102" s="2118" t="n">
        <v>2</v>
      </c>
      <c r="E1102" s="2118" t="n">
        <v>1</v>
      </c>
      <c r="G1102" s="1790" t="inlineStr">
        <is>
          <t>CLIMATIZAÇÃO, EXAUSTÃO MECÂNICA</t>
        </is>
      </c>
      <c r="H1102" s="1749" t="inlineStr">
        <is>
          <t>SERVIÇO</t>
        </is>
      </c>
      <c r="I1102" s="1750" t="inlineStr">
        <is>
          <t>11.007.002.001</t>
        </is>
      </c>
      <c r="J1102" s="1751" t="inlineStr">
        <is>
          <t>Equipamento de exaustão</t>
        </is>
      </c>
      <c r="K1102" s="1752" t="inlineStr">
        <is>
          <t>vb</t>
        </is>
      </c>
      <c r="L1102" s="1753" t="n">
        <v>1</v>
      </c>
      <c r="M1102" s="1753" t="n">
        <v>728.8861110496333</v>
      </c>
      <c r="N1102" s="1754" t="n">
        <v>728.886111049633</v>
      </c>
      <c r="O1102" s="1755" t="inlineStr">
        <is>
          <t>Exaustor</t>
        </is>
      </c>
      <c r="P1102" s="1721" t="inlineStr">
        <is>
          <t>Pendente</t>
        </is>
      </c>
    </row>
    <row r="1103" hidden="1" outlineLevel="2" ht="13.9" customHeight="1">
      <c r="A1103" s="2117" t="n">
        <v>0</v>
      </c>
      <c r="B1103" s="2117" t="n">
        <v>11</v>
      </c>
      <c r="C1103" s="2117" t="n">
        <v>7</v>
      </c>
      <c r="D1103" s="2118" t="n">
        <v>3</v>
      </c>
      <c r="E1103" s="2118" t="n">
        <v>0</v>
      </c>
      <c r="G1103" s="1740" t="n"/>
      <c r="H1103" s="1741" t="inlineStr">
        <is>
          <t>SUBETAPA</t>
        </is>
      </c>
      <c r="I1103" s="1742" t="inlineStr">
        <is>
          <t>11.007.003</t>
        </is>
      </c>
      <c r="J1103" s="1743" t="inlineStr">
        <is>
          <t>Aspiração</t>
        </is>
      </c>
      <c r="K1103" s="1744" t="n"/>
      <c r="L1103" s="1745" t="n"/>
      <c r="M1103" s="1745" t="n"/>
      <c r="N1103" s="1746" t="n">
        <v>5137.16996477699</v>
      </c>
      <c r="O1103" s="1747" t="n"/>
      <c r="P1103" s="1720" t="n"/>
    </row>
    <row r="1104" hidden="1" outlineLevel="3" ht="13.9" customHeight="1">
      <c r="A1104" s="2117" t="n">
        <v>0</v>
      </c>
      <c r="B1104" s="2117" t="n">
        <v>11</v>
      </c>
      <c r="C1104" s="2117" t="n">
        <v>7</v>
      </c>
      <c r="D1104" s="2118" t="n">
        <v>3</v>
      </c>
      <c r="E1104" s="2118" t="n">
        <v>1</v>
      </c>
      <c r="G1104" s="1790" t="inlineStr">
        <is>
          <t>CLIMATIZAÇÃO, EXAUSTÃO MECÂNICA</t>
        </is>
      </c>
      <c r="H1104" s="1749" t="inlineStr">
        <is>
          <t>SERVIÇO</t>
        </is>
      </c>
      <c r="I1104" s="1750" t="inlineStr">
        <is>
          <t>11.007.003.001</t>
        </is>
      </c>
      <c r="J1104" s="1751" t="inlineStr">
        <is>
          <t>Equipamento de Aspiração</t>
        </is>
      </c>
      <c r="K1104" s="1752" t="inlineStr">
        <is>
          <t>vb</t>
        </is>
      </c>
      <c r="L1104" s="1753" t="n">
        <v>1</v>
      </c>
      <c r="M1104" s="1753" t="n">
        <v>46.14343152660665</v>
      </c>
      <c r="N1104" s="1754" t="n">
        <v>46.1434315266066</v>
      </c>
      <c r="O1104" s="1755" t="inlineStr">
        <is>
          <t>Equipamento de aspiração + Considerado o material de aspiração localizado na planilha de iluminação</t>
        </is>
      </c>
      <c r="P1104" s="1721" t="inlineStr">
        <is>
          <t>Pendente</t>
        </is>
      </c>
    </row>
    <row r="1105" hidden="1" outlineLevel="3" ht="13.9" customHeight="1">
      <c r="A1105" s="2117" t="n">
        <v>0</v>
      </c>
      <c r="B1105" s="2117" t="n">
        <v>11</v>
      </c>
      <c r="C1105" s="2117" t="n">
        <v>7</v>
      </c>
      <c r="D1105" s="2118" t="n">
        <v>3</v>
      </c>
      <c r="E1105" s="2118" t="n">
        <v>2</v>
      </c>
      <c r="G1105" s="1790" t="inlineStr">
        <is>
          <t>CLIMATIZAÇÃO, EXAUSTÃO MECÂNICA</t>
        </is>
      </c>
      <c r="H1105" s="1749" t="inlineStr">
        <is>
          <t>SERVIÇO</t>
        </is>
      </c>
      <c r="I1105" s="1750" t="inlineStr">
        <is>
          <t>11.007.003.002</t>
        </is>
      </c>
      <c r="J1105" s="1751" t="inlineStr">
        <is>
          <t>Infraestrutua de Aspiração</t>
        </is>
      </c>
      <c r="K1105" s="1752" t="inlineStr">
        <is>
          <t>vb</t>
        </is>
      </c>
      <c r="L1105" s="1753" t="n">
        <v>1</v>
      </c>
      <c r="M1105" s="1753" t="n">
        <v>5091.026533250382</v>
      </c>
      <c r="N1105" s="1754" t="n">
        <v>5091.02653325038</v>
      </c>
      <c r="O1105" s="1761" t="inlineStr">
        <is>
          <t>Repessado pela Gessele na reunião do dia 05/03/2026 - temos orçamento climatização + aspiração: material + M.O - climatização: R$ 400k - aspiração: R$ 212k - exceto equipamentos e exaustão churrasqueiras</t>
        </is>
      </c>
      <c r="P1105" s="1721" t="inlineStr">
        <is>
          <t>Pendente</t>
        </is>
      </c>
    </row>
    <row r="1106" hidden="1" outlineLevel="2" ht="13.9" customHeight="1">
      <c r="A1106" s="2117" t="n">
        <v>0</v>
      </c>
      <c r="B1106" s="2117" t="n">
        <v>11</v>
      </c>
      <c r="C1106" s="2117" t="n">
        <v>7</v>
      </c>
      <c r="D1106" s="2118" t="n">
        <v>4</v>
      </c>
      <c r="E1106" s="2118" t="n">
        <v>0</v>
      </c>
      <c r="G1106" s="1740" t="n"/>
      <c r="H1106" s="1741" t="inlineStr">
        <is>
          <t>SUBETAPA</t>
        </is>
      </c>
      <c r="I1106" s="1742" t="inlineStr">
        <is>
          <t>11.007.004</t>
        </is>
      </c>
      <c r="J1106" s="1743" t="inlineStr">
        <is>
          <t>Exaustão de churrasqueiras</t>
        </is>
      </c>
      <c r="K1106" s="1744" t="n"/>
      <c r="L1106" s="1745" t="n"/>
      <c r="M1106" s="1745" t="n"/>
      <c r="N1106" s="1746" t="n">
        <v>3362</v>
      </c>
      <c r="O1106" s="1747" t="n"/>
      <c r="P1106" s="1720" t="n"/>
    </row>
    <row r="1107" hidden="1" outlineLevel="3" ht="13.9" customHeight="1">
      <c r="A1107" s="2117" t="n">
        <v>0</v>
      </c>
      <c r="B1107" s="2117" t="n">
        <v>11</v>
      </c>
      <c r="C1107" s="2117" t="n">
        <v>7</v>
      </c>
      <c r="D1107" s="2118" t="n">
        <v>4</v>
      </c>
      <c r="E1107" s="2118" t="n">
        <v>1</v>
      </c>
      <c r="G1107" s="1790" t="inlineStr">
        <is>
          <t>CLIMATIZAÇÃO, EXAUSTÃO MECÂNICA</t>
        </is>
      </c>
      <c r="H1107" s="1749" t="inlineStr">
        <is>
          <t>SERVIÇO</t>
        </is>
      </c>
      <c r="I1107" s="1750" t="inlineStr">
        <is>
          <t>11.007.004.001</t>
        </is>
      </c>
      <c r="J1107" s="1751" t="inlineStr">
        <is>
          <t>Exaustão de churrasqueiras</t>
        </is>
      </c>
      <c r="K1107" s="1752" t="inlineStr">
        <is>
          <t>un</t>
        </is>
      </c>
      <c r="L1107" s="1753" t="n">
        <v>1</v>
      </c>
      <c r="M1107" s="1753" t="n">
        <v>2262</v>
      </c>
      <c r="N1107" s="1754" t="n">
        <v>2262</v>
      </c>
      <c r="O1107" s="1755" t="inlineStr">
        <is>
          <t>Considerado 1 por churrasqueira</t>
        </is>
      </c>
      <c r="P1107" s="1721" t="inlineStr">
        <is>
          <t>Pendente</t>
        </is>
      </c>
    </row>
    <row r="1108" hidden="1" outlineLevel="3" ht="13.9" customHeight="1">
      <c r="A1108" s="2117" t="n">
        <v>0</v>
      </c>
      <c r="B1108" s="2117" t="n">
        <v>11</v>
      </c>
      <c r="C1108" s="2117" t="n">
        <v>7</v>
      </c>
      <c r="D1108" s="2118" t="n">
        <v>4</v>
      </c>
      <c r="E1108" s="2118" t="n">
        <v>2</v>
      </c>
      <c r="G1108" s="1790" t="inlineStr">
        <is>
          <t>CLIMATIZAÇÃO, EXAUSTÃO MECÂNICA</t>
        </is>
      </c>
      <c r="H1108" s="1749" t="inlineStr">
        <is>
          <t>SERVIÇO</t>
        </is>
      </c>
      <c r="I1108" s="1750" t="inlineStr">
        <is>
          <t>11.007.004.002</t>
        </is>
      </c>
      <c r="J1108" s="1751" t="inlineStr">
        <is>
          <t>Exaustão de cozinha</t>
        </is>
      </c>
      <c r="K1108" s="1752" t="inlineStr">
        <is>
          <t>un</t>
        </is>
      </c>
      <c r="L1108" s="1753" t="n">
        <v>1</v>
      </c>
      <c r="M1108" s="1753" t="n">
        <v>1100</v>
      </c>
      <c r="N1108" s="1754" t="n">
        <v>1100</v>
      </c>
      <c r="O1108" s="1755" t="inlineStr">
        <is>
          <t>Considerado 1 por cozinha</t>
        </is>
      </c>
      <c r="P1108" s="1721" t="inlineStr">
        <is>
          <t>Pendente</t>
        </is>
      </c>
    </row>
    <row r="1109" hidden="1" outlineLevel="2" ht="13.9" customHeight="1">
      <c r="A1109" s="2117" t="n">
        <v>0</v>
      </c>
      <c r="B1109" s="2117" t="n">
        <v>11</v>
      </c>
      <c r="C1109" s="2117" t="n">
        <v>7</v>
      </c>
      <c r="D1109" s="2118" t="n">
        <v>5</v>
      </c>
      <c r="E1109" s="2118" t="n">
        <v>0</v>
      </c>
      <c r="G1109" s="1740" t="n"/>
      <c r="H1109" s="1741" t="inlineStr">
        <is>
          <t>SUBETAPA</t>
        </is>
      </c>
      <c r="I1109" s="1742" t="inlineStr">
        <is>
          <t>11.007.005</t>
        </is>
      </c>
      <c r="J1109" s="1743" t="inlineStr">
        <is>
          <t>Mão de obra</t>
        </is>
      </c>
      <c r="K1109" s="1744" t="n"/>
      <c r="L1109" s="1745" t="n"/>
      <c r="M1109" s="1745" t="n"/>
      <c r="N1109" s="1746" t="n">
        <v>691.611151686844</v>
      </c>
      <c r="O1109" s="1747" t="n"/>
      <c r="P1109" s="1720" t="n"/>
    </row>
    <row r="1110" hidden="1" outlineLevel="3" ht="13.9" customHeight="1">
      <c r="A1110" s="2117" t="n">
        <v>0</v>
      </c>
      <c r="B1110" s="2117" t="n">
        <v>11</v>
      </c>
      <c r="C1110" s="2117" t="n">
        <v>7</v>
      </c>
      <c r="D1110" s="2118" t="n">
        <v>5</v>
      </c>
      <c r="E1110" s="2118" t="n">
        <v>1</v>
      </c>
      <c r="G1110" s="1790" t="inlineStr">
        <is>
          <t>CLIMATIZAÇÃO, EXAUSTÃO MECÂNICA</t>
        </is>
      </c>
      <c r="H1110" s="1749" t="inlineStr">
        <is>
          <t>SERVIÇO</t>
        </is>
      </c>
      <c r="I1110" s="1750" t="inlineStr">
        <is>
          <t>11.007.005.001</t>
        </is>
      </c>
      <c r="J1110" s="1751" t="inlineStr">
        <is>
          <t>Mão de obra de instalação de equipamentos</t>
        </is>
      </c>
      <c r="K1110" s="1752" t="inlineStr">
        <is>
          <t>vb</t>
        </is>
      </c>
      <c r="L1110" s="1753" t="n">
        <v>1</v>
      </c>
      <c r="M1110" s="1753" t="n">
        <v>691.6111516868444</v>
      </c>
      <c r="N1110" s="1754" t="n">
        <v>691.611151686844</v>
      </c>
      <c r="O1110" s="1755" t="inlineStr">
        <is>
          <t>Considerado 1200 por equipamento (lazer) - retirado os outros itens da mão de obra, pois englobam nos valores repassados pela GESSELE</t>
        </is>
      </c>
      <c r="P1110" s="1721" t="inlineStr">
        <is>
          <t>Pendente</t>
        </is>
      </c>
    </row>
    <row r="1111" hidden="1" outlineLevel="1" ht="13.9" customHeight="1">
      <c r="A1111" s="2117" t="n">
        <v>0</v>
      </c>
      <c r="B1111" s="2117" t="n">
        <v>11</v>
      </c>
      <c r="C1111" s="2117" t="n">
        <v>8</v>
      </c>
      <c r="D1111" s="2118" t="n">
        <v>0</v>
      </c>
      <c r="E1111" s="2118" t="n">
        <v>1</v>
      </c>
      <c r="G1111" s="1733" t="n"/>
      <c r="H1111" s="1734" t="inlineStr">
        <is>
          <t>ETAPA</t>
        </is>
      </c>
      <c r="I1111" s="1735" t="inlineStr">
        <is>
          <t>11.008</t>
        </is>
      </c>
      <c r="J1111" s="1736" t="inlineStr">
        <is>
          <t>CLIMATIZAÇÃO, EXAUSTÃO MECÂNICA E PRESSURIZAÇÃO - Duplex Superior</t>
        </is>
      </c>
      <c r="K1111" s="1737" t="n"/>
      <c r="L1111" s="1738" t="n"/>
      <c r="M1111" s="1738" t="n"/>
      <c r="N1111" s="1739" t="n">
        <v>18105.6836978182</v>
      </c>
      <c r="O1111" s="1722" t="n"/>
      <c r="P1111" s="1725" t="n"/>
    </row>
    <row r="1112" hidden="1" outlineLevel="2" ht="13.9" customHeight="1">
      <c r="A1112" s="2117" t="n">
        <v>0</v>
      </c>
      <c r="B1112" s="2117" t="n">
        <v>11</v>
      </c>
      <c r="C1112" s="2117" t="n">
        <v>8</v>
      </c>
      <c r="D1112" s="2118" t="n">
        <v>1</v>
      </c>
      <c r="E1112" s="2118" t="n">
        <v>0</v>
      </c>
      <c r="G1112" s="1740" t="n"/>
      <c r="H1112" s="1741" t="inlineStr">
        <is>
          <t>SUBETAPA</t>
        </is>
      </c>
      <c r="I1112" s="1742" t="inlineStr">
        <is>
          <t>11.008.001</t>
        </is>
      </c>
      <c r="J1112" s="1743" t="inlineStr">
        <is>
          <t>Climatização</t>
        </is>
      </c>
      <c r="K1112" s="1744" t="n"/>
      <c r="L1112" s="1745" t="n"/>
      <c r="M1112" s="1745" t="n"/>
      <c r="N1112" s="1746" t="n">
        <v>11864.9763554139</v>
      </c>
      <c r="O1112" s="1747" t="n"/>
      <c r="P1112" s="1720" t="n"/>
    </row>
    <row r="1113" hidden="1" outlineLevel="3" ht="33.75" customHeight="1">
      <c r="A1113" s="2117" t="n">
        <v>0</v>
      </c>
      <c r="B1113" s="2117" t="n">
        <v>11</v>
      </c>
      <c r="C1113" s="2117" t="n">
        <v>8</v>
      </c>
      <c r="D1113" s="2118" t="n">
        <v>1</v>
      </c>
      <c r="E1113" s="2118" t="n">
        <v>1</v>
      </c>
      <c r="G1113" s="1790" t="inlineStr">
        <is>
          <t>CLIMATIZAÇÃO, EXAUSTÃO MECÂNICA</t>
        </is>
      </c>
      <c r="H1113" s="1749" t="inlineStr">
        <is>
          <t>SERVIÇO</t>
        </is>
      </c>
      <c r="I1113" s="1750" t="inlineStr">
        <is>
          <t>11.008.001.001</t>
        </is>
      </c>
      <c r="J1113" s="1751" t="inlineStr">
        <is>
          <t>Infraestrutura para instalação de ar condicionado</t>
        </is>
      </c>
      <c r="K1113" s="1752" t="inlineStr">
        <is>
          <t>vb</t>
        </is>
      </c>
      <c r="L1113" s="1753" t="n">
        <v>1</v>
      </c>
      <c r="M1113" s="1753" t="n">
        <v>9141.425691898223</v>
      </c>
      <c r="N1113" s="1754" t="n">
        <v>9141.425691898219</v>
      </c>
      <c r="O1113" s="1761" t="inlineStr">
        <is>
          <t>Repessado pela Gessele na reunião do dia 05/03/2026 - temos orçamento climatização + aspiração: material + M.O - climatização: R$ 400k - aspiração: R$ 212k - exceto equipamentos e exaustão churrasqueiras</t>
        </is>
      </c>
      <c r="P1113" s="1721" t="inlineStr">
        <is>
          <t>Pendente</t>
        </is>
      </c>
    </row>
    <row r="1114" hidden="1" outlineLevel="3" ht="33" customHeight="1">
      <c r="A1114" s="2117" t="n">
        <v>0</v>
      </c>
      <c r="B1114" s="2117" t="n">
        <v>11</v>
      </c>
      <c r="C1114" s="2117" t="n">
        <v>8</v>
      </c>
      <c r="D1114" s="2118" t="n">
        <v>1</v>
      </c>
      <c r="E1114" s="2118" t="n">
        <v>2</v>
      </c>
      <c r="G1114" s="1790" t="inlineStr">
        <is>
          <t>CLIMATIZAÇÃO, EXAUSTÃO MECÂNICA</t>
        </is>
      </c>
      <c r="H1114" s="1749" t="inlineStr">
        <is>
          <t>SERVIÇO</t>
        </is>
      </c>
      <c r="I1114" s="1750" t="inlineStr">
        <is>
          <t>11.008.001.002</t>
        </is>
      </c>
      <c r="J1114" s="1751" t="inlineStr">
        <is>
          <t>Equipamento de ar condicionado</t>
        </is>
      </c>
      <c r="K1114" s="1752" t="inlineStr">
        <is>
          <t>vb</t>
        </is>
      </c>
      <c r="L1114" s="1753" t="n">
        <v>1</v>
      </c>
      <c r="M1114" s="1753" t="n">
        <v>2723.550663515697</v>
      </c>
      <c r="N1114" s="1754" t="n">
        <v>2723.5506635157</v>
      </c>
      <c r="O1114" s="1761" t="inlineStr">
        <is>
          <t xml:space="preserve">Repessado pela Gessele na reunião do dia 05/03/2026 - considerar equipamentos somente das áreas comum: hall, guarita, lazer 01 e 02 </t>
        </is>
      </c>
      <c r="P1114" s="1721" t="inlineStr">
        <is>
          <t>Pendente</t>
        </is>
      </c>
    </row>
    <row r="1115" hidden="1" outlineLevel="2" ht="13.9" customHeight="1">
      <c r="A1115" s="2117" t="n">
        <v>0</v>
      </c>
      <c r="B1115" s="2117" t="n">
        <v>11</v>
      </c>
      <c r="C1115" s="2117" t="n">
        <v>8</v>
      </c>
      <c r="D1115" s="2118" t="n">
        <v>2</v>
      </c>
      <c r="E1115" s="2118" t="n">
        <v>0</v>
      </c>
      <c r="G1115" s="1740" t="n"/>
      <c r="H1115" s="1741" t="inlineStr">
        <is>
          <t>SUBETAPA</t>
        </is>
      </c>
      <c r="I1115" s="1742" t="inlineStr">
        <is>
          <t>11.008.002</t>
        </is>
      </c>
      <c r="J1115" s="1743" t="inlineStr">
        <is>
          <t>Exaustão</t>
        </is>
      </c>
      <c r="K1115" s="1744" t="n"/>
      <c r="L1115" s="1745" t="n"/>
      <c r="M1115" s="1745" t="n"/>
      <c r="N1115" s="1746" t="n">
        <v>693.655952214083</v>
      </c>
      <c r="O1115" s="1747" t="n"/>
      <c r="P1115" s="1720" t="n"/>
    </row>
    <row r="1116" hidden="1" outlineLevel="3" ht="13.9" customHeight="1">
      <c r="A1116" s="2117" t="n">
        <v>0</v>
      </c>
      <c r="B1116" s="2117" t="n">
        <v>11</v>
      </c>
      <c r="C1116" s="2117" t="n">
        <v>8</v>
      </c>
      <c r="D1116" s="2118" t="n">
        <v>2</v>
      </c>
      <c r="E1116" s="2118" t="n">
        <v>1</v>
      </c>
      <c r="G1116" s="1790" t="inlineStr">
        <is>
          <t>CLIMATIZAÇÃO, EXAUSTÃO MECÂNICA</t>
        </is>
      </c>
      <c r="H1116" s="1749" t="inlineStr">
        <is>
          <t>SERVIÇO</t>
        </is>
      </c>
      <c r="I1116" s="1750" t="inlineStr">
        <is>
          <t>11.008.002.001</t>
        </is>
      </c>
      <c r="J1116" s="1751" t="inlineStr">
        <is>
          <t>Equipamento de exaustão</t>
        </is>
      </c>
      <c r="K1116" s="1752" t="inlineStr">
        <is>
          <t>vb</t>
        </is>
      </c>
      <c r="L1116" s="1753" t="n">
        <v>1</v>
      </c>
      <c r="M1116" s="1753" t="n">
        <v>693.6559522140831</v>
      </c>
      <c r="N1116" s="1754" t="n">
        <v>693.655952214083</v>
      </c>
      <c r="O1116" s="1755" t="inlineStr">
        <is>
          <t>Exaustor</t>
        </is>
      </c>
      <c r="P1116" s="1721" t="inlineStr">
        <is>
          <t>Pendente</t>
        </is>
      </c>
    </row>
    <row r="1117" hidden="1" outlineLevel="2" ht="13.9" customHeight="1">
      <c r="A1117" s="2117" t="n">
        <v>0</v>
      </c>
      <c r="B1117" s="2117" t="n">
        <v>11</v>
      </c>
      <c r="C1117" s="2117" t="n">
        <v>8</v>
      </c>
      <c r="D1117" s="2118" t="n">
        <v>3</v>
      </c>
      <c r="E1117" s="2118" t="n">
        <v>0</v>
      </c>
      <c r="G1117" s="1740" t="n"/>
      <c r="H1117" s="1741" t="inlineStr">
        <is>
          <t>SUBETAPA</t>
        </is>
      </c>
      <c r="I1117" s="1742" t="inlineStr">
        <is>
          <t>11.008.003</t>
        </is>
      </c>
      <c r="J1117" s="1743" t="inlineStr">
        <is>
          <t>Aspiração</t>
        </is>
      </c>
      <c r="K1117" s="1744" t="n"/>
      <c r="L1117" s="1745" t="n"/>
      <c r="M1117" s="1745" t="n"/>
      <c r="N1117" s="1746" t="n">
        <v>4888.86874037351</v>
      </c>
      <c r="O1117" s="1747" t="n"/>
      <c r="P1117" s="1720" t="n"/>
    </row>
    <row r="1118" hidden="1" outlineLevel="3" ht="13.9" customHeight="1">
      <c r="A1118" s="2117" t="n">
        <v>0</v>
      </c>
      <c r="B1118" s="2117" t="n">
        <v>11</v>
      </c>
      <c r="C1118" s="2117" t="n">
        <v>8</v>
      </c>
      <c r="D1118" s="2118" t="n">
        <v>3</v>
      </c>
      <c r="E1118" s="2118" t="n">
        <v>1</v>
      </c>
      <c r="G1118" s="1790" t="inlineStr">
        <is>
          <t>CLIMATIZAÇÃO, EXAUSTÃO MECÂNICA</t>
        </is>
      </c>
      <c r="H1118" s="1749" t="inlineStr">
        <is>
          <t>SERVIÇO</t>
        </is>
      </c>
      <c r="I1118" s="1750" t="inlineStr">
        <is>
          <t>11.008.003.001</t>
        </is>
      </c>
      <c r="J1118" s="1751" t="inlineStr">
        <is>
          <t>Equipamento de Aspiração</t>
        </is>
      </c>
      <c r="K1118" s="1752" t="inlineStr">
        <is>
          <t>vb</t>
        </is>
      </c>
      <c r="L1118" s="1753" t="n">
        <v>1</v>
      </c>
      <c r="M1118" s="1753" t="n">
        <v>43.91312366745608</v>
      </c>
      <c r="N1118" s="1754" t="n">
        <v>43.9131236674561</v>
      </c>
      <c r="O1118" s="1755" t="inlineStr">
        <is>
          <t>Equipamento de aspiração + Considerado o material de aspiração localizado na planilha de iluminação</t>
        </is>
      </c>
      <c r="P1118" s="1721" t="inlineStr">
        <is>
          <t>Pendente</t>
        </is>
      </c>
    </row>
    <row r="1119" hidden="1" outlineLevel="3" ht="13.9" customHeight="1">
      <c r="A1119" s="2117" t="n">
        <v>0</v>
      </c>
      <c r="B1119" s="2117" t="n">
        <v>11</v>
      </c>
      <c r="C1119" s="2117" t="n">
        <v>8</v>
      </c>
      <c r="D1119" s="2118" t="n">
        <v>3</v>
      </c>
      <c r="E1119" s="2118" t="n">
        <v>2</v>
      </c>
      <c r="G1119" s="1790" t="inlineStr">
        <is>
          <t>CLIMATIZAÇÃO, EXAUSTÃO MECÂNICA</t>
        </is>
      </c>
      <c r="H1119" s="1749" t="inlineStr">
        <is>
          <t>SERVIÇO</t>
        </is>
      </c>
      <c r="I1119" s="1750" t="inlineStr">
        <is>
          <t>11.008.003.002</t>
        </is>
      </c>
      <c r="J1119" s="1751" t="inlineStr">
        <is>
          <t>Infraestrutua de Aspiração</t>
        </is>
      </c>
      <c r="K1119" s="1752" t="inlineStr">
        <is>
          <t>vb</t>
        </is>
      </c>
      <c r="L1119" s="1753" t="n">
        <v>1</v>
      </c>
      <c r="M1119" s="1753" t="n">
        <v>4844.955616706058</v>
      </c>
      <c r="N1119" s="1754" t="n">
        <v>4844.95561670606</v>
      </c>
      <c r="O1119" s="1761" t="inlineStr">
        <is>
          <t>Repessado pela Gessele na reunião do dia 05/03/2026 - temos orçamento climatização + aspiração: material + M.O - climatização: R$ 400k - aspiração: R$ 212k - exceto equipamentos e exaustão churrasqueiras</t>
        </is>
      </c>
      <c r="P1119" s="1721" t="inlineStr">
        <is>
          <t>Pendente</t>
        </is>
      </c>
    </row>
    <row r="1120" hidden="1" outlineLevel="2" ht="13.9" customHeight="1">
      <c r="A1120" s="2117" t="n">
        <v>0</v>
      </c>
      <c r="B1120" s="2117" t="n">
        <v>11</v>
      </c>
      <c r="C1120" s="2117" t="n">
        <v>8</v>
      </c>
      <c r="D1120" s="2118" t="n">
        <v>4</v>
      </c>
      <c r="E1120" s="2118" t="n">
        <v>0</v>
      </c>
      <c r="G1120" s="1740" t="n"/>
      <c r="H1120" s="1741" t="inlineStr">
        <is>
          <t>SUBETAPA</t>
        </is>
      </c>
      <c r="I1120" s="1742" t="inlineStr">
        <is>
          <t>11.008.004</t>
        </is>
      </c>
      <c r="J1120" s="1743" t="inlineStr">
        <is>
          <t>Exaustão de churrasqueiras</t>
        </is>
      </c>
      <c r="K1120" s="1744" t="n"/>
      <c r="L1120" s="1745" t="n"/>
      <c r="M1120" s="1745" t="n"/>
      <c r="N1120" s="1746" t="n">
        <v>0</v>
      </c>
      <c r="O1120" s="1747" t="n"/>
      <c r="P1120" s="1720" t="n"/>
    </row>
    <row r="1121" hidden="1" outlineLevel="3" ht="13.9" customHeight="1">
      <c r="A1121" s="2117" t="n">
        <v>0</v>
      </c>
      <c r="B1121" s="2117" t="n">
        <v>11</v>
      </c>
      <c r="C1121" s="2117" t="n">
        <v>8</v>
      </c>
      <c r="D1121" s="2118" t="n">
        <v>4</v>
      </c>
      <c r="E1121" s="2118" t="n">
        <v>1</v>
      </c>
      <c r="G1121" s="1790" t="inlineStr">
        <is>
          <t>CLIMATIZAÇÃO, EXAUSTÃO MECÂNICA</t>
        </is>
      </c>
      <c r="H1121" s="1749" t="inlineStr">
        <is>
          <t>SERVIÇO</t>
        </is>
      </c>
      <c r="I1121" s="1750" t="inlineStr">
        <is>
          <t>11.008.004.001</t>
        </is>
      </c>
      <c r="J1121" s="1751" t="inlineStr">
        <is>
          <t>Exaustão de churrasqueiras</t>
        </is>
      </c>
      <c r="K1121" s="1752" t="inlineStr">
        <is>
          <t>un</t>
        </is>
      </c>
      <c r="L1121" s="1753" t="n">
        <v>0</v>
      </c>
      <c r="M1121" s="1753" t="n">
        <v>2262</v>
      </c>
      <c r="N1121" s="1754" t="n">
        <v>0</v>
      </c>
      <c r="O1121" s="1755" t="inlineStr">
        <is>
          <t>Considerado 1 por churrasqueira</t>
        </is>
      </c>
      <c r="P1121" s="1721" t="inlineStr">
        <is>
          <t>Pendente</t>
        </is>
      </c>
    </row>
    <row r="1122" hidden="1" outlineLevel="3" ht="13.9" customHeight="1">
      <c r="A1122" s="2117" t="n">
        <v>0</v>
      </c>
      <c r="B1122" s="2117" t="n">
        <v>11</v>
      </c>
      <c r="C1122" s="2117" t="n">
        <v>8</v>
      </c>
      <c r="D1122" s="2118" t="n">
        <v>4</v>
      </c>
      <c r="E1122" s="2118" t="n">
        <v>2</v>
      </c>
      <c r="G1122" s="1790" t="inlineStr">
        <is>
          <t>CLIMATIZAÇÃO, EXAUSTÃO MECÂNICA</t>
        </is>
      </c>
      <c r="H1122" s="1749" t="inlineStr">
        <is>
          <t>SERVIÇO</t>
        </is>
      </c>
      <c r="I1122" s="1750" t="inlineStr">
        <is>
          <t>11.008.004.002</t>
        </is>
      </c>
      <c r="J1122" s="1751" t="inlineStr">
        <is>
          <t>Exaustão de cozinha</t>
        </is>
      </c>
      <c r="K1122" s="1752" t="inlineStr">
        <is>
          <t>un</t>
        </is>
      </c>
      <c r="L1122" s="1753" t="n">
        <v>0</v>
      </c>
      <c r="M1122" s="1753" t="n">
        <v>1100</v>
      </c>
      <c r="N1122" s="1754" t="n">
        <v>0</v>
      </c>
      <c r="O1122" s="1755" t="inlineStr">
        <is>
          <t>Considerado 1 por cozinha</t>
        </is>
      </c>
      <c r="P1122" s="1721" t="inlineStr">
        <is>
          <t>Pendente</t>
        </is>
      </c>
    </row>
    <row r="1123" hidden="1" outlineLevel="2" ht="13.9" customHeight="1">
      <c r="A1123" s="2117" t="n">
        <v>0</v>
      </c>
      <c r="B1123" s="2117" t="n">
        <v>11</v>
      </c>
      <c r="C1123" s="2117" t="n">
        <v>8</v>
      </c>
      <c r="D1123" s="2118" t="n">
        <v>5</v>
      </c>
      <c r="E1123" s="2118" t="n">
        <v>0</v>
      </c>
      <c r="G1123" s="1740" t="n"/>
      <c r="H1123" s="1741" t="inlineStr">
        <is>
          <t>SUBETAPA</t>
        </is>
      </c>
      <c r="I1123" s="1742" t="inlineStr">
        <is>
          <t>11.008.005</t>
        </is>
      </c>
      <c r="J1123" s="1743" t="inlineStr">
        <is>
          <t>Mão de obra</t>
        </is>
      </c>
      <c r="K1123" s="1744" t="n"/>
      <c r="L1123" s="1745" t="n"/>
      <c r="M1123" s="1745" t="n"/>
      <c r="N1123" s="1746" t="n">
        <v>658.182649816672</v>
      </c>
      <c r="O1123" s="1747" t="n"/>
      <c r="P1123" s="1720" t="n"/>
    </row>
    <row r="1124" hidden="1" outlineLevel="3" ht="13.9" customHeight="1">
      <c r="A1124" s="2117" t="n">
        <v>0</v>
      </c>
      <c r="B1124" s="2117" t="n">
        <v>11</v>
      </c>
      <c r="C1124" s="2117" t="n">
        <v>8</v>
      </c>
      <c r="D1124" s="2118" t="n">
        <v>5</v>
      </c>
      <c r="E1124" s="2118" t="n">
        <v>1</v>
      </c>
      <c r="G1124" s="1790" t="inlineStr">
        <is>
          <t>CLIMATIZAÇÃO, EXAUSTÃO MECÂNICA</t>
        </is>
      </c>
      <c r="H1124" s="1749" t="inlineStr">
        <is>
          <t>SERVIÇO</t>
        </is>
      </c>
      <c r="I1124" s="1750" t="inlineStr">
        <is>
          <t>11.008.005.001</t>
        </is>
      </c>
      <c r="J1124" s="1751" t="inlineStr">
        <is>
          <t>Mão de obra de instalação de equipamentos</t>
        </is>
      </c>
      <c r="K1124" s="1752" t="inlineStr">
        <is>
          <t>vb</t>
        </is>
      </c>
      <c r="L1124" s="1753" t="n">
        <v>1</v>
      </c>
      <c r="M1124" s="1753" t="n">
        <v>658.182649816672</v>
      </c>
      <c r="N1124" s="1754" t="n">
        <v>658.182649816672</v>
      </c>
      <c r="O1124" s="1755" t="inlineStr">
        <is>
          <t>Considerado 1200 por equipamento (lazer) - retirado os outros itens da mão de obra, pois englobam nos valores repassados pela GESSELE</t>
        </is>
      </c>
      <c r="P1124" s="1721" t="inlineStr">
        <is>
          <t>Pendente</t>
        </is>
      </c>
    </row>
    <row r="1125" collapsed="1" ht="13.9" customHeight="1">
      <c r="A1125" s="2117" t="n">
        <v>0</v>
      </c>
      <c r="B1125" s="2117" t="n">
        <v>12</v>
      </c>
      <c r="C1125" s="2117" t="n">
        <v>0</v>
      </c>
      <c r="D1125" s="2118" t="n">
        <v>5</v>
      </c>
      <c r="E1125" s="2118" t="n">
        <v>1</v>
      </c>
      <c r="F1125" s="474" t="n"/>
      <c r="G1125" s="1791" t="n"/>
      <c r="H1125" s="1727" t="inlineStr">
        <is>
          <t>CÉLULA CONSTRUTIVA</t>
        </is>
      </c>
      <c r="I1125" s="1728" t="inlineStr">
        <is>
          <t>12</t>
        </is>
      </c>
      <c r="J1125" s="1729" t="inlineStr">
        <is>
          <t>INSTALAÇÕES ESPECIAIS</t>
        </is>
      </c>
      <c r="K1125" s="1730" t="n"/>
      <c r="L1125" s="1731" t="n"/>
      <c r="M1125" s="1731" t="n"/>
      <c r="N1125" s="1732" t="n"/>
      <c r="O1125" s="1770" t="n"/>
      <c r="P1125" s="1724" t="n"/>
    </row>
    <row r="1126" hidden="1" outlineLevel="1" ht="13.9" customHeight="1">
      <c r="A1126" s="2117" t="n">
        <v>0</v>
      </c>
      <c r="B1126" s="2117" t="n">
        <v>12</v>
      </c>
      <c r="C1126" s="2117" t="n">
        <v>1</v>
      </c>
      <c r="D1126" s="2118" t="n">
        <v>0</v>
      </c>
      <c r="E1126" s="2118" t="n">
        <v>1</v>
      </c>
      <c r="G1126" s="1763" t="n"/>
      <c r="H1126" s="1734" t="inlineStr">
        <is>
          <t>ETAPA</t>
        </is>
      </c>
      <c r="I1126" s="1735" t="inlineStr">
        <is>
          <t>12.001</t>
        </is>
      </c>
      <c r="J1126" s="1736" t="inlineStr">
        <is>
          <t>AUTOMAÇÃO E SISTEMAS LÓGICOS E TELECOMUNICAÇÃO - Térreo</t>
        </is>
      </c>
      <c r="K1126" s="1737" t="n"/>
      <c r="L1126" s="1738" t="n"/>
      <c r="M1126" s="1738" t="n"/>
      <c r="N1126" s="1739" t="n"/>
      <c r="O1126" s="1722" t="n"/>
      <c r="P1126" s="1725" t="n"/>
    </row>
    <row r="1127" hidden="1" outlineLevel="2" ht="13.5" customHeight="1">
      <c r="A1127" s="2117" t="n">
        <v>0</v>
      </c>
      <c r="B1127" s="2117" t="n">
        <v>12</v>
      </c>
      <c r="C1127" s="2117" t="n">
        <v>1</v>
      </c>
      <c r="D1127" s="2118" t="n">
        <v>1</v>
      </c>
      <c r="E1127" s="2118" t="n">
        <v>0</v>
      </c>
      <c r="G1127" s="1764" t="n"/>
      <c r="H1127" s="1741" t="inlineStr">
        <is>
          <t>SUBETAPA</t>
        </is>
      </c>
      <c r="I1127" s="1742" t="inlineStr">
        <is>
          <t>12.001.001</t>
        </is>
      </c>
      <c r="J1127" s="1743" t="inlineStr">
        <is>
          <t>Sistema de interfone / controle de acesso</t>
        </is>
      </c>
      <c r="K1127" s="1744" t="n"/>
      <c r="L1127" s="1745" t="n"/>
      <c r="M1127" s="1745" t="n"/>
      <c r="N1127" s="1746" t="n">
        <v>2800</v>
      </c>
      <c r="O1127" s="1747" t="n"/>
      <c r="P1127" s="1720" t="n"/>
    </row>
    <row r="1128" hidden="1" outlineLevel="3" ht="13.5" customHeight="1">
      <c r="A1128" s="2117" t="n">
        <v>0</v>
      </c>
      <c r="B1128" s="2117" t="n">
        <v>12</v>
      </c>
      <c r="C1128" s="2117" t="n">
        <v>1</v>
      </c>
      <c r="D1128" s="2118" t="n">
        <v>1</v>
      </c>
      <c r="E1128" s="2118" t="n">
        <v>1</v>
      </c>
      <c r="F1128" s="130" t="n"/>
      <c r="G1128" s="1748" t="inlineStr">
        <is>
          <t>INSTALAÇÕES E EQUIPAMENTOS E SISTEMAS ESPECIAIS</t>
        </is>
      </c>
      <c r="H1128" s="1749" t="inlineStr">
        <is>
          <t>SERVIÇO</t>
        </is>
      </c>
      <c r="I1128" s="1750" t="inlineStr">
        <is>
          <t>12.001.001.001</t>
        </is>
      </c>
      <c r="J1128" s="1751" t="inlineStr">
        <is>
          <t>Sistema de interfone / controle de acesso</t>
        </is>
      </c>
      <c r="K1128" s="1752" t="inlineStr">
        <is>
          <t>vb</t>
        </is>
      </c>
      <c r="L1128" s="1753" t="n">
        <v>1</v>
      </c>
      <c r="M1128" s="1753" t="n">
        <v>2800</v>
      </c>
      <c r="N1128" s="1754" t="n">
        <v>2800</v>
      </c>
      <c r="O1128" s="1755" t="inlineStr">
        <is>
          <t>Custo estimado, devido ausência de quantitativo</t>
        </is>
      </c>
      <c r="P1128" s="1721" t="inlineStr">
        <is>
          <t>Pendente</t>
        </is>
      </c>
    </row>
    <row r="1129" hidden="1" outlineLevel="2" ht="13.5" customHeight="1">
      <c r="A1129" s="2117" t="n">
        <v>0</v>
      </c>
      <c r="B1129" s="2117" t="n">
        <v>12</v>
      </c>
      <c r="C1129" s="2117" t="n">
        <v>1</v>
      </c>
      <c r="D1129" s="2118" t="n">
        <v>2</v>
      </c>
      <c r="E1129" s="2118" t="n">
        <v>0</v>
      </c>
      <c r="F1129" s="130" t="n"/>
      <c r="G1129" s="1764" t="n"/>
      <c r="H1129" s="1741" t="inlineStr">
        <is>
          <t>SUBETAPA</t>
        </is>
      </c>
      <c r="I1129" s="1742" t="inlineStr">
        <is>
          <t>12.001.002</t>
        </is>
      </c>
      <c r="J1129" s="1743" t="inlineStr">
        <is>
          <t>Telefonia/lógica/internet</t>
        </is>
      </c>
      <c r="K1129" s="1744" t="n"/>
      <c r="L1129" s="1745" t="n"/>
      <c r="M1129" s="1745" t="n"/>
      <c r="N1129" s="1746" t="n"/>
      <c r="O1129" s="1793" t="n"/>
      <c r="P1129" s="1720" t="n"/>
    </row>
    <row r="1130" hidden="1" outlineLevel="3" ht="13.5" customHeight="1">
      <c r="A1130" s="2117" t="n">
        <v>0</v>
      </c>
      <c r="B1130" s="2117" t="n">
        <v>12</v>
      </c>
      <c r="C1130" s="2117" t="n">
        <v>1</v>
      </c>
      <c r="D1130" s="2118" t="n">
        <v>2</v>
      </c>
      <c r="E1130" s="2118" t="n">
        <v>1</v>
      </c>
      <c r="F1130" s="130" t="n"/>
      <c r="G1130" s="1748" t="inlineStr">
        <is>
          <t>INSTALAÇÕES E EQUIPAMENTOS E SISTEMAS ESPECIAIS</t>
        </is>
      </c>
      <c r="H1130" s="1749" t="inlineStr">
        <is>
          <t>SERVIÇO</t>
        </is>
      </c>
      <c r="I1130" s="1750" t="inlineStr">
        <is>
          <t>12.001.002.001</t>
        </is>
      </c>
      <c r="J1130" s="1751" t="inlineStr">
        <is>
          <t>Telefonia/lógica/internet</t>
        </is>
      </c>
      <c r="K1130" s="1752" t="inlineStr">
        <is>
          <t>vb</t>
        </is>
      </c>
      <c r="L1130" s="1753" t="n">
        <v>1</v>
      </c>
      <c r="M1130" s="1753" t="e">
        <v>#REF!</v>
      </c>
      <c r="N1130" s="1754" t="n"/>
      <c r="O1130" s="1761" t="inlineStr">
        <is>
          <t xml:space="preserve">Repessado pela Gessele na reunião do dia 05/03/2026 - adotar somente infra seca nas salas </t>
        </is>
      </c>
      <c r="P1130" s="1721" t="inlineStr">
        <is>
          <t>Pendente</t>
        </is>
      </c>
    </row>
    <row r="1131" hidden="1" outlineLevel="1" ht="13.9" customHeight="1">
      <c r="A1131" s="2117" t="n">
        <v>0</v>
      </c>
      <c r="B1131" s="2117" t="n">
        <v>12</v>
      </c>
      <c r="C1131" s="2117" t="n">
        <v>2</v>
      </c>
      <c r="D1131" s="2118" t="n">
        <v>0</v>
      </c>
      <c r="E1131" s="2118" t="n">
        <v>1</v>
      </c>
      <c r="G1131" s="1763" t="n"/>
      <c r="H1131" s="1734" t="inlineStr">
        <is>
          <t>ETAPA</t>
        </is>
      </c>
      <c r="I1131" s="1735" t="inlineStr">
        <is>
          <t>12.002</t>
        </is>
      </c>
      <c r="J1131" s="1736" t="inlineStr">
        <is>
          <t>AUTOMAÇÃO E SISTEMAS LÓGICOS E TELECOMUNICAÇÃO - Mezanino G1</t>
        </is>
      </c>
      <c r="K1131" s="1737" t="n"/>
      <c r="L1131" s="1738" t="n"/>
      <c r="M1131" s="1738" t="n"/>
      <c r="N1131" s="1739" t="n"/>
      <c r="O1131" s="1722" t="n"/>
      <c r="P1131" s="1725" t="n"/>
    </row>
    <row r="1132" hidden="1" outlineLevel="2" ht="13.5" customHeight="1">
      <c r="A1132" s="2117" t="n">
        <v>0</v>
      </c>
      <c r="B1132" s="2117" t="n">
        <v>12</v>
      </c>
      <c r="C1132" s="2117" t="n">
        <v>2</v>
      </c>
      <c r="D1132" s="2118" t="n">
        <v>1</v>
      </c>
      <c r="E1132" s="2118" t="n">
        <v>0</v>
      </c>
      <c r="F1132" s="130" t="n"/>
      <c r="G1132" s="1764" t="n"/>
      <c r="H1132" s="1741" t="inlineStr">
        <is>
          <t>SUBETAPA</t>
        </is>
      </c>
      <c r="I1132" s="1742" t="inlineStr">
        <is>
          <t>12.002.001</t>
        </is>
      </c>
      <c r="J1132" s="1743" t="inlineStr">
        <is>
          <t>Telefonia/lógica/internet</t>
        </is>
      </c>
      <c r="K1132" s="1744" t="n"/>
      <c r="L1132" s="1745" t="n"/>
      <c r="M1132" s="1745" t="n"/>
      <c r="N1132" s="1746" t="n"/>
      <c r="O1132" s="1793" t="n"/>
      <c r="P1132" s="1720" t="n"/>
    </row>
    <row r="1133" hidden="1" outlineLevel="3" ht="13.5" customHeight="1">
      <c r="A1133" s="2117" t="n">
        <v>0</v>
      </c>
      <c r="B1133" s="2117" t="n">
        <v>12</v>
      </c>
      <c r="C1133" s="2117" t="n">
        <v>2</v>
      </c>
      <c r="D1133" s="2118" t="n">
        <v>1</v>
      </c>
      <c r="E1133" s="2118" t="n">
        <v>1</v>
      </c>
      <c r="F1133" s="130" t="n"/>
      <c r="G1133" s="1748" t="inlineStr">
        <is>
          <t>INSTALAÇÕES E EQUIPAMENTOS E SISTEMAS ESPECIAIS</t>
        </is>
      </c>
      <c r="H1133" s="1749" t="inlineStr">
        <is>
          <t>SERVIÇO</t>
        </is>
      </c>
      <c r="I1133" s="1750" t="inlineStr">
        <is>
          <t>12.002.001.001</t>
        </is>
      </c>
      <c r="J1133" s="1751" t="inlineStr">
        <is>
          <t>Telefonia/lógica/internet</t>
        </is>
      </c>
      <c r="K1133" s="1752" t="inlineStr">
        <is>
          <t>vb</t>
        </is>
      </c>
      <c r="L1133" s="1753" t="n">
        <v>1</v>
      </c>
      <c r="M1133" s="1753" t="e">
        <v>#REF!</v>
      </c>
      <c r="N1133" s="1754" t="n"/>
      <c r="O1133" s="1761" t="inlineStr">
        <is>
          <t xml:space="preserve">Repessado pela Gessele na reunião do dia 05/03/2026 - adotar somente infra seca nas salas </t>
        </is>
      </c>
      <c r="P1133" s="1721" t="inlineStr">
        <is>
          <t>Pendente</t>
        </is>
      </c>
    </row>
    <row r="1134" hidden="1" outlineLevel="1" ht="13.9" customHeight="1">
      <c r="A1134" s="2117" t="n">
        <v>0</v>
      </c>
      <c r="B1134" s="2117" t="n">
        <v>12</v>
      </c>
      <c r="C1134" s="2117" t="n">
        <v>3</v>
      </c>
      <c r="D1134" s="2118" t="n">
        <v>0</v>
      </c>
      <c r="E1134" s="2118" t="n">
        <v>1</v>
      </c>
      <c r="G1134" s="1763" t="n"/>
      <c r="H1134" s="1734" t="inlineStr">
        <is>
          <t>ETAPA</t>
        </is>
      </c>
      <c r="I1134" s="1735" t="inlineStr">
        <is>
          <t>12.003</t>
        </is>
      </c>
      <c r="J1134" s="1736" t="inlineStr">
        <is>
          <t>AUTOMAÇÃO E SISTEMAS LÓGICOS E TELECOMUNICAÇÃO - G2</t>
        </is>
      </c>
      <c r="K1134" s="1737" t="n"/>
      <c r="L1134" s="1738" t="n"/>
      <c r="M1134" s="1738" t="n"/>
      <c r="N1134" s="1739" t="n"/>
      <c r="O1134" s="1722" t="n"/>
      <c r="P1134" s="1725" t="n"/>
    </row>
    <row r="1135" hidden="1" outlineLevel="2" ht="13.5" customHeight="1">
      <c r="A1135" s="2117" t="n">
        <v>0</v>
      </c>
      <c r="B1135" s="2117" t="n">
        <v>12</v>
      </c>
      <c r="C1135" s="2117" t="n">
        <v>3</v>
      </c>
      <c r="D1135" s="2118" t="n">
        <v>1</v>
      </c>
      <c r="E1135" s="2118" t="n">
        <v>0</v>
      </c>
      <c r="F1135" s="130" t="n"/>
      <c r="G1135" s="1764" t="n"/>
      <c r="H1135" s="1741" t="inlineStr">
        <is>
          <t>SUBETAPA</t>
        </is>
      </c>
      <c r="I1135" s="1742" t="inlineStr">
        <is>
          <t>12.003.001</t>
        </is>
      </c>
      <c r="J1135" s="1743" t="inlineStr">
        <is>
          <t>Telefonia/lógica/internet</t>
        </is>
      </c>
      <c r="K1135" s="1744" t="n"/>
      <c r="L1135" s="1745" t="n"/>
      <c r="M1135" s="1745" t="n"/>
      <c r="N1135" s="1746" t="n"/>
      <c r="O1135" s="1793" t="n"/>
      <c r="P1135" s="1720" t="n"/>
    </row>
    <row r="1136" hidden="1" outlineLevel="3" ht="13.5" customHeight="1">
      <c r="A1136" s="2117" t="n">
        <v>0</v>
      </c>
      <c r="B1136" s="2117" t="n">
        <v>12</v>
      </c>
      <c r="C1136" s="2117" t="n">
        <v>3</v>
      </c>
      <c r="D1136" s="2118" t="n">
        <v>1</v>
      </c>
      <c r="E1136" s="2118" t="n">
        <v>1</v>
      </c>
      <c r="F1136" s="130" t="n"/>
      <c r="G1136" s="1748" t="inlineStr">
        <is>
          <t>INSTALAÇÕES E EQUIPAMENTOS E SISTEMAS ESPECIAIS</t>
        </is>
      </c>
      <c r="H1136" s="1749" t="inlineStr">
        <is>
          <t>SERVIÇO</t>
        </is>
      </c>
      <c r="I1136" s="1750" t="inlineStr">
        <is>
          <t>12.003.001.001</t>
        </is>
      </c>
      <c r="J1136" s="1751" t="inlineStr">
        <is>
          <t>Telefonia/lógica/internet</t>
        </is>
      </c>
      <c r="K1136" s="1752" t="inlineStr">
        <is>
          <t>vb</t>
        </is>
      </c>
      <c r="L1136" s="1753" t="n">
        <v>1</v>
      </c>
      <c r="M1136" s="1753" t="e">
        <v>#REF!</v>
      </c>
      <c r="N1136" s="1754" t="n"/>
      <c r="O1136" s="1755" t="inlineStr">
        <is>
          <t>Telecomunicação utilizado a quantidade de infraestrutura do projetista, demais itens custo estimado, devido ausência de quantitativo</t>
        </is>
      </c>
      <c r="P1136" s="1721" t="inlineStr">
        <is>
          <t>Pendente</t>
        </is>
      </c>
    </row>
    <row r="1137" hidden="1" outlineLevel="1" ht="13.9" customHeight="1">
      <c r="A1137" s="2117" t="n">
        <v>0</v>
      </c>
      <c r="B1137" s="2117" t="n">
        <v>12</v>
      </c>
      <c r="C1137" s="2117" t="n">
        <v>4</v>
      </c>
      <c r="D1137" s="2118" t="n">
        <v>0</v>
      </c>
      <c r="E1137" s="2118" t="n">
        <v>1</v>
      </c>
      <c r="G1137" s="1763" t="n"/>
      <c r="H1137" s="1734" t="inlineStr">
        <is>
          <t>ETAPA</t>
        </is>
      </c>
      <c r="I1137" s="1735" t="inlineStr">
        <is>
          <t>12.004</t>
        </is>
      </c>
      <c r="J1137" s="1736" t="inlineStr">
        <is>
          <t>AUTOMAÇÃO E SISTEMAS LÓGICOS E TELECOMUNICAÇÃO - Mezanino G2</t>
        </is>
      </c>
      <c r="K1137" s="1737" t="n"/>
      <c r="L1137" s="1738" t="n"/>
      <c r="M1137" s="1738" t="n"/>
      <c r="N1137" s="1739" t="n"/>
      <c r="O1137" s="1722" t="n"/>
      <c r="P1137" s="1725" t="n"/>
    </row>
    <row r="1138" hidden="1" outlineLevel="2" ht="13.5" customHeight="1">
      <c r="A1138" s="2117" t="n">
        <v>0</v>
      </c>
      <c r="B1138" s="2117" t="n">
        <v>12</v>
      </c>
      <c r="C1138" s="2117" t="n">
        <v>4</v>
      </c>
      <c r="D1138" s="2118" t="n">
        <v>1</v>
      </c>
      <c r="E1138" s="2118" t="n">
        <v>0</v>
      </c>
      <c r="F1138" s="130" t="n"/>
      <c r="G1138" s="1764" t="n"/>
      <c r="H1138" s="1741" t="inlineStr">
        <is>
          <t>SUBETAPA</t>
        </is>
      </c>
      <c r="I1138" s="1742" t="inlineStr">
        <is>
          <t>12.004.001</t>
        </is>
      </c>
      <c r="J1138" s="1743" t="inlineStr">
        <is>
          <t>Telefonia/lógica/internet</t>
        </is>
      </c>
      <c r="K1138" s="1744" t="n"/>
      <c r="L1138" s="1745" t="n"/>
      <c r="M1138" s="1745" t="n"/>
      <c r="N1138" s="1746" t="n"/>
      <c r="O1138" s="1793" t="n"/>
      <c r="P1138" s="1720" t="n"/>
    </row>
    <row r="1139" hidden="1" outlineLevel="3" ht="13.5" customHeight="1">
      <c r="A1139" s="2117" t="n">
        <v>0</v>
      </c>
      <c r="B1139" s="2117" t="n">
        <v>12</v>
      </c>
      <c r="C1139" s="2117" t="n">
        <v>4</v>
      </c>
      <c r="D1139" s="2118" t="n">
        <v>1</v>
      </c>
      <c r="E1139" s="2118" t="n">
        <v>1</v>
      </c>
      <c r="F1139" s="130" t="n"/>
      <c r="G1139" s="1748" t="inlineStr">
        <is>
          <t>INSTALAÇÕES E EQUIPAMENTOS E SISTEMAS ESPECIAIS</t>
        </is>
      </c>
      <c r="H1139" s="1749" t="inlineStr">
        <is>
          <t>SERVIÇO</t>
        </is>
      </c>
      <c r="I1139" s="1750" t="inlineStr">
        <is>
          <t>12.004.001.001</t>
        </is>
      </c>
      <c r="J1139" s="1751" t="inlineStr">
        <is>
          <t>Telefonia/lógica/internet</t>
        </is>
      </c>
      <c r="K1139" s="1752" t="inlineStr">
        <is>
          <t>vb</t>
        </is>
      </c>
      <c r="L1139" s="1753" t="n">
        <v>1</v>
      </c>
      <c r="M1139" s="1753" t="e">
        <v>#REF!</v>
      </c>
      <c r="N1139" s="1754" t="n"/>
      <c r="O1139" s="1755" t="inlineStr">
        <is>
          <t>Telecomunicação utilizado a quantidade de infraestrutura do projetista, demais itens custo estimado, devido ausência de quantitativo</t>
        </is>
      </c>
      <c r="P1139" s="1721" t="inlineStr">
        <is>
          <t>Pendente</t>
        </is>
      </c>
    </row>
    <row r="1140" hidden="1" outlineLevel="1" ht="13.9" customHeight="1">
      <c r="A1140" s="2117" t="n">
        <v>0</v>
      </c>
      <c r="B1140" s="2117" t="n">
        <v>12</v>
      </c>
      <c r="C1140" s="2117" t="n">
        <v>5</v>
      </c>
      <c r="D1140" s="2118" t="n">
        <v>0</v>
      </c>
      <c r="E1140" s="2118" t="n">
        <v>1</v>
      </c>
      <c r="G1140" s="1763" t="n"/>
      <c r="H1140" s="1734" t="inlineStr">
        <is>
          <t>ETAPA</t>
        </is>
      </c>
      <c r="I1140" s="1735" t="inlineStr">
        <is>
          <t>12.005</t>
        </is>
      </c>
      <c r="J1140" s="1736" t="inlineStr">
        <is>
          <t>AUTOMAÇÃO E SISTEMAS LÓGICOS E TELECOMUNICAÇÃO - G3</t>
        </is>
      </c>
      <c r="K1140" s="1737" t="n"/>
      <c r="L1140" s="1738" t="n"/>
      <c r="M1140" s="1738" t="n"/>
      <c r="N1140" s="1739" t="n"/>
      <c r="O1140" s="1722" t="n"/>
      <c r="P1140" s="1725" t="n"/>
    </row>
    <row r="1141" hidden="1" outlineLevel="2" ht="13.5" customHeight="1">
      <c r="A1141" s="2117" t="n">
        <v>0</v>
      </c>
      <c r="B1141" s="2117" t="n">
        <v>12</v>
      </c>
      <c r="C1141" s="2117" t="n">
        <v>5</v>
      </c>
      <c r="D1141" s="2118" t="n">
        <v>1</v>
      </c>
      <c r="E1141" s="2118" t="n">
        <v>0</v>
      </c>
      <c r="F1141" s="130" t="n"/>
      <c r="G1141" s="1764" t="n"/>
      <c r="H1141" s="1741" t="inlineStr">
        <is>
          <t>SUBETAPA</t>
        </is>
      </c>
      <c r="I1141" s="1742" t="inlineStr">
        <is>
          <t>12.005.001</t>
        </is>
      </c>
      <c r="J1141" s="1743" t="inlineStr">
        <is>
          <t>Telefonia/lógica/internet</t>
        </is>
      </c>
      <c r="K1141" s="1744" t="n"/>
      <c r="L1141" s="1745" t="n"/>
      <c r="M1141" s="1745" t="n"/>
      <c r="N1141" s="1746" t="n"/>
      <c r="O1141" s="1793" t="n"/>
      <c r="P1141" s="1720" t="n"/>
    </row>
    <row r="1142" hidden="1" outlineLevel="3" ht="13.5" customHeight="1">
      <c r="A1142" s="2117" t="n">
        <v>0</v>
      </c>
      <c r="B1142" s="2117" t="n">
        <v>12</v>
      </c>
      <c r="C1142" s="2117" t="n">
        <v>5</v>
      </c>
      <c r="D1142" s="2118" t="n">
        <v>1</v>
      </c>
      <c r="E1142" s="2118" t="n">
        <v>1</v>
      </c>
      <c r="F1142" s="130" t="n"/>
      <c r="G1142" s="1748" t="inlineStr">
        <is>
          <t>INSTALAÇÕES E EQUIPAMENTOS E SISTEMAS ESPECIAIS</t>
        </is>
      </c>
      <c r="H1142" s="1749" t="inlineStr">
        <is>
          <t>SERVIÇO</t>
        </is>
      </c>
      <c r="I1142" s="1750" t="inlineStr">
        <is>
          <t>12.005.001.001</t>
        </is>
      </c>
      <c r="J1142" s="1751" t="inlineStr">
        <is>
          <t>Telefonia/lógica/internet</t>
        </is>
      </c>
      <c r="K1142" s="1752" t="inlineStr">
        <is>
          <t>vb</t>
        </is>
      </c>
      <c r="L1142" s="1753" t="n">
        <v>1</v>
      </c>
      <c r="M1142" s="1753" t="e">
        <v>#REF!</v>
      </c>
      <c r="N1142" s="1754" t="n"/>
      <c r="O1142" s="1755" t="inlineStr">
        <is>
          <t>Telecomunicação utilizado a quantidade de infraestrutura do projetista, demais itens custo estimado, devido ausência de quantitativo</t>
        </is>
      </c>
      <c r="P1142" s="1721" t="inlineStr">
        <is>
          <t>Pendente</t>
        </is>
      </c>
    </row>
    <row r="1143" hidden="1" outlineLevel="1" ht="13.9" customHeight="1">
      <c r="A1143" s="2117" t="n">
        <v>0</v>
      </c>
      <c r="B1143" s="2117" t="n">
        <v>12</v>
      </c>
      <c r="C1143" s="2117" t="n">
        <v>6</v>
      </c>
      <c r="D1143" s="2118" t="n">
        <v>0</v>
      </c>
      <c r="E1143" s="2118" t="n">
        <v>1</v>
      </c>
      <c r="G1143" s="1763" t="n"/>
      <c r="H1143" s="1734" t="inlineStr">
        <is>
          <t>ETAPA</t>
        </is>
      </c>
      <c r="I1143" s="1735" t="inlineStr">
        <is>
          <t>12.006</t>
        </is>
      </c>
      <c r="J1143" s="1736" t="inlineStr">
        <is>
          <t>AUTOMAÇÃO E SISTEMAS LÓGICOS E TELECOMUNICAÇÃO - Mezanino G3</t>
        </is>
      </c>
      <c r="K1143" s="1737" t="n"/>
      <c r="L1143" s="1738" t="n"/>
      <c r="M1143" s="1738" t="n"/>
      <c r="N1143" s="1739" t="n"/>
      <c r="O1143" s="1722" t="n"/>
      <c r="P1143" s="1725" t="n"/>
    </row>
    <row r="1144" hidden="1" outlineLevel="2" ht="13.5" customHeight="1">
      <c r="A1144" s="2117" t="n">
        <v>0</v>
      </c>
      <c r="B1144" s="2117" t="n">
        <v>12</v>
      </c>
      <c r="C1144" s="2117" t="n">
        <v>6</v>
      </c>
      <c r="D1144" s="2118" t="n">
        <v>1</v>
      </c>
      <c r="E1144" s="2118" t="n">
        <v>0</v>
      </c>
      <c r="F1144" s="130" t="n"/>
      <c r="G1144" s="1764" t="n"/>
      <c r="H1144" s="1741" t="inlineStr">
        <is>
          <t>SUBETAPA</t>
        </is>
      </c>
      <c r="I1144" s="1742" t="inlineStr">
        <is>
          <t>12.006.001</t>
        </is>
      </c>
      <c r="J1144" s="1743" t="inlineStr">
        <is>
          <t>Telefonia/lógica/internet</t>
        </is>
      </c>
      <c r="K1144" s="1744" t="n"/>
      <c r="L1144" s="1745" t="n"/>
      <c r="M1144" s="1745" t="n"/>
      <c r="N1144" s="1746" t="n"/>
      <c r="O1144" s="1793" t="n"/>
      <c r="P1144" s="1720" t="n"/>
    </row>
    <row r="1145" hidden="1" outlineLevel="3" ht="13.5" customHeight="1">
      <c r="A1145" s="2117" t="n">
        <v>0</v>
      </c>
      <c r="B1145" s="2117" t="n">
        <v>12</v>
      </c>
      <c r="C1145" s="2117" t="n">
        <v>6</v>
      </c>
      <c r="D1145" s="2118" t="n">
        <v>1</v>
      </c>
      <c r="E1145" s="2118" t="n">
        <v>1</v>
      </c>
      <c r="F1145" s="130" t="n"/>
      <c r="G1145" s="1748" t="inlineStr">
        <is>
          <t>INSTALAÇÕES E EQUIPAMENTOS E SISTEMAS ESPECIAIS</t>
        </is>
      </c>
      <c r="H1145" s="1749" t="inlineStr">
        <is>
          <t>SERVIÇO</t>
        </is>
      </c>
      <c r="I1145" s="1750" t="inlineStr">
        <is>
          <t>12.006.001.001</t>
        </is>
      </c>
      <c r="J1145" s="1751" t="inlineStr">
        <is>
          <t>Telefonia/lógica/internet</t>
        </is>
      </c>
      <c r="K1145" s="1752" t="inlineStr">
        <is>
          <t>vb</t>
        </is>
      </c>
      <c r="L1145" s="1753" t="n">
        <v>1</v>
      </c>
      <c r="M1145" s="1753" t="e">
        <v>#REF!</v>
      </c>
      <c r="N1145" s="1754" t="n"/>
      <c r="O1145" s="1755" t="inlineStr">
        <is>
          <t>Telecomunicação utilizado a quantidade de infraestrutura do projetista, demais itens custo estimado, devido ausência de quantitativo</t>
        </is>
      </c>
      <c r="P1145" s="1721" t="inlineStr">
        <is>
          <t>Pendente</t>
        </is>
      </c>
    </row>
    <row r="1146" hidden="1" outlineLevel="1" ht="13.9" customHeight="1">
      <c r="A1146" s="2117" t="n">
        <v>0</v>
      </c>
      <c r="B1146" s="2117" t="n">
        <v>12</v>
      </c>
      <c r="C1146" s="2117" t="n">
        <v>7</v>
      </c>
      <c r="D1146" s="2118" t="n">
        <v>0</v>
      </c>
      <c r="E1146" s="2118" t="n">
        <v>1</v>
      </c>
      <c r="G1146" s="1763" t="n"/>
      <c r="H1146" s="1734" t="inlineStr">
        <is>
          <t>ETAPA</t>
        </is>
      </c>
      <c r="I1146" s="1735" t="inlineStr">
        <is>
          <t>12.007</t>
        </is>
      </c>
      <c r="J1146" s="1736" t="inlineStr">
        <is>
          <t>AUTOMAÇÃO E SISTEMAS LÓGICOS E TELECOMUNICAÇÃO - Lazer | Garagem</t>
        </is>
      </c>
      <c r="K1146" s="1737" t="n"/>
      <c r="L1146" s="1738" t="n"/>
      <c r="M1146" s="1738" t="n"/>
      <c r="N1146" s="1739" t="n"/>
      <c r="O1146" s="1722" t="n"/>
      <c r="P1146" s="1725" t="n"/>
    </row>
    <row r="1147" hidden="1" outlineLevel="2" ht="13.5" customHeight="1">
      <c r="A1147" s="2117" t="n">
        <v>0</v>
      </c>
      <c r="B1147" s="2117" t="n">
        <v>12</v>
      </c>
      <c r="C1147" s="2117" t="n">
        <v>7</v>
      </c>
      <c r="D1147" s="2118" t="n">
        <v>1</v>
      </c>
      <c r="E1147" s="2118" t="n">
        <v>0</v>
      </c>
      <c r="G1147" s="1764" t="n"/>
      <c r="H1147" s="1741" t="inlineStr">
        <is>
          <t>SUBETAPA</t>
        </is>
      </c>
      <c r="I1147" s="1742" t="inlineStr">
        <is>
          <t>12.007.001</t>
        </is>
      </c>
      <c r="J1147" s="1743" t="inlineStr">
        <is>
          <t>Sistema de interfone / controle de acesso</t>
        </is>
      </c>
      <c r="K1147" s="1744" t="n"/>
      <c r="L1147" s="1745" t="n"/>
      <c r="M1147" s="1745" t="n"/>
      <c r="N1147" s="1746" t="n">
        <v>14910</v>
      </c>
      <c r="O1147" s="1747" t="n"/>
      <c r="P1147" s="1720" t="n"/>
    </row>
    <row r="1148" hidden="1" outlineLevel="3" ht="13.5" customHeight="1">
      <c r="A1148" s="2117" t="n">
        <v>0</v>
      </c>
      <c r="B1148" s="2117" t="n">
        <v>12</v>
      </c>
      <c r="C1148" s="2117" t="n">
        <v>7</v>
      </c>
      <c r="D1148" s="2118" t="n">
        <v>1</v>
      </c>
      <c r="E1148" s="2118" t="n">
        <v>1</v>
      </c>
      <c r="F1148" s="130" t="n"/>
      <c r="G1148" s="1748" t="inlineStr">
        <is>
          <t>INSTALAÇÕES E EQUIPAMENTOS E SISTEMAS ESPECIAIS</t>
        </is>
      </c>
      <c r="H1148" s="1749" t="inlineStr">
        <is>
          <t>SERVIÇO</t>
        </is>
      </c>
      <c r="I1148" s="1750" t="inlineStr">
        <is>
          <t>12.007.001.001</t>
        </is>
      </c>
      <c r="J1148" s="1751" t="inlineStr">
        <is>
          <t>Sistema de interfone / controle de acesso</t>
        </is>
      </c>
      <c r="K1148" s="1752" t="inlineStr">
        <is>
          <t>vb</t>
        </is>
      </c>
      <c r="L1148" s="1753" t="n">
        <v>1</v>
      </c>
      <c r="M1148" s="1753" t="n">
        <v>14910</v>
      </c>
      <c r="N1148" s="1754" t="n">
        <v>14910</v>
      </c>
      <c r="O1148" s="1755" t="inlineStr">
        <is>
          <t>Custo estimado, devido ausência de quantitativo</t>
        </is>
      </c>
      <c r="P1148" s="1721" t="inlineStr">
        <is>
          <t>Pendente</t>
        </is>
      </c>
    </row>
    <row r="1149" hidden="1" outlineLevel="2" ht="13.5" customHeight="1">
      <c r="A1149" s="2117" t="n">
        <v>0</v>
      </c>
      <c r="B1149" s="2117" t="n">
        <v>12</v>
      </c>
      <c r="C1149" s="2117" t="n">
        <v>7</v>
      </c>
      <c r="D1149" s="2118" t="n">
        <v>2</v>
      </c>
      <c r="E1149" s="2118" t="n">
        <v>0</v>
      </c>
      <c r="F1149" s="130" t="n"/>
      <c r="G1149" s="1764" t="n"/>
      <c r="H1149" s="1741" t="inlineStr">
        <is>
          <t>SUBETAPA</t>
        </is>
      </c>
      <c r="I1149" s="1742" t="inlineStr">
        <is>
          <t>12.007.002</t>
        </is>
      </c>
      <c r="J1149" s="1743" t="inlineStr">
        <is>
          <t>Telefonia/lógica/internet</t>
        </is>
      </c>
      <c r="K1149" s="1744" t="n"/>
      <c r="L1149" s="1745" t="n"/>
      <c r="M1149" s="1745" t="n"/>
      <c r="N1149" s="1746" t="n"/>
      <c r="O1149" s="1793" t="n"/>
      <c r="P1149" s="1720" t="n"/>
    </row>
    <row r="1150" hidden="1" outlineLevel="3" ht="13.5" customHeight="1">
      <c r="A1150" s="2117" t="n">
        <v>0</v>
      </c>
      <c r="B1150" s="2117" t="n">
        <v>12</v>
      </c>
      <c r="C1150" s="2117" t="n">
        <v>7</v>
      </c>
      <c r="D1150" s="2118" t="n">
        <v>2</v>
      </c>
      <c r="E1150" s="2118" t="n">
        <v>1</v>
      </c>
      <c r="F1150" s="130" t="n"/>
      <c r="G1150" s="1748" t="inlineStr">
        <is>
          <t>INSTALAÇÕES E EQUIPAMENTOS E SISTEMAS ESPECIAIS</t>
        </is>
      </c>
      <c r="H1150" s="1749" t="inlineStr">
        <is>
          <t>SERVIÇO</t>
        </is>
      </c>
      <c r="I1150" s="1750" t="inlineStr">
        <is>
          <t>12.007.002.001</t>
        </is>
      </c>
      <c r="J1150" s="1751" t="inlineStr">
        <is>
          <t>Telefonia/lógica/internet</t>
        </is>
      </c>
      <c r="K1150" s="1752" t="inlineStr">
        <is>
          <t>vb</t>
        </is>
      </c>
      <c r="L1150" s="1753" t="n">
        <v>1</v>
      </c>
      <c r="M1150" s="1753" t="e">
        <v>#REF!</v>
      </c>
      <c r="N1150" s="1754" t="n"/>
      <c r="O1150" s="1755" t="inlineStr">
        <is>
          <t>Telecomunicação utilizado a quantidade de infraestrutura do projetista, demais itens custo estimado, devido ausência de quantitativo</t>
        </is>
      </c>
      <c r="P1150" s="1721" t="inlineStr">
        <is>
          <t>Pendente</t>
        </is>
      </c>
    </row>
    <row r="1151" hidden="1" outlineLevel="2" ht="13.5" customHeight="1">
      <c r="A1151" s="2117" t="n">
        <v>0</v>
      </c>
      <c r="B1151" s="2117" t="n">
        <v>12</v>
      </c>
      <c r="C1151" s="2117" t="n">
        <v>7</v>
      </c>
      <c r="D1151" s="2118" t="n">
        <v>3</v>
      </c>
      <c r="E1151" s="2118" t="n">
        <v>0</v>
      </c>
      <c r="F1151" s="130" t="n"/>
      <c r="G1151" s="1764" t="n"/>
      <c r="H1151" s="1741" t="inlineStr">
        <is>
          <t>SUBETAPA</t>
        </is>
      </c>
      <c r="I1151" s="1742" t="inlineStr">
        <is>
          <t>12.007.003</t>
        </is>
      </c>
      <c r="J1151" s="1743" t="inlineStr">
        <is>
          <t>AUTOMAÇÕES</t>
        </is>
      </c>
      <c r="K1151" s="1744" t="n"/>
      <c r="L1151" s="1745" t="n"/>
      <c r="M1151" s="1745" t="n"/>
      <c r="N1151" s="1746" t="n">
        <v>42992.6957645572</v>
      </c>
      <c r="O1151" s="1747" t="n"/>
      <c r="P1151" s="1720" t="n"/>
    </row>
    <row r="1152" hidden="1" outlineLevel="3" ht="13.5" customHeight="1">
      <c r="A1152" s="2117" t="n">
        <v>0</v>
      </c>
      <c r="B1152" s="2117" t="n">
        <v>12</v>
      </c>
      <c r="C1152" s="2117" t="n">
        <v>7</v>
      </c>
      <c r="D1152" s="2118" t="n">
        <v>3</v>
      </c>
      <c r="E1152" s="2118" t="n">
        <v>1</v>
      </c>
      <c r="F1152" s="130" t="n"/>
      <c r="G1152" s="1748" t="inlineStr">
        <is>
          <t>INSTALAÇÕES E EQUIPAMENTOS E SISTEMAS ESPECIAIS</t>
        </is>
      </c>
      <c r="H1152" s="1749" t="inlineStr">
        <is>
          <t>SERVIÇO</t>
        </is>
      </c>
      <c r="I1152" s="1750" t="inlineStr">
        <is>
          <t>12.007.003.001</t>
        </is>
      </c>
      <c r="J1152" s="1751" t="inlineStr">
        <is>
          <t>Infraestrutura de automação dos apartamentos (Iluminação, cortinas, áudio, ar cond.)</t>
        </is>
      </c>
      <c r="K1152" s="1752" t="inlineStr">
        <is>
          <t>vb</t>
        </is>
      </c>
      <c r="L1152" s="1753" t="n">
        <v>1</v>
      </c>
      <c r="M1152" s="1753" t="n">
        <v>42992.69576455721</v>
      </c>
      <c r="N1152" s="1754" t="n">
        <v>42992.6957645572</v>
      </c>
      <c r="O1152" s="1755" t="inlineStr">
        <is>
          <t>Custo estimado, devido ausência de quantitativo</t>
        </is>
      </c>
      <c r="P1152" s="1721" t="inlineStr">
        <is>
          <t>Pendente</t>
        </is>
      </c>
    </row>
    <row r="1153" hidden="1" outlineLevel="1" ht="13.9" customHeight="1">
      <c r="A1153" s="2117" t="n">
        <v>0</v>
      </c>
      <c r="B1153" s="2117" t="n">
        <v>12</v>
      </c>
      <c r="C1153" s="2117" t="n">
        <v>8</v>
      </c>
      <c r="D1153" s="2118" t="n">
        <v>0</v>
      </c>
      <c r="E1153" s="2118" t="n">
        <v>1</v>
      </c>
      <c r="G1153" s="1763" t="n"/>
      <c r="H1153" s="1734" t="inlineStr">
        <is>
          <t>ETAPA</t>
        </is>
      </c>
      <c r="I1153" s="1735" t="inlineStr">
        <is>
          <t>12.008</t>
        </is>
      </c>
      <c r="J1153" s="1736" t="inlineStr">
        <is>
          <t>AUTOMAÇÃO E SISTEMAS LÓGICOS E TELECOMUNICAÇÃO - Lazer</t>
        </is>
      </c>
      <c r="K1153" s="1737" t="n"/>
      <c r="L1153" s="1738" t="n"/>
      <c r="M1153" s="1738" t="n"/>
      <c r="N1153" s="1739" t="n"/>
      <c r="O1153" s="1722" t="n"/>
      <c r="P1153" s="1725" t="n"/>
    </row>
    <row r="1154" hidden="1" outlineLevel="2" ht="13.5" customHeight="1">
      <c r="A1154" s="2117" t="n">
        <v>0</v>
      </c>
      <c r="B1154" s="2117" t="n">
        <v>12</v>
      </c>
      <c r="C1154" s="2117" t="n">
        <v>8</v>
      </c>
      <c r="D1154" s="2118" t="n">
        <v>1</v>
      </c>
      <c r="E1154" s="2118" t="n">
        <v>0</v>
      </c>
      <c r="G1154" s="1764" t="n"/>
      <c r="H1154" s="1741" t="inlineStr">
        <is>
          <t>SUBETAPA</t>
        </is>
      </c>
      <c r="I1154" s="1742" t="inlineStr">
        <is>
          <t>12.008.001</t>
        </is>
      </c>
      <c r="J1154" s="1743" t="inlineStr">
        <is>
          <t>Sistema de interfone / controle de acesso</t>
        </is>
      </c>
      <c r="K1154" s="1744" t="n"/>
      <c r="L1154" s="1745" t="n"/>
      <c r="M1154" s="1745" t="n"/>
      <c r="N1154" s="1746" t="n">
        <v>13700</v>
      </c>
      <c r="O1154" s="1747" t="n"/>
      <c r="P1154" s="1720" t="n"/>
    </row>
    <row r="1155" hidden="1" outlineLevel="3" ht="13.5" customHeight="1">
      <c r="A1155" s="2117" t="n">
        <v>0</v>
      </c>
      <c r="B1155" s="2117" t="n">
        <v>12</v>
      </c>
      <c r="C1155" s="2117" t="n">
        <v>8</v>
      </c>
      <c r="D1155" s="2118" t="n">
        <v>1</v>
      </c>
      <c r="E1155" s="2118" t="n">
        <v>1</v>
      </c>
      <c r="F1155" s="130" t="n"/>
      <c r="G1155" s="1748" t="inlineStr">
        <is>
          <t>INSTALAÇÕES E EQUIPAMENTOS E SISTEMAS ESPECIAIS</t>
        </is>
      </c>
      <c r="H1155" s="1749" t="inlineStr">
        <is>
          <t>SERVIÇO</t>
        </is>
      </c>
      <c r="I1155" s="1750" t="inlineStr">
        <is>
          <t>12.008.001.001</t>
        </is>
      </c>
      <c r="J1155" s="1751" t="inlineStr">
        <is>
          <t>Sistema de interfone / controle de acesso</t>
        </is>
      </c>
      <c r="K1155" s="1752" t="inlineStr">
        <is>
          <t>vb</t>
        </is>
      </c>
      <c r="L1155" s="1753" t="n">
        <v>1</v>
      </c>
      <c r="M1155" s="1753" t="n">
        <v>13700</v>
      </c>
      <c r="N1155" s="1754" t="n">
        <v>13700</v>
      </c>
      <c r="O1155" s="1755" t="inlineStr">
        <is>
          <t>Custo estimado, devido ausência de quantitativo</t>
        </is>
      </c>
      <c r="P1155" s="1721" t="inlineStr">
        <is>
          <t>Pendente</t>
        </is>
      </c>
    </row>
    <row r="1156" hidden="1" outlineLevel="2" ht="13.5" customHeight="1">
      <c r="A1156" s="2117" t="n">
        <v>0</v>
      </c>
      <c r="B1156" s="2117" t="n">
        <v>12</v>
      </c>
      <c r="C1156" s="2117" t="n">
        <v>8</v>
      </c>
      <c r="D1156" s="2118" t="n">
        <v>2</v>
      </c>
      <c r="E1156" s="2118" t="n">
        <v>0</v>
      </c>
      <c r="F1156" s="130" t="n"/>
      <c r="G1156" s="1764" t="n"/>
      <c r="H1156" s="1741" t="inlineStr">
        <is>
          <t>SUBETAPA</t>
        </is>
      </c>
      <c r="I1156" s="1742" t="inlineStr">
        <is>
          <t>12.008.002</t>
        </is>
      </c>
      <c r="J1156" s="1743" t="inlineStr">
        <is>
          <t>Telefonia/lógica/internet</t>
        </is>
      </c>
      <c r="K1156" s="1744" t="n"/>
      <c r="L1156" s="1745" t="n"/>
      <c r="M1156" s="1745" t="n"/>
      <c r="N1156" s="1746" t="n"/>
      <c r="O1156" s="1793" t="n"/>
      <c r="P1156" s="1720" t="n"/>
    </row>
    <row r="1157" hidden="1" outlineLevel="3" ht="13.5" customHeight="1">
      <c r="A1157" s="2117" t="n">
        <v>0</v>
      </c>
      <c r="B1157" s="2117" t="n">
        <v>12</v>
      </c>
      <c r="C1157" s="2117" t="n">
        <v>8</v>
      </c>
      <c r="D1157" s="2118" t="n">
        <v>2</v>
      </c>
      <c r="E1157" s="2118" t="n">
        <v>1</v>
      </c>
      <c r="F1157" s="130" t="n"/>
      <c r="G1157" s="1748" t="inlineStr">
        <is>
          <t>INSTALAÇÕES E EQUIPAMENTOS E SISTEMAS ESPECIAIS</t>
        </is>
      </c>
      <c r="H1157" s="1749" t="inlineStr">
        <is>
          <t>SERVIÇO</t>
        </is>
      </c>
      <c r="I1157" s="1750" t="inlineStr">
        <is>
          <t>12.008.002.001</t>
        </is>
      </c>
      <c r="J1157" s="1751" t="inlineStr">
        <is>
          <t>Telefonia/lógica/internet</t>
        </is>
      </c>
      <c r="K1157" s="1752" t="inlineStr">
        <is>
          <t>vb</t>
        </is>
      </c>
      <c r="L1157" s="1753" t="n">
        <v>1</v>
      </c>
      <c r="M1157" s="1753" t="e">
        <v>#REF!</v>
      </c>
      <c r="N1157" s="1754" t="n"/>
      <c r="O1157" s="1755" t="inlineStr">
        <is>
          <t>Telecomunicação utilizado a quantidade de infraestrutura do projetista, demais itens custo estimado, devido ausência de quantitativo</t>
        </is>
      </c>
      <c r="P1157" s="1721" t="inlineStr">
        <is>
          <t>Pendente</t>
        </is>
      </c>
    </row>
    <row r="1158" hidden="1" outlineLevel="2" ht="13.5" customHeight="1">
      <c r="A1158" s="2117" t="n">
        <v>0</v>
      </c>
      <c r="B1158" s="2117" t="n">
        <v>12</v>
      </c>
      <c r="C1158" s="2117" t="n">
        <v>8</v>
      </c>
      <c r="D1158" s="2118" t="n">
        <v>3</v>
      </c>
      <c r="E1158" s="2118" t="n">
        <v>0</v>
      </c>
      <c r="F1158" s="130" t="n"/>
      <c r="G1158" s="1764" t="n"/>
      <c r="H1158" s="1741" t="inlineStr">
        <is>
          <t>SUBETAPA</t>
        </is>
      </c>
      <c r="I1158" s="1742" t="inlineStr">
        <is>
          <t>12.008.003</t>
        </is>
      </c>
      <c r="J1158" s="1743" t="inlineStr">
        <is>
          <t>AUTOMAÇÕES</t>
        </is>
      </c>
      <c r="K1158" s="1744" t="n"/>
      <c r="L1158" s="1745" t="n"/>
      <c r="M1158" s="1745" t="n"/>
      <c r="N1158" s="1746" t="n">
        <v>42992.6957645572</v>
      </c>
      <c r="O1158" s="1747" t="n"/>
      <c r="P1158" s="1720" t="n"/>
    </row>
    <row r="1159" hidden="1" outlineLevel="3" ht="13.5" customHeight="1">
      <c r="A1159" s="2117" t="n">
        <v>0</v>
      </c>
      <c r="B1159" s="2117" t="n">
        <v>12</v>
      </c>
      <c r="C1159" s="2117" t="n">
        <v>8</v>
      </c>
      <c r="D1159" s="2118" t="n">
        <v>3</v>
      </c>
      <c r="E1159" s="2118" t="n">
        <v>1</v>
      </c>
      <c r="F1159" s="130" t="n"/>
      <c r="G1159" s="1748" t="inlineStr">
        <is>
          <t>INSTALAÇÕES E EQUIPAMENTOS E SISTEMAS ESPECIAIS</t>
        </is>
      </c>
      <c r="H1159" s="1749" t="inlineStr">
        <is>
          <t>SERVIÇO</t>
        </is>
      </c>
      <c r="I1159" s="1750" t="inlineStr">
        <is>
          <t>12.008.003.001</t>
        </is>
      </c>
      <c r="J1159" s="1751" t="inlineStr">
        <is>
          <t>Infraestrutura de automação dos apartamentos (Iluminação, cortinas, áudio, ar cond.)</t>
        </is>
      </c>
      <c r="K1159" s="1752" t="inlineStr">
        <is>
          <t>vb</t>
        </is>
      </c>
      <c r="L1159" s="1753" t="n">
        <v>1</v>
      </c>
      <c r="M1159" s="1753" t="n">
        <v>42992.69576455721</v>
      </c>
      <c r="N1159" s="1754" t="n">
        <v>42992.6957645572</v>
      </c>
      <c r="O1159" s="1755" t="inlineStr">
        <is>
          <t>Custo estimado, devido ausência de quantitativo</t>
        </is>
      </c>
      <c r="P1159" s="1721" t="inlineStr">
        <is>
          <t>Pendente</t>
        </is>
      </c>
    </row>
    <row r="1160" hidden="1" outlineLevel="1" ht="13.9" customHeight="1">
      <c r="A1160" s="2117" t="n">
        <v>0</v>
      </c>
      <c r="B1160" s="2117" t="n">
        <v>12</v>
      </c>
      <c r="C1160" s="2117" t="n">
        <v>9</v>
      </c>
      <c r="D1160" s="2118" t="n">
        <v>0</v>
      </c>
      <c r="E1160" s="2118" t="n">
        <v>1</v>
      </c>
      <c r="G1160" s="1763" t="n"/>
      <c r="H1160" s="1734" t="inlineStr">
        <is>
          <t>ETAPA</t>
        </is>
      </c>
      <c r="I1160" s="1735" t="inlineStr">
        <is>
          <t>12.009</t>
        </is>
      </c>
      <c r="J1160" s="1736" t="inlineStr">
        <is>
          <t>AUTOMAÇÃO E SISTEMAS LÓGICOS E TELECOMUNICAÇÃO - Tipo diferenciado</t>
        </is>
      </c>
      <c r="K1160" s="1737" t="n"/>
      <c r="L1160" s="1738" t="n"/>
      <c r="M1160" s="1738" t="n"/>
      <c r="N1160" s="1739" t="n"/>
      <c r="O1160" s="1722" t="n"/>
      <c r="P1160" s="1725" t="n"/>
    </row>
    <row r="1161" hidden="1" outlineLevel="2" ht="13.5" customHeight="1">
      <c r="A1161" s="2117" t="n">
        <v>0</v>
      </c>
      <c r="B1161" s="2117" t="n">
        <v>12</v>
      </c>
      <c r="C1161" s="2117" t="n">
        <v>9</v>
      </c>
      <c r="D1161" s="2118" t="n">
        <v>1</v>
      </c>
      <c r="E1161" s="2118" t="n">
        <v>0</v>
      </c>
      <c r="G1161" s="1764" t="n"/>
      <c r="H1161" s="1741" t="inlineStr">
        <is>
          <t>SUBETAPA</t>
        </is>
      </c>
      <c r="I1161" s="1742" t="inlineStr">
        <is>
          <t>12.009.001</t>
        </is>
      </c>
      <c r="J1161" s="1743" t="inlineStr">
        <is>
          <t>Sistema de interfone / controle de acesso</t>
        </is>
      </c>
      <c r="K1161" s="1744" t="n"/>
      <c r="L1161" s="1745" t="n"/>
      <c r="M1161" s="1745" t="n"/>
      <c r="N1161" s="1746" t="n">
        <v>1720</v>
      </c>
      <c r="O1161" s="1747" t="n"/>
      <c r="P1161" s="1720" t="n"/>
    </row>
    <row r="1162" hidden="1" outlineLevel="3" ht="13.5" customHeight="1">
      <c r="A1162" s="2117" t="n">
        <v>0</v>
      </c>
      <c r="B1162" s="2117" t="n">
        <v>12</v>
      </c>
      <c r="C1162" s="2117" t="n">
        <v>9</v>
      </c>
      <c r="D1162" s="2118" t="n">
        <v>1</v>
      </c>
      <c r="E1162" s="2118" t="n">
        <v>1</v>
      </c>
      <c r="F1162" s="130" t="n"/>
      <c r="G1162" s="1748" t="inlineStr">
        <is>
          <t>INSTALAÇÕES E EQUIPAMENTOS E SISTEMAS ESPECIAIS</t>
        </is>
      </c>
      <c r="H1162" s="1749" t="inlineStr">
        <is>
          <t>SERVIÇO</t>
        </is>
      </c>
      <c r="I1162" s="1750" t="inlineStr">
        <is>
          <t>12.009.001.001</t>
        </is>
      </c>
      <c r="J1162" s="1751" t="inlineStr">
        <is>
          <t>Sistema de interfone / controle de acesso</t>
        </is>
      </c>
      <c r="K1162" s="1752" t="inlineStr">
        <is>
          <t>vb</t>
        </is>
      </c>
      <c r="L1162" s="1753" t="n">
        <v>1</v>
      </c>
      <c r="M1162" s="1753" t="n">
        <v>1720</v>
      </c>
      <c r="N1162" s="1754" t="n">
        <v>1720</v>
      </c>
      <c r="O1162" s="1755" t="inlineStr">
        <is>
          <t>Custo estimado, devido ausência de quantitativo</t>
        </is>
      </c>
      <c r="P1162" s="1721" t="inlineStr">
        <is>
          <t>Pendente</t>
        </is>
      </c>
    </row>
    <row r="1163" hidden="1" outlineLevel="2" ht="13.5" customHeight="1">
      <c r="A1163" s="2117" t="n">
        <v>0</v>
      </c>
      <c r="B1163" s="2117" t="n">
        <v>12</v>
      </c>
      <c r="C1163" s="2117" t="n">
        <v>9</v>
      </c>
      <c r="D1163" s="2118" t="n">
        <v>2</v>
      </c>
      <c r="E1163" s="2118" t="n">
        <v>0</v>
      </c>
      <c r="F1163" s="130" t="n"/>
      <c r="G1163" s="1764" t="n"/>
      <c r="H1163" s="1741" t="inlineStr">
        <is>
          <t>SUBETAPA</t>
        </is>
      </c>
      <c r="I1163" s="1742" t="inlineStr">
        <is>
          <t>12.009.002</t>
        </is>
      </c>
      <c r="J1163" s="1743" t="inlineStr">
        <is>
          <t>Telefonia/lógica/internet</t>
        </is>
      </c>
      <c r="K1163" s="1744" t="n"/>
      <c r="L1163" s="1745" t="n"/>
      <c r="M1163" s="1745" t="n"/>
      <c r="N1163" s="1746" t="n"/>
      <c r="O1163" s="1793" t="n"/>
      <c r="P1163" s="1720" t="n"/>
    </row>
    <row r="1164" hidden="1" outlineLevel="3" ht="13.5" customHeight="1">
      <c r="A1164" s="2117" t="n">
        <v>0</v>
      </c>
      <c r="B1164" s="2117" t="n">
        <v>12</v>
      </c>
      <c r="C1164" s="2117" t="n">
        <v>9</v>
      </c>
      <c r="D1164" s="2118" t="n">
        <v>2</v>
      </c>
      <c r="E1164" s="2118" t="n">
        <v>1</v>
      </c>
      <c r="F1164" s="130" t="n"/>
      <c r="G1164" s="1748" t="inlineStr">
        <is>
          <t>INSTALAÇÕES E EQUIPAMENTOS E SISTEMAS ESPECIAIS</t>
        </is>
      </c>
      <c r="H1164" s="1749" t="inlineStr">
        <is>
          <t>SERVIÇO</t>
        </is>
      </c>
      <c r="I1164" s="1750" t="inlineStr">
        <is>
          <t>12.009.002.001</t>
        </is>
      </c>
      <c r="J1164" s="1751" t="inlineStr">
        <is>
          <t>Telefonia/lógica/internet</t>
        </is>
      </c>
      <c r="K1164" s="1752" t="inlineStr">
        <is>
          <t>vb</t>
        </is>
      </c>
      <c r="L1164" s="1753" t="n">
        <v>1</v>
      </c>
      <c r="M1164" s="1753" t="e">
        <v>#REF!</v>
      </c>
      <c r="N1164" s="1754" t="n"/>
      <c r="O1164" s="1761" t="inlineStr">
        <is>
          <t>Repessado pela Gessele na reunião do dia 05/03/2026 - adotar somente infra seca nos aptos</t>
        </is>
      </c>
      <c r="P1164" s="1721" t="inlineStr">
        <is>
          <t>Pendente</t>
        </is>
      </c>
    </row>
    <row r="1165" hidden="1" outlineLevel="1" ht="13.9" customHeight="1">
      <c r="A1165" s="2117" t="n">
        <v>0</v>
      </c>
      <c r="B1165" s="2117" t="n">
        <v>12</v>
      </c>
      <c r="C1165" s="2117" t="n">
        <v>10</v>
      </c>
      <c r="D1165" s="2118" t="n">
        <v>0</v>
      </c>
      <c r="E1165" s="2118" t="n">
        <v>1</v>
      </c>
      <c r="G1165" s="1763" t="n"/>
      <c r="H1165" s="1734" t="inlineStr">
        <is>
          <t>ETAPA</t>
        </is>
      </c>
      <c r="I1165" s="1735" t="inlineStr">
        <is>
          <t>12.010</t>
        </is>
      </c>
      <c r="J1165" s="1736" t="inlineStr">
        <is>
          <t>AUTOMAÇÃO E SISTEMAS LÓGICOS E TELECOMUNICAÇÃO - Tipo x8</t>
        </is>
      </c>
      <c r="K1165" s="1737" t="n"/>
      <c r="L1165" s="1738" t="n"/>
      <c r="M1165" s="1738" t="n"/>
      <c r="N1165" s="1739" t="n"/>
      <c r="O1165" s="1722" t="n"/>
      <c r="P1165" s="1725" t="n"/>
    </row>
    <row r="1166" hidden="1" outlineLevel="2" ht="13.5" customHeight="1">
      <c r="A1166" s="2117" t="n">
        <v>0</v>
      </c>
      <c r="B1166" s="2117" t="n">
        <v>12</v>
      </c>
      <c r="C1166" s="2117" t="n">
        <v>10</v>
      </c>
      <c r="D1166" s="2118" t="n">
        <v>1</v>
      </c>
      <c r="E1166" s="2118" t="n">
        <v>0</v>
      </c>
      <c r="G1166" s="1764" t="n"/>
      <c r="H1166" s="1741" t="inlineStr">
        <is>
          <t>SUBETAPA</t>
        </is>
      </c>
      <c r="I1166" s="1742" t="inlineStr">
        <is>
          <t>12.010.001</t>
        </is>
      </c>
      <c r="J1166" s="1743" t="inlineStr">
        <is>
          <t>Sistema de interfone / controle de acesso</t>
        </is>
      </c>
      <c r="K1166" s="1744" t="n"/>
      <c r="L1166" s="1745" t="n"/>
      <c r="M1166" s="1745" t="n"/>
      <c r="N1166" s="1746" t="n">
        <v>2560</v>
      </c>
      <c r="O1166" s="1747" t="n"/>
      <c r="P1166" s="1720" t="n"/>
    </row>
    <row r="1167" hidden="1" outlineLevel="3" ht="13.5" customHeight="1">
      <c r="A1167" s="2117" t="n">
        <v>0</v>
      </c>
      <c r="B1167" s="2117" t="n">
        <v>12</v>
      </c>
      <c r="C1167" s="2117" t="n">
        <v>10</v>
      </c>
      <c r="D1167" s="2118" t="n">
        <v>1</v>
      </c>
      <c r="E1167" s="2118" t="n">
        <v>1</v>
      </c>
      <c r="F1167" s="130" t="n"/>
      <c r="G1167" s="1748" t="inlineStr">
        <is>
          <t>INSTALAÇÕES E EQUIPAMENTOS E SISTEMAS ESPECIAIS</t>
        </is>
      </c>
      <c r="H1167" s="1749" t="inlineStr">
        <is>
          <t>SERVIÇO</t>
        </is>
      </c>
      <c r="I1167" s="1750" t="inlineStr">
        <is>
          <t>12.010.001.001</t>
        </is>
      </c>
      <c r="J1167" s="1751" t="inlineStr">
        <is>
          <t>Sistema de interfone / controle de acesso</t>
        </is>
      </c>
      <c r="K1167" s="1752" t="inlineStr">
        <is>
          <t>vb</t>
        </is>
      </c>
      <c r="L1167" s="1753" t="n">
        <v>1</v>
      </c>
      <c r="M1167" s="1753" t="n">
        <v>2560</v>
      </c>
      <c r="N1167" s="1754" t="n">
        <v>2560</v>
      </c>
      <c r="O1167" s="1761" t="inlineStr">
        <is>
          <t>Repessado pela Gessele na reunião do dia 05/03/2026 - adotar somente infra seca nos aptos</t>
        </is>
      </c>
      <c r="P1167" s="1721" t="inlineStr">
        <is>
          <t>Pendente</t>
        </is>
      </c>
    </row>
    <row r="1168" hidden="1" outlineLevel="2" ht="13.5" customHeight="1">
      <c r="A1168" s="2117" t="n">
        <v>0</v>
      </c>
      <c r="B1168" s="2117" t="n">
        <v>12</v>
      </c>
      <c r="C1168" s="2117" t="n">
        <v>10</v>
      </c>
      <c r="D1168" s="2118" t="n">
        <v>2</v>
      </c>
      <c r="E1168" s="2118" t="n">
        <v>0</v>
      </c>
      <c r="F1168" s="130" t="n"/>
      <c r="G1168" s="1764" t="n"/>
      <c r="H1168" s="1741" t="inlineStr">
        <is>
          <t>SUBETAPA</t>
        </is>
      </c>
      <c r="I1168" s="1742" t="inlineStr">
        <is>
          <t>12.010.002</t>
        </is>
      </c>
      <c r="J1168" s="1743" t="inlineStr">
        <is>
          <t>Telefonia/lógica/internet</t>
        </is>
      </c>
      <c r="K1168" s="1744" t="n"/>
      <c r="L1168" s="1745" t="n"/>
      <c r="M1168" s="1745" t="n"/>
      <c r="N1168" s="1746" t="n"/>
      <c r="O1168" s="1793" t="n"/>
      <c r="P1168" s="1720" t="n"/>
    </row>
    <row r="1169" hidden="1" outlineLevel="3" ht="13.5" customHeight="1">
      <c r="A1169" s="2117" t="n">
        <v>0</v>
      </c>
      <c r="B1169" s="2117" t="n">
        <v>12</v>
      </c>
      <c r="C1169" s="2117" t="n">
        <v>10</v>
      </c>
      <c r="D1169" s="2118" t="n">
        <v>2</v>
      </c>
      <c r="E1169" s="2118" t="n">
        <v>1</v>
      </c>
      <c r="F1169" s="130" t="n"/>
      <c r="G1169" s="1748" t="inlineStr">
        <is>
          <t>INSTALAÇÕES E EQUIPAMENTOS E SISTEMAS ESPECIAIS</t>
        </is>
      </c>
      <c r="H1169" s="1749" t="inlineStr">
        <is>
          <t>SERVIÇO</t>
        </is>
      </c>
      <c r="I1169" s="1750" t="inlineStr">
        <is>
          <t>12.010.002.001</t>
        </is>
      </c>
      <c r="J1169" s="1751" t="inlineStr">
        <is>
          <t>Telefonia/lógica/internet</t>
        </is>
      </c>
      <c r="K1169" s="1752" t="inlineStr">
        <is>
          <t>vb</t>
        </is>
      </c>
      <c r="L1169" s="1753" t="n">
        <v>1</v>
      </c>
      <c r="M1169" s="1753" t="e">
        <v>#REF!</v>
      </c>
      <c r="N1169" s="1754" t="n"/>
      <c r="O1169" s="1755" t="inlineStr">
        <is>
          <t>Telecomunicação utilizado a quantidade de infraestrutura do projetista, demais itens custo estimado, devido ausência de quantitativo</t>
        </is>
      </c>
      <c r="P1169" s="1721" t="inlineStr">
        <is>
          <t>Pendente</t>
        </is>
      </c>
    </row>
    <row r="1170" hidden="1" outlineLevel="1" ht="13.9" customHeight="1">
      <c r="A1170" s="2117" t="n">
        <v>0</v>
      </c>
      <c r="B1170" s="2117" t="n">
        <v>12</v>
      </c>
      <c r="C1170" s="2117" t="n">
        <v>11</v>
      </c>
      <c r="D1170" s="2118" t="n">
        <v>0</v>
      </c>
      <c r="E1170" s="2118" t="n">
        <v>1</v>
      </c>
      <c r="G1170" s="1763" t="n"/>
      <c r="H1170" s="1734" t="inlineStr">
        <is>
          <t>ETAPA</t>
        </is>
      </c>
      <c r="I1170" s="1735" t="inlineStr">
        <is>
          <t>12.011</t>
        </is>
      </c>
      <c r="J1170" s="1736" t="inlineStr">
        <is>
          <t>AUTOMAÇÃO E SISTEMAS LÓGICOS E TELECOMUNICAÇÃO - Penthouse x22</t>
        </is>
      </c>
      <c r="K1170" s="1737" t="n"/>
      <c r="L1170" s="1738" t="n"/>
      <c r="M1170" s="1738" t="n"/>
      <c r="N1170" s="1739" t="n"/>
      <c r="O1170" s="1722" t="n"/>
      <c r="P1170" s="1725" t="n"/>
    </row>
    <row r="1171" hidden="1" outlineLevel="2" ht="13.5" customHeight="1">
      <c r="A1171" s="2117" t="n">
        <v>0</v>
      </c>
      <c r="B1171" s="2117" t="n">
        <v>12</v>
      </c>
      <c r="C1171" s="2117" t="n">
        <v>11</v>
      </c>
      <c r="D1171" s="2118" t="n">
        <v>1</v>
      </c>
      <c r="E1171" s="2118" t="n">
        <v>0</v>
      </c>
      <c r="G1171" s="1764" t="n"/>
      <c r="H1171" s="1741" t="inlineStr">
        <is>
          <t>SUBETAPA</t>
        </is>
      </c>
      <c r="I1171" s="1742" t="inlineStr">
        <is>
          <t>12.011.001</t>
        </is>
      </c>
      <c r="J1171" s="1743" t="inlineStr">
        <is>
          <t>Sistema de interfone / controle de acesso</t>
        </is>
      </c>
      <c r="K1171" s="1744" t="n"/>
      <c r="L1171" s="1745" t="n"/>
      <c r="M1171" s="1745" t="n"/>
      <c r="N1171" s="1746" t="n">
        <v>3520</v>
      </c>
      <c r="O1171" s="1747" t="n"/>
      <c r="P1171" s="1720" t="n"/>
    </row>
    <row r="1172" hidden="1" outlineLevel="3" ht="13.5" customHeight="1">
      <c r="A1172" s="2117" t="n">
        <v>0</v>
      </c>
      <c r="B1172" s="2117" t="n">
        <v>12</v>
      </c>
      <c r="C1172" s="2117" t="n">
        <v>11</v>
      </c>
      <c r="D1172" s="2118" t="n">
        <v>1</v>
      </c>
      <c r="E1172" s="2118" t="n">
        <v>1</v>
      </c>
      <c r="F1172" s="130" t="n"/>
      <c r="G1172" s="1748" t="inlineStr">
        <is>
          <t>INSTALAÇÕES E EQUIPAMENTOS E SISTEMAS ESPECIAIS</t>
        </is>
      </c>
      <c r="H1172" s="1749" t="inlineStr">
        <is>
          <t>SERVIÇO</t>
        </is>
      </c>
      <c r="I1172" s="1750" t="inlineStr">
        <is>
          <t>12.011.001.001</t>
        </is>
      </c>
      <c r="J1172" s="1751" t="inlineStr">
        <is>
          <t>Sistema de interfone / controle de acesso</t>
        </is>
      </c>
      <c r="K1172" s="1752" t="inlineStr">
        <is>
          <t>vb</t>
        </is>
      </c>
      <c r="L1172" s="1753" t="n">
        <v>1</v>
      </c>
      <c r="M1172" s="1753" t="n">
        <v>3520</v>
      </c>
      <c r="N1172" s="1754" t="n">
        <v>3520</v>
      </c>
      <c r="O1172" s="1755" t="inlineStr">
        <is>
          <t>Custo estimado, devido ausência de quantitativo</t>
        </is>
      </c>
      <c r="P1172" s="1721" t="inlineStr">
        <is>
          <t>Pendente</t>
        </is>
      </c>
    </row>
    <row r="1173" hidden="1" outlineLevel="2" ht="13.5" customHeight="1">
      <c r="A1173" s="2117" t="n">
        <v>0</v>
      </c>
      <c r="B1173" s="2117" t="n">
        <v>12</v>
      </c>
      <c r="C1173" s="2117" t="n">
        <v>11</v>
      </c>
      <c r="D1173" s="2118" t="n">
        <v>2</v>
      </c>
      <c r="E1173" s="2118" t="n">
        <v>0</v>
      </c>
      <c r="F1173" s="130" t="n"/>
      <c r="G1173" s="1764" t="n"/>
      <c r="H1173" s="1741" t="inlineStr">
        <is>
          <t>SUBETAPA</t>
        </is>
      </c>
      <c r="I1173" s="1742" t="inlineStr">
        <is>
          <t>12.011.002</t>
        </is>
      </c>
      <c r="J1173" s="1743" t="inlineStr">
        <is>
          <t>Telefonia/lógica/internet</t>
        </is>
      </c>
      <c r="K1173" s="1744" t="n"/>
      <c r="L1173" s="1745" t="n"/>
      <c r="M1173" s="1745" t="n"/>
      <c r="N1173" s="1746" t="n"/>
      <c r="O1173" s="1793" t="n"/>
      <c r="P1173" s="1720" t="n"/>
    </row>
    <row r="1174" hidden="1" outlineLevel="3" ht="13.5" customHeight="1">
      <c r="A1174" s="2117" t="n">
        <v>0</v>
      </c>
      <c r="B1174" s="2117" t="n">
        <v>12</v>
      </c>
      <c r="C1174" s="2117" t="n">
        <v>11</v>
      </c>
      <c r="D1174" s="2118" t="n">
        <v>2</v>
      </c>
      <c r="E1174" s="2118" t="n">
        <v>1</v>
      </c>
      <c r="F1174" s="130" t="n"/>
      <c r="G1174" s="1748" t="inlineStr">
        <is>
          <t>INSTALAÇÕES E EQUIPAMENTOS E SISTEMAS ESPECIAIS</t>
        </is>
      </c>
      <c r="H1174" s="1749" t="inlineStr">
        <is>
          <t>SERVIÇO</t>
        </is>
      </c>
      <c r="I1174" s="1750" t="inlineStr">
        <is>
          <t>12.011.002.001</t>
        </is>
      </c>
      <c r="J1174" s="1751" t="inlineStr">
        <is>
          <t>Telefonia/lógica/internet</t>
        </is>
      </c>
      <c r="K1174" s="1752" t="inlineStr">
        <is>
          <t>vb</t>
        </is>
      </c>
      <c r="L1174" s="1753" t="n">
        <v>1</v>
      </c>
      <c r="M1174" s="1753" t="e">
        <v>#REF!</v>
      </c>
      <c r="N1174" s="1754" t="n"/>
      <c r="O1174" s="1761" t="inlineStr">
        <is>
          <t>Repessado pela Gessele na reunião do dia 05/03/2026 - adotar somente infra seca nos aptos</t>
        </is>
      </c>
      <c r="P1174" s="1721" t="inlineStr">
        <is>
          <t>Pendente</t>
        </is>
      </c>
    </row>
    <row r="1175" hidden="1" outlineLevel="1" ht="13.9" customHeight="1">
      <c r="A1175" s="2117" t="n">
        <v>0</v>
      </c>
      <c r="B1175" s="2117" t="n">
        <v>12</v>
      </c>
      <c r="C1175" s="2117" t="n">
        <v>12</v>
      </c>
      <c r="D1175" s="2118" t="n">
        <v>0</v>
      </c>
      <c r="E1175" s="2118" t="n">
        <v>1</v>
      </c>
      <c r="G1175" s="1763" t="n"/>
      <c r="H1175" s="1734" t="inlineStr">
        <is>
          <t>ETAPA</t>
        </is>
      </c>
      <c r="I1175" s="1735" t="inlineStr">
        <is>
          <t>12.012</t>
        </is>
      </c>
      <c r="J1175" s="1736" t="inlineStr">
        <is>
          <t>AUTOMAÇÃO E SISTEMAS LÓGICOS E TELECOMUNICAÇÃO - Duplex Inferior</t>
        </is>
      </c>
      <c r="K1175" s="1737" t="n"/>
      <c r="L1175" s="1738" t="n"/>
      <c r="M1175" s="1738" t="n"/>
      <c r="N1175" s="1739" t="n"/>
      <c r="O1175" s="1722" t="n"/>
      <c r="P1175" s="1725" t="n"/>
    </row>
    <row r="1176" hidden="1" outlineLevel="2" ht="13.5" customHeight="1">
      <c r="A1176" s="2117" t="n">
        <v>0</v>
      </c>
      <c r="B1176" s="2117" t="n">
        <v>12</v>
      </c>
      <c r="C1176" s="2117" t="n">
        <v>12</v>
      </c>
      <c r="D1176" s="2118" t="n">
        <v>1</v>
      </c>
      <c r="E1176" s="2118" t="n">
        <v>0</v>
      </c>
      <c r="G1176" s="1764" t="n"/>
      <c r="H1176" s="1741" t="inlineStr">
        <is>
          <t>SUBETAPA</t>
        </is>
      </c>
      <c r="I1176" s="1742" t="inlineStr">
        <is>
          <t>12.012.001</t>
        </is>
      </c>
      <c r="J1176" s="1743" t="inlineStr">
        <is>
          <t>Sistema de interfone / controle de acesso</t>
        </is>
      </c>
      <c r="K1176" s="1744" t="n"/>
      <c r="L1176" s="1745" t="n"/>
      <c r="M1176" s="1745" t="n"/>
      <c r="N1176" s="1746" t="n">
        <v>320</v>
      </c>
      <c r="O1176" s="1747" t="n"/>
      <c r="P1176" s="1720" t="n"/>
    </row>
    <row r="1177" hidden="1" outlineLevel="3" ht="13.5" customHeight="1">
      <c r="A1177" s="2117" t="n">
        <v>0</v>
      </c>
      <c r="B1177" s="2117" t="n">
        <v>12</v>
      </c>
      <c r="C1177" s="2117" t="n">
        <v>12</v>
      </c>
      <c r="D1177" s="2118" t="n">
        <v>1</v>
      </c>
      <c r="E1177" s="2118" t="n">
        <v>1</v>
      </c>
      <c r="F1177" s="130" t="n"/>
      <c r="G1177" s="1748" t="inlineStr">
        <is>
          <t>INSTALAÇÕES E EQUIPAMENTOS E SISTEMAS ESPECIAIS</t>
        </is>
      </c>
      <c r="H1177" s="1749" t="inlineStr">
        <is>
          <t>SERVIÇO</t>
        </is>
      </c>
      <c r="I1177" s="1750" t="inlineStr">
        <is>
          <t>12.012.001.001</t>
        </is>
      </c>
      <c r="J1177" s="1751" t="inlineStr">
        <is>
          <t>Sistema de interfone / controle de acesso</t>
        </is>
      </c>
      <c r="K1177" s="1752" t="inlineStr">
        <is>
          <t>vb</t>
        </is>
      </c>
      <c r="L1177" s="1753" t="n">
        <v>1</v>
      </c>
      <c r="M1177" s="1753" t="n">
        <v>320</v>
      </c>
      <c r="N1177" s="1754" t="n">
        <v>320</v>
      </c>
      <c r="O1177" s="1755" t="inlineStr">
        <is>
          <t>Custo estimado, devido ausência de quantitativo</t>
        </is>
      </c>
      <c r="P1177" s="1721" t="inlineStr">
        <is>
          <t>Pendente</t>
        </is>
      </c>
    </row>
    <row r="1178" hidden="1" outlineLevel="2" ht="13.5" customHeight="1">
      <c r="A1178" s="2117" t="n">
        <v>0</v>
      </c>
      <c r="B1178" s="2117" t="n">
        <v>12</v>
      </c>
      <c r="C1178" s="2117" t="n">
        <v>12</v>
      </c>
      <c r="D1178" s="2118" t="n">
        <v>2</v>
      </c>
      <c r="E1178" s="2118" t="n">
        <v>0</v>
      </c>
      <c r="F1178" s="130" t="n"/>
      <c r="G1178" s="1764" t="n"/>
      <c r="H1178" s="1741" t="inlineStr">
        <is>
          <t>SUBETAPA</t>
        </is>
      </c>
      <c r="I1178" s="1742" t="inlineStr">
        <is>
          <t>12.012.002</t>
        </is>
      </c>
      <c r="J1178" s="1743" t="inlineStr">
        <is>
          <t>Telefonia/lógica/internet</t>
        </is>
      </c>
      <c r="K1178" s="1744" t="n"/>
      <c r="L1178" s="1745" t="n"/>
      <c r="M1178" s="1745" t="n"/>
      <c r="N1178" s="1746" t="n"/>
      <c r="O1178" s="1793" t="n"/>
      <c r="P1178" s="1720" t="n"/>
    </row>
    <row r="1179" hidden="1" outlineLevel="3" ht="13.5" customHeight="1">
      <c r="A1179" s="2117" t="n">
        <v>0</v>
      </c>
      <c r="B1179" s="2117" t="n">
        <v>12</v>
      </c>
      <c r="C1179" s="2117" t="n">
        <v>12</v>
      </c>
      <c r="D1179" s="2118" t="n">
        <v>2</v>
      </c>
      <c r="E1179" s="2118" t="n">
        <v>1</v>
      </c>
      <c r="F1179" s="130" t="n"/>
      <c r="G1179" s="1748" t="inlineStr">
        <is>
          <t>INSTALAÇÕES E EQUIPAMENTOS E SISTEMAS ESPECIAIS</t>
        </is>
      </c>
      <c r="H1179" s="1749" t="inlineStr">
        <is>
          <t>SERVIÇO</t>
        </is>
      </c>
      <c r="I1179" s="1750" t="inlineStr">
        <is>
          <t>12.012.002.001</t>
        </is>
      </c>
      <c r="J1179" s="1751" t="inlineStr">
        <is>
          <t>Telefonia/lógica/internet</t>
        </is>
      </c>
      <c r="K1179" s="1752" t="inlineStr">
        <is>
          <t>vb</t>
        </is>
      </c>
      <c r="L1179" s="1753" t="n">
        <v>1</v>
      </c>
      <c r="M1179" s="1753" t="e">
        <v>#REF!</v>
      </c>
      <c r="N1179" s="1754" t="n"/>
      <c r="O1179" s="1761" t="inlineStr">
        <is>
          <t>Repessado pela Gessele na reunião do dia 05/03/2026 - adotar somente infra seca nos aptos</t>
        </is>
      </c>
      <c r="P1179" s="1721" t="inlineStr">
        <is>
          <t>Pendente</t>
        </is>
      </c>
    </row>
    <row r="1180" hidden="1" outlineLevel="1" ht="13.9" customHeight="1">
      <c r="A1180" s="2117" t="n">
        <v>0</v>
      </c>
      <c r="B1180" s="2117" t="n">
        <v>12</v>
      </c>
      <c r="C1180" s="2117" t="n">
        <v>13</v>
      </c>
      <c r="D1180" s="2118" t="n">
        <v>0</v>
      </c>
      <c r="E1180" s="2118" t="n">
        <v>1</v>
      </c>
      <c r="G1180" s="1763" t="n"/>
      <c r="H1180" s="1734" t="inlineStr">
        <is>
          <t>ETAPA</t>
        </is>
      </c>
      <c r="I1180" s="1735" t="inlineStr">
        <is>
          <t>12.013</t>
        </is>
      </c>
      <c r="J1180" s="1736" t="inlineStr">
        <is>
          <t>AUTOMAÇÃO E SISTEMAS LÓGICOS E TELECOMUNICAÇÃO - Duplex Superior</t>
        </is>
      </c>
      <c r="K1180" s="1737" t="n"/>
      <c r="L1180" s="1738" t="n"/>
      <c r="M1180" s="1738" t="n"/>
      <c r="N1180" s="1739" t="n"/>
      <c r="O1180" s="1722" t="n"/>
      <c r="P1180" s="1725" t="n"/>
    </row>
    <row r="1181" hidden="1" outlineLevel="2" ht="13.5" customHeight="1">
      <c r="A1181" s="2117" t="n">
        <v>0</v>
      </c>
      <c r="B1181" s="2117" t="n">
        <v>12</v>
      </c>
      <c r="C1181" s="2117" t="n">
        <v>13</v>
      </c>
      <c r="D1181" s="2118" t="n">
        <v>1</v>
      </c>
      <c r="E1181" s="2118" t="n">
        <v>0</v>
      </c>
      <c r="F1181" s="130" t="n"/>
      <c r="G1181" s="1764" t="n"/>
      <c r="H1181" s="1741" t="inlineStr">
        <is>
          <t>SUBETAPA</t>
        </is>
      </c>
      <c r="I1181" s="1742" t="inlineStr">
        <is>
          <t>12.013.001</t>
        </is>
      </c>
      <c r="J1181" s="1743" t="inlineStr">
        <is>
          <t>Telefonia/lógica/internet</t>
        </is>
      </c>
      <c r="K1181" s="1744" t="n"/>
      <c r="L1181" s="1745" t="n"/>
      <c r="M1181" s="1745" t="n"/>
      <c r="N1181" s="1746" t="n"/>
      <c r="O1181" s="1793" t="n"/>
      <c r="P1181" s="1720" t="n"/>
    </row>
    <row r="1182" hidden="1" outlineLevel="3" ht="13.5" customHeight="1">
      <c r="A1182" s="2117" t="n">
        <v>0</v>
      </c>
      <c r="B1182" s="2117" t="n">
        <v>12</v>
      </c>
      <c r="C1182" s="2117" t="n">
        <v>13</v>
      </c>
      <c r="D1182" s="2118" t="n">
        <v>1</v>
      </c>
      <c r="E1182" s="2118" t="n">
        <v>1</v>
      </c>
      <c r="F1182" s="130" t="n"/>
      <c r="G1182" s="1748" t="inlineStr">
        <is>
          <t>INSTALAÇÕES E EQUIPAMENTOS E SISTEMAS ESPECIAIS</t>
        </is>
      </c>
      <c r="H1182" s="1749" t="inlineStr">
        <is>
          <t>SERVIÇO</t>
        </is>
      </c>
      <c r="I1182" s="1750" t="inlineStr">
        <is>
          <t>12.013.001.001</t>
        </is>
      </c>
      <c r="J1182" s="1751" t="inlineStr">
        <is>
          <t>Telefonia/lógica/internet</t>
        </is>
      </c>
      <c r="K1182" s="1752" t="inlineStr">
        <is>
          <t>vb</t>
        </is>
      </c>
      <c r="L1182" s="1753" t="n">
        <v>1</v>
      </c>
      <c r="M1182" s="1753" t="e">
        <v>#REF!</v>
      </c>
      <c r="N1182" s="1754" t="n"/>
      <c r="O1182" s="1761" t="inlineStr">
        <is>
          <t>Repessado pela Gessele na reunião do dia 05/03/2026 - adotar somente infra seca nos aptos</t>
        </is>
      </c>
      <c r="P1182" s="1721" t="inlineStr">
        <is>
          <t>Pendente</t>
        </is>
      </c>
    </row>
    <row r="1183" collapsed="1" ht="13.5" customHeight="1">
      <c r="A1183" s="2117" t="n">
        <v>0</v>
      </c>
      <c r="B1183" s="2117" t="n">
        <v>13</v>
      </c>
      <c r="C1183" s="2117" t="n">
        <v>0</v>
      </c>
      <c r="D1183" s="2118" t="n">
        <v>1</v>
      </c>
      <c r="E1183" s="2118" t="n">
        <v>1</v>
      </c>
      <c r="F1183" s="474" t="n"/>
      <c r="G1183" s="1794" t="n"/>
      <c r="H1183" s="1766" t="inlineStr">
        <is>
          <t>CÉLULA CONSTRUTIVA</t>
        </is>
      </c>
      <c r="I1183" s="1728" t="inlineStr">
        <is>
          <t>13</t>
        </is>
      </c>
      <c r="J1183" s="1795" t="inlineStr">
        <is>
          <t>IMPERMEABILIZAÇÃO E TRATAMENTOS</t>
        </is>
      </c>
      <c r="K1183" s="1768" t="n"/>
      <c r="L1183" s="1769" t="n"/>
      <c r="M1183" s="1769" t="n"/>
      <c r="N1183" s="1732" t="n">
        <v>1076652.81713433</v>
      </c>
      <c r="O1183" s="1770" t="n">
        <v>64.27904652057821</v>
      </c>
      <c r="P1183" s="1718" t="n"/>
    </row>
    <row r="1184" hidden="1" outlineLevel="1" ht="13.5" customHeight="1">
      <c r="A1184" s="2117" t="n">
        <v>0</v>
      </c>
      <c r="B1184" s="2117" t="n">
        <v>13</v>
      </c>
      <c r="C1184" s="2117" t="n">
        <v>1</v>
      </c>
      <c r="D1184" s="2118" t="n">
        <v>0</v>
      </c>
      <c r="E1184" s="2118" t="n">
        <v>1</v>
      </c>
      <c r="G1184" s="1796" t="n"/>
      <c r="H1184" s="1771" t="inlineStr">
        <is>
          <t>ETAPA</t>
        </is>
      </c>
      <c r="I1184" s="1735" t="inlineStr">
        <is>
          <t>13.001</t>
        </is>
      </c>
      <c r="J1184" s="1773" t="inlineStr">
        <is>
          <t>IMPERMEABILIZAÇÃO E TRATAMENTOS - Térreo</t>
        </is>
      </c>
      <c r="K1184" s="1774" t="n"/>
      <c r="L1184" s="1775" t="n"/>
      <c r="M1184" s="1775" t="n"/>
      <c r="N1184" s="1739" t="n">
        <v>67700.351232</v>
      </c>
      <c r="O1184" s="1776" t="n">
        <v>4.04189164514883</v>
      </c>
      <c r="P1184" s="1719" t="n"/>
    </row>
    <row r="1185" hidden="1" outlineLevel="2" ht="13.5" customHeight="1">
      <c r="A1185" s="2117" t="n">
        <v>0</v>
      </c>
      <c r="B1185" s="2117" t="n">
        <v>13</v>
      </c>
      <c r="C1185" s="2117" t="n">
        <v>1</v>
      </c>
      <c r="D1185" s="2118" t="n">
        <v>1</v>
      </c>
      <c r="E1185" s="2118" t="n">
        <v>0</v>
      </c>
      <c r="G1185" s="1797" t="n"/>
      <c r="H1185" s="1777" t="inlineStr">
        <is>
          <t>SUBETAPA</t>
        </is>
      </c>
      <c r="I1185" s="1742" t="inlineStr">
        <is>
          <t>13.001.001</t>
        </is>
      </c>
      <c r="J1185" s="1779" t="inlineStr">
        <is>
          <t>Regularização e proteção mecânica</t>
        </is>
      </c>
      <c r="K1185" s="1780" t="n"/>
      <c r="L1185" s="1781" t="n"/>
      <c r="M1185" s="1781" t="n"/>
      <c r="N1185" s="1746" t="n">
        <v>2052.645332</v>
      </c>
      <c r="O1185" s="1782" t="n">
        <v>0.122548404356623</v>
      </c>
      <c r="P1185" s="1720" t="n"/>
    </row>
    <row r="1186" hidden="1" outlineLevel="3" ht="13.5" customHeight="1">
      <c r="A1186" s="2117" t="n">
        <v>0</v>
      </c>
      <c r="B1186" s="2117" t="n">
        <v>13</v>
      </c>
      <c r="C1186" s="2117" t="n">
        <v>1</v>
      </c>
      <c r="D1186" s="2118" t="n">
        <v>1</v>
      </c>
      <c r="E1186" s="2118" t="n">
        <v>1</v>
      </c>
      <c r="G1186" s="1798" t="inlineStr">
        <is>
          <t>IMPERMEABILIZAÇÃO</t>
        </is>
      </c>
      <c r="H1186" s="1783" t="inlineStr">
        <is>
          <t>SERVIÇO</t>
        </is>
      </c>
      <c r="I1186" s="1750" t="inlineStr">
        <is>
          <t>13.001.001.001</t>
        </is>
      </c>
      <c r="J1186" s="1785" t="inlineStr">
        <is>
          <t xml:space="preserve">Regularização de superfície para impermeabilização </t>
        </is>
      </c>
      <c r="K1186" s="1786" t="inlineStr">
        <is>
          <t>m2</t>
        </is>
      </c>
      <c r="L1186" s="1787" t="n">
        <v>242.58</v>
      </c>
      <c r="M1186" s="1787" t="n">
        <v>7.065899999999999</v>
      </c>
      <c r="N1186" s="1754" t="n">
        <v>1714.046022</v>
      </c>
      <c r="O1186" s="1788" t="inlineStr">
        <is>
          <t>Toda área de piso que recebe impermeabilização</t>
        </is>
      </c>
      <c r="P1186" s="1721" t="inlineStr">
        <is>
          <t>Pendente</t>
        </is>
      </c>
    </row>
    <row r="1187" hidden="1" outlineLevel="3" ht="13.5" customHeight="1">
      <c r="A1187" s="2117" t="n">
        <v>0</v>
      </c>
      <c r="B1187" s="2117" t="n">
        <v>13</v>
      </c>
      <c r="C1187" s="2117" t="n">
        <v>1</v>
      </c>
      <c r="D1187" s="2118" t="n">
        <v>1</v>
      </c>
      <c r="E1187" s="2118" t="n">
        <v>2</v>
      </c>
      <c r="G1187" s="1798" t="inlineStr">
        <is>
          <t>IMPERMEABILIZAÇÃO</t>
        </is>
      </c>
      <c r="H1187" s="1783" t="inlineStr">
        <is>
          <t>SERVIÇO</t>
        </is>
      </c>
      <c r="I1187" s="1750" t="inlineStr">
        <is>
          <t>13.001.001.002</t>
        </is>
      </c>
      <c r="J1187" s="1785" t="inlineStr">
        <is>
          <t>Proteção mecânica de superfície com argamassa de cimento e areia, traço 1:3 E=5cm</t>
        </is>
      </c>
      <c r="K1187" s="1786" t="inlineStr">
        <is>
          <t>m2</t>
        </is>
      </c>
      <c r="L1187" s="1787" t="n">
        <v>6.86</v>
      </c>
      <c r="M1187" s="1787" t="n">
        <v>49.3585</v>
      </c>
      <c r="N1187" s="1754" t="n">
        <v>338.59931</v>
      </c>
      <c r="O1187" s="1788" t="inlineStr">
        <is>
          <t>Toda área de piso que recebe impermeabilização de manta asfáltica</t>
        </is>
      </c>
      <c r="P1187" s="1721" t="inlineStr">
        <is>
          <t>Pendente</t>
        </is>
      </c>
    </row>
    <row r="1188" hidden="1" outlineLevel="2" ht="13.5" customHeight="1">
      <c r="A1188" s="2117" t="n">
        <v>0</v>
      </c>
      <c r="B1188" s="2117" t="n">
        <v>13</v>
      </c>
      <c r="C1188" s="2117" t="n">
        <v>1</v>
      </c>
      <c r="D1188" s="2118" t="n">
        <v>2</v>
      </c>
      <c r="E1188" s="2118" t="n">
        <v>0</v>
      </c>
      <c r="G1188" s="1797" t="n"/>
      <c r="H1188" s="1777" t="inlineStr">
        <is>
          <t>SUBETAPA</t>
        </is>
      </c>
      <c r="I1188" s="1742" t="inlineStr">
        <is>
          <t>13.001.002</t>
        </is>
      </c>
      <c r="J1188" s="1779" t="inlineStr">
        <is>
          <t>Impermeabilização de fundação e contenção</t>
        </is>
      </c>
      <c r="K1188" s="1780" t="n"/>
      <c r="L1188" s="1781" t="n"/>
      <c r="M1188" s="1781" t="n"/>
      <c r="N1188" s="1746" t="n">
        <v>20378.466</v>
      </c>
      <c r="O1188" s="1782" t="n"/>
      <c r="P1188" s="1720" t="n"/>
    </row>
    <row r="1189" hidden="1" outlineLevel="3" ht="13.5" customHeight="1">
      <c r="A1189" s="2117" t="n">
        <v>0</v>
      </c>
      <c r="B1189" s="2117" t="n">
        <v>13</v>
      </c>
      <c r="C1189" s="2117" t="n">
        <v>1</v>
      </c>
      <c r="D1189" s="2118" t="n">
        <v>2</v>
      </c>
      <c r="E1189" s="2118" t="n">
        <v>1</v>
      </c>
      <c r="G1189" s="1798" t="inlineStr">
        <is>
          <t>IMPERMEABILIZAÇÃO</t>
        </is>
      </c>
      <c r="H1189" s="1783" t="inlineStr">
        <is>
          <t>SERVIÇO</t>
        </is>
      </c>
      <c r="I1189" s="1750" t="inlineStr">
        <is>
          <t>13.001.002.001</t>
        </is>
      </c>
      <c r="J1189" s="1785" t="inlineStr">
        <is>
          <t>Impermeabilização de Baldrames com Tinta Asfáltica (Neutrol)</t>
        </is>
      </c>
      <c r="K1189" s="1786" t="inlineStr">
        <is>
          <t>m2</t>
        </is>
      </c>
      <c r="L1189" s="1787" t="n">
        <v>698.8499999999999</v>
      </c>
      <c r="M1189" s="1787" t="n">
        <v>29.16</v>
      </c>
      <c r="N1189" s="1754" t="n">
        <v>20378.466</v>
      </c>
      <c r="O1189" s="1788" t="n"/>
      <c r="P1189" s="1721" t="inlineStr">
        <is>
          <t>Pendente</t>
        </is>
      </c>
    </row>
    <row r="1190" hidden="1" outlineLevel="2" ht="13.5" customHeight="1">
      <c r="A1190" s="2117" t="n">
        <v>0</v>
      </c>
      <c r="B1190" s="2117" t="n">
        <v>13</v>
      </c>
      <c r="C1190" s="2117" t="n">
        <v>1</v>
      </c>
      <c r="D1190" s="2118" t="n">
        <v>3</v>
      </c>
      <c r="E1190" s="2118" t="n">
        <v>0</v>
      </c>
      <c r="G1190" s="1797" t="n"/>
      <c r="H1190" s="1777" t="inlineStr">
        <is>
          <t>SUBETAPA</t>
        </is>
      </c>
      <c r="I1190" s="1742" t="inlineStr">
        <is>
          <t>13.001.003</t>
        </is>
      </c>
      <c r="J1190" s="1779" t="inlineStr">
        <is>
          <t>Impermeabilização de banheiro, cozinha, área de serviço, área técnica, área comum, fosso do elevador e sacada</t>
        </is>
      </c>
      <c r="K1190" s="1780" t="n"/>
      <c r="L1190" s="1781" t="n"/>
      <c r="M1190" s="1781" t="n"/>
      <c r="N1190" s="1746" t="n">
        <v>6753.191274</v>
      </c>
      <c r="O1190" s="1782" t="n"/>
      <c r="P1190" s="1720" t="n"/>
    </row>
    <row r="1191" hidden="1" outlineLevel="3" ht="13.5" customHeight="1">
      <c r="A1191" s="2117" t="n">
        <v>0</v>
      </c>
      <c r="B1191" s="2117" t="n">
        <v>13</v>
      </c>
      <c r="C1191" s="2117" t="n">
        <v>1</v>
      </c>
      <c r="D1191" s="2118" t="n">
        <v>3</v>
      </c>
      <c r="E1191" s="2118" t="n">
        <v>1</v>
      </c>
      <c r="G1191" s="1798" t="inlineStr">
        <is>
          <t>IMPERMEABILIZAÇÃO</t>
        </is>
      </c>
      <c r="H1191" s="1783" t="inlineStr">
        <is>
          <t>SERVIÇO</t>
        </is>
      </c>
      <c r="I1191" s="1750" t="inlineStr">
        <is>
          <t>13.001.003.001</t>
        </is>
      </c>
      <c r="J1191" s="1785" t="inlineStr">
        <is>
          <t>Sistema 2.1.4:Argamassa polimérica para impermeabilização | Argamassa impermeabilizante bicomponente à base de aditivos minerais e polímeros (4,0 kg/m²) + Tela de poliéster nos pontos críticos</t>
        </is>
      </c>
      <c r="K1191" s="1786" t="inlineStr">
        <is>
          <t>m2</t>
        </is>
      </c>
      <c r="L1191" s="1787" t="n">
        <v>97.67</v>
      </c>
      <c r="M1191" s="1787" t="n">
        <v>46.2118</v>
      </c>
      <c r="N1191" s="1754" t="n">
        <v>4513.506506</v>
      </c>
      <c r="O1191" s="1788" t="inlineStr">
        <is>
          <t>Elevador + casa de bombas</t>
        </is>
      </c>
      <c r="P1191" s="1721" t="inlineStr">
        <is>
          <t>Pendente</t>
        </is>
      </c>
    </row>
    <row r="1192" hidden="1" outlineLevel="3" ht="13.5" customHeight="1">
      <c r="A1192" s="2117" t="n">
        <v>0</v>
      </c>
      <c r="B1192" s="2117" t="n">
        <v>13</v>
      </c>
      <c r="C1192" s="2117" t="n">
        <v>1</v>
      </c>
      <c r="D1192" s="2118" t="n">
        <v>3</v>
      </c>
      <c r="E1192" s="2118" t="n">
        <v>2</v>
      </c>
      <c r="G1192" s="1798" t="inlineStr">
        <is>
          <t>IMPERMEABILIZAÇÃO</t>
        </is>
      </c>
      <c r="H1192" s="1783" t="inlineStr">
        <is>
          <t>SERVIÇO</t>
        </is>
      </c>
      <c r="I1192" s="1750" t="inlineStr">
        <is>
          <t>13.001.003.002</t>
        </is>
      </c>
      <c r="J1192" s="1785" t="inlineStr">
        <is>
          <t>Sistema 2.5.3: Membrana de polímero acrílico com cimento e fibras sintéticas | Revestimento bicomponente à base de polímeros acrílicos com adição de cimento e fibras sintéticas (3,0 kg/m²) + Tela de poliéster nos pontos críticos</t>
        </is>
      </c>
      <c r="K1192" s="1786" t="inlineStr">
        <is>
          <t>m2</t>
        </is>
      </c>
      <c r="L1192" s="1787" t="n">
        <v>65.75999999999999</v>
      </c>
      <c r="M1192" s="1787" t="n">
        <v>34.05846666666666</v>
      </c>
      <c r="N1192" s="1754" t="n">
        <v>2239.684768</v>
      </c>
      <c r="O1192" s="1788" t="inlineStr">
        <is>
          <t>Banheiro + área de serviço + casa de máquinas</t>
        </is>
      </c>
      <c r="P1192" s="1721" t="inlineStr">
        <is>
          <t>Pendente</t>
        </is>
      </c>
    </row>
    <row r="1193" hidden="1" outlineLevel="2" ht="13.5" customHeight="1">
      <c r="A1193" s="2117" t="n">
        <v>0</v>
      </c>
      <c r="B1193" s="2117" t="n">
        <v>13</v>
      </c>
      <c r="C1193" s="2117" t="n">
        <v>1</v>
      </c>
      <c r="D1193" s="2118" t="n">
        <v>4</v>
      </c>
      <c r="E1193" s="2118" t="n">
        <v>0</v>
      </c>
      <c r="G1193" s="1797" t="n"/>
      <c r="H1193" s="1777" t="inlineStr">
        <is>
          <t>SUBETAPA</t>
        </is>
      </c>
      <c r="I1193" s="1742" t="inlineStr">
        <is>
          <t>13.001.004</t>
        </is>
      </c>
      <c r="J1193" s="1779" t="inlineStr">
        <is>
          <t>Impermeabilização de esquadrias</t>
        </is>
      </c>
      <c r="K1193" s="1780" t="n"/>
      <c r="L1193" s="1781" t="n"/>
      <c r="M1193" s="1781" t="n"/>
      <c r="N1193" s="1746" t="n">
        <v>19.413326</v>
      </c>
      <c r="O1193" s="1782" t="n"/>
      <c r="P1193" s="1720" t="n"/>
    </row>
    <row r="1194" hidden="1" outlineLevel="3" ht="13.5" customHeight="1">
      <c r="A1194" s="2117" t="n">
        <v>0</v>
      </c>
      <c r="B1194" s="2117" t="n">
        <v>13</v>
      </c>
      <c r="C1194" s="2117" t="n">
        <v>1</v>
      </c>
      <c r="D1194" s="2118" t="n">
        <v>4</v>
      </c>
      <c r="E1194" s="2118" t="n">
        <v>1</v>
      </c>
      <c r="G1194" s="1798" t="inlineStr">
        <is>
          <t>IMPERMEABILIZAÇÃO</t>
        </is>
      </c>
      <c r="H1194" s="1783" t="inlineStr">
        <is>
          <t>SERVIÇO</t>
        </is>
      </c>
      <c r="I1194" s="1750" t="inlineStr">
        <is>
          <t>13.001.004.001</t>
        </is>
      </c>
      <c r="J1194" s="1785" t="inlineStr">
        <is>
          <t>Sistema 2.5.3: Membrana de polímero acrílico com cimento e fibras sintéticas | Revestimento bicomponente à base de polímeros acrílicos com adição de cimento e fibras sintéticas (3,0 kg/m²) + Tela de poliéster nos pontos críticos</t>
        </is>
      </c>
      <c r="K1194" s="1786" t="inlineStr">
        <is>
          <t>m2</t>
        </is>
      </c>
      <c r="L1194" s="1787" t="n">
        <v>0.57</v>
      </c>
      <c r="M1194" s="1787" t="n">
        <v>34.05846666666666</v>
      </c>
      <c r="N1194" s="1754" t="n">
        <v>19.413326</v>
      </c>
      <c r="O1194" s="1788" t="n"/>
      <c r="P1194" s="1721" t="inlineStr">
        <is>
          <t>Pendente</t>
        </is>
      </c>
    </row>
    <row r="1195" hidden="1" outlineLevel="2" ht="13.5" customHeight="1">
      <c r="A1195" s="2117" t="n">
        <v>0</v>
      </c>
      <c r="B1195" s="2117" t="n">
        <v>13</v>
      </c>
      <c r="C1195" s="2117" t="n">
        <v>1</v>
      </c>
      <c r="D1195" s="2118" t="n">
        <v>5</v>
      </c>
      <c r="E1195" s="2118" t="n">
        <v>0</v>
      </c>
      <c r="G1195" s="1797" t="n"/>
      <c r="H1195" s="1777" t="inlineStr">
        <is>
          <t>SUBETAPA</t>
        </is>
      </c>
      <c r="I1195" s="1742" t="inlineStr">
        <is>
          <t>13.001.005</t>
        </is>
      </c>
      <c r="J1195" s="1779" t="inlineStr">
        <is>
          <t>Impermeabilização de ralos</t>
        </is>
      </c>
      <c r="K1195" s="1780" t="n"/>
      <c r="L1195" s="1781" t="n"/>
      <c r="M1195" s="1781" t="n"/>
      <c r="N1195" s="1746" t="n">
        <v>70.08011999999999</v>
      </c>
      <c r="O1195" s="1782" t="n"/>
      <c r="P1195" s="1720" t="n"/>
    </row>
    <row r="1196" hidden="1" outlineLevel="3" ht="13.5" customHeight="1">
      <c r="A1196" s="2117" t="n">
        <v>0</v>
      </c>
      <c r="B1196" s="2117" t="n">
        <v>13</v>
      </c>
      <c r="C1196" s="2117" t="n">
        <v>1</v>
      </c>
      <c r="D1196" s="2118" t="n">
        <v>5</v>
      </c>
      <c r="E1196" s="2118" t="n">
        <v>1</v>
      </c>
      <c r="G1196" s="1798" t="inlineStr">
        <is>
          <t>IMPERMEABILIZAÇÃO</t>
        </is>
      </c>
      <c r="H1196" s="1783" t="inlineStr">
        <is>
          <t>SERVIÇO</t>
        </is>
      </c>
      <c r="I1196" s="1750" t="inlineStr">
        <is>
          <t>13.001.005.001</t>
        </is>
      </c>
      <c r="J1196" s="1785" t="inlineStr">
        <is>
          <t>Tratamento De Ralo Ou Ponto Emergente Com Argamassa Polimérica Reforçado Com Tela De Poliéster</t>
        </is>
      </c>
      <c r="K1196" s="1786" t="inlineStr">
        <is>
          <t>un</t>
        </is>
      </c>
      <c r="L1196" s="1787" t="n">
        <v>8</v>
      </c>
      <c r="M1196" s="1787" t="n">
        <v>8.760015000000001</v>
      </c>
      <c r="N1196" s="1754" t="n">
        <v>70.08011999999999</v>
      </c>
      <c r="O1196" s="1788" t="inlineStr">
        <is>
          <t>2 por banheiro + 1 por lavabo + 2 por área de serviço + 1 por área técnica + 1 por cozinha + 1 por sacada + 1 por torneira de jardin</t>
        </is>
      </c>
      <c r="P1196" s="1721" t="inlineStr">
        <is>
          <t>Pendente</t>
        </is>
      </c>
    </row>
    <row r="1197" hidden="1" outlineLevel="2" ht="13.5" customHeight="1">
      <c r="A1197" s="2117" t="n">
        <v>0</v>
      </c>
      <c r="B1197" s="2117" t="n">
        <v>13</v>
      </c>
      <c r="C1197" s="2117" t="n">
        <v>1</v>
      </c>
      <c r="D1197" s="2118" t="n">
        <v>6</v>
      </c>
      <c r="E1197" s="2118" t="n">
        <v>0</v>
      </c>
      <c r="G1197" s="1797" t="n"/>
      <c r="H1197" s="1777" t="inlineStr">
        <is>
          <t>SUBETAPA</t>
        </is>
      </c>
      <c r="I1197" s="1742" t="inlineStr">
        <is>
          <t>13.001.006</t>
        </is>
      </c>
      <c r="J1197" s="1779" t="inlineStr">
        <is>
          <t>Impermeabilização de Floreiras</t>
        </is>
      </c>
      <c r="K1197" s="1780" t="n"/>
      <c r="L1197" s="1781" t="n"/>
      <c r="M1197" s="1781" t="n"/>
      <c r="N1197" s="1746" t="n">
        <v>6660.19518</v>
      </c>
      <c r="O1197" s="1782" t="n"/>
      <c r="P1197" s="1720" t="n"/>
    </row>
    <row r="1198" hidden="1" outlineLevel="3" ht="13.5" customHeight="1">
      <c r="A1198" s="2117" t="n">
        <v>0</v>
      </c>
      <c r="B1198" s="2117" t="n">
        <v>13</v>
      </c>
      <c r="C1198" s="2117" t="n">
        <v>1</v>
      </c>
      <c r="D1198" s="2118" t="n">
        <v>6</v>
      </c>
      <c r="E1198" s="2118" t="n">
        <v>1</v>
      </c>
      <c r="G1198" s="1798" t="inlineStr">
        <is>
          <t>IMPERMEABILIZAÇÃO</t>
        </is>
      </c>
      <c r="H1198" s="1783" t="inlineStr">
        <is>
          <t>SERVIÇO</t>
        </is>
      </c>
      <c r="I1198" s="1750" t="inlineStr">
        <is>
          <t>13.001.006.001</t>
        </is>
      </c>
      <c r="J1198" s="1785" t="inlineStr">
        <is>
          <t>Sistema 4.5.3:Primer asfáltico à base d'água (0,4 L/m²) + Asfalto oxidado modificado (2,5 kg/m²) + Manta asfáltica AA 4mm Tipo III Classe B + Banho de asfalto oxidado modificado (2,5 kg/m²) + Emulsão asfáltica antiraiz sobre a proteção mecânica (0,8 L/m²)</t>
        </is>
      </c>
      <c r="K1198" s="1786" t="inlineStr">
        <is>
          <t>m2</t>
        </is>
      </c>
      <c r="L1198" s="1787" t="n">
        <v>36.76</v>
      </c>
      <c r="M1198" s="1787" t="n">
        <v>181.1805</v>
      </c>
      <c r="N1198" s="1754" t="n">
        <v>6660.19518</v>
      </c>
      <c r="O1198" s="1788" t="inlineStr">
        <is>
          <t>Floreiras</t>
        </is>
      </c>
      <c r="P1198" s="1721" t="inlineStr">
        <is>
          <t>Pendente</t>
        </is>
      </c>
    </row>
    <row r="1199" hidden="1" outlineLevel="2" ht="13.5" customHeight="1">
      <c r="A1199" s="2117" t="n">
        <v>0</v>
      </c>
      <c r="B1199" s="2117" t="n">
        <v>13</v>
      </c>
      <c r="C1199" s="2117" t="n">
        <v>1</v>
      </c>
      <c r="D1199" s="2118" t="n">
        <v>7</v>
      </c>
      <c r="E1199" s="2118" t="n">
        <v>0</v>
      </c>
      <c r="G1199" s="1797" t="n"/>
      <c r="H1199" s="1777" t="inlineStr">
        <is>
          <t>SUBETAPA</t>
        </is>
      </c>
      <c r="I1199" s="1742" t="inlineStr">
        <is>
          <t>13.001.007</t>
        </is>
      </c>
      <c r="J1199" s="1779" t="inlineStr">
        <is>
          <t>Mão de Obra</t>
        </is>
      </c>
      <c r="K1199" s="1780" t="n"/>
      <c r="L1199" s="1781" t="n"/>
      <c r="M1199" s="1781" t="n"/>
      <c r="N1199" s="1746" t="n">
        <v>31766.36</v>
      </c>
      <c r="O1199" s="1782" t="n"/>
      <c r="P1199" s="1720" t="n"/>
    </row>
    <row r="1200" hidden="1" outlineLevel="3" ht="13.5" customHeight="1">
      <c r="A1200" s="2117" t="n">
        <v>0</v>
      </c>
      <c r="B1200" s="2117" t="n">
        <v>13</v>
      </c>
      <c r="C1200" s="2117" t="n">
        <v>1</v>
      </c>
      <c r="D1200" s="2118" t="n">
        <v>7</v>
      </c>
      <c r="E1200" s="2118" t="n">
        <v>1</v>
      </c>
      <c r="G1200" s="1798" t="inlineStr">
        <is>
          <t>IMPERMEABILIZAÇÃO</t>
        </is>
      </c>
      <c r="H1200" s="1783" t="inlineStr">
        <is>
          <t>SERVIÇO</t>
        </is>
      </c>
      <c r="I1200" s="1750" t="inlineStr">
        <is>
          <t>13.001.007.001</t>
        </is>
      </c>
      <c r="J1200" s="1785" t="inlineStr">
        <is>
          <t xml:space="preserve">Mão de obra para regularização de superfície </t>
        </is>
      </c>
      <c r="K1200" s="1786" t="inlineStr">
        <is>
          <t>m2</t>
        </is>
      </c>
      <c r="L1200" s="1787" t="n">
        <v>242.58</v>
      </c>
      <c r="M1200" s="1787" t="n">
        <v>20</v>
      </c>
      <c r="N1200" s="1754" t="n">
        <v>4851.6</v>
      </c>
      <c r="O1200" s="1788" t="n"/>
      <c r="P1200" s="1721" t="inlineStr">
        <is>
          <t>Pendente</t>
        </is>
      </c>
    </row>
    <row r="1201" hidden="1" outlineLevel="3" ht="13.5" customHeight="1">
      <c r="A1201" s="2117" t="n">
        <v>0</v>
      </c>
      <c r="B1201" s="2117" t="n">
        <v>13</v>
      </c>
      <c r="C1201" s="2117" t="n">
        <v>1</v>
      </c>
      <c r="D1201" s="2118" t="n">
        <v>7</v>
      </c>
      <c r="E1201" s="2118" t="n">
        <v>2</v>
      </c>
      <c r="G1201" s="1798" t="inlineStr">
        <is>
          <t>IMPERMEABILIZAÇÃO</t>
        </is>
      </c>
      <c r="H1201" s="1783" t="inlineStr">
        <is>
          <t>SERVIÇO</t>
        </is>
      </c>
      <c r="I1201" s="1750" t="inlineStr">
        <is>
          <t>13.001.007.002</t>
        </is>
      </c>
      <c r="J1201" s="1785" t="inlineStr">
        <is>
          <t>Mão de obra para proteção mecânica</t>
        </is>
      </c>
      <c r="K1201" s="1786" t="inlineStr">
        <is>
          <t>m2</t>
        </is>
      </c>
      <c r="L1201" s="1787" t="n">
        <v>6.86</v>
      </c>
      <c r="M1201" s="1787" t="n">
        <v>35</v>
      </c>
      <c r="N1201" s="1754" t="n">
        <v>240.1</v>
      </c>
      <c r="O1201" s="1788" t="n"/>
      <c r="P1201" s="1721" t="inlineStr">
        <is>
          <t>Pendente</t>
        </is>
      </c>
    </row>
    <row r="1202" hidden="1" outlineLevel="3" ht="13.5" customHeight="1">
      <c r="A1202" s="2117" t="n">
        <v>0</v>
      </c>
      <c r="B1202" s="2117" t="n">
        <v>13</v>
      </c>
      <c r="C1202" s="2117" t="n">
        <v>1</v>
      </c>
      <c r="D1202" s="2118" t="n">
        <v>7</v>
      </c>
      <c r="E1202" s="2118" t="n">
        <v>3</v>
      </c>
      <c r="G1202" s="1798" t="inlineStr">
        <is>
          <t>IMPERMEABILIZAÇÃO</t>
        </is>
      </c>
      <c r="H1202" s="1783" t="inlineStr">
        <is>
          <t>SERVIÇO</t>
        </is>
      </c>
      <c r="I1202" s="1750" t="inlineStr">
        <is>
          <t>13.001.007.003</t>
        </is>
      </c>
      <c r="J1202" s="1785" t="inlineStr">
        <is>
          <t>Mão de obra impermeabilização com emulsão Asfaltica</t>
        </is>
      </c>
      <c r="K1202" s="1786" t="inlineStr">
        <is>
          <t>m2</t>
        </is>
      </c>
      <c r="L1202" s="1787" t="n">
        <v>698.8499999999999</v>
      </c>
      <c r="M1202" s="1787" t="n">
        <v>28</v>
      </c>
      <c r="N1202" s="1754" t="n">
        <v>19567.8</v>
      </c>
      <c r="O1202" s="1788" t="n"/>
      <c r="P1202" s="1721" t="inlineStr">
        <is>
          <t>Pendente</t>
        </is>
      </c>
    </row>
    <row r="1203" hidden="1" outlineLevel="3" ht="13.5" customHeight="1">
      <c r="A1203" s="2117" t="n">
        <v>0</v>
      </c>
      <c r="B1203" s="2117" t="n">
        <v>13</v>
      </c>
      <c r="C1203" s="2117" t="n">
        <v>1</v>
      </c>
      <c r="D1203" s="2118" t="n">
        <v>7</v>
      </c>
      <c r="E1203" s="2118" t="n">
        <v>4</v>
      </c>
      <c r="G1203" s="1798" t="inlineStr">
        <is>
          <t>IMPERMEABILIZAÇÃO</t>
        </is>
      </c>
      <c r="H1203" s="1783" t="inlineStr">
        <is>
          <t>SERVIÇO</t>
        </is>
      </c>
      <c r="I1203" s="1750" t="inlineStr">
        <is>
          <t>13.001.007.004</t>
        </is>
      </c>
      <c r="J1203" s="1785" t="inlineStr">
        <is>
          <t>Mão de obra impermeabilização sistema 2.1.4</t>
        </is>
      </c>
      <c r="K1203" s="1786" t="inlineStr">
        <is>
          <t>m2</t>
        </is>
      </c>
      <c r="L1203" s="1787" t="n">
        <v>97.67</v>
      </c>
      <c r="M1203" s="1787" t="n">
        <v>30</v>
      </c>
      <c r="N1203" s="1754" t="n">
        <v>2930.1</v>
      </c>
      <c r="O1203" s="1788" t="n"/>
      <c r="P1203" s="1721" t="inlineStr">
        <is>
          <t>Pendente</t>
        </is>
      </c>
    </row>
    <row r="1204" hidden="1" outlineLevel="3" ht="13.5" customHeight="1">
      <c r="A1204" s="2117" t="n">
        <v>0</v>
      </c>
      <c r="B1204" s="2117" t="n">
        <v>13</v>
      </c>
      <c r="C1204" s="2117" t="n">
        <v>1</v>
      </c>
      <c r="D1204" s="2118" t="n">
        <v>7</v>
      </c>
      <c r="E1204" s="2118" t="n">
        <v>5</v>
      </c>
      <c r="G1204" s="1798" t="inlineStr">
        <is>
          <t>IMPERMEABILIZAÇÃO</t>
        </is>
      </c>
      <c r="H1204" s="1783" t="inlineStr">
        <is>
          <t>SERVIÇO</t>
        </is>
      </c>
      <c r="I1204" s="1750" t="inlineStr">
        <is>
          <t>13.001.007.005</t>
        </is>
      </c>
      <c r="J1204" s="1785" t="inlineStr">
        <is>
          <t>Mão de obra impermeabilização sistema 2.5.3</t>
        </is>
      </c>
      <c r="K1204" s="1786" t="inlineStr">
        <is>
          <t>m2</t>
        </is>
      </c>
      <c r="L1204" s="1787" t="n">
        <v>66.32999999999998</v>
      </c>
      <c r="M1204" s="1787" t="n">
        <v>32</v>
      </c>
      <c r="N1204" s="1754" t="n">
        <v>2122.56</v>
      </c>
      <c r="O1204" s="1788" t="inlineStr">
        <is>
          <t>Mão de obra aplicação (2 demãos + reforço pontos críticos)</t>
        </is>
      </c>
      <c r="P1204" s="1721" t="inlineStr">
        <is>
          <t>Pendente</t>
        </is>
      </c>
    </row>
    <row r="1205" hidden="1" outlineLevel="3" ht="13.5" customHeight="1">
      <c r="A1205" s="2117" t="n">
        <v>0</v>
      </c>
      <c r="B1205" s="2117" t="n">
        <v>13</v>
      </c>
      <c r="C1205" s="2117" t="n">
        <v>1</v>
      </c>
      <c r="D1205" s="2118" t="n">
        <v>7</v>
      </c>
      <c r="E1205" s="2118" t="n">
        <v>6</v>
      </c>
      <c r="G1205" s="1798" t="inlineStr">
        <is>
          <t>IMPERMEABILIZAÇÃO</t>
        </is>
      </c>
      <c r="H1205" s="1783" t="inlineStr">
        <is>
          <t>SERVIÇO</t>
        </is>
      </c>
      <c r="I1205" s="1750" t="inlineStr">
        <is>
          <t>13.001.007.006</t>
        </is>
      </c>
      <c r="J1205" s="1785" t="inlineStr">
        <is>
          <t>Mão de obra impermeabilização sistema 4.5.3</t>
        </is>
      </c>
      <c r="K1205" s="1786" t="inlineStr">
        <is>
          <t>m2</t>
        </is>
      </c>
      <c r="L1205" s="1787" t="n">
        <v>36.76</v>
      </c>
      <c r="M1205" s="1787" t="n">
        <v>45</v>
      </c>
      <c r="N1205" s="1754" t="n">
        <v>1654.2</v>
      </c>
      <c r="O1205" s="1788" t="inlineStr">
        <is>
          <t>Mão de obra maçarico + sobreposição</t>
        </is>
      </c>
      <c r="P1205" s="1721" t="inlineStr">
        <is>
          <t>Pendente</t>
        </is>
      </c>
    </row>
    <row r="1206" hidden="1" outlineLevel="3" ht="13.5" customHeight="1">
      <c r="A1206" s="2117" t="n">
        <v>0</v>
      </c>
      <c r="B1206" s="2117" t="n">
        <v>13</v>
      </c>
      <c r="C1206" s="2117" t="n">
        <v>1</v>
      </c>
      <c r="D1206" s="2118" t="n">
        <v>7</v>
      </c>
      <c r="E1206" s="2118" t="n">
        <v>7</v>
      </c>
      <c r="G1206" s="1798" t="inlineStr">
        <is>
          <t>IMPERMEABILIZAÇÃO</t>
        </is>
      </c>
      <c r="H1206" s="1783" t="inlineStr">
        <is>
          <t>SERVIÇO</t>
        </is>
      </c>
      <c r="I1206" s="1750" t="inlineStr">
        <is>
          <t>13.001.007.007</t>
        </is>
      </c>
      <c r="J1206" s="1751" t="inlineStr">
        <is>
          <t>Mão de obra tratamento de ralo com manta de poliéster</t>
        </is>
      </c>
      <c r="K1206" s="1786" t="inlineStr">
        <is>
          <t>un</t>
        </is>
      </c>
      <c r="L1206" s="1787" t="n">
        <v>8</v>
      </c>
      <c r="M1206" s="1787" t="n">
        <v>50</v>
      </c>
      <c r="N1206" s="1754" t="n">
        <v>400</v>
      </c>
      <c r="O1206" s="1788" t="n"/>
      <c r="P1206" s="1721" t="inlineStr">
        <is>
          <t>Pendente</t>
        </is>
      </c>
    </row>
    <row r="1207" hidden="1" outlineLevel="1" ht="13.5" customHeight="1">
      <c r="A1207" s="2117" t="n">
        <v>0</v>
      </c>
      <c r="B1207" s="2117" t="n">
        <v>13</v>
      </c>
      <c r="C1207" s="2117" t="n">
        <v>2</v>
      </c>
      <c r="D1207" s="2118" t="n">
        <v>0</v>
      </c>
      <c r="E1207" s="2118" t="n">
        <v>7</v>
      </c>
      <c r="G1207" s="1796" t="n"/>
      <c r="H1207" s="1771" t="inlineStr">
        <is>
          <t>ETAPA</t>
        </is>
      </c>
      <c r="I1207" s="1735" t="inlineStr">
        <is>
          <t>13.002</t>
        </is>
      </c>
      <c r="J1207" s="1773" t="inlineStr">
        <is>
          <t>IMPERMEABILIZAÇÃO E TRATAMENTOS - Mezanino G1</t>
        </is>
      </c>
      <c r="K1207" s="1774" t="n"/>
      <c r="L1207" s="1775" t="n"/>
      <c r="M1207" s="1775" t="n"/>
      <c r="N1207" s="1739" t="n">
        <v>840.608524666667</v>
      </c>
      <c r="O1207" s="1776" t="n">
        <v>0.0501865723125689</v>
      </c>
      <c r="P1207" s="1719" t="n"/>
    </row>
    <row r="1208" hidden="1" outlineLevel="2" ht="13.5" customHeight="1">
      <c r="A1208" s="2117" t="n">
        <v>0</v>
      </c>
      <c r="B1208" s="2117" t="n">
        <v>13</v>
      </c>
      <c r="C1208" s="2117" t="n">
        <v>2</v>
      </c>
      <c r="D1208" s="2118" t="n">
        <v>1</v>
      </c>
      <c r="E1208" s="2118" t="n">
        <v>0</v>
      </c>
      <c r="G1208" s="1797" t="n"/>
      <c r="H1208" s="1777" t="inlineStr">
        <is>
          <t>SUBETAPA</t>
        </is>
      </c>
      <c r="I1208" s="1742" t="inlineStr">
        <is>
          <t>13.002.001</t>
        </is>
      </c>
      <c r="J1208" s="1779" t="inlineStr">
        <is>
          <t>Impermeabilização de esquadrias</t>
        </is>
      </c>
      <c r="K1208" s="1780" t="n"/>
      <c r="L1208" s="1781" t="n"/>
      <c r="M1208" s="1781" t="n"/>
      <c r="N1208" s="1746" t="n">
        <v>424.368494666667</v>
      </c>
      <c r="O1208" s="1782" t="n"/>
      <c r="P1208" s="1720" t="n"/>
    </row>
    <row r="1209" hidden="1" outlineLevel="3" ht="13.5" customHeight="1">
      <c r="A1209" s="2117" t="n">
        <v>0</v>
      </c>
      <c r="B1209" s="2117" t="n">
        <v>13</v>
      </c>
      <c r="C1209" s="2117" t="n">
        <v>2</v>
      </c>
      <c r="D1209" s="2118" t="n">
        <v>1</v>
      </c>
      <c r="E1209" s="2118" t="n">
        <v>1</v>
      </c>
      <c r="G1209" s="1798" t="inlineStr">
        <is>
          <t>IMPERMEABILIZAÇÃO</t>
        </is>
      </c>
      <c r="H1209" s="1783" t="inlineStr">
        <is>
          <t>SERVIÇO</t>
        </is>
      </c>
      <c r="I1209" s="1750" t="inlineStr">
        <is>
          <t>13.002.001.001</t>
        </is>
      </c>
      <c r="J1209" s="1785" t="inlineStr">
        <is>
          <t>Sistema 2.5.3: Membrana de polímero acrílico com cimento e fibras sintéticas | Revestimento bicomponente à base de polímeros acrílicos com adição de cimento e fibras sintéticas (3,0 kg/m²) + Tela de poliéster nos pontos críticos</t>
        </is>
      </c>
      <c r="K1209" s="1786" t="inlineStr">
        <is>
          <t>m2</t>
        </is>
      </c>
      <c r="L1209" s="1787" t="n">
        <v>12.46</v>
      </c>
      <c r="M1209" s="1787" t="n">
        <v>34.05846666666666</v>
      </c>
      <c r="N1209" s="1754" t="n">
        <v>424.368494666667</v>
      </c>
      <c r="O1209" s="1788" t="n"/>
      <c r="P1209" s="1721" t="inlineStr">
        <is>
          <t>Pendente</t>
        </is>
      </c>
    </row>
    <row r="1210" hidden="1" outlineLevel="2" ht="13.5" customHeight="1">
      <c r="A1210" s="2117" t="n">
        <v>0</v>
      </c>
      <c r="B1210" s="2117" t="n">
        <v>13</v>
      </c>
      <c r="C1210" s="2117" t="n">
        <v>2</v>
      </c>
      <c r="D1210" s="2118" t="n">
        <v>2</v>
      </c>
      <c r="E1210" s="2118" t="n">
        <v>0</v>
      </c>
      <c r="G1210" s="1797" t="n"/>
      <c r="H1210" s="1777" t="inlineStr">
        <is>
          <t>SUBETAPA</t>
        </is>
      </c>
      <c r="I1210" s="1742" t="inlineStr">
        <is>
          <t>13.002.002</t>
        </is>
      </c>
      <c r="J1210" s="1779" t="inlineStr">
        <is>
          <t>Impermeabilização de ralos</t>
        </is>
      </c>
      <c r="K1210" s="1780" t="n"/>
      <c r="L1210" s="1781" t="n"/>
      <c r="M1210" s="1781" t="n"/>
      <c r="N1210" s="1746" t="n">
        <v>17.52003</v>
      </c>
      <c r="O1210" s="1782" t="n"/>
      <c r="P1210" s="1720" t="n"/>
    </row>
    <row r="1211" hidden="1" outlineLevel="3" ht="13.5" customHeight="1">
      <c r="A1211" s="2117" t="n">
        <v>0</v>
      </c>
      <c r="B1211" s="2117" t="n">
        <v>13</v>
      </c>
      <c r="C1211" s="2117" t="n">
        <v>2</v>
      </c>
      <c r="D1211" s="2118" t="n">
        <v>2</v>
      </c>
      <c r="E1211" s="2118" t="n">
        <v>1</v>
      </c>
      <c r="G1211" s="1798" t="inlineStr">
        <is>
          <t>IMPERMEABILIZAÇÃO</t>
        </is>
      </c>
      <c r="H1211" s="1783" t="inlineStr">
        <is>
          <t>SERVIÇO</t>
        </is>
      </c>
      <c r="I1211" s="1750" t="inlineStr">
        <is>
          <t>13.002.002.001</t>
        </is>
      </c>
      <c r="J1211" s="1785" t="inlineStr">
        <is>
          <t>Tratamento De Ralo Ou Ponto Emergente Com Argamassa Polimérica Reforçado Com Tela De Poliéster</t>
        </is>
      </c>
      <c r="K1211" s="1786" t="inlineStr">
        <is>
          <t>un</t>
        </is>
      </c>
      <c r="L1211" s="1787" t="n">
        <v>2</v>
      </c>
      <c r="M1211" s="1787" t="n">
        <v>8.760015000000001</v>
      </c>
      <c r="N1211" s="1754" t="n">
        <v>17.52003</v>
      </c>
      <c r="O1211" s="1788" t="inlineStr">
        <is>
          <t>2 por banheiro + 1 por lavabo + 2 por área de serviço + 1 por área técnica + 1 por cozinha + 1 por sacada + 1 por torneira de jardin</t>
        </is>
      </c>
      <c r="P1211" s="1721" t="inlineStr">
        <is>
          <t>Pendente</t>
        </is>
      </c>
    </row>
    <row r="1212" hidden="1" outlineLevel="2" ht="13.5" customHeight="1">
      <c r="A1212" s="2117" t="n">
        <v>0</v>
      </c>
      <c r="B1212" s="2117" t="n">
        <v>13</v>
      </c>
      <c r="C1212" s="2117" t="n">
        <v>2</v>
      </c>
      <c r="D1212" s="2118" t="n">
        <v>3</v>
      </c>
      <c r="E1212" s="2118" t="n">
        <v>0</v>
      </c>
      <c r="G1212" s="1797" t="n"/>
      <c r="H1212" s="1777" t="inlineStr">
        <is>
          <t>SUBETAPA</t>
        </is>
      </c>
      <c r="I1212" s="1742" t="inlineStr">
        <is>
          <t>13.002.003</t>
        </is>
      </c>
      <c r="J1212" s="1779" t="inlineStr">
        <is>
          <t>Mão de Obra</t>
        </is>
      </c>
      <c r="K1212" s="1780" t="n"/>
      <c r="L1212" s="1781" t="n"/>
      <c r="M1212" s="1781" t="n"/>
      <c r="N1212" s="1746" t="n">
        <v>398.72</v>
      </c>
      <c r="O1212" s="1782" t="n"/>
      <c r="P1212" s="1720" t="n"/>
    </row>
    <row r="1213" hidden="1" outlineLevel="3" ht="13.5" customHeight="1">
      <c r="A1213" s="2117" t="n">
        <v>0</v>
      </c>
      <c r="B1213" s="2117" t="n">
        <v>13</v>
      </c>
      <c r="C1213" s="2117" t="n">
        <v>2</v>
      </c>
      <c r="D1213" s="2118" t="n">
        <v>3</v>
      </c>
      <c r="E1213" s="2118" t="n">
        <v>1</v>
      </c>
      <c r="G1213" s="1798" t="inlineStr">
        <is>
          <t>IMPERMEABILIZAÇÃO</t>
        </is>
      </c>
      <c r="H1213" s="1783" t="inlineStr">
        <is>
          <t>SERVIÇO</t>
        </is>
      </c>
      <c r="I1213" s="1750" t="inlineStr">
        <is>
          <t>13.002.003.001</t>
        </is>
      </c>
      <c r="J1213" s="1785" t="inlineStr">
        <is>
          <t>Mão de obra impermeabilização sistema 2.5.3</t>
        </is>
      </c>
      <c r="K1213" s="1786" t="inlineStr">
        <is>
          <t>m2</t>
        </is>
      </c>
      <c r="L1213" s="1787" t="n">
        <v>12.46</v>
      </c>
      <c r="M1213" s="1787" t="n">
        <v>32</v>
      </c>
      <c r="N1213" s="1754" t="n">
        <v>398.72</v>
      </c>
      <c r="O1213" s="1788" t="n"/>
      <c r="P1213" s="1721" t="inlineStr">
        <is>
          <t>Pendente</t>
        </is>
      </c>
    </row>
    <row r="1214" hidden="1" outlineLevel="1" ht="13.5" customHeight="1">
      <c r="A1214" s="2117" t="n">
        <v>0</v>
      </c>
      <c r="B1214" s="2117" t="n">
        <v>13</v>
      </c>
      <c r="C1214" s="2117" t="n">
        <v>3</v>
      </c>
      <c r="D1214" s="2118" t="n">
        <v>0</v>
      </c>
      <c r="E1214" s="2118" t="n">
        <v>1</v>
      </c>
      <c r="G1214" s="1796" t="n"/>
      <c r="H1214" s="1771" t="inlineStr">
        <is>
          <t>ETAPA</t>
        </is>
      </c>
      <c r="I1214" s="1735" t="inlineStr">
        <is>
          <t>13.003</t>
        </is>
      </c>
      <c r="J1214" s="1773" t="inlineStr">
        <is>
          <t>IMPERMEABILIZAÇÃO E TRATAMENTOS - G2</t>
        </is>
      </c>
      <c r="K1214" s="1774" t="n"/>
      <c r="L1214" s="1775" t="n"/>
      <c r="M1214" s="1775" t="n"/>
      <c r="N1214" s="1739" t="n">
        <v>2061.36898866667</v>
      </c>
      <c r="O1214" s="1776" t="n">
        <v>0.123069229941048</v>
      </c>
      <c r="P1214" s="1719" t="n"/>
    </row>
    <row r="1215" hidden="1" outlineLevel="2" ht="13.5" customHeight="1">
      <c r="A1215" s="2117" t="n">
        <v>0</v>
      </c>
      <c r="B1215" s="2117" t="n">
        <v>13</v>
      </c>
      <c r="C1215" s="2117" t="n">
        <v>3</v>
      </c>
      <c r="D1215" s="2118" t="n">
        <v>1</v>
      </c>
      <c r="E1215" s="2118" t="n">
        <v>0</v>
      </c>
      <c r="G1215" s="1797" t="n"/>
      <c r="H1215" s="1777" t="inlineStr">
        <is>
          <t>SUBETAPA</t>
        </is>
      </c>
      <c r="I1215" s="1742" t="inlineStr">
        <is>
          <t>13.003.001</t>
        </is>
      </c>
      <c r="J1215" s="1779" t="inlineStr">
        <is>
          <t>Impermeabilização de esquadrias</t>
        </is>
      </c>
      <c r="K1215" s="1780" t="n"/>
      <c r="L1215" s="1781" t="n"/>
      <c r="M1215" s="1781" t="n"/>
      <c r="N1215" s="1746" t="n">
        <v>1053.76895866667</v>
      </c>
      <c r="O1215" s="1782" t="n"/>
      <c r="P1215" s="1720" t="n"/>
    </row>
    <row r="1216" hidden="1" outlineLevel="3" ht="13.5" customHeight="1">
      <c r="A1216" s="2117" t="n">
        <v>0</v>
      </c>
      <c r="B1216" s="2117" t="n">
        <v>13</v>
      </c>
      <c r="C1216" s="2117" t="n">
        <v>3</v>
      </c>
      <c r="D1216" s="2118" t="n">
        <v>1</v>
      </c>
      <c r="E1216" s="2118" t="n">
        <v>1</v>
      </c>
      <c r="G1216" s="1798" t="inlineStr">
        <is>
          <t>IMPERMEABILIZAÇÃO</t>
        </is>
      </c>
      <c r="H1216" s="1783" t="inlineStr">
        <is>
          <t>SERVIÇO</t>
        </is>
      </c>
      <c r="I1216" s="1750" t="inlineStr">
        <is>
          <t>13.003.001.001</t>
        </is>
      </c>
      <c r="J1216" s="1785" t="inlineStr">
        <is>
          <t>Sistema 2.5.3: Membrana de polímero acrílico com cimento e fibras sintéticas | Revestimento bicomponente à base de polímeros acrílicos com adição de cimento e fibras sintéticas (3,0 kg/m²) + Tela de poliéster nos pontos críticos</t>
        </is>
      </c>
      <c r="K1216" s="1786" t="inlineStr">
        <is>
          <t>m2</t>
        </is>
      </c>
      <c r="L1216" s="1787" t="n">
        <v>30.94</v>
      </c>
      <c r="M1216" s="1787" t="n">
        <v>34.05846666666666</v>
      </c>
      <c r="N1216" s="1754" t="n">
        <v>1053.76895866667</v>
      </c>
      <c r="O1216" s="1788" t="n"/>
      <c r="P1216" s="1721" t="inlineStr">
        <is>
          <t>Pendente</t>
        </is>
      </c>
    </row>
    <row r="1217" hidden="1" outlineLevel="2" ht="13.5" customHeight="1">
      <c r="A1217" s="2117" t="n">
        <v>0</v>
      </c>
      <c r="B1217" s="2117" t="n">
        <v>13</v>
      </c>
      <c r="C1217" s="2117" t="n">
        <v>3</v>
      </c>
      <c r="D1217" s="2118" t="n">
        <v>2</v>
      </c>
      <c r="E1217" s="2118" t="n">
        <v>0</v>
      </c>
      <c r="G1217" s="1797" t="n"/>
      <c r="H1217" s="1777" t="inlineStr">
        <is>
          <t>SUBETAPA</t>
        </is>
      </c>
      <c r="I1217" s="1742" t="inlineStr">
        <is>
          <t>13.003.002</t>
        </is>
      </c>
      <c r="J1217" s="1779" t="inlineStr">
        <is>
          <t>Impermeabilização de ralos</t>
        </is>
      </c>
      <c r="K1217" s="1780" t="n"/>
      <c r="L1217" s="1781" t="n"/>
      <c r="M1217" s="1781" t="n"/>
      <c r="N1217" s="1746" t="n">
        <v>17.52003</v>
      </c>
      <c r="O1217" s="1782" t="n"/>
      <c r="P1217" s="1720" t="n"/>
    </row>
    <row r="1218" hidden="1" outlineLevel="3" ht="13.5" customHeight="1">
      <c r="A1218" s="2117" t="n">
        <v>0</v>
      </c>
      <c r="B1218" s="2117" t="n">
        <v>13</v>
      </c>
      <c r="C1218" s="2117" t="n">
        <v>3</v>
      </c>
      <c r="D1218" s="2118" t="n">
        <v>2</v>
      </c>
      <c r="E1218" s="2118" t="n">
        <v>1</v>
      </c>
      <c r="G1218" s="1798" t="inlineStr">
        <is>
          <t>IMPERMEABILIZAÇÃO</t>
        </is>
      </c>
      <c r="H1218" s="1783" t="inlineStr">
        <is>
          <t>SERVIÇO</t>
        </is>
      </c>
      <c r="I1218" s="1750" t="inlineStr">
        <is>
          <t>13.003.002.001</t>
        </is>
      </c>
      <c r="J1218" s="1785" t="inlineStr">
        <is>
          <t>Tratamento De Ralo Ou Ponto Emergente Com Argamassa Polimérica Reforçado Com Tela De Poliéster</t>
        </is>
      </c>
      <c r="K1218" s="1786" t="inlineStr">
        <is>
          <t>un</t>
        </is>
      </c>
      <c r="L1218" s="1787" t="n">
        <v>2</v>
      </c>
      <c r="M1218" s="1787" t="n">
        <v>8.760015000000001</v>
      </c>
      <c r="N1218" s="1754" t="n">
        <v>17.52003</v>
      </c>
      <c r="O1218" s="1788" t="inlineStr">
        <is>
          <t>2 por banheiro + 1 por lavabo + 2 por área de serviço + 1 por área técnica + 1 por cozinha + 1 por sacada + 1 por torneira de jardin</t>
        </is>
      </c>
      <c r="P1218" s="1721" t="inlineStr">
        <is>
          <t>Pendente</t>
        </is>
      </c>
    </row>
    <row r="1219" hidden="1" outlineLevel="2" ht="13.5" customHeight="1">
      <c r="A1219" s="2117" t="n">
        <v>0</v>
      </c>
      <c r="B1219" s="2117" t="n">
        <v>13</v>
      </c>
      <c r="C1219" s="2117" t="n">
        <v>3</v>
      </c>
      <c r="D1219" s="2118" t="n">
        <v>3</v>
      </c>
      <c r="E1219" s="2118" t="n">
        <v>0</v>
      </c>
      <c r="G1219" s="1797" t="n"/>
      <c r="H1219" s="1777" t="inlineStr">
        <is>
          <t>SUBETAPA</t>
        </is>
      </c>
      <c r="I1219" s="1742" t="inlineStr">
        <is>
          <t>13.003.003</t>
        </is>
      </c>
      <c r="J1219" s="1779" t="inlineStr">
        <is>
          <t>Mão de Obra</t>
        </is>
      </c>
      <c r="K1219" s="1780" t="n"/>
      <c r="L1219" s="1781" t="n"/>
      <c r="M1219" s="1781" t="n"/>
      <c r="N1219" s="1746" t="n">
        <v>990.08</v>
      </c>
      <c r="O1219" s="1782" t="n"/>
      <c r="P1219" s="1720" t="n"/>
    </row>
    <row r="1220" hidden="1" outlineLevel="3" ht="13.5" customHeight="1">
      <c r="A1220" s="2117" t="n">
        <v>0</v>
      </c>
      <c r="B1220" s="2117" t="n">
        <v>13</v>
      </c>
      <c r="C1220" s="2117" t="n">
        <v>3</v>
      </c>
      <c r="D1220" s="2118" t="n">
        <v>3</v>
      </c>
      <c r="E1220" s="2118" t="n">
        <v>1</v>
      </c>
      <c r="G1220" s="1798" t="inlineStr">
        <is>
          <t>IMPERMEABILIZAÇÃO</t>
        </is>
      </c>
      <c r="H1220" s="1783" t="inlineStr">
        <is>
          <t>SERVIÇO</t>
        </is>
      </c>
      <c r="I1220" s="1750" t="inlineStr">
        <is>
          <t>13.003.003.001</t>
        </is>
      </c>
      <c r="J1220" s="1785" t="inlineStr">
        <is>
          <t>Mão de obra impermeabilização sistema 2.5.3</t>
        </is>
      </c>
      <c r="K1220" s="1786" t="inlineStr">
        <is>
          <t>m2</t>
        </is>
      </c>
      <c r="L1220" s="1787" t="n">
        <v>30.94</v>
      </c>
      <c r="M1220" s="1787" t="n">
        <v>32</v>
      </c>
      <c r="N1220" s="1754" t="n">
        <v>990.08</v>
      </c>
      <c r="O1220" s="1788" t="n"/>
      <c r="P1220" s="1721" t="inlineStr">
        <is>
          <t>Pendente</t>
        </is>
      </c>
    </row>
    <row r="1221" hidden="1" outlineLevel="1" ht="13.5" customHeight="1">
      <c r="A1221" s="2117" t="n">
        <v>0</v>
      </c>
      <c r="B1221" s="2117" t="n">
        <v>13</v>
      </c>
      <c r="C1221" s="2117" t="n">
        <v>4</v>
      </c>
      <c r="D1221" s="2118" t="n">
        <v>0</v>
      </c>
      <c r="E1221" s="2118" t="n">
        <v>1</v>
      </c>
      <c r="G1221" s="1796" t="n"/>
      <c r="H1221" s="1771" t="inlineStr">
        <is>
          <t>ETAPA</t>
        </is>
      </c>
      <c r="I1221" s="1735" t="inlineStr">
        <is>
          <t>13.004</t>
        </is>
      </c>
      <c r="J1221" s="1773" t="inlineStr">
        <is>
          <t>IMPERMEABILIZAÇÃO E TRATAMENTOS - Mezanino G2</t>
        </is>
      </c>
      <c r="K1221" s="1774" t="n"/>
      <c r="L1221" s="1775" t="n"/>
      <c r="M1221" s="1775" t="n"/>
      <c r="N1221" s="1739" t="n">
        <v>1688.79923666667</v>
      </c>
      <c r="O1221" s="1776" t="n">
        <v>0.100825821444044</v>
      </c>
      <c r="P1221" s="1719" t="n"/>
    </row>
    <row r="1222" hidden="1" outlineLevel="2" ht="13.5" customHeight="1">
      <c r="A1222" s="2117" t="n">
        <v>0</v>
      </c>
      <c r="B1222" s="2117" t="n">
        <v>13</v>
      </c>
      <c r="C1222" s="2117" t="n">
        <v>4</v>
      </c>
      <c r="D1222" s="2118" t="n">
        <v>1</v>
      </c>
      <c r="E1222" s="2118" t="n">
        <v>0</v>
      </c>
      <c r="G1222" s="1797" t="n"/>
      <c r="H1222" s="1777" t="inlineStr">
        <is>
          <t>SUBETAPA</t>
        </is>
      </c>
      <c r="I1222" s="1742" t="inlineStr">
        <is>
          <t>13.004.001</t>
        </is>
      </c>
      <c r="J1222" s="1779" t="inlineStr">
        <is>
          <t>Impermeabilização de esquadrias</t>
        </is>
      </c>
      <c r="K1222" s="1780" t="n"/>
      <c r="L1222" s="1781" t="n"/>
      <c r="M1222" s="1781" t="n"/>
      <c r="N1222" s="1746" t="n">
        <v>861.679206666667</v>
      </c>
      <c r="O1222" s="1782" t="n"/>
      <c r="P1222" s="1720" t="n"/>
    </row>
    <row r="1223" hidden="1" outlineLevel="3" ht="13.5" customHeight="1">
      <c r="A1223" s="2117" t="n">
        <v>0</v>
      </c>
      <c r="B1223" s="2117" t="n">
        <v>13</v>
      </c>
      <c r="C1223" s="2117" t="n">
        <v>4</v>
      </c>
      <c r="D1223" s="2118" t="n">
        <v>1</v>
      </c>
      <c r="E1223" s="2118" t="n">
        <v>1</v>
      </c>
      <c r="G1223" s="1798" t="inlineStr">
        <is>
          <t>IMPERMEABILIZAÇÃO</t>
        </is>
      </c>
      <c r="H1223" s="1783" t="inlineStr">
        <is>
          <t>SERVIÇO</t>
        </is>
      </c>
      <c r="I1223" s="1750" t="inlineStr">
        <is>
          <t>13.004.001.001</t>
        </is>
      </c>
      <c r="J1223" s="1785" t="inlineStr">
        <is>
          <t>Sistema 2.5.3: Membrana de polímero acrílico com cimento e fibras sintéticas | Revestimento bicomponente à base de polímeros acrílicos com adição de cimento e fibras sintéticas (3,0 kg/m²) + Tela de poliéster nos pontos críticos</t>
        </is>
      </c>
      <c r="K1223" s="1786" t="inlineStr">
        <is>
          <t>m2</t>
        </is>
      </c>
      <c r="L1223" s="1787" t="n">
        <v>25.3</v>
      </c>
      <c r="M1223" s="1787" t="n">
        <v>34.05846666666666</v>
      </c>
      <c r="N1223" s="1754" t="n">
        <v>861.679206666667</v>
      </c>
      <c r="O1223" s="1788" t="n"/>
      <c r="P1223" s="1721" t="inlineStr">
        <is>
          <t>Pendente</t>
        </is>
      </c>
    </row>
    <row r="1224" hidden="1" outlineLevel="2" ht="13.5" customHeight="1">
      <c r="A1224" s="2117" t="n">
        <v>0</v>
      </c>
      <c r="B1224" s="2117" t="n">
        <v>13</v>
      </c>
      <c r="C1224" s="2117" t="n">
        <v>4</v>
      </c>
      <c r="D1224" s="2118" t="n">
        <v>2</v>
      </c>
      <c r="E1224" s="2118" t="n">
        <v>0</v>
      </c>
      <c r="G1224" s="1797" t="n"/>
      <c r="H1224" s="1777" t="inlineStr">
        <is>
          <t>SUBETAPA</t>
        </is>
      </c>
      <c r="I1224" s="1742" t="inlineStr">
        <is>
          <t>13.004.002</t>
        </is>
      </c>
      <c r="J1224" s="1779" t="inlineStr">
        <is>
          <t>Impermeabilização de ralos</t>
        </is>
      </c>
      <c r="K1224" s="1780" t="n"/>
      <c r="L1224" s="1781" t="n"/>
      <c r="M1224" s="1781" t="n"/>
      <c r="N1224" s="1746" t="n">
        <v>17.52003</v>
      </c>
      <c r="O1224" s="1782" t="n"/>
      <c r="P1224" s="1720" t="n"/>
    </row>
    <row r="1225" hidden="1" outlineLevel="3" ht="13.5" customHeight="1">
      <c r="A1225" s="2117" t="n">
        <v>0</v>
      </c>
      <c r="B1225" s="2117" t="n">
        <v>13</v>
      </c>
      <c r="C1225" s="2117" t="n">
        <v>4</v>
      </c>
      <c r="D1225" s="2118" t="n">
        <v>2</v>
      </c>
      <c r="E1225" s="2118" t="n">
        <v>1</v>
      </c>
      <c r="G1225" s="1798" t="inlineStr">
        <is>
          <t>IMPERMEABILIZAÇÃO</t>
        </is>
      </c>
      <c r="H1225" s="1783" t="inlineStr">
        <is>
          <t>SERVIÇO</t>
        </is>
      </c>
      <c r="I1225" s="1750" t="inlineStr">
        <is>
          <t>13.004.002.001</t>
        </is>
      </c>
      <c r="J1225" s="1785" t="inlineStr">
        <is>
          <t>Tratamento De Ralo Ou Ponto Emergente Com Argamassa Polimérica Reforçado Com Tela De Poliéster</t>
        </is>
      </c>
      <c r="K1225" s="1786" t="inlineStr">
        <is>
          <t>un</t>
        </is>
      </c>
      <c r="L1225" s="1787" t="n">
        <v>2</v>
      </c>
      <c r="M1225" s="1787" t="n">
        <v>8.760015000000001</v>
      </c>
      <c r="N1225" s="1754" t="n">
        <v>17.52003</v>
      </c>
      <c r="O1225" s="1788" t="inlineStr">
        <is>
          <t>2 por banheiro + 1 por lavabo + 2 por área de serviço + 1 por área técnica + 1 por cozinha + 1 por sacada + 1 por torneira de jardin</t>
        </is>
      </c>
      <c r="P1225" s="1721" t="inlineStr">
        <is>
          <t>Pendente</t>
        </is>
      </c>
    </row>
    <row r="1226" hidden="1" outlineLevel="2" ht="13.5" customHeight="1">
      <c r="A1226" s="2117" t="n">
        <v>0</v>
      </c>
      <c r="B1226" s="2117" t="n">
        <v>13</v>
      </c>
      <c r="C1226" s="2117" t="n">
        <v>4</v>
      </c>
      <c r="D1226" s="2118" t="n">
        <v>3</v>
      </c>
      <c r="E1226" s="2118" t="n">
        <v>0</v>
      </c>
      <c r="G1226" s="1797" t="n"/>
      <c r="H1226" s="1777" t="inlineStr">
        <is>
          <t>SUBETAPA</t>
        </is>
      </c>
      <c r="I1226" s="1742" t="inlineStr">
        <is>
          <t>13.004.003</t>
        </is>
      </c>
      <c r="J1226" s="1779" t="inlineStr">
        <is>
          <t>Mão de Obra</t>
        </is>
      </c>
      <c r="K1226" s="1780" t="n"/>
      <c r="L1226" s="1781" t="n"/>
      <c r="M1226" s="1781" t="n"/>
      <c r="N1226" s="1746" t="n">
        <v>809.6</v>
      </c>
      <c r="O1226" s="1782" t="n"/>
      <c r="P1226" s="1720" t="n"/>
    </row>
    <row r="1227" hidden="1" outlineLevel="3" ht="13.5" customHeight="1">
      <c r="A1227" s="2117" t="n">
        <v>0</v>
      </c>
      <c r="B1227" s="2117" t="n">
        <v>13</v>
      </c>
      <c r="C1227" s="2117" t="n">
        <v>4</v>
      </c>
      <c r="D1227" s="2118" t="n">
        <v>3</v>
      </c>
      <c r="E1227" s="2118" t="n">
        <v>1</v>
      </c>
      <c r="G1227" s="1798" t="inlineStr">
        <is>
          <t>IMPERMEABILIZAÇÃO</t>
        </is>
      </c>
      <c r="H1227" s="1783" t="inlineStr">
        <is>
          <t>SERVIÇO</t>
        </is>
      </c>
      <c r="I1227" s="1750" t="inlineStr">
        <is>
          <t>13.004.003.001</t>
        </is>
      </c>
      <c r="J1227" s="1785" t="inlineStr">
        <is>
          <t>Mão de obra impermeabilização sistema 2.5.3</t>
        </is>
      </c>
      <c r="K1227" s="1786" t="inlineStr">
        <is>
          <t>m2</t>
        </is>
      </c>
      <c r="L1227" s="1787" t="n">
        <v>25.3</v>
      </c>
      <c r="M1227" s="1787" t="n">
        <v>32</v>
      </c>
      <c r="N1227" s="1754" t="n">
        <v>809.6</v>
      </c>
      <c r="O1227" s="1788" t="n"/>
      <c r="P1227" s="1721" t="inlineStr">
        <is>
          <t>Pendente</t>
        </is>
      </c>
    </row>
    <row r="1228" hidden="1" outlineLevel="1" ht="13.5" customHeight="1">
      <c r="A1228" s="2117" t="n">
        <v>0</v>
      </c>
      <c r="B1228" s="2117" t="n">
        <v>13</v>
      </c>
      <c r="C1228" s="2117" t="n">
        <v>5</v>
      </c>
      <c r="D1228" s="2118" t="n">
        <v>0</v>
      </c>
      <c r="E1228" s="2118" t="n">
        <v>1</v>
      </c>
      <c r="G1228" s="1796" t="n"/>
      <c r="H1228" s="1771" t="inlineStr">
        <is>
          <t>ETAPA</t>
        </is>
      </c>
      <c r="I1228" s="1735" t="inlineStr">
        <is>
          <t>13.005</t>
        </is>
      </c>
      <c r="J1228" s="1773" t="inlineStr">
        <is>
          <t>IMPERMEABILIZAÇÃO E TRATAMENTOS - G3</t>
        </is>
      </c>
      <c r="K1228" s="1774" t="n"/>
      <c r="L1228" s="1775" t="n"/>
      <c r="M1228" s="1775" t="n"/>
      <c r="N1228" s="1739" t="n">
        <v>5211.58356866667</v>
      </c>
      <c r="O1228" s="1776" t="n">
        <v>0.311145447562051</v>
      </c>
      <c r="P1228" s="1719" t="n"/>
    </row>
    <row r="1229" hidden="1" outlineLevel="2" ht="13.5" customHeight="1">
      <c r="A1229" s="2117" t="n">
        <v>0</v>
      </c>
      <c r="B1229" s="2117" t="n">
        <v>13</v>
      </c>
      <c r="C1229" s="2117" t="n">
        <v>5</v>
      </c>
      <c r="D1229" s="2118" t="n">
        <v>1</v>
      </c>
      <c r="E1229" s="2118" t="n">
        <v>0</v>
      </c>
      <c r="G1229" s="1797" t="n"/>
      <c r="H1229" s="1777" t="inlineStr">
        <is>
          <t>SUBETAPA</t>
        </is>
      </c>
      <c r="I1229" s="1742" t="inlineStr">
        <is>
          <t>13.005.001</t>
        </is>
      </c>
      <c r="J1229" s="1779" t="inlineStr">
        <is>
          <t>Regularização e proteção mecânica</t>
        </is>
      </c>
      <c r="K1229" s="1780" t="n"/>
      <c r="L1229" s="1781" t="n"/>
      <c r="M1229" s="1781" t="n"/>
      <c r="N1229" s="1746" t="n">
        <v>281.557756</v>
      </c>
      <c r="O1229" s="1782" t="n">
        <v>0.01680974944581</v>
      </c>
      <c r="P1229" s="1720" t="n"/>
    </row>
    <row r="1230" hidden="1" outlineLevel="3" ht="13.5" customHeight="1">
      <c r="A1230" s="2117" t="n">
        <v>0</v>
      </c>
      <c r="B1230" s="2117" t="n">
        <v>13</v>
      </c>
      <c r="C1230" s="2117" t="n">
        <v>5</v>
      </c>
      <c r="D1230" s="2118" t="n">
        <v>1</v>
      </c>
      <c r="E1230" s="2118" t="n">
        <v>1</v>
      </c>
      <c r="G1230" s="1798" t="inlineStr">
        <is>
          <t>IMPERMEABILIZAÇÃO</t>
        </is>
      </c>
      <c r="H1230" s="1783" t="inlineStr">
        <is>
          <t>SERVIÇO</t>
        </is>
      </c>
      <c r="I1230" s="1750" t="inlineStr">
        <is>
          <t>13.005.001.001</t>
        </is>
      </c>
      <c r="J1230" s="1785" t="inlineStr">
        <is>
          <t xml:space="preserve">Regularização de superfície para impermeabilização </t>
        </is>
      </c>
      <c r="K1230" s="1786" t="inlineStr">
        <is>
          <t>m2</t>
        </is>
      </c>
      <c r="L1230" s="1787" t="n">
        <v>4.99</v>
      </c>
      <c r="M1230" s="1787" t="n">
        <v>7.065899999999999</v>
      </c>
      <c r="N1230" s="1754" t="n">
        <v>35.258841</v>
      </c>
      <c r="O1230" s="1788" t="inlineStr">
        <is>
          <t>Toda área de piso que recebe impermeabilização</t>
        </is>
      </c>
      <c r="P1230" s="1721" t="inlineStr">
        <is>
          <t>Pendente</t>
        </is>
      </c>
    </row>
    <row r="1231" hidden="1" outlineLevel="3" ht="13.5" customHeight="1">
      <c r="A1231" s="2117" t="n">
        <v>0</v>
      </c>
      <c r="B1231" s="2117" t="n">
        <v>13</v>
      </c>
      <c r="C1231" s="2117" t="n">
        <v>5</v>
      </c>
      <c r="D1231" s="2118" t="n">
        <v>1</v>
      </c>
      <c r="E1231" s="2118" t="n">
        <v>2</v>
      </c>
      <c r="G1231" s="1798" t="inlineStr">
        <is>
          <t>IMPERMEABILIZAÇÃO</t>
        </is>
      </c>
      <c r="H1231" s="1783" t="inlineStr">
        <is>
          <t>SERVIÇO</t>
        </is>
      </c>
      <c r="I1231" s="1750" t="inlineStr">
        <is>
          <t>13.005.001.002</t>
        </is>
      </c>
      <c r="J1231" s="1785" t="inlineStr">
        <is>
          <t>Proteção mecânica de superfície com argamassa de cimento e areia, traço 1:3 E=5cm</t>
        </is>
      </c>
      <c r="K1231" s="1786" t="inlineStr">
        <is>
          <t>m2</t>
        </is>
      </c>
      <c r="L1231" s="1787" t="n">
        <v>4.99</v>
      </c>
      <c r="M1231" s="1787" t="n">
        <v>49.3585</v>
      </c>
      <c r="N1231" s="1754" t="n">
        <v>246.298915</v>
      </c>
      <c r="O1231" s="1788" t="inlineStr">
        <is>
          <t>Toda área de piso que recebe impermeabilização de manta asfáltica</t>
        </is>
      </c>
      <c r="P1231" s="1721" t="inlineStr">
        <is>
          <t>Pendente</t>
        </is>
      </c>
    </row>
    <row r="1232" hidden="1" outlineLevel="2" ht="13.5" customHeight="1">
      <c r="A1232" s="2117" t="n">
        <v>0</v>
      </c>
      <c r="B1232" s="2117" t="n">
        <v>13</v>
      </c>
      <c r="C1232" s="2117" t="n">
        <v>5</v>
      </c>
      <c r="D1232" s="2118" t="n">
        <v>2</v>
      </c>
      <c r="E1232" s="2118" t="n">
        <v>0</v>
      </c>
      <c r="G1232" s="1797" t="n"/>
      <c r="H1232" s="1777" t="inlineStr">
        <is>
          <t>SUBETAPA</t>
        </is>
      </c>
      <c r="I1232" s="1742" t="inlineStr">
        <is>
          <t>13.005.002</t>
        </is>
      </c>
      <c r="J1232" s="1779" t="inlineStr">
        <is>
          <t>Impermeabilização de esquadrias</t>
        </is>
      </c>
      <c r="K1232" s="1780" t="n"/>
      <c r="L1232" s="1781" t="n"/>
      <c r="M1232" s="1781" t="n"/>
      <c r="N1232" s="1746" t="n">
        <v>861.679206666667</v>
      </c>
      <c r="O1232" s="1782" t="n"/>
      <c r="P1232" s="1720" t="n"/>
    </row>
    <row r="1233" hidden="1" outlineLevel="3" ht="13.5" customHeight="1">
      <c r="A1233" s="2117" t="n">
        <v>0</v>
      </c>
      <c r="B1233" s="2117" t="n">
        <v>13</v>
      </c>
      <c r="C1233" s="2117" t="n">
        <v>5</v>
      </c>
      <c r="D1233" s="2118" t="n">
        <v>2</v>
      </c>
      <c r="E1233" s="2118" t="n">
        <v>1</v>
      </c>
      <c r="G1233" s="1798" t="inlineStr">
        <is>
          <t>IMPERMEABILIZAÇÃO</t>
        </is>
      </c>
      <c r="H1233" s="1783" t="inlineStr">
        <is>
          <t>SERVIÇO</t>
        </is>
      </c>
      <c r="I1233" s="1750" t="inlineStr">
        <is>
          <t>13.005.002.001</t>
        </is>
      </c>
      <c r="J1233" s="1785" t="inlineStr">
        <is>
          <t>Sistema 2.5.3: Membrana de polímero acrílico com cimento e fibras sintéticas | Revestimento bicomponente à base de polímeros acrílicos com adição de cimento e fibras sintéticas (3,0 kg/m²) + Tela de poliéster nos pontos críticos</t>
        </is>
      </c>
      <c r="K1233" s="1786" t="inlineStr">
        <is>
          <t>m2</t>
        </is>
      </c>
      <c r="L1233" s="1787" t="n">
        <v>25.3</v>
      </c>
      <c r="M1233" s="1787" t="n">
        <v>34.05846666666666</v>
      </c>
      <c r="N1233" s="1754" t="n">
        <v>861.679206666667</v>
      </c>
      <c r="O1233" s="1788" t="n"/>
      <c r="P1233" s="1721" t="inlineStr">
        <is>
          <t>Pendente</t>
        </is>
      </c>
    </row>
    <row r="1234" hidden="1" outlineLevel="2" ht="13.5" customHeight="1">
      <c r="A1234" s="2117" t="n">
        <v>0</v>
      </c>
      <c r="B1234" s="2117" t="n">
        <v>13</v>
      </c>
      <c r="C1234" s="2117" t="n">
        <v>5</v>
      </c>
      <c r="D1234" s="2118" t="n">
        <v>3</v>
      </c>
      <c r="E1234" s="2118" t="n">
        <v>0</v>
      </c>
      <c r="G1234" s="1797" t="n"/>
      <c r="H1234" s="1777" t="inlineStr">
        <is>
          <t>SUBETAPA</t>
        </is>
      </c>
      <c r="I1234" s="1742" t="inlineStr">
        <is>
          <t>13.005.003</t>
        </is>
      </c>
      <c r="J1234" s="1779" t="inlineStr">
        <is>
          <t>Impermeabilização de ralos</t>
        </is>
      </c>
      <c r="K1234" s="1780" t="n"/>
      <c r="L1234" s="1781" t="n"/>
      <c r="M1234" s="1781" t="n"/>
      <c r="N1234" s="1746" t="n">
        <v>17.52003</v>
      </c>
      <c r="O1234" s="1782" t="n"/>
      <c r="P1234" s="1720" t="n"/>
    </row>
    <row r="1235" hidden="1" outlineLevel="3" ht="13.5" customHeight="1">
      <c r="A1235" s="2117" t="n">
        <v>0</v>
      </c>
      <c r="B1235" s="2117" t="n">
        <v>13</v>
      </c>
      <c r="C1235" s="2117" t="n">
        <v>5</v>
      </c>
      <c r="D1235" s="2118" t="n">
        <v>3</v>
      </c>
      <c r="E1235" s="2118" t="n">
        <v>1</v>
      </c>
      <c r="G1235" s="1798" t="inlineStr">
        <is>
          <t>IMPERMEABILIZAÇÃO</t>
        </is>
      </c>
      <c r="H1235" s="1783" t="inlineStr">
        <is>
          <t>SERVIÇO</t>
        </is>
      </c>
      <c r="I1235" s="1750" t="inlineStr">
        <is>
          <t>13.005.003.001</t>
        </is>
      </c>
      <c r="J1235" s="1785" t="inlineStr">
        <is>
          <t>Tratamento De Ralo Ou Ponto Emergente Com Argamassa Polimérica Reforçado Com Tela De Poliéster</t>
        </is>
      </c>
      <c r="K1235" s="1786" t="inlineStr">
        <is>
          <t>un</t>
        </is>
      </c>
      <c r="L1235" s="1787" t="n">
        <v>2</v>
      </c>
      <c r="M1235" s="1787" t="n">
        <v>8.760015000000001</v>
      </c>
      <c r="N1235" s="1754" t="n">
        <v>17.52003</v>
      </c>
      <c r="O1235" s="1788" t="inlineStr">
        <is>
          <t>2 por banheiro + 1 por lavabo + 2 por área de serviço + 1 por área técnica + 1 por cozinha + 1 por sacada + 1 por torneira de jardin</t>
        </is>
      </c>
      <c r="P1235" s="1721" t="inlineStr">
        <is>
          <t>Pendente</t>
        </is>
      </c>
    </row>
    <row r="1236" hidden="1" outlineLevel="2" ht="13.5" customHeight="1">
      <c r="A1236" s="2117" t="n">
        <v>0</v>
      </c>
      <c r="B1236" s="2117" t="n">
        <v>13</v>
      </c>
      <c r="C1236" s="2117" t="n">
        <v>5</v>
      </c>
      <c r="D1236" s="2118" t="n">
        <v>4</v>
      </c>
      <c r="E1236" s="2118" t="n">
        <v>0</v>
      </c>
      <c r="G1236" s="1797" t="n"/>
      <c r="H1236" s="1777" t="inlineStr">
        <is>
          <t>SUBETAPA</t>
        </is>
      </c>
      <c r="I1236" s="1742" t="inlineStr">
        <is>
          <t>13.005.004</t>
        </is>
      </c>
      <c r="J1236" s="1779" t="inlineStr">
        <is>
          <t>Impermeabilização de reservatórios e cisternas</t>
        </is>
      </c>
      <c r="K1236" s="1780" t="n"/>
      <c r="L1236" s="1781" t="n"/>
      <c r="M1236" s="1781" t="n"/>
      <c r="N1236" s="1746" t="n">
        <v>1900.586576</v>
      </c>
      <c r="O1236" s="1782" t="n"/>
      <c r="P1236" s="1720" t="n"/>
    </row>
    <row r="1237" hidden="1" outlineLevel="3" ht="13.5" customHeight="1">
      <c r="A1237" s="2117" t="n">
        <v>0</v>
      </c>
      <c r="B1237" s="2117" t="n">
        <v>13</v>
      </c>
      <c r="C1237" s="2117" t="n">
        <v>5</v>
      </c>
      <c r="D1237" s="2118" t="n">
        <v>4</v>
      </c>
      <c r="E1237" s="2118" t="n">
        <v>1</v>
      </c>
      <c r="G1237" s="1798" t="inlineStr">
        <is>
          <t>IMPERMEABILIZAÇÃO</t>
        </is>
      </c>
      <c r="H1237" s="1783" t="inlineStr">
        <is>
          <t>SERVIÇO</t>
        </is>
      </c>
      <c r="I1237" s="1750" t="inlineStr">
        <is>
          <t>13.005.004.001</t>
        </is>
      </c>
      <c r="J1237" s="1785" t="inlineStr">
        <is>
          <t>Sistema 7.1.2:Argamassa impermeabilizante sem cimento - MK-FEN 30 (F) | Argamassa não cimentícia com agentes incorporadores de ar (4,0 kg/m²) + Tela de poliéster nos pontos críticos</t>
        </is>
      </c>
      <c r="K1237" s="1786" t="inlineStr">
        <is>
          <t>m2</t>
        </is>
      </c>
      <c r="L1237" s="1787" t="n">
        <v>4.99</v>
      </c>
      <c r="M1237" s="1787" t="n">
        <v>74.8918</v>
      </c>
      <c r="N1237" s="1754" t="n">
        <v>373.710082</v>
      </c>
      <c r="O1237" s="1788" t="inlineStr">
        <is>
          <t>Reservatório + cisterna</t>
        </is>
      </c>
      <c r="P1237" s="1721" t="inlineStr">
        <is>
          <t>Pendente</t>
        </is>
      </c>
    </row>
    <row r="1238" hidden="1" outlineLevel="3" ht="13.5" customHeight="1">
      <c r="A1238" s="2117" t="n">
        <v>0</v>
      </c>
      <c r="B1238" s="2117" t="n">
        <v>13</v>
      </c>
      <c r="C1238" s="2117" t="n">
        <v>5</v>
      </c>
      <c r="D1238" s="2118" t="n">
        <v>4</v>
      </c>
      <c r="E1238" s="2118" t="n">
        <v>2</v>
      </c>
      <c r="G1238" s="1798" t="inlineStr">
        <is>
          <t>IMPERMEABILIZAÇÃO</t>
        </is>
      </c>
      <c r="H1238" s="1783" t="inlineStr">
        <is>
          <t>SERVIÇO</t>
        </is>
      </c>
      <c r="I1238" s="1750" t="inlineStr">
        <is>
          <t>13.005.004.002</t>
        </is>
      </c>
      <c r="J1238" s="1785" t="inlineStr">
        <is>
          <t>Sistema 2.8.6: Argamassa impermeabilizante bicomponente à base de aditivos minerais (2,0 kg/m²) + Revestimento bicomponente à base de polímeros acrílicos com adição de cimento e fibras sintéticas (4,5 kg/m²) + Tela de poliéster nos pontos críticos</t>
        </is>
      </c>
      <c r="K1238" s="1786" t="inlineStr">
        <is>
          <t>m2</t>
        </is>
      </c>
      <c r="L1238" s="1787" t="n">
        <v>20.83</v>
      </c>
      <c r="M1238" s="1787" t="n">
        <v>73.3018</v>
      </c>
      <c r="N1238" s="1754" t="n">
        <v>1526.876494</v>
      </c>
      <c r="O1238" s="1788" t="inlineStr">
        <is>
          <t>Reservatório + cisterna</t>
        </is>
      </c>
      <c r="P1238" s="1721" t="inlineStr">
        <is>
          <t>Pendente</t>
        </is>
      </c>
    </row>
    <row r="1239" hidden="1" outlineLevel="2" ht="13.5" customHeight="1">
      <c r="A1239" s="2117" t="n">
        <v>0</v>
      </c>
      <c r="B1239" s="2117" t="n">
        <v>13</v>
      </c>
      <c r="C1239" s="2117" t="n">
        <v>5</v>
      </c>
      <c r="D1239" s="2118" t="n">
        <v>5</v>
      </c>
      <c r="E1239" s="2118" t="n">
        <v>0</v>
      </c>
      <c r="G1239" s="1797" t="n"/>
      <c r="H1239" s="1777" t="inlineStr">
        <is>
          <t>SUBETAPA</t>
        </is>
      </c>
      <c r="I1239" s="1742" t="inlineStr">
        <is>
          <t>13.005.005</t>
        </is>
      </c>
      <c r="J1239" s="1779" t="inlineStr">
        <is>
          <t>Mão de Obra</t>
        </is>
      </c>
      <c r="K1239" s="1780" t="n"/>
      <c r="L1239" s="1781" t="n"/>
      <c r="M1239" s="1781" t="n"/>
      <c r="N1239" s="1746" t="n">
        <v>2150.24</v>
      </c>
      <c r="O1239" s="1782" t="n"/>
      <c r="P1239" s="1720" t="n"/>
    </row>
    <row r="1240" hidden="1" outlineLevel="3" ht="13.5" customHeight="1">
      <c r="A1240" s="2117" t="n">
        <v>0</v>
      </c>
      <c r="B1240" s="2117" t="n">
        <v>13</v>
      </c>
      <c r="C1240" s="2117" t="n">
        <v>5</v>
      </c>
      <c r="D1240" s="2118" t="n">
        <v>5</v>
      </c>
      <c r="E1240" s="2118" t="n">
        <v>1</v>
      </c>
      <c r="G1240" s="1798" t="inlineStr">
        <is>
          <t>IMPERMEABILIZAÇÃO</t>
        </is>
      </c>
      <c r="H1240" s="1783" t="inlineStr">
        <is>
          <t>SERVIÇO</t>
        </is>
      </c>
      <c r="I1240" s="1750" t="inlineStr">
        <is>
          <t>13.005.005.001</t>
        </is>
      </c>
      <c r="J1240" s="1785" t="inlineStr">
        <is>
          <t xml:space="preserve">Mão de obra para regularização de superfície </t>
        </is>
      </c>
      <c r="K1240" s="1786" t="inlineStr">
        <is>
          <t>m2</t>
        </is>
      </c>
      <c r="L1240" s="1787" t="n">
        <v>4.99</v>
      </c>
      <c r="M1240" s="1787" t="n">
        <v>20</v>
      </c>
      <c r="N1240" s="1754" t="n">
        <v>99.8</v>
      </c>
      <c r="O1240" s="1788" t="n"/>
      <c r="P1240" s="1721" t="inlineStr">
        <is>
          <t>Pendente</t>
        </is>
      </c>
    </row>
    <row r="1241" hidden="1" outlineLevel="3" ht="13.5" customHeight="1">
      <c r="A1241" s="2117" t="n">
        <v>0</v>
      </c>
      <c r="B1241" s="2117" t="n">
        <v>13</v>
      </c>
      <c r="C1241" s="2117" t="n">
        <v>5</v>
      </c>
      <c r="D1241" s="2118" t="n">
        <v>5</v>
      </c>
      <c r="E1241" s="2118" t="n">
        <v>2</v>
      </c>
      <c r="G1241" s="1798" t="inlineStr">
        <is>
          <t>IMPERMEABILIZAÇÃO</t>
        </is>
      </c>
      <c r="H1241" s="1783" t="inlineStr">
        <is>
          <t>SERVIÇO</t>
        </is>
      </c>
      <c r="I1241" s="1750" t="inlineStr">
        <is>
          <t>13.005.005.002</t>
        </is>
      </c>
      <c r="J1241" s="1785" t="inlineStr">
        <is>
          <t>Mão de obra para proteção mecânica</t>
        </is>
      </c>
      <c r="K1241" s="1786" t="inlineStr">
        <is>
          <t>m2</t>
        </is>
      </c>
      <c r="L1241" s="1787" t="n">
        <v>4.99</v>
      </c>
      <c r="M1241" s="1787" t="n">
        <v>35</v>
      </c>
      <c r="N1241" s="1754" t="n">
        <v>174.65</v>
      </c>
      <c r="O1241" s="1788" t="n"/>
      <c r="P1241" s="1721" t="inlineStr">
        <is>
          <t>Pendente</t>
        </is>
      </c>
    </row>
    <row r="1242" hidden="1" outlineLevel="3" ht="13.5" customHeight="1">
      <c r="A1242" s="2117" t="n">
        <v>0</v>
      </c>
      <c r="B1242" s="2117" t="n">
        <v>13</v>
      </c>
      <c r="C1242" s="2117" t="n">
        <v>5</v>
      </c>
      <c r="D1242" s="2118" t="n">
        <v>5</v>
      </c>
      <c r="E1242" s="2118" t="n">
        <v>3</v>
      </c>
      <c r="G1242" s="1798" t="inlineStr">
        <is>
          <t>IMPERMEABILIZAÇÃO</t>
        </is>
      </c>
      <c r="H1242" s="1783" t="inlineStr">
        <is>
          <t>SERVIÇO</t>
        </is>
      </c>
      <c r="I1242" s="1750" t="inlineStr">
        <is>
          <t>13.005.005.003</t>
        </is>
      </c>
      <c r="J1242" s="1785" t="inlineStr">
        <is>
          <t>Mão de obra impermeabilização sistema 2.8.6</t>
        </is>
      </c>
      <c r="K1242" s="1786" t="inlineStr">
        <is>
          <t>m2</t>
        </is>
      </c>
      <c r="L1242" s="1787" t="n">
        <v>20.83</v>
      </c>
      <c r="M1242" s="1787" t="n">
        <v>38</v>
      </c>
      <c r="N1242" s="1754" t="n">
        <v>791.54</v>
      </c>
      <c r="O1242" s="1788" t="n"/>
      <c r="P1242" s="1721" t="inlineStr">
        <is>
          <t>Pendente</t>
        </is>
      </c>
    </row>
    <row r="1243" hidden="1" outlineLevel="3" ht="13.5" customHeight="1">
      <c r="A1243" s="2117" t="n">
        <v>0</v>
      </c>
      <c r="B1243" s="2117" t="n">
        <v>13</v>
      </c>
      <c r="C1243" s="2117" t="n">
        <v>5</v>
      </c>
      <c r="D1243" s="2118" t="n">
        <v>5</v>
      </c>
      <c r="E1243" s="2118" t="n">
        <v>4</v>
      </c>
      <c r="G1243" s="1798" t="inlineStr">
        <is>
          <t>IMPERMEABILIZAÇÃO</t>
        </is>
      </c>
      <c r="H1243" s="1783" t="inlineStr">
        <is>
          <t>SERVIÇO</t>
        </is>
      </c>
      <c r="I1243" s="1750" t="inlineStr">
        <is>
          <t>13.005.005.004</t>
        </is>
      </c>
      <c r="J1243" s="1785" t="inlineStr">
        <is>
          <t>Mão de obra impermeabilização sistema 2.5.3</t>
        </is>
      </c>
      <c r="K1243" s="1786" t="inlineStr">
        <is>
          <t>m2</t>
        </is>
      </c>
      <c r="L1243" s="1787" t="n">
        <v>25.3</v>
      </c>
      <c r="M1243" s="1787" t="n">
        <v>32</v>
      </c>
      <c r="N1243" s="1754" t="n">
        <v>809.6</v>
      </c>
      <c r="O1243" s="1788" t="n"/>
      <c r="P1243" s="1721" t="inlineStr">
        <is>
          <t>Pendente</t>
        </is>
      </c>
    </row>
    <row r="1244" hidden="1" outlineLevel="3" ht="13.5" customHeight="1">
      <c r="A1244" s="2117" t="n">
        <v>0</v>
      </c>
      <c r="B1244" s="2117" t="n">
        <v>13</v>
      </c>
      <c r="C1244" s="2117" t="n">
        <v>5</v>
      </c>
      <c r="D1244" s="2118" t="n">
        <v>5</v>
      </c>
      <c r="E1244" s="2118" t="n">
        <v>5</v>
      </c>
      <c r="G1244" s="1798" t="inlineStr">
        <is>
          <t>IMPERMEABILIZAÇÃO</t>
        </is>
      </c>
      <c r="H1244" s="1783" t="inlineStr">
        <is>
          <t>SERVIÇO</t>
        </is>
      </c>
      <c r="I1244" s="1750" t="inlineStr">
        <is>
          <t>13.005.005.005</t>
        </is>
      </c>
      <c r="J1244" s="1785" t="inlineStr">
        <is>
          <t>Mão de obra impermeabilização sistema 7.1.2</t>
        </is>
      </c>
      <c r="K1244" s="1786" t="inlineStr">
        <is>
          <t>m2</t>
        </is>
      </c>
      <c r="L1244" s="1787" t="n">
        <v>4.99</v>
      </c>
      <c r="M1244" s="1787" t="n">
        <v>35</v>
      </c>
      <c r="N1244" s="1754" t="n">
        <v>174.65</v>
      </c>
      <c r="O1244" s="1788" t="n"/>
      <c r="P1244" s="1721" t="inlineStr">
        <is>
          <t>Pendente</t>
        </is>
      </c>
    </row>
    <row r="1245" hidden="1" outlineLevel="3" ht="13.5" customHeight="1">
      <c r="A1245" s="2117" t="n">
        <v>0</v>
      </c>
      <c r="B1245" s="2117" t="n">
        <v>13</v>
      </c>
      <c r="C1245" s="2117" t="n">
        <v>5</v>
      </c>
      <c r="D1245" s="2118" t="n">
        <v>5</v>
      </c>
      <c r="E1245" s="2118" t="n">
        <v>6</v>
      </c>
      <c r="G1245" s="1798" t="inlineStr">
        <is>
          <t>IMPERMEABILIZAÇÃO</t>
        </is>
      </c>
      <c r="H1245" s="1783" t="inlineStr">
        <is>
          <t>SERVIÇO</t>
        </is>
      </c>
      <c r="I1245" s="1750" t="inlineStr">
        <is>
          <t>13.005.005.006</t>
        </is>
      </c>
      <c r="J1245" s="1751" t="inlineStr">
        <is>
          <t>Mão de obra tratamento de ralo com manta de poliéster</t>
        </is>
      </c>
      <c r="K1245" s="1786" t="inlineStr">
        <is>
          <t>un</t>
        </is>
      </c>
      <c r="L1245" s="1787" t="n">
        <v>2</v>
      </c>
      <c r="M1245" s="1787" t="n">
        <v>50</v>
      </c>
      <c r="N1245" s="1754" t="n">
        <v>100</v>
      </c>
      <c r="O1245" s="1788" t="n"/>
      <c r="P1245" s="1721" t="inlineStr">
        <is>
          <t>Pendente</t>
        </is>
      </c>
    </row>
    <row r="1246" hidden="1" outlineLevel="1" ht="13.5" customHeight="1">
      <c r="A1246" s="2117" t="n">
        <v>0</v>
      </c>
      <c r="B1246" s="2117" t="n">
        <v>13</v>
      </c>
      <c r="C1246" s="2117" t="n">
        <v>6</v>
      </c>
      <c r="D1246" s="2118" t="n">
        <v>0</v>
      </c>
      <c r="E1246" s="2118" t="n">
        <v>6</v>
      </c>
      <c r="G1246" s="1796" t="n"/>
      <c r="H1246" s="1771" t="inlineStr">
        <is>
          <t>ETAPA</t>
        </is>
      </c>
      <c r="I1246" s="1735" t="inlineStr">
        <is>
          <t>13.006</t>
        </is>
      </c>
      <c r="J1246" s="1773" t="inlineStr">
        <is>
          <t>IMPERMEABILIZAÇÃO E TRATAMENTOS - Mezanino G3</t>
        </is>
      </c>
      <c r="K1246" s="1774" t="n"/>
      <c r="L1246" s="1775" t="n"/>
      <c r="M1246" s="1775" t="n"/>
      <c r="N1246" s="1739" t="n">
        <v>2131.64267866667</v>
      </c>
      <c r="O1246" s="1776" t="n">
        <v>0.127264756778293</v>
      </c>
      <c r="P1246" s="1719" t="n"/>
    </row>
    <row r="1247" hidden="1" outlineLevel="2" ht="13.5" customHeight="1">
      <c r="A1247" s="2117" t="n">
        <v>0</v>
      </c>
      <c r="B1247" s="2117" t="n">
        <v>13</v>
      </c>
      <c r="C1247" s="2117" t="n">
        <v>6</v>
      </c>
      <c r="D1247" s="2118" t="n">
        <v>1</v>
      </c>
      <c r="E1247" s="2118" t="n">
        <v>0</v>
      </c>
      <c r="G1247" s="1797" t="n"/>
      <c r="H1247" s="1777" t="inlineStr">
        <is>
          <t>SUBETAPA</t>
        </is>
      </c>
      <c r="I1247" s="1742" t="inlineStr">
        <is>
          <t>13.006.001</t>
        </is>
      </c>
      <c r="J1247" s="1779" t="inlineStr">
        <is>
          <t>Impermeabilização de esquadrias</t>
        </is>
      </c>
      <c r="K1247" s="1780" t="n"/>
      <c r="L1247" s="1781" t="n"/>
      <c r="M1247" s="1781" t="n"/>
      <c r="N1247" s="1746" t="n">
        <v>1038.44264866667</v>
      </c>
      <c r="O1247" s="1782" t="n"/>
      <c r="P1247" s="1720" t="n"/>
    </row>
    <row r="1248" hidden="1" outlineLevel="3" ht="13.5" customHeight="1">
      <c r="A1248" s="2117" t="n">
        <v>0</v>
      </c>
      <c r="B1248" s="2117" t="n">
        <v>13</v>
      </c>
      <c r="C1248" s="2117" t="n">
        <v>6</v>
      </c>
      <c r="D1248" s="2118" t="n">
        <v>1</v>
      </c>
      <c r="E1248" s="2118" t="n">
        <v>1</v>
      </c>
      <c r="G1248" s="1798" t="inlineStr">
        <is>
          <t>IMPERMEABILIZAÇÃO</t>
        </is>
      </c>
      <c r="H1248" s="1783" t="inlineStr">
        <is>
          <t>SERVIÇO</t>
        </is>
      </c>
      <c r="I1248" s="1750" t="inlineStr">
        <is>
          <t>13.006.001.001</t>
        </is>
      </c>
      <c r="J1248" s="1785" t="inlineStr">
        <is>
          <t>Sistema 2.5.3: Membrana de polímero acrílico com cimento e fibras sintéticas | Revestimento bicomponente à base de polímeros acrílicos com adição de cimento e fibras sintéticas (3,0 kg/m²) + Tela de poliéster nos pontos críticos</t>
        </is>
      </c>
      <c r="K1248" s="1786" t="inlineStr">
        <is>
          <t>m2</t>
        </is>
      </c>
      <c r="L1248" s="1787" t="n">
        <v>30.49</v>
      </c>
      <c r="M1248" s="1787" t="n">
        <v>34.05846666666666</v>
      </c>
      <c r="N1248" s="1754" t="n">
        <v>1038.44264866667</v>
      </c>
      <c r="O1248" s="1788" t="n"/>
      <c r="P1248" s="1721" t="inlineStr">
        <is>
          <t>Pendente</t>
        </is>
      </c>
    </row>
    <row r="1249" hidden="1" outlineLevel="2" ht="13.5" customHeight="1">
      <c r="A1249" s="2117" t="n">
        <v>0</v>
      </c>
      <c r="B1249" s="2117" t="n">
        <v>13</v>
      </c>
      <c r="C1249" s="2117" t="n">
        <v>6</v>
      </c>
      <c r="D1249" s="2118" t="n">
        <v>2</v>
      </c>
      <c r="E1249" s="2118" t="n">
        <v>0</v>
      </c>
      <c r="G1249" s="1797" t="n"/>
      <c r="H1249" s="1777" t="inlineStr">
        <is>
          <t>SUBETAPA</t>
        </is>
      </c>
      <c r="I1249" s="1742" t="inlineStr">
        <is>
          <t>13.006.002</t>
        </is>
      </c>
      <c r="J1249" s="1779" t="inlineStr">
        <is>
          <t>Impermeabilização de ralos</t>
        </is>
      </c>
      <c r="K1249" s="1780" t="n"/>
      <c r="L1249" s="1781" t="n"/>
      <c r="M1249" s="1781" t="n"/>
      <c r="N1249" s="1746" t="n">
        <v>17.52003</v>
      </c>
      <c r="O1249" s="1782" t="n"/>
      <c r="P1249" s="1720" t="n"/>
    </row>
    <row r="1250" hidden="1" outlineLevel="3" ht="13.5" customHeight="1">
      <c r="A1250" s="2117" t="n">
        <v>0</v>
      </c>
      <c r="B1250" s="2117" t="n">
        <v>13</v>
      </c>
      <c r="C1250" s="2117" t="n">
        <v>6</v>
      </c>
      <c r="D1250" s="2118" t="n">
        <v>2</v>
      </c>
      <c r="E1250" s="2118" t="n">
        <v>1</v>
      </c>
      <c r="G1250" s="1798" t="inlineStr">
        <is>
          <t>IMPERMEABILIZAÇÃO</t>
        </is>
      </c>
      <c r="H1250" s="1783" t="inlineStr">
        <is>
          <t>SERVIÇO</t>
        </is>
      </c>
      <c r="I1250" s="1750" t="inlineStr">
        <is>
          <t>13.006.002.001</t>
        </is>
      </c>
      <c r="J1250" s="1785" t="inlineStr">
        <is>
          <t>Tratamento De Ralo Ou Ponto Emergente Com Argamassa Polimérica Reforçado Com Tela De Poliéster</t>
        </is>
      </c>
      <c r="K1250" s="1786" t="inlineStr">
        <is>
          <t>un</t>
        </is>
      </c>
      <c r="L1250" s="1787" t="n">
        <v>2</v>
      </c>
      <c r="M1250" s="1787" t="n">
        <v>8.760015000000001</v>
      </c>
      <c r="N1250" s="1754" t="n">
        <v>17.52003</v>
      </c>
      <c r="O1250" s="1788" t="inlineStr">
        <is>
          <t>2 por banheiro + 1 por lavabo + 2 por área de serviço + 1 por área técnica + 1 por cozinha + 1 por sacada + 1 por torneira de jardin</t>
        </is>
      </c>
      <c r="P1250" s="1721" t="inlineStr">
        <is>
          <t>Pendente</t>
        </is>
      </c>
    </row>
    <row r="1251" hidden="1" outlineLevel="2" ht="13.5" customHeight="1">
      <c r="A1251" s="2117" t="n">
        <v>0</v>
      </c>
      <c r="B1251" s="2117" t="n">
        <v>13</v>
      </c>
      <c r="C1251" s="2117" t="n">
        <v>6</v>
      </c>
      <c r="D1251" s="2118" t="n">
        <v>3</v>
      </c>
      <c r="E1251" s="2118" t="n">
        <v>0</v>
      </c>
      <c r="G1251" s="1797" t="n"/>
      <c r="H1251" s="1777" t="inlineStr">
        <is>
          <t>SUBETAPA</t>
        </is>
      </c>
      <c r="I1251" s="1742" t="inlineStr">
        <is>
          <t>13.006.003</t>
        </is>
      </c>
      <c r="J1251" s="1779" t="inlineStr">
        <is>
          <t>Mão de Obra</t>
        </is>
      </c>
      <c r="K1251" s="1780" t="n"/>
      <c r="L1251" s="1781" t="n"/>
      <c r="M1251" s="1781" t="n"/>
      <c r="N1251" s="1746" t="n">
        <v>1075.68</v>
      </c>
      <c r="O1251" s="1782" t="n"/>
      <c r="P1251" s="1720" t="n"/>
    </row>
    <row r="1252" hidden="1" outlineLevel="3" ht="13.5" customHeight="1">
      <c r="A1252" s="2117" t="n">
        <v>0</v>
      </c>
      <c r="B1252" s="2117" t="n">
        <v>13</v>
      </c>
      <c r="C1252" s="2117" t="n">
        <v>6</v>
      </c>
      <c r="D1252" s="2118" t="n">
        <v>3</v>
      </c>
      <c r="E1252" s="2118" t="n">
        <v>1</v>
      </c>
      <c r="G1252" s="1798" t="inlineStr">
        <is>
          <t>IMPERMEABILIZAÇÃO</t>
        </is>
      </c>
      <c r="H1252" s="1783" t="inlineStr">
        <is>
          <t>SERVIÇO</t>
        </is>
      </c>
      <c r="I1252" s="1750" t="inlineStr">
        <is>
          <t>13.006.003.001</t>
        </is>
      </c>
      <c r="J1252" s="1785" t="inlineStr">
        <is>
          <t>Mão de obra impermeabilização sistema 2.5.3</t>
        </is>
      </c>
      <c r="K1252" s="1786" t="inlineStr">
        <is>
          <t>m2</t>
        </is>
      </c>
      <c r="L1252" s="1787" t="n">
        <v>30.49</v>
      </c>
      <c r="M1252" s="1787" t="n">
        <v>32</v>
      </c>
      <c r="N1252" s="1754" t="n">
        <v>975.6799999999999</v>
      </c>
      <c r="O1252" s="1788" t="n"/>
      <c r="P1252" s="1721" t="inlineStr">
        <is>
          <t>Pendente</t>
        </is>
      </c>
    </row>
    <row r="1253" hidden="1" outlineLevel="3" ht="13.5" customHeight="1">
      <c r="A1253" s="2117" t="n">
        <v>0</v>
      </c>
      <c r="B1253" s="2117" t="n">
        <v>13</v>
      </c>
      <c r="C1253" s="2117" t="n">
        <v>6</v>
      </c>
      <c r="D1253" s="2118" t="n">
        <v>3</v>
      </c>
      <c r="E1253" s="2118" t="n">
        <v>2</v>
      </c>
      <c r="G1253" s="1798" t="inlineStr">
        <is>
          <t>IMPERMEABILIZAÇÃO</t>
        </is>
      </c>
      <c r="H1253" s="1783" t="inlineStr">
        <is>
          <t>SERVIÇO</t>
        </is>
      </c>
      <c r="I1253" s="1750" t="inlineStr">
        <is>
          <t>13.006.003.002</t>
        </is>
      </c>
      <c r="J1253" s="1751" t="inlineStr">
        <is>
          <t>Mão de obra tratamento de ralo com manta de poliéster</t>
        </is>
      </c>
      <c r="K1253" s="1786" t="inlineStr">
        <is>
          <t>un</t>
        </is>
      </c>
      <c r="L1253" s="1787" t="n">
        <v>2</v>
      </c>
      <c r="M1253" s="1787" t="n">
        <v>50</v>
      </c>
      <c r="N1253" s="1754" t="n">
        <v>100</v>
      </c>
      <c r="O1253" s="1788" t="n"/>
      <c r="P1253" s="1721" t="inlineStr">
        <is>
          <t>Pendente</t>
        </is>
      </c>
    </row>
    <row r="1254" hidden="1" outlineLevel="1" ht="13.5" customHeight="1">
      <c r="A1254" s="2117" t="n">
        <v>0</v>
      </c>
      <c r="B1254" s="2117" t="n">
        <v>13</v>
      </c>
      <c r="C1254" s="2117" t="n">
        <v>7</v>
      </c>
      <c r="D1254" s="2118" t="n">
        <v>0</v>
      </c>
      <c r="E1254" s="2118" t="n">
        <v>2</v>
      </c>
      <c r="G1254" s="1796" t="n"/>
      <c r="H1254" s="1771" t="inlineStr">
        <is>
          <t>ETAPA</t>
        </is>
      </c>
      <c r="I1254" s="1735" t="inlineStr">
        <is>
          <t>13.007</t>
        </is>
      </c>
      <c r="J1254" s="1773" t="inlineStr">
        <is>
          <t>IMPERMEABILIZAÇÃO E TRATAMENTOS - Lazer | Garagem</t>
        </is>
      </c>
      <c r="K1254" s="1774" t="n"/>
      <c r="L1254" s="1775" t="n"/>
      <c r="M1254" s="1775" t="n"/>
      <c r="N1254" s="1739" t="n">
        <v>157022.473058667</v>
      </c>
      <c r="O1254" s="1776" t="n">
        <v>9.37466069831027</v>
      </c>
      <c r="P1254" s="1719" t="n"/>
    </row>
    <row r="1255" hidden="1" outlineLevel="2" ht="13.5" customHeight="1">
      <c r="A1255" s="2117" t="n">
        <v>0</v>
      </c>
      <c r="B1255" s="2117" t="n">
        <v>13</v>
      </c>
      <c r="C1255" s="2117" t="n">
        <v>7</v>
      </c>
      <c r="D1255" s="2118" t="n">
        <v>1</v>
      </c>
      <c r="E1255" s="2118" t="n">
        <v>0</v>
      </c>
      <c r="G1255" s="1797" t="n"/>
      <c r="H1255" s="1777" t="inlineStr">
        <is>
          <t>SUBETAPA</t>
        </is>
      </c>
      <c r="I1255" s="1742" t="inlineStr">
        <is>
          <t>13.007.001</t>
        </is>
      </c>
      <c r="J1255" s="1779" t="inlineStr">
        <is>
          <t>Regularização e proteção mecânica</t>
        </is>
      </c>
      <c r="K1255" s="1780" t="n"/>
      <c r="L1255" s="1781" t="n"/>
      <c r="M1255" s="1781" t="n"/>
      <c r="N1255" s="1746" t="n">
        <v>16197.604813</v>
      </c>
      <c r="O1255" s="1782" t="n">
        <v>0.967040235001645</v>
      </c>
      <c r="P1255" s="1720" t="n"/>
    </row>
    <row r="1256" hidden="1" outlineLevel="3" ht="13.5" customHeight="1">
      <c r="A1256" s="2117" t="n">
        <v>0</v>
      </c>
      <c r="B1256" s="2117" t="n">
        <v>13</v>
      </c>
      <c r="C1256" s="2117" t="n">
        <v>7</v>
      </c>
      <c r="D1256" s="2118" t="n">
        <v>1</v>
      </c>
      <c r="E1256" s="2118" t="n">
        <v>1</v>
      </c>
      <c r="G1256" s="1798" t="inlineStr">
        <is>
          <t>IMPERMEABILIZAÇÃO</t>
        </is>
      </c>
      <c r="H1256" s="1783" t="inlineStr">
        <is>
          <t>SERVIÇO</t>
        </is>
      </c>
      <c r="I1256" s="1750" t="inlineStr">
        <is>
          <t>13.007.001.001</t>
        </is>
      </c>
      <c r="J1256" s="1785" t="inlineStr">
        <is>
          <t xml:space="preserve">Regularização de superfície para impermeabilização </t>
        </is>
      </c>
      <c r="K1256" s="1786" t="inlineStr">
        <is>
          <t>m2</t>
        </is>
      </c>
      <c r="L1256" s="1787" t="n">
        <v>301.02</v>
      </c>
      <c r="M1256" s="1787" t="n">
        <v>7.065899999999999</v>
      </c>
      <c r="N1256" s="1754" t="n">
        <v>2126.977218</v>
      </c>
      <c r="O1256" s="1788" t="inlineStr">
        <is>
          <t>Toda área de piso que recebe impermeabilização</t>
        </is>
      </c>
      <c r="P1256" s="1721" t="inlineStr">
        <is>
          <t>Pendente</t>
        </is>
      </c>
    </row>
    <row r="1257" hidden="1" outlineLevel="3" ht="13.5" customHeight="1">
      <c r="A1257" s="2117" t="n">
        <v>0</v>
      </c>
      <c r="B1257" s="2117" t="n">
        <v>13</v>
      </c>
      <c r="C1257" s="2117" t="n">
        <v>7</v>
      </c>
      <c r="D1257" s="2118" t="n">
        <v>1</v>
      </c>
      <c r="E1257" s="2118" t="n">
        <v>2</v>
      </c>
      <c r="G1257" s="1798" t="inlineStr">
        <is>
          <t>IMPERMEABILIZAÇÃO</t>
        </is>
      </c>
      <c r="H1257" s="1783" t="inlineStr">
        <is>
          <t>SERVIÇO</t>
        </is>
      </c>
      <c r="I1257" s="1750" t="inlineStr">
        <is>
          <t>13.007.001.002</t>
        </is>
      </c>
      <c r="J1257" s="1785" t="inlineStr">
        <is>
          <t>Proteção mecânica de superfície com argamassa de cimento e areia, traço 1:3 E=5cm</t>
        </is>
      </c>
      <c r="K1257" s="1786" t="inlineStr">
        <is>
          <t>m2</t>
        </is>
      </c>
      <c r="L1257" s="1787" t="n">
        <v>285.07</v>
      </c>
      <c r="M1257" s="1787" t="n">
        <v>49.3585</v>
      </c>
      <c r="N1257" s="1754" t="n">
        <v>14070.627595</v>
      </c>
      <c r="O1257" s="1788" t="inlineStr">
        <is>
          <t>Toda área de piso que recebe impermeabilização de manta asfáltica</t>
        </is>
      </c>
      <c r="P1257" s="1721" t="inlineStr">
        <is>
          <t>Pendente</t>
        </is>
      </c>
    </row>
    <row r="1258" hidden="1" outlineLevel="2" ht="13.5" customHeight="1">
      <c r="A1258" s="2117" t="n">
        <v>0</v>
      </c>
      <c r="B1258" s="2117" t="n">
        <v>13</v>
      </c>
      <c r="C1258" s="2117" t="n">
        <v>7</v>
      </c>
      <c r="D1258" s="2118" t="n">
        <v>2</v>
      </c>
      <c r="E1258" s="2118" t="n">
        <v>0</v>
      </c>
      <c r="G1258" s="1797" t="n"/>
      <c r="H1258" s="1777" t="inlineStr">
        <is>
          <t>SUBETAPA</t>
        </is>
      </c>
      <c r="I1258" s="1742" t="inlineStr">
        <is>
          <t>13.007.002</t>
        </is>
      </c>
      <c r="J1258" s="1779" t="inlineStr">
        <is>
          <t>Impermeabilização de piscinas e espelhos d´água</t>
        </is>
      </c>
      <c r="K1258" s="1780" t="n"/>
      <c r="L1258" s="1781" t="n"/>
      <c r="M1258" s="1781" t="n"/>
      <c r="N1258" s="1746" t="n">
        <v>64619.94644</v>
      </c>
      <c r="O1258" s="1782" t="n"/>
      <c r="P1258" s="1720" t="n"/>
    </row>
    <row r="1259" hidden="1" outlineLevel="3" ht="13.5" customHeight="1">
      <c r="A1259" s="2117" t="n">
        <v>0</v>
      </c>
      <c r="B1259" s="2117" t="n">
        <v>13</v>
      </c>
      <c r="C1259" s="2117" t="n">
        <v>7</v>
      </c>
      <c r="D1259" s="2118" t="n">
        <v>2</v>
      </c>
      <c r="E1259" s="2118" t="n">
        <v>1</v>
      </c>
      <c r="G1259" s="1798" t="inlineStr">
        <is>
          <t>IMPERMEABILIZAÇÃO</t>
        </is>
      </c>
      <c r="H1259" s="1783" t="inlineStr">
        <is>
          <t>SERVIÇO</t>
        </is>
      </c>
      <c r="I1259" s="1750" t="inlineStr">
        <is>
          <t>13.007.002.001</t>
        </is>
      </c>
      <c r="J1259" s="1785" t="inlineStr">
        <is>
          <t>Sistema 4.9.2:Primer asfáltico à base d'água (0,4 L/m²)+Asfalto oxidado modificado (5kg/m²)+Manta asfáltica AA 3mm Tipo III Classe B+Manta asfáltica AA 4mm Tipo III Classe B+Argamassa polimérica para impermeabilização sobre a proteção mecânica (2,0 kg/m²)</t>
        </is>
      </c>
      <c r="K1259" s="1786" t="inlineStr">
        <is>
          <t>m2</t>
        </is>
      </c>
      <c r="L1259" s="1787" t="n">
        <v>241.13</v>
      </c>
      <c r="M1259" s="1787" t="n">
        <v>267.988</v>
      </c>
      <c r="N1259" s="1754" t="n">
        <v>64619.94644</v>
      </c>
      <c r="O1259" s="1788" t="inlineStr">
        <is>
          <t>Piscina</t>
        </is>
      </c>
      <c r="P1259" s="1721" t="inlineStr">
        <is>
          <t>Pendente</t>
        </is>
      </c>
    </row>
    <row r="1260" hidden="1" outlineLevel="2" ht="13.5" customHeight="1">
      <c r="A1260" s="2117" t="n">
        <v>0</v>
      </c>
      <c r="B1260" s="2117" t="n">
        <v>13</v>
      </c>
      <c r="C1260" s="2117" t="n">
        <v>7</v>
      </c>
      <c r="D1260" s="2118" t="n">
        <v>3</v>
      </c>
      <c r="E1260" s="2118" t="n">
        <v>0</v>
      </c>
      <c r="G1260" s="1797" t="n"/>
      <c r="H1260" s="1777" t="inlineStr">
        <is>
          <t>SUBETAPA</t>
        </is>
      </c>
      <c r="I1260" s="1742" t="inlineStr">
        <is>
          <t>13.007.003</t>
        </is>
      </c>
      <c r="J1260" s="1779" t="inlineStr">
        <is>
          <t>Impermeabilização de banheiro, cozinha, área de serviço, área técnica, área comum, fosso do elevador e sacada</t>
        </is>
      </c>
      <c r="K1260" s="1780" t="n"/>
      <c r="L1260" s="1781" t="n"/>
      <c r="M1260" s="1781" t="n"/>
      <c r="N1260" s="1746" t="n">
        <v>30639.5018636667</v>
      </c>
      <c r="O1260" s="1782" t="n"/>
      <c r="P1260" s="1720" t="n"/>
    </row>
    <row r="1261" hidden="1" outlineLevel="3" ht="13.5" customHeight="1">
      <c r="A1261" s="2117" t="n">
        <v>0</v>
      </c>
      <c r="B1261" s="2117" t="n">
        <v>13</v>
      </c>
      <c r="C1261" s="2117" t="n">
        <v>7</v>
      </c>
      <c r="D1261" s="2118" t="n">
        <v>3</v>
      </c>
      <c r="E1261" s="2118" t="n">
        <v>1</v>
      </c>
      <c r="G1261" s="1798" t="inlineStr">
        <is>
          <t>IMPERMEABILIZAÇÃO</t>
        </is>
      </c>
      <c r="H1261" s="1783" t="inlineStr">
        <is>
          <t>SERVIÇO</t>
        </is>
      </c>
      <c r="I1261" s="1750" t="inlineStr">
        <is>
          <t>13.007.003.001</t>
        </is>
      </c>
      <c r="J1261" s="1785" t="inlineStr">
        <is>
          <t>Sistema 2.5.3: Membrana de polímero acrílico com cimento e fibras sintéticas | Revestimento bicomponente à base de polímeros acrílicos com adição de cimento e fibras sintéticas (3,0 kg/m²) + Tela de poliéster nos pontos críticos</t>
        </is>
      </c>
      <c r="K1261" s="1786" t="inlineStr">
        <is>
          <t>m2</t>
        </is>
      </c>
      <c r="L1261" s="1787" t="n">
        <v>26.41</v>
      </c>
      <c r="M1261" s="1787" t="n">
        <v>34.05846666666666</v>
      </c>
      <c r="N1261" s="1754" t="n">
        <v>899.484104666667</v>
      </c>
      <c r="O1261" s="1788" t="inlineStr">
        <is>
          <t>Banheiro + área de serviço + casa de máquinas</t>
        </is>
      </c>
      <c r="P1261" s="1721" t="inlineStr">
        <is>
          <t>Pendente</t>
        </is>
      </c>
    </row>
    <row r="1262" hidden="1" outlineLevel="3" ht="13.5" customHeight="1">
      <c r="A1262" s="2117" t="n">
        <v>0</v>
      </c>
      <c r="B1262" s="2117" t="n">
        <v>13</v>
      </c>
      <c r="C1262" s="2117" t="n">
        <v>7</v>
      </c>
      <c r="D1262" s="2118" t="n">
        <v>3</v>
      </c>
      <c r="E1262" s="2118" t="n">
        <v>2</v>
      </c>
      <c r="G1262" s="1798" t="inlineStr">
        <is>
          <t>IMPERMEABILIZAÇÃO</t>
        </is>
      </c>
      <c r="H1262" s="1783" t="inlineStr">
        <is>
          <t>SERVIÇO</t>
        </is>
      </c>
      <c r="I1262" s="1750" t="inlineStr">
        <is>
          <t>13.007.003.002</t>
        </is>
      </c>
      <c r="J1262" s="1785" t="inlineStr">
        <is>
          <t>Sistema 7.1.6:Argamassa impermeabilizante sem cimento - MK-FEN 30 (F) | Argamassa não cimentícia com agentes incorporadores de ar (8,0 kg/m²) + Tela de poliéster nos pontos críticos</t>
        </is>
      </c>
      <c r="K1262" s="1786" t="inlineStr">
        <is>
          <t>m2</t>
        </is>
      </c>
      <c r="L1262" s="1787" t="n">
        <v>48.03</v>
      </c>
      <c r="M1262" s="1787" t="n">
        <v>148.8918</v>
      </c>
      <c r="N1262" s="1754" t="n">
        <v>7151.273154</v>
      </c>
      <c r="O1262" s="1788" t="inlineStr">
        <is>
          <t>área técnica + sauna</t>
        </is>
      </c>
      <c r="P1262" s="1721" t="inlineStr">
        <is>
          <t>Pendente</t>
        </is>
      </c>
    </row>
    <row r="1263" hidden="1" outlineLevel="3" ht="13.5" customHeight="1">
      <c r="A1263" s="2117" t="n">
        <v>0</v>
      </c>
      <c r="B1263" s="2117" t="n">
        <v>13</v>
      </c>
      <c r="C1263" s="2117" t="n">
        <v>7</v>
      </c>
      <c r="D1263" s="2118" t="n">
        <v>3</v>
      </c>
      <c r="E1263" s="2118" t="n">
        <v>3</v>
      </c>
      <c r="G1263" s="1798" t="inlineStr">
        <is>
          <t>IMPERMEABILIZAÇÃO</t>
        </is>
      </c>
      <c r="H1263" s="1783" t="inlineStr">
        <is>
          <t>SERVIÇO</t>
        </is>
      </c>
      <c r="I1263" s="1750" t="inlineStr">
        <is>
          <t>13.007.003.003</t>
        </is>
      </c>
      <c r="J1263" s="1785" t="inlineStr">
        <is>
          <t>Sistema 4.2.4:Primer asfáltico à base d'água (0,4 L/m²) + Asfalto oxidado modificado (2,5 kg/m²) + Manta asfáltica AA 4mm Tipo III Classe B + Banho de asfalto oxidado modificado (2,5 kg/m²)</t>
        </is>
      </c>
      <c r="K1263" s="1786" t="inlineStr">
        <is>
          <t>m2</t>
        </is>
      </c>
      <c r="L1263" s="1787" t="n">
        <v>169.61</v>
      </c>
      <c r="M1263" s="1787" t="n">
        <v>133.1805</v>
      </c>
      <c r="N1263" s="1754" t="n">
        <v>22588.744605</v>
      </c>
      <c r="O1263" s="1788" t="inlineStr">
        <is>
          <t>Sacada + circulação lazer + espaço crossfit</t>
        </is>
      </c>
      <c r="P1263" s="1721" t="inlineStr">
        <is>
          <t>Pendente</t>
        </is>
      </c>
    </row>
    <row r="1264" hidden="1" outlineLevel="2" ht="13.5" customHeight="1">
      <c r="A1264" s="2117" t="n">
        <v>0</v>
      </c>
      <c r="B1264" s="2117" t="n">
        <v>13</v>
      </c>
      <c r="C1264" s="2117" t="n">
        <v>7</v>
      </c>
      <c r="D1264" s="2118" t="n">
        <v>4</v>
      </c>
      <c r="E1264" s="2118" t="n">
        <v>0</v>
      </c>
      <c r="G1264" s="1797" t="n"/>
      <c r="H1264" s="1777" t="inlineStr">
        <is>
          <t>SUBETAPA</t>
        </is>
      </c>
      <c r="I1264" s="1742" t="inlineStr">
        <is>
          <t>13.007.004</t>
        </is>
      </c>
      <c r="J1264" s="1779" t="inlineStr">
        <is>
          <t>Impermeabilização de esquadrias</t>
        </is>
      </c>
      <c r="K1264" s="1780" t="n"/>
      <c r="L1264" s="1781" t="n"/>
      <c r="M1264" s="1781" t="n"/>
      <c r="N1264" s="1746" t="n">
        <v>1213.843752</v>
      </c>
      <c r="O1264" s="1782" t="n"/>
      <c r="P1264" s="1720" t="n"/>
    </row>
    <row r="1265" hidden="1" outlineLevel="3" ht="13.5" customHeight="1">
      <c r="A1265" s="2117" t="n">
        <v>0</v>
      </c>
      <c r="B1265" s="2117" t="n">
        <v>13</v>
      </c>
      <c r="C1265" s="2117" t="n">
        <v>7</v>
      </c>
      <c r="D1265" s="2118" t="n">
        <v>4</v>
      </c>
      <c r="E1265" s="2118" t="n">
        <v>1</v>
      </c>
      <c r="G1265" s="1798" t="inlineStr">
        <is>
          <t>IMPERMEABILIZAÇÃO</t>
        </is>
      </c>
      <c r="H1265" s="1783" t="inlineStr">
        <is>
          <t>SERVIÇO</t>
        </is>
      </c>
      <c r="I1265" s="1750" t="inlineStr">
        <is>
          <t>13.007.004.001</t>
        </is>
      </c>
      <c r="J1265" s="1785" t="inlineStr">
        <is>
          <t>Sistema 2.5.3: Membrana de polímero acrílico com cimento e fibras sintéticas | Revestimento bicomponente à base de polímeros acrílicos com adição de cimento e fibras sintéticas (3,0 kg/m²) + Tela de poliéster nos pontos críticos</t>
        </is>
      </c>
      <c r="K1265" s="1786" t="inlineStr">
        <is>
          <t>m2</t>
        </is>
      </c>
      <c r="L1265" s="1787" t="n">
        <v>35.64</v>
      </c>
      <c r="M1265" s="1787" t="n">
        <v>34.05846666666666</v>
      </c>
      <c r="N1265" s="1754" t="n">
        <v>1213.843752</v>
      </c>
      <c r="O1265" s="1788" t="n"/>
      <c r="P1265" s="1721" t="inlineStr">
        <is>
          <t>Pendente</t>
        </is>
      </c>
    </row>
    <row r="1266" hidden="1" outlineLevel="2" ht="13.5" customHeight="1">
      <c r="A1266" s="2117" t="n">
        <v>0</v>
      </c>
      <c r="B1266" s="2117" t="n">
        <v>13</v>
      </c>
      <c r="C1266" s="2117" t="n">
        <v>7</v>
      </c>
      <c r="D1266" s="2118" t="n">
        <v>5</v>
      </c>
      <c r="E1266" s="2118" t="n">
        <v>0</v>
      </c>
      <c r="G1266" s="1797" t="n"/>
      <c r="H1266" s="1777" t="inlineStr">
        <is>
          <t>SUBETAPA</t>
        </is>
      </c>
      <c r="I1266" s="1742" t="inlineStr">
        <is>
          <t>13.007.005</t>
        </is>
      </c>
      <c r="J1266" s="1779" t="inlineStr">
        <is>
          <t>Impermeabilização de ralos</t>
        </is>
      </c>
      <c r="K1266" s="1780" t="n"/>
      <c r="L1266" s="1781" t="n"/>
      <c r="M1266" s="1781" t="n"/>
      <c r="N1266" s="1746" t="n">
        <v>70.08011999999999</v>
      </c>
      <c r="O1266" s="1782" t="n"/>
      <c r="P1266" s="1720" t="n"/>
    </row>
    <row r="1267" hidden="1" outlineLevel="3" ht="13.5" customHeight="1">
      <c r="A1267" s="2117" t="n">
        <v>0</v>
      </c>
      <c r="B1267" s="2117" t="n">
        <v>13</v>
      </c>
      <c r="C1267" s="2117" t="n">
        <v>7</v>
      </c>
      <c r="D1267" s="2118" t="n">
        <v>5</v>
      </c>
      <c r="E1267" s="2118" t="n">
        <v>1</v>
      </c>
      <c r="G1267" s="1798" t="inlineStr">
        <is>
          <t>IMPERMEABILIZAÇÃO</t>
        </is>
      </c>
      <c r="H1267" s="1783" t="inlineStr">
        <is>
          <t>SERVIÇO</t>
        </is>
      </c>
      <c r="I1267" s="1750" t="inlineStr">
        <is>
          <t>13.007.005.001</t>
        </is>
      </c>
      <c r="J1267" s="1785" t="inlineStr">
        <is>
          <t>Tratamento De Ralo Ou Ponto Emergente Com Argamassa Polimérica Reforçado Com Tela De Poliéster</t>
        </is>
      </c>
      <c r="K1267" s="1786" t="inlineStr">
        <is>
          <t>un</t>
        </is>
      </c>
      <c r="L1267" s="1787" t="n">
        <v>8</v>
      </c>
      <c r="M1267" s="1787" t="n">
        <v>8.760015000000001</v>
      </c>
      <c r="N1267" s="1754" t="n">
        <v>70.08011999999999</v>
      </c>
      <c r="O1267" s="1788" t="inlineStr">
        <is>
          <t>2 por banheiro + 1 por lavabo + 2 por área de serviço + 1 por área técnica + 1 por cozinha + 1 por sacada + 1 por torneira de jardin</t>
        </is>
      </c>
      <c r="P1267" s="1721" t="inlineStr">
        <is>
          <t>Pendente</t>
        </is>
      </c>
    </row>
    <row r="1268" hidden="1" outlineLevel="2" ht="13.5" customHeight="1">
      <c r="A1268" s="2117" t="n">
        <v>0</v>
      </c>
      <c r="B1268" s="2117" t="n">
        <v>13</v>
      </c>
      <c r="C1268" s="2117" t="n">
        <v>7</v>
      </c>
      <c r="D1268" s="2118" t="n">
        <v>6</v>
      </c>
      <c r="E1268" s="2118" t="n">
        <v>0</v>
      </c>
      <c r="G1268" s="1797" t="n"/>
      <c r="H1268" s="1777" t="inlineStr">
        <is>
          <t>SUBETAPA</t>
        </is>
      </c>
      <c r="I1268" s="1742" t="inlineStr">
        <is>
          <t>13.007.006</t>
        </is>
      </c>
      <c r="J1268" s="1779" t="inlineStr">
        <is>
          <t>Impermeabilização de Floreiras</t>
        </is>
      </c>
      <c r="K1268" s="1780" t="n"/>
      <c r="L1268" s="1781" t="n"/>
      <c r="M1268" s="1781" t="n"/>
      <c r="N1268" s="1746" t="n">
        <v>1039.97607</v>
      </c>
      <c r="O1268" s="1782" t="n"/>
      <c r="P1268" s="1720" t="n"/>
    </row>
    <row r="1269" hidden="1" outlineLevel="3" ht="13.5" customHeight="1">
      <c r="A1269" s="2117" t="n">
        <v>0</v>
      </c>
      <c r="B1269" s="2117" t="n">
        <v>13</v>
      </c>
      <c r="C1269" s="2117" t="n">
        <v>7</v>
      </c>
      <c r="D1269" s="2118" t="n">
        <v>6</v>
      </c>
      <c r="E1269" s="2118" t="n">
        <v>1</v>
      </c>
      <c r="G1269" s="1798" t="inlineStr">
        <is>
          <t>IMPERMEABILIZAÇÃO</t>
        </is>
      </c>
      <c r="H1269" s="1783" t="inlineStr">
        <is>
          <t>SERVIÇO</t>
        </is>
      </c>
      <c r="I1269" s="1750" t="inlineStr">
        <is>
          <t>13.007.006.001</t>
        </is>
      </c>
      <c r="J1269" s="1785" t="inlineStr">
        <is>
          <t>Sistema 4.5.3:Primer asfáltico à base d'água (0,4 L/m²) + Asfalto oxidado modificado (2,5 kg/m²) + Manta asfáltica AA 4mm Tipo III Classe B + Banho de asfalto oxidado modificado (2,5 kg/m²) + Emulsão asfáltica antiraiz sobre a proteção mecânica (0,8 L/m²)</t>
        </is>
      </c>
      <c r="K1269" s="1786" t="inlineStr">
        <is>
          <t>m2</t>
        </is>
      </c>
      <c r="L1269" s="1787" t="n">
        <v>5.739999999999999</v>
      </c>
      <c r="M1269" s="1787" t="n">
        <v>181.1805</v>
      </c>
      <c r="N1269" s="1754" t="n">
        <v>1039.97607</v>
      </c>
      <c r="O1269" s="1788" t="inlineStr">
        <is>
          <t>Floreiras</t>
        </is>
      </c>
      <c r="P1269" s="1721" t="inlineStr">
        <is>
          <t>Pendente</t>
        </is>
      </c>
    </row>
    <row r="1270" hidden="1" outlineLevel="2" ht="13.5" customHeight="1">
      <c r="A1270" s="2117" t="n">
        <v>0</v>
      </c>
      <c r="B1270" s="2117" t="n">
        <v>13</v>
      </c>
      <c r="C1270" s="2117" t="n">
        <v>7</v>
      </c>
      <c r="D1270" s="2118" t="n">
        <v>7</v>
      </c>
      <c r="E1270" s="2118" t="n">
        <v>0</v>
      </c>
      <c r="G1270" s="1797" t="n"/>
      <c r="H1270" s="1777" t="inlineStr">
        <is>
          <t>SUBETAPA</t>
        </is>
      </c>
      <c r="I1270" s="1742" t="inlineStr">
        <is>
          <t>13.007.007</t>
        </is>
      </c>
      <c r="J1270" s="1779" t="inlineStr">
        <is>
          <t>Mão de Obra</t>
        </is>
      </c>
      <c r="K1270" s="1780" t="n"/>
      <c r="L1270" s="1781" t="n"/>
      <c r="M1270" s="1781" t="n"/>
      <c r="N1270" s="1746" t="n">
        <v>43241.52</v>
      </c>
      <c r="O1270" s="1782" t="n"/>
      <c r="P1270" s="1720" t="n"/>
    </row>
    <row r="1271" hidden="1" outlineLevel="3" ht="13.5" customHeight="1">
      <c r="A1271" s="2117" t="n">
        <v>0</v>
      </c>
      <c r="B1271" s="2117" t="n">
        <v>13</v>
      </c>
      <c r="C1271" s="2117" t="n">
        <v>7</v>
      </c>
      <c r="D1271" s="2118" t="n">
        <v>7</v>
      </c>
      <c r="E1271" s="2118" t="n">
        <v>1</v>
      </c>
      <c r="G1271" s="1798" t="inlineStr">
        <is>
          <t>IMPERMEABILIZAÇÃO</t>
        </is>
      </c>
      <c r="H1271" s="1783" t="inlineStr">
        <is>
          <t>SERVIÇO</t>
        </is>
      </c>
      <c r="I1271" s="1750" t="inlineStr">
        <is>
          <t>13.007.007.001</t>
        </is>
      </c>
      <c r="J1271" s="1785" t="inlineStr">
        <is>
          <t xml:space="preserve">Mão de obra para regularização de superfície </t>
        </is>
      </c>
      <c r="K1271" s="1786" t="inlineStr">
        <is>
          <t>m2</t>
        </is>
      </c>
      <c r="L1271" s="1787" t="n">
        <v>301.02</v>
      </c>
      <c r="M1271" s="1787" t="n">
        <v>20</v>
      </c>
      <c r="N1271" s="1754" t="n">
        <v>6020.4</v>
      </c>
      <c r="O1271" s="1788" t="n"/>
      <c r="P1271" s="1721" t="inlineStr">
        <is>
          <t>Pendente</t>
        </is>
      </c>
    </row>
    <row r="1272" hidden="1" outlineLevel="3" ht="13.5" customHeight="1">
      <c r="A1272" s="2117" t="n">
        <v>0</v>
      </c>
      <c r="B1272" s="2117" t="n">
        <v>13</v>
      </c>
      <c r="C1272" s="2117" t="n">
        <v>7</v>
      </c>
      <c r="D1272" s="2118" t="n">
        <v>7</v>
      </c>
      <c r="E1272" s="2118" t="n">
        <v>2</v>
      </c>
      <c r="G1272" s="1798" t="inlineStr">
        <is>
          <t>IMPERMEABILIZAÇÃO</t>
        </is>
      </c>
      <c r="H1272" s="1783" t="inlineStr">
        <is>
          <t>SERVIÇO</t>
        </is>
      </c>
      <c r="I1272" s="1750" t="inlineStr">
        <is>
          <t>13.007.007.002</t>
        </is>
      </c>
      <c r="J1272" s="1785" t="inlineStr">
        <is>
          <t>Mão de obra para proteção mecânica</t>
        </is>
      </c>
      <c r="K1272" s="1786" t="inlineStr">
        <is>
          <t>m2</t>
        </is>
      </c>
      <c r="L1272" s="1787" t="n">
        <v>285.07</v>
      </c>
      <c r="M1272" s="1787" t="n">
        <v>35</v>
      </c>
      <c r="N1272" s="1754" t="n">
        <v>9977.450000000001</v>
      </c>
      <c r="O1272" s="1788" t="n"/>
      <c r="P1272" s="1721" t="inlineStr">
        <is>
          <t>Pendente</t>
        </is>
      </c>
    </row>
    <row r="1273" hidden="1" outlineLevel="3" ht="13.5" customHeight="1">
      <c r="A1273" s="2117" t="n">
        <v>0</v>
      </c>
      <c r="B1273" s="2117" t="n">
        <v>13</v>
      </c>
      <c r="C1273" s="2117" t="n">
        <v>7</v>
      </c>
      <c r="D1273" s="2118" t="n">
        <v>7</v>
      </c>
      <c r="E1273" s="2118" t="n">
        <v>3</v>
      </c>
      <c r="G1273" s="1798" t="inlineStr">
        <is>
          <t>IMPERMEABILIZAÇÃO</t>
        </is>
      </c>
      <c r="H1273" s="1783" t="inlineStr">
        <is>
          <t>SERVIÇO</t>
        </is>
      </c>
      <c r="I1273" s="1750" t="inlineStr">
        <is>
          <t>13.007.007.003</t>
        </is>
      </c>
      <c r="J1273" s="1785" t="inlineStr">
        <is>
          <t>Mão de obra impermeabilização sistema 2.5.3</t>
        </is>
      </c>
      <c r="K1273" s="1786" t="inlineStr">
        <is>
          <t>m2</t>
        </is>
      </c>
      <c r="L1273" s="1787" t="n">
        <v>62.05</v>
      </c>
      <c r="M1273" s="1787" t="n">
        <v>32</v>
      </c>
      <c r="N1273" s="1754" t="n">
        <v>1985.6</v>
      </c>
      <c r="O1273" s="1788" t="n"/>
      <c r="P1273" s="1721" t="inlineStr">
        <is>
          <t>Pendente</t>
        </is>
      </c>
    </row>
    <row r="1274" hidden="1" outlineLevel="3" ht="13.5" customHeight="1">
      <c r="A1274" s="2117" t="n">
        <v>0</v>
      </c>
      <c r="B1274" s="2117" t="n">
        <v>13</v>
      </c>
      <c r="C1274" s="2117" t="n">
        <v>7</v>
      </c>
      <c r="D1274" s="2118" t="n">
        <v>7</v>
      </c>
      <c r="E1274" s="2118" t="n">
        <v>4</v>
      </c>
      <c r="G1274" s="1798" t="inlineStr">
        <is>
          <t>IMPERMEABILIZAÇÃO</t>
        </is>
      </c>
      <c r="H1274" s="1783" t="inlineStr">
        <is>
          <t>SERVIÇO</t>
        </is>
      </c>
      <c r="I1274" s="1750" t="inlineStr">
        <is>
          <t>13.007.007.004</t>
        </is>
      </c>
      <c r="J1274" s="1785" t="inlineStr">
        <is>
          <t>Mão de obra impermeabilização sistema 4.2.4</t>
        </is>
      </c>
      <c r="K1274" s="1786" t="inlineStr">
        <is>
          <t>m2</t>
        </is>
      </c>
      <c r="L1274" s="1787" t="n">
        <v>169.61</v>
      </c>
      <c r="M1274" s="1787" t="n">
        <v>45</v>
      </c>
      <c r="N1274" s="1754" t="n">
        <v>7632.45</v>
      </c>
      <c r="O1274" s="1788" t="n"/>
      <c r="P1274" s="1721" t="inlineStr">
        <is>
          <t>Pendente</t>
        </is>
      </c>
    </row>
    <row r="1275" hidden="1" outlineLevel="3" ht="13.5" customHeight="1">
      <c r="A1275" s="2117" t="n">
        <v>0</v>
      </c>
      <c r="B1275" s="2117" t="n">
        <v>13</v>
      </c>
      <c r="C1275" s="2117" t="n">
        <v>7</v>
      </c>
      <c r="D1275" s="2118" t="n">
        <v>7</v>
      </c>
      <c r="E1275" s="2118" t="n">
        <v>5</v>
      </c>
      <c r="G1275" s="1798" t="inlineStr">
        <is>
          <t>IMPERMEABILIZAÇÃO</t>
        </is>
      </c>
      <c r="H1275" s="1783" t="inlineStr">
        <is>
          <t>SERVIÇO</t>
        </is>
      </c>
      <c r="I1275" s="1750" t="inlineStr">
        <is>
          <t>13.007.007.005</t>
        </is>
      </c>
      <c r="J1275" s="1785" t="inlineStr">
        <is>
          <t>Mão de obra impermeabilização sistema 4.5.3</t>
        </is>
      </c>
      <c r="K1275" s="1786" t="inlineStr">
        <is>
          <t>m2</t>
        </is>
      </c>
      <c r="L1275" s="1787" t="n">
        <v>5.739999999999999</v>
      </c>
      <c r="M1275" s="1787" t="n">
        <v>45</v>
      </c>
      <c r="N1275" s="1754" t="n">
        <v>258.3</v>
      </c>
      <c r="O1275" s="1788" t="n"/>
      <c r="P1275" s="1721" t="inlineStr">
        <is>
          <t>Pendente</t>
        </is>
      </c>
    </row>
    <row r="1276" hidden="1" outlineLevel="3" ht="13.5" customHeight="1">
      <c r="A1276" s="2117" t="n">
        <v>0</v>
      </c>
      <c r="B1276" s="2117" t="n">
        <v>13</v>
      </c>
      <c r="C1276" s="2117" t="n">
        <v>7</v>
      </c>
      <c r="D1276" s="2118" t="n">
        <v>7</v>
      </c>
      <c r="E1276" s="2118" t="n">
        <v>6</v>
      </c>
      <c r="G1276" s="1798" t="inlineStr">
        <is>
          <t>IMPERMEABILIZAÇÃO</t>
        </is>
      </c>
      <c r="H1276" s="1783" t="inlineStr">
        <is>
          <t>SERVIÇO</t>
        </is>
      </c>
      <c r="I1276" s="1750" t="inlineStr">
        <is>
          <t>13.007.007.006</t>
        </is>
      </c>
      <c r="J1276" s="1785" t="inlineStr">
        <is>
          <t>Mão de obra impermeabilização sistema 4.9.2</t>
        </is>
      </c>
      <c r="K1276" s="1786" t="inlineStr">
        <is>
          <t>m2</t>
        </is>
      </c>
      <c r="L1276" s="1787" t="n">
        <v>241.13</v>
      </c>
      <c r="M1276" s="1787" t="n">
        <v>62</v>
      </c>
      <c r="N1276" s="1754" t="n">
        <v>14950.06</v>
      </c>
      <c r="O1276" s="1788" t="n"/>
      <c r="P1276" s="1721" t="inlineStr">
        <is>
          <t>Pendente</t>
        </is>
      </c>
    </row>
    <row r="1277" hidden="1" outlineLevel="3" ht="13.5" customHeight="1">
      <c r="A1277" s="2117" t="n">
        <v>0</v>
      </c>
      <c r="B1277" s="2117" t="n">
        <v>13</v>
      </c>
      <c r="C1277" s="2117" t="n">
        <v>7</v>
      </c>
      <c r="D1277" s="2118" t="n">
        <v>7</v>
      </c>
      <c r="E1277" s="2118" t="n">
        <v>7</v>
      </c>
      <c r="G1277" s="1798" t="inlineStr">
        <is>
          <t>IMPERMEABILIZAÇÃO</t>
        </is>
      </c>
      <c r="H1277" s="1783" t="inlineStr">
        <is>
          <t>SERVIÇO</t>
        </is>
      </c>
      <c r="I1277" s="1750" t="inlineStr">
        <is>
          <t>13.007.007.007</t>
        </is>
      </c>
      <c r="J1277" s="1785" t="inlineStr">
        <is>
          <t>Mão de obra impermeabilização sistema 7.1.6</t>
        </is>
      </c>
      <c r="K1277" s="1786" t="inlineStr">
        <is>
          <t>m2</t>
        </is>
      </c>
      <c r="L1277" s="1787" t="n">
        <v>48.03</v>
      </c>
      <c r="M1277" s="1787" t="n">
        <v>42</v>
      </c>
      <c r="N1277" s="1754" t="n">
        <v>2017.26</v>
      </c>
      <c r="O1277" s="1788" t="n"/>
      <c r="P1277" s="1721" t="inlineStr">
        <is>
          <t>Pendente</t>
        </is>
      </c>
    </row>
    <row r="1278" hidden="1" outlineLevel="3" ht="13.5" customHeight="1">
      <c r="A1278" s="2117" t="n">
        <v>0</v>
      </c>
      <c r="B1278" s="2117" t="n">
        <v>13</v>
      </c>
      <c r="C1278" s="2117" t="n">
        <v>7</v>
      </c>
      <c r="D1278" s="2118" t="n">
        <v>7</v>
      </c>
      <c r="E1278" s="2118" t="n">
        <v>8</v>
      </c>
      <c r="G1278" s="1798" t="inlineStr">
        <is>
          <t>IMPERMEABILIZAÇÃO</t>
        </is>
      </c>
      <c r="H1278" s="1783" t="inlineStr">
        <is>
          <t>SERVIÇO</t>
        </is>
      </c>
      <c r="I1278" s="1750" t="inlineStr">
        <is>
          <t>13.007.007.008</t>
        </is>
      </c>
      <c r="J1278" s="1751" t="inlineStr">
        <is>
          <t>Mão de obra tratamento de ralo com manta de poliéster</t>
        </is>
      </c>
      <c r="K1278" s="1786" t="inlineStr">
        <is>
          <t>un</t>
        </is>
      </c>
      <c r="L1278" s="1787" t="n">
        <v>8</v>
      </c>
      <c r="M1278" s="1787" t="n">
        <v>50</v>
      </c>
      <c r="N1278" s="1754" t="n">
        <v>400</v>
      </c>
      <c r="O1278" s="1788" t="n"/>
      <c r="P1278" s="1721" t="inlineStr">
        <is>
          <t>Pendente</t>
        </is>
      </c>
    </row>
    <row r="1279" hidden="1" outlineLevel="1" ht="13.5" customHeight="1">
      <c r="A1279" s="2117" t="n">
        <v>0</v>
      </c>
      <c r="B1279" s="2117" t="n">
        <v>13</v>
      </c>
      <c r="C1279" s="2117" t="n">
        <v>8</v>
      </c>
      <c r="D1279" s="2118" t="n">
        <v>0</v>
      </c>
      <c r="E1279" s="2118" t="n">
        <v>8</v>
      </c>
      <c r="G1279" s="1796" t="n"/>
      <c r="H1279" s="1771" t="inlineStr">
        <is>
          <t>ETAPA</t>
        </is>
      </c>
      <c r="I1279" s="1735" t="inlineStr">
        <is>
          <t>13.008</t>
        </is>
      </c>
      <c r="J1279" s="1773" t="inlineStr">
        <is>
          <t>IMPERMEABILIZAÇÃO E TRATAMENTOS - Lazer</t>
        </is>
      </c>
      <c r="K1279" s="1774" t="n"/>
      <c r="L1279" s="1775" t="n"/>
      <c r="M1279" s="1775" t="n"/>
      <c r="N1279" s="1739" t="n">
        <v>131918.560874333</v>
      </c>
      <c r="O1279" s="1776" t="n">
        <v>7.87589014436304</v>
      </c>
      <c r="P1279" s="1719" t="n"/>
    </row>
    <row r="1280" hidden="1" outlineLevel="2" ht="13.5" customHeight="1">
      <c r="A1280" s="2117" t="n">
        <v>0</v>
      </c>
      <c r="B1280" s="2117" t="n">
        <v>13</v>
      </c>
      <c r="C1280" s="2117" t="n">
        <v>8</v>
      </c>
      <c r="D1280" s="2118" t="n">
        <v>1</v>
      </c>
      <c r="E1280" s="2118" t="n">
        <v>0</v>
      </c>
      <c r="G1280" s="1797" t="n"/>
      <c r="H1280" s="1777" t="inlineStr">
        <is>
          <t>SUBETAPA</t>
        </is>
      </c>
      <c r="I1280" s="1742" t="inlineStr">
        <is>
          <t>13.008.001</t>
        </is>
      </c>
      <c r="J1280" s="1779" t="inlineStr">
        <is>
          <t>Regularização e proteção mecânica</t>
        </is>
      </c>
      <c r="K1280" s="1780" t="n"/>
      <c r="L1280" s="1781" t="n"/>
      <c r="M1280" s="1781" t="n"/>
      <c r="N1280" s="1746" t="n">
        <v>19906.993667</v>
      </c>
      <c r="O1280" s="1782" t="n">
        <v>1.18850064908741</v>
      </c>
      <c r="P1280" s="1720" t="n"/>
    </row>
    <row r="1281" hidden="1" outlineLevel="3" ht="13.5" customHeight="1">
      <c r="A1281" s="2117" t="n">
        <v>0</v>
      </c>
      <c r="B1281" s="2117" t="n">
        <v>13</v>
      </c>
      <c r="C1281" s="2117" t="n">
        <v>8</v>
      </c>
      <c r="D1281" s="2118" t="n">
        <v>1</v>
      </c>
      <c r="E1281" s="2118" t="n">
        <v>1</v>
      </c>
      <c r="G1281" s="1798" t="inlineStr">
        <is>
          <t>IMPERMEABILIZAÇÃO</t>
        </is>
      </c>
      <c r="H1281" s="1783" t="inlineStr">
        <is>
          <t>SERVIÇO</t>
        </is>
      </c>
      <c r="I1281" s="1750" t="inlineStr">
        <is>
          <t>13.008.001.001</t>
        </is>
      </c>
      <c r="J1281" s="1785" t="inlineStr">
        <is>
          <t xml:space="preserve">Regularização de superfície para impermeabilização </t>
        </is>
      </c>
      <c r="K1281" s="1786" t="inlineStr">
        <is>
          <t>m2</t>
        </is>
      </c>
      <c r="L1281" s="1787" t="n">
        <v>360.48</v>
      </c>
      <c r="M1281" s="1787" t="n">
        <v>7.065899999999999</v>
      </c>
      <c r="N1281" s="1754" t="n">
        <v>2547.115632</v>
      </c>
      <c r="O1281" s="1788" t="inlineStr">
        <is>
          <t>Toda área de piso que recebe impermeabilização</t>
        </is>
      </c>
      <c r="P1281" s="1721" t="inlineStr">
        <is>
          <t>Pendente</t>
        </is>
      </c>
    </row>
    <row r="1282" hidden="1" outlineLevel="3" ht="13.5" customHeight="1">
      <c r="A1282" s="2117" t="n">
        <v>0</v>
      </c>
      <c r="B1282" s="2117" t="n">
        <v>13</v>
      </c>
      <c r="C1282" s="2117" t="n">
        <v>8</v>
      </c>
      <c r="D1282" s="2118" t="n">
        <v>1</v>
      </c>
      <c r="E1282" s="2118" t="n">
        <v>2</v>
      </c>
      <c r="G1282" s="1798" t="inlineStr">
        <is>
          <t>IMPERMEABILIZAÇÃO</t>
        </is>
      </c>
      <c r="H1282" s="1783" t="inlineStr">
        <is>
          <t>SERVIÇO</t>
        </is>
      </c>
      <c r="I1282" s="1750" t="inlineStr">
        <is>
          <t>13.008.001.002</t>
        </is>
      </c>
      <c r="J1282" s="1785" t="inlineStr">
        <is>
          <t>Proteção mecânica de superfície com argamassa de cimento e areia, traço 1:3 E=5cm</t>
        </is>
      </c>
      <c r="K1282" s="1786" t="inlineStr">
        <is>
          <t>m2</t>
        </is>
      </c>
      <c r="L1282" s="1787" t="n">
        <v>351.71</v>
      </c>
      <c r="M1282" s="1787" t="n">
        <v>49.3585</v>
      </c>
      <c r="N1282" s="1754" t="n">
        <v>17359.878035</v>
      </c>
      <c r="O1282" s="1788" t="inlineStr">
        <is>
          <t>Toda área de piso que recebe impermeabilização de manta asfáltica</t>
        </is>
      </c>
      <c r="P1282" s="1721" t="inlineStr">
        <is>
          <t>Pendente</t>
        </is>
      </c>
    </row>
    <row r="1283" hidden="1" outlineLevel="2" ht="13.5" customHeight="1">
      <c r="A1283" s="2117" t="n">
        <v>0</v>
      </c>
      <c r="B1283" s="2117" t="n">
        <v>13</v>
      </c>
      <c r="C1283" s="2117" t="n">
        <v>8</v>
      </c>
      <c r="D1283" s="2118" t="n">
        <v>2</v>
      </c>
      <c r="E1283" s="2118" t="n">
        <v>0</v>
      </c>
      <c r="G1283" s="1797" t="n"/>
      <c r="H1283" s="1777" t="inlineStr">
        <is>
          <t>SUBETAPA</t>
        </is>
      </c>
      <c r="I1283" s="1742" t="inlineStr">
        <is>
          <t>13.008.002</t>
        </is>
      </c>
      <c r="J1283" s="1779" t="inlineStr">
        <is>
          <t>Impermeabilização de banheiro, cozinha, área de serviço, área técnica, área comum, fosso do elevador e sacada</t>
        </is>
      </c>
      <c r="K1283" s="1780" t="n"/>
      <c r="L1283" s="1781" t="n"/>
      <c r="M1283" s="1781" t="n"/>
      <c r="N1283" s="1746" t="n">
        <v>16717.7903136667</v>
      </c>
      <c r="O1283" s="1782" t="n"/>
      <c r="P1283" s="1720" t="n"/>
    </row>
    <row r="1284" hidden="1" outlineLevel="3" ht="13.5" customHeight="1">
      <c r="A1284" s="2117" t="n">
        <v>0</v>
      </c>
      <c r="B1284" s="2117" t="n">
        <v>13</v>
      </c>
      <c r="C1284" s="2117" t="n">
        <v>8</v>
      </c>
      <c r="D1284" s="2118" t="n">
        <v>2</v>
      </c>
      <c r="E1284" s="2118" t="n">
        <v>1</v>
      </c>
      <c r="G1284" s="1798" t="inlineStr">
        <is>
          <t>IMPERMEABILIZAÇÃO</t>
        </is>
      </c>
      <c r="H1284" s="1783" t="inlineStr">
        <is>
          <t>SERVIÇO</t>
        </is>
      </c>
      <c r="I1284" s="1750" t="inlineStr">
        <is>
          <t>13.008.002.001</t>
        </is>
      </c>
      <c r="J1284" s="1785" t="inlineStr">
        <is>
          <t>Sistema 2.5.3: Membrana de polímero acrílico com cimento e fibras sintéticas | Revestimento bicomponente à base de polímeros acrílicos com adição de cimento e fibras sintéticas (3,0 kg/m²) + Tela de poliéster nos pontos críticos</t>
        </is>
      </c>
      <c r="K1284" s="1786" t="inlineStr">
        <is>
          <t>m2</t>
        </is>
      </c>
      <c r="L1284" s="1787" t="n">
        <v>21.34</v>
      </c>
      <c r="M1284" s="1787" t="n">
        <v>34.05846666666666</v>
      </c>
      <c r="N1284" s="1754" t="n">
        <v>726.807678666667</v>
      </c>
      <c r="O1284" s="1788" t="inlineStr">
        <is>
          <t>Banheiro + área de serviço + casa de máquinas</t>
        </is>
      </c>
      <c r="P1284" s="1721" t="inlineStr">
        <is>
          <t>Pendente</t>
        </is>
      </c>
    </row>
    <row r="1285" hidden="1" outlineLevel="3" ht="13.5" customHeight="1">
      <c r="A1285" s="2117" t="n">
        <v>0</v>
      </c>
      <c r="B1285" s="2117" t="n">
        <v>13</v>
      </c>
      <c r="C1285" s="2117" t="n">
        <v>8</v>
      </c>
      <c r="D1285" s="2118" t="n">
        <v>2</v>
      </c>
      <c r="E1285" s="2118" t="n">
        <v>2</v>
      </c>
      <c r="G1285" s="1798" t="inlineStr">
        <is>
          <t>IMPERMEABILIZAÇÃO</t>
        </is>
      </c>
      <c r="H1285" s="1783" t="inlineStr">
        <is>
          <t>SERVIÇO</t>
        </is>
      </c>
      <c r="I1285" s="1750" t="inlineStr">
        <is>
          <t>13.008.002.002</t>
        </is>
      </c>
      <c r="J1285" s="1785" t="inlineStr">
        <is>
          <t>Sistema 4.2.4:Primer asfáltico à base d'água (0,4 L/m²) + Asfalto oxidado modificado (2,5 kg/m²) + Manta asfáltica AA 4mm Tipo III Classe B + Banho de asfalto oxidado modificado (2,5 kg/m²)</t>
        </is>
      </c>
      <c r="K1285" s="1786" t="inlineStr">
        <is>
          <t>m2</t>
        </is>
      </c>
      <c r="L1285" s="1787" t="n">
        <v>120.07</v>
      </c>
      <c r="M1285" s="1787" t="n">
        <v>133.1805</v>
      </c>
      <c r="N1285" s="1754" t="n">
        <v>15990.982635</v>
      </c>
      <c r="O1285" s="1788" t="inlineStr">
        <is>
          <t>Sacada + circulação lazer + espaço crossfit</t>
        </is>
      </c>
      <c r="P1285" s="1721" t="inlineStr">
        <is>
          <t>Pendente</t>
        </is>
      </c>
    </row>
    <row r="1286" hidden="1" outlineLevel="2" ht="13.5" customHeight="1">
      <c r="A1286" s="2117" t="n">
        <v>0</v>
      </c>
      <c r="B1286" s="2117" t="n">
        <v>13</v>
      </c>
      <c r="C1286" s="2117" t="n">
        <v>8</v>
      </c>
      <c r="D1286" s="2118" t="n">
        <v>3</v>
      </c>
      <c r="E1286" s="2118" t="n">
        <v>0</v>
      </c>
      <c r="G1286" s="1797" t="n"/>
      <c r="H1286" s="1777" t="inlineStr">
        <is>
          <t>SUBETAPA</t>
        </is>
      </c>
      <c r="I1286" s="1742" t="inlineStr">
        <is>
          <t>13.008.003</t>
        </is>
      </c>
      <c r="J1286" s="1779" t="inlineStr">
        <is>
          <t>Impermeabilização de esquadrias</t>
        </is>
      </c>
      <c r="K1286" s="1780" t="n"/>
      <c r="L1286" s="1781" t="n"/>
      <c r="M1286" s="1781" t="n"/>
      <c r="N1286" s="1746" t="n">
        <v>777.895378666666</v>
      </c>
      <c r="O1286" s="1782" t="n"/>
      <c r="P1286" s="1720" t="n"/>
    </row>
    <row r="1287" hidden="1" outlineLevel="3" ht="13.5" customHeight="1">
      <c r="A1287" s="2117" t="n">
        <v>0</v>
      </c>
      <c r="B1287" s="2117" t="n">
        <v>13</v>
      </c>
      <c r="C1287" s="2117" t="n">
        <v>8</v>
      </c>
      <c r="D1287" s="2118" t="n">
        <v>3</v>
      </c>
      <c r="E1287" s="2118" t="n">
        <v>1</v>
      </c>
      <c r="G1287" s="1798" t="inlineStr">
        <is>
          <t>IMPERMEABILIZAÇÃO</t>
        </is>
      </c>
      <c r="H1287" s="1783" t="inlineStr">
        <is>
          <t>SERVIÇO</t>
        </is>
      </c>
      <c r="I1287" s="1750" t="inlineStr">
        <is>
          <t>13.008.003.001</t>
        </is>
      </c>
      <c r="J1287" s="1785" t="inlineStr">
        <is>
          <t>Sistema 2.5.3: Membrana de polímero acrílico com cimento e fibras sintéticas | Revestimento bicomponente à base de polímeros acrílicos com adição de cimento e fibras sintéticas (3,0 kg/m²) + Tela de poliéster nos pontos críticos</t>
        </is>
      </c>
      <c r="K1287" s="1786" t="inlineStr">
        <is>
          <t>m2</t>
        </is>
      </c>
      <c r="L1287" s="1787" t="n">
        <v>22.84</v>
      </c>
      <c r="M1287" s="1787" t="n">
        <v>34.05846666666666</v>
      </c>
      <c r="N1287" s="1754" t="n">
        <v>777.895378666666</v>
      </c>
      <c r="O1287" s="1788" t="n"/>
      <c r="P1287" s="1721" t="inlineStr">
        <is>
          <t>Pendente</t>
        </is>
      </c>
    </row>
    <row r="1288" hidden="1" outlineLevel="2" ht="13.5" customHeight="1">
      <c r="A1288" s="2117" t="n">
        <v>0</v>
      </c>
      <c r="B1288" s="2117" t="n">
        <v>13</v>
      </c>
      <c r="C1288" s="2117" t="n">
        <v>8</v>
      </c>
      <c r="D1288" s="2118" t="n">
        <v>4</v>
      </c>
      <c r="E1288" s="2118" t="n">
        <v>0</v>
      </c>
      <c r="G1288" s="1797" t="n"/>
      <c r="H1288" s="1777" t="inlineStr">
        <is>
          <t>SUBETAPA</t>
        </is>
      </c>
      <c r="I1288" s="1742" t="inlineStr">
        <is>
          <t>13.008.004</t>
        </is>
      </c>
      <c r="J1288" s="1779" t="inlineStr">
        <is>
          <t>Impermeabilização de ralos</t>
        </is>
      </c>
      <c r="K1288" s="1780" t="n"/>
      <c r="L1288" s="1781" t="n"/>
      <c r="M1288" s="1781" t="n"/>
      <c r="N1288" s="1746" t="n">
        <v>61.320105</v>
      </c>
      <c r="O1288" s="1782" t="n"/>
      <c r="P1288" s="1720" t="n"/>
    </row>
    <row r="1289" hidden="1" outlineLevel="3" ht="13.5" customHeight="1">
      <c r="A1289" s="2117" t="n">
        <v>0</v>
      </c>
      <c r="B1289" s="2117" t="n">
        <v>13</v>
      </c>
      <c r="C1289" s="2117" t="n">
        <v>8</v>
      </c>
      <c r="D1289" s="2118" t="n">
        <v>4</v>
      </c>
      <c r="E1289" s="2118" t="n">
        <v>1</v>
      </c>
      <c r="G1289" s="1798" t="inlineStr">
        <is>
          <t>IMPERMEABILIZAÇÃO</t>
        </is>
      </c>
      <c r="H1289" s="1783" t="inlineStr">
        <is>
          <t>SERVIÇO</t>
        </is>
      </c>
      <c r="I1289" s="1750" t="inlineStr">
        <is>
          <t>13.008.004.001</t>
        </is>
      </c>
      <c r="J1289" s="1785" t="inlineStr">
        <is>
          <t>Tratamento De Ralo Ou Ponto Emergente Com Argamassa Polimérica Reforçado Com Tela De Poliéster</t>
        </is>
      </c>
      <c r="K1289" s="1786" t="inlineStr">
        <is>
          <t>un</t>
        </is>
      </c>
      <c r="L1289" s="1787" t="n">
        <v>7</v>
      </c>
      <c r="M1289" s="1787" t="n">
        <v>8.760015000000001</v>
      </c>
      <c r="N1289" s="1754" t="n">
        <v>61.320105</v>
      </c>
      <c r="O1289" s="1788" t="inlineStr">
        <is>
          <t>2 por banheiro + 1 por lavabo + 2 por área de serviço + 1 por área técnica + 1 por cozinha + 1 por sacada + 1 por torneira de jardin</t>
        </is>
      </c>
      <c r="P1289" s="1721" t="inlineStr">
        <is>
          <t>Pendente</t>
        </is>
      </c>
    </row>
    <row r="1290" hidden="1" outlineLevel="2" ht="13.5" customHeight="1">
      <c r="A1290" s="2117" t="n">
        <v>0</v>
      </c>
      <c r="B1290" s="2117" t="n">
        <v>13</v>
      </c>
      <c r="C1290" s="2117" t="n">
        <v>8</v>
      </c>
      <c r="D1290" s="2118" t="n">
        <v>5</v>
      </c>
      <c r="E1290" s="2118" t="n">
        <v>0</v>
      </c>
      <c r="G1290" s="1797" t="n"/>
      <c r="H1290" s="1777" t="inlineStr">
        <is>
          <t>SUBETAPA</t>
        </is>
      </c>
      <c r="I1290" s="1742" t="inlineStr">
        <is>
          <t>13.008.005</t>
        </is>
      </c>
      <c r="J1290" s="1779" t="inlineStr">
        <is>
          <t>Impermeabilização de Floreiras</t>
        </is>
      </c>
      <c r="K1290" s="1780" t="n"/>
      <c r="L1290" s="1781" t="n"/>
      <c r="M1290" s="1781" t="n"/>
      <c r="N1290" s="1746" t="n">
        <v>54285.30141</v>
      </c>
      <c r="O1290" s="1782" t="n"/>
      <c r="P1290" s="1720" t="n"/>
    </row>
    <row r="1291" hidden="1" outlineLevel="3" ht="13.5" customHeight="1">
      <c r="A1291" s="2117" t="n">
        <v>0</v>
      </c>
      <c r="B1291" s="2117" t="n">
        <v>13</v>
      </c>
      <c r="C1291" s="2117" t="n">
        <v>8</v>
      </c>
      <c r="D1291" s="2118" t="n">
        <v>5</v>
      </c>
      <c r="E1291" s="2118" t="n">
        <v>1</v>
      </c>
      <c r="G1291" s="1798" t="inlineStr">
        <is>
          <t>IMPERMEABILIZAÇÃO</t>
        </is>
      </c>
      <c r="H1291" s="1783" t="inlineStr">
        <is>
          <t>SERVIÇO</t>
        </is>
      </c>
      <c r="I1291" s="1750" t="inlineStr">
        <is>
          <t>13.008.005.001</t>
        </is>
      </c>
      <c r="J1291" s="1785" t="inlineStr">
        <is>
          <t>Sistema 4.5.3:Primer asfáltico à base d'água (0,4 L/m²) + Asfalto oxidado modificado (2,5 kg/m²) + Manta asfáltica AA 4mm Tipo III Classe B + Banho de asfalto oxidado modificado (2,5 kg/m²) + Emulsão asfáltica antiraiz sobre a proteção mecânica (0,8 L/m²)</t>
        </is>
      </c>
      <c r="K1291" s="1786" t="inlineStr">
        <is>
          <t>m2</t>
        </is>
      </c>
      <c r="L1291" s="1787" t="n">
        <v>299.62</v>
      </c>
      <c r="M1291" s="1787" t="n">
        <v>181.1805</v>
      </c>
      <c r="N1291" s="1754" t="n">
        <v>54285.30141</v>
      </c>
      <c r="O1291" s="1788" t="inlineStr">
        <is>
          <t>Floreiras</t>
        </is>
      </c>
      <c r="P1291" s="1721" t="inlineStr">
        <is>
          <t>Pendente</t>
        </is>
      </c>
    </row>
    <row r="1292" hidden="1" outlineLevel="2" ht="13.5" customHeight="1">
      <c r="A1292" s="2117" t="n">
        <v>0</v>
      </c>
      <c r="B1292" s="2117" t="n">
        <v>13</v>
      </c>
      <c r="C1292" s="2117" t="n">
        <v>8</v>
      </c>
      <c r="D1292" s="2118" t="n">
        <v>6</v>
      </c>
      <c r="E1292" s="2118" t="n">
        <v>0</v>
      </c>
      <c r="G1292" s="1797" t="n"/>
      <c r="H1292" s="1777" t="inlineStr">
        <is>
          <t>SUBETAPA</t>
        </is>
      </c>
      <c r="I1292" s="1742" t="inlineStr">
        <is>
          <t>13.008.006</t>
        </is>
      </c>
      <c r="J1292" s="1779" t="inlineStr">
        <is>
          <t>Mão de Obra</t>
        </is>
      </c>
      <c r="K1292" s="1780" t="n"/>
      <c r="L1292" s="1781" t="n"/>
      <c r="M1292" s="1781" t="n"/>
      <c r="N1292" s="1746" t="n">
        <v>40169.26</v>
      </c>
      <c r="O1292" s="1782" t="n"/>
      <c r="P1292" s="1720" t="n"/>
    </row>
    <row r="1293" hidden="1" outlineLevel="3" ht="13.5" customHeight="1">
      <c r="A1293" s="2117" t="n">
        <v>0</v>
      </c>
      <c r="B1293" s="2117" t="n">
        <v>13</v>
      </c>
      <c r="C1293" s="2117" t="n">
        <v>8</v>
      </c>
      <c r="D1293" s="2118" t="n">
        <v>6</v>
      </c>
      <c r="E1293" s="2118" t="n">
        <v>1</v>
      </c>
      <c r="G1293" s="1798" t="inlineStr">
        <is>
          <t>IMPERMEABILIZAÇÃO</t>
        </is>
      </c>
      <c r="H1293" s="1783" t="inlineStr">
        <is>
          <t>SERVIÇO</t>
        </is>
      </c>
      <c r="I1293" s="1750" t="inlineStr">
        <is>
          <t>13.008.006.001</t>
        </is>
      </c>
      <c r="J1293" s="1785" t="inlineStr">
        <is>
          <t xml:space="preserve">Mão de obra para regularização de superfície </t>
        </is>
      </c>
      <c r="K1293" s="1786" t="inlineStr">
        <is>
          <t>m2</t>
        </is>
      </c>
      <c r="L1293" s="1787" t="n">
        <v>360.48</v>
      </c>
      <c r="M1293" s="1787" t="n">
        <v>20</v>
      </c>
      <c r="N1293" s="1754" t="n">
        <v>7209.6</v>
      </c>
      <c r="O1293" s="1788" t="n"/>
      <c r="P1293" s="1721" t="inlineStr">
        <is>
          <t>Pendente</t>
        </is>
      </c>
    </row>
    <row r="1294" hidden="1" outlineLevel="3" ht="13.5" customHeight="1">
      <c r="A1294" s="2117" t="n">
        <v>0</v>
      </c>
      <c r="B1294" s="2117" t="n">
        <v>13</v>
      </c>
      <c r="C1294" s="2117" t="n">
        <v>8</v>
      </c>
      <c r="D1294" s="2118" t="n">
        <v>6</v>
      </c>
      <c r="E1294" s="2118" t="n">
        <v>2</v>
      </c>
      <c r="G1294" s="1798" t="inlineStr">
        <is>
          <t>IMPERMEABILIZAÇÃO</t>
        </is>
      </c>
      <c r="H1294" s="1783" t="inlineStr">
        <is>
          <t>SERVIÇO</t>
        </is>
      </c>
      <c r="I1294" s="1750" t="inlineStr">
        <is>
          <t>13.008.006.002</t>
        </is>
      </c>
      <c r="J1294" s="1785" t="inlineStr">
        <is>
          <t>Mão de obra para proteção mecânica</t>
        </is>
      </c>
      <c r="K1294" s="1786" t="inlineStr">
        <is>
          <t>m2</t>
        </is>
      </c>
      <c r="L1294" s="1787" t="n">
        <v>351.71</v>
      </c>
      <c r="M1294" s="1787" t="n">
        <v>35</v>
      </c>
      <c r="N1294" s="1754" t="n">
        <v>12309.85</v>
      </c>
      <c r="O1294" s="1788" t="n"/>
      <c r="P1294" s="1721" t="inlineStr">
        <is>
          <t>Pendente</t>
        </is>
      </c>
    </row>
    <row r="1295" hidden="1" outlineLevel="3" ht="13.5" customHeight="1">
      <c r="A1295" s="2117" t="n">
        <v>0</v>
      </c>
      <c r="B1295" s="2117" t="n">
        <v>13</v>
      </c>
      <c r="C1295" s="2117" t="n">
        <v>8</v>
      </c>
      <c r="D1295" s="2118" t="n">
        <v>6</v>
      </c>
      <c r="E1295" s="2118" t="n">
        <v>3</v>
      </c>
      <c r="G1295" s="1798" t="inlineStr">
        <is>
          <t>IMPERMEABILIZAÇÃO</t>
        </is>
      </c>
      <c r="H1295" s="1783" t="inlineStr">
        <is>
          <t>SERVIÇO</t>
        </is>
      </c>
      <c r="I1295" s="1750" t="inlineStr">
        <is>
          <t>13.008.006.003</t>
        </is>
      </c>
      <c r="J1295" s="1785" t="inlineStr">
        <is>
          <t>Mão de obra impermeabilização sistema 2.5.3</t>
        </is>
      </c>
      <c r="K1295" s="1786" t="inlineStr">
        <is>
          <t>m2</t>
        </is>
      </c>
      <c r="L1295" s="1787" t="n">
        <v>44.18</v>
      </c>
      <c r="M1295" s="1787" t="n">
        <v>32</v>
      </c>
      <c r="N1295" s="1754" t="n">
        <v>1413.76</v>
      </c>
      <c r="O1295" s="1788" t="n"/>
      <c r="P1295" s="1721" t="inlineStr">
        <is>
          <t>Pendente</t>
        </is>
      </c>
    </row>
    <row r="1296" hidden="1" outlineLevel="3" ht="13.5" customHeight="1">
      <c r="A1296" s="2117" t="n">
        <v>0</v>
      </c>
      <c r="B1296" s="2117" t="n">
        <v>13</v>
      </c>
      <c r="C1296" s="2117" t="n">
        <v>8</v>
      </c>
      <c r="D1296" s="2118" t="n">
        <v>6</v>
      </c>
      <c r="E1296" s="2118" t="n">
        <v>4</v>
      </c>
      <c r="G1296" s="1798" t="inlineStr">
        <is>
          <t>IMPERMEABILIZAÇÃO</t>
        </is>
      </c>
      <c r="H1296" s="1783" t="inlineStr">
        <is>
          <t>SERVIÇO</t>
        </is>
      </c>
      <c r="I1296" s="1750" t="inlineStr">
        <is>
          <t>13.008.006.004</t>
        </is>
      </c>
      <c r="J1296" s="1785" t="inlineStr">
        <is>
          <t>Mão de obra impermeabilização sistema 4.2.4</t>
        </is>
      </c>
      <c r="K1296" s="1786" t="inlineStr">
        <is>
          <t>m2</t>
        </is>
      </c>
      <c r="L1296" s="1787" t="n">
        <v>120.07</v>
      </c>
      <c r="M1296" s="1787" t="n">
        <v>45</v>
      </c>
      <c r="N1296" s="1754" t="n">
        <v>5403.15</v>
      </c>
      <c r="O1296" s="1788" t="n"/>
      <c r="P1296" s="1721" t="inlineStr">
        <is>
          <t>Pendente</t>
        </is>
      </c>
    </row>
    <row r="1297" hidden="1" outlineLevel="3" ht="13.5" customHeight="1">
      <c r="A1297" s="2117" t="n">
        <v>0</v>
      </c>
      <c r="B1297" s="2117" t="n">
        <v>13</v>
      </c>
      <c r="C1297" s="2117" t="n">
        <v>8</v>
      </c>
      <c r="D1297" s="2118" t="n">
        <v>6</v>
      </c>
      <c r="E1297" s="2118" t="n">
        <v>5</v>
      </c>
      <c r="G1297" s="1798" t="inlineStr">
        <is>
          <t>IMPERMEABILIZAÇÃO</t>
        </is>
      </c>
      <c r="H1297" s="1783" t="inlineStr">
        <is>
          <t>SERVIÇO</t>
        </is>
      </c>
      <c r="I1297" s="1750" t="inlineStr">
        <is>
          <t>13.008.006.005</t>
        </is>
      </c>
      <c r="J1297" s="1785" t="inlineStr">
        <is>
          <t>Mão de obra impermeabilização sistema 4.5.3</t>
        </is>
      </c>
      <c r="K1297" s="1786" t="inlineStr">
        <is>
          <t>m2</t>
        </is>
      </c>
      <c r="L1297" s="1787" t="n">
        <v>299.62</v>
      </c>
      <c r="M1297" s="1787" t="n">
        <v>45</v>
      </c>
      <c r="N1297" s="1754" t="n">
        <v>13482.9</v>
      </c>
      <c r="O1297" s="1788" t="n"/>
      <c r="P1297" s="1721" t="inlineStr">
        <is>
          <t>Pendente</t>
        </is>
      </c>
    </row>
    <row r="1298" hidden="1" outlineLevel="3" ht="13.5" customHeight="1">
      <c r="A1298" s="2117" t="n">
        <v>0</v>
      </c>
      <c r="B1298" s="2117" t="n">
        <v>13</v>
      </c>
      <c r="C1298" s="2117" t="n">
        <v>8</v>
      </c>
      <c r="D1298" s="2118" t="n">
        <v>6</v>
      </c>
      <c r="E1298" s="2118" t="n">
        <v>6</v>
      </c>
      <c r="G1298" s="1798" t="inlineStr">
        <is>
          <t>IMPERMEABILIZAÇÃO</t>
        </is>
      </c>
      <c r="H1298" s="1783" t="inlineStr">
        <is>
          <t>SERVIÇO</t>
        </is>
      </c>
      <c r="I1298" s="1750" t="inlineStr">
        <is>
          <t>13.008.006.006</t>
        </is>
      </c>
      <c r="J1298" s="1751" t="inlineStr">
        <is>
          <t>Mão de obra tratamento de ralo com manta de poliéster</t>
        </is>
      </c>
      <c r="K1298" s="1786" t="inlineStr">
        <is>
          <t>un</t>
        </is>
      </c>
      <c r="L1298" s="1787" t="n">
        <v>7</v>
      </c>
      <c r="M1298" s="1787" t="n">
        <v>50</v>
      </c>
      <c r="N1298" s="1754" t="n">
        <v>350</v>
      </c>
      <c r="O1298" s="1788" t="n"/>
      <c r="P1298" s="1721" t="inlineStr">
        <is>
          <t>Pendente</t>
        </is>
      </c>
    </row>
    <row r="1299" hidden="1" outlineLevel="1" ht="13.5" customHeight="1">
      <c r="A1299" s="2117" t="n">
        <v>0</v>
      </c>
      <c r="B1299" s="2117" t="n">
        <v>13</v>
      </c>
      <c r="C1299" s="2117" t="n">
        <v>9</v>
      </c>
      <c r="D1299" s="2118" t="n">
        <v>0</v>
      </c>
      <c r="E1299" s="2118" t="n">
        <v>6</v>
      </c>
      <c r="G1299" s="1796" t="n"/>
      <c r="H1299" s="1771" t="inlineStr">
        <is>
          <t>ETAPA</t>
        </is>
      </c>
      <c r="I1299" s="1735" t="inlineStr">
        <is>
          <t>13.009</t>
        </is>
      </c>
      <c r="J1299" s="1773" t="inlineStr">
        <is>
          <t>IMPERMEABILIZAÇÃO E TRATAMENTOS - Tipo diferenciado</t>
        </is>
      </c>
      <c r="K1299" s="1774" t="n"/>
      <c r="L1299" s="1775" t="n"/>
      <c r="M1299" s="1775" t="n"/>
      <c r="N1299" s="1739" t="n">
        <v>35844.704781</v>
      </c>
      <c r="O1299" s="1776" t="n">
        <v>2.14002453666251</v>
      </c>
      <c r="P1299" s="1719" t="n"/>
    </row>
    <row r="1300" hidden="1" outlineLevel="2" ht="13.5" customHeight="1">
      <c r="A1300" s="2117" t="n">
        <v>0</v>
      </c>
      <c r="B1300" s="2117" t="n">
        <v>13</v>
      </c>
      <c r="C1300" s="2117" t="n">
        <v>9</v>
      </c>
      <c r="D1300" s="2118" t="n">
        <v>1</v>
      </c>
      <c r="E1300" s="2118" t="n">
        <v>0</v>
      </c>
      <c r="G1300" s="1797" t="n"/>
      <c r="H1300" s="1777" t="inlineStr">
        <is>
          <t>SUBETAPA</t>
        </is>
      </c>
      <c r="I1300" s="1742" t="inlineStr">
        <is>
          <t>13.009.001</t>
        </is>
      </c>
      <c r="J1300" s="1779" t="inlineStr">
        <is>
          <t>Regularização e proteção mecânica</t>
        </is>
      </c>
      <c r="K1300" s="1780" t="n"/>
      <c r="L1300" s="1781" t="n"/>
      <c r="M1300" s="1781" t="n"/>
      <c r="N1300" s="1746" t="n">
        <v>3086.794413</v>
      </c>
      <c r="O1300" s="1782" t="n">
        <v>0.184289864397328</v>
      </c>
      <c r="P1300" s="1720" t="n"/>
    </row>
    <row r="1301" hidden="1" outlineLevel="3" ht="13.5" customHeight="1">
      <c r="A1301" s="2117" t="n">
        <v>0</v>
      </c>
      <c r="B1301" s="2117" t="n">
        <v>13</v>
      </c>
      <c r="C1301" s="2117" t="n">
        <v>9</v>
      </c>
      <c r="D1301" s="2118" t="n">
        <v>1</v>
      </c>
      <c r="E1301" s="2118" t="n">
        <v>1</v>
      </c>
      <c r="G1301" s="1798" t="inlineStr">
        <is>
          <t>IMPERMEABILIZAÇÃO</t>
        </is>
      </c>
      <c r="H1301" s="1783" t="inlineStr">
        <is>
          <t>SERVIÇO</t>
        </is>
      </c>
      <c r="I1301" s="1750" t="inlineStr">
        <is>
          <t>13.009.001.001</t>
        </is>
      </c>
      <c r="J1301" s="1785" t="inlineStr">
        <is>
          <t xml:space="preserve">Regularização de superfície para impermeabilização </t>
        </is>
      </c>
      <c r="K1301" s="1786" t="inlineStr">
        <is>
          <t>m2</t>
        </is>
      </c>
      <c r="L1301" s="1787" t="n">
        <v>123.77</v>
      </c>
      <c r="M1301" s="1787" t="n">
        <v>7.065899999999999</v>
      </c>
      <c r="N1301" s="1754" t="n">
        <v>874.546443</v>
      </c>
      <c r="O1301" s="1788" t="inlineStr">
        <is>
          <t>Toda área de piso que recebe impermeabilização</t>
        </is>
      </c>
      <c r="P1301" s="1721" t="inlineStr">
        <is>
          <t>Pendente</t>
        </is>
      </c>
    </row>
    <row r="1302" hidden="1" outlineLevel="3" ht="13.5" customHeight="1">
      <c r="A1302" s="2117" t="n">
        <v>0</v>
      </c>
      <c r="B1302" s="2117" t="n">
        <v>13</v>
      </c>
      <c r="C1302" s="2117" t="n">
        <v>9</v>
      </c>
      <c r="D1302" s="2118" t="n">
        <v>1</v>
      </c>
      <c r="E1302" s="2118" t="n">
        <v>2</v>
      </c>
      <c r="G1302" s="1798" t="inlineStr">
        <is>
          <t>IMPERMEABILIZAÇÃO</t>
        </is>
      </c>
      <c r="H1302" s="1783" t="inlineStr">
        <is>
          <t>SERVIÇO</t>
        </is>
      </c>
      <c r="I1302" s="1750" t="inlineStr">
        <is>
          <t>13.009.001.002</t>
        </is>
      </c>
      <c r="J1302" s="1785" t="inlineStr">
        <is>
          <t>Proteção mecânica de superfície com argamassa de cimento e areia, traço 1:3 E=5cm</t>
        </is>
      </c>
      <c r="K1302" s="1786" t="inlineStr">
        <is>
          <t>m2</t>
        </is>
      </c>
      <c r="L1302" s="1787" t="n">
        <v>44.82</v>
      </c>
      <c r="M1302" s="1787" t="n">
        <v>49.3585</v>
      </c>
      <c r="N1302" s="1754" t="n">
        <v>2212.24797</v>
      </c>
      <c r="O1302" s="1788" t="inlineStr">
        <is>
          <t>Toda área de piso que recebe impermeabilização de manta asfáltica</t>
        </is>
      </c>
      <c r="P1302" s="1721" t="inlineStr">
        <is>
          <t>Pendente</t>
        </is>
      </c>
    </row>
    <row r="1303" hidden="1" outlineLevel="2" ht="13.5" customHeight="1">
      <c r="A1303" s="2117" t="n">
        <v>0</v>
      </c>
      <c r="B1303" s="2117" t="n">
        <v>13</v>
      </c>
      <c r="C1303" s="2117" t="n">
        <v>9</v>
      </c>
      <c r="D1303" s="2118" t="n">
        <v>2</v>
      </c>
      <c r="E1303" s="2118" t="n">
        <v>0</v>
      </c>
      <c r="G1303" s="1797" t="n"/>
      <c r="H1303" s="1777" t="inlineStr">
        <is>
          <t>SUBETAPA</t>
        </is>
      </c>
      <c r="I1303" s="1742" t="inlineStr">
        <is>
          <t>13.009.002</t>
        </is>
      </c>
      <c r="J1303" s="1779" t="inlineStr">
        <is>
          <t>Impermeabilização de lajes, cobertura, rufos, moldura da fachada e terraços</t>
        </is>
      </c>
      <c r="K1303" s="1780" t="n"/>
      <c r="L1303" s="1781" t="n"/>
      <c r="M1303" s="1781" t="n"/>
      <c r="N1303" s="1746" t="n">
        <v>5714.467284</v>
      </c>
      <c r="O1303" s="1782" t="n"/>
      <c r="P1303" s="1720" t="n"/>
    </row>
    <row r="1304" hidden="1" outlineLevel="3" ht="13.5" customHeight="1">
      <c r="A1304" s="2117" t="n">
        <v>0</v>
      </c>
      <c r="B1304" s="2117" t="n">
        <v>13</v>
      </c>
      <c r="C1304" s="2117" t="n">
        <v>9</v>
      </c>
      <c r="D1304" s="2118" t="n">
        <v>2</v>
      </c>
      <c r="E1304" s="2118" t="n">
        <v>1</v>
      </c>
      <c r="G1304" s="1798" t="inlineStr">
        <is>
          <t>IMPERMEABILIZAÇÃO</t>
        </is>
      </c>
      <c r="H1304" s="1783" t="inlineStr">
        <is>
          <t>SERVIÇO</t>
        </is>
      </c>
      <c r="I1304" s="1750" t="inlineStr">
        <is>
          <t>13.009.002.001</t>
        </is>
      </c>
      <c r="J1304" s="1785" t="inlineStr">
        <is>
          <t>Sistema 4.2.4:Primer asfáltico à base d'água (0,4 L/m²) + Asfalto oxidado modificado (2,5 kg/m²) + Manta asfáltica AA 4mm Tipo III Classe B + Banho de asfalto oxidado modificado (2,5 kg/m²)</t>
        </is>
      </c>
      <c r="K1304" s="1786" t="inlineStr">
        <is>
          <t>m2</t>
        </is>
      </c>
      <c r="L1304" s="1787" t="n"/>
      <c r="M1304" s="1787" t="n">
        <v>133.1805</v>
      </c>
      <c r="N1304" s="1754" t="n">
        <v>0</v>
      </c>
      <c r="O1304" s="1788" t="inlineStr">
        <is>
          <t>Cobertura + terraço</t>
        </is>
      </c>
      <c r="P1304" s="1721" t="inlineStr">
        <is>
          <t>Pendente</t>
        </is>
      </c>
    </row>
    <row r="1305" hidden="1" outlineLevel="3" ht="13.5" customHeight="1">
      <c r="A1305" s="2117" t="n">
        <v>0</v>
      </c>
      <c r="B1305" s="2117" t="n">
        <v>13</v>
      </c>
      <c r="C1305" s="2117" t="n">
        <v>9</v>
      </c>
      <c r="D1305" s="2118" t="n">
        <v>2</v>
      </c>
      <c r="E1305" s="2118" t="n">
        <v>2</v>
      </c>
      <c r="G1305" s="1798" t="inlineStr">
        <is>
          <t>IMPERMEABILIZAÇÃO</t>
        </is>
      </c>
      <c r="H1305" s="1783" t="inlineStr">
        <is>
          <t>SERVIÇO</t>
        </is>
      </c>
      <c r="I1305" s="1750" t="inlineStr">
        <is>
          <t>13.009.002.002</t>
        </is>
      </c>
      <c r="J1305" s="1785" t="inlineStr">
        <is>
          <t>Sistema 7.1.6:Argamassa impermeabilizante sem cimento - MK-FEN 30 (F) | Argamassa não cimentícia com agentes incorporadores de ar (8,0 kg/m²) + Tela de poliéster nos pontos críticos</t>
        </is>
      </c>
      <c r="K1305" s="1786" t="inlineStr">
        <is>
          <t>m2</t>
        </is>
      </c>
      <c r="L1305" s="1787" t="n">
        <v>38.38</v>
      </c>
      <c r="M1305" s="1787" t="n">
        <v>148.8918</v>
      </c>
      <c r="N1305" s="1754" t="n">
        <v>5714.467284</v>
      </c>
      <c r="O1305" s="1788" t="inlineStr">
        <is>
          <t>Moldura de fachada + rufos</t>
        </is>
      </c>
      <c r="P1305" s="1721" t="inlineStr">
        <is>
          <t>Pendente</t>
        </is>
      </c>
    </row>
    <row r="1306" hidden="1" outlineLevel="2" ht="13.5" customHeight="1">
      <c r="A1306" s="2117" t="n">
        <v>0</v>
      </c>
      <c r="B1306" s="2117" t="n">
        <v>13</v>
      </c>
      <c r="C1306" s="2117" t="n">
        <v>9</v>
      </c>
      <c r="D1306" s="2118" t="n">
        <v>3</v>
      </c>
      <c r="E1306" s="2118" t="n">
        <v>0</v>
      </c>
      <c r="G1306" s="1797" t="n"/>
      <c r="H1306" s="1777" t="inlineStr">
        <is>
          <t>SUBETAPA</t>
        </is>
      </c>
      <c r="I1306" s="1742" t="inlineStr">
        <is>
          <t>13.009.003</t>
        </is>
      </c>
      <c r="J1306" s="1779" t="inlineStr">
        <is>
          <t>Impermeabilização de banheiro, cozinha, área de serviço, área técnica, área comum, fosso do elevador e sacada</t>
        </is>
      </c>
      <c r="K1306" s="1780" t="n"/>
      <c r="L1306" s="1781" t="n"/>
      <c r="M1306" s="1781" t="n"/>
      <c r="N1306" s="1746" t="n">
        <v>11127.6923133333</v>
      </c>
      <c r="O1306" s="1782" t="n"/>
      <c r="P1306" s="1720" t="n"/>
    </row>
    <row r="1307" hidden="1" outlineLevel="3" ht="13.5" customHeight="1">
      <c r="A1307" s="2117" t="n">
        <v>0</v>
      </c>
      <c r="B1307" s="2117" t="n">
        <v>13</v>
      </c>
      <c r="C1307" s="2117" t="n">
        <v>9</v>
      </c>
      <c r="D1307" s="2118" t="n">
        <v>3</v>
      </c>
      <c r="E1307" s="2118" t="n">
        <v>1</v>
      </c>
      <c r="G1307" s="1798" t="inlineStr">
        <is>
          <t>IMPERMEABILIZAÇÃO</t>
        </is>
      </c>
      <c r="H1307" s="1783" t="inlineStr">
        <is>
          <t>SERVIÇO</t>
        </is>
      </c>
      <c r="I1307" s="1750" t="inlineStr">
        <is>
          <t>13.009.003.001</t>
        </is>
      </c>
      <c r="J1307" s="1785" t="inlineStr">
        <is>
          <t>Sistema 2.5.3: Membrana de polímero acrílico com cimento e fibras sintéticas | Revestimento bicomponente à base de polímeros acrílicos com adição de cimento e fibras sintéticas (3,0 kg/m²) + Tela de poliéster nos pontos críticos</t>
        </is>
      </c>
      <c r="K1307" s="1786" t="inlineStr">
        <is>
          <t>m2</t>
        </is>
      </c>
      <c r="L1307" s="1787" t="n">
        <v>103.01</v>
      </c>
      <c r="M1307" s="1787" t="n">
        <v>34.05846666666666</v>
      </c>
      <c r="N1307" s="1754" t="n">
        <v>3508.36265133333</v>
      </c>
      <c r="O1307" s="1788" t="inlineStr">
        <is>
          <t>Banheiro + área de serviço + casa de máquinas</t>
        </is>
      </c>
      <c r="P1307" s="1721" t="inlineStr">
        <is>
          <t>Pendente</t>
        </is>
      </c>
    </row>
    <row r="1308" hidden="1" outlineLevel="3" ht="13.5" customHeight="1">
      <c r="A1308" s="2117" t="n">
        <v>0</v>
      </c>
      <c r="B1308" s="2117" t="n">
        <v>13</v>
      </c>
      <c r="C1308" s="2117" t="n">
        <v>9</v>
      </c>
      <c r="D1308" s="2118" t="n">
        <v>3</v>
      </c>
      <c r="E1308" s="2118" t="n">
        <v>2</v>
      </c>
      <c r="G1308" s="1798" t="inlineStr">
        <is>
          <t>IMPERMEABILIZAÇÃO</t>
        </is>
      </c>
      <c r="H1308" s="1783" t="inlineStr">
        <is>
          <t>SERVIÇO</t>
        </is>
      </c>
      <c r="I1308" s="1750" t="inlineStr">
        <is>
          <t>13.009.003.002</t>
        </is>
      </c>
      <c r="J1308" s="1785" t="inlineStr">
        <is>
          <t>Sistema 7.1.6:Argamassa impermeabilizante sem cimento - MK-FEN 30 (F) | Argamassa não cimentícia com agentes incorporadores de ar (8,0 kg/m²) + Tela de poliéster nos pontos críticos</t>
        </is>
      </c>
      <c r="K1308" s="1786" t="inlineStr">
        <is>
          <t>m2</t>
        </is>
      </c>
      <c r="L1308" s="1787" t="n">
        <v>8.99</v>
      </c>
      <c r="M1308" s="1787" t="n">
        <v>148.8918</v>
      </c>
      <c r="N1308" s="1754" t="n">
        <v>1338.537282</v>
      </c>
      <c r="O1308" s="1788" t="inlineStr">
        <is>
          <t>área técnica + sauna</t>
        </is>
      </c>
      <c r="P1308" s="1721" t="inlineStr">
        <is>
          <t>Pendente</t>
        </is>
      </c>
    </row>
    <row r="1309" hidden="1" outlineLevel="3" ht="13.5" customHeight="1">
      <c r="A1309" s="2117" t="n">
        <v>0</v>
      </c>
      <c r="B1309" s="2117" t="n">
        <v>13</v>
      </c>
      <c r="C1309" s="2117" t="n">
        <v>9</v>
      </c>
      <c r="D1309" s="2118" t="n">
        <v>3</v>
      </c>
      <c r="E1309" s="2118" t="n">
        <v>3</v>
      </c>
      <c r="G1309" s="1798" t="inlineStr">
        <is>
          <t>IMPERMEABILIZAÇÃO</t>
        </is>
      </c>
      <c r="H1309" s="1783" t="inlineStr">
        <is>
          <t>SERVIÇO</t>
        </is>
      </c>
      <c r="I1309" s="1750" t="inlineStr">
        <is>
          <t>13.009.003.003</t>
        </is>
      </c>
      <c r="J1309" s="1785" t="inlineStr">
        <is>
          <t>Sistema 4.2.4:Primer asfáltico à base d'água (0,4 L/m²) + Asfalto oxidado modificado (2,5 kg/m²) + Manta asfáltica AA 4mm Tipo III Classe B + Banho de asfalto oxidado modificado (2,5 kg/m²)</t>
        </is>
      </c>
      <c r="K1309" s="1786" t="inlineStr">
        <is>
          <t>m2</t>
        </is>
      </c>
      <c r="L1309" s="1787" t="n">
        <v>47.16</v>
      </c>
      <c r="M1309" s="1787" t="n">
        <v>133.1805</v>
      </c>
      <c r="N1309" s="1754" t="n">
        <v>6280.79238</v>
      </c>
      <c r="O1309" s="1788" t="inlineStr">
        <is>
          <t>Sacada + circulação lazer + espaço crossfit</t>
        </is>
      </c>
      <c r="P1309" s="1721" t="inlineStr">
        <is>
          <t>Pendente</t>
        </is>
      </c>
    </row>
    <row r="1310" hidden="1" outlineLevel="2" ht="13.5" customHeight="1">
      <c r="A1310" s="2117" t="n">
        <v>0</v>
      </c>
      <c r="B1310" s="2117" t="n">
        <v>13</v>
      </c>
      <c r="C1310" s="2117" t="n">
        <v>9</v>
      </c>
      <c r="D1310" s="2118" t="n">
        <v>4</v>
      </c>
      <c r="E1310" s="2118" t="n">
        <v>0</v>
      </c>
      <c r="G1310" s="1797" t="n"/>
      <c r="H1310" s="1777" t="inlineStr">
        <is>
          <t>SUBETAPA</t>
        </is>
      </c>
      <c r="I1310" s="1742" t="inlineStr">
        <is>
          <t>13.009.004</t>
        </is>
      </c>
      <c r="J1310" s="1779" t="inlineStr">
        <is>
          <t>Impermeabilização de esquadrias</t>
        </is>
      </c>
      <c r="K1310" s="1780" t="n"/>
      <c r="L1310" s="1781" t="n"/>
      <c r="M1310" s="1781" t="n"/>
      <c r="N1310" s="1746" t="n">
        <v>1695.43047066667</v>
      </c>
      <c r="O1310" s="1782" t="n"/>
      <c r="P1310" s="1720" t="n"/>
    </row>
    <row r="1311" hidden="1" outlineLevel="3" ht="13.5" customHeight="1">
      <c r="A1311" s="2117" t="n">
        <v>0</v>
      </c>
      <c r="B1311" s="2117" t="n">
        <v>13</v>
      </c>
      <c r="C1311" s="2117" t="n">
        <v>9</v>
      </c>
      <c r="D1311" s="2118" t="n">
        <v>4</v>
      </c>
      <c r="E1311" s="2118" t="n">
        <v>1</v>
      </c>
      <c r="G1311" s="1798" t="inlineStr">
        <is>
          <t>IMPERMEABILIZAÇÃO</t>
        </is>
      </c>
      <c r="H1311" s="1783" t="inlineStr">
        <is>
          <t>SERVIÇO</t>
        </is>
      </c>
      <c r="I1311" s="1750" t="inlineStr">
        <is>
          <t>13.009.004.001</t>
        </is>
      </c>
      <c r="J1311" s="1785" t="inlineStr">
        <is>
          <t>Sistema 2.5.3: Membrana de polímero acrílico com cimento e fibras sintéticas | Revestimento bicomponente à base de polímeros acrílicos com adição de cimento e fibras sintéticas (3,0 kg/m²) + Tela de poliéster nos pontos críticos</t>
        </is>
      </c>
      <c r="K1311" s="1786" t="inlineStr">
        <is>
          <t>m2</t>
        </is>
      </c>
      <c r="L1311" s="1787" t="n">
        <v>49.78</v>
      </c>
      <c r="M1311" s="1787" t="n">
        <v>34.05846666666666</v>
      </c>
      <c r="N1311" s="1754" t="n">
        <v>1695.43047066667</v>
      </c>
      <c r="O1311" s="1788" t="n"/>
      <c r="P1311" s="1721" t="inlineStr">
        <is>
          <t>Pendente</t>
        </is>
      </c>
    </row>
    <row r="1312" hidden="1" outlineLevel="2" ht="13.5" customHeight="1">
      <c r="A1312" s="2117" t="n">
        <v>0</v>
      </c>
      <c r="B1312" s="2117" t="n">
        <v>13</v>
      </c>
      <c r="C1312" s="2117" t="n">
        <v>9</v>
      </c>
      <c r="D1312" s="2118" t="n">
        <v>5</v>
      </c>
      <c r="E1312" s="2118" t="n">
        <v>0</v>
      </c>
      <c r="G1312" s="1797" t="n"/>
      <c r="H1312" s="1777" t="inlineStr">
        <is>
          <t>SUBETAPA</t>
        </is>
      </c>
      <c r="I1312" s="1742" t="inlineStr">
        <is>
          <t>13.009.005</t>
        </is>
      </c>
      <c r="J1312" s="1779" t="inlineStr">
        <is>
          <t>Impermeabilização de ralos</t>
        </is>
      </c>
      <c r="K1312" s="1780" t="n"/>
      <c r="L1312" s="1781" t="n"/>
      <c r="M1312" s="1781" t="n"/>
      <c r="N1312" s="1746" t="n">
        <v>175.2003</v>
      </c>
      <c r="O1312" s="1782" t="n"/>
      <c r="P1312" s="1720" t="n"/>
    </row>
    <row r="1313" hidden="1" outlineLevel="3" ht="13.5" customHeight="1">
      <c r="A1313" s="2117" t="n">
        <v>0</v>
      </c>
      <c r="B1313" s="2117" t="n">
        <v>13</v>
      </c>
      <c r="C1313" s="2117" t="n">
        <v>9</v>
      </c>
      <c r="D1313" s="2118" t="n">
        <v>5</v>
      </c>
      <c r="E1313" s="2118" t="n">
        <v>1</v>
      </c>
      <c r="G1313" s="1798" t="inlineStr">
        <is>
          <t>IMPERMEABILIZAÇÃO</t>
        </is>
      </c>
      <c r="H1313" s="1783" t="inlineStr">
        <is>
          <t>SERVIÇO</t>
        </is>
      </c>
      <c r="I1313" s="1750" t="inlineStr">
        <is>
          <t>13.009.005.001</t>
        </is>
      </c>
      <c r="J1313" s="1785" t="inlineStr">
        <is>
          <t>Tratamento De Ralo Ou Ponto Emergente Com Argamassa Polimérica Reforçado Com Tela De Poliéster</t>
        </is>
      </c>
      <c r="K1313" s="1786" t="inlineStr">
        <is>
          <t>un</t>
        </is>
      </c>
      <c r="L1313" s="1787" t="n">
        <v>20</v>
      </c>
      <c r="M1313" s="1787" t="n">
        <v>8.760015000000001</v>
      </c>
      <c r="N1313" s="1754" t="n">
        <v>175.2003</v>
      </c>
      <c r="O1313" s="1788" t="inlineStr">
        <is>
          <t>2 por banheiro + 1 por lavabo + 2 por área de serviço + 1 por área técnica + 1 por cozinha + 1 por sacada + 1 por torneira de jardin</t>
        </is>
      </c>
      <c r="P1313" s="1721" t="inlineStr">
        <is>
          <t>Pendente</t>
        </is>
      </c>
    </row>
    <row r="1314" hidden="1" outlineLevel="2" ht="13.5" customHeight="1">
      <c r="A1314" s="2117" t="n">
        <v>0</v>
      </c>
      <c r="B1314" s="2117" t="n">
        <v>13</v>
      </c>
      <c r="C1314" s="2117" t="n">
        <v>9</v>
      </c>
      <c r="D1314" s="2118" t="n">
        <v>6</v>
      </c>
      <c r="E1314" s="2118" t="n">
        <v>0</v>
      </c>
      <c r="G1314" s="1797" t="n"/>
      <c r="H1314" s="1777" t="inlineStr">
        <is>
          <t>SUBETAPA</t>
        </is>
      </c>
      <c r="I1314" s="1742" t="inlineStr">
        <is>
          <t>13.009.006</t>
        </is>
      </c>
      <c r="J1314" s="1779" t="inlineStr">
        <is>
          <t>Mão de Obra</t>
        </is>
      </c>
      <c r="K1314" s="1780" t="n"/>
      <c r="L1314" s="1781" t="n"/>
      <c r="M1314" s="1781" t="n"/>
      <c r="N1314" s="1746" t="n">
        <v>14045.12</v>
      </c>
      <c r="O1314" s="1782" t="n"/>
      <c r="P1314" s="1720" t="n"/>
    </row>
    <row r="1315" hidden="1" outlineLevel="3" ht="13.5" customHeight="1">
      <c r="A1315" s="2117" t="n">
        <v>0</v>
      </c>
      <c r="B1315" s="2117" t="n">
        <v>13</v>
      </c>
      <c r="C1315" s="2117" t="n">
        <v>9</v>
      </c>
      <c r="D1315" s="2118" t="n">
        <v>6</v>
      </c>
      <c r="E1315" s="2118" t="n">
        <v>1</v>
      </c>
      <c r="G1315" s="1798" t="inlineStr">
        <is>
          <t>IMPERMEABILIZAÇÃO</t>
        </is>
      </c>
      <c r="H1315" s="1783" t="inlineStr">
        <is>
          <t>SERVIÇO</t>
        </is>
      </c>
      <c r="I1315" s="1750" t="inlineStr">
        <is>
          <t>13.009.006.001</t>
        </is>
      </c>
      <c r="J1315" s="1785" t="inlineStr">
        <is>
          <t xml:space="preserve">Mão de obra para regularização de superfície </t>
        </is>
      </c>
      <c r="K1315" s="1786" t="inlineStr">
        <is>
          <t>m2</t>
        </is>
      </c>
      <c r="L1315" s="1787" t="n">
        <v>123.77</v>
      </c>
      <c r="M1315" s="1787" t="n">
        <v>20</v>
      </c>
      <c r="N1315" s="1754" t="n">
        <v>2475.4</v>
      </c>
      <c r="O1315" s="1788" t="n"/>
      <c r="P1315" s="1721" t="inlineStr">
        <is>
          <t>Pendente</t>
        </is>
      </c>
    </row>
    <row r="1316" hidden="1" outlineLevel="3" ht="13.5" customHeight="1">
      <c r="A1316" s="2117" t="n">
        <v>0</v>
      </c>
      <c r="B1316" s="2117" t="n">
        <v>13</v>
      </c>
      <c r="C1316" s="2117" t="n">
        <v>9</v>
      </c>
      <c r="D1316" s="2118" t="n">
        <v>6</v>
      </c>
      <c r="E1316" s="2118" t="n">
        <v>2</v>
      </c>
      <c r="G1316" s="1798" t="inlineStr">
        <is>
          <t>IMPERMEABILIZAÇÃO</t>
        </is>
      </c>
      <c r="H1316" s="1783" t="inlineStr">
        <is>
          <t>SERVIÇO</t>
        </is>
      </c>
      <c r="I1316" s="1750" t="inlineStr">
        <is>
          <t>13.009.006.002</t>
        </is>
      </c>
      <c r="J1316" s="1785" t="inlineStr">
        <is>
          <t>Mão de obra para proteção mecânica</t>
        </is>
      </c>
      <c r="K1316" s="1786" t="inlineStr">
        <is>
          <t>m2</t>
        </is>
      </c>
      <c r="L1316" s="1787" t="n">
        <v>44.82</v>
      </c>
      <c r="M1316" s="1787" t="n">
        <v>35</v>
      </c>
      <c r="N1316" s="1754" t="n">
        <v>1568.7</v>
      </c>
      <c r="O1316" s="1788" t="n"/>
      <c r="P1316" s="1721" t="inlineStr">
        <is>
          <t>Pendente</t>
        </is>
      </c>
    </row>
    <row r="1317" hidden="1" outlineLevel="3" ht="13.5" customHeight="1">
      <c r="A1317" s="2117" t="n">
        <v>0</v>
      </c>
      <c r="B1317" s="2117" t="n">
        <v>13</v>
      </c>
      <c r="C1317" s="2117" t="n">
        <v>9</v>
      </c>
      <c r="D1317" s="2118" t="n">
        <v>6</v>
      </c>
      <c r="E1317" s="2118" t="n">
        <v>3</v>
      </c>
      <c r="G1317" s="1798" t="inlineStr">
        <is>
          <t>IMPERMEABILIZAÇÃO</t>
        </is>
      </c>
      <c r="H1317" s="1783" t="inlineStr">
        <is>
          <t>SERVIÇO</t>
        </is>
      </c>
      <c r="I1317" s="1750" t="inlineStr">
        <is>
          <t>13.009.006.003</t>
        </is>
      </c>
      <c r="J1317" s="1785" t="inlineStr">
        <is>
          <t>Mão de obra impermeabilização sistema 2.5.3</t>
        </is>
      </c>
      <c r="K1317" s="1786" t="inlineStr">
        <is>
          <t>m2</t>
        </is>
      </c>
      <c r="L1317" s="1787" t="n">
        <v>152.79</v>
      </c>
      <c r="M1317" s="1787" t="n">
        <v>32</v>
      </c>
      <c r="N1317" s="1754" t="n">
        <v>4889.28</v>
      </c>
      <c r="O1317" s="1788" t="n"/>
      <c r="P1317" s="1721" t="inlineStr">
        <is>
          <t>Pendente</t>
        </is>
      </c>
    </row>
    <row r="1318" hidden="1" outlineLevel="3" ht="13.5" customHeight="1">
      <c r="A1318" s="2117" t="n">
        <v>0</v>
      </c>
      <c r="B1318" s="2117" t="n">
        <v>13</v>
      </c>
      <c r="C1318" s="2117" t="n">
        <v>9</v>
      </c>
      <c r="D1318" s="2118" t="n">
        <v>6</v>
      </c>
      <c r="E1318" s="2118" t="n">
        <v>4</v>
      </c>
      <c r="G1318" s="1798" t="inlineStr">
        <is>
          <t>IMPERMEABILIZAÇÃO</t>
        </is>
      </c>
      <c r="H1318" s="1783" t="inlineStr">
        <is>
          <t>SERVIÇO</t>
        </is>
      </c>
      <c r="I1318" s="1750" t="inlineStr">
        <is>
          <t>13.009.006.004</t>
        </is>
      </c>
      <c r="J1318" s="1785" t="inlineStr">
        <is>
          <t>Mão de obra impermeabilização sistema 4.2.4</t>
        </is>
      </c>
      <c r="K1318" s="1786" t="inlineStr">
        <is>
          <t>m2</t>
        </is>
      </c>
      <c r="L1318" s="1787" t="n">
        <v>47.16</v>
      </c>
      <c r="M1318" s="1787" t="n">
        <v>45</v>
      </c>
      <c r="N1318" s="1754" t="n">
        <v>2122.2</v>
      </c>
      <c r="O1318" s="1788" t="n"/>
      <c r="P1318" s="1721" t="inlineStr">
        <is>
          <t>Pendente</t>
        </is>
      </c>
    </row>
    <row r="1319" hidden="1" outlineLevel="3" ht="13.5" customHeight="1">
      <c r="A1319" s="2117" t="n">
        <v>0</v>
      </c>
      <c r="B1319" s="2117" t="n">
        <v>13</v>
      </c>
      <c r="C1319" s="2117" t="n">
        <v>9</v>
      </c>
      <c r="D1319" s="2118" t="n">
        <v>6</v>
      </c>
      <c r="E1319" s="2118" t="n">
        <v>5</v>
      </c>
      <c r="G1319" s="1798" t="inlineStr">
        <is>
          <t>IMPERMEABILIZAÇÃO</t>
        </is>
      </c>
      <c r="H1319" s="1783" t="inlineStr">
        <is>
          <t>SERVIÇO</t>
        </is>
      </c>
      <c r="I1319" s="1750" t="inlineStr">
        <is>
          <t>13.009.006.005</t>
        </is>
      </c>
      <c r="J1319" s="1785" t="inlineStr">
        <is>
          <t>Mão de obra impermeabilização sistema 7.1.6</t>
        </is>
      </c>
      <c r="K1319" s="1786" t="inlineStr">
        <is>
          <t>m2</t>
        </is>
      </c>
      <c r="L1319" s="1787" t="n">
        <v>47.37</v>
      </c>
      <c r="M1319" s="1787" t="n">
        <v>42</v>
      </c>
      <c r="N1319" s="1754" t="n">
        <v>1989.54</v>
      </c>
      <c r="O1319" s="1788" t="n"/>
      <c r="P1319" s="1721" t="inlineStr">
        <is>
          <t>Pendente</t>
        </is>
      </c>
    </row>
    <row r="1320" hidden="1" outlineLevel="3" ht="13.5" customHeight="1">
      <c r="A1320" s="2117" t="n">
        <v>0</v>
      </c>
      <c r="B1320" s="2117" t="n">
        <v>13</v>
      </c>
      <c r="C1320" s="2117" t="n">
        <v>9</v>
      </c>
      <c r="D1320" s="2118" t="n">
        <v>6</v>
      </c>
      <c r="E1320" s="2118" t="n">
        <v>6</v>
      </c>
      <c r="G1320" s="1798" t="inlineStr">
        <is>
          <t>IMPERMEABILIZAÇÃO</t>
        </is>
      </c>
      <c r="H1320" s="1783" t="inlineStr">
        <is>
          <t>SERVIÇO</t>
        </is>
      </c>
      <c r="I1320" s="1750" t="inlineStr">
        <is>
          <t>13.009.006.006</t>
        </is>
      </c>
      <c r="J1320" s="1751" t="inlineStr">
        <is>
          <t>Mão de obra tratamento de ralo com manta de poliéster</t>
        </is>
      </c>
      <c r="K1320" s="1786" t="inlineStr">
        <is>
          <t>un</t>
        </is>
      </c>
      <c r="L1320" s="1787" t="n">
        <v>20</v>
      </c>
      <c r="M1320" s="1787" t="n">
        <v>50</v>
      </c>
      <c r="N1320" s="1754" t="n">
        <v>1000</v>
      </c>
      <c r="O1320" s="1788" t="n"/>
      <c r="P1320" s="1721" t="inlineStr">
        <is>
          <t>Pendente</t>
        </is>
      </c>
    </row>
    <row r="1321" hidden="1" outlineLevel="1" ht="13.5" customHeight="1">
      <c r="A1321" s="2117" t="n">
        <v>0</v>
      </c>
      <c r="B1321" s="2117" t="n">
        <v>13</v>
      </c>
      <c r="C1321" s="2117" t="n">
        <v>10</v>
      </c>
      <c r="D1321" s="2118" t="n">
        <v>0</v>
      </c>
      <c r="E1321" s="2118" t="n">
        <v>6</v>
      </c>
      <c r="G1321" s="1796" t="n"/>
      <c r="H1321" s="1771" t="inlineStr">
        <is>
          <t>ETAPA</t>
        </is>
      </c>
      <c r="I1321" s="1735" t="inlineStr">
        <is>
          <t>13.010</t>
        </is>
      </c>
      <c r="J1321" s="1773" t="inlineStr">
        <is>
          <t>IMPERMEABILIZAÇÃO E TRATAMENTOS - Tipo x8</t>
        </is>
      </c>
      <c r="K1321" s="1774" t="n"/>
      <c r="L1321" s="1775" t="n"/>
      <c r="M1321" s="1775" t="n"/>
      <c r="N1321" s="1739" t="n">
        <v>161272.162232</v>
      </c>
      <c r="O1321" s="1776" t="n">
        <v>9.62837848339699</v>
      </c>
      <c r="P1321" s="1719" t="n"/>
    </row>
    <row r="1322" hidden="1" outlineLevel="2" ht="13.5" customHeight="1">
      <c r="A1322" s="2117" t="n">
        <v>0</v>
      </c>
      <c r="B1322" s="2117" t="n">
        <v>13</v>
      </c>
      <c r="C1322" s="2117" t="n">
        <v>10</v>
      </c>
      <c r="D1322" s="2118" t="n">
        <v>1</v>
      </c>
      <c r="E1322" s="2118" t="n">
        <v>0</v>
      </c>
      <c r="G1322" s="1797" t="n"/>
      <c r="H1322" s="1777" t="inlineStr">
        <is>
          <t>SUBETAPA</t>
        </is>
      </c>
      <c r="I1322" s="1742" t="inlineStr">
        <is>
          <t>13.010.001</t>
        </is>
      </c>
      <c r="J1322" s="1779" t="inlineStr">
        <is>
          <t>Regularização e proteção mecânica</t>
        </is>
      </c>
      <c r="K1322" s="1780" t="n"/>
      <c r="L1322" s="1781" t="n"/>
      <c r="M1322" s="1781" t="n"/>
      <c r="N1322" s="1746" t="n">
        <v>3499.598952</v>
      </c>
      <c r="O1322" s="1782" t="n">
        <v>0.208935397055584</v>
      </c>
      <c r="P1322" s="1720" t="n"/>
    </row>
    <row r="1323" hidden="1" outlineLevel="3" ht="13.5" customHeight="1">
      <c r="A1323" s="2117" t="n">
        <v>0</v>
      </c>
      <c r="B1323" s="2117" t="n">
        <v>13</v>
      </c>
      <c r="C1323" s="2117" t="n">
        <v>10</v>
      </c>
      <c r="D1323" s="2118" t="n">
        <v>1</v>
      </c>
      <c r="E1323" s="2118" t="n">
        <v>1</v>
      </c>
      <c r="G1323" s="1798" t="inlineStr">
        <is>
          <t>IMPERMEABILIZAÇÃO</t>
        </is>
      </c>
      <c r="H1323" s="1783" t="inlineStr">
        <is>
          <t>SERVIÇO</t>
        </is>
      </c>
      <c r="I1323" s="1750" t="inlineStr">
        <is>
          <t>13.010.001.001</t>
        </is>
      </c>
      <c r="J1323" s="1785" t="inlineStr">
        <is>
          <t xml:space="preserve">Regularização de superfície para impermeabilização </t>
        </is>
      </c>
      <c r="K1323" s="1786" t="inlineStr">
        <is>
          <t>m2</t>
        </is>
      </c>
      <c r="L1323" s="1787" t="n">
        <v>495.28</v>
      </c>
      <c r="M1323" s="1787" t="n">
        <v>7.065899999999999</v>
      </c>
      <c r="N1323" s="1754" t="n">
        <v>3499.598952</v>
      </c>
      <c r="O1323" s="1788" t="inlineStr">
        <is>
          <t>Toda área de piso que recebe impermeabilização</t>
        </is>
      </c>
      <c r="P1323" s="1721" t="inlineStr">
        <is>
          <t>Pendente</t>
        </is>
      </c>
    </row>
    <row r="1324" hidden="1" outlineLevel="2" ht="13.5" customHeight="1">
      <c r="A1324" s="2117" t="n">
        <v>0</v>
      </c>
      <c r="B1324" s="2117" t="n">
        <v>13</v>
      </c>
      <c r="C1324" s="2117" t="n">
        <v>10</v>
      </c>
      <c r="D1324" s="2118" t="n">
        <v>2</v>
      </c>
      <c r="E1324" s="2118" t="n">
        <v>0</v>
      </c>
      <c r="G1324" s="1797" t="n"/>
      <c r="H1324" s="1777" t="inlineStr">
        <is>
          <t>SUBETAPA</t>
        </is>
      </c>
      <c r="I1324" s="1742" t="inlineStr">
        <is>
          <t>13.010.002</t>
        </is>
      </c>
      <c r="J1324" s="1779" t="inlineStr">
        <is>
          <t>Impermeabilização de lajes, cobertura, rufos, moldura da fachada e terraços</t>
        </is>
      </c>
      <c r="K1324" s="1780" t="n"/>
      <c r="L1324" s="1781" t="n"/>
      <c r="M1324" s="1781" t="n"/>
      <c r="N1324" s="1746" t="n">
        <v>23858.422032</v>
      </c>
      <c r="O1324" s="1782" t="n"/>
      <c r="P1324" s="1720" t="n"/>
    </row>
    <row r="1325" hidden="1" outlineLevel="3" ht="13.5" customHeight="1">
      <c r="A1325" s="2117" t="n">
        <v>0</v>
      </c>
      <c r="B1325" s="2117" t="n">
        <v>13</v>
      </c>
      <c r="C1325" s="2117" t="n">
        <v>10</v>
      </c>
      <c r="D1325" s="2118" t="n">
        <v>2</v>
      </c>
      <c r="E1325" s="2118" t="n">
        <v>1</v>
      </c>
      <c r="G1325" s="1798" t="inlineStr">
        <is>
          <t>IMPERMEABILIZAÇÃO</t>
        </is>
      </c>
      <c r="H1325" s="1783" t="inlineStr">
        <is>
          <t>SERVIÇO</t>
        </is>
      </c>
      <c r="I1325" s="1750" t="inlineStr">
        <is>
          <t>13.010.002.001</t>
        </is>
      </c>
      <c r="J1325" s="1785" t="inlineStr">
        <is>
          <t>Sistema 7.1.6:Argamassa impermeabilizante sem cimento - MK-FEN 30 (F) | Argamassa não cimentícia com agentes incorporadores de ar (8,0 kg/m²) + Tela de poliéster nos pontos críticos</t>
        </is>
      </c>
      <c r="K1325" s="1786" t="inlineStr">
        <is>
          <t>m2</t>
        </is>
      </c>
      <c r="L1325" s="1787" t="n">
        <v>160.24</v>
      </c>
      <c r="M1325" s="1787" t="n">
        <v>148.8918</v>
      </c>
      <c r="N1325" s="1754" t="n">
        <v>23858.422032</v>
      </c>
      <c r="O1325" s="1788" t="inlineStr">
        <is>
          <t>Moldura de fachada + rufos</t>
        </is>
      </c>
      <c r="P1325" s="1721" t="inlineStr">
        <is>
          <t>Pendente</t>
        </is>
      </c>
    </row>
    <row r="1326" hidden="1" outlineLevel="2" ht="13.5" customHeight="1">
      <c r="A1326" s="2117" t="n">
        <v>0</v>
      </c>
      <c r="B1326" s="2117" t="n">
        <v>13</v>
      </c>
      <c r="C1326" s="2117" t="n">
        <v>10</v>
      </c>
      <c r="D1326" s="2118" t="n">
        <v>3</v>
      </c>
      <c r="E1326" s="2118" t="n">
        <v>0</v>
      </c>
      <c r="G1326" s="1797" t="n"/>
      <c r="H1326" s="1777" t="inlineStr">
        <is>
          <t>SUBETAPA</t>
        </is>
      </c>
      <c r="I1326" s="1742" t="inlineStr">
        <is>
          <t>13.010.003</t>
        </is>
      </c>
      <c r="J1326" s="1779" t="inlineStr">
        <is>
          <t>Impermeabilização de banheiro, cozinha, área de serviço, área técnica, área comum, fosso do elevador e sacada</t>
        </is>
      </c>
      <c r="K1326" s="1780" t="n"/>
      <c r="L1326" s="1781" t="n"/>
      <c r="M1326" s="1781" t="n"/>
      <c r="N1326" s="1746" t="n">
        <v>47660.9589973333</v>
      </c>
      <c r="O1326" s="1782" t="n"/>
      <c r="P1326" s="1720" t="n"/>
    </row>
    <row r="1327" hidden="1" outlineLevel="3" ht="13.5" customHeight="1">
      <c r="A1327" s="2117" t="n">
        <v>0</v>
      </c>
      <c r="B1327" s="2117" t="n">
        <v>13</v>
      </c>
      <c r="C1327" s="2117" t="n">
        <v>10</v>
      </c>
      <c r="D1327" s="2118" t="n">
        <v>3</v>
      </c>
      <c r="E1327" s="2118" t="n">
        <v>1</v>
      </c>
      <c r="G1327" s="1798" t="inlineStr">
        <is>
          <t>IMPERMEABILIZAÇÃO</t>
        </is>
      </c>
      <c r="H1327" s="1783" t="inlineStr">
        <is>
          <t>SERVIÇO</t>
        </is>
      </c>
      <c r="I1327" s="1750" t="inlineStr">
        <is>
          <t>13.010.003.001</t>
        </is>
      </c>
      <c r="J1327" s="1785" t="inlineStr">
        <is>
          <t>Sistema 2.5.3: Membrana de polímero acrílico com cimento e fibras sintéticas | Revestimento bicomponente à base de polímeros acrílicos com adição de cimento e fibras sintéticas (3,0 kg/m²) + Tela de poliéster nos pontos críticos</t>
        </is>
      </c>
      <c r="K1327" s="1786" t="inlineStr">
        <is>
          <t>m2</t>
        </is>
      </c>
      <c r="L1327" s="1787" t="n">
        <v>794.0000000000001</v>
      </c>
      <c r="M1327" s="1787" t="n">
        <v>34.05846666666666</v>
      </c>
      <c r="N1327" s="1754" t="n">
        <v>27042.4225333333</v>
      </c>
      <c r="O1327" s="1788" t="inlineStr">
        <is>
          <t>Banheiro + área de serviço + casa de máquinas</t>
        </is>
      </c>
      <c r="P1327" s="1721" t="inlineStr">
        <is>
          <t>Pendente</t>
        </is>
      </c>
    </row>
    <row r="1328" hidden="1" outlineLevel="3" ht="13.5" customHeight="1">
      <c r="A1328" s="2117" t="n">
        <v>0</v>
      </c>
      <c r="B1328" s="2117" t="n">
        <v>13</v>
      </c>
      <c r="C1328" s="2117" t="n">
        <v>10</v>
      </c>
      <c r="D1328" s="2118" t="n">
        <v>3</v>
      </c>
      <c r="E1328" s="2118" t="n">
        <v>2</v>
      </c>
      <c r="G1328" s="1798" t="inlineStr">
        <is>
          <t>IMPERMEABILIZAÇÃO</t>
        </is>
      </c>
      <c r="H1328" s="1783" t="inlineStr">
        <is>
          <t>SERVIÇO</t>
        </is>
      </c>
      <c r="I1328" s="1750" t="inlineStr">
        <is>
          <t>13.010.003.002</t>
        </is>
      </c>
      <c r="J1328" s="1785" t="inlineStr">
        <is>
          <t>Sistema 7.1.6:Argamassa impermeabilizante sem cimento - MK-FEN 30 (F) | Argamassa não cimentícia com agentes incorporadores de ar (8,0 kg/m²) + Tela de poliéster nos pontos críticos</t>
        </is>
      </c>
      <c r="K1328" s="1786" t="inlineStr">
        <is>
          <t>m2</t>
        </is>
      </c>
      <c r="L1328" s="1787" t="n">
        <v>138.48</v>
      </c>
      <c r="M1328" s="1787" t="n">
        <v>148.8918</v>
      </c>
      <c r="N1328" s="1754" t="n">
        <v>20618.536464</v>
      </c>
      <c r="O1328" s="1788" t="inlineStr">
        <is>
          <t>área técnica + sauna</t>
        </is>
      </c>
      <c r="P1328" s="1721" t="inlineStr">
        <is>
          <t>Pendente</t>
        </is>
      </c>
    </row>
    <row r="1329" hidden="1" outlineLevel="2" ht="13.5" customHeight="1">
      <c r="A1329" s="2117" t="n">
        <v>0</v>
      </c>
      <c r="B1329" s="2117" t="n">
        <v>13</v>
      </c>
      <c r="C1329" s="2117" t="n">
        <v>10</v>
      </c>
      <c r="D1329" s="2118" t="n">
        <v>4</v>
      </c>
      <c r="E1329" s="2118" t="n">
        <v>0</v>
      </c>
      <c r="G1329" s="1797" t="n"/>
      <c r="H1329" s="1777" t="inlineStr">
        <is>
          <t>SUBETAPA</t>
        </is>
      </c>
      <c r="I1329" s="1742" t="inlineStr">
        <is>
          <t>13.010.004</t>
        </is>
      </c>
      <c r="J1329" s="1779" t="inlineStr">
        <is>
          <t>Impermeabilização de esquadrias</t>
        </is>
      </c>
      <c r="K1329" s="1780" t="n"/>
      <c r="L1329" s="1781" t="n"/>
      <c r="M1329" s="1781" t="n"/>
      <c r="N1329" s="1746" t="n">
        <v>14947.5798506667</v>
      </c>
      <c r="O1329" s="1782" t="n"/>
      <c r="P1329" s="1720" t="n"/>
    </row>
    <row r="1330" hidden="1" outlineLevel="3" ht="13.5" customHeight="1">
      <c r="A1330" s="2117" t="n">
        <v>0</v>
      </c>
      <c r="B1330" s="2117" t="n">
        <v>13</v>
      </c>
      <c r="C1330" s="2117" t="n">
        <v>10</v>
      </c>
      <c r="D1330" s="2118" t="n">
        <v>4</v>
      </c>
      <c r="E1330" s="2118" t="n">
        <v>1</v>
      </c>
      <c r="G1330" s="1798" t="inlineStr">
        <is>
          <t>IMPERMEABILIZAÇÃO</t>
        </is>
      </c>
      <c r="H1330" s="1783" t="inlineStr">
        <is>
          <t>SERVIÇO</t>
        </is>
      </c>
      <c r="I1330" s="1750" t="inlineStr">
        <is>
          <t>13.010.004.001</t>
        </is>
      </c>
      <c r="J1330" s="1785" t="inlineStr">
        <is>
          <t>Sistema 2.5.3: Membrana de polímero acrílico com cimento e fibras sintéticas | Revestimento bicomponente à base de polímeros acrílicos com adição de cimento e fibras sintéticas (3,0 kg/m²) + Tela de poliéster nos pontos críticos</t>
        </is>
      </c>
      <c r="K1330" s="1786" t="inlineStr">
        <is>
          <t>m2</t>
        </is>
      </c>
      <c r="L1330" s="1787" t="n">
        <v>438.88</v>
      </c>
      <c r="M1330" s="1787" t="n">
        <v>34.05846666666666</v>
      </c>
      <c r="N1330" s="1754" t="n">
        <v>14947.5798506667</v>
      </c>
      <c r="O1330" s="1788" t="n"/>
      <c r="P1330" s="1721" t="inlineStr">
        <is>
          <t>Pendente</t>
        </is>
      </c>
    </row>
    <row r="1331" hidden="1" outlineLevel="2" ht="13.5" customHeight="1">
      <c r="A1331" s="2117" t="n">
        <v>0</v>
      </c>
      <c r="B1331" s="2117" t="n">
        <v>13</v>
      </c>
      <c r="C1331" s="2117" t="n">
        <v>10</v>
      </c>
      <c r="D1331" s="2118" t="n">
        <v>5</v>
      </c>
      <c r="E1331" s="2118" t="n">
        <v>0</v>
      </c>
      <c r="G1331" s="1797" t="n"/>
      <c r="H1331" s="1777" t="inlineStr">
        <is>
          <t>SUBETAPA</t>
        </is>
      </c>
      <c r="I1331" s="1742" t="inlineStr">
        <is>
          <t>13.010.005</t>
        </is>
      </c>
      <c r="J1331" s="1779" t="inlineStr">
        <is>
          <t>Impermeabilização de ralos</t>
        </is>
      </c>
      <c r="K1331" s="1780" t="n"/>
      <c r="L1331" s="1781" t="n"/>
      <c r="M1331" s="1781" t="n"/>
      <c r="N1331" s="1746" t="n">
        <v>1401.6024</v>
      </c>
      <c r="O1331" s="1782" t="n"/>
      <c r="P1331" s="1720" t="n"/>
    </row>
    <row r="1332" hidden="1" outlineLevel="3" ht="13.5" customHeight="1">
      <c r="A1332" s="2117" t="n">
        <v>0</v>
      </c>
      <c r="B1332" s="2117" t="n">
        <v>13</v>
      </c>
      <c r="C1332" s="2117" t="n">
        <v>10</v>
      </c>
      <c r="D1332" s="2118" t="n">
        <v>5</v>
      </c>
      <c r="E1332" s="2118" t="n">
        <v>1</v>
      </c>
      <c r="G1332" s="1798" t="inlineStr">
        <is>
          <t>IMPERMEABILIZAÇÃO</t>
        </is>
      </c>
      <c r="H1332" s="1783" t="inlineStr">
        <is>
          <t>SERVIÇO</t>
        </is>
      </c>
      <c r="I1332" s="1750" t="inlineStr">
        <is>
          <t>13.010.005.001</t>
        </is>
      </c>
      <c r="J1332" s="1785" t="inlineStr">
        <is>
          <t>Tratamento De Ralo Ou Ponto Emergente Com Argamassa Polimérica Reforçado Com Tela De Poliéster</t>
        </is>
      </c>
      <c r="K1332" s="1786" t="inlineStr">
        <is>
          <t>un</t>
        </is>
      </c>
      <c r="L1332" s="1787" t="n">
        <v>160</v>
      </c>
      <c r="M1332" s="1787" t="n">
        <v>8.760015000000001</v>
      </c>
      <c r="N1332" s="1754" t="n">
        <v>1401.6024</v>
      </c>
      <c r="O1332" s="1788" t="inlineStr">
        <is>
          <t>2 por banheiro + 1 por lavabo + 2 por área de serviço + 1 por área técnica + 1 por cozinha + 1 por sacada + 1 por torneira de jardin</t>
        </is>
      </c>
      <c r="P1332" s="1721" t="inlineStr">
        <is>
          <t>Pendente</t>
        </is>
      </c>
    </row>
    <row r="1333" hidden="1" outlineLevel="2" ht="13.5" customHeight="1">
      <c r="A1333" s="2117" t="n">
        <v>0</v>
      </c>
      <c r="B1333" s="2117" t="n">
        <v>13</v>
      </c>
      <c r="C1333" s="2117" t="n">
        <v>10</v>
      </c>
      <c r="D1333" s="2118" t="n">
        <v>6</v>
      </c>
      <c r="E1333" s="2118" t="n">
        <v>0</v>
      </c>
      <c r="G1333" s="1797" t="n"/>
      <c r="H1333" s="1777" t="inlineStr">
        <is>
          <t>SUBETAPA</t>
        </is>
      </c>
      <c r="I1333" s="1742" t="inlineStr">
        <is>
          <t>13.010.006</t>
        </is>
      </c>
      <c r="J1333" s="1779" t="inlineStr">
        <is>
          <t>Mão de Obra</t>
        </is>
      </c>
      <c r="K1333" s="1780" t="n"/>
      <c r="L1333" s="1781" t="n"/>
      <c r="M1333" s="1781" t="n"/>
      <c r="N1333" s="1746" t="n">
        <v>69904</v>
      </c>
      <c r="O1333" s="1782" t="n"/>
      <c r="P1333" s="1720" t="n"/>
    </row>
    <row r="1334" hidden="1" outlineLevel="3" ht="13.5" customHeight="1">
      <c r="A1334" s="2117" t="n">
        <v>0</v>
      </c>
      <c r="B1334" s="2117" t="n">
        <v>13</v>
      </c>
      <c r="C1334" s="2117" t="n">
        <v>10</v>
      </c>
      <c r="D1334" s="2118" t="n">
        <v>6</v>
      </c>
      <c r="E1334" s="2118" t="n">
        <v>1</v>
      </c>
      <c r="G1334" s="1798" t="inlineStr">
        <is>
          <t>IMPERMEABILIZAÇÃO</t>
        </is>
      </c>
      <c r="H1334" s="1783" t="inlineStr">
        <is>
          <t>SERVIÇO</t>
        </is>
      </c>
      <c r="I1334" s="1750" t="inlineStr">
        <is>
          <t>13.010.006.001</t>
        </is>
      </c>
      <c r="J1334" s="1785" t="inlineStr">
        <is>
          <t xml:space="preserve">Mão de obra para regularização de superfície </t>
        </is>
      </c>
      <c r="K1334" s="1786" t="inlineStr">
        <is>
          <t>m2</t>
        </is>
      </c>
      <c r="L1334" s="1787" t="n">
        <v>495.28</v>
      </c>
      <c r="M1334" s="1787" t="n">
        <v>20</v>
      </c>
      <c r="N1334" s="1754" t="n">
        <v>9905.6</v>
      </c>
      <c r="O1334" s="1788" t="n"/>
      <c r="P1334" s="1721" t="inlineStr">
        <is>
          <t>Pendente</t>
        </is>
      </c>
    </row>
    <row r="1335" hidden="1" outlineLevel="3" ht="13.5" customHeight="1">
      <c r="A1335" s="2117" t="n">
        <v>0</v>
      </c>
      <c r="B1335" s="2117" t="n">
        <v>13</v>
      </c>
      <c r="C1335" s="2117" t="n">
        <v>10</v>
      </c>
      <c r="D1335" s="2118" t="n">
        <v>6</v>
      </c>
      <c r="E1335" s="2118" t="n">
        <v>2</v>
      </c>
      <c r="G1335" s="1798" t="inlineStr">
        <is>
          <t>IMPERMEABILIZAÇÃO</t>
        </is>
      </c>
      <c r="H1335" s="1783" t="inlineStr">
        <is>
          <t>SERVIÇO</t>
        </is>
      </c>
      <c r="I1335" s="1750" t="inlineStr">
        <is>
          <t>13.010.006.002</t>
        </is>
      </c>
      <c r="J1335" s="1785" t="inlineStr">
        <is>
          <t>Mão de obra impermeabilização sistema 2.5.3</t>
        </is>
      </c>
      <c r="K1335" s="1786" t="inlineStr">
        <is>
          <t>m2</t>
        </is>
      </c>
      <c r="L1335" s="1787" t="n">
        <v>1232.88</v>
      </c>
      <c r="M1335" s="1787" t="n">
        <v>32</v>
      </c>
      <c r="N1335" s="1754" t="n">
        <v>39452.16</v>
      </c>
      <c r="O1335" s="1788" t="n"/>
      <c r="P1335" s="1721" t="inlineStr">
        <is>
          <t>Pendente</t>
        </is>
      </c>
    </row>
    <row r="1336" hidden="1" outlineLevel="3" ht="13.5" customHeight="1">
      <c r="A1336" s="2117" t="n">
        <v>0</v>
      </c>
      <c r="B1336" s="2117" t="n">
        <v>13</v>
      </c>
      <c r="C1336" s="2117" t="n">
        <v>10</v>
      </c>
      <c r="D1336" s="2118" t="n">
        <v>6</v>
      </c>
      <c r="E1336" s="2118" t="n">
        <v>3</v>
      </c>
      <c r="G1336" s="1798" t="inlineStr">
        <is>
          <t>IMPERMEABILIZAÇÃO</t>
        </is>
      </c>
      <c r="H1336" s="1783" t="inlineStr">
        <is>
          <t>SERVIÇO</t>
        </is>
      </c>
      <c r="I1336" s="1750" t="inlineStr">
        <is>
          <t>13.010.006.003</t>
        </is>
      </c>
      <c r="J1336" s="1785" t="inlineStr">
        <is>
          <t>Mão de obra impermeabilização sistema 7.1.6</t>
        </is>
      </c>
      <c r="K1336" s="1786" t="inlineStr">
        <is>
          <t>m2</t>
        </is>
      </c>
      <c r="L1336" s="1787" t="n">
        <v>298.72</v>
      </c>
      <c r="M1336" s="1787" t="n">
        <v>42</v>
      </c>
      <c r="N1336" s="1754" t="n">
        <v>12546.24</v>
      </c>
      <c r="O1336" s="1788" t="n"/>
      <c r="P1336" s="1721" t="inlineStr">
        <is>
          <t>Pendente</t>
        </is>
      </c>
    </row>
    <row r="1337" hidden="1" outlineLevel="3" ht="13.5" customHeight="1">
      <c r="A1337" s="2117" t="n">
        <v>0</v>
      </c>
      <c r="B1337" s="2117" t="n">
        <v>13</v>
      </c>
      <c r="C1337" s="2117" t="n">
        <v>10</v>
      </c>
      <c r="D1337" s="2118" t="n">
        <v>6</v>
      </c>
      <c r="E1337" s="2118" t="n">
        <v>4</v>
      </c>
      <c r="G1337" s="1798" t="inlineStr">
        <is>
          <t>IMPERMEABILIZAÇÃO</t>
        </is>
      </c>
      <c r="H1337" s="1783" t="inlineStr">
        <is>
          <t>SERVIÇO</t>
        </is>
      </c>
      <c r="I1337" s="1750" t="inlineStr">
        <is>
          <t>13.010.006.004</t>
        </is>
      </c>
      <c r="J1337" s="1751" t="inlineStr">
        <is>
          <t>Mão de obra tratamento de ralo com manta de poliéster</t>
        </is>
      </c>
      <c r="K1337" s="1786" t="inlineStr">
        <is>
          <t>un</t>
        </is>
      </c>
      <c r="L1337" s="1787" t="n">
        <v>160</v>
      </c>
      <c r="M1337" s="1787" t="n">
        <v>50</v>
      </c>
      <c r="N1337" s="1754" t="n">
        <v>8000</v>
      </c>
      <c r="O1337" s="1788" t="n"/>
      <c r="P1337" s="1721" t="inlineStr">
        <is>
          <t>Pendente</t>
        </is>
      </c>
    </row>
    <row r="1338" hidden="1" outlineLevel="1" ht="13.5" customHeight="1">
      <c r="A1338" s="2117" t="n">
        <v>0</v>
      </c>
      <c r="B1338" s="2117" t="n">
        <v>13</v>
      </c>
      <c r="C1338" s="2117" t="n">
        <v>11</v>
      </c>
      <c r="D1338" s="2118" t="n">
        <v>0</v>
      </c>
      <c r="E1338" s="2118" t="n">
        <v>4</v>
      </c>
      <c r="G1338" s="1796" t="n"/>
      <c r="H1338" s="1771" t="inlineStr">
        <is>
          <t>ETAPA</t>
        </is>
      </c>
      <c r="I1338" s="1735" t="inlineStr">
        <is>
          <t>13.011</t>
        </is>
      </c>
      <c r="J1338" s="1773" t="inlineStr">
        <is>
          <t>IMPERMEABILIZAÇÃO E TRATAMENTOS - Penthouse x22</t>
        </is>
      </c>
      <c r="K1338" s="1774" t="n"/>
      <c r="L1338" s="1775" t="n"/>
      <c r="M1338" s="1775" t="n"/>
      <c r="N1338" s="1739" t="n">
        <v>345442.800552</v>
      </c>
      <c r="O1338" s="1776" t="n">
        <v>20.6238570999906</v>
      </c>
      <c r="P1338" s="1719" t="n"/>
    </row>
    <row r="1339" hidden="1" outlineLevel="2" ht="13.5" customHeight="1">
      <c r="A1339" s="2117" t="n">
        <v>0</v>
      </c>
      <c r="B1339" s="2117" t="n">
        <v>13</v>
      </c>
      <c r="C1339" s="2117" t="n">
        <v>11</v>
      </c>
      <c r="D1339" s="2118" t="n">
        <v>1</v>
      </c>
      <c r="E1339" s="2118" t="n">
        <v>0</v>
      </c>
      <c r="G1339" s="1797" t="n"/>
      <c r="H1339" s="1777" t="inlineStr">
        <is>
          <t>SUBETAPA</t>
        </is>
      </c>
      <c r="I1339" s="1742" t="inlineStr">
        <is>
          <t>13.011.001</t>
        </is>
      </c>
      <c r="J1339" s="1779" t="inlineStr">
        <is>
          <t>Regularização e proteção mecânica</t>
        </is>
      </c>
      <c r="K1339" s="1780" t="n"/>
      <c r="L1339" s="1781" t="n"/>
      <c r="M1339" s="1781" t="n"/>
      <c r="N1339" s="1746" t="n">
        <v>12669.457634</v>
      </c>
      <c r="O1339" s="1782" t="n">
        <v>0.756400432605538</v>
      </c>
      <c r="P1339" s="1720" t="n"/>
    </row>
    <row r="1340" hidden="1" outlineLevel="3" ht="13.5" customHeight="1">
      <c r="A1340" s="2117" t="n">
        <v>0</v>
      </c>
      <c r="B1340" s="2117" t="n">
        <v>13</v>
      </c>
      <c r="C1340" s="2117" t="n">
        <v>11</v>
      </c>
      <c r="D1340" s="2118" t="n">
        <v>1</v>
      </c>
      <c r="E1340" s="2118" t="n">
        <v>1</v>
      </c>
      <c r="G1340" s="1798" t="inlineStr">
        <is>
          <t>IMPERMEABILIZAÇÃO</t>
        </is>
      </c>
      <c r="H1340" s="1783" t="inlineStr">
        <is>
          <t>SERVIÇO</t>
        </is>
      </c>
      <c r="I1340" s="1750" t="inlineStr">
        <is>
          <t>13.011.001.001</t>
        </is>
      </c>
      <c r="J1340" s="1785" t="inlineStr">
        <is>
          <t xml:space="preserve">Regularização de superfície para impermeabilização </t>
        </is>
      </c>
      <c r="K1340" s="1786" t="inlineStr">
        <is>
          <t>m2</t>
        </is>
      </c>
      <c r="L1340" s="1787" t="n">
        <v>977.9099999999999</v>
      </c>
      <c r="M1340" s="1787" t="n">
        <v>7.065899999999999</v>
      </c>
      <c r="N1340" s="1754" t="n">
        <v>6909.814269</v>
      </c>
      <c r="O1340" s="1788" t="inlineStr">
        <is>
          <t>Toda área de piso que recebe impermeabilização</t>
        </is>
      </c>
      <c r="P1340" s="1721" t="inlineStr">
        <is>
          <t>Pendente</t>
        </is>
      </c>
    </row>
    <row r="1341" hidden="1" outlineLevel="3" ht="13.5" customHeight="1">
      <c r="A1341" s="2117" t="n">
        <v>0</v>
      </c>
      <c r="B1341" s="2117" t="n">
        <v>13</v>
      </c>
      <c r="C1341" s="2117" t="n">
        <v>11</v>
      </c>
      <c r="D1341" s="2118" t="n">
        <v>1</v>
      </c>
      <c r="E1341" s="2118" t="n">
        <v>2</v>
      </c>
      <c r="G1341" s="1798" t="inlineStr">
        <is>
          <t>IMPERMEABILIZAÇÃO</t>
        </is>
      </c>
      <c r="H1341" s="1783" t="inlineStr">
        <is>
          <t>SERVIÇO</t>
        </is>
      </c>
      <c r="I1341" s="1750" t="inlineStr">
        <is>
          <t>13.011.001.002</t>
        </is>
      </c>
      <c r="J1341" s="1785" t="inlineStr">
        <is>
          <t>Proteção mecânica de superfície com argamassa de cimento e areia, traço 1:3 E=5cm</t>
        </is>
      </c>
      <c r="K1341" s="1786" t="inlineStr">
        <is>
          <t>m2</t>
        </is>
      </c>
      <c r="L1341" s="1787" t="n">
        <v>116.69</v>
      </c>
      <c r="M1341" s="1787" t="n">
        <v>49.3585</v>
      </c>
      <c r="N1341" s="1754" t="n">
        <v>5759.643365</v>
      </c>
      <c r="O1341" s="1788" t="inlineStr">
        <is>
          <t>Toda área de piso que recebe impermeabilização de manta asfáltica</t>
        </is>
      </c>
      <c r="P1341" s="1721" t="inlineStr">
        <is>
          <t>Pendente</t>
        </is>
      </c>
    </row>
    <row r="1342" hidden="1" outlineLevel="2" ht="13.5" customHeight="1">
      <c r="A1342" s="2117" t="n">
        <v>0</v>
      </c>
      <c r="B1342" s="2117" t="n">
        <v>13</v>
      </c>
      <c r="C1342" s="2117" t="n">
        <v>11</v>
      </c>
      <c r="D1342" s="2118" t="n">
        <v>2</v>
      </c>
      <c r="E1342" s="2118" t="n">
        <v>0</v>
      </c>
      <c r="G1342" s="1797" t="n"/>
      <c r="H1342" s="1777" t="inlineStr">
        <is>
          <t>SUBETAPA</t>
        </is>
      </c>
      <c r="I1342" s="1742" t="inlineStr">
        <is>
          <t>13.011.002</t>
        </is>
      </c>
      <c r="J1342" s="1779" t="inlineStr">
        <is>
          <t>Impermeabilização de lajes, cobertura, rufos, moldura da fachada e terraços</t>
        </is>
      </c>
      <c r="K1342" s="1780" t="n"/>
      <c r="L1342" s="1781" t="n"/>
      <c r="M1342" s="1781" t="n"/>
      <c r="N1342" s="1746" t="n">
        <v>16247.073216</v>
      </c>
      <c r="O1342" s="1782" t="n"/>
      <c r="P1342" s="1720" t="n"/>
    </row>
    <row r="1343" hidden="1" outlineLevel="3" ht="13.5" customHeight="1">
      <c r="A1343" s="2117" t="n">
        <v>0</v>
      </c>
      <c r="B1343" s="2117" t="n">
        <v>13</v>
      </c>
      <c r="C1343" s="2117" t="n">
        <v>11</v>
      </c>
      <c r="D1343" s="2118" t="n">
        <v>2</v>
      </c>
      <c r="E1343" s="2118" t="n">
        <v>1</v>
      </c>
      <c r="G1343" s="1798" t="inlineStr">
        <is>
          <t>IMPERMEABILIZAÇÃO</t>
        </is>
      </c>
      <c r="H1343" s="1783" t="inlineStr">
        <is>
          <t>SERVIÇO</t>
        </is>
      </c>
      <c r="I1343" s="1750" t="inlineStr">
        <is>
          <t>13.011.002.001</t>
        </is>
      </c>
      <c r="J1343" s="1785" t="inlineStr">
        <is>
          <t>Sistema 7.1.6:Argamassa impermeabilizante sem cimento - MK-FEN 30 (F) | Argamassa não cimentícia com agentes incorporadores de ar (8,0 kg/m²) + Tela de poliéster nos pontos críticos</t>
        </is>
      </c>
      <c r="K1343" s="1786" t="inlineStr">
        <is>
          <t>m2</t>
        </is>
      </c>
      <c r="L1343" s="1787" t="n">
        <v>109.12</v>
      </c>
      <c r="M1343" s="1787" t="n">
        <v>148.8918</v>
      </c>
      <c r="N1343" s="1754" t="n">
        <v>16247.073216</v>
      </c>
      <c r="O1343" s="1788" t="inlineStr">
        <is>
          <t>Moldura de fachada + rufos</t>
        </is>
      </c>
      <c r="P1343" s="1721" t="inlineStr">
        <is>
          <t>Pendente</t>
        </is>
      </c>
    </row>
    <row r="1344" hidden="1" outlineLevel="2" ht="13.5" customHeight="1">
      <c r="A1344" s="2117" t="n">
        <v>0</v>
      </c>
      <c r="B1344" s="2117" t="n">
        <v>13</v>
      </c>
      <c r="C1344" s="2117" t="n">
        <v>11</v>
      </c>
      <c r="D1344" s="2118" t="n">
        <v>3</v>
      </c>
      <c r="E1344" s="2118" t="n">
        <v>0</v>
      </c>
      <c r="G1344" s="1797" t="n"/>
      <c r="H1344" s="1777" t="inlineStr">
        <is>
          <t>SUBETAPA</t>
        </is>
      </c>
      <c r="I1344" s="1742" t="inlineStr">
        <is>
          <t>13.011.003</t>
        </is>
      </c>
      <c r="J1344" s="1779" t="inlineStr">
        <is>
          <t>Impermeabilização de banheiro, cozinha, área de serviço, área técnica, área comum, fosso do elevador e sacada</t>
        </is>
      </c>
      <c r="K1344" s="1780" t="n"/>
      <c r="L1344" s="1781" t="n"/>
      <c r="M1344" s="1781" t="n"/>
      <c r="N1344" s="1746" t="n">
        <v>116469.794299333</v>
      </c>
      <c r="O1344" s="1782" t="n"/>
      <c r="P1344" s="1720" t="n"/>
    </row>
    <row r="1345" hidden="1" outlineLevel="3" ht="13.5" customHeight="1">
      <c r="A1345" s="2117" t="n">
        <v>0</v>
      </c>
      <c r="B1345" s="2117" t="n">
        <v>13</v>
      </c>
      <c r="C1345" s="2117" t="n">
        <v>11</v>
      </c>
      <c r="D1345" s="2118" t="n">
        <v>3</v>
      </c>
      <c r="E1345" s="2118" t="n">
        <v>1</v>
      </c>
      <c r="G1345" s="1798" t="inlineStr">
        <is>
          <t>IMPERMEABILIZAÇÃO</t>
        </is>
      </c>
      <c r="H1345" s="1783" t="inlineStr">
        <is>
          <t>SERVIÇO</t>
        </is>
      </c>
      <c r="I1345" s="1750" t="inlineStr">
        <is>
          <t>13.011.003.001</t>
        </is>
      </c>
      <c r="J1345" s="1785" t="inlineStr">
        <is>
          <t>Sistema 2.5.3: Membrana de polímero acrílico com cimento e fibras sintéticas | Revestimento bicomponente à base de polímeros acrílicos com adição de cimento e fibras sintéticas (3,0 kg/m²) + Tela de poliéster nos pontos críticos</t>
        </is>
      </c>
      <c r="K1345" s="1786" t="inlineStr">
        <is>
          <t>m2</t>
        </is>
      </c>
      <c r="L1345" s="1787" t="n">
        <v>1936.19</v>
      </c>
      <c r="M1345" s="1787" t="n">
        <v>34.05846666666666</v>
      </c>
      <c r="N1345" s="1754" t="n">
        <v>65943.66257533331</v>
      </c>
      <c r="O1345" s="1788" t="inlineStr">
        <is>
          <t>Banheiro + área de serviço + casa de máquinas</t>
        </is>
      </c>
      <c r="P1345" s="1721" t="inlineStr">
        <is>
          <t>Pendente</t>
        </is>
      </c>
    </row>
    <row r="1346" hidden="1" outlineLevel="3" ht="13.5" customHeight="1">
      <c r="A1346" s="2117" t="n">
        <v>0</v>
      </c>
      <c r="B1346" s="2117" t="n">
        <v>13</v>
      </c>
      <c r="C1346" s="2117" t="n">
        <v>11</v>
      </c>
      <c r="D1346" s="2118" t="n">
        <v>3</v>
      </c>
      <c r="E1346" s="2118" t="n">
        <v>2</v>
      </c>
      <c r="G1346" s="1798" t="inlineStr">
        <is>
          <t>IMPERMEABILIZAÇÃO</t>
        </is>
      </c>
      <c r="H1346" s="1783" t="inlineStr">
        <is>
          <t>SERVIÇO</t>
        </is>
      </c>
      <c r="I1346" s="1750" t="inlineStr">
        <is>
          <t>13.011.003.002</t>
        </is>
      </c>
      <c r="J1346" s="1785" t="inlineStr">
        <is>
          <t>Sistema 7.1.6:Argamassa impermeabilizante sem cimento - MK-FEN 30 (F) | Argamassa não cimentícia com agentes incorporadores de ar (8,0 kg/m²) + Tela de poliéster nos pontos críticos</t>
        </is>
      </c>
      <c r="K1346" s="1786" t="inlineStr">
        <is>
          <t>m2</t>
        </is>
      </c>
      <c r="L1346" s="1787" t="n">
        <v>199.38</v>
      </c>
      <c r="M1346" s="1787" t="n">
        <v>148.8918</v>
      </c>
      <c r="N1346" s="1754" t="n">
        <v>29686.047084</v>
      </c>
      <c r="O1346" s="1788" t="inlineStr">
        <is>
          <t>área técnica + sauna</t>
        </is>
      </c>
      <c r="P1346" s="1721" t="inlineStr">
        <is>
          <t>Pendente</t>
        </is>
      </c>
    </row>
    <row r="1347" hidden="1" outlineLevel="3" ht="13.5" customHeight="1">
      <c r="A1347" s="2117" t="n">
        <v>0</v>
      </c>
      <c r="B1347" s="2117" t="n">
        <v>13</v>
      </c>
      <c r="C1347" s="2117" t="n">
        <v>11</v>
      </c>
      <c r="D1347" s="2118" t="n">
        <v>3</v>
      </c>
      <c r="E1347" s="2118" t="n">
        <v>3</v>
      </c>
      <c r="G1347" s="1798" t="inlineStr">
        <is>
          <t>IMPERMEABILIZAÇÃO</t>
        </is>
      </c>
      <c r="H1347" s="1783" t="inlineStr">
        <is>
          <t>SERVIÇO</t>
        </is>
      </c>
      <c r="I1347" s="1750" t="inlineStr">
        <is>
          <t>13.011.003.003</t>
        </is>
      </c>
      <c r="J1347" s="1785" t="inlineStr">
        <is>
          <t>Sistema 4.2.4:Primer asfáltico à base d'água (0,4 L/m²) + Asfalto oxidado modificado (2,5 kg/m²) + Manta asfáltica AA 4mm Tipo III Classe B + Banho de asfalto oxidado modificado (2,5 kg/m²)</t>
        </is>
      </c>
      <c r="K1347" s="1786" t="inlineStr">
        <is>
          <t>m2</t>
        </is>
      </c>
      <c r="L1347" s="1787" t="n">
        <v>156.48</v>
      </c>
      <c r="M1347" s="1787" t="n">
        <v>133.1805</v>
      </c>
      <c r="N1347" s="1754" t="n">
        <v>20840.08464</v>
      </c>
      <c r="O1347" s="1788" t="inlineStr">
        <is>
          <t>Sacada + circulação lazer + espaço crossfit</t>
        </is>
      </c>
      <c r="P1347" s="1721" t="inlineStr">
        <is>
          <t>Pendente</t>
        </is>
      </c>
    </row>
    <row r="1348" hidden="1" outlineLevel="2" ht="13.5" customHeight="1">
      <c r="A1348" s="2117" t="n">
        <v>0</v>
      </c>
      <c r="B1348" s="2117" t="n">
        <v>13</v>
      </c>
      <c r="C1348" s="2117" t="n">
        <v>11</v>
      </c>
      <c r="D1348" s="2118" t="n">
        <v>4</v>
      </c>
      <c r="E1348" s="2118" t="n">
        <v>0</v>
      </c>
      <c r="G1348" s="1797" t="n"/>
      <c r="H1348" s="1777" t="inlineStr">
        <is>
          <t>SUBETAPA</t>
        </is>
      </c>
      <c r="I1348" s="1742" t="inlineStr">
        <is>
          <t>13.011.004</t>
        </is>
      </c>
      <c r="J1348" s="1779" t="inlineStr">
        <is>
          <t>Impermeabilização de esquadrias</t>
        </is>
      </c>
      <c r="K1348" s="1780" t="n"/>
      <c r="L1348" s="1781" t="n"/>
      <c r="M1348" s="1781" t="n"/>
      <c r="N1348" s="1746" t="n">
        <v>35370.3988026667</v>
      </c>
      <c r="O1348" s="1782" t="n"/>
      <c r="P1348" s="1720" t="n"/>
    </row>
    <row r="1349" hidden="1" outlineLevel="3" ht="13.5" customHeight="1">
      <c r="A1349" s="2117" t="n">
        <v>0</v>
      </c>
      <c r="B1349" s="2117" t="n">
        <v>13</v>
      </c>
      <c r="C1349" s="2117" t="n">
        <v>11</v>
      </c>
      <c r="D1349" s="2118" t="n">
        <v>4</v>
      </c>
      <c r="E1349" s="2118" t="n">
        <v>1</v>
      </c>
      <c r="G1349" s="1798" t="inlineStr">
        <is>
          <t>IMPERMEABILIZAÇÃO</t>
        </is>
      </c>
      <c r="H1349" s="1783" t="inlineStr">
        <is>
          <t>SERVIÇO</t>
        </is>
      </c>
      <c r="I1349" s="1750" t="inlineStr">
        <is>
          <t>13.011.004.001</t>
        </is>
      </c>
      <c r="J1349" s="1785" t="inlineStr">
        <is>
          <t>Sistema 2.5.3: Membrana de polímero acrílico com cimento e fibras sintéticas | Revestimento bicomponente à base de polímeros acrílicos com adição de cimento e fibras sintéticas (3,0 kg/m²) + Tela de poliéster nos pontos críticos</t>
        </is>
      </c>
      <c r="K1349" s="1786" t="inlineStr">
        <is>
          <t>m2</t>
        </is>
      </c>
      <c r="L1349" s="1787" t="n">
        <v>1038.52</v>
      </c>
      <c r="M1349" s="1787" t="n">
        <v>34.05846666666666</v>
      </c>
      <c r="N1349" s="1754" t="n">
        <v>35370.3988026667</v>
      </c>
      <c r="O1349" s="1788" t="n"/>
      <c r="P1349" s="1721" t="inlineStr">
        <is>
          <t>Pendente</t>
        </is>
      </c>
    </row>
    <row r="1350" hidden="1" outlineLevel="2" ht="13.5" customHeight="1">
      <c r="A1350" s="2117" t="n">
        <v>0</v>
      </c>
      <c r="B1350" s="2117" t="n">
        <v>13</v>
      </c>
      <c r="C1350" s="2117" t="n">
        <v>11</v>
      </c>
      <c r="D1350" s="2118" t="n">
        <v>5</v>
      </c>
      <c r="E1350" s="2118" t="n">
        <v>0</v>
      </c>
      <c r="G1350" s="1797" t="n"/>
      <c r="H1350" s="1777" t="inlineStr">
        <is>
          <t>SUBETAPA</t>
        </is>
      </c>
      <c r="I1350" s="1742" t="inlineStr">
        <is>
          <t>13.011.005</t>
        </is>
      </c>
      <c r="J1350" s="1779" t="inlineStr">
        <is>
          <t>Impermeabilização de ralos</t>
        </is>
      </c>
      <c r="K1350" s="1780" t="n"/>
      <c r="L1350" s="1781" t="n"/>
      <c r="M1350" s="1781" t="n"/>
      <c r="N1350" s="1746" t="n">
        <v>3854.4066</v>
      </c>
      <c r="O1350" s="1782" t="n"/>
      <c r="P1350" s="1720" t="n"/>
    </row>
    <row r="1351" hidden="1" outlineLevel="3" ht="13.5" customHeight="1">
      <c r="A1351" s="2117" t="n">
        <v>0</v>
      </c>
      <c r="B1351" s="2117" t="n">
        <v>13</v>
      </c>
      <c r="C1351" s="2117" t="n">
        <v>11</v>
      </c>
      <c r="D1351" s="2118" t="n">
        <v>5</v>
      </c>
      <c r="E1351" s="2118" t="n">
        <v>1</v>
      </c>
      <c r="G1351" s="1798" t="inlineStr">
        <is>
          <t>IMPERMEABILIZAÇÃO</t>
        </is>
      </c>
      <c r="H1351" s="1783" t="inlineStr">
        <is>
          <t>SERVIÇO</t>
        </is>
      </c>
      <c r="I1351" s="1750" t="inlineStr">
        <is>
          <t>13.011.005.001</t>
        </is>
      </c>
      <c r="J1351" s="1785" t="inlineStr">
        <is>
          <t>Tratamento De Ralo Ou Ponto Emergente Com Argamassa Polimérica Reforçado Com Tela De Poliéster</t>
        </is>
      </c>
      <c r="K1351" s="1786" t="inlineStr">
        <is>
          <t>un</t>
        </is>
      </c>
      <c r="L1351" s="1787" t="n">
        <v>440</v>
      </c>
      <c r="M1351" s="1787" t="n">
        <v>8.760015000000001</v>
      </c>
      <c r="N1351" s="1754" t="n">
        <v>3854.4066</v>
      </c>
      <c r="O1351" s="1788" t="inlineStr">
        <is>
          <t>2 por banheiro + 1 por lavabo + 2 por área de serviço + 1 por área técnica + 1 por cozinha + 1 por sacada + 1 por torneira de jardin</t>
        </is>
      </c>
      <c r="P1351" s="1721" t="inlineStr">
        <is>
          <t>Pendente</t>
        </is>
      </c>
    </row>
    <row r="1352" hidden="1" outlineLevel="2" ht="13.5" customHeight="1">
      <c r="A1352" s="2117" t="n">
        <v>0</v>
      </c>
      <c r="B1352" s="2117" t="n">
        <v>13</v>
      </c>
      <c r="C1352" s="2117" t="n">
        <v>11</v>
      </c>
      <c r="D1352" s="2118" t="n">
        <v>6</v>
      </c>
      <c r="E1352" s="2118" t="n">
        <v>0</v>
      </c>
      <c r="G1352" s="1797" t="n"/>
      <c r="H1352" s="1777" t="inlineStr">
        <is>
          <t>SUBETAPA</t>
        </is>
      </c>
      <c r="I1352" s="1742" t="inlineStr">
        <is>
          <t>13.011.006</t>
        </is>
      </c>
      <c r="J1352" s="1779" t="inlineStr">
        <is>
          <t>Mão de Obra</t>
        </is>
      </c>
      <c r="K1352" s="1780" t="n"/>
      <c r="L1352" s="1781" t="n"/>
      <c r="M1352" s="1781" t="n"/>
      <c r="N1352" s="1746" t="n">
        <v>160831.67</v>
      </c>
      <c r="O1352" s="1782" t="n"/>
      <c r="P1352" s="1720" t="n"/>
    </row>
    <row r="1353" hidden="1" outlineLevel="3" ht="13.5" customHeight="1">
      <c r="A1353" s="2117" t="n">
        <v>0</v>
      </c>
      <c r="B1353" s="2117" t="n">
        <v>13</v>
      </c>
      <c r="C1353" s="2117" t="n">
        <v>11</v>
      </c>
      <c r="D1353" s="2118" t="n">
        <v>6</v>
      </c>
      <c r="E1353" s="2118" t="n">
        <v>1</v>
      </c>
      <c r="G1353" s="1798" t="inlineStr">
        <is>
          <t>IMPERMEABILIZAÇÃO</t>
        </is>
      </c>
      <c r="H1353" s="1783" t="inlineStr">
        <is>
          <t>SERVIÇO</t>
        </is>
      </c>
      <c r="I1353" s="1750" t="inlineStr">
        <is>
          <t>13.011.006.001</t>
        </is>
      </c>
      <c r="J1353" s="1785" t="inlineStr">
        <is>
          <t xml:space="preserve">Mão de obra para regularização de superfície </t>
        </is>
      </c>
      <c r="K1353" s="1786" t="inlineStr">
        <is>
          <t>m2</t>
        </is>
      </c>
      <c r="L1353" s="1787" t="n">
        <v>977.9099999999999</v>
      </c>
      <c r="M1353" s="1787" t="n">
        <v>20</v>
      </c>
      <c r="N1353" s="1754" t="n">
        <v>19558.2</v>
      </c>
      <c r="O1353" s="1788" t="n"/>
      <c r="P1353" s="1721" t="inlineStr">
        <is>
          <t>Pendente</t>
        </is>
      </c>
    </row>
    <row r="1354" hidden="1" outlineLevel="3" ht="13.5" customHeight="1">
      <c r="A1354" s="2117" t="n">
        <v>0</v>
      </c>
      <c r="B1354" s="2117" t="n">
        <v>13</v>
      </c>
      <c r="C1354" s="2117" t="n">
        <v>11</v>
      </c>
      <c r="D1354" s="2118" t="n">
        <v>6</v>
      </c>
      <c r="E1354" s="2118" t="n">
        <v>2</v>
      </c>
      <c r="G1354" s="1798" t="inlineStr">
        <is>
          <t>IMPERMEABILIZAÇÃO</t>
        </is>
      </c>
      <c r="H1354" s="1783" t="inlineStr">
        <is>
          <t>SERVIÇO</t>
        </is>
      </c>
      <c r="I1354" s="1750" t="inlineStr">
        <is>
          <t>13.011.006.002</t>
        </is>
      </c>
      <c r="J1354" s="1785" t="inlineStr">
        <is>
          <t>Mão de obra para proteção mecânica</t>
        </is>
      </c>
      <c r="K1354" s="1786" t="inlineStr">
        <is>
          <t>m2</t>
        </is>
      </c>
      <c r="L1354" s="1787" t="n">
        <v>116.69</v>
      </c>
      <c r="M1354" s="1787" t="n">
        <v>35</v>
      </c>
      <c r="N1354" s="1754" t="n">
        <v>4084.15</v>
      </c>
      <c r="O1354" s="1788" t="n"/>
      <c r="P1354" s="1721" t="inlineStr">
        <is>
          <t>Pendente</t>
        </is>
      </c>
    </row>
    <row r="1355" hidden="1" outlineLevel="3" ht="13.5" customHeight="1">
      <c r="A1355" s="2117" t="n">
        <v>0</v>
      </c>
      <c r="B1355" s="2117" t="n">
        <v>13</v>
      </c>
      <c r="C1355" s="2117" t="n">
        <v>11</v>
      </c>
      <c r="D1355" s="2118" t="n">
        <v>6</v>
      </c>
      <c r="E1355" s="2118" t="n">
        <v>3</v>
      </c>
      <c r="G1355" s="1798" t="inlineStr">
        <is>
          <t>IMPERMEABILIZAÇÃO</t>
        </is>
      </c>
      <c r="H1355" s="1783" t="inlineStr">
        <is>
          <t>SERVIÇO</t>
        </is>
      </c>
      <c r="I1355" s="1750" t="inlineStr">
        <is>
          <t>13.011.006.003</t>
        </is>
      </c>
      <c r="J1355" s="1785" t="inlineStr">
        <is>
          <t>Mão de obra impermeabilização sistema 2.5.3</t>
        </is>
      </c>
      <c r="K1355" s="1786" t="inlineStr">
        <is>
          <t>m2</t>
        </is>
      </c>
      <c r="L1355" s="1787" t="n">
        <v>2974.71</v>
      </c>
      <c r="M1355" s="1787" t="n">
        <v>32</v>
      </c>
      <c r="N1355" s="1754" t="n">
        <v>95190.72</v>
      </c>
      <c r="O1355" s="1788" t="n"/>
      <c r="P1355" s="1721" t="inlineStr">
        <is>
          <t>Pendente</t>
        </is>
      </c>
    </row>
    <row r="1356" hidden="1" outlineLevel="3" ht="13.5" customHeight="1">
      <c r="A1356" s="2117" t="n">
        <v>0</v>
      </c>
      <c r="B1356" s="2117" t="n">
        <v>13</v>
      </c>
      <c r="C1356" s="2117" t="n">
        <v>11</v>
      </c>
      <c r="D1356" s="2118" t="n">
        <v>6</v>
      </c>
      <c r="E1356" s="2118" t="n">
        <v>4</v>
      </c>
      <c r="G1356" s="1798" t="inlineStr">
        <is>
          <t>IMPERMEABILIZAÇÃO</t>
        </is>
      </c>
      <c r="H1356" s="1783" t="inlineStr">
        <is>
          <t>SERVIÇO</t>
        </is>
      </c>
      <c r="I1356" s="1750" t="inlineStr">
        <is>
          <t>13.011.006.004</t>
        </is>
      </c>
      <c r="J1356" s="1785" t="inlineStr">
        <is>
          <t>Mão de obra impermeabilização sistema 4.2.4</t>
        </is>
      </c>
      <c r="K1356" s="1786" t="inlineStr">
        <is>
          <t>m2</t>
        </is>
      </c>
      <c r="L1356" s="1787" t="n">
        <v>156.48</v>
      </c>
      <c r="M1356" s="1787" t="n">
        <v>45</v>
      </c>
      <c r="N1356" s="1754" t="n">
        <v>7041.6</v>
      </c>
      <c r="O1356" s="1788" t="n"/>
      <c r="P1356" s="1721" t="inlineStr">
        <is>
          <t>Pendente</t>
        </is>
      </c>
    </row>
    <row r="1357" hidden="1" outlineLevel="3" ht="13.5" customHeight="1">
      <c r="A1357" s="2117" t="n">
        <v>0</v>
      </c>
      <c r="B1357" s="2117" t="n">
        <v>13</v>
      </c>
      <c r="C1357" s="2117" t="n">
        <v>11</v>
      </c>
      <c r="D1357" s="2118" t="n">
        <v>6</v>
      </c>
      <c r="E1357" s="2118" t="n">
        <v>5</v>
      </c>
      <c r="G1357" s="1798" t="inlineStr">
        <is>
          <t>IMPERMEABILIZAÇÃO</t>
        </is>
      </c>
      <c r="H1357" s="1783" t="inlineStr">
        <is>
          <t>SERVIÇO</t>
        </is>
      </c>
      <c r="I1357" s="1750" t="inlineStr">
        <is>
          <t>13.011.006.005</t>
        </is>
      </c>
      <c r="J1357" s="1785" t="inlineStr">
        <is>
          <t>Mão de obra impermeabilização sistema 7.1.6</t>
        </is>
      </c>
      <c r="K1357" s="1786" t="inlineStr">
        <is>
          <t>m2</t>
        </is>
      </c>
      <c r="L1357" s="1787" t="n">
        <v>308.5</v>
      </c>
      <c r="M1357" s="1787" t="n">
        <v>42</v>
      </c>
      <c r="N1357" s="1754" t="n">
        <v>12957</v>
      </c>
      <c r="O1357" s="1788" t="n"/>
      <c r="P1357" s="1721" t="inlineStr">
        <is>
          <t>Pendente</t>
        </is>
      </c>
    </row>
    <row r="1358" hidden="1" outlineLevel="3" ht="13.5" customHeight="1">
      <c r="A1358" s="2117" t="n">
        <v>0</v>
      </c>
      <c r="B1358" s="2117" t="n">
        <v>13</v>
      </c>
      <c r="C1358" s="2117" t="n">
        <v>11</v>
      </c>
      <c r="D1358" s="2118" t="n">
        <v>6</v>
      </c>
      <c r="E1358" s="2118" t="n">
        <v>6</v>
      </c>
      <c r="G1358" s="1798" t="inlineStr">
        <is>
          <t>IMPERMEABILIZAÇÃO</t>
        </is>
      </c>
      <c r="H1358" s="1783" t="inlineStr">
        <is>
          <t>SERVIÇO</t>
        </is>
      </c>
      <c r="I1358" s="1750" t="inlineStr">
        <is>
          <t>13.011.006.006</t>
        </is>
      </c>
      <c r="J1358" s="1751" t="inlineStr">
        <is>
          <t>Mão de obra tratamento de ralo com manta de poliéster</t>
        </is>
      </c>
      <c r="K1358" s="1786" t="inlineStr">
        <is>
          <t>un</t>
        </is>
      </c>
      <c r="L1358" s="1787" t="n">
        <v>440</v>
      </c>
      <c r="M1358" s="1787" t="n">
        <v>50</v>
      </c>
      <c r="N1358" s="1754" t="n">
        <v>22000</v>
      </c>
      <c r="O1358" s="1788" t="n"/>
      <c r="P1358" s="1721" t="inlineStr">
        <is>
          <t>Pendente</t>
        </is>
      </c>
    </row>
    <row r="1359" hidden="1" outlineLevel="1" ht="13.5" customHeight="1">
      <c r="A1359" s="2117" t="n">
        <v>0</v>
      </c>
      <c r="B1359" s="2117" t="n">
        <v>13</v>
      </c>
      <c r="C1359" s="2117" t="n">
        <v>12</v>
      </c>
      <c r="D1359" s="2118" t="n">
        <v>0</v>
      </c>
      <c r="E1359" s="2118" t="n">
        <v>6</v>
      </c>
      <c r="G1359" s="1796" t="n"/>
      <c r="H1359" s="1771" t="inlineStr">
        <is>
          <t>ETAPA</t>
        </is>
      </c>
      <c r="I1359" s="1735" t="inlineStr">
        <is>
          <t>13.012</t>
        </is>
      </c>
      <c r="J1359" s="1773" t="inlineStr">
        <is>
          <t>IMPERMEABILIZAÇÃO E TRATAMENTOS - Duplex Inferior</t>
        </is>
      </c>
      <c r="K1359" s="1774" t="n"/>
      <c r="L1359" s="1775" t="n"/>
      <c r="M1359" s="1775" t="n"/>
      <c r="N1359" s="1739" t="n">
        <v>29621.327888</v>
      </c>
      <c r="O1359" s="1776" t="n">
        <v>1.76847232739511</v>
      </c>
      <c r="P1359" s="1719" t="n"/>
    </row>
    <row r="1360" hidden="1" outlineLevel="2" ht="13.5" customHeight="1">
      <c r="A1360" s="2117" t="n">
        <v>0</v>
      </c>
      <c r="B1360" s="2117" t="n">
        <v>13</v>
      </c>
      <c r="C1360" s="2117" t="n">
        <v>12</v>
      </c>
      <c r="D1360" s="2118" t="n">
        <v>1</v>
      </c>
      <c r="E1360" s="2118" t="n">
        <v>0</v>
      </c>
      <c r="G1360" s="1797" t="n"/>
      <c r="H1360" s="1777" t="inlineStr">
        <is>
          <t>SUBETAPA</t>
        </is>
      </c>
      <c r="I1360" s="1742" t="inlineStr">
        <is>
          <t>13.012.001</t>
        </is>
      </c>
      <c r="J1360" s="1779" t="inlineStr">
        <is>
          <t>Regularização e proteção mecânica</t>
        </is>
      </c>
      <c r="K1360" s="1780" t="n"/>
      <c r="L1360" s="1781" t="n"/>
      <c r="M1360" s="1781" t="n"/>
      <c r="N1360" s="1746" t="n">
        <v>1327.886107</v>
      </c>
      <c r="O1360" s="1782" t="n">
        <v>0.0792783444091734</v>
      </c>
      <c r="P1360" s="1720" t="n"/>
    </row>
    <row r="1361" hidden="1" outlineLevel="3" ht="13.5" customHeight="1">
      <c r="A1361" s="2117" t="n">
        <v>0</v>
      </c>
      <c r="B1361" s="2117" t="n">
        <v>13</v>
      </c>
      <c r="C1361" s="2117" t="n">
        <v>12</v>
      </c>
      <c r="D1361" s="2118" t="n">
        <v>1</v>
      </c>
      <c r="E1361" s="2118" t="n">
        <v>1</v>
      </c>
      <c r="G1361" s="1798" t="inlineStr">
        <is>
          <t>IMPERMEABILIZAÇÃO</t>
        </is>
      </c>
      <c r="H1361" s="1783" t="inlineStr">
        <is>
          <t>SERVIÇO</t>
        </is>
      </c>
      <c r="I1361" s="1750" t="inlineStr">
        <is>
          <t>13.012.001.001</t>
        </is>
      </c>
      <c r="J1361" s="1785" t="inlineStr">
        <is>
          <t xml:space="preserve">Regularização de superfície para impermeabilização </t>
        </is>
      </c>
      <c r="K1361" s="1786" t="inlineStr">
        <is>
          <t>m2</t>
        </is>
      </c>
      <c r="L1361" s="1787" t="n">
        <v>110.53</v>
      </c>
      <c r="M1361" s="1787" t="n">
        <v>7.065899999999999</v>
      </c>
      <c r="N1361" s="1754" t="n">
        <v>780.993927</v>
      </c>
      <c r="O1361" s="1788" t="inlineStr">
        <is>
          <t>Toda área de piso que recebe impermeabilização</t>
        </is>
      </c>
      <c r="P1361" s="1721" t="inlineStr">
        <is>
          <t>Pendente</t>
        </is>
      </c>
    </row>
    <row r="1362" hidden="1" outlineLevel="3" ht="13.5" customHeight="1">
      <c r="A1362" s="2117" t="n">
        <v>0</v>
      </c>
      <c r="B1362" s="2117" t="n">
        <v>13</v>
      </c>
      <c r="C1362" s="2117" t="n">
        <v>12</v>
      </c>
      <c r="D1362" s="2118" t="n">
        <v>1</v>
      </c>
      <c r="E1362" s="2118" t="n">
        <v>2</v>
      </c>
      <c r="G1362" s="1798" t="inlineStr">
        <is>
          <t>IMPERMEABILIZAÇÃO</t>
        </is>
      </c>
      <c r="H1362" s="1783" t="inlineStr">
        <is>
          <t>SERVIÇO</t>
        </is>
      </c>
      <c r="I1362" s="1750" t="inlineStr">
        <is>
          <t>13.012.001.002</t>
        </is>
      </c>
      <c r="J1362" s="1785" t="inlineStr">
        <is>
          <t>Proteção mecânica de superfície com argamassa de cimento e areia, traço 1:3 E=5cm</t>
        </is>
      </c>
      <c r="K1362" s="1786" t="inlineStr">
        <is>
          <t>m2</t>
        </is>
      </c>
      <c r="L1362" s="1787" t="n">
        <v>11.08</v>
      </c>
      <c r="M1362" s="1787" t="n">
        <v>49.3585</v>
      </c>
      <c r="N1362" s="1754" t="n">
        <v>546.8921800000001</v>
      </c>
      <c r="O1362" s="1788" t="inlineStr">
        <is>
          <t>Toda área de piso que recebe impermeabilização de manta asfáltica</t>
        </is>
      </c>
      <c r="P1362" s="1721" t="inlineStr">
        <is>
          <t>Pendente</t>
        </is>
      </c>
    </row>
    <row r="1363" hidden="1" outlineLevel="2" ht="13.5" customHeight="1">
      <c r="A1363" s="2117" t="n">
        <v>0</v>
      </c>
      <c r="B1363" s="2117" t="n">
        <v>13</v>
      </c>
      <c r="C1363" s="2117" t="n">
        <v>12</v>
      </c>
      <c r="D1363" s="2118" t="n">
        <v>2</v>
      </c>
      <c r="E1363" s="2118" t="n">
        <v>0</v>
      </c>
      <c r="G1363" s="1797" t="n"/>
      <c r="H1363" s="1777" t="inlineStr">
        <is>
          <t>SUBETAPA</t>
        </is>
      </c>
      <c r="I1363" s="1742" t="inlineStr">
        <is>
          <t>13.012.002</t>
        </is>
      </c>
      <c r="J1363" s="1779" t="inlineStr">
        <is>
          <t>Impermeabilização de lajes, cobertura, rufos, moldura da fachada e terraços</t>
        </is>
      </c>
      <c r="K1363" s="1780" t="n"/>
      <c r="L1363" s="1781" t="n"/>
      <c r="M1363" s="1781" t="n"/>
      <c r="N1363" s="1746" t="n">
        <v>9561.831396</v>
      </c>
      <c r="O1363" s="1782" t="n"/>
      <c r="P1363" s="1720" t="n"/>
    </row>
    <row r="1364" hidden="1" outlineLevel="3" ht="13.5" customHeight="1">
      <c r="A1364" s="2117" t="n">
        <v>0</v>
      </c>
      <c r="B1364" s="2117" t="n">
        <v>13</v>
      </c>
      <c r="C1364" s="2117" t="n">
        <v>12</v>
      </c>
      <c r="D1364" s="2118" t="n">
        <v>2</v>
      </c>
      <c r="E1364" s="2118" t="n">
        <v>1</v>
      </c>
      <c r="G1364" s="1798" t="inlineStr">
        <is>
          <t>IMPERMEABILIZAÇÃO</t>
        </is>
      </c>
      <c r="H1364" s="1783" t="inlineStr">
        <is>
          <t>SERVIÇO</t>
        </is>
      </c>
      <c r="I1364" s="1750" t="inlineStr">
        <is>
          <t>13.012.002.001</t>
        </is>
      </c>
      <c r="J1364" s="1785" t="inlineStr">
        <is>
          <t>Sistema 7.1.6:Argamassa impermeabilizante sem cimento - MK-FEN 30 (F) | Argamassa não cimentícia com agentes incorporadores de ar (8,0 kg/m²) + Tela de poliéster nos pontos críticos</t>
        </is>
      </c>
      <c r="K1364" s="1786" t="inlineStr">
        <is>
          <t>m2</t>
        </is>
      </c>
      <c r="L1364" s="1787" t="n">
        <v>64.22</v>
      </c>
      <c r="M1364" s="1787" t="n">
        <v>148.8918</v>
      </c>
      <c r="N1364" s="1754" t="n">
        <v>9561.831396</v>
      </c>
      <c r="O1364" s="1788" t="inlineStr">
        <is>
          <t>Moldura de fachada + rufos</t>
        </is>
      </c>
      <c r="P1364" s="1721" t="inlineStr">
        <is>
          <t>Pendente</t>
        </is>
      </c>
    </row>
    <row r="1365" hidden="1" outlineLevel="2" ht="13.5" customHeight="1">
      <c r="A1365" s="2117" t="n">
        <v>0</v>
      </c>
      <c r="B1365" s="2117" t="n">
        <v>13</v>
      </c>
      <c r="C1365" s="2117" t="n">
        <v>12</v>
      </c>
      <c r="D1365" s="2118" t="n">
        <v>3</v>
      </c>
      <c r="E1365" s="2118" t="n">
        <v>0</v>
      </c>
      <c r="G1365" s="1797" t="n"/>
      <c r="H1365" s="1777" t="inlineStr">
        <is>
          <t>SUBETAPA</t>
        </is>
      </c>
      <c r="I1365" s="1742" t="inlineStr">
        <is>
          <t>13.012.003</t>
        </is>
      </c>
      <c r="J1365" s="1779" t="inlineStr">
        <is>
          <t>Impermeabilização de banheiro, cozinha, área de serviço, área técnica, área comum, fosso do elevador e sacada</t>
        </is>
      </c>
      <c r="K1365" s="1780" t="n"/>
      <c r="L1365" s="1781" t="n"/>
      <c r="M1365" s="1781" t="n"/>
      <c r="N1365" s="1746" t="n">
        <v>5521.32176166667</v>
      </c>
      <c r="O1365" s="1782" t="n"/>
      <c r="P1365" s="1720" t="n"/>
    </row>
    <row r="1366" hidden="1" outlineLevel="3" ht="13.5" customHeight="1">
      <c r="A1366" s="2117" t="n">
        <v>0</v>
      </c>
      <c r="B1366" s="2117" t="n">
        <v>13</v>
      </c>
      <c r="C1366" s="2117" t="n">
        <v>12</v>
      </c>
      <c r="D1366" s="2118" t="n">
        <v>3</v>
      </c>
      <c r="E1366" s="2118" t="n">
        <v>1</v>
      </c>
      <c r="G1366" s="1798" t="inlineStr">
        <is>
          <t>IMPERMEABILIZAÇÃO</t>
        </is>
      </c>
      <c r="H1366" s="1783" t="inlineStr">
        <is>
          <t>SERVIÇO</t>
        </is>
      </c>
      <c r="I1366" s="1750" t="inlineStr">
        <is>
          <t>13.012.003.001</t>
        </is>
      </c>
      <c r="J1366" s="1785" t="inlineStr">
        <is>
          <t>Sistema 2.5.3: Membrana de polímero acrílico com cimento e fibras sintéticas | Revestimento bicomponente à base de polímeros acrílicos com adição de cimento e fibras sintéticas (3,0 kg/m²) + Tela de poliéster nos pontos críticos</t>
        </is>
      </c>
      <c r="K1366" s="1786" t="inlineStr">
        <is>
          <t>m2</t>
        </is>
      </c>
      <c r="L1366" s="1787" t="n">
        <v>93.61</v>
      </c>
      <c r="M1366" s="1787" t="n">
        <v>34.05846666666666</v>
      </c>
      <c r="N1366" s="1754" t="n">
        <v>3188.21306466667</v>
      </c>
      <c r="O1366" s="1788" t="inlineStr">
        <is>
          <t>Banheiro + área de serviço + casa de máquinas</t>
        </is>
      </c>
      <c r="P1366" s="1721" t="inlineStr">
        <is>
          <t>Pendente</t>
        </is>
      </c>
    </row>
    <row r="1367" hidden="1" outlineLevel="3" ht="13.5" customHeight="1">
      <c r="A1367" s="2117" t="n">
        <v>0</v>
      </c>
      <c r="B1367" s="2117" t="n">
        <v>13</v>
      </c>
      <c r="C1367" s="2117" t="n">
        <v>12</v>
      </c>
      <c r="D1367" s="2118" t="n">
        <v>3</v>
      </c>
      <c r="E1367" s="2118" t="n">
        <v>2</v>
      </c>
      <c r="G1367" s="1798" t="inlineStr">
        <is>
          <t>IMPERMEABILIZAÇÃO</t>
        </is>
      </c>
      <c r="H1367" s="1783" t="inlineStr">
        <is>
          <t>SERVIÇO</t>
        </is>
      </c>
      <c r="I1367" s="1750" t="inlineStr">
        <is>
          <t>13.012.003.002</t>
        </is>
      </c>
      <c r="J1367" s="1785" t="inlineStr">
        <is>
          <t>Sistema 7.1.6:Argamassa impermeabilizante sem cimento - MK-FEN 30 (F) | Argamassa não cimentícia com agentes incorporadores de ar (8,0 kg/m²) + Tela de poliéster nos pontos críticos</t>
        </is>
      </c>
      <c r="K1367" s="1786" t="inlineStr">
        <is>
          <t>m2</t>
        </is>
      </c>
      <c r="L1367" s="1787" t="n">
        <v>4.140000000000001</v>
      </c>
      <c r="M1367" s="1787" t="n">
        <v>148.8918</v>
      </c>
      <c r="N1367" s="1754" t="n">
        <v>616.412052</v>
      </c>
      <c r="O1367" s="1788" t="inlineStr">
        <is>
          <t>área técnica + sauna</t>
        </is>
      </c>
      <c r="P1367" s="1721" t="inlineStr">
        <is>
          <t>Pendente</t>
        </is>
      </c>
    </row>
    <row r="1368" hidden="1" outlineLevel="3" ht="13.5" customHeight="1">
      <c r="A1368" s="2117" t="n">
        <v>0</v>
      </c>
      <c r="B1368" s="2117" t="n">
        <v>13</v>
      </c>
      <c r="C1368" s="2117" t="n">
        <v>12</v>
      </c>
      <c r="D1368" s="2118" t="n">
        <v>3</v>
      </c>
      <c r="E1368" s="2118" t="n">
        <v>3</v>
      </c>
      <c r="G1368" s="1798" t="inlineStr">
        <is>
          <t>IMPERMEABILIZAÇÃO</t>
        </is>
      </c>
      <c r="H1368" s="1783" t="inlineStr">
        <is>
          <t>SERVIÇO</t>
        </is>
      </c>
      <c r="I1368" s="1750" t="inlineStr">
        <is>
          <t>13.012.003.003</t>
        </is>
      </c>
      <c r="J1368" s="1785" t="inlineStr">
        <is>
          <t>Sistema 4.2.4:Primer asfáltico à base d'água (0,4 L/m²) + Asfalto oxidado modificado (2,5 kg/m²) + Manta asfáltica AA 4mm Tipo III Classe B + Banho de asfalto oxidado modificado (2,5 kg/m²)</t>
        </is>
      </c>
      <c r="K1368" s="1786" t="inlineStr">
        <is>
          <t>m2</t>
        </is>
      </c>
      <c r="L1368" s="1787" t="n">
        <v>12.89</v>
      </c>
      <c r="M1368" s="1787" t="n">
        <v>133.1805</v>
      </c>
      <c r="N1368" s="1754" t="n">
        <v>1716.696645</v>
      </c>
      <c r="O1368" s="1788" t="inlineStr">
        <is>
          <t>Sacada + circulação lazer + espaço crossfit</t>
        </is>
      </c>
      <c r="P1368" s="1721" t="inlineStr">
        <is>
          <t>Pendente</t>
        </is>
      </c>
    </row>
    <row r="1369" hidden="1" outlineLevel="2" ht="13.5" customHeight="1">
      <c r="A1369" s="2117" t="n">
        <v>0</v>
      </c>
      <c r="B1369" s="2117" t="n">
        <v>13</v>
      </c>
      <c r="C1369" s="2117" t="n">
        <v>12</v>
      </c>
      <c r="D1369" s="2118" t="n">
        <v>4</v>
      </c>
      <c r="E1369" s="2118" t="n">
        <v>0</v>
      </c>
      <c r="G1369" s="1797" t="n"/>
      <c r="H1369" s="1777" t="inlineStr">
        <is>
          <t>SUBETAPA</t>
        </is>
      </c>
      <c r="I1369" s="1742" t="inlineStr">
        <is>
          <t>13.012.004</t>
        </is>
      </c>
      <c r="J1369" s="1779" t="inlineStr">
        <is>
          <t>Impermeabilização de esquadrias</t>
        </is>
      </c>
      <c r="K1369" s="1780" t="n"/>
      <c r="L1369" s="1781" t="n"/>
      <c r="M1369" s="1781" t="n"/>
      <c r="N1369" s="1746" t="n">
        <v>1723.35841333333</v>
      </c>
      <c r="O1369" s="1782" t="n"/>
      <c r="P1369" s="1720" t="n"/>
    </row>
    <row r="1370" hidden="1" outlineLevel="3" ht="13.5" customHeight="1">
      <c r="A1370" s="2117" t="n">
        <v>0</v>
      </c>
      <c r="B1370" s="2117" t="n">
        <v>13</v>
      </c>
      <c r="C1370" s="2117" t="n">
        <v>12</v>
      </c>
      <c r="D1370" s="2118" t="n">
        <v>4</v>
      </c>
      <c r="E1370" s="2118" t="n">
        <v>1</v>
      </c>
      <c r="G1370" s="1798" t="inlineStr">
        <is>
          <t>IMPERMEABILIZAÇÃO</t>
        </is>
      </c>
      <c r="H1370" s="1783" t="inlineStr">
        <is>
          <t>SERVIÇO</t>
        </is>
      </c>
      <c r="I1370" s="1750" t="inlineStr">
        <is>
          <t>13.012.004.001</t>
        </is>
      </c>
      <c r="J1370" s="1785" t="inlineStr">
        <is>
          <t>Sistema 2.5.3: Membrana de polímero acrílico com cimento e fibras sintéticas | Revestimento bicomponente à base de polímeros acrílicos com adição de cimento e fibras sintéticas (3,0 kg/m²) + Tela de poliéster nos pontos críticos</t>
        </is>
      </c>
      <c r="K1370" s="1786" t="inlineStr">
        <is>
          <t>m2</t>
        </is>
      </c>
      <c r="L1370" s="1787" t="n">
        <v>50.6</v>
      </c>
      <c r="M1370" s="1787" t="n">
        <v>34.05846666666666</v>
      </c>
      <c r="N1370" s="1754" t="n">
        <v>1723.35841333333</v>
      </c>
      <c r="O1370" s="1788" t="n"/>
      <c r="P1370" s="1721" t="inlineStr">
        <is>
          <t>Pendente</t>
        </is>
      </c>
    </row>
    <row r="1371" hidden="1" outlineLevel="2" ht="13.5" customHeight="1">
      <c r="A1371" s="2117" t="n">
        <v>0</v>
      </c>
      <c r="B1371" s="2117" t="n">
        <v>13</v>
      </c>
      <c r="C1371" s="2117" t="n">
        <v>12</v>
      </c>
      <c r="D1371" s="2118" t="n">
        <v>5</v>
      </c>
      <c r="E1371" s="2118" t="n">
        <v>0</v>
      </c>
      <c r="G1371" s="1797" t="n"/>
      <c r="H1371" s="1777" t="inlineStr">
        <is>
          <t>SUBETAPA</t>
        </is>
      </c>
      <c r="I1371" s="1742" t="inlineStr">
        <is>
          <t>13.012.005</t>
        </is>
      </c>
      <c r="J1371" s="1779" t="inlineStr">
        <is>
          <t>Impermeabilização de ralos</t>
        </is>
      </c>
      <c r="K1371" s="1780" t="n"/>
      <c r="L1371" s="1781" t="n"/>
      <c r="M1371" s="1781" t="n"/>
      <c r="N1371" s="1746" t="n">
        <v>122.64021</v>
      </c>
      <c r="O1371" s="1782" t="n"/>
      <c r="P1371" s="1720" t="n"/>
    </row>
    <row r="1372" hidden="1" outlineLevel="3" ht="13.5" customHeight="1">
      <c r="A1372" s="2117" t="n">
        <v>0</v>
      </c>
      <c r="B1372" s="2117" t="n">
        <v>13</v>
      </c>
      <c r="C1372" s="2117" t="n">
        <v>12</v>
      </c>
      <c r="D1372" s="2118" t="n">
        <v>5</v>
      </c>
      <c r="E1372" s="2118" t="n">
        <v>1</v>
      </c>
      <c r="G1372" s="1798" t="inlineStr">
        <is>
          <t>IMPERMEABILIZAÇÃO</t>
        </is>
      </c>
      <c r="H1372" s="1783" t="inlineStr">
        <is>
          <t>SERVIÇO</t>
        </is>
      </c>
      <c r="I1372" s="1750" t="inlineStr">
        <is>
          <t>13.012.005.001</t>
        </is>
      </c>
      <c r="J1372" s="1785" t="inlineStr">
        <is>
          <t>Tratamento De Ralo Ou Ponto Emergente Com Argamassa Polimérica Reforçado Com Tela De Poliéster</t>
        </is>
      </c>
      <c r="K1372" s="1786" t="inlineStr">
        <is>
          <t>un</t>
        </is>
      </c>
      <c r="L1372" s="1787" t="n">
        <v>14</v>
      </c>
      <c r="M1372" s="1787" t="n">
        <v>8.760015000000001</v>
      </c>
      <c r="N1372" s="1754" t="n">
        <v>122.64021</v>
      </c>
      <c r="O1372" s="1788" t="n"/>
      <c r="P1372" s="1721" t="inlineStr">
        <is>
          <t>Pendente</t>
        </is>
      </c>
    </row>
    <row r="1373" hidden="1" outlineLevel="2" ht="13.5" customHeight="1">
      <c r="A1373" s="2117" t="n">
        <v>0</v>
      </c>
      <c r="B1373" s="2117" t="n">
        <v>13</v>
      </c>
      <c r="C1373" s="2117" t="n">
        <v>12</v>
      </c>
      <c r="D1373" s="2118" t="n">
        <v>6</v>
      </c>
      <c r="E1373" s="2118" t="n">
        <v>0</v>
      </c>
      <c r="G1373" s="1797" t="n"/>
      <c r="H1373" s="1777" t="inlineStr">
        <is>
          <t>SUBETAPA</t>
        </is>
      </c>
      <c r="I1373" s="1742" t="inlineStr">
        <is>
          <t>13.012.006</t>
        </is>
      </c>
      <c r="J1373" s="1779" t="inlineStr">
        <is>
          <t>Mão de Obra</t>
        </is>
      </c>
      <c r="K1373" s="1780" t="n"/>
      <c r="L1373" s="1781" t="n"/>
      <c r="M1373" s="1781" t="n"/>
      <c r="N1373" s="1746" t="n">
        <v>11364.29</v>
      </c>
      <c r="O1373" s="1782" t="n"/>
      <c r="P1373" s="1720" t="n"/>
    </row>
    <row r="1374" hidden="1" outlineLevel="3" ht="13.5" customHeight="1">
      <c r="A1374" s="2117" t="n">
        <v>0</v>
      </c>
      <c r="B1374" s="2117" t="n">
        <v>13</v>
      </c>
      <c r="C1374" s="2117" t="n">
        <v>12</v>
      </c>
      <c r="D1374" s="2118" t="n">
        <v>6</v>
      </c>
      <c r="E1374" s="2118" t="n">
        <v>1</v>
      </c>
      <c r="G1374" s="1798" t="inlineStr">
        <is>
          <t>IMPERMEABILIZAÇÃO</t>
        </is>
      </c>
      <c r="H1374" s="1783" t="inlineStr">
        <is>
          <t>SERVIÇO</t>
        </is>
      </c>
      <c r="I1374" s="1750" t="inlineStr">
        <is>
          <t>13.012.006.001</t>
        </is>
      </c>
      <c r="J1374" s="1785" t="inlineStr">
        <is>
          <t xml:space="preserve">Mão de obra para regularização de superfície </t>
        </is>
      </c>
      <c r="K1374" s="1786" t="inlineStr">
        <is>
          <t>m2</t>
        </is>
      </c>
      <c r="L1374" s="1787" t="n">
        <v>110.53</v>
      </c>
      <c r="M1374" s="1787" t="n">
        <v>20</v>
      </c>
      <c r="N1374" s="1754" t="n">
        <v>2210.6</v>
      </c>
      <c r="O1374" s="1788" t="n"/>
      <c r="P1374" s="1721" t="inlineStr">
        <is>
          <t>Pendente</t>
        </is>
      </c>
    </row>
    <row r="1375" hidden="1" outlineLevel="3" ht="13.5" customHeight="1">
      <c r="A1375" s="2117" t="n">
        <v>0</v>
      </c>
      <c r="B1375" s="2117" t="n">
        <v>13</v>
      </c>
      <c r="C1375" s="2117" t="n">
        <v>12</v>
      </c>
      <c r="D1375" s="2118" t="n">
        <v>6</v>
      </c>
      <c r="E1375" s="2118" t="n">
        <v>2</v>
      </c>
      <c r="G1375" s="1798" t="inlineStr">
        <is>
          <t>IMPERMEABILIZAÇÃO</t>
        </is>
      </c>
      <c r="H1375" s="1783" t="inlineStr">
        <is>
          <t>SERVIÇO</t>
        </is>
      </c>
      <c r="I1375" s="1750" t="inlineStr">
        <is>
          <t>13.012.006.002</t>
        </is>
      </c>
      <c r="J1375" s="1785" t="inlineStr">
        <is>
          <t>Mão de obra para proteção mecânica</t>
        </is>
      </c>
      <c r="K1375" s="1786" t="inlineStr">
        <is>
          <t>m2</t>
        </is>
      </c>
      <c r="L1375" s="1787" t="n">
        <v>11.08</v>
      </c>
      <c r="M1375" s="1787" t="n">
        <v>35</v>
      </c>
      <c r="N1375" s="1754" t="n">
        <v>387.8</v>
      </c>
      <c r="O1375" s="1788" t="n"/>
      <c r="P1375" s="1721" t="inlineStr">
        <is>
          <t>Pendente</t>
        </is>
      </c>
    </row>
    <row r="1376" hidden="1" outlineLevel="3" ht="13.5" customHeight="1">
      <c r="A1376" s="2117" t="n">
        <v>0</v>
      </c>
      <c r="B1376" s="2117" t="n">
        <v>13</v>
      </c>
      <c r="C1376" s="2117" t="n">
        <v>12</v>
      </c>
      <c r="D1376" s="2118" t="n">
        <v>6</v>
      </c>
      <c r="E1376" s="2118" t="n">
        <v>3</v>
      </c>
      <c r="G1376" s="1798" t="inlineStr">
        <is>
          <t>IMPERMEABILIZAÇÃO</t>
        </is>
      </c>
      <c r="H1376" s="1783" t="inlineStr">
        <is>
          <t>SERVIÇO</t>
        </is>
      </c>
      <c r="I1376" s="1750" t="inlineStr">
        <is>
          <t>13.012.006.003</t>
        </is>
      </c>
      <c r="J1376" s="1785" t="inlineStr">
        <is>
          <t>Mão de obra impermeabilização sistema 2.5.3</t>
        </is>
      </c>
      <c r="K1376" s="1786" t="inlineStr">
        <is>
          <t>m2</t>
        </is>
      </c>
      <c r="L1376" s="1787" t="n">
        <v>144.21</v>
      </c>
      <c r="M1376" s="1787" t="n">
        <v>32</v>
      </c>
      <c r="N1376" s="1754" t="n">
        <v>4614.72</v>
      </c>
      <c r="O1376" s="1788" t="n"/>
      <c r="P1376" s="1721" t="inlineStr">
        <is>
          <t>Pendente</t>
        </is>
      </c>
    </row>
    <row r="1377" hidden="1" outlineLevel="3" ht="13.5" customHeight="1">
      <c r="A1377" s="2117" t="n">
        <v>0</v>
      </c>
      <c r="B1377" s="2117" t="n">
        <v>13</v>
      </c>
      <c r="C1377" s="2117" t="n">
        <v>12</v>
      </c>
      <c r="D1377" s="2118" t="n">
        <v>6</v>
      </c>
      <c r="E1377" s="2118" t="n">
        <v>4</v>
      </c>
      <c r="G1377" s="1798" t="inlineStr">
        <is>
          <t>IMPERMEABILIZAÇÃO</t>
        </is>
      </c>
      <c r="H1377" s="1783" t="inlineStr">
        <is>
          <t>SERVIÇO</t>
        </is>
      </c>
      <c r="I1377" s="1750" t="inlineStr">
        <is>
          <t>13.012.006.004</t>
        </is>
      </c>
      <c r="J1377" s="1785" t="inlineStr">
        <is>
          <t>Mão de obra impermeabilização sistema 4.2.4</t>
        </is>
      </c>
      <c r="K1377" s="1786" t="inlineStr">
        <is>
          <t>m2</t>
        </is>
      </c>
      <c r="L1377" s="1787" t="n">
        <v>12.89</v>
      </c>
      <c r="M1377" s="1787" t="n">
        <v>45</v>
      </c>
      <c r="N1377" s="1754" t="n">
        <v>580.05</v>
      </c>
      <c r="O1377" s="1788" t="n"/>
      <c r="P1377" s="1721" t="inlineStr">
        <is>
          <t>Pendente</t>
        </is>
      </c>
    </row>
    <row r="1378" hidden="1" outlineLevel="3" ht="13.5" customHeight="1">
      <c r="A1378" s="2117" t="n">
        <v>0</v>
      </c>
      <c r="B1378" s="2117" t="n">
        <v>13</v>
      </c>
      <c r="C1378" s="2117" t="n">
        <v>12</v>
      </c>
      <c r="D1378" s="2118" t="n">
        <v>6</v>
      </c>
      <c r="E1378" s="2118" t="n">
        <v>5</v>
      </c>
      <c r="G1378" s="1798" t="inlineStr">
        <is>
          <t>IMPERMEABILIZAÇÃO</t>
        </is>
      </c>
      <c r="H1378" s="1783" t="inlineStr">
        <is>
          <t>SERVIÇO</t>
        </is>
      </c>
      <c r="I1378" s="1750" t="inlineStr">
        <is>
          <t>13.012.006.005</t>
        </is>
      </c>
      <c r="J1378" s="1785" t="inlineStr">
        <is>
          <t>Mão de obra impermeabilização sistema 7.1.6</t>
        </is>
      </c>
      <c r="K1378" s="1786" t="inlineStr">
        <is>
          <t>m2</t>
        </is>
      </c>
      <c r="L1378" s="1787" t="n">
        <v>68.36</v>
      </c>
      <c r="M1378" s="1787" t="n">
        <v>42</v>
      </c>
      <c r="N1378" s="1754" t="n">
        <v>2871.12</v>
      </c>
      <c r="O1378" s="1788" t="n"/>
      <c r="P1378" s="1721" t="inlineStr">
        <is>
          <t>Pendente</t>
        </is>
      </c>
    </row>
    <row r="1379" hidden="1" outlineLevel="3" ht="13.5" customHeight="1">
      <c r="A1379" s="2117" t="n">
        <v>0</v>
      </c>
      <c r="B1379" s="2117" t="n">
        <v>13</v>
      </c>
      <c r="C1379" s="2117" t="n">
        <v>12</v>
      </c>
      <c r="D1379" s="2118" t="n">
        <v>6</v>
      </c>
      <c r="E1379" s="2118" t="n">
        <v>6</v>
      </c>
      <c r="G1379" s="1798" t="inlineStr">
        <is>
          <t>IMPERMEABILIZAÇÃO</t>
        </is>
      </c>
      <c r="H1379" s="1783" t="inlineStr">
        <is>
          <t>SERVIÇO</t>
        </is>
      </c>
      <c r="I1379" s="1750" t="inlineStr">
        <is>
          <t>13.012.006.006</t>
        </is>
      </c>
      <c r="J1379" s="1751" t="inlineStr">
        <is>
          <t>Mão de obra tratamento de ralo com manta de poliéster</t>
        </is>
      </c>
      <c r="K1379" s="1786" t="inlineStr">
        <is>
          <t>un</t>
        </is>
      </c>
      <c r="L1379" s="1787" t="n">
        <v>14</v>
      </c>
      <c r="M1379" s="1787" t="n">
        <v>50</v>
      </c>
      <c r="N1379" s="1754" t="n">
        <v>700</v>
      </c>
      <c r="O1379" s="1788" t="n"/>
      <c r="P1379" s="1721" t="inlineStr">
        <is>
          <t>Pendente</t>
        </is>
      </c>
    </row>
    <row r="1380" hidden="1" outlineLevel="1" ht="13.5" customHeight="1">
      <c r="A1380" s="2117" t="n">
        <v>0</v>
      </c>
      <c r="B1380" s="2117" t="n">
        <v>13</v>
      </c>
      <c r="C1380" s="2117" t="n">
        <v>13</v>
      </c>
      <c r="D1380" s="2118" t="n">
        <v>0</v>
      </c>
      <c r="E1380" s="2118" t="n">
        <v>6</v>
      </c>
      <c r="G1380" s="1796" t="n"/>
      <c r="H1380" s="1771" t="inlineStr">
        <is>
          <t>ETAPA</t>
        </is>
      </c>
      <c r="I1380" s="1735" t="inlineStr">
        <is>
          <t>13.013</t>
        </is>
      </c>
      <c r="J1380" s="1773" t="inlineStr">
        <is>
          <t>IMPERMEABILIZAÇÃO E TRATAMENTOS - Duplex Superior</t>
        </is>
      </c>
      <c r="K1380" s="1774" t="n"/>
      <c r="L1380" s="1775" t="n"/>
      <c r="M1380" s="1775" t="n"/>
      <c r="N1380" s="1739" t="n">
        <v>36625.2022433333</v>
      </c>
      <c r="O1380" s="1776" t="n">
        <v>2.18662231813124</v>
      </c>
      <c r="P1380" s="1719" t="n"/>
    </row>
    <row r="1381" hidden="1" outlineLevel="2" ht="13.5" customHeight="1">
      <c r="A1381" s="2117" t="n">
        <v>0</v>
      </c>
      <c r="B1381" s="2117" t="n">
        <v>13</v>
      </c>
      <c r="C1381" s="2117" t="n">
        <v>13</v>
      </c>
      <c r="D1381" s="2118" t="n">
        <v>1</v>
      </c>
      <c r="E1381" s="2118" t="n">
        <v>0</v>
      </c>
      <c r="G1381" s="1797" t="n"/>
      <c r="H1381" s="1777" t="inlineStr">
        <is>
          <t>SUBETAPA</t>
        </is>
      </c>
      <c r="I1381" s="1742" t="inlineStr">
        <is>
          <t>13.013.001</t>
        </is>
      </c>
      <c r="J1381" s="1779" t="inlineStr">
        <is>
          <t>Regularização e proteção mecânica</t>
        </is>
      </c>
      <c r="K1381" s="1780" t="n"/>
      <c r="L1381" s="1781" t="n"/>
      <c r="M1381" s="1781" t="n"/>
      <c r="N1381" s="1746" t="n">
        <v>3218.144772</v>
      </c>
      <c r="O1381" s="1782" t="n">
        <v>0.192131831373394</v>
      </c>
      <c r="P1381" s="1720" t="n"/>
    </row>
    <row r="1382" hidden="1" outlineLevel="3" ht="13.5" customHeight="1">
      <c r="A1382" s="2117" t="n">
        <v>0</v>
      </c>
      <c r="B1382" s="2117" t="n">
        <v>13</v>
      </c>
      <c r="C1382" s="2117" t="n">
        <v>13</v>
      </c>
      <c r="D1382" s="2118" t="n">
        <v>1</v>
      </c>
      <c r="E1382" s="2118" t="n">
        <v>1</v>
      </c>
      <c r="G1382" s="1798" t="inlineStr">
        <is>
          <t>IMPERMEABILIZAÇÃO</t>
        </is>
      </c>
      <c r="H1382" s="1783" t="inlineStr">
        <is>
          <t>SERVIÇO</t>
        </is>
      </c>
      <c r="I1382" s="1750" t="inlineStr">
        <is>
          <t>13.013.001.001</t>
        </is>
      </c>
      <c r="J1382" s="1785" t="inlineStr">
        <is>
          <t xml:space="preserve">Regularização de superfície para impermeabilização </t>
        </is>
      </c>
      <c r="K1382" s="1786" t="inlineStr">
        <is>
          <t>m2</t>
        </is>
      </c>
      <c r="L1382" s="1787" t="n">
        <v>113.23</v>
      </c>
      <c r="M1382" s="1787" t="n">
        <v>7.065899999999999</v>
      </c>
      <c r="N1382" s="1754" t="n">
        <v>800.071857</v>
      </c>
      <c r="O1382" s="1788" t="inlineStr">
        <is>
          <t>Toda área de piso que recebe impermeabilização</t>
        </is>
      </c>
      <c r="P1382" s="1721" t="inlineStr">
        <is>
          <t>Pendente</t>
        </is>
      </c>
    </row>
    <row r="1383" hidden="1" outlineLevel="3" ht="13.5" customHeight="1">
      <c r="A1383" s="2117" t="n">
        <v>0</v>
      </c>
      <c r="B1383" s="2117" t="n">
        <v>13</v>
      </c>
      <c r="C1383" s="2117" t="n">
        <v>13</v>
      </c>
      <c r="D1383" s="2118" t="n">
        <v>1</v>
      </c>
      <c r="E1383" s="2118" t="n">
        <v>2</v>
      </c>
      <c r="G1383" s="1798" t="inlineStr">
        <is>
          <t>IMPERMEABILIZAÇÃO</t>
        </is>
      </c>
      <c r="H1383" s="1783" t="inlineStr">
        <is>
          <t>SERVIÇO</t>
        </is>
      </c>
      <c r="I1383" s="1750" t="inlineStr">
        <is>
          <t>13.013.001.002</t>
        </is>
      </c>
      <c r="J1383" s="1785" t="inlineStr">
        <is>
          <t>Proteção mecânica de superfície com argamassa de cimento e areia, traço 1:3 E=5cm</t>
        </is>
      </c>
      <c r="K1383" s="1786" t="inlineStr">
        <is>
          <t>m2</t>
        </is>
      </c>
      <c r="L1383" s="1787" t="n">
        <v>48.99</v>
      </c>
      <c r="M1383" s="1787" t="n">
        <v>49.3585</v>
      </c>
      <c r="N1383" s="1754" t="n">
        <v>2418.072915</v>
      </c>
      <c r="O1383" s="1788" t="inlineStr">
        <is>
          <t>Toda área de piso que recebe impermeabilização de manta asfáltica</t>
        </is>
      </c>
      <c r="P1383" s="1721" t="inlineStr">
        <is>
          <t>Pendente</t>
        </is>
      </c>
    </row>
    <row r="1384" hidden="1" outlineLevel="2" ht="13.5" customHeight="1">
      <c r="A1384" s="2117" t="n">
        <v>0</v>
      </c>
      <c r="B1384" s="2117" t="n">
        <v>13</v>
      </c>
      <c r="C1384" s="2117" t="n">
        <v>13</v>
      </c>
      <c r="D1384" s="2118" t="n">
        <v>2</v>
      </c>
      <c r="E1384" s="2118" t="n">
        <v>0</v>
      </c>
      <c r="G1384" s="1797" t="n"/>
      <c r="H1384" s="1777" t="inlineStr">
        <is>
          <t>SUBETAPA</t>
        </is>
      </c>
      <c r="I1384" s="1742" t="inlineStr">
        <is>
          <t>13.013.002</t>
        </is>
      </c>
      <c r="J1384" s="1779" t="inlineStr">
        <is>
          <t>Impermeabilização de lajes, cobertura, rufos, moldura da fachada e terraços</t>
        </is>
      </c>
      <c r="K1384" s="1780" t="n"/>
      <c r="L1384" s="1781" t="n"/>
      <c r="M1384" s="1781" t="n"/>
      <c r="N1384" s="1746" t="n">
        <v>13811.860182</v>
      </c>
      <c r="O1384" s="1782" t="n"/>
      <c r="P1384" s="1720" t="n"/>
    </row>
    <row r="1385" hidden="1" outlineLevel="3" ht="13.5" customHeight="1">
      <c r="A1385" s="2117" t="n">
        <v>0</v>
      </c>
      <c r="B1385" s="2117" t="n">
        <v>13</v>
      </c>
      <c r="C1385" s="2117" t="n">
        <v>13</v>
      </c>
      <c r="D1385" s="2118" t="n">
        <v>2</v>
      </c>
      <c r="E1385" s="2118" t="n">
        <v>1</v>
      </c>
      <c r="G1385" s="1798" t="inlineStr">
        <is>
          <t>IMPERMEABILIZAÇÃO</t>
        </is>
      </c>
      <c r="H1385" s="1783" t="inlineStr">
        <is>
          <t>SERVIÇO</t>
        </is>
      </c>
      <c r="I1385" s="1750" t="inlineStr">
        <is>
          <t>13.013.002.001</t>
        </is>
      </c>
      <c r="J1385" s="1785" t="inlineStr">
        <is>
          <t>Sistema 4.2.4:Primer asfáltico à base d'água (0,4 L/m²) + Asfalto oxidado modificado (2,5 kg/m²) + Manta asfáltica AA 4mm Tipo III Classe B + Banho de asfalto oxidado modificado (2,5 kg/m²)</t>
        </is>
      </c>
      <c r="K1385" s="1786" t="inlineStr">
        <is>
          <t>m2</t>
        </is>
      </c>
      <c r="L1385" s="1787" t="n">
        <v>48.1</v>
      </c>
      <c r="M1385" s="1787" t="n">
        <v>133.1805</v>
      </c>
      <c r="N1385" s="1754" t="n">
        <v>6405.98205</v>
      </c>
      <c r="O1385" s="1788" t="inlineStr">
        <is>
          <t>Cobertura + terraço</t>
        </is>
      </c>
      <c r="P1385" s="1721" t="inlineStr">
        <is>
          <t>Pendente</t>
        </is>
      </c>
    </row>
    <row r="1386" hidden="1" outlineLevel="3" ht="13.5" customHeight="1">
      <c r="A1386" s="2117" t="n">
        <v>0</v>
      </c>
      <c r="B1386" s="2117" t="n">
        <v>13</v>
      </c>
      <c r="C1386" s="2117" t="n">
        <v>13</v>
      </c>
      <c r="D1386" s="2118" t="n">
        <v>2</v>
      </c>
      <c r="E1386" s="2118" t="n">
        <v>2</v>
      </c>
      <c r="G1386" s="1798" t="inlineStr">
        <is>
          <t>IMPERMEABILIZAÇÃO</t>
        </is>
      </c>
      <c r="H1386" s="1783" t="inlineStr">
        <is>
          <t>SERVIÇO</t>
        </is>
      </c>
      <c r="I1386" s="1750" t="inlineStr">
        <is>
          <t>13.013.002.002</t>
        </is>
      </c>
      <c r="J1386" s="1785" t="inlineStr">
        <is>
          <t>Sistema 7.1.6:Argamassa impermeabilizante sem cimento - MK-FEN 30 (F) | Argamassa não cimentícia com agentes incorporadores de ar (8,0 kg/m²) + Tela de poliéster nos pontos críticos</t>
        </is>
      </c>
      <c r="K1386" s="1786" t="inlineStr">
        <is>
          <t>m2</t>
        </is>
      </c>
      <c r="L1386" s="1787" t="n">
        <v>49.74</v>
      </c>
      <c r="M1386" s="1787" t="n">
        <v>148.8918</v>
      </c>
      <c r="N1386" s="1754" t="n">
        <v>7405.878132</v>
      </c>
      <c r="O1386" s="1788" t="inlineStr">
        <is>
          <t>Moldura de fachada + rufos</t>
        </is>
      </c>
      <c r="P1386" s="1721" t="inlineStr">
        <is>
          <t>Pendente</t>
        </is>
      </c>
    </row>
    <row r="1387" hidden="1" outlineLevel="2" ht="13.5" customHeight="1">
      <c r="A1387" s="2117" t="n">
        <v>0</v>
      </c>
      <c r="B1387" s="2117" t="n">
        <v>13</v>
      </c>
      <c r="C1387" s="2117" t="n">
        <v>13</v>
      </c>
      <c r="D1387" s="2118" t="n">
        <v>3</v>
      </c>
      <c r="E1387" s="2118" t="n">
        <v>0</v>
      </c>
      <c r="G1387" s="1797" t="n"/>
      <c r="H1387" s="1777" t="inlineStr">
        <is>
          <t>SUBETAPA</t>
        </is>
      </c>
      <c r="I1387" s="1742" t="inlineStr">
        <is>
          <t>13.013.003</t>
        </is>
      </c>
      <c r="J1387" s="1779" t="inlineStr">
        <is>
          <t>Impermeabilização de piscinas e espelhos d´água</t>
        </is>
      </c>
      <c r="K1387" s="1780" t="n"/>
      <c r="L1387" s="1781" t="n"/>
      <c r="M1387" s="1781" t="n"/>
      <c r="N1387" s="1746" t="n">
        <v>3346.825965</v>
      </c>
      <c r="O1387" s="1782" t="n"/>
      <c r="P1387" s="1720" t="n"/>
    </row>
    <row r="1388" hidden="1" outlineLevel="3" ht="13.5" customHeight="1">
      <c r="A1388" s="2117" t="n">
        <v>0</v>
      </c>
      <c r="B1388" s="2117" t="n">
        <v>13</v>
      </c>
      <c r="C1388" s="2117" t="n">
        <v>13</v>
      </c>
      <c r="D1388" s="2118" t="n">
        <v>3</v>
      </c>
      <c r="E1388" s="2118" t="n">
        <v>1</v>
      </c>
      <c r="G1388" s="1798" t="inlineStr">
        <is>
          <t>IMPERMEABILIZAÇÃO</t>
        </is>
      </c>
      <c r="H1388" s="1783" t="inlineStr">
        <is>
          <t>SERVIÇO</t>
        </is>
      </c>
      <c r="I1388" s="1750" t="inlineStr">
        <is>
          <t>13.013.003.001</t>
        </is>
      </c>
      <c r="J1388" s="1785" t="inlineStr">
        <is>
          <t>Sistema 4.2.4:Primer asfáltico à base d'água (0,4 L/m²) + Asfalto oxidado modificado (2,5 kg/m²) + Manta asfáltica AA 4mm Tipo III Classe B + Banho de asfalto oxidado modificado (2,5 kg/m²)</t>
        </is>
      </c>
      <c r="K1388" s="1786" t="inlineStr">
        <is>
          <t>m2</t>
        </is>
      </c>
      <c r="L1388" s="1787" t="n">
        <v>25.13</v>
      </c>
      <c r="M1388" s="1787" t="n">
        <v>133.1805</v>
      </c>
      <c r="N1388" s="1754" t="n">
        <v>3346.825965</v>
      </c>
      <c r="O1388" s="1788" t="inlineStr">
        <is>
          <t>Piscina</t>
        </is>
      </c>
      <c r="P1388" s="1721" t="inlineStr">
        <is>
          <t>Pendente</t>
        </is>
      </c>
    </row>
    <row r="1389" hidden="1" outlineLevel="2" ht="13.5" customHeight="1">
      <c r="A1389" s="2117" t="n">
        <v>0</v>
      </c>
      <c r="B1389" s="2117" t="n">
        <v>13</v>
      </c>
      <c r="C1389" s="2117" t="n">
        <v>13</v>
      </c>
      <c r="D1389" s="2118" t="n">
        <v>4</v>
      </c>
      <c r="E1389" s="2118" t="n">
        <v>0</v>
      </c>
      <c r="G1389" s="1797" t="n"/>
      <c r="H1389" s="1777" t="inlineStr">
        <is>
          <t>SUBETAPA</t>
        </is>
      </c>
      <c r="I1389" s="1742" t="inlineStr">
        <is>
          <t>13.013.004</t>
        </is>
      </c>
      <c r="J1389" s="1779" t="inlineStr">
        <is>
          <t>Impermeabilização de banheiro, cozinha, área de serviço, área técnica, área comum, fosso do elevador e sacada</t>
        </is>
      </c>
      <c r="K1389" s="1780" t="n"/>
      <c r="L1389" s="1781" t="n"/>
      <c r="M1389" s="1781" t="n"/>
      <c r="N1389" s="1746" t="n">
        <v>2361.25691166667</v>
      </c>
      <c r="O1389" s="1782" t="n"/>
      <c r="P1389" s="1720" t="n"/>
    </row>
    <row r="1390" hidden="1" outlineLevel="3" ht="13.5" customHeight="1">
      <c r="A1390" s="2117" t="n">
        <v>0</v>
      </c>
      <c r="B1390" s="2117" t="n">
        <v>13</v>
      </c>
      <c r="C1390" s="2117" t="n">
        <v>13</v>
      </c>
      <c r="D1390" s="2118" t="n">
        <v>4</v>
      </c>
      <c r="E1390" s="2118" t="n">
        <v>1</v>
      </c>
      <c r="G1390" s="1798" t="inlineStr">
        <is>
          <t>IMPERMEABILIZAÇÃO</t>
        </is>
      </c>
      <c r="H1390" s="1783" t="inlineStr">
        <is>
          <t>SERVIÇO</t>
        </is>
      </c>
      <c r="I1390" s="1750" t="inlineStr">
        <is>
          <t>13.013.004.001</t>
        </is>
      </c>
      <c r="J1390" s="1785" t="inlineStr">
        <is>
          <t>Sistema 2.5.3: Membrana de polímero acrílico com cimento e fibras sintéticas | Revestimento bicomponente à base de polímeros acrílicos com adição de cimento e fibras sintéticas (3,0 kg/m²) + Tela de poliéster nos pontos críticos</t>
        </is>
      </c>
      <c r="K1390" s="1786" t="inlineStr">
        <is>
          <t>m2</t>
        </is>
      </c>
      <c r="L1390" s="1787" t="n">
        <v>34.66</v>
      </c>
      <c r="M1390" s="1787" t="n">
        <v>34.05846666666666</v>
      </c>
      <c r="N1390" s="1754" t="n">
        <v>1180.46645466667</v>
      </c>
      <c r="O1390" s="1788" t="inlineStr">
        <is>
          <t>Banheiro + área de serviço + casa de máquinas</t>
        </is>
      </c>
      <c r="P1390" s="1721" t="inlineStr">
        <is>
          <t>Pendente</t>
        </is>
      </c>
    </row>
    <row r="1391" hidden="1" outlineLevel="3" ht="13.5" customHeight="1">
      <c r="A1391" s="2117" t="n">
        <v>0</v>
      </c>
      <c r="B1391" s="2117" t="n">
        <v>13</v>
      </c>
      <c r="C1391" s="2117" t="n">
        <v>13</v>
      </c>
      <c r="D1391" s="2118" t="n">
        <v>4</v>
      </c>
      <c r="E1391" s="2118" t="n">
        <v>2</v>
      </c>
      <c r="G1391" s="1798" t="inlineStr">
        <is>
          <t>IMPERMEABILIZAÇÃO</t>
        </is>
      </c>
      <c r="H1391" s="1783" t="inlineStr">
        <is>
          <t>SERVIÇO</t>
        </is>
      </c>
      <c r="I1391" s="1750" t="inlineStr">
        <is>
          <t>13.013.004.002</t>
        </is>
      </c>
      <c r="J1391" s="1785" t="inlineStr">
        <is>
          <t>Sistema 7.1.6:Argamassa impermeabilizante sem cimento - MK-FEN 30 (F) | Argamassa não cimentícia com agentes incorporadores de ar (8,0 kg/m²) + Tela de poliéster nos pontos críticos</t>
        </is>
      </c>
      <c r="K1391" s="1786" t="inlineStr">
        <is>
          <t>m2</t>
        </is>
      </c>
      <c r="L1391" s="1787" t="n">
        <v>4.29</v>
      </c>
      <c r="M1391" s="1787" t="n">
        <v>148.8918</v>
      </c>
      <c r="N1391" s="1754" t="n">
        <v>638.745822</v>
      </c>
      <c r="O1391" s="1788" t="inlineStr">
        <is>
          <t>área técnica + sauna</t>
        </is>
      </c>
      <c r="P1391" s="1721" t="inlineStr">
        <is>
          <t>Pendente</t>
        </is>
      </c>
    </row>
    <row r="1392" hidden="1" outlineLevel="3" ht="13.5" customHeight="1">
      <c r="A1392" s="2117" t="n">
        <v>0</v>
      </c>
      <c r="B1392" s="2117" t="n">
        <v>13</v>
      </c>
      <c r="C1392" s="2117" t="n">
        <v>13</v>
      </c>
      <c r="D1392" s="2118" t="n">
        <v>4</v>
      </c>
      <c r="E1392" s="2118" t="n">
        <v>3</v>
      </c>
      <c r="G1392" s="1798" t="inlineStr">
        <is>
          <t>IMPERMEABILIZAÇÃO</t>
        </is>
      </c>
      <c r="H1392" s="1783" t="inlineStr">
        <is>
          <t>SERVIÇO</t>
        </is>
      </c>
      <c r="I1392" s="1750" t="inlineStr">
        <is>
          <t>13.013.004.003</t>
        </is>
      </c>
      <c r="J1392" s="1785" t="inlineStr">
        <is>
          <t>Sistema 4.2.4:Primer asfáltico à base d'água (0,4 L/m²) + Asfalto oxidado modificado (2,5 kg/m²) + Manta asfáltica AA 4mm Tipo III Classe B + Banho de asfalto oxidado modificado (2,5 kg/m²)</t>
        </is>
      </c>
      <c r="K1392" s="1786" t="inlineStr">
        <is>
          <t>m2</t>
        </is>
      </c>
      <c r="L1392" s="1787" t="n">
        <v>4.07</v>
      </c>
      <c r="M1392" s="1787" t="n">
        <v>133.1805</v>
      </c>
      <c r="N1392" s="1754" t="n">
        <v>542.044635</v>
      </c>
      <c r="O1392" s="1788" t="inlineStr">
        <is>
          <t>Sacada + circulação lazer + espaço crossfit</t>
        </is>
      </c>
      <c r="P1392" s="1721" t="inlineStr">
        <is>
          <t>Pendente</t>
        </is>
      </c>
    </row>
    <row r="1393" hidden="1" outlineLevel="2" ht="13.5" customHeight="1">
      <c r="A1393" s="2117" t="n">
        <v>0</v>
      </c>
      <c r="B1393" s="2117" t="n">
        <v>13</v>
      </c>
      <c r="C1393" s="2117" t="n">
        <v>13</v>
      </c>
      <c r="D1393" s="2118" t="n">
        <v>5</v>
      </c>
      <c r="E1393" s="2118" t="n">
        <v>0</v>
      </c>
      <c r="G1393" s="1797" t="n"/>
      <c r="H1393" s="1777" t="inlineStr">
        <is>
          <t>SUBETAPA</t>
        </is>
      </c>
      <c r="I1393" s="1742" t="inlineStr">
        <is>
          <t>13.013.005</t>
        </is>
      </c>
      <c r="J1393" s="1779" t="inlineStr">
        <is>
          <t>Impermeabilização de esquadrias</t>
        </is>
      </c>
      <c r="K1393" s="1780" t="n"/>
      <c r="L1393" s="1781" t="n"/>
      <c r="M1393" s="1781" t="n"/>
      <c r="N1393" s="1746" t="n">
        <v>1330.66429266667</v>
      </c>
      <c r="O1393" s="1782" t="n"/>
      <c r="P1393" s="1720" t="n"/>
    </row>
    <row r="1394" hidden="1" outlineLevel="3" ht="13.5" customHeight="1">
      <c r="A1394" s="2117" t="n">
        <v>0</v>
      </c>
      <c r="B1394" s="2117" t="n">
        <v>13</v>
      </c>
      <c r="C1394" s="2117" t="n">
        <v>13</v>
      </c>
      <c r="D1394" s="2118" t="n">
        <v>5</v>
      </c>
      <c r="E1394" s="2118" t="n">
        <v>1</v>
      </c>
      <c r="G1394" s="1798" t="inlineStr">
        <is>
          <t>IMPERMEABILIZAÇÃO</t>
        </is>
      </c>
      <c r="H1394" s="1783" t="inlineStr">
        <is>
          <t>SERVIÇO</t>
        </is>
      </c>
      <c r="I1394" s="1750" t="inlineStr">
        <is>
          <t>13.013.005.001</t>
        </is>
      </c>
      <c r="J1394" s="1785" t="inlineStr">
        <is>
          <t>Sistema 2.5.3: Membrana de polímero acrílico com cimento e fibras sintéticas | Revestimento bicomponente à base de polímeros acrílicos com adição de cimento e fibras sintéticas (3,0 kg/m²) + Tela de poliéster nos pontos críticos</t>
        </is>
      </c>
      <c r="K1394" s="1786" t="inlineStr">
        <is>
          <t>m2</t>
        </is>
      </c>
      <c r="L1394" s="1787" t="n">
        <v>39.07</v>
      </c>
      <c r="M1394" s="1787" t="n">
        <v>34.05846666666666</v>
      </c>
      <c r="N1394" s="1754" t="n">
        <v>1330.66429266667</v>
      </c>
      <c r="O1394" s="1788" t="n"/>
      <c r="P1394" s="1721" t="inlineStr">
        <is>
          <t>Pendente</t>
        </is>
      </c>
    </row>
    <row r="1395" hidden="1" outlineLevel="2" ht="13.5" customHeight="1">
      <c r="A1395" s="2117" t="n">
        <v>0</v>
      </c>
      <c r="B1395" s="2117" t="n">
        <v>13</v>
      </c>
      <c r="C1395" s="2117" t="n">
        <v>13</v>
      </c>
      <c r="D1395" s="2118" t="n">
        <v>6</v>
      </c>
      <c r="E1395" s="2118" t="n">
        <v>0</v>
      </c>
      <c r="G1395" s="1797" t="n"/>
      <c r="H1395" s="1777" t="inlineStr">
        <is>
          <t>SUBETAPA</t>
        </is>
      </c>
      <c r="I1395" s="1742" t="inlineStr">
        <is>
          <t>13.013.006</t>
        </is>
      </c>
      <c r="J1395" s="1779" t="inlineStr">
        <is>
          <t>Impermeabilização de ralos</t>
        </is>
      </c>
      <c r="K1395" s="1780" t="n"/>
      <c r="L1395" s="1781" t="n"/>
      <c r="M1395" s="1781" t="n"/>
      <c r="N1395" s="1746" t="n">
        <v>70.08011999999999</v>
      </c>
      <c r="O1395" s="1782" t="n"/>
      <c r="P1395" s="1720" t="n"/>
    </row>
    <row r="1396" hidden="1" outlineLevel="3" ht="13.5" customHeight="1">
      <c r="A1396" s="2117" t="n">
        <v>0</v>
      </c>
      <c r="B1396" s="2117" t="n">
        <v>13</v>
      </c>
      <c r="C1396" s="2117" t="n">
        <v>13</v>
      </c>
      <c r="D1396" s="2118" t="n">
        <v>6</v>
      </c>
      <c r="E1396" s="2118" t="n">
        <v>1</v>
      </c>
      <c r="G1396" s="1798" t="inlineStr">
        <is>
          <t>IMPERMEABILIZAÇÃO</t>
        </is>
      </c>
      <c r="H1396" s="1783" t="inlineStr">
        <is>
          <t>SERVIÇO</t>
        </is>
      </c>
      <c r="I1396" s="1750" t="inlineStr">
        <is>
          <t>13.013.006.001</t>
        </is>
      </c>
      <c r="J1396" s="1785" t="inlineStr">
        <is>
          <t>Tratamento De Ralo Ou Ponto Emergente Com Argamassa Polimérica Reforçado Com Tela De Poliéster</t>
        </is>
      </c>
      <c r="K1396" s="1786" t="inlineStr">
        <is>
          <t>un</t>
        </is>
      </c>
      <c r="L1396" s="1787" t="n">
        <v>8</v>
      </c>
      <c r="M1396" s="1787" t="n">
        <v>8.760015000000001</v>
      </c>
      <c r="N1396" s="1754" t="n">
        <v>70.08011999999999</v>
      </c>
      <c r="O1396" s="1788" t="n"/>
      <c r="P1396" s="1721" t="inlineStr">
        <is>
          <t>Pendente</t>
        </is>
      </c>
    </row>
    <row r="1397" hidden="1" outlineLevel="2" ht="13.5" customHeight="1">
      <c r="A1397" s="2117" t="n">
        <v>0</v>
      </c>
      <c r="B1397" s="2117" t="n">
        <v>13</v>
      </c>
      <c r="C1397" s="2117" t="n">
        <v>13</v>
      </c>
      <c r="D1397" s="2118" t="n">
        <v>7</v>
      </c>
      <c r="E1397" s="2118" t="n">
        <v>0</v>
      </c>
      <c r="G1397" s="1797" t="n"/>
      <c r="H1397" s="1777" t="inlineStr">
        <is>
          <t>SUBETAPA</t>
        </is>
      </c>
      <c r="I1397" s="1742" t="inlineStr">
        <is>
          <t>13.013.007</t>
        </is>
      </c>
      <c r="J1397" s="1779" t="inlineStr">
        <is>
          <t>Mão de Obra</t>
        </is>
      </c>
      <c r="K1397" s="1780" t="n"/>
      <c r="L1397" s="1781" t="n"/>
      <c r="M1397" s="1781" t="n"/>
      <c r="N1397" s="1746" t="n">
        <v>12486.37</v>
      </c>
      <c r="O1397" s="1782" t="n"/>
      <c r="P1397" s="1720" t="n"/>
    </row>
    <row r="1398" hidden="1" outlineLevel="3" ht="13.5" customHeight="1">
      <c r="A1398" s="2117" t="n">
        <v>0</v>
      </c>
      <c r="B1398" s="2117" t="n">
        <v>13</v>
      </c>
      <c r="C1398" s="2117" t="n">
        <v>13</v>
      </c>
      <c r="D1398" s="2118" t="n">
        <v>7</v>
      </c>
      <c r="E1398" s="2118" t="n">
        <v>1</v>
      </c>
      <c r="G1398" s="1798" t="inlineStr">
        <is>
          <t>IMPERMEABILIZAÇÃO</t>
        </is>
      </c>
      <c r="H1398" s="1783" t="inlineStr">
        <is>
          <t>SERVIÇO</t>
        </is>
      </c>
      <c r="I1398" s="1750" t="inlineStr">
        <is>
          <t>13.013.007.001</t>
        </is>
      </c>
      <c r="J1398" s="1785" t="inlineStr">
        <is>
          <t xml:space="preserve">Mão de obra para regularização de superfície </t>
        </is>
      </c>
      <c r="K1398" s="1786" t="inlineStr">
        <is>
          <t>m2</t>
        </is>
      </c>
      <c r="L1398" s="1787" t="n">
        <v>113.23</v>
      </c>
      <c r="M1398" s="1787" t="n">
        <v>20</v>
      </c>
      <c r="N1398" s="1754" t="n">
        <v>2264.6</v>
      </c>
      <c r="O1398" s="1788" t="n"/>
      <c r="P1398" s="1721" t="inlineStr">
        <is>
          <t>Pendente</t>
        </is>
      </c>
    </row>
    <row r="1399" hidden="1" outlineLevel="3" ht="13.5" customHeight="1">
      <c r="A1399" s="2117" t="n">
        <v>0</v>
      </c>
      <c r="B1399" s="2117" t="n">
        <v>13</v>
      </c>
      <c r="C1399" s="2117" t="n">
        <v>13</v>
      </c>
      <c r="D1399" s="2118" t="n">
        <v>7</v>
      </c>
      <c r="E1399" s="2118" t="n">
        <v>2</v>
      </c>
      <c r="G1399" s="1798" t="inlineStr">
        <is>
          <t>IMPERMEABILIZAÇÃO</t>
        </is>
      </c>
      <c r="H1399" s="1783" t="inlineStr">
        <is>
          <t>SERVIÇO</t>
        </is>
      </c>
      <c r="I1399" s="1750" t="inlineStr">
        <is>
          <t>13.013.007.002</t>
        </is>
      </c>
      <c r="J1399" s="1785" t="inlineStr">
        <is>
          <t>Mão de obra para proteção mecânica</t>
        </is>
      </c>
      <c r="K1399" s="1786" t="inlineStr">
        <is>
          <t>m2</t>
        </is>
      </c>
      <c r="L1399" s="1787" t="n">
        <v>48.99</v>
      </c>
      <c r="M1399" s="1787" t="n">
        <v>35</v>
      </c>
      <c r="N1399" s="1754" t="n">
        <v>1714.65</v>
      </c>
      <c r="O1399" s="1788" t="n"/>
      <c r="P1399" s="1721" t="inlineStr">
        <is>
          <t>Pendente</t>
        </is>
      </c>
    </row>
    <row r="1400" hidden="1" outlineLevel="3" ht="13.5" customHeight="1">
      <c r="A1400" s="2117" t="n">
        <v>0</v>
      </c>
      <c r="B1400" s="2117" t="n">
        <v>13</v>
      </c>
      <c r="C1400" s="2117" t="n">
        <v>13</v>
      </c>
      <c r="D1400" s="2118" t="n">
        <v>7</v>
      </c>
      <c r="E1400" s="2118" t="n">
        <v>3</v>
      </c>
      <c r="G1400" s="1798" t="inlineStr">
        <is>
          <t>IMPERMEABILIZAÇÃO</t>
        </is>
      </c>
      <c r="H1400" s="1783" t="inlineStr">
        <is>
          <t>SERVIÇO</t>
        </is>
      </c>
      <c r="I1400" s="1750" t="inlineStr">
        <is>
          <t>13.013.007.003</t>
        </is>
      </c>
      <c r="J1400" s="1785" t="inlineStr">
        <is>
          <t>Mão de obra impermeabilização sistema 2.5.3</t>
        </is>
      </c>
      <c r="K1400" s="1786" t="inlineStr">
        <is>
          <t>m2</t>
        </is>
      </c>
      <c r="L1400" s="1787" t="n">
        <v>73.73</v>
      </c>
      <c r="M1400" s="1787" t="n">
        <v>32</v>
      </c>
      <c r="N1400" s="1754" t="n">
        <v>2359.36</v>
      </c>
      <c r="O1400" s="1788" t="n"/>
      <c r="P1400" s="1721" t="inlineStr">
        <is>
          <t>Pendente</t>
        </is>
      </c>
    </row>
    <row r="1401" hidden="1" outlineLevel="3" ht="13.5" customHeight="1">
      <c r="A1401" s="2117" t="n">
        <v>0</v>
      </c>
      <c r="B1401" s="2117" t="n">
        <v>13</v>
      </c>
      <c r="C1401" s="2117" t="n">
        <v>13</v>
      </c>
      <c r="D1401" s="2118" t="n">
        <v>7</v>
      </c>
      <c r="E1401" s="2118" t="n">
        <v>4</v>
      </c>
      <c r="G1401" s="1798" t="inlineStr">
        <is>
          <t>IMPERMEABILIZAÇÃO</t>
        </is>
      </c>
      <c r="H1401" s="1783" t="inlineStr">
        <is>
          <t>SERVIÇO</t>
        </is>
      </c>
      <c r="I1401" s="1750" t="inlineStr">
        <is>
          <t>13.013.007.004</t>
        </is>
      </c>
      <c r="J1401" s="1785" t="inlineStr">
        <is>
          <t>Mão de obra impermeabilização sistema 4.2.4</t>
        </is>
      </c>
      <c r="K1401" s="1786" t="inlineStr">
        <is>
          <t>m2</t>
        </is>
      </c>
      <c r="L1401" s="1787" t="n">
        <v>77.30000000000001</v>
      </c>
      <c r="M1401" s="1787" t="n">
        <v>45</v>
      </c>
      <c r="N1401" s="1754" t="n">
        <v>3478.5</v>
      </c>
      <c r="O1401" s="1788" t="n"/>
      <c r="P1401" s="1721" t="inlineStr">
        <is>
          <t>Pendente</t>
        </is>
      </c>
    </row>
    <row r="1402" hidden="1" outlineLevel="3" ht="13.5" customHeight="1">
      <c r="A1402" s="2117" t="n">
        <v>0</v>
      </c>
      <c r="B1402" s="2117" t="n">
        <v>13</v>
      </c>
      <c r="C1402" s="2117" t="n">
        <v>13</v>
      </c>
      <c r="D1402" s="2118" t="n">
        <v>7</v>
      </c>
      <c r="E1402" s="2118" t="n">
        <v>5</v>
      </c>
      <c r="G1402" s="1798" t="inlineStr">
        <is>
          <t>IMPERMEABILIZAÇÃO</t>
        </is>
      </c>
      <c r="H1402" s="1783" t="inlineStr">
        <is>
          <t>SERVIÇO</t>
        </is>
      </c>
      <c r="I1402" s="1750" t="inlineStr">
        <is>
          <t>13.013.007.005</t>
        </is>
      </c>
      <c r="J1402" s="1785" t="inlineStr">
        <is>
          <t>Mão de obra impermeabilização sistema 7.1.6</t>
        </is>
      </c>
      <c r="K1402" s="1786" t="inlineStr">
        <is>
          <t>m2</t>
        </is>
      </c>
      <c r="L1402" s="1787" t="n">
        <v>54.03</v>
      </c>
      <c r="M1402" s="1787" t="n">
        <v>42</v>
      </c>
      <c r="N1402" s="1754" t="n">
        <v>2269.26</v>
      </c>
      <c r="O1402" s="1788" t="n"/>
      <c r="P1402" s="1721" t="inlineStr">
        <is>
          <t>Pendente</t>
        </is>
      </c>
    </row>
    <row r="1403" hidden="1" outlineLevel="3" ht="13.5" customHeight="1">
      <c r="A1403" s="2117" t="n">
        <v>0</v>
      </c>
      <c r="B1403" s="2117" t="n">
        <v>13</v>
      </c>
      <c r="C1403" s="2117" t="n">
        <v>13</v>
      </c>
      <c r="D1403" s="2118" t="n">
        <v>7</v>
      </c>
      <c r="E1403" s="2118" t="n">
        <v>6</v>
      </c>
      <c r="G1403" s="1798" t="inlineStr">
        <is>
          <t>IMPERMEABILIZAÇÃO</t>
        </is>
      </c>
      <c r="H1403" s="1783" t="inlineStr">
        <is>
          <t>SERVIÇO</t>
        </is>
      </c>
      <c r="I1403" s="1750" t="inlineStr">
        <is>
          <t>13.013.007.006</t>
        </is>
      </c>
      <c r="J1403" s="1751" t="inlineStr">
        <is>
          <t>Mão de obra tratamento de ralo com manta de poliéster</t>
        </is>
      </c>
      <c r="K1403" s="1786" t="inlineStr">
        <is>
          <t>un</t>
        </is>
      </c>
      <c r="L1403" s="1787" t="n">
        <v>8</v>
      </c>
      <c r="M1403" s="1787" t="n">
        <v>50</v>
      </c>
      <c r="N1403" s="1754" t="n">
        <v>400</v>
      </c>
      <c r="O1403" s="1788" t="n"/>
      <c r="P1403" s="1721" t="inlineStr">
        <is>
          <t>Pendente</t>
        </is>
      </c>
    </row>
    <row r="1404" hidden="1" outlineLevel="1" ht="13.5" customHeight="1">
      <c r="A1404" s="2117" t="n">
        <v>0</v>
      </c>
      <c r="B1404" s="2117" t="n">
        <v>13</v>
      </c>
      <c r="C1404" s="2117" t="n">
        <v>14</v>
      </c>
      <c r="D1404" s="2118" t="n">
        <v>0</v>
      </c>
      <c r="E1404" s="2118" t="n">
        <v>6</v>
      </c>
      <c r="G1404" s="1796" t="n"/>
      <c r="H1404" s="1771" t="inlineStr">
        <is>
          <t>ETAPA</t>
        </is>
      </c>
      <c r="I1404" s="1735" t="inlineStr">
        <is>
          <t>13.014</t>
        </is>
      </c>
      <c r="J1404" s="1773" t="inlineStr">
        <is>
          <t>IMPERMEABILIZAÇÃO E TRATAMENTOS - Cobertura | Barrilete</t>
        </is>
      </c>
      <c r="K1404" s="1774" t="n"/>
      <c r="L1404" s="1775" t="n"/>
      <c r="M1404" s="1775" t="n"/>
      <c r="N1404" s="1739" t="n">
        <v>52519.7318906667</v>
      </c>
      <c r="O1404" s="1776" t="n">
        <v>3.13556815690498</v>
      </c>
      <c r="P1404" s="1719" t="n"/>
    </row>
    <row r="1405" hidden="1" outlineLevel="2" ht="13.5" customHeight="1">
      <c r="A1405" s="2117" t="n">
        <v>0</v>
      </c>
      <c r="B1405" s="2117" t="n">
        <v>13</v>
      </c>
      <c r="C1405" s="2117" t="n">
        <v>14</v>
      </c>
      <c r="D1405" s="2118" t="n">
        <v>1</v>
      </c>
      <c r="E1405" s="2118" t="n">
        <v>0</v>
      </c>
      <c r="G1405" s="1797" t="n"/>
      <c r="H1405" s="1777" t="inlineStr">
        <is>
          <t>SUBETAPA</t>
        </is>
      </c>
      <c r="I1405" s="1742" t="inlineStr">
        <is>
          <t>13.014.001</t>
        </is>
      </c>
      <c r="J1405" s="1779" t="inlineStr">
        <is>
          <t>Regularização e proteção mecânica</t>
        </is>
      </c>
      <c r="K1405" s="1780" t="n"/>
      <c r="L1405" s="1781" t="n"/>
      <c r="M1405" s="1781" t="n"/>
      <c r="N1405" s="1746" t="n">
        <v>8242.170891</v>
      </c>
      <c r="O1405" s="1782" t="n">
        <v>0.492079598642839</v>
      </c>
      <c r="P1405" s="1720" t="n"/>
    </row>
    <row r="1406" hidden="1" outlineLevel="3" ht="13.5" customHeight="1">
      <c r="A1406" s="2117" t="n">
        <v>0</v>
      </c>
      <c r="B1406" s="2117" t="n">
        <v>13</v>
      </c>
      <c r="C1406" s="2117" t="n">
        <v>14</v>
      </c>
      <c r="D1406" s="2118" t="n">
        <v>1</v>
      </c>
      <c r="E1406" s="2118" t="n">
        <v>1</v>
      </c>
      <c r="G1406" s="1798" t="inlineStr">
        <is>
          <t>IMPERMEABILIZAÇÃO</t>
        </is>
      </c>
      <c r="H1406" s="1783" t="inlineStr">
        <is>
          <t>SERVIÇO</t>
        </is>
      </c>
      <c r="I1406" s="1750" t="inlineStr">
        <is>
          <t>13.014.001.001</t>
        </is>
      </c>
      <c r="J1406" s="1785" t="inlineStr">
        <is>
          <t xml:space="preserve">Regularização de superfície para impermeabilização </t>
        </is>
      </c>
      <c r="K1406" s="1786" t="inlineStr">
        <is>
          <t>m2</t>
        </is>
      </c>
      <c r="L1406" s="1787" t="n">
        <v>158.89</v>
      </c>
      <c r="M1406" s="1787" t="n">
        <v>7.065899999999999</v>
      </c>
      <c r="N1406" s="1754" t="n">
        <v>1122.700851</v>
      </c>
      <c r="O1406" s="1788" t="inlineStr">
        <is>
          <t>Toda área de piso que recebe impermeabilização</t>
        </is>
      </c>
      <c r="P1406" s="1721" t="inlineStr">
        <is>
          <t>Pendente</t>
        </is>
      </c>
    </row>
    <row r="1407" hidden="1" outlineLevel="3" ht="13.5" customHeight="1">
      <c r="A1407" s="2117" t="n">
        <v>0</v>
      </c>
      <c r="B1407" s="2117" t="n">
        <v>13</v>
      </c>
      <c r="C1407" s="2117" t="n">
        <v>14</v>
      </c>
      <c r="D1407" s="2118" t="n">
        <v>1</v>
      </c>
      <c r="E1407" s="2118" t="n">
        <v>2</v>
      </c>
      <c r="G1407" s="1798" t="inlineStr">
        <is>
          <t>IMPERMEABILIZAÇÃO</t>
        </is>
      </c>
      <c r="H1407" s="1783" t="inlineStr">
        <is>
          <t>SERVIÇO</t>
        </is>
      </c>
      <c r="I1407" s="1750" t="inlineStr">
        <is>
          <t>13.014.001.002</t>
        </is>
      </c>
      <c r="J1407" s="1785" t="inlineStr">
        <is>
          <t>Proteção mecânica de superfície com argamassa de cimento e areia, traço 1:3 E=5cm</t>
        </is>
      </c>
      <c r="K1407" s="1786" t="inlineStr">
        <is>
          <t>m2</t>
        </is>
      </c>
      <c r="L1407" s="1787" t="n">
        <v>144.24</v>
      </c>
      <c r="M1407" s="1787" t="n">
        <v>49.3585</v>
      </c>
      <c r="N1407" s="1754" t="n">
        <v>7119.47004</v>
      </c>
      <c r="O1407" s="1788" t="inlineStr">
        <is>
          <t>Toda área de piso que recebe impermeabilização de manta asfáltica</t>
        </is>
      </c>
      <c r="P1407" s="1721" t="inlineStr">
        <is>
          <t>Pendente</t>
        </is>
      </c>
    </row>
    <row r="1408" hidden="1" outlineLevel="2" ht="13.5" customHeight="1">
      <c r="A1408" s="2117" t="n">
        <v>0</v>
      </c>
      <c r="B1408" s="2117" t="n">
        <v>13</v>
      </c>
      <c r="C1408" s="2117" t="n">
        <v>14</v>
      </c>
      <c r="D1408" s="2118" t="n">
        <v>2</v>
      </c>
      <c r="E1408" s="2118" t="n">
        <v>0</v>
      </c>
      <c r="G1408" s="1797" t="n"/>
      <c r="H1408" s="1777" t="inlineStr">
        <is>
          <t>SUBETAPA</t>
        </is>
      </c>
      <c r="I1408" s="1742" t="inlineStr">
        <is>
          <t>13.014.002</t>
        </is>
      </c>
      <c r="J1408" s="1779" t="inlineStr">
        <is>
          <t>Impermeabilização de lajes, cobertura, rufos, moldura da fachada e terraços</t>
        </is>
      </c>
      <c r="K1408" s="1780" t="n"/>
      <c r="L1408" s="1781" t="n"/>
      <c r="M1408" s="1781" t="n"/>
      <c r="N1408" s="1746" t="n">
        <v>24517.525449</v>
      </c>
      <c r="O1408" s="1782" t="n"/>
      <c r="P1408" s="1720" t="n"/>
    </row>
    <row r="1409" hidden="1" outlineLevel="3" ht="13.5" customHeight="1">
      <c r="A1409" s="2117" t="n">
        <v>0</v>
      </c>
      <c r="B1409" s="2117" t="n">
        <v>13</v>
      </c>
      <c r="C1409" s="2117" t="n">
        <v>14</v>
      </c>
      <c r="D1409" s="2118" t="n">
        <v>2</v>
      </c>
      <c r="E1409" s="2118" t="n">
        <v>1</v>
      </c>
      <c r="G1409" s="1798" t="inlineStr">
        <is>
          <t>IMPERMEABILIZAÇÃO</t>
        </is>
      </c>
      <c r="H1409" s="1783" t="inlineStr">
        <is>
          <t>SERVIÇO</t>
        </is>
      </c>
      <c r="I1409" s="1750" t="inlineStr">
        <is>
          <t>13.014.002.001</t>
        </is>
      </c>
      <c r="J1409" s="1785" t="inlineStr">
        <is>
          <t>Sistema 4.2.4:Primer asfáltico à base d'água (0,4 L/m²) + Asfalto oxidado modificado (2,5 kg/m²) + Manta asfáltica AA 4mm Tipo III Classe B + Banho de asfalto oxidado modificado (2,5 kg/m²)</t>
        </is>
      </c>
      <c r="K1409" s="1786" t="inlineStr">
        <is>
          <t>m2</t>
        </is>
      </c>
      <c r="L1409" s="1787" t="n">
        <v>173.55</v>
      </c>
      <c r="M1409" s="1787" t="n">
        <v>133.1805</v>
      </c>
      <c r="N1409" s="1754" t="n">
        <v>23113.475775</v>
      </c>
      <c r="O1409" s="1788" t="inlineStr">
        <is>
          <t>Cobertura + terraço</t>
        </is>
      </c>
      <c r="P1409" s="1721" t="inlineStr">
        <is>
          <t>Pendente</t>
        </is>
      </c>
    </row>
    <row r="1410" hidden="1" outlineLevel="3" ht="13.5" customHeight="1">
      <c r="A1410" s="2117" t="n">
        <v>0</v>
      </c>
      <c r="B1410" s="2117" t="n">
        <v>13</v>
      </c>
      <c r="C1410" s="2117" t="n">
        <v>14</v>
      </c>
      <c r="D1410" s="2118" t="n">
        <v>2</v>
      </c>
      <c r="E1410" s="2118" t="n">
        <v>2</v>
      </c>
      <c r="G1410" s="1798" t="inlineStr">
        <is>
          <t>IMPERMEABILIZAÇÃO</t>
        </is>
      </c>
      <c r="H1410" s="1783" t="inlineStr">
        <is>
          <t>SERVIÇO</t>
        </is>
      </c>
      <c r="I1410" s="1750" t="inlineStr">
        <is>
          <t>13.014.002.002</t>
        </is>
      </c>
      <c r="J1410" s="1785" t="inlineStr">
        <is>
          <t>Sistema 7.1.6:Argamassa impermeabilizante sem cimento - MK-FEN 30 (F) | Argamassa não cimentícia com agentes incorporadores de ar (8,0 kg/m²) + Tela de poliéster nos pontos críticos</t>
        </is>
      </c>
      <c r="K1410" s="1786" t="inlineStr">
        <is>
          <t>m2</t>
        </is>
      </c>
      <c r="L1410" s="1787" t="n">
        <v>9.43</v>
      </c>
      <c r="M1410" s="1787" t="n">
        <v>148.8918</v>
      </c>
      <c r="N1410" s="1754" t="n">
        <v>1404.049674</v>
      </c>
      <c r="O1410" s="1788" t="inlineStr">
        <is>
          <t>Moldura de fachada + rufos</t>
        </is>
      </c>
      <c r="P1410" s="1721" t="inlineStr">
        <is>
          <t>Pendente</t>
        </is>
      </c>
    </row>
    <row r="1411" hidden="1" outlineLevel="2" ht="13.5" customHeight="1">
      <c r="A1411" s="2117" t="n">
        <v>0</v>
      </c>
      <c r="B1411" s="2117" t="n">
        <v>13</v>
      </c>
      <c r="C1411" s="2117" t="n">
        <v>14</v>
      </c>
      <c r="D1411" s="2118" t="n">
        <v>3</v>
      </c>
      <c r="E1411" s="2118" t="n">
        <v>0</v>
      </c>
      <c r="G1411" s="1797" t="n"/>
      <c r="H1411" s="1777" t="inlineStr">
        <is>
          <t>SUBETAPA</t>
        </is>
      </c>
      <c r="I1411" s="1742" t="inlineStr">
        <is>
          <t>13.014.003</t>
        </is>
      </c>
      <c r="J1411" s="1779" t="inlineStr">
        <is>
          <t>Impermeabilização de banheiro, cozinha, área de serviço, área técnica, área comum, fosso do elevador e sacada</t>
        </is>
      </c>
      <c r="K1411" s="1780" t="n"/>
      <c r="L1411" s="1781" t="n"/>
      <c r="M1411" s="1781" t="n"/>
      <c r="N1411" s="1746" t="n">
        <v>1663.75609666667</v>
      </c>
      <c r="O1411" s="1782" t="n"/>
      <c r="P1411" s="1720" t="n"/>
    </row>
    <row r="1412" hidden="1" outlineLevel="3" ht="13.5" customHeight="1">
      <c r="A1412" s="2117" t="n">
        <v>0</v>
      </c>
      <c r="B1412" s="2117" t="n">
        <v>13</v>
      </c>
      <c r="C1412" s="2117" t="n">
        <v>14</v>
      </c>
      <c r="D1412" s="2118" t="n">
        <v>3</v>
      </c>
      <c r="E1412" s="2118" t="n">
        <v>1</v>
      </c>
      <c r="G1412" s="1798" t="inlineStr">
        <is>
          <t>IMPERMEABILIZAÇÃO</t>
        </is>
      </c>
      <c r="H1412" s="1783" t="inlineStr">
        <is>
          <t>SERVIÇO</t>
        </is>
      </c>
      <c r="I1412" s="1750" t="inlineStr">
        <is>
          <t>13.014.003.001</t>
        </is>
      </c>
      <c r="J1412" s="1785" t="inlineStr">
        <is>
          <t>Sistema 2.5.3: Membrana de polímero acrílico com cimento e fibras sintéticas | Revestimento bicomponente à base de polímeros acrílicos com adição de cimento e fibras sintéticas (3,0 kg/m²) + Tela de poliéster nos pontos críticos</t>
        </is>
      </c>
      <c r="K1412" s="1786" t="inlineStr">
        <is>
          <t>m2</t>
        </is>
      </c>
      <c r="L1412" s="1787" t="n">
        <v>48.84999999999999</v>
      </c>
      <c r="M1412" s="1787" t="n">
        <v>34.05846666666666</v>
      </c>
      <c r="N1412" s="1754" t="n">
        <v>1663.75609666667</v>
      </c>
      <c r="O1412" s="1788" t="inlineStr">
        <is>
          <t>Banheiro + área de serviço + casa de máquinas</t>
        </is>
      </c>
      <c r="P1412" s="1721" t="inlineStr">
        <is>
          <t>Pendente</t>
        </is>
      </c>
    </row>
    <row r="1413" hidden="1" outlineLevel="2" ht="13.5" customHeight="1">
      <c r="A1413" s="2117" t="n">
        <v>0</v>
      </c>
      <c r="B1413" s="2117" t="n">
        <v>13</v>
      </c>
      <c r="C1413" s="2117" t="n">
        <v>14</v>
      </c>
      <c r="D1413" s="2118" t="n">
        <v>4</v>
      </c>
      <c r="E1413" s="2118" t="n">
        <v>0</v>
      </c>
      <c r="G1413" s="1797" t="n"/>
      <c r="H1413" s="1777" t="inlineStr">
        <is>
          <t>SUBETAPA</t>
        </is>
      </c>
      <c r="I1413" s="1742" t="inlineStr">
        <is>
          <t>13.014.004</t>
        </is>
      </c>
      <c r="J1413" s="1779" t="inlineStr">
        <is>
          <t>Impermeabilização de esquadrias</t>
        </is>
      </c>
      <c r="K1413" s="1780" t="n"/>
      <c r="L1413" s="1781" t="n"/>
      <c r="M1413" s="1781" t="n"/>
      <c r="N1413" s="1746" t="n">
        <v>52.109454</v>
      </c>
      <c r="O1413" s="1782" t="n"/>
      <c r="P1413" s="1720" t="n"/>
    </row>
    <row r="1414" hidden="1" outlineLevel="3" ht="13.5" customHeight="1">
      <c r="A1414" s="2117" t="n">
        <v>0</v>
      </c>
      <c r="B1414" s="2117" t="n">
        <v>13</v>
      </c>
      <c r="C1414" s="2117" t="n">
        <v>14</v>
      </c>
      <c r="D1414" s="2118" t="n">
        <v>4</v>
      </c>
      <c r="E1414" s="2118" t="n">
        <v>1</v>
      </c>
      <c r="G1414" s="1798" t="inlineStr">
        <is>
          <t>IMPERMEABILIZAÇÃO</t>
        </is>
      </c>
      <c r="H1414" s="1783" t="inlineStr">
        <is>
          <t>SERVIÇO</t>
        </is>
      </c>
      <c r="I1414" s="1750" t="inlineStr">
        <is>
          <t>13.014.004.001</t>
        </is>
      </c>
      <c r="J1414" s="1785" t="inlineStr">
        <is>
          <t>Sistema 2.5.3: Membrana de polímero acrílico com cimento e fibras sintéticas | Revestimento bicomponente à base de polímeros acrílicos com adição de cimento e fibras sintéticas (3,0 kg/m²) + Tela de poliéster nos pontos críticos</t>
        </is>
      </c>
      <c r="K1414" s="1786" t="inlineStr">
        <is>
          <t>m2</t>
        </is>
      </c>
      <c r="L1414" s="1787" t="n">
        <v>1.53</v>
      </c>
      <c r="M1414" s="1787" t="n">
        <v>34.05846666666666</v>
      </c>
      <c r="N1414" s="1754" t="n">
        <v>52.109454</v>
      </c>
      <c r="O1414" s="1788" t="n"/>
      <c r="P1414" s="1721" t="inlineStr">
        <is>
          <t>Pendente</t>
        </is>
      </c>
    </row>
    <row r="1415" hidden="1" outlineLevel="2" ht="13.5" customHeight="1">
      <c r="A1415" s="2117" t="n">
        <v>0</v>
      </c>
      <c r="B1415" s="2117" t="n">
        <v>13</v>
      </c>
      <c r="C1415" s="2117" t="n">
        <v>14</v>
      </c>
      <c r="D1415" s="2118" t="n">
        <v>5</v>
      </c>
      <c r="E1415" s="2118" t="n">
        <v>0</v>
      </c>
      <c r="G1415" s="1797" t="n"/>
      <c r="H1415" s="1777" t="inlineStr">
        <is>
          <t>SUBETAPA</t>
        </is>
      </c>
      <c r="I1415" s="1742" t="inlineStr">
        <is>
          <t>13.014.005</t>
        </is>
      </c>
      <c r="J1415" s="1779" t="inlineStr">
        <is>
          <t>Mão de Obra</t>
        </is>
      </c>
      <c r="K1415" s="1780" t="n"/>
      <c r="L1415" s="1781" t="n"/>
      <c r="M1415" s="1781" t="n"/>
      <c r="N1415" s="1746" t="n">
        <v>18044.17</v>
      </c>
      <c r="O1415" s="1782" t="n"/>
      <c r="P1415" s="1720" t="n"/>
    </row>
    <row r="1416" hidden="1" outlineLevel="3" ht="13.5" customHeight="1">
      <c r="A1416" s="2117" t="n">
        <v>0</v>
      </c>
      <c r="B1416" s="2117" t="n">
        <v>13</v>
      </c>
      <c r="C1416" s="2117" t="n">
        <v>14</v>
      </c>
      <c r="D1416" s="2118" t="n">
        <v>5</v>
      </c>
      <c r="E1416" s="2118" t="n">
        <v>1</v>
      </c>
      <c r="G1416" s="1798" t="inlineStr">
        <is>
          <t>IMPERMEABILIZAÇÃO</t>
        </is>
      </c>
      <c r="H1416" s="1783" t="inlineStr">
        <is>
          <t>SERVIÇO</t>
        </is>
      </c>
      <c r="I1416" s="1750" t="inlineStr">
        <is>
          <t>13.014.005.001</t>
        </is>
      </c>
      <c r="J1416" s="1785" t="inlineStr">
        <is>
          <t xml:space="preserve">Mão de obra para regularização de superfície </t>
        </is>
      </c>
      <c r="K1416" s="1786" t="inlineStr">
        <is>
          <t>m2</t>
        </is>
      </c>
      <c r="L1416" s="1787" t="n">
        <v>158.89</v>
      </c>
      <c r="M1416" s="1787" t="n">
        <v>20</v>
      </c>
      <c r="N1416" s="1754" t="n">
        <v>3177.8</v>
      </c>
      <c r="O1416" s="1788" t="n"/>
      <c r="P1416" s="1721" t="inlineStr">
        <is>
          <t>Pendente</t>
        </is>
      </c>
    </row>
    <row r="1417" hidden="1" outlineLevel="3" ht="13.5" customHeight="1">
      <c r="A1417" s="2117" t="n">
        <v>0</v>
      </c>
      <c r="B1417" s="2117" t="n">
        <v>13</v>
      </c>
      <c r="C1417" s="2117" t="n">
        <v>14</v>
      </c>
      <c r="D1417" s="2118" t="n">
        <v>5</v>
      </c>
      <c r="E1417" s="2118" t="n">
        <v>2</v>
      </c>
      <c r="G1417" s="1798" t="inlineStr">
        <is>
          <t>IMPERMEABILIZAÇÃO</t>
        </is>
      </c>
      <c r="H1417" s="1783" t="inlineStr">
        <is>
          <t>SERVIÇO</t>
        </is>
      </c>
      <c r="I1417" s="1750" t="inlineStr">
        <is>
          <t>13.014.005.002</t>
        </is>
      </c>
      <c r="J1417" s="1785" t="inlineStr">
        <is>
          <t>Mão de obra para proteção mecânica</t>
        </is>
      </c>
      <c r="K1417" s="1786" t="inlineStr">
        <is>
          <t>m2</t>
        </is>
      </c>
      <c r="L1417" s="1787" t="n">
        <v>144.24</v>
      </c>
      <c r="M1417" s="1787" t="n">
        <v>35</v>
      </c>
      <c r="N1417" s="1754" t="n">
        <v>5048.4</v>
      </c>
      <c r="O1417" s="1788" t="n"/>
      <c r="P1417" s="1721" t="inlineStr">
        <is>
          <t>Pendente</t>
        </is>
      </c>
    </row>
    <row r="1418" hidden="1" outlineLevel="3" ht="13.5" customHeight="1">
      <c r="A1418" s="2117" t="n">
        <v>0</v>
      </c>
      <c r="B1418" s="2117" t="n">
        <v>13</v>
      </c>
      <c r="C1418" s="2117" t="n">
        <v>14</v>
      </c>
      <c r="D1418" s="2118" t="n">
        <v>5</v>
      </c>
      <c r="E1418" s="2118" t="n">
        <v>3</v>
      </c>
      <c r="G1418" s="1798" t="inlineStr">
        <is>
          <t>IMPERMEABILIZAÇÃO</t>
        </is>
      </c>
      <c r="H1418" s="1783" t="inlineStr">
        <is>
          <t>SERVIÇO</t>
        </is>
      </c>
      <c r="I1418" s="1750" t="inlineStr">
        <is>
          <t>13.014.005.003</t>
        </is>
      </c>
      <c r="J1418" s="1785" t="inlineStr">
        <is>
          <t>Mão de obra impermeabilização sistema 2.5.3</t>
        </is>
      </c>
      <c r="K1418" s="1786" t="inlineStr">
        <is>
          <t>m2</t>
        </is>
      </c>
      <c r="L1418" s="1787" t="n">
        <v>50.38</v>
      </c>
      <c r="M1418" s="1787" t="n">
        <v>32</v>
      </c>
      <c r="N1418" s="1754" t="n">
        <v>1612.16</v>
      </c>
      <c r="O1418" s="1788" t="n"/>
      <c r="P1418" s="1721" t="inlineStr">
        <is>
          <t>Pendente</t>
        </is>
      </c>
    </row>
    <row r="1419" hidden="1" outlineLevel="3" ht="13.5" customHeight="1">
      <c r="A1419" s="2117" t="n">
        <v>0</v>
      </c>
      <c r="B1419" s="2117" t="n">
        <v>13</v>
      </c>
      <c r="C1419" s="2117" t="n">
        <v>14</v>
      </c>
      <c r="D1419" s="2118" t="n">
        <v>5</v>
      </c>
      <c r="E1419" s="2118" t="n">
        <v>4</v>
      </c>
      <c r="G1419" s="1798" t="inlineStr">
        <is>
          <t>IMPERMEABILIZAÇÃO</t>
        </is>
      </c>
      <c r="H1419" s="1783" t="inlineStr">
        <is>
          <t>SERVIÇO</t>
        </is>
      </c>
      <c r="I1419" s="1750" t="inlineStr">
        <is>
          <t>13.014.005.004</t>
        </is>
      </c>
      <c r="J1419" s="1785" t="inlineStr">
        <is>
          <t>Mão de obra impermeabilização sistema 4.2.4</t>
        </is>
      </c>
      <c r="K1419" s="1786" t="inlineStr">
        <is>
          <t>m2</t>
        </is>
      </c>
      <c r="L1419" s="1787" t="n">
        <v>173.55</v>
      </c>
      <c r="M1419" s="1787" t="n">
        <v>45</v>
      </c>
      <c r="N1419" s="1754" t="n">
        <v>7809.75</v>
      </c>
      <c r="O1419" s="1788" t="n"/>
      <c r="P1419" s="1721" t="inlineStr">
        <is>
          <t>Pendente</t>
        </is>
      </c>
    </row>
    <row r="1420" hidden="1" outlineLevel="3" ht="13.5" customHeight="1">
      <c r="A1420" s="2117" t="n">
        <v>0</v>
      </c>
      <c r="B1420" s="2117" t="n">
        <v>13</v>
      </c>
      <c r="C1420" s="2117" t="n">
        <v>14</v>
      </c>
      <c r="D1420" s="2118" t="n">
        <v>5</v>
      </c>
      <c r="E1420" s="2118" t="n">
        <v>5</v>
      </c>
      <c r="G1420" s="1798" t="inlineStr">
        <is>
          <t>IMPERMEABILIZAÇÃO</t>
        </is>
      </c>
      <c r="H1420" s="1783" t="inlineStr">
        <is>
          <t>SERVIÇO</t>
        </is>
      </c>
      <c r="I1420" s="1750" t="inlineStr">
        <is>
          <t>13.014.005.005</t>
        </is>
      </c>
      <c r="J1420" s="1785" t="inlineStr">
        <is>
          <t>Mão de obra impermeabilização sistema 7.1.6</t>
        </is>
      </c>
      <c r="K1420" s="1786" t="inlineStr">
        <is>
          <t>m2</t>
        </is>
      </c>
      <c r="L1420" s="1787" t="n">
        <v>9.43</v>
      </c>
      <c r="M1420" s="1787" t="n">
        <v>42</v>
      </c>
      <c r="N1420" s="1754" t="n">
        <v>396.06</v>
      </c>
      <c r="O1420" s="1788" t="n"/>
      <c r="P1420" s="1721" t="inlineStr">
        <is>
          <t>Pendente</t>
        </is>
      </c>
    </row>
    <row r="1421" hidden="1" outlineLevel="1" ht="13.5" customHeight="1">
      <c r="A1421" s="2117" t="n">
        <v>0</v>
      </c>
      <c r="B1421" s="2117" t="n">
        <v>13</v>
      </c>
      <c r="C1421" s="2117" t="n">
        <v>15</v>
      </c>
      <c r="D1421" s="2118" t="n">
        <v>0</v>
      </c>
      <c r="E1421" s="2118" t="n">
        <v>5</v>
      </c>
      <c r="G1421" s="1796" t="n"/>
      <c r="H1421" s="1771" t="inlineStr">
        <is>
          <t>ETAPA</t>
        </is>
      </c>
      <c r="I1421" s="1735" t="inlineStr">
        <is>
          <t>13.015</t>
        </is>
      </c>
      <c r="J1421" s="1773" t="inlineStr">
        <is>
          <t>IMPERMEABILIZAÇÃO E TRATAMENTOS - Reservatório</t>
        </is>
      </c>
      <c r="K1421" s="1774" t="n"/>
      <c r="L1421" s="1775" t="n"/>
      <c r="M1421" s="1775" t="n"/>
      <c r="N1421" s="1739" t="n">
        <v>46751.499385</v>
      </c>
      <c r="O1421" s="1776" t="n">
        <v>2.7911892822366</v>
      </c>
      <c r="P1421" s="1719" t="n"/>
    </row>
    <row r="1422" hidden="1" outlineLevel="2" ht="13.5" customHeight="1">
      <c r="A1422" s="2117" t="n">
        <v>0</v>
      </c>
      <c r="B1422" s="2117" t="n">
        <v>13</v>
      </c>
      <c r="C1422" s="2117" t="n">
        <v>15</v>
      </c>
      <c r="D1422" s="2118" t="n">
        <v>1</v>
      </c>
      <c r="E1422" s="2118" t="n">
        <v>0</v>
      </c>
      <c r="G1422" s="1797" t="n"/>
      <c r="H1422" s="1777" t="inlineStr">
        <is>
          <t>SUBETAPA</t>
        </is>
      </c>
      <c r="I1422" s="1742" t="inlineStr">
        <is>
          <t>13.015.001</t>
        </is>
      </c>
      <c r="J1422" s="1779" t="inlineStr">
        <is>
          <t>Regularização e proteção mecânica</t>
        </is>
      </c>
      <c r="K1422" s="1780" t="n"/>
      <c r="L1422" s="1781" t="n"/>
      <c r="M1422" s="1781" t="n"/>
      <c r="N1422" s="1746" t="n">
        <v>916.517889</v>
      </c>
      <c r="O1422" s="1782" t="n">
        <v>0.054718563947827</v>
      </c>
      <c r="P1422" s="1720" t="n"/>
    </row>
    <row r="1423" hidden="1" outlineLevel="3" ht="13.5" customHeight="1">
      <c r="A1423" s="2117" t="n">
        <v>0</v>
      </c>
      <c r="B1423" s="2117" t="n">
        <v>13</v>
      </c>
      <c r="C1423" s="2117" t="n">
        <v>15</v>
      </c>
      <c r="D1423" s="2118" t="n">
        <v>1</v>
      </c>
      <c r="E1423" s="2118" t="n">
        <v>1</v>
      </c>
      <c r="G1423" s="1798" t="inlineStr">
        <is>
          <t>IMPERMEABILIZAÇÃO</t>
        </is>
      </c>
      <c r="H1423" s="1783" t="inlineStr">
        <is>
          <t>SERVIÇO</t>
        </is>
      </c>
      <c r="I1423" s="1750" t="inlineStr">
        <is>
          <t>13.015.001.001</t>
        </is>
      </c>
      <c r="J1423" s="1785" t="inlineStr">
        <is>
          <t xml:space="preserve">Regularização de superfície para impermeabilização </t>
        </is>
      </c>
      <c r="K1423" s="1786" t="inlineStr">
        <is>
          <t>m2</t>
        </is>
      </c>
      <c r="L1423" s="1787" t="n">
        <v>129.71</v>
      </c>
      <c r="M1423" s="1787" t="n">
        <v>7.065899999999999</v>
      </c>
      <c r="N1423" s="1754" t="n">
        <v>916.517889</v>
      </c>
      <c r="O1423" s="1788" t="inlineStr">
        <is>
          <t>Toda área de piso que recebe impermeabilização</t>
        </is>
      </c>
      <c r="P1423" s="1721" t="inlineStr">
        <is>
          <t>Pendente</t>
        </is>
      </c>
    </row>
    <row r="1424" hidden="1" outlineLevel="2" ht="13.5" customHeight="1">
      <c r="A1424" s="2117" t="n">
        <v>0</v>
      </c>
      <c r="B1424" s="2117" t="n">
        <v>13</v>
      </c>
      <c r="C1424" s="2117" t="n">
        <v>15</v>
      </c>
      <c r="D1424" s="2118" t="n">
        <v>2</v>
      </c>
      <c r="E1424" s="2118" t="n">
        <v>0</v>
      </c>
      <c r="G1424" s="1797" t="n"/>
      <c r="H1424" s="1777" t="inlineStr">
        <is>
          <t>SUBETAPA</t>
        </is>
      </c>
      <c r="I1424" s="1742" t="inlineStr">
        <is>
          <t>13.015.002</t>
        </is>
      </c>
      <c r="J1424" s="1779" t="inlineStr">
        <is>
          <t>Impermeabilização de reservatórios e cisternas</t>
        </is>
      </c>
      <c r="K1424" s="1780" t="n"/>
      <c r="L1424" s="1781" t="n"/>
      <c r="M1424" s="1781" t="n"/>
      <c r="N1424" s="1746" t="n">
        <v>30162.691496</v>
      </c>
      <c r="O1424" s="1782" t="n"/>
      <c r="P1424" s="1720" t="n"/>
    </row>
    <row r="1425" hidden="1" outlineLevel="3" ht="13.5" customHeight="1">
      <c r="A1425" s="2117" t="n">
        <v>0</v>
      </c>
      <c r="B1425" s="2117" t="n">
        <v>13</v>
      </c>
      <c r="C1425" s="2117" t="n">
        <v>15</v>
      </c>
      <c r="D1425" s="2118" t="n">
        <v>2</v>
      </c>
      <c r="E1425" s="2118" t="n">
        <v>1</v>
      </c>
      <c r="G1425" s="1798" t="inlineStr">
        <is>
          <t>IMPERMEABILIZAÇÃO</t>
        </is>
      </c>
      <c r="H1425" s="1783" t="inlineStr">
        <is>
          <t>SERVIÇO</t>
        </is>
      </c>
      <c r="I1425" s="1750" t="inlineStr">
        <is>
          <t>13.015.002.001</t>
        </is>
      </c>
      <c r="J1425" s="1785" t="inlineStr">
        <is>
          <t>Sistema 7.1.6:Argamassa impermeabilizante sem cimento - MK-FEN 30 (F) | Argamassa não cimentícia com agentes incorporadores de ar (8,0 kg/m²) + Tela de poliéster nos pontos críticos</t>
        </is>
      </c>
      <c r="K1425" s="1786" t="inlineStr">
        <is>
          <t>m2</t>
        </is>
      </c>
      <c r="L1425" s="1787" t="n">
        <v>65.84</v>
      </c>
      <c r="M1425" s="1787" t="n">
        <v>148.8918</v>
      </c>
      <c r="N1425" s="1754" t="n">
        <v>9803.036112</v>
      </c>
      <c r="O1425" s="1788" t="inlineStr">
        <is>
          <t>Tampa de Reservatório</t>
        </is>
      </c>
      <c r="P1425" s="1721" t="inlineStr">
        <is>
          <t>Pendente</t>
        </is>
      </c>
    </row>
    <row r="1426" hidden="1" outlineLevel="3" ht="13.5" customHeight="1">
      <c r="A1426" s="2117" t="n">
        <v>0</v>
      </c>
      <c r="B1426" s="2117" t="n">
        <v>13</v>
      </c>
      <c r="C1426" s="2117" t="n">
        <v>15</v>
      </c>
      <c r="D1426" s="2118" t="n">
        <v>2</v>
      </c>
      <c r="E1426" s="2118" t="n">
        <v>2</v>
      </c>
      <c r="G1426" s="1798" t="inlineStr">
        <is>
          <t>IMPERMEABILIZAÇÃO</t>
        </is>
      </c>
      <c r="H1426" s="1783" t="inlineStr">
        <is>
          <t>SERVIÇO</t>
        </is>
      </c>
      <c r="I1426" s="1750" t="inlineStr">
        <is>
          <t>13.015.002.002</t>
        </is>
      </c>
      <c r="J1426" s="1785" t="inlineStr">
        <is>
          <t>Sistema 7.1.2:Argamassa impermeabilizante sem cimento - MK-FEN 30 (F) | Argamassa não cimentícia com agentes incorporadores de ar (4,0 kg/m²) + Tela de poliéster nos pontos críticos</t>
        </is>
      </c>
      <c r="K1426" s="1786" t="inlineStr">
        <is>
          <t>m2</t>
        </is>
      </c>
      <c r="L1426" s="1787" t="n">
        <v>63.21</v>
      </c>
      <c r="M1426" s="1787" t="n">
        <v>74.8918</v>
      </c>
      <c r="N1426" s="1754" t="n">
        <v>4733.910678</v>
      </c>
      <c r="O1426" s="1788" t="inlineStr">
        <is>
          <t>Reservatório + cisterna</t>
        </is>
      </c>
      <c r="P1426" s="1721" t="inlineStr">
        <is>
          <t>Pendente</t>
        </is>
      </c>
    </row>
    <row r="1427" hidden="1" outlineLevel="3" ht="13.5" customHeight="1">
      <c r="A1427" s="2117" t="n">
        <v>0</v>
      </c>
      <c r="B1427" s="2117" t="n">
        <v>13</v>
      </c>
      <c r="C1427" s="2117" t="n">
        <v>15</v>
      </c>
      <c r="D1427" s="2118" t="n">
        <v>2</v>
      </c>
      <c r="E1427" s="2118" t="n">
        <v>3</v>
      </c>
      <c r="G1427" s="1798" t="inlineStr">
        <is>
          <t>IMPERMEABILIZAÇÃO</t>
        </is>
      </c>
      <c r="H1427" s="1783" t="inlineStr">
        <is>
          <t>SERVIÇO</t>
        </is>
      </c>
      <c r="I1427" s="1750" t="inlineStr">
        <is>
          <t>13.015.002.003</t>
        </is>
      </c>
      <c r="J1427" s="1785" t="inlineStr">
        <is>
          <t>Sistema 2.8.6: Argamassa impermeabilizante bicomponente à base de aditivos minerais (2,0 kg/m²) + Revestimento bicomponente à base de polímeros acrílicos com adição de cimento e fibras sintéticas (4,5 kg/m²) + Tela de poliéster nos pontos críticos</t>
        </is>
      </c>
      <c r="K1427" s="1786" t="inlineStr">
        <is>
          <t>m2</t>
        </is>
      </c>
      <c r="L1427" s="1787" t="n">
        <v>213.17</v>
      </c>
      <c r="M1427" s="1787" t="n">
        <v>73.3018</v>
      </c>
      <c r="N1427" s="1754" t="n">
        <v>15625.744706</v>
      </c>
      <c r="O1427" s="1788" t="inlineStr">
        <is>
          <t>Reservatório + cisterna</t>
        </is>
      </c>
      <c r="P1427" s="1721" t="inlineStr">
        <is>
          <t>Pendente</t>
        </is>
      </c>
    </row>
    <row r="1428" hidden="1" outlineLevel="2" ht="13.5" customHeight="1">
      <c r="A1428" s="2117" t="n">
        <v>0</v>
      </c>
      <c r="B1428" s="2117" t="n">
        <v>13</v>
      </c>
      <c r="C1428" s="2117" t="n">
        <v>15</v>
      </c>
      <c r="D1428" s="2118" t="n">
        <v>3</v>
      </c>
      <c r="E1428" s="2118" t="n">
        <v>0</v>
      </c>
      <c r="G1428" s="1797" t="n"/>
      <c r="H1428" s="1777" t="inlineStr">
        <is>
          <t>SUBETAPA</t>
        </is>
      </c>
      <c r="I1428" s="1742" t="inlineStr">
        <is>
          <t>13.015.003</t>
        </is>
      </c>
      <c r="J1428" s="1779" t="inlineStr">
        <is>
          <t>Mão de Obra</t>
        </is>
      </c>
      <c r="K1428" s="1780" t="n"/>
      <c r="L1428" s="1781" t="n"/>
      <c r="M1428" s="1781" t="n"/>
      <c r="N1428" s="1746" t="n">
        <v>15672.29</v>
      </c>
      <c r="O1428" s="1782" t="n"/>
      <c r="P1428" s="1720" t="n"/>
    </row>
    <row r="1429" hidden="1" outlineLevel="3" ht="13.5" customHeight="1">
      <c r="A1429" s="2117" t="n">
        <v>0</v>
      </c>
      <c r="B1429" s="2117" t="n">
        <v>13</v>
      </c>
      <c r="C1429" s="2117" t="n">
        <v>15</v>
      </c>
      <c r="D1429" s="2118" t="n">
        <v>3</v>
      </c>
      <c r="E1429" s="2118" t="n">
        <v>1</v>
      </c>
      <c r="G1429" s="1798" t="inlineStr">
        <is>
          <t>IMPERMEABILIZAÇÃO</t>
        </is>
      </c>
      <c r="H1429" s="1783" t="inlineStr">
        <is>
          <t>SERVIÇO</t>
        </is>
      </c>
      <c r="I1429" s="1750" t="inlineStr">
        <is>
          <t>13.015.003.001</t>
        </is>
      </c>
      <c r="J1429" s="1785" t="inlineStr">
        <is>
          <t xml:space="preserve">Mão de obra para regularização de superfície </t>
        </is>
      </c>
      <c r="K1429" s="1786" t="inlineStr">
        <is>
          <t>m2</t>
        </is>
      </c>
      <c r="L1429" s="1787" t="n">
        <v>129.71</v>
      </c>
      <c r="M1429" s="1787" t="n">
        <v>20</v>
      </c>
      <c r="N1429" s="1754" t="n">
        <v>2594.2</v>
      </c>
      <c r="O1429" s="1788" t="n"/>
      <c r="P1429" s="1721" t="inlineStr">
        <is>
          <t>Pendente</t>
        </is>
      </c>
    </row>
    <row r="1430" hidden="1" outlineLevel="3" ht="13.5" customHeight="1">
      <c r="A1430" s="2117" t="n">
        <v>0</v>
      </c>
      <c r="B1430" s="2117" t="n">
        <v>13</v>
      </c>
      <c r="C1430" s="2117" t="n">
        <v>15</v>
      </c>
      <c r="D1430" s="2118" t="n">
        <v>3</v>
      </c>
      <c r="E1430" s="2118" t="n">
        <v>2</v>
      </c>
      <c r="G1430" s="1798" t="inlineStr">
        <is>
          <t>IMPERMEABILIZAÇÃO</t>
        </is>
      </c>
      <c r="H1430" s="1783" t="inlineStr">
        <is>
          <t>SERVIÇO</t>
        </is>
      </c>
      <c r="I1430" s="1750" t="inlineStr">
        <is>
          <t>13.015.003.002</t>
        </is>
      </c>
      <c r="J1430" s="1785" t="inlineStr">
        <is>
          <t>Mão de obra impermeabilização sistema 2.8.6</t>
        </is>
      </c>
      <c r="K1430" s="1786" t="inlineStr">
        <is>
          <t>m2</t>
        </is>
      </c>
      <c r="L1430" s="1787" t="n">
        <v>213.17</v>
      </c>
      <c r="M1430" s="1787" t="n">
        <v>38</v>
      </c>
      <c r="N1430" s="1754" t="n">
        <v>8100.46</v>
      </c>
      <c r="O1430" s="1788" t="n"/>
      <c r="P1430" s="1721" t="inlineStr">
        <is>
          <t>Pendente</t>
        </is>
      </c>
    </row>
    <row r="1431" hidden="1" outlineLevel="3" ht="13.5" customHeight="1">
      <c r="A1431" s="2117" t="n">
        <v>0</v>
      </c>
      <c r="B1431" s="2117" t="n">
        <v>13</v>
      </c>
      <c r="C1431" s="2117" t="n">
        <v>15</v>
      </c>
      <c r="D1431" s="2118" t="n">
        <v>3</v>
      </c>
      <c r="E1431" s="2118" t="n">
        <v>3</v>
      </c>
      <c r="G1431" s="1798" t="inlineStr">
        <is>
          <t>IMPERMEABILIZAÇÃO</t>
        </is>
      </c>
      <c r="H1431" s="1783" t="inlineStr">
        <is>
          <t>SERVIÇO</t>
        </is>
      </c>
      <c r="I1431" s="1750" t="inlineStr">
        <is>
          <t>13.015.003.003</t>
        </is>
      </c>
      <c r="J1431" s="1785" t="inlineStr">
        <is>
          <t>Mão de obra impermeabilização sistema 7.1.2</t>
        </is>
      </c>
      <c r="K1431" s="1786" t="inlineStr">
        <is>
          <t>m2</t>
        </is>
      </c>
      <c r="L1431" s="1787" t="n">
        <v>63.21</v>
      </c>
      <c r="M1431" s="1787" t="n">
        <v>35</v>
      </c>
      <c r="N1431" s="1754" t="n">
        <v>2212.35</v>
      </c>
      <c r="O1431" s="1788" t="n"/>
      <c r="P1431" s="1721" t="inlineStr">
        <is>
          <t>Pendente</t>
        </is>
      </c>
    </row>
    <row r="1432" hidden="1" outlineLevel="3" ht="13.5" customHeight="1">
      <c r="A1432" s="2117" t="n">
        <v>0</v>
      </c>
      <c r="B1432" s="2117" t="n">
        <v>13</v>
      </c>
      <c r="C1432" s="2117" t="n">
        <v>15</v>
      </c>
      <c r="D1432" s="2118" t="n">
        <v>3</v>
      </c>
      <c r="E1432" s="2118" t="n">
        <v>4</v>
      </c>
      <c r="G1432" s="1798" t="inlineStr">
        <is>
          <t>IMPERMEABILIZAÇÃO</t>
        </is>
      </c>
      <c r="H1432" s="1783" t="inlineStr">
        <is>
          <t>SERVIÇO</t>
        </is>
      </c>
      <c r="I1432" s="1750" t="inlineStr">
        <is>
          <t>13.015.003.004</t>
        </is>
      </c>
      <c r="J1432" s="1785" t="inlineStr">
        <is>
          <t>Mão de obra impermeabilização sistema 7.1.6</t>
        </is>
      </c>
      <c r="K1432" s="1786" t="inlineStr">
        <is>
          <t>m2</t>
        </is>
      </c>
      <c r="L1432" s="1787" t="n">
        <v>65.84</v>
      </c>
      <c r="M1432" s="1787" t="n">
        <v>42</v>
      </c>
      <c r="N1432" s="1754" t="n">
        <v>2765.28</v>
      </c>
      <c r="O1432" s="1788" t="n"/>
      <c r="P1432" s="1721" t="inlineStr">
        <is>
          <t>Pendente</t>
        </is>
      </c>
    </row>
    <row r="1433" hidden="1" outlineLevel="1" ht="13.5" customHeight="1">
      <c r="A1433" s="2117" t="n">
        <v>0</v>
      </c>
      <c r="B1433" s="2117" t="n">
        <v>18</v>
      </c>
      <c r="C1433" s="2117" t="n">
        <v>1</v>
      </c>
      <c r="D1433" s="2118" t="n">
        <v>0</v>
      </c>
      <c r="E1433" s="2118" t="n">
        <v>3</v>
      </c>
      <c r="G1433" s="1796" t="n"/>
      <c r="H1433" s="1771" t="inlineStr">
        <is>
          <t>ETAPA</t>
        </is>
      </c>
      <c r="I1433" s="1735" t="inlineStr">
        <is>
          <t>18.001</t>
        </is>
      </c>
      <c r="J1433" s="1773" t="inlineStr">
        <is>
          <t>ESQUADRIAS DE ALUMÍNIO - Térreo</t>
        </is>
      </c>
      <c r="K1433" s="1774" t="n"/>
      <c r="L1433" s="1775" t="n"/>
      <c r="M1433" s="1775" t="n"/>
      <c r="N1433" s="1739" t="n"/>
      <c r="O1433" s="1776" t="n"/>
      <c r="P1433" s="1719" t="n"/>
    </row>
    <row r="1434" hidden="1" outlineLevel="2" ht="13.5" customHeight="1">
      <c r="A1434" s="2117" t="n">
        <v>0</v>
      </c>
      <c r="B1434" s="2117" t="n">
        <v>18</v>
      </c>
      <c r="C1434" s="2117" t="n">
        <v>1</v>
      </c>
      <c r="D1434" s="2118" t="n">
        <v>1</v>
      </c>
      <c r="E1434" s="2118" t="n">
        <v>0</v>
      </c>
      <c r="G1434" s="1797" t="n"/>
      <c r="H1434" s="1777" t="inlineStr">
        <is>
          <t>SUBETAPA</t>
        </is>
      </c>
      <c r="I1434" s="1742" t="inlineStr">
        <is>
          <t>18.001.001</t>
        </is>
      </c>
      <c r="J1434" s="1779" t="inlineStr">
        <is>
          <t>Contramarco</t>
        </is>
      </c>
      <c r="K1434" s="1780" t="n"/>
      <c r="L1434" s="1781" t="n"/>
      <c r="M1434" s="1781" t="n"/>
      <c r="N1434" s="1746" t="n">
        <v>10971.604</v>
      </c>
      <c r="O1434" s="1782" t="n">
        <v>0.655034039476599</v>
      </c>
      <c r="P1434" s="1720" t="n"/>
    </row>
    <row r="1435" hidden="1" outlineLevel="3" ht="13.5" customHeight="1">
      <c r="A1435" s="2117" t="n">
        <v>0</v>
      </c>
      <c r="B1435" s="2117" t="n">
        <v>18</v>
      </c>
      <c r="C1435" s="2117" t="n">
        <v>1</v>
      </c>
      <c r="D1435" s="2118" t="n">
        <v>1</v>
      </c>
      <c r="E1435" s="2118" t="n">
        <v>1</v>
      </c>
      <c r="G1435" s="1798" t="inlineStr">
        <is>
          <t>ESQUADRIAS, VIDROS E FERRAGENS</t>
        </is>
      </c>
      <c r="H1435" s="1783" t="inlineStr">
        <is>
          <t>SERVIÇO</t>
        </is>
      </c>
      <c r="I1435" s="1750" t="inlineStr">
        <is>
          <t>18.001.001.001</t>
        </is>
      </c>
      <c r="J1435" s="1785" t="inlineStr">
        <is>
          <t>Contramarco de Alumínio, Fixação com Argamassa</t>
        </is>
      </c>
      <c r="K1435" s="1786" t="inlineStr">
        <is>
          <t>m</t>
        </is>
      </c>
      <c r="L1435" s="1787" t="n">
        <v>472.0999999999999</v>
      </c>
      <c r="M1435" s="1787" t="n">
        <v>23.24</v>
      </c>
      <c r="N1435" s="1754" t="n">
        <v>10971.604</v>
      </c>
      <c r="O1435" s="1788" t="inlineStr">
        <is>
          <t>Tabela de esquadrias enviada pela Gessele</t>
        </is>
      </c>
      <c r="P1435" s="1721" t="inlineStr">
        <is>
          <t>Pendente</t>
        </is>
      </c>
    </row>
    <row r="1436" hidden="1" outlineLevel="2" ht="13.5" customHeight="1">
      <c r="A1436" s="2117" t="n">
        <v>0</v>
      </c>
      <c r="B1436" s="2117" t="n">
        <v>18</v>
      </c>
      <c r="C1436" s="2117" t="n">
        <v>1</v>
      </c>
      <c r="D1436" s="2118" t="n">
        <v>2</v>
      </c>
      <c r="E1436" s="2118" t="n">
        <v>0</v>
      </c>
      <c r="G1436" s="1797" t="n"/>
      <c r="H1436" s="1777" t="inlineStr">
        <is>
          <t>SUBETAPA</t>
        </is>
      </c>
      <c r="I1436" s="1742" t="inlineStr">
        <is>
          <t>18.001.002</t>
        </is>
      </c>
      <c r="J1436" s="1779" t="inlineStr">
        <is>
          <t>Esquadrias de alumínio</t>
        </is>
      </c>
      <c r="K1436" s="1780" t="n"/>
      <c r="L1436" s="1781" t="n"/>
      <c r="M1436" s="1781" t="n"/>
      <c r="N1436" s="1746" t="n">
        <v>1066855.46829102</v>
      </c>
      <c r="O1436" s="1782" t="n"/>
      <c r="P1436" s="1720" t="n"/>
    </row>
    <row r="1437" hidden="1" outlineLevel="3" ht="13.5" customHeight="1">
      <c r="A1437" s="2117" t="n">
        <v>0</v>
      </c>
      <c r="B1437" s="2117" t="n">
        <v>18</v>
      </c>
      <c r="C1437" s="2117" t="n">
        <v>1</v>
      </c>
      <c r="D1437" s="2118" t="n">
        <v>2</v>
      </c>
      <c r="E1437" s="2118" t="n">
        <v>1</v>
      </c>
      <c r="G1437" s="1798" t="inlineStr">
        <is>
          <t>ESQUADRIAS, VIDROS E FERRAGENS</t>
        </is>
      </c>
      <c r="H1437" s="1783" t="inlineStr">
        <is>
          <t>SERVIÇO</t>
        </is>
      </c>
      <c r="I1437" s="1750" t="inlineStr">
        <is>
          <t>18.001.002.001</t>
        </is>
      </c>
      <c r="J1437" s="1785" t="inlineStr">
        <is>
          <t>Esquadrias de Alumínio - Portas - fornecimento e instalação</t>
        </is>
      </c>
      <c r="K1437" s="1786" t="inlineStr">
        <is>
          <t>m2</t>
        </is>
      </c>
      <c r="L1437" s="1787" t="n">
        <v>33.40000000000001</v>
      </c>
      <c r="M1437" s="1787" t="n">
        <v>1906.313968151559</v>
      </c>
      <c r="N1437" s="1754" t="n">
        <v>63670.8865362621</v>
      </c>
      <c r="O1437" s="1788" t="inlineStr">
        <is>
          <t>Tabela de esquadrias enviada pela Gessele</t>
        </is>
      </c>
      <c r="P1437" s="1721" t="inlineStr">
        <is>
          <t>Pendente</t>
        </is>
      </c>
    </row>
    <row r="1438" hidden="1" outlineLevel="3" ht="13.5" customHeight="1">
      <c r="A1438" s="2117" t="n">
        <v>0</v>
      </c>
      <c r="B1438" s="2117" t="n">
        <v>18</v>
      </c>
      <c r="C1438" s="2117" t="n">
        <v>1</v>
      </c>
      <c r="D1438" s="2118" t="n">
        <v>2</v>
      </c>
      <c r="E1438" s="2118" t="n">
        <v>2</v>
      </c>
      <c r="G1438" s="1798" t="inlineStr">
        <is>
          <t>ESQUADRIAS, VIDROS E FERRAGENS</t>
        </is>
      </c>
      <c r="H1438" s="1783" t="inlineStr">
        <is>
          <t>SERVIÇO</t>
        </is>
      </c>
      <c r="I1438" s="1750" t="inlineStr">
        <is>
          <t>18.001.002.002</t>
        </is>
      </c>
      <c r="J1438" s="1785" t="inlineStr">
        <is>
          <t>Esquadrias de Alumínio - Janelas - fornecimento e instalação</t>
        </is>
      </c>
      <c r="K1438" s="1786" t="inlineStr">
        <is>
          <t>m2</t>
        </is>
      </c>
      <c r="L1438" s="1787" t="n">
        <v>4.000000000000001</v>
      </c>
      <c r="M1438" s="1787" t="n">
        <v>2650.495558713029</v>
      </c>
      <c r="N1438" s="1754" t="n">
        <v>10601.9822348521</v>
      </c>
      <c r="O1438" s="1788" t="inlineStr">
        <is>
          <t>Tabela de esquadrias enviada pela Gessele</t>
        </is>
      </c>
      <c r="P1438" s="1721" t="inlineStr">
        <is>
          <t>Pendente</t>
        </is>
      </c>
    </row>
    <row r="1439" hidden="1" outlineLevel="3" ht="13.5" customHeight="1">
      <c r="A1439" s="2117" t="n">
        <v>0</v>
      </c>
      <c r="B1439" s="2117" t="n">
        <v>18</v>
      </c>
      <c r="C1439" s="2117" t="n">
        <v>1</v>
      </c>
      <c r="D1439" s="2118" t="n">
        <v>2</v>
      </c>
      <c r="E1439" s="2118" t="n">
        <v>3</v>
      </c>
      <c r="G1439" s="1798" t="inlineStr">
        <is>
          <t>ESQUADRIAS, VIDROS E FERRAGENS</t>
        </is>
      </c>
      <c r="H1439" s="1783" t="inlineStr">
        <is>
          <t>SERVIÇO</t>
        </is>
      </c>
      <c r="I1439" s="1750" t="inlineStr">
        <is>
          <t>18.001.002.003</t>
        </is>
      </c>
      <c r="J1439" s="1785" t="inlineStr">
        <is>
          <t>Esquadrias de Alumínio - Janelas Bronze - fornecimento e instalação</t>
        </is>
      </c>
      <c r="K1439" s="1786" t="inlineStr">
        <is>
          <t>m2</t>
        </is>
      </c>
      <c r="L1439" s="1787" t="n">
        <v>107.015</v>
      </c>
      <c r="M1439" s="1787" t="n">
        <v>2873.78965116951</v>
      </c>
      <c r="N1439" s="1754" t="n">
        <v>307538.599519905</v>
      </c>
      <c r="O1439" s="1788" t="inlineStr">
        <is>
          <t>Tabela de esquadrias enviada pela Gessele</t>
        </is>
      </c>
      <c r="P1439" s="1721" t="inlineStr">
        <is>
          <t>Pendente</t>
        </is>
      </c>
    </row>
    <row r="1440" hidden="1" outlineLevel="3" ht="13.5" customHeight="1">
      <c r="A1440" s="2117" t="n">
        <v>0</v>
      </c>
      <c r="B1440" s="2117" t="n">
        <v>18</v>
      </c>
      <c r="C1440" s="2117" t="n">
        <v>1</v>
      </c>
      <c r="D1440" s="2118" t="n">
        <v>2</v>
      </c>
      <c r="E1440" s="2118" t="n">
        <v>4</v>
      </c>
      <c r="G1440" s="1798" t="inlineStr">
        <is>
          <t>ESQUADRIAS, VIDROS E FERRAGENS</t>
        </is>
      </c>
      <c r="H1440" s="1783" t="inlineStr">
        <is>
          <t>SERVIÇO</t>
        </is>
      </c>
      <c r="I1440" s="1750" t="inlineStr">
        <is>
          <t>18.001.002.004</t>
        </is>
      </c>
      <c r="J1440" s="1785" t="inlineStr">
        <is>
          <t>Esquadrias de Alumínio - Janelas Bronze Personalizada - fornecimento e instalação</t>
        </is>
      </c>
      <c r="K1440" s="1786" t="inlineStr">
        <is>
          <t>m2</t>
        </is>
      </c>
      <c r="L1440" s="1787" t="n">
        <v>134.535</v>
      </c>
      <c r="M1440" s="1787" t="n">
        <v>3623.413981491805</v>
      </c>
      <c r="N1440" s="1754" t="n">
        <v>487476</v>
      </c>
      <c r="O1440" s="1788" t="inlineStr">
        <is>
          <t>Tabela de esquadrias enviada pela Gessele</t>
        </is>
      </c>
      <c r="P1440" s="1721" t="inlineStr">
        <is>
          <t>Pendente</t>
        </is>
      </c>
    </row>
    <row r="1441" hidden="1" outlineLevel="3" ht="13.5" customHeight="1">
      <c r="A1441" s="2117" t="n">
        <v>0</v>
      </c>
      <c r="B1441" s="2117" t="n">
        <v>18</v>
      </c>
      <c r="C1441" s="2117" t="n">
        <v>1</v>
      </c>
      <c r="D1441" s="2118" t="n">
        <v>2</v>
      </c>
      <c r="E1441" s="2118" t="n">
        <v>5</v>
      </c>
      <c r="G1441" s="1798" t="inlineStr">
        <is>
          <t>ESQUADRIAS, VIDROS E FERRAGENS</t>
        </is>
      </c>
      <c r="H1441" s="1783" t="inlineStr">
        <is>
          <t>SERVIÇO</t>
        </is>
      </c>
      <c r="I1441" s="1750" t="inlineStr">
        <is>
          <t>18.001.002.005</t>
        </is>
      </c>
      <c r="J1441" s="1785" t="inlineStr">
        <is>
          <t>Porta principal, correr, 2+1+1 folhas, 420x840 cm</t>
        </is>
      </c>
      <c r="K1441" s="1786" t="inlineStr">
        <is>
          <t>un</t>
        </is>
      </c>
      <c r="L1441" s="1787" t="n">
        <v>1</v>
      </c>
      <c r="M1441" s="1787" t="n">
        <v>197568</v>
      </c>
      <c r="N1441" s="1754" t="n">
        <v>197568</v>
      </c>
      <c r="O1441" s="1788" t="inlineStr">
        <is>
          <t>Modelo do visus</t>
        </is>
      </c>
      <c r="P1441" s="1721" t="inlineStr">
        <is>
          <t>Pendente</t>
        </is>
      </c>
    </row>
    <row r="1442" hidden="1" outlineLevel="2" ht="12.75" customHeight="1">
      <c r="A1442" s="2117" t="n">
        <v>0</v>
      </c>
      <c r="B1442" s="2117" t="n">
        <v>18</v>
      </c>
      <c r="C1442" s="2117" t="n">
        <v>1</v>
      </c>
      <c r="D1442" s="2118" t="n">
        <v>3</v>
      </c>
      <c r="E1442" s="2118" t="n">
        <v>0</v>
      </c>
      <c r="G1442" s="1797" t="n"/>
      <c r="H1442" s="1777" t="inlineStr">
        <is>
          <t>SUBETAPA</t>
        </is>
      </c>
      <c r="I1442" s="1742" t="inlineStr">
        <is>
          <t>18.001.003</t>
        </is>
      </c>
      <c r="J1442" s="1779" t="inlineStr">
        <is>
          <t>Guarda corpo</t>
        </is>
      </c>
      <c r="K1442" s="1780" t="n"/>
      <c r="L1442" s="1781" t="n"/>
      <c r="M1442" s="1781" t="n"/>
      <c r="N1442" s="1746" t="n"/>
      <c r="O1442" s="1782" t="n"/>
      <c r="P1442" s="1720" t="n"/>
    </row>
    <row r="1443" hidden="1" outlineLevel="3" ht="12.75" customHeight="1">
      <c r="A1443" s="2117" t="n">
        <v>0</v>
      </c>
      <c r="B1443" s="2117" t="n">
        <v>18</v>
      </c>
      <c r="C1443" s="2117" t="n">
        <v>1</v>
      </c>
      <c r="D1443" s="2118" t="n">
        <v>3</v>
      </c>
      <c r="E1443" s="2118" t="n">
        <v>1</v>
      </c>
      <c r="G1443" s="1798" t="inlineStr">
        <is>
          <t>ESQUADRIAS, VIDROS E FERRAGENS</t>
        </is>
      </c>
      <c r="H1443" s="1783" t="inlineStr">
        <is>
          <t>SERVIÇO</t>
        </is>
      </c>
      <c r="I1443" s="1750" t="inlineStr">
        <is>
          <t>18.001.003.001</t>
        </is>
      </c>
      <c r="J1443" s="1785" t="inlineStr">
        <is>
          <t>Guarda Corpo de Vidro e Aluminio - fornecimento e instalação</t>
        </is>
      </c>
      <c r="K1443" s="1786" t="inlineStr">
        <is>
          <t>m2</t>
        </is>
      </c>
      <c r="L1443" s="1787" t="e">
        <v>#REF!</v>
      </c>
      <c r="M1443" s="1787" t="n">
        <v>1403.985</v>
      </c>
      <c r="N1443" s="1754" t="n"/>
      <c r="O1443" s="1788" t="inlineStr">
        <is>
          <t>Modelo do visus</t>
        </is>
      </c>
      <c r="P1443" s="1721" t="inlineStr">
        <is>
          <t>Pendente</t>
        </is>
      </c>
    </row>
    <row r="1444" hidden="1" outlineLevel="1" ht="13.5" customHeight="1">
      <c r="A1444" s="2117" t="n">
        <v>0</v>
      </c>
      <c r="B1444" s="2117" t="n">
        <v>18</v>
      </c>
      <c r="C1444" s="2117" t="n">
        <v>2</v>
      </c>
      <c r="D1444" s="2118" t="n">
        <v>0</v>
      </c>
      <c r="E1444" s="2118" t="n">
        <v>1</v>
      </c>
      <c r="G1444" s="1796" t="n"/>
      <c r="H1444" s="1771" t="inlineStr">
        <is>
          <t>ETAPA</t>
        </is>
      </c>
      <c r="I1444" s="1735" t="inlineStr">
        <is>
          <t>18.002</t>
        </is>
      </c>
      <c r="J1444" s="1773" t="inlineStr">
        <is>
          <t>ESQUADRIAS DE ALUMÍNIO - Mezanino G1</t>
        </is>
      </c>
      <c r="K1444" s="1774" t="n"/>
      <c r="L1444" s="1775" t="n"/>
      <c r="M1444" s="1775" t="n"/>
      <c r="N1444" s="1739" t="n"/>
      <c r="O1444" s="1776" t="n"/>
      <c r="P1444" s="1719" t="n"/>
    </row>
    <row r="1445" hidden="1" outlineLevel="2" ht="13.5" customHeight="1">
      <c r="A1445" s="2117" t="n">
        <v>0</v>
      </c>
      <c r="B1445" s="2117" t="n">
        <v>18</v>
      </c>
      <c r="C1445" s="2117" t="n">
        <v>2</v>
      </c>
      <c r="D1445" s="2118" t="n">
        <v>1</v>
      </c>
      <c r="E1445" s="2118" t="n">
        <v>0</v>
      </c>
      <c r="G1445" s="1797" t="n"/>
      <c r="H1445" s="1777" t="inlineStr">
        <is>
          <t>SUBETAPA</t>
        </is>
      </c>
      <c r="I1445" s="1742" t="inlineStr">
        <is>
          <t>18.002.001</t>
        </is>
      </c>
      <c r="J1445" s="1779" t="inlineStr">
        <is>
          <t>Contramarco</t>
        </is>
      </c>
      <c r="K1445" s="1780" t="n"/>
      <c r="L1445" s="1781" t="n"/>
      <c r="M1445" s="1781" t="n"/>
      <c r="N1445" s="1746" t="n">
        <v>478.744</v>
      </c>
      <c r="O1445" s="1782" t="n">
        <v>0.0285822944571445</v>
      </c>
      <c r="P1445" s="1720" t="n"/>
    </row>
    <row r="1446" hidden="1" outlineLevel="3" ht="13.5" customHeight="1">
      <c r="A1446" s="2117" t="n">
        <v>0</v>
      </c>
      <c r="B1446" s="2117" t="n">
        <v>18</v>
      </c>
      <c r="C1446" s="2117" t="n">
        <v>2</v>
      </c>
      <c r="D1446" s="2118" t="n">
        <v>1</v>
      </c>
      <c r="E1446" s="2118" t="n">
        <v>1</v>
      </c>
      <c r="G1446" s="1798" t="inlineStr">
        <is>
          <t>ESQUADRIAS, VIDROS E FERRAGENS</t>
        </is>
      </c>
      <c r="H1446" s="1783" t="inlineStr">
        <is>
          <t>SERVIÇO</t>
        </is>
      </c>
      <c r="I1446" s="1750" t="inlineStr">
        <is>
          <t>18.002.001.001</t>
        </is>
      </c>
      <c r="J1446" s="1785" t="inlineStr">
        <is>
          <t>Contramarco de Alumínio, Fixação com Argamassa</t>
        </is>
      </c>
      <c r="K1446" s="1786" t="inlineStr">
        <is>
          <t>m</t>
        </is>
      </c>
      <c r="L1446" s="1787" t="n">
        <v>20.6</v>
      </c>
      <c r="M1446" s="1787" t="n">
        <v>23.24</v>
      </c>
      <c r="N1446" s="1754" t="n">
        <v>478.744</v>
      </c>
      <c r="O1446" s="1788" t="inlineStr">
        <is>
          <t>Tabela de esquadrias enviada pela Gessele</t>
        </is>
      </c>
      <c r="P1446" s="1721" t="inlineStr">
        <is>
          <t>Pendente</t>
        </is>
      </c>
    </row>
    <row r="1447" hidden="1" outlineLevel="2" ht="13.5" customHeight="1">
      <c r="A1447" s="2117" t="n">
        <v>0</v>
      </c>
      <c r="B1447" s="2117" t="n">
        <v>18</v>
      </c>
      <c r="C1447" s="2117" t="n">
        <v>2</v>
      </c>
      <c r="D1447" s="2118" t="n">
        <v>2</v>
      </c>
      <c r="E1447" s="2118" t="n">
        <v>0</v>
      </c>
      <c r="G1447" s="1797" t="n"/>
      <c r="H1447" s="1777" t="inlineStr">
        <is>
          <t>SUBETAPA</t>
        </is>
      </c>
      <c r="I1447" s="1742" t="inlineStr">
        <is>
          <t>18.002.002</t>
        </is>
      </c>
      <c r="J1447" s="1779" t="inlineStr">
        <is>
          <t>Esquadrias de alumínio</t>
        </is>
      </c>
      <c r="K1447" s="1780" t="n"/>
      <c r="L1447" s="1781" t="n"/>
      <c r="M1447" s="1781" t="n"/>
      <c r="N1447" s="1746" t="n">
        <v>18223.1524392147</v>
      </c>
      <c r="O1447" s="1782" t="n"/>
      <c r="P1447" s="1720" t="n"/>
    </row>
    <row r="1448" hidden="1" outlineLevel="3" ht="13.5" customHeight="1">
      <c r="A1448" s="2117" t="n">
        <v>0</v>
      </c>
      <c r="B1448" s="2117" t="n">
        <v>18</v>
      </c>
      <c r="C1448" s="2117" t="n">
        <v>2</v>
      </c>
      <c r="D1448" s="2118" t="n">
        <v>2</v>
      </c>
      <c r="E1448" s="2118" t="n">
        <v>1</v>
      </c>
      <c r="G1448" s="1798" t="inlineStr">
        <is>
          <t>ESQUADRIAS, VIDROS E FERRAGENS</t>
        </is>
      </c>
      <c r="H1448" s="1783" t="inlineStr">
        <is>
          <t>SERVIÇO</t>
        </is>
      </c>
      <c r="I1448" s="1750" t="inlineStr">
        <is>
          <t>18.002.002.001</t>
        </is>
      </c>
      <c r="J1448" s="1785" t="inlineStr">
        <is>
          <t>Esquadrias de Alumínio - Portas - fornecimento e instalação</t>
        </is>
      </c>
      <c r="K1448" s="1786" t="inlineStr">
        <is>
          <t>m2</t>
        </is>
      </c>
      <c r="L1448" s="1787" t="n">
        <v>6</v>
      </c>
      <c r="M1448" s="1787" t="n">
        <v>1906.313968151559</v>
      </c>
      <c r="N1448" s="1754" t="n">
        <v>11437.8838089094</v>
      </c>
      <c r="O1448" s="1788" t="inlineStr">
        <is>
          <t>Tabela de esquadrias enviada pela Gessele</t>
        </is>
      </c>
      <c r="P1448" s="1721" t="inlineStr">
        <is>
          <t>Pendente</t>
        </is>
      </c>
    </row>
    <row r="1449" hidden="1" outlineLevel="3" ht="13.5" customHeight="1">
      <c r="A1449" s="2117" t="n">
        <v>0</v>
      </c>
      <c r="B1449" s="2117" t="n">
        <v>18</v>
      </c>
      <c r="C1449" s="2117" t="n">
        <v>2</v>
      </c>
      <c r="D1449" s="2118" t="n">
        <v>2</v>
      </c>
      <c r="E1449" s="2118" t="n">
        <v>2</v>
      </c>
      <c r="G1449" s="1798" t="inlineStr">
        <is>
          <t>ESQUADRIAS, VIDROS E FERRAGENS</t>
        </is>
      </c>
      <c r="H1449" s="1783" t="inlineStr">
        <is>
          <t>SERVIÇO</t>
        </is>
      </c>
      <c r="I1449" s="1750" t="inlineStr">
        <is>
          <t>18.002.002.002</t>
        </is>
      </c>
      <c r="J1449" s="1785" t="inlineStr">
        <is>
          <t>Esquadrias de Alumínio - Janelas - fornecimento e instalação</t>
        </is>
      </c>
      <c r="K1449" s="1786" t="inlineStr">
        <is>
          <t>m2</t>
        </is>
      </c>
      <c r="L1449" s="1787" t="n">
        <v>2.56</v>
      </c>
      <c r="M1449" s="1787" t="n">
        <v>2650.495558713029</v>
      </c>
      <c r="N1449" s="1754" t="n">
        <v>6785.26863030536</v>
      </c>
      <c r="O1449" s="1788" t="inlineStr">
        <is>
          <t>Tabela de esquadrias enviada pela Gessele</t>
        </is>
      </c>
      <c r="P1449" s="1721" t="inlineStr">
        <is>
          <t>Pendente</t>
        </is>
      </c>
    </row>
    <row r="1450" hidden="1" outlineLevel="2" ht="12.75" customHeight="1">
      <c r="A1450" s="2117" t="n">
        <v>0</v>
      </c>
      <c r="B1450" s="2117" t="n">
        <v>18</v>
      </c>
      <c r="C1450" s="2117" t="n">
        <v>2</v>
      </c>
      <c r="D1450" s="2118" t="n">
        <v>3</v>
      </c>
      <c r="E1450" s="2118" t="n">
        <v>0</v>
      </c>
      <c r="G1450" s="1797" t="n"/>
      <c r="H1450" s="1777" t="inlineStr">
        <is>
          <t>SUBETAPA</t>
        </is>
      </c>
      <c r="I1450" s="1742" t="inlineStr">
        <is>
          <t>18.002.003</t>
        </is>
      </c>
      <c r="J1450" s="1779" t="inlineStr">
        <is>
          <t>Guarda corpo</t>
        </is>
      </c>
      <c r="K1450" s="1780" t="n"/>
      <c r="L1450" s="1781" t="n"/>
      <c r="M1450" s="1781" t="n"/>
      <c r="N1450" s="1746" t="n"/>
      <c r="O1450" s="1782" t="n"/>
      <c r="P1450" s="1720" t="n"/>
    </row>
    <row r="1451" hidden="1" outlineLevel="3" ht="12.75" customHeight="1">
      <c r="A1451" s="2117" t="n">
        <v>0</v>
      </c>
      <c r="B1451" s="2117" t="n">
        <v>18</v>
      </c>
      <c r="C1451" s="2117" t="n">
        <v>2</v>
      </c>
      <c r="D1451" s="2118" t="n">
        <v>3</v>
      </c>
      <c r="E1451" s="2118" t="n">
        <v>1</v>
      </c>
      <c r="G1451" s="1798" t="inlineStr">
        <is>
          <t>ESQUADRIAS, VIDROS E FERRAGENS</t>
        </is>
      </c>
      <c r="H1451" s="1783" t="inlineStr">
        <is>
          <t>SERVIÇO</t>
        </is>
      </c>
      <c r="I1451" s="1750" t="inlineStr">
        <is>
          <t>18.002.003.001</t>
        </is>
      </c>
      <c r="J1451" s="1785" t="inlineStr">
        <is>
          <t>Guarda Corpo de Vidro e Aluminio - fornecimento e instalação</t>
        </is>
      </c>
      <c r="K1451" s="1786" t="inlineStr">
        <is>
          <t>m2</t>
        </is>
      </c>
      <c r="L1451" s="1787" t="e">
        <v>#REF!</v>
      </c>
      <c r="M1451" s="1787" t="n">
        <v>1403.985</v>
      </c>
      <c r="N1451" s="1754" t="n"/>
      <c r="O1451" s="1788" t="inlineStr">
        <is>
          <t>Modelo do visus</t>
        </is>
      </c>
      <c r="P1451" s="1721" t="inlineStr">
        <is>
          <t>Pendente</t>
        </is>
      </c>
    </row>
    <row r="1452" hidden="1" outlineLevel="2" ht="12.75" customHeight="1">
      <c r="A1452" s="2117" t="n">
        <v>0</v>
      </c>
      <c r="B1452" s="2117" t="n">
        <v>18</v>
      </c>
      <c r="C1452" s="2117" t="n">
        <v>2</v>
      </c>
      <c r="D1452" s="2118" t="n">
        <v>4</v>
      </c>
      <c r="E1452" s="2118" t="n">
        <v>0</v>
      </c>
      <c r="G1452" s="1797" t="n"/>
      <c r="H1452" s="1777" t="inlineStr">
        <is>
          <t>SUBETAPA</t>
        </is>
      </c>
      <c r="I1452" s="1742" t="inlineStr">
        <is>
          <t>18.002.004</t>
        </is>
      </c>
      <c r="J1452" s="1779" t="inlineStr">
        <is>
          <t>Brise de Aluminio</t>
        </is>
      </c>
      <c r="K1452" s="1780" t="n"/>
      <c r="L1452" s="1781" t="n"/>
      <c r="M1452" s="1781" t="n"/>
      <c r="N1452" s="1746" t="n"/>
      <c r="O1452" s="1782" t="n"/>
      <c r="P1452" s="1720" t="n"/>
    </row>
    <row r="1453" hidden="1" outlineLevel="3" ht="12.75" customHeight="1">
      <c r="A1453" s="2117" t="n">
        <v>0</v>
      </c>
      <c r="B1453" s="2117" t="n">
        <v>18</v>
      </c>
      <c r="C1453" s="2117" t="n">
        <v>2</v>
      </c>
      <c r="D1453" s="2118" t="n">
        <v>4</v>
      </c>
      <c r="E1453" s="2118" t="n">
        <v>1</v>
      </c>
      <c r="G1453" s="1798" t="inlineStr">
        <is>
          <t>ESQUADRIAS, VIDROS E FERRAGENS</t>
        </is>
      </c>
      <c r="H1453" s="1783" t="inlineStr">
        <is>
          <t>SERVIÇO</t>
        </is>
      </c>
      <c r="I1453" s="1750" t="inlineStr">
        <is>
          <t>18.002.004.001</t>
        </is>
      </c>
      <c r="J1453" s="1785" t="inlineStr">
        <is>
          <t>Brise de Alumínio - Decoração Fachada</t>
        </is>
      </c>
      <c r="K1453" s="1786" t="inlineStr">
        <is>
          <t>m2</t>
        </is>
      </c>
      <c r="L1453" s="1787" t="e">
        <v>#REF!</v>
      </c>
      <c r="M1453" s="1787" t="n">
        <v>2122.541389557096</v>
      </c>
      <c r="N1453" s="1754" t="n"/>
      <c r="O1453" s="1788" t="inlineStr">
        <is>
          <t>Modelo do visus</t>
        </is>
      </c>
      <c r="P1453" s="1721" t="inlineStr">
        <is>
          <t>Pendente</t>
        </is>
      </c>
    </row>
    <row r="1454" hidden="1" outlineLevel="1" ht="13.5" customHeight="1">
      <c r="A1454" s="2117" t="n">
        <v>0</v>
      </c>
      <c r="B1454" s="2117" t="n">
        <v>18</v>
      </c>
      <c r="C1454" s="2117" t="n">
        <v>3</v>
      </c>
      <c r="D1454" s="2118" t="n">
        <v>0</v>
      </c>
      <c r="E1454" s="2118" t="n">
        <v>1</v>
      </c>
      <c r="G1454" s="1796" t="n"/>
      <c r="H1454" s="1771" t="inlineStr">
        <is>
          <t>ETAPA</t>
        </is>
      </c>
      <c r="I1454" s="1735" t="inlineStr">
        <is>
          <t>18.003</t>
        </is>
      </c>
      <c r="J1454" s="1773" t="inlineStr">
        <is>
          <t>ESQUADRIAS DE ALUMÍNIO - G2</t>
        </is>
      </c>
      <c r="K1454" s="1774" t="n"/>
      <c r="L1454" s="1775" t="n"/>
      <c r="M1454" s="1775" t="n"/>
      <c r="N1454" s="1739" t="n"/>
      <c r="O1454" s="1776" t="n"/>
      <c r="P1454" s="1719" t="n"/>
    </row>
    <row r="1455" hidden="1" outlineLevel="2" ht="13.5" customHeight="1">
      <c r="A1455" s="2117" t="n">
        <v>0</v>
      </c>
      <c r="B1455" s="2117" t="n">
        <v>18</v>
      </c>
      <c r="C1455" s="2117" t="n">
        <v>3</v>
      </c>
      <c r="D1455" s="2118" t="n">
        <v>1</v>
      </c>
      <c r="E1455" s="2118" t="n">
        <v>0</v>
      </c>
      <c r="G1455" s="1797" t="n"/>
      <c r="H1455" s="1777" t="inlineStr">
        <is>
          <t>SUBETAPA</t>
        </is>
      </c>
      <c r="I1455" s="1742" t="inlineStr">
        <is>
          <t>18.003.001</t>
        </is>
      </c>
      <c r="J1455" s="1779" t="inlineStr">
        <is>
          <t>Contramarco</t>
        </is>
      </c>
      <c r="K1455" s="1780" t="n"/>
      <c r="L1455" s="1781" t="n"/>
      <c r="M1455" s="1781" t="n"/>
      <c r="N1455" s="1746" t="n">
        <v>223.104</v>
      </c>
      <c r="O1455" s="1782" t="n">
        <v>0.0133199042130382</v>
      </c>
      <c r="P1455" s="1720" t="n"/>
    </row>
    <row r="1456" hidden="1" outlineLevel="3" ht="13.5" customHeight="1">
      <c r="A1456" s="2117" t="n">
        <v>0</v>
      </c>
      <c r="B1456" s="2117" t="n">
        <v>18</v>
      </c>
      <c r="C1456" s="2117" t="n">
        <v>3</v>
      </c>
      <c r="D1456" s="2118" t="n">
        <v>1</v>
      </c>
      <c r="E1456" s="2118" t="n">
        <v>1</v>
      </c>
      <c r="G1456" s="1798" t="inlineStr">
        <is>
          <t>ESQUADRIAS, VIDROS E FERRAGENS</t>
        </is>
      </c>
      <c r="H1456" s="1783" t="inlineStr">
        <is>
          <t>SERVIÇO</t>
        </is>
      </c>
      <c r="I1456" s="1750" t="inlineStr">
        <is>
          <t>18.003.001.001</t>
        </is>
      </c>
      <c r="J1456" s="1785" t="inlineStr">
        <is>
          <t>Contramarco de Alumínio, Fixação com Argamassa</t>
        </is>
      </c>
      <c r="K1456" s="1786" t="inlineStr">
        <is>
          <t>m</t>
        </is>
      </c>
      <c r="L1456" s="1787" t="n">
        <v>9.600000000000001</v>
      </c>
      <c r="M1456" s="1787" t="n">
        <v>23.24</v>
      </c>
      <c r="N1456" s="1754" t="n">
        <v>223.104</v>
      </c>
      <c r="O1456" s="1788" t="inlineStr">
        <is>
          <t>Tabela de esquadrias enviada pela Gessele</t>
        </is>
      </c>
      <c r="P1456" s="1721" t="inlineStr">
        <is>
          <t>Pendente</t>
        </is>
      </c>
    </row>
    <row r="1457" hidden="1" outlineLevel="2" ht="13.5" customHeight="1">
      <c r="A1457" s="2117" t="n">
        <v>0</v>
      </c>
      <c r="B1457" s="2117" t="n">
        <v>18</v>
      </c>
      <c r="C1457" s="2117" t="n">
        <v>3</v>
      </c>
      <c r="D1457" s="2118" t="n">
        <v>2</v>
      </c>
      <c r="E1457" s="2118" t="n">
        <v>0</v>
      </c>
      <c r="G1457" s="1797" t="n"/>
      <c r="H1457" s="1777" t="inlineStr">
        <is>
          <t>SUBETAPA</t>
        </is>
      </c>
      <c r="I1457" s="1742" t="inlineStr">
        <is>
          <t>18.003.002</t>
        </is>
      </c>
      <c r="J1457" s="1779" t="inlineStr">
        <is>
          <t>Esquadrias de alumínio</t>
        </is>
      </c>
      <c r="K1457" s="1780" t="n"/>
      <c r="L1457" s="1781" t="n"/>
      <c r="M1457" s="1781" t="n"/>
      <c r="N1457" s="1746" t="n">
        <v>6785.26863030536</v>
      </c>
      <c r="O1457" s="1782" t="n"/>
      <c r="P1457" s="1720" t="n"/>
    </row>
    <row r="1458" hidden="1" outlineLevel="3" ht="13.5" customHeight="1">
      <c r="A1458" s="2117" t="n">
        <v>0</v>
      </c>
      <c r="B1458" s="2117" t="n">
        <v>18</v>
      </c>
      <c r="C1458" s="2117" t="n">
        <v>3</v>
      </c>
      <c r="D1458" s="2118" t="n">
        <v>2</v>
      </c>
      <c r="E1458" s="2118" t="n">
        <v>1</v>
      </c>
      <c r="G1458" s="1798" t="inlineStr">
        <is>
          <t>ESQUADRIAS, VIDROS E FERRAGENS</t>
        </is>
      </c>
      <c r="H1458" s="1783" t="inlineStr">
        <is>
          <t>SERVIÇO</t>
        </is>
      </c>
      <c r="I1458" s="1750" t="inlineStr">
        <is>
          <t>18.003.002.001</t>
        </is>
      </c>
      <c r="J1458" s="1785" t="inlineStr">
        <is>
          <t>Esquadrias de Alumínio - Janelas - fornecimento e instalação</t>
        </is>
      </c>
      <c r="K1458" s="1786" t="inlineStr">
        <is>
          <t>m2</t>
        </is>
      </c>
      <c r="L1458" s="1787" t="n">
        <v>2.56</v>
      </c>
      <c r="M1458" s="1787" t="n">
        <v>2650.495558713029</v>
      </c>
      <c r="N1458" s="1754" t="n">
        <v>6785.26863030536</v>
      </c>
      <c r="O1458" s="1788" t="inlineStr">
        <is>
          <t>Tabela de esquadrias enviada pela Gessele</t>
        </is>
      </c>
      <c r="P1458" s="1721" t="inlineStr">
        <is>
          <t>Pendente</t>
        </is>
      </c>
    </row>
    <row r="1459" hidden="1" outlineLevel="2" ht="12.75" customHeight="1">
      <c r="A1459" s="2117" t="n">
        <v>0</v>
      </c>
      <c r="B1459" s="2117" t="n">
        <v>18</v>
      </c>
      <c r="C1459" s="2117" t="n">
        <v>3</v>
      </c>
      <c r="D1459" s="2118" t="n">
        <v>3</v>
      </c>
      <c r="E1459" s="2118" t="n">
        <v>0</v>
      </c>
      <c r="G1459" s="1797" t="n"/>
      <c r="H1459" s="1777" t="inlineStr">
        <is>
          <t>SUBETAPA</t>
        </is>
      </c>
      <c r="I1459" s="1742" t="inlineStr">
        <is>
          <t>18.003.003</t>
        </is>
      </c>
      <c r="J1459" s="1779" t="inlineStr">
        <is>
          <t>Brise de Aluminio</t>
        </is>
      </c>
      <c r="K1459" s="1780" t="n"/>
      <c r="L1459" s="1781" t="n"/>
      <c r="M1459" s="1781" t="n"/>
      <c r="N1459" s="1746" t="n"/>
      <c r="O1459" s="1782" t="n"/>
      <c r="P1459" s="1720" t="n"/>
    </row>
    <row r="1460" hidden="1" outlineLevel="3" ht="12.75" customHeight="1">
      <c r="A1460" s="2117" t="n">
        <v>0</v>
      </c>
      <c r="B1460" s="2117" t="n">
        <v>18</v>
      </c>
      <c r="C1460" s="2117" t="n">
        <v>3</v>
      </c>
      <c r="D1460" s="2118" t="n">
        <v>3</v>
      </c>
      <c r="E1460" s="2118" t="n">
        <v>1</v>
      </c>
      <c r="G1460" s="1798" t="inlineStr">
        <is>
          <t>ESQUADRIAS, VIDROS E FERRAGENS</t>
        </is>
      </c>
      <c r="H1460" s="1783" t="inlineStr">
        <is>
          <t>SERVIÇO</t>
        </is>
      </c>
      <c r="I1460" s="1750" t="inlineStr">
        <is>
          <t>18.003.003.001</t>
        </is>
      </c>
      <c r="J1460" s="1785" t="inlineStr">
        <is>
          <t>Brise de Alumínio - Decoração Fachada</t>
        </is>
      </c>
      <c r="K1460" s="1786" t="inlineStr">
        <is>
          <t>m2</t>
        </is>
      </c>
      <c r="L1460" s="1787" t="e">
        <v>#REF!</v>
      </c>
      <c r="M1460" s="1787" t="n">
        <v>2122.541389557096</v>
      </c>
      <c r="N1460" s="1754" t="n"/>
      <c r="O1460" s="1788" t="inlineStr">
        <is>
          <t>Modelo do visus</t>
        </is>
      </c>
      <c r="P1460" s="1721" t="inlineStr">
        <is>
          <t>Pendente</t>
        </is>
      </c>
    </row>
    <row r="1461" hidden="1" outlineLevel="2" ht="12.75" customHeight="1">
      <c r="A1461" s="2117" t="n">
        <v>0</v>
      </c>
      <c r="B1461" s="2117" t="n">
        <v>18</v>
      </c>
      <c r="C1461" s="2117" t="n">
        <v>3</v>
      </c>
      <c r="D1461" s="2118" t="n">
        <v>4</v>
      </c>
      <c r="E1461" s="2118" t="n">
        <v>0</v>
      </c>
      <c r="G1461" s="1797" t="n"/>
      <c r="H1461" s="1777" t="inlineStr">
        <is>
          <t>SUBETAPA</t>
        </is>
      </c>
      <c r="I1461" s="1742" t="inlineStr">
        <is>
          <t>18.003.004</t>
        </is>
      </c>
      <c r="J1461" s="1779" t="inlineStr">
        <is>
          <t>Pele de vidro</t>
        </is>
      </c>
      <c r="K1461" s="1780" t="n"/>
      <c r="L1461" s="1781" t="n"/>
      <c r="M1461" s="1781" t="n"/>
      <c r="N1461" s="1746" t="n"/>
      <c r="O1461" s="1782" t="n"/>
      <c r="P1461" s="1720" t="n"/>
    </row>
    <row r="1462" hidden="1" outlineLevel="3" ht="13.5" customHeight="1">
      <c r="A1462" s="2117" t="n">
        <v>0</v>
      </c>
      <c r="B1462" s="2117" t="n">
        <v>18</v>
      </c>
      <c r="C1462" s="2117" t="n">
        <v>3</v>
      </c>
      <c r="D1462" s="2118" t="n">
        <v>4</v>
      </c>
      <c r="E1462" s="2118" t="n">
        <v>1</v>
      </c>
      <c r="G1462" s="1798" t="inlineStr">
        <is>
          <t>ESQUADRIAS, VIDROS E FERRAGENS</t>
        </is>
      </c>
      <c r="H1462" s="1783" t="inlineStr">
        <is>
          <t>SERVIÇO</t>
        </is>
      </c>
      <c r="I1462" s="1750" t="inlineStr">
        <is>
          <t>18.003.004.001</t>
        </is>
      </c>
      <c r="J1462" s="1785" t="inlineStr">
        <is>
          <t>Pele de vidro</t>
        </is>
      </c>
      <c r="K1462" s="1786" t="inlineStr">
        <is>
          <t>m2</t>
        </is>
      </c>
      <c r="L1462" s="1787" t="e">
        <v>#REF!</v>
      </c>
      <c r="M1462" s="1787" t="n">
        <v>1533.99</v>
      </c>
      <c r="N1462" s="1754" t="n"/>
      <c r="O1462" s="1788" t="inlineStr">
        <is>
          <t>Modelo do visus</t>
        </is>
      </c>
      <c r="P1462" s="1721" t="inlineStr">
        <is>
          <t>Pendente</t>
        </is>
      </c>
    </row>
    <row r="1463" hidden="1" outlineLevel="1" ht="13.5" customHeight="1">
      <c r="A1463" s="2117" t="n">
        <v>0</v>
      </c>
      <c r="B1463" s="2117" t="n">
        <v>18</v>
      </c>
      <c r="C1463" s="2117" t="n">
        <v>4</v>
      </c>
      <c r="D1463" s="2118" t="n">
        <v>0</v>
      </c>
      <c r="E1463" s="2118" t="n">
        <v>1</v>
      </c>
      <c r="G1463" s="1796" t="n"/>
      <c r="H1463" s="1771" t="inlineStr">
        <is>
          <t>ETAPA</t>
        </is>
      </c>
      <c r="I1463" s="1735" t="inlineStr">
        <is>
          <t>18.004</t>
        </is>
      </c>
      <c r="J1463" s="1773" t="inlineStr">
        <is>
          <t>ESQUADRIAS DE ALUMÍNIO - Mezanino G2</t>
        </is>
      </c>
      <c r="K1463" s="1774" t="n"/>
      <c r="L1463" s="1775" t="n"/>
      <c r="M1463" s="1775" t="n"/>
      <c r="N1463" s="1739" t="n"/>
      <c r="O1463" s="1776" t="n"/>
      <c r="P1463" s="1719" t="n"/>
    </row>
    <row r="1464" hidden="1" outlineLevel="2" ht="13.5" customHeight="1">
      <c r="A1464" s="2117" t="n">
        <v>0</v>
      </c>
      <c r="B1464" s="2117" t="n">
        <v>18</v>
      </c>
      <c r="C1464" s="2117" t="n">
        <v>4</v>
      </c>
      <c r="D1464" s="2118" t="n">
        <v>1</v>
      </c>
      <c r="E1464" s="2118" t="n">
        <v>0</v>
      </c>
      <c r="G1464" s="1797" t="n"/>
      <c r="H1464" s="1777" t="inlineStr">
        <is>
          <t>SUBETAPA</t>
        </is>
      </c>
      <c r="I1464" s="1742" t="inlineStr">
        <is>
          <t>18.004.001</t>
        </is>
      </c>
      <c r="J1464" s="1779" t="inlineStr">
        <is>
          <t>Contramarco</t>
        </is>
      </c>
      <c r="K1464" s="1780" t="n"/>
      <c r="L1464" s="1781" t="n"/>
      <c r="M1464" s="1781" t="n"/>
      <c r="N1464" s="1746" t="n">
        <v>223.104</v>
      </c>
      <c r="O1464" s="1782" t="n">
        <v>0.0133199042130382</v>
      </c>
      <c r="P1464" s="1720" t="n"/>
    </row>
    <row r="1465" hidden="1" outlineLevel="3" ht="13.5" customHeight="1">
      <c r="A1465" s="2117" t="n">
        <v>0</v>
      </c>
      <c r="B1465" s="2117" t="n">
        <v>18</v>
      </c>
      <c r="C1465" s="2117" t="n">
        <v>4</v>
      </c>
      <c r="D1465" s="2118" t="n">
        <v>1</v>
      </c>
      <c r="E1465" s="2118" t="n">
        <v>1</v>
      </c>
      <c r="G1465" s="1798" t="inlineStr">
        <is>
          <t>ESQUADRIAS, VIDROS E FERRAGENS</t>
        </is>
      </c>
      <c r="H1465" s="1783" t="inlineStr">
        <is>
          <t>SERVIÇO</t>
        </is>
      </c>
      <c r="I1465" s="1750" t="inlineStr">
        <is>
          <t>18.004.001.001</t>
        </is>
      </c>
      <c r="J1465" s="1785" t="inlineStr">
        <is>
          <t>Contramarco de Alumínio, Fixação com Argamassa</t>
        </is>
      </c>
      <c r="K1465" s="1786" t="inlineStr">
        <is>
          <t>m</t>
        </is>
      </c>
      <c r="L1465" s="1787" t="n">
        <v>9.600000000000001</v>
      </c>
      <c r="M1465" s="1787" t="n">
        <v>23.24</v>
      </c>
      <c r="N1465" s="1754" t="n">
        <v>223.104</v>
      </c>
      <c r="O1465" s="1788" t="inlineStr">
        <is>
          <t>Tabela de esquadrias enviada pela Gessele</t>
        </is>
      </c>
      <c r="P1465" s="1721" t="inlineStr">
        <is>
          <t>Pendente</t>
        </is>
      </c>
    </row>
    <row r="1466" hidden="1" outlineLevel="2" ht="13.5" customHeight="1">
      <c r="A1466" s="2117" t="n">
        <v>0</v>
      </c>
      <c r="B1466" s="2117" t="n">
        <v>18</v>
      </c>
      <c r="C1466" s="2117" t="n">
        <v>4</v>
      </c>
      <c r="D1466" s="2118" t="n">
        <v>2</v>
      </c>
      <c r="E1466" s="2118" t="n">
        <v>0</v>
      </c>
      <c r="G1466" s="1797" t="n"/>
      <c r="H1466" s="1777" t="inlineStr">
        <is>
          <t>SUBETAPA</t>
        </is>
      </c>
      <c r="I1466" s="1742" t="inlineStr">
        <is>
          <t>18.004.002</t>
        </is>
      </c>
      <c r="J1466" s="1779" t="inlineStr">
        <is>
          <t>Esquadrias de alumínio</t>
        </is>
      </c>
      <c r="K1466" s="1780" t="n"/>
      <c r="L1466" s="1781" t="n"/>
      <c r="M1466" s="1781" t="n"/>
      <c r="N1466" s="1746" t="n">
        <v>6785.26863030536</v>
      </c>
      <c r="O1466" s="1782" t="n"/>
      <c r="P1466" s="1720" t="n"/>
    </row>
    <row r="1467" hidden="1" outlineLevel="3" ht="13.5" customHeight="1">
      <c r="A1467" s="2117" t="n">
        <v>0</v>
      </c>
      <c r="B1467" s="2117" t="n">
        <v>18</v>
      </c>
      <c r="C1467" s="2117" t="n">
        <v>4</v>
      </c>
      <c r="D1467" s="2118" t="n">
        <v>2</v>
      </c>
      <c r="E1467" s="2118" t="n">
        <v>1</v>
      </c>
      <c r="G1467" s="1798" t="inlineStr">
        <is>
          <t>ESQUADRIAS, VIDROS E FERRAGENS</t>
        </is>
      </c>
      <c r="H1467" s="1783" t="inlineStr">
        <is>
          <t>SERVIÇO</t>
        </is>
      </c>
      <c r="I1467" s="1750" t="inlineStr">
        <is>
          <t>18.004.002.001</t>
        </is>
      </c>
      <c r="J1467" s="1785" t="inlineStr">
        <is>
          <t>Esquadrias de Alumínio - Janelas - fornecimento e instalação</t>
        </is>
      </c>
      <c r="K1467" s="1786" t="inlineStr">
        <is>
          <t>m2</t>
        </is>
      </c>
      <c r="L1467" s="1787" t="n">
        <v>2.56</v>
      </c>
      <c r="M1467" s="1787" t="n">
        <v>2650.495558713029</v>
      </c>
      <c r="N1467" s="1754" t="n">
        <v>6785.26863030536</v>
      </c>
      <c r="O1467" s="1788" t="inlineStr">
        <is>
          <t>Tabela de esquadrias enviada pela Gessele</t>
        </is>
      </c>
      <c r="P1467" s="1721" t="inlineStr">
        <is>
          <t>Pendente</t>
        </is>
      </c>
    </row>
    <row r="1468" hidden="1" outlineLevel="2" ht="12.75" customHeight="1">
      <c r="A1468" s="2117" t="n">
        <v>0</v>
      </c>
      <c r="B1468" s="2117" t="n">
        <v>18</v>
      </c>
      <c r="C1468" s="2117" t="n">
        <v>4</v>
      </c>
      <c r="D1468" s="2118" t="n">
        <v>3</v>
      </c>
      <c r="E1468" s="2118" t="n">
        <v>0</v>
      </c>
      <c r="G1468" s="1797" t="n"/>
      <c r="H1468" s="1777" t="inlineStr">
        <is>
          <t>SUBETAPA</t>
        </is>
      </c>
      <c r="I1468" s="1742" t="inlineStr">
        <is>
          <t>18.004.003</t>
        </is>
      </c>
      <c r="J1468" s="1779" t="inlineStr">
        <is>
          <t>Pele de vidro</t>
        </is>
      </c>
      <c r="K1468" s="1780" t="n"/>
      <c r="L1468" s="1781" t="n"/>
      <c r="M1468" s="1781" t="n"/>
      <c r="N1468" s="1746" t="n"/>
      <c r="O1468" s="1782" t="n"/>
      <c r="P1468" s="1720" t="n"/>
    </row>
    <row r="1469" hidden="1" outlineLevel="3" ht="13.5" customHeight="1">
      <c r="A1469" s="2117" t="n">
        <v>0</v>
      </c>
      <c r="B1469" s="2117" t="n">
        <v>18</v>
      </c>
      <c r="C1469" s="2117" t="n">
        <v>4</v>
      </c>
      <c r="D1469" s="2118" t="n">
        <v>3</v>
      </c>
      <c r="E1469" s="2118" t="n">
        <v>1</v>
      </c>
      <c r="G1469" s="1798" t="inlineStr">
        <is>
          <t>ESQUADRIAS, VIDROS E FERRAGENS</t>
        </is>
      </c>
      <c r="H1469" s="1783" t="inlineStr">
        <is>
          <t>SERVIÇO</t>
        </is>
      </c>
      <c r="I1469" s="1750" t="inlineStr">
        <is>
          <t>18.004.003.001</t>
        </is>
      </c>
      <c r="J1469" s="1785" t="inlineStr">
        <is>
          <t>Pele de vidro</t>
        </is>
      </c>
      <c r="K1469" s="1786" t="inlineStr">
        <is>
          <t>m2</t>
        </is>
      </c>
      <c r="L1469" s="1787" t="e">
        <v>#REF!</v>
      </c>
      <c r="M1469" s="1787" t="n">
        <v>1533.99</v>
      </c>
      <c r="N1469" s="1754" t="n"/>
      <c r="O1469" s="1788" t="inlineStr">
        <is>
          <t>Modelo do visus</t>
        </is>
      </c>
      <c r="P1469" s="1721" t="inlineStr">
        <is>
          <t>Pendente</t>
        </is>
      </c>
    </row>
    <row r="1470" hidden="1" outlineLevel="1" ht="13.5" customHeight="1">
      <c r="A1470" s="2117" t="n">
        <v>0</v>
      </c>
      <c r="B1470" s="2117" t="n">
        <v>18</v>
      </c>
      <c r="C1470" s="2117" t="n">
        <v>5</v>
      </c>
      <c r="D1470" s="2118" t="n">
        <v>0</v>
      </c>
      <c r="E1470" s="2118" t="n">
        <v>1</v>
      </c>
      <c r="G1470" s="1796" t="n"/>
      <c r="H1470" s="1771" t="inlineStr">
        <is>
          <t>ETAPA</t>
        </is>
      </c>
      <c r="I1470" s="1735" t="inlineStr">
        <is>
          <t>18.005</t>
        </is>
      </c>
      <c r="J1470" s="1773" t="inlineStr">
        <is>
          <t>ESQUADRIAS DE ALUMÍNIO - G3</t>
        </is>
      </c>
      <c r="K1470" s="1774" t="n"/>
      <c r="L1470" s="1775" t="n"/>
      <c r="M1470" s="1775" t="n"/>
      <c r="N1470" s="1739" t="n"/>
      <c r="O1470" s="1776" t="n"/>
      <c r="P1470" s="1719" t="n"/>
    </row>
    <row r="1471" hidden="1" outlineLevel="2" ht="13.5" customHeight="1">
      <c r="A1471" s="2117" t="n">
        <v>0</v>
      </c>
      <c r="B1471" s="2117" t="n">
        <v>18</v>
      </c>
      <c r="C1471" s="2117" t="n">
        <v>5</v>
      </c>
      <c r="D1471" s="2118" t="n">
        <v>1</v>
      </c>
      <c r="E1471" s="2118" t="n">
        <v>0</v>
      </c>
      <c r="G1471" s="1797" t="n"/>
      <c r="H1471" s="1777" t="inlineStr">
        <is>
          <t>SUBETAPA</t>
        </is>
      </c>
      <c r="I1471" s="1742" t="inlineStr">
        <is>
          <t>18.005.001</t>
        </is>
      </c>
      <c r="J1471" s="1779" t="inlineStr">
        <is>
          <t>Contramarco</t>
        </is>
      </c>
      <c r="K1471" s="1780" t="n"/>
      <c r="L1471" s="1781" t="n"/>
      <c r="M1471" s="1781" t="n"/>
      <c r="N1471" s="1746" t="n">
        <v>223.104</v>
      </c>
      <c r="O1471" s="1782" t="n">
        <v>0.0133199042130382</v>
      </c>
      <c r="P1471" s="1720" t="n"/>
    </row>
    <row r="1472" hidden="1" outlineLevel="3" ht="13.5" customHeight="1">
      <c r="A1472" s="2117" t="n">
        <v>0</v>
      </c>
      <c r="B1472" s="2117" t="n">
        <v>18</v>
      </c>
      <c r="C1472" s="2117" t="n">
        <v>5</v>
      </c>
      <c r="D1472" s="2118" t="n">
        <v>1</v>
      </c>
      <c r="E1472" s="2118" t="n">
        <v>1</v>
      </c>
      <c r="G1472" s="1798" t="inlineStr">
        <is>
          <t>ESQUADRIAS, VIDROS E FERRAGENS</t>
        </is>
      </c>
      <c r="H1472" s="1783" t="inlineStr">
        <is>
          <t>SERVIÇO</t>
        </is>
      </c>
      <c r="I1472" s="1750" t="inlineStr">
        <is>
          <t>18.005.001.001</t>
        </is>
      </c>
      <c r="J1472" s="1785" t="inlineStr">
        <is>
          <t>Contramarco de Alumínio, Fixação com Argamassa</t>
        </is>
      </c>
      <c r="K1472" s="1786" t="inlineStr">
        <is>
          <t>m</t>
        </is>
      </c>
      <c r="L1472" s="1787" t="n">
        <v>9.600000000000001</v>
      </c>
      <c r="M1472" s="1787" t="n">
        <v>23.24</v>
      </c>
      <c r="N1472" s="1754" t="n">
        <v>223.104</v>
      </c>
      <c r="O1472" s="1788" t="inlineStr">
        <is>
          <t>Tabela de esquadrias enviada pela Gessele</t>
        </is>
      </c>
      <c r="P1472" s="1721" t="inlineStr">
        <is>
          <t>Pendente</t>
        </is>
      </c>
    </row>
    <row r="1473" hidden="1" outlineLevel="2" ht="13.5" customHeight="1">
      <c r="A1473" s="2117" t="n">
        <v>0</v>
      </c>
      <c r="B1473" s="2117" t="n">
        <v>18</v>
      </c>
      <c r="C1473" s="2117" t="n">
        <v>5</v>
      </c>
      <c r="D1473" s="2118" t="n">
        <v>2</v>
      </c>
      <c r="E1473" s="2118" t="n">
        <v>0</v>
      </c>
      <c r="G1473" s="1797" t="n"/>
      <c r="H1473" s="1777" t="inlineStr">
        <is>
          <t>SUBETAPA</t>
        </is>
      </c>
      <c r="I1473" s="1742" t="inlineStr">
        <is>
          <t>18.005.002</t>
        </is>
      </c>
      <c r="J1473" s="1779" t="inlineStr">
        <is>
          <t>Esquadrias de alumínio</t>
        </is>
      </c>
      <c r="K1473" s="1780" t="n"/>
      <c r="L1473" s="1781" t="n"/>
      <c r="M1473" s="1781" t="n"/>
      <c r="N1473" s="1746" t="n">
        <v>6785.26863030536</v>
      </c>
      <c r="O1473" s="1782" t="n"/>
      <c r="P1473" s="1720" t="n"/>
    </row>
    <row r="1474" hidden="1" outlineLevel="3" ht="13.5" customHeight="1">
      <c r="A1474" s="2117" t="n">
        <v>0</v>
      </c>
      <c r="B1474" s="2117" t="n">
        <v>18</v>
      </c>
      <c r="C1474" s="2117" t="n">
        <v>5</v>
      </c>
      <c r="D1474" s="2118" t="n">
        <v>2</v>
      </c>
      <c r="E1474" s="2118" t="n">
        <v>1</v>
      </c>
      <c r="G1474" s="1798" t="inlineStr">
        <is>
          <t>ESQUADRIAS, VIDROS E FERRAGENS</t>
        </is>
      </c>
      <c r="H1474" s="1783" t="inlineStr">
        <is>
          <t>SERVIÇO</t>
        </is>
      </c>
      <c r="I1474" s="1750" t="inlineStr">
        <is>
          <t>18.005.002.001</t>
        </is>
      </c>
      <c r="J1474" s="1785" t="inlineStr">
        <is>
          <t>Esquadrias de Alumínio - Janelas - fornecimento e instalação</t>
        </is>
      </c>
      <c r="K1474" s="1786" t="inlineStr">
        <is>
          <t>m2</t>
        </is>
      </c>
      <c r="L1474" s="1787" t="n">
        <v>2.56</v>
      </c>
      <c r="M1474" s="1787" t="n">
        <v>2650.495558713029</v>
      </c>
      <c r="N1474" s="1754" t="n">
        <v>6785.26863030536</v>
      </c>
      <c r="O1474" s="1788" t="inlineStr">
        <is>
          <t>Tabela de esquadrias enviada pela Gessele</t>
        </is>
      </c>
      <c r="P1474" s="1721" t="inlineStr">
        <is>
          <t>Pendente</t>
        </is>
      </c>
    </row>
    <row r="1475" hidden="1" outlineLevel="2" ht="12.75" customHeight="1">
      <c r="A1475" s="2117" t="n">
        <v>0</v>
      </c>
      <c r="B1475" s="2117" t="n">
        <v>18</v>
      </c>
      <c r="C1475" s="2117" t="n">
        <v>5</v>
      </c>
      <c r="D1475" s="2118" t="n">
        <v>3</v>
      </c>
      <c r="E1475" s="2118" t="n">
        <v>0</v>
      </c>
      <c r="G1475" s="1797" t="n"/>
      <c r="H1475" s="1777" t="inlineStr">
        <is>
          <t>SUBETAPA</t>
        </is>
      </c>
      <c r="I1475" s="1742" t="inlineStr">
        <is>
          <t>18.005.003</t>
        </is>
      </c>
      <c r="J1475" s="1779" t="inlineStr">
        <is>
          <t>Pele de vidro</t>
        </is>
      </c>
      <c r="K1475" s="1780" t="n"/>
      <c r="L1475" s="1781" t="n"/>
      <c r="M1475" s="1781" t="n"/>
      <c r="N1475" s="1746" t="n"/>
      <c r="O1475" s="1782" t="n"/>
      <c r="P1475" s="1720" t="n"/>
    </row>
    <row r="1476" hidden="1" outlineLevel="3" ht="13.5" customHeight="1">
      <c r="A1476" s="2117" t="n">
        <v>0</v>
      </c>
      <c r="B1476" s="2117" t="n">
        <v>18</v>
      </c>
      <c r="C1476" s="2117" t="n">
        <v>5</v>
      </c>
      <c r="D1476" s="2118" t="n">
        <v>3</v>
      </c>
      <c r="E1476" s="2118" t="n">
        <v>1</v>
      </c>
      <c r="G1476" s="1798" t="inlineStr">
        <is>
          <t>ESQUADRIAS, VIDROS E FERRAGENS</t>
        </is>
      </c>
      <c r="H1476" s="1783" t="inlineStr">
        <is>
          <t>SERVIÇO</t>
        </is>
      </c>
      <c r="I1476" s="1750" t="inlineStr">
        <is>
          <t>18.005.003.001</t>
        </is>
      </c>
      <c r="J1476" s="1785" t="inlineStr">
        <is>
          <t>Pele de vidro</t>
        </is>
      </c>
      <c r="K1476" s="1786" t="inlineStr">
        <is>
          <t>m2</t>
        </is>
      </c>
      <c r="L1476" s="1787" t="e">
        <v>#REF!</v>
      </c>
      <c r="M1476" s="1787" t="n">
        <v>1533.99</v>
      </c>
      <c r="N1476" s="1754" t="n"/>
      <c r="O1476" s="1788" t="inlineStr">
        <is>
          <t>Modelo do visus</t>
        </is>
      </c>
      <c r="P1476" s="1721" t="inlineStr">
        <is>
          <t>Pendente</t>
        </is>
      </c>
    </row>
    <row r="1477" hidden="1" outlineLevel="1" ht="13.5" customHeight="1">
      <c r="A1477" s="2117" t="n">
        <v>0</v>
      </c>
      <c r="B1477" s="2117" t="n">
        <v>18</v>
      </c>
      <c r="C1477" s="2117" t="n">
        <v>6</v>
      </c>
      <c r="D1477" s="2118" t="n">
        <v>0</v>
      </c>
      <c r="E1477" s="2118" t="n">
        <v>1</v>
      </c>
      <c r="G1477" s="1796" t="n"/>
      <c r="H1477" s="1771" t="inlineStr">
        <is>
          <t>ETAPA</t>
        </is>
      </c>
      <c r="I1477" s="1735" t="inlineStr">
        <is>
          <t>18.006</t>
        </is>
      </c>
      <c r="J1477" s="1773" t="inlineStr">
        <is>
          <t>ESQUADRIAS DE ALUMÍNIO - Mezanino G3</t>
        </is>
      </c>
      <c r="K1477" s="1774" t="n"/>
      <c r="L1477" s="1775" t="n"/>
      <c r="M1477" s="1775" t="n"/>
      <c r="N1477" s="1739" t="n"/>
      <c r="O1477" s="1776" t="n"/>
      <c r="P1477" s="1719" t="n"/>
    </row>
    <row r="1478" hidden="1" outlineLevel="2" ht="13.5" customHeight="1">
      <c r="A1478" s="2117" t="n">
        <v>0</v>
      </c>
      <c r="B1478" s="2117" t="n">
        <v>18</v>
      </c>
      <c r="C1478" s="2117" t="n">
        <v>6</v>
      </c>
      <c r="D1478" s="2118" t="n">
        <v>1</v>
      </c>
      <c r="E1478" s="2118" t="n">
        <v>0</v>
      </c>
      <c r="G1478" s="1797" t="n"/>
      <c r="H1478" s="1777" t="inlineStr">
        <is>
          <t>SUBETAPA</t>
        </is>
      </c>
      <c r="I1478" s="1742" t="inlineStr">
        <is>
          <t>18.006.001</t>
        </is>
      </c>
      <c r="J1478" s="1779" t="inlineStr">
        <is>
          <t>Contramarco</t>
        </is>
      </c>
      <c r="K1478" s="1780" t="n"/>
      <c r="L1478" s="1781" t="n"/>
      <c r="M1478" s="1781" t="n"/>
      <c r="N1478" s="1746" t="n">
        <v>341.628</v>
      </c>
      <c r="O1478" s="1782" t="n">
        <v>0.0203961033262148</v>
      </c>
      <c r="P1478" s="1720" t="n"/>
    </row>
    <row r="1479" hidden="1" outlineLevel="3" ht="13.5" customHeight="1">
      <c r="A1479" s="2117" t="n">
        <v>0</v>
      </c>
      <c r="B1479" s="2117" t="n">
        <v>18</v>
      </c>
      <c r="C1479" s="2117" t="n">
        <v>6</v>
      </c>
      <c r="D1479" s="2118" t="n">
        <v>1</v>
      </c>
      <c r="E1479" s="2118" t="n">
        <v>1</v>
      </c>
      <c r="G1479" s="1798" t="inlineStr">
        <is>
          <t>ESQUADRIAS, VIDROS E FERRAGENS</t>
        </is>
      </c>
      <c r="H1479" s="1783" t="inlineStr">
        <is>
          <t>SERVIÇO</t>
        </is>
      </c>
      <c r="I1479" s="1750" t="inlineStr">
        <is>
          <t>18.006.001.001</t>
        </is>
      </c>
      <c r="J1479" s="1785" t="inlineStr">
        <is>
          <t>Contramarco de Alumínio, Fixação com Argamassa</t>
        </is>
      </c>
      <c r="K1479" s="1786" t="inlineStr">
        <is>
          <t>m</t>
        </is>
      </c>
      <c r="L1479" s="1787" t="n">
        <v>14.7</v>
      </c>
      <c r="M1479" s="1787" t="n">
        <v>23.24</v>
      </c>
      <c r="N1479" s="1754" t="n">
        <v>341.628</v>
      </c>
      <c r="O1479" s="1788" t="inlineStr">
        <is>
          <t>Tabela de esquadrias enviada pela Gessele</t>
        </is>
      </c>
      <c r="P1479" s="1721" t="inlineStr">
        <is>
          <t>Pendente</t>
        </is>
      </c>
    </row>
    <row r="1480" hidden="1" outlineLevel="2" ht="13.5" customHeight="1">
      <c r="A1480" s="2117" t="n">
        <v>0</v>
      </c>
      <c r="B1480" s="2117" t="n">
        <v>18</v>
      </c>
      <c r="C1480" s="2117" t="n">
        <v>6</v>
      </c>
      <c r="D1480" s="2118" t="n">
        <v>2</v>
      </c>
      <c r="E1480" s="2118" t="n">
        <v>0</v>
      </c>
      <c r="G1480" s="1797" t="n"/>
      <c r="H1480" s="1777" t="inlineStr">
        <is>
          <t>SUBETAPA</t>
        </is>
      </c>
      <c r="I1480" s="1742" t="inlineStr">
        <is>
          <t>18.006.002</t>
        </is>
      </c>
      <c r="J1480" s="1779" t="inlineStr">
        <is>
          <t>Esquadrias de alumínio</t>
        </is>
      </c>
      <c r="K1480" s="1780" t="n"/>
      <c r="L1480" s="1781" t="n"/>
      <c r="M1480" s="1781" t="n"/>
      <c r="N1480" s="1746" t="n">
        <v>10388.2020301118</v>
      </c>
      <c r="O1480" s="1782" t="n"/>
      <c r="P1480" s="1720" t="n"/>
    </row>
    <row r="1481" hidden="1" outlineLevel="3" ht="13.5" customHeight="1">
      <c r="A1481" s="2117" t="n">
        <v>0</v>
      </c>
      <c r="B1481" s="2117" t="n">
        <v>18</v>
      </c>
      <c r="C1481" s="2117" t="n">
        <v>6</v>
      </c>
      <c r="D1481" s="2118" t="n">
        <v>2</v>
      </c>
      <c r="E1481" s="2118" t="n">
        <v>1</v>
      </c>
      <c r="G1481" s="1798" t="inlineStr">
        <is>
          <t>ESQUADRIAS, VIDROS E FERRAGENS</t>
        </is>
      </c>
      <c r="H1481" s="1783" t="inlineStr">
        <is>
          <t>SERVIÇO</t>
        </is>
      </c>
      <c r="I1481" s="1750" t="inlineStr">
        <is>
          <t>18.006.002.001</t>
        </is>
      </c>
      <c r="J1481" s="1785" t="inlineStr">
        <is>
          <t>Esquadrias de Alumínio - Portas - fornecimento e instalação</t>
        </is>
      </c>
      <c r="K1481" s="1786" t="inlineStr">
        <is>
          <t>m2</t>
        </is>
      </c>
      <c r="L1481" s="1787" t="n">
        <v>1.89</v>
      </c>
      <c r="M1481" s="1787" t="n">
        <v>1906.313968151559</v>
      </c>
      <c r="N1481" s="1754" t="n">
        <v>3602.93339980645</v>
      </c>
      <c r="O1481" s="1788" t="inlineStr">
        <is>
          <t>Tabela de esquadrias enviada pela Gessele</t>
        </is>
      </c>
      <c r="P1481" s="1721" t="inlineStr">
        <is>
          <t>Pendente</t>
        </is>
      </c>
    </row>
    <row r="1482" hidden="1" outlineLevel="3" ht="13.5" customHeight="1">
      <c r="A1482" s="2117" t="n">
        <v>0</v>
      </c>
      <c r="B1482" s="2117" t="n">
        <v>18</v>
      </c>
      <c r="C1482" s="2117" t="n">
        <v>6</v>
      </c>
      <c r="D1482" s="2118" t="n">
        <v>2</v>
      </c>
      <c r="E1482" s="2118" t="n">
        <v>2</v>
      </c>
      <c r="G1482" s="1798" t="inlineStr">
        <is>
          <t>ESQUADRIAS, VIDROS E FERRAGENS</t>
        </is>
      </c>
      <c r="H1482" s="1783" t="inlineStr">
        <is>
          <t>SERVIÇO</t>
        </is>
      </c>
      <c r="I1482" s="1750" t="inlineStr">
        <is>
          <t>18.006.002.002</t>
        </is>
      </c>
      <c r="J1482" s="1785" t="inlineStr">
        <is>
          <t>Esquadrias de Alumínio - Janelas - fornecimento e instalação</t>
        </is>
      </c>
      <c r="K1482" s="1786" t="inlineStr">
        <is>
          <t>m2</t>
        </is>
      </c>
      <c r="L1482" s="1787" t="n">
        <v>2.56</v>
      </c>
      <c r="M1482" s="1787" t="n">
        <v>2650.495558713029</v>
      </c>
      <c r="N1482" s="1754" t="n">
        <v>6785.26863030536</v>
      </c>
      <c r="O1482" s="1788" t="inlineStr">
        <is>
          <t>Tabela de esquadrias enviada pela Gessele</t>
        </is>
      </c>
      <c r="P1482" s="1721" t="inlineStr">
        <is>
          <t>Pendente</t>
        </is>
      </c>
    </row>
    <row r="1483" hidden="1" outlineLevel="2" ht="12.75" customHeight="1">
      <c r="A1483" s="2117" t="n">
        <v>0</v>
      </c>
      <c r="B1483" s="2117" t="n">
        <v>18</v>
      </c>
      <c r="C1483" s="2117" t="n">
        <v>6</v>
      </c>
      <c r="D1483" s="2118" t="n">
        <v>3</v>
      </c>
      <c r="E1483" s="2118" t="n">
        <v>0</v>
      </c>
      <c r="G1483" s="1797" t="n"/>
      <c r="H1483" s="1777" t="inlineStr">
        <is>
          <t>SUBETAPA</t>
        </is>
      </c>
      <c r="I1483" s="1742" t="inlineStr">
        <is>
          <t>18.006.003</t>
        </is>
      </c>
      <c r="J1483" s="1779" t="inlineStr">
        <is>
          <t>Pele de vidro</t>
        </is>
      </c>
      <c r="K1483" s="1780" t="n"/>
      <c r="L1483" s="1781" t="n"/>
      <c r="M1483" s="1781" t="n"/>
      <c r="N1483" s="1746" t="n"/>
      <c r="O1483" s="1782" t="n"/>
      <c r="P1483" s="1720" t="n"/>
    </row>
    <row r="1484" hidden="1" outlineLevel="3" ht="13.5" customHeight="1">
      <c r="A1484" s="2117" t="n">
        <v>0</v>
      </c>
      <c r="B1484" s="2117" t="n">
        <v>18</v>
      </c>
      <c r="C1484" s="2117" t="n">
        <v>6</v>
      </c>
      <c r="D1484" s="2118" t="n">
        <v>3</v>
      </c>
      <c r="E1484" s="2118" t="n">
        <v>1</v>
      </c>
      <c r="G1484" s="1798" t="inlineStr">
        <is>
          <t>ESQUADRIAS, VIDROS E FERRAGENS</t>
        </is>
      </c>
      <c r="H1484" s="1783" t="inlineStr">
        <is>
          <t>SERVIÇO</t>
        </is>
      </c>
      <c r="I1484" s="1750" t="inlineStr">
        <is>
          <t>18.006.003.001</t>
        </is>
      </c>
      <c r="J1484" s="1785" t="inlineStr">
        <is>
          <t>Pele de vidro</t>
        </is>
      </c>
      <c r="K1484" s="1786" t="inlineStr">
        <is>
          <t>m2</t>
        </is>
      </c>
      <c r="L1484" s="1787" t="e">
        <v>#REF!</v>
      </c>
      <c r="M1484" s="1787" t="n">
        <v>1533.99</v>
      </c>
      <c r="N1484" s="1754" t="n"/>
      <c r="O1484" s="1788" t="inlineStr">
        <is>
          <t>Modelo do visus</t>
        </is>
      </c>
      <c r="P1484" s="1721" t="inlineStr">
        <is>
          <t>Pendente</t>
        </is>
      </c>
    </row>
    <row r="1485" hidden="1" outlineLevel="1" ht="13.5" customHeight="1">
      <c r="A1485" s="2117" t="n">
        <v>0</v>
      </c>
      <c r="B1485" s="2117" t="n">
        <v>18</v>
      </c>
      <c r="C1485" s="2117" t="n">
        <v>7</v>
      </c>
      <c r="D1485" s="2118" t="n">
        <v>0</v>
      </c>
      <c r="E1485" s="2118" t="n">
        <v>1</v>
      </c>
      <c r="G1485" s="1796" t="n"/>
      <c r="H1485" s="1771" t="inlineStr">
        <is>
          <t>ETAPA</t>
        </is>
      </c>
      <c r="I1485" s="1735" t="inlineStr">
        <is>
          <t>18.007</t>
        </is>
      </c>
      <c r="J1485" s="1773" t="inlineStr">
        <is>
          <t>ESQUADRIAS DE ALUMÍNIO - Lazer | Garagem</t>
        </is>
      </c>
      <c r="K1485" s="1774" t="n"/>
      <c r="L1485" s="1775" t="n"/>
      <c r="M1485" s="1775" t="n"/>
      <c r="N1485" s="1739" t="n"/>
      <c r="O1485" s="1776" t="n"/>
      <c r="P1485" s="1719" t="n"/>
    </row>
    <row r="1486" hidden="1" outlineLevel="2" ht="13.5" customHeight="1">
      <c r="A1486" s="2117" t="n">
        <v>0</v>
      </c>
      <c r="B1486" s="2117" t="n">
        <v>18</v>
      </c>
      <c r="C1486" s="2117" t="n">
        <v>7</v>
      </c>
      <c r="D1486" s="2118" t="n">
        <v>1</v>
      </c>
      <c r="E1486" s="2118" t="n">
        <v>0</v>
      </c>
      <c r="G1486" s="1797" t="n"/>
      <c r="H1486" s="1777" t="inlineStr">
        <is>
          <t>SUBETAPA</t>
        </is>
      </c>
      <c r="I1486" s="1742" t="inlineStr">
        <is>
          <t>18.007.001</t>
        </is>
      </c>
      <c r="J1486" s="1779" t="inlineStr">
        <is>
          <t>Contramarco</t>
        </is>
      </c>
      <c r="K1486" s="1780" t="n"/>
      <c r="L1486" s="1781" t="n"/>
      <c r="M1486" s="1781" t="n"/>
      <c r="N1486" s="1746" t="n">
        <v>611.212</v>
      </c>
      <c r="O1486" s="1782" t="n">
        <v>0.036490987583636</v>
      </c>
      <c r="P1486" s="1720" t="n"/>
    </row>
    <row r="1487" hidden="1" outlineLevel="3" ht="13.5" customHeight="1">
      <c r="A1487" s="2117" t="n">
        <v>0</v>
      </c>
      <c r="B1487" s="2117" t="n">
        <v>18</v>
      </c>
      <c r="C1487" s="2117" t="n">
        <v>7</v>
      </c>
      <c r="D1487" s="2118" t="n">
        <v>1</v>
      </c>
      <c r="E1487" s="2118" t="n">
        <v>1</v>
      </c>
      <c r="G1487" s="1798" t="inlineStr">
        <is>
          <t>ESQUADRIAS, VIDROS E FERRAGENS</t>
        </is>
      </c>
      <c r="H1487" s="1783" t="inlineStr">
        <is>
          <t>SERVIÇO</t>
        </is>
      </c>
      <c r="I1487" s="1750" t="inlineStr">
        <is>
          <t>18.007.001.001</t>
        </is>
      </c>
      <c r="J1487" s="1785" t="inlineStr">
        <is>
          <t>Contramarco de Alumínio, Fixação com Argamassa</t>
        </is>
      </c>
      <c r="K1487" s="1786" t="inlineStr">
        <is>
          <t>m</t>
        </is>
      </c>
      <c r="L1487" s="1787" t="n">
        <v>26.3</v>
      </c>
      <c r="M1487" s="1787" t="n">
        <v>23.24</v>
      </c>
      <c r="N1487" s="1754" t="n">
        <v>611.212</v>
      </c>
      <c r="O1487" s="1788" t="inlineStr">
        <is>
          <t>Tabela de esquadrias enviada pela Gessele</t>
        </is>
      </c>
      <c r="P1487" s="1721" t="inlineStr">
        <is>
          <t>Pendente</t>
        </is>
      </c>
    </row>
    <row r="1488" hidden="1" outlineLevel="2" ht="13.5" customHeight="1">
      <c r="A1488" s="2117" t="n">
        <v>0</v>
      </c>
      <c r="B1488" s="2117" t="n">
        <v>18</v>
      </c>
      <c r="C1488" s="2117" t="n">
        <v>7</v>
      </c>
      <c r="D1488" s="2118" t="n">
        <v>2</v>
      </c>
      <c r="E1488" s="2118" t="n">
        <v>0</v>
      </c>
      <c r="G1488" s="1797" t="n"/>
      <c r="H1488" s="1777" t="inlineStr">
        <is>
          <t>SUBETAPA</t>
        </is>
      </c>
      <c r="I1488" s="1742" t="inlineStr">
        <is>
          <t>18.007.002</t>
        </is>
      </c>
      <c r="J1488" s="1779" t="inlineStr">
        <is>
          <t>Esquadrias de alumínio</t>
        </is>
      </c>
      <c r="K1488" s="1780" t="n"/>
      <c r="L1488" s="1781" t="n"/>
      <c r="M1488" s="1781" t="n"/>
      <c r="N1488" s="1746" t="n">
        <v>19195.372562972</v>
      </c>
      <c r="O1488" s="1782" t="n"/>
      <c r="P1488" s="1720" t="n"/>
    </row>
    <row r="1489" hidden="1" outlineLevel="3" ht="13.5" customHeight="1">
      <c r="A1489" s="2117" t="n">
        <v>0</v>
      </c>
      <c r="B1489" s="2117" t="n">
        <v>18</v>
      </c>
      <c r="C1489" s="2117" t="n">
        <v>7</v>
      </c>
      <c r="D1489" s="2118" t="n">
        <v>2</v>
      </c>
      <c r="E1489" s="2118" t="n">
        <v>1</v>
      </c>
      <c r="G1489" s="1798" t="inlineStr">
        <is>
          <t>ESQUADRIAS, VIDROS E FERRAGENS</t>
        </is>
      </c>
      <c r="H1489" s="1783" t="inlineStr">
        <is>
          <t>SERVIÇO</t>
        </is>
      </c>
      <c r="I1489" s="1750" t="inlineStr">
        <is>
          <t>18.007.002.001</t>
        </is>
      </c>
      <c r="J1489" s="1785" t="inlineStr">
        <is>
          <t>Esquadrias de Alumínio - Portas - fornecimento e instalação</t>
        </is>
      </c>
      <c r="K1489" s="1786" t="inlineStr">
        <is>
          <t>m2</t>
        </is>
      </c>
      <c r="L1489" s="1787" t="n">
        <v>6.51</v>
      </c>
      <c r="M1489" s="1787" t="n">
        <v>1906.313968151559</v>
      </c>
      <c r="N1489" s="1754" t="n">
        <v>12410.1039326666</v>
      </c>
      <c r="O1489" s="1788" t="inlineStr">
        <is>
          <t>Tabela de esquadrias enviada pela Gessele</t>
        </is>
      </c>
      <c r="P1489" s="1721" t="inlineStr">
        <is>
          <t>Pendente</t>
        </is>
      </c>
    </row>
    <row r="1490" hidden="1" outlineLevel="3" ht="13.5" customHeight="1">
      <c r="A1490" s="2117" t="n">
        <v>0</v>
      </c>
      <c r="B1490" s="2117" t="n">
        <v>18</v>
      </c>
      <c r="C1490" s="2117" t="n">
        <v>7</v>
      </c>
      <c r="D1490" s="2118" t="n">
        <v>2</v>
      </c>
      <c r="E1490" s="2118" t="n">
        <v>2</v>
      </c>
      <c r="G1490" s="1798" t="inlineStr">
        <is>
          <t>ESQUADRIAS, VIDROS E FERRAGENS</t>
        </is>
      </c>
      <c r="H1490" s="1783" t="inlineStr">
        <is>
          <t>SERVIÇO</t>
        </is>
      </c>
      <c r="I1490" s="1750" t="inlineStr">
        <is>
          <t>18.007.002.002</t>
        </is>
      </c>
      <c r="J1490" s="1785" t="inlineStr">
        <is>
          <t>Esquadrias de Alumínio - Janelas - fornecimento e instalação</t>
        </is>
      </c>
      <c r="K1490" s="1786" t="inlineStr">
        <is>
          <t>m2</t>
        </is>
      </c>
      <c r="L1490" s="1787" t="n">
        <v>2.56</v>
      </c>
      <c r="M1490" s="1787" t="n">
        <v>2650.495558713029</v>
      </c>
      <c r="N1490" s="1754" t="n">
        <v>6785.26863030536</v>
      </c>
      <c r="O1490" s="1788" t="inlineStr">
        <is>
          <t>Tabela de esquadrias enviada pela Gessele</t>
        </is>
      </c>
      <c r="P1490" s="1721" t="inlineStr">
        <is>
          <t>Pendente</t>
        </is>
      </c>
    </row>
    <row r="1491" hidden="1" outlineLevel="2" ht="12.75" customHeight="1">
      <c r="A1491" s="2117" t="n">
        <v>0</v>
      </c>
      <c r="B1491" s="2117" t="n">
        <v>18</v>
      </c>
      <c r="C1491" s="2117" t="n">
        <v>7</v>
      </c>
      <c r="D1491" s="2118" t="n">
        <v>3</v>
      </c>
      <c r="E1491" s="2118" t="n">
        <v>0</v>
      </c>
      <c r="G1491" s="1797" t="n"/>
      <c r="H1491" s="1777" t="inlineStr">
        <is>
          <t>SUBETAPA</t>
        </is>
      </c>
      <c r="I1491" s="1742" t="inlineStr">
        <is>
          <t>18.007.003</t>
        </is>
      </c>
      <c r="J1491" s="1779" t="inlineStr">
        <is>
          <t>Guarda corpo</t>
        </is>
      </c>
      <c r="K1491" s="1780" t="n"/>
      <c r="L1491" s="1781" t="n"/>
      <c r="M1491" s="1781" t="n"/>
      <c r="N1491" s="1746" t="n"/>
      <c r="O1491" s="1782" t="n"/>
      <c r="P1491" s="1720" t="n"/>
    </row>
    <row r="1492" hidden="1" outlineLevel="3" ht="12.75" customHeight="1">
      <c r="A1492" s="2117" t="n">
        <v>0</v>
      </c>
      <c r="B1492" s="2117" t="n">
        <v>18</v>
      </c>
      <c r="C1492" s="2117" t="n">
        <v>7</v>
      </c>
      <c r="D1492" s="2118" t="n">
        <v>3</v>
      </c>
      <c r="E1492" s="2118" t="n">
        <v>1</v>
      </c>
      <c r="G1492" s="1798" t="inlineStr">
        <is>
          <t>ESQUADRIAS, VIDROS E FERRAGENS</t>
        </is>
      </c>
      <c r="H1492" s="1783" t="inlineStr">
        <is>
          <t>SERVIÇO</t>
        </is>
      </c>
      <c r="I1492" s="1750" t="inlineStr">
        <is>
          <t>18.007.003.001</t>
        </is>
      </c>
      <c r="J1492" s="1785" t="inlineStr">
        <is>
          <t>Guarda Corpo de Vidro e Aluminio - fornecimento e instalação</t>
        </is>
      </c>
      <c r="K1492" s="1786" t="inlineStr">
        <is>
          <t>m2</t>
        </is>
      </c>
      <c r="L1492" s="1787" t="e">
        <v>#REF!</v>
      </c>
      <c r="M1492" s="1787" t="n">
        <v>1403.985</v>
      </c>
      <c r="N1492" s="1754" t="n"/>
      <c r="O1492" s="1788" t="inlineStr">
        <is>
          <t>Modelo do visus</t>
        </is>
      </c>
      <c r="P1492" s="1721" t="inlineStr">
        <is>
          <t>Pendente</t>
        </is>
      </c>
    </row>
    <row r="1493" hidden="1" outlineLevel="2" ht="12.75" customHeight="1">
      <c r="A1493" s="2117" t="n">
        <v>0</v>
      </c>
      <c r="B1493" s="2117" t="n">
        <v>18</v>
      </c>
      <c r="C1493" s="2117" t="n">
        <v>7</v>
      </c>
      <c r="D1493" s="2118" t="n">
        <v>4</v>
      </c>
      <c r="E1493" s="2118" t="n">
        <v>0</v>
      </c>
      <c r="G1493" s="1797" t="n"/>
      <c r="H1493" s="1777" t="inlineStr">
        <is>
          <t>SUBETAPA</t>
        </is>
      </c>
      <c r="I1493" s="1742" t="inlineStr">
        <is>
          <t>18.007.004</t>
        </is>
      </c>
      <c r="J1493" s="1779" t="inlineStr">
        <is>
          <t>Pele de vidro</t>
        </is>
      </c>
      <c r="K1493" s="1780" t="n"/>
      <c r="L1493" s="1781" t="n"/>
      <c r="M1493" s="1781" t="n"/>
      <c r="N1493" s="1746" t="n"/>
      <c r="O1493" s="1782" t="n"/>
      <c r="P1493" s="1720" t="n"/>
    </row>
    <row r="1494" hidden="1" outlineLevel="3" ht="13.5" customHeight="1">
      <c r="A1494" s="2117" t="n">
        <v>0</v>
      </c>
      <c r="B1494" s="2117" t="n">
        <v>18</v>
      </c>
      <c r="C1494" s="2117" t="n">
        <v>7</v>
      </c>
      <c r="D1494" s="2118" t="n">
        <v>4</v>
      </c>
      <c r="E1494" s="2118" t="n">
        <v>1</v>
      </c>
      <c r="G1494" s="1798" t="inlineStr">
        <is>
          <t>ESQUADRIAS, VIDROS E FERRAGENS</t>
        </is>
      </c>
      <c r="H1494" s="1783" t="inlineStr">
        <is>
          <t>SERVIÇO</t>
        </is>
      </c>
      <c r="I1494" s="1750" t="inlineStr">
        <is>
          <t>18.007.004.001</t>
        </is>
      </c>
      <c r="J1494" s="1785" t="inlineStr">
        <is>
          <t>Pele de vidro</t>
        </is>
      </c>
      <c r="K1494" s="1786" t="inlineStr">
        <is>
          <t>m2</t>
        </is>
      </c>
      <c r="L1494" s="1787" t="e">
        <v>#REF!</v>
      </c>
      <c r="M1494" s="1787" t="n">
        <v>1533.99</v>
      </c>
      <c r="N1494" s="1754" t="n"/>
      <c r="O1494" s="1788" t="inlineStr">
        <is>
          <t>Modelo do visus</t>
        </is>
      </c>
      <c r="P1494" s="1721" t="inlineStr">
        <is>
          <t>Pendente</t>
        </is>
      </c>
    </row>
    <row r="1495" hidden="1" outlineLevel="1" ht="13.5" customHeight="1">
      <c r="A1495" s="2117" t="n">
        <v>0</v>
      </c>
      <c r="B1495" s="2117" t="n">
        <v>18</v>
      </c>
      <c r="C1495" s="2117" t="n">
        <v>8</v>
      </c>
      <c r="D1495" s="2118" t="n">
        <v>0</v>
      </c>
      <c r="E1495" s="2118" t="n">
        <v>1</v>
      </c>
      <c r="G1495" s="1796" t="n"/>
      <c r="H1495" s="1771" t="inlineStr">
        <is>
          <t>ETAPA</t>
        </is>
      </c>
      <c r="I1495" s="1735" t="inlineStr">
        <is>
          <t>18.008</t>
        </is>
      </c>
      <c r="J1495" s="1773" t="inlineStr">
        <is>
          <t>ESQUADRIAS DE ALUMÍNIO - Lazer</t>
        </is>
      </c>
      <c r="K1495" s="1774" t="n"/>
      <c r="L1495" s="1775" t="n"/>
      <c r="M1495" s="1775" t="n"/>
      <c r="N1495" s="1739" t="n"/>
      <c r="O1495" s="1776" t="n"/>
      <c r="P1495" s="1719" t="n"/>
    </row>
    <row r="1496" hidden="1" outlineLevel="2" ht="13.5" customHeight="1">
      <c r="A1496" s="2117" t="n">
        <v>0</v>
      </c>
      <c r="B1496" s="2117" t="n">
        <v>18</v>
      </c>
      <c r="C1496" s="2117" t="n">
        <v>8</v>
      </c>
      <c r="D1496" s="2118" t="n">
        <v>1</v>
      </c>
      <c r="E1496" s="2118" t="n">
        <v>0</v>
      </c>
      <c r="G1496" s="1797" t="n"/>
      <c r="H1496" s="1777" t="inlineStr">
        <is>
          <t>SUBETAPA</t>
        </is>
      </c>
      <c r="I1496" s="1742" t="inlineStr">
        <is>
          <t>18.008.001</t>
        </is>
      </c>
      <c r="J1496" s="1779" t="inlineStr">
        <is>
          <t>Contramarco</t>
        </is>
      </c>
      <c r="K1496" s="1780" t="n"/>
      <c r="L1496" s="1781" t="n"/>
      <c r="M1496" s="1781" t="n"/>
      <c r="N1496" s="1746" t="n">
        <v>1531.516</v>
      </c>
      <c r="O1496" s="1782" t="n">
        <v>0.0914355924624187</v>
      </c>
      <c r="P1496" s="1720" t="n"/>
    </row>
    <row r="1497" hidden="1" outlineLevel="3" ht="13.5" customHeight="1">
      <c r="A1497" s="2117" t="n">
        <v>0</v>
      </c>
      <c r="B1497" s="2117" t="n">
        <v>18</v>
      </c>
      <c r="C1497" s="2117" t="n">
        <v>8</v>
      </c>
      <c r="D1497" s="2118" t="n">
        <v>1</v>
      </c>
      <c r="E1497" s="2118" t="n">
        <v>1</v>
      </c>
      <c r="G1497" s="1798" t="inlineStr">
        <is>
          <t>ESQUADRIAS, VIDROS E FERRAGENS</t>
        </is>
      </c>
      <c r="H1497" s="1783" t="inlineStr">
        <is>
          <t>SERVIÇO</t>
        </is>
      </c>
      <c r="I1497" s="1750" t="inlineStr">
        <is>
          <t>18.008.001.001</t>
        </is>
      </c>
      <c r="J1497" s="1785" t="inlineStr">
        <is>
          <t>Contramarco de Alumínio, Fixação com Argamassa</t>
        </is>
      </c>
      <c r="K1497" s="1786" t="inlineStr">
        <is>
          <t>m</t>
        </is>
      </c>
      <c r="L1497" s="1787" t="n">
        <v>65.90000000000001</v>
      </c>
      <c r="M1497" s="1787" t="n">
        <v>23.24</v>
      </c>
      <c r="N1497" s="1754" t="n">
        <v>1531.516</v>
      </c>
      <c r="O1497" s="1788" t="inlineStr">
        <is>
          <t>Tabela de esquadrias enviada pela Gessele</t>
        </is>
      </c>
      <c r="P1497" s="1721" t="inlineStr">
        <is>
          <t>Pendente</t>
        </is>
      </c>
    </row>
    <row r="1498" hidden="1" outlineLevel="2" ht="13.5" customHeight="1">
      <c r="A1498" s="2117" t="n">
        <v>0</v>
      </c>
      <c r="B1498" s="2117" t="n">
        <v>18</v>
      </c>
      <c r="C1498" s="2117" t="n">
        <v>8</v>
      </c>
      <c r="D1498" s="2118" t="n">
        <v>2</v>
      </c>
      <c r="E1498" s="2118" t="n">
        <v>0</v>
      </c>
      <c r="G1498" s="1797" t="n"/>
      <c r="H1498" s="1777" t="inlineStr">
        <is>
          <t>SUBETAPA</t>
        </is>
      </c>
      <c r="I1498" s="1742" t="inlineStr">
        <is>
          <t>18.008.002</t>
        </is>
      </c>
      <c r="J1498" s="1779" t="inlineStr">
        <is>
          <t>Esquadrias de alumínio</t>
        </is>
      </c>
      <c r="K1498" s="1780" t="n"/>
      <c r="L1498" s="1781" t="n"/>
      <c r="M1498" s="1781" t="n"/>
      <c r="N1498" s="1746" t="n">
        <v>112804.919969054</v>
      </c>
      <c r="O1498" s="1782" t="n"/>
      <c r="P1498" s="1720" t="n"/>
    </row>
    <row r="1499" hidden="1" outlineLevel="3" ht="13.5" customHeight="1">
      <c r="A1499" s="2117" t="n">
        <v>0</v>
      </c>
      <c r="B1499" s="2117" t="n">
        <v>18</v>
      </c>
      <c r="C1499" s="2117" t="n">
        <v>8</v>
      </c>
      <c r="D1499" s="2118" t="n">
        <v>2</v>
      </c>
      <c r="E1499" s="2118" t="n">
        <v>1</v>
      </c>
      <c r="G1499" s="1798" t="inlineStr">
        <is>
          <t>ESQUADRIAS, VIDROS E FERRAGENS</t>
        </is>
      </c>
      <c r="H1499" s="1783" t="inlineStr">
        <is>
          <t>SERVIÇO</t>
        </is>
      </c>
      <c r="I1499" s="1750" t="inlineStr">
        <is>
          <t>18.008.002.001</t>
        </is>
      </c>
      <c r="J1499" s="1785" t="inlineStr">
        <is>
          <t>Esquadrias de Alumínio - Portas - fornecimento e instalação</t>
        </is>
      </c>
      <c r="K1499" s="1786" t="inlineStr">
        <is>
          <t>m2</t>
        </is>
      </c>
      <c r="L1499" s="1787" t="n">
        <v>55.615</v>
      </c>
      <c r="M1499" s="1787" t="n">
        <v>1906.313968151559</v>
      </c>
      <c r="N1499" s="1754" t="n">
        <v>106019.651338749</v>
      </c>
      <c r="O1499" s="1788" t="inlineStr">
        <is>
          <t>Tabela de esquadrias enviada pela Gessele</t>
        </is>
      </c>
      <c r="P1499" s="1721" t="inlineStr">
        <is>
          <t>Pendente</t>
        </is>
      </c>
    </row>
    <row r="1500" hidden="1" outlineLevel="3" ht="13.5" customHeight="1">
      <c r="A1500" s="2117" t="n">
        <v>0</v>
      </c>
      <c r="B1500" s="2117" t="n">
        <v>18</v>
      </c>
      <c r="C1500" s="2117" t="n">
        <v>8</v>
      </c>
      <c r="D1500" s="2118" t="n">
        <v>2</v>
      </c>
      <c r="E1500" s="2118" t="n">
        <v>2</v>
      </c>
      <c r="G1500" s="1798" t="inlineStr">
        <is>
          <t>ESQUADRIAS, VIDROS E FERRAGENS</t>
        </is>
      </c>
      <c r="H1500" s="1783" t="inlineStr">
        <is>
          <t>SERVIÇO</t>
        </is>
      </c>
      <c r="I1500" s="1750" t="inlineStr">
        <is>
          <t>18.008.002.002</t>
        </is>
      </c>
      <c r="J1500" s="1785" t="inlineStr">
        <is>
          <t>Esquadrias de Alumínio - Janelas - fornecimento e instalação</t>
        </is>
      </c>
      <c r="K1500" s="1786" t="inlineStr">
        <is>
          <t>m2</t>
        </is>
      </c>
      <c r="L1500" s="1787" t="n">
        <v>2.56</v>
      </c>
      <c r="M1500" s="1787" t="n">
        <v>2650.495558713029</v>
      </c>
      <c r="N1500" s="1754" t="n">
        <v>6785.26863030536</v>
      </c>
      <c r="O1500" s="1788" t="inlineStr">
        <is>
          <t>Tabela de esquadrias enviada pela Gessele</t>
        </is>
      </c>
      <c r="P1500" s="1721" t="inlineStr">
        <is>
          <t>Pendente</t>
        </is>
      </c>
    </row>
    <row r="1501" hidden="1" outlineLevel="2" ht="12.75" customHeight="1">
      <c r="A1501" s="2117" t="n">
        <v>0</v>
      </c>
      <c r="B1501" s="2117" t="n">
        <v>18</v>
      </c>
      <c r="C1501" s="2117" t="n">
        <v>8</v>
      </c>
      <c r="D1501" s="2118" t="n">
        <v>3</v>
      </c>
      <c r="E1501" s="2118" t="n">
        <v>0</v>
      </c>
      <c r="G1501" s="1797" t="n"/>
      <c r="H1501" s="1777" t="inlineStr">
        <is>
          <t>SUBETAPA</t>
        </is>
      </c>
      <c r="I1501" s="1742" t="inlineStr">
        <is>
          <t>18.008.003</t>
        </is>
      </c>
      <c r="J1501" s="1779" t="inlineStr">
        <is>
          <t>Brise de Aluminio</t>
        </is>
      </c>
      <c r="K1501" s="1780" t="n"/>
      <c r="L1501" s="1781" t="n"/>
      <c r="M1501" s="1781" t="n"/>
      <c r="N1501" s="1746" t="n"/>
      <c r="O1501" s="1782" t="n"/>
      <c r="P1501" s="1720" t="n"/>
    </row>
    <row r="1502" hidden="1" outlineLevel="3" ht="12.75" customHeight="1">
      <c r="A1502" s="2117" t="n">
        <v>0</v>
      </c>
      <c r="B1502" s="2117" t="n">
        <v>18</v>
      </c>
      <c r="C1502" s="2117" t="n">
        <v>8</v>
      </c>
      <c r="D1502" s="2118" t="n">
        <v>3</v>
      </c>
      <c r="E1502" s="2118" t="n">
        <v>1</v>
      </c>
      <c r="G1502" s="1798" t="inlineStr">
        <is>
          <t>ESQUADRIAS, VIDROS E FERRAGENS</t>
        </is>
      </c>
      <c r="H1502" s="1783" t="inlineStr">
        <is>
          <t>SERVIÇO</t>
        </is>
      </c>
      <c r="I1502" s="1750" t="inlineStr">
        <is>
          <t>18.008.003.001</t>
        </is>
      </c>
      <c r="J1502" s="1785" t="inlineStr">
        <is>
          <t>Brise de Alumínio - Decoração Fachada</t>
        </is>
      </c>
      <c r="K1502" s="1786" t="inlineStr">
        <is>
          <t>m2</t>
        </is>
      </c>
      <c r="L1502" s="1787" t="e">
        <v>#REF!</v>
      </c>
      <c r="M1502" s="1787" t="n">
        <v>2122.541389557096</v>
      </c>
      <c r="N1502" s="1754" t="n"/>
      <c r="O1502" s="1788" t="inlineStr">
        <is>
          <t>Modelo do visus</t>
        </is>
      </c>
      <c r="P1502" s="1721" t="inlineStr">
        <is>
          <t>Pendente</t>
        </is>
      </c>
    </row>
    <row r="1503" hidden="1" outlineLevel="1" ht="13.5" customHeight="1">
      <c r="A1503" s="2117" t="n">
        <v>0</v>
      </c>
      <c r="B1503" s="2117" t="n">
        <v>18</v>
      </c>
      <c r="C1503" s="2117" t="n">
        <v>9</v>
      </c>
      <c r="D1503" s="2118" t="n">
        <v>0</v>
      </c>
      <c r="E1503" s="2118" t="n">
        <v>1</v>
      </c>
      <c r="G1503" s="1796" t="n"/>
      <c r="H1503" s="1771" t="inlineStr">
        <is>
          <t>ETAPA</t>
        </is>
      </c>
      <c r="I1503" s="1735" t="inlineStr">
        <is>
          <t>18.009</t>
        </is>
      </c>
      <c r="J1503" s="1773" t="inlineStr">
        <is>
          <t>ESQUADRIAS DE ALUMÍNIO - Tipo diferenciado</t>
        </is>
      </c>
      <c r="K1503" s="1774" t="n"/>
      <c r="L1503" s="1775" t="n"/>
      <c r="M1503" s="1775" t="n"/>
      <c r="N1503" s="1739" t="n"/>
      <c r="O1503" s="1776" t="n"/>
      <c r="P1503" s="1719" t="n"/>
    </row>
    <row r="1504" hidden="1" outlineLevel="2" ht="13.5" customHeight="1">
      <c r="A1504" s="2117" t="n">
        <v>0</v>
      </c>
      <c r="B1504" s="2117" t="n">
        <v>18</v>
      </c>
      <c r="C1504" s="2117" t="n">
        <v>9</v>
      </c>
      <c r="D1504" s="2118" t="n">
        <v>1</v>
      </c>
      <c r="E1504" s="2118" t="n">
        <v>0</v>
      </c>
      <c r="G1504" s="1797" t="n"/>
      <c r="H1504" s="1777" t="inlineStr">
        <is>
          <t>SUBETAPA</t>
        </is>
      </c>
      <c r="I1504" s="1742" t="inlineStr">
        <is>
          <t>18.009.001</t>
        </is>
      </c>
      <c r="J1504" s="1779" t="inlineStr">
        <is>
          <t>Contramarco</t>
        </is>
      </c>
      <c r="K1504" s="1780" t="n"/>
      <c r="L1504" s="1781" t="n"/>
      <c r="M1504" s="1781" t="n"/>
      <c r="N1504" s="1746" t="n">
        <v>4080.944</v>
      </c>
      <c r="O1504" s="1782" t="n">
        <v>0.243643247896824</v>
      </c>
      <c r="P1504" s="1720" t="n"/>
    </row>
    <row r="1505" hidden="1" outlineLevel="3" ht="13.5" customHeight="1">
      <c r="A1505" s="2117" t="n">
        <v>0</v>
      </c>
      <c r="B1505" s="2117" t="n">
        <v>18</v>
      </c>
      <c r="C1505" s="2117" t="n">
        <v>9</v>
      </c>
      <c r="D1505" s="2118" t="n">
        <v>1</v>
      </c>
      <c r="E1505" s="2118" t="n">
        <v>1</v>
      </c>
      <c r="G1505" s="1798" t="inlineStr">
        <is>
          <t>ESQUADRIAS, VIDROS E FERRAGENS</t>
        </is>
      </c>
      <c r="H1505" s="1783" t="inlineStr">
        <is>
          <t>SERVIÇO</t>
        </is>
      </c>
      <c r="I1505" s="1750" t="inlineStr">
        <is>
          <t>18.009.001.001</t>
        </is>
      </c>
      <c r="J1505" s="1785" t="inlineStr">
        <is>
          <t>Contramarco de Alumínio, Fixação com Argamassa</t>
        </is>
      </c>
      <c r="K1505" s="1786" t="inlineStr">
        <is>
          <t>m</t>
        </is>
      </c>
      <c r="L1505" s="1787" t="n">
        <v>175.6</v>
      </c>
      <c r="M1505" s="1787" t="n">
        <v>23.24</v>
      </c>
      <c r="N1505" s="1754" t="n">
        <v>4080.944</v>
      </c>
      <c r="O1505" s="1788" t="inlineStr">
        <is>
          <t>Tabela de esquadrias enviada pela Gessele</t>
        </is>
      </c>
      <c r="P1505" s="1721" t="inlineStr">
        <is>
          <t>Pendente</t>
        </is>
      </c>
    </row>
    <row r="1506" hidden="1" outlineLevel="2" ht="13.5" customHeight="1">
      <c r="A1506" s="2117" t="n">
        <v>0</v>
      </c>
      <c r="B1506" s="2117" t="n">
        <v>18</v>
      </c>
      <c r="C1506" s="2117" t="n">
        <v>9</v>
      </c>
      <c r="D1506" s="2118" t="n">
        <v>2</v>
      </c>
      <c r="E1506" s="2118" t="n">
        <v>0</v>
      </c>
      <c r="G1506" s="1797" t="n"/>
      <c r="H1506" s="1777" t="inlineStr">
        <is>
          <t>SUBETAPA</t>
        </is>
      </c>
      <c r="I1506" s="1742" t="inlineStr">
        <is>
          <t>18.009.002</t>
        </is>
      </c>
      <c r="J1506" s="1779" t="inlineStr">
        <is>
          <t>Esquadrias de alumínio</t>
        </is>
      </c>
      <c r="K1506" s="1780" t="n"/>
      <c r="L1506" s="1781" t="n"/>
      <c r="M1506" s="1781" t="n"/>
      <c r="N1506" s="1746" t="n">
        <v>180422.038308415</v>
      </c>
      <c r="O1506" s="1782" t="n"/>
      <c r="P1506" s="1720" t="n"/>
    </row>
    <row r="1507" hidden="1" outlineLevel="3" ht="13.5" customHeight="1">
      <c r="A1507" s="2117" t="n">
        <v>0</v>
      </c>
      <c r="B1507" s="2117" t="n">
        <v>18</v>
      </c>
      <c r="C1507" s="2117" t="n">
        <v>9</v>
      </c>
      <c r="D1507" s="2118" t="n">
        <v>2</v>
      </c>
      <c r="E1507" s="2118" t="n">
        <v>1</v>
      </c>
      <c r="G1507" s="1798" t="inlineStr">
        <is>
          <t>ESQUADRIAS, VIDROS E FERRAGENS</t>
        </is>
      </c>
      <c r="H1507" s="1783" t="inlineStr">
        <is>
          <t>SERVIÇO</t>
        </is>
      </c>
      <c r="I1507" s="1750" t="inlineStr">
        <is>
          <t>18.009.002.001</t>
        </is>
      </c>
      <c r="J1507" s="1785" t="inlineStr">
        <is>
          <t>Esquadrias de Alumínio - Portas - fornecimento e instalação</t>
        </is>
      </c>
      <c r="K1507" s="1786" t="inlineStr">
        <is>
          <t>m2</t>
        </is>
      </c>
      <c r="L1507" s="1787" t="n">
        <v>16.41</v>
      </c>
      <c r="M1507" s="1787" t="n">
        <v>1906.313968151559</v>
      </c>
      <c r="N1507" s="1754" t="n">
        <v>31282.6122173671</v>
      </c>
      <c r="O1507" s="1788" t="inlineStr">
        <is>
          <t>Tabela de esquadrias enviada pela Gessele</t>
        </is>
      </c>
      <c r="P1507" s="1721" t="inlineStr">
        <is>
          <t>Pendente</t>
        </is>
      </c>
    </row>
    <row r="1508" hidden="1" outlineLevel="3" ht="13.5" customHeight="1">
      <c r="A1508" s="2117" t="n">
        <v>0</v>
      </c>
      <c r="B1508" s="2117" t="n">
        <v>18</v>
      </c>
      <c r="C1508" s="2117" t="n">
        <v>9</v>
      </c>
      <c r="D1508" s="2118" t="n">
        <v>2</v>
      </c>
      <c r="E1508" s="2118" t="n">
        <v>2</v>
      </c>
      <c r="G1508" s="1798" t="inlineStr">
        <is>
          <t>ESQUADRIAS, VIDROS E FERRAGENS</t>
        </is>
      </c>
      <c r="H1508" s="1783" t="inlineStr">
        <is>
          <t>SERVIÇO</t>
        </is>
      </c>
      <c r="I1508" s="1750" t="inlineStr">
        <is>
          <t>18.009.002.002</t>
        </is>
      </c>
      <c r="J1508" s="1785" t="inlineStr">
        <is>
          <t>Esquadrias de Alumínio - Janelas - fornecimento e instalação</t>
        </is>
      </c>
      <c r="K1508" s="1786" t="inlineStr">
        <is>
          <t>m2</t>
        </is>
      </c>
      <c r="L1508" s="1787" t="n">
        <v>18.45</v>
      </c>
      <c r="M1508" s="1787" t="n">
        <v>2650.495558713029</v>
      </c>
      <c r="N1508" s="1754" t="n">
        <v>48901.6430582554</v>
      </c>
      <c r="O1508" s="1788" t="inlineStr">
        <is>
          <t>Tabela de esquadrias enviada pela Gessele</t>
        </is>
      </c>
      <c r="P1508" s="1721" t="inlineStr">
        <is>
          <t>Pendente</t>
        </is>
      </c>
    </row>
    <row r="1509" hidden="1" outlineLevel="3" ht="13.5" customHeight="1">
      <c r="A1509" s="2117" t="n">
        <v>0</v>
      </c>
      <c r="B1509" s="2117" t="n">
        <v>18</v>
      </c>
      <c r="C1509" s="2117" t="n">
        <v>9</v>
      </c>
      <c r="D1509" s="2118" t="n">
        <v>2</v>
      </c>
      <c r="E1509" s="2118" t="n">
        <v>3</v>
      </c>
      <c r="G1509" s="1798" t="inlineStr">
        <is>
          <t>ESQUADRIAS, VIDROS E FERRAGENS</t>
        </is>
      </c>
      <c r="H1509" s="1783" t="inlineStr">
        <is>
          <t>SERVIÇO</t>
        </is>
      </c>
      <c r="I1509" s="1750" t="inlineStr">
        <is>
          <t>18.009.002.003</t>
        </is>
      </c>
      <c r="J1509" s="1785" t="inlineStr">
        <is>
          <t>Esquadrias de Alumínio - Janelas Bronze - fornecimento e instalação</t>
        </is>
      </c>
      <c r="K1509" s="1786" t="inlineStr">
        <is>
          <t>m2</t>
        </is>
      </c>
      <c r="L1509" s="1787" t="n">
        <v>34.88</v>
      </c>
      <c r="M1509" s="1787" t="n">
        <v>2873.78965116951</v>
      </c>
      <c r="N1509" s="1754" t="n">
        <v>100237.783032793</v>
      </c>
      <c r="O1509" s="1788" t="inlineStr">
        <is>
          <t>Tabela de esquadrias enviada pela Gessele</t>
        </is>
      </c>
      <c r="P1509" s="1721" t="inlineStr">
        <is>
          <t>Pendente</t>
        </is>
      </c>
    </row>
    <row r="1510" hidden="1" outlineLevel="2" ht="12.75" customHeight="1">
      <c r="A1510" s="2117" t="n">
        <v>0</v>
      </c>
      <c r="B1510" s="2117" t="n">
        <v>18</v>
      </c>
      <c r="C1510" s="2117" t="n">
        <v>9</v>
      </c>
      <c r="D1510" s="2118" t="n">
        <v>3</v>
      </c>
      <c r="E1510" s="2118" t="n">
        <v>0</v>
      </c>
      <c r="G1510" s="1797" t="n"/>
      <c r="H1510" s="1777" t="inlineStr">
        <is>
          <t>SUBETAPA</t>
        </is>
      </c>
      <c r="I1510" s="1742" t="inlineStr">
        <is>
          <t>18.009.003</t>
        </is>
      </c>
      <c r="J1510" s="1779" t="inlineStr">
        <is>
          <t>Guarda corpo</t>
        </is>
      </c>
      <c r="K1510" s="1780" t="n"/>
      <c r="L1510" s="1781" t="n"/>
      <c r="M1510" s="1781" t="n"/>
      <c r="N1510" s="1746" t="n"/>
      <c r="O1510" s="1782" t="n"/>
      <c r="P1510" s="1720" t="n"/>
    </row>
    <row r="1511" hidden="1" outlineLevel="3" ht="12.75" customHeight="1">
      <c r="A1511" s="2117" t="n">
        <v>0</v>
      </c>
      <c r="B1511" s="2117" t="n">
        <v>18</v>
      </c>
      <c r="C1511" s="2117" t="n">
        <v>9</v>
      </c>
      <c r="D1511" s="2118" t="n">
        <v>3</v>
      </c>
      <c r="E1511" s="2118" t="n">
        <v>1</v>
      </c>
      <c r="G1511" s="1798" t="inlineStr">
        <is>
          <t>ESQUADRIAS, VIDROS E FERRAGENS</t>
        </is>
      </c>
      <c r="H1511" s="1783" t="inlineStr">
        <is>
          <t>SERVIÇO</t>
        </is>
      </c>
      <c r="I1511" s="1750" t="inlineStr">
        <is>
          <t>18.009.003.001</t>
        </is>
      </c>
      <c r="J1511" s="1785" t="inlineStr">
        <is>
          <t>Guarda Corpo de Vidro e Aluminio - fornecimento e instalação</t>
        </is>
      </c>
      <c r="K1511" s="1786" t="inlineStr">
        <is>
          <t>m2</t>
        </is>
      </c>
      <c r="L1511" s="1787" t="e">
        <v>#REF!</v>
      </c>
      <c r="M1511" s="1787" t="n">
        <v>1403.985</v>
      </c>
      <c r="N1511" s="1754" t="n"/>
      <c r="O1511" s="1788" t="inlineStr">
        <is>
          <t>Modelo do visus</t>
        </is>
      </c>
      <c r="P1511" s="1721" t="inlineStr">
        <is>
          <t>Pendente</t>
        </is>
      </c>
    </row>
    <row r="1512" hidden="1" outlineLevel="2" ht="12.75" customHeight="1">
      <c r="A1512" s="2117" t="n">
        <v>0</v>
      </c>
      <c r="B1512" s="2117" t="n">
        <v>18</v>
      </c>
      <c r="C1512" s="2117" t="n">
        <v>9</v>
      </c>
      <c r="D1512" s="2118" t="n">
        <v>4</v>
      </c>
      <c r="E1512" s="2118" t="n">
        <v>0</v>
      </c>
      <c r="G1512" s="1797" t="n"/>
      <c r="H1512" s="1777" t="inlineStr">
        <is>
          <t>SUBETAPA</t>
        </is>
      </c>
      <c r="I1512" s="1742" t="inlineStr">
        <is>
          <t>18.009.004</t>
        </is>
      </c>
      <c r="J1512" s="1779" t="inlineStr">
        <is>
          <t>Brise de Aluminio</t>
        </is>
      </c>
      <c r="K1512" s="1780" t="n"/>
      <c r="L1512" s="1781" t="n"/>
      <c r="M1512" s="1781" t="n"/>
      <c r="N1512" s="1746" t="n"/>
      <c r="O1512" s="1782" t="n"/>
      <c r="P1512" s="1720" t="n"/>
    </row>
    <row r="1513" hidden="1" outlineLevel="3" ht="12.75" customHeight="1">
      <c r="A1513" s="2117" t="n">
        <v>0</v>
      </c>
      <c r="B1513" s="2117" t="n">
        <v>18</v>
      </c>
      <c r="C1513" s="2117" t="n">
        <v>9</v>
      </c>
      <c r="D1513" s="2118" t="n">
        <v>4</v>
      </c>
      <c r="E1513" s="2118" t="n">
        <v>1</v>
      </c>
      <c r="G1513" s="1798" t="inlineStr">
        <is>
          <t>ESQUADRIAS, VIDROS E FERRAGENS</t>
        </is>
      </c>
      <c r="H1513" s="1783" t="inlineStr">
        <is>
          <t>SERVIÇO</t>
        </is>
      </c>
      <c r="I1513" s="1750" t="inlineStr">
        <is>
          <t>18.009.004.001</t>
        </is>
      </c>
      <c r="J1513" s="1785" t="inlineStr">
        <is>
          <t>Brise de Alumínio - Decoração Fachada</t>
        </is>
      </c>
      <c r="K1513" s="1786" t="inlineStr">
        <is>
          <t>m2</t>
        </is>
      </c>
      <c r="L1513" s="1787" t="e">
        <v>#REF!</v>
      </c>
      <c r="M1513" s="1787" t="n">
        <v>2122.541389557096</v>
      </c>
      <c r="N1513" s="1754" t="n"/>
      <c r="O1513" s="1788" t="inlineStr">
        <is>
          <t>Modelo do visus</t>
        </is>
      </c>
      <c r="P1513" s="1721" t="inlineStr">
        <is>
          <t>Pendente</t>
        </is>
      </c>
    </row>
    <row r="1514" hidden="1" outlineLevel="1" ht="13.5" customHeight="1">
      <c r="A1514" s="2117" t="n">
        <v>0</v>
      </c>
      <c r="B1514" s="2117" t="n">
        <v>18</v>
      </c>
      <c r="C1514" s="2117" t="n">
        <v>10</v>
      </c>
      <c r="D1514" s="2118" t="n">
        <v>0</v>
      </c>
      <c r="E1514" s="2118" t="n">
        <v>1</v>
      </c>
      <c r="G1514" s="1796" t="n"/>
      <c r="H1514" s="1771" t="inlineStr">
        <is>
          <t>ETAPA</t>
        </is>
      </c>
      <c r="I1514" s="1735" t="inlineStr">
        <is>
          <t>18.010</t>
        </is>
      </c>
      <c r="J1514" s="1773" t="inlineStr">
        <is>
          <t>ESQUADRIAS DE ALUMÍNIO - Tipo x8</t>
        </is>
      </c>
      <c r="K1514" s="1774" t="n"/>
      <c r="L1514" s="1775" t="n"/>
      <c r="M1514" s="1775" t="n"/>
      <c r="N1514" s="1739" t="n"/>
      <c r="O1514" s="1776" t="n"/>
      <c r="P1514" s="1719" t="n"/>
    </row>
    <row r="1515" hidden="1" outlineLevel="2" ht="13.5" customHeight="1">
      <c r="A1515" s="2117" t="n">
        <v>0</v>
      </c>
      <c r="B1515" s="2117" t="n">
        <v>18</v>
      </c>
      <c r="C1515" s="2117" t="n">
        <v>10</v>
      </c>
      <c r="D1515" s="2118" t="n">
        <v>1</v>
      </c>
      <c r="E1515" s="2118" t="n">
        <v>0</v>
      </c>
      <c r="G1515" s="1797" t="n"/>
      <c r="H1515" s="1777" t="inlineStr">
        <is>
          <t>SUBETAPA</t>
        </is>
      </c>
      <c r="I1515" s="1742" t="inlineStr">
        <is>
          <t>18.010.001</t>
        </is>
      </c>
      <c r="J1515" s="1779" t="inlineStr">
        <is>
          <t>Contramarco</t>
        </is>
      </c>
      <c r="K1515" s="1780" t="n"/>
      <c r="L1515" s="1781" t="n"/>
      <c r="M1515" s="1781" t="n"/>
      <c r="N1515" s="1746" t="n">
        <v>32647.552</v>
      </c>
      <c r="O1515" s="1782" t="n">
        <v>1.94914598317459</v>
      </c>
      <c r="P1515" s="1720" t="n"/>
    </row>
    <row r="1516" hidden="1" outlineLevel="3" ht="13.5" customHeight="1">
      <c r="A1516" s="2117" t="n">
        <v>0</v>
      </c>
      <c r="B1516" s="2117" t="n">
        <v>18</v>
      </c>
      <c r="C1516" s="2117" t="n">
        <v>10</v>
      </c>
      <c r="D1516" s="2118" t="n">
        <v>1</v>
      </c>
      <c r="E1516" s="2118" t="n">
        <v>1</v>
      </c>
      <c r="G1516" s="1798" t="inlineStr">
        <is>
          <t>ESQUADRIAS, VIDROS E FERRAGENS</t>
        </is>
      </c>
      <c r="H1516" s="1783" t="inlineStr">
        <is>
          <t>SERVIÇO</t>
        </is>
      </c>
      <c r="I1516" s="1750" t="inlineStr">
        <is>
          <t>18.010.001.001</t>
        </is>
      </c>
      <c r="J1516" s="1785" t="inlineStr">
        <is>
          <t>Contramarco de Alumínio, Fixação com Argamassa</t>
        </is>
      </c>
      <c r="K1516" s="1786" t="inlineStr">
        <is>
          <t>m</t>
        </is>
      </c>
      <c r="L1516" s="1787" t="n">
        <v>1404.8</v>
      </c>
      <c r="M1516" s="1787" t="n">
        <v>23.24</v>
      </c>
      <c r="N1516" s="1754" t="n">
        <v>32647.552</v>
      </c>
      <c r="O1516" s="1788" t="inlineStr">
        <is>
          <t>Tabela de esquadrias enviada pela Gessele</t>
        </is>
      </c>
      <c r="P1516" s="1721" t="inlineStr">
        <is>
          <t>Pendente</t>
        </is>
      </c>
    </row>
    <row r="1517" hidden="1" outlineLevel="2" ht="13.5" customHeight="1">
      <c r="A1517" s="2117" t="n">
        <v>0</v>
      </c>
      <c r="B1517" s="2117" t="n">
        <v>18</v>
      </c>
      <c r="C1517" s="2117" t="n">
        <v>10</v>
      </c>
      <c r="D1517" s="2118" t="n">
        <v>2</v>
      </c>
      <c r="E1517" s="2118" t="n">
        <v>0</v>
      </c>
      <c r="G1517" s="1797" t="n"/>
      <c r="H1517" s="1777" t="inlineStr">
        <is>
          <t>SUBETAPA</t>
        </is>
      </c>
      <c r="I1517" s="1742" t="inlineStr">
        <is>
          <t>18.010.002</t>
        </is>
      </c>
      <c r="J1517" s="1779" t="inlineStr">
        <is>
          <t>Esquadrias de alumínio</t>
        </is>
      </c>
      <c r="K1517" s="1780" t="n"/>
      <c r="L1517" s="1781" t="n"/>
      <c r="M1517" s="1781" t="n"/>
      <c r="N1517" s="1746" t="n">
        <v>1443376.30646732</v>
      </c>
      <c r="O1517" s="1782" t="n"/>
      <c r="P1517" s="1720" t="n"/>
    </row>
    <row r="1518" hidden="1" outlineLevel="3" ht="13.5" customHeight="1">
      <c r="A1518" s="2117" t="n">
        <v>0</v>
      </c>
      <c r="B1518" s="2117" t="n">
        <v>18</v>
      </c>
      <c r="C1518" s="2117" t="n">
        <v>10</v>
      </c>
      <c r="D1518" s="2118" t="n">
        <v>2</v>
      </c>
      <c r="E1518" s="2118" t="n">
        <v>1</v>
      </c>
      <c r="G1518" s="1798" t="inlineStr">
        <is>
          <t>ESQUADRIAS, VIDROS E FERRAGENS</t>
        </is>
      </c>
      <c r="H1518" s="1783" t="inlineStr">
        <is>
          <t>SERVIÇO</t>
        </is>
      </c>
      <c r="I1518" s="1750" t="inlineStr">
        <is>
          <t>18.010.002.001</t>
        </is>
      </c>
      <c r="J1518" s="1785" t="inlineStr">
        <is>
          <t>Esquadrias de Alumínio - Portas - fornecimento e instalação</t>
        </is>
      </c>
      <c r="K1518" s="1786" t="inlineStr">
        <is>
          <t>m2</t>
        </is>
      </c>
      <c r="L1518" s="1787" t="n">
        <v>131.28</v>
      </c>
      <c r="M1518" s="1787" t="n">
        <v>1906.313968151559</v>
      </c>
      <c r="N1518" s="1754" t="n">
        <v>250260.897738937</v>
      </c>
      <c r="O1518" s="1788" t="inlineStr">
        <is>
          <t>Tabela de esquadrias enviada pela Gessele</t>
        </is>
      </c>
      <c r="P1518" s="1721" t="inlineStr">
        <is>
          <t>Pendente</t>
        </is>
      </c>
    </row>
    <row r="1519" hidden="1" outlineLevel="3" ht="13.5" customHeight="1">
      <c r="A1519" s="2117" t="n">
        <v>0</v>
      </c>
      <c r="B1519" s="2117" t="n">
        <v>18</v>
      </c>
      <c r="C1519" s="2117" t="n">
        <v>10</v>
      </c>
      <c r="D1519" s="2118" t="n">
        <v>2</v>
      </c>
      <c r="E1519" s="2118" t="n">
        <v>2</v>
      </c>
      <c r="G1519" s="1798" t="inlineStr">
        <is>
          <t>ESQUADRIAS, VIDROS E FERRAGENS</t>
        </is>
      </c>
      <c r="H1519" s="1783" t="inlineStr">
        <is>
          <t>SERVIÇO</t>
        </is>
      </c>
      <c r="I1519" s="1750" t="inlineStr">
        <is>
          <t>18.010.002.002</t>
        </is>
      </c>
      <c r="J1519" s="1785" t="inlineStr">
        <is>
          <t>Esquadrias de Alumínio - Janelas - fornecimento e instalação</t>
        </is>
      </c>
      <c r="K1519" s="1786" t="inlineStr">
        <is>
          <t>m2</t>
        </is>
      </c>
      <c r="L1519" s="1787" t="n">
        <v>147.6</v>
      </c>
      <c r="M1519" s="1787" t="n">
        <v>2650.495558713029</v>
      </c>
      <c r="N1519" s="1754" t="n">
        <v>391213.144466043</v>
      </c>
      <c r="O1519" s="1788" t="inlineStr">
        <is>
          <t>Tabela de esquadrias enviada pela Gessele</t>
        </is>
      </c>
      <c r="P1519" s="1721" t="inlineStr">
        <is>
          <t>Pendente</t>
        </is>
      </c>
    </row>
    <row r="1520" hidden="1" outlineLevel="3" ht="13.5" customHeight="1">
      <c r="A1520" s="2117" t="n">
        <v>0</v>
      </c>
      <c r="B1520" s="2117" t="n">
        <v>18</v>
      </c>
      <c r="C1520" s="2117" t="n">
        <v>10</v>
      </c>
      <c r="D1520" s="2118" t="n">
        <v>2</v>
      </c>
      <c r="E1520" s="2118" t="n">
        <v>3</v>
      </c>
      <c r="G1520" s="1798" t="inlineStr">
        <is>
          <t>ESQUADRIAS, VIDROS E FERRAGENS</t>
        </is>
      </c>
      <c r="H1520" s="1783" t="inlineStr">
        <is>
          <t>SERVIÇO</t>
        </is>
      </c>
      <c r="I1520" s="1750" t="inlineStr">
        <is>
          <t>18.010.002.003</t>
        </is>
      </c>
      <c r="J1520" s="1785" t="inlineStr">
        <is>
          <t>Esquadrias de Alumínio - Janelas Bronze - fornecimento e instalação</t>
        </is>
      </c>
      <c r="K1520" s="1786" t="inlineStr">
        <is>
          <t>m2</t>
        </is>
      </c>
      <c r="L1520" s="1787" t="n">
        <v>279.04</v>
      </c>
      <c r="M1520" s="1787" t="n">
        <v>2873.78965116951</v>
      </c>
      <c r="N1520" s="1754" t="n">
        <v>801902.26426234</v>
      </c>
      <c r="O1520" s="1788" t="inlineStr">
        <is>
          <t>Tabela de esquadrias enviada pela Gessele</t>
        </is>
      </c>
      <c r="P1520" s="1721" t="inlineStr">
        <is>
          <t>Pendente</t>
        </is>
      </c>
    </row>
    <row r="1521" hidden="1" outlineLevel="2" ht="12.75" customHeight="1">
      <c r="A1521" s="2117" t="n">
        <v>0</v>
      </c>
      <c r="B1521" s="2117" t="n">
        <v>18</v>
      </c>
      <c r="C1521" s="2117" t="n">
        <v>10</v>
      </c>
      <c r="D1521" s="2118" t="n">
        <v>3</v>
      </c>
      <c r="E1521" s="2118" t="n">
        <v>0</v>
      </c>
      <c r="G1521" s="1797" t="n"/>
      <c r="H1521" s="1777" t="inlineStr">
        <is>
          <t>SUBETAPA</t>
        </is>
      </c>
      <c r="I1521" s="1742" t="inlineStr">
        <is>
          <t>18.010.003</t>
        </is>
      </c>
      <c r="J1521" s="1779" t="inlineStr">
        <is>
          <t>Guarda corpo</t>
        </is>
      </c>
      <c r="K1521" s="1780" t="n"/>
      <c r="L1521" s="1781" t="n"/>
      <c r="M1521" s="1781" t="n"/>
      <c r="N1521" s="1746" t="n"/>
      <c r="O1521" s="1782" t="n"/>
      <c r="P1521" s="1720" t="n"/>
    </row>
    <row r="1522" hidden="1" outlineLevel="3" ht="12.75" customHeight="1">
      <c r="A1522" s="2117" t="n">
        <v>0</v>
      </c>
      <c r="B1522" s="2117" t="n">
        <v>18</v>
      </c>
      <c r="C1522" s="2117" t="n">
        <v>10</v>
      </c>
      <c r="D1522" s="2118" t="n">
        <v>3</v>
      </c>
      <c r="E1522" s="2118" t="n">
        <v>1</v>
      </c>
      <c r="G1522" s="1798" t="inlineStr">
        <is>
          <t>ESQUADRIAS, VIDROS E FERRAGENS</t>
        </is>
      </c>
      <c r="H1522" s="1783" t="inlineStr">
        <is>
          <t>SERVIÇO</t>
        </is>
      </c>
      <c r="I1522" s="1750" t="inlineStr">
        <is>
          <t>18.010.003.001</t>
        </is>
      </c>
      <c r="J1522" s="1785" t="inlineStr">
        <is>
          <t>Guarda Corpo de Vidro e Aluminio - fornecimento e instalação</t>
        </is>
      </c>
      <c r="K1522" s="1786" t="inlineStr">
        <is>
          <t>m2</t>
        </is>
      </c>
      <c r="L1522" s="1787" t="e">
        <v>#REF!</v>
      </c>
      <c r="M1522" s="1787" t="n">
        <v>1403.985</v>
      </c>
      <c r="N1522" s="1754" t="n"/>
      <c r="O1522" s="1788" t="inlineStr">
        <is>
          <t>Modelo do visus</t>
        </is>
      </c>
      <c r="P1522" s="1721" t="inlineStr">
        <is>
          <t>Pendente</t>
        </is>
      </c>
    </row>
    <row r="1523" hidden="1" outlineLevel="2" ht="12.75" customHeight="1">
      <c r="A1523" s="2117" t="n">
        <v>0</v>
      </c>
      <c r="B1523" s="2117" t="n">
        <v>18</v>
      </c>
      <c r="C1523" s="2117" t="n">
        <v>10</v>
      </c>
      <c r="D1523" s="2118" t="n">
        <v>4</v>
      </c>
      <c r="E1523" s="2118" t="n">
        <v>0</v>
      </c>
      <c r="G1523" s="1797" t="n"/>
      <c r="H1523" s="1777" t="inlineStr">
        <is>
          <t>SUBETAPA</t>
        </is>
      </c>
      <c r="I1523" s="1742" t="inlineStr">
        <is>
          <t>18.010.004</t>
        </is>
      </c>
      <c r="J1523" s="1779" t="inlineStr">
        <is>
          <t>Brise de Aluminio</t>
        </is>
      </c>
      <c r="K1523" s="1780" t="n"/>
      <c r="L1523" s="1781" t="n"/>
      <c r="M1523" s="1781" t="n"/>
      <c r="N1523" s="1746" t="n"/>
      <c r="O1523" s="1782" t="n"/>
      <c r="P1523" s="1720" t="n"/>
    </row>
    <row r="1524" hidden="1" outlineLevel="3" ht="12.75" customHeight="1">
      <c r="A1524" s="2117" t="n">
        <v>0</v>
      </c>
      <c r="B1524" s="2117" t="n">
        <v>18</v>
      </c>
      <c r="C1524" s="2117" t="n">
        <v>10</v>
      </c>
      <c r="D1524" s="2118" t="n">
        <v>4</v>
      </c>
      <c r="E1524" s="2118" t="n">
        <v>1</v>
      </c>
      <c r="G1524" s="1798" t="inlineStr">
        <is>
          <t>ESQUADRIAS, VIDROS E FERRAGENS</t>
        </is>
      </c>
      <c r="H1524" s="1783" t="inlineStr">
        <is>
          <t>SERVIÇO</t>
        </is>
      </c>
      <c r="I1524" s="1750" t="inlineStr">
        <is>
          <t>18.010.004.001</t>
        </is>
      </c>
      <c r="J1524" s="1785" t="inlineStr">
        <is>
          <t>Brise de Alumínio - Decoração Fachada</t>
        </is>
      </c>
      <c r="K1524" s="1786" t="inlineStr">
        <is>
          <t>m2</t>
        </is>
      </c>
      <c r="L1524" s="1787" t="e">
        <v>#REF!</v>
      </c>
      <c r="M1524" s="1787" t="n">
        <v>2122.541389557096</v>
      </c>
      <c r="N1524" s="1754" t="n"/>
      <c r="O1524" s="1788" t="inlineStr">
        <is>
          <t>Modelo do visus</t>
        </is>
      </c>
      <c r="P1524" s="1721" t="inlineStr">
        <is>
          <t>Pendente</t>
        </is>
      </c>
    </row>
    <row r="1525" hidden="1" outlineLevel="1" ht="13.5" customHeight="1">
      <c r="A1525" s="2117" t="n">
        <v>0</v>
      </c>
      <c r="B1525" s="2117" t="n">
        <v>18</v>
      </c>
      <c r="C1525" s="2117" t="n">
        <v>11</v>
      </c>
      <c r="D1525" s="2118" t="n">
        <v>0</v>
      </c>
      <c r="E1525" s="2118" t="n">
        <v>1</v>
      </c>
      <c r="G1525" s="1796" t="n"/>
      <c r="H1525" s="1771" t="inlineStr">
        <is>
          <t>ETAPA</t>
        </is>
      </c>
      <c r="I1525" s="1735" t="inlineStr">
        <is>
          <t>18.011</t>
        </is>
      </c>
      <c r="J1525" s="1773" t="inlineStr">
        <is>
          <t>ESQUADRIAS DE ALUMÍNIO - Penthouse x22</t>
        </is>
      </c>
      <c r="K1525" s="1774" t="n"/>
      <c r="L1525" s="1775" t="n"/>
      <c r="M1525" s="1775" t="n"/>
      <c r="N1525" s="1739" t="n"/>
      <c r="O1525" s="1776" t="n"/>
      <c r="P1525" s="1719" t="n"/>
    </row>
    <row r="1526" hidden="1" outlineLevel="2" ht="13.5" customHeight="1">
      <c r="A1526" s="2117" t="n">
        <v>0</v>
      </c>
      <c r="B1526" s="2117" t="n">
        <v>18</v>
      </c>
      <c r="C1526" s="2117" t="n">
        <v>11</v>
      </c>
      <c r="D1526" s="2118" t="n">
        <v>1</v>
      </c>
      <c r="E1526" s="2118" t="n">
        <v>0</v>
      </c>
      <c r="G1526" s="1797" t="n"/>
      <c r="H1526" s="1777" t="inlineStr">
        <is>
          <t>SUBETAPA</t>
        </is>
      </c>
      <c r="I1526" s="1742" t="inlineStr">
        <is>
          <t>18.011.001</t>
        </is>
      </c>
      <c r="J1526" s="1779" t="inlineStr">
        <is>
          <t>Contramarco</t>
        </is>
      </c>
      <c r="K1526" s="1780" t="n"/>
      <c r="L1526" s="1781" t="n"/>
      <c r="M1526" s="1781" t="n"/>
      <c r="N1526" s="1746" t="n">
        <v>58746.072</v>
      </c>
      <c r="O1526" s="1782" t="n">
        <v>3.50729727809563</v>
      </c>
      <c r="P1526" s="1720" t="n"/>
    </row>
    <row r="1527" hidden="1" outlineLevel="3" ht="13.5" customHeight="1">
      <c r="A1527" s="2117" t="n">
        <v>0</v>
      </c>
      <c r="B1527" s="2117" t="n">
        <v>18</v>
      </c>
      <c r="C1527" s="2117" t="n">
        <v>11</v>
      </c>
      <c r="D1527" s="2118" t="n">
        <v>1</v>
      </c>
      <c r="E1527" s="2118" t="n">
        <v>1</v>
      </c>
      <c r="G1527" s="1798" t="inlineStr">
        <is>
          <t>ESQUADRIAS, VIDROS E FERRAGENS</t>
        </is>
      </c>
      <c r="H1527" s="1783" t="inlineStr">
        <is>
          <t>SERVIÇO</t>
        </is>
      </c>
      <c r="I1527" s="1750" t="inlineStr">
        <is>
          <t>18.011.001.001</t>
        </is>
      </c>
      <c r="J1527" s="1785" t="inlineStr">
        <is>
          <t>Contramarco de Alumínio, Fixação com Argamassa</t>
        </is>
      </c>
      <c r="K1527" s="1786" t="inlineStr">
        <is>
          <t>m</t>
        </is>
      </c>
      <c r="L1527" s="1787" t="n">
        <v>2527.799999999999</v>
      </c>
      <c r="M1527" s="1787" t="n">
        <v>23.24</v>
      </c>
      <c r="N1527" s="1754" t="n">
        <v>58746.072</v>
      </c>
      <c r="O1527" s="1788" t="inlineStr">
        <is>
          <t>Tabela de esquadrias enviada pela Gessele</t>
        </is>
      </c>
      <c r="P1527" s="1721" t="inlineStr">
        <is>
          <t>Pendente</t>
        </is>
      </c>
    </row>
    <row r="1528" hidden="1" outlineLevel="2" ht="13.5" customHeight="1">
      <c r="A1528" s="2117" t="n">
        <v>0</v>
      </c>
      <c r="B1528" s="2117" t="n">
        <v>18</v>
      </c>
      <c r="C1528" s="2117" t="n">
        <v>11</v>
      </c>
      <c r="D1528" s="2118" t="n">
        <v>2</v>
      </c>
      <c r="E1528" s="2118" t="n">
        <v>0</v>
      </c>
      <c r="G1528" s="1797" t="n"/>
      <c r="H1528" s="1777" t="inlineStr">
        <is>
          <t>SUBETAPA</t>
        </is>
      </c>
      <c r="I1528" s="1742" t="inlineStr">
        <is>
          <t>18.011.002</t>
        </is>
      </c>
      <c r="J1528" s="1779" t="inlineStr">
        <is>
          <t>Esquadrias de alumínio</t>
        </is>
      </c>
      <c r="K1528" s="1780" t="n"/>
      <c r="L1528" s="1781" t="n"/>
      <c r="M1528" s="1781" t="n"/>
      <c r="N1528" s="1746" t="n">
        <v>2758088.76857745</v>
      </c>
      <c r="O1528" s="1782" t="n"/>
      <c r="P1528" s="1720" t="n"/>
    </row>
    <row r="1529" hidden="1" outlineLevel="3" ht="13.5" customHeight="1">
      <c r="A1529" s="2117" t="n">
        <v>0</v>
      </c>
      <c r="B1529" s="2117" t="n">
        <v>18</v>
      </c>
      <c r="C1529" s="2117" t="n">
        <v>11</v>
      </c>
      <c r="D1529" s="2118" t="n">
        <v>2</v>
      </c>
      <c r="E1529" s="2118" t="n">
        <v>1</v>
      </c>
      <c r="G1529" s="1798" t="inlineStr">
        <is>
          <t>ESQUADRIAS, VIDROS E FERRAGENS</t>
        </is>
      </c>
      <c r="H1529" s="1783" t="inlineStr">
        <is>
          <t>SERVIÇO</t>
        </is>
      </c>
      <c r="I1529" s="1750" t="inlineStr">
        <is>
          <t>18.011.002.001</t>
        </is>
      </c>
      <c r="J1529" s="1785" t="inlineStr">
        <is>
          <t>Esquadrias de Alumínio - Portas - fornecimento e instalação</t>
        </is>
      </c>
      <c r="K1529" s="1786" t="inlineStr">
        <is>
          <t>m2</t>
        </is>
      </c>
      <c r="L1529" s="1787" t="n">
        <v>217.8</v>
      </c>
      <c r="M1529" s="1787" t="n">
        <v>1906.313968151559</v>
      </c>
      <c r="N1529" s="1754" t="n">
        <v>415195.182263409</v>
      </c>
      <c r="O1529" s="1788" t="inlineStr">
        <is>
          <t>Tabela de esquadrias enviada pela Gessele</t>
        </is>
      </c>
      <c r="P1529" s="1721" t="inlineStr">
        <is>
          <t>Pendente</t>
        </is>
      </c>
    </row>
    <row r="1530" hidden="1" outlineLevel="3" ht="13.5" customHeight="1">
      <c r="A1530" s="2117" t="n">
        <v>0</v>
      </c>
      <c r="B1530" s="2117" t="n">
        <v>18</v>
      </c>
      <c r="C1530" s="2117" t="n">
        <v>11</v>
      </c>
      <c r="D1530" s="2118" t="n">
        <v>2</v>
      </c>
      <c r="E1530" s="2118" t="n">
        <v>2</v>
      </c>
      <c r="G1530" s="1798" t="inlineStr">
        <is>
          <t>ESQUADRIAS, VIDROS E FERRAGENS</t>
        </is>
      </c>
      <c r="H1530" s="1783" t="inlineStr">
        <is>
          <t>SERVIÇO</t>
        </is>
      </c>
      <c r="I1530" s="1750" t="inlineStr">
        <is>
          <t>18.011.002.002</t>
        </is>
      </c>
      <c r="J1530" s="1785" t="inlineStr">
        <is>
          <t>Esquadrias de Alumínio - Janelas - fornecimento e instalação</t>
        </is>
      </c>
      <c r="K1530" s="1786" t="inlineStr">
        <is>
          <t>m2</t>
        </is>
      </c>
      <c r="L1530" s="1787" t="n">
        <v>356.785</v>
      </c>
      <c r="M1530" s="1787" t="n">
        <v>2650.495558713029</v>
      </c>
      <c r="N1530" s="1754" t="n">
        <v>945657.057915428</v>
      </c>
      <c r="O1530" s="1788" t="inlineStr">
        <is>
          <t>Tabela de esquadrias enviada pela Gessele</t>
        </is>
      </c>
      <c r="P1530" s="1721" t="inlineStr">
        <is>
          <t>Pendente</t>
        </is>
      </c>
    </row>
    <row r="1531" hidden="1" outlineLevel="3" ht="13.5" customHeight="1">
      <c r="A1531" s="2117" t="n">
        <v>0</v>
      </c>
      <c r="B1531" s="2117" t="n">
        <v>18</v>
      </c>
      <c r="C1531" s="2117" t="n">
        <v>11</v>
      </c>
      <c r="D1531" s="2118" t="n">
        <v>2</v>
      </c>
      <c r="E1531" s="2118" t="n">
        <v>3</v>
      </c>
      <c r="G1531" s="1798" t="inlineStr">
        <is>
          <t>ESQUADRIAS, VIDROS E FERRAGENS</t>
        </is>
      </c>
      <c r="H1531" s="1783" t="inlineStr">
        <is>
          <t>SERVIÇO</t>
        </is>
      </c>
      <c r="I1531" s="1750" t="inlineStr">
        <is>
          <t>18.011.002.003</t>
        </is>
      </c>
      <c r="J1531" s="1785" t="inlineStr">
        <is>
          <t>Esquadrias de Alumínio - Janelas Bronze - fornecimento e instalação</t>
        </is>
      </c>
      <c r="K1531" s="1786" t="inlineStr">
        <is>
          <t>m2</t>
        </is>
      </c>
      <c r="L1531" s="1787" t="n">
        <v>486.2</v>
      </c>
      <c r="M1531" s="1787" t="n">
        <v>2873.78965116951</v>
      </c>
      <c r="N1531" s="1754" t="n">
        <v>1397236.52839862</v>
      </c>
      <c r="O1531" s="1788" t="inlineStr">
        <is>
          <t>Tabela de esquadrias enviada pela Gessele</t>
        </is>
      </c>
      <c r="P1531" s="1721" t="inlineStr">
        <is>
          <t>Pendente</t>
        </is>
      </c>
    </row>
    <row r="1532" hidden="1" outlineLevel="2" ht="12.75" customHeight="1">
      <c r="A1532" s="2117" t="n">
        <v>0</v>
      </c>
      <c r="B1532" s="2117" t="n">
        <v>18</v>
      </c>
      <c r="C1532" s="2117" t="n">
        <v>11</v>
      </c>
      <c r="D1532" s="2118" t="n">
        <v>3</v>
      </c>
      <c r="E1532" s="2118" t="n">
        <v>0</v>
      </c>
      <c r="G1532" s="1797" t="n"/>
      <c r="H1532" s="1777" t="inlineStr">
        <is>
          <t>SUBETAPA</t>
        </is>
      </c>
      <c r="I1532" s="1742" t="inlineStr">
        <is>
          <t>18.011.003</t>
        </is>
      </c>
      <c r="J1532" s="1779" t="inlineStr">
        <is>
          <t>Guarda corpo</t>
        </is>
      </c>
      <c r="K1532" s="1780" t="n"/>
      <c r="L1532" s="1781" t="n"/>
      <c r="M1532" s="1781" t="n"/>
      <c r="N1532" s="1746" t="n"/>
      <c r="O1532" s="1782" t="n"/>
      <c r="P1532" s="1720" t="n"/>
    </row>
    <row r="1533" hidden="1" outlineLevel="3" ht="12.75" customHeight="1">
      <c r="A1533" s="2117" t="n">
        <v>0</v>
      </c>
      <c r="B1533" s="2117" t="n">
        <v>18</v>
      </c>
      <c r="C1533" s="2117" t="n">
        <v>11</v>
      </c>
      <c r="D1533" s="2118" t="n">
        <v>3</v>
      </c>
      <c r="E1533" s="2118" t="n">
        <v>1</v>
      </c>
      <c r="G1533" s="1798" t="inlineStr">
        <is>
          <t>ESQUADRIAS, VIDROS E FERRAGENS</t>
        </is>
      </c>
      <c r="H1533" s="1783" t="inlineStr">
        <is>
          <t>SERVIÇO</t>
        </is>
      </c>
      <c r="I1533" s="1750" t="inlineStr">
        <is>
          <t>18.011.003.001</t>
        </is>
      </c>
      <c r="J1533" s="1785" t="inlineStr">
        <is>
          <t>Guarda Corpo de Vidro e Aluminio - fornecimento e instalação</t>
        </is>
      </c>
      <c r="K1533" s="1786" t="inlineStr">
        <is>
          <t>m2</t>
        </is>
      </c>
      <c r="L1533" s="1787" t="e">
        <v>#REF!</v>
      </c>
      <c r="M1533" s="1787" t="n">
        <v>1403.985</v>
      </c>
      <c r="N1533" s="1754" t="n"/>
      <c r="O1533" s="1788" t="inlineStr">
        <is>
          <t>Modelo do visus</t>
        </is>
      </c>
      <c r="P1533" s="1721" t="inlineStr">
        <is>
          <t>Pendente</t>
        </is>
      </c>
    </row>
    <row r="1534" hidden="1" outlineLevel="2" ht="12.75" customHeight="1">
      <c r="A1534" s="2117" t="n">
        <v>0</v>
      </c>
      <c r="B1534" s="2117" t="n">
        <v>18</v>
      </c>
      <c r="C1534" s="2117" t="n">
        <v>11</v>
      </c>
      <c r="D1534" s="2118" t="n">
        <v>4</v>
      </c>
      <c r="E1534" s="2118" t="n">
        <v>0</v>
      </c>
      <c r="G1534" s="1797" t="n"/>
      <c r="H1534" s="1777" t="inlineStr">
        <is>
          <t>SUBETAPA</t>
        </is>
      </c>
      <c r="I1534" s="1742" t="inlineStr">
        <is>
          <t>18.011.004</t>
        </is>
      </c>
      <c r="J1534" s="1779" t="inlineStr">
        <is>
          <t>Brise de Aluminio</t>
        </is>
      </c>
      <c r="K1534" s="1780" t="n"/>
      <c r="L1534" s="1781" t="n"/>
      <c r="M1534" s="1781" t="n"/>
      <c r="N1534" s="1746" t="n"/>
      <c r="O1534" s="1782" t="n"/>
      <c r="P1534" s="1720" t="n"/>
    </row>
    <row r="1535" hidden="1" outlineLevel="3" ht="12.75" customHeight="1">
      <c r="A1535" s="2117" t="n">
        <v>0</v>
      </c>
      <c r="B1535" s="2117" t="n">
        <v>18</v>
      </c>
      <c r="C1535" s="2117" t="n">
        <v>11</v>
      </c>
      <c r="D1535" s="2118" t="n">
        <v>4</v>
      </c>
      <c r="E1535" s="2118" t="n">
        <v>1</v>
      </c>
      <c r="G1535" s="1798" t="inlineStr">
        <is>
          <t>ESQUADRIAS, VIDROS E FERRAGENS</t>
        </is>
      </c>
      <c r="H1535" s="1783" t="inlineStr">
        <is>
          <t>SERVIÇO</t>
        </is>
      </c>
      <c r="I1535" s="1750" t="inlineStr">
        <is>
          <t>18.011.004.001</t>
        </is>
      </c>
      <c r="J1535" s="1785" t="inlineStr">
        <is>
          <t>Brise de Alumínio - Decoração Fachada</t>
        </is>
      </c>
      <c r="K1535" s="1786" t="inlineStr">
        <is>
          <t>m2</t>
        </is>
      </c>
      <c r="L1535" s="1787" t="e">
        <v>#REF!</v>
      </c>
      <c r="M1535" s="1787" t="n">
        <v>2122.541389557096</v>
      </c>
      <c r="N1535" s="1754" t="n"/>
      <c r="O1535" s="1788" t="inlineStr">
        <is>
          <t>Modelo do visus</t>
        </is>
      </c>
      <c r="P1535" s="1721" t="inlineStr">
        <is>
          <t>Pendente</t>
        </is>
      </c>
    </row>
    <row r="1536" hidden="1" outlineLevel="1" ht="13.5" customHeight="1">
      <c r="A1536" s="2117" t="n">
        <v>0</v>
      </c>
      <c r="B1536" s="2117" t="n">
        <v>18</v>
      </c>
      <c r="C1536" s="2117" t="n">
        <v>12</v>
      </c>
      <c r="D1536" s="2118" t="n">
        <v>0</v>
      </c>
      <c r="E1536" s="2118" t="n">
        <v>1</v>
      </c>
      <c r="G1536" s="1796" t="n"/>
      <c r="H1536" s="1771" t="inlineStr">
        <is>
          <t>ETAPA</t>
        </is>
      </c>
      <c r="I1536" s="1735" t="inlineStr">
        <is>
          <t>18.012</t>
        </is>
      </c>
      <c r="J1536" s="1773" t="inlineStr">
        <is>
          <t>ESQUADRIAS DE ALUMÍNIO - Duplex Inferior</t>
        </is>
      </c>
      <c r="K1536" s="1774" t="n"/>
      <c r="L1536" s="1775" t="n"/>
      <c r="M1536" s="1775" t="n"/>
      <c r="N1536" s="1739" t="n"/>
      <c r="O1536" s="1776" t="n"/>
      <c r="P1536" s="1719" t="n"/>
    </row>
    <row r="1537" hidden="1" outlineLevel="2" ht="13.5" customHeight="1">
      <c r="A1537" s="2117" t="n">
        <v>0</v>
      </c>
      <c r="B1537" s="2117" t="n">
        <v>18</v>
      </c>
      <c r="C1537" s="2117" t="n">
        <v>12</v>
      </c>
      <c r="D1537" s="2118" t="n">
        <v>1</v>
      </c>
      <c r="E1537" s="2118" t="n">
        <v>0</v>
      </c>
      <c r="G1537" s="1797" t="n"/>
      <c r="H1537" s="1777" t="inlineStr">
        <is>
          <t>SUBETAPA</t>
        </is>
      </c>
      <c r="I1537" s="1742" t="inlineStr">
        <is>
          <t>18.012.001</t>
        </is>
      </c>
      <c r="J1537" s="1779" t="inlineStr">
        <is>
          <t>Contramarco</t>
        </is>
      </c>
      <c r="K1537" s="1780" t="n"/>
      <c r="L1537" s="1781" t="n"/>
      <c r="M1537" s="1781" t="n"/>
      <c r="N1537" s="1746" t="n">
        <v>3160.64</v>
      </c>
      <c r="O1537" s="1782" t="n">
        <v>0.188698643018042</v>
      </c>
      <c r="P1537" s="1720" t="n"/>
    </row>
    <row r="1538" hidden="1" outlineLevel="3" ht="13.5" customHeight="1">
      <c r="A1538" s="2117" t="n">
        <v>0</v>
      </c>
      <c r="B1538" s="2117" t="n">
        <v>18</v>
      </c>
      <c r="C1538" s="2117" t="n">
        <v>12</v>
      </c>
      <c r="D1538" s="2118" t="n">
        <v>1</v>
      </c>
      <c r="E1538" s="2118" t="n">
        <v>1</v>
      </c>
      <c r="G1538" s="1798" t="inlineStr">
        <is>
          <t>ESQUADRIAS, VIDROS E FERRAGENS</t>
        </is>
      </c>
      <c r="H1538" s="1783" t="inlineStr">
        <is>
          <t>SERVIÇO</t>
        </is>
      </c>
      <c r="I1538" s="1750" t="inlineStr">
        <is>
          <t>18.012.001.001</t>
        </is>
      </c>
      <c r="J1538" s="1785" t="inlineStr">
        <is>
          <t>Contramarco de Alumínio, Fixação com Argamassa</t>
        </is>
      </c>
      <c r="K1538" s="1786" t="inlineStr">
        <is>
          <t>m</t>
        </is>
      </c>
      <c r="L1538" s="1787" t="n">
        <v>136</v>
      </c>
      <c r="M1538" s="1787" t="n">
        <v>23.24</v>
      </c>
      <c r="N1538" s="1754" t="n">
        <v>3160.64</v>
      </c>
      <c r="O1538" s="1788" t="inlineStr">
        <is>
          <t>Tabela de esquadrias enviada pela Gessele</t>
        </is>
      </c>
      <c r="P1538" s="1721" t="inlineStr">
        <is>
          <t>Pendente</t>
        </is>
      </c>
    </row>
    <row r="1539" hidden="1" outlineLevel="2" ht="13.5" customHeight="1">
      <c r="A1539" s="2117" t="n">
        <v>0</v>
      </c>
      <c r="B1539" s="2117" t="n">
        <v>18</v>
      </c>
      <c r="C1539" s="2117" t="n">
        <v>12</v>
      </c>
      <c r="D1539" s="2118" t="n">
        <v>2</v>
      </c>
      <c r="E1539" s="2118" t="n">
        <v>0</v>
      </c>
      <c r="G1539" s="1797" t="n"/>
      <c r="H1539" s="1777" t="inlineStr">
        <is>
          <t>SUBETAPA</t>
        </is>
      </c>
      <c r="I1539" s="1742" t="inlineStr">
        <is>
          <t>18.012.002</t>
        </is>
      </c>
      <c r="J1539" s="1779" t="inlineStr">
        <is>
          <t>Esquadrias de alumínio</t>
        </is>
      </c>
      <c r="K1539" s="1780" t="n"/>
      <c r="L1539" s="1781" t="n"/>
      <c r="M1539" s="1781" t="n"/>
      <c r="N1539" s="1746" t="n">
        <v>142210.563665903</v>
      </c>
      <c r="O1539" s="1782" t="n"/>
      <c r="P1539" s="1720" t="n"/>
    </row>
    <row r="1540" hidden="1" outlineLevel="3" ht="13.5" customHeight="1">
      <c r="A1540" s="2117" t="n">
        <v>0</v>
      </c>
      <c r="B1540" s="2117" t="n">
        <v>18</v>
      </c>
      <c r="C1540" s="2117" t="n">
        <v>12</v>
      </c>
      <c r="D1540" s="2118" t="n">
        <v>2</v>
      </c>
      <c r="E1540" s="2118" t="n">
        <v>1</v>
      </c>
      <c r="G1540" s="1798" t="inlineStr">
        <is>
          <t>ESQUADRIAS, VIDROS E FERRAGENS</t>
        </is>
      </c>
      <c r="H1540" s="1783" t="inlineStr">
        <is>
          <t>SERVIÇO</t>
        </is>
      </c>
      <c r="I1540" s="1750" t="inlineStr">
        <is>
          <t>18.012.002.001</t>
        </is>
      </c>
      <c r="J1540" s="1785" t="inlineStr">
        <is>
          <t>Esquadrias de Alumínio - Portas - fornecimento e instalação</t>
        </is>
      </c>
      <c r="K1540" s="1786" t="inlineStr">
        <is>
          <t>m2</t>
        </is>
      </c>
      <c r="L1540" s="1787" t="n">
        <v>9.9</v>
      </c>
      <c r="M1540" s="1787" t="n">
        <v>1906.313968151559</v>
      </c>
      <c r="N1540" s="1754" t="n">
        <v>18872.5082847004</v>
      </c>
      <c r="O1540" s="1788" t="inlineStr">
        <is>
          <t>Tabela de esquadrias enviada pela Gessele</t>
        </is>
      </c>
      <c r="P1540" s="1721" t="inlineStr">
        <is>
          <t>Pendente</t>
        </is>
      </c>
    </row>
    <row r="1541" hidden="1" outlineLevel="3" ht="13.5" customHeight="1">
      <c r="A1541" s="2117" t="n">
        <v>0</v>
      </c>
      <c r="B1541" s="2117" t="n">
        <v>18</v>
      </c>
      <c r="C1541" s="2117" t="n">
        <v>12</v>
      </c>
      <c r="D1541" s="2118" t="n">
        <v>2</v>
      </c>
      <c r="E1541" s="2118" t="n">
        <v>2</v>
      </c>
      <c r="G1541" s="1798" t="inlineStr">
        <is>
          <t>ESQUADRIAS, VIDROS E FERRAGENS</t>
        </is>
      </c>
      <c r="H1541" s="1783" t="inlineStr">
        <is>
          <t>SERVIÇO</t>
        </is>
      </c>
      <c r="I1541" s="1750" t="inlineStr">
        <is>
          <t>18.012.002.002</t>
        </is>
      </c>
      <c r="J1541" s="1785" t="inlineStr">
        <is>
          <t>Esquadrias de Alumínio - Janelas - fornecimento e instalação</t>
        </is>
      </c>
      <c r="K1541" s="1786" t="inlineStr">
        <is>
          <t>m2</t>
        </is>
      </c>
      <c r="L1541" s="1787" t="n">
        <v>14.115</v>
      </c>
      <c r="M1541" s="1787" t="n">
        <v>2650.495558713029</v>
      </c>
      <c r="N1541" s="1754" t="n">
        <v>37411.7448112344</v>
      </c>
      <c r="O1541" s="1788" t="inlineStr">
        <is>
          <t>Tabela de esquadrias enviada pela Gessele</t>
        </is>
      </c>
      <c r="P1541" s="1721" t="inlineStr">
        <is>
          <t>Pendente</t>
        </is>
      </c>
    </row>
    <row r="1542" hidden="1" outlineLevel="3" ht="13.5" customHeight="1">
      <c r="A1542" s="2117" t="n">
        <v>0</v>
      </c>
      <c r="B1542" s="2117" t="n">
        <v>18</v>
      </c>
      <c r="C1542" s="2117" t="n">
        <v>12</v>
      </c>
      <c r="D1542" s="2118" t="n">
        <v>2</v>
      </c>
      <c r="E1542" s="2118" t="n">
        <v>3</v>
      </c>
      <c r="G1542" s="1798" t="inlineStr">
        <is>
          <t>ESQUADRIAS, VIDROS E FERRAGENS</t>
        </is>
      </c>
      <c r="H1542" s="1783" t="inlineStr">
        <is>
          <t>SERVIÇO</t>
        </is>
      </c>
      <c r="I1542" s="1750" t="inlineStr">
        <is>
          <t>18.012.002.003</t>
        </is>
      </c>
      <c r="J1542" s="1785" t="inlineStr">
        <is>
          <t>Esquadrias de Alumínio - Janelas Bronze - fornecimento e instalação</t>
        </is>
      </c>
      <c r="K1542" s="1786" t="inlineStr">
        <is>
          <t>m2</t>
        </is>
      </c>
      <c r="L1542" s="1787" t="n">
        <v>29.90000000000001</v>
      </c>
      <c r="M1542" s="1787" t="n">
        <v>2873.78965116951</v>
      </c>
      <c r="N1542" s="1754" t="n">
        <v>85926.31056996839</v>
      </c>
      <c r="O1542" s="1788" t="inlineStr">
        <is>
          <t>Tabela de esquadrias enviada pela Gessele</t>
        </is>
      </c>
      <c r="P1542" s="1721" t="inlineStr">
        <is>
          <t>Pendente</t>
        </is>
      </c>
    </row>
    <row r="1543" hidden="1" outlineLevel="2" ht="12.75" customHeight="1">
      <c r="A1543" s="2117" t="n">
        <v>0</v>
      </c>
      <c r="B1543" s="2117" t="n">
        <v>18</v>
      </c>
      <c r="C1543" s="2117" t="n">
        <v>12</v>
      </c>
      <c r="D1543" s="2118" t="n">
        <v>3</v>
      </c>
      <c r="E1543" s="2118" t="n">
        <v>0</v>
      </c>
      <c r="G1543" s="1797" t="n"/>
      <c r="H1543" s="1777" t="inlineStr">
        <is>
          <t>SUBETAPA</t>
        </is>
      </c>
      <c r="I1543" s="1742" t="inlineStr">
        <is>
          <t>18.012.003</t>
        </is>
      </c>
      <c r="J1543" s="1779" t="inlineStr">
        <is>
          <t>Guarda corpo</t>
        </is>
      </c>
      <c r="K1543" s="1780" t="n"/>
      <c r="L1543" s="1781" t="n"/>
      <c r="M1543" s="1781" t="n"/>
      <c r="N1543" s="1746" t="n"/>
      <c r="O1543" s="1782" t="n"/>
      <c r="P1543" s="1720" t="n"/>
    </row>
    <row r="1544" hidden="1" outlineLevel="3" ht="12.75" customHeight="1">
      <c r="A1544" s="2117" t="n">
        <v>0</v>
      </c>
      <c r="B1544" s="2117" t="n">
        <v>18</v>
      </c>
      <c r="C1544" s="2117" t="n">
        <v>12</v>
      </c>
      <c r="D1544" s="2118" t="n">
        <v>3</v>
      </c>
      <c r="E1544" s="2118" t="n">
        <v>1</v>
      </c>
      <c r="G1544" s="1798" t="inlineStr">
        <is>
          <t>ESQUADRIAS, VIDROS E FERRAGENS</t>
        </is>
      </c>
      <c r="H1544" s="1783" t="inlineStr">
        <is>
          <t>SERVIÇO</t>
        </is>
      </c>
      <c r="I1544" s="1750" t="inlineStr">
        <is>
          <t>18.012.003.001</t>
        </is>
      </c>
      <c r="J1544" s="1785" t="inlineStr">
        <is>
          <t>Guarda Corpo de Vidro e Aluminio - fornecimento e instalação</t>
        </is>
      </c>
      <c r="K1544" s="1786" t="inlineStr">
        <is>
          <t>m2</t>
        </is>
      </c>
      <c r="L1544" s="1787" t="e">
        <v>#REF!</v>
      </c>
      <c r="M1544" s="1787" t="n">
        <v>1403.985</v>
      </c>
      <c r="N1544" s="1754" t="n"/>
      <c r="O1544" s="1788" t="inlineStr">
        <is>
          <t>Modelo do visus</t>
        </is>
      </c>
      <c r="P1544" s="1721" t="inlineStr">
        <is>
          <t>Pendente</t>
        </is>
      </c>
    </row>
    <row r="1545" hidden="1" outlineLevel="2" ht="12.75" customHeight="1">
      <c r="A1545" s="2117" t="n">
        <v>0</v>
      </c>
      <c r="B1545" s="2117" t="n">
        <v>18</v>
      </c>
      <c r="C1545" s="2117" t="n">
        <v>12</v>
      </c>
      <c r="D1545" s="2118" t="n">
        <v>4</v>
      </c>
      <c r="E1545" s="2118" t="n">
        <v>0</v>
      </c>
      <c r="G1545" s="1797" t="n"/>
      <c r="H1545" s="1777" t="inlineStr">
        <is>
          <t>SUBETAPA</t>
        </is>
      </c>
      <c r="I1545" s="1742" t="inlineStr">
        <is>
          <t>18.012.004</t>
        </is>
      </c>
      <c r="J1545" s="1779" t="inlineStr">
        <is>
          <t>Brise de Aluminio</t>
        </is>
      </c>
      <c r="K1545" s="1780" t="n"/>
      <c r="L1545" s="1781" t="n"/>
      <c r="M1545" s="1781" t="n"/>
      <c r="N1545" s="1746" t="n"/>
      <c r="O1545" s="1782" t="n"/>
      <c r="P1545" s="1720" t="n"/>
    </row>
    <row r="1546" hidden="1" outlineLevel="3" ht="12.75" customHeight="1">
      <c r="A1546" s="2117" t="n">
        <v>0</v>
      </c>
      <c r="B1546" s="2117" t="n">
        <v>18</v>
      </c>
      <c r="C1546" s="2117" t="n">
        <v>12</v>
      </c>
      <c r="D1546" s="2118" t="n">
        <v>4</v>
      </c>
      <c r="E1546" s="2118" t="n">
        <v>1</v>
      </c>
      <c r="G1546" s="1798" t="inlineStr">
        <is>
          <t>ESQUADRIAS, VIDROS E FERRAGENS</t>
        </is>
      </c>
      <c r="H1546" s="1783" t="inlineStr">
        <is>
          <t>SERVIÇO</t>
        </is>
      </c>
      <c r="I1546" s="1750" t="inlineStr">
        <is>
          <t>18.012.004.001</t>
        </is>
      </c>
      <c r="J1546" s="1785" t="inlineStr">
        <is>
          <t>Brise de Alumínio - Decoração Fachada</t>
        </is>
      </c>
      <c r="K1546" s="1786" t="inlineStr">
        <is>
          <t>m2</t>
        </is>
      </c>
      <c r="L1546" s="1787" t="e">
        <v>#REF!</v>
      </c>
      <c r="M1546" s="1787" t="n">
        <v>2122.541389557096</v>
      </c>
      <c r="N1546" s="1754" t="n"/>
      <c r="O1546" s="1788" t="inlineStr">
        <is>
          <t>Modelo do visus</t>
        </is>
      </c>
      <c r="P1546" s="1721" t="inlineStr">
        <is>
          <t>Pendente</t>
        </is>
      </c>
    </row>
    <row r="1547" hidden="1" outlineLevel="1" ht="13.5" customHeight="1">
      <c r="A1547" s="2117" t="n">
        <v>0</v>
      </c>
      <c r="B1547" s="2117" t="n">
        <v>18</v>
      </c>
      <c r="C1547" s="2117" t="n">
        <v>13</v>
      </c>
      <c r="D1547" s="2118" t="n">
        <v>0</v>
      </c>
      <c r="E1547" s="2118" t="n">
        <v>1</v>
      </c>
      <c r="G1547" s="1796" t="n"/>
      <c r="H1547" s="1771" t="inlineStr">
        <is>
          <t>ETAPA</t>
        </is>
      </c>
      <c r="I1547" s="1735" t="inlineStr">
        <is>
          <t>18.013</t>
        </is>
      </c>
      <c r="J1547" s="1773" t="inlineStr">
        <is>
          <t>ESQUADRIAS DE ALUMÍNIO - Duplex Superior</t>
        </is>
      </c>
      <c r="K1547" s="1774" t="n"/>
      <c r="L1547" s="1775" t="n"/>
      <c r="M1547" s="1775" t="n"/>
      <c r="N1547" s="1739" t="n"/>
      <c r="O1547" s="1776" t="n"/>
      <c r="P1547" s="1719" t="n"/>
    </row>
    <row r="1548" hidden="1" outlineLevel="2" ht="13.5" customHeight="1">
      <c r="A1548" s="2117" t="n">
        <v>0</v>
      </c>
      <c r="B1548" s="2117" t="n">
        <v>18</v>
      </c>
      <c r="C1548" s="2117" t="n">
        <v>13</v>
      </c>
      <c r="D1548" s="2118" t="n">
        <v>1</v>
      </c>
      <c r="E1548" s="2118" t="n">
        <v>0</v>
      </c>
      <c r="G1548" s="1797" t="n"/>
      <c r="H1548" s="1777" t="inlineStr">
        <is>
          <t>SUBETAPA</t>
        </is>
      </c>
      <c r="I1548" s="1742" t="inlineStr">
        <is>
          <t>18.013.001</t>
        </is>
      </c>
      <c r="J1548" s="1779" t="inlineStr">
        <is>
          <t>Contramarco</t>
        </is>
      </c>
      <c r="K1548" s="1780" t="n"/>
      <c r="L1548" s="1781" t="n"/>
      <c r="M1548" s="1781" t="n"/>
      <c r="N1548" s="1746" t="n">
        <v>1861.524</v>
      </c>
      <c r="O1548" s="1782" t="n">
        <v>0.111137950777538</v>
      </c>
      <c r="P1548" s="1720" t="n"/>
    </row>
    <row r="1549" hidden="1" outlineLevel="3" ht="13.5" customHeight="1">
      <c r="A1549" s="2117" t="n">
        <v>0</v>
      </c>
      <c r="B1549" s="2117" t="n">
        <v>18</v>
      </c>
      <c r="C1549" s="2117" t="n">
        <v>13</v>
      </c>
      <c r="D1549" s="2118" t="n">
        <v>1</v>
      </c>
      <c r="E1549" s="2118" t="n">
        <v>1</v>
      </c>
      <c r="G1549" s="1798" t="inlineStr">
        <is>
          <t>ESQUADRIAS, VIDROS E FERRAGENS</t>
        </is>
      </c>
      <c r="H1549" s="1783" t="inlineStr">
        <is>
          <t>SERVIÇO</t>
        </is>
      </c>
      <c r="I1549" s="1750" t="inlineStr">
        <is>
          <t>18.013.001.001</t>
        </is>
      </c>
      <c r="J1549" s="1785" t="inlineStr">
        <is>
          <t>Contramarco de Alumínio, Fixação com Argamassa</t>
        </is>
      </c>
      <c r="K1549" s="1786" t="inlineStr">
        <is>
          <t>m</t>
        </is>
      </c>
      <c r="L1549" s="1787" t="n">
        <v>80.09999999999999</v>
      </c>
      <c r="M1549" s="1787" t="n">
        <v>23.24</v>
      </c>
      <c r="N1549" s="1754" t="n">
        <v>1861.524</v>
      </c>
      <c r="O1549" s="1788" t="inlineStr">
        <is>
          <t>Tabela de esquadrias enviada pela Gessele</t>
        </is>
      </c>
      <c r="P1549" s="1721" t="inlineStr">
        <is>
          <t>Pendente</t>
        </is>
      </c>
    </row>
    <row r="1550" hidden="1" outlineLevel="2" ht="13.5" customHeight="1">
      <c r="A1550" s="2117" t="n">
        <v>0</v>
      </c>
      <c r="B1550" s="2117" t="n">
        <v>18</v>
      </c>
      <c r="C1550" s="2117" t="n">
        <v>13</v>
      </c>
      <c r="D1550" s="2118" t="n">
        <v>2</v>
      </c>
      <c r="E1550" s="2118" t="n">
        <v>0</v>
      </c>
      <c r="G1550" s="1797" t="n"/>
      <c r="H1550" s="1777" t="inlineStr">
        <is>
          <t>SUBETAPA</t>
        </is>
      </c>
      <c r="I1550" s="1742" t="inlineStr">
        <is>
          <t>18.013.002</t>
        </is>
      </c>
      <c r="J1550" s="1779" t="inlineStr">
        <is>
          <t>Esquadrias de alumínio</t>
        </is>
      </c>
      <c r="K1550" s="1780" t="n"/>
      <c r="L1550" s="1781" t="n"/>
      <c r="M1550" s="1781" t="n"/>
      <c r="N1550" s="1746" t="n">
        <v>94528.5867973969</v>
      </c>
      <c r="O1550" s="1782" t="n"/>
      <c r="P1550" s="1720" t="n"/>
    </row>
    <row r="1551" hidden="1" outlineLevel="3" ht="13.5" customHeight="1">
      <c r="A1551" s="2117" t="n">
        <v>0</v>
      </c>
      <c r="B1551" s="2117" t="n">
        <v>18</v>
      </c>
      <c r="C1551" s="2117" t="n">
        <v>13</v>
      </c>
      <c r="D1551" s="2118" t="n">
        <v>2</v>
      </c>
      <c r="E1551" s="2118" t="n">
        <v>1</v>
      </c>
      <c r="G1551" s="1798" t="inlineStr">
        <is>
          <t>ESQUADRIAS, VIDROS E FERRAGENS</t>
        </is>
      </c>
      <c r="H1551" s="1783" t="inlineStr">
        <is>
          <t>SERVIÇO</t>
        </is>
      </c>
      <c r="I1551" s="1750" t="inlineStr">
        <is>
          <t>18.013.002.001</t>
        </is>
      </c>
      <c r="J1551" s="1785" t="inlineStr">
        <is>
          <t>Esquadrias de Alumínio - Portas - fornecimento e instalação</t>
        </is>
      </c>
      <c r="K1551" s="1786" t="inlineStr">
        <is>
          <t>m2</t>
        </is>
      </c>
      <c r="L1551" s="1787" t="n">
        <v>11.94</v>
      </c>
      <c r="M1551" s="1787" t="n">
        <v>1906.313968151559</v>
      </c>
      <c r="N1551" s="1754" t="n">
        <v>22761.3887797296</v>
      </c>
      <c r="O1551" s="1788" t="inlineStr">
        <is>
          <t>Tabela de esquadrias enviada pela Gessele</t>
        </is>
      </c>
      <c r="P1551" s="1721" t="inlineStr">
        <is>
          <t>Pendente</t>
        </is>
      </c>
    </row>
    <row r="1552" hidden="1" outlineLevel="3" ht="13.5" customHeight="1">
      <c r="A1552" s="2117" t="n">
        <v>0</v>
      </c>
      <c r="B1552" s="2117" t="n">
        <v>18</v>
      </c>
      <c r="C1552" s="2117" t="n">
        <v>13</v>
      </c>
      <c r="D1552" s="2118" t="n">
        <v>2</v>
      </c>
      <c r="E1552" s="2118" t="n">
        <v>2</v>
      </c>
      <c r="G1552" s="1798" t="inlineStr">
        <is>
          <t>ESQUADRIAS, VIDROS E FERRAGENS</t>
        </is>
      </c>
      <c r="H1552" s="1783" t="inlineStr">
        <is>
          <t>SERVIÇO</t>
        </is>
      </c>
      <c r="I1552" s="1750" t="inlineStr">
        <is>
          <t>18.013.002.002</t>
        </is>
      </c>
      <c r="J1552" s="1785" t="inlineStr">
        <is>
          <t>Esquadrias de Alumínio - Janelas - fornecimento e instalação</t>
        </is>
      </c>
      <c r="K1552" s="1786" t="inlineStr">
        <is>
          <t>m2</t>
        </is>
      </c>
      <c r="L1552" s="1787" t="n">
        <v>10.965</v>
      </c>
      <c r="M1552" s="1787" t="n">
        <v>2650.495558713029</v>
      </c>
      <c r="N1552" s="1754" t="n">
        <v>29062.6838012884</v>
      </c>
      <c r="O1552" s="1788" t="inlineStr">
        <is>
          <t>Tabela de esquadrias enviada pela Gessele</t>
        </is>
      </c>
      <c r="P1552" s="1721" t="inlineStr">
        <is>
          <t>Pendente</t>
        </is>
      </c>
    </row>
    <row r="1553" hidden="1" outlineLevel="3" ht="13.5" customHeight="1">
      <c r="A1553" s="2117" t="n">
        <v>0</v>
      </c>
      <c r="B1553" s="2117" t="n">
        <v>18</v>
      </c>
      <c r="C1553" s="2117" t="n">
        <v>13</v>
      </c>
      <c r="D1553" s="2118" t="n">
        <v>2</v>
      </c>
      <c r="E1553" s="2118" t="n">
        <v>3</v>
      </c>
      <c r="G1553" s="1798" t="inlineStr">
        <is>
          <t>ESQUADRIAS, VIDROS E FERRAGENS</t>
        </is>
      </c>
      <c r="H1553" s="1783" t="inlineStr">
        <is>
          <t>SERVIÇO</t>
        </is>
      </c>
      <c r="I1553" s="1750" t="inlineStr">
        <is>
          <t>18.013.002.003</t>
        </is>
      </c>
      <c r="J1553" s="1785" t="inlineStr">
        <is>
          <t>Esquadrias de Alumínio - Janelas Bronze - fornecimento e instalação</t>
        </is>
      </c>
      <c r="K1553" s="1786" t="inlineStr">
        <is>
          <t>m2</t>
        </is>
      </c>
      <c r="L1553" s="1787" t="n">
        <v>14.86</v>
      </c>
      <c r="M1553" s="1787" t="n">
        <v>2873.78965116951</v>
      </c>
      <c r="N1553" s="1754" t="n">
        <v>42704.5142163789</v>
      </c>
      <c r="O1553" s="1788" t="inlineStr">
        <is>
          <t>Tabela de esquadrias enviada pela Gessele</t>
        </is>
      </c>
      <c r="P1553" s="1721" t="inlineStr">
        <is>
          <t>Pendente</t>
        </is>
      </c>
    </row>
    <row r="1554" hidden="1" outlineLevel="2" ht="12.75" customHeight="1">
      <c r="A1554" s="2117" t="n">
        <v>0</v>
      </c>
      <c r="B1554" s="2117" t="n">
        <v>18</v>
      </c>
      <c r="C1554" s="2117" t="n">
        <v>13</v>
      </c>
      <c r="D1554" s="2118" t="n">
        <v>3</v>
      </c>
      <c r="E1554" s="2118" t="n">
        <v>0</v>
      </c>
      <c r="G1554" s="1797" t="n"/>
      <c r="H1554" s="1777" t="inlineStr">
        <is>
          <t>SUBETAPA</t>
        </is>
      </c>
      <c r="I1554" s="1742" t="inlineStr">
        <is>
          <t>18.013.003</t>
        </is>
      </c>
      <c r="J1554" s="1779" t="inlineStr">
        <is>
          <t>Guarda corpo</t>
        </is>
      </c>
      <c r="K1554" s="1780" t="n"/>
      <c r="L1554" s="1781" t="n"/>
      <c r="M1554" s="1781" t="n"/>
      <c r="N1554" s="1746" t="n"/>
      <c r="O1554" s="1782" t="n"/>
      <c r="P1554" s="1720" t="n"/>
    </row>
    <row r="1555" hidden="1" outlineLevel="3" ht="12.75" customHeight="1">
      <c r="A1555" s="2117" t="n">
        <v>0</v>
      </c>
      <c r="B1555" s="2117" t="n">
        <v>18</v>
      </c>
      <c r="C1555" s="2117" t="n">
        <v>13</v>
      </c>
      <c r="D1555" s="2118" t="n">
        <v>3</v>
      </c>
      <c r="E1555" s="2118" t="n">
        <v>1</v>
      </c>
      <c r="G1555" s="1798" t="inlineStr">
        <is>
          <t>ESQUADRIAS, VIDROS E FERRAGENS</t>
        </is>
      </c>
      <c r="H1555" s="1783" t="inlineStr">
        <is>
          <t>SERVIÇO</t>
        </is>
      </c>
      <c r="I1555" s="1750" t="inlineStr">
        <is>
          <t>18.013.003.001</t>
        </is>
      </c>
      <c r="J1555" s="1785" t="inlineStr">
        <is>
          <t>Guarda Corpo de Vidro e Aluminio - fornecimento e instalação</t>
        </is>
      </c>
      <c r="K1555" s="1786" t="inlineStr">
        <is>
          <t>m2</t>
        </is>
      </c>
      <c r="L1555" s="1787" t="e">
        <v>#REF!</v>
      </c>
      <c r="M1555" s="1787" t="n">
        <v>1403.985</v>
      </c>
      <c r="N1555" s="1754" t="n"/>
      <c r="O1555" s="1788" t="inlineStr">
        <is>
          <t>Modelo do visus</t>
        </is>
      </c>
      <c r="P1555" s="1721" t="inlineStr">
        <is>
          <t>Pendente</t>
        </is>
      </c>
    </row>
    <row r="1556" hidden="1" outlineLevel="2" ht="12.75" customHeight="1">
      <c r="A1556" s="2117" t="n">
        <v>0</v>
      </c>
      <c r="B1556" s="2117" t="n">
        <v>18</v>
      </c>
      <c r="C1556" s="2117" t="n">
        <v>13</v>
      </c>
      <c r="D1556" s="2118" t="n">
        <v>4</v>
      </c>
      <c r="E1556" s="2118" t="n">
        <v>0</v>
      </c>
      <c r="G1556" s="1797" t="n"/>
      <c r="H1556" s="1777" t="inlineStr">
        <is>
          <t>SUBETAPA</t>
        </is>
      </c>
      <c r="I1556" s="1742" t="inlineStr">
        <is>
          <t>18.013.004</t>
        </is>
      </c>
      <c r="J1556" s="1779" t="inlineStr">
        <is>
          <t>Brise de Aluminio</t>
        </is>
      </c>
      <c r="K1556" s="1780" t="n"/>
      <c r="L1556" s="1781" t="n"/>
      <c r="M1556" s="1781" t="n"/>
      <c r="N1556" s="1746" t="n"/>
      <c r="O1556" s="1782" t="n"/>
      <c r="P1556" s="1720" t="n"/>
    </row>
    <row r="1557" hidden="1" outlineLevel="3" ht="12.75" customHeight="1">
      <c r="A1557" s="2117" t="n">
        <v>0</v>
      </c>
      <c r="B1557" s="2117" t="n">
        <v>18</v>
      </c>
      <c r="C1557" s="2117" t="n">
        <v>13</v>
      </c>
      <c r="D1557" s="2118" t="n">
        <v>4</v>
      </c>
      <c r="E1557" s="2118" t="n">
        <v>1</v>
      </c>
      <c r="G1557" s="1798" t="inlineStr">
        <is>
          <t>ESQUADRIAS, VIDROS E FERRAGENS</t>
        </is>
      </c>
      <c r="H1557" s="1783" t="inlineStr">
        <is>
          <t>SERVIÇO</t>
        </is>
      </c>
      <c r="I1557" s="1750" t="inlineStr">
        <is>
          <t>18.013.004.001</t>
        </is>
      </c>
      <c r="J1557" s="1785" t="inlineStr">
        <is>
          <t>Brise de Alumínio - Decoração Fachada</t>
        </is>
      </c>
      <c r="K1557" s="1786" t="inlineStr">
        <is>
          <t>m2</t>
        </is>
      </c>
      <c r="L1557" s="1787" t="e">
        <v>#REF!</v>
      </c>
      <c r="M1557" s="1787" t="n">
        <v>2122.541389557096</v>
      </c>
      <c r="N1557" s="1754" t="n"/>
      <c r="O1557" s="1788" t="inlineStr">
        <is>
          <t>Modelo do visus</t>
        </is>
      </c>
      <c r="P1557" s="1721" t="inlineStr">
        <is>
          <t>Pendente</t>
        </is>
      </c>
    </row>
    <row r="1558" hidden="1" outlineLevel="1" ht="13.5" customHeight="1">
      <c r="A1558" s="2117" t="n">
        <v>0</v>
      </c>
      <c r="B1558" s="2117" t="n">
        <v>18</v>
      </c>
      <c r="C1558" s="2117" t="n">
        <v>14</v>
      </c>
      <c r="D1558" s="2118" t="n">
        <v>0</v>
      </c>
      <c r="E1558" s="2118" t="n">
        <v>1</v>
      </c>
      <c r="G1558" s="1796" t="n"/>
      <c r="H1558" s="1771" t="inlineStr">
        <is>
          <t>ETAPA</t>
        </is>
      </c>
      <c r="I1558" s="1735" t="inlineStr">
        <is>
          <t>18.014</t>
        </is>
      </c>
      <c r="J1558" s="1773" t="inlineStr">
        <is>
          <t>ESQUADRIAS DE ALUMÍNIO - Cobertura | Barrilete</t>
        </is>
      </c>
      <c r="K1558" s="1774" t="n"/>
      <c r="L1558" s="1775" t="n"/>
      <c r="M1558" s="1775" t="n"/>
      <c r="N1558" s="1739" t="n">
        <v>51022.7110002243</v>
      </c>
      <c r="O1558" s="1776" t="n">
        <v>3.04619201454263</v>
      </c>
      <c r="P1558" s="1719" t="n"/>
    </row>
    <row r="1559" hidden="1" outlineLevel="2" ht="13.5" customHeight="1">
      <c r="A1559" s="2117" t="n">
        <v>0</v>
      </c>
      <c r="B1559" s="2117" t="n">
        <v>18</v>
      </c>
      <c r="C1559" s="2117" t="n">
        <v>14</v>
      </c>
      <c r="D1559" s="2118" t="n">
        <v>1</v>
      </c>
      <c r="E1559" s="2118" t="n">
        <v>0</v>
      </c>
      <c r="G1559" s="1797" t="n"/>
      <c r="H1559" s="1777" t="inlineStr">
        <is>
          <t>SUBETAPA</t>
        </is>
      </c>
      <c r="I1559" s="1742" t="inlineStr">
        <is>
          <t>18.014.001</t>
        </is>
      </c>
      <c r="J1559" s="1779" t="inlineStr">
        <is>
          <t>Contramarco</t>
        </is>
      </c>
      <c r="K1559" s="1780" t="n"/>
      <c r="L1559" s="1781" t="n"/>
      <c r="M1559" s="1781" t="n"/>
      <c r="N1559" s="1746" t="n">
        <v>1519.896</v>
      </c>
      <c r="O1559" s="1782" t="n">
        <v>0.0907418474513229</v>
      </c>
      <c r="P1559" s="1720" t="n"/>
    </row>
    <row r="1560" hidden="1" outlineLevel="3" ht="13.5" customHeight="1">
      <c r="A1560" s="2117" t="n">
        <v>0</v>
      </c>
      <c r="B1560" s="2117" t="n">
        <v>18</v>
      </c>
      <c r="C1560" s="2117" t="n">
        <v>14</v>
      </c>
      <c r="D1560" s="2118" t="n">
        <v>1</v>
      </c>
      <c r="E1560" s="2118" t="n">
        <v>1</v>
      </c>
      <c r="G1560" s="1798" t="inlineStr">
        <is>
          <t>ESQUADRIAS, VIDROS E FERRAGENS</t>
        </is>
      </c>
      <c r="H1560" s="1783" t="inlineStr">
        <is>
          <t>SERVIÇO</t>
        </is>
      </c>
      <c r="I1560" s="1750" t="inlineStr">
        <is>
          <t>18.014.001.001</t>
        </is>
      </c>
      <c r="J1560" s="1785" t="inlineStr">
        <is>
          <t>Contramarco de Alumínio, Fixação com Argamassa</t>
        </is>
      </c>
      <c r="K1560" s="1786" t="inlineStr">
        <is>
          <t>m</t>
        </is>
      </c>
      <c r="L1560" s="1787" t="n">
        <v>65.40000000000001</v>
      </c>
      <c r="M1560" s="1787" t="n">
        <v>23.24</v>
      </c>
      <c r="N1560" s="1754" t="n">
        <v>1519.896</v>
      </c>
      <c r="O1560" s="1788" t="inlineStr">
        <is>
          <t>Tabela de esquadrias enviada pela Gessele</t>
        </is>
      </c>
      <c r="P1560" s="1721" t="inlineStr">
        <is>
          <t>Pendente</t>
        </is>
      </c>
    </row>
    <row r="1561" hidden="1" outlineLevel="2" ht="13.5" customHeight="1">
      <c r="A1561" s="2117" t="n">
        <v>0</v>
      </c>
      <c r="B1561" s="2117" t="n">
        <v>18</v>
      </c>
      <c r="C1561" s="2117" t="n">
        <v>14</v>
      </c>
      <c r="D1561" s="2118" t="n">
        <v>2</v>
      </c>
      <c r="E1561" s="2118" t="n">
        <v>0</v>
      </c>
      <c r="G1561" s="1797" t="n"/>
      <c r="H1561" s="1777" t="inlineStr">
        <is>
          <t>SUBETAPA</t>
        </is>
      </c>
      <c r="I1561" s="1742" t="inlineStr">
        <is>
          <t>18.014.002</t>
        </is>
      </c>
      <c r="J1561" s="1779" t="inlineStr">
        <is>
          <t>Esquadrias de alumínio</t>
        </is>
      </c>
      <c r="K1561" s="1780" t="n"/>
      <c r="L1561" s="1781" t="n"/>
      <c r="M1561" s="1781" t="n"/>
      <c r="N1561" s="1746" t="n">
        <v>49502.8150002243</v>
      </c>
      <c r="O1561" s="1782" t="n"/>
      <c r="P1561" s="1720" t="n"/>
    </row>
    <row r="1562" hidden="1" outlineLevel="3" ht="13.5" customHeight="1">
      <c r="A1562" s="2117" t="n">
        <v>0</v>
      </c>
      <c r="B1562" s="2117" t="n">
        <v>18</v>
      </c>
      <c r="C1562" s="2117" t="n">
        <v>14</v>
      </c>
      <c r="D1562" s="2118" t="n">
        <v>2</v>
      </c>
      <c r="E1562" s="2118" t="n">
        <v>1</v>
      </c>
      <c r="G1562" s="1798" t="inlineStr">
        <is>
          <t>ESQUADRIAS, VIDROS E FERRAGENS</t>
        </is>
      </c>
      <c r="H1562" s="1783" t="inlineStr">
        <is>
          <t>SERVIÇO</t>
        </is>
      </c>
      <c r="I1562" s="1750" t="inlineStr">
        <is>
          <t>18.014.002.001</t>
        </is>
      </c>
      <c r="J1562" s="1785" t="inlineStr">
        <is>
          <t>Esquadrias de Alumínio - Portas - fornecimento e instalação</t>
        </is>
      </c>
      <c r="K1562" s="1786" t="inlineStr">
        <is>
          <t>m2</t>
        </is>
      </c>
      <c r="L1562" s="1787" t="n">
        <v>20.74</v>
      </c>
      <c r="M1562" s="1787" t="n">
        <v>1906.313968151559</v>
      </c>
      <c r="N1562" s="1754" t="n">
        <v>39536.9516994633</v>
      </c>
      <c r="O1562" s="1788" t="inlineStr">
        <is>
          <t>Tabela de esquadrias enviada pela Gessele</t>
        </is>
      </c>
      <c r="P1562" s="1721" t="inlineStr">
        <is>
          <t>Pendente</t>
        </is>
      </c>
    </row>
    <row r="1563" hidden="1" outlineLevel="3" ht="13.5" customHeight="1">
      <c r="A1563" s="2117" t="n">
        <v>0</v>
      </c>
      <c r="B1563" s="2117" t="n">
        <v>18</v>
      </c>
      <c r="C1563" s="2117" t="n">
        <v>14</v>
      </c>
      <c r="D1563" s="2118" t="n">
        <v>2</v>
      </c>
      <c r="E1563" s="2118" t="n">
        <v>2</v>
      </c>
      <c r="G1563" s="1798" t="inlineStr">
        <is>
          <t>ESQUADRIAS, VIDROS E FERRAGENS</t>
        </is>
      </c>
      <c r="H1563" s="1783" t="inlineStr">
        <is>
          <t>SERVIÇO</t>
        </is>
      </c>
      <c r="I1563" s="1750" t="inlineStr">
        <is>
          <t>18.014.002.002</t>
        </is>
      </c>
      <c r="J1563" s="1785" t="inlineStr">
        <is>
          <t>Esquadrias de Alumínio - Janelas - fornecimento e instalação</t>
        </is>
      </c>
      <c r="K1563" s="1786" t="inlineStr">
        <is>
          <t>m2</t>
        </is>
      </c>
      <c r="L1563" s="1787" t="n">
        <v>3.760000000000001</v>
      </c>
      <c r="M1563" s="1787" t="n">
        <v>2650.495558713029</v>
      </c>
      <c r="N1563" s="1754" t="n">
        <v>9965.86330076099</v>
      </c>
      <c r="O1563" s="1788" t="inlineStr">
        <is>
          <t>Tabela de esquadrias enviada pela Gessele</t>
        </is>
      </c>
      <c r="P1563" s="1721" t="inlineStr">
        <is>
          <t>Pendente</t>
        </is>
      </c>
    </row>
    <row r="1564" hidden="1" outlineLevel="1" ht="13.5" customHeight="1">
      <c r="A1564" s="2117" t="n">
        <v>0</v>
      </c>
      <c r="B1564" s="2117" t="n">
        <v>18</v>
      </c>
      <c r="C1564" s="2117" t="n">
        <v>15</v>
      </c>
      <c r="D1564" s="2118" t="n">
        <v>0</v>
      </c>
      <c r="E1564" s="2118" t="n">
        <v>2</v>
      </c>
      <c r="G1564" s="1796" t="n"/>
      <c r="H1564" s="1771" t="inlineStr">
        <is>
          <t>ETAPA</t>
        </is>
      </c>
      <c r="I1564" s="1735" t="inlineStr">
        <is>
          <t>18.015</t>
        </is>
      </c>
      <c r="J1564" s="1773" t="inlineStr">
        <is>
          <t>ESQUADRIAS DE MADEIRA - Térreo</t>
        </is>
      </c>
      <c r="K1564" s="1774" t="n"/>
      <c r="L1564" s="1775" t="n"/>
      <c r="M1564" s="1775" t="n"/>
      <c r="N1564" s="1739" t="n">
        <v>23283.38</v>
      </c>
      <c r="O1564" s="1776" t="n">
        <v>1.39007992396268</v>
      </c>
      <c r="P1564" s="1719" t="n"/>
    </row>
    <row r="1565" hidden="1" outlineLevel="2" ht="12.75" customHeight="1">
      <c r="A1565" s="2117" t="n">
        <v>0</v>
      </c>
      <c r="B1565" s="2117" t="n">
        <v>18</v>
      </c>
      <c r="C1565" s="2117" t="n">
        <v>15</v>
      </c>
      <c r="D1565" s="2118" t="n">
        <v>1</v>
      </c>
      <c r="E1565" s="2118" t="n">
        <v>0</v>
      </c>
      <c r="G1565" s="1797" t="n"/>
      <c r="H1565" s="1777" t="inlineStr">
        <is>
          <t>SUBETAPA</t>
        </is>
      </c>
      <c r="I1565" s="1742" t="inlineStr">
        <is>
          <t>18.015.001</t>
        </is>
      </c>
      <c r="J1565" s="1779" t="inlineStr">
        <is>
          <t>Esquadrias de madeira</t>
        </is>
      </c>
      <c r="K1565" s="1780" t="n"/>
      <c r="L1565" s="1781" t="n"/>
      <c r="M1565" s="1781" t="n"/>
      <c r="N1565" s="1746" t="n">
        <v>20883.38</v>
      </c>
      <c r="O1565" s="1782" t="n"/>
      <c r="P1565" s="1720" t="n"/>
    </row>
    <row r="1566" hidden="1" outlineLevel="3" ht="12.75" customHeight="1">
      <c r="A1566" s="2117" t="n">
        <v>0</v>
      </c>
      <c r="B1566" s="2117" t="n">
        <v>18</v>
      </c>
      <c r="C1566" s="2117" t="n">
        <v>15</v>
      </c>
      <c r="D1566" s="2118" t="n">
        <v>1</v>
      </c>
      <c r="E1566" s="2118" t="n">
        <v>1</v>
      </c>
      <c r="G1566" s="1798" t="inlineStr">
        <is>
          <t>ESQUADRIAS, VIDROS E FERRAGENS</t>
        </is>
      </c>
      <c r="H1566" s="1783" t="inlineStr">
        <is>
          <t>SERVIÇO</t>
        </is>
      </c>
      <c r="I1566" s="1750" t="inlineStr">
        <is>
          <t>18.015.001.001</t>
        </is>
      </c>
      <c r="J1566" s="1785" t="inlineStr">
        <is>
          <t>Porta de madeira de abrir - 80x210cm (kit completo) - fixação com espuma expansiva</t>
        </is>
      </c>
      <c r="K1566" s="1786" t="inlineStr">
        <is>
          <t>un</t>
        </is>
      </c>
      <c r="L1566" s="1787" t="n">
        <v>1</v>
      </c>
      <c r="M1566" s="1787" t="n">
        <v>2306.36</v>
      </c>
      <c r="N1566" s="1754" t="n">
        <v>2306.36</v>
      </c>
      <c r="O1566" s="1788" t="inlineStr">
        <is>
          <t>Tabela de esquadrias enviada pela Gessele</t>
        </is>
      </c>
      <c r="P1566" s="1721" t="inlineStr">
        <is>
          <t>Pendente</t>
        </is>
      </c>
    </row>
    <row r="1567" hidden="1" outlineLevel="3" ht="13.5" customHeight="1">
      <c r="A1567" s="2117" t="n">
        <v>0</v>
      </c>
      <c r="B1567" s="2117" t="n">
        <v>18</v>
      </c>
      <c r="C1567" s="2117" t="n">
        <v>15</v>
      </c>
      <c r="D1567" s="2118" t="n">
        <v>1</v>
      </c>
      <c r="E1567" s="2118" t="n">
        <v>2</v>
      </c>
      <c r="G1567" s="1798" t="inlineStr">
        <is>
          <t>ESQUADRIAS, VIDROS E FERRAGENS</t>
        </is>
      </c>
      <c r="H1567" s="1783" t="inlineStr">
        <is>
          <t>SERVIÇO</t>
        </is>
      </c>
      <c r="I1567" s="1750" t="inlineStr">
        <is>
          <t>18.015.001.002</t>
        </is>
      </c>
      <c r="J1567" s="1785" t="inlineStr">
        <is>
          <t>Porta de madeira de abrir - 90x210cm (kit completo) - fixação com espuma expansiva</t>
        </is>
      </c>
      <c r="K1567" s="1786" t="inlineStr">
        <is>
          <t>un</t>
        </is>
      </c>
      <c r="L1567" s="1787" t="n">
        <v>7</v>
      </c>
      <c r="M1567" s="1787" t="n">
        <v>2653.86</v>
      </c>
      <c r="N1567" s="1754" t="n">
        <v>18577.02</v>
      </c>
      <c r="O1567" s="1788" t="inlineStr">
        <is>
          <t>Tabela de esquadrias enviada pela Gessele</t>
        </is>
      </c>
      <c r="P1567" s="1721" t="inlineStr">
        <is>
          <t>Pendente</t>
        </is>
      </c>
    </row>
    <row r="1568" hidden="1" outlineLevel="2" ht="13.5" customHeight="1">
      <c r="A1568" s="2117" t="n">
        <v>0</v>
      </c>
      <c r="B1568" s="2117" t="n">
        <v>18</v>
      </c>
      <c r="C1568" s="2117" t="n">
        <v>15</v>
      </c>
      <c r="D1568" s="2118" t="n">
        <v>2</v>
      </c>
      <c r="E1568" s="2118" t="n">
        <v>0</v>
      </c>
      <c r="G1568" s="1797" t="n"/>
      <c r="H1568" s="1777" t="inlineStr">
        <is>
          <t>SUBETAPA</t>
        </is>
      </c>
      <c r="I1568" s="1742" t="inlineStr">
        <is>
          <t>18.015.002</t>
        </is>
      </c>
      <c r="J1568" s="1779" t="inlineStr">
        <is>
          <t>Mão de obra</t>
        </is>
      </c>
      <c r="K1568" s="1780" t="n"/>
      <c r="L1568" s="1781" t="n"/>
      <c r="M1568" s="1781" t="n"/>
      <c r="N1568" s="1746" t="n">
        <v>2400</v>
      </c>
      <c r="O1568" s="1782" t="n"/>
      <c r="P1568" s="1720" t="n"/>
    </row>
    <row r="1569" hidden="1" outlineLevel="3" ht="13.5" customHeight="1">
      <c r="A1569" s="2117" t="n">
        <v>0</v>
      </c>
      <c r="B1569" s="2117" t="n">
        <v>18</v>
      </c>
      <c r="C1569" s="2117" t="n">
        <v>15</v>
      </c>
      <c r="D1569" s="2118" t="n">
        <v>2</v>
      </c>
      <c r="E1569" s="2118" t="n">
        <v>1</v>
      </c>
      <c r="G1569" s="1798" t="inlineStr">
        <is>
          <t>ESQUADRIAS, VIDROS E FERRAGENS</t>
        </is>
      </c>
      <c r="H1569" s="1783" t="inlineStr">
        <is>
          <t>SERVIÇO</t>
        </is>
      </c>
      <c r="I1569" s="1750" t="inlineStr">
        <is>
          <t>18.015.002.001</t>
        </is>
      </c>
      <c r="J1569" s="1785" t="inlineStr">
        <is>
          <t>Mão de obra para instalação de portas de madeira</t>
        </is>
      </c>
      <c r="K1569" s="1786" t="inlineStr">
        <is>
          <t>un</t>
        </is>
      </c>
      <c r="L1569" s="1787" t="n">
        <v>8</v>
      </c>
      <c r="M1569" s="1787" t="n">
        <v>300</v>
      </c>
      <c r="N1569" s="1754" t="n">
        <v>2400</v>
      </c>
      <c r="O1569" s="1788" t="inlineStr">
        <is>
          <t>Tabela de esquadrias enviada pela Gessele</t>
        </is>
      </c>
      <c r="P1569" s="1721" t="inlineStr">
        <is>
          <t>Pendente</t>
        </is>
      </c>
    </row>
    <row r="1570" hidden="1" outlineLevel="1" ht="13.5" customHeight="1">
      <c r="A1570" s="2117" t="n">
        <v>0</v>
      </c>
      <c r="B1570" s="2117" t="n">
        <v>18</v>
      </c>
      <c r="C1570" s="2117" t="n">
        <v>16</v>
      </c>
      <c r="D1570" s="2118" t="n">
        <v>0</v>
      </c>
      <c r="E1570" s="2118" t="n">
        <v>1</v>
      </c>
      <c r="G1570" s="1796" t="n"/>
      <c r="H1570" s="1771" t="inlineStr">
        <is>
          <t>ETAPA</t>
        </is>
      </c>
      <c r="I1570" s="1735" t="inlineStr">
        <is>
          <t>18.016</t>
        </is>
      </c>
      <c r="J1570" s="1773" t="inlineStr">
        <is>
          <t>ESQUADRIAS DE MADEIRA - Lazer | Garagem</t>
        </is>
      </c>
      <c r="K1570" s="1774" t="n"/>
      <c r="L1570" s="1775" t="n"/>
      <c r="M1570" s="1775" t="n"/>
      <c r="N1570" s="1739" t="n">
        <v>16680.66</v>
      </c>
      <c r="O1570" s="1776" t="n">
        <v>0.995879918828251</v>
      </c>
      <c r="P1570" s="1719" t="n"/>
    </row>
    <row r="1571" hidden="1" outlineLevel="2" ht="12.75" customHeight="1">
      <c r="A1571" s="2117" t="n">
        <v>0</v>
      </c>
      <c r="B1571" s="2117" t="n">
        <v>18</v>
      </c>
      <c r="C1571" s="2117" t="n">
        <v>16</v>
      </c>
      <c r="D1571" s="2118" t="n">
        <v>1</v>
      </c>
      <c r="E1571" s="2118" t="n">
        <v>0</v>
      </c>
      <c r="G1571" s="1797" t="n"/>
      <c r="H1571" s="1777" t="inlineStr">
        <is>
          <t>SUBETAPA</t>
        </is>
      </c>
      <c r="I1571" s="1742" t="inlineStr">
        <is>
          <t>18.016.001</t>
        </is>
      </c>
      <c r="J1571" s="1779" t="inlineStr">
        <is>
          <t>Esquadrias de madeira</t>
        </is>
      </c>
      <c r="K1571" s="1780" t="n"/>
      <c r="L1571" s="1781" t="n"/>
      <c r="M1571" s="1781" t="n"/>
      <c r="N1571" s="1746" t="n">
        <v>14880.66</v>
      </c>
      <c r="O1571" s="1782" t="n"/>
      <c r="P1571" s="1720" t="n"/>
    </row>
    <row r="1572" hidden="1" outlineLevel="3" ht="12.75" customHeight="1">
      <c r="A1572" s="2117" t="n">
        <v>0</v>
      </c>
      <c r="B1572" s="2117" t="n">
        <v>18</v>
      </c>
      <c r="C1572" s="2117" t="n">
        <v>16</v>
      </c>
      <c r="D1572" s="2118" t="n">
        <v>1</v>
      </c>
      <c r="E1572" s="2118" t="n">
        <v>1</v>
      </c>
      <c r="G1572" s="1798" t="inlineStr">
        <is>
          <t>ESQUADRIAS, VIDROS E FERRAGENS</t>
        </is>
      </c>
      <c r="H1572" s="1783" t="inlineStr">
        <is>
          <t>SERVIÇO</t>
        </is>
      </c>
      <c r="I1572" s="1750" t="inlineStr">
        <is>
          <t>18.016.001.001</t>
        </is>
      </c>
      <c r="J1572" s="1785" t="inlineStr">
        <is>
          <t>Porta de madeira de abrir - 80x210cm (kit completo) - fixação com espuma expansiva</t>
        </is>
      </c>
      <c r="K1572" s="1786" t="inlineStr">
        <is>
          <t>un</t>
        </is>
      </c>
      <c r="L1572" s="1787" t="n">
        <v>3</v>
      </c>
      <c r="M1572" s="1787" t="n">
        <v>2306.36</v>
      </c>
      <c r="N1572" s="1754" t="n">
        <v>6919.08</v>
      </c>
      <c r="O1572" s="1788" t="inlineStr">
        <is>
          <t>Tabela de esquadrias enviada pela Gessele</t>
        </is>
      </c>
      <c r="P1572" s="1721" t="inlineStr">
        <is>
          <t>Pendente</t>
        </is>
      </c>
    </row>
    <row r="1573" hidden="1" outlineLevel="3" ht="13.5" customHeight="1">
      <c r="A1573" s="2117" t="n">
        <v>0</v>
      </c>
      <c r="B1573" s="2117" t="n">
        <v>18</v>
      </c>
      <c r="C1573" s="2117" t="n">
        <v>16</v>
      </c>
      <c r="D1573" s="2118" t="n">
        <v>1</v>
      </c>
      <c r="E1573" s="2118" t="n">
        <v>2</v>
      </c>
      <c r="G1573" s="1798" t="inlineStr">
        <is>
          <t>ESQUADRIAS, VIDROS E FERRAGENS</t>
        </is>
      </c>
      <c r="H1573" s="1783" t="inlineStr">
        <is>
          <t>SERVIÇO</t>
        </is>
      </c>
      <c r="I1573" s="1750" t="inlineStr">
        <is>
          <t>18.016.001.002</t>
        </is>
      </c>
      <c r="J1573" s="1785" t="inlineStr">
        <is>
          <t>Porta de madeira de abrir - 90x210cm (kit completo) - fixação com espuma expansiva</t>
        </is>
      </c>
      <c r="K1573" s="1786" t="inlineStr">
        <is>
          <t>un</t>
        </is>
      </c>
      <c r="L1573" s="1787" t="n">
        <v>3</v>
      </c>
      <c r="M1573" s="1787" t="n">
        <v>2653.86</v>
      </c>
      <c r="N1573" s="1754" t="n">
        <v>7961.58</v>
      </c>
      <c r="O1573" s="1788" t="inlineStr">
        <is>
          <t>Tabela de esquadrias enviada pela Gessele</t>
        </is>
      </c>
      <c r="P1573" s="1721" t="inlineStr">
        <is>
          <t>Pendente</t>
        </is>
      </c>
    </row>
    <row r="1574" hidden="1" outlineLevel="2" ht="13.5" customHeight="1">
      <c r="A1574" s="2117" t="n">
        <v>0</v>
      </c>
      <c r="B1574" s="2117" t="n">
        <v>18</v>
      </c>
      <c r="C1574" s="2117" t="n">
        <v>16</v>
      </c>
      <c r="D1574" s="2118" t="n">
        <v>2</v>
      </c>
      <c r="E1574" s="2118" t="n">
        <v>0</v>
      </c>
      <c r="G1574" s="1797" t="n"/>
      <c r="H1574" s="1777" t="inlineStr">
        <is>
          <t>SUBETAPA</t>
        </is>
      </c>
      <c r="I1574" s="1742" t="inlineStr">
        <is>
          <t>18.016.002</t>
        </is>
      </c>
      <c r="J1574" s="1779" t="inlineStr">
        <is>
          <t>Mão de obra</t>
        </is>
      </c>
      <c r="K1574" s="1780" t="n"/>
      <c r="L1574" s="1781" t="n"/>
      <c r="M1574" s="1781" t="n"/>
      <c r="N1574" s="1746" t="n">
        <v>1800</v>
      </c>
      <c r="O1574" s="1782" t="n"/>
      <c r="P1574" s="1720" t="n"/>
    </row>
    <row r="1575" hidden="1" outlineLevel="3" ht="13.5" customHeight="1">
      <c r="A1575" s="2117" t="n">
        <v>0</v>
      </c>
      <c r="B1575" s="2117" t="n">
        <v>18</v>
      </c>
      <c r="C1575" s="2117" t="n">
        <v>16</v>
      </c>
      <c r="D1575" s="2118" t="n">
        <v>2</v>
      </c>
      <c r="E1575" s="2118" t="n">
        <v>1</v>
      </c>
      <c r="G1575" s="1798" t="inlineStr">
        <is>
          <t>ESQUADRIAS, VIDROS E FERRAGENS</t>
        </is>
      </c>
      <c r="H1575" s="1783" t="inlineStr">
        <is>
          <t>SERVIÇO</t>
        </is>
      </c>
      <c r="I1575" s="1750" t="inlineStr">
        <is>
          <t>18.016.002.001</t>
        </is>
      </c>
      <c r="J1575" s="1785" t="inlineStr">
        <is>
          <t>Mão de obra para instalação de portas de madeira</t>
        </is>
      </c>
      <c r="K1575" s="1786" t="inlineStr">
        <is>
          <t>un</t>
        </is>
      </c>
      <c r="L1575" s="1787" t="n">
        <v>6</v>
      </c>
      <c r="M1575" s="1787" t="n">
        <v>300</v>
      </c>
      <c r="N1575" s="1754" t="n">
        <v>1800</v>
      </c>
      <c r="O1575" s="1788" t="inlineStr">
        <is>
          <t>Tabela de esquadrias enviada pela Gessele</t>
        </is>
      </c>
      <c r="P1575" s="1721" t="inlineStr">
        <is>
          <t>Pendente</t>
        </is>
      </c>
    </row>
    <row r="1576" hidden="1" outlineLevel="1" ht="13.5" customHeight="1">
      <c r="A1576" s="2117" t="n">
        <v>0</v>
      </c>
      <c r="B1576" s="2117" t="n">
        <v>18</v>
      </c>
      <c r="C1576" s="2117" t="n">
        <v>17</v>
      </c>
      <c r="D1576" s="2118" t="n">
        <v>0</v>
      </c>
      <c r="E1576" s="2118" t="n">
        <v>1</v>
      </c>
      <c r="G1576" s="1796" t="n"/>
      <c r="H1576" s="1771" t="inlineStr">
        <is>
          <t>ETAPA</t>
        </is>
      </c>
      <c r="I1576" s="1735" t="inlineStr">
        <is>
          <t>18.017</t>
        </is>
      </c>
      <c r="J1576" s="1773" t="inlineStr">
        <is>
          <t>ESQUADRIAS DE MADEIRA - Lazer</t>
        </is>
      </c>
      <c r="K1576" s="1774" t="n"/>
      <c r="L1576" s="1775" t="n"/>
      <c r="M1576" s="1775" t="n"/>
      <c r="N1576" s="1739" t="n">
        <v>20329.52</v>
      </c>
      <c r="O1576" s="1776" t="n">
        <v>1.21372659879269</v>
      </c>
      <c r="P1576" s="1719" t="n"/>
    </row>
    <row r="1577" hidden="1" outlineLevel="2" ht="12.75" customHeight="1">
      <c r="A1577" s="2117" t="n">
        <v>0</v>
      </c>
      <c r="B1577" s="2117" t="n">
        <v>18</v>
      </c>
      <c r="C1577" s="2117" t="n">
        <v>17</v>
      </c>
      <c r="D1577" s="2118" t="n">
        <v>1</v>
      </c>
      <c r="E1577" s="2118" t="n">
        <v>0</v>
      </c>
      <c r="G1577" s="1797" t="n"/>
      <c r="H1577" s="1777" t="inlineStr">
        <is>
          <t>SUBETAPA</t>
        </is>
      </c>
      <c r="I1577" s="1742" t="inlineStr">
        <is>
          <t>18.017.001</t>
        </is>
      </c>
      <c r="J1577" s="1779" t="inlineStr">
        <is>
          <t>Esquadrias de madeira</t>
        </is>
      </c>
      <c r="K1577" s="1780" t="n"/>
      <c r="L1577" s="1781" t="n"/>
      <c r="M1577" s="1781" t="n"/>
      <c r="N1577" s="1746" t="n">
        <v>18229.52</v>
      </c>
      <c r="O1577" s="1782" t="n"/>
      <c r="P1577" s="1720" t="n"/>
    </row>
    <row r="1578" hidden="1" outlineLevel="3" ht="12.75" customHeight="1">
      <c r="A1578" s="2117" t="n">
        <v>0</v>
      </c>
      <c r="B1578" s="2117" t="n">
        <v>18</v>
      </c>
      <c r="C1578" s="2117" t="n">
        <v>17</v>
      </c>
      <c r="D1578" s="2118" t="n">
        <v>1</v>
      </c>
      <c r="E1578" s="2118" t="n">
        <v>1</v>
      </c>
      <c r="G1578" s="1798" t="inlineStr">
        <is>
          <t>ESQUADRIAS, VIDROS E FERRAGENS</t>
        </is>
      </c>
      <c r="H1578" s="1783" t="inlineStr">
        <is>
          <t>SERVIÇO</t>
        </is>
      </c>
      <c r="I1578" s="1750" t="inlineStr">
        <is>
          <t>18.017.001.001</t>
        </is>
      </c>
      <c r="J1578" s="1785" t="inlineStr">
        <is>
          <t>Porta de madeira de abrir - 80x210cm (kit completo) - fixação com espuma expansiva</t>
        </is>
      </c>
      <c r="K1578" s="1786" t="inlineStr">
        <is>
          <t>un</t>
        </is>
      </c>
      <c r="L1578" s="1787" t="n">
        <v>1</v>
      </c>
      <c r="M1578" s="1787" t="n">
        <v>2306.36</v>
      </c>
      <c r="N1578" s="1754" t="n">
        <v>2306.36</v>
      </c>
      <c r="O1578" s="1788" t="inlineStr">
        <is>
          <t>Tabela de esquadrias enviada pela Gessele</t>
        </is>
      </c>
      <c r="P1578" s="1721" t="inlineStr">
        <is>
          <t>Pendente</t>
        </is>
      </c>
    </row>
    <row r="1579" hidden="1" outlineLevel="3" ht="13.5" customHeight="1">
      <c r="A1579" s="2117" t="n">
        <v>0</v>
      </c>
      <c r="B1579" s="2117" t="n">
        <v>18</v>
      </c>
      <c r="C1579" s="2117" t="n">
        <v>17</v>
      </c>
      <c r="D1579" s="2118" t="n">
        <v>1</v>
      </c>
      <c r="E1579" s="2118" t="n">
        <v>2</v>
      </c>
      <c r="G1579" s="1798" t="inlineStr">
        <is>
          <t>ESQUADRIAS, VIDROS E FERRAGENS</t>
        </is>
      </c>
      <c r="H1579" s="1783" t="inlineStr">
        <is>
          <t>SERVIÇO</t>
        </is>
      </c>
      <c r="I1579" s="1750" t="inlineStr">
        <is>
          <t>18.017.001.002</t>
        </is>
      </c>
      <c r="J1579" s="1785" t="inlineStr">
        <is>
          <t>Porta de madeira de abrir - 90x210cm (kit completo) - fixação com espuma expansiva</t>
        </is>
      </c>
      <c r="K1579" s="1786" t="inlineStr">
        <is>
          <t>un</t>
        </is>
      </c>
      <c r="L1579" s="1787" t="n">
        <v>6</v>
      </c>
      <c r="M1579" s="1787" t="n">
        <v>2653.86</v>
      </c>
      <c r="N1579" s="1754" t="n">
        <v>15923.16</v>
      </c>
      <c r="O1579" s="1788" t="inlineStr">
        <is>
          <t>Tabela de esquadrias enviada pela Gessele</t>
        </is>
      </c>
      <c r="P1579" s="1721" t="inlineStr">
        <is>
          <t>Pendente</t>
        </is>
      </c>
    </row>
    <row r="1580" hidden="1" outlineLevel="2" ht="13.5" customHeight="1">
      <c r="A1580" s="2117" t="n">
        <v>0</v>
      </c>
      <c r="B1580" s="2117" t="n">
        <v>18</v>
      </c>
      <c r="C1580" s="2117" t="n">
        <v>17</v>
      </c>
      <c r="D1580" s="2118" t="n">
        <v>2</v>
      </c>
      <c r="E1580" s="2118" t="n">
        <v>0</v>
      </c>
      <c r="G1580" s="1797" t="n"/>
      <c r="H1580" s="1777" t="inlineStr">
        <is>
          <t>SUBETAPA</t>
        </is>
      </c>
      <c r="I1580" s="1742" t="inlineStr">
        <is>
          <t>18.017.002</t>
        </is>
      </c>
      <c r="J1580" s="1779" t="inlineStr">
        <is>
          <t>Mão de obra</t>
        </is>
      </c>
      <c r="K1580" s="1780" t="n"/>
      <c r="L1580" s="1781" t="n"/>
      <c r="M1580" s="1781" t="n"/>
      <c r="N1580" s="1746" t="n">
        <v>2100</v>
      </c>
      <c r="O1580" s="1782" t="n"/>
      <c r="P1580" s="1720" t="n"/>
    </row>
    <row r="1581" hidden="1" outlineLevel="3" ht="13.5" customHeight="1">
      <c r="A1581" s="2117" t="n">
        <v>0</v>
      </c>
      <c r="B1581" s="2117" t="n">
        <v>18</v>
      </c>
      <c r="C1581" s="2117" t="n">
        <v>17</v>
      </c>
      <c r="D1581" s="2118" t="n">
        <v>2</v>
      </c>
      <c r="E1581" s="2118" t="n">
        <v>1</v>
      </c>
      <c r="G1581" s="1798" t="inlineStr">
        <is>
          <t>ESQUADRIAS, VIDROS E FERRAGENS</t>
        </is>
      </c>
      <c r="H1581" s="1783" t="inlineStr">
        <is>
          <t>SERVIÇO</t>
        </is>
      </c>
      <c r="I1581" s="1750" t="inlineStr">
        <is>
          <t>18.017.002.001</t>
        </is>
      </c>
      <c r="J1581" s="1785" t="inlineStr">
        <is>
          <t>Mão de obra para instalação de portas de madeira</t>
        </is>
      </c>
      <c r="K1581" s="1786" t="inlineStr">
        <is>
          <t>un</t>
        </is>
      </c>
      <c r="L1581" s="1787" t="n">
        <v>7</v>
      </c>
      <c r="M1581" s="1787" t="n">
        <v>300</v>
      </c>
      <c r="N1581" s="1754" t="n">
        <v>2100</v>
      </c>
      <c r="O1581" s="1788" t="inlineStr">
        <is>
          <t>Tabela de esquadrias enviada pela Gessele</t>
        </is>
      </c>
      <c r="P1581" s="1721" t="inlineStr">
        <is>
          <t>Pendente</t>
        </is>
      </c>
    </row>
    <row r="1582" hidden="1" outlineLevel="1" ht="13.5" customHeight="1">
      <c r="A1582" s="2117" t="n">
        <v>0</v>
      </c>
      <c r="B1582" s="2117" t="n">
        <v>18</v>
      </c>
      <c r="C1582" s="2117" t="n">
        <v>18</v>
      </c>
      <c r="D1582" s="2118" t="n">
        <v>0</v>
      </c>
      <c r="E1582" s="2118" t="n">
        <v>1</v>
      </c>
      <c r="G1582" s="1796" t="n"/>
      <c r="H1582" s="1771" t="inlineStr">
        <is>
          <t>ETAPA</t>
        </is>
      </c>
      <c r="I1582" s="1735" t="inlineStr">
        <is>
          <t>18.018</t>
        </is>
      </c>
      <c r="J1582" s="1773" t="inlineStr">
        <is>
          <t>ESQUADRIAS DE MADEIRA - Tipo diferenciado</t>
        </is>
      </c>
      <c r="K1582" s="1774" t="n"/>
      <c r="L1582" s="1775" t="n"/>
      <c r="M1582" s="1775" t="n"/>
      <c r="N1582" s="1739" t="n">
        <v>39767.32</v>
      </c>
      <c r="O1582" s="1776" t="n">
        <v>2.3742151337907</v>
      </c>
      <c r="P1582" s="1719" t="n"/>
    </row>
    <row r="1583" hidden="1" outlineLevel="2" ht="12.75" customHeight="1">
      <c r="A1583" s="2117" t="n">
        <v>0</v>
      </c>
      <c r="B1583" s="2117" t="n">
        <v>18</v>
      </c>
      <c r="C1583" s="2117" t="n">
        <v>18</v>
      </c>
      <c r="D1583" s="2118" t="n">
        <v>1</v>
      </c>
      <c r="E1583" s="2118" t="n">
        <v>0</v>
      </c>
      <c r="G1583" s="1797" t="n"/>
      <c r="H1583" s="1777" t="inlineStr">
        <is>
          <t>SUBETAPA</t>
        </is>
      </c>
      <c r="I1583" s="1742" t="inlineStr">
        <is>
          <t>18.018.001</t>
        </is>
      </c>
      <c r="J1583" s="1779" t="inlineStr">
        <is>
          <t>Esquadrias de madeira</t>
        </is>
      </c>
      <c r="K1583" s="1780" t="n"/>
      <c r="L1583" s="1781" t="n"/>
      <c r="M1583" s="1781" t="n"/>
      <c r="N1583" s="1746" t="n">
        <v>32984.04</v>
      </c>
      <c r="O1583" s="1782" t="n"/>
      <c r="P1583" s="1720" t="n"/>
    </row>
    <row r="1584" hidden="1" outlineLevel="3" ht="12.75" customHeight="1">
      <c r="A1584" s="2117" t="n">
        <v>0</v>
      </c>
      <c r="B1584" s="2117" t="n">
        <v>18</v>
      </c>
      <c r="C1584" s="2117" t="n">
        <v>18</v>
      </c>
      <c r="D1584" s="2118" t="n">
        <v>1</v>
      </c>
      <c r="E1584" s="2118" t="n">
        <v>1</v>
      </c>
      <c r="G1584" s="1798" t="inlineStr">
        <is>
          <t>ESQUADRIAS, VIDROS E FERRAGENS</t>
        </is>
      </c>
      <c r="H1584" s="1783" t="inlineStr">
        <is>
          <t>SERVIÇO</t>
        </is>
      </c>
      <c r="I1584" s="1750" t="inlineStr">
        <is>
          <t>18.018.001.001</t>
        </is>
      </c>
      <c r="J1584" s="1785" t="inlineStr">
        <is>
          <t>Porta de madeira de abrir - 70x210cm (kit completo) - fixação com espuma expansiva</t>
        </is>
      </c>
      <c r="K1584" s="1786" t="inlineStr">
        <is>
          <t>un</t>
        </is>
      </c>
      <c r="L1584" s="1787" t="n">
        <v>7</v>
      </c>
      <c r="M1584" s="1787" t="n">
        <v>2306.36</v>
      </c>
      <c r="N1584" s="1754" t="n">
        <v>16144.52</v>
      </c>
      <c r="O1584" s="1788" t="inlineStr">
        <is>
          <t>Tabela de esquadrias enviada pela Gessele</t>
        </is>
      </c>
      <c r="P1584" s="1721" t="inlineStr">
        <is>
          <t>Pendente</t>
        </is>
      </c>
    </row>
    <row r="1585" hidden="1" outlineLevel="3" ht="12.75" customHeight="1">
      <c r="A1585" s="2117" t="n">
        <v>0</v>
      </c>
      <c r="B1585" s="2117" t="n">
        <v>18</v>
      </c>
      <c r="C1585" s="2117" t="n">
        <v>18</v>
      </c>
      <c r="D1585" s="2118" t="n">
        <v>1</v>
      </c>
      <c r="E1585" s="2118" t="n">
        <v>2</v>
      </c>
      <c r="G1585" s="1798" t="inlineStr">
        <is>
          <t>ESQUADRIAS, VIDROS E FERRAGENS</t>
        </is>
      </c>
      <c r="H1585" s="1783" t="inlineStr">
        <is>
          <t>SERVIÇO</t>
        </is>
      </c>
      <c r="I1585" s="1750" t="inlineStr">
        <is>
          <t>18.018.001.002</t>
        </is>
      </c>
      <c r="J1585" s="1785" t="inlineStr">
        <is>
          <t>Porta de madeira de abrir - 80x210cm (kit completo) - fixação com espuma expansiva</t>
        </is>
      </c>
      <c r="K1585" s="1786" t="inlineStr">
        <is>
          <t>un</t>
        </is>
      </c>
      <c r="L1585" s="1787" t="n">
        <v>5</v>
      </c>
      <c r="M1585" s="1787" t="n">
        <v>2306.36</v>
      </c>
      <c r="N1585" s="1754" t="n">
        <v>11531.8</v>
      </c>
      <c r="O1585" s="1788" t="inlineStr">
        <is>
          <t>Tabela de esquadrias enviada pela Gessele</t>
        </is>
      </c>
      <c r="P1585" s="1721" t="inlineStr">
        <is>
          <t>Pendente</t>
        </is>
      </c>
    </row>
    <row r="1586" hidden="1" outlineLevel="3" ht="13.5" customHeight="1">
      <c r="A1586" s="2117" t="n">
        <v>0</v>
      </c>
      <c r="B1586" s="2117" t="n">
        <v>18</v>
      </c>
      <c r="C1586" s="2117" t="n">
        <v>18</v>
      </c>
      <c r="D1586" s="2118" t="n">
        <v>1</v>
      </c>
      <c r="E1586" s="2118" t="n">
        <v>3</v>
      </c>
      <c r="G1586" s="1798" t="inlineStr">
        <is>
          <t>ESQUADRIAS, VIDROS E FERRAGENS</t>
        </is>
      </c>
      <c r="H1586" s="1783" t="inlineStr">
        <is>
          <t>SERVIÇO</t>
        </is>
      </c>
      <c r="I1586" s="1750" t="inlineStr">
        <is>
          <t>18.018.001.003</t>
        </is>
      </c>
      <c r="J1586" s="1785" t="inlineStr">
        <is>
          <t>Porta de madeira de abrir - 90x210cm (kit completo) - fixação com espuma expansiva</t>
        </is>
      </c>
      <c r="K1586" s="1786" t="inlineStr">
        <is>
          <t>un</t>
        </is>
      </c>
      <c r="L1586" s="1787" t="n">
        <v>2</v>
      </c>
      <c r="M1586" s="1787" t="n">
        <v>2653.86</v>
      </c>
      <c r="N1586" s="1754" t="n">
        <v>5307.72</v>
      </c>
      <c r="O1586" s="1788" t="inlineStr">
        <is>
          <t>Tabela de esquadrias enviada pela Gessele</t>
        </is>
      </c>
      <c r="P1586" s="1721" t="inlineStr">
        <is>
          <t>Pendente</t>
        </is>
      </c>
    </row>
    <row r="1587" hidden="1" outlineLevel="2" ht="13.5" customHeight="1">
      <c r="A1587" s="2117" t="n">
        <v>0</v>
      </c>
      <c r="B1587" s="2117" t="n">
        <v>18</v>
      </c>
      <c r="C1587" s="2117" t="n">
        <v>18</v>
      </c>
      <c r="D1587" s="2118" t="n">
        <v>2</v>
      </c>
      <c r="E1587" s="2118" t="n">
        <v>0</v>
      </c>
      <c r="G1587" s="1797" t="n"/>
      <c r="H1587" s="1777" t="inlineStr">
        <is>
          <t>SUBETAPA</t>
        </is>
      </c>
      <c r="I1587" s="1742" t="inlineStr">
        <is>
          <t>18.018.002</t>
        </is>
      </c>
      <c r="J1587" s="1779" t="inlineStr">
        <is>
          <t>Acessórios e ferragens</t>
        </is>
      </c>
      <c r="K1587" s="1780" t="n"/>
      <c r="L1587" s="1781" t="n"/>
      <c r="M1587" s="1781" t="n"/>
      <c r="N1587" s="1746" t="n">
        <v>2583.28</v>
      </c>
      <c r="O1587" s="1782" t="n"/>
      <c r="P1587" s="1720" t="n"/>
    </row>
    <row r="1588" hidden="1" outlineLevel="3" ht="13.5" customHeight="1">
      <c r="A1588" s="2117" t="n">
        <v>0</v>
      </c>
      <c r="B1588" s="2117" t="n">
        <v>18</v>
      </c>
      <c r="C1588" s="2117" t="n">
        <v>18</v>
      </c>
      <c r="D1588" s="2118" t="n">
        <v>2</v>
      </c>
      <c r="E1588" s="2118" t="n">
        <v>1</v>
      </c>
      <c r="G1588" s="1798" t="inlineStr">
        <is>
          <t>ESQUADRIAS, VIDROS E FERRAGENS</t>
        </is>
      </c>
      <c r="H1588" s="1783" t="inlineStr">
        <is>
          <t>SERVIÇO</t>
        </is>
      </c>
      <c r="I1588" s="1750" t="inlineStr">
        <is>
          <t>18.018.002.001</t>
        </is>
      </c>
      <c r="J1588" s="1785" t="inlineStr">
        <is>
          <t>Fechadura eletronica</t>
        </is>
      </c>
      <c r="K1588" s="1786" t="inlineStr">
        <is>
          <t>un</t>
        </is>
      </c>
      <c r="L1588" s="1787" t="n">
        <v>2</v>
      </c>
      <c r="M1588" s="1787" t="n">
        <v>1291.64</v>
      </c>
      <c r="N1588" s="1754" t="n">
        <v>2583.28</v>
      </c>
      <c r="O1588" s="1788" t="inlineStr">
        <is>
          <t>Uma por apartamento</t>
        </is>
      </c>
      <c r="P1588" s="1721" t="inlineStr">
        <is>
          <t>Pendente</t>
        </is>
      </c>
    </row>
    <row r="1589" hidden="1" outlineLevel="2" ht="13.5" customHeight="1">
      <c r="A1589" s="2117" t="n">
        <v>0</v>
      </c>
      <c r="B1589" s="2117" t="n">
        <v>18</v>
      </c>
      <c r="C1589" s="2117" t="n">
        <v>18</v>
      </c>
      <c r="D1589" s="2118" t="n">
        <v>3</v>
      </c>
      <c r="E1589" s="2118" t="n">
        <v>0</v>
      </c>
      <c r="G1589" s="1797" t="n"/>
      <c r="H1589" s="1777" t="inlineStr">
        <is>
          <t>SUBETAPA</t>
        </is>
      </c>
      <c r="I1589" s="1742" t="inlineStr">
        <is>
          <t>18.018.003</t>
        </is>
      </c>
      <c r="J1589" s="1779" t="inlineStr">
        <is>
          <t>Mão de obra</t>
        </is>
      </c>
      <c r="K1589" s="1780" t="n"/>
      <c r="L1589" s="1781" t="n"/>
      <c r="M1589" s="1781" t="n"/>
      <c r="N1589" s="1746" t="n">
        <v>4200</v>
      </c>
      <c r="O1589" s="1782" t="n"/>
      <c r="P1589" s="1720" t="n"/>
    </row>
    <row r="1590" hidden="1" outlineLevel="3" ht="13.5" customHeight="1">
      <c r="A1590" s="2117" t="n">
        <v>0</v>
      </c>
      <c r="B1590" s="2117" t="n">
        <v>18</v>
      </c>
      <c r="C1590" s="2117" t="n">
        <v>18</v>
      </c>
      <c r="D1590" s="2118" t="n">
        <v>3</v>
      </c>
      <c r="E1590" s="2118" t="n">
        <v>1</v>
      </c>
      <c r="G1590" s="1798" t="inlineStr">
        <is>
          <t>ESQUADRIAS, VIDROS E FERRAGENS</t>
        </is>
      </c>
      <c r="H1590" s="1783" t="inlineStr">
        <is>
          <t>SERVIÇO</t>
        </is>
      </c>
      <c r="I1590" s="1750" t="inlineStr">
        <is>
          <t>18.018.003.001</t>
        </is>
      </c>
      <c r="J1590" s="1785" t="inlineStr">
        <is>
          <t>Mão de obra para instalação de portas de madeira</t>
        </is>
      </c>
      <c r="K1590" s="1786" t="inlineStr">
        <is>
          <t>un</t>
        </is>
      </c>
      <c r="L1590" s="1787" t="n">
        <v>14</v>
      </c>
      <c r="M1590" s="1787" t="n">
        <v>300</v>
      </c>
      <c r="N1590" s="1754" t="n">
        <v>4200</v>
      </c>
      <c r="O1590" s="1788" t="inlineStr">
        <is>
          <t>Tabela de esquadrias enviada pela Gessele</t>
        </is>
      </c>
      <c r="P1590" s="1721" t="inlineStr">
        <is>
          <t>Pendente</t>
        </is>
      </c>
    </row>
    <row r="1591" hidden="1" outlineLevel="1" ht="13.5" customHeight="1">
      <c r="A1591" s="2117" t="n">
        <v>0</v>
      </c>
      <c r="B1591" s="2117" t="n">
        <v>18</v>
      </c>
      <c r="C1591" s="2117" t="n">
        <v>19</v>
      </c>
      <c r="D1591" s="2118" t="n">
        <v>0</v>
      </c>
      <c r="E1591" s="2118" t="n">
        <v>1</v>
      </c>
      <c r="G1591" s="1796" t="n"/>
      <c r="H1591" s="1771" t="inlineStr">
        <is>
          <t>ETAPA</t>
        </is>
      </c>
      <c r="I1591" s="1735" t="inlineStr">
        <is>
          <t>18.019</t>
        </is>
      </c>
      <c r="J1591" s="1773" t="inlineStr">
        <is>
          <t>ESQUADRIAS DE MADEIRA - Tipo x8</t>
        </is>
      </c>
      <c r="K1591" s="1774" t="n"/>
      <c r="L1591" s="1775" t="n"/>
      <c r="M1591" s="1775" t="n"/>
      <c r="N1591" s="1739" t="n">
        <v>318138.56</v>
      </c>
      <c r="O1591" s="1776" t="n">
        <v>18.9937210703256</v>
      </c>
      <c r="P1591" s="1719" t="n"/>
    </row>
    <row r="1592" hidden="1" outlineLevel="2" ht="12.75" customHeight="1">
      <c r="A1592" s="2117" t="n">
        <v>0</v>
      </c>
      <c r="B1592" s="2117" t="n">
        <v>18</v>
      </c>
      <c r="C1592" s="2117" t="n">
        <v>19</v>
      </c>
      <c r="D1592" s="2118" t="n">
        <v>1</v>
      </c>
      <c r="E1592" s="2118" t="n">
        <v>0</v>
      </c>
      <c r="G1592" s="1797" t="n"/>
      <c r="H1592" s="1777" t="inlineStr">
        <is>
          <t>SUBETAPA</t>
        </is>
      </c>
      <c r="I1592" s="1742" t="inlineStr">
        <is>
          <t>18.019.001</t>
        </is>
      </c>
      <c r="J1592" s="1779" t="inlineStr">
        <is>
          <t>Esquadrias de madeira</t>
        </is>
      </c>
      <c r="K1592" s="1780" t="n"/>
      <c r="L1592" s="1781" t="n"/>
      <c r="M1592" s="1781" t="n"/>
      <c r="N1592" s="1746" t="n">
        <v>263872.32</v>
      </c>
      <c r="O1592" s="1782" t="n"/>
      <c r="P1592" s="1720" t="n"/>
    </row>
    <row r="1593" hidden="1" outlineLevel="3" ht="12.75" customHeight="1">
      <c r="A1593" s="2117" t="n">
        <v>0</v>
      </c>
      <c r="B1593" s="2117" t="n">
        <v>18</v>
      </c>
      <c r="C1593" s="2117" t="n">
        <v>19</v>
      </c>
      <c r="D1593" s="2118" t="n">
        <v>1</v>
      </c>
      <c r="E1593" s="2118" t="n">
        <v>1</v>
      </c>
      <c r="G1593" s="1798" t="inlineStr">
        <is>
          <t>ESQUADRIAS, VIDROS E FERRAGENS</t>
        </is>
      </c>
      <c r="H1593" s="1783" t="inlineStr">
        <is>
          <t>SERVIÇO</t>
        </is>
      </c>
      <c r="I1593" s="1750" t="inlineStr">
        <is>
          <t>18.019.001.001</t>
        </is>
      </c>
      <c r="J1593" s="1785" t="inlineStr">
        <is>
          <t>Porta de madeira de abrir - 70x210cm (kit completo) - fixação com espuma expansiva</t>
        </is>
      </c>
      <c r="K1593" s="1786" t="inlineStr">
        <is>
          <t>un</t>
        </is>
      </c>
      <c r="L1593" s="1787" t="n">
        <v>56</v>
      </c>
      <c r="M1593" s="1787" t="n">
        <v>2306.36</v>
      </c>
      <c r="N1593" s="1754" t="n">
        <v>129156.16</v>
      </c>
      <c r="O1593" s="1788" t="inlineStr">
        <is>
          <t>Tabela de esquadrias enviada pela Gessele</t>
        </is>
      </c>
      <c r="P1593" s="1721" t="inlineStr">
        <is>
          <t>Pendente</t>
        </is>
      </c>
    </row>
    <row r="1594" hidden="1" outlineLevel="3" ht="12.75" customHeight="1">
      <c r="A1594" s="2117" t="n">
        <v>0</v>
      </c>
      <c r="B1594" s="2117" t="n">
        <v>18</v>
      </c>
      <c r="C1594" s="2117" t="n">
        <v>19</v>
      </c>
      <c r="D1594" s="2118" t="n">
        <v>1</v>
      </c>
      <c r="E1594" s="2118" t="n">
        <v>2</v>
      </c>
      <c r="G1594" s="1798" t="inlineStr">
        <is>
          <t>ESQUADRIAS, VIDROS E FERRAGENS</t>
        </is>
      </c>
      <c r="H1594" s="1783" t="inlineStr">
        <is>
          <t>SERVIÇO</t>
        </is>
      </c>
      <c r="I1594" s="1750" t="inlineStr">
        <is>
          <t>18.019.001.002</t>
        </is>
      </c>
      <c r="J1594" s="1785" t="inlineStr">
        <is>
          <t>Porta de madeira de abrir - 80x210cm (kit completo) - fixação com espuma expansiva</t>
        </is>
      </c>
      <c r="K1594" s="1786" t="inlineStr">
        <is>
          <t>un</t>
        </is>
      </c>
      <c r="L1594" s="1787" t="n">
        <v>40</v>
      </c>
      <c r="M1594" s="1787" t="n">
        <v>2306.36</v>
      </c>
      <c r="N1594" s="1754" t="n">
        <v>92254.39999999999</v>
      </c>
      <c r="O1594" s="1788" t="inlineStr">
        <is>
          <t>Tabela de esquadrias enviada pela Gessele</t>
        </is>
      </c>
      <c r="P1594" s="1721" t="inlineStr">
        <is>
          <t>Pendente</t>
        </is>
      </c>
    </row>
    <row r="1595" hidden="1" outlineLevel="3" ht="13.5" customHeight="1">
      <c r="A1595" s="2117" t="n">
        <v>0</v>
      </c>
      <c r="B1595" s="2117" t="n">
        <v>18</v>
      </c>
      <c r="C1595" s="2117" t="n">
        <v>19</v>
      </c>
      <c r="D1595" s="2118" t="n">
        <v>1</v>
      </c>
      <c r="E1595" s="2118" t="n">
        <v>3</v>
      </c>
      <c r="G1595" s="1798" t="inlineStr">
        <is>
          <t>ESQUADRIAS, VIDROS E FERRAGENS</t>
        </is>
      </c>
      <c r="H1595" s="1783" t="inlineStr">
        <is>
          <t>SERVIÇO</t>
        </is>
      </c>
      <c r="I1595" s="1750" t="inlineStr">
        <is>
          <t>18.019.001.003</t>
        </is>
      </c>
      <c r="J1595" s="1785" t="inlineStr">
        <is>
          <t>Porta de madeira de abrir - 90x210cm (kit completo) - fixação com espuma expansiva</t>
        </is>
      </c>
      <c r="K1595" s="1786" t="inlineStr">
        <is>
          <t>un</t>
        </is>
      </c>
      <c r="L1595" s="1787" t="n">
        <v>16</v>
      </c>
      <c r="M1595" s="1787" t="n">
        <v>2653.86</v>
      </c>
      <c r="N1595" s="1754" t="n">
        <v>42461.76</v>
      </c>
      <c r="O1595" s="1788" t="inlineStr">
        <is>
          <t>Tabela de esquadrias enviada pela Gessele</t>
        </is>
      </c>
      <c r="P1595" s="1721" t="inlineStr">
        <is>
          <t>Pendente</t>
        </is>
      </c>
    </row>
    <row r="1596" hidden="1" outlineLevel="2" ht="13.5" customHeight="1">
      <c r="A1596" s="2117" t="n">
        <v>0</v>
      </c>
      <c r="B1596" s="2117" t="n">
        <v>18</v>
      </c>
      <c r="C1596" s="2117" t="n">
        <v>19</v>
      </c>
      <c r="D1596" s="2118" t="n">
        <v>2</v>
      </c>
      <c r="E1596" s="2118" t="n">
        <v>0</v>
      </c>
      <c r="G1596" s="1797" t="n"/>
      <c r="H1596" s="1777" t="inlineStr">
        <is>
          <t>SUBETAPA</t>
        </is>
      </c>
      <c r="I1596" s="1742" t="inlineStr">
        <is>
          <t>18.019.002</t>
        </is>
      </c>
      <c r="J1596" s="1779" t="inlineStr">
        <is>
          <t>Acessórios e ferragens</t>
        </is>
      </c>
      <c r="K1596" s="1780" t="n"/>
      <c r="L1596" s="1781" t="n"/>
      <c r="M1596" s="1781" t="n"/>
      <c r="N1596" s="1746" t="n">
        <v>20666.24</v>
      </c>
      <c r="O1596" s="1782" t="n"/>
      <c r="P1596" s="1720" t="n"/>
    </row>
    <row r="1597" hidden="1" outlineLevel="3" ht="13.5" customHeight="1">
      <c r="A1597" s="2117" t="n">
        <v>0</v>
      </c>
      <c r="B1597" s="2117" t="n">
        <v>18</v>
      </c>
      <c r="C1597" s="2117" t="n">
        <v>19</v>
      </c>
      <c r="D1597" s="2118" t="n">
        <v>2</v>
      </c>
      <c r="E1597" s="2118" t="n">
        <v>1</v>
      </c>
      <c r="G1597" s="1798" t="inlineStr">
        <is>
          <t>ESQUADRIAS, VIDROS E FERRAGENS</t>
        </is>
      </c>
      <c r="H1597" s="1783" t="inlineStr">
        <is>
          <t>SERVIÇO</t>
        </is>
      </c>
      <c r="I1597" s="1750" t="inlineStr">
        <is>
          <t>18.019.002.001</t>
        </is>
      </c>
      <c r="J1597" s="1785" t="inlineStr">
        <is>
          <t>Fechadura eletronica</t>
        </is>
      </c>
      <c r="K1597" s="1786" t="inlineStr">
        <is>
          <t>un</t>
        </is>
      </c>
      <c r="L1597" s="1787" t="n">
        <v>16</v>
      </c>
      <c r="M1597" s="1787" t="n">
        <v>1291.64</v>
      </c>
      <c r="N1597" s="1754" t="n">
        <v>20666.24</v>
      </c>
      <c r="O1597" s="1788" t="inlineStr">
        <is>
          <t>Uma por apartamento</t>
        </is>
      </c>
      <c r="P1597" s="1721" t="inlineStr">
        <is>
          <t>Pendente</t>
        </is>
      </c>
    </row>
    <row r="1598" hidden="1" outlineLevel="2" ht="13.5" customHeight="1">
      <c r="A1598" s="2117" t="n">
        <v>0</v>
      </c>
      <c r="B1598" s="2117" t="n">
        <v>18</v>
      </c>
      <c r="C1598" s="2117" t="n">
        <v>19</v>
      </c>
      <c r="D1598" s="2118" t="n">
        <v>3</v>
      </c>
      <c r="E1598" s="2118" t="n">
        <v>0</v>
      </c>
      <c r="G1598" s="1797" t="n"/>
      <c r="H1598" s="1777" t="inlineStr">
        <is>
          <t>SUBETAPA</t>
        </is>
      </c>
      <c r="I1598" s="1742" t="inlineStr">
        <is>
          <t>18.019.003</t>
        </is>
      </c>
      <c r="J1598" s="1779" t="inlineStr">
        <is>
          <t>Mão de obra</t>
        </is>
      </c>
      <c r="K1598" s="1780" t="n"/>
      <c r="L1598" s="1781" t="n"/>
      <c r="M1598" s="1781" t="n"/>
      <c r="N1598" s="1746" t="n">
        <v>33600</v>
      </c>
      <c r="O1598" s="1782" t="n"/>
      <c r="P1598" s="1720" t="n"/>
    </row>
    <row r="1599" hidden="1" outlineLevel="3" ht="13.5" customHeight="1">
      <c r="A1599" s="2117" t="n">
        <v>0</v>
      </c>
      <c r="B1599" s="2117" t="n">
        <v>18</v>
      </c>
      <c r="C1599" s="2117" t="n">
        <v>19</v>
      </c>
      <c r="D1599" s="2118" t="n">
        <v>3</v>
      </c>
      <c r="E1599" s="2118" t="n">
        <v>1</v>
      </c>
      <c r="G1599" s="1798" t="inlineStr">
        <is>
          <t>ESQUADRIAS, VIDROS E FERRAGENS</t>
        </is>
      </c>
      <c r="H1599" s="1783" t="inlineStr">
        <is>
          <t>SERVIÇO</t>
        </is>
      </c>
      <c r="I1599" s="1750" t="inlineStr">
        <is>
          <t>18.019.003.001</t>
        </is>
      </c>
      <c r="J1599" s="1785" t="inlineStr">
        <is>
          <t>Mão de obra para instalação de portas de madeira</t>
        </is>
      </c>
      <c r="K1599" s="1786" t="inlineStr">
        <is>
          <t>un</t>
        </is>
      </c>
      <c r="L1599" s="1787" t="n">
        <v>112</v>
      </c>
      <c r="M1599" s="1787" t="n">
        <v>300</v>
      </c>
      <c r="N1599" s="1754" t="n">
        <v>33600</v>
      </c>
      <c r="O1599" s="1788" t="inlineStr">
        <is>
          <t>Tabela de esquadrias enviada pela Gessele</t>
        </is>
      </c>
      <c r="P1599" s="1721" t="inlineStr">
        <is>
          <t>Pendente</t>
        </is>
      </c>
    </row>
    <row r="1600" hidden="1" outlineLevel="1" ht="13.5" customHeight="1">
      <c r="A1600" s="2117" t="n">
        <v>0</v>
      </c>
      <c r="B1600" s="2117" t="n">
        <v>18</v>
      </c>
      <c r="C1600" s="2117" t="n">
        <v>20</v>
      </c>
      <c r="D1600" s="2118" t="n">
        <v>0</v>
      </c>
      <c r="E1600" s="2118" t="n">
        <v>1</v>
      </c>
      <c r="G1600" s="1796" t="n"/>
      <c r="H1600" s="1771" t="inlineStr">
        <is>
          <t>ETAPA</t>
        </is>
      </c>
      <c r="I1600" s="1735" t="inlineStr">
        <is>
          <t>18.020</t>
        </is>
      </c>
      <c r="J1600" s="1773" t="inlineStr">
        <is>
          <t>ESQUADRIAS DE MADEIRA - Penthouse x22</t>
        </is>
      </c>
      <c r="K1600" s="1774" t="n"/>
      <c r="L1600" s="1775" t="n"/>
      <c r="M1600" s="1775" t="n"/>
      <c r="N1600" s="1739" t="n">
        <v>724140.12</v>
      </c>
      <c r="O1600" s="1776" t="n">
        <v>43.2330977267015</v>
      </c>
      <c r="P1600" s="1719" t="n"/>
    </row>
    <row r="1601" hidden="1" outlineLevel="2" ht="12.75" customHeight="1">
      <c r="A1601" s="2117" t="n">
        <v>0</v>
      </c>
      <c r="B1601" s="2117" t="n">
        <v>18</v>
      </c>
      <c r="C1601" s="2117" t="n">
        <v>20</v>
      </c>
      <c r="D1601" s="2118" t="n">
        <v>1</v>
      </c>
      <c r="E1601" s="2118" t="n">
        <v>0</v>
      </c>
      <c r="G1601" s="1797" t="n"/>
      <c r="H1601" s="1777" t="inlineStr">
        <is>
          <t>SUBETAPA</t>
        </is>
      </c>
      <c r="I1601" s="1742" t="inlineStr">
        <is>
          <t>18.020.001</t>
        </is>
      </c>
      <c r="J1601" s="1779" t="inlineStr">
        <is>
          <t>Esquadrias de madeira</t>
        </is>
      </c>
      <c r="K1601" s="1780" t="n"/>
      <c r="L1601" s="1781" t="n"/>
      <c r="M1601" s="1781" t="n"/>
      <c r="N1601" s="1746" t="n">
        <v>616524.04</v>
      </c>
      <c r="O1601" s="1782" t="n"/>
      <c r="P1601" s="1720" t="n"/>
    </row>
    <row r="1602" hidden="1" outlineLevel="3" ht="12.75" customHeight="1">
      <c r="A1602" s="2117" t="n">
        <v>0</v>
      </c>
      <c r="B1602" s="2117" t="n">
        <v>18</v>
      </c>
      <c r="C1602" s="2117" t="n">
        <v>20</v>
      </c>
      <c r="D1602" s="2118" t="n">
        <v>1</v>
      </c>
      <c r="E1602" s="2118" t="n">
        <v>1</v>
      </c>
      <c r="G1602" s="1798" t="inlineStr">
        <is>
          <t>ESQUADRIAS, VIDROS E FERRAGENS</t>
        </is>
      </c>
      <c r="H1602" s="1783" t="inlineStr">
        <is>
          <t>SERVIÇO</t>
        </is>
      </c>
      <c r="I1602" s="1750" t="inlineStr">
        <is>
          <t>18.020.001.001</t>
        </is>
      </c>
      <c r="J1602" s="1785" t="inlineStr">
        <is>
          <t>Porta de madeira de abrir - 70x210cm (kit completo) - fixação com espuma expansiva</t>
        </is>
      </c>
      <c r="K1602" s="1786" t="inlineStr">
        <is>
          <t>un</t>
        </is>
      </c>
      <c r="L1602" s="1787" t="n">
        <v>132</v>
      </c>
      <c r="M1602" s="1787" t="n">
        <v>2306.36</v>
      </c>
      <c r="N1602" s="1754" t="n">
        <v>304439.52</v>
      </c>
      <c r="O1602" s="1788" t="inlineStr">
        <is>
          <t>Tabela de esquadrias enviada pela Gessele</t>
        </is>
      </c>
      <c r="P1602" s="1721" t="inlineStr">
        <is>
          <t>Pendente</t>
        </is>
      </c>
    </row>
    <row r="1603" hidden="1" outlineLevel="3" ht="12.75" customHeight="1">
      <c r="A1603" s="2117" t="n">
        <v>0</v>
      </c>
      <c r="B1603" s="2117" t="n">
        <v>18</v>
      </c>
      <c r="C1603" s="2117" t="n">
        <v>20</v>
      </c>
      <c r="D1603" s="2118" t="n">
        <v>1</v>
      </c>
      <c r="E1603" s="2118" t="n">
        <v>2</v>
      </c>
      <c r="G1603" s="1798" t="inlineStr">
        <is>
          <t>ESQUADRIAS, VIDROS E FERRAGENS</t>
        </is>
      </c>
      <c r="H1603" s="1783" t="inlineStr">
        <is>
          <t>SERVIÇO</t>
        </is>
      </c>
      <c r="I1603" s="1750" t="inlineStr">
        <is>
          <t>18.020.001.002</t>
        </is>
      </c>
      <c r="J1603" s="1785" t="inlineStr">
        <is>
          <t>Porta de madeira de abrir - 80x210cm (kit completo) - fixação com espuma expansiva</t>
        </is>
      </c>
      <c r="K1603" s="1786" t="inlineStr">
        <is>
          <t>un</t>
        </is>
      </c>
      <c r="L1603" s="1787" t="n">
        <v>110</v>
      </c>
      <c r="M1603" s="1787" t="n">
        <v>2306.36</v>
      </c>
      <c r="N1603" s="1754" t="n">
        <v>253699.6</v>
      </c>
      <c r="O1603" s="1788" t="inlineStr">
        <is>
          <t>Tabela de esquadrias enviada pela Gessele</t>
        </is>
      </c>
      <c r="P1603" s="1721" t="inlineStr">
        <is>
          <t>Pendente</t>
        </is>
      </c>
    </row>
    <row r="1604" hidden="1" outlineLevel="3" ht="13.5" customHeight="1">
      <c r="A1604" s="2117" t="n">
        <v>0</v>
      </c>
      <c r="B1604" s="2117" t="n">
        <v>18</v>
      </c>
      <c r="C1604" s="2117" t="n">
        <v>20</v>
      </c>
      <c r="D1604" s="2118" t="n">
        <v>1</v>
      </c>
      <c r="E1604" s="2118" t="n">
        <v>3</v>
      </c>
      <c r="G1604" s="1798" t="inlineStr">
        <is>
          <t>ESQUADRIAS, VIDROS E FERRAGENS</t>
        </is>
      </c>
      <c r="H1604" s="1783" t="inlineStr">
        <is>
          <t>SERVIÇO</t>
        </is>
      </c>
      <c r="I1604" s="1750" t="inlineStr">
        <is>
          <t>18.020.001.003</t>
        </is>
      </c>
      <c r="J1604" s="1785" t="inlineStr">
        <is>
          <t>Porta de madeira de abrir - 90x210cm (kit completo) - fixação com espuma expansiva</t>
        </is>
      </c>
      <c r="K1604" s="1786" t="inlineStr">
        <is>
          <t>un</t>
        </is>
      </c>
      <c r="L1604" s="1787" t="n">
        <v>22</v>
      </c>
      <c r="M1604" s="1787" t="n">
        <v>2653.86</v>
      </c>
      <c r="N1604" s="1754" t="n">
        <v>58384.92</v>
      </c>
      <c r="O1604" s="1788" t="inlineStr">
        <is>
          <t>Tabela de esquadrias enviada pela Gessele</t>
        </is>
      </c>
      <c r="P1604" s="1721" t="inlineStr">
        <is>
          <t>Pendente</t>
        </is>
      </c>
    </row>
    <row r="1605" hidden="1" outlineLevel="2" ht="13.5" customHeight="1">
      <c r="A1605" s="2117" t="n">
        <v>0</v>
      </c>
      <c r="B1605" s="2117" t="n">
        <v>18</v>
      </c>
      <c r="C1605" s="2117" t="n">
        <v>20</v>
      </c>
      <c r="D1605" s="2118" t="n">
        <v>2</v>
      </c>
      <c r="E1605" s="2118" t="n">
        <v>0</v>
      </c>
      <c r="G1605" s="1797" t="n"/>
      <c r="H1605" s="1777" t="inlineStr">
        <is>
          <t>SUBETAPA</t>
        </is>
      </c>
      <c r="I1605" s="1742" t="inlineStr">
        <is>
          <t>18.020.002</t>
        </is>
      </c>
      <c r="J1605" s="1779" t="inlineStr">
        <is>
          <t>Acessórios e ferragens</t>
        </is>
      </c>
      <c r="K1605" s="1780" t="n"/>
      <c r="L1605" s="1781" t="n"/>
      <c r="M1605" s="1781" t="n"/>
      <c r="N1605" s="1746" t="n">
        <v>28416.08</v>
      </c>
      <c r="O1605" s="1782" t="n"/>
      <c r="P1605" s="1720" t="n"/>
    </row>
    <row r="1606" hidden="1" outlineLevel="3" ht="13.5" customHeight="1">
      <c r="A1606" s="2117" t="n">
        <v>0</v>
      </c>
      <c r="B1606" s="2117" t="n">
        <v>18</v>
      </c>
      <c r="C1606" s="2117" t="n">
        <v>20</v>
      </c>
      <c r="D1606" s="2118" t="n">
        <v>2</v>
      </c>
      <c r="E1606" s="2118" t="n">
        <v>1</v>
      </c>
      <c r="G1606" s="1798" t="inlineStr">
        <is>
          <t>ESQUADRIAS, VIDROS E FERRAGENS</t>
        </is>
      </c>
      <c r="H1606" s="1783" t="inlineStr">
        <is>
          <t>SERVIÇO</t>
        </is>
      </c>
      <c r="I1606" s="1750" t="inlineStr">
        <is>
          <t>18.020.002.001</t>
        </is>
      </c>
      <c r="J1606" s="1785" t="inlineStr">
        <is>
          <t>Fechadura eletronica</t>
        </is>
      </c>
      <c r="K1606" s="1786" t="inlineStr">
        <is>
          <t>un</t>
        </is>
      </c>
      <c r="L1606" s="1787" t="n">
        <v>22</v>
      </c>
      <c r="M1606" s="1787" t="n">
        <v>1291.64</v>
      </c>
      <c r="N1606" s="1754" t="n">
        <v>28416.08</v>
      </c>
      <c r="O1606" s="1788" t="inlineStr">
        <is>
          <t>Uma por apartamento</t>
        </is>
      </c>
      <c r="P1606" s="1721" t="inlineStr">
        <is>
          <t>Pendente</t>
        </is>
      </c>
    </row>
    <row r="1607" hidden="1" outlineLevel="2" ht="13.5" customHeight="1">
      <c r="A1607" s="2117" t="n">
        <v>0</v>
      </c>
      <c r="B1607" s="2117" t="n">
        <v>18</v>
      </c>
      <c r="C1607" s="2117" t="n">
        <v>20</v>
      </c>
      <c r="D1607" s="2118" t="n">
        <v>3</v>
      </c>
      <c r="E1607" s="2118" t="n">
        <v>0</v>
      </c>
      <c r="G1607" s="1797" t="n"/>
      <c r="H1607" s="1777" t="inlineStr">
        <is>
          <t>SUBETAPA</t>
        </is>
      </c>
      <c r="I1607" s="1742" t="inlineStr">
        <is>
          <t>18.020.003</t>
        </is>
      </c>
      <c r="J1607" s="1779" t="inlineStr">
        <is>
          <t>Mão de obra</t>
        </is>
      </c>
      <c r="K1607" s="1780" t="n"/>
      <c r="L1607" s="1781" t="n"/>
      <c r="M1607" s="1781" t="n"/>
      <c r="N1607" s="1746" t="n">
        <v>79200</v>
      </c>
      <c r="O1607" s="1782" t="n"/>
      <c r="P1607" s="1720" t="n"/>
    </row>
    <row r="1608" hidden="1" outlineLevel="3" ht="13.5" customHeight="1">
      <c r="A1608" s="2117" t="n">
        <v>0</v>
      </c>
      <c r="B1608" s="2117" t="n">
        <v>18</v>
      </c>
      <c r="C1608" s="2117" t="n">
        <v>20</v>
      </c>
      <c r="D1608" s="2118" t="n">
        <v>3</v>
      </c>
      <c r="E1608" s="2118" t="n">
        <v>1</v>
      </c>
      <c r="G1608" s="1798" t="inlineStr">
        <is>
          <t>ESQUADRIAS, VIDROS E FERRAGENS</t>
        </is>
      </c>
      <c r="H1608" s="1783" t="inlineStr">
        <is>
          <t>SERVIÇO</t>
        </is>
      </c>
      <c r="I1608" s="1750" t="inlineStr">
        <is>
          <t>18.020.003.001</t>
        </is>
      </c>
      <c r="J1608" s="1785" t="inlineStr">
        <is>
          <t>Mão de obra para instalação de portas de madeira</t>
        </is>
      </c>
      <c r="K1608" s="1786" t="inlineStr">
        <is>
          <t>un</t>
        </is>
      </c>
      <c r="L1608" s="1787" t="n">
        <v>264</v>
      </c>
      <c r="M1608" s="1787" t="n">
        <v>300</v>
      </c>
      <c r="N1608" s="1754" t="n">
        <v>79200</v>
      </c>
      <c r="O1608" s="1788" t="inlineStr">
        <is>
          <t>Tabela de esquadrias enviada pela Gessele</t>
        </is>
      </c>
      <c r="P1608" s="1721" t="inlineStr">
        <is>
          <t>Pendente</t>
        </is>
      </c>
    </row>
    <row r="1609" hidden="1" outlineLevel="1" ht="13.5" customHeight="1">
      <c r="A1609" s="2117" t="n">
        <v>0</v>
      </c>
      <c r="B1609" s="2117" t="n">
        <v>18</v>
      </c>
      <c r="C1609" s="2117" t="n">
        <v>21</v>
      </c>
      <c r="D1609" s="2118" t="n">
        <v>0</v>
      </c>
      <c r="E1609" s="2118" t="n">
        <v>1</v>
      </c>
      <c r="G1609" s="1796" t="n"/>
      <c r="H1609" s="1771" t="inlineStr">
        <is>
          <t>ETAPA</t>
        </is>
      </c>
      <c r="I1609" s="1735" t="inlineStr">
        <is>
          <t>18.021</t>
        </is>
      </c>
      <c r="J1609" s="1773" t="inlineStr">
        <is>
          <t>ESQUADRIAS DE MADEIRA - Duplex Inferior</t>
        </is>
      </c>
      <c r="K1609" s="1774" t="n"/>
      <c r="L1609" s="1775" t="n"/>
      <c r="M1609" s="1775" t="n"/>
      <c r="N1609" s="1739" t="n">
        <v>45947.26</v>
      </c>
      <c r="O1609" s="1776" t="n">
        <v>2.74317404462297</v>
      </c>
      <c r="P1609" s="1719" t="n"/>
    </row>
    <row r="1610" hidden="1" outlineLevel="2" ht="12.75" customHeight="1">
      <c r="A1610" s="2117" t="n">
        <v>0</v>
      </c>
      <c r="B1610" s="2117" t="n">
        <v>18</v>
      </c>
      <c r="C1610" s="2117" t="n">
        <v>21</v>
      </c>
      <c r="D1610" s="2118" t="n">
        <v>1</v>
      </c>
      <c r="E1610" s="2118" t="n">
        <v>0</v>
      </c>
      <c r="G1610" s="1797" t="n"/>
      <c r="H1610" s="1777" t="inlineStr">
        <is>
          <t>SUBETAPA</t>
        </is>
      </c>
      <c r="I1610" s="1742" t="inlineStr">
        <is>
          <t>18.021.001</t>
        </is>
      </c>
      <c r="J1610" s="1779" t="inlineStr">
        <is>
          <t>Esquadrias de madeira</t>
        </is>
      </c>
      <c r="K1610" s="1780" t="n"/>
      <c r="L1610" s="1781" t="n"/>
      <c r="M1610" s="1781" t="n"/>
      <c r="N1610" s="1746" t="n">
        <v>39555.62</v>
      </c>
      <c r="O1610" s="1782" t="n"/>
      <c r="P1610" s="1720" t="n"/>
    </row>
    <row r="1611" hidden="1" outlineLevel="3" ht="12.75" customHeight="1">
      <c r="A1611" s="2117" t="n">
        <v>0</v>
      </c>
      <c r="B1611" s="2117" t="n">
        <v>18</v>
      </c>
      <c r="C1611" s="2117" t="n">
        <v>21</v>
      </c>
      <c r="D1611" s="2118" t="n">
        <v>1</v>
      </c>
      <c r="E1611" s="2118" t="n">
        <v>1</v>
      </c>
      <c r="G1611" s="1798" t="inlineStr">
        <is>
          <t>ESQUADRIAS, VIDROS E FERRAGENS</t>
        </is>
      </c>
      <c r="H1611" s="1783" t="inlineStr">
        <is>
          <t>SERVIÇO</t>
        </is>
      </c>
      <c r="I1611" s="1750" t="inlineStr">
        <is>
          <t>18.021.001.001</t>
        </is>
      </c>
      <c r="J1611" s="1785" t="inlineStr">
        <is>
          <t>Porta de madeira de abrir - 70x210cm (kit completo) - fixação com espuma expansiva</t>
        </is>
      </c>
      <c r="K1611" s="1786" t="inlineStr">
        <is>
          <t>un</t>
        </is>
      </c>
      <c r="L1611" s="1787" t="n">
        <v>8</v>
      </c>
      <c r="M1611" s="1787" t="n">
        <v>2306.36</v>
      </c>
      <c r="N1611" s="1754" t="n">
        <v>18450.88</v>
      </c>
      <c r="O1611" s="1788" t="inlineStr">
        <is>
          <t>Tabela de esquadrias enviada pela Gessele</t>
        </is>
      </c>
      <c r="P1611" s="1721" t="inlineStr">
        <is>
          <t>Pendente</t>
        </is>
      </c>
    </row>
    <row r="1612" hidden="1" outlineLevel="3" ht="12.75" customHeight="1">
      <c r="A1612" s="2117" t="n">
        <v>0</v>
      </c>
      <c r="B1612" s="2117" t="n">
        <v>18</v>
      </c>
      <c r="C1612" s="2117" t="n">
        <v>21</v>
      </c>
      <c r="D1612" s="2118" t="n">
        <v>1</v>
      </c>
      <c r="E1612" s="2118" t="n">
        <v>2</v>
      </c>
      <c r="G1612" s="1798" t="inlineStr">
        <is>
          <t>ESQUADRIAS, VIDROS E FERRAGENS</t>
        </is>
      </c>
      <c r="H1612" s="1783" t="inlineStr">
        <is>
          <t>SERVIÇO</t>
        </is>
      </c>
      <c r="I1612" s="1750" t="inlineStr">
        <is>
          <t>18.021.001.002</t>
        </is>
      </c>
      <c r="J1612" s="1785" t="inlineStr">
        <is>
          <t>Porta de madeira de abrir - 80x210cm (kit completo) - fixação com espuma expansiva</t>
        </is>
      </c>
      <c r="K1612" s="1786" t="inlineStr">
        <is>
          <t>un</t>
        </is>
      </c>
      <c r="L1612" s="1787" t="n">
        <v>8</v>
      </c>
      <c r="M1612" s="1787" t="n">
        <v>2306.36</v>
      </c>
      <c r="N1612" s="1754" t="n">
        <v>18450.88</v>
      </c>
      <c r="O1612" s="1788" t="inlineStr">
        <is>
          <t>Tabela de esquadrias enviada pela Gessele</t>
        </is>
      </c>
      <c r="P1612" s="1721" t="inlineStr">
        <is>
          <t>Pendente</t>
        </is>
      </c>
    </row>
    <row r="1613" hidden="1" outlineLevel="3" ht="13.5" customHeight="1">
      <c r="A1613" s="2117" t="n">
        <v>0</v>
      </c>
      <c r="B1613" s="2117" t="n">
        <v>18</v>
      </c>
      <c r="C1613" s="2117" t="n">
        <v>21</v>
      </c>
      <c r="D1613" s="2118" t="n">
        <v>1</v>
      </c>
      <c r="E1613" s="2118" t="n">
        <v>3</v>
      </c>
      <c r="G1613" s="1798" t="inlineStr">
        <is>
          <t>ESQUADRIAS, VIDROS E FERRAGENS</t>
        </is>
      </c>
      <c r="H1613" s="1783" t="inlineStr">
        <is>
          <t>SERVIÇO</t>
        </is>
      </c>
      <c r="I1613" s="1750" t="inlineStr">
        <is>
          <t>18.021.001.003</t>
        </is>
      </c>
      <c r="J1613" s="1785" t="inlineStr">
        <is>
          <t>Porta de madeira de abrir - 90x210cm (kit completo) - fixação com espuma expansiva</t>
        </is>
      </c>
      <c r="K1613" s="1786" t="inlineStr">
        <is>
          <t>un</t>
        </is>
      </c>
      <c r="L1613" s="1787" t="n">
        <v>1</v>
      </c>
      <c r="M1613" s="1787" t="n">
        <v>2653.86</v>
      </c>
      <c r="N1613" s="1754" t="n">
        <v>2653.86</v>
      </c>
      <c r="O1613" s="1788" t="inlineStr">
        <is>
          <t>Tabela de esquadrias enviada pela Gessele</t>
        </is>
      </c>
      <c r="P1613" s="1721" t="inlineStr">
        <is>
          <t>Pendente</t>
        </is>
      </c>
    </row>
    <row r="1614" hidden="1" outlineLevel="2" ht="13.5" customHeight="1">
      <c r="A1614" s="2117" t="n">
        <v>0</v>
      </c>
      <c r="B1614" s="2117" t="n">
        <v>18</v>
      </c>
      <c r="C1614" s="2117" t="n">
        <v>21</v>
      </c>
      <c r="D1614" s="2118" t="n">
        <v>2</v>
      </c>
      <c r="E1614" s="2118" t="n">
        <v>0</v>
      </c>
      <c r="G1614" s="1797" t="n"/>
      <c r="H1614" s="1777" t="inlineStr">
        <is>
          <t>SUBETAPA</t>
        </is>
      </c>
      <c r="I1614" s="1742" t="inlineStr">
        <is>
          <t>18.021.002</t>
        </is>
      </c>
      <c r="J1614" s="1779" t="inlineStr">
        <is>
          <t>Acessórios e ferragens</t>
        </is>
      </c>
      <c r="K1614" s="1780" t="n"/>
      <c r="L1614" s="1781" t="n"/>
      <c r="M1614" s="1781" t="n"/>
      <c r="N1614" s="1746" t="n">
        <v>1291.64</v>
      </c>
      <c r="O1614" s="1782" t="n"/>
      <c r="P1614" s="1720" t="n"/>
    </row>
    <row r="1615" hidden="1" outlineLevel="3" ht="13.5" customHeight="1">
      <c r="A1615" s="2117" t="n">
        <v>0</v>
      </c>
      <c r="B1615" s="2117" t="n">
        <v>18</v>
      </c>
      <c r="C1615" s="2117" t="n">
        <v>21</v>
      </c>
      <c r="D1615" s="2118" t="n">
        <v>2</v>
      </c>
      <c r="E1615" s="2118" t="n">
        <v>1</v>
      </c>
      <c r="G1615" s="1798" t="inlineStr">
        <is>
          <t>ESQUADRIAS, VIDROS E FERRAGENS</t>
        </is>
      </c>
      <c r="H1615" s="1783" t="inlineStr">
        <is>
          <t>SERVIÇO</t>
        </is>
      </c>
      <c r="I1615" s="1750" t="inlineStr">
        <is>
          <t>18.021.002.001</t>
        </is>
      </c>
      <c r="J1615" s="1785" t="inlineStr">
        <is>
          <t>Fechadura eletronica</t>
        </is>
      </c>
      <c r="K1615" s="1786" t="inlineStr">
        <is>
          <t>un</t>
        </is>
      </c>
      <c r="L1615" s="1787" t="n">
        <v>1</v>
      </c>
      <c r="M1615" s="1787" t="n">
        <v>1291.64</v>
      </c>
      <c r="N1615" s="1754" t="n">
        <v>1291.64</v>
      </c>
      <c r="O1615" s="1788" t="inlineStr">
        <is>
          <t>Uma por apartamento</t>
        </is>
      </c>
      <c r="P1615" s="1721" t="inlineStr">
        <is>
          <t>Pendente</t>
        </is>
      </c>
    </row>
    <row r="1616" hidden="1" outlineLevel="2" ht="13.5" customHeight="1">
      <c r="A1616" s="2117" t="n">
        <v>0</v>
      </c>
      <c r="B1616" s="2117" t="n">
        <v>18</v>
      </c>
      <c r="C1616" s="2117" t="n">
        <v>21</v>
      </c>
      <c r="D1616" s="2118" t="n">
        <v>3</v>
      </c>
      <c r="E1616" s="2118" t="n">
        <v>0</v>
      </c>
      <c r="G1616" s="1797" t="n"/>
      <c r="H1616" s="1777" t="inlineStr">
        <is>
          <t>SUBETAPA</t>
        </is>
      </c>
      <c r="I1616" s="1742" t="inlineStr">
        <is>
          <t>18.021.003</t>
        </is>
      </c>
      <c r="J1616" s="1779" t="inlineStr">
        <is>
          <t>Mão de obra</t>
        </is>
      </c>
      <c r="K1616" s="1780" t="n"/>
      <c r="L1616" s="1781" t="n"/>
      <c r="M1616" s="1781" t="n"/>
      <c r="N1616" s="1746" t="n">
        <v>5100</v>
      </c>
      <c r="O1616" s="1782" t="n"/>
      <c r="P1616" s="1720" t="n"/>
    </row>
    <row r="1617" hidden="1" outlineLevel="3" ht="13.5" customHeight="1">
      <c r="A1617" s="2117" t="n">
        <v>0</v>
      </c>
      <c r="B1617" s="2117" t="n">
        <v>18</v>
      </c>
      <c r="C1617" s="2117" t="n">
        <v>21</v>
      </c>
      <c r="D1617" s="2118" t="n">
        <v>3</v>
      </c>
      <c r="E1617" s="2118" t="n">
        <v>1</v>
      </c>
      <c r="G1617" s="1798" t="inlineStr">
        <is>
          <t>ESQUADRIAS, VIDROS E FERRAGENS</t>
        </is>
      </c>
      <c r="H1617" s="1783" t="inlineStr">
        <is>
          <t>SERVIÇO</t>
        </is>
      </c>
      <c r="I1617" s="1750" t="inlineStr">
        <is>
          <t>18.021.003.001</t>
        </is>
      </c>
      <c r="J1617" s="1785" t="inlineStr">
        <is>
          <t>Mão de obra para instalação de portas de madeira</t>
        </is>
      </c>
      <c r="K1617" s="1786" t="inlineStr">
        <is>
          <t>un</t>
        </is>
      </c>
      <c r="L1617" s="1787" t="n">
        <v>17</v>
      </c>
      <c r="M1617" s="1787" t="n">
        <v>300</v>
      </c>
      <c r="N1617" s="1754" t="n">
        <v>5100</v>
      </c>
      <c r="O1617" s="1788" t="inlineStr">
        <is>
          <t>Tabela de esquadrias enviada pela Gessele</t>
        </is>
      </c>
      <c r="P1617" s="1721" t="inlineStr">
        <is>
          <t>Pendente</t>
        </is>
      </c>
    </row>
    <row r="1618" hidden="1" outlineLevel="1" ht="13.5" customHeight="1">
      <c r="A1618" s="2117" t="n">
        <v>0</v>
      </c>
      <c r="B1618" s="2117" t="n">
        <v>18</v>
      </c>
      <c r="C1618" s="2117" t="n">
        <v>22</v>
      </c>
      <c r="D1618" s="2118" t="n">
        <v>0</v>
      </c>
      <c r="E1618" s="2118" t="n">
        <v>1</v>
      </c>
      <c r="G1618" s="1796" t="n"/>
      <c r="H1618" s="1771" t="inlineStr">
        <is>
          <t>ETAPA</t>
        </is>
      </c>
      <c r="I1618" s="1735" t="inlineStr">
        <is>
          <t>18.022</t>
        </is>
      </c>
      <c r="J1618" s="1773" t="inlineStr">
        <is>
          <t>ESQUADRIAS DE MADEIRA - Duplex Superior</t>
        </is>
      </c>
      <c r="K1618" s="1774" t="n"/>
      <c r="L1618" s="1775" t="n"/>
      <c r="M1618" s="1775" t="n"/>
      <c r="N1618" s="1739" t="n">
        <v>10772.94</v>
      </c>
      <c r="O1618" s="1776" t="n">
        <v>0.6431732684882751</v>
      </c>
      <c r="P1618" s="1719" t="n"/>
    </row>
    <row r="1619" hidden="1" outlineLevel="2" ht="12.75" customHeight="1">
      <c r="A1619" s="2117" t="n">
        <v>0</v>
      </c>
      <c r="B1619" s="2117" t="n">
        <v>18</v>
      </c>
      <c r="C1619" s="2117" t="n">
        <v>22</v>
      </c>
      <c r="D1619" s="2118" t="n">
        <v>1</v>
      </c>
      <c r="E1619" s="2118" t="n">
        <v>0</v>
      </c>
      <c r="G1619" s="1797" t="n"/>
      <c r="H1619" s="1777" t="inlineStr">
        <is>
          <t>SUBETAPA</t>
        </is>
      </c>
      <c r="I1619" s="1742" t="inlineStr">
        <is>
          <t>18.022.001</t>
        </is>
      </c>
      <c r="J1619" s="1779" t="inlineStr">
        <is>
          <t>Esquadrias de madeira</t>
        </is>
      </c>
      <c r="K1619" s="1780" t="n"/>
      <c r="L1619" s="1781" t="n"/>
      <c r="M1619" s="1781" t="n"/>
      <c r="N1619" s="1746" t="n">
        <v>9572.940000000001</v>
      </c>
      <c r="O1619" s="1782" t="n"/>
      <c r="P1619" s="1720" t="n"/>
    </row>
    <row r="1620" hidden="1" outlineLevel="3" ht="12.75" customHeight="1">
      <c r="A1620" s="2117" t="n">
        <v>0</v>
      </c>
      <c r="B1620" s="2117" t="n">
        <v>18</v>
      </c>
      <c r="C1620" s="2117" t="n">
        <v>22</v>
      </c>
      <c r="D1620" s="2118" t="n">
        <v>1</v>
      </c>
      <c r="E1620" s="2118" t="n">
        <v>1</v>
      </c>
      <c r="G1620" s="1798" t="inlineStr">
        <is>
          <t>ESQUADRIAS, VIDROS E FERRAGENS</t>
        </is>
      </c>
      <c r="H1620" s="1783" t="inlineStr">
        <is>
          <t>SERVIÇO</t>
        </is>
      </c>
      <c r="I1620" s="1750" t="inlineStr">
        <is>
          <t>18.022.001.001</t>
        </is>
      </c>
      <c r="J1620" s="1785" t="inlineStr">
        <is>
          <t>Porta de madeira de abrir - 70x210cm (kit completo) - fixação com espuma expansiva</t>
        </is>
      </c>
      <c r="K1620" s="1786" t="inlineStr">
        <is>
          <t>un</t>
        </is>
      </c>
      <c r="L1620" s="1787" t="n">
        <v>1</v>
      </c>
      <c r="M1620" s="1787" t="n">
        <v>2306.36</v>
      </c>
      <c r="N1620" s="1754" t="n">
        <v>2306.36</v>
      </c>
      <c r="O1620" s="1788" t="inlineStr">
        <is>
          <t>Tabela de esquadrias enviada pela Gessele</t>
        </is>
      </c>
      <c r="P1620" s="1721" t="inlineStr">
        <is>
          <t>Pendente</t>
        </is>
      </c>
    </row>
    <row r="1621" hidden="1" outlineLevel="3" ht="12.75" customHeight="1">
      <c r="A1621" s="2117" t="n">
        <v>0</v>
      </c>
      <c r="B1621" s="2117" t="n">
        <v>18</v>
      </c>
      <c r="C1621" s="2117" t="n">
        <v>22</v>
      </c>
      <c r="D1621" s="2118" t="n">
        <v>1</v>
      </c>
      <c r="E1621" s="2118" t="n">
        <v>2</v>
      </c>
      <c r="G1621" s="1798" t="inlineStr">
        <is>
          <t>ESQUADRIAS, VIDROS E FERRAGENS</t>
        </is>
      </c>
      <c r="H1621" s="1783" t="inlineStr">
        <is>
          <t>SERVIÇO</t>
        </is>
      </c>
      <c r="I1621" s="1750" t="inlineStr">
        <is>
          <t>18.022.001.002</t>
        </is>
      </c>
      <c r="J1621" s="1785" t="inlineStr">
        <is>
          <t>Porta de madeira de abrir - 80x210cm (kit completo) - fixação com espuma expansiva</t>
        </is>
      </c>
      <c r="K1621" s="1786" t="inlineStr">
        <is>
          <t>un</t>
        </is>
      </c>
      <c r="L1621" s="1787" t="n">
        <v>2</v>
      </c>
      <c r="M1621" s="1787" t="n">
        <v>2306.36</v>
      </c>
      <c r="N1621" s="1754" t="n">
        <v>4612.72</v>
      </c>
      <c r="O1621" s="1788" t="inlineStr">
        <is>
          <t>Tabela de esquadrias enviada pela Gessele</t>
        </is>
      </c>
      <c r="P1621" s="1721" t="inlineStr">
        <is>
          <t>Pendente</t>
        </is>
      </c>
    </row>
    <row r="1622" hidden="1" outlineLevel="3" ht="13.5" customHeight="1">
      <c r="A1622" s="2117" t="n">
        <v>0</v>
      </c>
      <c r="B1622" s="2117" t="n">
        <v>18</v>
      </c>
      <c r="C1622" s="2117" t="n">
        <v>22</v>
      </c>
      <c r="D1622" s="2118" t="n">
        <v>1</v>
      </c>
      <c r="E1622" s="2118" t="n">
        <v>3</v>
      </c>
      <c r="G1622" s="1798" t="inlineStr">
        <is>
          <t>ESQUADRIAS, VIDROS E FERRAGENS</t>
        </is>
      </c>
      <c r="H1622" s="1783" t="inlineStr">
        <is>
          <t>SERVIÇO</t>
        </is>
      </c>
      <c r="I1622" s="1750" t="inlineStr">
        <is>
          <t>18.022.001.003</t>
        </is>
      </c>
      <c r="J1622" s="1785" t="inlineStr">
        <is>
          <t>Porta de madeira de abrir - 90x210cm (kit completo) - fixação com espuma expansiva</t>
        </is>
      </c>
      <c r="K1622" s="1786" t="inlineStr">
        <is>
          <t>un</t>
        </is>
      </c>
      <c r="L1622" s="1787" t="n">
        <v>1</v>
      </c>
      <c r="M1622" s="1787" t="n">
        <v>2653.86</v>
      </c>
      <c r="N1622" s="1754" t="n">
        <v>2653.86</v>
      </c>
      <c r="O1622" s="1788" t="inlineStr">
        <is>
          <t>Tabela de esquadrias enviada pela Gessele</t>
        </is>
      </c>
      <c r="P1622" s="1721" t="inlineStr">
        <is>
          <t>Pendente</t>
        </is>
      </c>
    </row>
    <row r="1623" hidden="1" outlineLevel="2" ht="13.5" customHeight="1">
      <c r="A1623" s="2117" t="n">
        <v>0</v>
      </c>
      <c r="B1623" s="2117" t="n">
        <v>18</v>
      </c>
      <c r="C1623" s="2117" t="n">
        <v>22</v>
      </c>
      <c r="D1623" s="2118" t="n">
        <v>2</v>
      </c>
      <c r="E1623" s="2118" t="n">
        <v>0</v>
      </c>
      <c r="G1623" s="1797" t="n"/>
      <c r="H1623" s="1777" t="inlineStr">
        <is>
          <t>SUBETAPA</t>
        </is>
      </c>
      <c r="I1623" s="1742" t="inlineStr">
        <is>
          <t>18.022.002</t>
        </is>
      </c>
      <c r="J1623" s="1779" t="inlineStr">
        <is>
          <t>Mão de obra</t>
        </is>
      </c>
      <c r="K1623" s="1780" t="n"/>
      <c r="L1623" s="1781" t="n"/>
      <c r="M1623" s="1781" t="n"/>
      <c r="N1623" s="1746" t="n">
        <v>1200</v>
      </c>
      <c r="O1623" s="1782" t="n"/>
      <c r="P1623" s="1720" t="n"/>
    </row>
    <row r="1624" hidden="1" outlineLevel="3" ht="13.5" customHeight="1">
      <c r="A1624" s="2117" t="n">
        <v>0</v>
      </c>
      <c r="B1624" s="2117" t="n">
        <v>18</v>
      </c>
      <c r="C1624" s="2117" t="n">
        <v>22</v>
      </c>
      <c r="D1624" s="2118" t="n">
        <v>2</v>
      </c>
      <c r="E1624" s="2118" t="n">
        <v>1</v>
      </c>
      <c r="G1624" s="1798" t="inlineStr">
        <is>
          <t>ESQUADRIAS, VIDROS E FERRAGENS</t>
        </is>
      </c>
      <c r="H1624" s="1783" t="inlineStr">
        <is>
          <t>SERVIÇO</t>
        </is>
      </c>
      <c r="I1624" s="1750" t="inlineStr">
        <is>
          <t>18.022.002.001</t>
        </is>
      </c>
      <c r="J1624" s="1785" t="inlineStr">
        <is>
          <t>Mão de obra para instalação de portas de madeira</t>
        </is>
      </c>
      <c r="K1624" s="1786" t="inlineStr">
        <is>
          <t>un</t>
        </is>
      </c>
      <c r="L1624" s="1787" t="n">
        <v>4</v>
      </c>
      <c r="M1624" s="1787" t="n">
        <v>300</v>
      </c>
      <c r="N1624" s="1754" t="n">
        <v>1200</v>
      </c>
      <c r="O1624" s="1788" t="inlineStr">
        <is>
          <t>Tabela de esquadrias enviada pela Gessele</t>
        </is>
      </c>
      <c r="P1624" s="1721" t="inlineStr">
        <is>
          <t>Pendente</t>
        </is>
      </c>
    </row>
    <row r="1625" hidden="1" outlineLevel="1" ht="13.5" customHeight="1">
      <c r="A1625" s="2117" t="n">
        <v>0</v>
      </c>
      <c r="B1625" s="2117" t="n">
        <v>18</v>
      </c>
      <c r="C1625" s="2117" t="n">
        <v>23</v>
      </c>
      <c r="D1625" s="2118" t="n">
        <v>0</v>
      </c>
      <c r="E1625" s="2118" t="n">
        <v>1</v>
      </c>
      <c r="G1625" s="1796" t="n"/>
      <c r="H1625" s="1771" t="inlineStr">
        <is>
          <t>ETAPA</t>
        </is>
      </c>
      <c r="I1625" s="1735" t="inlineStr">
        <is>
          <t>18.023</t>
        </is>
      </c>
      <c r="J1625" s="1773" t="inlineStr">
        <is>
          <t>PORTAS CORTA-FOGO - Térreo</t>
        </is>
      </c>
      <c r="K1625" s="1774" t="n"/>
      <c r="L1625" s="1775" t="n"/>
      <c r="M1625" s="1775" t="n"/>
      <c r="N1625" s="1739" t="n"/>
      <c r="O1625" s="1776" t="n"/>
      <c r="P1625" s="1719" t="n"/>
    </row>
    <row r="1626" hidden="1" outlineLevel="2" ht="13.5" customHeight="1">
      <c r="A1626" s="2117" t="n">
        <v>0</v>
      </c>
      <c r="B1626" s="2117" t="n">
        <v>18</v>
      </c>
      <c r="C1626" s="2117" t="n">
        <v>23</v>
      </c>
      <c r="D1626" s="2118" t="n">
        <v>1</v>
      </c>
      <c r="E1626" s="2118" t="n">
        <v>0</v>
      </c>
      <c r="G1626" s="1797" t="n"/>
      <c r="H1626" s="1777" t="inlineStr">
        <is>
          <t>SUBETAPA</t>
        </is>
      </c>
      <c r="I1626" s="1742" t="inlineStr">
        <is>
          <t>18.023.001</t>
        </is>
      </c>
      <c r="J1626" s="1779" t="inlineStr">
        <is>
          <t>Esquadrias metálicas</t>
        </is>
      </c>
      <c r="K1626" s="1780" t="n"/>
      <c r="L1626" s="1781" t="n"/>
      <c r="M1626" s="1781" t="n"/>
      <c r="N1626" s="1746" t="n">
        <v>6313.74</v>
      </c>
      <c r="O1626" s="1782" t="n"/>
      <c r="P1626" s="1720" t="n"/>
    </row>
    <row r="1627" hidden="1" outlineLevel="3" ht="13.5" customHeight="1">
      <c r="A1627" s="2117" t="n">
        <v>0</v>
      </c>
      <c r="B1627" s="2117" t="n">
        <v>18</v>
      </c>
      <c r="C1627" s="2117" t="n">
        <v>23</v>
      </c>
      <c r="D1627" s="2118" t="n">
        <v>1</v>
      </c>
      <c r="E1627" s="2118" t="n">
        <v>1</v>
      </c>
      <c r="G1627" s="1798" t="inlineStr">
        <is>
          <t>ESQUADRIAS, VIDROS E FERRAGENS</t>
        </is>
      </c>
      <c r="H1627" s="1783" t="inlineStr">
        <is>
          <t>SERVIÇO</t>
        </is>
      </c>
      <c r="I1627" s="1750" t="inlineStr">
        <is>
          <t>18.023.001.001</t>
        </is>
      </c>
      <c r="J1627" s="1785" t="inlineStr">
        <is>
          <t>Contramarco de aço galvanizado - Fixado com Argamassa</t>
        </is>
      </c>
      <c r="K1627" s="1786" t="inlineStr">
        <is>
          <t>m</t>
        </is>
      </c>
      <c r="L1627" s="1787" t="n">
        <v>20.4</v>
      </c>
      <c r="M1627" s="1787" t="n">
        <v>66.84999999999999</v>
      </c>
      <c r="N1627" s="1754" t="n">
        <v>1363.74</v>
      </c>
      <c r="O1627" s="1788" t="inlineStr">
        <is>
          <t>Tabela de esquadrias enviada pela Gessele</t>
        </is>
      </c>
      <c r="P1627" s="1721" t="inlineStr">
        <is>
          <t>Pendente</t>
        </is>
      </c>
    </row>
    <row r="1628" hidden="1" outlineLevel="3" ht="13.5" customHeight="1">
      <c r="A1628" s="2117" t="n">
        <v>0</v>
      </c>
      <c r="B1628" s="2117" t="n">
        <v>18</v>
      </c>
      <c r="C1628" s="2117" t="n">
        <v>23</v>
      </c>
      <c r="D1628" s="2118" t="n">
        <v>1</v>
      </c>
      <c r="E1628" s="2118" t="n">
        <v>2</v>
      </c>
      <c r="G1628" s="1798" t="inlineStr">
        <is>
          <t>ESQUADRIAS, VIDROS E FERRAGENS</t>
        </is>
      </c>
      <c r="H1628" s="1783" t="inlineStr">
        <is>
          <t>SERVIÇO</t>
        </is>
      </c>
      <c r="I1628" s="1750" t="inlineStr">
        <is>
          <t>18.023.001.002</t>
        </is>
      </c>
      <c r="J1628" s="1785" t="inlineStr">
        <is>
          <t>Porta corta-fogo, 1 folha, 90x210 cm</t>
        </is>
      </c>
      <c r="K1628" s="1786" t="inlineStr">
        <is>
          <t>un</t>
        </is>
      </c>
      <c r="L1628" s="1787" t="n">
        <v>4</v>
      </c>
      <c r="M1628" s="1787" t="n">
        <v>1237.5</v>
      </c>
      <c r="N1628" s="1754" t="n">
        <v>4950</v>
      </c>
      <c r="O1628" s="1788" t="inlineStr">
        <is>
          <t>Tabela de esquadrias enviada pela Gessele</t>
        </is>
      </c>
      <c r="P1628" s="1721" t="inlineStr">
        <is>
          <t>Pendente</t>
        </is>
      </c>
    </row>
    <row r="1629" hidden="1" outlineLevel="2" ht="13.5" customHeight="1">
      <c r="A1629" s="2117" t="n">
        <v>0</v>
      </c>
      <c r="B1629" s="2117" t="n">
        <v>18</v>
      </c>
      <c r="C1629" s="2117" t="n">
        <v>23</v>
      </c>
      <c r="D1629" s="2118" t="n">
        <v>2</v>
      </c>
      <c r="E1629" s="2118" t="n">
        <v>0</v>
      </c>
      <c r="G1629" s="1797" t="n"/>
      <c r="H1629" s="1777" t="inlineStr">
        <is>
          <t>SUBETAPA</t>
        </is>
      </c>
      <c r="I1629" s="1742" t="inlineStr">
        <is>
          <t>18.023.002</t>
        </is>
      </c>
      <c r="J1629" s="1779" t="inlineStr">
        <is>
          <t>Corrimão metálico</t>
        </is>
      </c>
      <c r="K1629" s="1780" t="n"/>
      <c r="L1629" s="1781" t="n"/>
      <c r="M1629" s="1781" t="n"/>
      <c r="N1629" s="1746" t="n"/>
      <c r="O1629" s="1782" t="n"/>
      <c r="P1629" s="1720" t="n"/>
    </row>
    <row r="1630" hidden="1" outlineLevel="3" ht="13.5" customHeight="1">
      <c r="A1630" s="2117" t="n">
        <v>0</v>
      </c>
      <c r="B1630" s="2117" t="n">
        <v>18</v>
      </c>
      <c r="C1630" s="2117" t="n">
        <v>23</v>
      </c>
      <c r="D1630" s="2118" t="n">
        <v>2</v>
      </c>
      <c r="E1630" s="2118" t="n">
        <v>1</v>
      </c>
      <c r="G1630" s="1798" t="inlineStr">
        <is>
          <t>ESQUADRIAS, VIDROS E FERRAGENS</t>
        </is>
      </c>
      <c r="H1630" s="1783" t="inlineStr">
        <is>
          <t>SERVIÇO</t>
        </is>
      </c>
      <c r="I1630" s="1750" t="inlineStr">
        <is>
          <t>18.023.002.001</t>
        </is>
      </c>
      <c r="J1630" s="1785" t="inlineStr">
        <is>
          <t>Corrimão Duplo Metálico - inox escovado 304 - fornecimento e instalação</t>
        </is>
      </c>
      <c r="K1630" s="1786" t="inlineStr">
        <is>
          <t>m</t>
        </is>
      </c>
      <c r="L1630" s="1787" t="e">
        <v>#REF!</v>
      </c>
      <c r="M1630" s="1787" t="n">
        <v>820</v>
      </c>
      <c r="N1630" s="1754" t="n"/>
      <c r="O1630" s="1788" t="inlineStr">
        <is>
          <t>Modelo do visus</t>
        </is>
      </c>
      <c r="P1630" s="1721" t="inlineStr">
        <is>
          <t>Pendente</t>
        </is>
      </c>
    </row>
    <row r="1631" hidden="1" outlineLevel="3" ht="13.5" customHeight="1">
      <c r="A1631" s="2117" t="n">
        <v>0</v>
      </c>
      <c r="B1631" s="2117" t="n">
        <v>18</v>
      </c>
      <c r="C1631" s="2117" t="n">
        <v>23</v>
      </c>
      <c r="D1631" s="2118" t="n">
        <v>2</v>
      </c>
      <c r="E1631" s="2118" t="n">
        <v>2</v>
      </c>
      <c r="G1631" s="1798" t="inlineStr">
        <is>
          <t>ESQUADRIAS, VIDROS E FERRAGENS</t>
        </is>
      </c>
      <c r="H1631" s="1783" t="inlineStr">
        <is>
          <t>SERVIÇO</t>
        </is>
      </c>
      <c r="I1631" s="1750" t="inlineStr">
        <is>
          <t>18.023.002.002</t>
        </is>
      </c>
      <c r="J1631" s="1785" t="inlineStr">
        <is>
          <t>Corrimão Parede Metálico - inox escovado 304 - fornecimento e instalação</t>
        </is>
      </c>
      <c r="K1631" s="1786" t="inlineStr">
        <is>
          <t>m</t>
        </is>
      </c>
      <c r="L1631" s="1787" t="e">
        <v>#REF!</v>
      </c>
      <c r="M1631" s="1787" t="n">
        <v>520</v>
      </c>
      <c r="N1631" s="1754" t="n"/>
      <c r="O1631" s="1788" t="inlineStr">
        <is>
          <t>Modelo do visus</t>
        </is>
      </c>
      <c r="P1631" s="1721" t="inlineStr">
        <is>
          <t>Pendente</t>
        </is>
      </c>
    </row>
    <row r="1632" hidden="1" outlineLevel="2" ht="12.75" customHeight="1">
      <c r="A1632" s="2117" t="n">
        <v>0</v>
      </c>
      <c r="B1632" s="2117" t="n">
        <v>18</v>
      </c>
      <c r="C1632" s="2117" t="n">
        <v>23</v>
      </c>
      <c r="D1632" s="2118" t="n">
        <v>3</v>
      </c>
      <c r="E1632" s="2118" t="n">
        <v>0</v>
      </c>
      <c r="G1632" s="1797" t="n"/>
      <c r="H1632" s="1777" t="inlineStr">
        <is>
          <t>SUBETAPA</t>
        </is>
      </c>
      <c r="I1632" s="1742" t="inlineStr">
        <is>
          <t>18.023.003</t>
        </is>
      </c>
      <c r="J1632" s="1779" t="inlineStr">
        <is>
          <t>Guarda Corpo metálico</t>
        </is>
      </c>
      <c r="K1632" s="1780" t="n"/>
      <c r="L1632" s="1781" t="n"/>
      <c r="M1632" s="1781" t="n"/>
      <c r="N1632" s="1746" t="n"/>
      <c r="O1632" s="1782" t="n"/>
      <c r="P1632" s="1720" t="n"/>
    </row>
    <row r="1633" hidden="1" outlineLevel="3" ht="12.75" customHeight="1">
      <c r="A1633" s="2117" t="n">
        <v>0</v>
      </c>
      <c r="B1633" s="2117" t="n">
        <v>18</v>
      </c>
      <c r="C1633" s="2117" t="n">
        <v>23</v>
      </c>
      <c r="D1633" s="2118" t="n">
        <v>3</v>
      </c>
      <c r="E1633" s="2118" t="n">
        <v>1</v>
      </c>
      <c r="G1633" s="1798" t="inlineStr">
        <is>
          <t>ESQUADRIAS, VIDROS E FERRAGENS</t>
        </is>
      </c>
      <c r="H1633" s="1783" t="inlineStr">
        <is>
          <t>SERVIÇO</t>
        </is>
      </c>
      <c r="I1633" s="1750" t="inlineStr">
        <is>
          <t>18.023.003.001</t>
        </is>
      </c>
      <c r="J1633" s="1785" t="inlineStr">
        <is>
          <t>Guarda Corpo metálico - inox 304 escovado - fornecimento e instalação</t>
        </is>
      </c>
      <c r="K1633" s="1786" t="inlineStr">
        <is>
          <t>m2</t>
        </is>
      </c>
      <c r="L1633" s="1787" t="e">
        <v>#REF!</v>
      </c>
      <c r="M1633" s="1787" t="n">
        <v>1240</v>
      </c>
      <c r="N1633" s="1754" t="n"/>
      <c r="O1633" s="1788" t="inlineStr">
        <is>
          <t>Modelo do visus</t>
        </is>
      </c>
      <c r="P1633" s="1721" t="inlineStr">
        <is>
          <t>Pendente</t>
        </is>
      </c>
    </row>
    <row r="1634" hidden="1" outlineLevel="2" ht="13.5" customHeight="1">
      <c r="A1634" s="2117" t="n">
        <v>0</v>
      </c>
      <c r="B1634" s="2117" t="n">
        <v>18</v>
      </c>
      <c r="C1634" s="2117" t="n">
        <v>23</v>
      </c>
      <c r="D1634" s="2118" t="n">
        <v>4</v>
      </c>
      <c r="E1634" s="2118" t="n">
        <v>0</v>
      </c>
      <c r="G1634" s="1797" t="n"/>
      <c r="H1634" s="1777" t="inlineStr">
        <is>
          <t>SUBETAPA</t>
        </is>
      </c>
      <c r="I1634" s="1742" t="inlineStr">
        <is>
          <t>18.023.004</t>
        </is>
      </c>
      <c r="J1634" s="1779" t="inlineStr">
        <is>
          <t>Mão de obra</t>
        </is>
      </c>
      <c r="K1634" s="1780" t="n"/>
      <c r="L1634" s="1781" t="n"/>
      <c r="M1634" s="1781" t="n"/>
      <c r="N1634" s="1746" t="n">
        <v>1200</v>
      </c>
      <c r="O1634" s="1782" t="n">
        <v>0.071643202522796</v>
      </c>
      <c r="P1634" s="1720" t="n"/>
    </row>
    <row r="1635" hidden="1" outlineLevel="3" ht="13.5" customHeight="1">
      <c r="A1635" s="2117" t="n">
        <v>0</v>
      </c>
      <c r="B1635" s="2117" t="n">
        <v>18</v>
      </c>
      <c r="C1635" s="2117" t="n">
        <v>23</v>
      </c>
      <c r="D1635" s="2118" t="n">
        <v>4</v>
      </c>
      <c r="E1635" s="2118" t="n">
        <v>1</v>
      </c>
      <c r="G1635" s="1798" t="inlineStr">
        <is>
          <t>ESQUADRIAS, VIDROS E FERRAGENS</t>
        </is>
      </c>
      <c r="H1635" s="1783" t="inlineStr">
        <is>
          <t>SERVIÇO</t>
        </is>
      </c>
      <c r="I1635" s="1750" t="inlineStr">
        <is>
          <t>18.023.004.001</t>
        </is>
      </c>
      <c r="J1635" s="1785" t="inlineStr">
        <is>
          <t>Mão de obra para instalação de portas corta-fogo</t>
        </is>
      </c>
      <c r="K1635" s="1786" t="inlineStr">
        <is>
          <t>un</t>
        </is>
      </c>
      <c r="L1635" s="1787" t="n">
        <v>4</v>
      </c>
      <c r="M1635" s="1787" t="n">
        <v>300</v>
      </c>
      <c r="N1635" s="1754" t="n">
        <v>1200</v>
      </c>
      <c r="O1635" s="1788" t="inlineStr">
        <is>
          <t>Tabela de esquadrias enviada pela Gessele</t>
        </is>
      </c>
      <c r="P1635" s="1721" t="inlineStr">
        <is>
          <t>Pendente</t>
        </is>
      </c>
    </row>
    <row r="1636" hidden="1" outlineLevel="1" ht="13.5" customHeight="1">
      <c r="A1636" s="2117" t="n">
        <v>0</v>
      </c>
      <c r="B1636" s="2117" t="n">
        <v>18</v>
      </c>
      <c r="C1636" s="2117" t="n">
        <v>24</v>
      </c>
      <c r="D1636" s="2118" t="n">
        <v>0</v>
      </c>
      <c r="E1636" s="2118" t="n">
        <v>1</v>
      </c>
      <c r="G1636" s="1796" t="n"/>
      <c r="H1636" s="1771" t="inlineStr">
        <is>
          <t>ETAPA</t>
        </is>
      </c>
      <c r="I1636" s="1735" t="inlineStr">
        <is>
          <t>18.024</t>
        </is>
      </c>
      <c r="J1636" s="1773" t="inlineStr">
        <is>
          <t>PORTAS CORTA-FOGO - Mezanino G1</t>
        </is>
      </c>
      <c r="K1636" s="1774" t="n"/>
      <c r="L1636" s="1775" t="n"/>
      <c r="M1636" s="1775" t="n"/>
      <c r="N1636" s="1739" t="n"/>
      <c r="O1636" s="1776" t="n"/>
      <c r="P1636" s="1719" t="n"/>
    </row>
    <row r="1637" hidden="1" outlineLevel="2" ht="13.5" customHeight="1">
      <c r="A1637" s="2117" t="n">
        <v>0</v>
      </c>
      <c r="B1637" s="2117" t="n">
        <v>18</v>
      </c>
      <c r="C1637" s="2117" t="n">
        <v>24</v>
      </c>
      <c r="D1637" s="2118" t="n">
        <v>1</v>
      </c>
      <c r="E1637" s="2118" t="n">
        <v>0</v>
      </c>
      <c r="G1637" s="1797" t="n"/>
      <c r="H1637" s="1777" t="inlineStr">
        <is>
          <t>SUBETAPA</t>
        </is>
      </c>
      <c r="I1637" s="1742" t="inlineStr">
        <is>
          <t>18.024.001</t>
        </is>
      </c>
      <c r="J1637" s="1779" t="inlineStr">
        <is>
          <t>Esquadrias metálicas</t>
        </is>
      </c>
      <c r="K1637" s="1780" t="n"/>
      <c r="L1637" s="1781" t="n"/>
      <c r="M1637" s="1781" t="n"/>
      <c r="N1637" s="1746" t="n">
        <v>3156.87</v>
      </c>
      <c r="O1637" s="1782" t="n"/>
      <c r="P1637" s="1720" t="n"/>
    </row>
    <row r="1638" hidden="1" outlineLevel="3" ht="13.5" customHeight="1">
      <c r="A1638" s="2117" t="n">
        <v>0</v>
      </c>
      <c r="B1638" s="2117" t="n">
        <v>18</v>
      </c>
      <c r="C1638" s="2117" t="n">
        <v>24</v>
      </c>
      <c r="D1638" s="2118" t="n">
        <v>1</v>
      </c>
      <c r="E1638" s="2118" t="n">
        <v>1</v>
      </c>
      <c r="G1638" s="1798" t="inlineStr">
        <is>
          <t>ESQUADRIAS, VIDROS E FERRAGENS</t>
        </is>
      </c>
      <c r="H1638" s="1783" t="inlineStr">
        <is>
          <t>SERVIÇO</t>
        </is>
      </c>
      <c r="I1638" s="1750" t="inlineStr">
        <is>
          <t>18.024.001.001</t>
        </is>
      </c>
      <c r="J1638" s="1785" t="inlineStr">
        <is>
          <t>Contramarco de aço galvanizado - Fixado com Argamassa</t>
        </is>
      </c>
      <c r="K1638" s="1786" t="inlineStr">
        <is>
          <t>m</t>
        </is>
      </c>
      <c r="L1638" s="1787" t="n">
        <v>10.2</v>
      </c>
      <c r="M1638" s="1787" t="n">
        <v>66.84999999999999</v>
      </c>
      <c r="N1638" s="1754" t="n">
        <v>681.87</v>
      </c>
      <c r="O1638" s="1788" t="inlineStr">
        <is>
          <t>Tabela de esquadrias enviada pela Gessele</t>
        </is>
      </c>
      <c r="P1638" s="1721" t="inlineStr">
        <is>
          <t>Pendente</t>
        </is>
      </c>
    </row>
    <row r="1639" hidden="1" outlineLevel="3" ht="13.5" customHeight="1">
      <c r="A1639" s="2117" t="n">
        <v>0</v>
      </c>
      <c r="B1639" s="2117" t="n">
        <v>18</v>
      </c>
      <c r="C1639" s="2117" t="n">
        <v>24</v>
      </c>
      <c r="D1639" s="2118" t="n">
        <v>1</v>
      </c>
      <c r="E1639" s="2118" t="n">
        <v>2</v>
      </c>
      <c r="G1639" s="1798" t="inlineStr">
        <is>
          <t>ESQUADRIAS, VIDROS E FERRAGENS</t>
        </is>
      </c>
      <c r="H1639" s="1783" t="inlineStr">
        <is>
          <t>SERVIÇO</t>
        </is>
      </c>
      <c r="I1639" s="1750" t="inlineStr">
        <is>
          <t>18.024.001.002</t>
        </is>
      </c>
      <c r="J1639" s="1785" t="inlineStr">
        <is>
          <t>Porta corta-fogo, 1 folha, 90x210 cm</t>
        </is>
      </c>
      <c r="K1639" s="1786" t="inlineStr">
        <is>
          <t>un</t>
        </is>
      </c>
      <c r="L1639" s="1787" t="n">
        <v>2</v>
      </c>
      <c r="M1639" s="1787" t="n">
        <v>1237.5</v>
      </c>
      <c r="N1639" s="1754" t="n">
        <v>2475</v>
      </c>
      <c r="O1639" s="1788" t="inlineStr">
        <is>
          <t>Tabela de esquadrias enviada pela Gessele</t>
        </is>
      </c>
      <c r="P1639" s="1721" t="inlineStr">
        <is>
          <t>Pendente</t>
        </is>
      </c>
    </row>
    <row r="1640" hidden="1" outlineLevel="2" ht="13.5" customHeight="1">
      <c r="A1640" s="2117" t="n">
        <v>0</v>
      </c>
      <c r="B1640" s="2117" t="n">
        <v>18</v>
      </c>
      <c r="C1640" s="2117" t="n">
        <v>24</v>
      </c>
      <c r="D1640" s="2118" t="n">
        <v>2</v>
      </c>
      <c r="E1640" s="2118" t="n">
        <v>0</v>
      </c>
      <c r="G1640" s="1797" t="n"/>
      <c r="H1640" s="1777" t="inlineStr">
        <is>
          <t>SUBETAPA</t>
        </is>
      </c>
      <c r="I1640" s="1742" t="inlineStr">
        <is>
          <t>18.024.002</t>
        </is>
      </c>
      <c r="J1640" s="1779" t="inlineStr">
        <is>
          <t>Corrimão metálico</t>
        </is>
      </c>
      <c r="K1640" s="1780" t="n"/>
      <c r="L1640" s="1781" t="n"/>
      <c r="M1640" s="1781" t="n"/>
      <c r="N1640" s="1746" t="n"/>
      <c r="O1640" s="1782" t="n"/>
      <c r="P1640" s="1720" t="n"/>
    </row>
    <row r="1641" hidden="1" outlineLevel="3" ht="13.5" customHeight="1">
      <c r="A1641" s="2117" t="n">
        <v>0</v>
      </c>
      <c r="B1641" s="2117" t="n">
        <v>18</v>
      </c>
      <c r="C1641" s="2117" t="n">
        <v>24</v>
      </c>
      <c r="D1641" s="2118" t="n">
        <v>2</v>
      </c>
      <c r="E1641" s="2118" t="n">
        <v>1</v>
      </c>
      <c r="G1641" s="1798" t="inlineStr">
        <is>
          <t>ESQUADRIAS, VIDROS E FERRAGENS</t>
        </is>
      </c>
      <c r="H1641" s="1783" t="inlineStr">
        <is>
          <t>SERVIÇO</t>
        </is>
      </c>
      <c r="I1641" s="1750" t="inlineStr">
        <is>
          <t>18.024.002.001</t>
        </is>
      </c>
      <c r="J1641" s="1785" t="inlineStr">
        <is>
          <t>Corrimão Duplo Metálico - inox escovado 304 - fornecimento e instalação</t>
        </is>
      </c>
      <c r="K1641" s="1786" t="inlineStr">
        <is>
          <t>m</t>
        </is>
      </c>
      <c r="L1641" s="1787" t="e">
        <v>#REF!</v>
      </c>
      <c r="M1641" s="1787" t="n">
        <v>820</v>
      </c>
      <c r="N1641" s="1754" t="n"/>
      <c r="O1641" s="1788" t="inlineStr">
        <is>
          <t>Modelo do visus</t>
        </is>
      </c>
      <c r="P1641" s="1721" t="inlineStr">
        <is>
          <t>Pendente</t>
        </is>
      </c>
    </row>
    <row r="1642" hidden="1" outlineLevel="3" ht="13.5" customHeight="1">
      <c r="A1642" s="2117" t="n">
        <v>0</v>
      </c>
      <c r="B1642" s="2117" t="n">
        <v>18</v>
      </c>
      <c r="C1642" s="2117" t="n">
        <v>24</v>
      </c>
      <c r="D1642" s="2118" t="n">
        <v>2</v>
      </c>
      <c r="E1642" s="2118" t="n">
        <v>2</v>
      </c>
      <c r="G1642" s="1798" t="inlineStr">
        <is>
          <t>ESQUADRIAS, VIDROS E FERRAGENS</t>
        </is>
      </c>
      <c r="H1642" s="1783" t="inlineStr">
        <is>
          <t>SERVIÇO</t>
        </is>
      </c>
      <c r="I1642" s="1750" t="inlineStr">
        <is>
          <t>18.024.002.002</t>
        </is>
      </c>
      <c r="J1642" s="1785" t="inlineStr">
        <is>
          <t>Corrimão Parede Metálico - inox escovado 304 - fornecimento e instalação</t>
        </is>
      </c>
      <c r="K1642" s="1786" t="inlineStr">
        <is>
          <t>m</t>
        </is>
      </c>
      <c r="L1642" s="1787" t="e">
        <v>#REF!</v>
      </c>
      <c r="M1642" s="1787" t="n">
        <v>520</v>
      </c>
      <c r="N1642" s="1754" t="n"/>
      <c r="O1642" s="1788" t="inlineStr">
        <is>
          <t>Modelo do visus</t>
        </is>
      </c>
      <c r="P1642" s="1721" t="inlineStr">
        <is>
          <t>Pendente</t>
        </is>
      </c>
    </row>
    <row r="1643" hidden="1" outlineLevel="2" ht="13.5" customHeight="1">
      <c r="A1643" s="2117" t="n">
        <v>0</v>
      </c>
      <c r="B1643" s="2117" t="n">
        <v>18</v>
      </c>
      <c r="C1643" s="2117" t="n">
        <v>24</v>
      </c>
      <c r="D1643" s="2118" t="n">
        <v>3</v>
      </c>
      <c r="E1643" s="2118" t="n">
        <v>0</v>
      </c>
      <c r="G1643" s="1797" t="n"/>
      <c r="H1643" s="1777" t="inlineStr">
        <is>
          <t>SUBETAPA</t>
        </is>
      </c>
      <c r="I1643" s="1742" t="inlineStr">
        <is>
          <t>18.024.003</t>
        </is>
      </c>
      <c r="J1643" s="1779" t="inlineStr">
        <is>
          <t>Mão de obra</t>
        </is>
      </c>
      <c r="K1643" s="1780" t="n"/>
      <c r="L1643" s="1781" t="n"/>
      <c r="M1643" s="1781" t="n"/>
      <c r="N1643" s="1746" t="n">
        <v>600</v>
      </c>
      <c r="O1643" s="1782" t="n">
        <v>0.035821601261398</v>
      </c>
      <c r="P1643" s="1720" t="n"/>
    </row>
    <row r="1644" hidden="1" outlineLevel="3" ht="13.5" customHeight="1">
      <c r="A1644" s="2117" t="n">
        <v>0</v>
      </c>
      <c r="B1644" s="2117" t="n">
        <v>18</v>
      </c>
      <c r="C1644" s="2117" t="n">
        <v>24</v>
      </c>
      <c r="D1644" s="2118" t="n">
        <v>3</v>
      </c>
      <c r="E1644" s="2118" t="n">
        <v>1</v>
      </c>
      <c r="G1644" s="1798" t="inlineStr">
        <is>
          <t>ESQUADRIAS, VIDROS E FERRAGENS</t>
        </is>
      </c>
      <c r="H1644" s="1783" t="inlineStr">
        <is>
          <t>SERVIÇO</t>
        </is>
      </c>
      <c r="I1644" s="1750" t="inlineStr">
        <is>
          <t>18.024.003.001</t>
        </is>
      </c>
      <c r="J1644" s="1785" t="inlineStr">
        <is>
          <t>Mão de obra para instalação de portas corta-fogo</t>
        </is>
      </c>
      <c r="K1644" s="1786" t="inlineStr">
        <is>
          <t>un</t>
        </is>
      </c>
      <c r="L1644" s="1787" t="n">
        <v>2</v>
      </c>
      <c r="M1644" s="1787" t="n">
        <v>300</v>
      </c>
      <c r="N1644" s="1754" t="n">
        <v>600</v>
      </c>
      <c r="O1644" s="1788" t="inlineStr">
        <is>
          <t>Tabela de esquadrias enviada pela Gessele</t>
        </is>
      </c>
      <c r="P1644" s="1721" t="inlineStr">
        <is>
          <t>Pendente</t>
        </is>
      </c>
    </row>
    <row r="1645" hidden="1" outlineLevel="1" ht="13.5" customHeight="1">
      <c r="A1645" s="2117" t="n">
        <v>0</v>
      </c>
      <c r="B1645" s="2117" t="n">
        <v>18</v>
      </c>
      <c r="C1645" s="2117" t="n">
        <v>25</v>
      </c>
      <c r="D1645" s="2118" t="n">
        <v>0</v>
      </c>
      <c r="E1645" s="2118" t="n">
        <v>1</v>
      </c>
      <c r="G1645" s="1796" t="n"/>
      <c r="H1645" s="1771" t="inlineStr">
        <is>
          <t>ETAPA</t>
        </is>
      </c>
      <c r="I1645" s="1735" t="inlineStr">
        <is>
          <t>18.025</t>
        </is>
      </c>
      <c r="J1645" s="1773" t="inlineStr">
        <is>
          <t>PORTAS CORTA-FOGO - G2</t>
        </is>
      </c>
      <c r="K1645" s="1774" t="n"/>
      <c r="L1645" s="1775" t="n"/>
      <c r="M1645" s="1775" t="n"/>
      <c r="N1645" s="1739" t="n"/>
      <c r="O1645" s="1776" t="n"/>
      <c r="P1645" s="1719" t="n"/>
    </row>
    <row r="1646" hidden="1" outlineLevel="2" ht="13.5" customHeight="1">
      <c r="A1646" s="2117" t="n">
        <v>0</v>
      </c>
      <c r="B1646" s="2117" t="n">
        <v>18</v>
      </c>
      <c r="C1646" s="2117" t="n">
        <v>25</v>
      </c>
      <c r="D1646" s="2118" t="n">
        <v>1</v>
      </c>
      <c r="E1646" s="2118" t="n">
        <v>0</v>
      </c>
      <c r="G1646" s="1797" t="n"/>
      <c r="H1646" s="1777" t="inlineStr">
        <is>
          <t>SUBETAPA</t>
        </is>
      </c>
      <c r="I1646" s="1742" t="inlineStr">
        <is>
          <t>18.025.001</t>
        </is>
      </c>
      <c r="J1646" s="1779" t="inlineStr">
        <is>
          <t>Esquadrias metálicas</t>
        </is>
      </c>
      <c r="K1646" s="1780" t="n"/>
      <c r="L1646" s="1781" t="n"/>
      <c r="M1646" s="1781" t="n"/>
      <c r="N1646" s="1746" t="n">
        <v>4735.305</v>
      </c>
      <c r="O1646" s="1782" t="n"/>
      <c r="P1646" s="1720" t="n"/>
    </row>
    <row r="1647" hidden="1" outlineLevel="3" ht="13.5" customHeight="1">
      <c r="A1647" s="2117" t="n">
        <v>0</v>
      </c>
      <c r="B1647" s="2117" t="n">
        <v>18</v>
      </c>
      <c r="C1647" s="2117" t="n">
        <v>25</v>
      </c>
      <c r="D1647" s="2118" t="n">
        <v>1</v>
      </c>
      <c r="E1647" s="2118" t="n">
        <v>1</v>
      </c>
      <c r="G1647" s="1798" t="inlineStr">
        <is>
          <t>ESQUADRIAS, VIDROS E FERRAGENS</t>
        </is>
      </c>
      <c r="H1647" s="1783" t="inlineStr">
        <is>
          <t>SERVIÇO</t>
        </is>
      </c>
      <c r="I1647" s="1750" t="inlineStr">
        <is>
          <t>18.025.001.001</t>
        </is>
      </c>
      <c r="J1647" s="1785" t="inlineStr">
        <is>
          <t>Contramarco de aço galvanizado - Fixado com Argamassa</t>
        </is>
      </c>
      <c r="K1647" s="1786" t="inlineStr">
        <is>
          <t>m</t>
        </is>
      </c>
      <c r="L1647" s="1787" t="n">
        <v>15.3</v>
      </c>
      <c r="M1647" s="1787" t="n">
        <v>66.84999999999999</v>
      </c>
      <c r="N1647" s="1754" t="n">
        <v>1022.805</v>
      </c>
      <c r="O1647" s="1788" t="inlineStr">
        <is>
          <t>Tabela de esquadrias enviada pela Gessele</t>
        </is>
      </c>
      <c r="P1647" s="1721" t="inlineStr">
        <is>
          <t>Pendente</t>
        </is>
      </c>
    </row>
    <row r="1648" hidden="1" outlineLevel="3" ht="13.5" customHeight="1">
      <c r="A1648" s="2117" t="n">
        <v>0</v>
      </c>
      <c r="B1648" s="2117" t="n">
        <v>18</v>
      </c>
      <c r="C1648" s="2117" t="n">
        <v>25</v>
      </c>
      <c r="D1648" s="2118" t="n">
        <v>1</v>
      </c>
      <c r="E1648" s="2118" t="n">
        <v>2</v>
      </c>
      <c r="G1648" s="1798" t="inlineStr">
        <is>
          <t>ESQUADRIAS, VIDROS E FERRAGENS</t>
        </is>
      </c>
      <c r="H1648" s="1783" t="inlineStr">
        <is>
          <t>SERVIÇO</t>
        </is>
      </c>
      <c r="I1648" s="1750" t="inlineStr">
        <is>
          <t>18.025.001.002</t>
        </is>
      </c>
      <c r="J1648" s="1785" t="inlineStr">
        <is>
          <t>Porta corta-fogo, 1 folha, 90x210 cm</t>
        </is>
      </c>
      <c r="K1648" s="1786" t="inlineStr">
        <is>
          <t>un</t>
        </is>
      </c>
      <c r="L1648" s="1787" t="n">
        <v>3</v>
      </c>
      <c r="M1648" s="1787" t="n">
        <v>1237.5</v>
      </c>
      <c r="N1648" s="1754" t="n">
        <v>3712.5</v>
      </c>
      <c r="O1648" s="1788" t="inlineStr">
        <is>
          <t>Tabela de esquadrias enviada pela Gessele</t>
        </is>
      </c>
      <c r="P1648" s="1721" t="inlineStr">
        <is>
          <t>Pendente</t>
        </is>
      </c>
    </row>
    <row r="1649" hidden="1" outlineLevel="2" ht="13.5" customHeight="1">
      <c r="A1649" s="2117" t="n">
        <v>0</v>
      </c>
      <c r="B1649" s="2117" t="n">
        <v>18</v>
      </c>
      <c r="C1649" s="2117" t="n">
        <v>25</v>
      </c>
      <c r="D1649" s="2118" t="n">
        <v>2</v>
      </c>
      <c r="E1649" s="2118" t="n">
        <v>0</v>
      </c>
      <c r="G1649" s="1797" t="n"/>
      <c r="H1649" s="1777" t="inlineStr">
        <is>
          <t>SUBETAPA</t>
        </is>
      </c>
      <c r="I1649" s="1742" t="inlineStr">
        <is>
          <t>18.025.002</t>
        </is>
      </c>
      <c r="J1649" s="1779" t="inlineStr">
        <is>
          <t>Corrimão metálico</t>
        </is>
      </c>
      <c r="K1649" s="1780" t="n"/>
      <c r="L1649" s="1781" t="n"/>
      <c r="M1649" s="1781" t="n"/>
      <c r="N1649" s="1746" t="n"/>
      <c r="O1649" s="1782" t="n"/>
      <c r="P1649" s="1720" t="n"/>
    </row>
    <row r="1650" hidden="1" outlineLevel="3" ht="13.5" customHeight="1">
      <c r="A1650" s="2117" t="n">
        <v>0</v>
      </c>
      <c r="B1650" s="2117" t="n">
        <v>18</v>
      </c>
      <c r="C1650" s="2117" t="n">
        <v>25</v>
      </c>
      <c r="D1650" s="2118" t="n">
        <v>2</v>
      </c>
      <c r="E1650" s="2118" t="n">
        <v>1</v>
      </c>
      <c r="G1650" s="1798" t="inlineStr">
        <is>
          <t>ESQUADRIAS, VIDROS E FERRAGENS</t>
        </is>
      </c>
      <c r="H1650" s="1783" t="inlineStr">
        <is>
          <t>SERVIÇO</t>
        </is>
      </c>
      <c r="I1650" s="1750" t="inlineStr">
        <is>
          <t>18.025.002.001</t>
        </is>
      </c>
      <c r="J1650" s="1785" t="inlineStr">
        <is>
          <t>Corrimão Duplo Metálico - inox escovado 304 - fornecimento e instalação</t>
        </is>
      </c>
      <c r="K1650" s="1786" t="inlineStr">
        <is>
          <t>m</t>
        </is>
      </c>
      <c r="L1650" s="1787" t="e">
        <v>#REF!</v>
      </c>
      <c r="M1650" s="1787" t="n">
        <v>820</v>
      </c>
      <c r="N1650" s="1754" t="n"/>
      <c r="O1650" s="1788" t="inlineStr">
        <is>
          <t>Modelo do visus</t>
        </is>
      </c>
      <c r="P1650" s="1721" t="inlineStr">
        <is>
          <t>Pendente</t>
        </is>
      </c>
    </row>
    <row r="1651" hidden="1" outlineLevel="3" ht="13.5" customHeight="1">
      <c r="A1651" s="2117" t="n">
        <v>0</v>
      </c>
      <c r="B1651" s="2117" t="n">
        <v>18</v>
      </c>
      <c r="C1651" s="2117" t="n">
        <v>25</v>
      </c>
      <c r="D1651" s="2118" t="n">
        <v>2</v>
      </c>
      <c r="E1651" s="2118" t="n">
        <v>2</v>
      </c>
      <c r="G1651" s="1798" t="inlineStr">
        <is>
          <t>ESQUADRIAS, VIDROS E FERRAGENS</t>
        </is>
      </c>
      <c r="H1651" s="1783" t="inlineStr">
        <is>
          <t>SERVIÇO</t>
        </is>
      </c>
      <c r="I1651" s="1750" t="inlineStr">
        <is>
          <t>18.025.002.002</t>
        </is>
      </c>
      <c r="J1651" s="1785" t="inlineStr">
        <is>
          <t>Corrimão Parede Metálico - inox escovado 304 - fornecimento e instalação</t>
        </is>
      </c>
      <c r="K1651" s="1786" t="inlineStr">
        <is>
          <t>m</t>
        </is>
      </c>
      <c r="L1651" s="1787" t="e">
        <v>#REF!</v>
      </c>
      <c r="M1651" s="1787" t="n">
        <v>520</v>
      </c>
      <c r="N1651" s="1754" t="n"/>
      <c r="O1651" s="1788" t="inlineStr">
        <is>
          <t>Modelo do visus</t>
        </is>
      </c>
      <c r="P1651" s="1721" t="inlineStr">
        <is>
          <t>Pendente</t>
        </is>
      </c>
    </row>
    <row r="1652" hidden="1" outlineLevel="2" ht="13.5" customHeight="1">
      <c r="A1652" s="2117" t="n">
        <v>0</v>
      </c>
      <c r="B1652" s="2117" t="n">
        <v>18</v>
      </c>
      <c r="C1652" s="2117" t="n">
        <v>25</v>
      </c>
      <c r="D1652" s="2118" t="n">
        <v>3</v>
      </c>
      <c r="E1652" s="2118" t="n">
        <v>0</v>
      </c>
      <c r="G1652" s="1797" t="n"/>
      <c r="H1652" s="1777" t="inlineStr">
        <is>
          <t>SUBETAPA</t>
        </is>
      </c>
      <c r="I1652" s="1742" t="inlineStr">
        <is>
          <t>18.025.003</t>
        </is>
      </c>
      <c r="J1652" s="1779" t="inlineStr">
        <is>
          <t>Mão de obra</t>
        </is>
      </c>
      <c r="K1652" s="1780" t="n"/>
      <c r="L1652" s="1781" t="n"/>
      <c r="M1652" s="1781" t="n"/>
      <c r="N1652" s="1746" t="n">
        <v>900</v>
      </c>
      <c r="O1652" s="1782" t="n">
        <v>0.053732401892097</v>
      </c>
      <c r="P1652" s="1720" t="n"/>
    </row>
    <row r="1653" hidden="1" outlineLevel="3" ht="13.5" customHeight="1">
      <c r="A1653" s="2117" t="n">
        <v>0</v>
      </c>
      <c r="B1653" s="2117" t="n">
        <v>18</v>
      </c>
      <c r="C1653" s="2117" t="n">
        <v>25</v>
      </c>
      <c r="D1653" s="2118" t="n">
        <v>3</v>
      </c>
      <c r="E1653" s="2118" t="n">
        <v>1</v>
      </c>
      <c r="G1653" s="1798" t="inlineStr">
        <is>
          <t>ESQUADRIAS, VIDROS E FERRAGENS</t>
        </is>
      </c>
      <c r="H1653" s="1783" t="inlineStr">
        <is>
          <t>SERVIÇO</t>
        </is>
      </c>
      <c r="I1653" s="1750" t="inlineStr">
        <is>
          <t>18.025.003.001</t>
        </is>
      </c>
      <c r="J1653" s="1785" t="inlineStr">
        <is>
          <t>Mão de obra para instalação de portas corta-fogo</t>
        </is>
      </c>
      <c r="K1653" s="1786" t="inlineStr">
        <is>
          <t>un</t>
        </is>
      </c>
      <c r="L1653" s="1787" t="n">
        <v>3</v>
      </c>
      <c r="M1653" s="1787" t="n">
        <v>300</v>
      </c>
      <c r="N1653" s="1754" t="n">
        <v>900</v>
      </c>
      <c r="O1653" s="1788" t="inlineStr">
        <is>
          <t>Tabela de esquadrias enviada pela Gessele</t>
        </is>
      </c>
      <c r="P1653" s="1721" t="inlineStr">
        <is>
          <t>Pendente</t>
        </is>
      </c>
    </row>
    <row r="1654" hidden="1" outlineLevel="1" ht="13.5" customHeight="1">
      <c r="A1654" s="2117" t="n">
        <v>0</v>
      </c>
      <c r="B1654" s="2117" t="n">
        <v>18</v>
      </c>
      <c r="C1654" s="2117" t="n">
        <v>26</v>
      </c>
      <c r="D1654" s="2118" t="n">
        <v>0</v>
      </c>
      <c r="E1654" s="2118" t="n">
        <v>1</v>
      </c>
      <c r="G1654" s="1796" t="n"/>
      <c r="H1654" s="1771" t="inlineStr">
        <is>
          <t>ETAPA</t>
        </is>
      </c>
      <c r="I1654" s="1735" t="inlineStr">
        <is>
          <t>18.026</t>
        </is>
      </c>
      <c r="J1654" s="1773" t="inlineStr">
        <is>
          <t>PORTAS CORTA-FOGO - Mezanino G2</t>
        </is>
      </c>
      <c r="K1654" s="1774" t="n"/>
      <c r="L1654" s="1775" t="n"/>
      <c r="M1654" s="1775" t="n"/>
      <c r="N1654" s="1739" t="n"/>
      <c r="O1654" s="1776" t="n"/>
      <c r="P1654" s="1719" t="n"/>
    </row>
    <row r="1655" hidden="1" outlineLevel="2" ht="13.5" customHeight="1">
      <c r="A1655" s="2117" t="n">
        <v>0</v>
      </c>
      <c r="B1655" s="2117" t="n">
        <v>18</v>
      </c>
      <c r="C1655" s="2117" t="n">
        <v>26</v>
      </c>
      <c r="D1655" s="2118" t="n">
        <v>1</v>
      </c>
      <c r="E1655" s="2118" t="n">
        <v>0</v>
      </c>
      <c r="G1655" s="1797" t="n"/>
      <c r="H1655" s="1777" t="inlineStr">
        <is>
          <t>SUBETAPA</t>
        </is>
      </c>
      <c r="I1655" s="1742" t="inlineStr">
        <is>
          <t>18.026.001</t>
        </is>
      </c>
      <c r="J1655" s="1779" t="inlineStr">
        <is>
          <t>Esquadrias metálicas</t>
        </is>
      </c>
      <c r="K1655" s="1780" t="n"/>
      <c r="L1655" s="1781" t="n"/>
      <c r="M1655" s="1781" t="n"/>
      <c r="N1655" s="1746" t="n">
        <v>4735.305</v>
      </c>
      <c r="O1655" s="1782" t="n"/>
      <c r="P1655" s="1720" t="n"/>
    </row>
    <row r="1656" hidden="1" outlineLevel="3" ht="13.5" customHeight="1">
      <c r="A1656" s="2117" t="n">
        <v>0</v>
      </c>
      <c r="B1656" s="2117" t="n">
        <v>18</v>
      </c>
      <c r="C1656" s="2117" t="n">
        <v>26</v>
      </c>
      <c r="D1656" s="2118" t="n">
        <v>1</v>
      </c>
      <c r="E1656" s="2118" t="n">
        <v>1</v>
      </c>
      <c r="G1656" s="1798" t="inlineStr">
        <is>
          <t>ESQUADRIAS, VIDROS E FERRAGENS</t>
        </is>
      </c>
      <c r="H1656" s="1783" t="inlineStr">
        <is>
          <t>SERVIÇO</t>
        </is>
      </c>
      <c r="I1656" s="1750" t="inlineStr">
        <is>
          <t>18.026.001.001</t>
        </is>
      </c>
      <c r="J1656" s="1785" t="inlineStr">
        <is>
          <t>Contramarco de aço galvanizado - Fixado com Argamassa</t>
        </is>
      </c>
      <c r="K1656" s="1786" t="inlineStr">
        <is>
          <t>m</t>
        </is>
      </c>
      <c r="L1656" s="1787" t="n">
        <v>15.3</v>
      </c>
      <c r="M1656" s="1787" t="n">
        <v>66.84999999999999</v>
      </c>
      <c r="N1656" s="1754" t="n">
        <v>1022.805</v>
      </c>
      <c r="O1656" s="1788" t="inlineStr">
        <is>
          <t>Tabela de esquadrias enviada pela Gessele</t>
        </is>
      </c>
      <c r="P1656" s="1721" t="inlineStr">
        <is>
          <t>Pendente</t>
        </is>
      </c>
    </row>
    <row r="1657" hidden="1" outlineLevel="3" ht="13.5" customHeight="1">
      <c r="A1657" s="2117" t="n">
        <v>0</v>
      </c>
      <c r="B1657" s="2117" t="n">
        <v>18</v>
      </c>
      <c r="C1657" s="2117" t="n">
        <v>26</v>
      </c>
      <c r="D1657" s="2118" t="n">
        <v>1</v>
      </c>
      <c r="E1657" s="2118" t="n">
        <v>2</v>
      </c>
      <c r="G1657" s="1798" t="inlineStr">
        <is>
          <t>ESQUADRIAS, VIDROS E FERRAGENS</t>
        </is>
      </c>
      <c r="H1657" s="1783" t="inlineStr">
        <is>
          <t>SERVIÇO</t>
        </is>
      </c>
      <c r="I1657" s="1750" t="inlineStr">
        <is>
          <t>18.026.001.002</t>
        </is>
      </c>
      <c r="J1657" s="1785" t="inlineStr">
        <is>
          <t>Porta corta-fogo, 1 folha, 90x210 cm</t>
        </is>
      </c>
      <c r="K1657" s="1786" t="inlineStr">
        <is>
          <t>un</t>
        </is>
      </c>
      <c r="L1657" s="1787" t="n">
        <v>3</v>
      </c>
      <c r="M1657" s="1787" t="n">
        <v>1237.5</v>
      </c>
      <c r="N1657" s="1754" t="n">
        <v>3712.5</v>
      </c>
      <c r="O1657" s="1788" t="inlineStr">
        <is>
          <t>Tabela de esquadrias enviada pela Gessele</t>
        </is>
      </c>
      <c r="P1657" s="1721" t="inlineStr">
        <is>
          <t>Pendente</t>
        </is>
      </c>
    </row>
    <row r="1658" hidden="1" outlineLevel="2" ht="13.5" customHeight="1">
      <c r="A1658" s="2117" t="n">
        <v>0</v>
      </c>
      <c r="B1658" s="2117" t="n">
        <v>18</v>
      </c>
      <c r="C1658" s="2117" t="n">
        <v>26</v>
      </c>
      <c r="D1658" s="2118" t="n">
        <v>2</v>
      </c>
      <c r="E1658" s="2118" t="n">
        <v>0</v>
      </c>
      <c r="G1658" s="1797" t="n"/>
      <c r="H1658" s="1777" t="inlineStr">
        <is>
          <t>SUBETAPA</t>
        </is>
      </c>
      <c r="I1658" s="1742" t="inlineStr">
        <is>
          <t>18.026.002</t>
        </is>
      </c>
      <c r="J1658" s="1779" t="inlineStr">
        <is>
          <t>Corrimão metálico</t>
        </is>
      </c>
      <c r="K1658" s="1780" t="n"/>
      <c r="L1658" s="1781" t="n"/>
      <c r="M1658" s="1781" t="n"/>
      <c r="N1658" s="1746" t="n"/>
      <c r="O1658" s="1782" t="n"/>
      <c r="P1658" s="1720" t="n"/>
    </row>
    <row r="1659" hidden="1" outlineLevel="3" ht="13.5" customHeight="1">
      <c r="A1659" s="2117" t="n">
        <v>0</v>
      </c>
      <c r="B1659" s="2117" t="n">
        <v>18</v>
      </c>
      <c r="C1659" s="2117" t="n">
        <v>26</v>
      </c>
      <c r="D1659" s="2118" t="n">
        <v>2</v>
      </c>
      <c r="E1659" s="2118" t="n">
        <v>1</v>
      </c>
      <c r="G1659" s="1798" t="inlineStr">
        <is>
          <t>ESQUADRIAS, VIDROS E FERRAGENS</t>
        </is>
      </c>
      <c r="H1659" s="1783" t="inlineStr">
        <is>
          <t>SERVIÇO</t>
        </is>
      </c>
      <c r="I1659" s="1750" t="inlineStr">
        <is>
          <t>18.026.002.001</t>
        </is>
      </c>
      <c r="J1659" s="1785" t="inlineStr">
        <is>
          <t>Corrimão Duplo Metálico - inox escovado 304 - fornecimento e instalação</t>
        </is>
      </c>
      <c r="K1659" s="1786" t="inlineStr">
        <is>
          <t>m</t>
        </is>
      </c>
      <c r="L1659" s="1787" t="e">
        <v>#REF!</v>
      </c>
      <c r="M1659" s="1787" t="n">
        <v>820</v>
      </c>
      <c r="N1659" s="1754" t="n"/>
      <c r="O1659" s="1788" t="inlineStr">
        <is>
          <t>Modelo do visus</t>
        </is>
      </c>
      <c r="P1659" s="1721" t="inlineStr">
        <is>
          <t>Pendente</t>
        </is>
      </c>
    </row>
    <row r="1660" hidden="1" outlineLevel="3" ht="13.5" customHeight="1">
      <c r="A1660" s="2117" t="n">
        <v>0</v>
      </c>
      <c r="B1660" s="2117" t="n">
        <v>18</v>
      </c>
      <c r="C1660" s="2117" t="n">
        <v>26</v>
      </c>
      <c r="D1660" s="2118" t="n">
        <v>2</v>
      </c>
      <c r="E1660" s="2118" t="n">
        <v>2</v>
      </c>
      <c r="G1660" s="1798" t="inlineStr">
        <is>
          <t>ESQUADRIAS, VIDROS E FERRAGENS</t>
        </is>
      </c>
      <c r="H1660" s="1783" t="inlineStr">
        <is>
          <t>SERVIÇO</t>
        </is>
      </c>
      <c r="I1660" s="1750" t="inlineStr">
        <is>
          <t>18.026.002.002</t>
        </is>
      </c>
      <c r="J1660" s="1785" t="inlineStr">
        <is>
          <t>Corrimão Parede Metálico - inox escovado 304 - fornecimento e instalação</t>
        </is>
      </c>
      <c r="K1660" s="1786" t="inlineStr">
        <is>
          <t>m</t>
        </is>
      </c>
      <c r="L1660" s="1787" t="e">
        <v>#REF!</v>
      </c>
      <c r="M1660" s="1787" t="n">
        <v>520</v>
      </c>
      <c r="N1660" s="1754" t="n"/>
      <c r="O1660" s="1788" t="inlineStr">
        <is>
          <t>Modelo do visus</t>
        </is>
      </c>
      <c r="P1660" s="1721" t="inlineStr">
        <is>
          <t>Pendente</t>
        </is>
      </c>
    </row>
    <row r="1661" hidden="1" outlineLevel="2" ht="13.5" customHeight="1">
      <c r="A1661" s="2117" t="n">
        <v>0</v>
      </c>
      <c r="B1661" s="2117" t="n">
        <v>18</v>
      </c>
      <c r="C1661" s="2117" t="n">
        <v>26</v>
      </c>
      <c r="D1661" s="2118" t="n">
        <v>3</v>
      </c>
      <c r="E1661" s="2118" t="n">
        <v>0</v>
      </c>
      <c r="G1661" s="1797" t="n"/>
      <c r="H1661" s="1777" t="inlineStr">
        <is>
          <t>SUBETAPA</t>
        </is>
      </c>
      <c r="I1661" s="1742" t="inlineStr">
        <is>
          <t>18.026.003</t>
        </is>
      </c>
      <c r="J1661" s="1779" t="inlineStr">
        <is>
          <t>Mão de obra</t>
        </is>
      </c>
      <c r="K1661" s="1780" t="n"/>
      <c r="L1661" s="1781" t="n"/>
      <c r="M1661" s="1781" t="n"/>
      <c r="N1661" s="1746" t="n">
        <v>900</v>
      </c>
      <c r="O1661" s="1782" t="n">
        <v>0.053732401892097</v>
      </c>
      <c r="P1661" s="1720" t="n"/>
    </row>
    <row r="1662" hidden="1" outlineLevel="3" ht="13.5" customHeight="1">
      <c r="A1662" s="2117" t="n">
        <v>0</v>
      </c>
      <c r="B1662" s="2117" t="n">
        <v>18</v>
      </c>
      <c r="C1662" s="2117" t="n">
        <v>26</v>
      </c>
      <c r="D1662" s="2118" t="n">
        <v>3</v>
      </c>
      <c r="E1662" s="2118" t="n">
        <v>1</v>
      </c>
      <c r="G1662" s="1798" t="inlineStr">
        <is>
          <t>ESQUADRIAS, VIDROS E FERRAGENS</t>
        </is>
      </c>
      <c r="H1662" s="1783" t="inlineStr">
        <is>
          <t>SERVIÇO</t>
        </is>
      </c>
      <c r="I1662" s="1750" t="inlineStr">
        <is>
          <t>18.026.003.001</t>
        </is>
      </c>
      <c r="J1662" s="1785" t="inlineStr">
        <is>
          <t>Mão de obra para instalação de portas corta-fogo</t>
        </is>
      </c>
      <c r="K1662" s="1786" t="inlineStr">
        <is>
          <t>un</t>
        </is>
      </c>
      <c r="L1662" s="1787" t="n">
        <v>3</v>
      </c>
      <c r="M1662" s="1787" t="n">
        <v>300</v>
      </c>
      <c r="N1662" s="1754" t="n">
        <v>900</v>
      </c>
      <c r="O1662" s="1788" t="inlineStr">
        <is>
          <t>Tabela de esquadrias enviada pela Gessele</t>
        </is>
      </c>
      <c r="P1662" s="1721" t="inlineStr">
        <is>
          <t>Pendente</t>
        </is>
      </c>
    </row>
    <row r="1663" hidden="1" outlineLevel="1" ht="13.5" customHeight="1">
      <c r="A1663" s="2117" t="n">
        <v>0</v>
      </c>
      <c r="B1663" s="2117" t="n">
        <v>18</v>
      </c>
      <c r="C1663" s="2117" t="n">
        <v>27</v>
      </c>
      <c r="D1663" s="2118" t="n">
        <v>0</v>
      </c>
      <c r="E1663" s="2118" t="n">
        <v>1</v>
      </c>
      <c r="G1663" s="1796" t="n"/>
      <c r="H1663" s="1771" t="inlineStr">
        <is>
          <t>ETAPA</t>
        </is>
      </c>
      <c r="I1663" s="1735" t="inlineStr">
        <is>
          <t>18.027</t>
        </is>
      </c>
      <c r="J1663" s="1773" t="inlineStr">
        <is>
          <t>PORTAS CORTA-FOGO - G3</t>
        </is>
      </c>
      <c r="K1663" s="1774" t="n"/>
      <c r="L1663" s="1775" t="n"/>
      <c r="M1663" s="1775" t="n"/>
      <c r="N1663" s="1739" t="n"/>
      <c r="O1663" s="1776" t="n"/>
      <c r="P1663" s="1719" t="n"/>
    </row>
    <row r="1664" hidden="1" outlineLevel="2" ht="13.5" customHeight="1">
      <c r="A1664" s="2117" t="n">
        <v>0</v>
      </c>
      <c r="B1664" s="2117" t="n">
        <v>18</v>
      </c>
      <c r="C1664" s="2117" t="n">
        <v>27</v>
      </c>
      <c r="D1664" s="2118" t="n">
        <v>1</v>
      </c>
      <c r="E1664" s="2118" t="n">
        <v>0</v>
      </c>
      <c r="G1664" s="1797" t="n"/>
      <c r="H1664" s="1777" t="inlineStr">
        <is>
          <t>SUBETAPA</t>
        </is>
      </c>
      <c r="I1664" s="1742" t="inlineStr">
        <is>
          <t>18.027.001</t>
        </is>
      </c>
      <c r="J1664" s="1779" t="inlineStr">
        <is>
          <t>Esquadrias metálicas</t>
        </is>
      </c>
      <c r="K1664" s="1780" t="n"/>
      <c r="L1664" s="1781" t="n"/>
      <c r="M1664" s="1781" t="n"/>
      <c r="N1664" s="1746" t="n">
        <v>6313.74</v>
      </c>
      <c r="O1664" s="1782" t="n"/>
      <c r="P1664" s="1720" t="n"/>
    </row>
    <row r="1665" hidden="1" outlineLevel="3" ht="13.5" customHeight="1">
      <c r="A1665" s="2117" t="n">
        <v>0</v>
      </c>
      <c r="B1665" s="2117" t="n">
        <v>18</v>
      </c>
      <c r="C1665" s="2117" t="n">
        <v>27</v>
      </c>
      <c r="D1665" s="2118" t="n">
        <v>1</v>
      </c>
      <c r="E1665" s="2118" t="n">
        <v>1</v>
      </c>
      <c r="G1665" s="1798" t="inlineStr">
        <is>
          <t>ESQUADRIAS, VIDROS E FERRAGENS</t>
        </is>
      </c>
      <c r="H1665" s="1783" t="inlineStr">
        <is>
          <t>SERVIÇO</t>
        </is>
      </c>
      <c r="I1665" s="1750" t="inlineStr">
        <is>
          <t>18.027.001.001</t>
        </is>
      </c>
      <c r="J1665" s="1785" t="inlineStr">
        <is>
          <t>Contramarco de aço galvanizado - Fixado com Argamassa</t>
        </is>
      </c>
      <c r="K1665" s="1786" t="inlineStr">
        <is>
          <t>m</t>
        </is>
      </c>
      <c r="L1665" s="1787" t="n">
        <v>20.4</v>
      </c>
      <c r="M1665" s="1787" t="n">
        <v>66.84999999999999</v>
      </c>
      <c r="N1665" s="1754" t="n">
        <v>1363.74</v>
      </c>
      <c r="O1665" s="1788" t="inlineStr">
        <is>
          <t>Tabela de esquadrias enviada pela Gessele</t>
        </is>
      </c>
      <c r="P1665" s="1721" t="inlineStr">
        <is>
          <t>Pendente</t>
        </is>
      </c>
    </row>
    <row r="1666" hidden="1" outlineLevel="3" ht="13.5" customHeight="1">
      <c r="A1666" s="2117" t="n">
        <v>0</v>
      </c>
      <c r="B1666" s="2117" t="n">
        <v>18</v>
      </c>
      <c r="C1666" s="2117" t="n">
        <v>27</v>
      </c>
      <c r="D1666" s="2118" t="n">
        <v>1</v>
      </c>
      <c r="E1666" s="2118" t="n">
        <v>2</v>
      </c>
      <c r="G1666" s="1798" t="inlineStr">
        <is>
          <t>ESQUADRIAS, VIDROS E FERRAGENS</t>
        </is>
      </c>
      <c r="H1666" s="1783" t="inlineStr">
        <is>
          <t>SERVIÇO</t>
        </is>
      </c>
      <c r="I1666" s="1750" t="inlineStr">
        <is>
          <t>18.027.001.002</t>
        </is>
      </c>
      <c r="J1666" s="1785" t="inlineStr">
        <is>
          <t>Porta corta-fogo, 1 folha, 90x210 cm</t>
        </is>
      </c>
      <c r="K1666" s="1786" t="inlineStr">
        <is>
          <t>un</t>
        </is>
      </c>
      <c r="L1666" s="1787" t="n">
        <v>4</v>
      </c>
      <c r="M1666" s="1787" t="n">
        <v>1237.5</v>
      </c>
      <c r="N1666" s="1754" t="n">
        <v>4950</v>
      </c>
      <c r="O1666" s="1788" t="inlineStr">
        <is>
          <t>Tabela de esquadrias enviada pela Gessele</t>
        </is>
      </c>
      <c r="P1666" s="1721" t="inlineStr">
        <is>
          <t>Pendente</t>
        </is>
      </c>
    </row>
    <row r="1667" hidden="1" outlineLevel="2" ht="13.5" customHeight="1">
      <c r="A1667" s="2117" t="n">
        <v>0</v>
      </c>
      <c r="B1667" s="2117" t="n">
        <v>18</v>
      </c>
      <c r="C1667" s="2117" t="n">
        <v>27</v>
      </c>
      <c r="D1667" s="2118" t="n">
        <v>2</v>
      </c>
      <c r="E1667" s="2118" t="n">
        <v>0</v>
      </c>
      <c r="G1667" s="1797" t="n"/>
      <c r="H1667" s="1777" t="inlineStr">
        <is>
          <t>SUBETAPA</t>
        </is>
      </c>
      <c r="I1667" s="1742" t="inlineStr">
        <is>
          <t>18.027.002</t>
        </is>
      </c>
      <c r="J1667" s="1779" t="inlineStr">
        <is>
          <t>Corrimão metálico</t>
        </is>
      </c>
      <c r="K1667" s="1780" t="n"/>
      <c r="L1667" s="1781" t="n"/>
      <c r="M1667" s="1781" t="n"/>
      <c r="N1667" s="1746" t="n"/>
      <c r="O1667" s="1782" t="n"/>
      <c r="P1667" s="1720" t="n"/>
    </row>
    <row r="1668" hidden="1" outlineLevel="3" ht="13.5" customHeight="1">
      <c r="A1668" s="2117" t="n">
        <v>0</v>
      </c>
      <c r="B1668" s="2117" t="n">
        <v>18</v>
      </c>
      <c r="C1668" s="2117" t="n">
        <v>27</v>
      </c>
      <c r="D1668" s="2118" t="n">
        <v>2</v>
      </c>
      <c r="E1668" s="2118" t="n">
        <v>1</v>
      </c>
      <c r="G1668" s="1798" t="inlineStr">
        <is>
          <t>ESQUADRIAS, VIDROS E FERRAGENS</t>
        </is>
      </c>
      <c r="H1668" s="1783" t="inlineStr">
        <is>
          <t>SERVIÇO</t>
        </is>
      </c>
      <c r="I1668" s="1750" t="inlineStr">
        <is>
          <t>18.027.002.001</t>
        </is>
      </c>
      <c r="J1668" s="1785" t="inlineStr">
        <is>
          <t>Corrimão Duplo Metálico - inox escovado 304 - fornecimento e instalação</t>
        </is>
      </c>
      <c r="K1668" s="1786" t="inlineStr">
        <is>
          <t>m</t>
        </is>
      </c>
      <c r="L1668" s="1787" t="e">
        <v>#REF!</v>
      </c>
      <c r="M1668" s="1787" t="n">
        <v>820</v>
      </c>
      <c r="N1668" s="1754" t="n"/>
      <c r="O1668" s="1788" t="inlineStr">
        <is>
          <t>Modelo do visus</t>
        </is>
      </c>
      <c r="P1668" s="1721" t="inlineStr">
        <is>
          <t>Pendente</t>
        </is>
      </c>
    </row>
    <row r="1669" hidden="1" outlineLevel="3" ht="13.5" customHeight="1">
      <c r="A1669" s="2117" t="n">
        <v>0</v>
      </c>
      <c r="B1669" s="2117" t="n">
        <v>18</v>
      </c>
      <c r="C1669" s="2117" t="n">
        <v>27</v>
      </c>
      <c r="D1669" s="2118" t="n">
        <v>2</v>
      </c>
      <c r="E1669" s="2118" t="n">
        <v>2</v>
      </c>
      <c r="G1669" s="1798" t="inlineStr">
        <is>
          <t>ESQUADRIAS, VIDROS E FERRAGENS</t>
        </is>
      </c>
      <c r="H1669" s="1783" t="inlineStr">
        <is>
          <t>SERVIÇO</t>
        </is>
      </c>
      <c r="I1669" s="1750" t="inlineStr">
        <is>
          <t>18.027.002.002</t>
        </is>
      </c>
      <c r="J1669" s="1785" t="inlineStr">
        <is>
          <t>Corrimão Parede Metálico - inox escovado 304 - fornecimento e instalação</t>
        </is>
      </c>
      <c r="K1669" s="1786" t="inlineStr">
        <is>
          <t>m</t>
        </is>
      </c>
      <c r="L1669" s="1787" t="e">
        <v>#REF!</v>
      </c>
      <c r="M1669" s="1787" t="n">
        <v>520</v>
      </c>
      <c r="N1669" s="1754" t="n"/>
      <c r="O1669" s="1788" t="inlineStr">
        <is>
          <t>Modelo do visus</t>
        </is>
      </c>
      <c r="P1669" s="1721" t="inlineStr">
        <is>
          <t>Pendente</t>
        </is>
      </c>
    </row>
    <row r="1670" hidden="1" outlineLevel="2" ht="13.5" customHeight="1">
      <c r="A1670" s="2117" t="n">
        <v>0</v>
      </c>
      <c r="B1670" s="2117" t="n">
        <v>18</v>
      </c>
      <c r="C1670" s="2117" t="n">
        <v>27</v>
      </c>
      <c r="D1670" s="2118" t="n">
        <v>3</v>
      </c>
      <c r="E1670" s="2118" t="n">
        <v>0</v>
      </c>
      <c r="G1670" s="1797" t="n"/>
      <c r="H1670" s="1777" t="inlineStr">
        <is>
          <t>SUBETAPA</t>
        </is>
      </c>
      <c r="I1670" s="1742" t="inlineStr">
        <is>
          <t>18.027.003</t>
        </is>
      </c>
      <c r="J1670" s="1779" t="inlineStr">
        <is>
          <t>Mão de obra</t>
        </is>
      </c>
      <c r="K1670" s="1780" t="n"/>
      <c r="L1670" s="1781" t="n"/>
      <c r="M1670" s="1781" t="n"/>
      <c r="N1670" s="1746" t="n">
        <v>1200</v>
      </c>
      <c r="O1670" s="1782" t="n">
        <v>0.071643202522796</v>
      </c>
      <c r="P1670" s="1720" t="n"/>
    </row>
    <row r="1671" hidden="1" outlineLevel="3" ht="13.5" customHeight="1">
      <c r="A1671" s="2117" t="n">
        <v>0</v>
      </c>
      <c r="B1671" s="2117" t="n">
        <v>18</v>
      </c>
      <c r="C1671" s="2117" t="n">
        <v>27</v>
      </c>
      <c r="D1671" s="2118" t="n">
        <v>3</v>
      </c>
      <c r="E1671" s="2118" t="n">
        <v>1</v>
      </c>
      <c r="G1671" s="1798" t="inlineStr">
        <is>
          <t>ESQUADRIAS, VIDROS E FERRAGENS</t>
        </is>
      </c>
      <c r="H1671" s="1783" t="inlineStr">
        <is>
          <t>SERVIÇO</t>
        </is>
      </c>
      <c r="I1671" s="1750" t="inlineStr">
        <is>
          <t>18.027.003.001</t>
        </is>
      </c>
      <c r="J1671" s="1785" t="inlineStr">
        <is>
          <t>Mão de obra para instalação de portas corta-fogo</t>
        </is>
      </c>
      <c r="K1671" s="1786" t="inlineStr">
        <is>
          <t>un</t>
        </is>
      </c>
      <c r="L1671" s="1787" t="n">
        <v>4</v>
      </c>
      <c r="M1671" s="1787" t="n">
        <v>300</v>
      </c>
      <c r="N1671" s="1754" t="n">
        <v>1200</v>
      </c>
      <c r="O1671" s="1788" t="inlineStr">
        <is>
          <t>Tabela de esquadrias enviada pela Gessele</t>
        </is>
      </c>
      <c r="P1671" s="1721" t="inlineStr">
        <is>
          <t>Pendente</t>
        </is>
      </c>
    </row>
    <row r="1672" hidden="1" outlineLevel="1" ht="13.5" customHeight="1">
      <c r="A1672" s="2117" t="n">
        <v>0</v>
      </c>
      <c r="B1672" s="2117" t="n">
        <v>18</v>
      </c>
      <c r="C1672" s="2117" t="n">
        <v>28</v>
      </c>
      <c r="D1672" s="2118" t="n">
        <v>0</v>
      </c>
      <c r="E1672" s="2118" t="n">
        <v>1</v>
      </c>
      <c r="G1672" s="1796" t="n"/>
      <c r="H1672" s="1771" t="inlineStr">
        <is>
          <t>ETAPA</t>
        </is>
      </c>
      <c r="I1672" s="1735" t="inlineStr">
        <is>
          <t>18.028</t>
        </is>
      </c>
      <c r="J1672" s="1773" t="inlineStr">
        <is>
          <t>PORTAS CORTA-FOGO - Mezanino G3</t>
        </is>
      </c>
      <c r="K1672" s="1774" t="n"/>
      <c r="L1672" s="1775" t="n"/>
      <c r="M1672" s="1775" t="n"/>
      <c r="N1672" s="1739" t="n"/>
      <c r="O1672" s="1776" t="n"/>
      <c r="P1672" s="1719" t="n"/>
    </row>
    <row r="1673" hidden="1" outlineLevel="2" ht="13.5" customHeight="1">
      <c r="A1673" s="2117" t="n">
        <v>0</v>
      </c>
      <c r="B1673" s="2117" t="n">
        <v>18</v>
      </c>
      <c r="C1673" s="2117" t="n">
        <v>28</v>
      </c>
      <c r="D1673" s="2118" t="n">
        <v>1</v>
      </c>
      <c r="E1673" s="2118" t="n">
        <v>0</v>
      </c>
      <c r="G1673" s="1797" t="n"/>
      <c r="H1673" s="1777" t="inlineStr">
        <is>
          <t>SUBETAPA</t>
        </is>
      </c>
      <c r="I1673" s="1742" t="inlineStr">
        <is>
          <t>18.028.001</t>
        </is>
      </c>
      <c r="J1673" s="1779" t="inlineStr">
        <is>
          <t>Esquadrias metálicas</t>
        </is>
      </c>
      <c r="K1673" s="1780" t="n"/>
      <c r="L1673" s="1781" t="n"/>
      <c r="M1673" s="1781" t="n"/>
      <c r="N1673" s="1746" t="n">
        <v>6313.74</v>
      </c>
      <c r="O1673" s="1782" t="n"/>
      <c r="P1673" s="1720" t="n"/>
    </row>
    <row r="1674" hidden="1" outlineLevel="3" ht="13.5" customHeight="1">
      <c r="A1674" s="2117" t="n">
        <v>0</v>
      </c>
      <c r="B1674" s="2117" t="n">
        <v>18</v>
      </c>
      <c r="C1674" s="2117" t="n">
        <v>28</v>
      </c>
      <c r="D1674" s="2118" t="n">
        <v>1</v>
      </c>
      <c r="E1674" s="2118" t="n">
        <v>1</v>
      </c>
      <c r="G1674" s="1798" t="inlineStr">
        <is>
          <t>ESQUADRIAS, VIDROS E FERRAGENS</t>
        </is>
      </c>
      <c r="H1674" s="1783" t="inlineStr">
        <is>
          <t>SERVIÇO</t>
        </is>
      </c>
      <c r="I1674" s="1750" t="inlineStr">
        <is>
          <t>18.028.001.001</t>
        </is>
      </c>
      <c r="J1674" s="1785" t="inlineStr">
        <is>
          <t>Contramarco de aço galvanizado - Fixado com Argamassa</t>
        </is>
      </c>
      <c r="K1674" s="1786" t="inlineStr">
        <is>
          <t>m</t>
        </is>
      </c>
      <c r="L1674" s="1787" t="n">
        <v>20.4</v>
      </c>
      <c r="M1674" s="1787" t="n">
        <v>66.84999999999999</v>
      </c>
      <c r="N1674" s="1754" t="n">
        <v>1363.74</v>
      </c>
      <c r="O1674" s="1788" t="inlineStr">
        <is>
          <t>Tabela de esquadrias enviada pela Gessele</t>
        </is>
      </c>
      <c r="P1674" s="1721" t="inlineStr">
        <is>
          <t>Pendente</t>
        </is>
      </c>
    </row>
    <row r="1675" hidden="1" outlineLevel="3" ht="13.5" customHeight="1">
      <c r="A1675" s="2117" t="n">
        <v>0</v>
      </c>
      <c r="B1675" s="2117" t="n">
        <v>18</v>
      </c>
      <c r="C1675" s="2117" t="n">
        <v>28</v>
      </c>
      <c r="D1675" s="2118" t="n">
        <v>1</v>
      </c>
      <c r="E1675" s="2118" t="n">
        <v>2</v>
      </c>
      <c r="G1675" s="1798" t="inlineStr">
        <is>
          <t>ESQUADRIAS, VIDROS E FERRAGENS</t>
        </is>
      </c>
      <c r="H1675" s="1783" t="inlineStr">
        <is>
          <t>SERVIÇO</t>
        </is>
      </c>
      <c r="I1675" s="1750" t="inlineStr">
        <is>
          <t>18.028.001.002</t>
        </is>
      </c>
      <c r="J1675" s="1785" t="inlineStr">
        <is>
          <t>Porta corta-fogo, 1 folha, 90x210 cm</t>
        </is>
      </c>
      <c r="K1675" s="1786" t="inlineStr">
        <is>
          <t>un</t>
        </is>
      </c>
      <c r="L1675" s="1787" t="n">
        <v>4</v>
      </c>
      <c r="M1675" s="1787" t="n">
        <v>1237.5</v>
      </c>
      <c r="N1675" s="1754" t="n">
        <v>4950</v>
      </c>
      <c r="O1675" s="1788" t="inlineStr">
        <is>
          <t>Tabela de esquadrias enviada pela Gessele</t>
        </is>
      </c>
      <c r="P1675" s="1721" t="inlineStr">
        <is>
          <t>Pendente</t>
        </is>
      </c>
    </row>
    <row r="1676" hidden="1" outlineLevel="2" ht="13.5" customHeight="1">
      <c r="A1676" s="2117" t="n">
        <v>0</v>
      </c>
      <c r="B1676" s="2117" t="n">
        <v>18</v>
      </c>
      <c r="C1676" s="2117" t="n">
        <v>28</v>
      </c>
      <c r="D1676" s="2118" t="n">
        <v>2</v>
      </c>
      <c r="E1676" s="2118" t="n">
        <v>0</v>
      </c>
      <c r="G1676" s="1797" t="n"/>
      <c r="H1676" s="1777" t="inlineStr">
        <is>
          <t>SUBETAPA</t>
        </is>
      </c>
      <c r="I1676" s="1742" t="inlineStr">
        <is>
          <t>18.028.002</t>
        </is>
      </c>
      <c r="J1676" s="1779" t="inlineStr">
        <is>
          <t>Corrimão metálico</t>
        </is>
      </c>
      <c r="K1676" s="1780" t="n"/>
      <c r="L1676" s="1781" t="n"/>
      <c r="M1676" s="1781" t="n"/>
      <c r="N1676" s="1746" t="n"/>
      <c r="O1676" s="1782" t="n"/>
      <c r="P1676" s="1720" t="n"/>
    </row>
    <row r="1677" hidden="1" outlineLevel="3" ht="13.5" customHeight="1">
      <c r="A1677" s="2117" t="n">
        <v>0</v>
      </c>
      <c r="B1677" s="2117" t="n">
        <v>18</v>
      </c>
      <c r="C1677" s="2117" t="n">
        <v>28</v>
      </c>
      <c r="D1677" s="2118" t="n">
        <v>2</v>
      </c>
      <c r="E1677" s="2118" t="n">
        <v>1</v>
      </c>
      <c r="G1677" s="1798" t="inlineStr">
        <is>
          <t>ESQUADRIAS, VIDROS E FERRAGENS</t>
        </is>
      </c>
      <c r="H1677" s="1783" t="inlineStr">
        <is>
          <t>SERVIÇO</t>
        </is>
      </c>
      <c r="I1677" s="1750" t="inlineStr">
        <is>
          <t>18.028.002.001</t>
        </is>
      </c>
      <c r="J1677" s="1785" t="inlineStr">
        <is>
          <t>Corrimão Duplo Metálico - inox escovado 304 - fornecimento e instalação</t>
        </is>
      </c>
      <c r="K1677" s="1786" t="inlineStr">
        <is>
          <t>m</t>
        </is>
      </c>
      <c r="L1677" s="1787" t="e">
        <v>#REF!</v>
      </c>
      <c r="M1677" s="1787" t="n">
        <v>820</v>
      </c>
      <c r="N1677" s="1754" t="n"/>
      <c r="O1677" s="1788" t="inlineStr">
        <is>
          <t>Modelo do visus</t>
        </is>
      </c>
      <c r="P1677" s="1721" t="inlineStr">
        <is>
          <t>Pendente</t>
        </is>
      </c>
    </row>
    <row r="1678" hidden="1" outlineLevel="3" ht="13.5" customHeight="1">
      <c r="A1678" s="2117" t="n">
        <v>0</v>
      </c>
      <c r="B1678" s="2117" t="n">
        <v>18</v>
      </c>
      <c r="C1678" s="2117" t="n">
        <v>28</v>
      </c>
      <c r="D1678" s="2118" t="n">
        <v>2</v>
      </c>
      <c r="E1678" s="2118" t="n">
        <v>2</v>
      </c>
      <c r="G1678" s="1798" t="inlineStr">
        <is>
          <t>ESQUADRIAS, VIDROS E FERRAGENS</t>
        </is>
      </c>
      <c r="H1678" s="1783" t="inlineStr">
        <is>
          <t>SERVIÇO</t>
        </is>
      </c>
      <c r="I1678" s="1750" t="inlineStr">
        <is>
          <t>18.028.002.002</t>
        </is>
      </c>
      <c r="J1678" s="1785" t="inlineStr">
        <is>
          <t>Corrimão Parede Metálico - inox escovado 304 - fornecimento e instalação</t>
        </is>
      </c>
      <c r="K1678" s="1786" t="inlineStr">
        <is>
          <t>m</t>
        </is>
      </c>
      <c r="L1678" s="1787" t="e">
        <v>#REF!</v>
      </c>
      <c r="M1678" s="1787" t="n">
        <v>520</v>
      </c>
      <c r="N1678" s="1754" t="n"/>
      <c r="O1678" s="1788" t="inlineStr">
        <is>
          <t>Modelo do visus</t>
        </is>
      </c>
      <c r="P1678" s="1721" t="inlineStr">
        <is>
          <t>Pendente</t>
        </is>
      </c>
    </row>
    <row r="1679" hidden="1" outlineLevel="2" ht="13.5" customHeight="1">
      <c r="A1679" s="2117" t="n">
        <v>0</v>
      </c>
      <c r="B1679" s="2117" t="n">
        <v>18</v>
      </c>
      <c r="C1679" s="2117" t="n">
        <v>28</v>
      </c>
      <c r="D1679" s="2118" t="n">
        <v>3</v>
      </c>
      <c r="E1679" s="2118" t="n">
        <v>0</v>
      </c>
      <c r="G1679" s="1797" t="n"/>
      <c r="H1679" s="1777" t="inlineStr">
        <is>
          <t>SUBETAPA</t>
        </is>
      </c>
      <c r="I1679" s="1742" t="inlineStr">
        <is>
          <t>18.028.003</t>
        </is>
      </c>
      <c r="J1679" s="1779" t="inlineStr">
        <is>
          <t>Mão de obra</t>
        </is>
      </c>
      <c r="K1679" s="1780" t="n"/>
      <c r="L1679" s="1781" t="n"/>
      <c r="M1679" s="1781" t="n"/>
      <c r="N1679" s="1746" t="n">
        <v>1200</v>
      </c>
      <c r="O1679" s="1782" t="n">
        <v>0.071643202522796</v>
      </c>
      <c r="P1679" s="1720" t="n"/>
    </row>
    <row r="1680" hidden="1" outlineLevel="3" ht="13.5" customHeight="1">
      <c r="A1680" s="2117" t="n">
        <v>0</v>
      </c>
      <c r="B1680" s="2117" t="n">
        <v>18</v>
      </c>
      <c r="C1680" s="2117" t="n">
        <v>28</v>
      </c>
      <c r="D1680" s="2118" t="n">
        <v>3</v>
      </c>
      <c r="E1680" s="2118" t="n">
        <v>1</v>
      </c>
      <c r="G1680" s="1798" t="inlineStr">
        <is>
          <t>ESQUADRIAS, VIDROS E FERRAGENS</t>
        </is>
      </c>
      <c r="H1680" s="1783" t="inlineStr">
        <is>
          <t>SERVIÇO</t>
        </is>
      </c>
      <c r="I1680" s="1750" t="inlineStr">
        <is>
          <t>18.028.003.001</t>
        </is>
      </c>
      <c r="J1680" s="1785" t="inlineStr">
        <is>
          <t>Mão de obra para instalação de portas corta-fogo</t>
        </is>
      </c>
      <c r="K1680" s="1786" t="inlineStr">
        <is>
          <t>un</t>
        </is>
      </c>
      <c r="L1680" s="1787" t="n">
        <v>4</v>
      </c>
      <c r="M1680" s="1787" t="n">
        <v>300</v>
      </c>
      <c r="N1680" s="1754" t="n">
        <v>1200</v>
      </c>
      <c r="O1680" s="1788" t="inlineStr">
        <is>
          <t>Tabela de esquadrias enviada pela Gessele</t>
        </is>
      </c>
      <c r="P1680" s="1721" t="inlineStr">
        <is>
          <t>Pendente</t>
        </is>
      </c>
    </row>
    <row r="1681" hidden="1" outlineLevel="1" ht="13.5" customHeight="1">
      <c r="A1681" s="2117" t="n">
        <v>0</v>
      </c>
      <c r="B1681" s="2117" t="n">
        <v>18</v>
      </c>
      <c r="C1681" s="2117" t="n">
        <v>29</v>
      </c>
      <c r="D1681" s="2118" t="n">
        <v>0</v>
      </c>
      <c r="E1681" s="2118" t="n">
        <v>1</v>
      </c>
      <c r="G1681" s="1796" t="n"/>
      <c r="H1681" s="1771" t="inlineStr">
        <is>
          <t>ETAPA</t>
        </is>
      </c>
      <c r="I1681" s="1735" t="inlineStr">
        <is>
          <t>18.029</t>
        </is>
      </c>
      <c r="J1681" s="1773" t="inlineStr">
        <is>
          <t>PORTAS CORTA-FOGO - Lazer | Garagem</t>
        </is>
      </c>
      <c r="K1681" s="1774" t="n"/>
      <c r="L1681" s="1775" t="n"/>
      <c r="M1681" s="1775" t="n"/>
      <c r="N1681" s="1739" t="n"/>
      <c r="O1681" s="1776" t="n"/>
      <c r="P1681" s="1719" t="n"/>
    </row>
    <row r="1682" hidden="1" outlineLevel="2" ht="13.5" customHeight="1">
      <c r="A1682" s="2117" t="n">
        <v>0</v>
      </c>
      <c r="B1682" s="2117" t="n">
        <v>18</v>
      </c>
      <c r="C1682" s="2117" t="n">
        <v>29</v>
      </c>
      <c r="D1682" s="2118" t="n">
        <v>1</v>
      </c>
      <c r="E1682" s="2118" t="n">
        <v>0</v>
      </c>
      <c r="G1682" s="1797" t="n"/>
      <c r="H1682" s="1777" t="inlineStr">
        <is>
          <t>SUBETAPA</t>
        </is>
      </c>
      <c r="I1682" s="1742" t="inlineStr">
        <is>
          <t>18.029.001</t>
        </is>
      </c>
      <c r="J1682" s="1779" t="inlineStr">
        <is>
          <t>Esquadrias metálicas</t>
        </is>
      </c>
      <c r="K1682" s="1780" t="n"/>
      <c r="L1682" s="1781" t="n"/>
      <c r="M1682" s="1781" t="n"/>
      <c r="N1682" s="1746" t="n">
        <v>4735.305</v>
      </c>
      <c r="O1682" s="1782" t="n"/>
      <c r="P1682" s="1720" t="n"/>
    </row>
    <row r="1683" hidden="1" outlineLevel="3" ht="13.5" customHeight="1">
      <c r="A1683" s="2117" t="n">
        <v>0</v>
      </c>
      <c r="B1683" s="2117" t="n">
        <v>18</v>
      </c>
      <c r="C1683" s="2117" t="n">
        <v>29</v>
      </c>
      <c r="D1683" s="2118" t="n">
        <v>1</v>
      </c>
      <c r="E1683" s="2118" t="n">
        <v>1</v>
      </c>
      <c r="G1683" s="1798" t="inlineStr">
        <is>
          <t>ESQUADRIAS, VIDROS E FERRAGENS</t>
        </is>
      </c>
      <c r="H1683" s="1783" t="inlineStr">
        <is>
          <t>SERVIÇO</t>
        </is>
      </c>
      <c r="I1683" s="1750" t="inlineStr">
        <is>
          <t>18.029.001.001</t>
        </is>
      </c>
      <c r="J1683" s="1785" t="inlineStr">
        <is>
          <t>Contramarco de aço galvanizado - Fixado com Argamassa</t>
        </is>
      </c>
      <c r="K1683" s="1786" t="inlineStr">
        <is>
          <t>m</t>
        </is>
      </c>
      <c r="L1683" s="1787" t="n">
        <v>15.3</v>
      </c>
      <c r="M1683" s="1787" t="n">
        <v>66.84999999999999</v>
      </c>
      <c r="N1683" s="1754" t="n">
        <v>1022.805</v>
      </c>
      <c r="O1683" s="1788" t="inlineStr">
        <is>
          <t>Tabela de esquadrias enviada pela Gessele</t>
        </is>
      </c>
      <c r="P1683" s="1721" t="inlineStr">
        <is>
          <t>Pendente</t>
        </is>
      </c>
    </row>
    <row r="1684" hidden="1" outlineLevel="3" ht="13.5" customHeight="1">
      <c r="A1684" s="2117" t="n">
        <v>0</v>
      </c>
      <c r="B1684" s="2117" t="n">
        <v>18</v>
      </c>
      <c r="C1684" s="2117" t="n">
        <v>29</v>
      </c>
      <c r="D1684" s="2118" t="n">
        <v>1</v>
      </c>
      <c r="E1684" s="2118" t="n">
        <v>2</v>
      </c>
      <c r="G1684" s="1798" t="inlineStr">
        <is>
          <t>ESQUADRIAS, VIDROS E FERRAGENS</t>
        </is>
      </c>
      <c r="H1684" s="1783" t="inlineStr">
        <is>
          <t>SERVIÇO</t>
        </is>
      </c>
      <c r="I1684" s="1750" t="inlineStr">
        <is>
          <t>18.029.001.002</t>
        </is>
      </c>
      <c r="J1684" s="1785" t="inlineStr">
        <is>
          <t>Porta corta-fogo, 1 folha, 90x210 cm</t>
        </is>
      </c>
      <c r="K1684" s="1786" t="inlineStr">
        <is>
          <t>un</t>
        </is>
      </c>
      <c r="L1684" s="1787" t="n">
        <v>3</v>
      </c>
      <c r="M1684" s="1787" t="n">
        <v>1237.5</v>
      </c>
      <c r="N1684" s="1754" t="n">
        <v>3712.5</v>
      </c>
      <c r="O1684" s="1788" t="inlineStr">
        <is>
          <t>Tabela de esquadrias enviada pela Gessele</t>
        </is>
      </c>
      <c r="P1684" s="1721" t="inlineStr">
        <is>
          <t>Pendente</t>
        </is>
      </c>
    </row>
    <row r="1685" hidden="1" outlineLevel="2" ht="13.5" customHeight="1">
      <c r="A1685" s="2117" t="n">
        <v>0</v>
      </c>
      <c r="B1685" s="2117" t="n">
        <v>18</v>
      </c>
      <c r="C1685" s="2117" t="n">
        <v>29</v>
      </c>
      <c r="D1685" s="2118" t="n">
        <v>2</v>
      </c>
      <c r="E1685" s="2118" t="n">
        <v>0</v>
      </c>
      <c r="G1685" s="1797" t="n"/>
      <c r="H1685" s="1777" t="inlineStr">
        <is>
          <t>SUBETAPA</t>
        </is>
      </c>
      <c r="I1685" s="1742" t="inlineStr">
        <is>
          <t>18.029.002</t>
        </is>
      </c>
      <c r="J1685" s="1779" t="inlineStr">
        <is>
          <t>Corrimão metálico</t>
        </is>
      </c>
      <c r="K1685" s="1780" t="n"/>
      <c r="L1685" s="1781" t="n"/>
      <c r="M1685" s="1781" t="n"/>
      <c r="N1685" s="1746" t="n"/>
      <c r="O1685" s="1782" t="n"/>
      <c r="P1685" s="1720" t="n"/>
    </row>
    <row r="1686" hidden="1" outlineLevel="3" ht="13.5" customHeight="1">
      <c r="A1686" s="2117" t="n">
        <v>0</v>
      </c>
      <c r="B1686" s="2117" t="n">
        <v>18</v>
      </c>
      <c r="C1686" s="2117" t="n">
        <v>29</v>
      </c>
      <c r="D1686" s="2118" t="n">
        <v>2</v>
      </c>
      <c r="E1686" s="2118" t="n">
        <v>1</v>
      </c>
      <c r="G1686" s="1798" t="inlineStr">
        <is>
          <t>ESQUADRIAS, VIDROS E FERRAGENS</t>
        </is>
      </c>
      <c r="H1686" s="1783" t="inlineStr">
        <is>
          <t>SERVIÇO</t>
        </is>
      </c>
      <c r="I1686" s="1750" t="inlineStr">
        <is>
          <t>18.029.002.001</t>
        </is>
      </c>
      <c r="J1686" s="1785" t="inlineStr">
        <is>
          <t>Corrimão Duplo Metálico - inox escovado 304 - fornecimento e instalação</t>
        </is>
      </c>
      <c r="K1686" s="1786" t="inlineStr">
        <is>
          <t>m</t>
        </is>
      </c>
      <c r="L1686" s="1787" t="e">
        <v>#REF!</v>
      </c>
      <c r="M1686" s="1787" t="n">
        <v>820</v>
      </c>
      <c r="N1686" s="1754" t="n"/>
      <c r="O1686" s="1788" t="inlineStr">
        <is>
          <t>Modelo do visus</t>
        </is>
      </c>
      <c r="P1686" s="1721" t="inlineStr">
        <is>
          <t>Pendente</t>
        </is>
      </c>
    </row>
    <row r="1687" hidden="1" outlineLevel="3" ht="13.5" customHeight="1">
      <c r="A1687" s="2117" t="n">
        <v>0</v>
      </c>
      <c r="B1687" s="2117" t="n">
        <v>18</v>
      </c>
      <c r="C1687" s="2117" t="n">
        <v>29</v>
      </c>
      <c r="D1687" s="2118" t="n">
        <v>2</v>
      </c>
      <c r="E1687" s="2118" t="n">
        <v>2</v>
      </c>
      <c r="G1687" s="1798" t="inlineStr">
        <is>
          <t>ESQUADRIAS, VIDROS E FERRAGENS</t>
        </is>
      </c>
      <c r="H1687" s="1783" t="inlineStr">
        <is>
          <t>SERVIÇO</t>
        </is>
      </c>
      <c r="I1687" s="1750" t="inlineStr">
        <is>
          <t>18.029.002.002</t>
        </is>
      </c>
      <c r="J1687" s="1785" t="inlineStr">
        <is>
          <t>Corrimão Parede Metálico - inox escovado 304 - fornecimento e instalação</t>
        </is>
      </c>
      <c r="K1687" s="1786" t="inlineStr">
        <is>
          <t>m</t>
        </is>
      </c>
      <c r="L1687" s="1787" t="e">
        <v>#REF!</v>
      </c>
      <c r="M1687" s="1787" t="n">
        <v>520</v>
      </c>
      <c r="N1687" s="1754" t="n"/>
      <c r="O1687" s="1788" t="inlineStr">
        <is>
          <t>Modelo do visus</t>
        </is>
      </c>
      <c r="P1687" s="1721" t="inlineStr">
        <is>
          <t>Pendente</t>
        </is>
      </c>
    </row>
    <row r="1688" hidden="1" outlineLevel="2" ht="12.75" customHeight="1">
      <c r="A1688" s="2117" t="n">
        <v>0</v>
      </c>
      <c r="B1688" s="2117" t="n">
        <v>18</v>
      </c>
      <c r="C1688" s="2117" t="n">
        <v>29</v>
      </c>
      <c r="D1688" s="2118" t="n">
        <v>3</v>
      </c>
      <c r="E1688" s="2118" t="n">
        <v>0</v>
      </c>
      <c r="G1688" s="1797" t="n"/>
      <c r="H1688" s="1777" t="inlineStr">
        <is>
          <t>SUBETAPA</t>
        </is>
      </c>
      <c r="I1688" s="1742" t="inlineStr">
        <is>
          <t>18.029.003</t>
        </is>
      </c>
      <c r="J1688" s="1779" t="inlineStr">
        <is>
          <t>Guarda Corpo metálico</t>
        </is>
      </c>
      <c r="K1688" s="1780" t="n"/>
      <c r="L1688" s="1781" t="n"/>
      <c r="M1688" s="1781" t="n"/>
      <c r="N1688" s="1746" t="n"/>
      <c r="O1688" s="1782" t="n"/>
      <c r="P1688" s="1720" t="n"/>
    </row>
    <row r="1689" hidden="1" outlineLevel="3" ht="12.75" customHeight="1">
      <c r="A1689" s="2117" t="n">
        <v>0</v>
      </c>
      <c r="B1689" s="2117" t="n">
        <v>18</v>
      </c>
      <c r="C1689" s="2117" t="n">
        <v>29</v>
      </c>
      <c r="D1689" s="2118" t="n">
        <v>3</v>
      </c>
      <c r="E1689" s="2118" t="n">
        <v>1</v>
      </c>
      <c r="G1689" s="1798" t="inlineStr">
        <is>
          <t>ESQUADRIAS, VIDROS E FERRAGENS</t>
        </is>
      </c>
      <c r="H1689" s="1783" t="inlineStr">
        <is>
          <t>SERVIÇO</t>
        </is>
      </c>
      <c r="I1689" s="1750" t="inlineStr">
        <is>
          <t>18.029.003.001</t>
        </is>
      </c>
      <c r="J1689" s="1785" t="inlineStr">
        <is>
          <t>Guarda Corpo metálico - inox 304 escovado - fornecimento e instalação</t>
        </is>
      </c>
      <c r="K1689" s="1786" t="inlineStr">
        <is>
          <t>m2</t>
        </is>
      </c>
      <c r="L1689" s="1787" t="e">
        <v>#REF!</v>
      </c>
      <c r="M1689" s="1787" t="n">
        <v>1240</v>
      </c>
      <c r="N1689" s="1754" t="n"/>
      <c r="O1689" s="1788" t="inlineStr">
        <is>
          <t>Modelo do visus</t>
        </is>
      </c>
      <c r="P1689" s="1721" t="inlineStr">
        <is>
          <t>Pendente</t>
        </is>
      </c>
    </row>
    <row r="1690" hidden="1" outlineLevel="2" ht="13.5" customHeight="1">
      <c r="A1690" s="2117" t="n">
        <v>0</v>
      </c>
      <c r="B1690" s="2117" t="n">
        <v>18</v>
      </c>
      <c r="C1690" s="2117" t="n">
        <v>29</v>
      </c>
      <c r="D1690" s="2118" t="n">
        <v>4</v>
      </c>
      <c r="E1690" s="2118" t="n">
        <v>0</v>
      </c>
      <c r="G1690" s="1797" t="n"/>
      <c r="H1690" s="1777" t="inlineStr">
        <is>
          <t>SUBETAPA</t>
        </is>
      </c>
      <c r="I1690" s="1742" t="inlineStr">
        <is>
          <t>18.029.004</t>
        </is>
      </c>
      <c r="J1690" s="1779" t="inlineStr">
        <is>
          <t>Mão de obra</t>
        </is>
      </c>
      <c r="K1690" s="1780" t="n"/>
      <c r="L1690" s="1781" t="n"/>
      <c r="M1690" s="1781" t="n"/>
      <c r="N1690" s="1746" t="n">
        <v>900</v>
      </c>
      <c r="O1690" s="1782" t="n">
        <v>0.053732401892097</v>
      </c>
      <c r="P1690" s="1720" t="n"/>
    </row>
    <row r="1691" hidden="1" outlineLevel="3" ht="13.5" customHeight="1">
      <c r="A1691" s="2117" t="n">
        <v>0</v>
      </c>
      <c r="B1691" s="2117" t="n">
        <v>18</v>
      </c>
      <c r="C1691" s="2117" t="n">
        <v>29</v>
      </c>
      <c r="D1691" s="2118" t="n">
        <v>4</v>
      </c>
      <c r="E1691" s="2118" t="n">
        <v>1</v>
      </c>
      <c r="G1691" s="1798" t="inlineStr">
        <is>
          <t>ESQUADRIAS, VIDROS E FERRAGENS</t>
        </is>
      </c>
      <c r="H1691" s="1783" t="inlineStr">
        <is>
          <t>SERVIÇO</t>
        </is>
      </c>
      <c r="I1691" s="1750" t="inlineStr">
        <is>
          <t>18.029.004.001</t>
        </is>
      </c>
      <c r="J1691" s="1785" t="inlineStr">
        <is>
          <t>Mão de obra para instalação de portas corta-fogo</t>
        </is>
      </c>
      <c r="K1691" s="1786" t="inlineStr">
        <is>
          <t>un</t>
        </is>
      </c>
      <c r="L1691" s="1787" t="n">
        <v>3</v>
      </c>
      <c r="M1691" s="1787" t="n">
        <v>300</v>
      </c>
      <c r="N1691" s="1754" t="n">
        <v>900</v>
      </c>
      <c r="O1691" s="1788" t="inlineStr">
        <is>
          <t>Tabela de esquadrias enviada pela Gessele</t>
        </is>
      </c>
      <c r="P1691" s="1721" t="inlineStr">
        <is>
          <t>Pendente</t>
        </is>
      </c>
    </row>
    <row r="1692" hidden="1" outlineLevel="1" ht="13.5" customHeight="1">
      <c r="A1692" s="2117" t="n">
        <v>0</v>
      </c>
      <c r="B1692" s="2117" t="n">
        <v>18</v>
      </c>
      <c r="C1692" s="2117" t="n">
        <v>30</v>
      </c>
      <c r="D1692" s="2118" t="n">
        <v>0</v>
      </c>
      <c r="E1692" s="2118" t="n">
        <v>1</v>
      </c>
      <c r="G1692" s="1796" t="n"/>
      <c r="H1692" s="1771" t="inlineStr">
        <is>
          <t>ETAPA</t>
        </is>
      </c>
      <c r="I1692" s="1735" t="inlineStr">
        <is>
          <t>18.030</t>
        </is>
      </c>
      <c r="J1692" s="1773" t="inlineStr">
        <is>
          <t>PORTAS CORTA-FOGO - Lazer</t>
        </is>
      </c>
      <c r="K1692" s="1774" t="n"/>
      <c r="L1692" s="1775" t="n"/>
      <c r="M1692" s="1775" t="n"/>
      <c r="N1692" s="1739" t="n"/>
      <c r="O1692" s="1776" t="n"/>
      <c r="P1692" s="1719" t="n"/>
    </row>
    <row r="1693" hidden="1" outlineLevel="2" ht="13.5" customHeight="1">
      <c r="A1693" s="2117" t="n">
        <v>0</v>
      </c>
      <c r="B1693" s="2117" t="n">
        <v>18</v>
      </c>
      <c r="C1693" s="2117" t="n">
        <v>30</v>
      </c>
      <c r="D1693" s="2118" t="n">
        <v>1</v>
      </c>
      <c r="E1693" s="2118" t="n">
        <v>0</v>
      </c>
      <c r="G1693" s="1797" t="n"/>
      <c r="H1693" s="1777" t="inlineStr">
        <is>
          <t>SUBETAPA</t>
        </is>
      </c>
      <c r="I1693" s="1742" t="inlineStr">
        <is>
          <t>18.030.001</t>
        </is>
      </c>
      <c r="J1693" s="1779" t="inlineStr">
        <is>
          <t>Esquadrias metálicas</t>
        </is>
      </c>
      <c r="K1693" s="1780" t="n"/>
      <c r="L1693" s="1781" t="n"/>
      <c r="M1693" s="1781" t="n"/>
      <c r="N1693" s="1746" t="n">
        <v>3156.87</v>
      </c>
      <c r="O1693" s="1782" t="n"/>
      <c r="P1693" s="1720" t="n"/>
    </row>
    <row r="1694" hidden="1" outlineLevel="3" ht="13.5" customHeight="1">
      <c r="A1694" s="2117" t="n">
        <v>0</v>
      </c>
      <c r="B1694" s="2117" t="n">
        <v>18</v>
      </c>
      <c r="C1694" s="2117" t="n">
        <v>30</v>
      </c>
      <c r="D1694" s="2118" t="n">
        <v>1</v>
      </c>
      <c r="E1694" s="2118" t="n">
        <v>1</v>
      </c>
      <c r="G1694" s="1798" t="inlineStr">
        <is>
          <t>ESQUADRIAS, VIDROS E FERRAGENS</t>
        </is>
      </c>
      <c r="H1694" s="1783" t="inlineStr">
        <is>
          <t>SERVIÇO</t>
        </is>
      </c>
      <c r="I1694" s="1750" t="inlineStr">
        <is>
          <t>18.030.001.001</t>
        </is>
      </c>
      <c r="J1694" s="1785" t="inlineStr">
        <is>
          <t>Contramarco de aço galvanizado - Fixado com Argamassa</t>
        </is>
      </c>
      <c r="K1694" s="1786" t="inlineStr">
        <is>
          <t>m</t>
        </is>
      </c>
      <c r="L1694" s="1787" t="n">
        <v>10.2</v>
      </c>
      <c r="M1694" s="1787" t="n">
        <v>66.84999999999999</v>
      </c>
      <c r="N1694" s="1754" t="n">
        <v>681.87</v>
      </c>
      <c r="O1694" s="1788" t="inlineStr">
        <is>
          <t>Tabela de esquadrias enviada pela Gessele</t>
        </is>
      </c>
      <c r="P1694" s="1721" t="inlineStr">
        <is>
          <t>Pendente</t>
        </is>
      </c>
    </row>
    <row r="1695" hidden="1" outlineLevel="3" ht="13.5" customHeight="1">
      <c r="A1695" s="2117" t="n">
        <v>0</v>
      </c>
      <c r="B1695" s="2117" t="n">
        <v>18</v>
      </c>
      <c r="C1695" s="2117" t="n">
        <v>30</v>
      </c>
      <c r="D1695" s="2118" t="n">
        <v>1</v>
      </c>
      <c r="E1695" s="2118" t="n">
        <v>2</v>
      </c>
      <c r="G1695" s="1798" t="inlineStr">
        <is>
          <t>ESQUADRIAS, VIDROS E FERRAGENS</t>
        </is>
      </c>
      <c r="H1695" s="1783" t="inlineStr">
        <is>
          <t>SERVIÇO</t>
        </is>
      </c>
      <c r="I1695" s="1750" t="inlineStr">
        <is>
          <t>18.030.001.002</t>
        </is>
      </c>
      <c r="J1695" s="1785" t="inlineStr">
        <is>
          <t>Porta corta-fogo, 1 folha, 90x210 cm</t>
        </is>
      </c>
      <c r="K1695" s="1786" t="inlineStr">
        <is>
          <t>un</t>
        </is>
      </c>
      <c r="L1695" s="1787" t="n">
        <v>2</v>
      </c>
      <c r="M1695" s="1787" t="n">
        <v>1237.5</v>
      </c>
      <c r="N1695" s="1754" t="n">
        <v>2475</v>
      </c>
      <c r="O1695" s="1788" t="inlineStr">
        <is>
          <t>Tabela de esquadrias enviada pela Gessele</t>
        </is>
      </c>
      <c r="P1695" s="1721" t="inlineStr">
        <is>
          <t>Pendente</t>
        </is>
      </c>
    </row>
    <row r="1696" hidden="1" outlineLevel="2" ht="13.5" customHeight="1">
      <c r="A1696" s="2117" t="n">
        <v>0</v>
      </c>
      <c r="B1696" s="2117" t="n">
        <v>18</v>
      </c>
      <c r="C1696" s="2117" t="n">
        <v>30</v>
      </c>
      <c r="D1696" s="2118" t="n">
        <v>2</v>
      </c>
      <c r="E1696" s="2118" t="n">
        <v>0</v>
      </c>
      <c r="G1696" s="1797" t="n"/>
      <c r="H1696" s="1777" t="inlineStr">
        <is>
          <t>SUBETAPA</t>
        </is>
      </c>
      <c r="I1696" s="1742" t="inlineStr">
        <is>
          <t>18.030.002</t>
        </is>
      </c>
      <c r="J1696" s="1779" t="inlineStr">
        <is>
          <t>Corrimão metálico</t>
        </is>
      </c>
      <c r="K1696" s="1780" t="n"/>
      <c r="L1696" s="1781" t="n"/>
      <c r="M1696" s="1781" t="n"/>
      <c r="N1696" s="1746" t="n"/>
      <c r="O1696" s="1782" t="n"/>
      <c r="P1696" s="1720" t="n"/>
    </row>
    <row r="1697" hidden="1" outlineLevel="3" ht="13.5" customHeight="1">
      <c r="A1697" s="2117" t="n">
        <v>0</v>
      </c>
      <c r="B1697" s="2117" t="n">
        <v>18</v>
      </c>
      <c r="C1697" s="2117" t="n">
        <v>30</v>
      </c>
      <c r="D1697" s="2118" t="n">
        <v>2</v>
      </c>
      <c r="E1697" s="2118" t="n">
        <v>1</v>
      </c>
      <c r="G1697" s="1798" t="inlineStr">
        <is>
          <t>ESQUADRIAS, VIDROS E FERRAGENS</t>
        </is>
      </c>
      <c r="H1697" s="1783" t="inlineStr">
        <is>
          <t>SERVIÇO</t>
        </is>
      </c>
      <c r="I1697" s="1750" t="inlineStr">
        <is>
          <t>18.030.002.001</t>
        </is>
      </c>
      <c r="J1697" s="1785" t="inlineStr">
        <is>
          <t>Corrimão Duplo Metálico - inox escovado 304 - fornecimento e instalação</t>
        </is>
      </c>
      <c r="K1697" s="1786" t="inlineStr">
        <is>
          <t>m</t>
        </is>
      </c>
      <c r="L1697" s="1787" t="e">
        <v>#REF!</v>
      </c>
      <c r="M1697" s="1787" t="n">
        <v>820</v>
      </c>
      <c r="N1697" s="1754" t="n"/>
      <c r="O1697" s="1788" t="inlineStr">
        <is>
          <t>Modelo do visus</t>
        </is>
      </c>
      <c r="P1697" s="1721" t="inlineStr">
        <is>
          <t>Pendente</t>
        </is>
      </c>
    </row>
    <row r="1698" hidden="1" outlineLevel="3" ht="13.5" customHeight="1">
      <c r="A1698" s="2117" t="n">
        <v>0</v>
      </c>
      <c r="B1698" s="2117" t="n">
        <v>18</v>
      </c>
      <c r="C1698" s="2117" t="n">
        <v>30</v>
      </c>
      <c r="D1698" s="2118" t="n">
        <v>2</v>
      </c>
      <c r="E1698" s="2118" t="n">
        <v>2</v>
      </c>
      <c r="G1698" s="1798" t="inlineStr">
        <is>
          <t>ESQUADRIAS, VIDROS E FERRAGENS</t>
        </is>
      </c>
      <c r="H1698" s="1783" t="inlineStr">
        <is>
          <t>SERVIÇO</t>
        </is>
      </c>
      <c r="I1698" s="1750" t="inlineStr">
        <is>
          <t>18.030.002.002</t>
        </is>
      </c>
      <c r="J1698" s="1785" t="inlineStr">
        <is>
          <t>Corrimão Parede Metálico - inox escovado 304 - fornecimento e instalação</t>
        </is>
      </c>
      <c r="K1698" s="1786" t="inlineStr">
        <is>
          <t>m</t>
        </is>
      </c>
      <c r="L1698" s="1787" t="e">
        <v>#REF!</v>
      </c>
      <c r="M1698" s="1787" t="n">
        <v>520</v>
      </c>
      <c r="N1698" s="1754" t="n"/>
      <c r="O1698" s="1788" t="inlineStr">
        <is>
          <t>Modelo do visus</t>
        </is>
      </c>
      <c r="P1698" s="1721" t="inlineStr">
        <is>
          <t>Pendente</t>
        </is>
      </c>
    </row>
    <row r="1699" hidden="1" outlineLevel="2" ht="12.75" customHeight="1">
      <c r="A1699" s="2117" t="n">
        <v>0</v>
      </c>
      <c r="B1699" s="2117" t="n">
        <v>18</v>
      </c>
      <c r="C1699" s="2117" t="n">
        <v>30</v>
      </c>
      <c r="D1699" s="2118" t="n">
        <v>3</v>
      </c>
      <c r="E1699" s="2118" t="n">
        <v>0</v>
      </c>
      <c r="G1699" s="1797" t="n"/>
      <c r="H1699" s="1777" t="inlineStr">
        <is>
          <t>SUBETAPA</t>
        </is>
      </c>
      <c r="I1699" s="1742" t="inlineStr">
        <is>
          <t>18.030.003</t>
        </is>
      </c>
      <c r="J1699" s="1779" t="inlineStr">
        <is>
          <t>Guarda Corpo metálico</t>
        </is>
      </c>
      <c r="K1699" s="1780" t="n"/>
      <c r="L1699" s="1781" t="n"/>
      <c r="M1699" s="1781" t="n"/>
      <c r="N1699" s="1746" t="n"/>
      <c r="O1699" s="1782" t="n"/>
      <c r="P1699" s="1720" t="n"/>
    </row>
    <row r="1700" hidden="1" outlineLevel="3" ht="12.75" customHeight="1">
      <c r="A1700" s="2117" t="n">
        <v>0</v>
      </c>
      <c r="B1700" s="2117" t="n">
        <v>18</v>
      </c>
      <c r="C1700" s="2117" t="n">
        <v>30</v>
      </c>
      <c r="D1700" s="2118" t="n">
        <v>3</v>
      </c>
      <c r="E1700" s="2118" t="n">
        <v>1</v>
      </c>
      <c r="G1700" s="1798" t="inlineStr">
        <is>
          <t>ESQUADRIAS, VIDROS E FERRAGENS</t>
        </is>
      </c>
      <c r="H1700" s="1783" t="inlineStr">
        <is>
          <t>SERVIÇO</t>
        </is>
      </c>
      <c r="I1700" s="1750" t="inlineStr">
        <is>
          <t>18.030.003.001</t>
        </is>
      </c>
      <c r="J1700" s="1785" t="inlineStr">
        <is>
          <t>Guarda Corpo metálico - inox 304 escovado - fornecimento e instalação</t>
        </is>
      </c>
      <c r="K1700" s="1786" t="inlineStr">
        <is>
          <t>m2</t>
        </is>
      </c>
      <c r="L1700" s="1787" t="e">
        <v>#REF!</v>
      </c>
      <c r="M1700" s="1787" t="n">
        <v>1240</v>
      </c>
      <c r="N1700" s="1754" t="n"/>
      <c r="O1700" s="1788" t="inlineStr">
        <is>
          <t>Modelo do visus</t>
        </is>
      </c>
      <c r="P1700" s="1721" t="inlineStr">
        <is>
          <t>Pendente</t>
        </is>
      </c>
    </row>
    <row r="1701" hidden="1" outlineLevel="2" ht="13.5" customHeight="1">
      <c r="A1701" s="2117" t="n">
        <v>0</v>
      </c>
      <c r="B1701" s="2117" t="n">
        <v>18</v>
      </c>
      <c r="C1701" s="2117" t="n">
        <v>30</v>
      </c>
      <c r="D1701" s="2118" t="n">
        <v>4</v>
      </c>
      <c r="E1701" s="2118" t="n">
        <v>0</v>
      </c>
      <c r="G1701" s="1797" t="n"/>
      <c r="H1701" s="1777" t="inlineStr">
        <is>
          <t>SUBETAPA</t>
        </is>
      </c>
      <c r="I1701" s="1742" t="inlineStr">
        <is>
          <t>18.030.004</t>
        </is>
      </c>
      <c r="J1701" s="1779" t="inlineStr">
        <is>
          <t>Mão de obra</t>
        </is>
      </c>
      <c r="K1701" s="1780" t="n"/>
      <c r="L1701" s="1781" t="n"/>
      <c r="M1701" s="1781" t="n"/>
      <c r="N1701" s="1746" t="n">
        <v>600</v>
      </c>
      <c r="O1701" s="1782" t="n">
        <v>0.035821601261398</v>
      </c>
      <c r="P1701" s="1720" t="n"/>
    </row>
    <row r="1702" hidden="1" outlineLevel="3" ht="13.5" customHeight="1">
      <c r="A1702" s="2117" t="n">
        <v>0</v>
      </c>
      <c r="B1702" s="2117" t="n">
        <v>18</v>
      </c>
      <c r="C1702" s="2117" t="n">
        <v>30</v>
      </c>
      <c r="D1702" s="2118" t="n">
        <v>4</v>
      </c>
      <c r="E1702" s="2118" t="n">
        <v>1</v>
      </c>
      <c r="G1702" s="1798" t="inlineStr">
        <is>
          <t>ESQUADRIAS, VIDROS E FERRAGENS</t>
        </is>
      </c>
      <c r="H1702" s="1783" t="inlineStr">
        <is>
          <t>SERVIÇO</t>
        </is>
      </c>
      <c r="I1702" s="1750" t="inlineStr">
        <is>
          <t>18.030.004.001</t>
        </is>
      </c>
      <c r="J1702" s="1785" t="inlineStr">
        <is>
          <t>Mão de obra para instalação de portas corta-fogo</t>
        </is>
      </c>
      <c r="K1702" s="1786" t="inlineStr">
        <is>
          <t>un</t>
        </is>
      </c>
      <c r="L1702" s="1787" t="n">
        <v>2</v>
      </c>
      <c r="M1702" s="1787" t="n">
        <v>300</v>
      </c>
      <c r="N1702" s="1754" t="n">
        <v>600</v>
      </c>
      <c r="O1702" s="1788" t="inlineStr">
        <is>
          <t>Tabela de esquadrias enviada pela Gessele</t>
        </is>
      </c>
      <c r="P1702" s="1721" t="inlineStr">
        <is>
          <t>Pendente</t>
        </is>
      </c>
    </row>
    <row r="1703" hidden="1" outlineLevel="1" ht="13.5" customHeight="1">
      <c r="A1703" s="2117" t="n">
        <v>0</v>
      </c>
      <c r="B1703" s="2117" t="n">
        <v>18</v>
      </c>
      <c r="C1703" s="2117" t="n">
        <v>31</v>
      </c>
      <c r="D1703" s="2118" t="n">
        <v>0</v>
      </c>
      <c r="E1703" s="2118" t="n">
        <v>1</v>
      </c>
      <c r="G1703" s="1796" t="n"/>
      <c r="H1703" s="1771" t="inlineStr">
        <is>
          <t>ETAPA</t>
        </is>
      </c>
      <c r="I1703" s="1735" t="inlineStr">
        <is>
          <t>18.031</t>
        </is>
      </c>
      <c r="J1703" s="1773" t="inlineStr">
        <is>
          <t>PORTAS CORTA-FOGO - Tipo diferenciado</t>
        </is>
      </c>
      <c r="K1703" s="1774" t="n"/>
      <c r="L1703" s="1775" t="n"/>
      <c r="M1703" s="1775" t="n"/>
      <c r="N1703" s="1739" t="n"/>
      <c r="O1703" s="1776" t="n"/>
      <c r="P1703" s="1719" t="n"/>
    </row>
    <row r="1704" hidden="1" outlineLevel="2" ht="13.5" customHeight="1">
      <c r="A1704" s="2117" t="n">
        <v>0</v>
      </c>
      <c r="B1704" s="2117" t="n">
        <v>18</v>
      </c>
      <c r="C1704" s="2117" t="n">
        <v>31</v>
      </c>
      <c r="D1704" s="2118" t="n">
        <v>1</v>
      </c>
      <c r="E1704" s="2118" t="n">
        <v>0</v>
      </c>
      <c r="G1704" s="1797" t="n"/>
      <c r="H1704" s="1777" t="inlineStr">
        <is>
          <t>SUBETAPA</t>
        </is>
      </c>
      <c r="I1704" s="1742" t="inlineStr">
        <is>
          <t>18.031.001</t>
        </is>
      </c>
      <c r="J1704" s="1779" t="inlineStr">
        <is>
          <t>Esquadrias metálicas</t>
        </is>
      </c>
      <c r="K1704" s="1780" t="n"/>
      <c r="L1704" s="1781" t="n"/>
      <c r="M1704" s="1781" t="n"/>
      <c r="N1704" s="1746" t="n">
        <v>2868.5</v>
      </c>
      <c r="O1704" s="1782" t="n"/>
      <c r="P1704" s="1720" t="n"/>
    </row>
    <row r="1705" hidden="1" outlineLevel="3" ht="13.5" customHeight="1">
      <c r="A1705" s="2117" t="n">
        <v>0</v>
      </c>
      <c r="B1705" s="2117" t="n">
        <v>18</v>
      </c>
      <c r="C1705" s="2117" t="n">
        <v>31</v>
      </c>
      <c r="D1705" s="2118" t="n">
        <v>1</v>
      </c>
      <c r="E1705" s="2118" t="n">
        <v>1</v>
      </c>
      <c r="G1705" s="1798" t="inlineStr">
        <is>
          <t>ESQUADRIAS, VIDROS E FERRAGENS</t>
        </is>
      </c>
      <c r="H1705" s="1783" t="inlineStr">
        <is>
          <t>SERVIÇO</t>
        </is>
      </c>
      <c r="I1705" s="1750" t="inlineStr">
        <is>
          <t>18.031.001.001</t>
        </is>
      </c>
      <c r="J1705" s="1785" t="inlineStr">
        <is>
          <t>Contramarco de aço galvanizado - Fixado com Argamassa</t>
        </is>
      </c>
      <c r="K1705" s="1786" t="inlineStr">
        <is>
          <t>m</t>
        </is>
      </c>
      <c r="L1705" s="1787" t="n">
        <v>10</v>
      </c>
      <c r="M1705" s="1787" t="n">
        <v>66.84999999999999</v>
      </c>
      <c r="N1705" s="1754" t="n">
        <v>668.5</v>
      </c>
      <c r="O1705" s="1788" t="inlineStr">
        <is>
          <t>Tabela de esquadrias enviada pela Gessele</t>
        </is>
      </c>
      <c r="P1705" s="1721" t="inlineStr">
        <is>
          <t>Pendente</t>
        </is>
      </c>
    </row>
    <row r="1706" hidden="1" outlineLevel="3" ht="13.5" customHeight="1">
      <c r="A1706" s="2117" t="n">
        <v>0</v>
      </c>
      <c r="B1706" s="2117" t="n">
        <v>18</v>
      </c>
      <c r="C1706" s="2117" t="n">
        <v>31</v>
      </c>
      <c r="D1706" s="2118" t="n">
        <v>1</v>
      </c>
      <c r="E1706" s="2118" t="n">
        <v>2</v>
      </c>
      <c r="G1706" s="1798" t="inlineStr">
        <is>
          <t>ESQUADRIAS, VIDROS E FERRAGENS</t>
        </is>
      </c>
      <c r="H1706" s="1783" t="inlineStr">
        <is>
          <t>SERVIÇO</t>
        </is>
      </c>
      <c r="I1706" s="1750" t="inlineStr">
        <is>
          <t>18.031.001.002</t>
        </is>
      </c>
      <c r="J1706" s="1785" t="inlineStr">
        <is>
          <t>Porta corta-fogo, 1 folha, 80x210 cm</t>
        </is>
      </c>
      <c r="K1706" s="1786" t="inlineStr">
        <is>
          <t>un</t>
        </is>
      </c>
      <c r="L1706" s="1787" t="n">
        <v>2</v>
      </c>
      <c r="M1706" s="1787" t="n">
        <v>1100</v>
      </c>
      <c r="N1706" s="1754" t="n">
        <v>2200</v>
      </c>
      <c r="O1706" s="1788" t="inlineStr">
        <is>
          <t>Tabela de esquadrias enviada pela Gessele</t>
        </is>
      </c>
      <c r="P1706" s="1721" t="inlineStr">
        <is>
          <t>Pendente</t>
        </is>
      </c>
    </row>
    <row r="1707" hidden="1" outlineLevel="2" ht="13.5" customHeight="1">
      <c r="A1707" s="2117" t="n">
        <v>0</v>
      </c>
      <c r="B1707" s="2117" t="n">
        <v>18</v>
      </c>
      <c r="C1707" s="2117" t="n">
        <v>31</v>
      </c>
      <c r="D1707" s="2118" t="n">
        <v>2</v>
      </c>
      <c r="E1707" s="2118" t="n">
        <v>0</v>
      </c>
      <c r="G1707" s="1797" t="n"/>
      <c r="H1707" s="1777" t="inlineStr">
        <is>
          <t>SUBETAPA</t>
        </is>
      </c>
      <c r="I1707" s="1742" t="inlineStr">
        <is>
          <t>18.031.002</t>
        </is>
      </c>
      <c r="J1707" s="1779" t="inlineStr">
        <is>
          <t>Corrimão metálico</t>
        </is>
      </c>
      <c r="K1707" s="1780" t="n"/>
      <c r="L1707" s="1781" t="n"/>
      <c r="M1707" s="1781" t="n"/>
      <c r="N1707" s="1746" t="n"/>
      <c r="O1707" s="1782" t="n"/>
      <c r="P1707" s="1720" t="n"/>
    </row>
    <row r="1708" hidden="1" outlineLevel="3" ht="13.5" customHeight="1">
      <c r="A1708" s="2117" t="n">
        <v>0</v>
      </c>
      <c r="B1708" s="2117" t="n">
        <v>18</v>
      </c>
      <c r="C1708" s="2117" t="n">
        <v>31</v>
      </c>
      <c r="D1708" s="2118" t="n">
        <v>2</v>
      </c>
      <c r="E1708" s="2118" t="n">
        <v>1</v>
      </c>
      <c r="G1708" s="1798" t="inlineStr">
        <is>
          <t>ESQUADRIAS, VIDROS E FERRAGENS</t>
        </is>
      </c>
      <c r="H1708" s="1783" t="inlineStr">
        <is>
          <t>SERVIÇO</t>
        </is>
      </c>
      <c r="I1708" s="1750" t="inlineStr">
        <is>
          <t>18.031.002.001</t>
        </is>
      </c>
      <c r="J1708" s="1785" t="inlineStr">
        <is>
          <t>Corrimão Duplo Metálico - inox escovado 304 - fornecimento e instalação</t>
        </is>
      </c>
      <c r="K1708" s="1786" t="inlineStr">
        <is>
          <t>m</t>
        </is>
      </c>
      <c r="L1708" s="1787" t="e">
        <v>#REF!</v>
      </c>
      <c r="M1708" s="1787" t="n">
        <v>820</v>
      </c>
      <c r="N1708" s="1754" t="n"/>
      <c r="O1708" s="1788" t="inlineStr">
        <is>
          <t>Modelo do visus</t>
        </is>
      </c>
      <c r="P1708" s="1721" t="inlineStr">
        <is>
          <t>Pendente</t>
        </is>
      </c>
    </row>
    <row r="1709" hidden="1" outlineLevel="3" ht="13.5" customHeight="1">
      <c r="A1709" s="2117" t="n">
        <v>0</v>
      </c>
      <c r="B1709" s="2117" t="n">
        <v>18</v>
      </c>
      <c r="C1709" s="2117" t="n">
        <v>31</v>
      </c>
      <c r="D1709" s="2118" t="n">
        <v>2</v>
      </c>
      <c r="E1709" s="2118" t="n">
        <v>2</v>
      </c>
      <c r="G1709" s="1798" t="inlineStr">
        <is>
          <t>ESQUADRIAS, VIDROS E FERRAGENS</t>
        </is>
      </c>
      <c r="H1709" s="1783" t="inlineStr">
        <is>
          <t>SERVIÇO</t>
        </is>
      </c>
      <c r="I1709" s="1750" t="inlineStr">
        <is>
          <t>18.031.002.002</t>
        </is>
      </c>
      <c r="J1709" s="1785" t="inlineStr">
        <is>
          <t>Corrimão Parede Metálico - inox escovado 304 - fornecimento e instalação</t>
        </is>
      </c>
      <c r="K1709" s="1786" t="inlineStr">
        <is>
          <t>m</t>
        </is>
      </c>
      <c r="L1709" s="1787" t="e">
        <v>#REF!</v>
      </c>
      <c r="M1709" s="1787" t="n">
        <v>520</v>
      </c>
      <c r="N1709" s="1754" t="n"/>
      <c r="O1709" s="1788" t="inlineStr">
        <is>
          <t>Modelo do visus</t>
        </is>
      </c>
      <c r="P1709" s="1721" t="inlineStr">
        <is>
          <t>Pendente</t>
        </is>
      </c>
    </row>
    <row r="1710" hidden="1" outlineLevel="2" ht="13.5" customHeight="1">
      <c r="A1710" s="2117" t="n">
        <v>0</v>
      </c>
      <c r="B1710" s="2117" t="n">
        <v>18</v>
      </c>
      <c r="C1710" s="2117" t="n">
        <v>31</v>
      </c>
      <c r="D1710" s="2118" t="n">
        <v>3</v>
      </c>
      <c r="E1710" s="2118" t="n">
        <v>0</v>
      </c>
      <c r="G1710" s="1797" t="n"/>
      <c r="H1710" s="1777" t="inlineStr">
        <is>
          <t>SUBETAPA</t>
        </is>
      </c>
      <c r="I1710" s="1742" t="inlineStr">
        <is>
          <t>18.031.003</t>
        </is>
      </c>
      <c r="J1710" s="1779" t="inlineStr">
        <is>
          <t>Mão de obra</t>
        </is>
      </c>
      <c r="K1710" s="1780" t="n"/>
      <c r="L1710" s="1781" t="n"/>
      <c r="M1710" s="1781" t="n"/>
      <c r="N1710" s="1746" t="n">
        <v>600</v>
      </c>
      <c r="O1710" s="1782" t="n">
        <v>0.035821601261398</v>
      </c>
      <c r="P1710" s="1720" t="n"/>
    </row>
    <row r="1711" hidden="1" outlineLevel="3" ht="13.5" customHeight="1">
      <c r="A1711" s="2117" t="n">
        <v>0</v>
      </c>
      <c r="B1711" s="2117" t="n">
        <v>18</v>
      </c>
      <c r="C1711" s="2117" t="n">
        <v>31</v>
      </c>
      <c r="D1711" s="2118" t="n">
        <v>3</v>
      </c>
      <c r="E1711" s="2118" t="n">
        <v>1</v>
      </c>
      <c r="G1711" s="1798" t="inlineStr">
        <is>
          <t>ESQUADRIAS, VIDROS E FERRAGENS</t>
        </is>
      </c>
      <c r="H1711" s="1783" t="inlineStr">
        <is>
          <t>SERVIÇO</t>
        </is>
      </c>
      <c r="I1711" s="1750" t="inlineStr">
        <is>
          <t>18.031.003.001</t>
        </is>
      </c>
      <c r="J1711" s="1785" t="inlineStr">
        <is>
          <t>Mão de obra para instalação de portas corta-fogo</t>
        </is>
      </c>
      <c r="K1711" s="1786" t="inlineStr">
        <is>
          <t>un</t>
        </is>
      </c>
      <c r="L1711" s="1787" t="n">
        <v>2</v>
      </c>
      <c r="M1711" s="1787" t="n">
        <v>300</v>
      </c>
      <c r="N1711" s="1754" t="n">
        <v>600</v>
      </c>
      <c r="O1711" s="1788" t="inlineStr">
        <is>
          <t>Tabela de esquadrias enviada pela Gessele</t>
        </is>
      </c>
      <c r="P1711" s="1721" t="inlineStr">
        <is>
          <t>Pendente</t>
        </is>
      </c>
    </row>
    <row r="1712" hidden="1" outlineLevel="1" ht="13.5" customHeight="1">
      <c r="A1712" s="2117" t="n">
        <v>0</v>
      </c>
      <c r="B1712" s="2117" t="n">
        <v>18</v>
      </c>
      <c r="C1712" s="2117" t="n">
        <v>32</v>
      </c>
      <c r="D1712" s="2118" t="n">
        <v>0</v>
      </c>
      <c r="E1712" s="2118" t="n">
        <v>1</v>
      </c>
      <c r="G1712" s="1796" t="n"/>
      <c r="H1712" s="1771" t="inlineStr">
        <is>
          <t>ETAPA</t>
        </is>
      </c>
      <c r="I1712" s="1735" t="inlineStr">
        <is>
          <t>18.032</t>
        </is>
      </c>
      <c r="J1712" s="1773" t="inlineStr">
        <is>
          <t>PORTAS CORTA-FOGO - Tipo x8</t>
        </is>
      </c>
      <c r="K1712" s="1774" t="n"/>
      <c r="L1712" s="1775" t="n"/>
      <c r="M1712" s="1775" t="n"/>
      <c r="N1712" s="1739" t="n"/>
      <c r="O1712" s="1776" t="n"/>
      <c r="P1712" s="1719" t="n"/>
    </row>
    <row r="1713" hidden="1" outlineLevel="2" ht="13.5" customHeight="1">
      <c r="A1713" s="2117" t="n">
        <v>0</v>
      </c>
      <c r="B1713" s="2117" t="n">
        <v>18</v>
      </c>
      <c r="C1713" s="2117" t="n">
        <v>32</v>
      </c>
      <c r="D1713" s="2118" t="n">
        <v>1</v>
      </c>
      <c r="E1713" s="2118" t="n">
        <v>0</v>
      </c>
      <c r="G1713" s="1797" t="n"/>
      <c r="H1713" s="1777" t="inlineStr">
        <is>
          <t>SUBETAPA</t>
        </is>
      </c>
      <c r="I1713" s="1742" t="inlineStr">
        <is>
          <t>18.032.001</t>
        </is>
      </c>
      <c r="J1713" s="1779" t="inlineStr">
        <is>
          <t>Esquadrias metálicas</t>
        </is>
      </c>
      <c r="K1713" s="1780" t="n"/>
      <c r="L1713" s="1781" t="n"/>
      <c r="M1713" s="1781" t="n"/>
      <c r="N1713" s="1746" t="n">
        <v>22948</v>
      </c>
      <c r="O1713" s="1782" t="n"/>
      <c r="P1713" s="1720" t="n"/>
    </row>
    <row r="1714" hidden="1" outlineLevel="3" ht="13.5" customHeight="1">
      <c r="A1714" s="2117" t="n">
        <v>0</v>
      </c>
      <c r="B1714" s="2117" t="n">
        <v>18</v>
      </c>
      <c r="C1714" s="2117" t="n">
        <v>32</v>
      </c>
      <c r="D1714" s="2118" t="n">
        <v>1</v>
      </c>
      <c r="E1714" s="2118" t="n">
        <v>1</v>
      </c>
      <c r="G1714" s="1798" t="inlineStr">
        <is>
          <t>ESQUADRIAS, VIDROS E FERRAGENS</t>
        </is>
      </c>
      <c r="H1714" s="1783" t="inlineStr">
        <is>
          <t>SERVIÇO</t>
        </is>
      </c>
      <c r="I1714" s="1750" t="inlineStr">
        <is>
          <t>18.032.001.001</t>
        </is>
      </c>
      <c r="J1714" s="1785" t="inlineStr">
        <is>
          <t>Contramarco de aço galvanizado - Fixado com Argamassa</t>
        </is>
      </c>
      <c r="K1714" s="1786" t="inlineStr">
        <is>
          <t>m</t>
        </is>
      </c>
      <c r="L1714" s="1787" t="n">
        <v>80</v>
      </c>
      <c r="M1714" s="1787" t="n">
        <v>66.84999999999999</v>
      </c>
      <c r="N1714" s="1754" t="n">
        <v>5348</v>
      </c>
      <c r="O1714" s="1788" t="inlineStr">
        <is>
          <t>Tabela de esquadrias enviada pela Gessele</t>
        </is>
      </c>
      <c r="P1714" s="1721" t="inlineStr">
        <is>
          <t>Pendente</t>
        </is>
      </c>
    </row>
    <row r="1715" hidden="1" outlineLevel="3" ht="13.5" customHeight="1">
      <c r="A1715" s="2117" t="n">
        <v>0</v>
      </c>
      <c r="B1715" s="2117" t="n">
        <v>18</v>
      </c>
      <c r="C1715" s="2117" t="n">
        <v>32</v>
      </c>
      <c r="D1715" s="2118" t="n">
        <v>1</v>
      </c>
      <c r="E1715" s="2118" t="n">
        <v>2</v>
      </c>
      <c r="G1715" s="1798" t="inlineStr">
        <is>
          <t>ESQUADRIAS, VIDROS E FERRAGENS</t>
        </is>
      </c>
      <c r="H1715" s="1783" t="inlineStr">
        <is>
          <t>SERVIÇO</t>
        </is>
      </c>
      <c r="I1715" s="1750" t="inlineStr">
        <is>
          <t>18.032.001.002</t>
        </is>
      </c>
      <c r="J1715" s="1785" t="inlineStr">
        <is>
          <t>Porta corta-fogo, 1 folha, 80x210 cm</t>
        </is>
      </c>
      <c r="K1715" s="1786" t="inlineStr">
        <is>
          <t>un</t>
        </is>
      </c>
      <c r="L1715" s="1787" t="n">
        <v>16</v>
      </c>
      <c r="M1715" s="1787" t="n">
        <v>1100</v>
      </c>
      <c r="N1715" s="1754" t="n">
        <v>17600</v>
      </c>
      <c r="O1715" s="1788" t="inlineStr">
        <is>
          <t>Tabela de esquadrias enviada pela Gessele</t>
        </is>
      </c>
      <c r="P1715" s="1721" t="inlineStr">
        <is>
          <t>Pendente</t>
        </is>
      </c>
    </row>
    <row r="1716" hidden="1" outlineLevel="2" ht="13.5" customHeight="1">
      <c r="A1716" s="2117" t="n">
        <v>0</v>
      </c>
      <c r="B1716" s="2117" t="n">
        <v>18</v>
      </c>
      <c r="C1716" s="2117" t="n">
        <v>32</v>
      </c>
      <c r="D1716" s="2118" t="n">
        <v>2</v>
      </c>
      <c r="E1716" s="2118" t="n">
        <v>0</v>
      </c>
      <c r="G1716" s="1797" t="n"/>
      <c r="H1716" s="1777" t="inlineStr">
        <is>
          <t>SUBETAPA</t>
        </is>
      </c>
      <c r="I1716" s="1742" t="inlineStr">
        <is>
          <t>18.032.002</t>
        </is>
      </c>
      <c r="J1716" s="1779" t="inlineStr">
        <is>
          <t>Corrimão metálico</t>
        </is>
      </c>
      <c r="K1716" s="1780" t="n"/>
      <c r="L1716" s="1781" t="n"/>
      <c r="M1716" s="1781" t="n"/>
      <c r="N1716" s="1746" t="n"/>
      <c r="O1716" s="1782" t="n"/>
      <c r="P1716" s="1720" t="n"/>
    </row>
    <row r="1717" hidden="1" outlineLevel="3" ht="13.5" customHeight="1">
      <c r="A1717" s="2117" t="n">
        <v>0</v>
      </c>
      <c r="B1717" s="2117" t="n">
        <v>18</v>
      </c>
      <c r="C1717" s="2117" t="n">
        <v>32</v>
      </c>
      <c r="D1717" s="2118" t="n">
        <v>2</v>
      </c>
      <c r="E1717" s="2118" t="n">
        <v>1</v>
      </c>
      <c r="G1717" s="1798" t="inlineStr">
        <is>
          <t>ESQUADRIAS, VIDROS E FERRAGENS</t>
        </is>
      </c>
      <c r="H1717" s="1783" t="inlineStr">
        <is>
          <t>SERVIÇO</t>
        </is>
      </c>
      <c r="I1717" s="1750" t="inlineStr">
        <is>
          <t>18.032.002.001</t>
        </is>
      </c>
      <c r="J1717" s="1785" t="inlineStr">
        <is>
          <t>Corrimão Duplo Metálico - inox escovado 304 - fornecimento e instalação</t>
        </is>
      </c>
      <c r="K1717" s="1786" t="inlineStr">
        <is>
          <t>m</t>
        </is>
      </c>
      <c r="L1717" s="1787" t="e">
        <v>#REF!</v>
      </c>
      <c r="M1717" s="1787" t="n">
        <v>820</v>
      </c>
      <c r="N1717" s="1754" t="n"/>
      <c r="O1717" s="1788" t="inlineStr">
        <is>
          <t>Modelo do visus</t>
        </is>
      </c>
      <c r="P1717" s="1721" t="inlineStr">
        <is>
          <t>Pendente</t>
        </is>
      </c>
    </row>
    <row r="1718" hidden="1" outlineLevel="3" ht="13.5" customHeight="1">
      <c r="A1718" s="2117" t="n">
        <v>0</v>
      </c>
      <c r="B1718" s="2117" t="n">
        <v>18</v>
      </c>
      <c r="C1718" s="2117" t="n">
        <v>32</v>
      </c>
      <c r="D1718" s="2118" t="n">
        <v>2</v>
      </c>
      <c r="E1718" s="2118" t="n">
        <v>2</v>
      </c>
      <c r="G1718" s="1798" t="inlineStr">
        <is>
          <t>ESQUADRIAS, VIDROS E FERRAGENS</t>
        </is>
      </c>
      <c r="H1718" s="1783" t="inlineStr">
        <is>
          <t>SERVIÇO</t>
        </is>
      </c>
      <c r="I1718" s="1750" t="inlineStr">
        <is>
          <t>18.032.002.002</t>
        </is>
      </c>
      <c r="J1718" s="1785" t="inlineStr">
        <is>
          <t>Corrimão Parede Metálico - inox escovado 304 - fornecimento e instalação</t>
        </is>
      </c>
      <c r="K1718" s="1786" t="inlineStr">
        <is>
          <t>m</t>
        </is>
      </c>
      <c r="L1718" s="1787" t="e">
        <v>#REF!</v>
      </c>
      <c r="M1718" s="1787" t="n">
        <v>520</v>
      </c>
      <c r="N1718" s="1754" t="n"/>
      <c r="O1718" s="1788" t="inlineStr">
        <is>
          <t>Modelo do visus</t>
        </is>
      </c>
      <c r="P1718" s="1721" t="inlineStr">
        <is>
          <t>Pendente</t>
        </is>
      </c>
    </row>
    <row r="1719" hidden="1" outlineLevel="2" ht="13.5" customHeight="1">
      <c r="A1719" s="2117" t="n">
        <v>0</v>
      </c>
      <c r="B1719" s="2117" t="n">
        <v>18</v>
      </c>
      <c r="C1719" s="2117" t="n">
        <v>32</v>
      </c>
      <c r="D1719" s="2118" t="n">
        <v>3</v>
      </c>
      <c r="E1719" s="2118" t="n">
        <v>0</v>
      </c>
      <c r="G1719" s="1797" t="n"/>
      <c r="H1719" s="1777" t="inlineStr">
        <is>
          <t>SUBETAPA</t>
        </is>
      </c>
      <c r="I1719" s="1742" t="inlineStr">
        <is>
          <t>18.032.003</t>
        </is>
      </c>
      <c r="J1719" s="1779" t="inlineStr">
        <is>
          <t>Mão de obra</t>
        </is>
      </c>
      <c r="K1719" s="1780" t="n"/>
      <c r="L1719" s="1781" t="n"/>
      <c r="M1719" s="1781" t="n"/>
      <c r="N1719" s="1746" t="n">
        <v>4800</v>
      </c>
      <c r="O1719" s="1782" t="n">
        <v>0.286572810091184</v>
      </c>
      <c r="P1719" s="1720" t="n"/>
    </row>
    <row r="1720" hidden="1" outlineLevel="3" ht="13.5" customHeight="1">
      <c r="A1720" s="2117" t="n">
        <v>0</v>
      </c>
      <c r="B1720" s="2117" t="n">
        <v>18</v>
      </c>
      <c r="C1720" s="2117" t="n">
        <v>32</v>
      </c>
      <c r="D1720" s="2118" t="n">
        <v>3</v>
      </c>
      <c r="E1720" s="2118" t="n">
        <v>1</v>
      </c>
      <c r="G1720" s="1798" t="inlineStr">
        <is>
          <t>ESQUADRIAS, VIDROS E FERRAGENS</t>
        </is>
      </c>
      <c r="H1720" s="1783" t="inlineStr">
        <is>
          <t>SERVIÇO</t>
        </is>
      </c>
      <c r="I1720" s="1750" t="inlineStr">
        <is>
          <t>18.032.003.001</t>
        </is>
      </c>
      <c r="J1720" s="1785" t="inlineStr">
        <is>
          <t>Mão de obra para instalação de portas corta-fogo</t>
        </is>
      </c>
      <c r="K1720" s="1786" t="inlineStr">
        <is>
          <t>un</t>
        </is>
      </c>
      <c r="L1720" s="1787" t="n">
        <v>16</v>
      </c>
      <c r="M1720" s="1787" t="n">
        <v>300</v>
      </c>
      <c r="N1720" s="1754" t="n">
        <v>4800</v>
      </c>
      <c r="O1720" s="1788" t="inlineStr">
        <is>
          <t>Tabela de esquadrias enviada pela Gessele</t>
        </is>
      </c>
      <c r="P1720" s="1721" t="inlineStr">
        <is>
          <t>Pendente</t>
        </is>
      </c>
    </row>
    <row r="1721" hidden="1" outlineLevel="1" ht="13.5" customHeight="1">
      <c r="A1721" s="2117" t="n">
        <v>0</v>
      </c>
      <c r="B1721" s="2117" t="n">
        <v>18</v>
      </c>
      <c r="C1721" s="2117" t="n">
        <v>33</v>
      </c>
      <c r="D1721" s="2118" t="n">
        <v>0</v>
      </c>
      <c r="E1721" s="2118" t="n">
        <v>1</v>
      </c>
      <c r="G1721" s="1796" t="n"/>
      <c r="H1721" s="1771" t="inlineStr">
        <is>
          <t>ETAPA</t>
        </is>
      </c>
      <c r="I1721" s="1735" t="inlineStr">
        <is>
          <t>18.033</t>
        </is>
      </c>
      <c r="J1721" s="1773" t="inlineStr">
        <is>
          <t>PORTAS CORTA-FOGO - Penthouse x22</t>
        </is>
      </c>
      <c r="K1721" s="1774" t="n"/>
      <c r="L1721" s="1775" t="n"/>
      <c r="M1721" s="1775" t="n"/>
      <c r="N1721" s="1739" t="n"/>
      <c r="O1721" s="1776" t="n"/>
      <c r="P1721" s="1719" t="n"/>
    </row>
    <row r="1722" hidden="1" outlineLevel="2" ht="13.5" customHeight="1">
      <c r="A1722" s="2117" t="n">
        <v>0</v>
      </c>
      <c r="B1722" s="2117" t="n">
        <v>18</v>
      </c>
      <c r="C1722" s="2117" t="n">
        <v>33</v>
      </c>
      <c r="D1722" s="2118" t="n">
        <v>1</v>
      </c>
      <c r="E1722" s="2118" t="n">
        <v>0</v>
      </c>
      <c r="G1722" s="1797" t="n"/>
      <c r="H1722" s="1777" t="inlineStr">
        <is>
          <t>SUBETAPA</t>
        </is>
      </c>
      <c r="I1722" s="1742" t="inlineStr">
        <is>
          <t>18.033.001</t>
        </is>
      </c>
      <c r="J1722" s="1779" t="inlineStr">
        <is>
          <t>Esquadrias metálicas</t>
        </is>
      </c>
      <c r="K1722" s="1780" t="n"/>
      <c r="L1722" s="1781" t="n"/>
      <c r="M1722" s="1781" t="n"/>
      <c r="N1722" s="1746" t="n">
        <v>63107</v>
      </c>
      <c r="O1722" s="1782" t="n"/>
      <c r="P1722" s="1720" t="n"/>
    </row>
    <row r="1723" hidden="1" outlineLevel="3" ht="13.5" customHeight="1">
      <c r="A1723" s="2117" t="n">
        <v>0</v>
      </c>
      <c r="B1723" s="2117" t="n">
        <v>18</v>
      </c>
      <c r="C1723" s="2117" t="n">
        <v>33</v>
      </c>
      <c r="D1723" s="2118" t="n">
        <v>1</v>
      </c>
      <c r="E1723" s="2118" t="n">
        <v>1</v>
      </c>
      <c r="G1723" s="1798" t="inlineStr">
        <is>
          <t>ESQUADRIAS, VIDROS E FERRAGENS</t>
        </is>
      </c>
      <c r="H1723" s="1783" t="inlineStr">
        <is>
          <t>SERVIÇO</t>
        </is>
      </c>
      <c r="I1723" s="1750" t="inlineStr">
        <is>
          <t>18.033.001.001</t>
        </is>
      </c>
      <c r="J1723" s="1785" t="inlineStr">
        <is>
          <t>Contramarco de aço galvanizado - Fixado com Argamassa</t>
        </is>
      </c>
      <c r="K1723" s="1786" t="inlineStr">
        <is>
          <t>m</t>
        </is>
      </c>
      <c r="L1723" s="1787" t="n">
        <v>220</v>
      </c>
      <c r="M1723" s="1787" t="n">
        <v>66.84999999999999</v>
      </c>
      <c r="N1723" s="1754" t="n">
        <v>14707</v>
      </c>
      <c r="O1723" s="1788" t="inlineStr">
        <is>
          <t>Tabela de esquadrias enviada pela Gessele</t>
        </is>
      </c>
      <c r="P1723" s="1721" t="inlineStr">
        <is>
          <t>Pendente</t>
        </is>
      </c>
    </row>
    <row r="1724" hidden="1" outlineLevel="3" ht="13.5" customHeight="1">
      <c r="A1724" s="2117" t="n">
        <v>0</v>
      </c>
      <c r="B1724" s="2117" t="n">
        <v>18</v>
      </c>
      <c r="C1724" s="2117" t="n">
        <v>33</v>
      </c>
      <c r="D1724" s="2118" t="n">
        <v>1</v>
      </c>
      <c r="E1724" s="2118" t="n">
        <v>2</v>
      </c>
      <c r="G1724" s="1798" t="inlineStr">
        <is>
          <t>ESQUADRIAS, VIDROS E FERRAGENS</t>
        </is>
      </c>
      <c r="H1724" s="1783" t="inlineStr">
        <is>
          <t>SERVIÇO</t>
        </is>
      </c>
      <c r="I1724" s="1750" t="inlineStr">
        <is>
          <t>18.033.001.002</t>
        </is>
      </c>
      <c r="J1724" s="1785" t="inlineStr">
        <is>
          <t>Porta corta-fogo, 1 folha, 80x210 cm</t>
        </is>
      </c>
      <c r="K1724" s="1786" t="inlineStr">
        <is>
          <t>un</t>
        </is>
      </c>
      <c r="L1724" s="1787" t="n">
        <v>44</v>
      </c>
      <c r="M1724" s="1787" t="n">
        <v>1100</v>
      </c>
      <c r="N1724" s="1754" t="n">
        <v>48400</v>
      </c>
      <c r="O1724" s="1788" t="inlineStr">
        <is>
          <t>Tabela de esquadrias enviada pela Gessele</t>
        </is>
      </c>
      <c r="P1724" s="1721" t="inlineStr">
        <is>
          <t>Pendente</t>
        </is>
      </c>
    </row>
    <row r="1725" hidden="1" outlineLevel="2" ht="13.5" customHeight="1">
      <c r="A1725" s="2117" t="n">
        <v>0</v>
      </c>
      <c r="B1725" s="2117" t="n">
        <v>18</v>
      </c>
      <c r="C1725" s="2117" t="n">
        <v>33</v>
      </c>
      <c r="D1725" s="2118" t="n">
        <v>2</v>
      </c>
      <c r="E1725" s="2118" t="n">
        <v>0</v>
      </c>
      <c r="G1725" s="1797" t="n"/>
      <c r="H1725" s="1777" t="inlineStr">
        <is>
          <t>SUBETAPA</t>
        </is>
      </c>
      <c r="I1725" s="1742" t="inlineStr">
        <is>
          <t>18.033.002</t>
        </is>
      </c>
      <c r="J1725" s="1779" t="inlineStr">
        <is>
          <t>Corrimão metálico</t>
        </is>
      </c>
      <c r="K1725" s="1780" t="n"/>
      <c r="L1725" s="1781" t="n"/>
      <c r="M1725" s="1781" t="n"/>
      <c r="N1725" s="1746" t="n"/>
      <c r="O1725" s="1782" t="n"/>
      <c r="P1725" s="1720" t="n"/>
    </row>
    <row r="1726" hidden="1" outlineLevel="3" ht="13.5" customHeight="1">
      <c r="A1726" s="2117" t="n">
        <v>0</v>
      </c>
      <c r="B1726" s="2117" t="n">
        <v>18</v>
      </c>
      <c r="C1726" s="2117" t="n">
        <v>33</v>
      </c>
      <c r="D1726" s="2118" t="n">
        <v>2</v>
      </c>
      <c r="E1726" s="2118" t="n">
        <v>1</v>
      </c>
      <c r="G1726" s="1798" t="inlineStr">
        <is>
          <t>ESQUADRIAS, VIDROS E FERRAGENS</t>
        </is>
      </c>
      <c r="H1726" s="1783" t="inlineStr">
        <is>
          <t>SERVIÇO</t>
        </is>
      </c>
      <c r="I1726" s="1750" t="inlineStr">
        <is>
          <t>18.033.002.001</t>
        </is>
      </c>
      <c r="J1726" s="1785" t="inlineStr">
        <is>
          <t>Corrimão Duplo Metálico - inox escovado 304 - fornecimento e instalação</t>
        </is>
      </c>
      <c r="K1726" s="1786" t="inlineStr">
        <is>
          <t>m</t>
        </is>
      </c>
      <c r="L1726" s="1787" t="e">
        <v>#REF!</v>
      </c>
      <c r="M1726" s="1787" t="n">
        <v>820</v>
      </c>
      <c r="N1726" s="1754" t="n"/>
      <c r="O1726" s="1788" t="inlineStr">
        <is>
          <t>Modelo do visus</t>
        </is>
      </c>
      <c r="P1726" s="1721" t="inlineStr">
        <is>
          <t>Pendente</t>
        </is>
      </c>
    </row>
    <row r="1727" hidden="1" outlineLevel="3" ht="13.5" customHeight="1">
      <c r="A1727" s="2117" t="n">
        <v>0</v>
      </c>
      <c r="B1727" s="2117" t="n">
        <v>18</v>
      </c>
      <c r="C1727" s="2117" t="n">
        <v>33</v>
      </c>
      <c r="D1727" s="2118" t="n">
        <v>2</v>
      </c>
      <c r="E1727" s="2118" t="n">
        <v>2</v>
      </c>
      <c r="G1727" s="1798" t="inlineStr">
        <is>
          <t>ESQUADRIAS, VIDROS E FERRAGENS</t>
        </is>
      </c>
      <c r="H1727" s="1783" t="inlineStr">
        <is>
          <t>SERVIÇO</t>
        </is>
      </c>
      <c r="I1727" s="1750" t="inlineStr">
        <is>
          <t>18.033.002.002</t>
        </is>
      </c>
      <c r="J1727" s="1785" t="inlineStr">
        <is>
          <t>Corrimão Parede Metálico - inox escovado 304 - fornecimento e instalação</t>
        </is>
      </c>
      <c r="K1727" s="1786" t="inlineStr">
        <is>
          <t>m</t>
        </is>
      </c>
      <c r="L1727" s="1787" t="e">
        <v>#REF!</v>
      </c>
      <c r="M1727" s="1787" t="n">
        <v>520</v>
      </c>
      <c r="N1727" s="1754" t="n"/>
      <c r="O1727" s="1788" t="inlineStr">
        <is>
          <t>Modelo do visus</t>
        </is>
      </c>
      <c r="P1727" s="1721" t="inlineStr">
        <is>
          <t>Pendente</t>
        </is>
      </c>
    </row>
    <row r="1728" hidden="1" outlineLevel="2" ht="13.5" customHeight="1">
      <c r="A1728" s="2117" t="n">
        <v>0</v>
      </c>
      <c r="B1728" s="2117" t="n">
        <v>18</v>
      </c>
      <c r="C1728" s="2117" t="n">
        <v>33</v>
      </c>
      <c r="D1728" s="2118" t="n">
        <v>3</v>
      </c>
      <c r="E1728" s="2118" t="n">
        <v>0</v>
      </c>
      <c r="G1728" s="1797" t="n"/>
      <c r="H1728" s="1777" t="inlineStr">
        <is>
          <t>SUBETAPA</t>
        </is>
      </c>
      <c r="I1728" s="1742" t="inlineStr">
        <is>
          <t>18.033.003</t>
        </is>
      </c>
      <c r="J1728" s="1779" t="inlineStr">
        <is>
          <t>Mão de obra</t>
        </is>
      </c>
      <c r="K1728" s="1780" t="n"/>
      <c r="L1728" s="1781" t="n"/>
      <c r="M1728" s="1781" t="n"/>
      <c r="N1728" s="1746" t="n">
        <v>13200</v>
      </c>
      <c r="O1728" s="1782" t="n">
        <v>0.788075227750756</v>
      </c>
      <c r="P1728" s="1720" t="n"/>
    </row>
    <row r="1729" hidden="1" outlineLevel="3" ht="13.5" customHeight="1">
      <c r="A1729" s="2117" t="n">
        <v>0</v>
      </c>
      <c r="B1729" s="2117" t="n">
        <v>18</v>
      </c>
      <c r="C1729" s="2117" t="n">
        <v>33</v>
      </c>
      <c r="D1729" s="2118" t="n">
        <v>3</v>
      </c>
      <c r="E1729" s="2118" t="n">
        <v>1</v>
      </c>
      <c r="G1729" s="1798" t="inlineStr">
        <is>
          <t>ESQUADRIAS, VIDROS E FERRAGENS</t>
        </is>
      </c>
      <c r="H1729" s="1783" t="inlineStr">
        <is>
          <t>SERVIÇO</t>
        </is>
      </c>
      <c r="I1729" s="1750" t="inlineStr">
        <is>
          <t>18.033.003.001</t>
        </is>
      </c>
      <c r="J1729" s="1785" t="inlineStr">
        <is>
          <t>Mão de obra para instalação de portas corta-fogo</t>
        </is>
      </c>
      <c r="K1729" s="1786" t="inlineStr">
        <is>
          <t>un</t>
        </is>
      </c>
      <c r="L1729" s="1787" t="n">
        <v>44</v>
      </c>
      <c r="M1729" s="1787" t="n">
        <v>300</v>
      </c>
      <c r="N1729" s="1754" t="n">
        <v>13200</v>
      </c>
      <c r="O1729" s="1788" t="inlineStr">
        <is>
          <t>Tabela de esquadrias enviada pela Gessele</t>
        </is>
      </c>
      <c r="P1729" s="1721" t="inlineStr">
        <is>
          <t>Pendente</t>
        </is>
      </c>
    </row>
    <row r="1730" hidden="1" outlineLevel="1" ht="13.5" customHeight="1">
      <c r="A1730" s="2117" t="n">
        <v>0</v>
      </c>
      <c r="B1730" s="2117" t="n">
        <v>18</v>
      </c>
      <c r="C1730" s="2117" t="n">
        <v>34</v>
      </c>
      <c r="D1730" s="2118" t="n">
        <v>0</v>
      </c>
      <c r="E1730" s="2118" t="n">
        <v>1</v>
      </c>
      <c r="G1730" s="1796" t="n"/>
      <c r="H1730" s="1771" t="inlineStr">
        <is>
          <t>ETAPA</t>
        </is>
      </c>
      <c r="I1730" s="1735" t="inlineStr">
        <is>
          <t>18.034</t>
        </is>
      </c>
      <c r="J1730" s="1773" t="inlineStr">
        <is>
          <t>PORTAS CORTA-FOGO - Duplex Inferior</t>
        </is>
      </c>
      <c r="K1730" s="1774" t="n"/>
      <c r="L1730" s="1775" t="n"/>
      <c r="M1730" s="1775" t="n"/>
      <c r="N1730" s="1739" t="n"/>
      <c r="O1730" s="1776" t="n"/>
      <c r="P1730" s="1719" t="n"/>
    </row>
    <row r="1731" hidden="1" outlineLevel="2" ht="13.5" customHeight="1">
      <c r="A1731" s="2117" t="n">
        <v>0</v>
      </c>
      <c r="B1731" s="2117" t="n">
        <v>18</v>
      </c>
      <c r="C1731" s="2117" t="n">
        <v>34</v>
      </c>
      <c r="D1731" s="2118" t="n">
        <v>1</v>
      </c>
      <c r="E1731" s="2118" t="n">
        <v>0</v>
      </c>
      <c r="G1731" s="1797" t="n"/>
      <c r="H1731" s="1777" t="inlineStr">
        <is>
          <t>SUBETAPA</t>
        </is>
      </c>
      <c r="I1731" s="1742" t="inlineStr">
        <is>
          <t>18.034.001</t>
        </is>
      </c>
      <c r="J1731" s="1779" t="inlineStr">
        <is>
          <t>Esquadrias metálicas</t>
        </is>
      </c>
      <c r="K1731" s="1780" t="n"/>
      <c r="L1731" s="1781" t="n"/>
      <c r="M1731" s="1781" t="n"/>
      <c r="N1731" s="1746" t="n">
        <v>2868.5</v>
      </c>
      <c r="O1731" s="1782" t="n"/>
      <c r="P1731" s="1720" t="n"/>
    </row>
    <row r="1732" hidden="1" outlineLevel="3" ht="13.5" customHeight="1">
      <c r="A1732" s="2117" t="n">
        <v>0</v>
      </c>
      <c r="B1732" s="2117" t="n">
        <v>18</v>
      </c>
      <c r="C1732" s="2117" t="n">
        <v>34</v>
      </c>
      <c r="D1732" s="2118" t="n">
        <v>1</v>
      </c>
      <c r="E1732" s="2118" t="n">
        <v>1</v>
      </c>
      <c r="G1732" s="1798" t="inlineStr">
        <is>
          <t>ESQUADRIAS, VIDROS E FERRAGENS</t>
        </is>
      </c>
      <c r="H1732" s="1783" t="inlineStr">
        <is>
          <t>SERVIÇO</t>
        </is>
      </c>
      <c r="I1732" s="1750" t="inlineStr">
        <is>
          <t>18.034.001.001</t>
        </is>
      </c>
      <c r="J1732" s="1785" t="inlineStr">
        <is>
          <t>Contramarco de aço galvanizado - Fixado com Argamassa</t>
        </is>
      </c>
      <c r="K1732" s="1786" t="inlineStr">
        <is>
          <t>m</t>
        </is>
      </c>
      <c r="L1732" s="1787" t="n">
        <v>10</v>
      </c>
      <c r="M1732" s="1787" t="n">
        <v>66.84999999999999</v>
      </c>
      <c r="N1732" s="1754" t="n">
        <v>668.5</v>
      </c>
      <c r="O1732" s="1788" t="inlineStr">
        <is>
          <t>Tabela de esquadrias enviada pela Gessele</t>
        </is>
      </c>
      <c r="P1732" s="1721" t="inlineStr">
        <is>
          <t>Pendente</t>
        </is>
      </c>
    </row>
    <row r="1733" hidden="1" outlineLevel="3" ht="13.5" customHeight="1">
      <c r="A1733" s="2117" t="n">
        <v>0</v>
      </c>
      <c r="B1733" s="2117" t="n">
        <v>18</v>
      </c>
      <c r="C1733" s="2117" t="n">
        <v>34</v>
      </c>
      <c r="D1733" s="2118" t="n">
        <v>1</v>
      </c>
      <c r="E1733" s="2118" t="n">
        <v>2</v>
      </c>
      <c r="G1733" s="1798" t="inlineStr">
        <is>
          <t>ESQUADRIAS, VIDROS E FERRAGENS</t>
        </is>
      </c>
      <c r="H1733" s="1783" t="inlineStr">
        <is>
          <t>SERVIÇO</t>
        </is>
      </c>
      <c r="I1733" s="1750" t="inlineStr">
        <is>
          <t>18.034.001.002</t>
        </is>
      </c>
      <c r="J1733" s="1785" t="inlineStr">
        <is>
          <t>Porta corta-fogo, 1 folha, 80x210 cm</t>
        </is>
      </c>
      <c r="K1733" s="1786" t="inlineStr">
        <is>
          <t>un</t>
        </is>
      </c>
      <c r="L1733" s="1787" t="n">
        <v>2</v>
      </c>
      <c r="M1733" s="1787" t="n">
        <v>1100</v>
      </c>
      <c r="N1733" s="1754" t="n">
        <v>2200</v>
      </c>
      <c r="O1733" s="1788" t="inlineStr">
        <is>
          <t>Tabela de esquadrias enviada pela Gessele</t>
        </is>
      </c>
      <c r="P1733" s="1721" t="inlineStr">
        <is>
          <t>Pendente</t>
        </is>
      </c>
    </row>
    <row r="1734" hidden="1" outlineLevel="2" ht="13.5" customHeight="1">
      <c r="A1734" s="2117" t="n">
        <v>0</v>
      </c>
      <c r="B1734" s="2117" t="n">
        <v>18</v>
      </c>
      <c r="C1734" s="2117" t="n">
        <v>34</v>
      </c>
      <c r="D1734" s="2118" t="n">
        <v>2</v>
      </c>
      <c r="E1734" s="2118" t="n">
        <v>0</v>
      </c>
      <c r="G1734" s="1797" t="n"/>
      <c r="H1734" s="1777" t="inlineStr">
        <is>
          <t>SUBETAPA</t>
        </is>
      </c>
      <c r="I1734" s="1742" t="inlineStr">
        <is>
          <t>18.034.002</t>
        </is>
      </c>
      <c r="J1734" s="1779" t="inlineStr">
        <is>
          <t>Corrimão metálico</t>
        </is>
      </c>
      <c r="K1734" s="1780" t="n"/>
      <c r="L1734" s="1781" t="n"/>
      <c r="M1734" s="1781" t="n"/>
      <c r="N1734" s="1746" t="n"/>
      <c r="O1734" s="1782" t="n"/>
      <c r="P1734" s="1720" t="n"/>
    </row>
    <row r="1735" hidden="1" outlineLevel="3" ht="13.5" customHeight="1">
      <c r="A1735" s="2117" t="n">
        <v>0</v>
      </c>
      <c r="B1735" s="2117" t="n">
        <v>18</v>
      </c>
      <c r="C1735" s="2117" t="n">
        <v>34</v>
      </c>
      <c r="D1735" s="2118" t="n">
        <v>2</v>
      </c>
      <c r="E1735" s="2118" t="n">
        <v>1</v>
      </c>
      <c r="G1735" s="1798" t="inlineStr">
        <is>
          <t>ESQUADRIAS, VIDROS E FERRAGENS</t>
        </is>
      </c>
      <c r="H1735" s="1783" t="inlineStr">
        <is>
          <t>SERVIÇO</t>
        </is>
      </c>
      <c r="I1735" s="1750" t="inlineStr">
        <is>
          <t>18.034.002.001</t>
        </is>
      </c>
      <c r="J1735" s="1785" t="inlineStr">
        <is>
          <t>Corrimão Duplo Metálico - inox escovado 304 - fornecimento e instalação</t>
        </is>
      </c>
      <c r="K1735" s="1786" t="inlineStr">
        <is>
          <t>m</t>
        </is>
      </c>
      <c r="L1735" s="1787" t="e">
        <v>#REF!</v>
      </c>
      <c r="M1735" s="1787" t="n">
        <v>820</v>
      </c>
      <c r="N1735" s="1754" t="n"/>
      <c r="O1735" s="1788" t="inlineStr">
        <is>
          <t>Modelo do visus</t>
        </is>
      </c>
      <c r="P1735" s="1721" t="inlineStr">
        <is>
          <t>Pendente</t>
        </is>
      </c>
    </row>
    <row r="1736" hidden="1" outlineLevel="3" ht="13.5" customHeight="1">
      <c r="A1736" s="2117" t="n">
        <v>0</v>
      </c>
      <c r="B1736" s="2117" t="n">
        <v>18</v>
      </c>
      <c r="C1736" s="2117" t="n">
        <v>34</v>
      </c>
      <c r="D1736" s="2118" t="n">
        <v>2</v>
      </c>
      <c r="E1736" s="2118" t="n">
        <v>2</v>
      </c>
      <c r="G1736" s="1798" t="inlineStr">
        <is>
          <t>ESQUADRIAS, VIDROS E FERRAGENS</t>
        </is>
      </c>
      <c r="H1736" s="1783" t="inlineStr">
        <is>
          <t>SERVIÇO</t>
        </is>
      </c>
      <c r="I1736" s="1750" t="inlineStr">
        <is>
          <t>18.034.002.002</t>
        </is>
      </c>
      <c r="J1736" s="1785" t="inlineStr">
        <is>
          <t>Corrimão Parede Metálico - inox escovado 304 - fornecimento e instalação</t>
        </is>
      </c>
      <c r="K1736" s="1786" t="inlineStr">
        <is>
          <t>m</t>
        </is>
      </c>
      <c r="L1736" s="1787" t="e">
        <v>#REF!</v>
      </c>
      <c r="M1736" s="1787" t="n">
        <v>520</v>
      </c>
      <c r="N1736" s="1754" t="n"/>
      <c r="O1736" s="1788" t="inlineStr">
        <is>
          <t>Modelo do visus</t>
        </is>
      </c>
      <c r="P1736" s="1721" t="inlineStr">
        <is>
          <t>Pendente</t>
        </is>
      </c>
    </row>
    <row r="1737" hidden="1" outlineLevel="2" ht="13.5" customHeight="1">
      <c r="A1737" s="2117" t="n">
        <v>0</v>
      </c>
      <c r="B1737" s="2117" t="n">
        <v>18</v>
      </c>
      <c r="C1737" s="2117" t="n">
        <v>34</v>
      </c>
      <c r="D1737" s="2118" t="n">
        <v>3</v>
      </c>
      <c r="E1737" s="2118" t="n">
        <v>0</v>
      </c>
      <c r="G1737" s="1797" t="n"/>
      <c r="H1737" s="1777" t="inlineStr">
        <is>
          <t>SUBETAPA</t>
        </is>
      </c>
      <c r="I1737" s="1742" t="inlineStr">
        <is>
          <t>18.034.003</t>
        </is>
      </c>
      <c r="J1737" s="1779" t="inlineStr">
        <is>
          <t>Mão de obra</t>
        </is>
      </c>
      <c r="K1737" s="1780" t="n"/>
      <c r="L1737" s="1781" t="n"/>
      <c r="M1737" s="1781" t="n"/>
      <c r="N1737" s="1746" t="n">
        <v>600</v>
      </c>
      <c r="O1737" s="1782" t="n">
        <v>0.035821601261398</v>
      </c>
      <c r="P1737" s="1720" t="n"/>
    </row>
    <row r="1738" hidden="1" outlineLevel="3" ht="13.5" customHeight="1">
      <c r="A1738" s="2117" t="n">
        <v>0</v>
      </c>
      <c r="B1738" s="2117" t="n">
        <v>18</v>
      </c>
      <c r="C1738" s="2117" t="n">
        <v>34</v>
      </c>
      <c r="D1738" s="2118" t="n">
        <v>3</v>
      </c>
      <c r="E1738" s="2118" t="n">
        <v>1</v>
      </c>
      <c r="G1738" s="1798" t="inlineStr">
        <is>
          <t>ESQUADRIAS, VIDROS E FERRAGENS</t>
        </is>
      </c>
      <c r="H1738" s="1783" t="inlineStr">
        <is>
          <t>SERVIÇO</t>
        </is>
      </c>
      <c r="I1738" s="1750" t="inlineStr">
        <is>
          <t>18.034.003.001</t>
        </is>
      </c>
      <c r="J1738" s="1785" t="inlineStr">
        <is>
          <t>Mão de obra para instalação de portas corta-fogo</t>
        </is>
      </c>
      <c r="K1738" s="1786" t="inlineStr">
        <is>
          <t>un</t>
        </is>
      </c>
      <c r="L1738" s="1787" t="n">
        <v>2</v>
      </c>
      <c r="M1738" s="1787" t="n">
        <v>300</v>
      </c>
      <c r="N1738" s="1754" t="n">
        <v>600</v>
      </c>
      <c r="O1738" s="1788" t="inlineStr">
        <is>
          <t>Tabela de esquadrias enviada pela Gessele</t>
        </is>
      </c>
      <c r="P1738" s="1721" t="inlineStr">
        <is>
          <t>Pendente</t>
        </is>
      </c>
    </row>
    <row r="1739" hidden="1" outlineLevel="1" ht="13.5" customHeight="1">
      <c r="A1739" s="2117" t="n">
        <v>0</v>
      </c>
      <c r="B1739" s="2117" t="n">
        <v>18</v>
      </c>
      <c r="C1739" s="2117" t="n">
        <v>35</v>
      </c>
      <c r="D1739" s="2118" t="n">
        <v>0</v>
      </c>
      <c r="E1739" s="2118" t="n">
        <v>1</v>
      </c>
      <c r="G1739" s="1796" t="n"/>
      <c r="H1739" s="1771" t="inlineStr">
        <is>
          <t>ETAPA</t>
        </is>
      </c>
      <c r="I1739" s="1735" t="inlineStr">
        <is>
          <t>18.035</t>
        </is>
      </c>
      <c r="J1739" s="1773" t="inlineStr">
        <is>
          <t>PORTAS CORTA-FOGO - Duplex Superior</t>
        </is>
      </c>
      <c r="K1739" s="1774" t="n"/>
      <c r="L1739" s="1775" t="n"/>
      <c r="M1739" s="1775" t="n"/>
      <c r="N1739" s="1739" t="n"/>
      <c r="O1739" s="1776" t="n"/>
      <c r="P1739" s="1719" t="n"/>
    </row>
    <row r="1740" hidden="1" outlineLevel="2" ht="13.5" customHeight="1">
      <c r="A1740" s="2117" t="n">
        <v>0</v>
      </c>
      <c r="B1740" s="2117" t="n">
        <v>18</v>
      </c>
      <c r="C1740" s="2117" t="n">
        <v>35</v>
      </c>
      <c r="D1740" s="2118" t="n">
        <v>1</v>
      </c>
      <c r="E1740" s="2118" t="n">
        <v>0</v>
      </c>
      <c r="G1740" s="1797" t="n"/>
      <c r="H1740" s="1777" t="inlineStr">
        <is>
          <t>SUBETAPA</t>
        </is>
      </c>
      <c r="I1740" s="1742" t="inlineStr">
        <is>
          <t>18.035.001</t>
        </is>
      </c>
      <c r="J1740" s="1779" t="inlineStr">
        <is>
          <t>Esquadrias metálicas</t>
        </is>
      </c>
      <c r="K1740" s="1780" t="n"/>
      <c r="L1740" s="1781" t="n"/>
      <c r="M1740" s="1781" t="n"/>
      <c r="N1740" s="1746" t="n">
        <v>2868.5</v>
      </c>
      <c r="O1740" s="1782" t="n"/>
      <c r="P1740" s="1720" t="n"/>
    </row>
    <row r="1741" hidden="1" outlineLevel="3" ht="13.5" customHeight="1">
      <c r="A1741" s="2117" t="n">
        <v>0</v>
      </c>
      <c r="B1741" s="2117" t="n">
        <v>18</v>
      </c>
      <c r="C1741" s="2117" t="n">
        <v>35</v>
      </c>
      <c r="D1741" s="2118" t="n">
        <v>1</v>
      </c>
      <c r="E1741" s="2118" t="n">
        <v>1</v>
      </c>
      <c r="G1741" s="1798" t="inlineStr">
        <is>
          <t>ESQUADRIAS, VIDROS E FERRAGENS</t>
        </is>
      </c>
      <c r="H1741" s="1783" t="inlineStr">
        <is>
          <t>SERVIÇO</t>
        </is>
      </c>
      <c r="I1741" s="1750" t="inlineStr">
        <is>
          <t>18.035.001.001</t>
        </is>
      </c>
      <c r="J1741" s="1785" t="inlineStr">
        <is>
          <t>Contramarco de aço galvanizado - Fixado com Argamassa</t>
        </is>
      </c>
      <c r="K1741" s="1786" t="inlineStr">
        <is>
          <t>m</t>
        </is>
      </c>
      <c r="L1741" s="1787" t="n">
        <v>10</v>
      </c>
      <c r="M1741" s="1787" t="n">
        <v>66.84999999999999</v>
      </c>
      <c r="N1741" s="1754" t="n">
        <v>668.5</v>
      </c>
      <c r="O1741" s="1788" t="inlineStr">
        <is>
          <t>Tabela de esquadrias enviada pela Gessele</t>
        </is>
      </c>
      <c r="P1741" s="1721" t="inlineStr">
        <is>
          <t>Pendente</t>
        </is>
      </c>
    </row>
    <row r="1742" hidden="1" outlineLevel="3" ht="13.5" customHeight="1">
      <c r="A1742" s="2117" t="n">
        <v>0</v>
      </c>
      <c r="B1742" s="2117" t="n">
        <v>18</v>
      </c>
      <c r="C1742" s="2117" t="n">
        <v>35</v>
      </c>
      <c r="D1742" s="2118" t="n">
        <v>1</v>
      </c>
      <c r="E1742" s="2118" t="n">
        <v>2</v>
      </c>
      <c r="G1742" s="1798" t="inlineStr">
        <is>
          <t>ESQUADRIAS, VIDROS E FERRAGENS</t>
        </is>
      </c>
      <c r="H1742" s="1783" t="inlineStr">
        <is>
          <t>SERVIÇO</t>
        </is>
      </c>
      <c r="I1742" s="1750" t="inlineStr">
        <is>
          <t>18.035.001.002</t>
        </is>
      </c>
      <c r="J1742" s="1785" t="inlineStr">
        <is>
          <t>Porta corta-fogo, 1 folha, 80x210 cm</t>
        </is>
      </c>
      <c r="K1742" s="1786" t="inlineStr">
        <is>
          <t>un</t>
        </is>
      </c>
      <c r="L1742" s="1787" t="n">
        <v>2</v>
      </c>
      <c r="M1742" s="1787" t="n">
        <v>1100</v>
      </c>
      <c r="N1742" s="1754" t="n">
        <v>2200</v>
      </c>
      <c r="O1742" s="1788" t="inlineStr">
        <is>
          <t>Tabela de esquadrias enviada pela Gessele</t>
        </is>
      </c>
      <c r="P1742" s="1721" t="inlineStr">
        <is>
          <t>Pendente</t>
        </is>
      </c>
    </row>
    <row r="1743" hidden="1" outlineLevel="2" ht="13.5" customHeight="1">
      <c r="A1743" s="2117" t="n">
        <v>0</v>
      </c>
      <c r="B1743" s="2117" t="n">
        <v>18</v>
      </c>
      <c r="C1743" s="2117" t="n">
        <v>35</v>
      </c>
      <c r="D1743" s="2118" t="n">
        <v>2</v>
      </c>
      <c r="E1743" s="2118" t="n">
        <v>0</v>
      </c>
      <c r="G1743" s="1797" t="n"/>
      <c r="H1743" s="1777" t="inlineStr">
        <is>
          <t>SUBETAPA</t>
        </is>
      </c>
      <c r="I1743" s="1742" t="inlineStr">
        <is>
          <t>18.035.002</t>
        </is>
      </c>
      <c r="J1743" s="1779" t="inlineStr">
        <is>
          <t>Corrimão metálico</t>
        </is>
      </c>
      <c r="K1743" s="1780" t="n"/>
      <c r="L1743" s="1781" t="n"/>
      <c r="M1743" s="1781" t="n"/>
      <c r="N1743" s="1746" t="n"/>
      <c r="O1743" s="1782" t="n"/>
      <c r="P1743" s="1720" t="n"/>
    </row>
    <row r="1744" hidden="1" outlineLevel="3" ht="13.5" customHeight="1">
      <c r="A1744" s="2117" t="n">
        <v>0</v>
      </c>
      <c r="B1744" s="2117" t="n">
        <v>18</v>
      </c>
      <c r="C1744" s="2117" t="n">
        <v>35</v>
      </c>
      <c r="D1744" s="2118" t="n">
        <v>2</v>
      </c>
      <c r="E1744" s="2118" t="n">
        <v>1</v>
      </c>
      <c r="G1744" s="1798" t="inlineStr">
        <is>
          <t>ESQUADRIAS, VIDROS E FERRAGENS</t>
        </is>
      </c>
      <c r="H1744" s="1783" t="inlineStr">
        <is>
          <t>SERVIÇO</t>
        </is>
      </c>
      <c r="I1744" s="1750" t="inlineStr">
        <is>
          <t>18.035.002.001</t>
        </is>
      </c>
      <c r="J1744" s="1785" t="inlineStr">
        <is>
          <t>Corrimão Duplo Metálico - inox escovado 304 - fornecimento e instalação</t>
        </is>
      </c>
      <c r="K1744" s="1786" t="inlineStr">
        <is>
          <t>m</t>
        </is>
      </c>
      <c r="L1744" s="1787" t="e">
        <v>#REF!</v>
      </c>
      <c r="M1744" s="1787" t="n">
        <v>820</v>
      </c>
      <c r="N1744" s="1754" t="n"/>
      <c r="O1744" s="1788" t="inlineStr">
        <is>
          <t>Modelo do visus</t>
        </is>
      </c>
      <c r="P1744" s="1721" t="inlineStr">
        <is>
          <t>Pendente</t>
        </is>
      </c>
    </row>
    <row r="1745" hidden="1" outlineLevel="3" ht="13.5" customHeight="1">
      <c r="A1745" s="2117" t="n">
        <v>0</v>
      </c>
      <c r="B1745" s="2117" t="n">
        <v>18</v>
      </c>
      <c r="C1745" s="2117" t="n">
        <v>35</v>
      </c>
      <c r="D1745" s="2118" t="n">
        <v>2</v>
      </c>
      <c r="E1745" s="2118" t="n">
        <v>2</v>
      </c>
      <c r="G1745" s="1798" t="inlineStr">
        <is>
          <t>ESQUADRIAS, VIDROS E FERRAGENS</t>
        </is>
      </c>
      <c r="H1745" s="1783" t="inlineStr">
        <is>
          <t>SERVIÇO</t>
        </is>
      </c>
      <c r="I1745" s="1750" t="inlineStr">
        <is>
          <t>18.035.002.002</t>
        </is>
      </c>
      <c r="J1745" s="1785" t="inlineStr">
        <is>
          <t>Corrimão Parede Metálico - inox escovado 304 - fornecimento e instalação</t>
        </is>
      </c>
      <c r="K1745" s="1786" t="inlineStr">
        <is>
          <t>m</t>
        </is>
      </c>
      <c r="L1745" s="1787" t="e">
        <v>#REF!</v>
      </c>
      <c r="M1745" s="1787" t="n">
        <v>520</v>
      </c>
      <c r="N1745" s="1754" t="n"/>
      <c r="O1745" s="1788" t="inlineStr">
        <is>
          <t>Modelo do visus</t>
        </is>
      </c>
      <c r="P1745" s="1721" t="inlineStr">
        <is>
          <t>Pendente</t>
        </is>
      </c>
    </row>
    <row r="1746" hidden="1" outlineLevel="2" ht="12.75" customHeight="1">
      <c r="A1746" s="2117" t="n">
        <v>0</v>
      </c>
      <c r="B1746" s="2117" t="n">
        <v>18</v>
      </c>
      <c r="C1746" s="2117" t="n">
        <v>35</v>
      </c>
      <c r="D1746" s="2118" t="n">
        <v>3</v>
      </c>
      <c r="E1746" s="2118" t="n">
        <v>0</v>
      </c>
      <c r="G1746" s="1797" t="n"/>
      <c r="H1746" s="1777" t="inlineStr">
        <is>
          <t>SUBETAPA</t>
        </is>
      </c>
      <c r="I1746" s="1742" t="inlineStr">
        <is>
          <t>18.035.003</t>
        </is>
      </c>
      <c r="J1746" s="1779" t="inlineStr">
        <is>
          <t>Guarda Corpo metálico</t>
        </is>
      </c>
      <c r="K1746" s="1780" t="n"/>
      <c r="L1746" s="1781" t="n"/>
      <c r="M1746" s="1781" t="n"/>
      <c r="N1746" s="1746" t="n"/>
      <c r="O1746" s="1782" t="n"/>
      <c r="P1746" s="1720" t="n"/>
    </row>
    <row r="1747" hidden="1" outlineLevel="3" ht="12.75" customHeight="1">
      <c r="A1747" s="2117" t="n">
        <v>0</v>
      </c>
      <c r="B1747" s="2117" t="n">
        <v>18</v>
      </c>
      <c r="C1747" s="2117" t="n">
        <v>35</v>
      </c>
      <c r="D1747" s="2118" t="n">
        <v>3</v>
      </c>
      <c r="E1747" s="2118" t="n">
        <v>1</v>
      </c>
      <c r="G1747" s="1798" t="inlineStr">
        <is>
          <t>ESQUADRIAS, VIDROS E FERRAGENS</t>
        </is>
      </c>
      <c r="H1747" s="1783" t="inlineStr">
        <is>
          <t>SERVIÇO</t>
        </is>
      </c>
      <c r="I1747" s="1750" t="inlineStr">
        <is>
          <t>18.035.003.001</t>
        </is>
      </c>
      <c r="J1747" s="1785" t="inlineStr">
        <is>
          <t>Guarda Corpo metálico - inox 304 escovado - fornecimento e instalação</t>
        </is>
      </c>
      <c r="K1747" s="1786" t="inlineStr">
        <is>
          <t>m2</t>
        </is>
      </c>
      <c r="L1747" s="1787" t="e">
        <v>#REF!</v>
      </c>
      <c r="M1747" s="1787" t="n">
        <v>1240</v>
      </c>
      <c r="N1747" s="1754" t="n"/>
      <c r="O1747" s="1788" t="inlineStr">
        <is>
          <t>Modelo do visus</t>
        </is>
      </c>
      <c r="P1747" s="1721" t="inlineStr">
        <is>
          <t>Pendente</t>
        </is>
      </c>
    </row>
    <row r="1748" hidden="1" outlineLevel="2" ht="13.5" customHeight="1">
      <c r="A1748" s="2117" t="n">
        <v>0</v>
      </c>
      <c r="B1748" s="2117" t="n">
        <v>18</v>
      </c>
      <c r="C1748" s="2117" t="n">
        <v>35</v>
      </c>
      <c r="D1748" s="2118" t="n">
        <v>4</v>
      </c>
      <c r="E1748" s="2118" t="n">
        <v>0</v>
      </c>
      <c r="G1748" s="1797" t="n"/>
      <c r="H1748" s="1777" t="inlineStr">
        <is>
          <t>SUBETAPA</t>
        </is>
      </c>
      <c r="I1748" s="1742" t="inlineStr">
        <is>
          <t>18.035.004</t>
        </is>
      </c>
      <c r="J1748" s="1779" t="inlineStr">
        <is>
          <t>Mão de obra</t>
        </is>
      </c>
      <c r="K1748" s="1780" t="n"/>
      <c r="L1748" s="1781" t="n"/>
      <c r="M1748" s="1781" t="n"/>
      <c r="N1748" s="1746" t="n">
        <v>600</v>
      </c>
      <c r="O1748" s="1782" t="n">
        <v>0.035821601261398</v>
      </c>
      <c r="P1748" s="1720" t="n"/>
    </row>
    <row r="1749" hidden="1" outlineLevel="3" ht="13.5" customHeight="1">
      <c r="A1749" s="2117" t="n">
        <v>0</v>
      </c>
      <c r="B1749" s="2117" t="n">
        <v>18</v>
      </c>
      <c r="C1749" s="2117" t="n">
        <v>35</v>
      </c>
      <c r="D1749" s="2118" t="n">
        <v>4</v>
      </c>
      <c r="E1749" s="2118" t="n">
        <v>1</v>
      </c>
      <c r="G1749" s="1798" t="inlineStr">
        <is>
          <t>ESQUADRIAS, VIDROS E FERRAGENS</t>
        </is>
      </c>
      <c r="H1749" s="1783" t="inlineStr">
        <is>
          <t>SERVIÇO</t>
        </is>
      </c>
      <c r="I1749" s="1750" t="inlineStr">
        <is>
          <t>18.035.004.001</t>
        </is>
      </c>
      <c r="J1749" s="1785" t="inlineStr">
        <is>
          <t>Mão de obra para instalação de portas corta-fogo</t>
        </is>
      </c>
      <c r="K1749" s="1786" t="inlineStr">
        <is>
          <t>un</t>
        </is>
      </c>
      <c r="L1749" s="1787" t="n">
        <v>2</v>
      </c>
      <c r="M1749" s="1787" t="n">
        <v>300</v>
      </c>
      <c r="N1749" s="1754" t="n">
        <v>600</v>
      </c>
      <c r="O1749" s="1788" t="inlineStr">
        <is>
          <t>Tabela de esquadrias enviada pela Gessele</t>
        </is>
      </c>
      <c r="P1749" s="1721" t="inlineStr">
        <is>
          <t>Pendente</t>
        </is>
      </c>
    </row>
    <row r="1750" hidden="1" outlineLevel="1" ht="13.5" customHeight="1">
      <c r="A1750" s="2117" t="n">
        <v>0</v>
      </c>
      <c r="B1750" s="2117" t="n">
        <v>18</v>
      </c>
      <c r="C1750" s="2117" t="n">
        <v>36</v>
      </c>
      <c r="D1750" s="2118" t="n">
        <v>0</v>
      </c>
      <c r="E1750" s="2118" t="n">
        <v>1</v>
      </c>
      <c r="G1750" s="1796" t="n"/>
      <c r="H1750" s="1771" t="inlineStr">
        <is>
          <t>ETAPA</t>
        </is>
      </c>
      <c r="I1750" s="1735" t="inlineStr">
        <is>
          <t>18.036</t>
        </is>
      </c>
      <c r="J1750" s="1773" t="inlineStr">
        <is>
          <t>PORTAS CORTA-FOGO - Cobertura | Barrilete</t>
        </is>
      </c>
      <c r="K1750" s="1774" t="n"/>
      <c r="L1750" s="1775" t="n"/>
      <c r="M1750" s="1775" t="n"/>
      <c r="N1750" s="1739" t="n"/>
      <c r="O1750" s="1776" t="n"/>
      <c r="P1750" s="1719" t="n"/>
    </row>
    <row r="1751" hidden="1" outlineLevel="2" ht="13.5" customHeight="1">
      <c r="A1751" s="2117" t="n">
        <v>0</v>
      </c>
      <c r="B1751" s="2117" t="n">
        <v>18</v>
      </c>
      <c r="C1751" s="2117" t="n">
        <v>36</v>
      </c>
      <c r="D1751" s="2118" t="n">
        <v>1</v>
      </c>
      <c r="E1751" s="2118" t="n">
        <v>0</v>
      </c>
      <c r="G1751" s="1797" t="n"/>
      <c r="H1751" s="1777" t="inlineStr">
        <is>
          <t>SUBETAPA</t>
        </is>
      </c>
      <c r="I1751" s="1742" t="inlineStr">
        <is>
          <t>18.036.001</t>
        </is>
      </c>
      <c r="J1751" s="1779" t="inlineStr">
        <is>
          <t>Esquadrias metálicas</t>
        </is>
      </c>
      <c r="K1751" s="1780" t="n"/>
      <c r="L1751" s="1781" t="n"/>
      <c r="M1751" s="1781" t="n"/>
      <c r="N1751" s="1746" t="n">
        <v>1434.25</v>
      </c>
      <c r="O1751" s="1782" t="n"/>
      <c r="P1751" s="1720" t="n"/>
    </row>
    <row r="1752" hidden="1" outlineLevel="3" ht="13.5" customHeight="1">
      <c r="A1752" s="2117" t="n">
        <v>0</v>
      </c>
      <c r="B1752" s="2117" t="n">
        <v>18</v>
      </c>
      <c r="C1752" s="2117" t="n">
        <v>36</v>
      </c>
      <c r="D1752" s="2118" t="n">
        <v>1</v>
      </c>
      <c r="E1752" s="2118" t="n">
        <v>1</v>
      </c>
      <c r="G1752" s="1798" t="inlineStr">
        <is>
          <t>ESQUADRIAS, VIDROS E FERRAGENS</t>
        </is>
      </c>
      <c r="H1752" s="1783" t="inlineStr">
        <is>
          <t>SERVIÇO</t>
        </is>
      </c>
      <c r="I1752" s="1750" t="inlineStr">
        <is>
          <t>18.036.001.001</t>
        </is>
      </c>
      <c r="J1752" s="1785" t="inlineStr">
        <is>
          <t>Contramarco de aço galvanizado - Fixado com Argamassa</t>
        </is>
      </c>
      <c r="K1752" s="1786" t="inlineStr">
        <is>
          <t>m</t>
        </is>
      </c>
      <c r="L1752" s="1787" t="n">
        <v>5</v>
      </c>
      <c r="M1752" s="1787" t="n">
        <v>66.84999999999999</v>
      </c>
      <c r="N1752" s="1754" t="n">
        <v>334.25</v>
      </c>
      <c r="O1752" s="1788" t="inlineStr">
        <is>
          <t>Tabela de esquadrias enviada pela Gessele</t>
        </is>
      </c>
      <c r="P1752" s="1721" t="inlineStr">
        <is>
          <t>Pendente</t>
        </is>
      </c>
    </row>
    <row r="1753" hidden="1" outlineLevel="3" ht="13.5" customHeight="1">
      <c r="A1753" s="2117" t="n">
        <v>0</v>
      </c>
      <c r="B1753" s="2117" t="n">
        <v>18</v>
      </c>
      <c r="C1753" s="2117" t="n">
        <v>36</v>
      </c>
      <c r="D1753" s="2118" t="n">
        <v>1</v>
      </c>
      <c r="E1753" s="2118" t="n">
        <v>2</v>
      </c>
      <c r="G1753" s="1798" t="inlineStr">
        <is>
          <t>ESQUADRIAS, VIDROS E FERRAGENS</t>
        </is>
      </c>
      <c r="H1753" s="1783" t="inlineStr">
        <is>
          <t>SERVIÇO</t>
        </is>
      </c>
      <c r="I1753" s="1750" t="inlineStr">
        <is>
          <t>18.036.001.002</t>
        </is>
      </c>
      <c r="J1753" s="1785" t="inlineStr">
        <is>
          <t>Porta corta-fogo, 1 folha, 80x210 cm</t>
        </is>
      </c>
      <c r="K1753" s="1786" t="inlineStr">
        <is>
          <t>un</t>
        </is>
      </c>
      <c r="L1753" s="1787" t="n">
        <v>1</v>
      </c>
      <c r="M1753" s="1787" t="n">
        <v>1100</v>
      </c>
      <c r="N1753" s="1754" t="n">
        <v>1100</v>
      </c>
      <c r="O1753" s="1788" t="inlineStr">
        <is>
          <t>Tabela de esquadrias enviada pela Gessele</t>
        </is>
      </c>
      <c r="P1753" s="1721" t="inlineStr">
        <is>
          <t>Pendente</t>
        </is>
      </c>
    </row>
    <row r="1754" hidden="1" outlineLevel="2" ht="12.75" customHeight="1">
      <c r="A1754" s="2117" t="n">
        <v>0</v>
      </c>
      <c r="B1754" s="2117" t="n">
        <v>18</v>
      </c>
      <c r="C1754" s="2117" t="n">
        <v>36</v>
      </c>
      <c r="D1754" s="2118" t="n">
        <v>2</v>
      </c>
      <c r="E1754" s="2118" t="n">
        <v>0</v>
      </c>
      <c r="G1754" s="1797" t="n"/>
      <c r="H1754" s="1777" t="inlineStr">
        <is>
          <t>SUBETAPA</t>
        </is>
      </c>
      <c r="I1754" s="1742" t="inlineStr">
        <is>
          <t>18.036.002</t>
        </is>
      </c>
      <c r="J1754" s="1779" t="inlineStr">
        <is>
          <t>Guarda Corpo metálico</t>
        </is>
      </c>
      <c r="K1754" s="1780" t="n"/>
      <c r="L1754" s="1781" t="n"/>
      <c r="M1754" s="1781" t="n"/>
      <c r="N1754" s="1746" t="n"/>
      <c r="O1754" s="1782" t="n"/>
      <c r="P1754" s="1720" t="n"/>
    </row>
    <row r="1755" hidden="1" outlineLevel="3" ht="12.75" customHeight="1">
      <c r="A1755" s="2117" t="n">
        <v>0</v>
      </c>
      <c r="B1755" s="2117" t="n">
        <v>18</v>
      </c>
      <c r="C1755" s="2117" t="n">
        <v>36</v>
      </c>
      <c r="D1755" s="2118" t="n">
        <v>2</v>
      </c>
      <c r="E1755" s="2118" t="n">
        <v>1</v>
      </c>
      <c r="G1755" s="1798" t="inlineStr">
        <is>
          <t>ESQUADRIAS, VIDROS E FERRAGENS</t>
        </is>
      </c>
      <c r="H1755" s="1783" t="inlineStr">
        <is>
          <t>SERVIÇO</t>
        </is>
      </c>
      <c r="I1755" s="1750" t="inlineStr">
        <is>
          <t>18.036.002.001</t>
        </is>
      </c>
      <c r="J1755" s="1785" t="inlineStr">
        <is>
          <t>Guarda Corpo metálico - inox 304 escovado - fornecimento e instalação</t>
        </is>
      </c>
      <c r="K1755" s="1786" t="inlineStr">
        <is>
          <t>m2</t>
        </is>
      </c>
      <c r="L1755" s="1787" t="e">
        <v>#REF!</v>
      </c>
      <c r="M1755" s="1787" t="n">
        <v>1240</v>
      </c>
      <c r="N1755" s="1754" t="n"/>
      <c r="O1755" s="1788" t="inlineStr">
        <is>
          <t>Modelo do visus</t>
        </is>
      </c>
      <c r="P1755" s="1721" t="inlineStr">
        <is>
          <t>Pendente</t>
        </is>
      </c>
    </row>
    <row r="1756" hidden="1" outlineLevel="2" ht="12.75" customHeight="1">
      <c r="A1756" s="2117" t="n">
        <v>0</v>
      </c>
      <c r="B1756" s="2117" t="n">
        <v>18</v>
      </c>
      <c r="C1756" s="2117" t="n">
        <v>36</v>
      </c>
      <c r="D1756" s="2118" t="n">
        <v>3</v>
      </c>
      <c r="E1756" s="2118" t="n">
        <v>0</v>
      </c>
      <c r="G1756" s="1797" t="n"/>
      <c r="H1756" s="1777" t="inlineStr">
        <is>
          <t>SUBETAPA</t>
        </is>
      </c>
      <c r="I1756" s="1742" t="inlineStr">
        <is>
          <t>18.036.003</t>
        </is>
      </c>
      <c r="J1756" s="1779" t="inlineStr">
        <is>
          <t>Serralheria</t>
        </is>
      </c>
      <c r="K1756" s="1780" t="n"/>
      <c r="L1756" s="1781" t="n"/>
      <c r="M1756" s="1781" t="n"/>
      <c r="N1756" s="1746" t="n">
        <v>2405</v>
      </c>
      <c r="O1756" s="1782" t="n"/>
      <c r="P1756" s="1720" t="n"/>
    </row>
    <row r="1757" hidden="1" outlineLevel="3" ht="12.75" customHeight="1">
      <c r="A1757" s="2117" t="n">
        <v>0</v>
      </c>
      <c r="B1757" s="2117" t="n">
        <v>18</v>
      </c>
      <c r="C1757" s="2117" t="n">
        <v>36</v>
      </c>
      <c r="D1757" s="2118" t="n">
        <v>3</v>
      </c>
      <c r="E1757" s="2118" t="n">
        <v>1</v>
      </c>
      <c r="G1757" s="1798" t="inlineStr">
        <is>
          <t>ESQUADRIAS, VIDROS E FERRAGENS</t>
        </is>
      </c>
      <c r="H1757" s="1783" t="inlineStr">
        <is>
          <t>SERVIÇO</t>
        </is>
      </c>
      <c r="I1757" s="1750" t="inlineStr">
        <is>
          <t>18.036.003.001</t>
        </is>
      </c>
      <c r="J1757" s="1785" t="inlineStr">
        <is>
          <t>Escada de marinheiro</t>
        </is>
      </c>
      <c r="K1757" s="1786" t="inlineStr">
        <is>
          <t>un</t>
        </is>
      </c>
      <c r="L1757" s="1787" t="n">
        <v>1</v>
      </c>
      <c r="M1757" s="1787" t="n">
        <v>2405</v>
      </c>
      <c r="N1757" s="1754" t="n">
        <v>2405</v>
      </c>
      <c r="O1757" s="1788" t="n"/>
      <c r="P1757" s="1721" t="inlineStr">
        <is>
          <t>Pendente</t>
        </is>
      </c>
    </row>
    <row r="1758" hidden="1" outlineLevel="2" ht="13.5" customHeight="1">
      <c r="A1758" s="2117" t="n">
        <v>0</v>
      </c>
      <c r="B1758" s="2117" t="n">
        <v>18</v>
      </c>
      <c r="C1758" s="2117" t="n">
        <v>36</v>
      </c>
      <c r="D1758" s="2118" t="n">
        <v>4</v>
      </c>
      <c r="E1758" s="2118" t="n">
        <v>0</v>
      </c>
      <c r="G1758" s="1797" t="n"/>
      <c r="H1758" s="1777" t="inlineStr">
        <is>
          <t>SUBETAPA</t>
        </is>
      </c>
      <c r="I1758" s="1742" t="inlineStr">
        <is>
          <t>18.036.004</t>
        </is>
      </c>
      <c r="J1758" s="1779" t="inlineStr">
        <is>
          <t>Mão de obra</t>
        </is>
      </c>
      <c r="K1758" s="1780" t="n"/>
      <c r="L1758" s="1781" t="n"/>
      <c r="M1758" s="1781" t="n"/>
      <c r="N1758" s="1746" t="n">
        <v>300</v>
      </c>
      <c r="O1758" s="1782" t="n">
        <v>0.017910800630699</v>
      </c>
      <c r="P1758" s="1720" t="n"/>
    </row>
    <row r="1759" hidden="1" outlineLevel="3" ht="13.5" customHeight="1">
      <c r="A1759" s="2117" t="n">
        <v>0</v>
      </c>
      <c r="B1759" s="2117" t="n">
        <v>18</v>
      </c>
      <c r="C1759" s="2117" t="n">
        <v>36</v>
      </c>
      <c r="D1759" s="2118" t="n">
        <v>4</v>
      </c>
      <c r="E1759" s="2118" t="n">
        <v>1</v>
      </c>
      <c r="G1759" s="1798" t="inlineStr">
        <is>
          <t>ESQUADRIAS, VIDROS E FERRAGENS</t>
        </is>
      </c>
      <c r="H1759" s="1783" t="inlineStr">
        <is>
          <t>SERVIÇO</t>
        </is>
      </c>
      <c r="I1759" s="1750" t="inlineStr">
        <is>
          <t>18.036.004.001</t>
        </is>
      </c>
      <c r="J1759" s="1785" t="inlineStr">
        <is>
          <t>Mão de obra para instalação de portas corta-fogo</t>
        </is>
      </c>
      <c r="K1759" s="1786" t="inlineStr">
        <is>
          <t>un</t>
        </is>
      </c>
      <c r="L1759" s="1787" t="n">
        <v>1</v>
      </c>
      <c r="M1759" s="1787" t="n">
        <v>300</v>
      </c>
      <c r="N1759" s="1754" t="n">
        <v>300</v>
      </c>
      <c r="O1759" s="1788" t="inlineStr">
        <is>
          <t>Tabela de esquadrias enviada pela Gessele</t>
        </is>
      </c>
      <c r="P1759" s="1721" t="inlineStr">
        <is>
          <t>Pendente</t>
        </is>
      </c>
    </row>
    <row r="1760" collapsed="1" ht="13.9" customHeight="1">
      <c r="A1760" s="2117" t="n">
        <v>0</v>
      </c>
      <c r="B1760" s="2117" t="n">
        <v>19</v>
      </c>
      <c r="C1760" s="2117" t="n">
        <v>0</v>
      </c>
      <c r="D1760" s="2118" t="n">
        <v>4</v>
      </c>
      <c r="E1760" s="2118" t="n">
        <v>1</v>
      </c>
      <c r="F1760" s="569" t="n"/>
      <c r="G1760" s="1794" t="n"/>
      <c r="H1760" s="1766" t="inlineStr">
        <is>
          <t>CÉLULA CONSTRUTIVA</t>
        </is>
      </c>
      <c r="I1760" s="1728" t="inlineStr">
        <is>
          <t>19</t>
        </is>
      </c>
      <c r="J1760" s="1795" t="inlineStr">
        <is>
          <t>LOUÇAS E METAIS</t>
        </is>
      </c>
      <c r="K1760" s="1768" t="n"/>
      <c r="L1760" s="1769" t="n"/>
      <c r="M1760" s="1769" t="n"/>
      <c r="N1760" s="1732" t="n">
        <v>500535.85</v>
      </c>
      <c r="O1760" s="1770" t="n">
        <v>29.8833260595582</v>
      </c>
      <c r="P1760" s="1724" t="n"/>
    </row>
    <row r="1761" hidden="1" outlineLevel="1" ht="13.9" customHeight="1">
      <c r="A1761" s="2117" t="n">
        <v>0</v>
      </c>
      <c r="B1761" s="2117" t="n">
        <v>19</v>
      </c>
      <c r="C1761" s="2117" t="n">
        <v>1</v>
      </c>
      <c r="D1761" s="2118" t="n">
        <v>0</v>
      </c>
      <c r="E1761" s="2118" t="n">
        <v>1</v>
      </c>
      <c r="F1761" s="569" t="n"/>
      <c r="G1761" s="1796" t="n"/>
      <c r="H1761" s="1771" t="inlineStr">
        <is>
          <t>ETAPA</t>
        </is>
      </c>
      <c r="I1761" s="1735" t="inlineStr">
        <is>
          <t>19.001</t>
        </is>
      </c>
      <c r="J1761" s="1773" t="inlineStr">
        <is>
          <t>LOUÇAS E METAIS - Térreo</t>
        </is>
      </c>
      <c r="K1761" s="1774" t="n"/>
      <c r="L1761" s="1775" t="n"/>
      <c r="M1761" s="1775" t="n"/>
      <c r="N1761" s="1739" t="n">
        <v>110511.67</v>
      </c>
      <c r="O1761" s="1776" t="n"/>
      <c r="P1761" s="1725" t="n"/>
    </row>
    <row r="1762" hidden="1" outlineLevel="2" ht="15.75" customHeight="1">
      <c r="A1762" s="2117" t="n">
        <v>0</v>
      </c>
      <c r="B1762" s="2117" t="n">
        <v>19</v>
      </c>
      <c r="C1762" s="2117" t="n">
        <v>1</v>
      </c>
      <c r="D1762" s="2118" t="n">
        <v>1</v>
      </c>
      <c r="E1762" s="2118" t="n">
        <v>0</v>
      </c>
      <c r="F1762" s="569" t="n"/>
      <c r="G1762" s="1797" t="n"/>
      <c r="H1762" s="1777" t="inlineStr">
        <is>
          <t>SUBETAPA</t>
        </is>
      </c>
      <c r="I1762" s="1742" t="inlineStr">
        <is>
          <t>19.001.001</t>
        </is>
      </c>
      <c r="J1762" s="1779" t="inlineStr">
        <is>
          <t>Louças</t>
        </is>
      </c>
      <c r="K1762" s="1780" t="n"/>
      <c r="L1762" s="1781" t="n"/>
      <c r="M1762" s="1781" t="n"/>
      <c r="N1762" s="1746" t="n">
        <v>14835.12</v>
      </c>
      <c r="O1762" s="1782" t="n"/>
      <c r="P1762" s="1720" t="n"/>
    </row>
    <row r="1763" hidden="1" outlineLevel="3" ht="13.9" customHeight="1">
      <c r="A1763" s="2117" t="n">
        <v>0</v>
      </c>
      <c r="B1763" s="2117" t="n">
        <v>19</v>
      </c>
      <c r="C1763" s="2117" t="n">
        <v>1</v>
      </c>
      <c r="D1763" s="2118" t="n">
        <v>1</v>
      </c>
      <c r="E1763" s="2118" t="n">
        <v>1</v>
      </c>
      <c r="F1763" s="569" t="n"/>
      <c r="G1763" s="1798" t="inlineStr">
        <is>
          <t>LOUÇAS E METAIS</t>
        </is>
      </c>
      <c r="H1763" s="1783" t="inlineStr">
        <is>
          <t>SERVIÇO</t>
        </is>
      </c>
      <c r="I1763" s="1750" t="inlineStr">
        <is>
          <t>19.001.001.001</t>
        </is>
      </c>
      <c r="J1763" s="1785" t="inlineStr">
        <is>
          <t xml:space="preserve">Louças </t>
        </is>
      </c>
      <c r="K1763" s="1786" t="inlineStr">
        <is>
          <t>vb</t>
        </is>
      </c>
      <c r="L1763" s="1787" t="n">
        <v>1</v>
      </c>
      <c r="M1763" s="1787" t="n">
        <v>14835.12</v>
      </c>
      <c r="N1763" s="1754" t="n">
        <v>14835.12</v>
      </c>
      <c r="O1763" s="1788" t="n"/>
      <c r="P1763" s="1721" t="inlineStr">
        <is>
          <t>Pendente</t>
        </is>
      </c>
    </row>
    <row r="1764" hidden="1" outlineLevel="2" ht="13.9" customHeight="1">
      <c r="A1764" s="2117" t="n">
        <v>0</v>
      </c>
      <c r="B1764" s="2117" t="n">
        <v>19</v>
      </c>
      <c r="C1764" s="2117" t="n">
        <v>1</v>
      </c>
      <c r="D1764" s="2118" t="n">
        <v>2</v>
      </c>
      <c r="E1764" s="2118" t="n">
        <v>0</v>
      </c>
      <c r="F1764" s="569" t="n"/>
      <c r="G1764" s="1797" t="n"/>
      <c r="H1764" s="1777" t="inlineStr">
        <is>
          <t>SUBETAPA</t>
        </is>
      </c>
      <c r="I1764" s="1742" t="inlineStr">
        <is>
          <t>19.001.002</t>
        </is>
      </c>
      <c r="J1764" s="1779" t="inlineStr">
        <is>
          <t>Metais e acessórios</t>
        </is>
      </c>
      <c r="K1764" s="1780" t="n"/>
      <c r="L1764" s="1781" t="n"/>
      <c r="M1764" s="1781" t="n"/>
      <c r="N1764" s="1746" t="n">
        <v>67242.11</v>
      </c>
      <c r="O1764" s="1782" t="n"/>
      <c r="P1764" s="1720" t="n"/>
    </row>
    <row r="1765" hidden="1" outlineLevel="3" ht="13.9" customHeight="1">
      <c r="A1765" s="2117" t="n">
        <v>0</v>
      </c>
      <c r="B1765" s="2117" t="n">
        <v>19</v>
      </c>
      <c r="C1765" s="2117" t="n">
        <v>1</v>
      </c>
      <c r="D1765" s="2118" t="n">
        <v>2</v>
      </c>
      <c r="E1765" s="2118" t="n">
        <v>1</v>
      </c>
      <c r="F1765" s="569" t="n"/>
      <c r="G1765" s="1798" t="inlineStr">
        <is>
          <t>LOUÇAS E METAIS</t>
        </is>
      </c>
      <c r="H1765" s="1783" t="inlineStr">
        <is>
          <t>SERVIÇO</t>
        </is>
      </c>
      <c r="I1765" s="1750" t="inlineStr">
        <is>
          <t>19.001.002.001</t>
        </is>
      </c>
      <c r="J1765" s="1785" t="inlineStr">
        <is>
          <t>Acabamentos e acessórios</t>
        </is>
      </c>
      <c r="K1765" s="1786" t="inlineStr">
        <is>
          <t>vb</t>
        </is>
      </c>
      <c r="L1765" s="1787" t="n">
        <v>1</v>
      </c>
      <c r="M1765" s="1787" t="n">
        <v>67242.11</v>
      </c>
      <c r="N1765" s="1754" t="n">
        <v>67242.11</v>
      </c>
      <c r="O1765" s="1788" t="n"/>
      <c r="P1765" s="1721" t="inlineStr">
        <is>
          <t>Pendente</t>
        </is>
      </c>
    </row>
    <row r="1766" hidden="1" outlineLevel="2" ht="13.9" customHeight="1">
      <c r="A1766" s="2117" t="n">
        <v>0</v>
      </c>
      <c r="B1766" s="2117" t="n">
        <v>19</v>
      </c>
      <c r="C1766" s="2117" t="n">
        <v>1</v>
      </c>
      <c r="D1766" s="2118" t="n">
        <v>3</v>
      </c>
      <c r="E1766" s="2118" t="n">
        <v>0</v>
      </c>
      <c r="F1766" s="569" t="n"/>
      <c r="G1766" s="1797" t="n"/>
      <c r="H1766" s="1777" t="inlineStr">
        <is>
          <t>SUBETAPA</t>
        </is>
      </c>
      <c r="I1766" s="1742" t="inlineStr">
        <is>
          <t>19.001.003</t>
        </is>
      </c>
      <c r="J1766" s="1779" t="inlineStr">
        <is>
          <t>Bancadas, pias e divisórias</t>
        </is>
      </c>
      <c r="K1766" s="1780" t="n"/>
      <c r="L1766" s="1781" t="n"/>
      <c r="M1766" s="1781" t="n"/>
      <c r="N1766" s="1746" t="n">
        <v>22157.8</v>
      </c>
      <c r="O1766" s="1782" t="n"/>
      <c r="P1766" s="1720" t="n"/>
    </row>
    <row r="1767" hidden="1" outlineLevel="3" ht="13.9" customHeight="1">
      <c r="A1767" s="2117" t="n">
        <v>0</v>
      </c>
      <c r="B1767" s="2117" t="n">
        <v>19</v>
      </c>
      <c r="C1767" s="2117" t="n">
        <v>1</v>
      </c>
      <c r="D1767" s="2118" t="n">
        <v>3</v>
      </c>
      <c r="E1767" s="2118" t="n">
        <v>1</v>
      </c>
      <c r="F1767" s="569" t="n"/>
      <c r="G1767" s="1798" t="inlineStr">
        <is>
          <t>LOUÇAS E METAIS</t>
        </is>
      </c>
      <c r="H1767" s="1783" t="inlineStr">
        <is>
          <t>SERVIÇO</t>
        </is>
      </c>
      <c r="I1767" s="1750" t="inlineStr">
        <is>
          <t>19.001.003.001</t>
        </is>
      </c>
      <c r="J1767" s="1785" t="inlineStr">
        <is>
          <t xml:space="preserve">Tampo de Granito </t>
        </is>
      </c>
      <c r="K1767" s="1786" t="inlineStr">
        <is>
          <t>vb</t>
        </is>
      </c>
      <c r="L1767" s="1787" t="n">
        <v>1</v>
      </c>
      <c r="M1767" s="1787" t="n">
        <v>22157.8</v>
      </c>
      <c r="N1767" s="1754" t="n">
        <v>22157.8</v>
      </c>
      <c r="O1767" s="1788" t="n"/>
      <c r="P1767" s="1721" t="inlineStr">
        <is>
          <t>Pendente</t>
        </is>
      </c>
    </row>
    <row r="1768" hidden="1" outlineLevel="2" ht="13.9" customHeight="1">
      <c r="A1768" s="2117" t="n">
        <v>0</v>
      </c>
      <c r="B1768" s="2117" t="n">
        <v>19</v>
      </c>
      <c r="C1768" s="2117" t="n">
        <v>1</v>
      </c>
      <c r="D1768" s="2118" t="n">
        <v>4</v>
      </c>
      <c r="E1768" s="2118" t="n">
        <v>0</v>
      </c>
      <c r="F1768" s="569" t="n"/>
      <c r="G1768" s="1797" t="n"/>
      <c r="H1768" s="1777" t="inlineStr">
        <is>
          <t>SUBETAPA</t>
        </is>
      </c>
      <c r="I1768" s="1742" t="inlineStr">
        <is>
          <t>19.001.004</t>
        </is>
      </c>
      <c r="J1768" s="1779" t="inlineStr">
        <is>
          <t>Mão de obra</t>
        </is>
      </c>
      <c r="K1768" s="1780" t="n"/>
      <c r="L1768" s="1781" t="n"/>
      <c r="M1768" s="1781" t="n"/>
      <c r="N1768" s="1746" t="n">
        <v>6276.64</v>
      </c>
      <c r="O1768" s="1782" t="n"/>
      <c r="P1768" s="1720" t="n"/>
    </row>
    <row r="1769" hidden="1" outlineLevel="3" ht="13.9" customHeight="1">
      <c r="A1769" s="2117" t="n">
        <v>0</v>
      </c>
      <c r="B1769" s="2117" t="n">
        <v>19</v>
      </c>
      <c r="C1769" s="2117" t="n">
        <v>1</v>
      </c>
      <c r="D1769" s="2118" t="n">
        <v>4</v>
      </c>
      <c r="E1769" s="2118" t="n">
        <v>1</v>
      </c>
      <c r="F1769" s="569" t="n"/>
      <c r="G1769" s="1798" t="inlineStr">
        <is>
          <t>LOUÇAS E METAIS</t>
        </is>
      </c>
      <c r="H1769" s="1783" t="inlineStr">
        <is>
          <t>SERVIÇO</t>
        </is>
      </c>
      <c r="I1769" s="1750" t="inlineStr">
        <is>
          <t>19.001.004.001</t>
        </is>
      </c>
      <c r="J1769" s="1785" t="inlineStr">
        <is>
          <t>Instalação de louças e metais sanitários</t>
        </is>
      </c>
      <c r="K1769" s="1786" t="inlineStr">
        <is>
          <t>vb</t>
        </is>
      </c>
      <c r="L1769" s="1787" t="n">
        <v>1</v>
      </c>
      <c r="M1769" s="1787" t="n">
        <v>6276.64</v>
      </c>
      <c r="N1769" s="1754" t="n">
        <v>6276.64</v>
      </c>
      <c r="O1769" s="1788" t="n"/>
      <c r="P1769" s="1721" t="inlineStr">
        <is>
          <t>Pendente</t>
        </is>
      </c>
    </row>
    <row r="1770" hidden="1" outlineLevel="1" ht="13.9" customHeight="1">
      <c r="A1770" s="2117" t="n">
        <v>0</v>
      </c>
      <c r="B1770" s="2117" t="n">
        <v>19</v>
      </c>
      <c r="C1770" s="2117" t="n">
        <v>2</v>
      </c>
      <c r="D1770" s="2118" t="n">
        <v>0</v>
      </c>
      <c r="E1770" s="2118" t="n">
        <v>1</v>
      </c>
      <c r="F1770" s="569" t="n"/>
      <c r="G1770" s="1796" t="n"/>
      <c r="H1770" s="1771" t="inlineStr">
        <is>
          <t>ETAPA</t>
        </is>
      </c>
      <c r="I1770" s="1735" t="inlineStr">
        <is>
          <t>19.002</t>
        </is>
      </c>
      <c r="J1770" s="1773" t="inlineStr">
        <is>
          <t>LOUÇAS E METAIS - Mezanino G1</t>
        </is>
      </c>
      <c r="K1770" s="1774" t="n"/>
      <c r="L1770" s="1775" t="n"/>
      <c r="M1770" s="1775" t="n"/>
      <c r="N1770" s="1739" t="n">
        <v>6937.22</v>
      </c>
      <c r="O1770" s="1776" t="n"/>
      <c r="P1770" s="1725" t="n"/>
    </row>
    <row r="1771" hidden="1" outlineLevel="2" ht="13.9" customHeight="1">
      <c r="A1771" s="2117" t="n">
        <v>0</v>
      </c>
      <c r="B1771" s="2117" t="n">
        <v>19</v>
      </c>
      <c r="C1771" s="2117" t="n">
        <v>2</v>
      </c>
      <c r="D1771" s="2118" t="n">
        <v>1</v>
      </c>
      <c r="E1771" s="2118" t="n">
        <v>0</v>
      </c>
      <c r="F1771" s="569" t="n"/>
      <c r="G1771" s="1797" t="n"/>
      <c r="H1771" s="1777" t="inlineStr">
        <is>
          <t>SUBETAPA</t>
        </is>
      </c>
      <c r="I1771" s="1742" t="inlineStr">
        <is>
          <t>19.002.001</t>
        </is>
      </c>
      <c r="J1771" s="1779" t="inlineStr">
        <is>
          <t>Metais e acessórios</t>
        </is>
      </c>
      <c r="K1771" s="1780" t="n"/>
      <c r="L1771" s="1781" t="n"/>
      <c r="M1771" s="1781" t="n"/>
      <c r="N1771" s="1746" t="n">
        <v>528.02</v>
      </c>
      <c r="O1771" s="1782" t="n"/>
      <c r="P1771" s="1720" t="n"/>
    </row>
    <row r="1772" hidden="1" outlineLevel="3" ht="13.9" customHeight="1">
      <c r="A1772" s="2117" t="n">
        <v>0</v>
      </c>
      <c r="B1772" s="2117" t="n">
        <v>19</v>
      </c>
      <c r="C1772" s="2117" t="n">
        <v>2</v>
      </c>
      <c r="D1772" s="2118" t="n">
        <v>1</v>
      </c>
      <c r="E1772" s="2118" t="n">
        <v>1</v>
      </c>
      <c r="F1772" s="569" t="n"/>
      <c r="G1772" s="1798" t="inlineStr">
        <is>
          <t>LOUÇAS E METAIS</t>
        </is>
      </c>
      <c r="H1772" s="1783" t="inlineStr">
        <is>
          <t>SERVIÇO</t>
        </is>
      </c>
      <c r="I1772" s="1750" t="inlineStr">
        <is>
          <t>19.002.001.001</t>
        </is>
      </c>
      <c r="J1772" s="1785" t="inlineStr">
        <is>
          <t>Acabamentos e acessórios</t>
        </is>
      </c>
      <c r="K1772" s="1786" t="inlineStr">
        <is>
          <t>vb</t>
        </is>
      </c>
      <c r="L1772" s="1787" t="n">
        <v>1</v>
      </c>
      <c r="M1772" s="1787" t="n">
        <v>528.02</v>
      </c>
      <c r="N1772" s="1754" t="n">
        <v>528.02</v>
      </c>
      <c r="O1772" s="1788" t="n"/>
      <c r="P1772" s="1721" t="inlineStr">
        <is>
          <t>Pendente</t>
        </is>
      </c>
    </row>
    <row r="1773" hidden="1" outlineLevel="2" ht="13.9" customHeight="1">
      <c r="A1773" s="2117" t="n">
        <v>0</v>
      </c>
      <c r="B1773" s="2117" t="n">
        <v>19</v>
      </c>
      <c r="C1773" s="2117" t="n">
        <v>2</v>
      </c>
      <c r="D1773" s="2118" t="n">
        <v>2</v>
      </c>
      <c r="E1773" s="2118" t="n">
        <v>0</v>
      </c>
      <c r="F1773" s="569" t="n"/>
      <c r="G1773" s="1797" t="n"/>
      <c r="H1773" s="1777" t="inlineStr">
        <is>
          <t>SUBETAPA</t>
        </is>
      </c>
      <c r="I1773" s="1742" t="inlineStr">
        <is>
          <t>19.002.002</t>
        </is>
      </c>
      <c r="J1773" s="1779" t="inlineStr">
        <is>
          <t>Mão de obra</t>
        </is>
      </c>
      <c r="K1773" s="1780" t="n"/>
      <c r="L1773" s="1781" t="n"/>
      <c r="M1773" s="1781" t="n"/>
      <c r="N1773" s="1746" t="n">
        <v>6409.2</v>
      </c>
      <c r="O1773" s="1782" t="n"/>
      <c r="P1773" s="1720" t="n"/>
    </row>
    <row r="1774" hidden="1" outlineLevel="3" ht="13.9" customHeight="1">
      <c r="A1774" s="2117" t="n">
        <v>0</v>
      </c>
      <c r="B1774" s="2117" t="n">
        <v>19</v>
      </c>
      <c r="C1774" s="2117" t="n">
        <v>2</v>
      </c>
      <c r="D1774" s="2118" t="n">
        <v>2</v>
      </c>
      <c r="E1774" s="2118" t="n">
        <v>1</v>
      </c>
      <c r="F1774" s="569" t="n"/>
      <c r="G1774" s="1798" t="inlineStr">
        <is>
          <t>LOUÇAS E METAIS</t>
        </is>
      </c>
      <c r="H1774" s="1783" t="inlineStr">
        <is>
          <t>SERVIÇO</t>
        </is>
      </c>
      <c r="I1774" s="1750" t="inlineStr">
        <is>
          <t>19.002.002.001</t>
        </is>
      </c>
      <c r="J1774" s="1785" t="inlineStr">
        <is>
          <t>Instalação de louças e metais sanitários</t>
        </is>
      </c>
      <c r="K1774" s="1786" t="inlineStr">
        <is>
          <t>vb</t>
        </is>
      </c>
      <c r="L1774" s="1787" t="n">
        <v>1</v>
      </c>
      <c r="M1774" s="1787" t="n">
        <v>6409.2</v>
      </c>
      <c r="N1774" s="1754" t="n">
        <v>6409.2</v>
      </c>
      <c r="O1774" s="1788" t="n"/>
      <c r="P1774" s="1721" t="inlineStr">
        <is>
          <t>Pendente</t>
        </is>
      </c>
    </row>
    <row r="1775" hidden="1" outlineLevel="1" ht="13.9" customHeight="1">
      <c r="A1775" s="2117" t="n">
        <v>0</v>
      </c>
      <c r="B1775" s="2117" t="n">
        <v>19</v>
      </c>
      <c r="C1775" s="2117" t="n">
        <v>3</v>
      </c>
      <c r="D1775" s="2118" t="n">
        <v>0</v>
      </c>
      <c r="E1775" s="2118" t="n">
        <v>1</v>
      </c>
      <c r="F1775" s="569" t="n"/>
      <c r="G1775" s="1796" t="n"/>
      <c r="H1775" s="1771" t="inlineStr">
        <is>
          <t>ETAPA</t>
        </is>
      </c>
      <c r="I1775" s="1735" t="inlineStr">
        <is>
          <t>19.003</t>
        </is>
      </c>
      <c r="J1775" s="1773" t="inlineStr">
        <is>
          <t>LOUÇAS E METAIS - G2</t>
        </is>
      </c>
      <c r="K1775" s="1774" t="n"/>
      <c r="L1775" s="1775" t="n"/>
      <c r="M1775" s="1775" t="n"/>
      <c r="N1775" s="1739" t="n">
        <v>7556.02</v>
      </c>
      <c r="O1775" s="1776" t="n"/>
      <c r="P1775" s="1725" t="n"/>
    </row>
    <row r="1776" hidden="1" outlineLevel="2" ht="13.9" customHeight="1">
      <c r="A1776" s="2117" t="n">
        <v>0</v>
      </c>
      <c r="B1776" s="2117" t="n">
        <v>19</v>
      </c>
      <c r="C1776" s="2117" t="n">
        <v>3</v>
      </c>
      <c r="D1776" s="2118" t="n">
        <v>1</v>
      </c>
      <c r="E1776" s="2118" t="n">
        <v>0</v>
      </c>
      <c r="F1776" s="569" t="n"/>
      <c r="G1776" s="1797" t="n"/>
      <c r="H1776" s="1777" t="inlineStr">
        <is>
          <t>SUBETAPA</t>
        </is>
      </c>
      <c r="I1776" s="1742" t="inlineStr">
        <is>
          <t>19.003.001</t>
        </is>
      </c>
      <c r="J1776" s="1779" t="inlineStr">
        <is>
          <t>Metais e acessórios</t>
        </is>
      </c>
      <c r="K1776" s="1780" t="n"/>
      <c r="L1776" s="1781" t="n"/>
      <c r="M1776" s="1781" t="n"/>
      <c r="N1776" s="1746" t="n">
        <v>528.02</v>
      </c>
      <c r="O1776" s="1782" t="n"/>
      <c r="P1776" s="1720" t="n"/>
    </row>
    <row r="1777" hidden="1" outlineLevel="3" ht="13.9" customHeight="1">
      <c r="A1777" s="2117" t="n">
        <v>0</v>
      </c>
      <c r="B1777" s="2117" t="n">
        <v>19</v>
      </c>
      <c r="C1777" s="2117" t="n">
        <v>3</v>
      </c>
      <c r="D1777" s="2118" t="n">
        <v>1</v>
      </c>
      <c r="E1777" s="2118" t="n">
        <v>1</v>
      </c>
      <c r="F1777" s="569" t="n"/>
      <c r="G1777" s="1798" t="inlineStr">
        <is>
          <t>LOUÇAS E METAIS</t>
        </is>
      </c>
      <c r="H1777" s="1783" t="inlineStr">
        <is>
          <t>SERVIÇO</t>
        </is>
      </c>
      <c r="I1777" s="1750" t="inlineStr">
        <is>
          <t>19.003.001.001</t>
        </is>
      </c>
      <c r="J1777" s="1785" t="inlineStr">
        <is>
          <t>Acabamentos e acessórios</t>
        </is>
      </c>
      <c r="K1777" s="1786" t="inlineStr">
        <is>
          <t>vb</t>
        </is>
      </c>
      <c r="L1777" s="1787" t="n">
        <v>1</v>
      </c>
      <c r="M1777" s="1787" t="n">
        <v>528.02</v>
      </c>
      <c r="N1777" s="1754" t="n">
        <v>528.02</v>
      </c>
      <c r="O1777" s="1788" t="n"/>
      <c r="P1777" s="1721" t="inlineStr">
        <is>
          <t>Pendente</t>
        </is>
      </c>
    </row>
    <row r="1778" hidden="1" outlineLevel="2" ht="13.9" customHeight="1">
      <c r="A1778" s="2117" t="n">
        <v>0</v>
      </c>
      <c r="B1778" s="2117" t="n">
        <v>19</v>
      </c>
      <c r="C1778" s="2117" t="n">
        <v>3</v>
      </c>
      <c r="D1778" s="2118" t="n">
        <v>2</v>
      </c>
      <c r="E1778" s="2118" t="n">
        <v>0</v>
      </c>
      <c r="F1778" s="569" t="n"/>
      <c r="G1778" s="1797" t="n"/>
      <c r="H1778" s="1777" t="inlineStr">
        <is>
          <t>SUBETAPA</t>
        </is>
      </c>
      <c r="I1778" s="1742" t="inlineStr">
        <is>
          <t>19.003.002</t>
        </is>
      </c>
      <c r="J1778" s="1779" t="inlineStr">
        <is>
          <t>Mão de obra</t>
        </is>
      </c>
      <c r="K1778" s="1780" t="n"/>
      <c r="L1778" s="1781" t="n"/>
      <c r="M1778" s="1781" t="n"/>
      <c r="N1778" s="1746" t="n">
        <v>7028</v>
      </c>
      <c r="O1778" s="1782" t="n"/>
      <c r="P1778" s="1720" t="n"/>
    </row>
    <row r="1779" hidden="1" outlineLevel="3" ht="13.9" customHeight="1">
      <c r="A1779" s="2117" t="n">
        <v>0</v>
      </c>
      <c r="B1779" s="2117" t="n">
        <v>19</v>
      </c>
      <c r="C1779" s="2117" t="n">
        <v>3</v>
      </c>
      <c r="D1779" s="2118" t="n">
        <v>2</v>
      </c>
      <c r="E1779" s="2118" t="n">
        <v>1</v>
      </c>
      <c r="F1779" s="569" t="n"/>
      <c r="G1779" s="1798" t="inlineStr">
        <is>
          <t>LOUÇAS E METAIS</t>
        </is>
      </c>
      <c r="H1779" s="1783" t="inlineStr">
        <is>
          <t>SERVIÇO</t>
        </is>
      </c>
      <c r="I1779" s="1750" t="inlineStr">
        <is>
          <t>19.003.002.001</t>
        </is>
      </c>
      <c r="J1779" s="1785" t="inlineStr">
        <is>
          <t>Instalação de louças e metais sanitários</t>
        </is>
      </c>
      <c r="K1779" s="1786" t="inlineStr">
        <is>
          <t>vb</t>
        </is>
      </c>
      <c r="L1779" s="1787" t="n">
        <v>1</v>
      </c>
      <c r="M1779" s="1787" t="n">
        <v>7028</v>
      </c>
      <c r="N1779" s="1754" t="n">
        <v>7028</v>
      </c>
      <c r="O1779" s="1788" t="n"/>
      <c r="P1779" s="1721" t="inlineStr">
        <is>
          <t>Pendente</t>
        </is>
      </c>
    </row>
    <row r="1780" hidden="1" outlineLevel="1" ht="13.9" customHeight="1">
      <c r="A1780" s="2117" t="n">
        <v>0</v>
      </c>
      <c r="B1780" s="2117" t="n">
        <v>19</v>
      </c>
      <c r="C1780" s="2117" t="n">
        <v>4</v>
      </c>
      <c r="D1780" s="2118" t="n">
        <v>0</v>
      </c>
      <c r="E1780" s="2118" t="n">
        <v>1</v>
      </c>
      <c r="F1780" s="569" t="n"/>
      <c r="G1780" s="1796" t="n"/>
      <c r="H1780" s="1771" t="inlineStr">
        <is>
          <t>ETAPA</t>
        </is>
      </c>
      <c r="I1780" s="1735" t="inlineStr">
        <is>
          <t>19.004</t>
        </is>
      </c>
      <c r="J1780" s="1773" t="inlineStr">
        <is>
          <t>LOUÇAS E METAIS - Mezanino G2</t>
        </is>
      </c>
      <c r="K1780" s="1774" t="n"/>
      <c r="L1780" s="1775" t="n"/>
      <c r="M1780" s="1775" t="n"/>
      <c r="N1780" s="1739" t="n">
        <v>7556.02</v>
      </c>
      <c r="O1780" s="1776" t="n"/>
      <c r="P1780" s="1725" t="n"/>
    </row>
    <row r="1781" hidden="1" outlineLevel="2" ht="13.9" customHeight="1">
      <c r="A1781" s="2117" t="n">
        <v>0</v>
      </c>
      <c r="B1781" s="2117" t="n">
        <v>19</v>
      </c>
      <c r="C1781" s="2117" t="n">
        <v>4</v>
      </c>
      <c r="D1781" s="2118" t="n">
        <v>1</v>
      </c>
      <c r="E1781" s="2118" t="n">
        <v>0</v>
      </c>
      <c r="F1781" s="569" t="n"/>
      <c r="G1781" s="1797" t="n"/>
      <c r="H1781" s="1777" t="inlineStr">
        <is>
          <t>SUBETAPA</t>
        </is>
      </c>
      <c r="I1781" s="1742" t="inlineStr">
        <is>
          <t>19.004.001</t>
        </is>
      </c>
      <c r="J1781" s="1779" t="inlineStr">
        <is>
          <t>Metais e acessórios</t>
        </is>
      </c>
      <c r="K1781" s="1780" t="n"/>
      <c r="L1781" s="1781" t="n"/>
      <c r="M1781" s="1781" t="n"/>
      <c r="N1781" s="1746" t="n">
        <v>528.02</v>
      </c>
      <c r="O1781" s="1782" t="n"/>
      <c r="P1781" s="1720" t="n"/>
    </row>
    <row r="1782" hidden="1" outlineLevel="3" ht="13.9" customHeight="1">
      <c r="A1782" s="2117" t="n">
        <v>0</v>
      </c>
      <c r="B1782" s="2117" t="n">
        <v>19</v>
      </c>
      <c r="C1782" s="2117" t="n">
        <v>4</v>
      </c>
      <c r="D1782" s="2118" t="n">
        <v>1</v>
      </c>
      <c r="E1782" s="2118" t="n">
        <v>1</v>
      </c>
      <c r="F1782" s="569" t="n"/>
      <c r="G1782" s="1798" t="inlineStr">
        <is>
          <t>LOUÇAS E METAIS</t>
        </is>
      </c>
      <c r="H1782" s="1783" t="inlineStr">
        <is>
          <t>SERVIÇO</t>
        </is>
      </c>
      <c r="I1782" s="1750" t="inlineStr">
        <is>
          <t>19.004.001.001</t>
        </is>
      </c>
      <c r="J1782" s="1785" t="inlineStr">
        <is>
          <t>Acabamentos e acessórios</t>
        </is>
      </c>
      <c r="K1782" s="1786" t="inlineStr">
        <is>
          <t>vb</t>
        </is>
      </c>
      <c r="L1782" s="1787" t="n">
        <v>1</v>
      </c>
      <c r="M1782" s="1787" t="n">
        <v>528.02</v>
      </c>
      <c r="N1782" s="1754" t="n">
        <v>528.02</v>
      </c>
      <c r="O1782" s="1788" t="n"/>
      <c r="P1782" s="1721" t="inlineStr">
        <is>
          <t>Pendente</t>
        </is>
      </c>
    </row>
    <row r="1783" hidden="1" outlineLevel="2" ht="13.9" customHeight="1">
      <c r="A1783" s="2117" t="n">
        <v>0</v>
      </c>
      <c r="B1783" s="2117" t="n">
        <v>19</v>
      </c>
      <c r="C1783" s="2117" t="n">
        <v>4</v>
      </c>
      <c r="D1783" s="2118" t="n">
        <v>2</v>
      </c>
      <c r="E1783" s="2118" t="n">
        <v>0</v>
      </c>
      <c r="F1783" s="569" t="n"/>
      <c r="G1783" s="1797" t="n"/>
      <c r="H1783" s="1777" t="inlineStr">
        <is>
          <t>SUBETAPA</t>
        </is>
      </c>
      <c r="I1783" s="1742" t="inlineStr">
        <is>
          <t>19.004.002</t>
        </is>
      </c>
      <c r="J1783" s="1779" t="inlineStr">
        <is>
          <t>Mão de obra</t>
        </is>
      </c>
      <c r="K1783" s="1780" t="n"/>
      <c r="L1783" s="1781" t="n"/>
      <c r="M1783" s="1781" t="n"/>
      <c r="N1783" s="1746" t="n">
        <v>7028</v>
      </c>
      <c r="O1783" s="1782" t="n"/>
      <c r="P1783" s="1720" t="n"/>
    </row>
    <row r="1784" hidden="1" outlineLevel="3" ht="13.9" customHeight="1">
      <c r="A1784" s="2117" t="n">
        <v>0</v>
      </c>
      <c r="B1784" s="2117" t="n">
        <v>19</v>
      </c>
      <c r="C1784" s="2117" t="n">
        <v>4</v>
      </c>
      <c r="D1784" s="2118" t="n">
        <v>2</v>
      </c>
      <c r="E1784" s="2118" t="n">
        <v>1</v>
      </c>
      <c r="F1784" s="569" t="n"/>
      <c r="G1784" s="1798" t="inlineStr">
        <is>
          <t>LOUÇAS E METAIS</t>
        </is>
      </c>
      <c r="H1784" s="1783" t="inlineStr">
        <is>
          <t>SERVIÇO</t>
        </is>
      </c>
      <c r="I1784" s="1750" t="inlineStr">
        <is>
          <t>19.004.002.001</t>
        </is>
      </c>
      <c r="J1784" s="1785" t="inlineStr">
        <is>
          <t>Instalação de louças e metais sanitários</t>
        </is>
      </c>
      <c r="K1784" s="1786" t="inlineStr">
        <is>
          <t>vb</t>
        </is>
      </c>
      <c r="L1784" s="1787" t="n">
        <v>1</v>
      </c>
      <c r="M1784" s="1787" t="n">
        <v>7028</v>
      </c>
      <c r="N1784" s="1754" t="n">
        <v>7028</v>
      </c>
      <c r="O1784" s="1788" t="n"/>
      <c r="P1784" s="1721" t="inlineStr">
        <is>
          <t>Pendente</t>
        </is>
      </c>
    </row>
    <row r="1785" hidden="1" outlineLevel="1" ht="13.9" customHeight="1">
      <c r="A1785" s="2117" t="n">
        <v>0</v>
      </c>
      <c r="B1785" s="2117" t="n">
        <v>19</v>
      </c>
      <c r="C1785" s="2117" t="n">
        <v>5</v>
      </c>
      <c r="D1785" s="2118" t="n">
        <v>0</v>
      </c>
      <c r="E1785" s="2118" t="n">
        <v>1</v>
      </c>
      <c r="F1785" s="569" t="n"/>
      <c r="G1785" s="1796" t="n"/>
      <c r="H1785" s="1771" t="inlineStr">
        <is>
          <t>ETAPA</t>
        </is>
      </c>
      <c r="I1785" s="1735" t="inlineStr">
        <is>
          <t>19.005</t>
        </is>
      </c>
      <c r="J1785" s="1773" t="inlineStr">
        <is>
          <t>LOUÇAS E METAIS - G3</t>
        </is>
      </c>
      <c r="K1785" s="1774" t="n"/>
      <c r="L1785" s="1775" t="n"/>
      <c r="M1785" s="1775" t="n"/>
      <c r="N1785" s="1739" t="n">
        <v>7556.02</v>
      </c>
      <c r="O1785" s="1776" t="n"/>
      <c r="P1785" s="1725" t="n"/>
    </row>
    <row r="1786" hidden="1" outlineLevel="2" ht="13.9" customHeight="1">
      <c r="A1786" s="2117" t="n">
        <v>0</v>
      </c>
      <c r="B1786" s="2117" t="n">
        <v>19</v>
      </c>
      <c r="C1786" s="2117" t="n">
        <v>5</v>
      </c>
      <c r="D1786" s="2118" t="n">
        <v>1</v>
      </c>
      <c r="E1786" s="2118" t="n">
        <v>0</v>
      </c>
      <c r="F1786" s="569" t="n"/>
      <c r="G1786" s="1797" t="n"/>
      <c r="H1786" s="1777" t="inlineStr">
        <is>
          <t>SUBETAPA</t>
        </is>
      </c>
      <c r="I1786" s="1742" t="inlineStr">
        <is>
          <t>19.005.001</t>
        </is>
      </c>
      <c r="J1786" s="1779" t="inlineStr">
        <is>
          <t>Metais e acessórios</t>
        </is>
      </c>
      <c r="K1786" s="1780" t="n"/>
      <c r="L1786" s="1781" t="n"/>
      <c r="M1786" s="1781" t="n"/>
      <c r="N1786" s="1746" t="n">
        <v>528.02</v>
      </c>
      <c r="O1786" s="1782" t="n"/>
      <c r="P1786" s="1720" t="n"/>
    </row>
    <row r="1787" hidden="1" outlineLevel="3" ht="13.9" customHeight="1">
      <c r="A1787" s="2117" t="n">
        <v>0</v>
      </c>
      <c r="B1787" s="2117" t="n">
        <v>19</v>
      </c>
      <c r="C1787" s="2117" t="n">
        <v>5</v>
      </c>
      <c r="D1787" s="2118" t="n">
        <v>1</v>
      </c>
      <c r="E1787" s="2118" t="n">
        <v>1</v>
      </c>
      <c r="F1787" s="569" t="n"/>
      <c r="G1787" s="1798" t="inlineStr">
        <is>
          <t>LOUÇAS E METAIS</t>
        </is>
      </c>
      <c r="H1787" s="1783" t="inlineStr">
        <is>
          <t>SERVIÇO</t>
        </is>
      </c>
      <c r="I1787" s="1750" t="inlineStr">
        <is>
          <t>19.005.001.001</t>
        </is>
      </c>
      <c r="J1787" s="1785" t="inlineStr">
        <is>
          <t>Acabamentos e acessórios</t>
        </is>
      </c>
      <c r="K1787" s="1786" t="inlineStr">
        <is>
          <t>vb</t>
        </is>
      </c>
      <c r="L1787" s="1787" t="n">
        <v>1</v>
      </c>
      <c r="M1787" s="1787" t="n">
        <v>528.02</v>
      </c>
      <c r="N1787" s="1754" t="n">
        <v>528.02</v>
      </c>
      <c r="O1787" s="1788" t="n"/>
      <c r="P1787" s="1721" t="inlineStr">
        <is>
          <t>Pendente</t>
        </is>
      </c>
    </row>
    <row r="1788" hidden="1" outlineLevel="2" ht="13.9" customHeight="1">
      <c r="A1788" s="2117" t="n">
        <v>0</v>
      </c>
      <c r="B1788" s="2117" t="n">
        <v>19</v>
      </c>
      <c r="C1788" s="2117" t="n">
        <v>5</v>
      </c>
      <c r="D1788" s="2118" t="n">
        <v>2</v>
      </c>
      <c r="E1788" s="2118" t="n">
        <v>0</v>
      </c>
      <c r="F1788" s="569" t="n"/>
      <c r="G1788" s="1797" t="n"/>
      <c r="H1788" s="1777" t="inlineStr">
        <is>
          <t>SUBETAPA</t>
        </is>
      </c>
      <c r="I1788" s="1742" t="inlineStr">
        <is>
          <t>19.005.002</t>
        </is>
      </c>
      <c r="J1788" s="1779" t="inlineStr">
        <is>
          <t>Mão de obra</t>
        </is>
      </c>
      <c r="K1788" s="1780" t="n"/>
      <c r="L1788" s="1781" t="n"/>
      <c r="M1788" s="1781" t="n"/>
      <c r="N1788" s="1746" t="n">
        <v>7028</v>
      </c>
      <c r="O1788" s="1782" t="n"/>
      <c r="P1788" s="1720" t="n"/>
    </row>
    <row r="1789" hidden="1" outlineLevel="3" ht="13.9" customHeight="1">
      <c r="A1789" s="2117" t="n">
        <v>0</v>
      </c>
      <c r="B1789" s="2117" t="n">
        <v>19</v>
      </c>
      <c r="C1789" s="2117" t="n">
        <v>5</v>
      </c>
      <c r="D1789" s="2118" t="n">
        <v>2</v>
      </c>
      <c r="E1789" s="2118" t="n">
        <v>1</v>
      </c>
      <c r="F1789" s="569" t="n"/>
      <c r="G1789" s="1798" t="inlineStr">
        <is>
          <t>LOUÇAS E METAIS</t>
        </is>
      </c>
      <c r="H1789" s="1783" t="inlineStr">
        <is>
          <t>SERVIÇO</t>
        </is>
      </c>
      <c r="I1789" s="1750" t="inlineStr">
        <is>
          <t>19.005.002.001</t>
        </is>
      </c>
      <c r="J1789" s="1785" t="inlineStr">
        <is>
          <t>Instalação de louças e metais sanitários</t>
        </is>
      </c>
      <c r="K1789" s="1786" t="inlineStr">
        <is>
          <t>vb</t>
        </is>
      </c>
      <c r="L1789" s="1787" t="n">
        <v>1</v>
      </c>
      <c r="M1789" s="1787" t="n">
        <v>7028</v>
      </c>
      <c r="N1789" s="1754" t="n">
        <v>7028</v>
      </c>
      <c r="O1789" s="1788" t="n"/>
      <c r="P1789" s="1721" t="inlineStr">
        <is>
          <t>Pendente</t>
        </is>
      </c>
    </row>
    <row r="1790" hidden="1" outlineLevel="1" ht="13.9" customHeight="1">
      <c r="A1790" s="2117" t="n">
        <v>0</v>
      </c>
      <c r="B1790" s="2117" t="n">
        <v>19</v>
      </c>
      <c r="C1790" s="2117" t="n">
        <v>6</v>
      </c>
      <c r="D1790" s="2118" t="n">
        <v>0</v>
      </c>
      <c r="E1790" s="2118" t="n">
        <v>1</v>
      </c>
      <c r="F1790" s="569" t="n"/>
      <c r="G1790" s="1796" t="n"/>
      <c r="H1790" s="1771" t="inlineStr">
        <is>
          <t>ETAPA</t>
        </is>
      </c>
      <c r="I1790" s="1735" t="inlineStr">
        <is>
          <t>19.006</t>
        </is>
      </c>
      <c r="J1790" s="1773" t="inlineStr">
        <is>
          <t>LOUÇAS E METAIS - Mezanino G3</t>
        </is>
      </c>
      <c r="K1790" s="1774" t="n"/>
      <c r="L1790" s="1775" t="n"/>
      <c r="M1790" s="1775" t="n"/>
      <c r="N1790" s="1739" t="n">
        <v>7667.62</v>
      </c>
      <c r="O1790" s="1776" t="n"/>
      <c r="P1790" s="1725" t="n"/>
    </row>
    <row r="1791" hidden="1" outlineLevel="2" ht="13.9" customHeight="1">
      <c r="A1791" s="2117" t="n">
        <v>0</v>
      </c>
      <c r="B1791" s="2117" t="n">
        <v>19</v>
      </c>
      <c r="C1791" s="2117" t="n">
        <v>6</v>
      </c>
      <c r="D1791" s="2118" t="n">
        <v>1</v>
      </c>
      <c r="E1791" s="2118" t="n">
        <v>0</v>
      </c>
      <c r="F1791" s="569" t="n"/>
      <c r="G1791" s="1797" t="n"/>
      <c r="H1791" s="1777" t="inlineStr">
        <is>
          <t>SUBETAPA</t>
        </is>
      </c>
      <c r="I1791" s="1742" t="inlineStr">
        <is>
          <t>19.006.001</t>
        </is>
      </c>
      <c r="J1791" s="1779" t="inlineStr">
        <is>
          <t>Metais e acessórios</t>
        </is>
      </c>
      <c r="K1791" s="1780" t="n"/>
      <c r="L1791" s="1781" t="n"/>
      <c r="M1791" s="1781" t="n"/>
      <c r="N1791" s="1746" t="n">
        <v>528.02</v>
      </c>
      <c r="O1791" s="1782" t="n"/>
      <c r="P1791" s="1720" t="n"/>
    </row>
    <row r="1792" hidden="1" outlineLevel="3" ht="13.9" customHeight="1">
      <c r="A1792" s="2117" t="n">
        <v>0</v>
      </c>
      <c r="B1792" s="2117" t="n">
        <v>19</v>
      </c>
      <c r="C1792" s="2117" t="n">
        <v>6</v>
      </c>
      <c r="D1792" s="2118" t="n">
        <v>1</v>
      </c>
      <c r="E1792" s="2118" t="n">
        <v>1</v>
      </c>
      <c r="F1792" s="569" t="n"/>
      <c r="G1792" s="1798" t="inlineStr">
        <is>
          <t>LOUÇAS E METAIS</t>
        </is>
      </c>
      <c r="H1792" s="1783" t="inlineStr">
        <is>
          <t>SERVIÇO</t>
        </is>
      </c>
      <c r="I1792" s="1750" t="inlineStr">
        <is>
          <t>19.006.001.001</t>
        </is>
      </c>
      <c r="J1792" s="1785" t="inlineStr">
        <is>
          <t>Acabamentos e acessórios</t>
        </is>
      </c>
      <c r="K1792" s="1786" t="inlineStr">
        <is>
          <t>vb</t>
        </is>
      </c>
      <c r="L1792" s="1787" t="n">
        <v>1</v>
      </c>
      <c r="M1792" s="1787" t="n">
        <v>528.02</v>
      </c>
      <c r="N1792" s="1754" t="n">
        <v>528.02</v>
      </c>
      <c r="O1792" s="1788" t="n"/>
      <c r="P1792" s="1721" t="inlineStr">
        <is>
          <t>Pendente</t>
        </is>
      </c>
    </row>
    <row r="1793" hidden="1" outlineLevel="2" ht="13.9" customHeight="1">
      <c r="A1793" s="2117" t="n">
        <v>0</v>
      </c>
      <c r="B1793" s="2117" t="n">
        <v>19</v>
      </c>
      <c r="C1793" s="2117" t="n">
        <v>6</v>
      </c>
      <c r="D1793" s="2118" t="n">
        <v>2</v>
      </c>
      <c r="E1793" s="2118" t="n">
        <v>0</v>
      </c>
      <c r="F1793" s="569" t="n"/>
      <c r="G1793" s="1797" t="n"/>
      <c r="H1793" s="1777" t="inlineStr">
        <is>
          <t>SUBETAPA</t>
        </is>
      </c>
      <c r="I1793" s="1742" t="inlineStr">
        <is>
          <t>19.006.002</t>
        </is>
      </c>
      <c r="J1793" s="1779" t="inlineStr">
        <is>
          <t>Mão de obra</t>
        </is>
      </c>
      <c r="K1793" s="1780" t="n"/>
      <c r="L1793" s="1781" t="n"/>
      <c r="M1793" s="1781" t="n"/>
      <c r="N1793" s="1746" t="n">
        <v>7139.6</v>
      </c>
      <c r="O1793" s="1782" t="n"/>
      <c r="P1793" s="1720" t="n"/>
    </row>
    <row r="1794" hidden="1" outlineLevel="3" ht="13.9" customHeight="1">
      <c r="A1794" s="2117" t="n">
        <v>0</v>
      </c>
      <c r="B1794" s="2117" t="n">
        <v>19</v>
      </c>
      <c r="C1794" s="2117" t="n">
        <v>6</v>
      </c>
      <c r="D1794" s="2118" t="n">
        <v>2</v>
      </c>
      <c r="E1794" s="2118" t="n">
        <v>1</v>
      </c>
      <c r="F1794" s="569" t="n"/>
      <c r="G1794" s="1798" t="inlineStr">
        <is>
          <t>LOUÇAS E METAIS</t>
        </is>
      </c>
      <c r="H1794" s="1783" t="inlineStr">
        <is>
          <t>SERVIÇO</t>
        </is>
      </c>
      <c r="I1794" s="1750" t="inlineStr">
        <is>
          <t>19.006.002.001</t>
        </is>
      </c>
      <c r="J1794" s="1785" t="inlineStr">
        <is>
          <t>Instalação de louças e metais sanitários</t>
        </is>
      </c>
      <c r="K1794" s="1786" t="inlineStr">
        <is>
          <t>vb</t>
        </is>
      </c>
      <c r="L1794" s="1787" t="n">
        <v>1</v>
      </c>
      <c r="M1794" s="1787" t="n">
        <v>7139.6</v>
      </c>
      <c r="N1794" s="1754" t="n">
        <v>7139.6</v>
      </c>
      <c r="O1794" s="1788" t="n"/>
      <c r="P1794" s="1721" t="inlineStr">
        <is>
          <t>Pendente</t>
        </is>
      </c>
    </row>
    <row r="1795" hidden="1" outlineLevel="1" ht="13.9" customHeight="1">
      <c r="A1795" s="2117" t="n">
        <v>0</v>
      </c>
      <c r="B1795" s="2117" t="n">
        <v>19</v>
      </c>
      <c r="C1795" s="2117" t="n">
        <v>7</v>
      </c>
      <c r="D1795" s="2118" t="n">
        <v>0</v>
      </c>
      <c r="E1795" s="2118" t="n">
        <v>1</v>
      </c>
      <c r="F1795" s="569" t="n"/>
      <c r="G1795" s="1796" t="n"/>
      <c r="H1795" s="1771" t="inlineStr">
        <is>
          <t>ETAPA</t>
        </is>
      </c>
      <c r="I1795" s="1735" t="inlineStr">
        <is>
          <t>19.007</t>
        </is>
      </c>
      <c r="J1795" s="1773" t="inlineStr">
        <is>
          <t>LOUÇAS E METAIS - Lazer | Garagem</t>
        </is>
      </c>
      <c r="K1795" s="1774" t="n"/>
      <c r="L1795" s="1775" t="n"/>
      <c r="M1795" s="1775" t="n"/>
      <c r="N1795" s="1739" t="n">
        <v>28431.88</v>
      </c>
      <c r="O1795" s="1776" t="n"/>
      <c r="P1795" s="1725" t="n"/>
    </row>
    <row r="1796" hidden="1" outlineLevel="2" ht="15.75" customHeight="1">
      <c r="A1796" s="2117" t="n">
        <v>0</v>
      </c>
      <c r="B1796" s="2117" t="n">
        <v>19</v>
      </c>
      <c r="C1796" s="2117" t="n">
        <v>7</v>
      </c>
      <c r="D1796" s="2118" t="n">
        <v>1</v>
      </c>
      <c r="E1796" s="2118" t="n">
        <v>0</v>
      </c>
      <c r="F1796" s="569" t="n"/>
      <c r="G1796" s="1797" t="n"/>
      <c r="H1796" s="1777" t="inlineStr">
        <is>
          <t>SUBETAPA</t>
        </is>
      </c>
      <c r="I1796" s="1742" t="inlineStr">
        <is>
          <t>19.007.001</t>
        </is>
      </c>
      <c r="J1796" s="1779" t="inlineStr">
        <is>
          <t>Louças</t>
        </is>
      </c>
      <c r="K1796" s="1780" t="n"/>
      <c r="L1796" s="1781" t="n"/>
      <c r="M1796" s="1781" t="n"/>
      <c r="N1796" s="1746" t="n">
        <v>4387.07</v>
      </c>
      <c r="O1796" s="1782" t="n"/>
      <c r="P1796" s="1720" t="n"/>
    </row>
    <row r="1797" hidden="1" outlineLevel="3" ht="13.9" customHeight="1">
      <c r="A1797" s="2117" t="n">
        <v>0</v>
      </c>
      <c r="B1797" s="2117" t="n">
        <v>19</v>
      </c>
      <c r="C1797" s="2117" t="n">
        <v>7</v>
      </c>
      <c r="D1797" s="2118" t="n">
        <v>1</v>
      </c>
      <c r="E1797" s="2118" t="n">
        <v>1</v>
      </c>
      <c r="F1797" s="569" t="n"/>
      <c r="G1797" s="1798" t="inlineStr">
        <is>
          <t>LOUÇAS E METAIS</t>
        </is>
      </c>
      <c r="H1797" s="1783" t="inlineStr">
        <is>
          <t>SERVIÇO</t>
        </is>
      </c>
      <c r="I1797" s="1750" t="inlineStr">
        <is>
          <t>19.007.001.001</t>
        </is>
      </c>
      <c r="J1797" s="1785" t="inlineStr">
        <is>
          <t xml:space="preserve">Louças </t>
        </is>
      </c>
      <c r="K1797" s="1786" t="inlineStr">
        <is>
          <t>vb</t>
        </is>
      </c>
      <c r="L1797" s="1787" t="n">
        <v>1</v>
      </c>
      <c r="M1797" s="1787" t="n">
        <v>4387.07</v>
      </c>
      <c r="N1797" s="1754" t="n">
        <v>4387.07</v>
      </c>
      <c r="O1797" s="1788" t="n"/>
      <c r="P1797" s="1721" t="inlineStr">
        <is>
          <t>Pendente</t>
        </is>
      </c>
    </row>
    <row r="1798" hidden="1" outlineLevel="2" ht="13.9" customHeight="1">
      <c r="A1798" s="2117" t="n">
        <v>0</v>
      </c>
      <c r="B1798" s="2117" t="n">
        <v>19</v>
      </c>
      <c r="C1798" s="2117" t="n">
        <v>7</v>
      </c>
      <c r="D1798" s="2118" t="n">
        <v>2</v>
      </c>
      <c r="E1798" s="2118" t="n">
        <v>0</v>
      </c>
      <c r="F1798" s="569" t="n"/>
      <c r="G1798" s="1797" t="n"/>
      <c r="H1798" s="1777" t="inlineStr">
        <is>
          <t>SUBETAPA</t>
        </is>
      </c>
      <c r="I1798" s="1742" t="inlineStr">
        <is>
          <t>19.007.002</t>
        </is>
      </c>
      <c r="J1798" s="1779" t="inlineStr">
        <is>
          <t>Metais e acessórios</t>
        </is>
      </c>
      <c r="K1798" s="1780" t="n"/>
      <c r="L1798" s="1781" t="n"/>
      <c r="M1798" s="1781" t="n"/>
      <c r="N1798" s="1746" t="n">
        <v>16905.21</v>
      </c>
      <c r="O1798" s="1782" t="n"/>
      <c r="P1798" s="1720" t="n"/>
    </row>
    <row r="1799" hidden="1" outlineLevel="3" ht="13.9" customHeight="1">
      <c r="A1799" s="2117" t="n">
        <v>0</v>
      </c>
      <c r="B1799" s="2117" t="n">
        <v>19</v>
      </c>
      <c r="C1799" s="2117" t="n">
        <v>7</v>
      </c>
      <c r="D1799" s="2118" t="n">
        <v>2</v>
      </c>
      <c r="E1799" s="2118" t="n">
        <v>1</v>
      </c>
      <c r="F1799" s="569" t="n"/>
      <c r="G1799" s="1798" t="inlineStr">
        <is>
          <t>LOUÇAS E METAIS</t>
        </is>
      </c>
      <c r="H1799" s="1783" t="inlineStr">
        <is>
          <t>SERVIÇO</t>
        </is>
      </c>
      <c r="I1799" s="1750" t="inlineStr">
        <is>
          <t>19.007.002.001</t>
        </is>
      </c>
      <c r="J1799" s="1785" t="inlineStr">
        <is>
          <t>Acabamentos e acessórios</t>
        </is>
      </c>
      <c r="K1799" s="1786" t="inlineStr">
        <is>
          <t>vb</t>
        </is>
      </c>
      <c r="L1799" s="1787" t="n">
        <v>1</v>
      </c>
      <c r="M1799" s="1787" t="n">
        <v>16905.21</v>
      </c>
      <c r="N1799" s="1754" t="n">
        <v>16905.21</v>
      </c>
      <c r="O1799" s="1788" t="n"/>
      <c r="P1799" s="1721" t="inlineStr">
        <is>
          <t>Pendente</t>
        </is>
      </c>
    </row>
    <row r="1800" hidden="1" outlineLevel="2" ht="13.9" customHeight="1">
      <c r="A1800" s="2117" t="n">
        <v>0</v>
      </c>
      <c r="B1800" s="2117" t="n">
        <v>19</v>
      </c>
      <c r="C1800" s="2117" t="n">
        <v>7</v>
      </c>
      <c r="D1800" s="2118" t="n">
        <v>3</v>
      </c>
      <c r="E1800" s="2118" t="n">
        <v>0</v>
      </c>
      <c r="F1800" s="569" t="n"/>
      <c r="G1800" s="1797" t="n"/>
      <c r="H1800" s="1777" t="inlineStr">
        <is>
          <t>SUBETAPA</t>
        </is>
      </c>
      <c r="I1800" s="1742" t="inlineStr">
        <is>
          <t>19.007.003</t>
        </is>
      </c>
      <c r="J1800" s="1779" t="inlineStr">
        <is>
          <t>Mão de obra</t>
        </is>
      </c>
      <c r="K1800" s="1780" t="n"/>
      <c r="L1800" s="1781" t="n"/>
      <c r="M1800" s="1781" t="n"/>
      <c r="N1800" s="1746" t="n">
        <v>7139.6</v>
      </c>
      <c r="O1800" s="1782" t="n"/>
      <c r="P1800" s="1720" t="n"/>
    </row>
    <row r="1801" hidden="1" outlineLevel="3" ht="13.9" customHeight="1">
      <c r="A1801" s="2117" t="n">
        <v>0</v>
      </c>
      <c r="B1801" s="2117" t="n">
        <v>19</v>
      </c>
      <c r="C1801" s="2117" t="n">
        <v>7</v>
      </c>
      <c r="D1801" s="2118" t="n">
        <v>3</v>
      </c>
      <c r="E1801" s="2118" t="n">
        <v>1</v>
      </c>
      <c r="F1801" s="569" t="n"/>
      <c r="G1801" s="1798" t="inlineStr">
        <is>
          <t>LOUÇAS E METAIS</t>
        </is>
      </c>
      <c r="H1801" s="1783" t="inlineStr">
        <is>
          <t>SERVIÇO</t>
        </is>
      </c>
      <c r="I1801" s="1750" t="inlineStr">
        <is>
          <t>19.007.003.001</t>
        </is>
      </c>
      <c r="J1801" s="1785" t="inlineStr">
        <is>
          <t>Instalação de louças e metais sanitários</t>
        </is>
      </c>
      <c r="K1801" s="1786" t="inlineStr">
        <is>
          <t>vb</t>
        </is>
      </c>
      <c r="L1801" s="1787" t="n">
        <v>1</v>
      </c>
      <c r="M1801" s="1787" t="n">
        <v>7139.6</v>
      </c>
      <c r="N1801" s="1754" t="n">
        <v>7139.6</v>
      </c>
      <c r="O1801" s="1788" t="n"/>
      <c r="P1801" s="1721" t="inlineStr">
        <is>
          <t>Pendente</t>
        </is>
      </c>
    </row>
    <row r="1802" hidden="1" outlineLevel="1" ht="13.9" customHeight="1">
      <c r="A1802" s="2117" t="n">
        <v>0</v>
      </c>
      <c r="B1802" s="2117" t="n">
        <v>19</v>
      </c>
      <c r="C1802" s="2117" t="n">
        <v>8</v>
      </c>
      <c r="D1802" s="2118" t="n">
        <v>0</v>
      </c>
      <c r="E1802" s="2118" t="n">
        <v>1</v>
      </c>
      <c r="F1802" s="569" t="n"/>
      <c r="G1802" s="1796" t="n"/>
      <c r="H1802" s="1771" t="inlineStr">
        <is>
          <t>ETAPA</t>
        </is>
      </c>
      <c r="I1802" s="1735" t="inlineStr">
        <is>
          <t>19.008</t>
        </is>
      </c>
      <c r="J1802" s="1773" t="inlineStr">
        <is>
          <t>LOUÇAS E METAIS - Lazer</t>
        </is>
      </c>
      <c r="K1802" s="1774" t="n"/>
      <c r="L1802" s="1775" t="n"/>
      <c r="M1802" s="1775" t="n"/>
      <c r="N1802" s="1739" t="n">
        <v>38811.06</v>
      </c>
      <c r="O1802" s="1776" t="n"/>
      <c r="P1802" s="1725" t="n"/>
    </row>
    <row r="1803" hidden="1" outlineLevel="2" ht="15.75" customHeight="1">
      <c r="A1803" s="2117" t="n">
        <v>0</v>
      </c>
      <c r="B1803" s="2117" t="n">
        <v>19</v>
      </c>
      <c r="C1803" s="2117" t="n">
        <v>8</v>
      </c>
      <c r="D1803" s="2118" t="n">
        <v>1</v>
      </c>
      <c r="E1803" s="2118" t="n">
        <v>0</v>
      </c>
      <c r="F1803" s="569" t="n"/>
      <c r="G1803" s="1797" t="n"/>
      <c r="H1803" s="1777" t="inlineStr">
        <is>
          <t>SUBETAPA</t>
        </is>
      </c>
      <c r="I1803" s="1742" t="inlineStr">
        <is>
          <t>19.008.001</t>
        </is>
      </c>
      <c r="J1803" s="1779" t="inlineStr">
        <is>
          <t>Louças</t>
        </is>
      </c>
      <c r="K1803" s="1780" t="n"/>
      <c r="L1803" s="1781" t="n"/>
      <c r="M1803" s="1781" t="n"/>
      <c r="N1803" s="1746" t="n">
        <v>5408.04</v>
      </c>
      <c r="O1803" s="1782" t="n"/>
      <c r="P1803" s="1720" t="n"/>
    </row>
    <row r="1804" hidden="1" outlineLevel="3" ht="13.9" customHeight="1">
      <c r="A1804" s="2117" t="n">
        <v>0</v>
      </c>
      <c r="B1804" s="2117" t="n">
        <v>19</v>
      </c>
      <c r="C1804" s="2117" t="n">
        <v>8</v>
      </c>
      <c r="D1804" s="2118" t="n">
        <v>1</v>
      </c>
      <c r="E1804" s="2118" t="n">
        <v>1</v>
      </c>
      <c r="F1804" s="569" t="n"/>
      <c r="G1804" s="1798" t="inlineStr">
        <is>
          <t>LOUÇAS E METAIS</t>
        </is>
      </c>
      <c r="H1804" s="1783" t="inlineStr">
        <is>
          <t>SERVIÇO</t>
        </is>
      </c>
      <c r="I1804" s="1750" t="inlineStr">
        <is>
          <t>19.008.001.001</t>
        </is>
      </c>
      <c r="J1804" s="1785" t="inlineStr">
        <is>
          <t xml:space="preserve">Louças </t>
        </is>
      </c>
      <c r="K1804" s="1786" t="inlineStr">
        <is>
          <t>vb</t>
        </is>
      </c>
      <c r="L1804" s="1787" t="n">
        <v>1</v>
      </c>
      <c r="M1804" s="1787" t="n">
        <v>5408.04</v>
      </c>
      <c r="N1804" s="1754" t="n">
        <v>5408.04</v>
      </c>
      <c r="O1804" s="1788" t="n"/>
      <c r="P1804" s="1721" t="inlineStr">
        <is>
          <t>Pendente</t>
        </is>
      </c>
    </row>
    <row r="1805" hidden="1" outlineLevel="2" ht="13.9" customHeight="1">
      <c r="A1805" s="2117" t="n">
        <v>0</v>
      </c>
      <c r="B1805" s="2117" t="n">
        <v>19</v>
      </c>
      <c r="C1805" s="2117" t="n">
        <v>8</v>
      </c>
      <c r="D1805" s="2118" t="n">
        <v>2</v>
      </c>
      <c r="E1805" s="2118" t="n">
        <v>0</v>
      </c>
      <c r="F1805" s="569" t="n"/>
      <c r="G1805" s="1797" t="n"/>
      <c r="H1805" s="1777" t="inlineStr">
        <is>
          <t>SUBETAPA</t>
        </is>
      </c>
      <c r="I1805" s="1742" t="inlineStr">
        <is>
          <t>19.008.002</t>
        </is>
      </c>
      <c r="J1805" s="1779" t="inlineStr">
        <is>
          <t>Metais e acessórios</t>
        </is>
      </c>
      <c r="K1805" s="1780" t="n"/>
      <c r="L1805" s="1781" t="n"/>
      <c r="M1805" s="1781" t="n"/>
      <c r="N1805" s="1746" t="n">
        <v>20630.86</v>
      </c>
      <c r="O1805" s="1782" t="n"/>
      <c r="P1805" s="1720" t="n"/>
    </row>
    <row r="1806" hidden="1" outlineLevel="3" ht="13.9" customHeight="1">
      <c r="A1806" s="2117" t="n">
        <v>0</v>
      </c>
      <c r="B1806" s="2117" t="n">
        <v>19</v>
      </c>
      <c r="C1806" s="2117" t="n">
        <v>8</v>
      </c>
      <c r="D1806" s="2118" t="n">
        <v>2</v>
      </c>
      <c r="E1806" s="2118" t="n">
        <v>1</v>
      </c>
      <c r="F1806" s="569" t="n"/>
      <c r="G1806" s="1798" t="inlineStr">
        <is>
          <t>LOUÇAS E METAIS</t>
        </is>
      </c>
      <c r="H1806" s="1783" t="inlineStr">
        <is>
          <t>SERVIÇO</t>
        </is>
      </c>
      <c r="I1806" s="1750" t="inlineStr">
        <is>
          <t>19.008.002.001</t>
        </is>
      </c>
      <c r="J1806" s="1785" t="inlineStr">
        <is>
          <t>Acabamentos e acessórios</t>
        </is>
      </c>
      <c r="K1806" s="1786" t="inlineStr">
        <is>
          <t>vb</t>
        </is>
      </c>
      <c r="L1806" s="1787" t="n">
        <v>1</v>
      </c>
      <c r="M1806" s="1787" t="n">
        <v>20630.86</v>
      </c>
      <c r="N1806" s="1754" t="n">
        <v>20630.86</v>
      </c>
      <c r="O1806" s="1788" t="n"/>
      <c r="P1806" s="1721" t="inlineStr">
        <is>
          <t>Pendente</t>
        </is>
      </c>
    </row>
    <row r="1807" hidden="1" outlineLevel="2" ht="13.9" customHeight="1">
      <c r="A1807" s="2117" t="n">
        <v>0</v>
      </c>
      <c r="B1807" s="2117" t="n">
        <v>19</v>
      </c>
      <c r="C1807" s="2117" t="n">
        <v>8</v>
      </c>
      <c r="D1807" s="2118" t="n">
        <v>3</v>
      </c>
      <c r="E1807" s="2118" t="n">
        <v>0</v>
      </c>
      <c r="F1807" s="569" t="n"/>
      <c r="G1807" s="1797" t="n"/>
      <c r="H1807" s="1777" t="inlineStr">
        <is>
          <t>SUBETAPA</t>
        </is>
      </c>
      <c r="I1807" s="1742" t="inlineStr">
        <is>
          <t>19.008.003</t>
        </is>
      </c>
      <c r="J1807" s="1779" t="inlineStr">
        <is>
          <t>Bancadas, pias e divisórias</t>
        </is>
      </c>
      <c r="K1807" s="1780" t="n"/>
      <c r="L1807" s="1781" t="n"/>
      <c r="M1807" s="1781" t="n"/>
      <c r="N1807" s="1746" t="n">
        <v>8778</v>
      </c>
      <c r="O1807" s="1782" t="n"/>
      <c r="P1807" s="1720" t="n"/>
    </row>
    <row r="1808" hidden="1" outlineLevel="3" ht="13.9" customHeight="1">
      <c r="A1808" s="2117" t="n">
        <v>0</v>
      </c>
      <c r="B1808" s="2117" t="n">
        <v>19</v>
      </c>
      <c r="C1808" s="2117" t="n">
        <v>8</v>
      </c>
      <c r="D1808" s="2118" t="n">
        <v>3</v>
      </c>
      <c r="E1808" s="2118" t="n">
        <v>1</v>
      </c>
      <c r="F1808" s="569" t="n"/>
      <c r="G1808" s="1798" t="inlineStr">
        <is>
          <t>LOUÇAS E METAIS</t>
        </is>
      </c>
      <c r="H1808" s="1783" t="inlineStr">
        <is>
          <t>SERVIÇO</t>
        </is>
      </c>
      <c r="I1808" s="1750" t="inlineStr">
        <is>
          <t>19.008.003.001</t>
        </is>
      </c>
      <c r="J1808" s="1785" t="inlineStr">
        <is>
          <t xml:space="preserve">Tampo de Granito </t>
        </is>
      </c>
      <c r="K1808" s="1786" t="inlineStr">
        <is>
          <t>vb</t>
        </is>
      </c>
      <c r="L1808" s="1787" t="n">
        <v>1</v>
      </c>
      <c r="M1808" s="1787" t="n">
        <v>8778</v>
      </c>
      <c r="N1808" s="1754" t="n">
        <v>8778</v>
      </c>
      <c r="O1808" s="1788" t="n"/>
      <c r="P1808" s="1721" t="inlineStr">
        <is>
          <t>Pendente</t>
        </is>
      </c>
    </row>
    <row r="1809" hidden="1" outlineLevel="2" ht="13.9" customHeight="1">
      <c r="A1809" s="2117" t="n">
        <v>0</v>
      </c>
      <c r="B1809" s="2117" t="n">
        <v>19</v>
      </c>
      <c r="C1809" s="2117" t="n">
        <v>8</v>
      </c>
      <c r="D1809" s="2118" t="n">
        <v>4</v>
      </c>
      <c r="E1809" s="2118" t="n">
        <v>0</v>
      </c>
      <c r="F1809" s="569" t="n"/>
      <c r="G1809" s="1797" t="n"/>
      <c r="H1809" s="1777" t="inlineStr">
        <is>
          <t>SUBETAPA</t>
        </is>
      </c>
      <c r="I1809" s="1742" t="inlineStr">
        <is>
          <t>19.008.004</t>
        </is>
      </c>
      <c r="J1809" s="1779" t="inlineStr">
        <is>
          <t>Mão de obra</t>
        </is>
      </c>
      <c r="K1809" s="1780" t="n"/>
      <c r="L1809" s="1781" t="n"/>
      <c r="M1809" s="1781" t="n"/>
      <c r="N1809" s="1746" t="n">
        <v>3994.16</v>
      </c>
      <c r="O1809" s="1782" t="n"/>
      <c r="P1809" s="1720" t="n"/>
    </row>
    <row r="1810" hidden="1" outlineLevel="3" ht="13.9" customHeight="1">
      <c r="A1810" s="2117" t="n">
        <v>0</v>
      </c>
      <c r="B1810" s="2117" t="n">
        <v>19</v>
      </c>
      <c r="C1810" s="2117" t="n">
        <v>8</v>
      </c>
      <c r="D1810" s="2118" t="n">
        <v>4</v>
      </c>
      <c r="E1810" s="2118" t="n">
        <v>1</v>
      </c>
      <c r="F1810" s="569" t="n"/>
      <c r="G1810" s="1798" t="inlineStr">
        <is>
          <t>LOUÇAS E METAIS</t>
        </is>
      </c>
      <c r="H1810" s="1783" t="inlineStr">
        <is>
          <t>SERVIÇO</t>
        </is>
      </c>
      <c r="I1810" s="1750" t="inlineStr">
        <is>
          <t>19.008.004.001</t>
        </is>
      </c>
      <c r="J1810" s="1785" t="inlineStr">
        <is>
          <t>Instalação de louças e metais sanitários</t>
        </is>
      </c>
      <c r="K1810" s="1786" t="inlineStr">
        <is>
          <t>vb</t>
        </is>
      </c>
      <c r="L1810" s="1787" t="n">
        <v>1</v>
      </c>
      <c r="M1810" s="1787" t="n">
        <v>3994.16</v>
      </c>
      <c r="N1810" s="1754" t="n">
        <v>3994.16</v>
      </c>
      <c r="O1810" s="1788" t="n"/>
      <c r="P1810" s="1721" t="inlineStr">
        <is>
          <t>Pendente</t>
        </is>
      </c>
    </row>
    <row r="1811" hidden="1" outlineLevel="1" ht="13.9" customHeight="1">
      <c r="A1811" s="2117" t="n">
        <v>0</v>
      </c>
      <c r="B1811" s="2117" t="n">
        <v>19</v>
      </c>
      <c r="C1811" s="2117" t="n">
        <v>9</v>
      </c>
      <c r="D1811" s="2118" t="n">
        <v>0</v>
      </c>
      <c r="E1811" s="2118" t="n">
        <v>1</v>
      </c>
      <c r="F1811" s="569" t="n"/>
      <c r="G1811" s="1796" t="n"/>
      <c r="H1811" s="1771" t="inlineStr">
        <is>
          <t>ETAPA</t>
        </is>
      </c>
      <c r="I1811" s="1735" t="inlineStr">
        <is>
          <t>19.009</t>
        </is>
      </c>
      <c r="J1811" s="1773" t="inlineStr">
        <is>
          <t>LOUÇAS E METAIS - Tipo diferenciado</t>
        </is>
      </c>
      <c r="K1811" s="1774" t="n"/>
      <c r="L1811" s="1775" t="n"/>
      <c r="M1811" s="1775" t="n"/>
      <c r="N1811" s="1739" t="n">
        <v>10604.46</v>
      </c>
      <c r="O1811" s="1776" t="n"/>
      <c r="P1811" s="1725" t="n"/>
    </row>
    <row r="1812" hidden="1" outlineLevel="2" ht="15.75" customHeight="1">
      <c r="A1812" s="2117" t="n">
        <v>0</v>
      </c>
      <c r="B1812" s="2117" t="n">
        <v>19</v>
      </c>
      <c r="C1812" s="2117" t="n">
        <v>9</v>
      </c>
      <c r="D1812" s="2118" t="n">
        <v>1</v>
      </c>
      <c r="E1812" s="2118" t="n">
        <v>0</v>
      </c>
      <c r="F1812" s="569" t="n"/>
      <c r="G1812" s="1797" t="n"/>
      <c r="H1812" s="1777" t="inlineStr">
        <is>
          <t>SUBETAPA</t>
        </is>
      </c>
      <c r="I1812" s="1742" t="inlineStr">
        <is>
          <t>19.009.001</t>
        </is>
      </c>
      <c r="J1812" s="1779" t="inlineStr">
        <is>
          <t>Louças</t>
        </is>
      </c>
      <c r="K1812" s="1780" t="n"/>
      <c r="L1812" s="1781" t="n"/>
      <c r="M1812" s="1781" t="n"/>
      <c r="N1812" s="1746" t="n">
        <v>5974.08</v>
      </c>
      <c r="O1812" s="1782" t="n"/>
      <c r="P1812" s="1720" t="n"/>
    </row>
    <row r="1813" hidden="1" outlineLevel="3" ht="13.9" customHeight="1">
      <c r="A1813" s="2117" t="n">
        <v>0</v>
      </c>
      <c r="B1813" s="2117" t="n">
        <v>19</v>
      </c>
      <c r="C1813" s="2117" t="n">
        <v>9</v>
      </c>
      <c r="D1813" s="2118" t="n">
        <v>1</v>
      </c>
      <c r="E1813" s="2118" t="n">
        <v>1</v>
      </c>
      <c r="F1813" s="569" t="n"/>
      <c r="G1813" s="1798" t="inlineStr">
        <is>
          <t>LOUÇAS E METAIS</t>
        </is>
      </c>
      <c r="H1813" s="1783" t="inlineStr">
        <is>
          <t>SERVIÇO</t>
        </is>
      </c>
      <c r="I1813" s="1750" t="inlineStr">
        <is>
          <t>19.009.001.001</t>
        </is>
      </c>
      <c r="J1813" s="1785" t="inlineStr">
        <is>
          <t xml:space="preserve">Louças </t>
        </is>
      </c>
      <c r="K1813" s="1786" t="inlineStr">
        <is>
          <t>vb</t>
        </is>
      </c>
      <c r="L1813" s="1787" t="n">
        <v>1</v>
      </c>
      <c r="M1813" s="1787" t="n">
        <v>5974.08</v>
      </c>
      <c r="N1813" s="1754" t="n">
        <v>5974.08</v>
      </c>
      <c r="O1813" s="1788" t="n"/>
      <c r="P1813" s="1721" t="inlineStr">
        <is>
          <t>Pendente</t>
        </is>
      </c>
    </row>
    <row r="1814" hidden="1" outlineLevel="2" ht="13.9" customHeight="1">
      <c r="A1814" s="2117" t="n">
        <v>0</v>
      </c>
      <c r="B1814" s="2117" t="n">
        <v>19</v>
      </c>
      <c r="C1814" s="2117" t="n">
        <v>9</v>
      </c>
      <c r="D1814" s="2118" t="n">
        <v>2</v>
      </c>
      <c r="E1814" s="2118" t="n">
        <v>0</v>
      </c>
      <c r="F1814" s="569" t="n"/>
      <c r="G1814" s="1797" t="n"/>
      <c r="H1814" s="1777" t="inlineStr">
        <is>
          <t>SUBETAPA</t>
        </is>
      </c>
      <c r="I1814" s="1742" t="inlineStr">
        <is>
          <t>19.009.002</t>
        </is>
      </c>
      <c r="J1814" s="1779" t="inlineStr">
        <is>
          <t>Metais e acessórios</t>
        </is>
      </c>
      <c r="K1814" s="1780" t="n"/>
      <c r="L1814" s="1781" t="n"/>
      <c r="M1814" s="1781" t="n"/>
      <c r="N1814" s="1746" t="n">
        <v>1866.14</v>
      </c>
      <c r="O1814" s="1782" t="n"/>
      <c r="P1814" s="1720" t="n"/>
    </row>
    <row r="1815" hidden="1" outlineLevel="3" ht="13.9" customHeight="1">
      <c r="A1815" s="2117" t="n">
        <v>0</v>
      </c>
      <c r="B1815" s="2117" t="n">
        <v>19</v>
      </c>
      <c r="C1815" s="2117" t="n">
        <v>9</v>
      </c>
      <c r="D1815" s="2118" t="n">
        <v>2</v>
      </c>
      <c r="E1815" s="2118" t="n">
        <v>1</v>
      </c>
      <c r="F1815" s="569" t="n"/>
      <c r="G1815" s="1798" t="inlineStr">
        <is>
          <t>LOUÇAS E METAIS</t>
        </is>
      </c>
      <c r="H1815" s="1783" t="inlineStr">
        <is>
          <t>SERVIÇO</t>
        </is>
      </c>
      <c r="I1815" s="1750" t="inlineStr">
        <is>
          <t>19.009.002.001</t>
        </is>
      </c>
      <c r="J1815" s="1785" t="inlineStr">
        <is>
          <t>Acabamentos e acessórios</t>
        </is>
      </c>
      <c r="K1815" s="1786" t="inlineStr">
        <is>
          <t>vb</t>
        </is>
      </c>
      <c r="L1815" s="1787" t="n">
        <v>1</v>
      </c>
      <c r="M1815" s="1787" t="n">
        <v>1866.14</v>
      </c>
      <c r="N1815" s="1754" t="n">
        <v>1866.14</v>
      </c>
      <c r="O1815" s="1788" t="n"/>
      <c r="P1815" s="1721" t="inlineStr">
        <is>
          <t>Pendente</t>
        </is>
      </c>
    </row>
    <row r="1816" hidden="1" outlineLevel="2" ht="13.9" customHeight="1">
      <c r="A1816" s="2117" t="n">
        <v>0</v>
      </c>
      <c r="B1816" s="2117" t="n">
        <v>19</v>
      </c>
      <c r="C1816" s="2117" t="n">
        <v>9</v>
      </c>
      <c r="D1816" s="2118" t="n">
        <v>3</v>
      </c>
      <c r="E1816" s="2118" t="n">
        <v>0</v>
      </c>
      <c r="F1816" s="569" t="n"/>
      <c r="G1816" s="1797" t="n"/>
      <c r="H1816" s="1777" t="inlineStr">
        <is>
          <t>SUBETAPA</t>
        </is>
      </c>
      <c r="I1816" s="1742" t="inlineStr">
        <is>
          <t>19.009.003</t>
        </is>
      </c>
      <c r="J1816" s="1779" t="inlineStr">
        <is>
          <t>Mão de obra</t>
        </is>
      </c>
      <c r="K1816" s="1780" t="n"/>
      <c r="L1816" s="1781" t="n"/>
      <c r="M1816" s="1781" t="n"/>
      <c r="N1816" s="1746" t="n">
        <v>2764.24</v>
      </c>
      <c r="O1816" s="1782" t="n"/>
      <c r="P1816" s="1720" t="n"/>
    </row>
    <row r="1817" hidden="1" outlineLevel="3" ht="13.9" customHeight="1">
      <c r="A1817" s="2117" t="n">
        <v>0</v>
      </c>
      <c r="B1817" s="2117" t="n">
        <v>19</v>
      </c>
      <c r="C1817" s="2117" t="n">
        <v>9</v>
      </c>
      <c r="D1817" s="2118" t="n">
        <v>3</v>
      </c>
      <c r="E1817" s="2118" t="n">
        <v>1</v>
      </c>
      <c r="F1817" s="569" t="n"/>
      <c r="G1817" s="1798" t="inlineStr">
        <is>
          <t>LOUÇAS E METAIS</t>
        </is>
      </c>
      <c r="H1817" s="1783" t="inlineStr">
        <is>
          <t>SERVIÇO</t>
        </is>
      </c>
      <c r="I1817" s="1750" t="inlineStr">
        <is>
          <t>19.009.003.001</t>
        </is>
      </c>
      <c r="J1817" s="1785" t="inlineStr">
        <is>
          <t>Instalação de louças e metais sanitários</t>
        </is>
      </c>
      <c r="K1817" s="1786" t="inlineStr">
        <is>
          <t>vb</t>
        </is>
      </c>
      <c r="L1817" s="1787" t="n">
        <v>1</v>
      </c>
      <c r="M1817" s="1787" t="n">
        <v>2764.24</v>
      </c>
      <c r="N1817" s="1754" t="n">
        <v>2764.24</v>
      </c>
      <c r="O1817" s="1788" t="n"/>
      <c r="P1817" s="1721" t="inlineStr">
        <is>
          <t>Pendente</t>
        </is>
      </c>
    </row>
    <row r="1818" hidden="1" outlineLevel="1" ht="13.9" customHeight="1">
      <c r="A1818" s="2117" t="n">
        <v>0</v>
      </c>
      <c r="B1818" s="2117" t="n">
        <v>19</v>
      </c>
      <c r="C1818" s="2117" t="n">
        <v>10</v>
      </c>
      <c r="D1818" s="2118" t="n">
        <v>0</v>
      </c>
      <c r="E1818" s="2118" t="n">
        <v>1</v>
      </c>
      <c r="F1818" s="569" t="n"/>
      <c r="G1818" s="1796" t="n"/>
      <c r="H1818" s="1771" t="inlineStr">
        <is>
          <t>ETAPA</t>
        </is>
      </c>
      <c r="I1818" s="1735" t="inlineStr">
        <is>
          <t>19.010</t>
        </is>
      </c>
      <c r="J1818" s="1773" t="inlineStr">
        <is>
          <t>LOUÇAS E METAIS - Tipo x8</t>
        </is>
      </c>
      <c r="K1818" s="1774" t="n"/>
      <c r="L1818" s="1775" t="n"/>
      <c r="M1818" s="1775" t="n"/>
      <c r="N1818" s="1739" t="n">
        <v>82140</v>
      </c>
      <c r="O1818" s="1776" t="n"/>
      <c r="P1818" s="1725" t="n"/>
    </row>
    <row r="1819" hidden="1" outlineLevel="2" ht="15.75" customHeight="1">
      <c r="A1819" s="2117" t="n">
        <v>0</v>
      </c>
      <c r="B1819" s="2117" t="n">
        <v>19</v>
      </c>
      <c r="C1819" s="2117" t="n">
        <v>10</v>
      </c>
      <c r="D1819" s="2118" t="n">
        <v>1</v>
      </c>
      <c r="E1819" s="2118" t="n">
        <v>0</v>
      </c>
      <c r="F1819" s="569" t="n"/>
      <c r="G1819" s="1797" t="n"/>
      <c r="H1819" s="1777" t="inlineStr">
        <is>
          <t>SUBETAPA</t>
        </is>
      </c>
      <c r="I1819" s="1742" t="inlineStr">
        <is>
          <t>19.010.001</t>
        </is>
      </c>
      <c r="J1819" s="1779" t="inlineStr">
        <is>
          <t>Louças</t>
        </is>
      </c>
      <c r="K1819" s="1780" t="n"/>
      <c r="L1819" s="1781" t="n"/>
      <c r="M1819" s="1781" t="n"/>
      <c r="N1819" s="1746" t="n">
        <v>47792.64</v>
      </c>
      <c r="O1819" s="1782" t="n"/>
      <c r="P1819" s="1720" t="n"/>
    </row>
    <row r="1820" hidden="1" outlineLevel="3" ht="13.9" customHeight="1">
      <c r="A1820" s="2117" t="n">
        <v>0</v>
      </c>
      <c r="B1820" s="2117" t="n">
        <v>19</v>
      </c>
      <c r="C1820" s="2117" t="n">
        <v>10</v>
      </c>
      <c r="D1820" s="2118" t="n">
        <v>1</v>
      </c>
      <c r="E1820" s="2118" t="n">
        <v>1</v>
      </c>
      <c r="F1820" s="569" t="n"/>
      <c r="G1820" s="1798" t="inlineStr">
        <is>
          <t>LOUÇAS E METAIS</t>
        </is>
      </c>
      <c r="H1820" s="1783" t="inlineStr">
        <is>
          <t>SERVIÇO</t>
        </is>
      </c>
      <c r="I1820" s="1750" t="inlineStr">
        <is>
          <t>19.010.001.001</t>
        </is>
      </c>
      <c r="J1820" s="1785" t="inlineStr">
        <is>
          <t xml:space="preserve">Louças </t>
        </is>
      </c>
      <c r="K1820" s="1786" t="inlineStr">
        <is>
          <t>vb</t>
        </is>
      </c>
      <c r="L1820" s="1787" t="n">
        <v>1</v>
      </c>
      <c r="M1820" s="1787" t="n">
        <v>47792.64</v>
      </c>
      <c r="N1820" s="1754" t="n">
        <v>47792.64</v>
      </c>
      <c r="O1820" s="1788" t="n"/>
      <c r="P1820" s="1721" t="inlineStr">
        <is>
          <t>Pendente</t>
        </is>
      </c>
    </row>
    <row r="1821" hidden="1" outlineLevel="2" ht="13.9" customHeight="1">
      <c r="A1821" s="2117" t="n">
        <v>0</v>
      </c>
      <c r="B1821" s="2117" t="n">
        <v>19</v>
      </c>
      <c r="C1821" s="2117" t="n">
        <v>10</v>
      </c>
      <c r="D1821" s="2118" t="n">
        <v>2</v>
      </c>
      <c r="E1821" s="2118" t="n">
        <v>0</v>
      </c>
      <c r="F1821" s="569" t="n"/>
      <c r="G1821" s="1797" t="n"/>
      <c r="H1821" s="1777" t="inlineStr">
        <is>
          <t>SUBETAPA</t>
        </is>
      </c>
      <c r="I1821" s="1742" t="inlineStr">
        <is>
          <t>19.010.002</t>
        </is>
      </c>
      <c r="J1821" s="1779" t="inlineStr">
        <is>
          <t>Metais e acessórios</t>
        </is>
      </c>
      <c r="K1821" s="1780" t="n"/>
      <c r="L1821" s="1781" t="n"/>
      <c r="M1821" s="1781" t="n"/>
      <c r="N1821" s="1746" t="n">
        <v>14929.12</v>
      </c>
      <c r="O1821" s="1782" t="n"/>
      <c r="P1821" s="1720" t="n"/>
    </row>
    <row r="1822" hidden="1" outlineLevel="3" ht="13.9" customHeight="1">
      <c r="A1822" s="2117" t="n">
        <v>0</v>
      </c>
      <c r="B1822" s="2117" t="n">
        <v>19</v>
      </c>
      <c r="C1822" s="2117" t="n">
        <v>10</v>
      </c>
      <c r="D1822" s="2118" t="n">
        <v>2</v>
      </c>
      <c r="E1822" s="2118" t="n">
        <v>1</v>
      </c>
      <c r="F1822" s="569" t="n"/>
      <c r="G1822" s="1798" t="inlineStr">
        <is>
          <t>LOUÇAS E METAIS</t>
        </is>
      </c>
      <c r="H1822" s="1783" t="inlineStr">
        <is>
          <t>SERVIÇO</t>
        </is>
      </c>
      <c r="I1822" s="1750" t="inlineStr">
        <is>
          <t>19.010.002.001</t>
        </is>
      </c>
      <c r="J1822" s="1785" t="inlineStr">
        <is>
          <t>Acabamentos e acessórios</t>
        </is>
      </c>
      <c r="K1822" s="1786" t="inlineStr">
        <is>
          <t>vb</t>
        </is>
      </c>
      <c r="L1822" s="1787" t="n">
        <v>1</v>
      </c>
      <c r="M1822" s="1787" t="n">
        <v>14929.12</v>
      </c>
      <c r="N1822" s="1754" t="n">
        <v>14929.12</v>
      </c>
      <c r="O1822" s="1788" t="n"/>
      <c r="P1822" s="1721" t="inlineStr">
        <is>
          <t>Pendente</t>
        </is>
      </c>
    </row>
    <row r="1823" hidden="1" outlineLevel="2" ht="13.9" customHeight="1">
      <c r="A1823" s="2117" t="n">
        <v>0</v>
      </c>
      <c r="B1823" s="2117" t="n">
        <v>19</v>
      </c>
      <c r="C1823" s="2117" t="n">
        <v>10</v>
      </c>
      <c r="D1823" s="2118" t="n">
        <v>3</v>
      </c>
      <c r="E1823" s="2118" t="n">
        <v>0</v>
      </c>
      <c r="F1823" s="569" t="n"/>
      <c r="G1823" s="1797" t="n"/>
      <c r="H1823" s="1777" t="inlineStr">
        <is>
          <t>SUBETAPA</t>
        </is>
      </c>
      <c r="I1823" s="1742" t="inlineStr">
        <is>
          <t>19.010.003</t>
        </is>
      </c>
      <c r="J1823" s="1779" t="inlineStr">
        <is>
          <t>Mão de obra</t>
        </is>
      </c>
      <c r="K1823" s="1780" t="n"/>
      <c r="L1823" s="1781" t="n"/>
      <c r="M1823" s="1781" t="n"/>
      <c r="N1823" s="1746" t="n">
        <v>19418.24</v>
      </c>
      <c r="O1823" s="1782" t="n"/>
      <c r="P1823" s="1720" t="n"/>
    </row>
    <row r="1824" hidden="1" outlineLevel="3" ht="13.9" customHeight="1">
      <c r="A1824" s="2117" t="n">
        <v>0</v>
      </c>
      <c r="B1824" s="2117" t="n">
        <v>19</v>
      </c>
      <c r="C1824" s="2117" t="n">
        <v>10</v>
      </c>
      <c r="D1824" s="2118" t="n">
        <v>3</v>
      </c>
      <c r="E1824" s="2118" t="n">
        <v>1</v>
      </c>
      <c r="F1824" s="569" t="n"/>
      <c r="G1824" s="1798" t="inlineStr">
        <is>
          <t>LOUÇAS E METAIS</t>
        </is>
      </c>
      <c r="H1824" s="1783" t="inlineStr">
        <is>
          <t>SERVIÇO</t>
        </is>
      </c>
      <c r="I1824" s="1750" t="inlineStr">
        <is>
          <t>19.010.003.001</t>
        </is>
      </c>
      <c r="J1824" s="1785" t="inlineStr">
        <is>
          <t>Instalação de louças e metais sanitários</t>
        </is>
      </c>
      <c r="K1824" s="1786" t="inlineStr">
        <is>
          <t>vb</t>
        </is>
      </c>
      <c r="L1824" s="1787" t="n">
        <v>1</v>
      </c>
      <c r="M1824" s="1787" t="n">
        <v>19418.24</v>
      </c>
      <c r="N1824" s="1754" t="n">
        <v>19418.24</v>
      </c>
      <c r="O1824" s="1788" t="n"/>
      <c r="P1824" s="1721" t="inlineStr">
        <is>
          <t>Pendente</t>
        </is>
      </c>
    </row>
    <row r="1825" hidden="1" outlineLevel="1" ht="13.9" customHeight="1">
      <c r="A1825" s="2117" t="n">
        <v>0</v>
      </c>
      <c r="B1825" s="2117" t="n">
        <v>19</v>
      </c>
      <c r="C1825" s="2117" t="n">
        <v>11</v>
      </c>
      <c r="D1825" s="2118" t="n">
        <v>0</v>
      </c>
      <c r="E1825" s="2118" t="n">
        <v>1</v>
      </c>
      <c r="F1825" s="569" t="n"/>
      <c r="G1825" s="1796" t="n"/>
      <c r="H1825" s="1771" t="inlineStr">
        <is>
          <t>ETAPA</t>
        </is>
      </c>
      <c r="I1825" s="1735" t="inlineStr">
        <is>
          <t>19.011</t>
        </is>
      </c>
      <c r="J1825" s="1773" t="inlineStr">
        <is>
          <t>LOUÇAS E METAIS - Penthouse x22</t>
        </is>
      </c>
      <c r="K1825" s="1774" t="n"/>
      <c r="L1825" s="1775" t="n"/>
      <c r="M1825" s="1775" t="n"/>
      <c r="N1825" s="1739" t="n">
        <v>179316.28</v>
      </c>
      <c r="O1825" s="1776" t="n"/>
      <c r="P1825" s="1725" t="n"/>
    </row>
    <row r="1826" hidden="1" outlineLevel="2" ht="15.75" customHeight="1">
      <c r="A1826" s="2117" t="n">
        <v>0</v>
      </c>
      <c r="B1826" s="2117" t="n">
        <v>19</v>
      </c>
      <c r="C1826" s="2117" t="n">
        <v>11</v>
      </c>
      <c r="D1826" s="2118" t="n">
        <v>1</v>
      </c>
      <c r="E1826" s="2118" t="n">
        <v>0</v>
      </c>
      <c r="F1826" s="569" t="n"/>
      <c r="G1826" s="1797" t="n"/>
      <c r="H1826" s="1777" t="inlineStr">
        <is>
          <t>SUBETAPA</t>
        </is>
      </c>
      <c r="I1826" s="1742" t="inlineStr">
        <is>
          <t>19.011.001</t>
        </is>
      </c>
      <c r="J1826" s="1779" t="inlineStr">
        <is>
          <t>Louças</t>
        </is>
      </c>
      <c r="K1826" s="1780" t="n"/>
      <c r="L1826" s="1781" t="n"/>
      <c r="M1826" s="1781" t="n"/>
      <c r="N1826" s="1746" t="n">
        <v>93083.32000000001</v>
      </c>
      <c r="O1826" s="1782" t="n"/>
      <c r="P1826" s="1720" t="n"/>
    </row>
    <row r="1827" hidden="1" outlineLevel="3" ht="13.9" customHeight="1">
      <c r="A1827" s="2117" t="n">
        <v>0</v>
      </c>
      <c r="B1827" s="2117" t="n">
        <v>19</v>
      </c>
      <c r="C1827" s="2117" t="n">
        <v>11</v>
      </c>
      <c r="D1827" s="2118" t="n">
        <v>1</v>
      </c>
      <c r="E1827" s="2118" t="n">
        <v>1</v>
      </c>
      <c r="F1827" s="569" t="n"/>
      <c r="G1827" s="1798" t="inlineStr">
        <is>
          <t>LOUÇAS E METAIS</t>
        </is>
      </c>
      <c r="H1827" s="1783" t="inlineStr">
        <is>
          <t>SERVIÇO</t>
        </is>
      </c>
      <c r="I1827" s="1750" t="inlineStr">
        <is>
          <t>19.011.001.001</t>
        </is>
      </c>
      <c r="J1827" s="1785" t="inlineStr">
        <is>
          <t xml:space="preserve">Louças </t>
        </is>
      </c>
      <c r="K1827" s="1786" t="inlineStr">
        <is>
          <t>vb</t>
        </is>
      </c>
      <c r="L1827" s="1787" t="n">
        <v>1</v>
      </c>
      <c r="M1827" s="1787" t="n">
        <v>93083.31999999999</v>
      </c>
      <c r="N1827" s="1754" t="n">
        <v>93083.32000000001</v>
      </c>
      <c r="O1827" s="1788" t="n"/>
      <c r="P1827" s="1721" t="inlineStr">
        <is>
          <t>Pendente</t>
        </is>
      </c>
    </row>
    <row r="1828" hidden="1" outlineLevel="2" ht="13.9" customHeight="1">
      <c r="A1828" s="2117" t="n">
        <v>0</v>
      </c>
      <c r="B1828" s="2117" t="n">
        <v>19</v>
      </c>
      <c r="C1828" s="2117" t="n">
        <v>11</v>
      </c>
      <c r="D1828" s="2118" t="n">
        <v>2</v>
      </c>
      <c r="E1828" s="2118" t="n">
        <v>0</v>
      </c>
      <c r="F1828" s="569" t="n"/>
      <c r="G1828" s="1797" t="n"/>
      <c r="H1828" s="1777" t="inlineStr">
        <is>
          <t>SUBETAPA</t>
        </is>
      </c>
      <c r="I1828" s="1742" t="inlineStr">
        <is>
          <t>19.011.002</t>
        </is>
      </c>
      <c r="J1828" s="1779" t="inlineStr">
        <is>
          <t>Metais e acessórios</t>
        </is>
      </c>
      <c r="K1828" s="1780" t="n"/>
      <c r="L1828" s="1781" t="n"/>
      <c r="M1828" s="1781" t="n"/>
      <c r="N1828" s="1746" t="n">
        <v>32804.64</v>
      </c>
      <c r="O1828" s="1782" t="n"/>
      <c r="P1828" s="1720" t="n"/>
    </row>
    <row r="1829" hidden="1" outlineLevel="3" ht="13.9" customHeight="1">
      <c r="A1829" s="2117" t="n">
        <v>0</v>
      </c>
      <c r="B1829" s="2117" t="n">
        <v>19</v>
      </c>
      <c r="C1829" s="2117" t="n">
        <v>11</v>
      </c>
      <c r="D1829" s="2118" t="n">
        <v>2</v>
      </c>
      <c r="E1829" s="2118" t="n">
        <v>1</v>
      </c>
      <c r="F1829" s="569" t="n"/>
      <c r="G1829" s="1798" t="inlineStr">
        <is>
          <t>LOUÇAS E METAIS</t>
        </is>
      </c>
      <c r="H1829" s="1783" t="inlineStr">
        <is>
          <t>SERVIÇO</t>
        </is>
      </c>
      <c r="I1829" s="1750" t="inlineStr">
        <is>
          <t>19.011.002.001</t>
        </is>
      </c>
      <c r="J1829" s="1785" t="inlineStr">
        <is>
          <t>Acabamentos e acessórios</t>
        </is>
      </c>
      <c r="K1829" s="1786" t="inlineStr">
        <is>
          <t>vb</t>
        </is>
      </c>
      <c r="L1829" s="1787" t="n">
        <v>1</v>
      </c>
      <c r="M1829" s="1787" t="n">
        <v>32804.64</v>
      </c>
      <c r="N1829" s="1754" t="n">
        <v>32804.64</v>
      </c>
      <c r="O1829" s="1788" t="n"/>
      <c r="P1829" s="1721" t="inlineStr">
        <is>
          <t>Pendente</t>
        </is>
      </c>
    </row>
    <row r="1830" hidden="1" outlineLevel="2" ht="13.9" customHeight="1">
      <c r="A1830" s="2117" t="n">
        <v>0</v>
      </c>
      <c r="B1830" s="2117" t="n">
        <v>19</v>
      </c>
      <c r="C1830" s="2117" t="n">
        <v>11</v>
      </c>
      <c r="D1830" s="2118" t="n">
        <v>3</v>
      </c>
      <c r="E1830" s="2118" t="n">
        <v>0</v>
      </c>
      <c r="F1830" s="569" t="n"/>
      <c r="G1830" s="1797" t="n"/>
      <c r="H1830" s="1777" t="inlineStr">
        <is>
          <t>SUBETAPA</t>
        </is>
      </c>
      <c r="I1830" s="1742" t="inlineStr">
        <is>
          <t>19.011.003</t>
        </is>
      </c>
      <c r="J1830" s="1779" t="inlineStr">
        <is>
          <t>Mão de obra</t>
        </is>
      </c>
      <c r="K1830" s="1780" t="n"/>
      <c r="L1830" s="1781" t="n"/>
      <c r="M1830" s="1781" t="n"/>
      <c r="N1830" s="1746" t="n">
        <v>53428.32</v>
      </c>
      <c r="O1830" s="1782" t="n"/>
      <c r="P1830" s="1720" t="n"/>
    </row>
    <row r="1831" hidden="1" outlineLevel="3" ht="13.9" customHeight="1">
      <c r="A1831" s="2117" t="n">
        <v>0</v>
      </c>
      <c r="B1831" s="2117" t="n">
        <v>19</v>
      </c>
      <c r="C1831" s="2117" t="n">
        <v>11</v>
      </c>
      <c r="D1831" s="2118" t="n">
        <v>3</v>
      </c>
      <c r="E1831" s="2118" t="n">
        <v>1</v>
      </c>
      <c r="F1831" s="569" t="n"/>
      <c r="G1831" s="1798" t="inlineStr">
        <is>
          <t>LOUÇAS E METAIS</t>
        </is>
      </c>
      <c r="H1831" s="1783" t="inlineStr">
        <is>
          <t>SERVIÇO</t>
        </is>
      </c>
      <c r="I1831" s="1750" t="inlineStr">
        <is>
          <t>19.011.003.001</t>
        </is>
      </c>
      <c r="J1831" s="1785" t="inlineStr">
        <is>
          <t>Instalação de louças e metais sanitários</t>
        </is>
      </c>
      <c r="K1831" s="1786" t="inlineStr">
        <is>
          <t>vb</t>
        </is>
      </c>
      <c r="L1831" s="1787" t="n">
        <v>1</v>
      </c>
      <c r="M1831" s="1787" t="n">
        <v>53428.32</v>
      </c>
      <c r="N1831" s="1754" t="n">
        <v>53428.32</v>
      </c>
      <c r="O1831" s="1788" t="n"/>
      <c r="P1831" s="1721" t="inlineStr">
        <is>
          <t>Pendente</t>
        </is>
      </c>
    </row>
    <row r="1832" hidden="1" outlineLevel="1" ht="13.9" customHeight="1">
      <c r="A1832" s="2117" t="n">
        <v>0</v>
      </c>
      <c r="B1832" s="2117" t="n">
        <v>19</v>
      </c>
      <c r="C1832" s="2117" t="n">
        <v>12</v>
      </c>
      <c r="D1832" s="2118" t="n">
        <v>0</v>
      </c>
      <c r="E1832" s="2118" t="n">
        <v>1</v>
      </c>
      <c r="F1832" s="569" t="n"/>
      <c r="G1832" s="1796" t="n"/>
      <c r="H1832" s="1771" t="inlineStr">
        <is>
          <t>ETAPA</t>
        </is>
      </c>
      <c r="I1832" s="1735" t="inlineStr">
        <is>
          <t>19.012</t>
        </is>
      </c>
      <c r="J1832" s="1773" t="inlineStr">
        <is>
          <t>LOUÇAS E METAIS - Duplex Inferior</t>
        </is>
      </c>
      <c r="K1832" s="1774" t="n"/>
      <c r="L1832" s="1775" t="n"/>
      <c r="M1832" s="1775" t="n"/>
      <c r="N1832" s="1739" t="n">
        <v>8437.389999999999</v>
      </c>
      <c r="O1832" s="1776" t="n"/>
      <c r="P1832" s="1725" t="n"/>
    </row>
    <row r="1833" hidden="1" outlineLevel="2" ht="15.75" customHeight="1">
      <c r="A1833" s="2117" t="n">
        <v>0</v>
      </c>
      <c r="B1833" s="2117" t="n">
        <v>19</v>
      </c>
      <c r="C1833" s="2117" t="n">
        <v>12</v>
      </c>
      <c r="D1833" s="2118" t="n">
        <v>1</v>
      </c>
      <c r="E1833" s="2118" t="n">
        <v>0</v>
      </c>
      <c r="F1833" s="569" t="n"/>
      <c r="G1833" s="1797" t="n"/>
      <c r="H1833" s="1777" t="inlineStr">
        <is>
          <t>SUBETAPA</t>
        </is>
      </c>
      <c r="I1833" s="1742" t="inlineStr">
        <is>
          <t>19.012.001</t>
        </is>
      </c>
      <c r="J1833" s="1779" t="inlineStr">
        <is>
          <t>Louças</t>
        </is>
      </c>
      <c r="K1833" s="1780" t="n"/>
      <c r="L1833" s="1781" t="n"/>
      <c r="M1833" s="1781" t="n"/>
      <c r="N1833" s="1746" t="n">
        <v>4354.07</v>
      </c>
      <c r="O1833" s="1782" t="n"/>
      <c r="P1833" s="1720" t="n"/>
    </row>
    <row r="1834" hidden="1" outlineLevel="3" ht="13.9" customHeight="1">
      <c r="A1834" s="2117" t="n">
        <v>0</v>
      </c>
      <c r="B1834" s="2117" t="n">
        <v>19</v>
      </c>
      <c r="C1834" s="2117" t="n">
        <v>12</v>
      </c>
      <c r="D1834" s="2118" t="n">
        <v>1</v>
      </c>
      <c r="E1834" s="2118" t="n">
        <v>1</v>
      </c>
      <c r="F1834" s="569" t="n"/>
      <c r="G1834" s="1798" t="inlineStr">
        <is>
          <t>LOUÇAS E METAIS</t>
        </is>
      </c>
      <c r="H1834" s="1783" t="inlineStr">
        <is>
          <t>SERVIÇO</t>
        </is>
      </c>
      <c r="I1834" s="1750" t="inlineStr">
        <is>
          <t>19.012.001.001</t>
        </is>
      </c>
      <c r="J1834" s="1785" t="inlineStr">
        <is>
          <t xml:space="preserve">Louças </t>
        </is>
      </c>
      <c r="K1834" s="1786" t="inlineStr">
        <is>
          <t>vb</t>
        </is>
      </c>
      <c r="L1834" s="1787" t="n">
        <v>1</v>
      </c>
      <c r="M1834" s="1787" t="n">
        <v>4354.07</v>
      </c>
      <c r="N1834" s="1754" t="n">
        <v>4354.07</v>
      </c>
      <c r="O1834" s="1788" t="n"/>
      <c r="P1834" s="1721" t="inlineStr">
        <is>
          <t>Pendente</t>
        </is>
      </c>
    </row>
    <row r="1835" hidden="1" outlineLevel="2" ht="13.9" customHeight="1">
      <c r="A1835" s="2117" t="n">
        <v>0</v>
      </c>
      <c r="B1835" s="2117" t="n">
        <v>19</v>
      </c>
      <c r="C1835" s="2117" t="n">
        <v>12</v>
      </c>
      <c r="D1835" s="2118" t="n">
        <v>2</v>
      </c>
      <c r="E1835" s="2118" t="n">
        <v>0</v>
      </c>
      <c r="F1835" s="569" t="n"/>
      <c r="G1835" s="1797" t="n"/>
      <c r="H1835" s="1777" t="inlineStr">
        <is>
          <t>SUBETAPA</t>
        </is>
      </c>
      <c r="I1835" s="1742" t="inlineStr">
        <is>
          <t>19.012.002</t>
        </is>
      </c>
      <c r="J1835" s="1779" t="inlineStr">
        <is>
          <t>Metais e acessórios</t>
        </is>
      </c>
      <c r="K1835" s="1780" t="n"/>
      <c r="L1835" s="1781" t="n"/>
      <c r="M1835" s="1781" t="n"/>
      <c r="N1835" s="1746" t="n">
        <v>1739.64</v>
      </c>
      <c r="O1835" s="1782" t="n"/>
      <c r="P1835" s="1720" t="n"/>
    </row>
    <row r="1836" hidden="1" outlineLevel="3" ht="13.9" customHeight="1">
      <c r="A1836" s="2117" t="n">
        <v>0</v>
      </c>
      <c r="B1836" s="2117" t="n">
        <v>19</v>
      </c>
      <c r="C1836" s="2117" t="n">
        <v>12</v>
      </c>
      <c r="D1836" s="2118" t="n">
        <v>2</v>
      </c>
      <c r="E1836" s="2118" t="n">
        <v>1</v>
      </c>
      <c r="F1836" s="569" t="n"/>
      <c r="G1836" s="1798" t="inlineStr">
        <is>
          <t>LOUÇAS E METAIS</t>
        </is>
      </c>
      <c r="H1836" s="1783" t="inlineStr">
        <is>
          <t>SERVIÇO</t>
        </is>
      </c>
      <c r="I1836" s="1750" t="inlineStr">
        <is>
          <t>19.012.002.001</t>
        </is>
      </c>
      <c r="J1836" s="1785" t="inlineStr">
        <is>
          <t>Acabamentos e acessórios</t>
        </is>
      </c>
      <c r="K1836" s="1786" t="inlineStr">
        <is>
          <t>vb</t>
        </is>
      </c>
      <c r="L1836" s="1787" t="n">
        <v>1</v>
      </c>
      <c r="M1836" s="1787" t="n">
        <v>1739.64</v>
      </c>
      <c r="N1836" s="1754" t="n">
        <v>1739.64</v>
      </c>
      <c r="O1836" s="1788" t="n"/>
      <c r="P1836" s="1721" t="inlineStr">
        <is>
          <t>Pendente</t>
        </is>
      </c>
    </row>
    <row r="1837" hidden="1" outlineLevel="2" ht="13.9" customHeight="1">
      <c r="A1837" s="2117" t="n">
        <v>0</v>
      </c>
      <c r="B1837" s="2117" t="n">
        <v>19</v>
      </c>
      <c r="C1837" s="2117" t="n">
        <v>12</v>
      </c>
      <c r="D1837" s="2118" t="n">
        <v>3</v>
      </c>
      <c r="E1837" s="2118" t="n">
        <v>0</v>
      </c>
      <c r="F1837" s="569" t="n"/>
      <c r="G1837" s="1797" t="n"/>
      <c r="H1837" s="1777" t="inlineStr">
        <is>
          <t>SUBETAPA</t>
        </is>
      </c>
      <c r="I1837" s="1742" t="inlineStr">
        <is>
          <t>19.012.003</t>
        </is>
      </c>
      <c r="J1837" s="1779" t="inlineStr">
        <is>
          <t>Mão de obra</t>
        </is>
      </c>
      <c r="K1837" s="1780" t="n"/>
      <c r="L1837" s="1781" t="n"/>
      <c r="M1837" s="1781" t="n"/>
      <c r="N1837" s="1746" t="n">
        <v>2343.68</v>
      </c>
      <c r="O1837" s="1782" t="n"/>
      <c r="P1837" s="1720" t="n"/>
    </row>
    <row r="1838" hidden="1" outlineLevel="3" ht="13.9" customHeight="1">
      <c r="A1838" s="2117" t="n">
        <v>0</v>
      </c>
      <c r="B1838" s="2117" t="n">
        <v>19</v>
      </c>
      <c r="C1838" s="2117" t="n">
        <v>12</v>
      </c>
      <c r="D1838" s="2118" t="n">
        <v>3</v>
      </c>
      <c r="E1838" s="2118" t="n">
        <v>1</v>
      </c>
      <c r="F1838" s="569" t="n"/>
      <c r="G1838" s="1798" t="inlineStr">
        <is>
          <t>LOUÇAS E METAIS</t>
        </is>
      </c>
      <c r="H1838" s="1783" t="inlineStr">
        <is>
          <t>SERVIÇO</t>
        </is>
      </c>
      <c r="I1838" s="1750" t="inlineStr">
        <is>
          <t>19.012.003.001</t>
        </is>
      </c>
      <c r="J1838" s="1785" t="inlineStr">
        <is>
          <t>Instalação de louças e metais sanitários</t>
        </is>
      </c>
      <c r="K1838" s="1786" t="inlineStr">
        <is>
          <t>vb</t>
        </is>
      </c>
      <c r="L1838" s="1787" t="n">
        <v>1</v>
      </c>
      <c r="M1838" s="1787" t="n">
        <v>2343.68</v>
      </c>
      <c r="N1838" s="1754" t="n">
        <v>2343.68</v>
      </c>
      <c r="O1838" s="1788" t="n"/>
      <c r="P1838" s="1721" t="inlineStr">
        <is>
          <t>Pendente</t>
        </is>
      </c>
    </row>
    <row r="1839" hidden="1" outlineLevel="1" ht="13.9" customHeight="1">
      <c r="A1839" s="2117" t="n">
        <v>0</v>
      </c>
      <c r="B1839" s="2117" t="n">
        <v>19</v>
      </c>
      <c r="C1839" s="2117" t="n">
        <v>13</v>
      </c>
      <c r="D1839" s="2118" t="n">
        <v>0</v>
      </c>
      <c r="E1839" s="2118" t="n">
        <v>1</v>
      </c>
      <c r="F1839" s="569" t="n"/>
      <c r="G1839" s="1796" t="n"/>
      <c r="H1839" s="1771" t="inlineStr">
        <is>
          <t>ETAPA</t>
        </is>
      </c>
      <c r="I1839" s="1735" t="inlineStr">
        <is>
          <t>19.013</t>
        </is>
      </c>
      <c r="J1839" s="1773" t="inlineStr">
        <is>
          <t>LOUÇAS E METAIS - Duplex Superior</t>
        </is>
      </c>
      <c r="K1839" s="1774" t="n"/>
      <c r="L1839" s="1775" t="n"/>
      <c r="M1839" s="1775" t="n"/>
      <c r="N1839" s="1739" t="n">
        <v>3820.45</v>
      </c>
      <c r="O1839" s="1776" t="n"/>
      <c r="P1839" s="1725" t="n"/>
    </row>
    <row r="1840" hidden="1" outlineLevel="2" ht="15.75" customHeight="1">
      <c r="A1840" s="2117" t="n">
        <v>0</v>
      </c>
      <c r="B1840" s="2117" t="n">
        <v>19</v>
      </c>
      <c r="C1840" s="2117" t="n">
        <v>13</v>
      </c>
      <c r="D1840" s="2118" t="n">
        <v>1</v>
      </c>
      <c r="E1840" s="2118" t="n">
        <v>0</v>
      </c>
      <c r="F1840" s="569" t="n"/>
      <c r="G1840" s="1797" t="n"/>
      <c r="H1840" s="1777" t="inlineStr">
        <is>
          <t>SUBETAPA</t>
        </is>
      </c>
      <c r="I1840" s="1742" t="inlineStr">
        <is>
          <t>19.013.001</t>
        </is>
      </c>
      <c r="J1840" s="1779" t="inlineStr">
        <is>
          <t>Louças</t>
        </is>
      </c>
      <c r="K1840" s="1780" t="n"/>
      <c r="L1840" s="1781" t="n"/>
      <c r="M1840" s="1781" t="n"/>
      <c r="N1840" s="1746" t="n">
        <v>1244.02</v>
      </c>
      <c r="O1840" s="1782" t="n"/>
      <c r="P1840" s="1720" t="n"/>
    </row>
    <row r="1841" hidden="1" outlineLevel="3" ht="13.9" customHeight="1">
      <c r="A1841" s="2117" t="n">
        <v>0</v>
      </c>
      <c r="B1841" s="2117" t="n">
        <v>19</v>
      </c>
      <c r="C1841" s="2117" t="n">
        <v>13</v>
      </c>
      <c r="D1841" s="2118" t="n">
        <v>1</v>
      </c>
      <c r="E1841" s="2118" t="n">
        <v>1</v>
      </c>
      <c r="F1841" s="569" t="n"/>
      <c r="G1841" s="1798" t="inlineStr">
        <is>
          <t>LOUÇAS E METAIS</t>
        </is>
      </c>
      <c r="H1841" s="1783" t="inlineStr">
        <is>
          <t>SERVIÇO</t>
        </is>
      </c>
      <c r="I1841" s="1750" t="inlineStr">
        <is>
          <t>19.013.001.001</t>
        </is>
      </c>
      <c r="J1841" s="1785" t="inlineStr">
        <is>
          <t xml:space="preserve">Louças </t>
        </is>
      </c>
      <c r="K1841" s="1786" t="inlineStr">
        <is>
          <t>vb</t>
        </is>
      </c>
      <c r="L1841" s="1787" t="n">
        <v>1</v>
      </c>
      <c r="M1841" s="1787" t="n">
        <v>1244.02</v>
      </c>
      <c r="N1841" s="1754" t="n">
        <v>1244.02</v>
      </c>
      <c r="O1841" s="1788" t="n"/>
      <c r="P1841" s="1721" t="inlineStr">
        <is>
          <t>Pendente</t>
        </is>
      </c>
    </row>
    <row r="1842" hidden="1" outlineLevel="2" ht="13.9" customHeight="1">
      <c r="A1842" s="2117" t="n">
        <v>0</v>
      </c>
      <c r="B1842" s="2117" t="n">
        <v>19</v>
      </c>
      <c r="C1842" s="2117" t="n">
        <v>13</v>
      </c>
      <c r="D1842" s="2118" t="n">
        <v>2</v>
      </c>
      <c r="E1842" s="2118" t="n">
        <v>0</v>
      </c>
      <c r="F1842" s="569" t="n"/>
      <c r="G1842" s="1797" t="n"/>
      <c r="H1842" s="1777" t="inlineStr">
        <is>
          <t>SUBETAPA</t>
        </is>
      </c>
      <c r="I1842" s="1742" t="inlineStr">
        <is>
          <t>19.013.002</t>
        </is>
      </c>
      <c r="J1842" s="1779" t="inlineStr">
        <is>
          <t>Metais e acessórios</t>
        </is>
      </c>
      <c r="K1842" s="1780" t="n"/>
      <c r="L1842" s="1781" t="n"/>
      <c r="M1842" s="1781" t="n"/>
      <c r="N1842" s="1746" t="n">
        <v>346.03</v>
      </c>
      <c r="O1842" s="1782" t="n"/>
      <c r="P1842" s="1720" t="n"/>
    </row>
    <row r="1843" hidden="1" outlineLevel="3" ht="13.9" customHeight="1">
      <c r="A1843" s="2117" t="n">
        <v>0</v>
      </c>
      <c r="B1843" s="2117" t="n">
        <v>19</v>
      </c>
      <c r="C1843" s="2117" t="n">
        <v>13</v>
      </c>
      <c r="D1843" s="2118" t="n">
        <v>2</v>
      </c>
      <c r="E1843" s="2118" t="n">
        <v>1</v>
      </c>
      <c r="F1843" s="569" t="n"/>
      <c r="G1843" s="1798" t="inlineStr">
        <is>
          <t>LOUÇAS E METAIS</t>
        </is>
      </c>
      <c r="H1843" s="1783" t="inlineStr">
        <is>
          <t>SERVIÇO</t>
        </is>
      </c>
      <c r="I1843" s="1750" t="inlineStr">
        <is>
          <t>19.013.002.001</t>
        </is>
      </c>
      <c r="J1843" s="1785" t="inlineStr">
        <is>
          <t>Acabamentos e acessórios</t>
        </is>
      </c>
      <c r="K1843" s="1786" t="inlineStr">
        <is>
          <t>vb</t>
        </is>
      </c>
      <c r="L1843" s="1787" t="n">
        <v>1</v>
      </c>
      <c r="M1843" s="1787" t="n">
        <v>346.03</v>
      </c>
      <c r="N1843" s="1754" t="n">
        <v>346.03</v>
      </c>
      <c r="O1843" s="1788" t="n"/>
      <c r="P1843" s="1721" t="inlineStr">
        <is>
          <t>Pendente</t>
        </is>
      </c>
    </row>
    <row r="1844" hidden="1" outlineLevel="2" ht="13.9" customHeight="1">
      <c r="A1844" s="2117" t="n">
        <v>0</v>
      </c>
      <c r="B1844" s="2117" t="n">
        <v>19</v>
      </c>
      <c r="C1844" s="2117" t="n">
        <v>13</v>
      </c>
      <c r="D1844" s="2118" t="n">
        <v>3</v>
      </c>
      <c r="E1844" s="2118" t="n">
        <v>0</v>
      </c>
      <c r="F1844" s="569" t="n"/>
      <c r="G1844" s="1797" t="n"/>
      <c r="H1844" s="1777" t="inlineStr">
        <is>
          <t>SUBETAPA</t>
        </is>
      </c>
      <c r="I1844" s="1742" t="inlineStr">
        <is>
          <t>19.013.003</t>
        </is>
      </c>
      <c r="J1844" s="1779" t="inlineStr">
        <is>
          <t>Mão de obra</t>
        </is>
      </c>
      <c r="K1844" s="1780" t="n"/>
      <c r="L1844" s="1781" t="n"/>
      <c r="M1844" s="1781" t="n"/>
      <c r="N1844" s="1746" t="n">
        <v>2230.4</v>
      </c>
      <c r="O1844" s="1782" t="n"/>
      <c r="P1844" s="1720" t="n"/>
    </row>
    <row r="1845" hidden="1" outlineLevel="3" ht="13.9" customHeight="1">
      <c r="A1845" s="2117" t="n">
        <v>0</v>
      </c>
      <c r="B1845" s="2117" t="n">
        <v>19</v>
      </c>
      <c r="C1845" s="2117" t="n">
        <v>13</v>
      </c>
      <c r="D1845" s="2118" t="n">
        <v>3</v>
      </c>
      <c r="E1845" s="2118" t="n">
        <v>1</v>
      </c>
      <c r="F1845" s="569" t="n"/>
      <c r="G1845" s="1798" t="inlineStr">
        <is>
          <t>LOUÇAS E METAIS</t>
        </is>
      </c>
      <c r="H1845" s="1783" t="inlineStr">
        <is>
          <t>SERVIÇO</t>
        </is>
      </c>
      <c r="I1845" s="1750" t="inlineStr">
        <is>
          <t>19.013.003.001</t>
        </is>
      </c>
      <c r="J1845" s="1785" t="inlineStr">
        <is>
          <t>Instalação de louças e metais sanitários</t>
        </is>
      </c>
      <c r="K1845" s="1786" t="inlineStr">
        <is>
          <t>vb</t>
        </is>
      </c>
      <c r="L1845" s="1787" t="n">
        <v>1</v>
      </c>
      <c r="M1845" s="1787" t="n">
        <v>2230.4</v>
      </c>
      <c r="N1845" s="1754" t="n">
        <v>2230.4</v>
      </c>
      <c r="O1845" s="1788" t="n"/>
      <c r="P1845" s="1721" t="inlineStr">
        <is>
          <t>Pendente</t>
        </is>
      </c>
    </row>
    <row r="1846" hidden="1" outlineLevel="1" ht="13.9" customHeight="1">
      <c r="A1846" s="2117" t="n">
        <v>0</v>
      </c>
      <c r="B1846" s="2117" t="n">
        <v>19</v>
      </c>
      <c r="C1846" s="2117" t="n">
        <v>14</v>
      </c>
      <c r="D1846" s="2118" t="n">
        <v>0</v>
      </c>
      <c r="E1846" s="2118" t="n">
        <v>1</v>
      </c>
      <c r="F1846" s="569" t="n"/>
      <c r="G1846" s="1796" t="n"/>
      <c r="H1846" s="1771" t="inlineStr">
        <is>
          <t>ETAPA</t>
        </is>
      </c>
      <c r="I1846" s="1735" t="inlineStr">
        <is>
          <t>19.014</t>
        </is>
      </c>
      <c r="J1846" s="1773" t="inlineStr">
        <is>
          <t>LOUÇAS E METAIS - Cobertura | Barrilete</t>
        </is>
      </c>
      <c r="K1846" s="1774" t="n"/>
      <c r="L1846" s="1775" t="n"/>
      <c r="M1846" s="1775" t="n"/>
      <c r="N1846" s="1739" t="n">
        <v>1189.76</v>
      </c>
      <c r="O1846" s="1776" t="n"/>
      <c r="P1846" s="1725" t="n"/>
    </row>
    <row r="1847" hidden="1" outlineLevel="2" ht="13.9" customHeight="1">
      <c r="A1847" s="2117" t="n">
        <v>0</v>
      </c>
      <c r="B1847" s="2117" t="n">
        <v>19</v>
      </c>
      <c r="C1847" s="2117" t="n">
        <v>14</v>
      </c>
      <c r="D1847" s="2118" t="n">
        <v>1</v>
      </c>
      <c r="E1847" s="2118" t="n">
        <v>0</v>
      </c>
      <c r="F1847" s="569" t="n"/>
      <c r="G1847" s="1797" t="n"/>
      <c r="H1847" s="1777" t="inlineStr">
        <is>
          <t>SUBETAPA</t>
        </is>
      </c>
      <c r="I1847" s="1742" t="inlineStr">
        <is>
          <t>19.014.001</t>
        </is>
      </c>
      <c r="J1847" s="1779" t="inlineStr">
        <is>
          <t>Metais e acessórios</t>
        </is>
      </c>
      <c r="K1847" s="1780" t="n"/>
      <c r="L1847" s="1781" t="n"/>
      <c r="M1847" s="1781" t="n"/>
      <c r="N1847" s="1746" t="n">
        <v>600</v>
      </c>
      <c r="O1847" s="1782" t="n"/>
      <c r="P1847" s="1720" t="n"/>
    </row>
    <row r="1848" hidden="1" outlineLevel="3" ht="13.9" customHeight="1">
      <c r="A1848" s="2117" t="n">
        <v>0</v>
      </c>
      <c r="B1848" s="2117" t="n">
        <v>19</v>
      </c>
      <c r="C1848" s="2117" t="n">
        <v>14</v>
      </c>
      <c r="D1848" s="2118" t="n">
        <v>1</v>
      </c>
      <c r="E1848" s="2118" t="n">
        <v>1</v>
      </c>
      <c r="F1848" s="569" t="n"/>
      <c r="G1848" s="1798" t="inlineStr">
        <is>
          <t>LOUÇAS E METAIS</t>
        </is>
      </c>
      <c r="H1848" s="1783" t="inlineStr">
        <is>
          <t>SERVIÇO</t>
        </is>
      </c>
      <c r="I1848" s="1750" t="inlineStr">
        <is>
          <t>19.014.001.001</t>
        </is>
      </c>
      <c r="J1848" s="1785" t="inlineStr">
        <is>
          <t>Acabamentos e acessórios</t>
        </is>
      </c>
      <c r="K1848" s="1786" t="inlineStr">
        <is>
          <t>vb</t>
        </is>
      </c>
      <c r="L1848" s="1787" t="n">
        <v>1</v>
      </c>
      <c r="M1848" s="1787" t="n">
        <v>600</v>
      </c>
      <c r="N1848" s="1754" t="n">
        <v>600</v>
      </c>
      <c r="O1848" s="1788" t="n"/>
      <c r="P1848" s="1721" t="inlineStr">
        <is>
          <t>Pendente</t>
        </is>
      </c>
    </row>
    <row r="1849" hidden="1" outlineLevel="2" ht="13.9" customHeight="1">
      <c r="A1849" s="2117" t="n">
        <v>0</v>
      </c>
      <c r="B1849" s="2117" t="n">
        <v>19</v>
      </c>
      <c r="C1849" s="2117" t="n">
        <v>14</v>
      </c>
      <c r="D1849" s="2118" t="n">
        <v>2</v>
      </c>
      <c r="E1849" s="2118" t="n">
        <v>0</v>
      </c>
      <c r="F1849" s="569" t="n"/>
      <c r="G1849" s="1797" t="n"/>
      <c r="H1849" s="1777" t="inlineStr">
        <is>
          <t>SUBETAPA</t>
        </is>
      </c>
      <c r="I1849" s="1742" t="inlineStr">
        <is>
          <t>19.014.002</t>
        </is>
      </c>
      <c r="J1849" s="1779" t="inlineStr">
        <is>
          <t>Mão de obra</t>
        </is>
      </c>
      <c r="K1849" s="1780" t="n"/>
      <c r="L1849" s="1781" t="n"/>
      <c r="M1849" s="1781" t="n"/>
      <c r="N1849" s="1746" t="n">
        <v>589.76</v>
      </c>
      <c r="O1849" s="1782" t="n"/>
      <c r="P1849" s="1720" t="n"/>
    </row>
    <row r="1850" hidden="1" outlineLevel="3" ht="13.9" customHeight="1">
      <c r="A1850" s="2117" t="n">
        <v>0</v>
      </c>
      <c r="B1850" s="2117" t="n">
        <v>19</v>
      </c>
      <c r="C1850" s="2117" t="n">
        <v>14</v>
      </c>
      <c r="D1850" s="2118" t="n">
        <v>2</v>
      </c>
      <c r="E1850" s="2118" t="n">
        <v>1</v>
      </c>
      <c r="F1850" s="569" t="n"/>
      <c r="G1850" s="1798" t="inlineStr">
        <is>
          <t>LOUÇAS E METAIS</t>
        </is>
      </c>
      <c r="H1850" s="1783" t="inlineStr">
        <is>
          <t>SERVIÇO</t>
        </is>
      </c>
      <c r="I1850" s="1750" t="inlineStr">
        <is>
          <t>19.014.002.001</t>
        </is>
      </c>
      <c r="J1850" s="1785" t="inlineStr">
        <is>
          <t>Instalação de louças e metais sanitários</t>
        </is>
      </c>
      <c r="K1850" s="1786" t="inlineStr">
        <is>
          <t>vb</t>
        </is>
      </c>
      <c r="L1850" s="1787" t="n">
        <v>1</v>
      </c>
      <c r="M1850" s="1787" t="n">
        <v>589.76</v>
      </c>
      <c r="N1850" s="1754" t="n">
        <v>589.76</v>
      </c>
      <c r="O1850" s="1788" t="n"/>
      <c r="P1850" s="1721" t="inlineStr">
        <is>
          <t>Pendente</t>
        </is>
      </c>
    </row>
    <row r="1851" collapsed="1" ht="13.9" customHeight="1">
      <c r="A1851" s="2117" t="n">
        <v>0</v>
      </c>
      <c r="B1851" s="2117" t="n">
        <v>20</v>
      </c>
      <c r="C1851" s="2117" t="n">
        <v>0</v>
      </c>
      <c r="D1851" s="2118" t="n">
        <v>2</v>
      </c>
      <c r="E1851" s="2118" t="n">
        <v>1</v>
      </c>
      <c r="F1851" s="569" t="n"/>
      <c r="G1851" s="1794" t="n"/>
      <c r="H1851" s="1766" t="inlineStr">
        <is>
          <t>CÉLULA CONSTRUTIVA</t>
        </is>
      </c>
      <c r="I1851" s="1728" t="inlineStr">
        <is>
          <t>20</t>
        </is>
      </c>
      <c r="J1851" s="1795" t="inlineStr">
        <is>
          <t>COBERTURA</t>
        </is>
      </c>
      <c r="K1851" s="1768" t="n"/>
      <c r="L1851" s="1769" t="n"/>
      <c r="M1851" s="1769" t="n"/>
      <c r="N1851" s="1732" t="n">
        <v>34721</v>
      </c>
      <c r="O1851" s="1770" t="n">
        <v>2.07293636232833</v>
      </c>
      <c r="P1851" s="1724" t="n"/>
    </row>
    <row r="1852" hidden="1" outlineLevel="1" ht="13.9" customHeight="1">
      <c r="A1852" s="2117" t="n">
        <v>0</v>
      </c>
      <c r="B1852" s="2117" t="n">
        <v>20</v>
      </c>
      <c r="C1852" s="2117" t="n">
        <v>1</v>
      </c>
      <c r="D1852" s="2118" t="n">
        <v>0</v>
      </c>
      <c r="E1852" s="2118" t="n">
        <v>1</v>
      </c>
      <c r="F1852" s="569" t="n"/>
      <c r="G1852" s="1796" t="n"/>
      <c r="H1852" s="1771" t="inlineStr">
        <is>
          <t>ETAPA</t>
        </is>
      </c>
      <c r="I1852" s="1735" t="inlineStr">
        <is>
          <t>20.001</t>
        </is>
      </c>
      <c r="J1852" s="1773" t="inlineStr">
        <is>
          <t>COBERTURA</t>
        </is>
      </c>
      <c r="K1852" s="1774" t="n"/>
      <c r="L1852" s="1775" t="n"/>
      <c r="M1852" s="1775" t="n"/>
      <c r="N1852" s="1739" t="n">
        <v>34721</v>
      </c>
      <c r="O1852" s="1776" t="n"/>
      <c r="P1852" s="1725" t="n"/>
    </row>
    <row r="1853" hidden="1" outlineLevel="2" ht="13.9" customHeight="1">
      <c r="A1853" s="2117" t="n">
        <v>0</v>
      </c>
      <c r="B1853" s="2117" t="n">
        <v>20</v>
      </c>
      <c r="C1853" s="2117" t="n">
        <v>1</v>
      </c>
      <c r="D1853" s="2118" t="n">
        <v>1</v>
      </c>
      <c r="E1853" s="2118" t="n">
        <v>0</v>
      </c>
      <c r="F1853" s="569" t="n"/>
      <c r="G1853" s="1797" t="n"/>
      <c r="H1853" s="1777" t="inlineStr">
        <is>
          <t>SUBETAPA</t>
        </is>
      </c>
      <c r="I1853" s="1742" t="inlineStr">
        <is>
          <t>20.001.001</t>
        </is>
      </c>
      <c r="J1853" s="1779" t="inlineStr">
        <is>
          <t>Serviços complementares</t>
        </is>
      </c>
      <c r="K1853" s="1780" t="n"/>
      <c r="L1853" s="1781" t="n"/>
      <c r="M1853" s="1781" t="n"/>
      <c r="N1853" s="1746" t="n">
        <v>34721</v>
      </c>
      <c r="O1853" s="1782" t="n"/>
      <c r="P1853" s="1720" t="n"/>
    </row>
    <row r="1854" hidden="1" outlineLevel="3" ht="13.9" customHeight="1">
      <c r="A1854" s="2117" t="n">
        <v>0</v>
      </c>
      <c r="B1854" s="2117" t="n">
        <v>20</v>
      </c>
      <c r="C1854" s="2117" t="n">
        <v>1</v>
      </c>
      <c r="D1854" s="2118" t="n">
        <v>1</v>
      </c>
      <c r="E1854" s="2118" t="n">
        <v>1</v>
      </c>
      <c r="F1854" s="569" t="n"/>
      <c r="G1854" s="1798" t="inlineStr">
        <is>
          <t>COBERTURA</t>
        </is>
      </c>
      <c r="H1854" s="1783" t="inlineStr">
        <is>
          <t>SERVIÇO</t>
        </is>
      </c>
      <c r="I1854" s="1750" t="inlineStr">
        <is>
          <t>20.001.001.001</t>
        </is>
      </c>
      <c r="J1854" s="1785" t="inlineStr">
        <is>
          <t>Pergolado</t>
        </is>
      </c>
      <c r="K1854" s="1786" t="inlineStr">
        <is>
          <t>um</t>
        </is>
      </c>
      <c r="L1854" s="1787" t="n">
        <v>1</v>
      </c>
      <c r="M1854" s="1787" t="n">
        <v>34721</v>
      </c>
      <c r="N1854" s="1754" t="n">
        <v>34721</v>
      </c>
      <c r="O1854" s="1788" t="n"/>
      <c r="P1854" s="1721" t="inlineStr">
        <is>
          <t>Pendente</t>
        </is>
      </c>
    </row>
    <row r="1855" collapsed="1" ht="13.9" customHeight="1">
      <c r="A1855" s="2117" t="n">
        <v>0</v>
      </c>
      <c r="B1855" s="2117" t="n">
        <v>22</v>
      </c>
      <c r="C1855" s="2117" t="n">
        <v>0</v>
      </c>
      <c r="D1855" s="2118" t="n">
        <v>4</v>
      </c>
      <c r="E1855" s="2118" t="n">
        <v>5</v>
      </c>
      <c r="F1855" s="569" t="n"/>
      <c r="G1855" s="1794" t="n"/>
      <c r="H1855" s="1766" t="inlineStr">
        <is>
          <t>CÉLULA CONSTRUTIVA</t>
        </is>
      </c>
      <c r="I1855" s="1728" t="inlineStr">
        <is>
          <t>22</t>
        </is>
      </c>
      <c r="J1855" s="1795" t="inlineStr">
        <is>
          <t>SERVIÇOS COMPLEMENTARES E FINAIS</t>
        </is>
      </c>
      <c r="K1855" s="1768" t="n"/>
      <c r="L1855" s="1769" t="n"/>
      <c r="M1855" s="1769" t="n"/>
      <c r="N1855" s="1732" t="n"/>
      <c r="O1855" s="1770" t="n"/>
      <c r="P1855" s="1723" t="n"/>
    </row>
    <row r="1856" hidden="1" outlineLevel="1" ht="13.9" customHeight="1">
      <c r="A1856" s="2117" t="n">
        <v>0</v>
      </c>
      <c r="B1856" s="2117" t="n">
        <v>22</v>
      </c>
      <c r="C1856" s="2117" t="n">
        <v>1</v>
      </c>
      <c r="D1856" s="2118" t="n">
        <v>0</v>
      </c>
      <c r="E1856" s="2118" t="n">
        <v>5</v>
      </c>
      <c r="F1856" s="130" t="n"/>
      <c r="G1856" s="1796" t="n"/>
      <c r="H1856" s="1771" t="inlineStr">
        <is>
          <t>ETAPA</t>
        </is>
      </c>
      <c r="I1856" s="1735" t="inlineStr">
        <is>
          <t>22.001</t>
        </is>
      </c>
      <c r="J1856" s="1773" t="inlineStr">
        <is>
          <t>SERVIÇOS COMPLEMENTARES EXTERNOS</t>
        </is>
      </c>
      <c r="K1856" s="1774" t="n"/>
      <c r="L1856" s="1775" t="n"/>
      <c r="M1856" s="1775" t="n"/>
      <c r="N1856" s="1739" t="n"/>
      <c r="O1856" s="1776" t="n"/>
      <c r="P1856" s="1725" t="n"/>
    </row>
    <row r="1857" hidden="1" outlineLevel="2" ht="13.9" customHeight="1">
      <c r="A1857" s="2117" t="n">
        <v>0</v>
      </c>
      <c r="B1857" s="2117" t="n">
        <v>22</v>
      </c>
      <c r="C1857" s="2117" t="n">
        <v>1</v>
      </c>
      <c r="D1857" s="2118" t="n">
        <v>1</v>
      </c>
      <c r="E1857" s="2118" t="n">
        <v>0</v>
      </c>
      <c r="F1857" s="130" t="n"/>
      <c r="G1857" s="1797" t="n"/>
      <c r="H1857" s="1777" t="inlineStr">
        <is>
          <t>SUBETAPA</t>
        </is>
      </c>
      <c r="I1857" s="1742" t="inlineStr">
        <is>
          <t>22.001.001</t>
        </is>
      </c>
      <c r="J1857" s="1779" t="inlineStr">
        <is>
          <t>Calçadas e Passeios</t>
        </is>
      </c>
      <c r="K1857" s="1780" t="n"/>
      <c r="L1857" s="1781" t="n"/>
      <c r="M1857" s="1781" t="n"/>
      <c r="N1857" s="1746" t="n"/>
      <c r="O1857" s="1782" t="n"/>
      <c r="P1857" s="1720" t="n"/>
    </row>
    <row r="1858" hidden="1" outlineLevel="3" ht="13.9" customHeight="1">
      <c r="A1858" s="2117" t="n">
        <v>0</v>
      </c>
      <c r="B1858" s="2117" t="n">
        <v>22</v>
      </c>
      <c r="C1858" s="2117" t="n">
        <v>1</v>
      </c>
      <c r="D1858" s="2118" t="n">
        <v>1</v>
      </c>
      <c r="E1858" s="2118" t="n">
        <v>1</v>
      </c>
      <c r="F1858" s="130" t="n"/>
      <c r="G1858" s="1798" t="inlineStr">
        <is>
          <t>SERVIÇOS COMPLEMENTARES</t>
        </is>
      </c>
      <c r="H1858" s="1783" t="inlineStr">
        <is>
          <t>SERVIÇO</t>
        </is>
      </c>
      <c r="I1858" s="1750" t="inlineStr">
        <is>
          <t>22.001.001.001</t>
        </is>
      </c>
      <c r="J1858" s="1785" t="inlineStr">
        <is>
          <t>Piso de concreto, acabamento estampado, espessura 6 cm</t>
        </is>
      </c>
      <c r="K1858" s="1786" t="inlineStr">
        <is>
          <t>m2</t>
        </is>
      </c>
      <c r="L1858" s="1787" t="e">
        <v>#REF!</v>
      </c>
      <c r="M1858" s="1787" t="n">
        <v>77.36682066666667</v>
      </c>
      <c r="N1858" s="1754" t="n"/>
      <c r="O1858" s="1788" t="inlineStr">
        <is>
          <t>Calçada passeio</t>
        </is>
      </c>
      <c r="P1858" s="1721" t="inlineStr">
        <is>
          <t>Pendente</t>
        </is>
      </c>
    </row>
    <row r="1859" hidden="1" outlineLevel="3" ht="13.9" customHeight="1">
      <c r="A1859" s="2117" t="n">
        <v>0</v>
      </c>
      <c r="B1859" s="2117" t="n">
        <v>22</v>
      </c>
      <c r="C1859" s="2117" t="n">
        <v>1</v>
      </c>
      <c r="D1859" s="2118" t="n">
        <v>1</v>
      </c>
      <c r="E1859" s="2118" t="n">
        <v>2</v>
      </c>
      <c r="F1859" s="130" t="n"/>
      <c r="G1859" s="1798" t="inlineStr">
        <is>
          <t>SERVIÇOS COMPLEMENTARES</t>
        </is>
      </c>
      <c r="H1859" s="1783" t="inlineStr">
        <is>
          <t>SERVIÇO</t>
        </is>
      </c>
      <c r="I1859" s="1750" t="inlineStr">
        <is>
          <t>22.001.001.002</t>
        </is>
      </c>
      <c r="J1859" s="1785" t="inlineStr">
        <is>
          <t>Mão de obra execução Piso de concreto</t>
        </is>
      </c>
      <c r="K1859" s="1786" t="inlineStr">
        <is>
          <t>m2</t>
        </is>
      </c>
      <c r="L1859" s="1787" t="e">
        <v>#REF!</v>
      </c>
      <c r="M1859" s="1787" t="n">
        <v>25</v>
      </c>
      <c r="N1859" s="1754" t="n"/>
      <c r="O1859" s="1788" t="n"/>
      <c r="P1859" s="1721" t="inlineStr">
        <is>
          <t>Pendente</t>
        </is>
      </c>
    </row>
    <row r="1860" hidden="1" outlineLevel="2" ht="13.9" customHeight="1">
      <c r="A1860" s="2117" t="n">
        <v>0</v>
      </c>
      <c r="B1860" s="2117" t="n">
        <v>22</v>
      </c>
      <c r="C1860" s="2117" t="n">
        <v>1</v>
      </c>
      <c r="D1860" s="2118" t="n">
        <v>2</v>
      </c>
      <c r="E1860" s="2118" t="n">
        <v>0</v>
      </c>
      <c r="F1860" s="130" t="n"/>
      <c r="G1860" s="1797" t="n"/>
      <c r="H1860" s="1777" t="inlineStr">
        <is>
          <t>SUBETAPA</t>
        </is>
      </c>
      <c r="I1860" s="1742" t="inlineStr">
        <is>
          <t>22.001.002</t>
        </is>
      </c>
      <c r="J1860" s="1779" t="inlineStr">
        <is>
          <t>Rede de drenagem</t>
        </is>
      </c>
      <c r="K1860" s="1780" t="n"/>
      <c r="L1860" s="1781" t="n"/>
      <c r="M1860" s="1781" t="n"/>
      <c r="N1860" s="1746" t="n">
        <v>167496.7</v>
      </c>
      <c r="O1860" s="1782" t="n"/>
      <c r="P1860" s="1720" t="n"/>
    </row>
    <row r="1861" hidden="1" outlineLevel="3" ht="13.9" customHeight="1">
      <c r="A1861" s="2117" t="n">
        <v>0</v>
      </c>
      <c r="B1861" s="2117" t="n">
        <v>22</v>
      </c>
      <c r="C1861" s="2117" t="n">
        <v>1</v>
      </c>
      <c r="D1861" s="2118" t="n">
        <v>2</v>
      </c>
      <c r="E1861" s="2118" t="n">
        <v>1</v>
      </c>
      <c r="F1861" s="130" t="n"/>
      <c r="G1861" s="1798" t="inlineStr">
        <is>
          <t>SERVIÇOS COMPLEMENTARES</t>
        </is>
      </c>
      <c r="H1861" s="1783" t="inlineStr">
        <is>
          <t>SERVIÇO</t>
        </is>
      </c>
      <c r="I1861" s="1750" t="inlineStr">
        <is>
          <t>22.001.002.001</t>
        </is>
      </c>
      <c r="J1861" s="1785" t="inlineStr">
        <is>
          <t>Rede de drenagem</t>
        </is>
      </c>
      <c r="K1861" s="1786" t="inlineStr">
        <is>
          <t>vb</t>
        </is>
      </c>
      <c r="L1861" s="1787" t="n">
        <v>1</v>
      </c>
      <c r="M1861" s="1787" t="n">
        <v>167496.7</v>
      </c>
      <c r="N1861" s="1754" t="n">
        <v>167496.7</v>
      </c>
      <c r="O1861" s="1788" t="n"/>
      <c r="P1861" s="1721" t="inlineStr">
        <is>
          <t>Pendente</t>
        </is>
      </c>
    </row>
    <row r="1862" hidden="1" outlineLevel="2" ht="13.9" customHeight="1">
      <c r="A1862" s="2117" t="n">
        <v>0</v>
      </c>
      <c r="B1862" s="2117" t="n">
        <v>22</v>
      </c>
      <c r="C1862" s="2117" t="n">
        <v>1</v>
      </c>
      <c r="D1862" s="2118" t="n">
        <v>3</v>
      </c>
      <c r="E1862" s="2118" t="n">
        <v>0</v>
      </c>
      <c r="F1862" s="130" t="n"/>
      <c r="G1862" s="1797" t="n"/>
      <c r="H1862" s="1777" t="inlineStr">
        <is>
          <t>SUBETAPA</t>
        </is>
      </c>
      <c r="I1862" s="1742" t="inlineStr">
        <is>
          <t>22.001.003</t>
        </is>
      </c>
      <c r="J1862" s="1779" t="inlineStr">
        <is>
          <t>Reforço de rede elétrica</t>
        </is>
      </c>
      <c r="K1862" s="1780" t="n"/>
      <c r="L1862" s="1781" t="n"/>
      <c r="M1862" s="1781" t="n"/>
      <c r="N1862" s="1746" t="n">
        <v>167496.7</v>
      </c>
      <c r="O1862" s="1782" t="n"/>
      <c r="P1862" s="1720" t="n"/>
    </row>
    <row r="1863" hidden="1" outlineLevel="3" ht="13.9" customHeight="1">
      <c r="A1863" s="2117" t="n">
        <v>0</v>
      </c>
      <c r="B1863" s="2117" t="n">
        <v>22</v>
      </c>
      <c r="C1863" s="2117" t="n">
        <v>1</v>
      </c>
      <c r="D1863" s="2118" t="n">
        <v>3</v>
      </c>
      <c r="E1863" s="2118" t="n">
        <v>1</v>
      </c>
      <c r="F1863" s="130" t="n"/>
      <c r="G1863" s="1798" t="inlineStr">
        <is>
          <t>SERVIÇOS COMPLEMENTARES</t>
        </is>
      </c>
      <c r="H1863" s="1783" t="inlineStr">
        <is>
          <t>SERVIÇO</t>
        </is>
      </c>
      <c r="I1863" s="1750" t="inlineStr">
        <is>
          <t>22.001.003.001</t>
        </is>
      </c>
      <c r="J1863" s="1785" t="inlineStr">
        <is>
          <t>Reforço de rede elétrica</t>
        </is>
      </c>
      <c r="K1863" s="1786" t="inlineStr">
        <is>
          <t>vb</t>
        </is>
      </c>
      <c r="L1863" s="1787" t="n">
        <v>1</v>
      </c>
      <c r="M1863" s="1787" t="n">
        <v>167496.7</v>
      </c>
      <c r="N1863" s="1754" t="n">
        <v>167496.7</v>
      </c>
      <c r="O1863" s="1788" t="n"/>
      <c r="P1863" s="1721" t="inlineStr">
        <is>
          <t>Pendente</t>
        </is>
      </c>
    </row>
    <row r="1864" hidden="1" outlineLevel="1" ht="13.9" customHeight="1">
      <c r="A1864" s="2117" t="n">
        <v>0</v>
      </c>
      <c r="B1864" s="2117" t="n">
        <v>22</v>
      </c>
      <c r="C1864" s="2117" t="n">
        <v>2</v>
      </c>
      <c r="D1864" s="2118" t="n">
        <v>0</v>
      </c>
      <c r="E1864" s="2118" t="n">
        <v>1</v>
      </c>
      <c r="F1864" s="130" t="n"/>
      <c r="G1864" s="1796" t="n"/>
      <c r="H1864" s="1771" t="inlineStr">
        <is>
          <t>ETAPA</t>
        </is>
      </c>
      <c r="I1864" s="1735" t="inlineStr">
        <is>
          <t>22.002</t>
        </is>
      </c>
      <c r="J1864" s="1773" t="inlineStr">
        <is>
          <t>SERVIÇOS COMPLEMENTARES</t>
        </is>
      </c>
      <c r="K1864" s="1774" t="n"/>
      <c r="L1864" s="1775" t="n"/>
      <c r="M1864" s="1775" t="n"/>
      <c r="N1864" s="1739" t="n">
        <v>5698605.0458</v>
      </c>
      <c r="O1864" s="1776" t="n"/>
      <c r="P1864" s="1725" t="n"/>
    </row>
    <row r="1865" hidden="1" outlineLevel="2" ht="13.9" customHeight="1">
      <c r="A1865" s="2117" t="n">
        <v>0</v>
      </c>
      <c r="B1865" s="2117" t="n">
        <v>22</v>
      </c>
      <c r="C1865" s="2117" t="n">
        <v>2</v>
      </c>
      <c r="D1865" s="2118" t="n">
        <v>1</v>
      </c>
      <c r="E1865" s="2118" t="n">
        <v>0</v>
      </c>
      <c r="F1865" s="130" t="n"/>
      <c r="G1865" s="1797" t="n"/>
      <c r="H1865" s="1777" t="inlineStr">
        <is>
          <t>SUBETAPA</t>
        </is>
      </c>
      <c r="I1865" s="1742" t="inlineStr">
        <is>
          <t>22.002.001</t>
        </is>
      </c>
      <c r="J1865" s="1779" t="inlineStr">
        <is>
          <t>Limpeza Final de Obra</t>
        </is>
      </c>
      <c r="K1865" s="1780" t="n"/>
      <c r="L1865" s="1781" t="n"/>
      <c r="M1865" s="1781" t="n"/>
      <c r="N1865" s="1746" t="n">
        <v>586238.45</v>
      </c>
      <c r="O1865" s="1782" t="n"/>
      <c r="P1865" s="1720" t="n"/>
    </row>
    <row r="1866" hidden="1" outlineLevel="3" ht="13.9" customHeight="1">
      <c r="A1866" s="2117" t="n">
        <v>0</v>
      </c>
      <c r="B1866" s="2117" t="n">
        <v>22</v>
      </c>
      <c r="C1866" s="2117" t="n">
        <v>2</v>
      </c>
      <c r="D1866" s="2118" t="n">
        <v>1</v>
      </c>
      <c r="E1866" s="2118" t="n">
        <v>1</v>
      </c>
      <c r="F1866" s="130" t="n"/>
      <c r="G1866" s="1798" t="inlineStr">
        <is>
          <t>SERVIÇOS COMPLEMENTARES</t>
        </is>
      </c>
      <c r="H1866" s="1783" t="inlineStr">
        <is>
          <t>SERVIÇO</t>
        </is>
      </c>
      <c r="I1866" s="1750" t="inlineStr">
        <is>
          <t>22.002.001.001</t>
        </is>
      </c>
      <c r="J1866" s="1785" t="inlineStr">
        <is>
          <t>Limpeza final</t>
        </is>
      </c>
      <c r="K1866" s="1786" t="inlineStr">
        <is>
          <t>vb</t>
        </is>
      </c>
      <c r="L1866" s="1787" t="n">
        <v>1</v>
      </c>
      <c r="M1866" s="1787" t="n">
        <v>586238.4500000001</v>
      </c>
      <c r="N1866" s="1754" t="n">
        <v>586238.45</v>
      </c>
      <c r="O1866" s="1788" t="n"/>
      <c r="P1866" s="1721" t="inlineStr">
        <is>
          <t>Pendente</t>
        </is>
      </c>
    </row>
    <row r="1867" hidden="1" outlineLevel="2" ht="13.9" customHeight="1">
      <c r="A1867" s="2117" t="n">
        <v>0</v>
      </c>
      <c r="B1867" s="2117" t="n">
        <v>22</v>
      </c>
      <c r="C1867" s="2117" t="n">
        <v>2</v>
      </c>
      <c r="D1867" s="2118" t="n">
        <v>2</v>
      </c>
      <c r="E1867" s="2118" t="n">
        <v>0</v>
      </c>
      <c r="F1867" s="130" t="n"/>
      <c r="G1867" s="1797" t="n"/>
      <c r="H1867" s="1777" t="inlineStr">
        <is>
          <t>SUBETAPA</t>
        </is>
      </c>
      <c r="I1867" s="1742" t="inlineStr">
        <is>
          <t>22.002.002</t>
        </is>
      </c>
      <c r="J1867" s="1779" t="inlineStr">
        <is>
          <t>Decoração e mobiliário área comum</t>
        </is>
      </c>
      <c r="K1867" s="1780" t="n"/>
      <c r="L1867" s="1781" t="n"/>
      <c r="M1867" s="1781" t="n"/>
      <c r="N1867" s="1746" t="n">
        <v>4563982.4</v>
      </c>
      <c r="O1867" s="1782" t="n"/>
      <c r="P1867" s="1720" t="n"/>
    </row>
    <row r="1868" hidden="1" outlineLevel="3" ht="13.9" customHeight="1">
      <c r="A1868" s="2117" t="n">
        <v>0</v>
      </c>
      <c r="B1868" s="2117" t="n">
        <v>22</v>
      </c>
      <c r="C1868" s="2117" t="n">
        <v>2</v>
      </c>
      <c r="D1868" s="2118" t="n">
        <v>2</v>
      </c>
      <c r="E1868" s="2118" t="n">
        <v>1</v>
      </c>
      <c r="F1868" s="130" t="n"/>
      <c r="G1868" s="1798" t="inlineStr">
        <is>
          <t>SERVIÇOS COMPLEMENTARES</t>
        </is>
      </c>
      <c r="H1868" s="1783" t="inlineStr">
        <is>
          <t>SERVIÇO</t>
        </is>
      </c>
      <c r="I1868" s="1750" t="inlineStr">
        <is>
          <t>22.002.002.001</t>
        </is>
      </c>
      <c r="J1868" s="1785" t="inlineStr">
        <is>
          <t xml:space="preserve">Mobiliário e decoração </t>
        </is>
      </c>
      <c r="K1868" s="1786" t="inlineStr">
        <is>
          <t>vb</t>
        </is>
      </c>
      <c r="L1868" s="1787" t="n">
        <v>1</v>
      </c>
      <c r="M1868" s="1787" t="n">
        <v>4563982.4</v>
      </c>
      <c r="N1868" s="1754" t="n">
        <v>4563982.4</v>
      </c>
      <c r="O1868" s="1788" t="n"/>
      <c r="P1868" s="1721" t="inlineStr">
        <is>
          <t>Pendente</t>
        </is>
      </c>
    </row>
    <row r="1869" hidden="1" outlineLevel="2" ht="13.9" customHeight="1">
      <c r="A1869" s="2117" t="n">
        <v>0</v>
      </c>
      <c r="B1869" s="2117" t="n">
        <v>22</v>
      </c>
      <c r="C1869" s="2117" t="n">
        <v>2</v>
      </c>
      <c r="D1869" s="2118" t="n">
        <v>3</v>
      </c>
      <c r="E1869" s="2118" t="n">
        <v>0</v>
      </c>
      <c r="F1869" s="130" t="n"/>
      <c r="G1869" s="1797" t="n"/>
      <c r="H1869" s="1777" t="inlineStr">
        <is>
          <t>SUBETAPA</t>
        </is>
      </c>
      <c r="I1869" s="1742" t="inlineStr">
        <is>
          <t>22.002.003</t>
        </is>
      </c>
      <c r="J1869" s="1779" t="inlineStr">
        <is>
          <t>Comunicação visual</t>
        </is>
      </c>
      <c r="K1869" s="1780" t="n"/>
      <c r="L1869" s="1781" t="n"/>
      <c r="M1869" s="1781" t="n"/>
      <c r="N1869" s="1746" t="n">
        <v>184246.37</v>
      </c>
      <c r="O1869" s="1782" t="n"/>
      <c r="P1869" s="1720" t="n"/>
    </row>
    <row r="1870" hidden="1" outlineLevel="3" ht="13.9" customHeight="1">
      <c r="A1870" s="2117" t="n">
        <v>0</v>
      </c>
      <c r="B1870" s="2117" t="n">
        <v>22</v>
      </c>
      <c r="C1870" s="2117" t="n">
        <v>2</v>
      </c>
      <c r="D1870" s="2118" t="n">
        <v>3</v>
      </c>
      <c r="E1870" s="2118" t="n">
        <v>1</v>
      </c>
      <c r="F1870" s="130" t="n"/>
      <c r="G1870" s="1798" t="inlineStr">
        <is>
          <t>SERVIÇOS COMPLEMENTARES</t>
        </is>
      </c>
      <c r="H1870" s="1783" t="inlineStr">
        <is>
          <t>SERVIÇO</t>
        </is>
      </c>
      <c r="I1870" s="1750" t="inlineStr">
        <is>
          <t>22.002.003.001</t>
        </is>
      </c>
      <c r="J1870" s="1785" t="inlineStr">
        <is>
          <t>Comunicação visual</t>
        </is>
      </c>
      <c r="K1870" s="1786" t="inlineStr">
        <is>
          <t>vb</t>
        </is>
      </c>
      <c r="L1870" s="1787" t="n">
        <v>1</v>
      </c>
      <c r="M1870" s="1787" t="n">
        <v>184246.37</v>
      </c>
      <c r="N1870" s="1754" t="n">
        <v>184246.37</v>
      </c>
      <c r="O1870" s="1788" t="n"/>
      <c r="P1870" s="1721" t="inlineStr">
        <is>
          <t>Pendente</t>
        </is>
      </c>
    </row>
    <row r="1871" hidden="1" outlineLevel="2" ht="13.9" customHeight="1">
      <c r="A1871" s="2117" t="n">
        <v>0</v>
      </c>
      <c r="B1871" s="2117" t="n">
        <v>22</v>
      </c>
      <c r="C1871" s="2117" t="n">
        <v>2</v>
      </c>
      <c r="D1871" s="2118" t="n">
        <v>4</v>
      </c>
      <c r="E1871" s="2118" t="n">
        <v>0</v>
      </c>
      <c r="F1871" s="130" t="n"/>
      <c r="G1871" s="1797" t="n"/>
      <c r="H1871" s="1777" t="inlineStr">
        <is>
          <t>SUBETAPA</t>
        </is>
      </c>
      <c r="I1871" s="1742" t="inlineStr">
        <is>
          <t>22.002.004</t>
        </is>
      </c>
      <c r="J1871" s="1779" t="inlineStr">
        <is>
          <t>Paisagismo</t>
        </is>
      </c>
      <c r="K1871" s="1780" t="n"/>
      <c r="L1871" s="1781" t="n"/>
      <c r="M1871" s="1781" t="n"/>
      <c r="N1871" s="1746" t="n">
        <v>213390.7958</v>
      </c>
      <c r="O1871" s="1782" t="n"/>
      <c r="P1871" s="1720" t="n"/>
    </row>
    <row r="1872" hidden="1" outlineLevel="3" ht="13.9" customHeight="1">
      <c r="A1872" s="2117" t="n">
        <v>0</v>
      </c>
      <c r="B1872" s="2117" t="n">
        <v>22</v>
      </c>
      <c r="C1872" s="2117" t="n">
        <v>2</v>
      </c>
      <c r="D1872" s="2118" t="n">
        <v>4</v>
      </c>
      <c r="E1872" s="2118" t="n">
        <v>1</v>
      </c>
      <c r="F1872" s="130" t="n"/>
      <c r="G1872" s="1798" t="inlineStr">
        <is>
          <t>SERVIÇOS COMPLEMENTARES</t>
        </is>
      </c>
      <c r="H1872" s="1783" t="inlineStr">
        <is>
          <t>SERVIÇO</t>
        </is>
      </c>
      <c r="I1872" s="1750" t="inlineStr">
        <is>
          <t>22.002.004.001</t>
        </is>
      </c>
      <c r="J1872" s="1785" t="inlineStr">
        <is>
          <t xml:space="preserve">Paisagismo </t>
        </is>
      </c>
      <c r="K1872" s="1786" t="inlineStr">
        <is>
          <t>vb</t>
        </is>
      </c>
      <c r="L1872" s="1787" t="n">
        <v>1</v>
      </c>
      <c r="M1872" s="1787" t="n">
        <v>133997.36</v>
      </c>
      <c r="N1872" s="1754" t="n">
        <v>133997.36</v>
      </c>
      <c r="O1872" s="1761" t="inlineStr">
        <is>
          <t>Repessado pela Gessele na reunião do dia 05/03/2026 - rever custo</t>
        </is>
      </c>
      <c r="P1872" s="1721" t="inlineStr">
        <is>
          <t>Pendente</t>
        </is>
      </c>
    </row>
    <row r="1873" hidden="1" outlineLevel="3" ht="13.9" customHeight="1">
      <c r="A1873" s="2117" t="n">
        <v>0</v>
      </c>
      <c r="B1873" s="2117" t="n">
        <v>22</v>
      </c>
      <c r="C1873" s="2117" t="n">
        <v>2</v>
      </c>
      <c r="D1873" s="2118" t="n">
        <v>4</v>
      </c>
      <c r="E1873" s="2118" t="n">
        <v>2</v>
      </c>
      <c r="F1873" s="130" t="n"/>
      <c r="G1873" s="1798" t="inlineStr">
        <is>
          <t>SERVIÇOS COMPLEMENTARES</t>
        </is>
      </c>
      <c r="H1873" s="1783" t="inlineStr">
        <is>
          <t>SERVIÇO</t>
        </is>
      </c>
      <c r="I1873" s="1750" t="inlineStr">
        <is>
          <t>22.002.004.002</t>
        </is>
      </c>
      <c r="J1873" s="1785" t="inlineStr">
        <is>
          <t>Luminotécnico do Paisagismo</t>
        </is>
      </c>
      <c r="K1873" s="1786" t="inlineStr">
        <is>
          <t>vb</t>
        </is>
      </c>
      <c r="L1873" s="1787" t="n">
        <v>1</v>
      </c>
      <c r="M1873" s="1787" t="n">
        <v>45894.09580000001</v>
      </c>
      <c r="N1873" s="1754" t="n">
        <v>45894.0958</v>
      </c>
      <c r="O1873" s="1788" t="n"/>
      <c r="P1873" s="1721" t="inlineStr">
        <is>
          <t>Pendente</t>
        </is>
      </c>
    </row>
    <row r="1874" hidden="1" outlineLevel="3" ht="13.9" customHeight="1">
      <c r="A1874" s="2117" t="n">
        <v>0</v>
      </c>
      <c r="B1874" s="2117" t="n">
        <v>22</v>
      </c>
      <c r="C1874" s="2117" t="n">
        <v>2</v>
      </c>
      <c r="D1874" s="2118" t="n">
        <v>4</v>
      </c>
      <c r="E1874" s="2118" t="n">
        <v>3</v>
      </c>
      <c r="F1874" s="130" t="n"/>
      <c r="G1874" s="1798" t="inlineStr">
        <is>
          <t>SERVIÇOS COMPLEMENTARES</t>
        </is>
      </c>
      <c r="H1874" s="1783" t="inlineStr">
        <is>
          <t>SERVIÇO</t>
        </is>
      </c>
      <c r="I1874" s="1750" t="inlineStr">
        <is>
          <t>22.002.004.003</t>
        </is>
      </c>
      <c r="J1874" s="1785" t="inlineStr">
        <is>
          <t>Irrigação do Paisagismo</t>
        </is>
      </c>
      <c r="K1874" s="1786" t="inlineStr">
        <is>
          <t>vb</t>
        </is>
      </c>
      <c r="L1874" s="1787" t="n">
        <v>1</v>
      </c>
      <c r="M1874" s="1787" t="n">
        <v>33499.34</v>
      </c>
      <c r="N1874" s="1754" t="n">
        <v>33499.34</v>
      </c>
      <c r="O1874" s="1788" t="n"/>
      <c r="P1874" s="1721" t="inlineStr">
        <is>
          <t>Pendente</t>
        </is>
      </c>
    </row>
    <row r="1875" hidden="1" outlineLevel="2" ht="13.9" customHeight="1">
      <c r="A1875" s="2117" t="n">
        <v>0</v>
      </c>
      <c r="B1875" s="2117" t="n">
        <v>22</v>
      </c>
      <c r="C1875" s="2117" t="n">
        <v>2</v>
      </c>
      <c r="D1875" s="2118" t="n">
        <v>5</v>
      </c>
      <c r="E1875" s="2118" t="n">
        <v>0</v>
      </c>
      <c r="F1875" s="130" t="n"/>
      <c r="G1875" s="1797" t="n"/>
      <c r="H1875" s="1777" t="inlineStr">
        <is>
          <t>SUBETAPA</t>
        </is>
      </c>
      <c r="I1875" s="1742" t="inlineStr">
        <is>
          <t>22.002.005</t>
        </is>
      </c>
      <c r="J1875" s="1779" t="inlineStr">
        <is>
          <t>Serviços Finais</t>
        </is>
      </c>
      <c r="K1875" s="1780" t="n"/>
      <c r="L1875" s="1781" t="n"/>
      <c r="M1875" s="1781" t="n"/>
      <c r="N1875" s="1746" t="n">
        <v>150747.03</v>
      </c>
      <c r="O1875" s="1782" t="n"/>
      <c r="P1875" s="1720" t="n"/>
    </row>
    <row r="1876" hidden="1" outlineLevel="3" ht="13.9" customHeight="1">
      <c r="A1876" s="2117" t="n">
        <v>0</v>
      </c>
      <c r="B1876" s="2117" t="n">
        <v>22</v>
      </c>
      <c r="C1876" s="2117" t="n">
        <v>2</v>
      </c>
      <c r="D1876" s="2118" t="n">
        <v>5</v>
      </c>
      <c r="E1876" s="2118" t="n">
        <v>1</v>
      </c>
      <c r="F1876" s="130" t="n"/>
      <c r="G1876" s="1798" t="inlineStr">
        <is>
          <t>SERVIÇOS COMPLEMENTARES</t>
        </is>
      </c>
      <c r="H1876" s="1783" t="inlineStr">
        <is>
          <t>SERVIÇO</t>
        </is>
      </c>
      <c r="I1876" s="1750" t="inlineStr">
        <is>
          <t>22.002.005.001</t>
        </is>
      </c>
      <c r="J1876" s="1785" t="inlineStr">
        <is>
          <t>Desmobilização</t>
        </is>
      </c>
      <c r="K1876" s="1786" t="inlineStr">
        <is>
          <t>vb</t>
        </is>
      </c>
      <c r="L1876" s="1787" t="n">
        <v>1</v>
      </c>
      <c r="M1876" s="1787" t="n">
        <v>83748.35000000001</v>
      </c>
      <c r="N1876" s="1754" t="n">
        <v>83748.35000000001</v>
      </c>
      <c r="O1876" s="1788" t="n"/>
      <c r="P1876" s="1721" t="inlineStr">
        <is>
          <t>Pendente</t>
        </is>
      </c>
    </row>
    <row r="1877" hidden="1" outlineLevel="3" ht="11.25" customHeight="1">
      <c r="A1877" s="2117" t="n">
        <v>0</v>
      </c>
      <c r="B1877" s="2117" t="n">
        <v>22</v>
      </c>
      <c r="C1877" s="2117" t="n">
        <v>2</v>
      </c>
      <c r="D1877" s="2118" t="n">
        <v>5</v>
      </c>
      <c r="E1877" s="2118" t="n">
        <v>2</v>
      </c>
      <c r="F1877" s="130" t="n"/>
      <c r="G1877" s="1798" t="inlineStr">
        <is>
          <t>SERVIÇOS COMPLEMENTARES</t>
        </is>
      </c>
      <c r="H1877" s="1783" t="inlineStr">
        <is>
          <t>SERVIÇO</t>
        </is>
      </c>
      <c r="I1877" s="1750" t="inlineStr">
        <is>
          <t>22.002.005.002</t>
        </is>
      </c>
      <c r="J1877" s="1785" t="inlineStr">
        <is>
          <t>Ligações definitivas</t>
        </is>
      </c>
      <c r="K1877" s="1786" t="inlineStr">
        <is>
          <t>vb</t>
        </is>
      </c>
      <c r="L1877" s="1787" t="n">
        <v>1</v>
      </c>
      <c r="M1877" s="1787" t="n">
        <v>66998.68000000001</v>
      </c>
      <c r="N1877" s="1754" t="n">
        <v>66998.67999999999</v>
      </c>
      <c r="O1877" s="1788" t="n"/>
      <c r="P1877" s="1721" t="inlineStr">
        <is>
          <t>Pendente</t>
        </is>
      </c>
    </row>
    <row r="1878" collapsed="1" ht="13.9" customHeight="1">
      <c r="A1878" s="2117" t="n">
        <v>0</v>
      </c>
      <c r="B1878" s="2117" t="n">
        <v>23</v>
      </c>
      <c r="C1878" s="2117" t="n">
        <v>0</v>
      </c>
      <c r="D1878" s="2118" t="n">
        <v>5</v>
      </c>
      <c r="E1878" s="2118" t="n">
        <v>2</v>
      </c>
      <c r="F1878" s="569" t="n"/>
      <c r="G1878" s="1794" t="n"/>
      <c r="H1878" s="1766" t="inlineStr">
        <is>
          <t>CÉLULA CONSTRUTIVA</t>
        </is>
      </c>
      <c r="I1878" s="1728" t="inlineStr">
        <is>
          <t>23</t>
        </is>
      </c>
      <c r="J1878" s="1795" t="inlineStr">
        <is>
          <t>IMPREVISTOS E CONTINGÊNCIAS</t>
        </is>
      </c>
      <c r="K1878" s="1768" t="n"/>
      <c r="L1878" s="1769" t="n"/>
      <c r="M1878" s="1769" t="n"/>
      <c r="N1878" s="1732" t="n"/>
      <c r="O1878" s="1770" t="n"/>
      <c r="P1878" s="1723" t="n"/>
    </row>
    <row r="1879" hidden="1" outlineLevel="1" ht="13.9" customHeight="1">
      <c r="A1879" s="2117" t="n">
        <v>0</v>
      </c>
      <c r="B1879" s="2117" t="n">
        <v>23</v>
      </c>
      <c r="C1879" s="2117" t="n">
        <v>1</v>
      </c>
      <c r="D1879" s="2118" t="n">
        <v>0</v>
      </c>
      <c r="E1879" s="2118" t="n">
        <v>2</v>
      </c>
      <c r="F1879" s="130" t="n"/>
      <c r="G1879" s="1796" t="n"/>
      <c r="H1879" s="1771" t="inlineStr">
        <is>
          <t>ETAPA</t>
        </is>
      </c>
      <c r="I1879" s="1735" t="inlineStr">
        <is>
          <t>23.001</t>
        </is>
      </c>
      <c r="J1879" s="1773" t="inlineStr">
        <is>
          <t>Imprevistos e contingências</t>
        </is>
      </c>
      <c r="K1879" s="1774" t="n"/>
      <c r="L1879" s="1775" t="n"/>
      <c r="M1879" s="1775" t="n"/>
      <c r="N1879" s="1739" t="n"/>
      <c r="O1879" s="1776" t="n"/>
      <c r="P1879" s="1725" t="n"/>
    </row>
    <row r="1880" hidden="1" outlineLevel="2" ht="13.9" customHeight="1">
      <c r="A1880" s="2117" t="n">
        <v>0</v>
      </c>
      <c r="B1880" s="2117" t="n">
        <v>23</v>
      </c>
      <c r="C1880" s="2117" t="n">
        <v>1</v>
      </c>
      <c r="D1880" s="2118" t="n">
        <v>1</v>
      </c>
      <c r="E1880" s="2118" t="n">
        <v>0</v>
      </c>
      <c r="F1880" s="130" t="n"/>
      <c r="G1880" s="1797" t="n"/>
      <c r="H1880" s="1777" t="inlineStr">
        <is>
          <t>SUBETAPA</t>
        </is>
      </c>
      <c r="I1880" s="1742" t="inlineStr">
        <is>
          <t>23.001.001</t>
        </is>
      </c>
      <c r="J1880" s="1779" t="inlineStr">
        <is>
          <t>Imprevistos e contingências</t>
        </is>
      </c>
      <c r="K1880" s="1780" t="n"/>
      <c r="L1880" s="1781" t="n"/>
      <c r="M1880" s="1781" t="n"/>
      <c r="N1880" s="1746" t="n"/>
      <c r="O1880" s="1782" t="n"/>
      <c r="P1880" s="1720" t="n"/>
    </row>
    <row r="1881" hidden="1" outlineLevel="3" ht="12.75" customHeight="1">
      <c r="A1881" s="2117" t="n">
        <v>0</v>
      </c>
      <c r="B1881" s="2117" t="n">
        <v>23</v>
      </c>
      <c r="C1881" s="2117" t="n">
        <v>1</v>
      </c>
      <c r="D1881" s="2118" t="n">
        <v>1</v>
      </c>
      <c r="E1881" s="2118" t="n">
        <v>1</v>
      </c>
      <c r="F1881" s="130" t="n"/>
      <c r="G1881" s="1798" t="inlineStr">
        <is>
          <t>IMPREVISTOS</t>
        </is>
      </c>
      <c r="H1881" s="1783" t="inlineStr">
        <is>
          <t>SERVIÇO</t>
        </is>
      </c>
      <c r="I1881" s="1784" t="inlineStr">
        <is>
          <t>23.001.001.001</t>
        </is>
      </c>
      <c r="J1881" s="1785" t="inlineStr">
        <is>
          <t>Imprevistos e contingências</t>
        </is>
      </c>
      <c r="K1881" s="1786" t="inlineStr">
        <is>
          <t>vb</t>
        </is>
      </c>
      <c r="L1881" s="1787" t="n">
        <v>1</v>
      </c>
      <c r="M1881" s="1787" t="e">
        <v>#REF!</v>
      </c>
      <c r="N1881" s="1754" t="n"/>
      <c r="O1881" s="1788" t="n"/>
      <c r="P1881" s="1721" t="inlineStr">
        <is>
          <t>Pendente</t>
        </is>
      </c>
    </row>
    <row r="1882" hidden="1" ht="12.75" customHeight="1">
      <c r="A1882" s="2117" t="n">
        <v>0</v>
      </c>
      <c r="B1882" s="2117" t="n">
        <v>23</v>
      </c>
      <c r="C1882" s="2117" t="n">
        <v>1</v>
      </c>
      <c r="D1882" s="2118" t="n">
        <v>1</v>
      </c>
      <c r="E1882" s="2118" t="n">
        <v>1</v>
      </c>
      <c r="G1882" s="59" t="n"/>
      <c r="H1882" s="59" t="n"/>
      <c r="I1882" s="59" t="n"/>
      <c r="J1882" s="62" t="n"/>
      <c r="K1882" s="60" t="n"/>
      <c r="L1882" s="58" t="e">
        <v>#REF!</v>
      </c>
      <c r="M1882" s="2119" t="e">
        <v>#REF!</v>
      </c>
      <c r="N1882" s="61" t="inlineStr">
        <is>
          <t>CÉLULA CONSTRUTIVA</t>
        </is>
      </c>
      <c r="O1882" s="62" t="n"/>
      <c r="P1882" s="63" t="n"/>
    </row>
    <row r="1883" ht="15" customHeight="1"/>
    <row r="1884" ht="15" customHeight="1"/>
    <row r="1885" ht="15" customHeight="1"/>
    <row r="1886" ht="15" customHeight="1"/>
    <row r="1887" ht="15"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5"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5" customHeight="1"/>
    <row r="1960" ht="15" customHeight="1"/>
    <row r="1961" ht="15" customHeight="1"/>
    <row r="1962" ht="15" customHeight="1"/>
    <row r="1963" ht="15" customHeight="1"/>
    <row r="1964" ht="15" customHeight="1"/>
    <row r="1965" ht="15" customHeight="1"/>
    <row r="1966" ht="15" customHeight="1"/>
    <row r="1967" ht="15" customHeight="1"/>
    <row r="1968" ht="15" customHeight="1"/>
    <row r="1969" ht="15" customHeight="1"/>
    <row r="1970" ht="15" customHeight="1"/>
    <row r="1971" ht="15" customHeight="1"/>
    <row r="1972" ht="15" customHeight="1"/>
    <row r="1973" ht="15" customHeight="1"/>
    <row r="1974" ht="15" customHeight="1"/>
    <row r="1975" ht="15" customHeight="1"/>
    <row r="1976" ht="15" customHeight="1"/>
    <row r="1977" ht="15" customHeight="1"/>
    <row r="1978" ht="15" customHeight="1"/>
    <row r="1979" ht="15"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4" ht="15" customHeight="1"/>
    <row r="2005" ht="15" customHeight="1"/>
    <row r="2006" ht="15" customHeight="1"/>
    <row r="2007" ht="15" customHeight="1"/>
    <row r="2008" ht="15" customHeight="1"/>
    <row r="2009" ht="15" customHeight="1"/>
    <row r="2010" ht="15" customHeight="1"/>
    <row r="2011" ht="15" customHeight="1"/>
    <row r="2012" ht="15" customHeight="1"/>
    <row r="2013" ht="15" customHeight="1"/>
    <row r="2014" ht="15" customHeight="1"/>
    <row r="2015" ht="15" customHeight="1"/>
    <row r="2016" ht="15" customHeight="1"/>
    <row r="2017" ht="15" customHeight="1"/>
    <row r="2018" ht="15" customHeight="1"/>
    <row r="2019" ht="15" customHeight="1"/>
    <row r="2020" ht="15" customHeight="1"/>
    <row r="2021" ht="15" customHeight="1"/>
    <row r="2022" ht="15" customHeight="1"/>
    <row r="2023" ht="15" customHeight="1"/>
    <row r="2024" ht="15" customHeight="1"/>
    <row r="2025" ht="15" customHeight="1"/>
    <row r="2026" ht="15" customHeight="1"/>
    <row r="2027" ht="15" customHeight="1"/>
    <row r="2028" ht="15" customHeight="1"/>
    <row r="2029" ht="15" customHeight="1"/>
    <row r="2030" ht="15" customHeight="1"/>
    <row r="2031" ht="15" customHeight="1"/>
    <row r="20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5"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36" ht="15" customHeight="1"/>
    <row r="2337" ht="15" customHeight="1"/>
    <row r="2338" ht="15" customHeight="1"/>
    <row r="2339" ht="15" customHeight="1"/>
    <row r="2340" ht="15" customHeight="1"/>
    <row r="2341" ht="15" customHeight="1"/>
    <row r="2342" ht="15" customHeight="1"/>
    <row r="2343" ht="15" customHeight="1"/>
    <row r="2344" ht="15" customHeight="1"/>
    <row r="2345" ht="15" customHeight="1"/>
    <row r="2346" ht="15" customHeight="1"/>
    <row r="2347" ht="15" customHeight="1"/>
    <row r="2348" ht="15" customHeight="1"/>
    <row r="2349"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5"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5"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5"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5" customHeight="1"/>
    <row r="2463" ht="15"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5"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5"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5"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5"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5"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1"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5"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5"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5"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5"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5"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5"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5"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5"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5"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5"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5" customHeight="1"/>
    <row r="2966" ht="15" customHeight="1"/>
    <row r="2967" ht="15" customHeight="1"/>
    <row r="2968" ht="15" customHeight="1"/>
    <row r="2969" ht="15" customHeight="1"/>
    <row r="2970" ht="15" customHeight="1"/>
    <row r="2971" ht="15" customHeight="1"/>
    <row r="2972" ht="15" customHeight="1"/>
    <row r="2973" ht="15" customHeight="1"/>
    <row r="2974" ht="15" customHeight="1"/>
    <row r="2975" ht="15" customHeight="1"/>
    <row r="2976" ht="15" customHeight="1"/>
    <row r="2977" ht="15" customHeight="1"/>
    <row r="2978" ht="15" customHeight="1"/>
    <row r="2979" ht="15" customHeight="1"/>
    <row r="2980" ht="15" customHeight="1"/>
    <row r="2981" ht="15" customHeight="1"/>
    <row r="2982" ht="15" customHeight="1"/>
    <row r="2983" ht="15" customHeight="1"/>
    <row r="2984" ht="15" customHeight="1"/>
    <row r="2985" ht="15" customHeight="1"/>
    <row r="2986" ht="15" customHeight="1"/>
    <row r="2987" ht="15" customHeight="1"/>
    <row r="2988" ht="15" customHeight="1"/>
    <row r="2989" ht="15" customHeight="1"/>
    <row r="2990" ht="15" customHeight="1"/>
    <row r="2991" ht="15" customHeight="1"/>
    <row r="2992" ht="15" customHeight="1"/>
    <row r="2993" ht="15" customHeight="1"/>
    <row r="2994" ht="15" customHeight="1"/>
    <row r="2995" ht="15" customHeight="1"/>
    <row r="2996" ht="15" customHeight="1"/>
    <row r="2997" ht="15" customHeight="1"/>
    <row r="2998" ht="15" customHeight="1"/>
    <row r="2999" ht="15"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5"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5"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5"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5"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5"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5"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5"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5" customHeight="1"/>
    <row r="3166" ht="15"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5"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5"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5"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5"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5"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5"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5" customHeight="1"/>
    <row r="3295" ht="15" customHeight="1"/>
    <row r="3296" ht="15" customHeight="1"/>
    <row r="3297" ht="15" customHeight="1"/>
    <row r="3298" ht="15" customHeight="1"/>
    <row r="3299" ht="15" customHeight="1"/>
    <row r="3300" ht="15" customHeight="1"/>
    <row r="3301" ht="15" customHeight="1"/>
    <row r="3302" ht="15" customHeight="1"/>
    <row r="3303" ht="15" customHeight="1"/>
    <row r="3304" ht="15" customHeight="1"/>
    <row r="3305" ht="15" customHeight="1"/>
    <row r="3306" ht="15" customHeight="1"/>
    <row r="3307" ht="15" customHeight="1"/>
    <row r="3308" ht="15" customHeight="1"/>
    <row r="3309" ht="15" customHeight="1"/>
    <row r="3310" ht="15" customHeight="1"/>
    <row r="3311" ht="15" customHeight="1"/>
    <row r="3312" ht="15" customHeight="1"/>
    <row r="3313" ht="15" customHeight="1"/>
    <row r="3314" ht="15" customHeight="1"/>
    <row r="3315" ht="15" customHeight="1"/>
    <row r="3316" ht="15" customHeight="1"/>
    <row r="3317" ht="15" customHeight="1"/>
    <row r="3318" ht="15" customHeight="1"/>
    <row r="3319" ht="15" customHeight="1"/>
    <row r="3320" ht="15" customHeight="1"/>
    <row r="3321" ht="15" customHeight="1"/>
    <row r="3322" ht="15" customHeight="1"/>
    <row r="3323" ht="15" customHeight="1"/>
    <row r="3324" ht="15"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5"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5" customHeight="1"/>
    <row r="3353" ht="15" customHeight="1"/>
    <row r="3354" ht="15" customHeight="1"/>
    <row r="3355" ht="15" customHeight="1"/>
    <row r="3356" ht="15" customHeight="1"/>
    <row r="3357" ht="15" customHeight="1"/>
    <row r="3358" ht="15" customHeight="1"/>
    <row r="3359" ht="15" customHeight="1"/>
    <row r="3360" ht="15" customHeight="1"/>
    <row r="3361" ht="15"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5" customHeight="1"/>
    <row r="3379" ht="15" customHeight="1"/>
    <row r="3380" ht="15" customHeight="1"/>
    <row r="3381" ht="15" customHeight="1"/>
    <row r="3382" ht="15" customHeight="1"/>
    <row r="3383" ht="15" customHeight="1"/>
    <row r="3384" ht="15" customHeight="1"/>
    <row r="3385" ht="15"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5" customHeight="1"/>
    <row r="3397" ht="15" customHeight="1"/>
    <row r="3398" ht="15" customHeight="1"/>
    <row r="3399" ht="15"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5" customHeight="1"/>
    <row r="3411" ht="15" customHeight="1"/>
    <row r="3412" ht="15" customHeight="1"/>
    <row r="3413" ht="15" customHeight="1"/>
    <row r="3414" ht="15" customHeight="1"/>
    <row r="3415" ht="15" customHeight="1"/>
    <row r="3416" ht="15" customHeight="1"/>
    <row r="3417" ht="15" customHeight="1"/>
    <row r="3418" ht="15" customHeight="1"/>
    <row r="3419" ht="15" customHeight="1"/>
    <row r="3420" ht="15" customHeight="1"/>
    <row r="3421" ht="15" customHeight="1"/>
    <row r="3422" ht="15" customHeight="1"/>
    <row r="3423" ht="15" customHeight="1"/>
    <row r="3424" ht="15" customHeight="1"/>
    <row r="3425" ht="15" customHeight="1"/>
    <row r="3426" ht="15" customHeight="1"/>
    <row r="3427" ht="15" customHeight="1"/>
    <row r="3428" ht="15" customHeight="1"/>
    <row r="3429" ht="15" customHeight="1"/>
    <row r="3430" ht="15" customHeight="1"/>
    <row r="3431" ht="15" customHeight="1"/>
    <row r="3432" ht="15" customHeight="1"/>
    <row r="3433" ht="15" customHeight="1"/>
    <row r="3434" ht="15" customHeight="1"/>
    <row r="3435" ht="15" customHeight="1"/>
    <row r="3436" ht="15" customHeight="1"/>
    <row r="3437" ht="15" customHeight="1"/>
    <row r="3438" ht="15" customHeight="1"/>
    <row r="3439" ht="15" customHeight="1"/>
    <row r="3440" ht="15" customHeight="1"/>
    <row r="3441" ht="15" customHeight="1"/>
    <row r="3442" ht="15" customHeight="1"/>
    <row r="3443" ht="15" customHeight="1"/>
    <row r="3444" ht="15" customHeight="1"/>
    <row r="3445" ht="15" customHeight="1"/>
    <row r="3446" ht="15" customHeight="1"/>
    <row r="3447" ht="15" customHeight="1"/>
    <row r="3448" ht="15" customHeight="1"/>
    <row r="3449" ht="15"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5"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5" customHeight="1"/>
    <row r="3478" ht="15" customHeight="1"/>
    <row r="3479" ht="15" customHeight="1"/>
    <row r="3480" ht="15" customHeight="1"/>
    <row r="3481" ht="15" customHeight="1"/>
    <row r="3482" ht="15" customHeight="1"/>
    <row r="3483" ht="15" customHeight="1"/>
    <row r="3484" ht="15" customHeight="1"/>
    <row r="3485" ht="15" customHeight="1"/>
    <row r="3486" ht="15"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5" customHeight="1"/>
    <row r="3504" ht="15" customHeight="1"/>
    <row r="3505" ht="15" customHeight="1"/>
    <row r="3506" ht="15" customHeight="1"/>
    <row r="3507" ht="15" customHeight="1"/>
    <row r="3508" ht="15" customHeight="1"/>
    <row r="3509" ht="15" customHeight="1"/>
    <row r="3510" ht="15"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5" customHeight="1"/>
    <row r="3522" ht="15" customHeight="1"/>
    <row r="3523" ht="15" customHeight="1"/>
    <row r="3524" ht="15"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5" customHeight="1"/>
    <row r="3536" ht="15" customHeight="1"/>
    <row r="3537" ht="15" customHeight="1"/>
    <row r="3538" ht="15" customHeight="1"/>
    <row r="3539" ht="15" customHeight="1"/>
    <row r="3540" ht="15" customHeight="1"/>
    <row r="3541" ht="15" customHeight="1"/>
    <row r="3542" ht="15" customHeight="1"/>
    <row r="3543" ht="15" customHeight="1"/>
    <row r="3544" ht="15" customHeight="1"/>
    <row r="3545" ht="15" customHeight="1"/>
    <row r="3546" ht="15" customHeight="1"/>
    <row r="3547" ht="15" customHeight="1"/>
    <row r="3548" ht="15" customHeight="1"/>
    <row r="3549" ht="15" customHeight="1"/>
    <row r="3550" ht="15" customHeight="1"/>
    <row r="3551" ht="15" customHeight="1"/>
    <row r="3552" ht="15" customHeight="1"/>
    <row r="3553" ht="15" customHeight="1"/>
    <row r="3554" ht="15" customHeight="1"/>
    <row r="3555" ht="15" customHeight="1"/>
    <row r="3556" ht="15" customHeight="1"/>
    <row r="3557" ht="15" customHeight="1"/>
    <row r="3558" ht="15" customHeight="1"/>
    <row r="3559" ht="15" customHeight="1"/>
    <row r="3560" ht="15" customHeight="1"/>
    <row r="3561" ht="15" customHeight="1"/>
    <row r="3562" ht="15" customHeight="1"/>
    <row r="3563" ht="15" customHeight="1"/>
    <row r="3564" ht="15" customHeight="1"/>
    <row r="3565" ht="15" customHeight="1"/>
    <row r="3566" ht="15" customHeight="1"/>
    <row r="3567" ht="15" customHeight="1"/>
    <row r="3568" ht="15" customHeight="1"/>
    <row r="3569" ht="15" customHeight="1"/>
    <row r="3570" ht="15" customHeight="1"/>
    <row r="3571" ht="15" customHeight="1"/>
    <row r="3572" ht="15" customHeight="1"/>
    <row r="3573" ht="15" customHeight="1"/>
    <row r="3574" ht="15"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5"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5" customHeight="1"/>
    <row r="3603" ht="15" customHeight="1"/>
    <row r="3604" ht="15" customHeight="1"/>
    <row r="3605" ht="15" customHeight="1"/>
    <row r="3606" ht="15" customHeight="1"/>
    <row r="3607" ht="15" customHeight="1"/>
    <row r="3608" ht="15" customHeight="1"/>
    <row r="3609" ht="15" customHeight="1"/>
    <row r="3610" ht="15" customHeight="1"/>
    <row r="3611" ht="15"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5" customHeight="1"/>
    <row r="3629" ht="15" customHeight="1"/>
    <row r="3630" ht="15" customHeight="1"/>
    <row r="3631" ht="15" customHeight="1"/>
    <row r="3632" ht="15" customHeight="1"/>
    <row r="3633" ht="15" customHeight="1"/>
    <row r="3634" ht="15" customHeight="1"/>
    <row r="3635" ht="15"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5" customHeight="1"/>
    <row r="3647" ht="15" customHeight="1"/>
    <row r="3648" ht="15" customHeight="1"/>
    <row r="3649" ht="15"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5" customHeight="1"/>
    <row r="3661" ht="15" customHeight="1"/>
    <row r="3662" ht="15" customHeight="1"/>
    <row r="3663" ht="15" customHeight="1"/>
    <row r="3664" ht="15" customHeight="1"/>
    <row r="3665" ht="15" customHeight="1"/>
    <row r="3666" ht="15" customHeight="1"/>
    <row r="3667" ht="15" customHeight="1"/>
    <row r="3668" ht="15" customHeight="1"/>
    <row r="3669" ht="15" customHeight="1"/>
    <row r="3670" ht="15" customHeight="1"/>
    <row r="3671" ht="15" customHeight="1"/>
    <row r="3672" ht="15" customHeight="1"/>
    <row r="3673" ht="15" customHeight="1"/>
    <row r="3674" ht="15" customHeight="1"/>
    <row r="3675" ht="15" customHeight="1"/>
    <row r="3676" ht="15" customHeight="1"/>
    <row r="3677" ht="15" customHeight="1"/>
    <row r="3678" ht="15" customHeight="1"/>
    <row r="3679" ht="15" customHeight="1"/>
    <row r="3680" ht="15" customHeight="1"/>
    <row r="3681" ht="15" customHeight="1"/>
    <row r="3682" ht="15" customHeight="1"/>
    <row r="3683" ht="15" customHeight="1"/>
    <row r="3684" ht="15" customHeight="1"/>
    <row r="3685" ht="15" customHeight="1"/>
    <row r="3686" ht="15" customHeight="1"/>
    <row r="3687" ht="15" customHeight="1"/>
    <row r="3688" ht="15" customHeight="1"/>
    <row r="3689" ht="15" customHeight="1"/>
    <row r="3690" ht="15" customHeight="1"/>
    <row r="3691" ht="15" customHeight="1"/>
    <row r="3692" ht="15" customHeight="1"/>
    <row r="3693" ht="15" customHeight="1"/>
    <row r="3694" ht="15" customHeight="1"/>
    <row r="3695" ht="15" customHeight="1"/>
    <row r="3696" ht="15" customHeight="1"/>
    <row r="3697" ht="15" customHeight="1"/>
    <row r="3698" ht="15" customHeight="1"/>
    <row r="3699" ht="15"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5"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5" customHeight="1"/>
    <row r="3728" ht="15" customHeight="1"/>
    <row r="3729" ht="15" customHeight="1"/>
    <row r="3730" ht="15" customHeight="1"/>
    <row r="3731" ht="15" customHeight="1"/>
    <row r="3732" ht="15" customHeight="1"/>
    <row r="3733" ht="15" customHeight="1"/>
    <row r="3734" ht="15" customHeight="1"/>
    <row r="3735" ht="15" customHeight="1"/>
    <row r="3736" ht="15"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5" customHeight="1"/>
    <row r="3754" ht="15" customHeight="1"/>
    <row r="3755" ht="15" customHeight="1"/>
    <row r="3756" ht="15" customHeight="1"/>
    <row r="3757" ht="15" customHeight="1"/>
    <row r="3758" ht="15" customHeight="1"/>
    <row r="3759" ht="15" customHeight="1"/>
    <row r="3760" ht="15"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5" customHeight="1"/>
    <row r="3772" ht="15" customHeight="1"/>
    <row r="3773" ht="15" customHeight="1"/>
    <row r="3774" ht="15"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5" customHeight="1"/>
    <row r="3786" ht="15" customHeight="1"/>
    <row r="3787" ht="15" customHeight="1"/>
    <row r="3788" ht="15" customHeight="1"/>
    <row r="3789" ht="15" customHeight="1"/>
    <row r="3790" ht="15" customHeight="1"/>
    <row r="3791" ht="15" customHeight="1"/>
    <row r="3792" ht="15" customHeight="1"/>
    <row r="3793" ht="15" customHeight="1"/>
    <row r="3794" ht="15" customHeight="1"/>
    <row r="3795" ht="15" customHeight="1"/>
    <row r="3796" ht="15" customHeight="1"/>
    <row r="3797" ht="15" customHeight="1"/>
    <row r="3798" ht="15" customHeight="1"/>
    <row r="3799" ht="15" customHeight="1"/>
    <row r="3800" ht="15" customHeight="1"/>
    <row r="3801" ht="15" customHeight="1"/>
    <row r="3802" ht="15" customHeight="1"/>
    <row r="3803" ht="15" customHeight="1"/>
    <row r="3804" ht="15" customHeight="1"/>
    <row r="3805" ht="15" customHeight="1"/>
    <row r="3806" ht="15" customHeight="1"/>
    <row r="3807" ht="15" customHeight="1"/>
    <row r="3808" ht="15" customHeight="1"/>
    <row r="3809" ht="15" customHeight="1"/>
    <row r="3810" ht="15" customHeight="1"/>
    <row r="3811" ht="15" customHeight="1"/>
    <row r="3812" ht="15" customHeight="1"/>
    <row r="3813" ht="15" customHeight="1"/>
    <row r="3814" ht="15" customHeight="1"/>
    <row r="3815" ht="15" customHeight="1"/>
    <row r="3816" ht="15" customHeight="1"/>
    <row r="3817" ht="15" customHeight="1"/>
    <row r="3818" ht="15" customHeight="1"/>
    <row r="3819" ht="15" customHeight="1"/>
    <row r="3820" ht="15" customHeight="1"/>
    <row r="3821" ht="15" customHeight="1"/>
    <row r="3822" ht="15" customHeight="1"/>
    <row r="3823" ht="15" customHeight="1"/>
    <row r="3824" ht="15"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5"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5" customHeight="1"/>
    <row r="3853" ht="15" customHeight="1"/>
    <row r="3854" ht="15" customHeight="1"/>
    <row r="3855" ht="15" customHeight="1"/>
    <row r="3856" ht="15" customHeight="1"/>
    <row r="3857" ht="15" customHeight="1"/>
    <row r="3858" ht="15" customHeight="1"/>
    <row r="3859" ht="15" customHeight="1"/>
    <row r="3860" ht="15" customHeight="1"/>
    <row r="3861" ht="15"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5" customHeight="1"/>
    <row r="3879" ht="15" customHeight="1"/>
    <row r="3880" ht="15" customHeight="1"/>
    <row r="3881" ht="15" customHeight="1"/>
    <row r="3882" ht="15" customHeight="1"/>
    <row r="3883" ht="15" customHeight="1"/>
    <row r="3884" ht="15" customHeight="1"/>
    <row r="3885" ht="15"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5" customHeight="1"/>
    <row r="3897" ht="15" customHeight="1"/>
    <row r="3898" ht="15" customHeight="1"/>
    <row r="3899" ht="15"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5" customHeight="1"/>
    <row r="3911" ht="15" customHeight="1"/>
    <row r="3912" ht="15" customHeight="1"/>
    <row r="3913" ht="15" customHeight="1"/>
    <row r="3914" ht="15" customHeight="1"/>
    <row r="3915" ht="15" customHeight="1"/>
    <row r="3916" ht="15" customHeight="1"/>
    <row r="3917" ht="15" customHeight="1"/>
    <row r="3918" ht="15" customHeight="1"/>
    <row r="3919" ht="15" customHeight="1"/>
    <row r="3920" ht="15" customHeight="1"/>
    <row r="3921" ht="15" customHeight="1"/>
    <row r="3922" ht="15" customHeight="1"/>
    <row r="3923" ht="15" customHeight="1"/>
    <row r="3924" ht="15" customHeight="1"/>
    <row r="3925" ht="15" customHeight="1"/>
    <row r="3926" ht="15" customHeight="1"/>
    <row r="3927" ht="15" customHeight="1"/>
    <row r="3928" ht="15" customHeight="1"/>
    <row r="3929" ht="15" customHeight="1"/>
    <row r="3930" ht="15" customHeight="1"/>
    <row r="3931" ht="15" customHeight="1"/>
    <row r="3932" ht="15" customHeight="1"/>
    <row r="3933" ht="15" customHeight="1"/>
    <row r="3934" ht="15" customHeight="1"/>
    <row r="3935" ht="15" customHeight="1"/>
    <row r="3936" ht="15" customHeight="1"/>
    <row r="3937" ht="15" customHeight="1"/>
    <row r="3938" ht="15" customHeight="1"/>
    <row r="3939" ht="15" customHeight="1"/>
    <row r="3940" ht="15" customHeight="1"/>
    <row r="3941" ht="15" customHeight="1"/>
    <row r="3942" ht="15" customHeight="1"/>
    <row r="3943" ht="15" customHeight="1"/>
    <row r="3944" ht="15" customHeight="1"/>
    <row r="3945" ht="15" customHeight="1"/>
    <row r="3946" ht="15" customHeight="1"/>
    <row r="3947" ht="15" customHeight="1"/>
    <row r="3948" ht="15" customHeight="1"/>
    <row r="3949" ht="15"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5"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5" customHeight="1"/>
    <row r="3978" ht="15" customHeight="1"/>
    <row r="3979" ht="15" customHeight="1"/>
    <row r="3980" ht="15" customHeight="1"/>
    <row r="3981" ht="15" customHeight="1"/>
    <row r="3982" ht="15" customHeight="1"/>
    <row r="3983" ht="15" customHeight="1"/>
    <row r="3984" ht="15" customHeight="1"/>
    <row r="3985" ht="15" customHeight="1"/>
    <row r="3986" ht="15"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5" customHeight="1"/>
    <row r="4004" ht="15" customHeight="1"/>
    <row r="4005" ht="15" customHeight="1"/>
    <row r="4006" ht="15" customHeight="1"/>
    <row r="4007" ht="15" customHeight="1"/>
    <row r="4008" ht="15" customHeight="1"/>
    <row r="4009" ht="15" customHeight="1"/>
    <row r="4010" ht="15"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5" customHeight="1"/>
    <row r="4022" ht="15" customHeight="1"/>
    <row r="4023" ht="15" customHeight="1"/>
    <row r="4024" ht="15"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5" customHeight="1"/>
    <row r="4036" ht="15" customHeight="1"/>
    <row r="4037" ht="15" customHeight="1"/>
    <row r="4038" ht="15" customHeight="1"/>
    <row r="4039" ht="15" customHeight="1"/>
    <row r="4040" ht="15" customHeight="1"/>
    <row r="4041" ht="15" customHeight="1"/>
    <row r="4042" ht="15" customHeight="1"/>
    <row r="4043" ht="15" customHeight="1"/>
    <row r="4044" ht="15" customHeight="1"/>
    <row r="4045" ht="15" customHeight="1"/>
    <row r="4046" ht="15" customHeight="1"/>
    <row r="4047" ht="15" customHeight="1"/>
    <row r="4048" ht="15" customHeight="1"/>
    <row r="4049" ht="15" customHeight="1"/>
    <row r="4050" ht="15" customHeight="1"/>
    <row r="4051" ht="15" customHeight="1"/>
    <row r="4052" ht="15" customHeight="1"/>
    <row r="4053" ht="15" customHeight="1"/>
    <row r="4054" ht="15" customHeight="1"/>
    <row r="4055" ht="15" customHeight="1"/>
    <row r="4056" ht="15" customHeight="1"/>
    <row r="4057" ht="15" customHeight="1"/>
    <row r="4058" ht="15" customHeight="1"/>
    <row r="4059" ht="15" customHeight="1"/>
    <row r="4060" ht="15" customHeight="1"/>
    <row r="4061" ht="15" customHeight="1"/>
    <row r="4062" ht="15" customHeight="1"/>
    <row r="4063" ht="15" customHeight="1"/>
    <row r="4064" ht="15" customHeight="1"/>
    <row r="4065" ht="15" customHeight="1"/>
    <row r="4066" ht="15" customHeight="1"/>
    <row r="4067" ht="15" customHeight="1"/>
    <row r="4068" ht="15" customHeight="1"/>
    <row r="4069" ht="15" customHeight="1"/>
    <row r="4070" ht="15" customHeight="1"/>
    <row r="4071" ht="15" customHeight="1"/>
    <row r="4072" ht="15" customHeight="1"/>
    <row r="4073" ht="15" customHeight="1"/>
    <row r="4074" ht="15"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5"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5" customHeight="1"/>
    <row r="4103" ht="15" customHeight="1"/>
    <row r="4104" ht="15" customHeight="1"/>
    <row r="4105" ht="15" customHeight="1"/>
    <row r="4106" ht="15" customHeight="1"/>
    <row r="4107" ht="15" customHeight="1"/>
    <row r="4108" ht="15" customHeight="1"/>
    <row r="4109" ht="15" customHeight="1"/>
    <row r="4110" ht="15" customHeight="1"/>
    <row r="4111" ht="15"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5" customHeight="1"/>
    <row r="4129" ht="15" customHeight="1"/>
    <row r="4130" ht="15" customHeight="1"/>
    <row r="4131" ht="15" customHeight="1"/>
    <row r="4132" ht="15" customHeight="1"/>
    <row r="4133" ht="15" customHeight="1"/>
    <row r="4134" ht="15" customHeight="1"/>
    <row r="4135" ht="15"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5" customHeight="1"/>
    <row r="4147" ht="15" customHeight="1"/>
    <row r="4148" ht="15" customHeight="1"/>
    <row r="4149" ht="15"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5" customHeight="1"/>
    <row r="4161" ht="15" customHeight="1"/>
    <row r="4162" ht="15" customHeight="1"/>
    <row r="4163" ht="15" customHeight="1"/>
    <row r="4164" ht="15" customHeight="1"/>
    <row r="4165" ht="15" customHeight="1"/>
    <row r="4166" ht="15" customHeight="1"/>
    <row r="4167" ht="15" customHeight="1"/>
    <row r="4168" ht="15" customHeight="1"/>
    <row r="4169" ht="15" customHeight="1"/>
    <row r="4170" ht="15" customHeight="1"/>
    <row r="4171" ht="15" customHeight="1"/>
    <row r="4172" ht="15" customHeight="1"/>
    <row r="4173" ht="15" customHeight="1"/>
    <row r="4174" ht="15" customHeight="1"/>
    <row r="4175" ht="15" customHeight="1"/>
    <row r="4176" ht="15" customHeight="1"/>
    <row r="4177" ht="15" customHeight="1"/>
    <row r="4178" ht="15" customHeight="1"/>
    <row r="4179" ht="15" customHeight="1"/>
    <row r="4180" ht="15" customHeight="1"/>
    <row r="4181" ht="15" customHeight="1"/>
    <row r="4182" ht="15" customHeight="1"/>
    <row r="4183" ht="15" customHeight="1"/>
    <row r="4184" ht="15" customHeight="1"/>
    <row r="4185" ht="15" customHeight="1"/>
    <row r="4186" ht="15" customHeight="1"/>
    <row r="4187" ht="15" customHeight="1"/>
    <row r="4188" ht="15" customHeight="1"/>
    <row r="4189" ht="15" customHeight="1"/>
    <row r="4190" ht="15" customHeight="1"/>
    <row r="4191" ht="15" customHeight="1"/>
    <row r="4192" ht="15" customHeight="1"/>
    <row r="4193" ht="15" customHeight="1"/>
    <row r="4194" ht="15" customHeight="1"/>
    <row r="4195" ht="15" customHeight="1"/>
    <row r="4196" ht="15" customHeight="1"/>
    <row r="4197" ht="15" customHeight="1"/>
    <row r="4198" ht="15" customHeight="1"/>
    <row r="4199" ht="15"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5"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5" customHeight="1"/>
    <row r="4228" ht="15" customHeight="1"/>
    <row r="4229" ht="15" customHeight="1"/>
    <row r="4230" ht="15" customHeight="1"/>
    <row r="4231" ht="15" customHeight="1"/>
    <row r="4232" ht="15" customHeight="1"/>
    <row r="4233" ht="15" customHeight="1"/>
    <row r="4234" ht="15" customHeight="1"/>
    <row r="4235" ht="15" customHeight="1"/>
    <row r="4236" ht="15"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5" customHeight="1"/>
    <row r="4254" ht="15" customHeight="1"/>
    <row r="4255" ht="15" customHeight="1"/>
    <row r="4256" ht="15" customHeight="1"/>
    <row r="4257" ht="15" customHeight="1"/>
    <row r="4258" ht="15" customHeight="1"/>
    <row r="4259" ht="15" customHeight="1"/>
    <row r="4260" ht="15"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5" customHeight="1"/>
    <row r="4272" ht="15" customHeight="1"/>
    <row r="4273" ht="15" customHeight="1"/>
    <row r="4274" ht="15"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5" customHeight="1"/>
    <row r="4286" ht="15" customHeight="1"/>
    <row r="4287" ht="15" customHeight="1"/>
    <row r="4288" ht="15" customHeight="1"/>
    <row r="4289" ht="15" customHeight="1"/>
    <row r="4290" ht="15" customHeight="1"/>
    <row r="4291" ht="15" customHeight="1"/>
    <row r="4292" ht="15" customHeight="1"/>
    <row r="4293" ht="15" customHeight="1"/>
    <row r="4294" ht="15" customHeight="1"/>
    <row r="4295" ht="15" customHeight="1"/>
    <row r="4296" ht="15" customHeight="1"/>
    <row r="4297" ht="15" customHeight="1"/>
    <row r="4298" ht="15" customHeight="1"/>
    <row r="4299" ht="15" customHeight="1"/>
    <row r="4300" ht="15" customHeight="1"/>
    <row r="4301" ht="15" customHeight="1"/>
    <row r="4302" ht="15" customHeight="1"/>
    <row r="4303" ht="15" customHeight="1"/>
    <row r="4304" ht="15" customHeight="1"/>
    <row r="4305" ht="15" customHeight="1"/>
    <row r="4306" ht="15" customHeight="1"/>
    <row r="4307" ht="15" customHeight="1"/>
    <row r="4308" ht="15" customHeight="1"/>
    <row r="4309" ht="15" customHeight="1"/>
    <row r="4310" ht="15" customHeight="1"/>
    <row r="4311" ht="15" customHeight="1"/>
    <row r="4312" ht="15" customHeight="1"/>
    <row r="4313" ht="15" customHeight="1"/>
    <row r="4314" ht="15" customHeight="1"/>
    <row r="4315" ht="15" customHeight="1"/>
    <row r="4316" ht="15" customHeight="1"/>
    <row r="4317" ht="15" customHeight="1"/>
    <row r="4318" ht="15" customHeight="1"/>
    <row r="4319" ht="15" customHeight="1"/>
    <row r="4320" ht="15" customHeight="1"/>
    <row r="4321" ht="15" customHeight="1"/>
    <row r="4322" ht="15" customHeight="1"/>
    <row r="4323" ht="15" customHeight="1"/>
    <row r="4324" ht="15"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5"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5" customHeight="1"/>
    <row r="4353" ht="15" customHeight="1"/>
    <row r="4354" ht="15" customHeight="1"/>
    <row r="4355" ht="15" customHeight="1"/>
    <row r="4356" ht="15" customHeight="1"/>
    <row r="4357" ht="15" customHeight="1"/>
    <row r="4358" ht="15" customHeight="1"/>
    <row r="4359" ht="15" customHeight="1"/>
    <row r="4360" ht="15" customHeight="1"/>
    <row r="4361" ht="15"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5" customHeight="1"/>
    <row r="4379" ht="15" customHeight="1"/>
    <row r="4380" ht="15" customHeight="1"/>
    <row r="4381" ht="15" customHeight="1"/>
    <row r="4382" ht="15" customHeight="1"/>
    <row r="4383" ht="15" customHeight="1"/>
    <row r="4384" ht="15" customHeight="1"/>
    <row r="4385" ht="15"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5" customHeight="1"/>
    <row r="4397" ht="15" customHeight="1"/>
    <row r="4398" ht="15" customHeight="1"/>
    <row r="4399" ht="15"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row r="4410" ht="15" customHeight="1"/>
    <row r="4411" ht="15" customHeight="1"/>
    <row r="4412" ht="15" customHeight="1"/>
    <row r="4413" ht="15" customHeight="1"/>
    <row r="4414" ht="15" customHeight="1"/>
    <row r="4415" ht="15" customHeight="1"/>
    <row r="4416" ht="15" customHeight="1"/>
    <row r="4417" ht="15" customHeight="1"/>
    <row r="4418" ht="15" customHeight="1"/>
    <row r="4419" ht="15" customHeight="1"/>
    <row r="4420" ht="15" customHeight="1"/>
    <row r="4421" ht="15" customHeight="1"/>
    <row r="4422" ht="15" customHeight="1"/>
    <row r="4423" ht="15" customHeight="1"/>
    <row r="4424" ht="15" customHeight="1"/>
    <row r="4425" ht="15" customHeight="1"/>
    <row r="4426" ht="15" customHeight="1"/>
    <row r="4427" ht="15" customHeight="1"/>
    <row r="4428" ht="15" customHeight="1"/>
    <row r="4429" ht="15" customHeight="1"/>
    <row r="4430" ht="15" customHeight="1"/>
    <row r="4431" ht="15" customHeight="1"/>
    <row r="4432" ht="15" customHeight="1"/>
    <row r="4433" ht="15" customHeight="1"/>
    <row r="4434" ht="15" customHeight="1"/>
    <row r="4435" ht="15" customHeight="1"/>
    <row r="4436" ht="15" customHeight="1"/>
    <row r="4437" ht="15" customHeight="1"/>
    <row r="4438" ht="15" customHeight="1"/>
    <row r="4439" ht="15" customHeight="1"/>
    <row r="4440" ht="15" customHeight="1"/>
    <row r="4441" ht="15" customHeight="1"/>
    <row r="4442" ht="15" customHeight="1"/>
    <row r="4443" ht="15" customHeight="1"/>
    <row r="4444" ht="15" customHeight="1"/>
    <row r="4445" ht="15" customHeight="1"/>
    <row r="4446" ht="15" customHeight="1"/>
    <row r="4447" ht="15" customHeight="1"/>
    <row r="4448" ht="15" customHeight="1"/>
    <row r="4449" ht="15" customHeight="1"/>
    <row r="4450" ht="15" customHeight="1"/>
    <row r="4451" ht="15" customHeight="1"/>
    <row r="4452" ht="15" customHeight="1"/>
    <row r="4453" ht="15" customHeight="1"/>
    <row r="4454" ht="15" customHeight="1"/>
    <row r="4455" ht="15" customHeight="1"/>
    <row r="4456" ht="15" customHeight="1"/>
    <row r="4457" ht="15" customHeight="1"/>
    <row r="4458" ht="15" customHeight="1"/>
    <row r="4459" ht="15" customHeight="1"/>
    <row r="4460" ht="15" customHeight="1"/>
    <row r="4461" ht="15" customHeight="1"/>
    <row r="4462" ht="15" customHeight="1"/>
    <row r="4463" ht="15" customHeight="1"/>
    <row r="4464" ht="15" customHeight="1"/>
    <row r="4465" ht="15" customHeight="1"/>
    <row r="4466" ht="15" customHeight="1"/>
    <row r="4467" ht="15" customHeight="1"/>
    <row r="4468" ht="15" customHeight="1"/>
    <row r="4469" ht="15" customHeight="1"/>
    <row r="4470" ht="15" customHeight="1"/>
    <row r="4471" ht="15" customHeight="1"/>
    <row r="4472" ht="15" customHeight="1"/>
    <row r="4473" ht="15" customHeight="1"/>
    <row r="4474" ht="15" customHeight="1"/>
    <row r="4475" ht="15" customHeight="1"/>
    <row r="4476" ht="15" customHeight="1"/>
    <row r="4477" ht="15" customHeight="1"/>
    <row r="4478" ht="15" customHeight="1"/>
    <row r="4479" ht="15" customHeight="1"/>
    <row r="4480" ht="15" customHeight="1"/>
    <row r="4481" ht="15" customHeight="1"/>
    <row r="4482" ht="15" customHeight="1"/>
    <row r="4483" ht="15" customHeight="1"/>
    <row r="4484" ht="15" customHeight="1"/>
    <row r="4485" ht="15" customHeight="1"/>
    <row r="4486" ht="15" customHeight="1"/>
    <row r="4487" ht="15" customHeight="1"/>
    <row r="4488" ht="15" customHeight="1"/>
    <row r="4489" ht="15" customHeight="1"/>
    <row r="4490" ht="15" customHeight="1"/>
    <row r="4491" ht="15" customHeight="1"/>
    <row r="4492" ht="15" customHeight="1"/>
    <row r="4493" ht="15" customHeight="1"/>
    <row r="4494" ht="15" customHeight="1"/>
    <row r="4495" ht="15" customHeight="1"/>
    <row r="4496" ht="15" customHeight="1"/>
    <row r="4497" ht="15" customHeight="1"/>
    <row r="4498" ht="15" customHeight="1"/>
    <row r="4499" ht="15" customHeight="1"/>
    <row r="4500" ht="15" customHeight="1"/>
    <row r="4501" ht="15" customHeight="1"/>
    <row r="4502" ht="15" customHeight="1"/>
    <row r="4503" ht="15" customHeight="1"/>
    <row r="4504" ht="15" customHeight="1"/>
    <row r="4505" ht="15" customHeight="1"/>
    <row r="4506" ht="15" customHeight="1"/>
    <row r="4507" ht="15" customHeight="1"/>
    <row r="4508" ht="15" customHeight="1"/>
    <row r="4509" ht="15" customHeight="1"/>
    <row r="4510" ht="15" customHeight="1"/>
    <row r="4511" ht="15" customHeight="1"/>
    <row r="4512" ht="15" customHeight="1"/>
    <row r="4513" ht="15" customHeight="1"/>
    <row r="4514" ht="15" customHeight="1"/>
    <row r="4515" ht="15" customHeight="1"/>
    <row r="4516" ht="15" customHeight="1"/>
    <row r="4517" ht="15" customHeight="1"/>
    <row r="4518" ht="15" customHeight="1"/>
    <row r="4519" ht="15" customHeight="1"/>
    <row r="4520" ht="15" customHeight="1"/>
    <row r="4521" ht="15" customHeight="1"/>
    <row r="4522" ht="15" customHeight="1"/>
    <row r="4523" ht="15" customHeight="1"/>
    <row r="4524" ht="15" customHeight="1"/>
    <row r="4525" ht="15" customHeight="1"/>
    <row r="4526" ht="15" customHeight="1"/>
    <row r="4527" ht="15" customHeight="1"/>
    <row r="4528" ht="15" customHeight="1"/>
    <row r="4529" ht="15" customHeight="1"/>
    <row r="4530" ht="15" customHeight="1"/>
    <row r="4531" ht="15" customHeight="1"/>
    <row r="4532" ht="15" customHeight="1"/>
    <row r="4533" ht="15" customHeight="1"/>
    <row r="4534" ht="15" customHeight="1"/>
    <row r="4535" ht="15" customHeight="1"/>
    <row r="4536" ht="15" customHeight="1"/>
    <row r="4537" ht="15" customHeight="1"/>
    <row r="4538" ht="15" customHeight="1"/>
    <row r="4539" ht="15" customHeight="1"/>
    <row r="4540" ht="15" customHeight="1"/>
    <row r="4541" ht="15" customHeight="1"/>
    <row r="4542" ht="15" customHeight="1"/>
    <row r="4543" ht="15" customHeight="1"/>
    <row r="4544" ht="15" customHeight="1"/>
    <row r="4545" ht="15" customHeight="1"/>
    <row r="4546" ht="15" customHeight="1"/>
    <row r="4547" ht="15" customHeight="1"/>
    <row r="4548" ht="15" customHeight="1"/>
    <row r="4549" ht="15" customHeight="1"/>
    <row r="4550" ht="15" customHeight="1"/>
    <row r="4551" ht="15" customHeight="1"/>
    <row r="4552" ht="15" customHeight="1"/>
    <row r="4553" ht="15" customHeight="1"/>
    <row r="4554" ht="15" customHeight="1"/>
    <row r="4555" ht="15" customHeight="1"/>
    <row r="4556" ht="15" customHeight="1"/>
    <row r="4557" ht="15" customHeight="1"/>
    <row r="4558" ht="15" customHeight="1"/>
    <row r="4559" ht="15" customHeight="1"/>
    <row r="4560" ht="15" customHeight="1"/>
    <row r="4561" ht="15" customHeight="1"/>
    <row r="4562" ht="15" customHeight="1"/>
    <row r="4563" ht="15" customHeight="1"/>
    <row r="4564" ht="15" customHeight="1"/>
    <row r="4565" ht="15" customHeight="1"/>
    <row r="4566" ht="15" customHeight="1"/>
    <row r="4567" ht="15" customHeight="1"/>
    <row r="4568" ht="15" customHeight="1"/>
    <row r="4569" ht="15" customHeight="1"/>
    <row r="4570" ht="15" customHeight="1"/>
    <row r="4571" ht="15" customHeight="1"/>
    <row r="4572" ht="15" customHeight="1"/>
    <row r="4573" ht="15" customHeight="1"/>
    <row r="4574" ht="15" customHeight="1"/>
    <row r="4575" ht="15" customHeight="1"/>
    <row r="4576" ht="15" customHeight="1"/>
    <row r="4577" ht="15" customHeight="1"/>
    <row r="4578" ht="15" customHeight="1"/>
    <row r="4579" ht="15" customHeight="1"/>
    <row r="4580" ht="15" customHeight="1"/>
    <row r="4581" ht="15" customHeight="1"/>
    <row r="4582" ht="15" customHeight="1"/>
    <row r="4583" ht="15" customHeight="1"/>
    <row r="4584" ht="15" customHeight="1"/>
    <row r="4585" ht="15" customHeight="1"/>
    <row r="4586" ht="15" customHeight="1"/>
    <row r="4587" ht="15" customHeight="1"/>
    <row r="4588" ht="15" customHeight="1"/>
    <row r="4589" ht="15" customHeight="1"/>
    <row r="4590" ht="15" customHeight="1"/>
    <row r="4591" ht="15" customHeight="1"/>
    <row r="4592" ht="15" customHeight="1"/>
    <row r="4593" ht="15" customHeight="1"/>
    <row r="4594" ht="15" customHeight="1"/>
    <row r="4595" ht="15" customHeight="1"/>
    <row r="4596" ht="15" customHeight="1"/>
    <row r="4597" ht="15" customHeight="1"/>
    <row r="4598" ht="15" customHeight="1"/>
    <row r="4599" ht="15" customHeight="1"/>
    <row r="4600" ht="15" customHeight="1"/>
    <row r="4601" ht="15" customHeight="1"/>
    <row r="4602" ht="15" customHeight="1"/>
    <row r="4603" ht="15" customHeight="1"/>
    <row r="4604" ht="15" customHeight="1"/>
    <row r="4605" ht="15" customHeight="1"/>
    <row r="4606" ht="15" customHeight="1"/>
    <row r="4607" ht="15" customHeight="1"/>
    <row r="4608" ht="15" customHeight="1"/>
    <row r="4609" ht="15" customHeight="1"/>
    <row r="4610" ht="15" customHeight="1"/>
    <row r="4611" ht="15" customHeight="1"/>
    <row r="4612" ht="15" customHeight="1"/>
    <row r="4613" ht="15" customHeight="1"/>
    <row r="4614" ht="15" customHeight="1"/>
    <row r="4615" ht="15" customHeight="1"/>
    <row r="4616" ht="15" customHeight="1"/>
    <row r="4617" ht="15" customHeight="1"/>
    <row r="4618" ht="15" customHeight="1"/>
    <row r="4619" ht="15" customHeight="1"/>
    <row r="4620" ht="15" customHeight="1"/>
    <row r="4621" ht="15" customHeight="1"/>
    <row r="4622" ht="15" customHeight="1"/>
    <row r="4623" ht="15" customHeight="1"/>
    <row r="4624" ht="15" customHeight="1"/>
    <row r="4625" ht="15" customHeight="1"/>
    <row r="4626" ht="15" customHeight="1"/>
    <row r="4627" ht="15" customHeight="1"/>
    <row r="4628" ht="15" customHeight="1"/>
    <row r="4629" ht="15" customHeight="1"/>
    <row r="4630" ht="15" customHeight="1"/>
    <row r="4631" ht="15" customHeight="1"/>
    <row r="4632" ht="15" customHeight="1"/>
    <row r="4633" ht="15" customHeight="1"/>
    <row r="4634" ht="15" customHeight="1"/>
    <row r="4635" ht="15" customHeight="1"/>
    <row r="4636" ht="15" customHeight="1"/>
    <row r="4637" ht="15" customHeight="1"/>
    <row r="4638" ht="15" customHeight="1"/>
    <row r="4639" ht="15" customHeight="1"/>
    <row r="4640" ht="15" customHeight="1"/>
    <row r="4641" ht="15" customHeight="1"/>
    <row r="4642" ht="15" customHeight="1"/>
    <row r="4643" ht="15" customHeight="1"/>
    <row r="4644" ht="15" customHeight="1"/>
    <row r="4645" ht="15" customHeight="1"/>
    <row r="4646" ht="15" customHeight="1"/>
    <row r="4647" ht="15" customHeight="1"/>
    <row r="4648" ht="15" customHeight="1"/>
    <row r="4649" ht="15" customHeight="1"/>
    <row r="4650" ht="15" customHeight="1"/>
    <row r="4651" ht="15" customHeight="1"/>
    <row r="4652" ht="15" customHeight="1"/>
    <row r="4653" ht="15" customHeight="1"/>
    <row r="4654" ht="15" customHeight="1"/>
    <row r="4655" ht="15" customHeight="1"/>
    <row r="4656" ht="15" customHeight="1"/>
    <row r="4657" ht="15" customHeight="1"/>
    <row r="4658" ht="15" customHeight="1"/>
    <row r="4659" ht="15" customHeight="1"/>
    <row r="4660" ht="15" customHeight="1"/>
    <row r="4661" ht="15" customHeight="1"/>
    <row r="4662" ht="15" customHeight="1"/>
    <row r="4663" ht="15" customHeight="1"/>
    <row r="4664" ht="15" customHeight="1"/>
    <row r="4665" ht="15" customHeight="1"/>
    <row r="4666" ht="15" customHeight="1"/>
    <row r="4667" ht="15" customHeight="1"/>
    <row r="4668" ht="15" customHeight="1"/>
    <row r="4669" ht="15" customHeight="1"/>
    <row r="4670" ht="15" customHeight="1"/>
    <row r="4671" ht="15" customHeight="1"/>
    <row r="4672" ht="15" customHeight="1"/>
    <row r="4673" ht="15" customHeight="1"/>
    <row r="4674" ht="15" customHeight="1"/>
    <row r="4675" ht="15" customHeight="1"/>
    <row r="4676" ht="15" customHeight="1"/>
    <row r="4677" ht="15" customHeight="1"/>
    <row r="4678" ht="15" customHeight="1"/>
    <row r="4679" ht="15" customHeight="1"/>
    <row r="4680" ht="15" customHeight="1"/>
    <row r="4681" ht="15" customHeight="1"/>
    <row r="4682" ht="15" customHeight="1"/>
    <row r="4683" ht="15" customHeight="1"/>
    <row r="4684" ht="15" customHeight="1"/>
    <row r="4685" ht="15" customHeight="1"/>
    <row r="4686" ht="15" customHeight="1"/>
    <row r="4687" ht="15" customHeight="1"/>
    <row r="4688" ht="15" customHeight="1"/>
    <row r="4689" ht="15" customHeight="1"/>
    <row r="4690" ht="15" customHeight="1"/>
    <row r="4691" ht="15" customHeight="1"/>
    <row r="4692" ht="15" customHeight="1"/>
    <row r="4693" ht="15" customHeight="1"/>
    <row r="4694" ht="15" customHeight="1"/>
    <row r="4695" ht="15" customHeight="1"/>
    <row r="4696" ht="15" customHeight="1"/>
    <row r="4697" ht="15" customHeight="1"/>
    <row r="4698" ht="15" customHeight="1"/>
    <row r="4699" ht="15" customHeight="1"/>
    <row r="4700" ht="15" customHeight="1"/>
    <row r="4701" ht="15" customHeight="1"/>
    <row r="4702" ht="15" customHeight="1"/>
    <row r="4703" ht="15" customHeight="1"/>
    <row r="4704" ht="15" customHeight="1"/>
    <row r="4705" ht="15" customHeight="1"/>
    <row r="4706" ht="15" customHeight="1"/>
    <row r="4707" ht="15" customHeight="1"/>
    <row r="4708" ht="15" customHeight="1"/>
    <row r="4709" ht="15" customHeight="1"/>
    <row r="4710" ht="15" customHeight="1"/>
    <row r="4711" ht="15" customHeight="1"/>
    <row r="4712" ht="15" customHeight="1"/>
    <row r="4713" ht="15" customHeight="1"/>
    <row r="4714" ht="15" customHeight="1"/>
    <row r="4715" ht="15" customHeight="1"/>
    <row r="4716" ht="15" customHeight="1"/>
    <row r="4717" ht="15" customHeight="1"/>
    <row r="4718" ht="15" customHeight="1"/>
    <row r="4719" ht="15" customHeight="1"/>
    <row r="4720" ht="15" customHeight="1"/>
    <row r="4721" ht="15" customHeight="1"/>
    <row r="4722" ht="15" customHeight="1"/>
    <row r="4723" ht="15" customHeight="1"/>
    <row r="4724" ht="15" customHeight="1"/>
    <row r="4725" ht="15" customHeight="1"/>
    <row r="4726" ht="15" customHeight="1"/>
    <row r="4727" ht="15" customHeight="1"/>
    <row r="4728" ht="15" customHeight="1"/>
    <row r="4729" ht="15" customHeight="1"/>
    <row r="4730" ht="15" customHeight="1"/>
    <row r="4731" ht="15" customHeight="1"/>
    <row r="4732" ht="15" customHeight="1"/>
    <row r="4733" ht="15" customHeight="1"/>
    <row r="4734" ht="15" customHeight="1"/>
    <row r="4735" ht="15" customHeight="1"/>
    <row r="4736" ht="15" customHeight="1"/>
    <row r="4737" ht="15" customHeight="1"/>
    <row r="4738" ht="15" customHeight="1"/>
    <row r="4739" ht="15" customHeight="1"/>
    <row r="4740" ht="15" customHeight="1"/>
    <row r="4741" ht="15" customHeight="1"/>
    <row r="4742" ht="15" customHeight="1"/>
    <row r="4743" ht="15" customHeight="1"/>
    <row r="4744" ht="15" customHeight="1"/>
    <row r="4745" ht="15" customHeight="1"/>
    <row r="4746" ht="15" customHeight="1"/>
    <row r="4747" ht="15" customHeight="1"/>
    <row r="4748" ht="15" customHeight="1"/>
    <row r="4749" ht="15" customHeight="1"/>
    <row r="4750" ht="15" customHeight="1"/>
    <row r="4751" ht="15" customHeight="1"/>
    <row r="4752" ht="15" customHeight="1"/>
    <row r="4753" ht="15" customHeight="1"/>
    <row r="4754" ht="15" customHeight="1"/>
    <row r="4755" ht="15" customHeight="1"/>
    <row r="4756" ht="15" customHeight="1"/>
    <row r="4757" ht="15" customHeight="1"/>
    <row r="4758" ht="15" customHeight="1"/>
    <row r="4759" ht="15" customHeight="1"/>
    <row r="4760" ht="15" customHeight="1"/>
    <row r="4761" ht="15" customHeight="1"/>
    <row r="4762" ht="15" customHeight="1"/>
    <row r="4763" ht="15" customHeight="1"/>
    <row r="4764" ht="15" customHeight="1"/>
    <row r="4765" ht="15" customHeight="1"/>
    <row r="4766" ht="15" customHeight="1"/>
    <row r="4767" ht="15" customHeight="1"/>
    <row r="4768" ht="15" customHeight="1"/>
    <row r="4769" ht="15" customHeight="1"/>
    <row r="4770" ht="15" customHeight="1"/>
    <row r="4771" ht="15" customHeight="1"/>
    <row r="4772" ht="15" customHeight="1"/>
    <row r="4773" ht="15" customHeight="1"/>
    <row r="4774" ht="15" customHeight="1"/>
    <row r="4775" ht="15" customHeight="1"/>
    <row r="4776" ht="15" customHeight="1"/>
    <row r="4777" ht="15" customHeight="1"/>
    <row r="4778" ht="15" customHeight="1"/>
    <row r="4779" ht="15" customHeight="1"/>
    <row r="4780" ht="15" customHeight="1"/>
    <row r="4781" ht="15" customHeight="1"/>
    <row r="4782" ht="15" customHeight="1"/>
    <row r="4783" ht="15" customHeight="1"/>
    <row r="4784" ht="15" customHeight="1"/>
    <row r="4785" ht="15" customHeight="1"/>
    <row r="4786" ht="15" customHeight="1"/>
    <row r="4787" ht="15" customHeight="1"/>
    <row r="4788" ht="15" customHeight="1"/>
    <row r="4789" ht="15" customHeight="1"/>
    <row r="4790" ht="15" customHeight="1"/>
    <row r="4791" ht="15" customHeight="1"/>
    <row r="4792" ht="15" customHeight="1"/>
    <row r="4793" ht="15" customHeight="1"/>
    <row r="4794" ht="15" customHeight="1"/>
    <row r="4795" ht="15" customHeight="1"/>
    <row r="4796" ht="15" customHeight="1"/>
    <row r="4797" ht="15" customHeight="1"/>
    <row r="4798" ht="15" customHeight="1"/>
    <row r="4799" ht="15" customHeight="1"/>
    <row r="4800" ht="15" customHeight="1"/>
    <row r="4801" ht="15" customHeight="1"/>
    <row r="4802" ht="15" customHeight="1"/>
    <row r="4803" ht="15" customHeight="1"/>
    <row r="4804" ht="15" customHeight="1"/>
    <row r="4805" ht="15" customHeight="1"/>
    <row r="4806" ht="15" customHeight="1"/>
    <row r="4807" ht="15" customHeight="1"/>
    <row r="4808" ht="15" customHeight="1"/>
    <row r="4809" ht="15" customHeight="1"/>
    <row r="4810" ht="15" customHeight="1"/>
    <row r="4811" ht="15" customHeight="1"/>
    <row r="4812" ht="15" customHeight="1"/>
    <row r="4813" ht="15" customHeight="1"/>
    <row r="4814" ht="15" customHeight="1"/>
    <row r="4815" ht="15" customHeight="1"/>
    <row r="4816" ht="15" customHeight="1"/>
    <row r="4817" ht="15" customHeight="1"/>
    <row r="4818" ht="15" customHeight="1"/>
    <row r="4819" ht="15" customHeight="1"/>
    <row r="4820" ht="15" customHeight="1"/>
    <row r="4821" ht="15" customHeight="1"/>
    <row r="4822" ht="15" customHeight="1"/>
    <row r="4823" ht="15" customHeight="1"/>
    <row r="4824" ht="15" customHeight="1"/>
    <row r="4825" ht="15" customHeight="1"/>
    <row r="4826" ht="15" customHeight="1"/>
    <row r="4827" ht="15" customHeight="1"/>
    <row r="4828" ht="15" customHeight="1"/>
    <row r="4829" ht="15" customHeight="1"/>
    <row r="4830" ht="15" customHeight="1"/>
    <row r="4831" ht="15" customHeight="1"/>
    <row r="4832" ht="15" customHeight="1"/>
    <row r="4833" ht="15" customHeight="1"/>
    <row r="4834" ht="15" customHeight="1"/>
    <row r="4835" ht="15" customHeight="1"/>
    <row r="4836" ht="15" customHeight="1"/>
    <row r="4837" ht="15" customHeight="1"/>
    <row r="4838" ht="15" customHeight="1"/>
    <row r="4839" ht="15" customHeight="1"/>
    <row r="4840" ht="15" customHeight="1"/>
    <row r="4841" ht="15" customHeight="1"/>
    <row r="4842" ht="15" customHeight="1"/>
    <row r="4843" ht="15" customHeight="1"/>
    <row r="4844" ht="15" customHeight="1"/>
    <row r="4845" ht="15" customHeight="1"/>
    <row r="4846" ht="15" customHeight="1"/>
    <row r="4847" ht="15" customHeight="1"/>
    <row r="4848" ht="15" customHeight="1"/>
    <row r="4849" ht="15" customHeight="1"/>
    <row r="4850" ht="15" customHeight="1"/>
    <row r="4851" ht="15" customHeight="1"/>
    <row r="4852" ht="15" customHeight="1"/>
    <row r="4853" ht="15" customHeight="1"/>
    <row r="4854" ht="15" customHeight="1"/>
    <row r="4855" ht="15" customHeight="1"/>
    <row r="4856" ht="15" customHeight="1"/>
    <row r="4857" ht="15" customHeight="1"/>
    <row r="4858" ht="15" customHeight="1"/>
    <row r="4859" ht="15" customHeight="1"/>
    <row r="4860" ht="15" customHeight="1"/>
    <row r="4861" ht="15" customHeight="1"/>
    <row r="4862" ht="15" customHeight="1"/>
    <row r="4863" ht="15" customHeight="1"/>
    <row r="4864" ht="15" customHeight="1"/>
    <row r="4865" ht="15" customHeight="1"/>
    <row r="4866" ht="15" customHeight="1"/>
    <row r="4867" ht="15" customHeight="1"/>
    <row r="4868" ht="15" customHeight="1"/>
    <row r="4869" ht="15" customHeight="1"/>
    <row r="4870" ht="15" customHeight="1"/>
    <row r="4871" ht="15" customHeight="1"/>
    <row r="4872" ht="15" customHeight="1"/>
    <row r="4873" ht="15" customHeight="1"/>
    <row r="4874" ht="15" customHeight="1"/>
    <row r="4875" ht="15" customHeight="1"/>
    <row r="4876" ht="15" customHeight="1"/>
    <row r="4877" ht="15" customHeight="1"/>
    <row r="4878" ht="15" customHeight="1"/>
    <row r="4879" ht="15" customHeight="1"/>
    <row r="4880" ht="15" customHeight="1"/>
    <row r="4881" ht="15" customHeight="1"/>
    <row r="4882" ht="15" customHeight="1"/>
    <row r="4883" ht="15" customHeight="1"/>
    <row r="4884" ht="15" customHeight="1"/>
    <row r="4885" ht="15" customHeight="1"/>
    <row r="4886" ht="15" customHeight="1"/>
    <row r="4887" ht="15" customHeight="1"/>
    <row r="4888" ht="15" customHeight="1"/>
    <row r="4889" ht="15" customHeight="1"/>
    <row r="4890" ht="15" customHeight="1"/>
    <row r="4891" ht="15" customHeight="1"/>
    <row r="4892" ht="15" customHeight="1"/>
    <row r="4893" ht="15" customHeight="1"/>
    <row r="4894" ht="15" customHeight="1"/>
    <row r="4895" ht="15" customHeight="1"/>
    <row r="4896" ht="15" customHeight="1"/>
    <row r="4897" ht="15" customHeight="1"/>
    <row r="4898" ht="15" customHeight="1"/>
    <row r="4899" ht="15" customHeight="1"/>
    <row r="4900" ht="15" customHeight="1"/>
    <row r="4901" ht="15" customHeight="1"/>
    <row r="4902" ht="15" customHeight="1"/>
    <row r="4903" ht="15" customHeight="1"/>
    <row r="4904" ht="15" customHeight="1"/>
    <row r="4905" ht="15" customHeight="1"/>
    <row r="4906" ht="15" customHeight="1"/>
    <row r="4907" ht="15" customHeight="1"/>
    <row r="4908" ht="15" customHeight="1"/>
    <row r="4909" ht="15" customHeight="1"/>
    <row r="4910" ht="15" customHeight="1"/>
    <row r="4911" ht="15" customHeight="1"/>
    <row r="4912" ht="15" customHeight="1"/>
    <row r="4913" ht="15" customHeight="1"/>
    <row r="4914" ht="15" customHeight="1"/>
    <row r="4915" ht="15" customHeight="1"/>
    <row r="4916" ht="15" customHeight="1"/>
    <row r="4917" ht="15" customHeight="1"/>
    <row r="4918" ht="15" customHeight="1"/>
    <row r="4919" ht="15" customHeight="1"/>
    <row r="4920" ht="15" customHeight="1"/>
    <row r="4921" ht="15" customHeight="1"/>
    <row r="4922" ht="15" customHeight="1"/>
    <row r="4923" ht="15" customHeight="1"/>
    <row r="4924" ht="15" customHeight="1"/>
    <row r="4925" ht="15" customHeight="1"/>
    <row r="4926" ht="15" customHeight="1"/>
    <row r="4927" ht="15" customHeight="1"/>
    <row r="4928" ht="15" customHeight="1"/>
    <row r="4929" ht="15" customHeight="1"/>
    <row r="4930" ht="15" customHeight="1"/>
    <row r="4931" ht="15" customHeight="1"/>
    <row r="4932" ht="15" customHeight="1"/>
    <row r="4933" ht="15" customHeight="1"/>
    <row r="4934" ht="15" customHeight="1"/>
    <row r="4935" ht="15" customHeight="1"/>
    <row r="4936" ht="15" customHeight="1"/>
    <row r="4937" ht="15" customHeight="1"/>
    <row r="4938" ht="15" customHeight="1"/>
    <row r="4939" ht="15" customHeight="1"/>
    <row r="4940" ht="15" customHeight="1"/>
    <row r="4941" ht="15" customHeight="1"/>
    <row r="4942" ht="15" customHeight="1"/>
    <row r="4943" ht="15" customHeight="1"/>
    <row r="4944" ht="15" customHeight="1"/>
    <row r="4945" ht="15" customHeight="1"/>
    <row r="4946" ht="15" customHeight="1"/>
    <row r="4947" ht="15" customHeight="1"/>
    <row r="4948" ht="15" customHeight="1"/>
    <row r="4949" ht="15" customHeight="1"/>
    <row r="4950" ht="15" customHeight="1"/>
    <row r="4951" ht="15" customHeight="1"/>
    <row r="4952" ht="15" customHeight="1"/>
    <row r="4953" ht="15" customHeight="1"/>
    <row r="4954" ht="15" customHeight="1"/>
    <row r="4955" ht="15" customHeight="1"/>
    <row r="4956" ht="15" customHeight="1"/>
    <row r="4957" ht="15" customHeight="1"/>
    <row r="4958" ht="15" customHeight="1"/>
    <row r="4959" ht="15" customHeight="1"/>
    <row r="4960" ht="15" customHeight="1"/>
    <row r="4961" ht="15" customHeight="1"/>
    <row r="4962" ht="15" customHeight="1"/>
    <row r="4963" ht="15" customHeight="1"/>
    <row r="4964" ht="15" customHeight="1"/>
    <row r="4965" ht="15" customHeight="1"/>
    <row r="4966" ht="15" customHeight="1"/>
    <row r="4967" ht="15" customHeight="1"/>
    <row r="4968" ht="15" customHeight="1"/>
    <row r="4969" ht="15" customHeight="1"/>
    <row r="4970" ht="15" customHeight="1"/>
    <row r="4971" ht="15" customHeight="1"/>
    <row r="4972" ht="15" customHeight="1"/>
    <row r="4973" ht="15" customHeight="1"/>
    <row r="4974" ht="15" customHeight="1"/>
    <row r="4975" ht="15" customHeight="1"/>
    <row r="4976" ht="15" customHeight="1"/>
    <row r="4977" ht="15" customHeight="1"/>
    <row r="4978" ht="15" customHeight="1"/>
    <row r="4979" ht="15" customHeight="1"/>
    <row r="4980" ht="15" customHeight="1"/>
    <row r="4981" ht="15" customHeight="1"/>
    <row r="4982" ht="15" customHeight="1"/>
    <row r="4983" ht="15" customHeight="1"/>
    <row r="4984" ht="15" customHeight="1"/>
    <row r="4985" ht="15" customHeight="1"/>
    <row r="4986" ht="15" customHeight="1"/>
    <row r="4987" ht="15" customHeight="1"/>
    <row r="4988" ht="15" customHeight="1"/>
    <row r="4989" ht="15" customHeight="1"/>
    <row r="4990" ht="15" customHeight="1"/>
    <row r="4991" ht="15" customHeight="1"/>
    <row r="4992" ht="15" customHeight="1"/>
    <row r="4993" ht="15" customHeight="1"/>
    <row r="4994" ht="15" customHeight="1"/>
    <row r="4995" ht="15" customHeight="1"/>
    <row r="4996" ht="15" customHeight="1"/>
    <row r="4997" ht="15" customHeight="1"/>
    <row r="4998" ht="15" customHeight="1"/>
    <row r="4999" ht="15" customHeight="1"/>
    <row r="5000" ht="15" customHeight="1"/>
    <row r="5001" ht="15" customHeight="1"/>
    <row r="5002" ht="15" customHeight="1"/>
    <row r="5003" ht="15" customHeight="1"/>
    <row r="5004" ht="15" customHeight="1"/>
    <row r="5005" ht="15" customHeight="1"/>
    <row r="5006" ht="15" customHeight="1"/>
    <row r="5007" ht="15" customHeight="1"/>
    <row r="5008" ht="15" customHeight="1"/>
    <row r="5009" ht="15" customHeight="1"/>
    <row r="5010" ht="15" customHeight="1"/>
    <row r="5011" ht="15" customHeight="1"/>
    <row r="5012" ht="15" customHeight="1"/>
    <row r="5013" ht="15" customHeight="1"/>
    <row r="5014" ht="15" customHeight="1"/>
    <row r="5015" ht="15" customHeight="1"/>
    <row r="5016" ht="15" customHeight="1"/>
    <row r="5017" ht="15" customHeight="1"/>
    <row r="5018" ht="15" customHeight="1"/>
    <row r="5019" ht="15" customHeight="1"/>
    <row r="5020" ht="15" customHeight="1"/>
    <row r="5021" ht="15" customHeight="1"/>
    <row r="5022" ht="15" customHeight="1"/>
    <row r="5023" ht="15" customHeight="1"/>
    <row r="5024" ht="15" customHeight="1"/>
    <row r="5025" ht="15" customHeight="1"/>
    <row r="5026" ht="15" customHeight="1"/>
    <row r="5027" ht="15" customHeight="1"/>
    <row r="5028" ht="15" customHeight="1"/>
    <row r="5029" ht="15" customHeight="1"/>
    <row r="5030" ht="15" customHeight="1"/>
    <row r="5031" ht="15" customHeight="1"/>
    <row r="5032" ht="15" customHeight="1"/>
    <row r="5033" ht="15" customHeight="1"/>
    <row r="5034" ht="15" customHeight="1"/>
    <row r="5035" ht="15" customHeight="1"/>
    <row r="5036" ht="15" customHeight="1"/>
    <row r="5037" ht="15" customHeight="1"/>
    <row r="5038" ht="15" customHeight="1"/>
    <row r="5039" ht="15" customHeight="1"/>
    <row r="5040" ht="15" customHeight="1"/>
    <row r="5041" ht="15" customHeight="1"/>
    <row r="5042" ht="15" customHeight="1"/>
    <row r="5043" ht="15" customHeight="1"/>
    <row r="5044" ht="15" customHeight="1"/>
    <row r="5045" ht="15" customHeight="1"/>
    <row r="5046" ht="15" customHeight="1"/>
    <row r="5047" ht="15" customHeight="1"/>
    <row r="5048" ht="15" customHeight="1"/>
    <row r="5049" ht="15" customHeight="1"/>
    <row r="5050" ht="15" customHeight="1"/>
    <row r="5051" ht="15" customHeight="1"/>
    <row r="5052" ht="15" customHeight="1"/>
    <row r="5053" ht="15" customHeight="1"/>
    <row r="5054" ht="15" customHeight="1"/>
    <row r="5055" ht="15" customHeight="1"/>
    <row r="5056" ht="15" customHeight="1"/>
    <row r="5057" ht="15" customHeight="1"/>
    <row r="5058" ht="15" customHeight="1"/>
    <row r="5059" ht="15" customHeight="1"/>
    <row r="5060" ht="15" customHeight="1"/>
    <row r="5061" ht="15" customHeight="1"/>
    <row r="5062" ht="15" customHeight="1"/>
    <row r="5063" ht="15" customHeight="1"/>
    <row r="5064" ht="15" customHeight="1"/>
    <row r="5065" ht="15" customHeight="1"/>
    <row r="5066" ht="15" customHeight="1"/>
    <row r="5067" ht="15" customHeight="1"/>
    <row r="5068" ht="15" customHeight="1"/>
    <row r="5069" ht="15" customHeight="1"/>
    <row r="5070" ht="15" customHeight="1"/>
    <row r="5071" ht="15" customHeight="1"/>
    <row r="5072" ht="15" customHeight="1"/>
    <row r="5073" ht="15" customHeight="1"/>
    <row r="5074" ht="15" customHeight="1"/>
    <row r="5075" ht="15" customHeight="1"/>
    <row r="5076" ht="15" customHeight="1"/>
    <row r="5077" ht="15" customHeight="1"/>
    <row r="5078" ht="15" customHeight="1"/>
    <row r="5079" ht="15" customHeight="1"/>
    <row r="5080" ht="15" customHeight="1"/>
    <row r="5081" ht="15" customHeight="1"/>
    <row r="5082" ht="15" customHeight="1"/>
    <row r="5083" ht="15" customHeight="1"/>
    <row r="5084" ht="15" customHeight="1"/>
    <row r="5085" ht="15" customHeight="1"/>
    <row r="5086" ht="15" customHeight="1"/>
    <row r="5087" ht="15" customHeight="1"/>
    <row r="5088" ht="15" customHeight="1"/>
    <row r="5089" ht="15" customHeight="1"/>
    <row r="5090" ht="15" customHeight="1"/>
    <row r="5091" ht="15" customHeight="1"/>
    <row r="5092" ht="15" customHeight="1"/>
    <row r="5093" ht="15" customHeight="1"/>
    <row r="5094" ht="15" customHeight="1"/>
    <row r="5095" ht="15" customHeight="1"/>
    <row r="5096" ht="15" customHeight="1"/>
    <row r="5097" ht="15" customHeight="1"/>
    <row r="5098" ht="15" customHeight="1"/>
    <row r="5099" ht="15" customHeight="1"/>
    <row r="5100" ht="15" customHeight="1"/>
    <row r="5101" ht="15" customHeight="1"/>
    <row r="5102" ht="15" customHeight="1"/>
    <row r="5103" ht="15" customHeight="1"/>
    <row r="5104" ht="15" customHeight="1"/>
    <row r="5105" ht="15" customHeight="1"/>
    <row r="5106" ht="15" customHeight="1"/>
    <row r="5107" ht="15" customHeight="1"/>
    <row r="5108" ht="15" customHeight="1"/>
    <row r="5109" ht="15" customHeight="1"/>
    <row r="5110" ht="15" customHeight="1"/>
    <row r="5111" ht="15" customHeight="1"/>
    <row r="5112" ht="15" customHeight="1"/>
    <row r="5113" ht="15" customHeight="1"/>
    <row r="5114" ht="15" customHeight="1"/>
    <row r="5115" ht="15" customHeight="1"/>
    <row r="5116" ht="15" customHeight="1"/>
    <row r="5117" ht="15" customHeight="1"/>
    <row r="5118" ht="15" customHeight="1"/>
    <row r="5119" ht="15" customHeight="1"/>
    <row r="5120" ht="15" customHeight="1"/>
    <row r="5121" ht="15" customHeight="1"/>
    <row r="5122" ht="15" customHeight="1"/>
    <row r="5123" ht="15" customHeight="1"/>
    <row r="5124" ht="15" customHeight="1"/>
    <row r="5125" ht="15" customHeight="1"/>
    <row r="5126" ht="15" customHeight="1"/>
    <row r="5127" ht="15" customHeight="1"/>
    <row r="5128" ht="15" customHeight="1"/>
    <row r="5129" ht="15" customHeight="1"/>
    <row r="5130" ht="15" customHeight="1"/>
    <row r="5131" ht="15" customHeight="1"/>
    <row r="5132" ht="15" customHeight="1"/>
    <row r="5133" ht="15" customHeight="1"/>
    <row r="5134" ht="15" customHeight="1"/>
    <row r="5135" ht="15" customHeight="1"/>
    <row r="5136" ht="15" customHeight="1"/>
    <row r="5137" ht="15" customHeight="1"/>
    <row r="5138" ht="15" customHeight="1"/>
    <row r="5139" ht="15" customHeight="1"/>
    <row r="5140" ht="15" customHeight="1"/>
    <row r="5141" ht="15" customHeight="1"/>
    <row r="5142" ht="15" customHeight="1"/>
    <row r="5143" ht="15" customHeight="1"/>
    <row r="5144" ht="15" customHeight="1"/>
    <row r="5145" ht="15" customHeight="1"/>
    <row r="5146" ht="15" customHeight="1"/>
    <row r="5147" ht="15" customHeight="1"/>
    <row r="5148" ht="15" customHeight="1"/>
    <row r="5149" ht="15" customHeight="1"/>
    <row r="5150" ht="15" customHeight="1"/>
    <row r="5151" ht="15" customHeight="1"/>
    <row r="5152" ht="15" customHeight="1"/>
    <row r="5153" ht="15" customHeight="1"/>
    <row r="5154" ht="15" customHeight="1"/>
    <row r="5155" ht="15" customHeight="1"/>
    <row r="5156" ht="15" customHeight="1"/>
    <row r="5157" ht="15" customHeight="1"/>
    <row r="5158" ht="15" customHeight="1"/>
    <row r="5159" ht="15" customHeight="1"/>
    <row r="5160" ht="15" customHeight="1"/>
    <row r="5161" ht="15" customHeight="1"/>
    <row r="5162" ht="15" customHeight="1"/>
    <row r="5163" ht="15" customHeight="1"/>
    <row r="5164" ht="15" customHeight="1"/>
    <row r="5165" ht="15" customHeight="1"/>
    <row r="5166" ht="15" customHeight="1"/>
    <row r="5167" ht="15" customHeight="1"/>
    <row r="5168" ht="15" customHeight="1"/>
    <row r="5169" ht="15" customHeight="1"/>
    <row r="5170" ht="15" customHeight="1"/>
    <row r="5171" ht="15" customHeight="1"/>
    <row r="5172" ht="15" customHeight="1"/>
    <row r="5173" ht="15" customHeight="1"/>
    <row r="5174" ht="15" customHeight="1"/>
    <row r="5175" ht="15" customHeight="1"/>
    <row r="5176" ht="15" customHeight="1"/>
    <row r="5177" ht="15" customHeight="1"/>
    <row r="5178" ht="15" customHeight="1"/>
    <row r="5179" ht="15" customHeight="1"/>
    <row r="5180" ht="15" customHeight="1"/>
    <row r="5181" ht="15" customHeight="1"/>
    <row r="5182" ht="15" customHeight="1"/>
    <row r="5183" ht="15" customHeight="1"/>
    <row r="5184" ht="15" customHeight="1"/>
    <row r="5185" ht="15" customHeight="1"/>
    <row r="5186" ht="15" customHeight="1"/>
    <row r="5187" ht="15" customHeight="1"/>
    <row r="5188" ht="15" customHeight="1"/>
    <row r="5189" ht="15" customHeight="1"/>
    <row r="5190" ht="15" customHeight="1"/>
    <row r="5191" ht="15" customHeight="1"/>
    <row r="5192" ht="15" customHeight="1"/>
    <row r="5193" ht="15" customHeight="1"/>
    <row r="5194" ht="15" customHeight="1"/>
    <row r="5195" ht="15" customHeight="1"/>
    <row r="5196" ht="15" customHeight="1"/>
    <row r="5197" ht="15" customHeight="1"/>
    <row r="5198" ht="15" customHeight="1"/>
    <row r="5199" ht="15" customHeight="1"/>
    <row r="5200" ht="15" customHeight="1"/>
    <row r="5201" ht="15" customHeight="1"/>
    <row r="5202" ht="15" customHeight="1"/>
    <row r="5203" ht="15" customHeight="1"/>
    <row r="5204" ht="15" customHeight="1"/>
    <row r="5205" ht="15" customHeight="1"/>
    <row r="5206" ht="15" customHeight="1"/>
    <row r="5207" ht="15" customHeight="1"/>
    <row r="5208" ht="15" customHeight="1"/>
    <row r="5209" ht="15" customHeight="1"/>
    <row r="5210" ht="15" customHeight="1"/>
    <row r="5211" ht="15" customHeight="1"/>
    <row r="5212" ht="15" customHeight="1"/>
    <row r="5213" ht="15" customHeight="1"/>
    <row r="5214" ht="15" customHeight="1"/>
    <row r="5215" ht="15" customHeight="1"/>
    <row r="5216" ht="15" customHeight="1"/>
    <row r="5217" ht="15" customHeight="1"/>
    <row r="5218" ht="15" customHeight="1"/>
    <row r="5219" ht="15" customHeight="1"/>
    <row r="5220" ht="15" customHeight="1"/>
    <row r="5221" ht="15" customHeight="1"/>
    <row r="5222" ht="15" customHeight="1"/>
    <row r="5223" ht="15" customHeight="1"/>
    <row r="5224" ht="15" customHeight="1"/>
    <row r="5225" ht="15" customHeight="1"/>
    <row r="5226" ht="15" customHeight="1"/>
    <row r="5227" ht="15" customHeight="1"/>
    <row r="5228" ht="15" customHeight="1"/>
    <row r="5229" ht="15" customHeight="1"/>
    <row r="5230" ht="15" customHeight="1"/>
    <row r="5231" ht="15" customHeight="1"/>
    <row r="5232" ht="15" customHeight="1"/>
    <row r="5233" ht="15" customHeight="1"/>
    <row r="5234" ht="15" customHeight="1"/>
    <row r="5235" ht="15" customHeight="1"/>
    <row r="5236" ht="15" customHeight="1"/>
    <row r="5237" ht="15" customHeight="1"/>
    <row r="5238" ht="15" customHeight="1"/>
    <row r="5239" ht="15" customHeight="1"/>
    <row r="5240" ht="15" customHeight="1"/>
    <row r="5241" ht="15" customHeight="1"/>
    <row r="5242" ht="15" customHeight="1"/>
    <row r="5243" ht="15" customHeight="1"/>
    <row r="5244" ht="15" customHeight="1"/>
    <row r="5245" ht="15" customHeight="1"/>
    <row r="5246" ht="15" customHeight="1"/>
    <row r="5247" ht="15" customHeight="1"/>
    <row r="5248" ht="15" customHeight="1"/>
    <row r="5249" ht="15" customHeight="1"/>
    <row r="5250" ht="15" customHeight="1"/>
    <row r="5251" ht="15" customHeight="1"/>
    <row r="5252" ht="15" customHeight="1"/>
    <row r="5253" ht="15" customHeight="1"/>
    <row r="5254" ht="15" customHeight="1"/>
    <row r="5255" ht="15" customHeight="1"/>
    <row r="5256" ht="15" customHeight="1"/>
    <row r="5257" ht="15" customHeight="1"/>
    <row r="5258" ht="15" customHeight="1"/>
    <row r="5259" ht="15" customHeight="1"/>
    <row r="5260" ht="15" customHeight="1"/>
    <row r="5261" ht="15" customHeight="1"/>
    <row r="5262" ht="15" customHeight="1"/>
    <row r="5263" ht="15" customHeight="1"/>
    <row r="5264" ht="15" customHeight="1"/>
    <row r="5265" ht="15" customHeight="1"/>
    <row r="5266" ht="15" customHeight="1"/>
    <row r="5267" ht="15" customHeight="1"/>
    <row r="5268" ht="15" customHeight="1"/>
    <row r="5269" ht="15" customHeight="1"/>
    <row r="5270" ht="15" customHeight="1"/>
    <row r="5271" ht="15" customHeight="1"/>
    <row r="5272" ht="15" customHeight="1"/>
    <row r="5273" ht="15" customHeight="1"/>
    <row r="5274" ht="15" customHeight="1"/>
    <row r="5275" ht="15" customHeight="1"/>
    <row r="5276" ht="15" customHeight="1"/>
    <row r="5277" ht="15" customHeight="1"/>
    <row r="5278" ht="15" customHeight="1"/>
    <row r="5279" ht="15" customHeight="1"/>
    <row r="5280" ht="15" customHeight="1"/>
    <row r="5281" ht="15" customHeight="1"/>
    <row r="5282" ht="15" customHeight="1"/>
    <row r="5283" ht="15" customHeight="1"/>
    <row r="5284" ht="15" customHeight="1"/>
    <row r="5285" ht="15" customHeight="1"/>
    <row r="5286" ht="15" customHeight="1"/>
    <row r="5287" ht="15" customHeight="1"/>
    <row r="5288" ht="15" customHeight="1"/>
    <row r="5289" ht="15" customHeight="1"/>
    <row r="5290" ht="15" customHeight="1"/>
    <row r="5291" ht="15" customHeight="1"/>
    <row r="5292" ht="15" customHeight="1"/>
    <row r="5293" ht="15" customHeight="1"/>
    <row r="5294" ht="15" customHeight="1"/>
    <row r="5295" ht="15" customHeight="1"/>
    <row r="5296" ht="15" customHeight="1"/>
    <row r="5297" ht="15" customHeight="1"/>
    <row r="5298" ht="15" customHeight="1"/>
    <row r="5299" ht="15" customHeight="1"/>
    <row r="5300" ht="15" customHeight="1"/>
    <row r="5301" ht="15" customHeight="1"/>
    <row r="5302" ht="15" customHeight="1"/>
    <row r="5303" ht="15" customHeight="1"/>
    <row r="5304" ht="15" customHeight="1"/>
    <row r="5305" ht="15" customHeight="1"/>
    <row r="5306" ht="15" customHeight="1"/>
    <row r="5307" ht="15" customHeight="1"/>
    <row r="5308" ht="15" customHeight="1"/>
    <row r="5309" ht="15" customHeight="1"/>
    <row r="5310" ht="15" customHeight="1"/>
    <row r="5311" ht="15" customHeight="1"/>
    <row r="5312" ht="15" customHeight="1"/>
    <row r="5313" ht="15" customHeight="1"/>
    <row r="5314" ht="15" customHeight="1"/>
    <row r="5315" ht="15" customHeight="1"/>
    <row r="5316" ht="15" customHeight="1"/>
    <row r="5317" ht="15" customHeight="1"/>
    <row r="5318" ht="15" customHeight="1"/>
    <row r="5319" ht="15" customHeight="1"/>
    <row r="5320" ht="15" customHeight="1"/>
    <row r="5321" ht="15" customHeight="1"/>
    <row r="5322" ht="15" customHeight="1"/>
    <row r="5323" ht="15" customHeight="1"/>
    <row r="5324" ht="15" customHeight="1"/>
    <row r="5325" ht="15" customHeight="1"/>
    <row r="5326" ht="15" customHeight="1"/>
    <row r="5327" ht="15" customHeight="1"/>
    <row r="5328" ht="15" customHeight="1"/>
    <row r="5329" ht="15" customHeight="1"/>
    <row r="5330" ht="15" customHeight="1"/>
    <row r="5331" ht="15" customHeight="1"/>
    <row r="5332" ht="15" customHeight="1"/>
    <row r="5333" ht="15" customHeight="1"/>
    <row r="5334" ht="15" customHeight="1"/>
    <row r="5335" ht="15" customHeight="1"/>
    <row r="5336" ht="15" customHeight="1"/>
    <row r="5337" ht="15" customHeight="1"/>
    <row r="5338" ht="15" customHeight="1"/>
    <row r="5339" ht="15" customHeight="1"/>
    <row r="5340" ht="15" customHeight="1"/>
    <row r="5341" ht="15" customHeight="1"/>
    <row r="5342" ht="15" customHeight="1"/>
    <row r="5343" ht="15" customHeight="1"/>
    <row r="5344" ht="15" customHeight="1"/>
    <row r="5345" ht="15" customHeight="1"/>
    <row r="5346" ht="15" customHeight="1"/>
    <row r="5347" ht="15" customHeight="1"/>
    <row r="5348" ht="15" customHeight="1"/>
    <row r="5349" ht="15" customHeight="1"/>
    <row r="5350" ht="15" customHeight="1"/>
    <row r="5351" ht="15" customHeight="1"/>
    <row r="5352" ht="15" customHeight="1"/>
    <row r="5353" ht="15" customHeight="1"/>
    <row r="5354" ht="15" customHeight="1"/>
    <row r="5355" ht="15" customHeight="1"/>
    <row r="5356" ht="15" customHeight="1"/>
    <row r="5357" ht="15" customHeight="1"/>
    <row r="5358" ht="15" customHeight="1"/>
    <row r="5359" ht="15" customHeight="1"/>
    <row r="5360" ht="15" customHeight="1"/>
    <row r="5361" ht="15" customHeight="1"/>
    <row r="5362" ht="15" customHeight="1"/>
    <row r="5363" ht="15" customHeight="1"/>
    <row r="5364" ht="15" customHeight="1"/>
    <row r="5365" ht="15" customHeight="1"/>
    <row r="5366" ht="15" customHeight="1"/>
    <row r="5367" ht="15" customHeight="1"/>
    <row r="5368" ht="15" customHeight="1"/>
    <row r="5369" ht="15" customHeight="1"/>
    <row r="5370" ht="15" customHeight="1"/>
    <row r="5371" ht="15" customHeight="1"/>
    <row r="5372" ht="15" customHeight="1"/>
    <row r="5373" ht="15" customHeight="1"/>
    <row r="5374" ht="15" customHeight="1"/>
    <row r="5375" ht="15" customHeight="1"/>
    <row r="5376" ht="15" customHeight="1"/>
    <row r="5377" ht="15" customHeight="1"/>
    <row r="5378" ht="15" customHeight="1"/>
    <row r="5379" ht="15" customHeight="1"/>
    <row r="5380" ht="15" customHeight="1"/>
    <row r="5381" ht="15" customHeight="1"/>
    <row r="5382" ht="15" customHeight="1"/>
    <row r="5383" ht="15" customHeight="1"/>
    <row r="5384" ht="15" customHeight="1"/>
    <row r="5385" ht="15" customHeight="1"/>
    <row r="5386" ht="15" customHeight="1"/>
    <row r="5387" ht="15" customHeight="1"/>
    <row r="5388" ht="15" customHeight="1"/>
    <row r="5389" ht="15" customHeight="1"/>
    <row r="5390" ht="15" customHeight="1"/>
    <row r="5391" ht="15" customHeight="1"/>
    <row r="5392" ht="15" customHeight="1"/>
    <row r="5393" ht="15" customHeight="1"/>
    <row r="5394" ht="15" customHeight="1"/>
    <row r="5395" ht="15" customHeight="1"/>
    <row r="5396" ht="15" customHeight="1"/>
    <row r="5397" ht="15" customHeight="1"/>
    <row r="5398" ht="15" customHeight="1"/>
    <row r="5399" ht="15" customHeight="1"/>
    <row r="5400" ht="15" customHeight="1"/>
    <row r="5401" ht="15" customHeight="1"/>
    <row r="5402" ht="15" customHeight="1"/>
    <row r="5403" ht="15" customHeight="1"/>
    <row r="5404" ht="15" customHeight="1"/>
    <row r="5405" ht="15" customHeight="1"/>
    <row r="5406" ht="15" customHeight="1"/>
    <row r="5407" ht="15" customHeight="1"/>
    <row r="5408" ht="15" customHeight="1"/>
    <row r="5409" ht="15" customHeight="1"/>
    <row r="5410" ht="15" customHeight="1"/>
    <row r="5411" ht="15" customHeight="1"/>
    <row r="5412" ht="15" customHeight="1"/>
    <row r="5413" ht="15" customHeight="1"/>
    <row r="5414" ht="15" customHeight="1"/>
    <row r="5415" ht="15" customHeight="1"/>
    <row r="5416" ht="15" customHeight="1"/>
    <row r="5417" ht="15" customHeight="1"/>
    <row r="5418" ht="15" customHeight="1"/>
    <row r="5419" ht="15" customHeight="1"/>
    <row r="5420" ht="15" customHeight="1"/>
    <row r="5421" ht="15" customHeight="1"/>
    <row r="5422" ht="15" customHeight="1"/>
    <row r="5423" ht="15" customHeight="1"/>
    <row r="5424" ht="15" customHeight="1"/>
    <row r="5425" ht="15" customHeight="1"/>
    <row r="5426" ht="15" customHeight="1"/>
    <row r="5427" ht="15" customHeight="1"/>
    <row r="5428" ht="15" customHeight="1"/>
    <row r="5429" ht="15" customHeight="1"/>
    <row r="5430" ht="15" customHeight="1"/>
    <row r="5431" ht="15" customHeight="1"/>
    <row r="5432" ht="15" customHeight="1"/>
    <row r="5433" ht="15" customHeight="1"/>
    <row r="5434" ht="15" customHeight="1"/>
    <row r="5435" ht="15" customHeight="1"/>
    <row r="5436" ht="15" customHeight="1"/>
    <row r="5437" ht="15" customHeight="1"/>
    <row r="5438" ht="15" customHeight="1"/>
    <row r="5439" ht="15" customHeight="1"/>
    <row r="5440" ht="15" customHeight="1"/>
    <row r="5441" ht="15" customHeight="1"/>
    <row r="5442" ht="15" customHeight="1"/>
    <row r="5443" ht="15" customHeight="1"/>
    <row r="5444" ht="15" customHeight="1"/>
    <row r="5445" ht="15" customHeight="1"/>
    <row r="5446" ht="15" customHeight="1"/>
    <row r="5447" ht="15" customHeight="1"/>
    <row r="5448" ht="15" customHeight="1"/>
    <row r="5449" ht="15" customHeight="1"/>
    <row r="5450" ht="15" customHeight="1"/>
    <row r="5451" ht="15" customHeight="1"/>
    <row r="5452" ht="15" customHeight="1"/>
    <row r="5453" ht="15" customHeight="1"/>
    <row r="5454" ht="15" customHeight="1"/>
    <row r="5455" ht="15" customHeight="1"/>
    <row r="5456" ht="15" customHeight="1"/>
    <row r="5457" ht="15" customHeight="1"/>
    <row r="5458" ht="15" customHeight="1"/>
    <row r="5459" ht="15" customHeight="1"/>
    <row r="5460" ht="15" customHeight="1"/>
    <row r="5461" ht="15" customHeight="1"/>
    <row r="5462" ht="15" customHeight="1"/>
    <row r="5463" ht="15" customHeight="1"/>
    <row r="5464" ht="15" customHeight="1"/>
    <row r="5465" ht="15" customHeight="1"/>
    <row r="5466" ht="15" customHeight="1"/>
    <row r="5467" ht="15" customHeight="1"/>
    <row r="5468" ht="15" customHeight="1"/>
    <row r="5469" ht="15" customHeight="1"/>
    <row r="5470" ht="15" customHeight="1"/>
    <row r="5471" ht="15" customHeight="1"/>
    <row r="5472" ht="15" customHeight="1"/>
    <row r="5473" ht="15" customHeight="1"/>
    <row r="5474" ht="15" customHeight="1"/>
    <row r="5475" ht="15" customHeight="1"/>
    <row r="5476" ht="15" customHeight="1"/>
    <row r="5477" ht="15" customHeight="1"/>
    <row r="5478" ht="15" customHeight="1"/>
    <row r="5479" ht="15" customHeight="1"/>
    <row r="5480" ht="15" customHeight="1"/>
    <row r="5481" ht="15" customHeight="1"/>
    <row r="5482" ht="15" customHeight="1"/>
    <row r="5483" ht="15" customHeight="1"/>
    <row r="5484" ht="15" customHeight="1"/>
    <row r="5485" ht="15" customHeight="1"/>
    <row r="5486" ht="15" customHeight="1"/>
    <row r="5487" ht="15" customHeight="1"/>
    <row r="5488" ht="15" customHeight="1"/>
    <row r="5489" ht="15" customHeight="1"/>
    <row r="5490" ht="15" customHeight="1"/>
    <row r="5491" ht="15" customHeight="1"/>
    <row r="5492" ht="15" customHeight="1"/>
    <row r="5493" ht="15" customHeight="1"/>
    <row r="5494" ht="15" customHeight="1"/>
    <row r="5495" ht="15" customHeight="1"/>
    <row r="5496" ht="15" customHeight="1"/>
    <row r="5497" ht="15" customHeight="1"/>
    <row r="5498" ht="15" customHeight="1"/>
    <row r="5499" ht="15" customHeight="1"/>
    <row r="5500" ht="15" customHeight="1"/>
    <row r="5501" ht="15" customHeight="1"/>
    <row r="5502" ht="15" customHeight="1"/>
    <row r="5503" ht="15" customHeight="1"/>
    <row r="5504" ht="15" customHeight="1"/>
    <row r="5505" ht="15" customHeight="1"/>
    <row r="5506" ht="15" customHeight="1"/>
    <row r="5507" ht="15" customHeight="1"/>
    <row r="5508" ht="15" customHeight="1"/>
    <row r="5509" ht="15" customHeight="1"/>
    <row r="5510" ht="15" customHeight="1"/>
    <row r="5511" ht="15" customHeight="1"/>
    <row r="5512" ht="15" customHeight="1"/>
    <row r="5513" ht="15" customHeight="1"/>
    <row r="5514" ht="15" customHeight="1"/>
    <row r="5515" ht="15" customHeight="1"/>
    <row r="5516" ht="15" customHeight="1"/>
    <row r="5517" ht="15" customHeight="1"/>
    <row r="5518" ht="15" customHeight="1"/>
    <row r="5519" ht="15" customHeight="1"/>
    <row r="5520" ht="15" customHeight="1"/>
    <row r="5521" ht="15" customHeight="1"/>
    <row r="5522" ht="15" customHeight="1"/>
    <row r="5523" ht="15" customHeight="1"/>
    <row r="5524" ht="15" customHeight="1"/>
    <row r="5525" ht="15" customHeight="1"/>
    <row r="5526" ht="15" customHeight="1"/>
    <row r="5527" ht="15" customHeight="1"/>
    <row r="5528" ht="15" customHeight="1"/>
    <row r="5529" ht="15" customHeight="1"/>
    <row r="5530" ht="15" customHeight="1"/>
    <row r="5531" ht="15" customHeight="1"/>
    <row r="5532" ht="15" customHeight="1"/>
    <row r="5533" ht="15" customHeight="1"/>
    <row r="5534" ht="15" customHeight="1"/>
    <row r="5535" ht="15" customHeight="1"/>
    <row r="5536" ht="15" customHeight="1"/>
    <row r="5537" ht="15" customHeight="1"/>
    <row r="5538" ht="15" customHeight="1"/>
    <row r="5539" ht="15" customHeight="1"/>
    <row r="5540" ht="15" customHeight="1"/>
    <row r="5541" ht="15" customHeight="1"/>
    <row r="5542" ht="15" customHeight="1"/>
    <row r="5543" ht="15" customHeight="1"/>
    <row r="5544" ht="15" customHeight="1"/>
    <row r="5545" ht="15" customHeight="1"/>
    <row r="5546" ht="15" customHeight="1"/>
    <row r="5547" ht="15" customHeight="1"/>
    <row r="5548" ht="15" customHeight="1"/>
    <row r="5549" ht="15" customHeight="1"/>
    <row r="5550" ht="15" customHeight="1"/>
    <row r="5551" ht="15" customHeight="1"/>
    <row r="5552" ht="15" customHeight="1"/>
    <row r="5553" ht="15" customHeight="1"/>
    <row r="5554" ht="15" customHeight="1"/>
    <row r="5555" ht="15" customHeight="1"/>
    <row r="5556" ht="15" customHeight="1"/>
    <row r="5557" ht="15" customHeight="1"/>
    <row r="5558" ht="15" customHeight="1"/>
    <row r="5559" ht="15" customHeight="1"/>
    <row r="5560" ht="15" customHeight="1"/>
    <row r="5561" ht="15" customHeight="1"/>
    <row r="5562" ht="15" customHeight="1"/>
    <row r="5563" ht="15" customHeight="1"/>
    <row r="5564" ht="15" customHeight="1"/>
    <row r="5565" ht="15" customHeight="1"/>
    <row r="5566" ht="15" customHeight="1"/>
    <row r="5567" ht="15" customHeight="1"/>
    <row r="5568" ht="15" customHeight="1"/>
    <row r="5569" ht="15" customHeight="1"/>
    <row r="5570" ht="15" customHeight="1"/>
    <row r="5571" ht="15" customHeight="1"/>
    <row r="5572" ht="15" customHeight="1"/>
    <row r="5573" ht="15" customHeight="1"/>
    <row r="5574" ht="15" customHeight="1"/>
    <row r="5575" ht="15" customHeight="1"/>
    <row r="5576" ht="15" customHeight="1"/>
    <row r="5577" ht="15" customHeight="1"/>
    <row r="5578" ht="15" customHeight="1"/>
    <row r="5579" ht="15" customHeight="1"/>
    <row r="5580" ht="15" customHeight="1"/>
    <row r="5581" ht="15" customHeight="1"/>
    <row r="5582" ht="15" customHeight="1"/>
    <row r="5583" ht="15" customHeight="1"/>
    <row r="5584" ht="15" customHeight="1"/>
    <row r="5585" ht="15" customHeight="1"/>
    <row r="5586" ht="15" customHeight="1"/>
    <row r="5587" ht="15" customHeight="1"/>
    <row r="5588" ht="15" customHeight="1"/>
    <row r="5589" ht="15" customHeight="1"/>
    <row r="5590" ht="15" customHeight="1"/>
    <row r="5591" ht="15" customHeight="1"/>
    <row r="5592" ht="15" customHeight="1"/>
    <row r="5593" ht="15" customHeight="1"/>
    <row r="5594" ht="15" customHeight="1"/>
    <row r="5595" ht="15" customHeight="1"/>
    <row r="5596" ht="15" customHeight="1"/>
    <row r="5597" ht="15" customHeight="1"/>
    <row r="5598" ht="15" customHeight="1"/>
    <row r="5599" ht="15" customHeight="1"/>
    <row r="5600" ht="15" customHeight="1"/>
    <row r="5601" ht="15" customHeight="1"/>
    <row r="5602" ht="15" customHeight="1"/>
    <row r="5603" ht="15" customHeight="1"/>
    <row r="5604" ht="15" customHeight="1"/>
    <row r="5605" ht="15" customHeight="1"/>
    <row r="5606" ht="15" customHeight="1"/>
    <row r="5607" ht="15" customHeight="1"/>
    <row r="5608" ht="15" customHeight="1"/>
    <row r="5609" ht="15" customHeight="1"/>
    <row r="5610" ht="15" customHeight="1"/>
    <row r="5611" ht="15" customHeight="1"/>
    <row r="5612" ht="15" customHeight="1"/>
    <row r="5613" ht="15" customHeight="1"/>
    <row r="5614" ht="15" customHeight="1"/>
    <row r="5615" ht="15" customHeight="1"/>
    <row r="5616" ht="15" customHeight="1"/>
    <row r="5617" ht="15" customHeight="1"/>
    <row r="5618" ht="15" customHeight="1"/>
    <row r="5619" ht="15" customHeight="1"/>
    <row r="5620" ht="15" customHeight="1"/>
    <row r="5621" ht="15" customHeight="1"/>
    <row r="5622" ht="15" customHeight="1"/>
    <row r="5623" ht="15" customHeight="1"/>
    <row r="5624" ht="15" customHeight="1"/>
    <row r="5625" ht="15" customHeight="1"/>
    <row r="5626" ht="15" customHeight="1"/>
    <row r="5627" ht="15" customHeight="1"/>
    <row r="5628" ht="15" customHeight="1"/>
    <row r="5629" ht="15" customHeight="1"/>
    <row r="5630" ht="15" customHeight="1"/>
    <row r="5631" ht="15" customHeight="1"/>
    <row r="5632" ht="15" customHeight="1"/>
    <row r="5633" ht="15" customHeight="1"/>
    <row r="5634" ht="15" customHeight="1"/>
    <row r="5635" ht="15" customHeight="1"/>
    <row r="5636" ht="15" customHeight="1"/>
    <row r="5637" ht="15" customHeight="1"/>
    <row r="5638" ht="15" customHeight="1"/>
    <row r="5639" ht="15" customHeight="1"/>
    <row r="5640" ht="15" customHeight="1"/>
    <row r="5641" ht="15" customHeight="1"/>
    <row r="5642" ht="15" customHeight="1"/>
    <row r="5643" ht="15" customHeight="1"/>
    <row r="5644" ht="15" customHeight="1"/>
    <row r="5645" ht="15" customHeight="1"/>
    <row r="5646" ht="15" customHeight="1"/>
    <row r="5647" ht="15" customHeight="1"/>
    <row r="5648" ht="15" customHeight="1"/>
    <row r="5649" ht="15" customHeight="1"/>
    <row r="5650" ht="15" customHeight="1"/>
    <row r="5651" ht="15" customHeight="1"/>
    <row r="5652" ht="15" customHeight="1"/>
    <row r="5653" ht="15" customHeight="1"/>
    <row r="5654" ht="15" customHeight="1"/>
    <row r="5655" ht="15" customHeight="1"/>
    <row r="5656" ht="15" customHeight="1"/>
    <row r="5657" ht="15" customHeight="1"/>
    <row r="5658" ht="15" customHeight="1"/>
    <row r="5659" ht="15" customHeight="1"/>
    <row r="5660" ht="15" customHeight="1"/>
    <row r="5661" ht="15" customHeight="1"/>
    <row r="5662" ht="15" customHeight="1"/>
    <row r="5663" ht="15" customHeight="1"/>
    <row r="5664" ht="15" customHeight="1"/>
    <row r="5665" ht="15" customHeight="1"/>
    <row r="5666" ht="15" customHeight="1"/>
    <row r="5667" ht="15" customHeight="1"/>
    <row r="5668" ht="15" customHeight="1"/>
    <row r="5669" ht="15" customHeight="1"/>
    <row r="5670" ht="15" customHeight="1"/>
    <row r="5671" ht="15" customHeight="1"/>
    <row r="5672" ht="15" customHeight="1"/>
    <row r="5673" ht="15" customHeight="1"/>
    <row r="5674" ht="15" customHeight="1"/>
    <row r="5675" ht="15" customHeight="1"/>
    <row r="5676" ht="15" customHeight="1"/>
    <row r="5677" ht="15" customHeight="1"/>
    <row r="5678" ht="15" customHeight="1"/>
    <row r="5679" ht="15" customHeight="1"/>
    <row r="5680" ht="15" customHeight="1"/>
    <row r="5681" ht="15" customHeight="1"/>
    <row r="5682" ht="15" customHeight="1"/>
    <row r="5683" ht="15" customHeight="1"/>
    <row r="5684" ht="15" customHeight="1"/>
    <row r="5685" ht="15" customHeight="1"/>
    <row r="5686" ht="15" customHeight="1"/>
    <row r="5687" ht="15" customHeight="1"/>
    <row r="5688" ht="15" customHeight="1"/>
    <row r="5689" ht="15" customHeight="1"/>
    <row r="5690" ht="15" customHeight="1"/>
    <row r="5691" ht="15" customHeight="1"/>
    <row r="5692" ht="15" customHeight="1"/>
    <row r="5693" ht="15" customHeight="1"/>
    <row r="5694" ht="15" customHeight="1"/>
    <row r="5695" ht="15" customHeight="1"/>
    <row r="5696" ht="15" customHeight="1"/>
    <row r="5697" ht="15" customHeight="1"/>
    <row r="5698" ht="15" customHeight="1"/>
    <row r="5699" ht="15" customHeight="1"/>
    <row r="5700" ht="15" customHeight="1"/>
    <row r="5701" ht="15" customHeight="1"/>
    <row r="5702" ht="15" customHeight="1"/>
    <row r="5703" ht="15" customHeight="1"/>
    <row r="5704" ht="15" customHeight="1"/>
    <row r="5705" ht="15" customHeight="1"/>
    <row r="5706" ht="15" customHeight="1"/>
    <row r="5707" ht="15" customHeight="1"/>
    <row r="5708" ht="15" customHeight="1"/>
    <row r="5709" ht="15" customHeight="1"/>
    <row r="5710" ht="15" customHeight="1"/>
    <row r="5711" ht="15" customHeight="1"/>
    <row r="5712" ht="15" customHeight="1"/>
    <row r="5713" ht="15" customHeight="1"/>
    <row r="5714" ht="15" customHeight="1"/>
    <row r="5715" ht="15" customHeight="1"/>
    <row r="5716" ht="15" customHeight="1"/>
    <row r="5717" ht="15" customHeight="1"/>
    <row r="5718" ht="15" customHeight="1"/>
    <row r="5719" ht="15" customHeight="1"/>
    <row r="5720" ht="15" customHeight="1"/>
    <row r="5721" ht="15" customHeight="1"/>
    <row r="5722" ht="15" customHeight="1"/>
    <row r="5723" ht="15" customHeight="1"/>
    <row r="5724" ht="15" customHeight="1"/>
    <row r="5725" ht="15" customHeight="1"/>
    <row r="5726" ht="15" customHeight="1"/>
    <row r="5727" ht="15" customHeight="1"/>
    <row r="5728" ht="15" customHeight="1"/>
    <row r="5729" ht="15" customHeight="1"/>
    <row r="5730" ht="15" customHeight="1"/>
    <row r="5731" ht="15" customHeight="1"/>
    <row r="5732" ht="15" customHeight="1"/>
    <row r="5733" ht="15" customHeight="1"/>
    <row r="5734" ht="15" customHeight="1"/>
    <row r="5735" ht="15" customHeight="1"/>
    <row r="5736" ht="15" customHeight="1"/>
    <row r="5737" ht="15" customHeight="1"/>
    <row r="5738" ht="15" customHeight="1"/>
    <row r="5739" ht="15" customHeight="1"/>
    <row r="5740" ht="15" customHeight="1"/>
    <row r="5741" ht="15" customHeight="1"/>
    <row r="5742" ht="15" customHeight="1"/>
    <row r="5743" ht="15" customHeight="1"/>
    <row r="5744" ht="15" customHeight="1"/>
    <row r="5745" ht="15" customHeight="1"/>
    <row r="5746" ht="15" customHeight="1"/>
    <row r="5747" ht="15" customHeight="1"/>
    <row r="5748" ht="15" customHeight="1"/>
    <row r="5749" ht="15" customHeight="1"/>
    <row r="5750" ht="15" customHeight="1"/>
    <row r="5751" ht="15" customHeight="1"/>
    <row r="5752" ht="15" customHeight="1"/>
    <row r="5753" ht="15" customHeight="1"/>
    <row r="5754" ht="15" customHeight="1"/>
    <row r="5755" ht="15" customHeight="1"/>
    <row r="5756" ht="15" customHeight="1"/>
    <row r="5757" ht="15" customHeight="1"/>
    <row r="5758" ht="15" customHeight="1"/>
    <row r="5759" ht="15" customHeight="1"/>
    <row r="5760" ht="15" customHeight="1"/>
    <row r="5761" ht="15" customHeight="1"/>
    <row r="5762" ht="15" customHeight="1"/>
    <row r="5763" ht="15" customHeight="1"/>
    <row r="5764" ht="15" customHeight="1"/>
    <row r="5765" ht="15" customHeight="1"/>
    <row r="5766" ht="15" customHeight="1"/>
    <row r="5767" ht="15" customHeight="1"/>
    <row r="5768" ht="15" customHeight="1"/>
    <row r="5769" ht="15" customHeight="1"/>
    <row r="5770" ht="15" customHeight="1"/>
    <row r="5771" ht="15" customHeight="1"/>
    <row r="5772" ht="15" customHeight="1"/>
    <row r="5773" ht="15" customHeight="1"/>
    <row r="5774" ht="15" customHeight="1"/>
    <row r="5775" ht="15" customHeight="1"/>
    <row r="5776" ht="15" customHeight="1"/>
    <row r="5777" ht="15" customHeight="1"/>
    <row r="5778" ht="15" customHeight="1"/>
    <row r="5779" ht="15" customHeight="1"/>
    <row r="5780" ht="15" customHeight="1"/>
    <row r="5781" ht="15" customHeight="1"/>
    <row r="5782" ht="15" customHeight="1"/>
    <row r="5783" ht="15" customHeight="1"/>
    <row r="5784" ht="15" customHeight="1"/>
    <row r="5785" ht="15" customHeight="1"/>
    <row r="5786" ht="15" customHeight="1"/>
    <row r="5787" ht="15" customHeight="1"/>
    <row r="5788" ht="15" customHeight="1"/>
    <row r="5789" ht="15" customHeight="1"/>
    <row r="5790" ht="15" customHeight="1"/>
    <row r="5791" ht="15" customHeight="1"/>
    <row r="5792" ht="15" customHeight="1"/>
    <row r="5793" ht="15" customHeight="1"/>
    <row r="5794" ht="15" customHeight="1"/>
    <row r="5795" ht="15" customHeight="1"/>
    <row r="5796" ht="15" customHeight="1"/>
    <row r="5797" ht="15" customHeight="1"/>
    <row r="5798" ht="15" customHeight="1"/>
    <row r="5799" ht="15" customHeight="1"/>
    <row r="5800" ht="15" customHeight="1"/>
    <row r="5801" ht="15" customHeight="1"/>
    <row r="5802" ht="15" customHeight="1"/>
    <row r="5803" ht="15" customHeight="1"/>
    <row r="5804" ht="15" customHeight="1"/>
    <row r="5805" ht="15" customHeight="1"/>
    <row r="5806" ht="15" customHeight="1"/>
    <row r="5807" ht="15" customHeight="1"/>
    <row r="5808" ht="15" customHeight="1"/>
    <row r="5809" ht="15" customHeight="1"/>
    <row r="5810" ht="15" customHeight="1"/>
    <row r="5811" ht="15" customHeight="1"/>
    <row r="5812" ht="15" customHeight="1"/>
    <row r="5813" ht="15" customHeight="1"/>
    <row r="5814" ht="15" customHeight="1"/>
    <row r="5815" ht="15" customHeight="1"/>
    <row r="5816" ht="15" customHeight="1"/>
    <row r="5817" ht="15" customHeight="1"/>
    <row r="5818" ht="15" customHeight="1"/>
    <row r="5819" ht="15" customHeight="1"/>
    <row r="5820" ht="15" customHeight="1"/>
    <row r="5821" ht="15" customHeight="1"/>
    <row r="5822" ht="15" customHeight="1"/>
    <row r="5823" ht="15" customHeight="1"/>
    <row r="5824" ht="15" customHeight="1"/>
    <row r="5825" ht="15" customHeight="1"/>
    <row r="5826" ht="15" customHeight="1"/>
    <row r="5827" ht="15" customHeight="1"/>
    <row r="5828" ht="15" customHeight="1"/>
    <row r="5829" ht="15" customHeight="1"/>
    <row r="5830" ht="15" customHeight="1"/>
    <row r="5831" ht="15" customHeight="1"/>
    <row r="5832" ht="15" customHeight="1"/>
    <row r="5833" ht="15" customHeight="1"/>
    <row r="5834" ht="15" customHeight="1"/>
    <row r="5835" ht="15" customHeight="1"/>
    <row r="5836" ht="15" customHeight="1"/>
    <row r="5837" ht="15" customHeight="1"/>
    <row r="5838" ht="15" customHeight="1"/>
    <row r="5839" ht="15" customHeight="1"/>
    <row r="5840" ht="15" customHeight="1"/>
    <row r="5841" ht="15" customHeight="1"/>
    <row r="5842" ht="15" customHeight="1"/>
    <row r="5843" ht="15" customHeight="1"/>
    <row r="5844" ht="15" customHeight="1"/>
    <row r="5845" ht="15" customHeight="1"/>
    <row r="5846" ht="15" customHeight="1"/>
    <row r="5847" ht="15" customHeight="1"/>
    <row r="5848" ht="15" customHeight="1"/>
    <row r="5849" ht="15" customHeight="1"/>
    <row r="5850" ht="15" customHeight="1"/>
    <row r="5851" ht="15" customHeight="1"/>
    <row r="5852" ht="15" customHeight="1"/>
    <row r="5853" ht="15" customHeight="1"/>
    <row r="5854" ht="15" customHeight="1"/>
    <row r="5855" ht="15" customHeight="1"/>
    <row r="5856" ht="15" customHeight="1"/>
    <row r="5857" ht="15" customHeight="1"/>
    <row r="5858" ht="15" customHeight="1"/>
    <row r="5859" ht="15" customHeight="1"/>
    <row r="5860" ht="15" customHeight="1"/>
    <row r="5861" ht="15" customHeight="1"/>
    <row r="5862" ht="15" customHeight="1"/>
    <row r="5863" ht="15" customHeight="1"/>
    <row r="5864" ht="15" customHeight="1"/>
    <row r="5865" ht="15" customHeight="1"/>
    <row r="5866" ht="15" customHeight="1"/>
    <row r="5867" ht="15" customHeight="1"/>
    <row r="5868" ht="15" customHeight="1"/>
    <row r="5869" ht="15" customHeight="1"/>
    <row r="5870" ht="15" customHeight="1"/>
    <row r="5871" ht="15" customHeight="1"/>
    <row r="5872" ht="15" customHeight="1"/>
    <row r="5873" ht="15" customHeight="1"/>
    <row r="5874" ht="15" customHeight="1"/>
    <row r="5875" ht="15" customHeight="1"/>
    <row r="5876" ht="15" customHeight="1"/>
    <row r="5877" ht="15" customHeight="1"/>
    <row r="5878" ht="15" customHeight="1"/>
    <row r="5879" ht="15" customHeight="1"/>
    <row r="5880" ht="15" customHeight="1"/>
    <row r="5881" ht="15" customHeight="1"/>
    <row r="5882" ht="15" customHeight="1"/>
    <row r="5883" ht="15" customHeight="1"/>
    <row r="5884" ht="15" customHeight="1"/>
    <row r="5885" ht="15" customHeight="1"/>
    <row r="5886" ht="15" customHeight="1"/>
    <row r="5887" ht="15" customHeight="1"/>
    <row r="5888" ht="15" customHeight="1"/>
    <row r="5889" ht="15" customHeight="1"/>
    <row r="5890" ht="15" customHeight="1"/>
    <row r="5891" ht="15" customHeight="1"/>
    <row r="5892" ht="15" customHeight="1"/>
    <row r="5893" ht="15" customHeight="1"/>
    <row r="5894" ht="15" customHeight="1"/>
    <row r="5895" ht="15" customHeight="1"/>
    <row r="5896" ht="15" customHeight="1"/>
    <row r="5897" ht="15" customHeight="1"/>
    <row r="5898" ht="15" customHeight="1"/>
    <row r="5899" ht="15" customHeight="1"/>
    <row r="5900" ht="15" customHeight="1"/>
    <row r="5901" ht="15" customHeight="1"/>
    <row r="5902" ht="15" customHeight="1"/>
    <row r="5903" ht="15" customHeight="1"/>
    <row r="5904" ht="15" customHeight="1"/>
    <row r="5905" ht="15" customHeight="1"/>
    <row r="5906" ht="15" customHeight="1"/>
    <row r="5907" ht="15" customHeight="1"/>
    <row r="5908" ht="15" customHeight="1"/>
    <row r="5909" ht="15" customHeight="1"/>
    <row r="5910" ht="15" customHeight="1"/>
    <row r="5911" ht="15" customHeight="1"/>
    <row r="5912" ht="15" customHeight="1"/>
    <row r="5913" ht="15" customHeight="1"/>
    <row r="5914" ht="15" customHeight="1"/>
    <row r="5915" ht="15" customHeight="1"/>
    <row r="5916" ht="15" customHeight="1"/>
    <row r="5917" ht="15" customHeight="1"/>
    <row r="5918" ht="15" customHeight="1"/>
    <row r="5919" ht="15" customHeight="1"/>
    <row r="5920" ht="15" customHeight="1"/>
    <row r="5921" ht="15" customHeight="1"/>
    <row r="5922" ht="15" customHeight="1"/>
    <row r="5923" ht="15" customHeight="1"/>
    <row r="5924" ht="15" customHeight="1"/>
    <row r="5925" ht="15" customHeight="1"/>
    <row r="5926" ht="15" customHeight="1"/>
    <row r="5927" ht="15" customHeight="1"/>
    <row r="5928" ht="15" customHeight="1"/>
    <row r="5929" ht="15" customHeight="1"/>
    <row r="5930" ht="15" customHeight="1"/>
    <row r="5931" ht="15" customHeight="1"/>
    <row r="5932" ht="15" customHeight="1"/>
    <row r="5933" ht="15" customHeight="1"/>
    <row r="5934" ht="15" customHeight="1"/>
    <row r="5935" ht="15" customHeight="1"/>
    <row r="5936" ht="15" customHeight="1"/>
    <row r="5937" ht="15" customHeight="1"/>
    <row r="5938" ht="15" customHeight="1"/>
    <row r="5939" ht="15" customHeight="1"/>
    <row r="5940" ht="15" customHeight="1"/>
    <row r="5941" ht="15" customHeight="1"/>
    <row r="5942" ht="15" customHeight="1"/>
    <row r="5943" ht="15" customHeight="1"/>
    <row r="5944" ht="15" customHeight="1"/>
    <row r="5945" ht="15" customHeight="1"/>
    <row r="5946" ht="15" customHeight="1"/>
    <row r="5947" ht="15" customHeight="1"/>
    <row r="5948" ht="15" customHeight="1"/>
    <row r="5949" ht="15" customHeight="1"/>
    <row r="5950" ht="15" customHeight="1"/>
    <row r="5951" ht="15" customHeight="1"/>
    <row r="5952" ht="15" customHeight="1"/>
    <row r="5953" ht="15" customHeight="1"/>
    <row r="5954" ht="15" customHeight="1"/>
    <row r="5955" ht="15" customHeight="1"/>
    <row r="5956" ht="15" customHeight="1"/>
    <row r="5957" ht="15" customHeight="1"/>
    <row r="5958" ht="15" customHeight="1"/>
    <row r="5959" ht="15" customHeight="1"/>
    <row r="5960" ht="15" customHeight="1"/>
    <row r="5961" ht="15" customHeight="1"/>
    <row r="5962" ht="15" customHeight="1"/>
    <row r="5963" ht="15" customHeight="1"/>
    <row r="5964" ht="15" customHeight="1"/>
    <row r="5965" ht="15" customHeight="1"/>
    <row r="5966" ht="15" customHeight="1"/>
    <row r="5967" ht="15" customHeight="1"/>
    <row r="5968" ht="15" customHeight="1"/>
    <row r="5969" ht="15" customHeight="1"/>
    <row r="5970" ht="15" customHeight="1"/>
    <row r="5971" ht="15" customHeight="1"/>
    <row r="5972" ht="15" customHeight="1"/>
    <row r="5973" ht="15" customHeight="1"/>
    <row r="5974" ht="15" customHeight="1"/>
    <row r="5975" ht="15" customHeight="1"/>
    <row r="5976" ht="15" customHeight="1"/>
    <row r="5977" ht="15" customHeight="1"/>
    <row r="5978" ht="15" customHeight="1"/>
    <row r="5979" ht="15" customHeight="1"/>
    <row r="5980" ht="15" customHeight="1"/>
    <row r="5981" ht="15" customHeight="1"/>
    <row r="5982" ht="15" customHeight="1"/>
    <row r="5983" ht="15" customHeight="1"/>
    <row r="5984" ht="15" customHeight="1"/>
    <row r="5985" ht="15" customHeight="1"/>
    <row r="5986" ht="15" customHeight="1"/>
    <row r="5987" ht="15" customHeight="1"/>
    <row r="5988" ht="15" customHeight="1"/>
    <row r="5989" ht="15" customHeight="1"/>
    <row r="5990" ht="15" customHeight="1"/>
    <row r="5991" ht="15" customHeight="1"/>
    <row r="5992" ht="15" customHeight="1"/>
    <row r="5993" ht="15" customHeight="1"/>
    <row r="5994" ht="15" customHeight="1"/>
    <row r="5995" ht="15" customHeight="1"/>
    <row r="5996" ht="15" customHeight="1"/>
    <row r="5997" ht="15" customHeight="1"/>
    <row r="5998" ht="15" customHeight="1"/>
    <row r="5999" ht="15" customHeight="1"/>
    <row r="6000" ht="15" customHeight="1"/>
    <row r="6001" ht="15" customHeight="1"/>
    <row r="6002" ht="15" customHeight="1"/>
    <row r="6003" ht="15" customHeight="1"/>
    <row r="6004" ht="15" customHeight="1"/>
    <row r="6005" ht="15" customHeight="1"/>
    <row r="6006" ht="15" customHeight="1"/>
    <row r="6007" ht="15" customHeight="1"/>
    <row r="6008" ht="15" customHeight="1"/>
    <row r="6009" ht="15" customHeight="1"/>
    <row r="6010" ht="15" customHeight="1"/>
    <row r="6011" ht="15" customHeight="1"/>
    <row r="6012" ht="15" customHeight="1"/>
    <row r="6013" ht="15" customHeight="1"/>
    <row r="6014" ht="15" customHeight="1"/>
    <row r="6015" ht="15" customHeight="1"/>
    <row r="6016" ht="15" customHeight="1"/>
    <row r="6017" ht="15" customHeight="1"/>
    <row r="6018" ht="15" customHeight="1"/>
    <row r="6019" ht="15" customHeight="1"/>
    <row r="6020" ht="15" customHeight="1"/>
    <row r="6021" ht="15" customHeight="1"/>
    <row r="6022" ht="15" customHeight="1"/>
    <row r="6023" ht="15" customHeight="1"/>
    <row r="6024" ht="15" customHeight="1"/>
    <row r="6025" ht="15" customHeight="1"/>
    <row r="6026" ht="15" customHeight="1"/>
    <row r="6027" ht="15" customHeight="1"/>
    <row r="6028" ht="15" customHeight="1"/>
    <row r="6029" ht="15" customHeight="1"/>
    <row r="6030" ht="15" customHeight="1"/>
    <row r="6031" ht="15" customHeight="1"/>
    <row r="6032" ht="15" customHeight="1"/>
    <row r="6033" ht="15" customHeight="1"/>
    <row r="6034" ht="15" customHeight="1"/>
    <row r="6035" ht="15" customHeight="1"/>
    <row r="6036" ht="15" customHeight="1"/>
    <row r="6037" ht="15" customHeight="1"/>
    <row r="6038" ht="15" customHeight="1"/>
    <row r="6039" ht="15" customHeight="1"/>
    <row r="6040" ht="15" customHeight="1"/>
    <row r="6041" ht="15" customHeight="1"/>
    <row r="6042" ht="15" customHeight="1"/>
    <row r="6043" ht="15" customHeight="1"/>
    <row r="6044" ht="15" customHeight="1"/>
    <row r="6045" ht="15" customHeight="1"/>
    <row r="6046" ht="15" customHeight="1"/>
    <row r="6047" ht="15" customHeight="1"/>
    <row r="6048" ht="15" customHeight="1"/>
    <row r="6049" ht="15" customHeight="1"/>
    <row r="6050" ht="15" customHeight="1"/>
    <row r="6051" ht="15" customHeight="1"/>
    <row r="6052" ht="15" customHeight="1"/>
    <row r="6053" ht="15" customHeight="1"/>
    <row r="6054" ht="15" customHeight="1"/>
    <row r="6055" ht="15" customHeight="1"/>
    <row r="6056" ht="15" customHeight="1"/>
    <row r="6057" ht="15" customHeight="1"/>
    <row r="6058" ht="15" customHeight="1"/>
    <row r="6059" ht="15" customHeight="1"/>
    <row r="6060" ht="15" customHeight="1"/>
    <row r="6061" ht="15" customHeight="1"/>
    <row r="6062" ht="15" customHeight="1"/>
    <row r="6063" ht="15" customHeight="1"/>
    <row r="6064" ht="15" customHeight="1"/>
    <row r="6065" ht="15" customHeight="1"/>
    <row r="6066" ht="15" customHeight="1"/>
    <row r="6067" ht="15" customHeight="1"/>
    <row r="6068" ht="15" customHeight="1"/>
    <row r="6069" ht="15" customHeight="1"/>
    <row r="6070" ht="15" customHeight="1"/>
    <row r="6071" ht="15" customHeight="1"/>
    <row r="6072" ht="15" customHeight="1"/>
    <row r="6073" ht="15" customHeight="1"/>
    <row r="6074" ht="15" customHeight="1"/>
    <row r="6075" ht="15" customHeight="1"/>
    <row r="6076" ht="15" customHeight="1"/>
    <row r="6077" ht="15" customHeight="1"/>
    <row r="6078" ht="15" customHeight="1"/>
    <row r="6079" ht="15" customHeight="1"/>
    <row r="6080" ht="15" customHeight="1"/>
    <row r="6081" ht="15" customHeight="1"/>
    <row r="6082" ht="15" customHeight="1"/>
    <row r="6083" ht="15" customHeight="1"/>
    <row r="6084" ht="15" customHeight="1"/>
    <row r="6085" ht="15" customHeight="1"/>
    <row r="6086" ht="15" customHeight="1"/>
    <row r="6087" ht="15" customHeight="1"/>
    <row r="6088" ht="15" customHeight="1"/>
    <row r="6089" ht="15" customHeight="1"/>
    <row r="6090" ht="15" customHeight="1"/>
    <row r="6091" ht="15" customHeight="1"/>
    <row r="6092" ht="15" customHeight="1"/>
    <row r="6093" ht="15" customHeight="1"/>
    <row r="6094" ht="15" customHeight="1"/>
    <row r="6095" ht="15" customHeight="1"/>
    <row r="6096" ht="15" customHeight="1"/>
    <row r="6097" ht="15" customHeight="1"/>
    <row r="6098" ht="15" customHeight="1"/>
    <row r="6099" ht="15" customHeight="1"/>
    <row r="6100" ht="15" customHeight="1"/>
    <row r="6101" ht="15" customHeight="1"/>
    <row r="6102" ht="15" customHeight="1"/>
    <row r="6103" ht="15" customHeight="1"/>
    <row r="6104" ht="15" customHeight="1"/>
    <row r="6105" ht="15" customHeight="1"/>
    <row r="6106" ht="15" customHeight="1"/>
    <row r="6107" ht="15" customHeight="1"/>
    <row r="6108" ht="15" customHeight="1"/>
    <row r="6109" ht="15" customHeight="1"/>
    <row r="6110" ht="15" customHeight="1"/>
    <row r="6111" ht="15" customHeight="1"/>
    <row r="6112" ht="15" customHeight="1"/>
    <row r="6113" ht="15" customHeight="1"/>
    <row r="6114" ht="15" customHeight="1"/>
    <row r="6115" ht="15" customHeight="1"/>
    <row r="6116" ht="15" customHeight="1"/>
    <row r="6117" ht="15" customHeight="1"/>
    <row r="6118" ht="15" customHeight="1"/>
    <row r="6119" ht="15" customHeight="1"/>
    <row r="6120" ht="15" customHeight="1"/>
    <row r="6121" ht="15" customHeight="1"/>
    <row r="6122" ht="15" customHeight="1"/>
    <row r="6123" ht="15" customHeight="1"/>
    <row r="6124" ht="15" customHeight="1"/>
    <row r="6125" ht="15" customHeight="1"/>
    <row r="6126" ht="15" customHeight="1"/>
    <row r="6127" ht="15" customHeight="1"/>
    <row r="6128" ht="15" customHeight="1"/>
    <row r="6129" ht="15" customHeight="1"/>
    <row r="6130" ht="15" customHeight="1"/>
    <row r="6131" ht="15" customHeight="1"/>
    <row r="6132" ht="15" customHeight="1"/>
    <row r="6133" ht="15" customHeight="1"/>
    <row r="6134" ht="15" customHeight="1"/>
    <row r="6135" ht="15" customHeight="1"/>
    <row r="6136" ht="15" customHeight="1"/>
    <row r="6137" ht="15" customHeight="1"/>
    <row r="6138" ht="15" customHeight="1"/>
    <row r="6139" ht="15" customHeight="1"/>
    <row r="6140" ht="15" customHeight="1"/>
    <row r="6141" ht="15" customHeight="1"/>
    <row r="6142" ht="15" customHeight="1"/>
    <row r="6143" ht="15" customHeight="1"/>
    <row r="6144" ht="15" customHeight="1"/>
    <row r="6145" ht="15" customHeight="1"/>
    <row r="6146" ht="15" customHeight="1"/>
    <row r="6147" ht="15" customHeight="1"/>
    <row r="6148" ht="15" customHeight="1"/>
    <row r="6149" ht="15" customHeight="1"/>
    <row r="6150" ht="15" customHeight="1"/>
    <row r="6151" ht="15" customHeight="1"/>
    <row r="6152" ht="15" customHeight="1"/>
    <row r="6153" ht="15" customHeight="1"/>
    <row r="6154" ht="15" customHeight="1"/>
    <row r="6155" ht="15" customHeight="1"/>
    <row r="6156" ht="15" customHeight="1"/>
    <row r="6157" ht="15" customHeight="1"/>
    <row r="6158" ht="15" customHeight="1"/>
    <row r="6159" ht="15" customHeight="1"/>
    <row r="6160" ht="15" customHeight="1"/>
    <row r="6161" ht="15" customHeight="1"/>
    <row r="6162" ht="15" customHeight="1"/>
    <row r="6163" ht="15" customHeight="1"/>
    <row r="6164" ht="15" customHeight="1"/>
    <row r="6165" ht="15" customHeight="1"/>
    <row r="6166" ht="15" customHeight="1"/>
    <row r="6167" ht="15" customHeight="1"/>
    <row r="6168" ht="15" customHeight="1"/>
    <row r="6169" ht="15" customHeight="1"/>
    <row r="6170" ht="15" customHeight="1"/>
    <row r="6171" ht="15" customHeight="1"/>
    <row r="6172" ht="15" customHeight="1"/>
    <row r="6173" ht="15" customHeight="1"/>
    <row r="6174" ht="15" customHeight="1"/>
    <row r="6175" ht="15" customHeight="1"/>
    <row r="6176" ht="15" customHeight="1"/>
    <row r="6177" ht="15" customHeight="1"/>
    <row r="6178" ht="15" customHeight="1"/>
    <row r="6179" ht="15" customHeight="1"/>
    <row r="6180" ht="15" customHeight="1"/>
    <row r="6181" ht="15" customHeight="1"/>
    <row r="6182" ht="15" customHeight="1"/>
    <row r="6183" ht="15" customHeight="1"/>
    <row r="6184" ht="15" customHeight="1"/>
    <row r="6185" ht="15" customHeight="1"/>
    <row r="6186" ht="15" customHeight="1"/>
    <row r="6187" ht="15" customHeight="1"/>
    <row r="6188" ht="15" customHeight="1"/>
    <row r="6189" ht="15" customHeight="1"/>
    <row r="6190" ht="15" customHeight="1"/>
    <row r="6191" ht="15" customHeight="1"/>
    <row r="6192" ht="15" customHeight="1"/>
    <row r="6193" ht="15" customHeight="1"/>
    <row r="6194" ht="15" customHeight="1"/>
    <row r="6195" ht="15" customHeight="1"/>
    <row r="6196" ht="15" customHeight="1"/>
    <row r="6197" ht="15" customHeight="1"/>
    <row r="6198" ht="15" customHeight="1"/>
    <row r="6199" ht="15" customHeight="1"/>
    <row r="6200" ht="15" customHeight="1"/>
    <row r="6201" ht="15" customHeight="1"/>
    <row r="6202" ht="15" customHeight="1"/>
    <row r="6203" ht="15" customHeight="1"/>
    <row r="6204" ht="15" customHeight="1"/>
    <row r="6205" ht="15" customHeight="1"/>
    <row r="6206" ht="15" customHeight="1"/>
    <row r="6207" ht="15" customHeight="1"/>
    <row r="6208" ht="15" customHeight="1"/>
    <row r="6209" ht="15" customHeight="1"/>
    <row r="6210" ht="15" customHeight="1"/>
    <row r="6211" ht="15" customHeight="1"/>
    <row r="6212" ht="15" customHeight="1"/>
    <row r="6213" ht="15" customHeight="1"/>
    <row r="6214" ht="15" customHeight="1"/>
    <row r="6215" ht="15" customHeight="1"/>
    <row r="6216" ht="15" customHeight="1"/>
    <row r="6217" ht="15" customHeight="1"/>
    <row r="6218" ht="15" customHeight="1"/>
    <row r="6219" ht="15" customHeight="1"/>
    <row r="6220" ht="15" customHeight="1"/>
    <row r="6221" ht="15" customHeight="1"/>
    <row r="6222" ht="15" customHeight="1"/>
    <row r="6223" ht="15" customHeight="1"/>
    <row r="6224" ht="15" customHeight="1"/>
    <row r="6225" ht="15" customHeight="1"/>
    <row r="6226" ht="15" customHeight="1"/>
    <row r="6227" ht="15" customHeight="1"/>
    <row r="6228" ht="15" customHeight="1"/>
    <row r="6229" ht="15" customHeight="1"/>
    <row r="6230" ht="15" customHeight="1"/>
    <row r="6231" ht="15" customHeight="1"/>
    <row r="6232" ht="15" customHeight="1"/>
    <row r="6233" ht="15" customHeight="1"/>
    <row r="6234" ht="15" customHeight="1"/>
    <row r="6235" ht="15" customHeight="1"/>
    <row r="6236" ht="15" customHeight="1"/>
    <row r="6237" ht="15" customHeight="1"/>
    <row r="6238" ht="15" customHeight="1"/>
    <row r="6239" ht="15" customHeight="1"/>
    <row r="6240" ht="15" customHeight="1"/>
    <row r="6241" ht="15" customHeight="1"/>
    <row r="6242" ht="15" customHeight="1"/>
    <row r="6243" ht="15" customHeight="1"/>
    <row r="6244" ht="15" customHeight="1"/>
    <row r="6245" ht="15" customHeight="1"/>
    <row r="6246" ht="15" customHeight="1"/>
    <row r="6247" ht="15" customHeight="1"/>
    <row r="6248" ht="15" customHeight="1"/>
    <row r="6249" ht="15" customHeight="1"/>
    <row r="6250" ht="15" customHeight="1"/>
    <row r="6251" ht="15" customHeight="1"/>
    <row r="6252" ht="15" customHeight="1"/>
    <row r="6253" ht="15" customHeight="1"/>
    <row r="6254" ht="15" customHeight="1"/>
    <row r="6255" ht="15" customHeight="1"/>
    <row r="6256" ht="15" customHeight="1"/>
    <row r="6257" ht="15" customHeight="1"/>
    <row r="6258" ht="15" customHeight="1"/>
    <row r="6259" ht="15" customHeight="1"/>
    <row r="6260" ht="15" customHeight="1"/>
    <row r="6261" ht="15" customHeight="1"/>
    <row r="6262" ht="15" customHeight="1"/>
    <row r="6263" ht="15" customHeight="1"/>
    <row r="6264" ht="15" customHeight="1"/>
    <row r="6265" ht="15" customHeight="1"/>
    <row r="6266" ht="15" customHeight="1"/>
    <row r="6267" ht="15" customHeight="1"/>
    <row r="6268" ht="15" customHeight="1"/>
    <row r="6269" ht="15" customHeight="1"/>
    <row r="6270" ht="15" customHeight="1"/>
    <row r="6271" ht="15" customHeight="1"/>
    <row r="6272" ht="15" customHeight="1"/>
    <row r="6273" ht="15" customHeight="1"/>
    <row r="6274" ht="15" customHeight="1"/>
    <row r="6275" ht="15" customHeight="1"/>
    <row r="6276" ht="15" customHeight="1"/>
    <row r="6277" ht="15" customHeight="1"/>
    <row r="6278" ht="15" customHeight="1"/>
    <row r="6279" ht="15" customHeight="1"/>
    <row r="6280" ht="15" customHeight="1"/>
    <row r="6281" ht="15" customHeight="1"/>
    <row r="6282" ht="15" customHeight="1"/>
    <row r="6283" ht="15" customHeight="1"/>
    <row r="6284" ht="15" customHeight="1"/>
    <row r="6285" ht="15" customHeight="1"/>
    <row r="6286" ht="15" customHeight="1"/>
    <row r="6287" ht="15" customHeight="1"/>
    <row r="6288" ht="15" customHeight="1"/>
    <row r="6289" ht="15" customHeight="1"/>
    <row r="6290" ht="15" customHeight="1"/>
    <row r="6291" ht="15" customHeight="1"/>
    <row r="6292" ht="15" customHeight="1"/>
    <row r="6293" ht="15" customHeight="1"/>
    <row r="6294" ht="15" customHeight="1"/>
    <row r="6295" ht="15" customHeight="1"/>
    <row r="6296" ht="15" customHeight="1"/>
    <row r="6297" ht="15" customHeight="1"/>
    <row r="6298" ht="15" customHeight="1"/>
    <row r="6299" ht="15" customHeight="1"/>
    <row r="6300" ht="15" customHeight="1"/>
    <row r="6301" ht="15" customHeight="1"/>
    <row r="6302" ht="15" customHeight="1"/>
    <row r="6303" ht="15" customHeight="1"/>
    <row r="6304" ht="15" customHeight="1"/>
    <row r="6305" ht="15" customHeight="1"/>
    <row r="6306" ht="15" customHeight="1"/>
    <row r="6307" ht="15" customHeight="1"/>
    <row r="6308" ht="15" customHeight="1"/>
    <row r="6309" ht="15" customHeight="1"/>
    <row r="6310" ht="15" customHeight="1"/>
    <row r="6311" ht="15" customHeight="1"/>
    <row r="6312" ht="15" customHeight="1"/>
    <row r="6313" ht="15" customHeight="1"/>
    <row r="6314" ht="15" customHeight="1"/>
    <row r="6315" ht="15" customHeight="1"/>
    <row r="6316" ht="15" customHeight="1"/>
    <row r="6317" ht="15" customHeight="1"/>
    <row r="6318" ht="15" customHeight="1"/>
    <row r="6319" ht="15" customHeight="1"/>
    <row r="6320" ht="15" customHeight="1"/>
    <row r="6321" ht="15" customHeight="1"/>
    <row r="6322" ht="15" customHeight="1"/>
    <row r="6323" ht="15" customHeight="1"/>
    <row r="6324" ht="15" customHeight="1"/>
    <row r="6325" ht="15" customHeight="1"/>
    <row r="6326" ht="15" customHeight="1"/>
    <row r="6327" ht="15" customHeight="1"/>
    <row r="6328" ht="15" customHeight="1"/>
    <row r="6329" ht="15" customHeight="1"/>
    <row r="6330" ht="15" customHeight="1"/>
    <row r="6331" ht="15" customHeight="1"/>
    <row r="6332" ht="15" customHeight="1"/>
    <row r="6333" ht="15" customHeight="1"/>
    <row r="6334" ht="15" customHeight="1"/>
    <row r="6335" ht="15" customHeight="1"/>
    <row r="6336" ht="15" customHeight="1"/>
    <row r="6337" ht="15" customHeight="1"/>
    <row r="6338" ht="15" customHeight="1"/>
    <row r="6339" ht="15" customHeight="1"/>
    <row r="6340" ht="15" customHeight="1"/>
    <row r="6341" ht="15" customHeight="1"/>
    <row r="6342" ht="15" customHeight="1"/>
    <row r="6343" ht="15" customHeight="1"/>
    <row r="6344" ht="15" customHeight="1"/>
    <row r="6345" ht="15" customHeight="1"/>
    <row r="6346" ht="15" customHeight="1"/>
    <row r="6347" ht="15" customHeight="1"/>
    <row r="6348" ht="15" customHeight="1"/>
    <row r="6349" ht="15" customHeight="1"/>
    <row r="6350" ht="15" customHeight="1"/>
    <row r="6351" ht="15" customHeight="1"/>
    <row r="6352" ht="15" customHeight="1"/>
    <row r="6353" ht="15" customHeight="1"/>
    <row r="6354" ht="15" customHeight="1"/>
    <row r="6355" ht="15" customHeight="1"/>
    <row r="6356" ht="15" customHeight="1"/>
    <row r="6357" ht="15" customHeight="1"/>
    <row r="6358" ht="15" customHeight="1"/>
    <row r="6359" ht="15" customHeight="1"/>
    <row r="6360" ht="15" customHeight="1"/>
    <row r="6361" ht="15" customHeight="1"/>
    <row r="6362" ht="15" customHeight="1"/>
    <row r="6363" ht="15" customHeight="1"/>
    <row r="6364" ht="15" customHeight="1"/>
    <row r="6365" ht="15" customHeight="1"/>
    <row r="6366" ht="15" customHeight="1"/>
    <row r="6367" ht="15" customHeight="1"/>
    <row r="6368" ht="15" customHeight="1"/>
    <row r="6369" ht="15" customHeight="1"/>
    <row r="6370" ht="15" customHeight="1"/>
    <row r="6371" ht="15" customHeight="1"/>
    <row r="6372" ht="15" customHeight="1"/>
    <row r="6373" ht="15" customHeight="1"/>
    <row r="6374" ht="15" customHeight="1"/>
    <row r="6375" ht="15" customHeight="1"/>
    <row r="6376" ht="15" customHeight="1"/>
    <row r="6377" ht="15" customHeight="1"/>
    <row r="6378" ht="15" customHeight="1"/>
    <row r="6379" ht="15" customHeight="1"/>
    <row r="6380" ht="15" customHeight="1"/>
    <row r="6381" ht="15" customHeight="1"/>
    <row r="6382" ht="15" customHeight="1"/>
    <row r="6383" ht="15" customHeight="1"/>
    <row r="6384" ht="15" customHeight="1"/>
    <row r="6385" ht="15" customHeight="1"/>
    <row r="6386" ht="15" customHeight="1"/>
    <row r="6387" ht="15" customHeight="1"/>
    <row r="6388" ht="15" customHeight="1"/>
    <row r="6389" ht="15" customHeight="1"/>
    <row r="6390" ht="15" customHeight="1"/>
    <row r="6391" ht="15" customHeight="1"/>
    <row r="6392" ht="15" customHeight="1"/>
    <row r="6393" ht="15" customHeight="1"/>
    <row r="6394" ht="15" customHeight="1"/>
    <row r="6395" ht="15" customHeight="1"/>
    <row r="6396" ht="15" customHeight="1"/>
    <row r="6397" ht="15" customHeight="1"/>
    <row r="6398" ht="15" customHeight="1"/>
    <row r="6399" ht="15" customHeight="1"/>
    <row r="6400" ht="15" customHeight="1"/>
    <row r="6401" ht="15" customHeight="1"/>
    <row r="6402" ht="15" customHeight="1"/>
    <row r="6403" ht="15" customHeight="1"/>
    <row r="6404" ht="15" customHeight="1"/>
    <row r="6405" ht="15" customHeight="1"/>
    <row r="6406" ht="15" customHeight="1"/>
    <row r="6407" ht="15" customHeight="1"/>
    <row r="6408" ht="15" customHeight="1"/>
    <row r="6409" ht="15" customHeight="1"/>
    <row r="6410" ht="15" customHeight="1"/>
    <row r="6411" ht="15" customHeight="1"/>
    <row r="6412" ht="15" customHeight="1"/>
    <row r="6413" ht="15" customHeight="1"/>
    <row r="6414" ht="15" customHeight="1"/>
    <row r="6415" ht="15" customHeight="1"/>
    <row r="6416" ht="15" customHeight="1"/>
    <row r="6417" ht="15" customHeight="1"/>
    <row r="6418" ht="15" customHeight="1"/>
    <row r="6419" ht="15" customHeight="1"/>
    <row r="6420" ht="15" customHeight="1"/>
    <row r="6421" ht="15" customHeight="1"/>
    <row r="6422" ht="15" customHeight="1"/>
    <row r="6423" ht="15" customHeight="1"/>
    <row r="6424" ht="15" customHeight="1"/>
    <row r="6425" ht="15" customHeight="1"/>
    <row r="6426" ht="15" customHeight="1"/>
    <row r="6427" ht="15" customHeight="1"/>
    <row r="6428" ht="15" customHeight="1"/>
    <row r="6429" ht="15" customHeight="1"/>
    <row r="6430" ht="15" customHeight="1"/>
    <row r="6431" ht="15" customHeight="1"/>
    <row r="6432" ht="15" customHeight="1"/>
    <row r="6433" ht="15" customHeight="1"/>
    <row r="6434" ht="15" customHeight="1"/>
    <row r="6435" ht="15" customHeight="1"/>
    <row r="6436" ht="15" customHeight="1"/>
    <row r="6437" ht="15" customHeight="1"/>
    <row r="6438" ht="15" customHeight="1"/>
    <row r="6439" ht="15" customHeight="1"/>
    <row r="6440" ht="15" customHeight="1"/>
    <row r="6441" ht="15" customHeight="1"/>
    <row r="6442" ht="15" customHeight="1"/>
    <row r="6443" ht="15" customHeight="1"/>
    <row r="6444" ht="15" customHeight="1"/>
    <row r="6445" ht="15" customHeight="1"/>
    <row r="6446" ht="15" customHeight="1"/>
    <row r="6447" ht="15" customHeight="1"/>
    <row r="6448" ht="15" customHeight="1"/>
    <row r="6449" ht="15" customHeight="1"/>
    <row r="6450" ht="15" customHeight="1"/>
    <row r="6451" ht="15" customHeight="1"/>
    <row r="6452" ht="15" customHeight="1"/>
    <row r="6453" ht="15" customHeight="1"/>
    <row r="6454" ht="15" customHeight="1"/>
    <row r="6455" ht="15" customHeight="1"/>
    <row r="6456" ht="15" customHeight="1"/>
    <row r="6457" ht="15" customHeight="1"/>
    <row r="6458" ht="15" customHeight="1"/>
    <row r="6459" ht="15" customHeight="1"/>
    <row r="6460" ht="15" customHeight="1"/>
    <row r="6461" ht="15" customHeight="1"/>
    <row r="6462" ht="15" customHeight="1"/>
    <row r="6463" ht="15" customHeight="1"/>
    <row r="6464" ht="15" customHeight="1"/>
    <row r="6465" ht="15" customHeight="1"/>
    <row r="6466" ht="15" customHeight="1"/>
    <row r="6467" ht="15" customHeight="1"/>
    <row r="6468" ht="15" customHeight="1"/>
    <row r="6469" ht="15" customHeight="1"/>
    <row r="6470" ht="15" customHeight="1"/>
    <row r="6471" ht="15" customHeight="1"/>
    <row r="6472" ht="15" customHeight="1"/>
    <row r="6473" ht="15" customHeight="1"/>
    <row r="6474" ht="15" customHeight="1"/>
    <row r="6475" ht="15" customHeight="1"/>
    <row r="6476" ht="15" customHeight="1"/>
    <row r="6477" ht="15" customHeight="1"/>
    <row r="6478" ht="15" customHeight="1"/>
    <row r="6479" ht="15" customHeight="1"/>
    <row r="6480" ht="15" customHeight="1"/>
    <row r="6481" ht="15" customHeight="1"/>
    <row r="6482" ht="15" customHeight="1"/>
    <row r="6483" ht="15" customHeight="1"/>
    <row r="6484" ht="15" customHeight="1"/>
    <row r="6485" ht="15" customHeight="1"/>
    <row r="6486" ht="15" customHeight="1"/>
    <row r="6487" ht="15" customHeight="1"/>
    <row r="6488" ht="15" customHeight="1"/>
    <row r="6489" ht="15" customHeight="1"/>
    <row r="6490" ht="15" customHeight="1"/>
    <row r="6491" ht="15" customHeight="1"/>
    <row r="6492" ht="15" customHeight="1"/>
    <row r="6493" ht="15" customHeight="1"/>
    <row r="6494" ht="15" customHeight="1"/>
    <row r="6495" ht="15" customHeight="1"/>
    <row r="6496" ht="15" customHeight="1"/>
    <row r="6497" ht="15" customHeight="1"/>
    <row r="6498" ht="15" customHeight="1"/>
    <row r="6499" ht="15" customHeight="1"/>
    <row r="6500" ht="15" customHeight="1"/>
    <row r="6501" ht="15" customHeight="1"/>
    <row r="6502" ht="15" customHeight="1"/>
    <row r="6503" ht="15" customHeight="1"/>
    <row r="6504" ht="15" customHeight="1"/>
    <row r="6505" ht="15" customHeight="1"/>
    <row r="6506" ht="15" customHeight="1"/>
    <row r="6507" ht="15" customHeight="1"/>
    <row r="6508" ht="15" customHeight="1"/>
    <row r="6509" ht="15" customHeight="1"/>
    <row r="6510" ht="15" customHeight="1"/>
    <row r="6511" ht="15" customHeight="1"/>
    <row r="6512" ht="15" customHeight="1"/>
    <row r="6513" ht="15" customHeight="1"/>
    <row r="6514" ht="15" customHeight="1"/>
    <row r="6515" ht="15" customHeight="1"/>
    <row r="6516" ht="15" customHeight="1"/>
    <row r="6517" ht="15" customHeight="1"/>
    <row r="6518" ht="15" customHeight="1"/>
    <row r="6519" ht="15" customHeight="1"/>
    <row r="6520" ht="15" customHeight="1"/>
    <row r="6521" ht="15" customHeight="1"/>
    <row r="6522" ht="15" customHeight="1"/>
    <row r="6523" ht="15" customHeight="1"/>
    <row r="6524" ht="15" customHeight="1"/>
    <row r="6525" ht="15" customHeight="1"/>
    <row r="6526" ht="15" customHeight="1"/>
    <row r="6527" ht="15" customHeight="1"/>
    <row r="6528" ht="15" customHeight="1"/>
    <row r="6529" ht="15" customHeight="1"/>
    <row r="6530" ht="15" customHeight="1"/>
    <row r="6531" ht="15" customHeight="1"/>
    <row r="6532" ht="15" customHeight="1"/>
    <row r="6533" ht="15" customHeight="1"/>
    <row r="6534" ht="15" customHeight="1"/>
    <row r="6535" ht="15" customHeight="1"/>
    <row r="6536" ht="15" customHeight="1"/>
    <row r="6537" ht="15" customHeight="1"/>
    <row r="6538" ht="15" customHeight="1"/>
    <row r="6539" ht="15" customHeight="1"/>
    <row r="6540" ht="15" customHeight="1"/>
    <row r="6541" ht="15" customHeight="1"/>
    <row r="6542" ht="15" customHeight="1"/>
    <row r="6543" ht="15" customHeight="1"/>
    <row r="6544" ht="15" customHeight="1"/>
    <row r="6545" ht="15" customHeight="1"/>
    <row r="6546" ht="15" customHeight="1"/>
    <row r="6547" ht="15" customHeight="1"/>
    <row r="6548" ht="15" customHeight="1"/>
    <row r="6549" ht="15" customHeight="1"/>
    <row r="6550" ht="15" customHeight="1"/>
    <row r="6551" ht="15" customHeight="1"/>
    <row r="6552" ht="15" customHeight="1"/>
    <row r="6553" ht="15" customHeight="1"/>
    <row r="6554" ht="15" customHeight="1"/>
    <row r="6555" ht="15" customHeight="1"/>
    <row r="6556" ht="15" customHeight="1"/>
    <row r="6557" ht="15" customHeight="1"/>
    <row r="6558" ht="15" customHeight="1"/>
    <row r="6559" ht="15" customHeight="1"/>
    <row r="6560" ht="15" customHeight="1"/>
    <row r="6561" ht="15" customHeight="1"/>
    <row r="6562" ht="15" customHeight="1"/>
    <row r="6563" ht="15" customHeight="1"/>
    <row r="6564" ht="15" customHeight="1"/>
    <row r="6565" ht="15" customHeight="1"/>
    <row r="6566" ht="15" customHeight="1"/>
    <row r="6567" ht="15" customHeight="1"/>
    <row r="6568" ht="15" customHeight="1"/>
    <row r="6569" ht="15" customHeight="1"/>
    <row r="6570" ht="15" customHeight="1"/>
    <row r="6571" ht="15" customHeight="1"/>
    <row r="6572" ht="15" customHeight="1"/>
    <row r="6573" ht="15" customHeight="1"/>
    <row r="6574" ht="15" customHeight="1"/>
    <row r="6575" ht="15" customHeight="1"/>
    <row r="6576" ht="15" customHeight="1"/>
    <row r="6577" ht="15" customHeight="1"/>
    <row r="6578" ht="15" customHeight="1"/>
    <row r="6579" ht="15" customHeight="1"/>
    <row r="6580" ht="15" customHeight="1"/>
    <row r="6581" ht="15" customHeight="1"/>
    <row r="6582" ht="15" customHeight="1"/>
    <row r="6583" ht="15" customHeight="1"/>
    <row r="6584" ht="15" customHeight="1"/>
    <row r="6585" ht="15" customHeight="1"/>
    <row r="6586" ht="15" customHeight="1"/>
    <row r="6587" ht="15" customHeight="1"/>
    <row r="6588" ht="15" customHeight="1"/>
    <row r="6589" ht="15" customHeight="1"/>
    <row r="6590" ht="15" customHeight="1"/>
    <row r="6591" ht="15" customHeight="1"/>
    <row r="6592" ht="15" customHeight="1"/>
    <row r="6593" ht="15" customHeight="1"/>
    <row r="6594" ht="15" customHeight="1"/>
    <row r="6595" ht="15" customHeight="1"/>
    <row r="6596" ht="15" customHeight="1"/>
    <row r="6597" ht="15" customHeight="1"/>
    <row r="6598" ht="15" customHeight="1"/>
    <row r="6599" ht="15" customHeight="1"/>
    <row r="6600" ht="15" customHeight="1"/>
    <row r="6601" ht="15" customHeight="1"/>
    <row r="6602" ht="15" customHeight="1"/>
    <row r="6603" ht="15" customHeight="1"/>
    <row r="6604" ht="15" customHeight="1"/>
    <row r="6605" ht="15" customHeight="1"/>
    <row r="6606" ht="15" customHeight="1"/>
    <row r="6607" ht="15" customHeight="1"/>
    <row r="6608" ht="15" customHeight="1"/>
    <row r="6609" ht="15" customHeight="1"/>
    <row r="6610" ht="15" customHeight="1"/>
    <row r="6611" ht="15" customHeight="1"/>
    <row r="6612" ht="15" customHeight="1"/>
    <row r="6613" ht="15" customHeight="1"/>
    <row r="6614" ht="15" customHeight="1"/>
    <row r="6615" ht="15" customHeight="1"/>
    <row r="6616" ht="15" customHeight="1"/>
    <row r="6617" ht="15" customHeight="1"/>
    <row r="6618" ht="15" customHeight="1"/>
    <row r="6619" ht="15" customHeight="1"/>
    <row r="6620" ht="15" customHeight="1"/>
    <row r="6621" ht="15" customHeight="1"/>
    <row r="6622" ht="15" customHeight="1"/>
    <row r="6623" ht="15" customHeight="1"/>
    <row r="6624" ht="15" customHeight="1"/>
    <row r="6625" ht="15" customHeight="1"/>
    <row r="6626" ht="15" customHeight="1"/>
    <row r="6627" ht="15" customHeight="1"/>
    <row r="6628" ht="15" customHeight="1"/>
    <row r="6629" ht="15" customHeight="1"/>
    <row r="6630" ht="15" customHeight="1"/>
    <row r="6631" ht="15" customHeight="1"/>
    <row r="6632" ht="15" customHeight="1"/>
    <row r="6633" ht="15" customHeight="1"/>
    <row r="6634" ht="15" customHeight="1"/>
    <row r="6635" ht="15" customHeight="1"/>
    <row r="6636" ht="15" customHeight="1"/>
    <row r="6637" ht="15" customHeight="1"/>
    <row r="6638" ht="15" customHeight="1"/>
    <row r="6639" ht="15" customHeight="1"/>
    <row r="6640" ht="15" customHeight="1"/>
    <row r="6641" ht="15" customHeight="1"/>
    <row r="6642" ht="15" customHeight="1"/>
    <row r="6643" ht="15" customHeight="1"/>
    <row r="6644" ht="15" customHeight="1"/>
    <row r="6645" ht="15" customHeight="1"/>
    <row r="6646" ht="15" customHeight="1"/>
    <row r="6647" ht="15" customHeight="1"/>
    <row r="6648" ht="15" customHeight="1"/>
    <row r="6649" ht="15" customHeight="1"/>
    <row r="6650" ht="15" customHeight="1"/>
    <row r="6651" ht="15" customHeight="1"/>
    <row r="6652" ht="15" customHeight="1"/>
    <row r="6653" ht="15" customHeight="1"/>
    <row r="6654" ht="15" customHeight="1"/>
    <row r="6655" ht="15" customHeight="1"/>
    <row r="6656" ht="15" customHeight="1"/>
    <row r="6657" ht="15" customHeight="1"/>
    <row r="6658" ht="15" customHeight="1"/>
    <row r="6659" ht="15" customHeight="1"/>
    <row r="6660" ht="15" customHeight="1"/>
    <row r="6661" ht="15" customHeight="1"/>
    <row r="6662" ht="15" customHeight="1"/>
    <row r="6663" ht="15" customHeight="1"/>
    <row r="6664" ht="15" customHeight="1"/>
    <row r="6665" ht="15" customHeight="1"/>
    <row r="6666" ht="15" customHeight="1"/>
    <row r="6667" ht="15" customHeight="1"/>
    <row r="6668" ht="15" customHeight="1"/>
    <row r="6669" ht="15" customHeight="1"/>
    <row r="6670" ht="15" customHeight="1"/>
    <row r="6671" ht="15" customHeight="1"/>
    <row r="6672" ht="15" customHeight="1"/>
    <row r="6673" ht="15" customHeight="1"/>
    <row r="6674" ht="15" customHeight="1"/>
    <row r="6675" ht="15" customHeight="1"/>
    <row r="6676" ht="15" customHeight="1"/>
    <row r="6677" ht="15" customHeight="1"/>
    <row r="6678" ht="15" customHeight="1"/>
    <row r="6679" ht="15" customHeight="1"/>
    <row r="6680" ht="15" customHeight="1"/>
    <row r="6681" ht="15" customHeight="1"/>
    <row r="6682" ht="15" customHeight="1"/>
    <row r="6683" ht="15" customHeight="1"/>
    <row r="6684" ht="15" customHeight="1"/>
    <row r="6685" ht="15" customHeight="1"/>
    <row r="6686" ht="15" customHeight="1"/>
    <row r="6687" ht="15" customHeight="1"/>
    <row r="6688" ht="15" customHeight="1"/>
    <row r="6689" ht="15" customHeight="1"/>
    <row r="6690" ht="15" customHeight="1"/>
    <row r="6691" ht="15" customHeight="1"/>
    <row r="6692" ht="15" customHeight="1"/>
    <row r="6693" ht="15" customHeight="1"/>
    <row r="6694" ht="15" customHeight="1"/>
    <row r="6695" ht="15" customHeight="1"/>
    <row r="6696" ht="15" customHeight="1"/>
    <row r="6697" ht="15" customHeight="1"/>
    <row r="6698" ht="15" customHeight="1"/>
    <row r="6699" ht="15" customHeight="1"/>
    <row r="6700" ht="15" customHeight="1"/>
    <row r="6701" ht="15" customHeight="1"/>
    <row r="6702" ht="15" customHeight="1"/>
    <row r="6703" ht="15" customHeight="1"/>
    <row r="6704" ht="15" customHeight="1"/>
    <row r="6705" ht="15" customHeight="1"/>
    <row r="6706" ht="15" customHeight="1"/>
    <row r="6707" ht="15" customHeight="1"/>
    <row r="6708" ht="15" customHeight="1"/>
    <row r="6709" ht="15" customHeight="1"/>
    <row r="6710" ht="15" customHeight="1"/>
    <row r="6711" ht="15" customHeight="1"/>
    <row r="6712" ht="15" customHeight="1"/>
    <row r="6713" ht="15" customHeight="1"/>
    <row r="6714" ht="15" customHeight="1"/>
    <row r="6715" ht="15" customHeight="1"/>
    <row r="6716" ht="15" customHeight="1"/>
    <row r="6717" ht="15" customHeight="1"/>
    <row r="6718" ht="15" customHeight="1"/>
    <row r="6719" ht="15" customHeight="1"/>
    <row r="6720" ht="15" customHeight="1"/>
    <row r="6721" ht="15" customHeight="1"/>
    <row r="6722" ht="15" customHeight="1"/>
    <row r="6723" ht="15" customHeight="1"/>
    <row r="6724" ht="15" customHeight="1"/>
    <row r="6725" ht="15" customHeight="1"/>
    <row r="6726" ht="15" customHeight="1"/>
    <row r="6727" ht="15" customHeight="1"/>
    <row r="6728" ht="15" customHeight="1"/>
    <row r="6729" ht="15" customHeight="1"/>
    <row r="6730" ht="15" customHeight="1"/>
    <row r="6731" ht="15" customHeight="1"/>
    <row r="6732" ht="15" customHeight="1"/>
    <row r="6733" ht="15" customHeight="1"/>
    <row r="6734" ht="15" customHeight="1"/>
    <row r="6735" ht="15" customHeight="1"/>
    <row r="6736" ht="15" customHeight="1"/>
    <row r="6737" ht="15" customHeight="1"/>
    <row r="6738" ht="15" customHeight="1"/>
    <row r="6739" ht="15" customHeight="1"/>
    <row r="6740" ht="15" customHeight="1"/>
    <row r="6741" ht="15" customHeight="1"/>
    <row r="6742" ht="15" customHeight="1"/>
    <row r="6743" ht="15" customHeight="1"/>
    <row r="6744" ht="15" customHeight="1"/>
    <row r="6745" ht="15" customHeight="1"/>
    <row r="6746" ht="15" customHeight="1"/>
    <row r="6747" ht="15" customHeight="1"/>
    <row r="6748" ht="15" customHeight="1"/>
    <row r="6749" ht="15" customHeight="1"/>
    <row r="6750" ht="15" customHeight="1"/>
    <row r="6751" ht="15" customHeight="1"/>
    <row r="6752" ht="15" customHeight="1"/>
    <row r="6753" ht="15" customHeight="1"/>
    <row r="6754" ht="15" customHeight="1"/>
    <row r="6755" ht="15" customHeight="1"/>
    <row r="6756" ht="15" customHeight="1"/>
    <row r="6757" ht="15" customHeight="1"/>
    <row r="6758" ht="15" customHeight="1"/>
    <row r="6759" ht="15" customHeight="1"/>
    <row r="6760" ht="15" customHeight="1"/>
    <row r="6761" ht="15" customHeight="1"/>
    <row r="6762" ht="15" customHeight="1"/>
    <row r="6763" ht="15" customHeight="1"/>
    <row r="6764" ht="15" customHeight="1"/>
    <row r="6765" ht="15" customHeight="1"/>
    <row r="6766" ht="15" customHeight="1"/>
    <row r="6767" ht="15" customHeight="1"/>
    <row r="6768" ht="15" customHeight="1"/>
    <row r="6769" ht="15" customHeight="1"/>
    <row r="6770" ht="15" customHeight="1"/>
    <row r="6771" ht="15" customHeight="1"/>
    <row r="6772" ht="15" customHeight="1"/>
    <row r="6773" ht="15" customHeight="1"/>
    <row r="6774" ht="15" customHeight="1"/>
    <row r="6775" ht="15" customHeight="1"/>
    <row r="6776" ht="15" customHeight="1"/>
    <row r="6777" ht="15" customHeight="1"/>
    <row r="6778" ht="15" customHeight="1"/>
    <row r="6779" ht="15" customHeight="1"/>
    <row r="6780" ht="15" customHeight="1"/>
    <row r="6781" ht="15" customHeight="1"/>
    <row r="6782" ht="15" customHeight="1"/>
    <row r="6783" ht="15" customHeight="1"/>
    <row r="6784" ht="15" customHeight="1"/>
    <row r="6785" ht="15" customHeight="1"/>
    <row r="6786" ht="15" customHeight="1"/>
    <row r="6787" ht="15" customHeight="1"/>
    <row r="6788" ht="15" customHeight="1"/>
    <row r="6789" ht="15" customHeight="1"/>
    <row r="6790" ht="15" customHeight="1"/>
    <row r="6791" ht="15" customHeight="1"/>
    <row r="6792" ht="15" customHeight="1"/>
    <row r="6793" ht="15" customHeight="1"/>
    <row r="6794" ht="15" customHeight="1"/>
    <row r="6795" ht="15" customHeight="1"/>
    <row r="6796" ht="15" customHeight="1"/>
    <row r="6797" ht="15" customHeight="1"/>
    <row r="6798" ht="15" customHeight="1"/>
    <row r="6799" ht="15" customHeight="1"/>
    <row r="6800" ht="15" customHeight="1"/>
    <row r="6801" ht="15" customHeight="1"/>
    <row r="6802" ht="15" customHeight="1"/>
    <row r="6803" ht="15" customHeight="1"/>
    <row r="6804" ht="15" customHeight="1"/>
    <row r="6805" ht="15" customHeight="1"/>
    <row r="6806" ht="15" customHeight="1"/>
    <row r="6807" ht="15" customHeight="1"/>
    <row r="6808" ht="15" customHeight="1"/>
    <row r="6809" ht="15" customHeight="1"/>
    <row r="6810" ht="15" customHeight="1"/>
    <row r="6811" ht="15" customHeight="1"/>
    <row r="6812" ht="15" customHeight="1"/>
    <row r="6813" ht="15" customHeight="1"/>
    <row r="6814" ht="15" customHeight="1"/>
    <row r="6815" ht="15" customHeight="1"/>
    <row r="6816" ht="15" customHeight="1"/>
    <row r="6817" ht="15" customHeight="1"/>
    <row r="6818" ht="15" customHeight="1"/>
    <row r="6819" ht="15" customHeight="1"/>
    <row r="6820" ht="15" customHeight="1"/>
    <row r="6821" ht="15" customHeight="1"/>
    <row r="6822" ht="15" customHeight="1"/>
    <row r="6823" ht="15" customHeight="1"/>
    <row r="6824" ht="15" customHeight="1"/>
    <row r="6825" ht="15" customHeight="1"/>
    <row r="6826" ht="15" customHeight="1"/>
    <row r="6827" ht="15" customHeight="1"/>
    <row r="6828" ht="15" customHeight="1"/>
    <row r="6829" ht="15" customHeight="1"/>
    <row r="6830" ht="15" customHeight="1"/>
    <row r="6831" ht="15" customHeight="1"/>
    <row r="6832" ht="15" customHeight="1"/>
    <row r="6833" ht="15" customHeight="1"/>
    <row r="6834" ht="15" customHeight="1"/>
    <row r="6835" ht="15" customHeight="1"/>
    <row r="6836" ht="15" customHeight="1"/>
    <row r="6837" ht="15" customHeight="1"/>
    <row r="6838" ht="15" customHeight="1"/>
    <row r="6839" ht="15" customHeight="1"/>
    <row r="6840" ht="15" customHeight="1"/>
    <row r="6841" ht="15" customHeight="1"/>
    <row r="6842" ht="15" customHeight="1"/>
    <row r="6843" ht="15" customHeight="1"/>
    <row r="6844" ht="15" customHeight="1"/>
    <row r="6845" ht="15" customHeight="1"/>
    <row r="6846" ht="15" customHeight="1"/>
    <row r="6847" ht="15" customHeight="1"/>
    <row r="6848" ht="15" customHeight="1"/>
    <row r="6849" ht="15" customHeight="1"/>
    <row r="6850" ht="15" customHeight="1"/>
    <row r="6851" ht="15" customHeight="1"/>
    <row r="6852" ht="15" customHeight="1"/>
    <row r="6853" ht="15" customHeight="1"/>
    <row r="6854" ht="15" customHeight="1"/>
    <row r="6855" ht="15" customHeight="1"/>
    <row r="6856" ht="15" customHeight="1"/>
    <row r="6857" ht="15" customHeight="1"/>
    <row r="6858" ht="15" customHeight="1"/>
    <row r="6859" ht="15" customHeight="1"/>
    <row r="6860" ht="15" customHeight="1"/>
    <row r="6861" ht="15" customHeight="1"/>
    <row r="6862" ht="15" customHeight="1"/>
    <row r="6863" ht="15" customHeight="1"/>
    <row r="6864" ht="15" customHeight="1"/>
    <row r="6865" ht="15" customHeight="1"/>
    <row r="6866" ht="15" customHeight="1"/>
    <row r="6867" ht="15" customHeight="1"/>
    <row r="6868" ht="15" customHeight="1"/>
    <row r="6869" ht="15" customHeight="1"/>
    <row r="6870" ht="15" customHeight="1"/>
    <row r="6871" ht="15" customHeight="1"/>
    <row r="6872" ht="15" customHeight="1"/>
    <row r="6873" ht="15" customHeight="1"/>
    <row r="6874" ht="15" customHeight="1"/>
    <row r="6875" ht="15" customHeight="1"/>
    <row r="6876" ht="15" customHeight="1"/>
    <row r="6877" ht="15" customHeight="1"/>
    <row r="6878" ht="15" customHeight="1"/>
    <row r="6879" ht="15" customHeight="1"/>
    <row r="6880" ht="15" customHeight="1"/>
    <row r="6881" ht="15" customHeight="1"/>
    <row r="6882" ht="15" customHeight="1"/>
  </sheetData>
  <autoFilter ref="F7:P1882"/>
  <mergeCells count="1">
    <mergeCell ref="G6:P6"/>
  </mergeCells>
  <conditionalFormatting sqref="G29:G30">
    <cfRule type="expression" priority="10613" dxfId="5">
      <formula>$H29="CÉLULA CONSTRUTIVA"</formula>
    </cfRule>
    <cfRule type="expression" priority="10614" dxfId="4">
      <formula>$H29="SUBETAPA"</formula>
    </cfRule>
    <cfRule type="expression" priority="10615" dxfId="3">
      <formula>$H29="ETAPA"</formula>
    </cfRule>
  </conditionalFormatting>
  <conditionalFormatting sqref="G32">
    <cfRule type="expression" priority="10611" dxfId="4">
      <formula>$H32="SUBETAPA"</formula>
    </cfRule>
    <cfRule type="expression" priority="10612" dxfId="3">
      <formula>$H32="ETAPA"</formula>
    </cfRule>
  </conditionalFormatting>
  <conditionalFormatting sqref="G35:G38">
    <cfRule type="expression" priority="10607" dxfId="5">
      <formula>$H35="CÉLULA CONSTRUTIVA"</formula>
    </cfRule>
    <cfRule type="expression" priority="10608" dxfId="4">
      <formula>$H35="SUBETAPA"</formula>
    </cfRule>
    <cfRule type="expression" priority="10609" dxfId="3">
      <formula>$H35="ETAPA"</formula>
    </cfRule>
  </conditionalFormatting>
  <conditionalFormatting sqref="G40">
    <cfRule type="expression" priority="10605" dxfId="4">
      <formula>$H40="SUBETAPA"</formula>
    </cfRule>
    <cfRule type="expression" priority="10606" dxfId="3">
      <formula>$H40="ETAPA"</formula>
    </cfRule>
  </conditionalFormatting>
  <conditionalFormatting sqref="G42">
    <cfRule type="expression" priority="10603" dxfId="4">
      <formula>$H42="SUBETAPA"</formula>
    </cfRule>
  </conditionalFormatting>
  <conditionalFormatting sqref="G42:G43">
    <cfRule type="expression" priority="10601" dxfId="3">
      <formula>$H42="ETAPA"</formula>
    </cfRule>
  </conditionalFormatting>
  <conditionalFormatting sqref="G43">
    <cfRule type="expression" priority="10600" dxfId="4">
      <formula>$H43="SUBETAPA"</formula>
    </cfRule>
  </conditionalFormatting>
  <conditionalFormatting sqref="G45:G48">
    <cfRule type="expression" priority="10596" dxfId="5">
      <formula>$H45="CÉLULA CONSTRUTIVA"</formula>
    </cfRule>
    <cfRule type="expression" priority="10598" dxfId="3">
      <formula>$H45="ETAPA"</formula>
    </cfRule>
    <cfRule type="expression" priority="10597" dxfId="4">
      <formula>$H45="SUBETAPA"</formula>
    </cfRule>
  </conditionalFormatting>
  <conditionalFormatting sqref="G50">
    <cfRule type="expression" priority="10595" dxfId="3">
      <formula>$H50="ETAPA"</formula>
    </cfRule>
    <cfRule type="expression" priority="10594" dxfId="4">
      <formula>$H50="SUBETAPA"</formula>
    </cfRule>
  </conditionalFormatting>
  <conditionalFormatting sqref="G53">
    <cfRule type="expression" priority="10592" dxfId="3">
      <formula>$H53="ETAPA"</formula>
    </cfRule>
  </conditionalFormatting>
  <conditionalFormatting sqref="G53:G54">
    <cfRule type="expression" priority="10588" dxfId="4">
      <formula>$H53="SUBETAPA"</formula>
    </cfRule>
    <cfRule type="expression" priority="10587" dxfId="5">
      <formula>$H53="CÉLULA CONSTRUTIVA"</formula>
    </cfRule>
  </conditionalFormatting>
  <conditionalFormatting sqref="G54">
    <cfRule type="expression" priority="10589" dxfId="3">
      <formula>$H54="ETAPA"</formula>
    </cfRule>
  </conditionalFormatting>
  <conditionalFormatting sqref="G57">
    <cfRule type="expression" priority="10585" dxfId="4">
      <formula>$H57="SUBETAPA"</formula>
    </cfRule>
    <cfRule type="expression" priority="10584" dxfId="5">
      <formula>$H57="CÉLULA CONSTRUTIVA"</formula>
    </cfRule>
    <cfRule type="expression" priority="10586" dxfId="3">
      <formula>$H57="ETAPA"</formula>
    </cfRule>
  </conditionalFormatting>
  <conditionalFormatting sqref="G80:G82 M95">
    <cfRule type="expression" priority="10583" dxfId="3">
      <formula>$H80="ETAPA"</formula>
    </cfRule>
  </conditionalFormatting>
  <conditionalFormatting sqref="G706:G718">
    <cfRule type="expression" priority="10582" dxfId="4">
      <formula>$H706="SUBETAPA"</formula>
    </cfRule>
  </conditionalFormatting>
  <conditionalFormatting sqref="G721:G733">
    <cfRule type="expression" priority="10580" dxfId="4">
      <formula>$H721="SUBETAPA"</formula>
    </cfRule>
  </conditionalFormatting>
  <conditionalFormatting sqref="G736:G748">
    <cfRule type="expression" priority="10578" dxfId="4">
      <formula>$H736="SUBETAPA"</formula>
    </cfRule>
  </conditionalFormatting>
  <conditionalFormatting sqref="G751:G763">
    <cfRule type="expression" priority="10576" dxfId="4">
      <formula>$H751="SUBETAPA"</formula>
    </cfRule>
  </conditionalFormatting>
  <conditionalFormatting sqref="G766:G778">
    <cfRule type="expression" priority="10574" dxfId="4">
      <formula>$H766="SUBETAPA"</formula>
    </cfRule>
  </conditionalFormatting>
  <conditionalFormatting sqref="G781:G793">
    <cfRule type="expression" priority="10572" dxfId="4">
      <formula>$H781="SUBETAPA"</formula>
    </cfRule>
  </conditionalFormatting>
  <conditionalFormatting sqref="G796:G808">
    <cfRule type="expression" priority="10570" dxfId="4">
      <formula>$H796="SUBETAPA"</formula>
    </cfRule>
  </conditionalFormatting>
  <conditionalFormatting sqref="G811:G823">
    <cfRule type="expression" priority="10568" dxfId="4">
      <formula>$H811="SUBETAPA"</formula>
    </cfRule>
  </conditionalFormatting>
  <conditionalFormatting sqref="G826:G838">
    <cfRule type="expression" priority="10566" dxfId="4">
      <formula>$H826="SUBETAPA"</formula>
    </cfRule>
  </conditionalFormatting>
  <conditionalFormatting sqref="G841:G853">
    <cfRule type="expression" priority="10564" dxfId="4">
      <formula>$H841="SUBETAPA"</formula>
    </cfRule>
  </conditionalFormatting>
  <conditionalFormatting sqref="G856:G868">
    <cfRule type="expression" priority="10562" dxfId="4">
      <formula>$H856="SUBETAPA"</formula>
    </cfRule>
  </conditionalFormatting>
  <conditionalFormatting sqref="G871:G883">
    <cfRule type="expression" priority="10560" dxfId="4">
      <formula>$H871="SUBETAPA"</formula>
    </cfRule>
  </conditionalFormatting>
  <conditionalFormatting sqref="G886:G898">
    <cfRule type="expression" priority="10558" dxfId="4">
      <formula>$H886="SUBETAPA"</formula>
    </cfRule>
  </conditionalFormatting>
  <conditionalFormatting sqref="G1002">
    <cfRule type="expression" priority="10555" dxfId="3">
      <formula>$H1002="ETAPA"</formula>
    </cfRule>
  </conditionalFormatting>
  <conditionalFormatting sqref="G1002:G1003">
    <cfRule type="expression" priority="10551" dxfId="4">
      <formula>$H1002="SUBETAPA"</formula>
    </cfRule>
  </conditionalFormatting>
  <conditionalFormatting sqref="G1003">
    <cfRule type="expression" priority="10552" dxfId="3">
      <formula>$H1003="ETAPA"</formula>
    </cfRule>
  </conditionalFormatting>
  <conditionalFormatting sqref="G1005:G1009">
    <cfRule type="expression" priority="10549" dxfId="3">
      <formula>$H1005="ETAPA"</formula>
    </cfRule>
    <cfRule type="expression" priority="10548" dxfId="4">
      <formula>$H1005="SUBETAPA"</formula>
    </cfRule>
  </conditionalFormatting>
  <conditionalFormatting sqref="G1011">
    <cfRule type="expression" priority="10546" dxfId="3">
      <formula>$H1011="ETAPA"</formula>
    </cfRule>
    <cfRule type="expression" priority="10547" dxfId="5">
      <formula>$H1011="CÉLULA CONSTRUTIVA"</formula>
    </cfRule>
    <cfRule type="expression" priority="10545" dxfId="4">
      <formula>$H1011="SUBETAPA"</formula>
    </cfRule>
  </conditionalFormatting>
  <conditionalFormatting sqref="G1027:G1036">
    <cfRule type="expression" priority="10544" dxfId="5">
      <formula>$H1027="CÉLULA CONSTRUTIVA"</formula>
    </cfRule>
  </conditionalFormatting>
  <conditionalFormatting sqref="G1041:G1050">
    <cfRule type="expression" priority="10543" dxfId="5">
      <formula>$H1041="CÉLULA CONSTRUTIVA"</formula>
    </cfRule>
  </conditionalFormatting>
  <conditionalFormatting sqref="G1055:G1064">
    <cfRule type="expression" priority="10542" dxfId="5">
      <formula>$H1055="CÉLULA CONSTRUTIVA"</formula>
    </cfRule>
  </conditionalFormatting>
  <conditionalFormatting sqref="G1069:G1078">
    <cfRule type="expression" priority="10541" dxfId="5">
      <formula>$H1069="CÉLULA CONSTRUTIVA"</formula>
    </cfRule>
  </conditionalFormatting>
  <conditionalFormatting sqref="G1083:G1092">
    <cfRule type="expression" priority="10540" dxfId="5">
      <formula>$H1083="CÉLULA CONSTRUTIVA"</formula>
    </cfRule>
  </conditionalFormatting>
  <conditionalFormatting sqref="G1097:G1106">
    <cfRule type="expression" priority="10539" dxfId="5">
      <formula>$H1097="CÉLULA CONSTRUTIVA"</formula>
    </cfRule>
  </conditionalFormatting>
  <conditionalFormatting sqref="G1130">
    <cfRule type="expression" priority="10538" dxfId="5">
      <formula>$H1130="CÉLULA CONSTRUTIVA"</formula>
    </cfRule>
  </conditionalFormatting>
  <conditionalFormatting sqref="G1133">
    <cfRule type="expression" priority="10537" dxfId="5">
      <formula>$H1133="CÉLULA CONSTRUTIVA"</formula>
    </cfRule>
  </conditionalFormatting>
  <conditionalFormatting sqref="G1136">
    <cfRule type="expression" priority="10536" dxfId="5">
      <formula>$H1136="CÉLULA CONSTRUTIVA"</formula>
    </cfRule>
  </conditionalFormatting>
  <conditionalFormatting sqref="G1139">
    <cfRule type="expression" priority="10535" dxfId="5">
      <formula>$H1139="CÉLULA CONSTRUTIVA"</formula>
    </cfRule>
  </conditionalFormatting>
  <conditionalFormatting sqref="G1142">
    <cfRule type="expression" priority="10534" dxfId="5">
      <formula>$H1142="CÉLULA CONSTRUTIVA"</formula>
    </cfRule>
  </conditionalFormatting>
  <conditionalFormatting sqref="G1145">
    <cfRule type="expression" priority="10533" dxfId="5">
      <formula>$H1145="CÉLULA CONSTRUTIVA"</formula>
    </cfRule>
  </conditionalFormatting>
  <conditionalFormatting sqref="G1148">
    <cfRule type="expression" priority="10532" dxfId="3">
      <formula>$H1148="ETAPA"</formula>
    </cfRule>
  </conditionalFormatting>
  <conditionalFormatting sqref="G1150">
    <cfRule type="expression" priority="10530" dxfId="3">
      <formula>$H1150="ETAPA"</formula>
    </cfRule>
  </conditionalFormatting>
  <conditionalFormatting sqref="G1152">
    <cfRule type="expression" priority="10528" dxfId="3">
      <formula>$H1152="ETAPA"</formula>
    </cfRule>
  </conditionalFormatting>
  <conditionalFormatting sqref="G1155">
    <cfRule type="expression" priority="10526" dxfId="3">
      <formula>$H1155="ETAPA"</formula>
    </cfRule>
  </conditionalFormatting>
  <conditionalFormatting sqref="G1157">
    <cfRule type="expression" priority="10524" dxfId="3">
      <formula>$H1157="ETAPA"</formula>
    </cfRule>
  </conditionalFormatting>
  <conditionalFormatting sqref="G1159">
    <cfRule type="expression" priority="10522" dxfId="3">
      <formula>$H1159="ETAPA"</formula>
    </cfRule>
  </conditionalFormatting>
  <conditionalFormatting sqref="G1164">
    <cfRule type="expression" priority="10520" dxfId="5">
      <formula>$H1164="CÉLULA CONSTRUTIVA"</formula>
    </cfRule>
  </conditionalFormatting>
  <conditionalFormatting sqref="G1169">
    <cfRule type="expression" priority="10519" dxfId="5">
      <formula>$H1169="CÉLULA CONSTRUTIVA"</formula>
    </cfRule>
  </conditionalFormatting>
  <conditionalFormatting sqref="G1174">
    <cfRule type="expression" priority="10518" dxfId="5">
      <formula>$H1174="CÉLULA CONSTRUTIVA"</formula>
    </cfRule>
  </conditionalFormatting>
  <conditionalFormatting sqref="G1179">
    <cfRule type="expression" priority="10517" dxfId="5">
      <formula>$H1179="CÉLULA CONSTRUTIVA"</formula>
    </cfRule>
  </conditionalFormatting>
  <conditionalFormatting sqref="G1182">
    <cfRule type="expression" priority="10516" dxfId="5">
      <formula>$H1182="CÉLULA CONSTRUTIVA"</formula>
    </cfRule>
  </conditionalFormatting>
  <conditionalFormatting sqref="G1149:H1155 J1150:L1152">
    <cfRule type="expression" priority="9216" dxfId="5">
      <formula>$H1149="CÉLULA CONSTRUTIVA"</formula>
    </cfRule>
  </conditionalFormatting>
  <conditionalFormatting sqref="G1156:H1162 J1157:L1159">
    <cfRule type="expression" priority="9207" dxfId="5">
      <formula>$H1156="CÉLULA CONSTRUTIVA"</formula>
    </cfRule>
  </conditionalFormatting>
  <conditionalFormatting sqref="G1191:H1191 J1191:M1191">
    <cfRule type="expression" priority="9995" dxfId="4">
      <formula>$H1191="SUBETAPA"</formula>
    </cfRule>
  </conditionalFormatting>
  <conditionalFormatting sqref="G1200:H1201 J1200:L1201">
    <cfRule type="expression" priority="9994" dxfId="5">
      <formula>$H1200="CÉLULA CONSTRUTIVA"</formula>
    </cfRule>
    <cfRule type="expression" priority="9993" dxfId="4">
      <formula>$H1200="SUBETAPA"</formula>
    </cfRule>
  </conditionalFormatting>
  <conditionalFormatting sqref="G1200:H1202 H1204 H1206 J1201:L1202 J1204:K1204 J1205 J1206:K1206 O1204 O1206">
    <cfRule type="expression" priority="9992" dxfId="3">
      <formula>$H1200="ETAPA"</formula>
    </cfRule>
  </conditionalFormatting>
  <conditionalFormatting sqref="G1240:H1241">
    <cfRule type="expression" priority="9988" dxfId="4">
      <formula>$H1240="SUBETAPA"</formula>
    </cfRule>
    <cfRule type="expression" priority="9989" dxfId="5">
      <formula>$H1240="CÉLULA CONSTRUTIVA"</formula>
    </cfRule>
  </conditionalFormatting>
  <conditionalFormatting sqref="G1271:H1272">
    <cfRule type="expression" priority="9987" dxfId="5">
      <formula>$H1271="CÉLULA CONSTRUTIVA"</formula>
    </cfRule>
    <cfRule type="expression" priority="9986" dxfId="4">
      <formula>$H1271="SUBETAPA"</formula>
    </cfRule>
  </conditionalFormatting>
  <conditionalFormatting sqref="G1293:H1294 J1293:L1294 L1295:L1298">
    <cfRule type="expression" priority="9985" dxfId="5">
      <formula>$H1293="CÉLULA CONSTRUTIVA"</formula>
    </cfRule>
    <cfRule type="expression" priority="9984" dxfId="4">
      <formula>$H1293="SUBETAPA"</formula>
    </cfRule>
  </conditionalFormatting>
  <conditionalFormatting sqref="G1315:H1316 J1315:L1316 L1317:L1320">
    <cfRule type="expression" priority="9983" dxfId="5">
      <formula>$H1315="CÉLULA CONSTRUTIVA"</formula>
    </cfRule>
    <cfRule type="expression" priority="9982" dxfId="4">
      <formula>$H1315="SUBETAPA"</formula>
    </cfRule>
  </conditionalFormatting>
  <conditionalFormatting sqref="G1353:H1354 J1353:L1354 L1355:L1358">
    <cfRule type="expression" priority="9981" dxfId="5">
      <formula>$H1353="CÉLULA CONSTRUTIVA"</formula>
    </cfRule>
    <cfRule type="expression" priority="9980" dxfId="4">
      <formula>$H1353="SUBETAPA"</formula>
    </cfRule>
  </conditionalFormatting>
  <conditionalFormatting sqref="G1374:H1375 J1374:L1375 L1376:L1379">
    <cfRule type="expression" priority="9979" dxfId="5">
      <formula>$H1374="CÉLULA CONSTRUTIVA"</formula>
    </cfRule>
    <cfRule type="expression" priority="9978" dxfId="4">
      <formula>$H1374="SUBETAPA"</formula>
    </cfRule>
  </conditionalFormatting>
  <conditionalFormatting sqref="G1398:H1399 J1398:L1399 L1400:L1403">
    <cfRule type="expression" priority="9977" dxfId="5">
      <formula>$H1398="CÉLULA CONSTRUTIVA"</formula>
    </cfRule>
    <cfRule type="expression" priority="9976" dxfId="4">
      <formula>$H1398="SUBETAPA"</formula>
    </cfRule>
  </conditionalFormatting>
  <conditionalFormatting sqref="G1416:H1417 J1416:L1417">
    <cfRule type="expression" priority="9975" dxfId="5">
      <formula>$H1416="CÉLULA CONSTRUTIVA"</formula>
    </cfRule>
  </conditionalFormatting>
  <conditionalFormatting sqref="G1416:H1417">
    <cfRule type="expression" priority="9974" dxfId="4">
      <formula>$H1416="SUBETAPA"</formula>
    </cfRule>
  </conditionalFormatting>
  <conditionalFormatting sqref="G1441:H1441 J1441:L1441">
    <cfRule type="expression" priority="9912" dxfId="4">
      <formula>$H1441="SUBETAPA"</formula>
    </cfRule>
    <cfRule type="expression" priority="9911" dxfId="3">
      <formula>$H1441="ETAPA"</formula>
    </cfRule>
  </conditionalFormatting>
  <conditionalFormatting sqref="G1525:H1526 G1536:H1537 H1528:H1531 H1539:H1542 J1525:K1526 J1536:K1537">
    <cfRule type="expression" priority="8622" dxfId="5">
      <formula>$H1525="CÉLULA CONSTRUTIVA"</formula>
    </cfRule>
  </conditionalFormatting>
  <conditionalFormatting sqref="G1525:H1526 G1536:H1537 H1527:H1531 H1538:H1542 J1525:M1526 J1527:K1531 J1536:M1537 J1538:K1542">
    <cfRule type="expression" priority="8624" dxfId="3">
      <formula>$H1525="ETAPA"</formula>
    </cfRule>
  </conditionalFormatting>
  <conditionalFormatting sqref="G1564:H1564 J1564:M1564">
    <cfRule type="expression" priority="9909" dxfId="4">
      <formula>$H1564="SUBETAPA"</formula>
    </cfRule>
    <cfRule type="expression" priority="9910" dxfId="5">
      <formula>$H1564="CÉLULA CONSTRUTIVA"</formula>
    </cfRule>
  </conditionalFormatting>
  <conditionalFormatting sqref="G1564:H1564">
    <cfRule type="expression" priority="9908" dxfId="3">
      <formula>$H1564="ETAPA"</formula>
    </cfRule>
  </conditionalFormatting>
  <conditionalFormatting sqref="G1569:H1570 J1570:M1570">
    <cfRule type="expression" priority="9905" dxfId="5">
      <formula>$H1569="CÉLULA CONSTRUTIVA"</formula>
    </cfRule>
  </conditionalFormatting>
  <conditionalFormatting sqref="G1569:H1570">
    <cfRule type="expression" priority="9903" dxfId="3">
      <formula>$H1569="ETAPA"</formula>
    </cfRule>
  </conditionalFormatting>
  <conditionalFormatting sqref="G1570:H1570 J1570:M1570">
    <cfRule type="expression" priority="9904" dxfId="4">
      <formula>$H1570="SUBETAPA"</formula>
    </cfRule>
  </conditionalFormatting>
  <conditionalFormatting sqref="G1575:H1576 J1576:M1576">
    <cfRule type="expression" priority="9900" dxfId="5">
      <formula>$H1575="CÉLULA CONSTRUTIVA"</formula>
    </cfRule>
  </conditionalFormatting>
  <conditionalFormatting sqref="G1575:H1576">
    <cfRule type="expression" priority="9898" dxfId="3">
      <formula>$H1575="ETAPA"</formula>
    </cfRule>
  </conditionalFormatting>
  <conditionalFormatting sqref="G1576:H1576 J1576:M1576">
    <cfRule type="expression" priority="9899" dxfId="4">
      <formula>$H1576="SUBETAPA"</formula>
    </cfRule>
  </conditionalFormatting>
  <conditionalFormatting sqref="G1581:H1582">
    <cfRule type="expression" priority="9895" dxfId="5">
      <formula>$H1581="CÉLULA CONSTRUTIVA"</formula>
    </cfRule>
    <cfRule type="expression" priority="9893" dxfId="3">
      <formula>$H1581="ETAPA"</formula>
    </cfRule>
  </conditionalFormatting>
  <conditionalFormatting sqref="G1582:H1582">
    <cfRule type="expression" priority="9894" dxfId="4">
      <formula>$H1582="SUBETAPA"</formula>
    </cfRule>
  </conditionalFormatting>
  <conditionalFormatting sqref="G1588:H1588 G1590:H1590 H1589 J1589:K1589 J1590:L1590 O1589">
    <cfRule type="expression" priority="9891" dxfId="4">
      <formula>$H1588="SUBETAPA"</formula>
    </cfRule>
  </conditionalFormatting>
  <conditionalFormatting sqref="G1588:H1588 G1590:H1590">
    <cfRule type="expression" priority="9892" dxfId="3">
      <formula>$H1588="ETAPA"</formula>
    </cfRule>
  </conditionalFormatting>
  <conditionalFormatting sqref="G1588:H1588">
    <cfRule type="expression" priority="9890" dxfId="5">
      <formula>$H1588="CÉLULA CONSTRUTIVA"</formula>
    </cfRule>
  </conditionalFormatting>
  <conditionalFormatting sqref="G1590:H1591">
    <cfRule type="expression" priority="9888" dxfId="5">
      <formula>$H1590="CÉLULA CONSTRUTIVA"</formula>
    </cfRule>
  </conditionalFormatting>
  <conditionalFormatting sqref="G1591:H1591">
    <cfRule type="expression" priority="9887" dxfId="4">
      <formula>$H1591="SUBETAPA"</formula>
    </cfRule>
    <cfRule type="expression" priority="9886" dxfId="3">
      <formula>$H1591="ETAPA"</formula>
    </cfRule>
  </conditionalFormatting>
  <conditionalFormatting sqref="G1597:H1597 G1599:H1599 H1598 J1598:K1598 J1599:L1599 O1598">
    <cfRule type="expression" priority="9884" dxfId="4">
      <formula>$H1597="SUBETAPA"</formula>
    </cfRule>
  </conditionalFormatting>
  <conditionalFormatting sqref="G1597:H1597 G1599:H1599">
    <cfRule type="expression" priority="9885" dxfId="3">
      <formula>$H1597="ETAPA"</formula>
    </cfRule>
  </conditionalFormatting>
  <conditionalFormatting sqref="G1597:H1597">
    <cfRule type="expression" priority="9883" dxfId="5">
      <formula>$H1597="CÉLULA CONSTRUTIVA"</formula>
    </cfRule>
  </conditionalFormatting>
  <conditionalFormatting sqref="G1599:H1600">
    <cfRule type="expression" priority="9881" dxfId="5">
      <formula>$H1599="CÉLULA CONSTRUTIVA"</formula>
    </cfRule>
  </conditionalFormatting>
  <conditionalFormatting sqref="G1600:H1600">
    <cfRule type="expression" priority="9880" dxfId="4">
      <formula>$H1600="SUBETAPA"</formula>
    </cfRule>
    <cfRule type="expression" priority="9879" dxfId="3">
      <formula>$H1600="ETAPA"</formula>
    </cfRule>
  </conditionalFormatting>
  <conditionalFormatting sqref="G1606:H1606 G1608:H1608">
    <cfRule type="expression" priority="9878" dxfId="3">
      <formula>$H1606="ETAPA"</formula>
    </cfRule>
  </conditionalFormatting>
  <conditionalFormatting sqref="G1606:H1606 G1608:H1608 H1607 J1607:K1608 O1607">
    <cfRule type="expression" priority="9877" dxfId="4">
      <formula>$H1606="SUBETAPA"</formula>
    </cfRule>
  </conditionalFormatting>
  <conditionalFormatting sqref="G1606:H1606">
    <cfRule type="expression" priority="9876" dxfId="5">
      <formula>$H1606="CÉLULA CONSTRUTIVA"</formula>
    </cfRule>
  </conditionalFormatting>
  <conditionalFormatting sqref="G1608:H1609">
    <cfRule type="expression" priority="9874" dxfId="5">
      <formula>$H1608="CÉLULA CONSTRUTIVA"</formula>
    </cfRule>
  </conditionalFormatting>
  <conditionalFormatting sqref="G1609:H1609">
    <cfRule type="expression" priority="9872" dxfId="3">
      <formula>$H1609="ETAPA"</formula>
    </cfRule>
    <cfRule type="expression" priority="9873" dxfId="4">
      <formula>$H1609="SUBETAPA"</formula>
    </cfRule>
  </conditionalFormatting>
  <conditionalFormatting sqref="G1615:H1615 G1617:H1617">
    <cfRule type="expression" priority="9871" dxfId="3">
      <formula>$H1615="ETAPA"</formula>
    </cfRule>
  </conditionalFormatting>
  <conditionalFormatting sqref="G1615:H1615 G1617:H1617 H1616 J1616:K1617 O1616">
    <cfRule type="expression" priority="9870" dxfId="4">
      <formula>$H1615="SUBETAPA"</formula>
    </cfRule>
  </conditionalFormatting>
  <conditionalFormatting sqref="G1615:H1615">
    <cfRule type="expression" priority="9869" dxfId="5">
      <formula>$H1615="CÉLULA CONSTRUTIVA"</formula>
    </cfRule>
  </conditionalFormatting>
  <conditionalFormatting sqref="G1617:H1618">
    <cfRule type="expression" priority="9867" dxfId="5">
      <formula>$H1617="CÉLULA CONSTRUTIVA"</formula>
    </cfRule>
  </conditionalFormatting>
  <conditionalFormatting sqref="G1618:H1618">
    <cfRule type="expression" priority="9866" dxfId="4">
      <formula>$H1618="SUBETAPA"</formula>
    </cfRule>
    <cfRule type="expression" priority="9865" dxfId="3">
      <formula>$H1618="ETAPA"</formula>
    </cfRule>
  </conditionalFormatting>
  <conditionalFormatting sqref="G1624:H1624 J1624:K1624">
    <cfRule type="expression" priority="9864" dxfId="5">
      <formula>$H1624="CÉLULA CONSTRUTIVA"</formula>
    </cfRule>
  </conditionalFormatting>
  <conditionalFormatting sqref="G1624:H1624">
    <cfRule type="expression" priority="9863" dxfId="3">
      <formula>$H1624="ETAPA"</formula>
    </cfRule>
  </conditionalFormatting>
  <conditionalFormatting sqref="G1634:H1634 J1634:L1634">
    <cfRule type="expression" priority="9861" dxfId="5">
      <formula>$H1634="CÉLULA CONSTRUTIVA"</formula>
    </cfRule>
    <cfRule type="expression" priority="9860" dxfId="4">
      <formula>$H1634="SUBETAPA"</formula>
    </cfRule>
    <cfRule type="expression" priority="9862" dxfId="3">
      <formula>$H1634="ETAPA"</formula>
    </cfRule>
  </conditionalFormatting>
  <conditionalFormatting sqref="G1643:H1643 J1643:L1643">
    <cfRule type="expression" priority="9858" dxfId="5">
      <formula>$H1643="CÉLULA CONSTRUTIVA"</formula>
    </cfRule>
    <cfRule type="expression" priority="9857" dxfId="4">
      <formula>$H1643="SUBETAPA"</formula>
    </cfRule>
    <cfRule type="expression" priority="9859" dxfId="3">
      <formula>$H1643="ETAPA"</formula>
    </cfRule>
  </conditionalFormatting>
  <conditionalFormatting sqref="G1652:H1652 J1652:L1652">
    <cfRule type="expression" priority="9856" dxfId="3">
      <formula>$H1652="ETAPA"</formula>
    </cfRule>
    <cfRule type="expression" priority="9855" dxfId="5">
      <formula>$H1652="CÉLULA CONSTRUTIVA"</formula>
    </cfRule>
    <cfRule type="expression" priority="9854" dxfId="4">
      <formula>$H1652="SUBETAPA"</formula>
    </cfRule>
  </conditionalFormatting>
  <conditionalFormatting sqref="G1661:H1661 J1661:L1661">
    <cfRule type="expression" priority="9853" dxfId="3">
      <formula>$H1661="ETAPA"</formula>
    </cfRule>
    <cfRule type="expression" priority="9851" dxfId="4">
      <formula>$H1661="SUBETAPA"</formula>
    </cfRule>
    <cfRule type="expression" priority="9852" dxfId="5">
      <formula>$H1661="CÉLULA CONSTRUTIVA"</formula>
    </cfRule>
  </conditionalFormatting>
  <conditionalFormatting sqref="G1670:H1670 J1670:L1670">
    <cfRule type="expression" priority="9848" dxfId="4">
      <formula>$H1670="SUBETAPA"</formula>
    </cfRule>
    <cfRule type="expression" priority="9849" dxfId="5">
      <formula>$H1670="CÉLULA CONSTRUTIVA"</formula>
    </cfRule>
    <cfRule type="expression" priority="9850" dxfId="3">
      <formula>$H1670="ETAPA"</formula>
    </cfRule>
  </conditionalFormatting>
  <conditionalFormatting sqref="G1679:H1679 J1679:L1679">
    <cfRule type="expression" priority="9846" dxfId="5">
      <formula>$H1679="CÉLULA CONSTRUTIVA"</formula>
    </cfRule>
    <cfRule type="expression" priority="9845" dxfId="4">
      <formula>$H1679="SUBETAPA"</formula>
    </cfRule>
    <cfRule type="expression" priority="9847" dxfId="3">
      <formula>$H1679="ETAPA"</formula>
    </cfRule>
  </conditionalFormatting>
  <conditionalFormatting sqref="G1690:H1690 J1690:L1690">
    <cfRule type="expression" priority="9843" dxfId="5">
      <formula>$H1690="CÉLULA CONSTRUTIVA"</formula>
    </cfRule>
    <cfRule type="expression" priority="9842" dxfId="4">
      <formula>$H1690="SUBETAPA"</formula>
    </cfRule>
    <cfRule type="expression" priority="9844" dxfId="3">
      <formula>$H1690="ETAPA"</formula>
    </cfRule>
  </conditionalFormatting>
  <conditionalFormatting sqref="G1701:H1701 J1701:L1701">
    <cfRule type="expression" priority="9841" dxfId="3">
      <formula>$H1701="ETAPA"</formula>
    </cfRule>
    <cfRule type="expression" priority="9840" dxfId="5">
      <formula>$H1701="CÉLULA CONSTRUTIVA"</formula>
    </cfRule>
  </conditionalFormatting>
  <conditionalFormatting sqref="G1701:H1701">
    <cfRule type="expression" priority="9839" dxfId="4">
      <formula>$H1701="SUBETAPA"</formula>
    </cfRule>
  </conditionalFormatting>
  <conditionalFormatting sqref="G1710:H1710 J1710:L1710">
    <cfRule type="expression" priority="9836" dxfId="4">
      <formula>$H1710="SUBETAPA"</formula>
    </cfRule>
    <cfRule type="expression" priority="9838" dxfId="3">
      <formula>$H1710="ETAPA"</formula>
    </cfRule>
    <cfRule type="expression" priority="9837" dxfId="5">
      <formula>$H1710="CÉLULA CONSTRUTIVA"</formula>
    </cfRule>
  </conditionalFormatting>
  <conditionalFormatting sqref="G1719:H1719 J1719:L1719">
    <cfRule type="expression" priority="9835" dxfId="3">
      <formula>$H1719="ETAPA"</formula>
    </cfRule>
    <cfRule type="expression" priority="9833" dxfId="4">
      <formula>$H1719="SUBETAPA"</formula>
    </cfRule>
    <cfRule type="expression" priority="9834" dxfId="5">
      <formula>$H1719="CÉLULA CONSTRUTIVA"</formula>
    </cfRule>
  </conditionalFormatting>
  <conditionalFormatting sqref="G1728:H1728 J1728:L1728">
    <cfRule type="expression" priority="9832" dxfId="3">
      <formula>$H1728="ETAPA"</formula>
    </cfRule>
    <cfRule type="expression" priority="9830" dxfId="4">
      <formula>$H1728="SUBETAPA"</formula>
    </cfRule>
    <cfRule type="expression" priority="9831" dxfId="5">
      <formula>$H1728="CÉLULA CONSTRUTIVA"</formula>
    </cfRule>
  </conditionalFormatting>
  <conditionalFormatting sqref="G1737:H1737 J1737:L1737">
    <cfRule type="expression" priority="9828" dxfId="5">
      <formula>$H1737="CÉLULA CONSTRUTIVA"</formula>
    </cfRule>
    <cfRule type="expression" priority="9829" dxfId="3">
      <formula>$H1737="ETAPA"</formula>
    </cfRule>
    <cfRule type="expression" priority="9827" dxfId="4">
      <formula>$H1737="SUBETAPA"</formula>
    </cfRule>
  </conditionalFormatting>
  <conditionalFormatting sqref="G1748:H1748 J1748:L1748">
    <cfRule type="expression" priority="9826" dxfId="3">
      <formula>$H1748="ETAPA"</formula>
    </cfRule>
    <cfRule type="expression" priority="9825" dxfId="5">
      <formula>$H1748="CÉLULA CONSTRUTIVA"</formula>
    </cfRule>
  </conditionalFormatting>
  <conditionalFormatting sqref="G1748:H1748">
    <cfRule type="expression" priority="9824" dxfId="4">
      <formula>$H1748="SUBETAPA"</formula>
    </cfRule>
  </conditionalFormatting>
  <conditionalFormatting sqref="G1758:H1758 J1758:L1758">
    <cfRule type="expression" priority="9822" dxfId="5">
      <formula>$H1758="CÉLULA CONSTRUTIVA"</formula>
    </cfRule>
    <cfRule type="expression" priority="9823" dxfId="3">
      <formula>$H1758="ETAPA"</formula>
    </cfRule>
  </conditionalFormatting>
  <conditionalFormatting sqref="G1758:H1758">
    <cfRule type="expression" priority="9821" dxfId="4">
      <formula>$H1758="SUBETAPA"</formula>
    </cfRule>
  </conditionalFormatting>
  <conditionalFormatting sqref="G1760:H1762 G1764:H1764 G1771:H1771 G1776:H1776 G1781:H1781 G1786:H1786 G1791:H1791 G1798:H1798 G1805:H1805 G1808:H1812 G1814:H1814 G1821:H1821 G1828:H1828 G1835:H1835 G1842:H1842 G1847:H1847 G1852:H1852 G1855:H1857 G1859:H1859 G1861 G1863 G1865:H1866 G1868:H1870 G1872:H1872 G1873:G1874 G1875:H1878 G1880:H1880 H1763 H1765 H1772 H1777 H1782 H1787 H1792 H1797 H1799 H1804 H1806 H1813 H1815 H1820 H1822 H1827 H1829 H1834 H1836 H1841 H1843 H1848 H1851 H1854 H1858 H1860 H1862 H1864 H1871 H1873 H1879 H1881 J1763:K1763 J1764:L1764 J1765:K1765 J1771:L1771 J1772:K1772 J1776:L1776 J1777:K1777 J1781:L1781 J1782:K1782 J1786:L1786 J1787:K1787 J1791:L1791 J1792:K1792 J1797:K1797 J1798:L1798 J1799:K1799 J1804:K1804 J1805:L1805 J1806:K1806 J1808:L1812 J1813:K1813 J1814:L1814 J1815:K1815 J1820:K1820 J1821:L1821 J1822:K1822 J1827:K1827 J1828:L1828 J1829:K1829 J1834:K1834 J1835:L1835 J1836:K1836 J1841:K1841 J1842:L1842 J1843:K1843 J1847:L1847 J1848:K1848 J1851:K1851 J1852:L1852 J1854:K1854 J1855:M1857 J1858:K1858 J1859:L1859 J1860:K1864 J1865:L1865 J1866:K1866 J1868:M1870 J1871:K1871 J1872:L1872 J1873:K1873 J1875:M1878 J1879:K1879 J1880:L1880 J1881:K1881">
    <cfRule type="expression" priority="9820" dxfId="3">
      <formula>$H1760="ETAPA"</formula>
    </cfRule>
  </conditionalFormatting>
  <conditionalFormatting sqref="G1760:H1762 G1764:H1764 G1767:H1771 G1773:H1776 G1778:H1781 G1783:H1786 G1788:H1791 G1798:H1798 G1805:H1805 G1808:H1812 G1814:H1814 G1821:H1821 G1828:H1828 G1835:H1835 G1842:H1842 G1844:H1847 G1852:H1853 G1855:H1857 G1859:H1859 G1861 G1863 G1865:H1866 G1868:H1870 G1872:H1872 G1873:G1874 G1875:H1878 G1880:H1880 H1765 H1772 H1777 H1782 H1787 H1792 H1799 H1806 H1815 H1822 H1829 H1836 H1843 H1848 H1860 H1862 H1873 J1760:K1762 J1764:K1765 J1771:K1772 J1776:K1777 J1781:K1782 J1786:K1787 J1791:K1792 J1798:K1799 J1805:K1806 J1808:K1812 J1814:K1815 J1821:K1822 J1828:K1829 J1835:K1836 J1842:K1843 J1847:K1848 J1859:K1863 J1865:K1866 J1868:K1870 J1872:K1873 J1875:K1878 J1880:K1881">
    <cfRule type="expression" priority="9785" dxfId="5">
      <formula>$H1760="CÉLULA CONSTRUTIVA"</formula>
    </cfRule>
  </conditionalFormatting>
  <conditionalFormatting sqref="G1760:H1762 G1764:H1764 G1767:H1771 G1773:H1776 G1778:H1781 G1783:H1786 G1788:H1791 G1798:H1798 G1805:H1805 G1808:H1812 G1814:H1814 G1821:H1821 G1828:H1828 G1835:H1835 G1842:H1842 G1844:H1847 G1852:H1853 G1855:H1857 G1859:H1859 G1861 G1863 G1865:H1866 G1868:H1870 G1880:H1880 H1772 H1777 H1782 H1787 H1792 H1799 H1815 H1822 H1829 H1836 H1843 H1848 J1760:K1762 J1764:K1765 J1771:K1772 J1776:K1777 J1781:K1782 J1786:K1787 J1791:K1792 J1798:K1799 J1805:K1806 J1808:K1812 J1814:K1815 J1821:K1822 J1828:K1829 J1835:K1836 J1842:K1843 J1847:K1848 J1859:K1863 J1865:K1866 J1868:K1870 J1872:K1873 J1875:K1878 J1880:K1881">
    <cfRule type="expression" priority="9784" dxfId="4">
      <formula>$H1760="SUBETAPA"</formula>
    </cfRule>
  </conditionalFormatting>
  <conditionalFormatting sqref="G83:K83 G85:K87 G88:I88 G89:K89 G90:I90 G91:K92">
    <cfRule type="expression" priority="9629" dxfId="4">
      <formula>$H83="SUBETAPA"</formula>
    </cfRule>
  </conditionalFormatting>
  <conditionalFormatting sqref="G80:G82 G88:I88 G89:K89 G90:I90 G91:K92 M94:O94 M95:N95">
    <cfRule type="expression" priority="9628" dxfId="5">
      <formula>$H80="CÉLULA CONSTRUTIVA"</formula>
    </cfRule>
  </conditionalFormatting>
  <conditionalFormatting sqref="G157:I157">
    <cfRule type="expression" priority="9783" dxfId="4">
      <formula>$H157="SUBETAPA"</formula>
    </cfRule>
  </conditionalFormatting>
  <conditionalFormatting sqref="G167:I167">
    <cfRule type="expression" priority="9781" dxfId="4">
      <formula>$H167="SUBETAPA"</formula>
    </cfRule>
  </conditionalFormatting>
  <conditionalFormatting sqref="G303:I303 G304:K304 K303 N303:N304">
    <cfRule type="expression" priority="9779" dxfId="3">
      <formula>$H303="ETAPA"</formula>
    </cfRule>
  </conditionalFormatting>
  <conditionalFormatting sqref="G317:I317 K317:L317 N317">
    <cfRule type="expression" priority="9777" dxfId="3">
      <formula>$H317="ETAPA"</formula>
    </cfRule>
  </conditionalFormatting>
  <conditionalFormatting sqref="G321:I321 K321:L321 N321">
    <cfRule type="expression" priority="9774" dxfId="3">
      <formula>$H321="ETAPA"</formula>
    </cfRule>
  </conditionalFormatting>
  <conditionalFormatting sqref="G325:I325 K325:L325 N325">
    <cfRule type="expression" priority="9771" dxfId="3">
      <formula>$H325="ETAPA"</formula>
    </cfRule>
  </conditionalFormatting>
  <conditionalFormatting sqref="G331:I331 K331:L331 N331">
    <cfRule type="expression" priority="9768" dxfId="3">
      <formula>$H331="ETAPA"</formula>
    </cfRule>
  </conditionalFormatting>
  <conditionalFormatting sqref="G335:I335 K335:L335 N335">
    <cfRule type="expression" priority="9765" dxfId="3">
      <formula>$H335="ETAPA"</formula>
    </cfRule>
  </conditionalFormatting>
  <conditionalFormatting sqref="G339:I339 K339:L339 N339">
    <cfRule type="expression" priority="9762" dxfId="3">
      <formula>$H339="ETAPA"</formula>
    </cfRule>
  </conditionalFormatting>
  <conditionalFormatting sqref="G343:I343 K343:L343 N343">
    <cfRule type="expression" priority="9759" dxfId="3">
      <formula>$H343="ETAPA"</formula>
    </cfRule>
  </conditionalFormatting>
  <conditionalFormatting sqref="G20:J20">
    <cfRule type="expression" priority="8438" dxfId="4">
      <formula>$H20="SUBETAPA"</formula>
    </cfRule>
  </conditionalFormatting>
  <conditionalFormatting sqref="G23:J23">
    <cfRule type="expression" priority="8424" dxfId="3">
      <formula>$H23="ETAPA"</formula>
    </cfRule>
    <cfRule type="expression" priority="8425" dxfId="4">
      <formula>$H23="SUBETAPA"</formula>
    </cfRule>
  </conditionalFormatting>
  <conditionalFormatting sqref="G65:J65 G571:G579 G582:G588 G591:G597 G600:G606 G609:G615 G618:G624 G627:G633 G636:G642 G645:G651 G654:G662 G665:G673 G676:G682 G685:G691 G694:G702">
    <cfRule type="expression" priority="9737" dxfId="3">
      <formula>$H65="ETAPA"</formula>
    </cfRule>
    <cfRule type="expression" priority="9738" dxfId="5">
      <formula>$H65="CÉLULA CONSTRUTIVA"</formula>
    </cfRule>
  </conditionalFormatting>
  <conditionalFormatting sqref="G145:J147">
    <cfRule type="expression" priority="9736" dxfId="4">
      <formula>$H145="SUBETAPA"</formula>
    </cfRule>
    <cfRule type="expression" priority="9735" dxfId="3">
      <formula>$H145="ETAPA"</formula>
    </cfRule>
  </conditionalFormatting>
  <conditionalFormatting sqref="G154:J156">
    <cfRule type="expression" priority="9733" dxfId="4">
      <formula>$H154="SUBETAPA"</formula>
    </cfRule>
  </conditionalFormatting>
  <conditionalFormatting sqref="G157:J157">
    <cfRule type="expression" priority="7933" dxfId="3">
      <formula>$H157="ETAPA"</formula>
    </cfRule>
  </conditionalFormatting>
  <conditionalFormatting sqref="G164:J166">
    <cfRule type="expression" priority="9730" dxfId="4">
      <formula>$H164="SUBETAPA"</formula>
    </cfRule>
  </conditionalFormatting>
  <conditionalFormatting sqref="G167:J167">
    <cfRule type="expression" priority="7930" dxfId="3">
      <formula>$H167="ETAPA"</formula>
    </cfRule>
  </conditionalFormatting>
  <conditionalFormatting sqref="G174:J176">
    <cfRule type="expression" priority="9727" dxfId="4">
      <formula>$H174="SUBETAPA"</formula>
    </cfRule>
  </conditionalFormatting>
  <conditionalFormatting sqref="G179:J182 L177:M177">
    <cfRule type="expression" priority="9725" dxfId="5">
      <formula>$H177="CÉLULA CONSTRUTIVA"</formula>
    </cfRule>
  </conditionalFormatting>
  <conditionalFormatting sqref="G179:J182">
    <cfRule type="expression" priority="9724" dxfId="3">
      <formula>$H179="ETAPA"</formula>
    </cfRule>
    <cfRule type="expression" priority="6425" dxfId="4">
      <formula>$H179="SUBETAPA"</formula>
    </cfRule>
  </conditionalFormatting>
  <conditionalFormatting sqref="G185:J185 N185">
    <cfRule type="expression" priority="9723" dxfId="4">
      <formula>$H185="SUBETAPA"</formula>
    </cfRule>
  </conditionalFormatting>
  <conditionalFormatting sqref="G188:J191 L186:M186">
    <cfRule type="expression" priority="9721" dxfId="5">
      <formula>$H186="CÉLULA CONSTRUTIVA"</formula>
    </cfRule>
  </conditionalFormatting>
  <conditionalFormatting sqref="G188:J191">
    <cfRule type="expression" priority="9720" dxfId="3">
      <formula>$H188="ETAPA"</formula>
    </cfRule>
    <cfRule type="expression" priority="6403" dxfId="4">
      <formula>$H188="SUBETAPA"</formula>
    </cfRule>
  </conditionalFormatting>
  <conditionalFormatting sqref="G194:J194 N194">
    <cfRule type="expression" priority="9719" dxfId="4">
      <formula>$H194="SUBETAPA"</formula>
    </cfRule>
  </conditionalFormatting>
  <conditionalFormatting sqref="G197:J200 L195:M195">
    <cfRule type="expression" priority="9717" dxfId="5">
      <formula>$H195="CÉLULA CONSTRUTIVA"</formula>
    </cfRule>
  </conditionalFormatting>
  <conditionalFormatting sqref="G197:J200">
    <cfRule type="expression" priority="6381" dxfId="4">
      <formula>$H197="SUBETAPA"</formula>
    </cfRule>
    <cfRule type="expression" priority="9716" dxfId="3">
      <formula>$H197="ETAPA"</formula>
    </cfRule>
  </conditionalFormatting>
  <conditionalFormatting sqref="G203:J203">
    <cfRule type="expression" priority="9715" dxfId="4">
      <formula>$H203="SUBETAPA"</formula>
    </cfRule>
  </conditionalFormatting>
  <conditionalFormatting sqref="G206:J209 L204:M204">
    <cfRule type="expression" priority="9712" dxfId="5">
      <formula>$H204="CÉLULA CONSTRUTIVA"</formula>
    </cfRule>
  </conditionalFormatting>
  <conditionalFormatting sqref="G206:J209">
    <cfRule type="expression" priority="9711" dxfId="3">
      <formula>$H206="ETAPA"</formula>
    </cfRule>
  </conditionalFormatting>
  <conditionalFormatting sqref="G215:J218 L213:M213">
    <cfRule type="expression" priority="9708" dxfId="5">
      <formula>$H213="CÉLULA CONSTRUTIVA"</formula>
    </cfRule>
  </conditionalFormatting>
  <conditionalFormatting sqref="G215:J218">
    <cfRule type="expression" priority="9707" dxfId="3">
      <formula>$H215="ETAPA"</formula>
    </cfRule>
    <cfRule type="expression" priority="6338" dxfId="4">
      <formula>$H215="SUBETAPA"</formula>
    </cfRule>
  </conditionalFormatting>
  <conditionalFormatting sqref="G221:J221">
    <cfRule type="expression" priority="9706" dxfId="4">
      <formula>$H221="SUBETAPA"</formula>
    </cfRule>
  </conditionalFormatting>
  <conditionalFormatting sqref="G228:J230">
    <cfRule type="expression" priority="9703" dxfId="4">
      <formula>$H228="SUBETAPA"</formula>
    </cfRule>
  </conditionalFormatting>
  <conditionalFormatting sqref="G237:J239">
    <cfRule type="expression" priority="9700" dxfId="4">
      <formula>$H237="SUBETAPA"</formula>
    </cfRule>
  </conditionalFormatting>
  <conditionalFormatting sqref="G246:J248">
    <cfRule type="expression" priority="9697" dxfId="4">
      <formula>$H246="SUBETAPA"</formula>
    </cfRule>
  </conditionalFormatting>
  <conditionalFormatting sqref="G255:J257">
    <cfRule type="expression" priority="9694" dxfId="4">
      <formula>$H255="SUBETAPA"</formula>
    </cfRule>
  </conditionalFormatting>
  <conditionalFormatting sqref="G264:J266">
    <cfRule type="expression" priority="9691" dxfId="4">
      <formula>$H264="SUBETAPA"</formula>
    </cfRule>
  </conditionalFormatting>
  <conditionalFormatting sqref="G349:J349 G350:I350 N349:N350">
    <cfRule type="expression" priority="9688" dxfId="3">
      <formula>$H349="ETAPA"</formula>
    </cfRule>
  </conditionalFormatting>
  <conditionalFormatting sqref="G351:J351 G352:I352 N351:N352">
    <cfRule type="expression" priority="9685" dxfId="3">
      <formula>$H351="ETAPA"</formula>
    </cfRule>
  </conditionalFormatting>
  <conditionalFormatting sqref="G353:J353 G354:I354 N353:N354">
    <cfRule type="expression" priority="9682" dxfId="3">
      <formula>$H353="ETAPA"</formula>
    </cfRule>
  </conditionalFormatting>
  <conditionalFormatting sqref="G355:J355 G356:I356 N355:N356">
    <cfRule type="expression" priority="9679" dxfId="3">
      <formula>$H355="ETAPA"</formula>
    </cfRule>
  </conditionalFormatting>
  <conditionalFormatting sqref="G357:J357 G358:I358 N357:N358">
    <cfRule type="expression" priority="9676" dxfId="3">
      <formula>$H357="ETAPA"</formula>
    </cfRule>
  </conditionalFormatting>
  <conditionalFormatting sqref="G359:J359 G360:I360 N359:N360">
    <cfRule type="expression" priority="9673" dxfId="3">
      <formula>$H359="ETAPA"</formula>
    </cfRule>
  </conditionalFormatting>
  <conditionalFormatting sqref="G359:J378">
    <cfRule type="expression" priority="7857" dxfId="4">
      <formula>$H359="SUBETAPA"</formula>
    </cfRule>
  </conditionalFormatting>
  <conditionalFormatting sqref="G361:J361 G362:I362 N361:N362">
    <cfRule type="expression" priority="9670" dxfId="3">
      <formula>$H361="ETAPA"</formula>
    </cfRule>
  </conditionalFormatting>
  <conditionalFormatting sqref="G363:J363 G364:I364 N363:N364">
    <cfRule type="expression" priority="9667" dxfId="3">
      <formula>$H363="ETAPA"</formula>
    </cfRule>
  </conditionalFormatting>
  <conditionalFormatting sqref="G365:J365 G366:I366 N365:N366">
    <cfRule type="expression" priority="9664" dxfId="3">
      <formula>$H365="ETAPA"</formula>
    </cfRule>
  </conditionalFormatting>
  <conditionalFormatting sqref="G367:J367 G368:I368 N367:N368">
    <cfRule type="expression" priority="9661" dxfId="3">
      <formula>$H367="ETAPA"</formula>
    </cfRule>
  </conditionalFormatting>
  <conditionalFormatting sqref="G369:J369 G370:I370 N369:N370">
    <cfRule type="expression" priority="9658" dxfId="3">
      <formula>$H369="ETAPA"</formula>
    </cfRule>
  </conditionalFormatting>
  <conditionalFormatting sqref="G371:J371 G372:I372 N371:N372">
    <cfRule type="expression" priority="9655" dxfId="3">
      <formula>$H371="ETAPA"</formula>
    </cfRule>
  </conditionalFormatting>
  <conditionalFormatting sqref="G373:J373 G374:I374 N373:N374">
    <cfRule type="expression" priority="9652" dxfId="3">
      <formula>$H373="ETAPA"</formula>
    </cfRule>
  </conditionalFormatting>
  <conditionalFormatting sqref="G375:J375 G376:I376 N375:N376">
    <cfRule type="expression" priority="9649" dxfId="3">
      <formula>$H375="ETAPA"</formula>
    </cfRule>
  </conditionalFormatting>
  <conditionalFormatting sqref="G377:J377 G378:I378 N377:N378">
    <cfRule type="expression" priority="9646" dxfId="3">
      <formula>$H377="ETAPA"</formula>
    </cfRule>
  </conditionalFormatting>
  <conditionalFormatting sqref="G568:J568">
    <cfRule type="expression" priority="9642" dxfId="3">
      <formula>$H568="ETAPA"</formula>
    </cfRule>
    <cfRule type="expression" priority="9643" dxfId="5">
      <formula>$H568="CÉLULA CONSTRUTIVA"</formula>
    </cfRule>
  </conditionalFormatting>
  <conditionalFormatting sqref="G31:K31 G32:I32 K32">
    <cfRule type="expression" priority="9639" dxfId="5">
      <formula>$H31="CÉLULA CONSTRUTIVA"</formula>
    </cfRule>
  </conditionalFormatting>
  <conditionalFormatting sqref="G31:K31 H32:K32">
    <cfRule type="expression" priority="9640" dxfId="3">
      <formula>$H31="ETAPA"</formula>
    </cfRule>
  </conditionalFormatting>
  <conditionalFormatting sqref="G34:K34">
    <cfRule type="expression" priority="9638" dxfId="3">
      <formula>$H34="ETAPA"</formula>
    </cfRule>
  </conditionalFormatting>
  <conditionalFormatting sqref="G39:K39 G40:I40 K40">
    <cfRule type="expression" priority="9636" dxfId="5">
      <formula>$H39="CÉLULA CONSTRUTIVA"</formula>
    </cfRule>
  </conditionalFormatting>
  <conditionalFormatting sqref="G39:K39 H40:I40 K40">
    <cfRule type="expression" priority="9637" dxfId="3">
      <formula>$H39="ETAPA"</formula>
    </cfRule>
  </conditionalFormatting>
  <conditionalFormatting sqref="G44:K44">
    <cfRule type="expression" priority="9635" dxfId="3">
      <formula>$H44="ETAPA"</formula>
    </cfRule>
  </conditionalFormatting>
  <conditionalFormatting sqref="G49:K49 G50:I50 K50">
    <cfRule type="expression" priority="9633" dxfId="5">
      <formula>$H49="CÉLULA CONSTRUTIVA"</formula>
    </cfRule>
  </conditionalFormatting>
  <conditionalFormatting sqref="G49:K49 H50:K50">
    <cfRule type="expression" priority="9634" dxfId="3">
      <formula>$H49="ETAPA"</formula>
    </cfRule>
  </conditionalFormatting>
  <conditionalFormatting sqref="G52:K52">
    <cfRule type="expression" priority="9632" dxfId="5">
      <formula>$H52="CÉLULA CONSTRUTIVA"</formula>
    </cfRule>
  </conditionalFormatting>
  <conditionalFormatting sqref="G56:K56">
    <cfRule type="expression" priority="9631" dxfId="5">
      <formula>$H56="CÉLULA CONSTRUTIVA"</formula>
    </cfRule>
  </conditionalFormatting>
  <conditionalFormatting sqref="G83:K87 N80:N93">
    <cfRule type="expression" priority="9627" dxfId="5">
      <formula>$H80="CÉLULA CONSTRUTIVA"</formula>
    </cfRule>
  </conditionalFormatting>
  <conditionalFormatting sqref="G84:K84">
    <cfRule type="expression" priority="9626" dxfId="4">
      <formula>$H84="SUBETAPA"</formula>
    </cfRule>
  </conditionalFormatting>
  <conditionalFormatting sqref="G97:K98">
    <cfRule type="expression" priority="9625" dxfId="4">
      <formula>$H97="SUBETAPA"</formula>
    </cfRule>
  </conditionalFormatting>
  <conditionalFormatting sqref="G104:K104">
    <cfRule type="expression" priority="9624" dxfId="4">
      <formula>$H104="SUBETAPA"</formula>
    </cfRule>
  </conditionalFormatting>
  <conditionalFormatting sqref="G106:K106">
    <cfRule type="expression" priority="9623" dxfId="4">
      <formula>$H106="SUBETAPA"</formula>
    </cfRule>
  </conditionalFormatting>
  <conditionalFormatting sqref="G108:K108">
    <cfRule type="expression" priority="9622" dxfId="4">
      <formula>$H108="SUBETAPA"</formula>
    </cfRule>
  </conditionalFormatting>
  <conditionalFormatting sqref="G110:K110">
    <cfRule type="expression" priority="9621" dxfId="4">
      <formula>$H110="SUBETAPA"</formula>
    </cfRule>
  </conditionalFormatting>
  <conditionalFormatting sqref="G112:K112">
    <cfRule type="expression" priority="9620" dxfId="4">
      <formula>$H112="SUBETAPA"</formula>
    </cfRule>
  </conditionalFormatting>
  <conditionalFormatting sqref="G114:K116">
    <cfRule type="expression" priority="9618" dxfId="4">
      <formula>$H114="SUBETAPA"</formula>
    </cfRule>
  </conditionalFormatting>
  <conditionalFormatting sqref="G118:K118">
    <cfRule type="expression" priority="9617" dxfId="4">
      <formula>$H118="SUBETAPA"</formula>
    </cfRule>
  </conditionalFormatting>
  <conditionalFormatting sqref="G120:K120">
    <cfRule type="expression" priority="9616" dxfId="4">
      <formula>$H120="SUBETAPA"</formula>
    </cfRule>
  </conditionalFormatting>
  <conditionalFormatting sqref="G122:K122">
    <cfRule type="expression" priority="9615" dxfId="4">
      <formula>$H122="SUBETAPA"</formula>
    </cfRule>
  </conditionalFormatting>
  <conditionalFormatting sqref="G125:K125">
    <cfRule type="expression" priority="9614" dxfId="4">
      <formula>$H125="SUBETAPA"</formula>
    </cfRule>
  </conditionalFormatting>
  <conditionalFormatting sqref="G128:K128">
    <cfRule type="expression" priority="9613" dxfId="4">
      <formula>$H128="SUBETAPA"</formula>
    </cfRule>
  </conditionalFormatting>
  <conditionalFormatting sqref="G131:K131">
    <cfRule type="expression" priority="9612" dxfId="4">
      <formula>$H131="SUBETAPA"</formula>
    </cfRule>
  </conditionalFormatting>
  <conditionalFormatting sqref="G133:K133">
    <cfRule type="expression" priority="9611" dxfId="4">
      <formula>$H133="SUBETAPA"</formula>
    </cfRule>
  </conditionalFormatting>
  <conditionalFormatting sqref="G136:K136">
    <cfRule type="expression" priority="9610" dxfId="4">
      <formula>$H136="SUBETAPA"</formula>
    </cfRule>
  </conditionalFormatting>
  <conditionalFormatting sqref="G148:K149 G150:J153 K150:K156 L148:M148 N148:N153">
    <cfRule type="expression" priority="9734" dxfId="5">
      <formula>$H148="CÉLULA CONSTRUTIVA"</formula>
    </cfRule>
  </conditionalFormatting>
  <conditionalFormatting sqref="G148:K149 G150:J153 K150:K156">
    <cfRule type="expression" priority="6497" dxfId="4">
      <formula>$H148="SUBETAPA"</formula>
    </cfRule>
  </conditionalFormatting>
  <conditionalFormatting sqref="G149:K156">
    <cfRule type="expression" priority="9609" dxfId="3">
      <formula>$H149="ETAPA"</formula>
    </cfRule>
  </conditionalFormatting>
  <conditionalFormatting sqref="G158:K159 G160:J163 K160:K166 L158:M158 N158:N163">
    <cfRule type="expression" priority="9731" dxfId="5">
      <formula>$H158="CÉLULA CONSTRUTIVA"</formula>
    </cfRule>
  </conditionalFormatting>
  <conditionalFormatting sqref="G158:K159 G160:J163 K160:K166">
    <cfRule type="expression" priority="6472" dxfId="4">
      <formula>$H158="SUBETAPA"</formula>
    </cfRule>
  </conditionalFormatting>
  <conditionalFormatting sqref="G159:K166">
    <cfRule type="expression" priority="9608" dxfId="3">
      <formula>$H159="ETAPA"</formula>
    </cfRule>
  </conditionalFormatting>
  <conditionalFormatting sqref="G168:K169 G170:J173 K170:K176 L168:M168 N168:N173">
    <cfRule type="expression" priority="9728" dxfId="5">
      <formula>$H168="CÉLULA CONSTRUTIVA"</formula>
    </cfRule>
  </conditionalFormatting>
  <conditionalFormatting sqref="G169:K176">
    <cfRule type="expression" priority="9607" dxfId="3">
      <formula>$H169="ETAPA"</formula>
    </cfRule>
  </conditionalFormatting>
  <conditionalFormatting sqref="G178:K178 N178">
    <cfRule type="expression" priority="9606" dxfId="4">
      <formula>$H178="SUBETAPA"</formula>
    </cfRule>
  </conditionalFormatting>
  <conditionalFormatting sqref="G178:K178">
    <cfRule type="expression" priority="9605" dxfId="5">
      <formula>$H178="CÉLULA CONSTRUTIVA"</formula>
    </cfRule>
  </conditionalFormatting>
  <conditionalFormatting sqref="G185:K185">
    <cfRule type="expression" priority="6818" dxfId="3">
      <formula>$H185="ETAPA"</formula>
    </cfRule>
  </conditionalFormatting>
  <conditionalFormatting sqref="G187:K187 N187">
    <cfRule type="expression" priority="9603" dxfId="4">
      <formula>$H187="SUBETAPA"</formula>
    </cfRule>
  </conditionalFormatting>
  <conditionalFormatting sqref="G187:K187">
    <cfRule type="expression" priority="9602" dxfId="5">
      <formula>$H187="CÉLULA CONSTRUTIVA"</formula>
    </cfRule>
  </conditionalFormatting>
  <conditionalFormatting sqref="G194:K194">
    <cfRule type="expression" priority="6815" dxfId="3">
      <formula>$H194="ETAPA"</formula>
    </cfRule>
  </conditionalFormatting>
  <conditionalFormatting sqref="G196:K196 N196">
    <cfRule type="expression" priority="9600" dxfId="4">
      <formula>$H196="SUBETAPA"</formula>
    </cfRule>
  </conditionalFormatting>
  <conditionalFormatting sqref="G196:K196">
    <cfRule type="expression" priority="9599" dxfId="5">
      <formula>$H196="CÉLULA CONSTRUTIVA"</formula>
    </cfRule>
  </conditionalFormatting>
  <conditionalFormatting sqref="G203:K203">
    <cfRule type="expression" priority="6812" dxfId="3">
      <formula>$H203="ETAPA"</formula>
    </cfRule>
  </conditionalFormatting>
  <conditionalFormatting sqref="G204:K205 G210:J211 M206:O211">
    <cfRule type="expression" priority="6808" dxfId="5">
      <formula>$H204="CÉLULA CONSTRUTIVA"</formula>
    </cfRule>
  </conditionalFormatting>
  <conditionalFormatting sqref="G205:K205">
    <cfRule type="expression" priority="9597" dxfId="4">
      <formula>$H205="SUBETAPA"</formula>
    </cfRule>
  </conditionalFormatting>
  <conditionalFormatting sqref="G212:K212">
    <cfRule type="expression" priority="6807" dxfId="3">
      <formula>$H212="ETAPA"</formula>
    </cfRule>
  </conditionalFormatting>
  <conditionalFormatting sqref="G214:K214 N214">
    <cfRule type="expression" priority="9594" dxfId="4">
      <formula>$H214="SUBETAPA"</formula>
    </cfRule>
  </conditionalFormatting>
  <conditionalFormatting sqref="G214:K214">
    <cfRule type="expression" priority="9593" dxfId="5">
      <formula>$H214="CÉLULA CONSTRUTIVA"</formula>
    </cfRule>
  </conditionalFormatting>
  <conditionalFormatting sqref="G221:K221">
    <cfRule type="expression" priority="6804" dxfId="3">
      <formula>$H221="ETAPA"</formula>
    </cfRule>
  </conditionalFormatting>
  <conditionalFormatting sqref="G222:K223 G224:J227 K224:K230 L222:M222 N222:N227">
    <cfRule type="expression" priority="9704" dxfId="5">
      <formula>$H222="CÉLULA CONSTRUTIVA"</formula>
    </cfRule>
  </conditionalFormatting>
  <conditionalFormatting sqref="G222:K223 G224:J227 K224:K230">
    <cfRule type="expression" priority="6316" dxfId="4">
      <formula>$H222="SUBETAPA"</formula>
    </cfRule>
  </conditionalFormatting>
  <conditionalFormatting sqref="G223:K230">
    <cfRule type="expression" priority="9591" dxfId="3">
      <formula>$H223="ETAPA"</formula>
    </cfRule>
  </conditionalFormatting>
  <conditionalFormatting sqref="G231:K232 G233:J236 K233:K239 L231:M231 N231:N236">
    <cfRule type="expression" priority="9701" dxfId="5">
      <formula>$H231="CÉLULA CONSTRUTIVA"</formula>
    </cfRule>
  </conditionalFormatting>
  <conditionalFormatting sqref="G231:K232 G233:J236 K233:K239">
    <cfRule type="expression" priority="6294" dxfId="4">
      <formula>$H231="SUBETAPA"</formula>
    </cfRule>
  </conditionalFormatting>
  <conditionalFormatting sqref="G232:K239">
    <cfRule type="expression" priority="9590" dxfId="3">
      <formula>$H232="ETAPA"</formula>
    </cfRule>
  </conditionalFormatting>
  <conditionalFormatting sqref="G240:K241 G242:J245 K242:K248 L240:M240 N240:N245">
    <cfRule type="expression" priority="9698" dxfId="5">
      <formula>$H240="CÉLULA CONSTRUTIVA"</formula>
    </cfRule>
  </conditionalFormatting>
  <conditionalFormatting sqref="G240:K241 G242:J245 K242:K248">
    <cfRule type="expression" priority="6290" dxfId="4">
      <formula>$H240="SUBETAPA"</formula>
    </cfRule>
  </conditionalFormatting>
  <conditionalFormatting sqref="G241:K248">
    <cfRule type="expression" priority="9589" dxfId="3">
      <formula>$H241="ETAPA"</formula>
    </cfRule>
  </conditionalFormatting>
  <conditionalFormatting sqref="G249:K250 G251:J254 K251:K257 L249:M249 N249:N254">
    <cfRule type="expression" priority="9695" dxfId="5">
      <formula>$H249="CÉLULA CONSTRUTIVA"</formula>
    </cfRule>
  </conditionalFormatting>
  <conditionalFormatting sqref="G249:K250 G251:J254 K251:K257">
    <cfRule type="expression" priority="6286" dxfId="4">
      <formula>$H249="SUBETAPA"</formula>
    </cfRule>
  </conditionalFormatting>
  <conditionalFormatting sqref="G250:K257">
    <cfRule type="expression" priority="9588" dxfId="3">
      <formula>$H250="ETAPA"</formula>
    </cfRule>
  </conditionalFormatting>
  <conditionalFormatting sqref="G258:K259 G260:J263 K260:K266 L258:M258 N258:N263">
    <cfRule type="expression" priority="9692" dxfId="5">
      <formula>$H258="CÉLULA CONSTRUTIVA"</formula>
    </cfRule>
  </conditionalFormatting>
  <conditionalFormatting sqref="G258:K259 G260:J263 K260:K266">
    <cfRule type="expression" priority="6264" dxfId="4">
      <formula>$H258="SUBETAPA"</formula>
    </cfRule>
  </conditionalFormatting>
  <conditionalFormatting sqref="G259:K266">
    <cfRule type="expression" priority="9587" dxfId="3">
      <formula>$H259="ETAPA"</formula>
    </cfRule>
  </conditionalFormatting>
  <conditionalFormatting sqref="G267:K268 G269:J272 L267:M267 N267:N272">
    <cfRule type="expression" priority="9689" dxfId="5">
      <formula>$H267="CÉLULA CONSTRUTIVA"</formula>
    </cfRule>
  </conditionalFormatting>
  <conditionalFormatting sqref="G268:K268 G269:J272">
    <cfRule type="expression" priority="9586" dxfId="3">
      <formula>$H268="ETAPA"</formula>
    </cfRule>
  </conditionalFormatting>
  <conditionalFormatting sqref="G274:K275 L274:M274">
    <cfRule type="expression" priority="9585" dxfId="5">
      <formula>$H274="CÉLULA CONSTRUTIVA"</formula>
    </cfRule>
  </conditionalFormatting>
  <conditionalFormatting sqref="G274:K275">
    <cfRule type="expression" priority="6226" dxfId="4">
      <formula>$H274="SUBETAPA"</formula>
    </cfRule>
  </conditionalFormatting>
  <conditionalFormatting sqref="G275:K275">
    <cfRule type="expression" priority="9584" dxfId="3">
      <formula>$H275="ETAPA"</formula>
    </cfRule>
  </conditionalFormatting>
  <conditionalFormatting sqref="G280:K280 N280">
    <cfRule type="expression" priority="9583" dxfId="3">
      <formula>$H280="ETAPA"</formula>
    </cfRule>
    <cfRule type="expression" priority="9582" dxfId="4">
      <formula>$H280="SUBETAPA"</formula>
    </cfRule>
  </conditionalFormatting>
  <conditionalFormatting sqref="G283:K284 N283:N284">
    <cfRule type="expression" priority="9581" dxfId="3">
      <formula>$H283="ETAPA"</formula>
    </cfRule>
  </conditionalFormatting>
  <conditionalFormatting sqref="G283:K302">
    <cfRule type="expression" priority="9553" dxfId="4">
      <formula>$H283="SUBETAPA"</formula>
    </cfRule>
  </conditionalFormatting>
  <conditionalFormatting sqref="G283:K303">
    <cfRule type="expression" priority="7925" dxfId="5">
      <formula>$H283="CÉLULA CONSTRUTIVA"</formula>
    </cfRule>
  </conditionalFormatting>
  <conditionalFormatting sqref="G285:K286 N285:N286">
    <cfRule type="expression" priority="9578" dxfId="3">
      <formula>$H285="ETAPA"</formula>
    </cfRule>
  </conditionalFormatting>
  <conditionalFormatting sqref="G287:K288 N287:N288">
    <cfRule type="expression" priority="9575" dxfId="3">
      <formula>$H287="ETAPA"</formula>
    </cfRule>
  </conditionalFormatting>
  <conditionalFormatting sqref="G289:K290 N289:N290">
    <cfRule type="expression" priority="9572" dxfId="3">
      <formula>$H289="ETAPA"</formula>
    </cfRule>
  </conditionalFormatting>
  <conditionalFormatting sqref="G291:K292 N291:N292">
    <cfRule type="expression" priority="9569" dxfId="3">
      <formula>$H291="ETAPA"</formula>
    </cfRule>
  </conditionalFormatting>
  <conditionalFormatting sqref="G293:K294 N293:N294">
    <cfRule type="expression" priority="9566" dxfId="3">
      <formula>$H293="ETAPA"</formula>
    </cfRule>
  </conditionalFormatting>
  <conditionalFormatting sqref="G295:K296 N295:N296">
    <cfRule type="expression" priority="9563" dxfId="3">
      <formula>$H295="ETAPA"</formula>
    </cfRule>
  </conditionalFormatting>
  <conditionalFormatting sqref="G297:K298 N297:N298">
    <cfRule type="expression" priority="9560" dxfId="3">
      <formula>$H297="ETAPA"</formula>
    </cfRule>
  </conditionalFormatting>
  <conditionalFormatting sqref="G299:K300 N299:N300">
    <cfRule type="expression" priority="9557" dxfId="3">
      <formula>$H299="ETAPA"</formula>
    </cfRule>
  </conditionalFormatting>
  <conditionalFormatting sqref="G301:K302 N301:N302">
    <cfRule type="expression" priority="9554" dxfId="3">
      <formula>$H301="ETAPA"</formula>
    </cfRule>
  </conditionalFormatting>
  <conditionalFormatting sqref="G304:K306 N283:N306">
    <cfRule type="expression" priority="9549" dxfId="4">
      <formula>$H283="SUBETAPA"</formula>
    </cfRule>
  </conditionalFormatting>
  <conditionalFormatting sqref="G304:K307 G308:I308 K308">
    <cfRule type="expression" priority="9546" dxfId="5">
      <formula>$H304="CÉLULA CONSTRUTIVA"</formula>
    </cfRule>
  </conditionalFormatting>
  <conditionalFormatting sqref="G305:K306 N305:N306">
    <cfRule type="expression" priority="9550" dxfId="3">
      <formula>$H305="ETAPA"</formula>
    </cfRule>
  </conditionalFormatting>
  <conditionalFormatting sqref="G307:K307 G308:I308 K308">
    <cfRule type="expression" priority="9547" dxfId="3">
      <formula>$H307="ETAPA"</formula>
    </cfRule>
  </conditionalFormatting>
  <conditionalFormatting sqref="G308:K308">
    <cfRule type="expression" priority="7923" dxfId="4">
      <formula>$H308="SUBETAPA"</formula>
    </cfRule>
  </conditionalFormatting>
  <conditionalFormatting sqref="G309:K312 N309:N312">
    <cfRule type="expression" priority="9541" dxfId="4">
      <formula>$H309="SUBETAPA"</formula>
    </cfRule>
  </conditionalFormatting>
  <conditionalFormatting sqref="G311:K312 N311:N312">
    <cfRule type="expression" priority="9542" dxfId="3">
      <formula>$H311="ETAPA"</formula>
    </cfRule>
  </conditionalFormatting>
  <conditionalFormatting sqref="G347:K347">
    <cfRule type="expression" priority="9538" dxfId="5">
      <formula>$H347="CÉLULA CONSTRUTIVA"</formula>
    </cfRule>
    <cfRule type="expression" priority="9539" dxfId="3">
      <formula>$H347="ETAPA"</formula>
    </cfRule>
  </conditionalFormatting>
  <conditionalFormatting sqref="G569:K569 G570:J570 H571:K571 H576:K576 H577:J577">
    <cfRule type="expression" priority="9532" dxfId="3">
      <formula>$H569="ETAPA"</formula>
    </cfRule>
    <cfRule type="expression" priority="9533" dxfId="5">
      <formula>$H569="CÉLULA CONSTRUTIVA"</formula>
    </cfRule>
  </conditionalFormatting>
  <conditionalFormatting sqref="G580:K580 G581:J581 H582:K582">
    <cfRule type="expression" priority="9531" dxfId="5">
      <formula>$H580="CÉLULA CONSTRUTIVA"</formula>
    </cfRule>
    <cfRule type="expression" priority="9530" dxfId="3">
      <formula>$H580="ETAPA"</formula>
    </cfRule>
  </conditionalFormatting>
  <conditionalFormatting sqref="G589:K589 G590:J590 H591:K591">
    <cfRule type="expression" priority="9529" dxfId="3">
      <formula>$H589="ETAPA"</formula>
    </cfRule>
  </conditionalFormatting>
  <conditionalFormatting sqref="G598:K598 G599:J599 H600:K600">
    <cfRule type="expression" priority="9527" dxfId="3">
      <formula>$H598="ETAPA"</formula>
    </cfRule>
  </conditionalFormatting>
  <conditionalFormatting sqref="G607:K607 G608:J608 H609:K609">
    <cfRule type="expression" priority="9525" dxfId="3">
      <formula>$H607="ETAPA"</formula>
    </cfRule>
  </conditionalFormatting>
  <conditionalFormatting sqref="G616:K616 G617:J617 H618:K618">
    <cfRule type="expression" priority="9523" dxfId="3">
      <formula>$H616="ETAPA"</formula>
    </cfRule>
  </conditionalFormatting>
  <conditionalFormatting sqref="G625:K625 G626:J626 H627:K627">
    <cfRule type="expression" priority="9521" dxfId="3">
      <formula>$H625="ETAPA"</formula>
    </cfRule>
  </conditionalFormatting>
  <conditionalFormatting sqref="G634:K634 G635:J635 H636:K636">
    <cfRule type="expression" priority="9519" dxfId="3">
      <formula>$H634="ETAPA"</formula>
    </cfRule>
  </conditionalFormatting>
  <conditionalFormatting sqref="G643:K643 G644:J644 H645:K645">
    <cfRule type="expression" priority="9517" dxfId="3">
      <formula>$H643="ETAPA"</formula>
    </cfRule>
  </conditionalFormatting>
  <conditionalFormatting sqref="G652:K652 G653:J653 H654:K654 H659:K659 H660:J660">
    <cfRule type="expression" priority="9515" dxfId="3">
      <formula>$H652="ETAPA"</formula>
    </cfRule>
  </conditionalFormatting>
  <conditionalFormatting sqref="G663:K663 G664:J664 H665:K665 H670:K670 H671:J671">
    <cfRule type="expression" priority="9513" dxfId="3">
      <formula>$H663="ETAPA"</formula>
    </cfRule>
  </conditionalFormatting>
  <conditionalFormatting sqref="G674:K674 G675:J675 H676:K676">
    <cfRule type="expression" priority="9511" dxfId="3">
      <formula>$H674="ETAPA"</formula>
    </cfRule>
  </conditionalFormatting>
  <conditionalFormatting sqref="G683:K683 G684:J684 H685:K685">
    <cfRule type="expression" priority="9509" dxfId="3">
      <formula>$H683="ETAPA"</formula>
    </cfRule>
  </conditionalFormatting>
  <conditionalFormatting sqref="G692:K692 G693:J693 H694:K694 H699:K699 H700:J700">
    <cfRule type="expression" priority="9507" dxfId="3">
      <formula>$H692="ETAPA"</formula>
    </cfRule>
  </conditionalFormatting>
  <conditionalFormatting sqref="G379:L379 G380:M382 G383:G398 G589:L589 G590:M590 G598:L598 G599:M599 G607:L607 G608:M608 G616:L616 G617:M617 G625:L625 G626:M626 G634:L634 G635:M635 G643:L643 G644:M644 G652:L652 G653:M653 G663:L663 G664:M664 G674:L674 G675:M675 G683:L683 G684:M684 G692:L692 G693:M693 G703:M705 G719:M720 G734:M735 G749:M750 G764:M765 G779:M780 G794:M795 G809:M810 G824:M825 G839:M840 G854:M855 G869:M870 G884:M885 G899:M900 G999:K1001 G1002:G1004 G1006:G1011 G1012:L1012 G1023:K1026 G1037:K1040 G1051:K1054 G1065:K1068 G1079:K1082 G1093:K1096 G1107:K1110 G1121:K1125 G1126:H1128 G1146:H1148 G1165:H1167 G1170:H1172 G1175:H1177 H393:M395 H578:M579 H591:L591 H600:L600 H609:L609 H618:L618 H627:L627 H636:L636 H645:L645 H654:L654 H659:L659 H660:M662 H665:L665 H670:L670 H671:M673 H676:L676 H685:L685 H694:L694 H699:L699 H700:M702 H706:M706 H707:L710 H711:M712 H721:M721 H722:L725 H726:M727 H736:M736 H737:L740 H741:M742 H751:M751 H752:L755 H756:M757 H766:M766 H767:L770 H771:M772 H781:M781 H782:L785 H786:M787 H796:M796 H797:L800 H801:M802 H811:M811 H812:L815 H816:M817 H826:M826 H827:L830 H831:M832 H841:M841 H842:L845 H846:M847 H856:M856 H857:L860 H861:M862 H871:M871 H872:L875 H876:M877 H886:M886 H887:L890 H891:M892 H901:M901 H902:L905 H906:M907 H918:L918 H923:L923 H928:L928 H933:L933 H938:L938 H943:L943 H950:L950 H957:L957 H964:L964 H971:L971 H978:L978 H983:L983 H990:L990 H995:L995 H1002:L1003 H1006:M1010 H1017:L1017 H1019:L1019 H1022:K1022 H1031:L1031 H1033:L1033 H1036:K1036 H1045:L1045 H1047:L1047 H1050:K1050 H1059:L1059 H1061:L1061 H1064:K1064 H1073:L1073 H1075:L1075 H1078:K1078 H1087:L1087 H1089:L1089 H1092:K1092 H1101:L1101 H1103:L1103 H1106:K1106 H1115:L1115 H1117:L1117 H1120:K1120 J1011 J1126:K1128 J1146:K1148 J1153:K1155 J1160:K1162 J1165:K1167 J1170:K1172 J1175:K1177 K384:M384 K386:M386 K388:M388 K390:M390 K392:M392 K397:M397 K568:M568 K570:M570 K577:M577 K581:M581 K1004:M1004 K1015:M1015 K1029:M1029 K1043:M1043 K1057:M1057 K1071:M1071 K1085:L1085 K1099:M1099 K1113:M1113 K1116:M1116 K1118:M1119 K1149:M1149 K1156:M1156 L389 L391 L569 L571 L576 L580 L582 L914:L915 L917 L922 L927 L932 L937 L942 L947 L949 L954 L956 L961 L963 L968 L970 L975 L977 L982 L987 L989 L994 L1011:M1011 L1013:L1014 L1016 L1027:L1028 L1030 L1041:L1042 L1044 L1055:L1056 L1058 L1069:L1070 L1072:M1072 L1083:L1084 L1086 L1097:L1098 L1100 L1111:L1112 L1114 M708 M710 M723 M725 M738 M740 M753 M755 M768 M770 M783 M785 M798 M800 M813 M815 M828 M830 M843 M845 M858 M860 M873 M875 M888 M890 M903 M905 M1152 M1159 O382:O395 O397 O410 O423 O436 O449 O462 O475 O488 O501 O514 O527 O540 O553 O566 O573 O575 O584 O586 O593 O595 O602 O604 O611 O613 O620 O622 O629 O631 O638 O640 O647 O649 O656 O658 O667 O669 O678 O680 O687 O689 O696 O698 O706 O714 O716 O718 O721 O729 O731 O733 O736 O744 O746 O748 O751 O759 O761 O763 O766 O774 O776 O778 O781 O789 O791 O793 O796 O804 O806 O808 O811 O819 O821 O823 O826 O834 O836 O838 O841 O849 O851 O853 O856 O864 O866 O868 O871 O879 O881 O883 O886 O894 O896 O898 O901 O909 O911 O913 O1004 O1011 O1018 O1032 O1046 O1060 O1074 O1088 O1102 O1116 O1129 O1132 O1135:O1136 O1138:O1139 O1141:O1142 O1144:O1145 O1149:O1150 O1156:O1157 O1163 O1168:O1169 O1173 O1178 O1181">
    <cfRule type="expression" priority="9505" dxfId="5">
      <formula>$H379="CÉLULA CONSTRUTIVA"</formula>
    </cfRule>
  </conditionalFormatting>
  <conditionalFormatting sqref="G999:K1001">
    <cfRule type="expression" priority="9504" dxfId="3">
      <formula>$H999="ETAPA"</formula>
    </cfRule>
  </conditionalFormatting>
  <conditionalFormatting sqref="G1633:K1633">
    <cfRule type="expression" priority="6724" dxfId="5">
      <formula>$H1633="CÉLULA CONSTRUTIVA"</formula>
    </cfRule>
  </conditionalFormatting>
  <conditionalFormatting sqref="G1689:K1689">
    <cfRule type="expression" priority="6721" dxfId="5">
      <formula>$H1689="CÉLULA CONSTRUTIVA"</formula>
    </cfRule>
  </conditionalFormatting>
  <conditionalFormatting sqref="G1700:K1700">
    <cfRule type="expression" priority="6718" dxfId="5">
      <formula>$H1700="CÉLULA CONSTRUTIVA"</formula>
    </cfRule>
  </conditionalFormatting>
  <conditionalFormatting sqref="G1882:K1882">
    <cfRule type="expression" priority="9355" dxfId="3">
      <formula>$H1882="ETAPA"</formula>
    </cfRule>
  </conditionalFormatting>
  <conditionalFormatting sqref="G20:L20">
    <cfRule type="expression" priority="8437" dxfId="3">
      <formula>$H20="ETAPA"</formula>
    </cfRule>
  </conditionalFormatting>
  <conditionalFormatting sqref="G21:L22 N21:N22">
    <cfRule type="expression" priority="9503" dxfId="5">
      <formula>$H21="CÉLULA CONSTRUTIVA"</formula>
    </cfRule>
  </conditionalFormatting>
  <conditionalFormatting sqref="G21:L22">
    <cfRule type="expression" priority="9502" dxfId="3">
      <formula>$H21="ETAPA"</formula>
    </cfRule>
  </conditionalFormatting>
  <conditionalFormatting sqref="G24:L24">
    <cfRule type="expression" priority="9500" dxfId="5">
      <formula>$H24="CÉLULA CONSTRUTIVA"</formula>
    </cfRule>
  </conditionalFormatting>
  <conditionalFormatting sqref="G24:L25 N25">
    <cfRule type="expression" priority="9498" dxfId="3">
      <formula>$H24="ETAPA"</formula>
    </cfRule>
  </conditionalFormatting>
  <conditionalFormatting sqref="G26:L27 N26:N27">
    <cfRule type="expression" priority="3491" dxfId="5">
      <formula>$H26="CÉLULA CONSTRUTIVA"</formula>
    </cfRule>
  </conditionalFormatting>
  <conditionalFormatting sqref="G33:L33 K35:K36 K38 N33 O36 O38">
    <cfRule type="expression" priority="9496" dxfId="3">
      <formula>$H33="ETAPA"</formula>
    </cfRule>
  </conditionalFormatting>
  <conditionalFormatting sqref="G34:L34">
    <cfRule type="expression" priority="9495" dxfId="4">
      <formula>$H34="SUBETAPA"</formula>
    </cfRule>
  </conditionalFormatting>
  <conditionalFormatting sqref="G39:L39">
    <cfRule type="expression" priority="9494" dxfId="4">
      <formula>$H39="SUBETAPA"</formula>
    </cfRule>
  </conditionalFormatting>
  <conditionalFormatting sqref="G41:L41 N41">
    <cfRule type="expression" priority="9493" dxfId="3">
      <formula>$H41="ETAPA"</formula>
    </cfRule>
  </conditionalFormatting>
  <conditionalFormatting sqref="G42:L43 N42:N43">
    <cfRule type="expression" priority="3471" dxfId="5">
      <formula>$H42="CÉLULA CONSTRUTIVA"</formula>
    </cfRule>
  </conditionalFormatting>
  <conditionalFormatting sqref="G44:L44 M44:M45">
    <cfRule type="expression" priority="9492" dxfId="4">
      <formula>$H44="SUBETAPA"</formula>
    </cfRule>
  </conditionalFormatting>
  <conditionalFormatting sqref="G52:L52">
    <cfRule type="expression" priority="9491" dxfId="4">
      <formula>$H52="SUBETAPA"</formula>
    </cfRule>
    <cfRule type="expression" priority="9490" dxfId="3">
      <formula>$H52="ETAPA"</formula>
    </cfRule>
  </conditionalFormatting>
  <conditionalFormatting sqref="G56:L56">
    <cfRule type="expression" priority="9489" dxfId="4">
      <formula>$H56="SUBETAPA"</formula>
    </cfRule>
    <cfRule type="expression" priority="9488" dxfId="3">
      <formula>$H56="ETAPA"</formula>
    </cfRule>
  </conditionalFormatting>
  <conditionalFormatting sqref="G58:L58 N58">
    <cfRule type="expression" priority="9487" dxfId="5">
      <formula>$H58="CÉLULA CONSTRUTIVA"</formula>
    </cfRule>
  </conditionalFormatting>
  <conditionalFormatting sqref="G58:L58">
    <cfRule type="expression" priority="9486" dxfId="3">
      <formula>$H58="ETAPA"</formula>
    </cfRule>
  </conditionalFormatting>
  <conditionalFormatting sqref="G104:L104">
    <cfRule type="expression" priority="9485" dxfId="5">
      <formula>$H104="CÉLULA CONSTRUTIVA"</formula>
    </cfRule>
  </conditionalFormatting>
  <conditionalFormatting sqref="G106:L106">
    <cfRule type="expression" priority="9484" dxfId="5">
      <formula>$H106="CÉLULA CONSTRUTIVA"</formula>
    </cfRule>
  </conditionalFormatting>
  <conditionalFormatting sqref="G108:L108">
    <cfRule type="expression" priority="9483" dxfId="5">
      <formula>$H108="CÉLULA CONSTRUTIVA"</formula>
    </cfRule>
  </conditionalFormatting>
  <conditionalFormatting sqref="G110:L110">
    <cfRule type="expression" priority="9482" dxfId="5">
      <formula>$H110="CÉLULA CONSTRUTIVA"</formula>
    </cfRule>
  </conditionalFormatting>
  <conditionalFormatting sqref="G112:L112">
    <cfRule type="expression" priority="9481" dxfId="5">
      <formula>$H112="CÉLULA CONSTRUTIVA"</formula>
    </cfRule>
  </conditionalFormatting>
  <conditionalFormatting sqref="G114:L114">
    <cfRule type="expression" priority="9480" dxfId="5">
      <formula>$H114="CÉLULA CONSTRUTIVA"</formula>
    </cfRule>
  </conditionalFormatting>
  <conditionalFormatting sqref="G116:L116">
    <cfRule type="expression" priority="9479" dxfId="5">
      <formula>$H116="CÉLULA CONSTRUTIVA"</formula>
    </cfRule>
  </conditionalFormatting>
  <conditionalFormatting sqref="G118:L118">
    <cfRule type="expression" priority="9478" dxfId="5">
      <formula>$H118="CÉLULA CONSTRUTIVA"</formula>
    </cfRule>
  </conditionalFormatting>
  <conditionalFormatting sqref="G120:L120">
    <cfRule type="expression" priority="9477" dxfId="5">
      <formula>$H120="CÉLULA CONSTRUTIVA"</formula>
    </cfRule>
  </conditionalFormatting>
  <conditionalFormatting sqref="G131:L131">
    <cfRule type="expression" priority="9476" dxfId="5">
      <formula>$H131="CÉLULA CONSTRUTIVA"</formula>
    </cfRule>
  </conditionalFormatting>
  <conditionalFormatting sqref="G139:L139 N139">
    <cfRule type="expression" priority="9475" dxfId="4">
      <formula>$H139="SUBETAPA"</formula>
    </cfRule>
  </conditionalFormatting>
  <conditionalFormatting sqref="G178:L178">
    <cfRule type="expression" priority="6424" dxfId="3">
      <formula>$H178="ETAPA"</formula>
    </cfRule>
  </conditionalFormatting>
  <conditionalFormatting sqref="G187:L187">
    <cfRule type="expression" priority="6402" dxfId="3">
      <formula>$H187="ETAPA"</formula>
    </cfRule>
  </conditionalFormatting>
  <conditionalFormatting sqref="G196:L196">
    <cfRule type="expression" priority="6380" dxfId="3">
      <formula>$H196="ETAPA"</formula>
    </cfRule>
  </conditionalFormatting>
  <conditionalFormatting sqref="G205:L205">
    <cfRule type="expression" priority="6359" dxfId="3">
      <formula>$H205="ETAPA"</formula>
    </cfRule>
  </conditionalFormatting>
  <conditionalFormatting sqref="G214:L214">
    <cfRule type="expression" priority="6337" dxfId="3">
      <formula>$H214="ETAPA"</formula>
    </cfRule>
  </conditionalFormatting>
  <conditionalFormatting sqref="G313:L313 N313">
    <cfRule type="expression" priority="9473" dxfId="4">
      <formula>$H313="SUBETAPA"</formula>
    </cfRule>
    <cfRule type="expression" priority="9474" dxfId="3">
      <formula>$H313="ETAPA"</formula>
    </cfRule>
  </conditionalFormatting>
  <conditionalFormatting sqref="G315:L315 J348:M348 J1213 J1220 J1227 J1252 N315">
    <cfRule type="expression" priority="9470" dxfId="5">
      <formula>$H315="CÉLULA CONSTRUTIVA"</formula>
    </cfRule>
    <cfRule type="expression" priority="9471" dxfId="4">
      <formula>$H315="SUBETAPA"</formula>
    </cfRule>
  </conditionalFormatting>
  <conditionalFormatting sqref="G315:L315 J348:M348 J1213 J1220 J1227 J1252 K350:L350 K352:L352 K354:L354 K356:L356 K358:L358 L349 L351 L353 L355 L357 N315">
    <cfRule type="expression" priority="9472" dxfId="3">
      <formula>$H315="ETAPA"</formula>
    </cfRule>
  </conditionalFormatting>
  <conditionalFormatting sqref="G317:L317">
    <cfRule type="expression" priority="7919" dxfId="5">
      <formula>$H317="CÉLULA CONSTRUTIVA"</formula>
    </cfRule>
    <cfRule type="expression" priority="7920" dxfId="4">
      <formula>$H317="SUBETAPA"</formula>
    </cfRule>
  </conditionalFormatting>
  <conditionalFormatting sqref="G319:L319 N319">
    <cfRule type="expression" priority="9467" dxfId="5">
      <formula>$H319="CÉLULA CONSTRUTIVA"</formula>
    </cfRule>
    <cfRule type="expression" priority="9468" dxfId="4">
      <formula>$H319="SUBETAPA"</formula>
    </cfRule>
    <cfRule type="expression" priority="9469" dxfId="3">
      <formula>$H319="ETAPA"</formula>
    </cfRule>
  </conditionalFormatting>
  <conditionalFormatting sqref="G321:L321">
    <cfRule type="expression" priority="7916" dxfId="5">
      <formula>$H321="CÉLULA CONSTRUTIVA"</formula>
    </cfRule>
    <cfRule type="expression" priority="7917" dxfId="4">
      <formula>$H321="SUBETAPA"</formula>
    </cfRule>
  </conditionalFormatting>
  <conditionalFormatting sqref="G323:L323 N323">
    <cfRule type="expression" priority="9465" dxfId="4">
      <formula>$H323="SUBETAPA"</formula>
    </cfRule>
    <cfRule type="expression" priority="9466" dxfId="3">
      <formula>$H323="ETAPA"</formula>
    </cfRule>
  </conditionalFormatting>
  <conditionalFormatting sqref="G325:L325">
    <cfRule type="expression" priority="7913" dxfId="5">
      <formula>$H325="CÉLULA CONSTRUTIVA"</formula>
    </cfRule>
    <cfRule type="expression" priority="7914" dxfId="4">
      <formula>$H325="SUBETAPA"</formula>
    </cfRule>
  </conditionalFormatting>
  <conditionalFormatting sqref="G327:L327 N327">
    <cfRule type="expression" priority="9463" dxfId="3">
      <formula>$H327="ETAPA"</formula>
    </cfRule>
  </conditionalFormatting>
  <conditionalFormatting sqref="G327:L329 N327:N329">
    <cfRule type="expression" priority="9456" dxfId="4">
      <formula>$H327="SUBETAPA"</formula>
    </cfRule>
    <cfRule type="expression" priority="9455" dxfId="5">
      <formula>$H327="CÉLULA CONSTRUTIVA"</formula>
    </cfRule>
  </conditionalFormatting>
  <conditionalFormatting sqref="G328:L328 N328">
    <cfRule type="expression" priority="9460" dxfId="3">
      <formula>$H328="ETAPA"</formula>
    </cfRule>
  </conditionalFormatting>
  <conditionalFormatting sqref="G329:L329 N329">
    <cfRule type="expression" priority="9457" dxfId="3">
      <formula>$H329="ETAPA"</formula>
    </cfRule>
  </conditionalFormatting>
  <conditionalFormatting sqref="G331:L331">
    <cfRule type="expression" priority="7911" dxfId="4">
      <formula>$H331="SUBETAPA"</formula>
    </cfRule>
  </conditionalFormatting>
  <conditionalFormatting sqref="G333:L333 N333">
    <cfRule type="expression" priority="9453" dxfId="4">
      <formula>$H333="SUBETAPA"</formula>
    </cfRule>
    <cfRule type="expression" priority="9454" dxfId="3">
      <formula>$H333="ETAPA"</formula>
    </cfRule>
  </conditionalFormatting>
  <conditionalFormatting sqref="G335:L335">
    <cfRule type="expression" priority="7908" dxfId="4">
      <formula>$H335="SUBETAPA"</formula>
    </cfRule>
  </conditionalFormatting>
  <conditionalFormatting sqref="G337:L337 N337">
    <cfRule type="expression" priority="9451" dxfId="3">
      <formula>$H337="ETAPA"</formula>
    </cfRule>
    <cfRule type="expression" priority="9450" dxfId="4">
      <formula>$H337="SUBETAPA"</formula>
    </cfRule>
  </conditionalFormatting>
  <conditionalFormatting sqref="G339:L339">
    <cfRule type="expression" priority="7905" dxfId="4">
      <formula>$H339="SUBETAPA"</formula>
    </cfRule>
  </conditionalFormatting>
  <conditionalFormatting sqref="G341:L341 N341">
    <cfRule type="expression" priority="9448" dxfId="3">
      <formula>$H341="ETAPA"</formula>
    </cfRule>
    <cfRule type="expression" priority="9447" dxfId="4">
      <formula>$H341="SUBETAPA"</formula>
    </cfRule>
  </conditionalFormatting>
  <conditionalFormatting sqref="G343:L343">
    <cfRule type="expression" priority="7902" dxfId="4">
      <formula>$H343="SUBETAPA"</formula>
    </cfRule>
  </conditionalFormatting>
  <conditionalFormatting sqref="G345:L345 N345">
    <cfRule type="expression" priority="9445" dxfId="3">
      <formula>$H345="ETAPA"</formula>
    </cfRule>
    <cfRule type="expression" priority="9444" dxfId="4">
      <formula>$H345="SUBETAPA"</formula>
    </cfRule>
    <cfRule type="expression" priority="9443" dxfId="5">
      <formula>$H345="CÉLULA CONSTRUTIVA"</formula>
    </cfRule>
  </conditionalFormatting>
  <conditionalFormatting sqref="G346:L346 N346">
    <cfRule type="expression" priority="9442" dxfId="3">
      <formula>$H346="ETAPA"</formula>
    </cfRule>
  </conditionalFormatting>
  <conditionalFormatting sqref="G349:L358 K361 K363 K365 K367 K369 K371 K373 K375 K377">
    <cfRule type="expression" priority="6797" dxfId="4">
      <formula>$H349="SUBETAPA"</formula>
    </cfRule>
  </conditionalFormatting>
  <conditionalFormatting sqref="G349:L378">
    <cfRule type="expression" priority="6160" dxfId="5">
      <formula>$H349="CÉLULA CONSTRUTIVA"</formula>
    </cfRule>
  </conditionalFormatting>
  <conditionalFormatting sqref="G379:L381 G382:M382 G383:G398 H386:M386 H388:M388 H389:L389 H390:M390 H391:L391 H392:M392 H393:L394 H395:M395 K397:M397 O397">
    <cfRule type="expression" priority="9412" dxfId="3">
      <formula>$H379="ETAPA"</formula>
    </cfRule>
  </conditionalFormatting>
  <conditionalFormatting sqref="G1125:L1125">
    <cfRule type="expression" priority="5874" dxfId="4">
      <formula>$H1125="SUBETAPA"</formula>
    </cfRule>
  </conditionalFormatting>
  <conditionalFormatting sqref="G20:M20">
    <cfRule type="expression" priority="5307" dxfId="5">
      <formula>$H20="CÉLULA CONSTRUTIVA"</formula>
    </cfRule>
  </conditionalFormatting>
  <conditionalFormatting sqref="G21:M21">
    <cfRule type="expression" priority="9411" dxfId="4">
      <formula>$H21="SUBETAPA"</formula>
    </cfRule>
  </conditionalFormatting>
  <conditionalFormatting sqref="G122:M122">
    <cfRule type="expression" priority="9410" dxfId="3">
      <formula>$H122="ETAPA"</formula>
    </cfRule>
  </conditionalFormatting>
  <conditionalFormatting sqref="G125:M125">
    <cfRule type="expression" priority="9409" dxfId="3">
      <formula>$H125="ETAPA"</formula>
    </cfRule>
  </conditionalFormatting>
  <conditionalFormatting sqref="G128:M128">
    <cfRule type="expression" priority="9408" dxfId="3">
      <formula>$H128="ETAPA"</formula>
    </cfRule>
  </conditionalFormatting>
  <conditionalFormatting sqref="G133:M133">
    <cfRule type="expression" priority="9407" dxfId="3">
      <formula>$H133="ETAPA"</formula>
    </cfRule>
  </conditionalFormatting>
  <conditionalFormatting sqref="G136:M136">
    <cfRule type="expression" priority="9406" dxfId="3">
      <formula>$H136="ETAPA"</formula>
    </cfRule>
  </conditionalFormatting>
  <conditionalFormatting sqref="G148:M148 N148:N153">
    <cfRule type="expression" priority="9405" dxfId="3">
      <formula>$H148="ETAPA"</formula>
    </cfRule>
  </conditionalFormatting>
  <conditionalFormatting sqref="G158:M158 N158:N163">
    <cfRule type="expression" priority="9404" dxfId="3">
      <formula>$H158="ETAPA"</formula>
    </cfRule>
  </conditionalFormatting>
  <conditionalFormatting sqref="G168:M168 N168:N173">
    <cfRule type="expression" priority="9403" dxfId="3">
      <formula>$H168="ETAPA"</formula>
    </cfRule>
  </conditionalFormatting>
  <conditionalFormatting sqref="G222:M222 N222:N227">
    <cfRule type="expression" priority="9402" dxfId="3">
      <formula>$H222="ETAPA"</formula>
    </cfRule>
  </conditionalFormatting>
  <conditionalFormatting sqref="G231:M231 N231:N236">
    <cfRule type="expression" priority="9401" dxfId="3">
      <formula>$H231="ETAPA"</formula>
    </cfRule>
  </conditionalFormatting>
  <conditionalFormatting sqref="G240:M240 N240:N245">
    <cfRule type="expression" priority="9400" dxfId="3">
      <formula>$H240="ETAPA"</formula>
    </cfRule>
  </conditionalFormatting>
  <conditionalFormatting sqref="G249:M249 N249:N254">
    <cfRule type="expression" priority="9399" dxfId="3">
      <formula>$H249="ETAPA"</formula>
    </cfRule>
  </conditionalFormatting>
  <conditionalFormatting sqref="G258:M258 N258:N263">
    <cfRule type="expression" priority="9398" dxfId="3">
      <formula>$H258="ETAPA"</formula>
    </cfRule>
  </conditionalFormatting>
  <conditionalFormatting sqref="G267:M267 N267:N272">
    <cfRule type="expression" priority="9397" dxfId="3">
      <formula>$H267="ETAPA"</formula>
    </cfRule>
  </conditionalFormatting>
  <conditionalFormatting sqref="G303:M303">
    <cfRule type="expression" priority="7926" dxfId="4">
      <formula>$H303="SUBETAPA"</formula>
    </cfRule>
  </conditionalFormatting>
  <conditionalFormatting sqref="G307:M307 N307:N308">
    <cfRule type="expression" priority="9396" dxfId="4">
      <formula>$H307="SUBETAPA"</formula>
    </cfRule>
  </conditionalFormatting>
  <conditionalFormatting sqref="G347:M347">
    <cfRule type="expression" priority="9395" dxfId="4">
      <formula>$H347="SUBETAPA"</formula>
    </cfRule>
  </conditionalFormatting>
  <conditionalFormatting sqref="G379:M382 G383:G398 H383:M383 H385:M385 H387:M387 H393:M396 H398:M398 J384:M384 K386:M386 K388:M388 K390:M390 K392:M392 K397:M397 M389 M391 O397">
    <cfRule type="expression" priority="8153" dxfId="4">
      <formula>$H379="SUBETAPA"</formula>
    </cfRule>
  </conditionalFormatting>
  <conditionalFormatting sqref="G899:M913 J905">
    <cfRule type="expression" priority="8086" dxfId="4">
      <formula>$H899="SUBETAPA"</formula>
    </cfRule>
  </conditionalFormatting>
  <conditionalFormatting sqref="G1708:M1709">
    <cfRule type="expression" priority="9353" dxfId="3">
      <formula>$H1708="ETAPA"</formula>
    </cfRule>
  </conditionalFormatting>
  <conditionalFormatting sqref="G1717:M1718">
    <cfRule type="expression" priority="9352" dxfId="3">
      <formula>$H1717="ETAPA"</formula>
    </cfRule>
  </conditionalFormatting>
  <conditionalFormatting sqref="G1726:M1727">
    <cfRule type="expression" priority="9351" dxfId="3">
      <formula>$H1726="ETAPA"</formula>
    </cfRule>
  </conditionalFormatting>
  <conditionalFormatting sqref="G1735:M1736">
    <cfRule type="expression" priority="9350" dxfId="3">
      <formula>$H1735="ETAPA"</formula>
    </cfRule>
  </conditionalFormatting>
  <conditionalFormatting sqref="G1744:M1745">
    <cfRule type="expression" priority="9349" dxfId="3">
      <formula>$H1744="ETAPA"</formula>
    </cfRule>
  </conditionalFormatting>
  <conditionalFormatting sqref="G1744:M1747">
    <cfRule type="expression" priority="6715" dxfId="5">
      <formula>$H1744="CÉLULA CONSTRUTIVA"</formula>
    </cfRule>
  </conditionalFormatting>
  <conditionalFormatting sqref="G25:N25">
    <cfRule type="expression" priority="9348" dxfId="4">
      <formula>$H25="SUBETAPA"</formula>
    </cfRule>
    <cfRule type="expression" priority="9347" dxfId="5">
      <formula>$H25="CÉLULA CONSTRUTIVA"</formula>
    </cfRule>
  </conditionalFormatting>
  <conditionalFormatting sqref="G41:N41">
    <cfRule type="expression" priority="9345" dxfId="4">
      <formula>$H41="SUBETAPA"</formula>
    </cfRule>
  </conditionalFormatting>
  <conditionalFormatting sqref="G51:N51">
    <cfRule type="expression" priority="9344" dxfId="3">
      <formula>$H51="ETAPA"</formula>
    </cfRule>
    <cfRule type="expression" priority="9343" dxfId="4">
      <formula>$H51="SUBETAPA"</formula>
    </cfRule>
  </conditionalFormatting>
  <conditionalFormatting sqref="G55:N55">
    <cfRule type="expression" priority="9342" dxfId="3">
      <formula>$H55="ETAPA"</formula>
    </cfRule>
    <cfRule type="expression" priority="9341" dxfId="4">
      <formula>$H55="SUBETAPA"</formula>
    </cfRule>
  </conditionalFormatting>
  <conditionalFormatting sqref="G58:N58">
    <cfRule type="expression" priority="9340" dxfId="4">
      <formula>$H58="SUBETAPA"</formula>
    </cfRule>
  </conditionalFormatting>
  <conditionalFormatting sqref="G97:N99">
    <cfRule type="expression" priority="9339" dxfId="3">
      <formula>$H97="ETAPA"</formula>
    </cfRule>
  </conditionalFormatting>
  <conditionalFormatting sqref="G104:N104">
    <cfRule type="expression" priority="9338" dxfId="3">
      <formula>$H104="ETAPA"</formula>
    </cfRule>
  </conditionalFormatting>
  <conditionalFormatting sqref="G106:N106">
    <cfRule type="expression" priority="9337" dxfId="3">
      <formula>$H106="ETAPA"</formula>
    </cfRule>
  </conditionalFormatting>
  <conditionalFormatting sqref="G108:N108">
    <cfRule type="expression" priority="9336" dxfId="3">
      <formula>$H108="ETAPA"</formula>
    </cfRule>
  </conditionalFormatting>
  <conditionalFormatting sqref="G110:N110">
    <cfRule type="expression" priority="9335" dxfId="3">
      <formula>$H110="ETAPA"</formula>
    </cfRule>
  </conditionalFormatting>
  <conditionalFormatting sqref="G112:N112">
    <cfRule type="expression" priority="9334" dxfId="3">
      <formula>$H112="ETAPA"</formula>
    </cfRule>
  </conditionalFormatting>
  <conditionalFormatting sqref="G114:N114">
    <cfRule type="expression" priority="9333" dxfId="3">
      <formula>$H114="ETAPA"</formula>
    </cfRule>
  </conditionalFormatting>
  <conditionalFormatting sqref="G116:N116">
    <cfRule type="expression" priority="9332" dxfId="3">
      <formula>$H116="ETAPA"</formula>
    </cfRule>
  </conditionalFormatting>
  <conditionalFormatting sqref="G118:N118">
    <cfRule type="expression" priority="9331" dxfId="3">
      <formula>$H118="ETAPA"</formula>
    </cfRule>
  </conditionalFormatting>
  <conditionalFormatting sqref="G120:N120">
    <cfRule type="expression" priority="9330" dxfId="3">
      <formula>$H120="ETAPA"</formula>
    </cfRule>
  </conditionalFormatting>
  <conditionalFormatting sqref="G131:N131">
    <cfRule type="expression" priority="9329" dxfId="3">
      <formula>$H131="ETAPA"</formula>
    </cfRule>
  </conditionalFormatting>
  <conditionalFormatting sqref="G139:N139">
    <cfRule type="expression" priority="9328" dxfId="3">
      <formula>$H139="ETAPA"</formula>
    </cfRule>
  </conditionalFormatting>
  <conditionalFormatting sqref="G177:N177">
    <cfRule type="expression" priority="9327" dxfId="3">
      <formula>$H177="ETAPA"</formula>
    </cfRule>
  </conditionalFormatting>
  <conditionalFormatting sqref="G186:N186">
    <cfRule type="expression" priority="9326" dxfId="3">
      <formula>$H186="ETAPA"</formula>
    </cfRule>
  </conditionalFormatting>
  <conditionalFormatting sqref="G195:N195">
    <cfRule type="expression" priority="9325" dxfId="3">
      <formula>$H195="ETAPA"</formula>
    </cfRule>
  </conditionalFormatting>
  <conditionalFormatting sqref="G204:N204">
    <cfRule type="expression" priority="9324" dxfId="3">
      <formula>$H204="ETAPA"</formula>
    </cfRule>
  </conditionalFormatting>
  <conditionalFormatting sqref="G213:N213">
    <cfRule type="expression" priority="9323" dxfId="3">
      <formula>$H213="ETAPA"</formula>
    </cfRule>
  </conditionalFormatting>
  <conditionalFormatting sqref="G274:N274">
    <cfRule type="expression" priority="9322" dxfId="3">
      <formula>$H274="ETAPA"</formula>
    </cfRule>
  </conditionalFormatting>
  <conditionalFormatting sqref="G323:N323">
    <cfRule type="expression" priority="5043" dxfId="5">
      <formula>$H323="CÉLULA CONSTRUTIVA"</formula>
    </cfRule>
  </conditionalFormatting>
  <conditionalFormatting sqref="G331:N331 G333:N333 G335:N335 G337:N337 G339:N339 G341:N341 G343:N343">
    <cfRule type="expression" priority="5001" dxfId="5">
      <formula>$H331="CÉLULA CONSTRUTIVA"</formula>
    </cfRule>
  </conditionalFormatting>
  <conditionalFormatting sqref="G346:N346">
    <cfRule type="expression" priority="9321" dxfId="4">
      <formula>$H346="SUBETAPA"</formula>
    </cfRule>
  </conditionalFormatting>
  <conditionalFormatting sqref="G115:O115">
    <cfRule type="expression" priority="9320" dxfId="3">
      <formula>$H115="ETAPA"</formula>
    </cfRule>
  </conditionalFormatting>
  <conditionalFormatting sqref="H26:H27">
    <cfRule type="expression" priority="9318" dxfId="3">
      <formula>$H26="ETAPA"</formula>
    </cfRule>
    <cfRule type="expression" priority="9319" dxfId="4">
      <formula>$H26="SUBETAPA"</formula>
    </cfRule>
  </conditionalFormatting>
  <conditionalFormatting sqref="H42:H43">
    <cfRule type="expression" priority="9315" dxfId="3">
      <formula>$H42="ETAPA"</formula>
    </cfRule>
    <cfRule type="expression" priority="9316" dxfId="4">
      <formula>$H42="SUBETAPA"</formula>
    </cfRule>
  </conditionalFormatting>
  <conditionalFormatting sqref="H80:H92">
    <cfRule type="expression" priority="9310" dxfId="3">
      <formula>$H80="ETAPA"</formula>
    </cfRule>
    <cfRule type="expression" priority="9311" dxfId="4">
      <formula>$H80="SUBETAPA"</formula>
    </cfRule>
    <cfRule type="expression" priority="9308" dxfId="5">
      <formula>$H80="CÉLULA CONSTRUTIVA"</formula>
    </cfRule>
  </conditionalFormatting>
  <conditionalFormatting sqref="H914:H919 H947:H951 H954:H958 H961:H965 H968:H972 H975:H979">
    <cfRule type="expression" priority="9270" dxfId="4">
      <formula>$H914="SUBETAPA"</formula>
    </cfRule>
  </conditionalFormatting>
  <conditionalFormatting sqref="H914:H921">
    <cfRule type="expression" priority="9305" dxfId="3">
      <formula>$H914="ETAPA"</formula>
    </cfRule>
  </conditionalFormatting>
  <conditionalFormatting sqref="H914:H1001">
    <cfRule type="expression" priority="9260" dxfId="5">
      <formula>$H914="CÉLULA CONSTRUTIVA"</formula>
    </cfRule>
  </conditionalFormatting>
  <conditionalFormatting sqref="H920:H921">
    <cfRule type="expression" priority="9306" dxfId="4">
      <formula>$H920="SUBETAPA"</formula>
    </cfRule>
  </conditionalFormatting>
  <conditionalFormatting sqref="H922:H924 H927:H929 H932:H934 H937:H939 H942:H944 H982:H984 H994:H996">
    <cfRule type="expression" priority="10500" dxfId="4">
      <formula>$H922="SUBETAPA"</formula>
    </cfRule>
  </conditionalFormatting>
  <conditionalFormatting sqref="H925:H926">
    <cfRule type="expression" priority="9303" dxfId="4">
      <formula>$H925="SUBETAPA"</formula>
    </cfRule>
    <cfRule type="expression" priority="9302" dxfId="3">
      <formula>$H925="ETAPA"</formula>
    </cfRule>
  </conditionalFormatting>
  <conditionalFormatting sqref="H930:H931">
    <cfRule type="expression" priority="9300" dxfId="4">
      <formula>$H930="SUBETAPA"</formula>
    </cfRule>
    <cfRule type="expression" priority="9299" dxfId="3">
      <formula>$H930="ETAPA"</formula>
    </cfRule>
  </conditionalFormatting>
  <conditionalFormatting sqref="H935:H936">
    <cfRule type="expression" priority="9297" dxfId="4">
      <formula>$H935="SUBETAPA"</formula>
    </cfRule>
    <cfRule type="expression" priority="9296" dxfId="3">
      <formula>$H935="ETAPA"</formula>
    </cfRule>
  </conditionalFormatting>
  <conditionalFormatting sqref="H940:H941">
    <cfRule type="expression" priority="9294" dxfId="4">
      <formula>$H940="SUBETAPA"</formula>
    </cfRule>
    <cfRule type="expression" priority="9293" dxfId="3">
      <formula>$H940="ETAPA"</formula>
    </cfRule>
  </conditionalFormatting>
  <conditionalFormatting sqref="H945:H946">
    <cfRule type="expression" priority="9291" dxfId="4">
      <formula>$H945="SUBETAPA"</formula>
    </cfRule>
  </conditionalFormatting>
  <conditionalFormatting sqref="H945:H981">
    <cfRule type="expression" priority="9275" dxfId="3">
      <formula>$H945="ETAPA"</formula>
    </cfRule>
  </conditionalFormatting>
  <conditionalFormatting sqref="H952:H953">
    <cfRule type="expression" priority="9288" dxfId="4">
      <formula>$H952="SUBETAPA"</formula>
    </cfRule>
  </conditionalFormatting>
  <conditionalFormatting sqref="H959:H960">
    <cfRule type="expression" priority="9285" dxfId="4">
      <formula>$H959="SUBETAPA"</formula>
    </cfRule>
  </conditionalFormatting>
  <conditionalFormatting sqref="H966:H967">
    <cfRule type="expression" priority="9282" dxfId="4">
      <formula>$H966="SUBETAPA"</formula>
    </cfRule>
  </conditionalFormatting>
  <conditionalFormatting sqref="H973:H974">
    <cfRule type="expression" priority="9279" dxfId="4">
      <formula>$H973="SUBETAPA"</formula>
    </cfRule>
  </conditionalFormatting>
  <conditionalFormatting sqref="H980:H981">
    <cfRule type="expression" priority="9276" dxfId="4">
      <formula>$H980="SUBETAPA"</formula>
    </cfRule>
  </conditionalFormatting>
  <conditionalFormatting sqref="H985:H986">
    <cfRule type="expression" priority="9273" dxfId="4">
      <formula>$H985="SUBETAPA"</formula>
    </cfRule>
  </conditionalFormatting>
  <conditionalFormatting sqref="H985:H991">
    <cfRule type="expression" priority="9272" dxfId="3">
      <formula>$H985="ETAPA"</formula>
    </cfRule>
  </conditionalFormatting>
  <conditionalFormatting sqref="H987:H993">
    <cfRule type="expression" priority="9268" dxfId="4">
      <formula>$H987="SUBETAPA"</formula>
    </cfRule>
  </conditionalFormatting>
  <conditionalFormatting sqref="H992:H993">
    <cfRule type="expression" priority="9267" dxfId="3">
      <formula>$H992="ETAPA"</formula>
    </cfRule>
  </conditionalFormatting>
  <conditionalFormatting sqref="H997:H1001">
    <cfRule type="expression" priority="9261" dxfId="3">
      <formula>$H997="ETAPA"</formula>
    </cfRule>
    <cfRule type="expression" priority="9262" dxfId="4">
      <formula>$H997="SUBETAPA"</formula>
    </cfRule>
  </conditionalFormatting>
  <conditionalFormatting sqref="H1013:H1128 H1135:H1148 H1153:H1155 H1160:H1162 H1165:H1172">
    <cfRule type="expression" priority="9184" dxfId="5">
      <formula>$H1013="CÉLULA CONSTRUTIVA"</formula>
    </cfRule>
  </conditionalFormatting>
  <conditionalFormatting sqref="H1013:H1128 H1145:H1148 H1151:H1155 H1158:H1162 H1165:H1167 H1169:H1172">
    <cfRule type="expression" priority="9185" dxfId="4">
      <formula>$H1013="SUBETAPA"</formula>
    </cfRule>
  </conditionalFormatting>
  <conditionalFormatting sqref="H1013:H1129">
    <cfRule type="expression" priority="9251" dxfId="3">
      <formula>$H1013="ETAPA"</formula>
    </cfRule>
  </conditionalFormatting>
  <conditionalFormatting sqref="H1129">
    <cfRule type="expression" priority="9252" dxfId="4">
      <formula>$H1129="SUBETAPA"</formula>
    </cfRule>
  </conditionalFormatting>
  <conditionalFormatting sqref="H1129:H1131 J1130:L1130">
    <cfRule type="expression" priority="9248" dxfId="5">
      <formula>$H1129="CÉLULA CONSTRUTIVA"</formula>
    </cfRule>
  </conditionalFormatting>
  <conditionalFormatting sqref="H1130 J1130:L1130">
    <cfRule type="expression" priority="9247" dxfId="3">
      <formula>$H1130="ETAPA"</formula>
    </cfRule>
  </conditionalFormatting>
  <conditionalFormatting sqref="H1132">
    <cfRule type="expression" priority="9245" dxfId="3">
      <formula>$H1132="ETAPA"</formula>
    </cfRule>
    <cfRule type="expression" priority="9246" dxfId="4">
      <formula>$H1132="SUBETAPA"</formula>
    </cfRule>
  </conditionalFormatting>
  <conditionalFormatting sqref="H1132:H1134 J1133:L1133">
    <cfRule type="expression" priority="9242" dxfId="5">
      <formula>$H1132="CÉLULA CONSTRUTIVA"</formula>
    </cfRule>
  </conditionalFormatting>
  <conditionalFormatting sqref="H1133 J1133:L1133">
    <cfRule type="expression" priority="9241" dxfId="3">
      <formula>$H1133="ETAPA"</formula>
    </cfRule>
  </conditionalFormatting>
  <conditionalFormatting sqref="H1135">
    <cfRule type="expression" priority="9239" dxfId="3">
      <formula>$H1135="ETAPA"</formula>
    </cfRule>
    <cfRule type="expression" priority="9240" dxfId="4">
      <formula>$H1135="SUBETAPA"</formula>
    </cfRule>
  </conditionalFormatting>
  <conditionalFormatting sqref="H1136:H1138">
    <cfRule type="expression" priority="9235" dxfId="4">
      <formula>$H1136="SUBETAPA"</formula>
    </cfRule>
  </conditionalFormatting>
  <conditionalFormatting sqref="H1138">
    <cfRule type="expression" priority="9234" dxfId="3">
      <formula>$H1138="ETAPA"</formula>
    </cfRule>
  </conditionalFormatting>
  <conditionalFormatting sqref="H1139:H1141">
    <cfRule type="expression" priority="9230" dxfId="4">
      <formula>$H1139="SUBETAPA"</formula>
    </cfRule>
  </conditionalFormatting>
  <conditionalFormatting sqref="H1141">
    <cfRule type="expression" priority="9229" dxfId="3">
      <formula>$H1141="ETAPA"</formula>
    </cfRule>
  </conditionalFormatting>
  <conditionalFormatting sqref="H1142:H1144">
    <cfRule type="expression" priority="9225" dxfId="4">
      <formula>$H1142="SUBETAPA"</formula>
    </cfRule>
  </conditionalFormatting>
  <conditionalFormatting sqref="H1144">
    <cfRule type="expression" priority="9224" dxfId="3">
      <formula>$H1144="ETAPA"</formula>
    </cfRule>
  </conditionalFormatting>
  <conditionalFormatting sqref="H1146:H1149">
    <cfRule type="expression" priority="9219" dxfId="3">
      <formula>$H1146="ETAPA"</formula>
    </cfRule>
  </conditionalFormatting>
  <conditionalFormatting sqref="H1149">
    <cfRule type="expression" priority="9220" dxfId="4">
      <formula>$H1149="SUBETAPA"</formula>
    </cfRule>
  </conditionalFormatting>
  <conditionalFormatting sqref="H1150 J1150:L1150">
    <cfRule type="expression" priority="9217" dxfId="4">
      <formula>$H1150="SUBETAPA"</formula>
    </cfRule>
  </conditionalFormatting>
  <conditionalFormatting sqref="H1151 J1151:L1151">
    <cfRule type="expression" priority="9215" dxfId="3">
      <formula>$H1151="ETAPA"</formula>
    </cfRule>
  </conditionalFormatting>
  <conditionalFormatting sqref="H1156">
    <cfRule type="expression" priority="9211" dxfId="4">
      <formula>$H1156="SUBETAPA"</formula>
    </cfRule>
    <cfRule type="expression" priority="9210" dxfId="3">
      <formula>$H1156="ETAPA"</formula>
    </cfRule>
  </conditionalFormatting>
  <conditionalFormatting sqref="H1157 J1157:L1157">
    <cfRule type="expression" priority="9208" dxfId="4">
      <formula>$H1157="SUBETAPA"</formula>
    </cfRule>
  </conditionalFormatting>
  <conditionalFormatting sqref="H1158 J1158:L1158">
    <cfRule type="expression" priority="9206" dxfId="3">
      <formula>$H1158="ETAPA"</formula>
    </cfRule>
  </conditionalFormatting>
  <conditionalFormatting sqref="H1163">
    <cfRule type="expression" priority="9202" dxfId="4">
      <formula>$H1163="SUBETAPA"</formula>
    </cfRule>
    <cfRule type="expression" priority="9201" dxfId="3">
      <formula>$H1163="ETAPA"</formula>
    </cfRule>
  </conditionalFormatting>
  <conditionalFormatting sqref="H1164 J1164:L1164">
    <cfRule type="expression" priority="9199" dxfId="4">
      <formula>$H1164="SUBETAPA"</formula>
    </cfRule>
  </conditionalFormatting>
  <conditionalFormatting sqref="H1164:H1168">
    <cfRule type="expression" priority="9195" dxfId="3">
      <formula>$H1164="ETAPA"</formula>
    </cfRule>
  </conditionalFormatting>
  <conditionalFormatting sqref="H1168">
    <cfRule type="expression" priority="9196" dxfId="4">
      <formula>$H1168="SUBETAPA"</formula>
    </cfRule>
  </conditionalFormatting>
  <conditionalFormatting sqref="H1170:H1173">
    <cfRule type="expression" priority="9190" dxfId="3">
      <formula>$H1170="ETAPA"</formula>
    </cfRule>
  </conditionalFormatting>
  <conditionalFormatting sqref="H1173">
    <cfRule type="expression" priority="9191" dxfId="4">
      <formula>$H1173="SUBETAPA"</formula>
    </cfRule>
  </conditionalFormatting>
  <conditionalFormatting sqref="H1173:H1174 J1174:L1174">
    <cfRule type="expression" priority="9187" dxfId="5">
      <formula>$H1173="CÉLULA CONSTRUTIVA"</formula>
    </cfRule>
  </conditionalFormatting>
  <conditionalFormatting sqref="H1174 J1174:L1174">
    <cfRule type="expression" priority="9188" dxfId="4">
      <formula>$H1174="SUBETAPA"</formula>
    </cfRule>
  </conditionalFormatting>
  <conditionalFormatting sqref="H1174:H1177 J1174:L1174">
    <cfRule type="expression" priority="9186" dxfId="3">
      <formula>$H1174="ETAPA"</formula>
    </cfRule>
  </conditionalFormatting>
  <conditionalFormatting sqref="H1175:H1178">
    <cfRule type="expression" priority="9183" dxfId="4">
      <formula>$H1175="SUBETAPA"</formula>
    </cfRule>
  </conditionalFormatting>
  <conditionalFormatting sqref="H1175:H1180 J1179:L1179">
    <cfRule type="expression" priority="9179" dxfId="5">
      <formula>$H1175="CÉLULA CONSTRUTIVA"</formula>
    </cfRule>
  </conditionalFormatting>
  <conditionalFormatting sqref="H1178">
    <cfRule type="expression" priority="9182" dxfId="3">
      <formula>$H1178="ETAPA"</formula>
    </cfRule>
  </conditionalFormatting>
  <conditionalFormatting sqref="H1179 J1179:L1179">
    <cfRule type="expression" priority="9178" dxfId="3">
      <formula>$H1179="ETAPA"</formula>
    </cfRule>
  </conditionalFormatting>
  <conditionalFormatting sqref="H1181">
    <cfRule type="expression" priority="9177" dxfId="4">
      <formula>$H1181="SUBETAPA"</formula>
    </cfRule>
    <cfRule type="expression" priority="9176" dxfId="3">
      <formula>$H1181="ETAPA"</formula>
    </cfRule>
  </conditionalFormatting>
  <conditionalFormatting sqref="H1181:H1182 J1182:L1182">
    <cfRule type="expression" priority="9173" dxfId="5">
      <formula>$H1181="CÉLULA CONSTRUTIVA"</formula>
    </cfRule>
  </conditionalFormatting>
  <conditionalFormatting sqref="H1182 J1182:L1182">
    <cfRule type="expression" priority="9174" dxfId="4">
      <formula>$H1182="SUBETAPA"</formula>
    </cfRule>
    <cfRule type="expression" priority="9172" dxfId="3">
      <formula>$H1182="ETAPA"</formula>
    </cfRule>
  </conditionalFormatting>
  <conditionalFormatting sqref="H1193:H1194">
    <cfRule type="expression" priority="9171" dxfId="4">
      <formula>$H1193="SUBETAPA"</formula>
    </cfRule>
  </conditionalFormatting>
  <conditionalFormatting sqref="H1203 J1203:K1203 J1204:J1205 O1203">
    <cfRule type="expression" priority="9170" dxfId="3">
      <formula>$H1203="ETAPA"</formula>
    </cfRule>
  </conditionalFormatting>
  <conditionalFormatting sqref="H1205 J1205:K1205 O1205">
    <cfRule type="expression" priority="9167" dxfId="3">
      <formula>$H1205="ETAPA"</formula>
    </cfRule>
  </conditionalFormatting>
  <conditionalFormatting sqref="H1208:H1209">
    <cfRule type="expression" priority="9165" dxfId="3">
      <formula>$H1208="ETAPA"</formula>
    </cfRule>
    <cfRule type="expression" priority="9164" dxfId="4">
      <formula>$H1208="SUBETAPA"</formula>
    </cfRule>
  </conditionalFormatting>
  <conditionalFormatting sqref="H1213 K1213 O1213">
    <cfRule type="expression" priority="9163" dxfId="3">
      <formula>$H1213="ETAPA"</formula>
    </cfRule>
  </conditionalFormatting>
  <conditionalFormatting sqref="H1213 K1213:L1213 O1213">
    <cfRule type="expression" priority="9162" dxfId="4">
      <formula>$H1213="SUBETAPA"</formula>
    </cfRule>
  </conditionalFormatting>
  <conditionalFormatting sqref="H1215:H1216">
    <cfRule type="expression" priority="9161" dxfId="3">
      <formula>$H1215="ETAPA"</formula>
    </cfRule>
    <cfRule type="expression" priority="9160" dxfId="4">
      <formula>$H1215="SUBETAPA"</formula>
    </cfRule>
  </conditionalFormatting>
  <conditionalFormatting sqref="H1220">
    <cfRule type="expression" priority="9158" dxfId="4">
      <formula>$H1220="SUBETAPA"</formula>
    </cfRule>
    <cfRule type="expression" priority="9159" dxfId="3">
      <formula>$H1220="ETAPA"</formula>
    </cfRule>
  </conditionalFormatting>
  <conditionalFormatting sqref="H1222:H1223">
    <cfRule type="expression" priority="9157" dxfId="3">
      <formula>$H1222="ETAPA"</formula>
    </cfRule>
    <cfRule type="expression" priority="9156" dxfId="4">
      <formula>$H1222="SUBETAPA"</formula>
    </cfRule>
  </conditionalFormatting>
  <conditionalFormatting sqref="H1227">
    <cfRule type="expression" priority="9155" dxfId="3">
      <formula>$H1227="ETAPA"</formula>
    </cfRule>
    <cfRule type="expression" priority="9154" dxfId="4">
      <formula>$H1227="SUBETAPA"</formula>
    </cfRule>
  </conditionalFormatting>
  <conditionalFormatting sqref="H1232:H1233">
    <cfRule type="expression" priority="9152" dxfId="4">
      <formula>$H1232="SUBETAPA"</formula>
    </cfRule>
    <cfRule type="expression" priority="9153" dxfId="3">
      <formula>$H1232="ETAPA"</formula>
    </cfRule>
  </conditionalFormatting>
  <conditionalFormatting sqref="H1242">
    <cfRule type="expression" priority="9150" dxfId="4">
      <formula>$H1242="SUBETAPA"</formula>
    </cfRule>
    <cfRule type="expression" priority="9151" dxfId="3">
      <formula>$H1242="ETAPA"</formula>
    </cfRule>
  </conditionalFormatting>
  <conditionalFormatting sqref="H1242:H1245">
    <cfRule type="expression" priority="9149" dxfId="5">
      <formula>$H1242="CÉLULA CONSTRUTIVA"</formula>
    </cfRule>
  </conditionalFormatting>
  <conditionalFormatting sqref="H1243 H1245">
    <cfRule type="expression" priority="9148" dxfId="3">
      <formula>$H1243="ETAPA"</formula>
    </cfRule>
  </conditionalFormatting>
  <conditionalFormatting sqref="H1243:H1245">
    <cfRule type="expression" priority="9145" dxfId="4">
      <formula>$H1243="SUBETAPA"</formula>
    </cfRule>
  </conditionalFormatting>
  <conditionalFormatting sqref="H1244">
    <cfRule type="expression" priority="9146" dxfId="3">
      <formula>$H1244="ETAPA"</formula>
    </cfRule>
  </conditionalFormatting>
  <conditionalFormatting sqref="H1247:H1248">
    <cfRule type="expression" priority="9144" dxfId="3">
      <formula>$H1247="ETAPA"</formula>
    </cfRule>
    <cfRule type="expression" priority="9143" dxfId="4">
      <formula>$H1247="SUBETAPA"</formula>
    </cfRule>
  </conditionalFormatting>
  <conditionalFormatting sqref="H1252:H1253">
    <cfRule type="expression" priority="9142" dxfId="3">
      <formula>$H1252="ETAPA"</formula>
    </cfRule>
    <cfRule type="expression" priority="9141" dxfId="4">
      <formula>$H1252="SUBETAPA"</formula>
    </cfRule>
  </conditionalFormatting>
  <conditionalFormatting sqref="H1264:H1265">
    <cfRule type="expression" priority="9140" dxfId="3">
      <formula>$H1264="ETAPA"</formula>
    </cfRule>
    <cfRule type="expression" priority="9139" dxfId="4">
      <formula>$H1264="SUBETAPA"</formula>
    </cfRule>
  </conditionalFormatting>
  <conditionalFormatting sqref="H1273">
    <cfRule type="expression" priority="9138" dxfId="3">
      <formula>$H1273="ETAPA"</formula>
    </cfRule>
    <cfRule type="expression" priority="9137" dxfId="4">
      <formula>$H1273="SUBETAPA"</formula>
    </cfRule>
  </conditionalFormatting>
  <conditionalFormatting sqref="H1273:H1278">
    <cfRule type="expression" priority="9136" dxfId="5">
      <formula>$H1273="CÉLULA CONSTRUTIVA"</formula>
    </cfRule>
  </conditionalFormatting>
  <conditionalFormatting sqref="H1274:H1278">
    <cfRule type="expression" priority="9134" dxfId="3">
      <formula>$H1274="ETAPA"</formula>
    </cfRule>
    <cfRule type="expression" priority="9132" dxfId="4">
      <formula>$H1274="SUBETAPA"</formula>
    </cfRule>
  </conditionalFormatting>
  <conditionalFormatting sqref="H1286:H1287">
    <cfRule type="expression" priority="9131" dxfId="3">
      <formula>$H1286="ETAPA"</formula>
    </cfRule>
    <cfRule type="expression" priority="9130" dxfId="4">
      <formula>$H1286="SUBETAPA"</formula>
    </cfRule>
  </conditionalFormatting>
  <conditionalFormatting sqref="H1295 K1295 O1295">
    <cfRule type="expression" priority="9129" dxfId="3">
      <formula>$H1295="ETAPA"</formula>
    </cfRule>
  </conditionalFormatting>
  <conditionalFormatting sqref="H1295 K1295">
    <cfRule type="expression" priority="9128" dxfId="4">
      <formula>$H1295="SUBETAPA"</formula>
    </cfRule>
  </conditionalFormatting>
  <conditionalFormatting sqref="H1296 H1298 J1298:K1298 K1296 O1296 O1298">
    <cfRule type="expression" priority="9126" dxfId="3">
      <formula>$H1296="ETAPA"</formula>
    </cfRule>
  </conditionalFormatting>
  <conditionalFormatting sqref="H1297 K1297 O1297">
    <cfRule type="expression" priority="9124" dxfId="3">
      <formula>$H1297="ETAPA"</formula>
    </cfRule>
  </conditionalFormatting>
  <conditionalFormatting sqref="H1304:H1305">
    <cfRule type="expression" priority="9122" dxfId="4">
      <formula>$H1304="SUBETAPA"</formula>
    </cfRule>
  </conditionalFormatting>
  <conditionalFormatting sqref="H1310:H1311">
    <cfRule type="expression" priority="9121" dxfId="3">
      <formula>$H1310="ETAPA"</formula>
    </cfRule>
    <cfRule type="expression" priority="9120" dxfId="4">
      <formula>$H1310="SUBETAPA"</formula>
    </cfRule>
  </conditionalFormatting>
  <conditionalFormatting sqref="H1317 K1317 O1317">
    <cfRule type="expression" priority="9119" dxfId="3">
      <formula>$H1317="ETAPA"</formula>
    </cfRule>
  </conditionalFormatting>
  <conditionalFormatting sqref="H1317 K1317">
    <cfRule type="expression" priority="9118" dxfId="4">
      <formula>$H1317="SUBETAPA"</formula>
    </cfRule>
  </conditionalFormatting>
  <conditionalFormatting sqref="H1318 H1320 J1320:K1320 K1318 O1318 O1320">
    <cfRule type="expression" priority="9116" dxfId="3">
      <formula>$H1318="ETAPA"</formula>
    </cfRule>
  </conditionalFormatting>
  <conditionalFormatting sqref="H1319 K1319 O1319">
    <cfRule type="expression" priority="9114" dxfId="3">
      <formula>$H1319="ETAPA"</formula>
    </cfRule>
  </conditionalFormatting>
  <conditionalFormatting sqref="H1329:H1330">
    <cfRule type="expression" priority="9112" dxfId="3">
      <formula>$H1329="ETAPA"</formula>
    </cfRule>
    <cfRule type="expression" priority="9111" dxfId="4">
      <formula>$H1329="SUBETAPA"</formula>
    </cfRule>
  </conditionalFormatting>
  <conditionalFormatting sqref="H1335 K1335 O1335">
    <cfRule type="expression" priority="9110" dxfId="3">
      <formula>$H1335="ETAPA"</formula>
    </cfRule>
  </conditionalFormatting>
  <conditionalFormatting sqref="H1336 K1336 O1336">
    <cfRule type="expression" priority="9108" dxfId="3">
      <formula>$H1336="ETAPA"</formula>
    </cfRule>
  </conditionalFormatting>
  <conditionalFormatting sqref="H1337 J1337:K1337 O1337">
    <cfRule type="expression" priority="9106" dxfId="3">
      <formula>$H1337="ETAPA"</formula>
    </cfRule>
  </conditionalFormatting>
  <conditionalFormatting sqref="H1348:H1349">
    <cfRule type="expression" priority="9104" dxfId="3">
      <formula>$H1348="ETAPA"</formula>
    </cfRule>
    <cfRule type="expression" priority="9103" dxfId="4">
      <formula>$H1348="SUBETAPA"</formula>
    </cfRule>
  </conditionalFormatting>
  <conditionalFormatting sqref="H1355 K1355 O1355">
    <cfRule type="expression" priority="9102" dxfId="3">
      <formula>$H1355="ETAPA"</formula>
    </cfRule>
  </conditionalFormatting>
  <conditionalFormatting sqref="H1355 K1355">
    <cfRule type="expression" priority="9101" dxfId="4">
      <formula>$H1355="SUBETAPA"</formula>
    </cfRule>
  </conditionalFormatting>
  <conditionalFormatting sqref="H1356 H1358 J1358:K1358 K1356 O1356 O1358">
    <cfRule type="expression" priority="9099" dxfId="3">
      <formula>$H1356="ETAPA"</formula>
    </cfRule>
  </conditionalFormatting>
  <conditionalFormatting sqref="H1357 K1357 O1357">
    <cfRule type="expression" priority="9097" dxfId="3">
      <formula>$H1357="ETAPA"</formula>
    </cfRule>
  </conditionalFormatting>
  <conditionalFormatting sqref="H1369:H1370">
    <cfRule type="expression" priority="9095" dxfId="3">
      <formula>$H1369="ETAPA"</formula>
    </cfRule>
    <cfRule type="expression" priority="9094" dxfId="4">
      <formula>$H1369="SUBETAPA"</formula>
    </cfRule>
  </conditionalFormatting>
  <conditionalFormatting sqref="H1376 K1376 O1376">
    <cfRule type="expression" priority="9093" dxfId="3">
      <formula>$H1376="ETAPA"</formula>
    </cfRule>
  </conditionalFormatting>
  <conditionalFormatting sqref="H1376 K1376">
    <cfRule type="expression" priority="9092" dxfId="4">
      <formula>$H1376="SUBETAPA"</formula>
    </cfRule>
  </conditionalFormatting>
  <conditionalFormatting sqref="H1377 H1379 J1379:K1379 K1377 O1377 O1379">
    <cfRule type="expression" priority="9090" dxfId="3">
      <formula>$H1377="ETAPA"</formula>
    </cfRule>
  </conditionalFormatting>
  <conditionalFormatting sqref="H1378 K1378 O1378">
    <cfRule type="expression" priority="9088" dxfId="3">
      <formula>$H1378="ETAPA"</formula>
    </cfRule>
  </conditionalFormatting>
  <conditionalFormatting sqref="H1385:H1386">
    <cfRule type="expression" priority="9086" dxfId="4">
      <formula>$H1385="SUBETAPA"</formula>
    </cfRule>
  </conditionalFormatting>
  <conditionalFormatting sqref="H1393:H1394">
    <cfRule type="expression" priority="9085" dxfId="3">
      <formula>$H1393="ETAPA"</formula>
    </cfRule>
    <cfRule type="expression" priority="9084" dxfId="4">
      <formula>$H1393="SUBETAPA"</formula>
    </cfRule>
  </conditionalFormatting>
  <conditionalFormatting sqref="H1400 K1400 O1400">
    <cfRule type="expression" priority="9083" dxfId="3">
      <formula>$H1400="ETAPA"</formula>
    </cfRule>
  </conditionalFormatting>
  <conditionalFormatting sqref="H1400 K1400">
    <cfRule type="expression" priority="9082" dxfId="4">
      <formula>$H1400="SUBETAPA"</formula>
    </cfRule>
  </conditionalFormatting>
  <conditionalFormatting sqref="H1401 H1403 J1403:K1403 K1401 O1401 O1403">
    <cfRule type="expression" priority="9080" dxfId="3">
      <formula>$H1401="ETAPA"</formula>
    </cfRule>
  </conditionalFormatting>
  <conditionalFormatting sqref="H1402 K1402 O1402">
    <cfRule type="expression" priority="9078" dxfId="3">
      <formula>$H1402="ETAPA"</formula>
    </cfRule>
  </conditionalFormatting>
  <conditionalFormatting sqref="H1409:H1410">
    <cfRule type="expression" priority="9076" dxfId="4">
      <formula>$H1409="SUBETAPA"</formula>
    </cfRule>
  </conditionalFormatting>
  <conditionalFormatting sqref="H1413:H1414">
    <cfRule type="expression" priority="9075" dxfId="3">
      <formula>$H1413="ETAPA"</formula>
    </cfRule>
    <cfRule type="expression" priority="9074" dxfId="4">
      <formula>$H1413="SUBETAPA"</formula>
    </cfRule>
  </conditionalFormatting>
  <conditionalFormatting sqref="H1418 K1418 O1418">
    <cfRule type="expression" priority="9073" dxfId="3">
      <formula>$H1418="ETAPA"</formula>
    </cfRule>
  </conditionalFormatting>
  <conditionalFormatting sqref="H1419 K1419 O1419">
    <cfRule type="expression" priority="9071" dxfId="3">
      <formula>$H1419="ETAPA"</formula>
    </cfRule>
  </conditionalFormatting>
  <conditionalFormatting sqref="H1420 K1420 O1420">
    <cfRule type="expression" priority="9069" dxfId="3">
      <formula>$H1420="ETAPA"</formula>
    </cfRule>
  </conditionalFormatting>
  <conditionalFormatting sqref="H1430 K1430 O1430">
    <cfRule type="expression" priority="9067" dxfId="3">
      <formula>$H1430="ETAPA"</formula>
    </cfRule>
  </conditionalFormatting>
  <conditionalFormatting sqref="H1431 K1431 O1431">
    <cfRule type="expression" priority="9065" dxfId="3">
      <formula>$H1431="ETAPA"</formula>
    </cfRule>
  </conditionalFormatting>
  <conditionalFormatting sqref="H1432 K1432 O1432">
    <cfRule type="expression" priority="9063" dxfId="3">
      <formula>$H1432="ETAPA"</formula>
    </cfRule>
  </conditionalFormatting>
  <conditionalFormatting sqref="H1435 J1435:L1435 L1436:L1440">
    <cfRule type="expression" priority="8666" dxfId="4">
      <formula>$H1435="SUBETAPA"</formula>
    </cfRule>
  </conditionalFormatting>
  <conditionalFormatting sqref="H1435 J1435:M1435">
    <cfRule type="expression" priority="8665" dxfId="5">
      <formula>$H1435="CÉLULA CONSTRUTIVA"</formula>
    </cfRule>
  </conditionalFormatting>
  <conditionalFormatting sqref="H1437:H1440 J1437:J1440">
    <cfRule type="expression" priority="8664" dxfId="4">
      <formula>$H1437="SUBETAPA"</formula>
    </cfRule>
  </conditionalFormatting>
  <conditionalFormatting sqref="H1437:H1440">
    <cfRule type="expression" priority="8662" dxfId="5">
      <formula>$H1437="CÉLULA CONSTRUTIVA"</formula>
    </cfRule>
    <cfRule type="expression" priority="8663" dxfId="3">
      <formula>$H1437="ETAPA"</formula>
    </cfRule>
  </conditionalFormatting>
  <conditionalFormatting sqref="H1446 J1446:K1446">
    <cfRule type="expression" priority="8661" dxfId="5">
      <formula>$H1446="CÉLULA CONSTRUTIVA"</formula>
    </cfRule>
    <cfRule type="expression" priority="8660" dxfId="4">
      <formula>$H1446="SUBETAPA"</formula>
    </cfRule>
  </conditionalFormatting>
  <conditionalFormatting sqref="H1448:H1449 H1458 H1467 H1474 H1481:H1482 H1489:H1490 H1499:H1500 H1507:H1509 H1518:H1520 H1551:H1553 H1562:H1563 J1448:K1449 J1458:K1458 J1467:K1467 J1474:K1474 J1562:K1563">
    <cfRule type="expression" priority="10198" dxfId="3">
      <formula>$H1448="ETAPA"</formula>
    </cfRule>
  </conditionalFormatting>
  <conditionalFormatting sqref="H1456 J1456:K1456">
    <cfRule type="expression" priority="8659" dxfId="5">
      <formula>$H1456="CÉLULA CONSTRUTIVA"</formula>
    </cfRule>
    <cfRule type="expression" priority="8658" dxfId="4">
      <formula>$H1456="SUBETAPA"</formula>
    </cfRule>
  </conditionalFormatting>
  <conditionalFormatting sqref="H1448:H1449 H1458:H1461 H1467:H1468 H1474:H1475 H1481:H1483 H1489:H1493 H1499:H1500 H1507:H1509 H1518:H1520 H1551:H1553 H1562:H1563">
    <cfRule type="expression" priority="10197" dxfId="5">
      <formula>$H1448="CÉLULA CONSTRUTIVA"</formula>
    </cfRule>
  </conditionalFormatting>
  <conditionalFormatting sqref="H1459:H1462 J1462:M1462">
    <cfRule type="expression" priority="8657" dxfId="4">
      <formula>$H1459="SUBETAPA"</formula>
    </cfRule>
  </conditionalFormatting>
  <conditionalFormatting sqref="H1462 J1462:M1462">
    <cfRule type="expression" priority="8656" dxfId="5">
      <formula>$H1462="CÉLULA CONSTRUTIVA"</formula>
    </cfRule>
  </conditionalFormatting>
  <conditionalFormatting sqref="H1462">
    <cfRule type="expression" priority="8655" dxfId="3">
      <formula>$H1462="ETAPA"</formula>
    </cfRule>
  </conditionalFormatting>
  <conditionalFormatting sqref="H1465 J1465:K1465">
    <cfRule type="expression" priority="8653" dxfId="4">
      <formula>$H1465="SUBETAPA"</formula>
    </cfRule>
    <cfRule type="expression" priority="8654" dxfId="5">
      <formula>$H1465="CÉLULA CONSTRUTIVA"</formula>
    </cfRule>
  </conditionalFormatting>
  <conditionalFormatting sqref="H1468:H1469 J1469:M1469">
    <cfRule type="expression" priority="8652" dxfId="4">
      <formula>$H1468="SUBETAPA"</formula>
    </cfRule>
  </conditionalFormatting>
  <conditionalFormatting sqref="H1469 J1469:M1469">
    <cfRule type="expression" priority="8651" dxfId="5">
      <formula>$H1469="CÉLULA CONSTRUTIVA"</formula>
    </cfRule>
  </conditionalFormatting>
  <conditionalFormatting sqref="H1469">
    <cfRule type="expression" priority="8650" dxfId="3">
      <formula>$H1469="ETAPA"</formula>
    </cfRule>
  </conditionalFormatting>
  <conditionalFormatting sqref="H1472 J1472:K1472">
    <cfRule type="expression" priority="8649" dxfId="5">
      <formula>$H1472="CÉLULA CONSTRUTIVA"</formula>
    </cfRule>
    <cfRule type="expression" priority="8648" dxfId="4">
      <formula>$H1472="SUBETAPA"</formula>
    </cfRule>
  </conditionalFormatting>
  <conditionalFormatting sqref="H1475:H1476 J1476:M1476">
    <cfRule type="expression" priority="8647" dxfId="4">
      <formula>$H1475="SUBETAPA"</formula>
    </cfRule>
  </conditionalFormatting>
  <conditionalFormatting sqref="H1476 J1476:M1476">
    <cfRule type="expression" priority="8646" dxfId="5">
      <formula>$H1476="CÉLULA CONSTRUTIVA"</formula>
    </cfRule>
  </conditionalFormatting>
  <conditionalFormatting sqref="H1476">
    <cfRule type="expression" priority="8645" dxfId="3">
      <formula>$H1476="ETAPA"</formula>
    </cfRule>
  </conditionalFormatting>
  <conditionalFormatting sqref="H1479 J1479:K1479 L1480">
    <cfRule type="expression" priority="8644" dxfId="5">
      <formula>$H1479="CÉLULA CONSTRUTIVA"</formula>
    </cfRule>
  </conditionalFormatting>
  <conditionalFormatting sqref="H1479 J1479:K1479">
    <cfRule type="expression" priority="8643" dxfId="4">
      <formula>$H1479="SUBETAPA"</formula>
    </cfRule>
  </conditionalFormatting>
  <conditionalFormatting sqref="H1483:H1484 J1484:M1484">
    <cfRule type="expression" priority="8642" dxfId="4">
      <formula>$H1483="SUBETAPA"</formula>
    </cfRule>
  </conditionalFormatting>
  <conditionalFormatting sqref="H1484 J1484:M1484">
    <cfRule type="expression" priority="8641" dxfId="5">
      <formula>$H1484="CÉLULA CONSTRUTIVA"</formula>
    </cfRule>
  </conditionalFormatting>
  <conditionalFormatting sqref="H1484">
    <cfRule type="expression" priority="8640" dxfId="3">
      <formula>$H1484="ETAPA"</formula>
    </cfRule>
  </conditionalFormatting>
  <conditionalFormatting sqref="H1487 J1487:K1487 L1488">
    <cfRule type="expression" priority="8639" dxfId="5">
      <formula>$H1487="CÉLULA CONSTRUTIVA"</formula>
    </cfRule>
  </conditionalFormatting>
  <conditionalFormatting sqref="H1487 J1487:K1487">
    <cfRule type="expression" priority="8638" dxfId="4">
      <formula>$H1487="SUBETAPA"</formula>
    </cfRule>
  </conditionalFormatting>
  <conditionalFormatting sqref="H1491:H1494 J1494:M1494">
    <cfRule type="expression" priority="8637" dxfId="4">
      <formula>$H1491="SUBETAPA"</formula>
    </cfRule>
  </conditionalFormatting>
  <conditionalFormatting sqref="H1494 J1494:M1494">
    <cfRule type="expression" priority="8636" dxfId="5">
      <formula>$H1494="CÉLULA CONSTRUTIVA"</formula>
    </cfRule>
  </conditionalFormatting>
  <conditionalFormatting sqref="H1494">
    <cfRule type="expression" priority="8635" dxfId="3">
      <formula>$H1494="ETAPA"</formula>
    </cfRule>
  </conditionalFormatting>
  <conditionalFormatting sqref="H1497 J1497:K1497 L1498">
    <cfRule type="expression" priority="8634" dxfId="5">
      <formula>$H1497="CÉLULA CONSTRUTIVA"</formula>
    </cfRule>
  </conditionalFormatting>
  <conditionalFormatting sqref="H1497 J1497:K1497">
    <cfRule type="expression" priority="8633" dxfId="4">
      <formula>$H1497="SUBETAPA"</formula>
    </cfRule>
  </conditionalFormatting>
  <conditionalFormatting sqref="H1505 J1505:K1505 L1506">
    <cfRule type="expression" priority="8632" dxfId="5">
      <formula>$H1505="CÉLULA CONSTRUTIVA"</formula>
    </cfRule>
  </conditionalFormatting>
  <conditionalFormatting sqref="H1505 J1505:K1505">
    <cfRule type="expression" priority="8631" dxfId="4">
      <formula>$H1505="SUBETAPA"</formula>
    </cfRule>
  </conditionalFormatting>
  <conditionalFormatting sqref="H1516 J1516:K1516 L1517">
    <cfRule type="expression" priority="8630" dxfId="5">
      <formula>$H1516="CÉLULA CONSTRUTIVA"</formula>
    </cfRule>
  </conditionalFormatting>
  <conditionalFormatting sqref="H1516 J1516:K1516">
    <cfRule type="expression" priority="8629" dxfId="4">
      <formula>$H1516="SUBETAPA"</formula>
    </cfRule>
  </conditionalFormatting>
  <conditionalFormatting sqref="H1527 J1527:K1527 L1528">
    <cfRule type="expression" priority="8628" dxfId="5">
      <formula>$H1527="CÉLULA CONSTRUTIVA"</formula>
    </cfRule>
  </conditionalFormatting>
  <conditionalFormatting sqref="H1527 J1527:K1527">
    <cfRule type="expression" priority="8627" dxfId="4">
      <formula>$H1527="SUBETAPA"</formula>
    </cfRule>
  </conditionalFormatting>
  <conditionalFormatting sqref="H1538 J1538:K1538 L1539">
    <cfRule type="expression" priority="8626" dxfId="5">
      <formula>$H1538="CÉLULA CONSTRUTIVA"</formula>
    </cfRule>
  </conditionalFormatting>
  <conditionalFormatting sqref="H1538 J1538:K1538">
    <cfRule type="expression" priority="8625" dxfId="4">
      <formula>$H1538="SUBETAPA"</formula>
    </cfRule>
  </conditionalFormatting>
  <conditionalFormatting sqref="H1549 J1549:K1549 L1550">
    <cfRule type="expression" priority="8621" dxfId="5">
      <formula>$H1549="CÉLULA CONSTRUTIVA"</formula>
    </cfRule>
  </conditionalFormatting>
  <conditionalFormatting sqref="H1549 J1549:K1549">
    <cfRule type="expression" priority="8620" dxfId="4">
      <formula>$H1549="SUBETAPA"</formula>
    </cfRule>
  </conditionalFormatting>
  <conditionalFormatting sqref="H1560 J1560:K1560 L1561">
    <cfRule type="expression" priority="5719" dxfId="4">
      <formula>$H1560="SUBETAPA"</formula>
    </cfRule>
  </conditionalFormatting>
  <conditionalFormatting sqref="H1567 J1567:K1567 M1567:M1569">
    <cfRule type="expression" priority="8617" dxfId="3">
      <formula>$H1567="ETAPA"</formula>
    </cfRule>
  </conditionalFormatting>
  <conditionalFormatting sqref="G1569:H1569 H1567:H1568 J1567:K1568 J1569:L1569 O1568">
    <cfRule type="expression" priority="8614" dxfId="4">
      <formula>$H1567="SUBETAPA"</formula>
    </cfRule>
  </conditionalFormatting>
  <conditionalFormatting sqref="H1568 J1568:L1569">
    <cfRule type="expression" priority="8615" dxfId="5">
      <formula>$H1568="CÉLULA CONSTRUTIVA"</formula>
    </cfRule>
  </conditionalFormatting>
  <conditionalFormatting sqref="H1568">
    <cfRule type="expression" priority="8613" dxfId="3">
      <formula>$H1568="ETAPA"</formula>
    </cfRule>
  </conditionalFormatting>
  <conditionalFormatting sqref="H1573 J1573:K1573 M1573:M1575">
    <cfRule type="expression" priority="8611" dxfId="3">
      <formula>$H1573="ETAPA"</formula>
    </cfRule>
  </conditionalFormatting>
  <conditionalFormatting sqref="G1575:H1575 H1573:H1574 J1573:K1574 J1575:L1575 O1574">
    <cfRule type="expression" priority="8608" dxfId="4">
      <formula>$H1573="SUBETAPA"</formula>
    </cfRule>
  </conditionalFormatting>
  <conditionalFormatting sqref="H1574 J1574:L1575">
    <cfRule type="expression" priority="8609" dxfId="5">
      <formula>$H1574="CÉLULA CONSTRUTIVA"</formula>
    </cfRule>
  </conditionalFormatting>
  <conditionalFormatting sqref="H1574">
    <cfRule type="expression" priority="8607" dxfId="3">
      <formula>$H1574="ETAPA"</formula>
    </cfRule>
  </conditionalFormatting>
  <conditionalFormatting sqref="H1579 J1579:K1579 M1579:M1581">
    <cfRule type="expression" priority="8605" dxfId="3">
      <formula>$H1579="ETAPA"</formula>
    </cfRule>
  </conditionalFormatting>
  <conditionalFormatting sqref="G1581:H1581 H1579:H1580 J1579:K1580 J1581:L1581 O1580">
    <cfRule type="expression" priority="8602" dxfId="4">
      <formula>$H1579="SUBETAPA"</formula>
    </cfRule>
  </conditionalFormatting>
  <conditionalFormatting sqref="H1580 J1580:L1581">
    <cfRule type="expression" priority="8603" dxfId="5">
      <formula>$H1580="CÉLULA CONSTRUTIVA"</formula>
    </cfRule>
  </conditionalFormatting>
  <conditionalFormatting sqref="H1580">
    <cfRule type="expression" priority="8601" dxfId="3">
      <formula>$H1580="ETAPA"</formula>
    </cfRule>
  </conditionalFormatting>
  <conditionalFormatting sqref="H1583:H1585 J1582:M1583 J1584:K1585 M1584:M1585 O1583">
    <cfRule type="expression" priority="8599" dxfId="4">
      <formula>$H1582="SUBETAPA"</formula>
    </cfRule>
    <cfRule type="expression" priority="6836" dxfId="3">
      <formula>$H1582="ETAPA"</formula>
    </cfRule>
  </conditionalFormatting>
  <conditionalFormatting sqref="H1584:H1586 J1584:M1586 M1587:M1590">
    <cfRule type="expression" priority="8598" dxfId="5">
      <formula>$H1584="CÉLULA CONSTRUTIVA"</formula>
    </cfRule>
  </conditionalFormatting>
  <conditionalFormatting sqref="H1586 J1586:K1586 M1586">
    <cfRule type="expression" priority="8597" dxfId="3">
      <formula>$H1586="ETAPA"</formula>
    </cfRule>
  </conditionalFormatting>
  <conditionalFormatting sqref="H1587 J1587:L1587 O1587">
    <cfRule type="expression" priority="8595" dxfId="3">
      <formula>$H1587="ETAPA"</formula>
    </cfRule>
    <cfRule type="expression" priority="482" dxfId="5">
      <formula>$H1587="CÉLULA CONSTRUTIVA"</formula>
    </cfRule>
  </conditionalFormatting>
  <conditionalFormatting sqref="H1592:H1594 J1591:M1592 J1593:K1594 M1593:M1594 O1592">
    <cfRule type="expression" priority="8591" dxfId="4">
      <formula>$H1591="SUBETAPA"</formula>
    </cfRule>
    <cfRule type="expression" priority="6835" dxfId="3">
      <formula>$H1591="ETAPA"</formula>
    </cfRule>
  </conditionalFormatting>
  <conditionalFormatting sqref="H1593:H1595 J1593:M1595 M1596:M1599">
    <cfRule type="expression" priority="8590" dxfId="5">
      <formula>$H1593="CÉLULA CONSTRUTIVA"</formula>
    </cfRule>
  </conditionalFormatting>
  <conditionalFormatting sqref="H1595 J1595:K1595 M1595">
    <cfRule type="expression" priority="8589" dxfId="3">
      <formula>$H1595="ETAPA"</formula>
    </cfRule>
  </conditionalFormatting>
  <conditionalFormatting sqref="H1596 J1596:L1596 O1596">
    <cfRule type="expression" priority="8587" dxfId="3">
      <formula>$H1596="ETAPA"</formula>
    </cfRule>
    <cfRule type="expression" priority="466" dxfId="5">
      <formula>$H1596="CÉLULA CONSTRUTIVA"</formula>
    </cfRule>
  </conditionalFormatting>
  <conditionalFormatting sqref="H1601:H1603 J1600:M1601 J1602:K1603 M1602:M1603 O1601">
    <cfRule type="expression" priority="8583" dxfId="4">
      <formula>$H1600="SUBETAPA"</formula>
    </cfRule>
    <cfRule type="expression" priority="6834" dxfId="3">
      <formula>$H1600="ETAPA"</formula>
    </cfRule>
  </conditionalFormatting>
  <conditionalFormatting sqref="H1602:H1604 J1602:M1604 M1605:M1608">
    <cfRule type="expression" priority="8582" dxfId="5">
      <formula>$H1602="CÉLULA CONSTRUTIVA"</formula>
    </cfRule>
  </conditionalFormatting>
  <conditionalFormatting sqref="H1604 J1604:K1604 M1604">
    <cfRule type="expression" priority="8581" dxfId="3">
      <formula>$H1604="ETAPA"</formula>
    </cfRule>
  </conditionalFormatting>
  <conditionalFormatting sqref="H1605 J1605:L1605 O1605">
    <cfRule type="expression" priority="8579" dxfId="3">
      <formula>$H1605="ETAPA"</formula>
    </cfRule>
    <cfRule type="expression" priority="450" dxfId="5">
      <formula>$H1605="CÉLULA CONSTRUTIVA"</formula>
    </cfRule>
  </conditionalFormatting>
  <conditionalFormatting sqref="H1610:H1612 J1609:M1610 J1611:K1612 M1611:M1612 O1610">
    <cfRule type="expression" priority="8575" dxfId="4">
      <formula>$H1609="SUBETAPA"</formula>
    </cfRule>
    <cfRule type="expression" priority="6833" dxfId="3">
      <formula>$H1609="ETAPA"</formula>
    </cfRule>
  </conditionalFormatting>
  <conditionalFormatting sqref="H1611:H1613 J1611:M1613 M1614:M1617">
    <cfRule type="expression" priority="8574" dxfId="5">
      <formula>$H1611="CÉLULA CONSTRUTIVA"</formula>
    </cfRule>
  </conditionalFormatting>
  <conditionalFormatting sqref="H1613 J1613:K1613 M1613">
    <cfRule type="expression" priority="8573" dxfId="3">
      <formula>$H1613="ETAPA"</formula>
    </cfRule>
  </conditionalFormatting>
  <conditionalFormatting sqref="H1614 J1614:L1614 O1614">
    <cfRule type="expression" priority="8571" dxfId="3">
      <formula>$H1614="ETAPA"</formula>
    </cfRule>
    <cfRule type="expression" priority="434" dxfId="5">
      <formula>$H1614="CÉLULA CONSTRUTIVA"</formula>
    </cfRule>
  </conditionalFormatting>
  <conditionalFormatting sqref="H1619:H1621 J1618:M1619 J1620:K1621 M1620:M1621 O1619">
    <cfRule type="expression" priority="8567" dxfId="4">
      <formula>$H1618="SUBETAPA"</formula>
    </cfRule>
    <cfRule type="expression" priority="6832" dxfId="3">
      <formula>$H1618="ETAPA"</formula>
    </cfRule>
  </conditionalFormatting>
  <conditionalFormatting sqref="H1620:H1622 J1620:M1622">
    <cfRule type="expression" priority="8566" dxfId="5">
      <formula>$H1620="CÉLULA CONSTRUTIVA"</formula>
    </cfRule>
  </conditionalFormatting>
  <conditionalFormatting sqref="H1622 J1622:K1622 M1622:M1624">
    <cfRule type="expression" priority="8565" dxfId="3">
      <formula>$H1622="ETAPA"</formula>
    </cfRule>
  </conditionalFormatting>
  <conditionalFormatting sqref="G1624:H1624 H1622:H1623 J1622:K1624 O1623">
    <cfRule type="expression" priority="8561" dxfId="4">
      <formula>$H1622="SUBETAPA"</formula>
    </cfRule>
  </conditionalFormatting>
  <conditionalFormatting sqref="H1623 J1624:K1624">
    <cfRule type="expression" priority="8563" dxfId="3">
      <formula>$H1623="ETAPA"</formula>
    </cfRule>
  </conditionalFormatting>
  <conditionalFormatting sqref="H1623 J1623:L1623">
    <cfRule type="expression" priority="8562" dxfId="5">
      <formula>$H1623="CÉLULA CONSTRUTIVA"</formula>
    </cfRule>
  </conditionalFormatting>
  <conditionalFormatting sqref="H1632 J1632:K1632">
    <cfRule type="expression" priority="8559" dxfId="3">
      <formula>$H1632="ETAPA"</formula>
    </cfRule>
  </conditionalFormatting>
  <conditionalFormatting sqref="H1632:H1633">
    <cfRule type="expression" priority="8556" dxfId="4">
      <formula>$H1632="SUBETAPA"</formula>
    </cfRule>
  </conditionalFormatting>
  <conditionalFormatting sqref="H1633 J1633">
    <cfRule type="expression" priority="8557" dxfId="3">
      <formula>$H1633="ETAPA"</formula>
    </cfRule>
  </conditionalFormatting>
  <conditionalFormatting sqref="H1635 J1635:K1635">
    <cfRule type="expression" priority="8555" dxfId="4">
      <formula>$H1635="SUBETAPA"</formula>
    </cfRule>
    <cfRule type="expression" priority="8554" dxfId="5">
      <formula>$H1635="CÉLULA CONSTRUTIVA"</formula>
    </cfRule>
  </conditionalFormatting>
  <conditionalFormatting sqref="H1635">
    <cfRule type="expression" priority="8553" dxfId="3">
      <formula>$H1635="ETAPA"</formula>
    </cfRule>
  </conditionalFormatting>
  <conditionalFormatting sqref="H1644 J1644:K1644">
    <cfRule type="expression" priority="8551" dxfId="4">
      <formula>$H1644="SUBETAPA"</formula>
    </cfRule>
    <cfRule type="expression" priority="8550" dxfId="5">
      <formula>$H1644="CÉLULA CONSTRUTIVA"</formula>
    </cfRule>
  </conditionalFormatting>
  <conditionalFormatting sqref="H1644">
    <cfRule type="expression" priority="8549" dxfId="3">
      <formula>$H1644="ETAPA"</formula>
    </cfRule>
  </conditionalFormatting>
  <conditionalFormatting sqref="H1653 J1653:K1653">
    <cfRule type="expression" priority="8547" dxfId="4">
      <formula>$H1653="SUBETAPA"</formula>
    </cfRule>
    <cfRule type="expression" priority="8546" dxfId="5">
      <formula>$H1653="CÉLULA CONSTRUTIVA"</formula>
    </cfRule>
  </conditionalFormatting>
  <conditionalFormatting sqref="H1653">
    <cfRule type="expression" priority="8545" dxfId="3">
      <formula>$H1653="ETAPA"</formula>
    </cfRule>
  </conditionalFormatting>
  <conditionalFormatting sqref="H1662 J1662:K1662">
    <cfRule type="expression" priority="8542" dxfId="5">
      <formula>$H1662="CÉLULA CONSTRUTIVA"</formula>
    </cfRule>
    <cfRule type="expression" priority="8543" dxfId="4">
      <formula>$H1662="SUBETAPA"</formula>
    </cfRule>
  </conditionalFormatting>
  <conditionalFormatting sqref="H1662">
    <cfRule type="expression" priority="8541" dxfId="3">
      <formula>$H1662="ETAPA"</formula>
    </cfRule>
  </conditionalFormatting>
  <conditionalFormatting sqref="H1671 J1671:K1671">
    <cfRule type="expression" priority="8539" dxfId="4">
      <formula>$H1671="SUBETAPA"</formula>
    </cfRule>
    <cfRule type="expression" priority="8538" dxfId="5">
      <formula>$H1671="CÉLULA CONSTRUTIVA"</formula>
    </cfRule>
  </conditionalFormatting>
  <conditionalFormatting sqref="H1671">
    <cfRule type="expression" priority="8537" dxfId="3">
      <formula>$H1671="ETAPA"</formula>
    </cfRule>
  </conditionalFormatting>
  <conditionalFormatting sqref="H1680 J1680:K1680">
    <cfRule type="expression" priority="8535" dxfId="4">
      <formula>$H1680="SUBETAPA"</formula>
    </cfRule>
    <cfRule type="expression" priority="8534" dxfId="5">
      <formula>$H1680="CÉLULA CONSTRUTIVA"</formula>
    </cfRule>
  </conditionalFormatting>
  <conditionalFormatting sqref="H1680">
    <cfRule type="expression" priority="8533" dxfId="3">
      <formula>$H1680="ETAPA"</formula>
    </cfRule>
  </conditionalFormatting>
  <conditionalFormatting sqref="H1688 J1688:K1688">
    <cfRule type="expression" priority="8531" dxfId="3">
      <formula>$H1688="ETAPA"</formula>
    </cfRule>
  </conditionalFormatting>
  <conditionalFormatting sqref="H1688:H1689">
    <cfRule type="expression" priority="8528" dxfId="4">
      <formula>$H1688="SUBETAPA"</formula>
    </cfRule>
  </conditionalFormatting>
  <conditionalFormatting sqref="H1689 J1689">
    <cfRule type="expression" priority="8529" dxfId="3">
      <formula>$H1689="ETAPA"</formula>
    </cfRule>
  </conditionalFormatting>
  <conditionalFormatting sqref="H1691 J1691:K1691">
    <cfRule type="expression" priority="8527" dxfId="4">
      <formula>$H1691="SUBETAPA"</formula>
    </cfRule>
    <cfRule type="expression" priority="8526" dxfId="5">
      <formula>$H1691="CÉLULA CONSTRUTIVA"</formula>
    </cfRule>
  </conditionalFormatting>
  <conditionalFormatting sqref="H1691">
    <cfRule type="expression" priority="8525" dxfId="3">
      <formula>$H1691="ETAPA"</formula>
    </cfRule>
  </conditionalFormatting>
  <conditionalFormatting sqref="H1699 J1699:K1699">
    <cfRule type="expression" priority="8523" dxfId="3">
      <formula>$H1699="ETAPA"</formula>
    </cfRule>
  </conditionalFormatting>
  <conditionalFormatting sqref="H1699:H1700">
    <cfRule type="expression" priority="8520" dxfId="4">
      <formula>$H1699="SUBETAPA"</formula>
    </cfRule>
  </conditionalFormatting>
  <conditionalFormatting sqref="H1700 J1700">
    <cfRule type="expression" priority="8521" dxfId="3">
      <formula>$H1700="ETAPA"</formula>
    </cfRule>
  </conditionalFormatting>
  <conditionalFormatting sqref="H1702 J1702:L1702">
    <cfRule type="expression" priority="8518" dxfId="5">
      <formula>$H1702="CÉLULA CONSTRUTIVA"</formula>
    </cfRule>
  </conditionalFormatting>
  <conditionalFormatting sqref="H1702">
    <cfRule type="expression" priority="8517" dxfId="3">
      <formula>$H1702="ETAPA"</formula>
    </cfRule>
  </conditionalFormatting>
  <conditionalFormatting sqref="H1711 J1711:K1711">
    <cfRule type="expression" priority="8515" dxfId="4">
      <formula>$H1711="SUBETAPA"</formula>
    </cfRule>
    <cfRule type="expression" priority="8514" dxfId="5">
      <formula>$H1711="CÉLULA CONSTRUTIVA"</formula>
    </cfRule>
  </conditionalFormatting>
  <conditionalFormatting sqref="H1711">
    <cfRule type="expression" priority="8513" dxfId="3">
      <formula>$H1711="ETAPA"</formula>
    </cfRule>
  </conditionalFormatting>
  <conditionalFormatting sqref="H1720 J1720:K1720">
    <cfRule type="expression" priority="8510" dxfId="5">
      <formula>$H1720="CÉLULA CONSTRUTIVA"</formula>
    </cfRule>
    <cfRule type="expression" priority="8511" dxfId="4">
      <formula>$H1720="SUBETAPA"</formula>
    </cfRule>
  </conditionalFormatting>
  <conditionalFormatting sqref="H1720">
    <cfRule type="expression" priority="8509" dxfId="3">
      <formula>$H1720="ETAPA"</formula>
    </cfRule>
  </conditionalFormatting>
  <conditionalFormatting sqref="H1729 J1729:K1729">
    <cfRule type="expression" priority="8507" dxfId="4">
      <formula>$H1729="SUBETAPA"</formula>
    </cfRule>
    <cfRule type="expression" priority="8506" dxfId="5">
      <formula>$H1729="CÉLULA CONSTRUTIVA"</formula>
    </cfRule>
  </conditionalFormatting>
  <conditionalFormatting sqref="H1729">
    <cfRule type="expression" priority="8505" dxfId="3">
      <formula>$H1729="ETAPA"</formula>
    </cfRule>
  </conditionalFormatting>
  <conditionalFormatting sqref="H1738 J1738:K1738">
    <cfRule type="expression" priority="8503" dxfId="4">
      <formula>$H1738="SUBETAPA"</formula>
    </cfRule>
    <cfRule type="expression" priority="8502" dxfId="5">
      <formula>$H1738="CÉLULA CONSTRUTIVA"</formula>
    </cfRule>
  </conditionalFormatting>
  <conditionalFormatting sqref="H1738">
    <cfRule type="expression" priority="8501" dxfId="3">
      <formula>$H1738="ETAPA"</formula>
    </cfRule>
  </conditionalFormatting>
  <conditionalFormatting sqref="H1746 J1746:K1746">
    <cfRule type="expression" priority="8499" dxfId="3">
      <formula>$H1746="ETAPA"</formula>
    </cfRule>
  </conditionalFormatting>
  <conditionalFormatting sqref="H1746:H1747">
    <cfRule type="expression" priority="8496" dxfId="4">
      <formula>$H1746="SUBETAPA"</formula>
    </cfRule>
  </conditionalFormatting>
  <conditionalFormatting sqref="H1747 J1747">
    <cfRule type="expression" priority="8497" dxfId="3">
      <formula>$H1747="ETAPA"</formula>
    </cfRule>
  </conditionalFormatting>
  <conditionalFormatting sqref="H1749 J1749:L1749">
    <cfRule type="expression" priority="8494" dxfId="5">
      <formula>$H1749="CÉLULA CONSTRUTIVA"</formula>
    </cfRule>
  </conditionalFormatting>
  <conditionalFormatting sqref="H1749">
    <cfRule type="expression" priority="8493" dxfId="3">
      <formula>$H1749="ETAPA"</formula>
    </cfRule>
  </conditionalFormatting>
  <conditionalFormatting sqref="H1754 J1754:K1754">
    <cfRule type="expression" priority="8491" dxfId="3">
      <formula>$H1754="ETAPA"</formula>
    </cfRule>
  </conditionalFormatting>
  <conditionalFormatting sqref="H1754:H1757 J1756:K1757">
    <cfRule type="expression" priority="8485" dxfId="4">
      <formula>$H1754="SUBETAPA"</formula>
    </cfRule>
  </conditionalFormatting>
  <conditionalFormatting sqref="H1755 J1755">
    <cfRule type="expression" priority="8489" dxfId="3">
      <formula>$H1755="ETAPA"</formula>
    </cfRule>
  </conditionalFormatting>
  <conditionalFormatting sqref="H1756 J1756:K1756">
    <cfRule type="expression" priority="8487" dxfId="3">
      <formula>$H1756="ETAPA"</formula>
    </cfRule>
  </conditionalFormatting>
  <conditionalFormatting sqref="H1757 J1757:K1757">
    <cfRule type="expression" priority="8484" dxfId="3">
      <formula>$H1757="ETAPA"</formula>
    </cfRule>
  </conditionalFormatting>
  <conditionalFormatting sqref="H1759 J1759:L1759">
    <cfRule type="expression" priority="8482" dxfId="5">
      <formula>$H1759="CÉLULA CONSTRUTIVA"</formula>
    </cfRule>
  </conditionalFormatting>
  <conditionalFormatting sqref="H1759">
    <cfRule type="expression" priority="8481" dxfId="3">
      <formula>$H1759="ETAPA"</formula>
    </cfRule>
  </conditionalFormatting>
  <conditionalFormatting sqref="H1763 J1763:L1763 L1765:L1766">
    <cfRule type="expression" priority="8480" dxfId="4">
      <formula>$H1763="SUBETAPA"</formula>
    </cfRule>
  </conditionalFormatting>
  <conditionalFormatting sqref="H1765:H1766 J1766">
    <cfRule type="expression" priority="8478" dxfId="4">
      <formula>$H1765="SUBETAPA"</formula>
    </cfRule>
  </conditionalFormatting>
  <conditionalFormatting sqref="H1766 J1766:K1766">
    <cfRule type="expression" priority="8477" dxfId="3">
      <formula>$H1766="ETAPA"</formula>
    </cfRule>
    <cfRule type="expression" priority="8476" dxfId="5">
      <formula>$H1766="CÉLULA CONSTRUTIVA"</formula>
    </cfRule>
  </conditionalFormatting>
  <conditionalFormatting sqref="H1806:H1807 J1807">
    <cfRule type="expression" priority="8471" dxfId="4">
      <formula>$H1806="SUBETAPA"</formula>
    </cfRule>
  </conditionalFormatting>
  <conditionalFormatting sqref="H1807 J1807:K1807">
    <cfRule type="expression" priority="8470" dxfId="3">
      <formula>$H1807="ETAPA"</formula>
    </cfRule>
    <cfRule type="expression" priority="8469" dxfId="5">
      <formula>$H1807="CÉLULA CONSTRUTIVA"</formula>
    </cfRule>
  </conditionalFormatting>
  <conditionalFormatting sqref="H1813 J1813:L1813">
    <cfRule type="expression" priority="8468" dxfId="4">
      <formula>$H1813="SUBETAPA"</formula>
    </cfRule>
  </conditionalFormatting>
  <conditionalFormatting sqref="G1872:H1878 H1860:H1864 H1867 J1867 J1874">
    <cfRule type="expression" priority="8441" dxfId="4">
      <formula>$H1860="SUBETAPA"</formula>
    </cfRule>
  </conditionalFormatting>
  <conditionalFormatting sqref="H1861 H1863:H1864 H1867 H1874 J1867:K1867 J1874:K1874">
    <cfRule type="expression" priority="8440" dxfId="5">
      <formula>$H1861="CÉLULA CONSTRUTIVA"</formula>
    </cfRule>
  </conditionalFormatting>
  <conditionalFormatting sqref="G28:K28 H29:I30">
    <cfRule type="expression" priority="9641" dxfId="3">
      <formula>$H28="ETAPA"</formula>
    </cfRule>
  </conditionalFormatting>
  <conditionalFormatting sqref="G31:L31 H29:I30 L29:L30">
    <cfRule type="expression" priority="9497" dxfId="4">
      <formula>$H29="SUBETAPA"</formula>
    </cfRule>
  </conditionalFormatting>
  <conditionalFormatting sqref="H37:I37">
    <cfRule type="expression" priority="8434" dxfId="3">
      <formula>$H37="ETAPA"</formula>
    </cfRule>
    <cfRule type="expression" priority="8435" dxfId="5">
      <formula>$H37="CÉLULA CONSTRUTIVA"</formula>
    </cfRule>
  </conditionalFormatting>
  <conditionalFormatting sqref="H38:I38 N38:N39">
    <cfRule type="expression" priority="8432" dxfId="3">
      <formula>$H38="ETAPA"</formula>
    </cfRule>
  </conditionalFormatting>
  <conditionalFormatting sqref="H38:I38">
    <cfRule type="expression" priority="8431" dxfId="5">
      <formula>$H38="CÉLULA CONSTRUTIVA"</formula>
    </cfRule>
  </conditionalFormatting>
  <conditionalFormatting sqref="G49:L49 H45:I45 H48:I48 L45">
    <cfRule type="expression" priority="8430" dxfId="4">
      <formula>$H45="SUBETAPA"</formula>
    </cfRule>
  </conditionalFormatting>
  <conditionalFormatting sqref="H45:I48">
    <cfRule type="expression" priority="8429" dxfId="3">
      <formula>$H45="ETAPA"</formula>
    </cfRule>
  </conditionalFormatting>
  <conditionalFormatting sqref="H46:I47">
    <cfRule type="expression" priority="8426" dxfId="5">
      <formula>$H46="CÉLULA CONSTRUTIVA"</formula>
    </cfRule>
  </conditionalFormatting>
  <conditionalFormatting sqref="H47:I47">
    <cfRule type="expression" priority="8427" dxfId="4">
      <formula>$H47="SUBETAPA"</formula>
    </cfRule>
  </conditionalFormatting>
  <conditionalFormatting sqref="H1011:I1011">
    <cfRule type="expression" priority="8080" dxfId="5">
      <formula>$H1011="CÉLULA CONSTRUTIVA"</formula>
    </cfRule>
  </conditionalFormatting>
  <conditionalFormatting sqref="H1881:I1881">
    <cfRule type="expression" priority="8079" dxfId="5">
      <formula>$H1881="CÉLULA CONSTRUTIVA"</formula>
    </cfRule>
    <cfRule type="expression" priority="8078" dxfId="4">
      <formula>$H1881="SUBETAPA"</formula>
    </cfRule>
  </conditionalFormatting>
  <conditionalFormatting sqref="H35:J36 J38">
    <cfRule type="expression" priority="7954" dxfId="3">
      <formula>$H35="ETAPA"</formula>
    </cfRule>
  </conditionalFormatting>
  <conditionalFormatting sqref="H35:J37">
    <cfRule type="expression" priority="7957" dxfId="4">
      <formula>$H35="SUBETAPA"</formula>
    </cfRule>
  </conditionalFormatting>
  <conditionalFormatting sqref="H384:J384">
    <cfRule type="expression" priority="8422" dxfId="4">
      <formula>$H384="SUBETAPA"</formula>
    </cfRule>
  </conditionalFormatting>
  <conditionalFormatting sqref="H386:J386 H388:J388 H389:L389 H390:J390 H391:L391 H392:J392 H397:J397">
    <cfRule type="expression" priority="8420" dxfId="4">
      <formula>$H386="SUBETAPA"</formula>
    </cfRule>
  </conditionalFormatting>
  <conditionalFormatting sqref="H595:J595">
    <cfRule type="expression" priority="8401" dxfId="3">
      <formula>$H595="ETAPA"</formula>
    </cfRule>
  </conditionalFormatting>
  <conditionalFormatting sqref="H604:J604">
    <cfRule type="expression" priority="8399" dxfId="3">
      <formula>$H604="ETAPA"</formula>
    </cfRule>
  </conditionalFormatting>
  <conditionalFormatting sqref="H613:J613">
    <cfRule type="expression" priority="8397" dxfId="3">
      <formula>$H613="ETAPA"</formula>
    </cfRule>
  </conditionalFormatting>
  <conditionalFormatting sqref="H622:J622">
    <cfRule type="expression" priority="8395" dxfId="3">
      <formula>$H622="ETAPA"</formula>
    </cfRule>
  </conditionalFormatting>
  <conditionalFormatting sqref="H631:J631">
    <cfRule type="expression" priority="8393" dxfId="3">
      <formula>$H631="ETAPA"</formula>
    </cfRule>
  </conditionalFormatting>
  <conditionalFormatting sqref="H640:J640">
    <cfRule type="expression" priority="8391" dxfId="3">
      <formula>$H640="ETAPA"</formula>
    </cfRule>
  </conditionalFormatting>
  <conditionalFormatting sqref="H649:J649">
    <cfRule type="expression" priority="8389" dxfId="3">
      <formula>$H649="ETAPA"</formula>
    </cfRule>
  </conditionalFormatting>
  <conditionalFormatting sqref="H658:J658">
    <cfRule type="expression" priority="8387" dxfId="3">
      <formula>$H658="ETAPA"</formula>
    </cfRule>
  </conditionalFormatting>
  <conditionalFormatting sqref="H669:J669">
    <cfRule type="expression" priority="8385" dxfId="3">
      <formula>$H669="ETAPA"</formula>
    </cfRule>
  </conditionalFormatting>
  <conditionalFormatting sqref="H680:J680">
    <cfRule type="expression" priority="8383" dxfId="3">
      <formula>$H680="ETAPA"</formula>
    </cfRule>
  </conditionalFormatting>
  <conditionalFormatting sqref="H689:J689">
    <cfRule type="expression" priority="8381" dxfId="3">
      <formula>$H689="ETAPA"</formula>
    </cfRule>
  </conditionalFormatting>
  <conditionalFormatting sqref="H698:J698">
    <cfRule type="expression" priority="8379" dxfId="3">
      <formula>$H698="ETAPA"</formula>
    </cfRule>
  </conditionalFormatting>
  <conditionalFormatting sqref="H1004:J1004">
    <cfRule type="expression" priority="8034" dxfId="3">
      <formula>$H1004="ETAPA"</formula>
    </cfRule>
    <cfRule type="expression" priority="8033" dxfId="5">
      <formula>$H1004="CÉLULA CONSTRUTIVA"</formula>
    </cfRule>
  </conditionalFormatting>
  <conditionalFormatting sqref="H1011:J1011">
    <cfRule type="expression" priority="8081" dxfId="3">
      <formula>$H1011="ETAPA"</formula>
    </cfRule>
    <cfRule type="expression" priority="8082" dxfId="4">
      <formula>$H1011="SUBETAPA"</formula>
    </cfRule>
  </conditionalFormatting>
  <conditionalFormatting sqref="H38:K38">
    <cfRule type="expression" priority="7959" dxfId="4">
      <formula>$H38="SUBETAPA"</formula>
    </cfRule>
  </conditionalFormatting>
  <conditionalFormatting sqref="H389:K389 H390:J390 H391:K391 H392:J392">
    <cfRule type="expression" priority="8376" dxfId="5">
      <formula>$H389="CÉLULA CONSTRUTIVA"</formula>
    </cfRule>
  </conditionalFormatting>
  <conditionalFormatting sqref="H574:K574 H575:J575">
    <cfRule type="expression" priority="8405" dxfId="3">
      <formula>$H574="ETAPA"</formula>
    </cfRule>
  </conditionalFormatting>
  <conditionalFormatting sqref="H585:K585 H586:J586">
    <cfRule type="expression" priority="8403" dxfId="3">
      <formula>$H585="ETAPA"</formula>
    </cfRule>
  </conditionalFormatting>
  <conditionalFormatting sqref="H713:K713 M708 M710:M711">
    <cfRule type="expression" priority="8348" dxfId="3">
      <formula>$H708="ETAPA"</formula>
    </cfRule>
  </conditionalFormatting>
  <conditionalFormatting sqref="H715:K715 H716:J716 H717:K717 H718:J718">
    <cfRule type="expression" priority="8345" dxfId="3">
      <formula>$H715="ETAPA"</formula>
    </cfRule>
  </conditionalFormatting>
  <conditionalFormatting sqref="H728:K728 M723 M726">
    <cfRule type="expression" priority="8344" dxfId="3">
      <formula>$H723="ETAPA"</formula>
    </cfRule>
  </conditionalFormatting>
  <conditionalFormatting sqref="H730:K730 H731:J731 H732:K732 H733:J733">
    <cfRule type="expression" priority="8341" dxfId="3">
      <formula>$H730="ETAPA"</formula>
    </cfRule>
  </conditionalFormatting>
  <conditionalFormatting sqref="H743:K743 M738 M741">
    <cfRule type="expression" priority="8340" dxfId="3">
      <formula>$H738="ETAPA"</formula>
    </cfRule>
  </conditionalFormatting>
  <conditionalFormatting sqref="H745:K745 H746:J746 H747:K747 H748:J748">
    <cfRule type="expression" priority="8337" dxfId="3">
      <formula>$H745="ETAPA"</formula>
    </cfRule>
  </conditionalFormatting>
  <conditionalFormatting sqref="H758:K758 M753 M756">
    <cfRule type="expression" priority="8336" dxfId="3">
      <formula>$H753="ETAPA"</formula>
    </cfRule>
  </conditionalFormatting>
  <conditionalFormatting sqref="H760:K760 H761:J761 H762:K762 H763:J763">
    <cfRule type="expression" priority="8333" dxfId="3">
      <formula>$H760="ETAPA"</formula>
    </cfRule>
  </conditionalFormatting>
  <conditionalFormatting sqref="H773:K773 M768 M771">
    <cfRule type="expression" priority="8332" dxfId="3">
      <formula>$H768="ETAPA"</formula>
    </cfRule>
  </conditionalFormatting>
  <conditionalFormatting sqref="H775:K775 H776:J776 H777:K777 H778:J778">
    <cfRule type="expression" priority="8329" dxfId="3">
      <formula>$H775="ETAPA"</formula>
    </cfRule>
  </conditionalFormatting>
  <conditionalFormatting sqref="H788:K788 M783 M786">
    <cfRule type="expression" priority="8328" dxfId="3">
      <formula>$H783="ETAPA"</formula>
    </cfRule>
  </conditionalFormatting>
  <conditionalFormatting sqref="H790:K790 H791:J791 H792:K792 H793:J793">
    <cfRule type="expression" priority="8325" dxfId="3">
      <formula>$H790="ETAPA"</formula>
    </cfRule>
  </conditionalFormatting>
  <conditionalFormatting sqref="H803:K803 M798 M801">
    <cfRule type="expression" priority="8324" dxfId="3">
      <formula>$H798="ETAPA"</formula>
    </cfRule>
  </conditionalFormatting>
  <conditionalFormatting sqref="H805:K805 H806:J806 H807:K807 H808:J808">
    <cfRule type="expression" priority="8321" dxfId="3">
      <formula>$H805="ETAPA"</formula>
    </cfRule>
  </conditionalFormatting>
  <conditionalFormatting sqref="H818:K818 M813 M816">
    <cfRule type="expression" priority="8320" dxfId="3">
      <formula>$H813="ETAPA"</formula>
    </cfRule>
  </conditionalFormatting>
  <conditionalFormatting sqref="H820:K820 H821:J821 H822:K822 H823:J823">
    <cfRule type="expression" priority="8317" dxfId="3">
      <formula>$H820="ETAPA"</formula>
    </cfRule>
  </conditionalFormatting>
  <conditionalFormatting sqref="H833:K833 M828 M831">
    <cfRule type="expression" priority="8316" dxfId="3">
      <formula>$H828="ETAPA"</formula>
    </cfRule>
  </conditionalFormatting>
  <conditionalFormatting sqref="H835:K835 H836:J836 H837:K837 H838:J838">
    <cfRule type="expression" priority="8313" dxfId="3">
      <formula>$H835="ETAPA"</formula>
    </cfRule>
  </conditionalFormatting>
  <conditionalFormatting sqref="H848:K848 M843 M846">
    <cfRule type="expression" priority="8312" dxfId="3">
      <formula>$H843="ETAPA"</formula>
    </cfRule>
  </conditionalFormatting>
  <conditionalFormatting sqref="H850:K850 H851:J851 H852:K852 H853:J853">
    <cfRule type="expression" priority="8309" dxfId="3">
      <formula>$H850="ETAPA"</formula>
    </cfRule>
  </conditionalFormatting>
  <conditionalFormatting sqref="H863:K863 M858 M861">
    <cfRule type="expression" priority="8308" dxfId="3">
      <formula>$H858="ETAPA"</formula>
    </cfRule>
  </conditionalFormatting>
  <conditionalFormatting sqref="H865:K865 H866:J866 H867:K867 H868:J868">
    <cfRule type="expression" priority="8305" dxfId="3">
      <formula>$H865="ETAPA"</formula>
    </cfRule>
  </conditionalFormatting>
  <conditionalFormatting sqref="H878:K878 M873 M876">
    <cfRule type="expression" priority="8304" dxfId="3">
      <formula>$H873="ETAPA"</formula>
    </cfRule>
  </conditionalFormatting>
  <conditionalFormatting sqref="H880:K880 H881:J881 H882:K882 H883:J883">
    <cfRule type="expression" priority="8301" dxfId="3">
      <formula>$H880="ETAPA"</formula>
    </cfRule>
  </conditionalFormatting>
  <conditionalFormatting sqref="H893:K893 M888 M891">
    <cfRule type="expression" priority="8300" dxfId="3">
      <formula>$H888="ETAPA"</formula>
    </cfRule>
  </conditionalFormatting>
  <conditionalFormatting sqref="H895:K895 H896:J896 H897:K897 H898:J898">
    <cfRule type="expression" priority="8297" dxfId="3">
      <formula>$H895="ETAPA"</formula>
    </cfRule>
  </conditionalFormatting>
  <conditionalFormatting sqref="H908:K908 M903 M906">
    <cfRule type="expression" priority="8296" dxfId="3">
      <formula>$H903="ETAPA"</formula>
    </cfRule>
  </conditionalFormatting>
  <conditionalFormatting sqref="H910:K910 H911:J911 H912:K912 H913:J913">
    <cfRule type="expression" priority="8293" dxfId="3">
      <formula>$H910="ETAPA"</formula>
    </cfRule>
  </conditionalFormatting>
  <conditionalFormatting sqref="H918:K918">
    <cfRule type="expression" priority="8292" dxfId="3">
      <formula>$H918="ETAPA"</formula>
    </cfRule>
  </conditionalFormatting>
  <conditionalFormatting sqref="G1013:G1124 G1148:G1152 G1155:G1159 H920:K921 H925:K926 H930:K931 H935:K936 H940:K941 H945:K946 H952:K953 H959:K960 H966:K967 H973:K974 H980:K981 H985:K986 H992:K993 H997:K998">
    <cfRule type="expression" priority="8291" dxfId="3">
      <formula>$H920="ETAPA"</formula>
    </cfRule>
  </conditionalFormatting>
  <conditionalFormatting sqref="G1013:G1124 G1148:G1152 G1155:G1159 G1202:H1202 H920:K921 H925:K926 H930:K931 H935:K936 H940:K941 H945:K946 H952:K953 H959:K960 H966:K967 H973:K974 H980:K981 H985:K986 H992:K993 H997:K998 H1206 J1204:K1204 J1205 J1206:K1206">
    <cfRule type="expression" priority="9991" dxfId="4">
      <formula>$H920="SUBETAPA"</formula>
    </cfRule>
  </conditionalFormatting>
  <conditionalFormatting sqref="G706:G718 G721:G733 G736:G748 G751:G763 G766:G778 G781:G793 G796:G808 G811:G823 G826:G838 G841:G853 G856:G868 G871:G883 G886:G898 G1005:M1005 G1111:G1120 G1202:H1202 H572:M573 H583:M584 H592:M593 H601:M602 H610:M611 H619:M620 H628:M629 H637:M638 H646:M647 H655:M656 H666:M667 H677:M678 H686:M687 H695:M696 H920:K921 H925:K926 H930:K931 H935:K936 H940:K941 H945:K946 H952:K953 H959:K960 H966:K967 H973:K974 H980:K981 H985:K986 H992:K993 H997:K998 J1561:K1561 O570:O571 O581:O582 O590:O591 O599:O600 O608:O609 O617:O618 O626:O627 O635:O636 O644:O645 O653:O654 O664:O665 O675:O676 O684:O685 O693:O694 O1007:O1008">
    <cfRule type="expression" priority="9990" dxfId="5">
      <formula>$H570="CÉLULA CONSTRUTIVA"</formula>
    </cfRule>
  </conditionalFormatting>
  <conditionalFormatting sqref="H923:K923">
    <cfRule type="expression" priority="8290" dxfId="3">
      <formula>$H923="ETAPA"</formula>
    </cfRule>
  </conditionalFormatting>
  <conditionalFormatting sqref="H928:K928">
    <cfRule type="expression" priority="8289" dxfId="3">
      <formula>$H928="ETAPA"</formula>
    </cfRule>
  </conditionalFormatting>
  <conditionalFormatting sqref="H933:K933">
    <cfRule type="expression" priority="8288" dxfId="3">
      <formula>$H933="ETAPA"</formula>
    </cfRule>
  </conditionalFormatting>
  <conditionalFormatting sqref="H938:K938">
    <cfRule type="expression" priority="8287" dxfId="3">
      <formula>$H938="ETAPA"</formula>
    </cfRule>
  </conditionalFormatting>
  <conditionalFormatting sqref="H943:K943">
    <cfRule type="expression" priority="8286" dxfId="3">
      <formula>$H943="ETAPA"</formula>
    </cfRule>
  </conditionalFormatting>
  <conditionalFormatting sqref="H950:K950">
    <cfRule type="expression" priority="8285" dxfId="3">
      <formula>$H950="ETAPA"</formula>
    </cfRule>
  </conditionalFormatting>
  <conditionalFormatting sqref="H957:K957">
    <cfRule type="expression" priority="8284" dxfId="3">
      <formula>$H957="ETAPA"</formula>
    </cfRule>
  </conditionalFormatting>
  <conditionalFormatting sqref="H964:K964">
    <cfRule type="expression" priority="8283" dxfId="3">
      <formula>$H964="ETAPA"</formula>
    </cfRule>
  </conditionalFormatting>
  <conditionalFormatting sqref="H971:K971">
    <cfRule type="expression" priority="8282" dxfId="3">
      <formula>$H971="ETAPA"</formula>
    </cfRule>
  </conditionalFormatting>
  <conditionalFormatting sqref="H978:K978">
    <cfRule type="expression" priority="8281" dxfId="3">
      <formula>$H978="ETAPA"</formula>
    </cfRule>
  </conditionalFormatting>
  <conditionalFormatting sqref="H983:K983">
    <cfRule type="expression" priority="8280" dxfId="3">
      <formula>$H983="ETAPA"</formula>
    </cfRule>
  </conditionalFormatting>
  <conditionalFormatting sqref="H990:K990">
    <cfRule type="expression" priority="8279" dxfId="3">
      <formula>$H990="ETAPA"</formula>
    </cfRule>
  </conditionalFormatting>
  <conditionalFormatting sqref="H995:K995">
    <cfRule type="expression" priority="8278" dxfId="3">
      <formula>$H995="ETAPA"</formula>
    </cfRule>
  </conditionalFormatting>
  <conditionalFormatting sqref="H1017:K1017 H1022:K1026">
    <cfRule type="expression" priority="8277" dxfId="3">
      <formula>$H1017="ETAPA"</formula>
    </cfRule>
  </conditionalFormatting>
  <conditionalFormatting sqref="H1019:K1019">
    <cfRule type="expression" priority="8276" dxfId="3">
      <formula>$H1019="ETAPA"</formula>
    </cfRule>
  </conditionalFormatting>
  <conditionalFormatting sqref="H1031:K1031 H1036:K1040">
    <cfRule type="expression" priority="8275" dxfId="3">
      <formula>$H1031="ETAPA"</formula>
    </cfRule>
  </conditionalFormatting>
  <conditionalFormatting sqref="H1033:K1033">
    <cfRule type="expression" priority="8274" dxfId="3">
      <formula>$H1033="ETAPA"</formula>
    </cfRule>
  </conditionalFormatting>
  <conditionalFormatting sqref="H1045:K1045 H1050:K1054">
    <cfRule type="expression" priority="8273" dxfId="3">
      <formula>$H1045="ETAPA"</formula>
    </cfRule>
  </conditionalFormatting>
  <conditionalFormatting sqref="H1047:K1047">
    <cfRule type="expression" priority="8272" dxfId="3">
      <formula>$H1047="ETAPA"</formula>
    </cfRule>
  </conditionalFormatting>
  <conditionalFormatting sqref="H1059:K1059 H1064:K1068">
    <cfRule type="expression" priority="8271" dxfId="3">
      <formula>$H1059="ETAPA"</formula>
    </cfRule>
  </conditionalFormatting>
  <conditionalFormatting sqref="H1061:K1061">
    <cfRule type="expression" priority="8270" dxfId="3">
      <formula>$H1061="ETAPA"</formula>
    </cfRule>
  </conditionalFormatting>
  <conditionalFormatting sqref="H1073:K1073 H1078:K1082">
    <cfRule type="expression" priority="8269" dxfId="3">
      <formula>$H1073="ETAPA"</formula>
    </cfRule>
  </conditionalFormatting>
  <conditionalFormatting sqref="H1075:K1075">
    <cfRule type="expression" priority="8268" dxfId="3">
      <formula>$H1075="ETAPA"</formula>
    </cfRule>
  </conditionalFormatting>
  <conditionalFormatting sqref="H1087:K1087 H1092:K1096">
    <cfRule type="expression" priority="8267" dxfId="3">
      <formula>$H1087="ETAPA"</formula>
    </cfRule>
  </conditionalFormatting>
  <conditionalFormatting sqref="H1089:K1089">
    <cfRule type="expression" priority="8266" dxfId="3">
      <formula>$H1089="ETAPA"</formula>
    </cfRule>
  </conditionalFormatting>
  <conditionalFormatting sqref="H1101:K1101 H1106:K1110">
    <cfRule type="expression" priority="8265" dxfId="3">
      <formula>$H1101="ETAPA"</formula>
    </cfRule>
  </conditionalFormatting>
  <conditionalFormatting sqref="H1103:K1103">
    <cfRule type="expression" priority="8264" dxfId="3">
      <formula>$H1103="ETAPA"</formula>
    </cfRule>
  </conditionalFormatting>
  <conditionalFormatting sqref="G1125:K1125 G1126:H1127 G1146:H1147 G1153:H1154 G1160:H1161 G1165:H1166 G1170:H1171 G1175:H1176 H1115:K1115 H1120:K1124 H1128 H1148 H1155 H1162 H1167 H1172 H1177 J1126:K1128 J1146:K1148 J1153:K1155 J1160:K1162 J1165:K1167 J1170:K1172 J1175:K1177">
    <cfRule type="expression" priority="8263" dxfId="3">
      <formula>$H1115="ETAPA"</formula>
    </cfRule>
  </conditionalFormatting>
  <conditionalFormatting sqref="H1117:K1117">
    <cfRule type="expression" priority="8262" dxfId="3">
      <formula>$H1117="ETAPA"</formula>
    </cfRule>
  </conditionalFormatting>
  <conditionalFormatting sqref="H32:L32">
    <cfRule type="expression" priority="7961" dxfId="4">
      <formula>$H32="SUBETAPA"</formula>
    </cfRule>
  </conditionalFormatting>
  <conditionalFormatting sqref="H40:L40">
    <cfRule type="expression" priority="7952" dxfId="4">
      <formula>$H40="SUBETAPA"</formula>
    </cfRule>
  </conditionalFormatting>
  <conditionalFormatting sqref="H50:L50">
    <cfRule type="expression" priority="7944" dxfId="4">
      <formula>$H50="SUBETAPA"</formula>
    </cfRule>
  </conditionalFormatting>
  <conditionalFormatting sqref="H383:L383 H384:J384">
    <cfRule type="expression" priority="8378" dxfId="5">
      <formula>$H383="CÉLULA CONSTRUTIVA"</formula>
    </cfRule>
  </conditionalFormatting>
  <conditionalFormatting sqref="H383:L383">
    <cfRule type="expression" priority="8260" dxfId="3">
      <formula>$H383="ETAPA"</formula>
    </cfRule>
  </conditionalFormatting>
  <conditionalFormatting sqref="H385:L385 H386:J386 H387:L387 H388:J388">
    <cfRule type="expression" priority="8377" dxfId="5">
      <formula>$H385="CÉLULA CONSTRUTIVA"</formula>
    </cfRule>
  </conditionalFormatting>
  <conditionalFormatting sqref="H385:L385 H387:L387">
    <cfRule type="expression" priority="8259" dxfId="3">
      <formula>$H385="ETAPA"</formula>
    </cfRule>
  </conditionalFormatting>
  <conditionalFormatting sqref="H396:L396 H397:J397 H398:L398">
    <cfRule type="expression" priority="8375" dxfId="5">
      <formula>$H396="CÉLULA CONSTRUTIVA"</formula>
    </cfRule>
  </conditionalFormatting>
  <conditionalFormatting sqref="H396:L396 H398:L398">
    <cfRule type="expression" priority="8258" dxfId="3">
      <formula>$H396="ETAPA"</formula>
    </cfRule>
  </conditionalFormatting>
  <conditionalFormatting sqref="H400:L400 H401:M401">
    <cfRule type="expression" priority="8419" dxfId="5">
      <formula>$H400="CÉLULA CONSTRUTIVA"</formula>
    </cfRule>
  </conditionalFormatting>
  <conditionalFormatting sqref="H400:L400">
    <cfRule type="expression" priority="8257" dxfId="3">
      <formula>$H400="ETAPA"</formula>
    </cfRule>
  </conditionalFormatting>
  <conditionalFormatting sqref="H402:L402 H403:M403 H404:L404 H405:M408">
    <cfRule type="expression" priority="8374" dxfId="5">
      <formula>$H402="CÉLULA CONSTRUTIVA"</formula>
    </cfRule>
  </conditionalFormatting>
  <conditionalFormatting sqref="H409:L409 H410:M410 H411:L411">
    <cfRule type="expression" priority="8373" dxfId="5">
      <formula>$H409="CÉLULA CONSTRUTIVA"</formula>
    </cfRule>
  </conditionalFormatting>
  <conditionalFormatting sqref="H411:L411">
    <cfRule type="expression" priority="8255" dxfId="3">
      <formula>$H411="ETAPA"</formula>
    </cfRule>
  </conditionalFormatting>
  <conditionalFormatting sqref="H413:L413 H414:M414">
    <cfRule type="expression" priority="8418" dxfId="5">
      <formula>$H413="CÉLULA CONSTRUTIVA"</formula>
    </cfRule>
  </conditionalFormatting>
  <conditionalFormatting sqref="H413:L413">
    <cfRule type="expression" priority="8254" dxfId="3">
      <formula>$H413="ETAPA"</formula>
    </cfRule>
  </conditionalFormatting>
  <conditionalFormatting sqref="H415:L415 H416:M416 H417:L417 H418:M421">
    <cfRule type="expression" priority="8372" dxfId="5">
      <formula>$H415="CÉLULA CONSTRUTIVA"</formula>
    </cfRule>
  </conditionalFormatting>
  <conditionalFormatting sqref="H422:L422 H423:M423 H424:L424">
    <cfRule type="expression" priority="8371" dxfId="5">
      <formula>$H422="CÉLULA CONSTRUTIVA"</formula>
    </cfRule>
  </conditionalFormatting>
  <conditionalFormatting sqref="H424:L424">
    <cfRule type="expression" priority="8252" dxfId="3">
      <formula>$H424="ETAPA"</formula>
    </cfRule>
  </conditionalFormatting>
  <conditionalFormatting sqref="H426:L426 H427:M427">
    <cfRule type="expression" priority="8417" dxfId="5">
      <formula>$H426="CÉLULA CONSTRUTIVA"</formula>
    </cfRule>
  </conditionalFormatting>
  <conditionalFormatting sqref="H426:L426">
    <cfRule type="expression" priority="8251" dxfId="3">
      <formula>$H426="ETAPA"</formula>
    </cfRule>
  </conditionalFormatting>
  <conditionalFormatting sqref="H428:L428 H429:M429 H430:L430 H431:M434">
    <cfRule type="expression" priority="8370" dxfId="5">
      <formula>$H428="CÉLULA CONSTRUTIVA"</formula>
    </cfRule>
  </conditionalFormatting>
  <conditionalFormatting sqref="H435:L435 H436:M436 H437:L437">
    <cfRule type="expression" priority="8369" dxfId="5">
      <formula>$H435="CÉLULA CONSTRUTIVA"</formula>
    </cfRule>
  </conditionalFormatting>
  <conditionalFormatting sqref="H437:L437">
    <cfRule type="expression" priority="8249" dxfId="3">
      <formula>$H437="ETAPA"</formula>
    </cfRule>
  </conditionalFormatting>
  <conditionalFormatting sqref="H439:L439 H440:M440">
    <cfRule type="expression" priority="8416" dxfId="5">
      <formula>$H439="CÉLULA CONSTRUTIVA"</formula>
    </cfRule>
  </conditionalFormatting>
  <conditionalFormatting sqref="H439:L439">
    <cfRule type="expression" priority="8248" dxfId="3">
      <formula>$H439="ETAPA"</formula>
    </cfRule>
  </conditionalFormatting>
  <conditionalFormatting sqref="H441:L441 H442:M442 H443:L443 H444:M447">
    <cfRule type="expression" priority="8368" dxfId="5">
      <formula>$H441="CÉLULA CONSTRUTIVA"</formula>
    </cfRule>
  </conditionalFormatting>
  <conditionalFormatting sqref="H448:L448 H449:M449 H450:L450">
    <cfRule type="expression" priority="8367" dxfId="5">
      <formula>$H448="CÉLULA CONSTRUTIVA"</formula>
    </cfRule>
  </conditionalFormatting>
  <conditionalFormatting sqref="H450:L450">
    <cfRule type="expression" priority="8246" dxfId="3">
      <formula>$H450="ETAPA"</formula>
    </cfRule>
  </conditionalFormatting>
  <conditionalFormatting sqref="H452:L452 H453:M453">
    <cfRule type="expression" priority="8415" dxfId="5">
      <formula>$H452="CÉLULA CONSTRUTIVA"</formula>
    </cfRule>
  </conditionalFormatting>
  <conditionalFormatting sqref="H452:L452">
    <cfRule type="expression" priority="8245" dxfId="3">
      <formula>$H452="ETAPA"</formula>
    </cfRule>
  </conditionalFormatting>
  <conditionalFormatting sqref="H454:L454 H455:M455 H456:L456 H457:M460">
    <cfRule type="expression" priority="8366" dxfId="5">
      <formula>$H454="CÉLULA CONSTRUTIVA"</formula>
    </cfRule>
  </conditionalFormatting>
  <conditionalFormatting sqref="H461:L461 H462:M462 H463:L463">
    <cfRule type="expression" priority="8365" dxfId="5">
      <formula>$H461="CÉLULA CONSTRUTIVA"</formula>
    </cfRule>
  </conditionalFormatting>
  <conditionalFormatting sqref="H463:L463">
    <cfRule type="expression" priority="8243" dxfId="3">
      <formula>$H463="ETAPA"</formula>
    </cfRule>
  </conditionalFormatting>
  <conditionalFormatting sqref="H465:L465 H466:M466">
    <cfRule type="expression" priority="8414" dxfId="5">
      <formula>$H465="CÉLULA CONSTRUTIVA"</formula>
    </cfRule>
  </conditionalFormatting>
  <conditionalFormatting sqref="H465:L465">
    <cfRule type="expression" priority="8242" dxfId="3">
      <formula>$H465="ETAPA"</formula>
    </cfRule>
  </conditionalFormatting>
  <conditionalFormatting sqref="H467:L467 H468:M468 H469:L469 H470:M473">
    <cfRule type="expression" priority="8364" dxfId="5">
      <formula>$H467="CÉLULA CONSTRUTIVA"</formula>
    </cfRule>
  </conditionalFormatting>
  <conditionalFormatting sqref="H474:L474 H475:M475 H476:L476">
    <cfRule type="expression" priority="8363" dxfId="5">
      <formula>$H474="CÉLULA CONSTRUTIVA"</formula>
    </cfRule>
  </conditionalFormatting>
  <conditionalFormatting sqref="H476:L476">
    <cfRule type="expression" priority="8240" dxfId="3">
      <formula>$H476="ETAPA"</formula>
    </cfRule>
  </conditionalFormatting>
  <conditionalFormatting sqref="H478:L478 H479:M479">
    <cfRule type="expression" priority="8413" dxfId="5">
      <formula>$H478="CÉLULA CONSTRUTIVA"</formula>
    </cfRule>
  </conditionalFormatting>
  <conditionalFormatting sqref="H478:L478">
    <cfRule type="expression" priority="8239" dxfId="3">
      <formula>$H478="ETAPA"</formula>
    </cfRule>
  </conditionalFormatting>
  <conditionalFormatting sqref="H480:L480 H481:M481 H482:L482 H483:M486">
    <cfRule type="expression" priority="8362" dxfId="5">
      <formula>$H480="CÉLULA CONSTRUTIVA"</formula>
    </cfRule>
  </conditionalFormatting>
  <conditionalFormatting sqref="H487:L487 H488:M488 H489:L489">
    <cfRule type="expression" priority="8361" dxfId="5">
      <formula>$H487="CÉLULA CONSTRUTIVA"</formula>
    </cfRule>
  </conditionalFormatting>
  <conditionalFormatting sqref="H489:L489">
    <cfRule type="expression" priority="8237" dxfId="3">
      <formula>$H489="ETAPA"</formula>
    </cfRule>
  </conditionalFormatting>
  <conditionalFormatting sqref="H491:L491 H492:M492">
    <cfRule type="expression" priority="8412" dxfId="5">
      <formula>$H491="CÉLULA CONSTRUTIVA"</formula>
    </cfRule>
  </conditionalFormatting>
  <conditionalFormatting sqref="H491:L491">
    <cfRule type="expression" priority="8236" dxfId="3">
      <formula>$H491="ETAPA"</formula>
    </cfRule>
  </conditionalFormatting>
  <conditionalFormatting sqref="H493:L493 H494:M494 H495:L495 H496:M499">
    <cfRule type="expression" priority="8360" dxfId="5">
      <formula>$H493="CÉLULA CONSTRUTIVA"</formula>
    </cfRule>
  </conditionalFormatting>
  <conditionalFormatting sqref="H500:L500 H501:M501 H502:L502">
    <cfRule type="expression" priority="8359" dxfId="5">
      <formula>$H500="CÉLULA CONSTRUTIVA"</formula>
    </cfRule>
  </conditionalFormatting>
  <conditionalFormatting sqref="H502:L502">
    <cfRule type="expression" priority="8234" dxfId="3">
      <formula>$H502="ETAPA"</formula>
    </cfRule>
  </conditionalFormatting>
  <conditionalFormatting sqref="H504:L504 H505:M505">
    <cfRule type="expression" priority="8411" dxfId="5">
      <formula>$H504="CÉLULA CONSTRUTIVA"</formula>
    </cfRule>
  </conditionalFormatting>
  <conditionalFormatting sqref="H504:L504">
    <cfRule type="expression" priority="8233" dxfId="3">
      <formula>$H504="ETAPA"</formula>
    </cfRule>
  </conditionalFormatting>
  <conditionalFormatting sqref="H506:L506 H507:M507 H508:L508 H509:M512">
    <cfRule type="expression" priority="8358" dxfId="5">
      <formula>$H506="CÉLULA CONSTRUTIVA"</formula>
    </cfRule>
  </conditionalFormatting>
  <conditionalFormatting sqref="H513:L513 H514:M514 H515:L515">
    <cfRule type="expression" priority="8357" dxfId="5">
      <formula>$H513="CÉLULA CONSTRUTIVA"</formula>
    </cfRule>
  </conditionalFormatting>
  <conditionalFormatting sqref="H515:L515">
    <cfRule type="expression" priority="8231" dxfId="3">
      <formula>$H515="ETAPA"</formula>
    </cfRule>
  </conditionalFormatting>
  <conditionalFormatting sqref="H517:L517 H518:M518">
    <cfRule type="expression" priority="8410" dxfId="5">
      <formula>$H517="CÉLULA CONSTRUTIVA"</formula>
    </cfRule>
  </conditionalFormatting>
  <conditionalFormatting sqref="H517:L517">
    <cfRule type="expression" priority="8230" dxfId="3">
      <formula>$H517="ETAPA"</formula>
    </cfRule>
  </conditionalFormatting>
  <conditionalFormatting sqref="H519:L519 H520:M520 H521:L521 H522:M525">
    <cfRule type="expression" priority="8356" dxfId="5">
      <formula>$H519="CÉLULA CONSTRUTIVA"</formula>
    </cfRule>
  </conditionalFormatting>
  <conditionalFormatting sqref="H526:L526 H527:M527 H528:L528">
    <cfRule type="expression" priority="8355" dxfId="5">
      <formula>$H526="CÉLULA CONSTRUTIVA"</formula>
    </cfRule>
  </conditionalFormatting>
  <conditionalFormatting sqref="H528:L528">
    <cfRule type="expression" priority="8228" dxfId="3">
      <formula>$H528="ETAPA"</formula>
    </cfRule>
  </conditionalFormatting>
  <conditionalFormatting sqref="H530:L530 H531:M531">
    <cfRule type="expression" priority="8409" dxfId="5">
      <formula>$H530="CÉLULA CONSTRUTIVA"</formula>
    </cfRule>
  </conditionalFormatting>
  <conditionalFormatting sqref="H530:L530">
    <cfRule type="expression" priority="8227" dxfId="3">
      <formula>$H530="ETAPA"</formula>
    </cfRule>
  </conditionalFormatting>
  <conditionalFormatting sqref="H532:L532 H533:M533 H534:L534 H535:M538">
    <cfRule type="expression" priority="8354" dxfId="5">
      <formula>$H532="CÉLULA CONSTRUTIVA"</formula>
    </cfRule>
  </conditionalFormatting>
  <conditionalFormatting sqref="H539:L539 H540:M540 H541:L541">
    <cfRule type="expression" priority="8353" dxfId="5">
      <formula>$H539="CÉLULA CONSTRUTIVA"</formula>
    </cfRule>
  </conditionalFormatting>
  <conditionalFormatting sqref="H541:L541">
    <cfRule type="expression" priority="8225" dxfId="3">
      <formula>$H541="ETAPA"</formula>
    </cfRule>
  </conditionalFormatting>
  <conditionalFormatting sqref="H543:L543 H544:M544">
    <cfRule type="expression" priority="8408" dxfId="5">
      <formula>$H543="CÉLULA CONSTRUTIVA"</formula>
    </cfRule>
  </conditionalFormatting>
  <conditionalFormatting sqref="H543:L543">
    <cfRule type="expression" priority="8224" dxfId="3">
      <formula>$H543="ETAPA"</formula>
    </cfRule>
  </conditionalFormatting>
  <conditionalFormatting sqref="H545:L545 H546:M546 H547:L547 H548:M551">
    <cfRule type="expression" priority="8352" dxfId="5">
      <formula>$H545="CÉLULA CONSTRUTIVA"</formula>
    </cfRule>
  </conditionalFormatting>
  <conditionalFormatting sqref="H552:L552 H553:M553 H554:L554">
    <cfRule type="expression" priority="8351" dxfId="5">
      <formula>$H552="CÉLULA CONSTRUTIVA"</formula>
    </cfRule>
  </conditionalFormatting>
  <conditionalFormatting sqref="H554:L554">
    <cfRule type="expression" priority="8222" dxfId="3">
      <formula>$H554="ETAPA"</formula>
    </cfRule>
  </conditionalFormatting>
  <conditionalFormatting sqref="H556:L556 H557:M557">
    <cfRule type="expression" priority="8407" dxfId="5">
      <formula>$H556="CÉLULA CONSTRUTIVA"</formula>
    </cfRule>
  </conditionalFormatting>
  <conditionalFormatting sqref="H556:L556">
    <cfRule type="expression" priority="8221" dxfId="3">
      <formula>$H556="ETAPA"</formula>
    </cfRule>
  </conditionalFormatting>
  <conditionalFormatting sqref="H558:L558 H559:M559 H560:L560 H561:M564">
    <cfRule type="expression" priority="8350" dxfId="5">
      <formula>$H558="CÉLULA CONSTRUTIVA"</formula>
    </cfRule>
  </conditionalFormatting>
  <conditionalFormatting sqref="H565:L565 H566:M566 H567:L567">
    <cfRule type="expression" priority="8349" dxfId="5">
      <formula>$H565="CÉLULA CONSTRUTIVA"</formula>
    </cfRule>
  </conditionalFormatting>
  <conditionalFormatting sqref="H567:L567">
    <cfRule type="expression" priority="8219" dxfId="3">
      <formula>$H567="ETAPA"</formula>
    </cfRule>
  </conditionalFormatting>
  <conditionalFormatting sqref="H574:L574 H575:M575">
    <cfRule type="expression" priority="8406" dxfId="5">
      <formula>$H574="CÉLULA CONSTRUTIVA"</formula>
    </cfRule>
  </conditionalFormatting>
  <conditionalFormatting sqref="H585:L585 H586:M588">
    <cfRule type="expression" priority="8404" dxfId="5">
      <formula>$H585="CÉLULA CONSTRUTIVA"</formula>
    </cfRule>
  </conditionalFormatting>
  <conditionalFormatting sqref="H594:L594">
    <cfRule type="expression" priority="8218" dxfId="3">
      <formula>$H594="ETAPA"</formula>
    </cfRule>
  </conditionalFormatting>
  <conditionalFormatting sqref="H603:L603">
    <cfRule type="expression" priority="8217" dxfId="3">
      <formula>$H603="ETAPA"</formula>
    </cfRule>
  </conditionalFormatting>
  <conditionalFormatting sqref="H612:L612">
    <cfRule type="expression" priority="8216" dxfId="3">
      <formula>$H612="ETAPA"</formula>
    </cfRule>
  </conditionalFormatting>
  <conditionalFormatting sqref="H621:L621">
    <cfRule type="expression" priority="8215" dxfId="3">
      <formula>$H621="ETAPA"</formula>
    </cfRule>
  </conditionalFormatting>
  <conditionalFormatting sqref="H630:L630">
    <cfRule type="expression" priority="8214" dxfId="3">
      <formula>$H630="ETAPA"</formula>
    </cfRule>
  </conditionalFormatting>
  <conditionalFormatting sqref="H639:L639">
    <cfRule type="expression" priority="8213" dxfId="3">
      <formula>$H639="ETAPA"</formula>
    </cfRule>
  </conditionalFormatting>
  <conditionalFormatting sqref="H648:L648">
    <cfRule type="expression" priority="8212" dxfId="3">
      <formula>$H648="ETAPA"</formula>
    </cfRule>
  </conditionalFormatting>
  <conditionalFormatting sqref="H657:L657">
    <cfRule type="expression" priority="8211" dxfId="3">
      <formula>$H657="ETAPA"</formula>
    </cfRule>
  </conditionalFormatting>
  <conditionalFormatting sqref="H668:L668">
    <cfRule type="expression" priority="8210" dxfId="3">
      <formula>$H668="ETAPA"</formula>
    </cfRule>
  </conditionalFormatting>
  <conditionalFormatting sqref="H679:L679">
    <cfRule type="expression" priority="8209" dxfId="3">
      <formula>$H679="ETAPA"</formula>
    </cfRule>
  </conditionalFormatting>
  <conditionalFormatting sqref="H688:L688">
    <cfRule type="expression" priority="8208" dxfId="3">
      <formula>$H688="ETAPA"</formula>
    </cfRule>
  </conditionalFormatting>
  <conditionalFormatting sqref="H697:L697">
    <cfRule type="expression" priority="8207" dxfId="3">
      <formula>$H697="ETAPA"</formula>
    </cfRule>
  </conditionalFormatting>
  <conditionalFormatting sqref="H707:L707">
    <cfRule type="expression" priority="8206" dxfId="3">
      <formula>$H707="ETAPA"</formula>
    </cfRule>
  </conditionalFormatting>
  <conditionalFormatting sqref="H715:L715 H716:M716 H717:L717 H718:M718">
    <cfRule type="expression" priority="8346" dxfId="5">
      <formula>$H715="CÉLULA CONSTRUTIVA"</formula>
    </cfRule>
  </conditionalFormatting>
  <conditionalFormatting sqref="H722:L722">
    <cfRule type="expression" priority="8203" dxfId="3">
      <formula>$H722="ETAPA"</formula>
    </cfRule>
  </conditionalFormatting>
  <conditionalFormatting sqref="H730:L730 H731:M731 H732:L732 H733:M733">
    <cfRule type="expression" priority="8342" dxfId="5">
      <formula>$H730="CÉLULA CONSTRUTIVA"</formula>
    </cfRule>
  </conditionalFormatting>
  <conditionalFormatting sqref="H737:L737">
    <cfRule type="expression" priority="8200" dxfId="3">
      <formula>$H737="ETAPA"</formula>
    </cfRule>
  </conditionalFormatting>
  <conditionalFormatting sqref="H745:L745 H746:M746 H747:L747 H748:M748">
    <cfRule type="expression" priority="8338" dxfId="5">
      <formula>$H745="CÉLULA CONSTRUTIVA"</formula>
    </cfRule>
  </conditionalFormatting>
  <conditionalFormatting sqref="H752:L752">
    <cfRule type="expression" priority="8197" dxfId="3">
      <formula>$H752="ETAPA"</formula>
    </cfRule>
  </conditionalFormatting>
  <conditionalFormatting sqref="H760:L760 H761:M761 H762:L762 H763:M763">
    <cfRule type="expression" priority="8334" dxfId="5">
      <formula>$H760="CÉLULA CONSTRUTIVA"</formula>
    </cfRule>
  </conditionalFormatting>
  <conditionalFormatting sqref="H767:L767">
    <cfRule type="expression" priority="8194" dxfId="3">
      <formula>$H767="ETAPA"</formula>
    </cfRule>
  </conditionalFormatting>
  <conditionalFormatting sqref="H775:L775 H776:M776 H777:L777 H778:M778">
    <cfRule type="expression" priority="8330" dxfId="5">
      <formula>$H775="CÉLULA CONSTRUTIVA"</formula>
    </cfRule>
  </conditionalFormatting>
  <conditionalFormatting sqref="H782:L782">
    <cfRule type="expression" priority="8191" dxfId="3">
      <formula>$H782="ETAPA"</formula>
    </cfRule>
  </conditionalFormatting>
  <conditionalFormatting sqref="H790:L790 H791:M791 H792:L792 H793:M793">
    <cfRule type="expression" priority="8326" dxfId="5">
      <formula>$H790="CÉLULA CONSTRUTIVA"</formula>
    </cfRule>
  </conditionalFormatting>
  <conditionalFormatting sqref="H797:L797">
    <cfRule type="expression" priority="8188" dxfId="3">
      <formula>$H797="ETAPA"</formula>
    </cfRule>
  </conditionalFormatting>
  <conditionalFormatting sqref="H805:L805 H806:M806 H807:L807 H808:M808">
    <cfRule type="expression" priority="8322" dxfId="5">
      <formula>$H805="CÉLULA CONSTRUTIVA"</formula>
    </cfRule>
  </conditionalFormatting>
  <conditionalFormatting sqref="H812:L812">
    <cfRule type="expression" priority="8185" dxfId="3">
      <formula>$H812="ETAPA"</formula>
    </cfRule>
  </conditionalFormatting>
  <conditionalFormatting sqref="H820:L820 H821:M821 H822:L822 H823:M823">
    <cfRule type="expression" priority="8318" dxfId="5">
      <formula>$H820="CÉLULA CONSTRUTIVA"</formula>
    </cfRule>
  </conditionalFormatting>
  <conditionalFormatting sqref="H827:L827">
    <cfRule type="expression" priority="8182" dxfId="3">
      <formula>$H827="ETAPA"</formula>
    </cfRule>
  </conditionalFormatting>
  <conditionalFormatting sqref="H835:L835 H836:M836 H837:L837 H838:M838">
    <cfRule type="expression" priority="8314" dxfId="5">
      <formula>$H835="CÉLULA CONSTRUTIVA"</formula>
    </cfRule>
  </conditionalFormatting>
  <conditionalFormatting sqref="H842:L842">
    <cfRule type="expression" priority="8179" dxfId="3">
      <formula>$H842="ETAPA"</formula>
    </cfRule>
  </conditionalFormatting>
  <conditionalFormatting sqref="H850:L850 H851:M851 H852:L852 H853:M853">
    <cfRule type="expression" priority="8310" dxfId="5">
      <formula>$H850="CÉLULA CONSTRUTIVA"</formula>
    </cfRule>
  </conditionalFormatting>
  <conditionalFormatting sqref="H857:L857">
    <cfRule type="expression" priority="8176" dxfId="3">
      <formula>$H857="ETAPA"</formula>
    </cfRule>
  </conditionalFormatting>
  <conditionalFormatting sqref="H865:L865 H866:M866 H867:L867 H868:M868">
    <cfRule type="expression" priority="8306" dxfId="5">
      <formula>$H865="CÉLULA CONSTRUTIVA"</formula>
    </cfRule>
  </conditionalFormatting>
  <conditionalFormatting sqref="H872:L872">
    <cfRule type="expression" priority="8173" dxfId="3">
      <formula>$H872="ETAPA"</formula>
    </cfRule>
  </conditionalFormatting>
  <conditionalFormatting sqref="H880:L880 H881:M881 H882:L882 H883:M883">
    <cfRule type="expression" priority="8302" dxfId="5">
      <formula>$H880="CÉLULA CONSTRUTIVA"</formula>
    </cfRule>
  </conditionalFormatting>
  <conditionalFormatting sqref="H887:L887">
    <cfRule type="expression" priority="8170" dxfId="3">
      <formula>$H887="ETAPA"</formula>
    </cfRule>
  </conditionalFormatting>
  <conditionalFormatting sqref="H895:L895 H896:M896 H897:L897 H898:M898">
    <cfRule type="expression" priority="8298" dxfId="5">
      <formula>$H895="CÉLULA CONSTRUTIVA"</formula>
    </cfRule>
  </conditionalFormatting>
  <conditionalFormatting sqref="H902:L902">
    <cfRule type="expression" priority="8167" dxfId="3">
      <formula>$H902="ETAPA"</formula>
    </cfRule>
  </conditionalFormatting>
  <conditionalFormatting sqref="H910:L910 H911:M911 H912:L912 H913:M913">
    <cfRule type="expression" priority="8294" dxfId="5">
      <formula>$H910="CÉLULA CONSTRUTIVA"</formula>
    </cfRule>
  </conditionalFormatting>
  <conditionalFormatting sqref="H1002:L1002">
    <cfRule type="expression" priority="8164" dxfId="3">
      <formula>$H1002="ETAPA"</formula>
    </cfRule>
  </conditionalFormatting>
  <conditionalFormatting sqref="H1019:L1019">
    <cfRule type="expression" priority="8161" dxfId="4">
      <formula>$H1019="SUBETAPA"</formula>
    </cfRule>
  </conditionalFormatting>
  <conditionalFormatting sqref="H1033:L1033">
    <cfRule type="expression" priority="8160" dxfId="4">
      <formula>$H1033="SUBETAPA"</formula>
    </cfRule>
  </conditionalFormatting>
  <conditionalFormatting sqref="H1047:L1047">
    <cfRule type="expression" priority="8159" dxfId="4">
      <formula>$H1047="SUBETAPA"</formula>
    </cfRule>
  </conditionalFormatting>
  <conditionalFormatting sqref="H1061:L1061">
    <cfRule type="expression" priority="8158" dxfId="4">
      <formula>$H1061="SUBETAPA"</formula>
    </cfRule>
  </conditionalFormatting>
  <conditionalFormatting sqref="H1075:L1075">
    <cfRule type="expression" priority="8157" dxfId="4">
      <formula>$H1075="SUBETAPA"</formula>
    </cfRule>
  </conditionalFormatting>
  <conditionalFormatting sqref="H1089:L1089">
    <cfRule type="expression" priority="8156" dxfId="4">
      <formula>$H1089="SUBETAPA"</formula>
    </cfRule>
  </conditionalFormatting>
  <conditionalFormatting sqref="H1103:L1103">
    <cfRule type="expression" priority="8155" dxfId="4">
      <formula>$H1103="SUBETAPA"</formula>
    </cfRule>
  </conditionalFormatting>
  <conditionalFormatting sqref="H1117:L1117">
    <cfRule type="expression" priority="8154" dxfId="4">
      <formula>$H1117="SUBETAPA"</formula>
    </cfRule>
  </conditionalFormatting>
  <conditionalFormatting sqref="H53:M53">
    <cfRule type="expression" priority="5242" dxfId="3">
      <formula>$H53="ETAPA"</formula>
    </cfRule>
  </conditionalFormatting>
  <conditionalFormatting sqref="H384:M384">
    <cfRule type="expression" priority="8421" dxfId="3">
      <formula>$H384="ETAPA"</formula>
    </cfRule>
  </conditionalFormatting>
  <conditionalFormatting sqref="H400:M408 H409:L409 H410:M411 O410">
    <cfRule type="expression" priority="8152" dxfId="4">
      <formula>$H400="SUBETAPA"</formula>
    </cfRule>
  </conditionalFormatting>
  <conditionalFormatting sqref="H401:M401 H402:L402 H403:M403 H404:L404 H405:M405 H406:L407 K410:M410 O410">
    <cfRule type="expression" priority="8151" dxfId="3">
      <formula>$H401="ETAPA"</formula>
    </cfRule>
  </conditionalFormatting>
  <conditionalFormatting sqref="H408:M409">
    <cfRule type="expression" priority="8150" dxfId="3">
      <formula>$H408="ETAPA"</formula>
    </cfRule>
  </conditionalFormatting>
  <conditionalFormatting sqref="H413:M421 H422:L422 H423:M424 O423">
    <cfRule type="expression" priority="8149" dxfId="4">
      <formula>$H413="SUBETAPA"</formula>
    </cfRule>
  </conditionalFormatting>
  <conditionalFormatting sqref="H414:M414 H415:L415 H416:M416 H417:L417 H418:M418 H419:L420 K423:M423 O423">
    <cfRule type="expression" priority="8148" dxfId="3">
      <formula>$H414="ETAPA"</formula>
    </cfRule>
  </conditionalFormatting>
  <conditionalFormatting sqref="H421:M422">
    <cfRule type="expression" priority="8147" dxfId="3">
      <formula>$H421="ETAPA"</formula>
    </cfRule>
  </conditionalFormatting>
  <conditionalFormatting sqref="H426:M434 H435:L435 H436:M437 O436">
    <cfRule type="expression" priority="8146" dxfId="4">
      <formula>$H426="SUBETAPA"</formula>
    </cfRule>
  </conditionalFormatting>
  <conditionalFormatting sqref="H427:M427 H428:L428 H429:M429 H430:L430 H431:M431 H432:L433 K436:M436 O436">
    <cfRule type="expression" priority="8145" dxfId="3">
      <formula>$H427="ETAPA"</formula>
    </cfRule>
  </conditionalFormatting>
  <conditionalFormatting sqref="H434:M435">
    <cfRule type="expression" priority="8144" dxfId="3">
      <formula>$H434="ETAPA"</formula>
    </cfRule>
  </conditionalFormatting>
  <conditionalFormatting sqref="H439:M447 H448:L448 H449:M450 O449">
    <cfRule type="expression" priority="8143" dxfId="4">
      <formula>$H439="SUBETAPA"</formula>
    </cfRule>
  </conditionalFormatting>
  <conditionalFormatting sqref="H440:M440 H441:L441 H442:M442 H443:L443 H444:M444 H445:L446 K449:M449 O449">
    <cfRule type="expression" priority="8142" dxfId="3">
      <formula>$H440="ETAPA"</formula>
    </cfRule>
  </conditionalFormatting>
  <conditionalFormatting sqref="H447:M448">
    <cfRule type="expression" priority="8141" dxfId="3">
      <formula>$H447="ETAPA"</formula>
    </cfRule>
  </conditionalFormatting>
  <conditionalFormatting sqref="H452:M460 H461:L461 H462:M463 O462">
    <cfRule type="expression" priority="8140" dxfId="4">
      <formula>$H452="SUBETAPA"</formula>
    </cfRule>
  </conditionalFormatting>
  <conditionalFormatting sqref="H453:M453 H454:L454 H455:M455 H456:L456 H457:M457 H458:L459 K462:M462 O462">
    <cfRule type="expression" priority="8139" dxfId="3">
      <formula>$H453="ETAPA"</formula>
    </cfRule>
  </conditionalFormatting>
  <conditionalFormatting sqref="H460:M461">
    <cfRule type="expression" priority="8138" dxfId="3">
      <formula>$H460="ETAPA"</formula>
    </cfRule>
  </conditionalFormatting>
  <conditionalFormatting sqref="H465:M473 H474:L474 H475:M476 O475">
    <cfRule type="expression" priority="8137" dxfId="4">
      <formula>$H465="SUBETAPA"</formula>
    </cfRule>
  </conditionalFormatting>
  <conditionalFormatting sqref="H466:M466 H467:L467 H468:M468 H469:L469 H470:M470 H471:L472 K475:M475 O475">
    <cfRule type="expression" priority="8136" dxfId="3">
      <formula>$H466="ETAPA"</formula>
    </cfRule>
  </conditionalFormatting>
  <conditionalFormatting sqref="H473:M474">
    <cfRule type="expression" priority="8135" dxfId="3">
      <formula>$H473="ETAPA"</formula>
    </cfRule>
  </conditionalFormatting>
  <conditionalFormatting sqref="H478:M486 H487:L487 H488:M489 O488">
    <cfRule type="expression" priority="8134" dxfId="4">
      <formula>$H478="SUBETAPA"</formula>
    </cfRule>
  </conditionalFormatting>
  <conditionalFormatting sqref="H479:M479 H480:L480 H481:M481 H482:L482 H483:M483 H484:L485 K488:M488 O488">
    <cfRule type="expression" priority="8133" dxfId="3">
      <formula>$H479="ETAPA"</formula>
    </cfRule>
  </conditionalFormatting>
  <conditionalFormatting sqref="H486:M487">
    <cfRule type="expression" priority="8132" dxfId="3">
      <formula>$H486="ETAPA"</formula>
    </cfRule>
  </conditionalFormatting>
  <conditionalFormatting sqref="H491:M499 H500:L500 H501:M502 O501">
    <cfRule type="expression" priority="8131" dxfId="4">
      <formula>$H491="SUBETAPA"</formula>
    </cfRule>
  </conditionalFormatting>
  <conditionalFormatting sqref="H492:M492 H493:L493 H494:M494 H495:L495 H496:M496 H497:L498 K501:M501 O501">
    <cfRule type="expression" priority="8130" dxfId="3">
      <formula>$H492="ETAPA"</formula>
    </cfRule>
  </conditionalFormatting>
  <conditionalFormatting sqref="H499:M500">
    <cfRule type="expression" priority="8129" dxfId="3">
      <formula>$H499="ETAPA"</formula>
    </cfRule>
  </conditionalFormatting>
  <conditionalFormatting sqref="H504:M512 H513:L513 H514:M515 O514">
    <cfRule type="expression" priority="8128" dxfId="4">
      <formula>$H504="SUBETAPA"</formula>
    </cfRule>
  </conditionalFormatting>
  <conditionalFormatting sqref="H505:M505 H506:L506 H507:M507 H508:L508 H509:M509 H510:L511 K514:M514 O514">
    <cfRule type="expression" priority="8127" dxfId="3">
      <formula>$H505="ETAPA"</formula>
    </cfRule>
  </conditionalFormatting>
  <conditionalFormatting sqref="H512:M513">
    <cfRule type="expression" priority="8126" dxfId="3">
      <formula>$H512="ETAPA"</formula>
    </cfRule>
  </conditionalFormatting>
  <conditionalFormatting sqref="H517:M525 H526:L526 H527:M528 O527">
    <cfRule type="expression" priority="8125" dxfId="4">
      <formula>$H517="SUBETAPA"</formula>
    </cfRule>
  </conditionalFormatting>
  <conditionalFormatting sqref="H518:M518 H519:L519 H520:M520 H521:L521 H522:M522 H523:L524 K527:M527 O527">
    <cfRule type="expression" priority="8124" dxfId="3">
      <formula>$H518="ETAPA"</formula>
    </cfRule>
  </conditionalFormatting>
  <conditionalFormatting sqref="H525:M526">
    <cfRule type="expression" priority="8123" dxfId="3">
      <formula>$H525="ETAPA"</formula>
    </cfRule>
  </conditionalFormatting>
  <conditionalFormatting sqref="H530:M538 H539:L539 H540:M541 O540">
    <cfRule type="expression" priority="8122" dxfId="4">
      <formula>$H530="SUBETAPA"</formula>
    </cfRule>
  </conditionalFormatting>
  <conditionalFormatting sqref="H531:M531 H532:L532 H533:M533 H534:L534 H535:M535 H536:L537 K540:M540 O540">
    <cfRule type="expression" priority="8121" dxfId="3">
      <formula>$H531="ETAPA"</formula>
    </cfRule>
  </conditionalFormatting>
  <conditionalFormatting sqref="H538:M539">
    <cfRule type="expression" priority="8120" dxfId="3">
      <formula>$H538="ETAPA"</formula>
    </cfRule>
  </conditionalFormatting>
  <conditionalFormatting sqref="H543:M551 H552:L552 H553:M554 O553">
    <cfRule type="expression" priority="8119" dxfId="4">
      <formula>$H543="SUBETAPA"</formula>
    </cfRule>
  </conditionalFormatting>
  <conditionalFormatting sqref="H544:M544 H545:L545 H546:M546 H547:L547 H548:M548 H549:L550 K553:M553 O553">
    <cfRule type="expression" priority="8118" dxfId="3">
      <formula>$H544="ETAPA"</formula>
    </cfRule>
  </conditionalFormatting>
  <conditionalFormatting sqref="H551:M552">
    <cfRule type="expression" priority="8117" dxfId="3">
      <formula>$H551="ETAPA"</formula>
    </cfRule>
  </conditionalFormatting>
  <conditionalFormatting sqref="H556:M564 H565:L565 H566:M567 O566">
    <cfRule type="expression" priority="8116" dxfId="4">
      <formula>$H556="SUBETAPA"</formula>
    </cfRule>
  </conditionalFormatting>
  <conditionalFormatting sqref="H557:M557 H558:L558 H559:M559 H560:L560 H561:M561 H562:L563 K566:M566 O566">
    <cfRule type="expression" priority="8115" dxfId="3">
      <formula>$H557="ETAPA"</formula>
    </cfRule>
  </conditionalFormatting>
  <conditionalFormatting sqref="H564:M565">
    <cfRule type="expression" priority="8114" dxfId="3">
      <formula>$H564="ETAPA"</formula>
    </cfRule>
  </conditionalFormatting>
  <conditionalFormatting sqref="H594:L594 H595:M597">
    <cfRule type="expression" priority="8402" dxfId="5">
      <formula>$H594="CÉLULA CONSTRUTIVA"</formula>
    </cfRule>
  </conditionalFormatting>
  <conditionalFormatting sqref="H603:L603 H604:M606">
    <cfRule type="expression" priority="8400" dxfId="5">
      <formula>$H603="CÉLULA CONSTRUTIVA"</formula>
    </cfRule>
  </conditionalFormatting>
  <conditionalFormatting sqref="H612:L612 H613:M615">
    <cfRule type="expression" priority="8398" dxfId="5">
      <formula>$H612="CÉLULA CONSTRUTIVA"</formula>
    </cfRule>
  </conditionalFormatting>
  <conditionalFormatting sqref="H621:L621 H622:M624">
    <cfRule type="expression" priority="8396" dxfId="5">
      <formula>$H621="CÉLULA CONSTRUTIVA"</formula>
    </cfRule>
  </conditionalFormatting>
  <conditionalFormatting sqref="H630:L630 H631:M633">
    <cfRule type="expression" priority="8394" dxfId="5">
      <formula>$H630="CÉLULA CONSTRUTIVA"</formula>
    </cfRule>
  </conditionalFormatting>
  <conditionalFormatting sqref="H639:L639 H640:M642">
    <cfRule type="expression" priority="8392" dxfId="5">
      <formula>$H639="CÉLULA CONSTRUTIVA"</formula>
    </cfRule>
  </conditionalFormatting>
  <conditionalFormatting sqref="H648:L648 H649:M651">
    <cfRule type="expression" priority="8390" dxfId="5">
      <formula>$H648="CÉLULA CONSTRUTIVA"</formula>
    </cfRule>
  </conditionalFormatting>
  <conditionalFormatting sqref="H657:L657 H658:M658">
    <cfRule type="expression" priority="8388" dxfId="5">
      <formula>$H657="CÉLULA CONSTRUTIVA"</formula>
    </cfRule>
  </conditionalFormatting>
  <conditionalFormatting sqref="H668:L668 H669:M669">
    <cfRule type="expression" priority="8386" dxfId="5">
      <formula>$H668="CÉLULA CONSTRUTIVA"</formula>
    </cfRule>
  </conditionalFormatting>
  <conditionalFormatting sqref="H679:L679 H680:M682">
    <cfRule type="expression" priority="8384" dxfId="5">
      <formula>$H679="CÉLULA CONSTRUTIVA"</formula>
    </cfRule>
  </conditionalFormatting>
  <conditionalFormatting sqref="H688:L688 H689:M691">
    <cfRule type="expression" priority="8382" dxfId="5">
      <formula>$H688="CÉLULA CONSTRUTIVA"</formula>
    </cfRule>
  </conditionalFormatting>
  <conditionalFormatting sqref="H697:L697 H698:M698">
    <cfRule type="expression" priority="8380" dxfId="5">
      <formula>$H697="CÉLULA CONSTRUTIVA"</formula>
    </cfRule>
  </conditionalFormatting>
  <conditionalFormatting sqref="H706:M718 J710">
    <cfRule type="expression" priority="8112" dxfId="4">
      <formula>$H706="SUBETAPA"</formula>
    </cfRule>
  </conditionalFormatting>
  <conditionalFormatting sqref="H713:M714">
    <cfRule type="expression" priority="8347" dxfId="5">
      <formula>$H713="CÉLULA CONSTRUTIVA"</formula>
    </cfRule>
  </conditionalFormatting>
  <conditionalFormatting sqref="H721:M733 J725">
    <cfRule type="expression" priority="8110" dxfId="4">
      <formula>$H721="SUBETAPA"</formula>
    </cfRule>
  </conditionalFormatting>
  <conditionalFormatting sqref="H728:M729">
    <cfRule type="expression" priority="8343" dxfId="5">
      <formula>$H728="CÉLULA CONSTRUTIVA"</formula>
    </cfRule>
  </conditionalFormatting>
  <conditionalFormatting sqref="H736:M748 J740">
    <cfRule type="expression" priority="8108" dxfId="4">
      <formula>$H736="SUBETAPA"</formula>
    </cfRule>
  </conditionalFormatting>
  <conditionalFormatting sqref="H743:M744">
    <cfRule type="expression" priority="8339" dxfId="5">
      <formula>$H743="CÉLULA CONSTRUTIVA"</formula>
    </cfRule>
  </conditionalFormatting>
  <conditionalFormatting sqref="H751:M763 J755">
    <cfRule type="expression" priority="8106" dxfId="4">
      <formula>$H751="SUBETAPA"</formula>
    </cfRule>
  </conditionalFormatting>
  <conditionalFormatting sqref="H758:M759">
    <cfRule type="expression" priority="8335" dxfId="5">
      <formula>$H758="CÉLULA CONSTRUTIVA"</formula>
    </cfRule>
  </conditionalFormatting>
  <conditionalFormatting sqref="H766:M778 J770">
    <cfRule type="expression" priority="8104" dxfId="4">
      <formula>$H766="SUBETAPA"</formula>
    </cfRule>
  </conditionalFormatting>
  <conditionalFormatting sqref="H773:M774">
    <cfRule type="expression" priority="8331" dxfId="5">
      <formula>$H773="CÉLULA CONSTRUTIVA"</formula>
    </cfRule>
  </conditionalFormatting>
  <conditionalFormatting sqref="H781:M793 J785">
    <cfRule type="expression" priority="8102" dxfId="4">
      <formula>$H781="SUBETAPA"</formula>
    </cfRule>
  </conditionalFormatting>
  <conditionalFormatting sqref="H788:M789">
    <cfRule type="expression" priority="8327" dxfId="5">
      <formula>$H788="CÉLULA CONSTRUTIVA"</formula>
    </cfRule>
  </conditionalFormatting>
  <conditionalFormatting sqref="H796:M808 J800">
    <cfRule type="expression" priority="8100" dxfId="4">
      <formula>$H796="SUBETAPA"</formula>
    </cfRule>
  </conditionalFormatting>
  <conditionalFormatting sqref="H803:M804">
    <cfRule type="expression" priority="8323" dxfId="5">
      <formula>$H803="CÉLULA CONSTRUTIVA"</formula>
    </cfRule>
  </conditionalFormatting>
  <conditionalFormatting sqref="H811:M823 J815">
    <cfRule type="expression" priority="8098" dxfId="4">
      <formula>$H811="SUBETAPA"</formula>
    </cfRule>
  </conditionalFormatting>
  <conditionalFormatting sqref="H818:M819">
    <cfRule type="expression" priority="8319" dxfId="5">
      <formula>$H818="CÉLULA CONSTRUTIVA"</formula>
    </cfRule>
  </conditionalFormatting>
  <conditionalFormatting sqref="H826:M838 J830">
    <cfRule type="expression" priority="8096" dxfId="4">
      <formula>$H826="SUBETAPA"</formula>
    </cfRule>
  </conditionalFormatting>
  <conditionalFormatting sqref="H833:M834">
    <cfRule type="expression" priority="8315" dxfId="5">
      <formula>$H833="CÉLULA CONSTRUTIVA"</formula>
    </cfRule>
  </conditionalFormatting>
  <conditionalFormatting sqref="H841:M853 J845">
    <cfRule type="expression" priority="8094" dxfId="4">
      <formula>$H841="SUBETAPA"</formula>
    </cfRule>
  </conditionalFormatting>
  <conditionalFormatting sqref="H848:M849">
    <cfRule type="expression" priority="8311" dxfId="5">
      <formula>$H848="CÉLULA CONSTRUTIVA"</formula>
    </cfRule>
  </conditionalFormatting>
  <conditionalFormatting sqref="H856:M868 J860">
    <cfRule type="expression" priority="8092" dxfId="4">
      <formula>$H856="SUBETAPA"</formula>
    </cfRule>
  </conditionalFormatting>
  <conditionalFormatting sqref="H863:M864">
    <cfRule type="expression" priority="8307" dxfId="5">
      <formula>$H863="CÉLULA CONSTRUTIVA"</formula>
    </cfRule>
  </conditionalFormatting>
  <conditionalFormatting sqref="H871:M883 J875">
    <cfRule type="expression" priority="8090" dxfId="4">
      <formula>$H871="SUBETAPA"</formula>
    </cfRule>
  </conditionalFormatting>
  <conditionalFormatting sqref="H878:M879">
    <cfRule type="expression" priority="8303" dxfId="5">
      <formula>$H878="CÉLULA CONSTRUTIVA"</formula>
    </cfRule>
  </conditionalFormatting>
  <conditionalFormatting sqref="H886:M898 J890">
    <cfRule type="expression" priority="8088" dxfId="4">
      <formula>$H886="SUBETAPA"</formula>
    </cfRule>
  </conditionalFormatting>
  <conditionalFormatting sqref="H893:M894">
    <cfRule type="expression" priority="8299" dxfId="5">
      <formula>$H893="CÉLULA CONSTRUTIVA"</formula>
    </cfRule>
  </conditionalFormatting>
  <conditionalFormatting sqref="H908:M909">
    <cfRule type="expression" priority="8295" dxfId="5">
      <formula>$H908="CÉLULA CONSTRUTIVA"</formula>
    </cfRule>
  </conditionalFormatting>
  <conditionalFormatting sqref="H1004:M1004">
    <cfRule type="expression" priority="8035" dxfId="4">
      <formula>$H1004="SUBETAPA"</formula>
    </cfRule>
  </conditionalFormatting>
  <conditionalFormatting sqref="G568:M570 G580:M581 G589:M590 G598:M599 G607:M608 G616:M617 G625:M626 G634:M635 G643:M644 G652:M653 G663:M664 G674:M675 G683:M684 G692:M693 G999:K1001 G1012:L1012 G1126:H1127 G1146:H1147 G1153:H1154 G1160:H1161 G1165:H1166 G1170:H1171 G1175:H1176 H571:M571 H574:M579 H582:M582 H585:M588 H591:M591 H594:M597 H600:M600 H603:M606 H609:M609 H612:M615 H618:M618 H621:M624 H627:M627 H630:M633 H636:M636 H639:M642 H645:M645 H648:M651 H654:M654 H657:M662 H665:M665 H668:M673 H676:M676 H679:M682 H685:M685 H688:M691 H694:M694 H697:M702 H918:L918 H923:L923 H928:L928 H933:L933 H938:L938 H943:L943 H950:L950 H957:L957 H964:L964 H971:L971 H978:L978 H983:L983 H990:L990 H995:L995 H1010:M1010 H1017:L1017 H1022:K1026 H1031:L1031 H1036:K1040 H1045:L1045 H1050:K1054 H1059:L1059 H1064:K1068 H1073:L1073 H1078:K1082 H1087:L1087 H1092:K1096 H1101:L1101 H1106:K1110 H1115:L1115 H1120:K1124 H1128 H1148 H1155 H1162 H1167 H1172 H1177 J1126:K1128 J1146:K1148 J1153:K1155 J1160:K1162 J1165:K1167 J1170:K1172 J1175:K1177 L914:M915 O1149:O1150 O1156:O1157">
    <cfRule type="expression" priority="8085" dxfId="4">
      <formula>$H568="SUBETAPA"</formula>
    </cfRule>
  </conditionalFormatting>
  <conditionalFormatting sqref="G1012:L1012 H1010:M1010">
    <cfRule type="expression" priority="8084" dxfId="3">
      <formula>$H1010="ETAPA"</formula>
    </cfRule>
  </conditionalFormatting>
  <conditionalFormatting sqref="H1191:M1191">
    <cfRule type="expression" priority="8083" dxfId="3">
      <formula>$H1191="ETAPA"</formula>
    </cfRule>
  </conditionalFormatting>
  <conditionalFormatting sqref="I919:J919">
    <cfRule type="expression" priority="8076" dxfId="3">
      <formula>$H919="ETAPA"</formula>
    </cfRule>
    <cfRule type="expression" priority="8077" dxfId="4">
      <formula>$H919="SUBETAPA"</formula>
    </cfRule>
  </conditionalFormatting>
  <conditionalFormatting sqref="I924:J924">
    <cfRule type="expression" priority="8074" dxfId="4">
      <formula>$H924="SUBETAPA"</formula>
    </cfRule>
    <cfRule type="expression" priority="8073" dxfId="3">
      <formula>$H924="ETAPA"</formula>
    </cfRule>
  </conditionalFormatting>
  <conditionalFormatting sqref="I929:J929">
    <cfRule type="expression" priority="8071" dxfId="4">
      <formula>$H929="SUBETAPA"</formula>
    </cfRule>
    <cfRule type="expression" priority="8070" dxfId="3">
      <formula>$H929="ETAPA"</formula>
    </cfRule>
  </conditionalFormatting>
  <conditionalFormatting sqref="I934:J934">
    <cfRule type="expression" priority="8068" dxfId="4">
      <formula>$H934="SUBETAPA"</formula>
    </cfRule>
    <cfRule type="expression" priority="8067" dxfId="3">
      <formula>$H934="ETAPA"</formula>
    </cfRule>
  </conditionalFormatting>
  <conditionalFormatting sqref="I939:J939">
    <cfRule type="expression" priority="8064" dxfId="3">
      <formula>$H939="ETAPA"</formula>
    </cfRule>
    <cfRule type="expression" priority="8065" dxfId="4">
      <formula>$H939="SUBETAPA"</formula>
    </cfRule>
  </conditionalFormatting>
  <conditionalFormatting sqref="I944:J944">
    <cfRule type="expression" priority="8062" dxfId="4">
      <formula>$H944="SUBETAPA"</formula>
    </cfRule>
    <cfRule type="expression" priority="8061" dxfId="3">
      <formula>$H944="ETAPA"</formula>
    </cfRule>
  </conditionalFormatting>
  <conditionalFormatting sqref="I951:J951">
    <cfRule type="expression" priority="8058" dxfId="3">
      <formula>$H951="ETAPA"</formula>
    </cfRule>
    <cfRule type="expression" priority="8059" dxfId="4">
      <formula>$H951="SUBETAPA"</formula>
    </cfRule>
  </conditionalFormatting>
  <conditionalFormatting sqref="I958:J958">
    <cfRule type="expression" priority="8055" dxfId="3">
      <formula>$H958="ETAPA"</formula>
    </cfRule>
    <cfRule type="expression" priority="8056" dxfId="4">
      <formula>$H958="SUBETAPA"</formula>
    </cfRule>
  </conditionalFormatting>
  <conditionalFormatting sqref="I965:J965">
    <cfRule type="expression" priority="8052" dxfId="3">
      <formula>$H965="ETAPA"</formula>
    </cfRule>
    <cfRule type="expression" priority="8053" dxfId="4">
      <formula>$H965="SUBETAPA"</formula>
    </cfRule>
  </conditionalFormatting>
  <conditionalFormatting sqref="I972:J972">
    <cfRule type="expression" priority="8049" dxfId="3">
      <formula>$H972="ETAPA"</formula>
    </cfRule>
    <cfRule type="expression" priority="8050" dxfId="4">
      <formula>$H972="SUBETAPA"</formula>
    </cfRule>
  </conditionalFormatting>
  <conditionalFormatting sqref="I979:J979">
    <cfRule type="expression" priority="8047" dxfId="4">
      <formula>$H979="SUBETAPA"</formula>
    </cfRule>
    <cfRule type="expression" priority="8046" dxfId="3">
      <formula>$H979="ETAPA"</formula>
    </cfRule>
  </conditionalFormatting>
  <conditionalFormatting sqref="I984:J984">
    <cfRule type="expression" priority="8043" dxfId="3">
      <formula>$H984="ETAPA"</formula>
    </cfRule>
    <cfRule type="expression" priority="8044" dxfId="4">
      <formula>$H984="SUBETAPA"</formula>
    </cfRule>
  </conditionalFormatting>
  <conditionalFormatting sqref="I991:J991">
    <cfRule type="expression" priority="8040" dxfId="3">
      <formula>$H991="ETAPA"</formula>
    </cfRule>
    <cfRule type="expression" priority="8041" dxfId="4">
      <formula>$H991="SUBETAPA"</formula>
    </cfRule>
  </conditionalFormatting>
  <conditionalFormatting sqref="I996:J996">
    <cfRule type="expression" priority="8038" dxfId="4">
      <formula>$H996="SUBETAPA"</formula>
    </cfRule>
    <cfRule type="expression" priority="8037" dxfId="3">
      <formula>$H996="ETAPA"</formula>
    </cfRule>
  </conditionalFormatting>
  <conditionalFormatting sqref="I1018:J1018">
    <cfRule type="expression" priority="8032" dxfId="4">
      <formula>$H1018="SUBETAPA"</formula>
    </cfRule>
    <cfRule type="expression" priority="8031" dxfId="3">
      <formula>$H1018="ETAPA"</formula>
    </cfRule>
  </conditionalFormatting>
  <conditionalFormatting sqref="I1020:J1021">
    <cfRule type="expression" priority="8029" dxfId="4">
      <formula>$H1020="SUBETAPA"</formula>
    </cfRule>
    <cfRule type="expression" priority="8028" dxfId="3">
      <formula>$H1020="ETAPA"</formula>
    </cfRule>
  </conditionalFormatting>
  <conditionalFormatting sqref="I1032:J1032">
    <cfRule type="expression" priority="8026" dxfId="4">
      <formula>$H1032="SUBETAPA"</formula>
    </cfRule>
    <cfRule type="expression" priority="8025" dxfId="3">
      <formula>$H1032="ETAPA"</formula>
    </cfRule>
  </conditionalFormatting>
  <conditionalFormatting sqref="I1034:J1035">
    <cfRule type="expression" priority="8023" dxfId="4">
      <formula>$H1034="SUBETAPA"</formula>
    </cfRule>
    <cfRule type="expression" priority="8022" dxfId="3">
      <formula>$H1034="ETAPA"</formula>
    </cfRule>
  </conditionalFormatting>
  <conditionalFormatting sqref="I1046:J1046">
    <cfRule type="expression" priority="8019" dxfId="3">
      <formula>$H1046="ETAPA"</formula>
    </cfRule>
    <cfRule type="expression" priority="8020" dxfId="4">
      <formula>$H1046="SUBETAPA"</formula>
    </cfRule>
  </conditionalFormatting>
  <conditionalFormatting sqref="I1048:J1049">
    <cfRule type="expression" priority="8016" dxfId="3">
      <formula>$H1048="ETAPA"</formula>
    </cfRule>
    <cfRule type="expression" priority="8017" dxfId="4">
      <formula>$H1048="SUBETAPA"</formula>
    </cfRule>
  </conditionalFormatting>
  <conditionalFormatting sqref="I1060:J1060">
    <cfRule type="expression" priority="8013" dxfId="3">
      <formula>$H1060="ETAPA"</formula>
    </cfRule>
    <cfRule type="expression" priority="8014" dxfId="4">
      <formula>$H1060="SUBETAPA"</formula>
    </cfRule>
  </conditionalFormatting>
  <conditionalFormatting sqref="I1062:J1063">
    <cfRule type="expression" priority="8010" dxfId="3">
      <formula>$H1062="ETAPA"</formula>
    </cfRule>
    <cfRule type="expression" priority="8011" dxfId="4">
      <formula>$H1062="SUBETAPA"</formula>
    </cfRule>
  </conditionalFormatting>
  <conditionalFormatting sqref="I1074:J1074">
    <cfRule type="expression" priority="8007" dxfId="3">
      <formula>$H1074="ETAPA"</formula>
    </cfRule>
    <cfRule type="expression" priority="8008" dxfId="4">
      <formula>$H1074="SUBETAPA"</formula>
    </cfRule>
  </conditionalFormatting>
  <conditionalFormatting sqref="I1076:J1077">
    <cfRule type="expression" priority="8004" dxfId="3">
      <formula>$H1076="ETAPA"</formula>
    </cfRule>
    <cfRule type="expression" priority="8005" dxfId="4">
      <formula>$H1076="SUBETAPA"</formula>
    </cfRule>
  </conditionalFormatting>
  <conditionalFormatting sqref="I1088:J1088">
    <cfRule type="expression" priority="8001" dxfId="3">
      <formula>$H1088="ETAPA"</formula>
    </cfRule>
    <cfRule type="expression" priority="8002" dxfId="4">
      <formula>$H1088="SUBETAPA"</formula>
    </cfRule>
  </conditionalFormatting>
  <conditionalFormatting sqref="I1090:J1091">
    <cfRule type="expression" priority="7999" dxfId="4">
      <formula>$H1090="SUBETAPA"</formula>
    </cfRule>
    <cfRule type="expression" priority="7998" dxfId="3">
      <formula>$H1090="ETAPA"</formula>
    </cfRule>
  </conditionalFormatting>
  <conditionalFormatting sqref="I1102:J1102">
    <cfRule type="expression" priority="7995" dxfId="3">
      <formula>$H1102="ETAPA"</formula>
    </cfRule>
    <cfRule type="expression" priority="7996" dxfId="4">
      <formula>$H1102="SUBETAPA"</formula>
    </cfRule>
  </conditionalFormatting>
  <conditionalFormatting sqref="I1104:J1105">
    <cfRule type="expression" priority="7992" dxfId="3">
      <formula>$H1104="ETAPA"</formula>
    </cfRule>
    <cfRule type="expression" priority="7993" dxfId="4">
      <formula>$H1104="SUBETAPA"</formula>
    </cfRule>
  </conditionalFormatting>
  <conditionalFormatting sqref="I1116:J1116">
    <cfRule type="expression" priority="7988" dxfId="5">
      <formula>$H1116="CÉLULA CONSTRUTIVA"</formula>
    </cfRule>
    <cfRule type="expression" priority="7989" dxfId="3">
      <formula>$H1116="ETAPA"</formula>
    </cfRule>
  </conditionalFormatting>
  <conditionalFormatting sqref="I1118:J1118">
    <cfRule type="expression" priority="7987" dxfId="4">
      <formula>$H1118="SUBETAPA"</formula>
    </cfRule>
  </conditionalFormatting>
  <conditionalFormatting sqref="I1118:J1119">
    <cfRule type="expression" priority="7985" dxfId="5">
      <formula>$H1118="CÉLULA CONSTRUTIVA"</formula>
    </cfRule>
    <cfRule type="expression" priority="7986" dxfId="3">
      <formula>$H1118="ETAPA"</formula>
    </cfRule>
  </conditionalFormatting>
  <conditionalFormatting sqref="I26:K27 M26:M27">
    <cfRule type="expression" priority="7984" dxfId="3">
      <formula>$H26="ETAPA"</formula>
    </cfRule>
  </conditionalFormatting>
  <conditionalFormatting sqref="I914:K915 I916:J916 I917:K917 I922:K922 I927:K927 I932:K932 I937:K937 I942:K942 I947:K947 I948:J948 I949:K949 I954:K954 I955:J955 I956:K956 I961:K961 I962:J962 I963:K963 I968:K968 I969:J969 I970:K970 I975:K975 I976:J976 I977:K977 I982:K982 I987:K987 I988:J988 I989:K989 I994:K994 M914:M915 M917:M922 M949:M954 M956:M961 M963:M968 M970:M975 M977:M982 M989:M994">
    <cfRule type="expression" priority="7982" dxfId="3">
      <formula>$H914="ETAPA"</formula>
    </cfRule>
  </conditionalFormatting>
  <conditionalFormatting sqref="I914:K915 I916:J916 I917:L917 I922:L922 I927:L927 I932:L932 I937:L937 I942:L942 I947:L947 I948:J948 I949:L949 I954:L954 I955:J955 I956:L956 I961:L961 I962:J962 I963:L963 I968:L968 I969:J969 I970:L970 I975:L975 I976:J976 I977:L977 I982:L982 I987:L987 I988:J988 I989:L989 I994:L994">
    <cfRule type="expression" priority="7981" dxfId="4">
      <formula>$H914="SUBETAPA"</formula>
    </cfRule>
  </conditionalFormatting>
  <conditionalFormatting sqref="I1016:K1016">
    <cfRule type="expression" priority="7978" dxfId="3">
      <formula>$H1016="ETAPA"</formula>
    </cfRule>
  </conditionalFormatting>
  <conditionalFormatting sqref="I1030:K1030">
    <cfRule type="expression" priority="7976" dxfId="3">
      <formula>$H1030="ETAPA"</formula>
    </cfRule>
  </conditionalFormatting>
  <conditionalFormatting sqref="I1044:K1044">
    <cfRule type="expression" priority="7974" dxfId="3">
      <formula>$H1044="ETAPA"</formula>
    </cfRule>
  </conditionalFormatting>
  <conditionalFormatting sqref="I1058:K1058">
    <cfRule type="expression" priority="7972" dxfId="3">
      <formula>$H1058="ETAPA"</formula>
    </cfRule>
  </conditionalFormatting>
  <conditionalFormatting sqref="I1072:K1072 M1073">
    <cfRule type="expression" priority="7970" dxfId="3">
      <formula>$H1072="ETAPA"</formula>
    </cfRule>
  </conditionalFormatting>
  <conditionalFormatting sqref="I1086:K1086 M1087">
    <cfRule type="expression" priority="7968" dxfId="3">
      <formula>$H1086="ETAPA"</formula>
    </cfRule>
  </conditionalFormatting>
  <conditionalFormatting sqref="I1100:K1100">
    <cfRule type="expression" priority="7966" dxfId="3">
      <formula>$H1100="ETAPA"</formula>
    </cfRule>
  </conditionalFormatting>
  <conditionalFormatting sqref="I1114:K1114">
    <cfRule type="expression" priority="7964" dxfId="3">
      <formula>$H1114="ETAPA"</formula>
    </cfRule>
  </conditionalFormatting>
  <conditionalFormatting sqref="I26:L27">
    <cfRule type="expression" priority="7963" dxfId="4">
      <formula>$H26="SUBETAPA"</formula>
    </cfRule>
  </conditionalFormatting>
  <conditionalFormatting sqref="I919:L919">
    <cfRule type="expression" priority="8075" dxfId="5">
      <formula>$H919="CÉLULA CONSTRUTIVA"</formula>
    </cfRule>
  </conditionalFormatting>
  <conditionalFormatting sqref="I924:L924">
    <cfRule type="expression" priority="8072" dxfId="5">
      <formula>$H924="CÉLULA CONSTRUTIVA"</formula>
    </cfRule>
  </conditionalFormatting>
  <conditionalFormatting sqref="I929:L929">
    <cfRule type="expression" priority="8069" dxfId="5">
      <formula>$H929="CÉLULA CONSTRUTIVA"</formula>
    </cfRule>
  </conditionalFormatting>
  <conditionalFormatting sqref="I934:L934">
    <cfRule type="expression" priority="8066" dxfId="5">
      <formula>$H934="CÉLULA CONSTRUTIVA"</formula>
    </cfRule>
  </conditionalFormatting>
  <conditionalFormatting sqref="I939:L939">
    <cfRule type="expression" priority="8063" dxfId="5">
      <formula>$H939="CÉLULA CONSTRUTIVA"</formula>
    </cfRule>
  </conditionalFormatting>
  <conditionalFormatting sqref="I944:L944">
    <cfRule type="expression" priority="8060" dxfId="5">
      <formula>$H944="CÉLULA CONSTRUTIVA"</formula>
    </cfRule>
  </conditionalFormatting>
  <conditionalFormatting sqref="I951:L951">
    <cfRule type="expression" priority="8057" dxfId="5">
      <formula>$H951="CÉLULA CONSTRUTIVA"</formula>
    </cfRule>
  </conditionalFormatting>
  <conditionalFormatting sqref="I958:L958">
    <cfRule type="expression" priority="8054" dxfId="5">
      <formula>$H958="CÉLULA CONSTRUTIVA"</formula>
    </cfRule>
  </conditionalFormatting>
  <conditionalFormatting sqref="I965:L965">
    <cfRule type="expression" priority="8051" dxfId="5">
      <formula>$H965="CÉLULA CONSTRUTIVA"</formula>
    </cfRule>
  </conditionalFormatting>
  <conditionalFormatting sqref="I972:L972">
    <cfRule type="expression" priority="8048" dxfId="5">
      <formula>$H972="CÉLULA CONSTRUTIVA"</formula>
    </cfRule>
  </conditionalFormatting>
  <conditionalFormatting sqref="I979:L979">
    <cfRule type="expression" priority="8045" dxfId="5">
      <formula>$H979="CÉLULA CONSTRUTIVA"</formula>
    </cfRule>
  </conditionalFormatting>
  <conditionalFormatting sqref="I984:L984">
    <cfRule type="expression" priority="8042" dxfId="5">
      <formula>$H984="CÉLULA CONSTRUTIVA"</formula>
    </cfRule>
  </conditionalFormatting>
  <conditionalFormatting sqref="I991:L991">
    <cfRule type="expression" priority="8039" dxfId="5">
      <formula>$H991="CÉLULA CONSTRUTIVA"</formula>
    </cfRule>
  </conditionalFormatting>
  <conditionalFormatting sqref="I996:L996">
    <cfRule type="expression" priority="8036" dxfId="5">
      <formula>$H996="CÉLULA CONSTRUTIVA"</formula>
    </cfRule>
  </conditionalFormatting>
  <conditionalFormatting sqref="I1013:L1014 I1016:L1016">
    <cfRule type="expression" priority="7979" dxfId="4">
      <formula>$H1013="SUBETAPA"</formula>
    </cfRule>
  </conditionalFormatting>
  <conditionalFormatting sqref="I1027:L1028 I1030:L1030">
    <cfRule type="expression" priority="7977" dxfId="4">
      <formula>$H1027="SUBETAPA"</formula>
    </cfRule>
  </conditionalFormatting>
  <conditionalFormatting sqref="I1041:L1042 I1044:L1044">
    <cfRule type="expression" priority="7975" dxfId="4">
      <formula>$H1041="SUBETAPA"</formula>
    </cfRule>
  </conditionalFormatting>
  <conditionalFormatting sqref="I1055:L1056 I1058:L1058">
    <cfRule type="expression" priority="7973" dxfId="4">
      <formula>$H1055="SUBETAPA"</formula>
    </cfRule>
  </conditionalFormatting>
  <conditionalFormatting sqref="I1069:L1070 I1072:L1072">
    <cfRule type="expression" priority="7971" dxfId="4">
      <formula>$H1069="SUBETAPA"</formula>
    </cfRule>
  </conditionalFormatting>
  <conditionalFormatting sqref="I1083:L1085 K1088:L1088 K1091:L1091 O1088">
    <cfRule type="expression" priority="6659" dxfId="4">
      <formula>$H1083="SUBETAPA"</formula>
    </cfRule>
  </conditionalFormatting>
  <conditionalFormatting sqref="I1086:L1086">
    <cfRule type="expression" priority="7969" dxfId="4">
      <formula>$H1086="SUBETAPA"</formula>
    </cfRule>
  </conditionalFormatting>
  <conditionalFormatting sqref="I1088:L1088">
    <cfRule type="expression" priority="8000" dxfId="5">
      <formula>$H1088="CÉLULA CONSTRUTIVA"</formula>
    </cfRule>
  </conditionalFormatting>
  <conditionalFormatting sqref="I1090:L1091">
    <cfRule type="expression" priority="7997" dxfId="5">
      <formula>$H1090="CÉLULA CONSTRUTIVA"</formula>
    </cfRule>
  </conditionalFormatting>
  <conditionalFormatting sqref="I1097:L1098 I1100:L1100">
    <cfRule type="expression" priority="7967" dxfId="4">
      <formula>$H1097="SUBETAPA"</formula>
    </cfRule>
  </conditionalFormatting>
  <conditionalFormatting sqref="I1111:L1112 I1113:M1113 I1114:L1114">
    <cfRule type="expression" priority="7965" dxfId="4">
      <formula>$H1111="SUBETAPA"</formula>
    </cfRule>
  </conditionalFormatting>
  <conditionalFormatting sqref="I914:K915 I916:M916 I917:K917 I922:K922 I927:K927 I932:K932 I937:K937 I942:K942 I947:K947 I948:M948 I949:K949 I954:K954 I955:M955 I956:K956 I961:K961 I962:M962 I963:K963 I968:K968 I969:M969 I970:K970 I975:K975 I976:M976 I977:K977 I982:K982 I987:K987 I988:M988 I989:K989 I994:K994 M914:M915 M917:M922 M949:M954 M956:M961 M963:M968 M970:M975 M977:M982 M989:M994">
    <cfRule type="expression" priority="7980" dxfId="5">
      <formula>$H914="CÉLULA CONSTRUTIVA"</formula>
    </cfRule>
  </conditionalFormatting>
  <conditionalFormatting sqref="I1015:M1015 K1018:M1018 K1021:M1021 O1018">
    <cfRule type="expression" priority="6639" dxfId="4">
      <formula>$H1015="SUBETAPA"</formula>
    </cfRule>
  </conditionalFormatting>
  <conditionalFormatting sqref="I1018:M1018">
    <cfRule type="expression" priority="8030" dxfId="5">
      <formula>$H1018="CÉLULA CONSTRUTIVA"</formula>
    </cfRule>
  </conditionalFormatting>
  <conditionalFormatting sqref="I1020:M1021">
    <cfRule type="expression" priority="8027" dxfId="5">
      <formula>$H1020="CÉLULA CONSTRUTIVA"</formula>
    </cfRule>
  </conditionalFormatting>
  <conditionalFormatting sqref="I1029:M1029 K1032:M1032 K1035:M1035 O1032">
    <cfRule type="expression" priority="6636" dxfId="4">
      <formula>$H1029="SUBETAPA"</formula>
    </cfRule>
  </conditionalFormatting>
  <conditionalFormatting sqref="I1032:M1032">
    <cfRule type="expression" priority="8024" dxfId="5">
      <formula>$H1032="CÉLULA CONSTRUTIVA"</formula>
    </cfRule>
  </conditionalFormatting>
  <conditionalFormatting sqref="I1034:M1035">
    <cfRule type="expression" priority="8021" dxfId="5">
      <formula>$H1034="CÉLULA CONSTRUTIVA"</formula>
    </cfRule>
  </conditionalFormatting>
  <conditionalFormatting sqref="I1043:M1043 K1046:M1046 K1049:M1049 O1046">
    <cfRule type="expression" priority="6633" dxfId="4">
      <formula>$H1043="SUBETAPA"</formula>
    </cfRule>
  </conditionalFormatting>
  <conditionalFormatting sqref="I1046:M1046">
    <cfRule type="expression" priority="8018" dxfId="5">
      <formula>$H1046="CÉLULA CONSTRUTIVA"</formula>
    </cfRule>
  </conditionalFormatting>
  <conditionalFormatting sqref="I1048:M1049">
    <cfRule type="expression" priority="8015" dxfId="5">
      <formula>$H1048="CÉLULA CONSTRUTIVA"</formula>
    </cfRule>
  </conditionalFormatting>
  <conditionalFormatting sqref="I1057:M1057 K1060:M1060 K1063:M1063 O1060">
    <cfRule type="expression" priority="6630" dxfId="4">
      <formula>$H1057="SUBETAPA"</formula>
    </cfRule>
  </conditionalFormatting>
  <conditionalFormatting sqref="I1060:M1060">
    <cfRule type="expression" priority="8012" dxfId="5">
      <formula>$H1060="CÉLULA CONSTRUTIVA"</formula>
    </cfRule>
  </conditionalFormatting>
  <conditionalFormatting sqref="I1062:M1063">
    <cfRule type="expression" priority="8009" dxfId="5">
      <formula>$H1062="CÉLULA CONSTRUTIVA"</formula>
    </cfRule>
  </conditionalFormatting>
  <conditionalFormatting sqref="I1071:M1071 K1074:M1074 K1077:M1077 O1074">
    <cfRule type="expression" priority="6627" dxfId="4">
      <formula>$H1071="SUBETAPA"</formula>
    </cfRule>
  </conditionalFormatting>
  <conditionalFormatting sqref="I1074:M1074">
    <cfRule type="expression" priority="8006" dxfId="5">
      <formula>$H1074="CÉLULA CONSTRUTIVA"</formula>
    </cfRule>
  </conditionalFormatting>
  <conditionalFormatting sqref="I1076:M1077">
    <cfRule type="expression" priority="8003" dxfId="5">
      <formula>$H1076="CÉLULA CONSTRUTIVA"</formula>
    </cfRule>
  </conditionalFormatting>
  <conditionalFormatting sqref="I1099:M1099 K1102:M1102 K1105:M1105 O1102">
    <cfRule type="expression" priority="6624" dxfId="4">
      <formula>$H1099="SUBETAPA"</formula>
    </cfRule>
  </conditionalFormatting>
  <conditionalFormatting sqref="I1102:M1102">
    <cfRule type="expression" priority="7994" dxfId="5">
      <formula>$H1102="CÉLULA CONSTRUTIVA"</formula>
    </cfRule>
  </conditionalFormatting>
  <conditionalFormatting sqref="I1104:M1105">
    <cfRule type="expression" priority="7991" dxfId="5">
      <formula>$H1104="CÉLULA CONSTRUTIVA"</formula>
    </cfRule>
  </conditionalFormatting>
  <conditionalFormatting sqref="I1116:M1116 I1119:M1119">
    <cfRule type="expression" priority="7990" dxfId="4">
      <formula>$H1116="SUBETAPA"</formula>
    </cfRule>
  </conditionalFormatting>
  <conditionalFormatting sqref="I42:N43">
    <cfRule type="expression" priority="7962" dxfId="4">
      <formula>$H42="SUBETAPA"</formula>
    </cfRule>
  </conditionalFormatting>
  <conditionalFormatting sqref="J32">
    <cfRule type="expression" priority="7960" dxfId="5">
      <formula>$H32="CÉLULA CONSTRUTIVA"</formula>
    </cfRule>
  </conditionalFormatting>
  <conditionalFormatting sqref="J35:J38">
    <cfRule type="expression" priority="7955" dxfId="5">
      <formula>$H35="CÉLULA CONSTRUTIVA"</formula>
    </cfRule>
  </conditionalFormatting>
  <conditionalFormatting sqref="J37">
    <cfRule type="expression" priority="7956" dxfId="3">
      <formula>$H37="ETAPA"</formula>
    </cfRule>
  </conditionalFormatting>
  <conditionalFormatting sqref="J40">
    <cfRule type="expression" priority="7951" dxfId="5">
      <formula>$H40="CÉLULA CONSTRUTIVA"</formula>
    </cfRule>
    <cfRule type="expression" priority="7953" dxfId="3">
      <formula>$H40="ETAPA"</formula>
    </cfRule>
  </conditionalFormatting>
  <conditionalFormatting sqref="J45:J46">
    <cfRule type="expression" priority="7946" dxfId="3">
      <formula>$H45="ETAPA"</formula>
    </cfRule>
    <cfRule type="expression" priority="7947" dxfId="4">
      <formula>$H45="SUBETAPA"</formula>
    </cfRule>
    <cfRule type="expression" priority="7945" dxfId="5">
      <formula>$H45="CÉLULA CONSTRUTIVA"</formula>
    </cfRule>
  </conditionalFormatting>
  <conditionalFormatting sqref="J50">
    <cfRule type="expression" priority="7943" dxfId="5">
      <formula>$H50="CÉLULA CONSTRUTIVA"</formula>
    </cfRule>
  </conditionalFormatting>
  <conditionalFormatting sqref="J61">
    <cfRule type="expression" priority="7942" dxfId="3">
      <formula>$H61="ETAPA"</formula>
    </cfRule>
    <cfRule type="expression" priority="7941" dxfId="4">
      <formula>$H61="SUBETAPA"</formula>
    </cfRule>
    <cfRule type="expression" priority="7940" dxfId="5">
      <formula>$H61="CÉLULA CONSTRUTIVA"</formula>
    </cfRule>
  </conditionalFormatting>
  <conditionalFormatting sqref="J88">
    <cfRule type="expression" priority="7939" dxfId="3">
      <formula>$H88="ETAPA"</formula>
    </cfRule>
  </conditionalFormatting>
  <conditionalFormatting sqref="J90">
    <cfRule type="expression" priority="7936" dxfId="3">
      <formula>$H90="ETAPA"</formula>
    </cfRule>
  </conditionalFormatting>
  <conditionalFormatting sqref="J303">
    <cfRule type="expression" priority="7927" dxfId="3">
      <formula>$H303="ETAPA"</formula>
    </cfRule>
  </conditionalFormatting>
  <conditionalFormatting sqref="J308">
    <cfRule type="expression" priority="7922" dxfId="5">
      <formula>$H308="CÉLULA CONSTRUTIVA"</formula>
    </cfRule>
    <cfRule type="expression" priority="7924" dxfId="3">
      <formula>$H308="ETAPA"</formula>
    </cfRule>
  </conditionalFormatting>
  <conditionalFormatting sqref="J317">
    <cfRule type="expression" priority="7921" dxfId="3">
      <formula>$H317="ETAPA"</formula>
    </cfRule>
  </conditionalFormatting>
  <conditionalFormatting sqref="J321">
    <cfRule type="expression" priority="7918" dxfId="3">
      <formula>$H321="ETAPA"</formula>
    </cfRule>
  </conditionalFormatting>
  <conditionalFormatting sqref="J325">
    <cfRule type="expression" priority="7915" dxfId="3">
      <formula>$H325="ETAPA"</formula>
    </cfRule>
  </conditionalFormatting>
  <conditionalFormatting sqref="J331">
    <cfRule type="expression" priority="7912" dxfId="3">
      <formula>$H331="ETAPA"</formula>
    </cfRule>
  </conditionalFormatting>
  <conditionalFormatting sqref="J335">
    <cfRule type="expression" priority="7909" dxfId="3">
      <formula>$H335="ETAPA"</formula>
    </cfRule>
  </conditionalFormatting>
  <conditionalFormatting sqref="J339">
    <cfRule type="expression" priority="7906" dxfId="3">
      <formula>$H339="ETAPA"</formula>
    </cfRule>
  </conditionalFormatting>
  <conditionalFormatting sqref="J343">
    <cfRule type="expression" priority="7903" dxfId="3">
      <formula>$H343="ETAPA"</formula>
    </cfRule>
  </conditionalFormatting>
  <conditionalFormatting sqref="J350">
    <cfRule type="expression" priority="7900" dxfId="3">
      <formula>$H350="ETAPA"</formula>
    </cfRule>
  </conditionalFormatting>
  <conditionalFormatting sqref="J352">
    <cfRule type="expression" priority="7897" dxfId="3">
      <formula>$H352="ETAPA"</formula>
    </cfRule>
  </conditionalFormatting>
  <conditionalFormatting sqref="J354">
    <cfRule type="expression" priority="7894" dxfId="3">
      <formula>$H354="ETAPA"</formula>
    </cfRule>
  </conditionalFormatting>
  <conditionalFormatting sqref="J356">
    <cfRule type="expression" priority="7891" dxfId="3">
      <formula>$H356="ETAPA"</formula>
    </cfRule>
  </conditionalFormatting>
  <conditionalFormatting sqref="J358">
    <cfRule type="expression" priority="7888" dxfId="3">
      <formula>$H358="ETAPA"</formula>
    </cfRule>
  </conditionalFormatting>
  <conditionalFormatting sqref="J360">
    <cfRule type="expression" priority="7885" dxfId="3">
      <formula>$H360="ETAPA"</formula>
    </cfRule>
  </conditionalFormatting>
  <conditionalFormatting sqref="J362">
    <cfRule type="expression" priority="7882" dxfId="3">
      <formula>$H362="ETAPA"</formula>
    </cfRule>
  </conditionalFormatting>
  <conditionalFormatting sqref="J364">
    <cfRule type="expression" priority="7879" dxfId="3">
      <formula>$H364="ETAPA"</formula>
    </cfRule>
  </conditionalFormatting>
  <conditionalFormatting sqref="J366">
    <cfRule type="expression" priority="7876" dxfId="3">
      <formula>$H366="ETAPA"</formula>
    </cfRule>
  </conditionalFormatting>
  <conditionalFormatting sqref="J368">
    <cfRule type="expression" priority="7873" dxfId="3">
      <formula>$H368="ETAPA"</formula>
    </cfRule>
  </conditionalFormatting>
  <conditionalFormatting sqref="J370">
    <cfRule type="expression" priority="7870" dxfId="3">
      <formula>$H370="ETAPA"</formula>
    </cfRule>
  </conditionalFormatting>
  <conditionalFormatting sqref="J372">
    <cfRule type="expression" priority="7867" dxfId="3">
      <formula>$H372="ETAPA"</formula>
    </cfRule>
  </conditionalFormatting>
  <conditionalFormatting sqref="J374">
    <cfRule type="expression" priority="7864" dxfId="3">
      <formula>$H374="ETAPA"</formula>
    </cfRule>
  </conditionalFormatting>
  <conditionalFormatting sqref="J376">
    <cfRule type="expression" priority="7861" dxfId="3">
      <formula>$H376="ETAPA"</formula>
    </cfRule>
  </conditionalFormatting>
  <conditionalFormatting sqref="J378">
    <cfRule type="expression" priority="7858" dxfId="3">
      <formula>$H378="ETAPA"</formula>
    </cfRule>
  </conditionalFormatting>
  <conditionalFormatting sqref="H709:L709 J710">
    <cfRule type="expression" priority="8205" dxfId="3">
      <formula>$H709="ETAPA"</formula>
    </cfRule>
  </conditionalFormatting>
  <conditionalFormatting sqref="H724:L724 J725">
    <cfRule type="expression" priority="8202" dxfId="3">
      <formula>$H724="ETAPA"</formula>
    </cfRule>
  </conditionalFormatting>
  <conditionalFormatting sqref="H739:L739 J740">
    <cfRule type="expression" priority="8199" dxfId="3">
      <formula>$H739="ETAPA"</formula>
    </cfRule>
  </conditionalFormatting>
  <conditionalFormatting sqref="H754:L754 J755">
    <cfRule type="expression" priority="8196" dxfId="3">
      <formula>$H754="ETAPA"</formula>
    </cfRule>
  </conditionalFormatting>
  <conditionalFormatting sqref="H769:L769 J770">
    <cfRule type="expression" priority="8193" dxfId="3">
      <formula>$H769="ETAPA"</formula>
    </cfRule>
  </conditionalFormatting>
  <conditionalFormatting sqref="H784:L784 J785">
    <cfRule type="expression" priority="8190" dxfId="3">
      <formula>$H784="ETAPA"</formula>
    </cfRule>
  </conditionalFormatting>
  <conditionalFormatting sqref="H799:L799 J800">
    <cfRule type="expression" priority="8187" dxfId="3">
      <formula>$H799="ETAPA"</formula>
    </cfRule>
  </conditionalFormatting>
  <conditionalFormatting sqref="H814:L814 J815">
    <cfRule type="expression" priority="8184" dxfId="3">
      <formula>$H814="ETAPA"</formula>
    </cfRule>
  </conditionalFormatting>
  <conditionalFormatting sqref="H829:L829 J830">
    <cfRule type="expression" priority="8181" dxfId="3">
      <formula>$H829="ETAPA"</formula>
    </cfRule>
  </conditionalFormatting>
  <conditionalFormatting sqref="H844:L844 J845">
    <cfRule type="expression" priority="8178" dxfId="3">
      <formula>$H844="ETAPA"</formula>
    </cfRule>
  </conditionalFormatting>
  <conditionalFormatting sqref="H859:L859 J860">
    <cfRule type="expression" priority="8175" dxfId="3">
      <formula>$H859="ETAPA"</formula>
    </cfRule>
  </conditionalFormatting>
  <conditionalFormatting sqref="H874:L874 J875">
    <cfRule type="expression" priority="8172" dxfId="3">
      <formula>$H874="ETAPA"</formula>
    </cfRule>
  </conditionalFormatting>
  <conditionalFormatting sqref="H889:L889 J890">
    <cfRule type="expression" priority="8169" dxfId="3">
      <formula>$H889="ETAPA"</formula>
    </cfRule>
  </conditionalFormatting>
  <conditionalFormatting sqref="H904:L904 J905">
    <cfRule type="expression" priority="8166" dxfId="3">
      <formula>$H904="ETAPA"</formula>
    </cfRule>
  </conditionalFormatting>
  <conditionalFormatting sqref="J1129">
    <cfRule type="expression" priority="7702" dxfId="3">
      <formula>$H1129="ETAPA"</formula>
    </cfRule>
    <cfRule type="expression" priority="7703" dxfId="4">
      <formula>$H1129="SUBETAPA"</formula>
    </cfRule>
  </conditionalFormatting>
  <conditionalFormatting sqref="J1132">
    <cfRule type="expression" priority="7700" dxfId="4">
      <formula>$H1132="SUBETAPA"</formula>
    </cfRule>
    <cfRule type="expression" priority="7699" dxfId="3">
      <formula>$H1132="ETAPA"</formula>
    </cfRule>
  </conditionalFormatting>
  <conditionalFormatting sqref="J1135">
    <cfRule type="expression" priority="7697" dxfId="4">
      <formula>$H1135="SUBETAPA"</formula>
    </cfRule>
    <cfRule type="expression" priority="7696" dxfId="3">
      <formula>$H1135="ETAPA"</formula>
    </cfRule>
  </conditionalFormatting>
  <conditionalFormatting sqref="J1138">
    <cfRule type="expression" priority="7694" dxfId="4">
      <formula>$H1138="SUBETAPA"</formula>
    </cfRule>
    <cfRule type="expression" priority="7693" dxfId="3">
      <formula>$H1138="ETAPA"</formula>
    </cfRule>
  </conditionalFormatting>
  <conditionalFormatting sqref="J1141">
    <cfRule type="expression" priority="7691" dxfId="4">
      <formula>$H1141="SUBETAPA"</formula>
    </cfRule>
    <cfRule type="expression" priority="7690" dxfId="3">
      <formula>$H1141="ETAPA"</formula>
    </cfRule>
  </conditionalFormatting>
  <conditionalFormatting sqref="J1144">
    <cfRule type="expression" priority="7688" dxfId="4">
      <formula>$H1144="SUBETAPA"</formula>
    </cfRule>
    <cfRule type="expression" priority="7687" dxfId="3">
      <formula>$H1144="ETAPA"</formula>
    </cfRule>
  </conditionalFormatting>
  <conditionalFormatting sqref="J1149">
    <cfRule type="expression" priority="7684" dxfId="3">
      <formula>$H1149="ETAPA"</formula>
    </cfRule>
    <cfRule type="expression" priority="7683" dxfId="5">
      <formula>$H1149="CÉLULA CONSTRUTIVA"</formula>
    </cfRule>
  </conditionalFormatting>
  <conditionalFormatting sqref="J1156">
    <cfRule type="expression" priority="7681" dxfId="3">
      <formula>$H1156="ETAPA"</formula>
    </cfRule>
    <cfRule type="expression" priority="7680" dxfId="5">
      <formula>$H1156="CÉLULA CONSTRUTIVA"</formula>
    </cfRule>
  </conditionalFormatting>
  <conditionalFormatting sqref="J1163">
    <cfRule type="expression" priority="7679" dxfId="4">
      <formula>$H1163="SUBETAPA"</formula>
    </cfRule>
    <cfRule type="expression" priority="7678" dxfId="3">
      <formula>$H1163="ETAPA"</formula>
    </cfRule>
  </conditionalFormatting>
  <conditionalFormatting sqref="J1168">
    <cfRule type="expression" priority="7675" dxfId="3">
      <formula>$H1168="ETAPA"</formula>
    </cfRule>
    <cfRule type="expression" priority="7676" dxfId="4">
      <formula>$H1168="SUBETAPA"</formula>
    </cfRule>
  </conditionalFormatting>
  <conditionalFormatting sqref="J1173">
    <cfRule type="expression" priority="7673" dxfId="4">
      <formula>$H1173="SUBETAPA"</formula>
    </cfRule>
    <cfRule type="expression" priority="7672" dxfId="3">
      <formula>$H1173="ETAPA"</formula>
    </cfRule>
  </conditionalFormatting>
  <conditionalFormatting sqref="J1178">
    <cfRule type="expression" priority="7670" dxfId="4">
      <formula>$H1178="SUBETAPA"</formula>
    </cfRule>
    <cfRule type="expression" priority="7669" dxfId="3">
      <formula>$H1178="ETAPA"</formula>
    </cfRule>
  </conditionalFormatting>
  <conditionalFormatting sqref="J1181">
    <cfRule type="expression" priority="7667" dxfId="4">
      <formula>$H1181="SUBETAPA"</formula>
    </cfRule>
    <cfRule type="expression" priority="7666" dxfId="3">
      <formula>$H1181="ETAPA"</formula>
    </cfRule>
  </conditionalFormatting>
  <conditionalFormatting sqref="J1193:J1194 J1199:K1199">
    <cfRule type="expression" priority="7664" dxfId="5">
      <formula>$H1193="CÉLULA CONSTRUTIVA"</formula>
    </cfRule>
    <cfRule type="expression" priority="7663" dxfId="4">
      <formula>$H1193="SUBETAPA"</formula>
    </cfRule>
  </conditionalFormatting>
  <conditionalFormatting sqref="J1194">
    <cfRule type="expression" priority="7662" dxfId="5">
      <formula>$H1194="CÉLULA CONSTRUTIVA"</formula>
    </cfRule>
    <cfRule type="expression" priority="7661" dxfId="4">
      <formula>$H1194="SUBETAPA"</formula>
    </cfRule>
  </conditionalFormatting>
  <conditionalFormatting sqref="J1208:J1209">
    <cfRule type="expression" priority="7660" dxfId="5">
      <formula>$H1208="CÉLULA CONSTRUTIVA"</formula>
    </cfRule>
    <cfRule type="expression" priority="7659" dxfId="4">
      <formula>$H1208="SUBETAPA"</formula>
    </cfRule>
  </conditionalFormatting>
  <conditionalFormatting sqref="J1209">
    <cfRule type="expression" priority="7658" dxfId="5">
      <formula>$H1209="CÉLULA CONSTRUTIVA"</formula>
    </cfRule>
    <cfRule type="expression" priority="7657" dxfId="4">
      <formula>$H1209="SUBETAPA"</formula>
    </cfRule>
  </conditionalFormatting>
  <conditionalFormatting sqref="J1215:J1216">
    <cfRule type="expression" priority="7654" dxfId="5">
      <formula>$H1215="CÉLULA CONSTRUTIVA"</formula>
    </cfRule>
    <cfRule type="expression" priority="7653" dxfId="4">
      <formula>$H1215="SUBETAPA"</formula>
    </cfRule>
  </conditionalFormatting>
  <conditionalFormatting sqref="J1216">
    <cfRule type="expression" priority="7652" dxfId="5">
      <formula>$H1216="CÉLULA CONSTRUTIVA"</formula>
    </cfRule>
    <cfRule type="expression" priority="7651" dxfId="4">
      <formula>$H1216="SUBETAPA"</formula>
    </cfRule>
  </conditionalFormatting>
  <conditionalFormatting sqref="J1222:J1223">
    <cfRule type="expression" priority="7648" dxfId="5">
      <formula>$H1222="CÉLULA CONSTRUTIVA"</formula>
    </cfRule>
    <cfRule type="expression" priority="7647" dxfId="4">
      <formula>$H1222="SUBETAPA"</formula>
    </cfRule>
  </conditionalFormatting>
  <conditionalFormatting sqref="J1223">
    <cfRule type="expression" priority="7646" dxfId="5">
      <formula>$H1223="CÉLULA CONSTRUTIVA"</formula>
    </cfRule>
    <cfRule type="expression" priority="7645" dxfId="4">
      <formula>$H1223="SUBETAPA"</formula>
    </cfRule>
  </conditionalFormatting>
  <conditionalFormatting sqref="J1232:J1233">
    <cfRule type="expression" priority="7641" dxfId="4">
      <formula>$H1232="SUBETAPA"</formula>
    </cfRule>
    <cfRule type="expression" priority="7642" dxfId="5">
      <formula>$H1232="CÉLULA CONSTRUTIVA"</formula>
    </cfRule>
  </conditionalFormatting>
  <conditionalFormatting sqref="J1233">
    <cfRule type="expression" priority="7639" dxfId="4">
      <formula>$H1233="SUBETAPA"</formula>
    </cfRule>
    <cfRule type="expression" priority="7640" dxfId="5">
      <formula>$H1233="CÉLULA CONSTRUTIVA"</formula>
    </cfRule>
  </conditionalFormatting>
  <conditionalFormatting sqref="J1242:J1244">
    <cfRule type="expression" priority="7637" dxfId="4">
      <formula>$H1242="SUBETAPA"</formula>
    </cfRule>
    <cfRule type="expression" priority="7636" dxfId="5">
      <formula>$H1242="CÉLULA CONSTRUTIVA"</formula>
    </cfRule>
    <cfRule type="expression" priority="7638" dxfId="3">
      <formula>$H1242="ETAPA"</formula>
    </cfRule>
  </conditionalFormatting>
  <conditionalFormatting sqref="J1243:J1244">
    <cfRule type="expression" priority="7634" dxfId="4">
      <formula>$H1243="SUBETAPA"</formula>
    </cfRule>
    <cfRule type="expression" priority="7635" dxfId="3">
      <formula>$H1243="ETAPA"</formula>
    </cfRule>
  </conditionalFormatting>
  <conditionalFormatting sqref="J1244">
    <cfRule type="expression" priority="7633" dxfId="3">
      <formula>$H1244="ETAPA"</formula>
    </cfRule>
    <cfRule type="expression" priority="7632" dxfId="4">
      <formula>$H1244="SUBETAPA"</formula>
    </cfRule>
  </conditionalFormatting>
  <conditionalFormatting sqref="J1247:J1248">
    <cfRule type="expression" priority="7629" dxfId="5">
      <formula>$H1247="CÉLULA CONSTRUTIVA"</formula>
    </cfRule>
    <cfRule type="expression" priority="7628" dxfId="4">
      <formula>$H1247="SUBETAPA"</formula>
    </cfRule>
  </conditionalFormatting>
  <conditionalFormatting sqref="J1248">
    <cfRule type="expression" priority="7627" dxfId="5">
      <formula>$H1248="CÉLULA CONSTRUTIVA"</formula>
    </cfRule>
    <cfRule type="expression" priority="7626" dxfId="4">
      <formula>$H1248="SUBETAPA"</formula>
    </cfRule>
  </conditionalFormatting>
  <conditionalFormatting sqref="J1264:J1265">
    <cfRule type="expression" priority="7623" dxfId="5">
      <formula>$H1264="CÉLULA CONSTRUTIVA"</formula>
    </cfRule>
    <cfRule type="expression" priority="7622" dxfId="4">
      <formula>$H1264="SUBETAPA"</formula>
    </cfRule>
  </conditionalFormatting>
  <conditionalFormatting sqref="J1265">
    <cfRule type="expression" priority="7620" dxfId="4">
      <formula>$H1265="SUBETAPA"</formula>
    </cfRule>
    <cfRule type="expression" priority="7621" dxfId="5">
      <formula>$H1265="CÉLULA CONSTRUTIVA"</formula>
    </cfRule>
  </conditionalFormatting>
  <conditionalFormatting sqref="J1273:J1277 J1335:J1336">
    <cfRule type="expression" priority="7615" dxfId="5">
      <formula>$H1273="CÉLULA CONSTRUTIVA"</formula>
    </cfRule>
    <cfRule type="expression" priority="7616" dxfId="4">
      <formula>$H1273="SUBETAPA"</formula>
    </cfRule>
    <cfRule type="expression" priority="7617" dxfId="3">
      <formula>$H1273="ETAPA"</formula>
    </cfRule>
    <cfRule type="expression" priority="7619" dxfId="3">
      <formula>$H1273="ETAPA"</formula>
    </cfRule>
  </conditionalFormatting>
  <conditionalFormatting sqref="J1273:J1277 J1334:L1337">
    <cfRule type="expression" priority="7618" dxfId="4">
      <formula>$H1273="SUBETAPA"</formula>
    </cfRule>
  </conditionalFormatting>
  <conditionalFormatting sqref="J1274:J1277">
    <cfRule type="expression" priority="7613" dxfId="4">
      <formula>$H1274="SUBETAPA"</formula>
    </cfRule>
    <cfRule type="expression" priority="7614" dxfId="3">
      <formula>$H1274="ETAPA"</formula>
    </cfRule>
  </conditionalFormatting>
  <conditionalFormatting sqref="J1286:J1287">
    <cfRule type="expression" priority="7611" dxfId="4">
      <formula>$H1286="SUBETAPA"</formula>
    </cfRule>
    <cfRule type="expression" priority="7612" dxfId="5">
      <formula>$H1286="CÉLULA CONSTRUTIVA"</formula>
    </cfRule>
  </conditionalFormatting>
  <conditionalFormatting sqref="J1287">
    <cfRule type="expression" priority="7609" dxfId="4">
      <formula>$H1287="SUBETAPA"</formula>
    </cfRule>
    <cfRule type="expression" priority="7610" dxfId="5">
      <formula>$H1287="CÉLULA CONSTRUTIVA"</formula>
    </cfRule>
  </conditionalFormatting>
  <conditionalFormatting sqref="J1295:J1297">
    <cfRule type="expression" priority="7608" dxfId="3">
      <formula>$H1295="ETAPA"</formula>
    </cfRule>
    <cfRule type="expression" priority="7607" dxfId="4">
      <formula>$H1295="SUBETAPA"</formula>
    </cfRule>
    <cfRule type="expression" priority="7605" dxfId="4">
      <formula>$H1295="SUBETAPA"</formula>
    </cfRule>
    <cfRule type="expression" priority="7606" dxfId="3">
      <formula>$H1295="ETAPA"</formula>
    </cfRule>
    <cfRule type="expression" priority="7604" dxfId="5">
      <formula>$H1295="CÉLULA CONSTRUTIVA"</formula>
    </cfRule>
  </conditionalFormatting>
  <conditionalFormatting sqref="J1296:J1297">
    <cfRule type="expression" priority="7603" dxfId="3">
      <formula>$H1296="ETAPA"</formula>
    </cfRule>
  </conditionalFormatting>
  <conditionalFormatting sqref="J1304">
    <cfRule type="expression" priority="7601" dxfId="5">
      <formula>$H1304="CÉLULA CONSTRUTIVA"</formula>
    </cfRule>
    <cfRule type="expression" priority="7600" dxfId="4">
      <formula>$H1304="SUBETAPA"</formula>
    </cfRule>
  </conditionalFormatting>
  <conditionalFormatting sqref="J1304:J1305">
    <cfRule type="expression" priority="7599" dxfId="5">
      <formula>$H1304="CÉLULA CONSTRUTIVA"</formula>
    </cfRule>
    <cfRule type="expression" priority="7598" dxfId="4">
      <formula>$H1304="SUBETAPA"</formula>
    </cfRule>
  </conditionalFormatting>
  <conditionalFormatting sqref="J1305">
    <cfRule type="expression" priority="7596" dxfId="4">
      <formula>$H1305="SUBETAPA"</formula>
    </cfRule>
    <cfRule type="expression" priority="7597" dxfId="5">
      <formula>$H1305="CÉLULA CONSTRUTIVA"</formula>
    </cfRule>
  </conditionalFormatting>
  <conditionalFormatting sqref="J1310:J1311">
    <cfRule type="expression" priority="7594" dxfId="4">
      <formula>$H1310="SUBETAPA"</formula>
    </cfRule>
    <cfRule type="expression" priority="7595" dxfId="5">
      <formula>$H1310="CÉLULA CONSTRUTIVA"</formula>
    </cfRule>
  </conditionalFormatting>
  <conditionalFormatting sqref="J1311">
    <cfRule type="expression" priority="7593" dxfId="5">
      <formula>$H1311="CÉLULA CONSTRUTIVA"</formula>
    </cfRule>
    <cfRule type="expression" priority="7592" dxfId="4">
      <formula>$H1311="SUBETAPA"</formula>
    </cfRule>
  </conditionalFormatting>
  <conditionalFormatting sqref="J1317:J1319">
    <cfRule type="expression" priority="7588" dxfId="4">
      <formula>$H1317="SUBETAPA"</formula>
    </cfRule>
    <cfRule type="expression" priority="7589" dxfId="3">
      <formula>$H1317="ETAPA"</formula>
    </cfRule>
    <cfRule type="expression" priority="7590" dxfId="4">
      <formula>$H1317="SUBETAPA"</formula>
    </cfRule>
    <cfRule type="expression" priority="7591" dxfId="3">
      <formula>$H1317="ETAPA"</formula>
    </cfRule>
    <cfRule type="expression" priority="7587" dxfId="5">
      <formula>$H1317="CÉLULA CONSTRUTIVA"</formula>
    </cfRule>
  </conditionalFormatting>
  <conditionalFormatting sqref="J1318:J1319">
    <cfRule type="expression" priority="7586" dxfId="3">
      <formula>$H1318="ETAPA"</formula>
    </cfRule>
  </conditionalFormatting>
  <conditionalFormatting sqref="J1325">
    <cfRule type="expression" priority="7584" dxfId="5">
      <formula>$H1325="CÉLULA CONSTRUTIVA"</formula>
    </cfRule>
    <cfRule type="expression" priority="7583" dxfId="4">
      <formula>$H1325="SUBETAPA"</formula>
    </cfRule>
  </conditionalFormatting>
  <conditionalFormatting sqref="J1329:J1330">
    <cfRule type="expression" priority="7582" dxfId="5">
      <formula>$H1329="CÉLULA CONSTRUTIVA"</formula>
    </cfRule>
    <cfRule type="expression" priority="7581" dxfId="4">
      <formula>$H1329="SUBETAPA"</formula>
    </cfRule>
  </conditionalFormatting>
  <conditionalFormatting sqref="J1330">
    <cfRule type="expression" priority="7580" dxfId="5">
      <formula>$H1330="CÉLULA CONSTRUTIVA"</formula>
    </cfRule>
    <cfRule type="expression" priority="7579" dxfId="4">
      <formula>$H1330="SUBETAPA"</formula>
    </cfRule>
  </conditionalFormatting>
  <conditionalFormatting sqref="J1343">
    <cfRule type="expression" priority="7578" dxfId="5">
      <formula>$H1343="CÉLULA CONSTRUTIVA"</formula>
    </cfRule>
    <cfRule type="expression" priority="7577" dxfId="4">
      <formula>$H1343="SUBETAPA"</formula>
    </cfRule>
  </conditionalFormatting>
  <conditionalFormatting sqref="J1348:J1349">
    <cfRule type="expression" priority="7576" dxfId="5">
      <formula>$H1348="CÉLULA CONSTRUTIVA"</formula>
    </cfRule>
    <cfRule type="expression" priority="7575" dxfId="4">
      <formula>$H1348="SUBETAPA"</formula>
    </cfRule>
  </conditionalFormatting>
  <conditionalFormatting sqref="J1349">
    <cfRule type="expression" priority="7574" dxfId="5">
      <formula>$H1349="CÉLULA CONSTRUTIVA"</formula>
    </cfRule>
    <cfRule type="expression" priority="7573" dxfId="4">
      <formula>$H1349="SUBETAPA"</formula>
    </cfRule>
  </conditionalFormatting>
  <conditionalFormatting sqref="J1355:J1357">
    <cfRule type="expression" priority="7569" dxfId="4">
      <formula>$H1355="SUBETAPA"</formula>
    </cfRule>
    <cfRule type="expression" priority="7568" dxfId="5">
      <formula>$H1355="CÉLULA CONSTRUTIVA"</formula>
    </cfRule>
    <cfRule type="expression" priority="7570" dxfId="3">
      <formula>$H1355="ETAPA"</formula>
    </cfRule>
    <cfRule type="expression" priority="7571" dxfId="4">
      <formula>$H1355="SUBETAPA"</formula>
    </cfRule>
    <cfRule type="expression" priority="7572" dxfId="3">
      <formula>$H1355="ETAPA"</formula>
    </cfRule>
  </conditionalFormatting>
  <conditionalFormatting sqref="J1356:J1357">
    <cfRule type="expression" priority="7567" dxfId="3">
      <formula>$H1356="ETAPA"</formula>
    </cfRule>
  </conditionalFormatting>
  <conditionalFormatting sqref="J1364">
    <cfRule type="expression" priority="7564" dxfId="4">
      <formula>$H1364="SUBETAPA"</formula>
    </cfRule>
    <cfRule type="expression" priority="7565" dxfId="5">
      <formula>$H1364="CÉLULA CONSTRUTIVA"</formula>
    </cfRule>
  </conditionalFormatting>
  <conditionalFormatting sqref="J1369:J1370">
    <cfRule type="expression" priority="7563" dxfId="5">
      <formula>$H1369="CÉLULA CONSTRUTIVA"</formula>
    </cfRule>
    <cfRule type="expression" priority="7562" dxfId="4">
      <formula>$H1369="SUBETAPA"</formula>
    </cfRule>
  </conditionalFormatting>
  <conditionalFormatting sqref="J1370">
    <cfRule type="expression" priority="7560" dxfId="4">
      <formula>$H1370="SUBETAPA"</formula>
    </cfRule>
    <cfRule type="expression" priority="7561" dxfId="5">
      <formula>$H1370="CÉLULA CONSTRUTIVA"</formula>
    </cfRule>
  </conditionalFormatting>
  <conditionalFormatting sqref="J1376:J1378">
    <cfRule type="expression" priority="7555" dxfId="5">
      <formula>$H1376="CÉLULA CONSTRUTIVA"</formula>
    </cfRule>
    <cfRule type="expression" priority="7559" dxfId="3">
      <formula>$H1376="ETAPA"</formula>
    </cfRule>
    <cfRule type="expression" priority="7558" dxfId="4">
      <formula>$H1376="SUBETAPA"</formula>
    </cfRule>
    <cfRule type="expression" priority="7557" dxfId="3">
      <formula>$H1376="ETAPA"</formula>
    </cfRule>
    <cfRule type="expression" priority="7556" dxfId="4">
      <formula>$H1376="SUBETAPA"</formula>
    </cfRule>
  </conditionalFormatting>
  <conditionalFormatting sqref="J1377:J1378">
    <cfRule type="expression" priority="7554" dxfId="3">
      <formula>$H1377="ETAPA"</formula>
    </cfRule>
  </conditionalFormatting>
  <conditionalFormatting sqref="J1385">
    <cfRule type="expression" priority="7552" dxfId="5">
      <formula>$H1385="CÉLULA CONSTRUTIVA"</formula>
    </cfRule>
    <cfRule type="expression" priority="7551" dxfId="4">
      <formula>$H1385="SUBETAPA"</formula>
    </cfRule>
  </conditionalFormatting>
  <conditionalFormatting sqref="J1385:J1386">
    <cfRule type="expression" priority="7549" dxfId="4">
      <formula>$H1385="SUBETAPA"</formula>
    </cfRule>
    <cfRule type="expression" priority="7550" dxfId="5">
      <formula>$H1385="CÉLULA CONSTRUTIVA"</formula>
    </cfRule>
  </conditionalFormatting>
  <conditionalFormatting sqref="J1386">
    <cfRule type="expression" priority="7548" dxfId="5">
      <formula>$H1386="CÉLULA CONSTRUTIVA"</formula>
    </cfRule>
    <cfRule type="expression" priority="7547" dxfId="4">
      <formula>$H1386="SUBETAPA"</formula>
    </cfRule>
  </conditionalFormatting>
  <conditionalFormatting sqref="J1393:J1394 O1388:O1389">
    <cfRule type="expression" priority="7545" dxfId="4">
      <formula>$H1388="SUBETAPA"</formula>
    </cfRule>
    <cfRule type="expression" priority="7546" dxfId="5">
      <formula>$H1388="CÉLULA CONSTRUTIVA"</formula>
    </cfRule>
  </conditionalFormatting>
  <conditionalFormatting sqref="J1394">
    <cfRule type="expression" priority="7544" dxfId="5">
      <formula>$H1394="CÉLULA CONSTRUTIVA"</formula>
    </cfRule>
    <cfRule type="expression" priority="7543" dxfId="4">
      <formula>$H1394="SUBETAPA"</formula>
    </cfRule>
  </conditionalFormatting>
  <conditionalFormatting sqref="J1400:J1402">
    <cfRule type="expression" priority="7542" dxfId="3">
      <formula>$H1400="ETAPA"</formula>
    </cfRule>
    <cfRule type="expression" priority="7541" dxfId="4">
      <formula>$H1400="SUBETAPA"</formula>
    </cfRule>
    <cfRule type="expression" priority="7540" dxfId="3">
      <formula>$H1400="ETAPA"</formula>
    </cfRule>
    <cfRule type="expression" priority="7539" dxfId="4">
      <formula>$H1400="SUBETAPA"</formula>
    </cfRule>
    <cfRule type="expression" priority="7538" dxfId="5">
      <formula>$H1400="CÉLULA CONSTRUTIVA"</formula>
    </cfRule>
  </conditionalFormatting>
  <conditionalFormatting sqref="J1401:J1402">
    <cfRule type="expression" priority="7537" dxfId="3">
      <formula>$H1401="ETAPA"</formula>
    </cfRule>
  </conditionalFormatting>
  <conditionalFormatting sqref="J1409">
    <cfRule type="expression" priority="7535" dxfId="5">
      <formula>$H1409="CÉLULA CONSTRUTIVA"</formula>
    </cfRule>
    <cfRule type="expression" priority="7534" dxfId="4">
      <formula>$H1409="SUBETAPA"</formula>
    </cfRule>
  </conditionalFormatting>
  <conditionalFormatting sqref="J1409:J1410">
    <cfRule type="expression" priority="7533" dxfId="5">
      <formula>$H1409="CÉLULA CONSTRUTIVA"</formula>
    </cfRule>
    <cfRule type="expression" priority="7532" dxfId="4">
      <formula>$H1409="SUBETAPA"</formula>
    </cfRule>
  </conditionalFormatting>
  <conditionalFormatting sqref="J1410">
    <cfRule type="expression" priority="7531" dxfId="5">
      <formula>$H1410="CÉLULA CONSTRUTIVA"</formula>
    </cfRule>
    <cfRule type="expression" priority="7530" dxfId="4">
      <formula>$H1410="SUBETAPA"</formula>
    </cfRule>
  </conditionalFormatting>
  <conditionalFormatting sqref="J1413:J1414">
    <cfRule type="expression" priority="7529" dxfId="5">
      <formula>$H1413="CÉLULA CONSTRUTIVA"</formula>
    </cfRule>
    <cfRule type="expression" priority="7528" dxfId="4">
      <formula>$H1413="SUBETAPA"</formula>
    </cfRule>
  </conditionalFormatting>
  <conditionalFormatting sqref="J1414">
    <cfRule type="expression" priority="7527" dxfId="5">
      <formula>$H1414="CÉLULA CONSTRUTIVA"</formula>
    </cfRule>
    <cfRule type="expression" priority="7526" dxfId="4">
      <formula>$H1414="SUBETAPA"</formula>
    </cfRule>
  </conditionalFormatting>
  <conditionalFormatting sqref="J1418:J1420">
    <cfRule type="expression" priority="7525" dxfId="3">
      <formula>$H1418="ETAPA"</formula>
    </cfRule>
    <cfRule type="expression" priority="7522" dxfId="4">
      <formula>$H1418="SUBETAPA"</formula>
    </cfRule>
    <cfRule type="expression" priority="7523" dxfId="3">
      <formula>$H1418="ETAPA"</formula>
    </cfRule>
    <cfRule type="expression" priority="7521" dxfId="5">
      <formula>$H1418="CÉLULA CONSTRUTIVA"</formula>
    </cfRule>
  </conditionalFormatting>
  <conditionalFormatting sqref="J1419:J1420">
    <cfRule type="expression" priority="7520" dxfId="3">
      <formula>$H1419="ETAPA"</formula>
    </cfRule>
    <cfRule type="expression" priority="7519" dxfId="4">
      <formula>$H1419="SUBETAPA"</formula>
    </cfRule>
  </conditionalFormatting>
  <conditionalFormatting sqref="J1430:J1432">
    <cfRule type="expression" priority="7514" dxfId="5">
      <formula>$H1430="CÉLULA CONSTRUTIVA"</formula>
    </cfRule>
    <cfRule type="expression" priority="7515" dxfId="4">
      <formula>$H1430="SUBETAPA"</formula>
    </cfRule>
    <cfRule type="expression" priority="7516" dxfId="3">
      <formula>$H1430="ETAPA"</formula>
    </cfRule>
    <cfRule type="expression" priority="7518" dxfId="3">
      <formula>$H1430="ETAPA"</formula>
    </cfRule>
  </conditionalFormatting>
  <conditionalFormatting sqref="J1431:J1432">
    <cfRule type="expression" priority="7512" dxfId="4">
      <formula>$H1431="SUBETAPA"</formula>
    </cfRule>
    <cfRule type="expression" priority="7513" dxfId="3">
      <formula>$H1431="ETAPA"</formula>
    </cfRule>
  </conditionalFormatting>
  <conditionalFormatting sqref="J1632">
    <cfRule type="expression" priority="7292" dxfId="3">
      <formula>$H1632="ETAPA"</formula>
    </cfRule>
  </conditionalFormatting>
  <conditionalFormatting sqref="J1632:J1633">
    <cfRule type="expression" priority="7291" dxfId="4">
      <formula>$H1632="SUBETAPA"</formula>
    </cfRule>
  </conditionalFormatting>
  <conditionalFormatting sqref="J1688">
    <cfRule type="expression" priority="7290" dxfId="3">
      <formula>$H1688="ETAPA"</formula>
    </cfRule>
  </conditionalFormatting>
  <conditionalFormatting sqref="J1688:J1689">
    <cfRule type="expression" priority="7289" dxfId="4">
      <formula>$H1688="SUBETAPA"</formula>
    </cfRule>
  </conditionalFormatting>
  <conditionalFormatting sqref="J1699">
    <cfRule type="expression" priority="7288" dxfId="3">
      <formula>$H1699="ETAPA"</formula>
    </cfRule>
  </conditionalFormatting>
  <conditionalFormatting sqref="J1699:J1700">
    <cfRule type="expression" priority="7287" dxfId="4">
      <formula>$H1699="SUBETAPA"</formula>
    </cfRule>
  </conditionalFormatting>
  <conditionalFormatting sqref="J1746">
    <cfRule type="expression" priority="7286" dxfId="3">
      <formula>$H1746="ETAPA"</formula>
    </cfRule>
  </conditionalFormatting>
  <conditionalFormatting sqref="J1746:J1747">
    <cfRule type="expression" priority="7285" dxfId="4">
      <formula>$H1746="SUBETAPA"</formula>
    </cfRule>
  </conditionalFormatting>
  <conditionalFormatting sqref="J1754">
    <cfRule type="expression" priority="7284" dxfId="3">
      <formula>$H1754="ETAPA"</formula>
    </cfRule>
  </conditionalFormatting>
  <conditionalFormatting sqref="J1754:J1755">
    <cfRule type="expression" priority="7283" dxfId="4">
      <formula>$H1754="SUBETAPA"</formula>
    </cfRule>
  </conditionalFormatting>
  <conditionalFormatting sqref="J1754:J1757">
    <cfRule type="expression" priority="7282" dxfId="3">
      <formula>$H1754="ETAPA"</formula>
    </cfRule>
  </conditionalFormatting>
  <conditionalFormatting sqref="J12:K12">
    <cfRule type="expression" priority="7247" dxfId="8">
      <formula>$H12="ETAPA"</formula>
    </cfRule>
    <cfRule type="expression" priority="7246" dxfId="7">
      <formula>$H12="CÉLULA CONSTRUTIVA"</formula>
    </cfRule>
    <cfRule type="expression" priority="7245" dxfId="6">
      <formula>$H12="SUBETAPA"</formula>
    </cfRule>
  </conditionalFormatting>
  <conditionalFormatting sqref="J13:K13">
    <cfRule type="expression" priority="7244" dxfId="8">
      <formula>$H13="ETAPA"</formula>
    </cfRule>
    <cfRule type="expression" priority="7243" dxfId="7">
      <formula>$H13="CÉLULA CONSTRUTIVA"</formula>
    </cfRule>
    <cfRule type="expression" priority="7242" dxfId="6">
      <formula>$H13="SUBETAPA"</formula>
    </cfRule>
  </conditionalFormatting>
  <conditionalFormatting sqref="J14:K14">
    <cfRule type="expression" priority="7240" dxfId="7">
      <formula>$H14="CÉLULA CONSTRUTIVA"</formula>
    </cfRule>
    <cfRule type="expression" priority="7241" dxfId="8">
      <formula>$H14="ETAPA"</formula>
    </cfRule>
  </conditionalFormatting>
  <conditionalFormatting sqref="J15:K15">
    <cfRule type="expression" priority="7239" dxfId="8">
      <formula>$H15="ETAPA"</formula>
    </cfRule>
    <cfRule type="expression" priority="7238" dxfId="7">
      <formula>$H15="CÉLULA CONSTRUTIVA"</formula>
    </cfRule>
  </conditionalFormatting>
  <conditionalFormatting sqref="J17:K17">
    <cfRule type="expression" priority="7237" dxfId="6">
      <formula>$H17="SUBETAPA"</formula>
    </cfRule>
  </conditionalFormatting>
  <conditionalFormatting sqref="J47:K47 N47:O47">
    <cfRule type="expression" priority="7236" dxfId="3">
      <formula>$H47="ETAPA"</formula>
    </cfRule>
  </conditionalFormatting>
  <conditionalFormatting sqref="J47:K47">
    <cfRule type="expression" priority="7234" dxfId="5">
      <formula>$H47="CÉLULA CONSTRUTIVA"</formula>
    </cfRule>
  </conditionalFormatting>
  <conditionalFormatting sqref="J88:K88">
    <cfRule type="expression" priority="7938" dxfId="4">
      <formula>$H88="SUBETAPA"</formula>
    </cfRule>
    <cfRule type="expression" priority="7937" dxfId="5">
      <formula>$H88="CÉLULA CONSTRUTIVA"</formula>
    </cfRule>
  </conditionalFormatting>
  <conditionalFormatting sqref="J90:K90">
    <cfRule type="expression" priority="7934" dxfId="5">
      <formula>$H90="CÉLULA CONSTRUTIVA"</formula>
    </cfRule>
    <cfRule type="expression" priority="7935" dxfId="4">
      <formula>$H90="SUBETAPA"</formula>
    </cfRule>
  </conditionalFormatting>
  <conditionalFormatting sqref="J157:K157">
    <cfRule type="expression" priority="6823" dxfId="4">
      <formula>$H157="SUBETAPA"</formula>
    </cfRule>
  </conditionalFormatting>
  <conditionalFormatting sqref="J167:K167">
    <cfRule type="expression" priority="6820" dxfId="4">
      <formula>$H167="SUBETAPA"</formula>
    </cfRule>
  </conditionalFormatting>
  <conditionalFormatting sqref="H1203:H1204 J1202:K1203 J1204:J1205">
    <cfRule type="expression" priority="9169" dxfId="4">
      <formula>$H1202="SUBETAPA"</formula>
    </cfRule>
  </conditionalFormatting>
  <conditionalFormatting sqref="H1203:H1206 J1202:K1206">
    <cfRule type="expression" priority="9168" dxfId="5">
      <formula>$H1202="CÉLULA CONSTRUTIVA"</formula>
    </cfRule>
  </conditionalFormatting>
  <conditionalFormatting sqref="J1212:K1212">
    <cfRule type="expression" priority="7209" dxfId="5">
      <formula>$H1212="CÉLULA CONSTRUTIVA"</formula>
    </cfRule>
    <cfRule type="expression" priority="7208" dxfId="4">
      <formula>$H1212="SUBETAPA"</formula>
    </cfRule>
  </conditionalFormatting>
  <conditionalFormatting sqref="J1219:K1219">
    <cfRule type="expression" priority="7207" dxfId="5">
      <formula>$H1219="CÉLULA CONSTRUTIVA"</formula>
    </cfRule>
    <cfRule type="expression" priority="7206" dxfId="4">
      <formula>$H1219="SUBETAPA"</formula>
    </cfRule>
  </conditionalFormatting>
  <conditionalFormatting sqref="J1226:K1226">
    <cfRule type="expression" priority="7204" dxfId="4">
      <formula>$H1226="SUBETAPA"</formula>
    </cfRule>
    <cfRule type="expression" priority="7205" dxfId="5">
      <formula>$H1226="CÉLULA CONSTRUTIVA"</formula>
    </cfRule>
  </conditionalFormatting>
  <conditionalFormatting sqref="J1239:K1241">
    <cfRule type="expression" priority="7200" dxfId="5">
      <formula>$H1239="CÉLULA CONSTRUTIVA"</formula>
    </cfRule>
    <cfRule type="expression" priority="7199" dxfId="4">
      <formula>$H1239="SUBETAPA"</formula>
    </cfRule>
  </conditionalFormatting>
  <conditionalFormatting sqref="J1240:K1240">
    <cfRule type="expression" priority="7201" dxfId="3">
      <formula>$H1240="ETAPA"</formula>
    </cfRule>
  </conditionalFormatting>
  <conditionalFormatting sqref="J1251:K1251">
    <cfRule type="expression" priority="7196" dxfId="4">
      <formula>$H1251="SUBETAPA"</formula>
    </cfRule>
    <cfRule type="expression" priority="7197" dxfId="5">
      <formula>$H1251="CÉLULA CONSTRUTIVA"</formula>
    </cfRule>
  </conditionalFormatting>
  <conditionalFormatting sqref="J1253:K1253">
    <cfRule type="expression" priority="7195" dxfId="5">
      <formula>$H1253="CÉLULA CONSTRUTIVA"</formula>
    </cfRule>
  </conditionalFormatting>
  <conditionalFormatting sqref="J1270:K1272">
    <cfRule type="expression" priority="7190" dxfId="4">
      <formula>$H1270="SUBETAPA"</formula>
    </cfRule>
    <cfRule type="expression" priority="7191" dxfId="5">
      <formula>$H1270="CÉLULA CONSTRUTIVA"</formula>
    </cfRule>
  </conditionalFormatting>
  <conditionalFormatting sqref="J1271:K1271">
    <cfRule type="expression" priority="7192" dxfId="3">
      <formula>$H1271="ETAPA"</formula>
    </cfRule>
  </conditionalFormatting>
  <conditionalFormatting sqref="J1292:K1292">
    <cfRule type="expression" priority="7187" dxfId="4">
      <formula>$H1292="SUBETAPA"</formula>
    </cfRule>
    <cfRule type="expression" priority="7188" dxfId="5">
      <formula>$H1292="CÉLULA CONSTRUTIVA"</formula>
    </cfRule>
  </conditionalFormatting>
  <conditionalFormatting sqref="J1296:K1298">
    <cfRule type="expression" priority="7602" dxfId="4">
      <formula>$H1296="SUBETAPA"</formula>
    </cfRule>
  </conditionalFormatting>
  <conditionalFormatting sqref="J1314:K1314">
    <cfRule type="expression" priority="7184" dxfId="4">
      <formula>$H1314="SUBETAPA"</formula>
    </cfRule>
    <cfRule type="expression" priority="7185" dxfId="5">
      <formula>$H1314="CÉLULA CONSTRUTIVA"</formula>
    </cfRule>
  </conditionalFormatting>
  <conditionalFormatting sqref="J1318:K1320">
    <cfRule type="expression" priority="7585" dxfId="4">
      <formula>$H1318="SUBETAPA"</formula>
    </cfRule>
  </conditionalFormatting>
  <conditionalFormatting sqref="J1333:K1333">
    <cfRule type="expression" priority="7182" dxfId="5">
      <formula>$H1333="CÉLULA CONSTRUTIVA"</formula>
    </cfRule>
    <cfRule type="expression" priority="7181" dxfId="4">
      <formula>$H1333="SUBETAPA"</formula>
    </cfRule>
  </conditionalFormatting>
  <conditionalFormatting sqref="J1337:K1337">
    <cfRule type="expression" priority="7180" dxfId="5">
      <formula>$H1337="CÉLULA CONSTRUTIVA"</formula>
    </cfRule>
  </conditionalFormatting>
  <conditionalFormatting sqref="J1352:K1352">
    <cfRule type="expression" priority="7179" dxfId="5">
      <formula>$H1352="CÉLULA CONSTRUTIVA"</formula>
    </cfRule>
    <cfRule type="expression" priority="7178" dxfId="4">
      <formula>$H1352="SUBETAPA"</formula>
    </cfRule>
  </conditionalFormatting>
  <conditionalFormatting sqref="J1356:K1358">
    <cfRule type="expression" priority="7566" dxfId="4">
      <formula>$H1356="SUBETAPA"</formula>
    </cfRule>
  </conditionalFormatting>
  <conditionalFormatting sqref="J1373:K1373">
    <cfRule type="expression" priority="7175" dxfId="4">
      <formula>$H1373="SUBETAPA"</formula>
    </cfRule>
    <cfRule type="expression" priority="7176" dxfId="5">
      <formula>$H1373="CÉLULA CONSTRUTIVA"</formula>
    </cfRule>
  </conditionalFormatting>
  <conditionalFormatting sqref="J1377:K1379">
    <cfRule type="expression" priority="7553" dxfId="4">
      <formula>$H1377="SUBETAPA"</formula>
    </cfRule>
  </conditionalFormatting>
  <conditionalFormatting sqref="J1397:K1397">
    <cfRule type="expression" priority="7172" dxfId="4">
      <formula>$H1397="SUBETAPA"</formula>
    </cfRule>
    <cfRule type="expression" priority="7173" dxfId="5">
      <formula>$H1397="CÉLULA CONSTRUTIVA"</formula>
    </cfRule>
  </conditionalFormatting>
  <conditionalFormatting sqref="J1401:K1403">
    <cfRule type="expression" priority="7536" dxfId="4">
      <formula>$H1401="SUBETAPA"</formula>
    </cfRule>
  </conditionalFormatting>
  <conditionalFormatting sqref="J1415:K1415">
    <cfRule type="expression" priority="7169" dxfId="4">
      <formula>$H1415="SUBETAPA"</formula>
    </cfRule>
    <cfRule type="expression" priority="7170" dxfId="5">
      <formula>$H1415="CÉLULA CONSTRUTIVA"</formula>
    </cfRule>
  </conditionalFormatting>
  <conditionalFormatting sqref="J1428:K1428">
    <cfRule type="expression" priority="7167" dxfId="5">
      <formula>$H1428="CÉLULA CONSTRUTIVA"</formula>
    </cfRule>
    <cfRule type="expression" priority="7166" dxfId="4">
      <formula>$H1428="SUBETAPA"</formula>
    </cfRule>
  </conditionalFormatting>
  <conditionalFormatting sqref="G1444:H1445 G1454:H1455 G1463:H1464 G1470:H1471 G1477:H1478 G1485:H1486 G1495:H1496 G1503:H1504 G1514:H1515 G1547:H1548 G1558:H1559 H1435:H1436 H1446:H1447 H1456:H1457 H1465:H1466 H1472:H1473 H1479:H1480 H1487:H1488 H1497:H1498 H1505:H1506 H1516:H1517 H1549:H1550 H1560:H1561 J1435:K1440 J1444:M1445 J1446:K1447 J1454:M1455 J1456:K1457 J1462:M1464 J1465:K1466 J1469:M1471 J1472:K1473 J1476:M1478 J1479:K1482 J1484:M1486 J1487:K1490 J1494:M1496 J1497:K1500 J1503:M1504 J1505:K1509 J1514:M1515 J1516:K1520 J1547:M1548 J1549:K1553 J1558:M1559 J1560:K1561">
    <cfRule type="expression" priority="8619" dxfId="3">
      <formula>$H1435="ETAPA"</formula>
    </cfRule>
  </conditionalFormatting>
  <conditionalFormatting sqref="J1436:K1436">
    <cfRule type="expression" priority="7045" dxfId="4">
      <formula>$H1436="SUBETAPA"</formula>
    </cfRule>
  </conditionalFormatting>
  <conditionalFormatting sqref="J1480:K1482">
    <cfRule type="expression" priority="7036" dxfId="5">
      <formula>$H1480="CÉLULA CONSTRUTIVA"</formula>
    </cfRule>
  </conditionalFormatting>
  <conditionalFormatting sqref="J1488:K1490">
    <cfRule type="expression" priority="7034" dxfId="5">
      <formula>$H1488="CÉLULA CONSTRUTIVA"</formula>
    </cfRule>
  </conditionalFormatting>
  <conditionalFormatting sqref="J1498:K1500">
    <cfRule type="expression" priority="7032" dxfId="5">
      <formula>$H1498="CÉLULA CONSTRUTIVA"</formula>
    </cfRule>
  </conditionalFormatting>
  <conditionalFormatting sqref="J1506:K1509">
    <cfRule type="expression" priority="7030" dxfId="5">
      <formula>$H1506="CÉLULA CONSTRUTIVA"</formula>
    </cfRule>
  </conditionalFormatting>
  <conditionalFormatting sqref="J1517:K1520">
    <cfRule type="expression" priority="7028" dxfId="5">
      <formula>$H1517="CÉLULA CONSTRUTIVA"</formula>
    </cfRule>
  </conditionalFormatting>
  <conditionalFormatting sqref="G1525:H1526 G1536:H1537 H1528 H1539 J1521:K1526 J1532:K1537">
    <cfRule type="expression" priority="8623" dxfId="4">
      <formula>$H1521="SUBETAPA"</formula>
    </cfRule>
  </conditionalFormatting>
  <conditionalFormatting sqref="J1528:K1531">
    <cfRule type="expression" priority="7026" dxfId="5">
      <formula>$H1528="CÉLULA CONSTRUTIVA"</formula>
    </cfRule>
  </conditionalFormatting>
  <conditionalFormatting sqref="J1539:K1542">
    <cfRule type="expression" priority="7024" dxfId="5">
      <formula>$H1539="CÉLULA CONSTRUTIVA"</formula>
    </cfRule>
  </conditionalFormatting>
  <conditionalFormatting sqref="J1550:K1553">
    <cfRule type="expression" priority="7022" dxfId="5">
      <formula>$H1550="CÉLULA CONSTRUTIVA"</formula>
    </cfRule>
  </conditionalFormatting>
  <conditionalFormatting sqref="J1586:K1586 M1586">
    <cfRule type="expression" priority="8596" dxfId="4">
      <formula>$H1586="SUBETAPA"</formula>
    </cfRule>
  </conditionalFormatting>
  <conditionalFormatting sqref="J1595:K1595 M1595">
    <cfRule type="expression" priority="8588" dxfId="4">
      <formula>$H1595="SUBETAPA"</formula>
    </cfRule>
  </conditionalFormatting>
  <conditionalFormatting sqref="J1604:K1604 M1604">
    <cfRule type="expression" priority="8580" dxfId="4">
      <formula>$H1604="SUBETAPA"</formula>
    </cfRule>
  </conditionalFormatting>
  <conditionalFormatting sqref="J1613:K1613 M1613">
    <cfRule type="expression" priority="8572" dxfId="4">
      <formula>$H1613="SUBETAPA"</formula>
    </cfRule>
  </conditionalFormatting>
  <conditionalFormatting sqref="H1626 J1626:K1626">
    <cfRule type="expression" priority="8560" dxfId="5">
      <formula>$H1626="CÉLULA CONSTRUTIVA"</formula>
    </cfRule>
  </conditionalFormatting>
  <conditionalFormatting sqref="J1632:K1632">
    <cfRule type="expression" priority="8558" dxfId="4">
      <formula>$H1632="SUBETAPA"</formula>
    </cfRule>
  </conditionalFormatting>
  <conditionalFormatting sqref="H1637 J1637:K1637">
    <cfRule type="expression" priority="8552" dxfId="5">
      <formula>$H1637="CÉLULA CONSTRUTIVA"</formula>
    </cfRule>
  </conditionalFormatting>
  <conditionalFormatting sqref="H1646 J1646:K1646">
    <cfRule type="expression" priority="8548" dxfId="5">
      <formula>$H1646="CÉLULA CONSTRUTIVA"</formula>
    </cfRule>
  </conditionalFormatting>
  <conditionalFormatting sqref="H1655 J1655:K1655">
    <cfRule type="expression" priority="8544" dxfId="5">
      <formula>$H1655="CÉLULA CONSTRUTIVA"</formula>
    </cfRule>
  </conditionalFormatting>
  <conditionalFormatting sqref="H1664 J1664:K1664">
    <cfRule type="expression" priority="8540" dxfId="5">
      <formula>$H1664="CÉLULA CONSTRUTIVA"</formula>
    </cfRule>
  </conditionalFormatting>
  <conditionalFormatting sqref="H1673 J1673:K1673">
    <cfRule type="expression" priority="8536" dxfId="5">
      <formula>$H1673="CÉLULA CONSTRUTIVA"</formula>
    </cfRule>
  </conditionalFormatting>
  <conditionalFormatting sqref="H1682 J1682:K1682">
    <cfRule type="expression" priority="8532" dxfId="5">
      <formula>$H1682="CÉLULA CONSTRUTIVA"</formula>
    </cfRule>
  </conditionalFormatting>
  <conditionalFormatting sqref="J1688:K1688">
    <cfRule type="expression" priority="8530" dxfId="4">
      <formula>$H1688="SUBETAPA"</formula>
    </cfRule>
  </conditionalFormatting>
  <conditionalFormatting sqref="H1693 J1693:K1693">
    <cfRule type="expression" priority="8524" dxfId="5">
      <formula>$H1693="CÉLULA CONSTRUTIVA"</formula>
    </cfRule>
  </conditionalFormatting>
  <conditionalFormatting sqref="J1699:K1699">
    <cfRule type="expression" priority="8522" dxfId="4">
      <formula>$H1699="SUBETAPA"</formula>
    </cfRule>
  </conditionalFormatting>
  <conditionalFormatting sqref="H1704 J1704:K1704">
    <cfRule type="expression" priority="8516" dxfId="5">
      <formula>$H1704="CÉLULA CONSTRUTIVA"</formula>
    </cfRule>
  </conditionalFormatting>
  <conditionalFormatting sqref="H1713 J1713:K1713">
    <cfRule type="expression" priority="8512" dxfId="5">
      <formula>$H1713="CÉLULA CONSTRUTIVA"</formula>
    </cfRule>
  </conditionalFormatting>
  <conditionalFormatting sqref="H1722 J1722:K1722">
    <cfRule type="expression" priority="8508" dxfId="5">
      <formula>$H1722="CÉLULA CONSTRUTIVA"</formula>
    </cfRule>
  </conditionalFormatting>
  <conditionalFormatting sqref="H1731 J1731:K1731">
    <cfRule type="expression" priority="8504" dxfId="5">
      <formula>$H1731="CÉLULA CONSTRUTIVA"</formula>
    </cfRule>
  </conditionalFormatting>
  <conditionalFormatting sqref="H1740 J1740:K1740">
    <cfRule type="expression" priority="8500" dxfId="5">
      <formula>$H1740="CÉLULA CONSTRUTIVA"</formula>
    </cfRule>
  </conditionalFormatting>
  <conditionalFormatting sqref="J1746:K1746">
    <cfRule type="expression" priority="8498" dxfId="4">
      <formula>$H1746="SUBETAPA"</formula>
    </cfRule>
  </conditionalFormatting>
  <conditionalFormatting sqref="H1751 J1751:K1751">
    <cfRule type="expression" priority="8492" dxfId="5">
      <formula>$H1751="CÉLULA CONSTRUTIVA"</formula>
    </cfRule>
  </conditionalFormatting>
  <conditionalFormatting sqref="J1754:K1754">
    <cfRule type="expression" priority="8490" dxfId="4">
      <formula>$H1754="SUBETAPA"</formula>
    </cfRule>
  </conditionalFormatting>
  <conditionalFormatting sqref="G1237 G1334:H1334 G1429:H1429 G1793:H1796 G1800:H1803 G1816:H1819 G1823:H1826 G1830:H1833 G1837:H1840 G1849:H1850 H1442:H1443 H1450:H1453 H1501:H1502 H1510:H1513 H1521:H1524 H1532:H1535 H1543:H1546 H1554:H1557 J1325 J1343 J1364 J1442:K1443 J1450:K1453 J1459:K1461 J1468:K1468 J1475:K1475 J1483:K1483 J1491:K1493 J1501:K1502 J1510:K1513 J1543:K1546 J1554:K1557 J1767:L1770 J1773:L1775 J1778:L1780 J1783:L1785 J1788:L1790 J1844:L1846 J1852:K1852 J1855:K1857 L1220 L1227 L1252:L1253 L1433:M1434 M1442:M1443 M1450:M1453 M1459:M1461 M1468 M1475 M1483 M1491:M1493 M1501:M1502 M1510:M1513 M1521:M1524 M1532:M1535 M1543:M1546 M1554:M1557 O490 O503 O516 O529 O542 O555 O1190 O1306 O1773:O1775 O1778:O1780 O1783:O1785 O1788:O1790 O1793:O1796 O1800:O1803 O1816:O1819 O1823:O1826 O1830:O1833 O1837:O1840 O1844:O1846 O1849:O1850 O1853">
    <cfRule type="expression" priority="10514" dxfId="4">
      <formula>$H490="SUBETAPA"</formula>
    </cfRule>
  </conditionalFormatting>
  <conditionalFormatting sqref="H1861 H1863 H1867 H1874 J1867:K1867 J1874:K1874">
    <cfRule type="expression" priority="8439" dxfId="3">
      <formula>$H1861="ETAPA"</formula>
    </cfRule>
  </conditionalFormatting>
  <conditionalFormatting sqref="J47:L47 N47:O47">
    <cfRule type="expression" priority="7235" dxfId="4">
      <formula>$H47="SUBETAPA"</formula>
    </cfRule>
  </conditionalFormatting>
  <conditionalFormatting sqref="H1130:H1131 J1130:L1130">
    <cfRule type="expression" priority="9249" dxfId="4">
      <formula>$H1130="SUBETAPA"</formula>
    </cfRule>
  </conditionalFormatting>
  <conditionalFormatting sqref="H1133:H1134 J1133:L1133">
    <cfRule type="expression" priority="9243" dxfId="4">
      <formula>$H1133="SUBETAPA"</formula>
    </cfRule>
  </conditionalFormatting>
  <conditionalFormatting sqref="J1136:L1136">
    <cfRule type="expression" priority="9237" dxfId="4">
      <formula>$H1136="SUBETAPA"</formula>
    </cfRule>
  </conditionalFormatting>
  <conditionalFormatting sqref="J1139:L1139">
    <cfRule type="expression" priority="9232" dxfId="4">
      <formula>$H1139="SUBETAPA"</formula>
    </cfRule>
  </conditionalFormatting>
  <conditionalFormatting sqref="J1142:L1142">
    <cfRule type="expression" priority="9227" dxfId="4">
      <formula>$H1142="SUBETAPA"</formula>
    </cfRule>
  </conditionalFormatting>
  <conditionalFormatting sqref="J1145:L1145">
    <cfRule type="expression" priority="9222" dxfId="4">
      <formula>$H1145="SUBETAPA"</formula>
    </cfRule>
  </conditionalFormatting>
  <conditionalFormatting sqref="H1163:H1164 J1164:L1164">
    <cfRule type="expression" priority="9198" dxfId="5">
      <formula>$H1163="CÉLULA CONSTRUTIVA"</formula>
    </cfRule>
  </conditionalFormatting>
  <conditionalFormatting sqref="J1164:L1164">
    <cfRule type="expression" priority="9197" dxfId="3">
      <formula>$H1164="ETAPA"</formula>
    </cfRule>
  </conditionalFormatting>
  <conditionalFormatting sqref="J1169:L1169">
    <cfRule type="expression" priority="9193" dxfId="4">
      <formula>$H1169="SUBETAPA"</formula>
    </cfRule>
  </conditionalFormatting>
  <conditionalFormatting sqref="H1179:H1180 J1179:L1179">
    <cfRule type="expression" priority="9180" dxfId="4">
      <formula>$H1179="SUBETAPA"</formula>
    </cfRule>
  </conditionalFormatting>
  <conditionalFormatting sqref="J1187:L1187">
    <cfRule type="expression" priority="6994" dxfId="3">
      <formula>$H1187="ETAPA"</formula>
    </cfRule>
  </conditionalFormatting>
  <conditionalFormatting sqref="J1200:L1200">
    <cfRule type="expression" priority="5790" dxfId="3">
      <formula>$H1200="ETAPA"</formula>
    </cfRule>
  </conditionalFormatting>
  <conditionalFormatting sqref="J1293:L1293">
    <cfRule type="expression" priority="5776" dxfId="3">
      <formula>$H1293="ETAPA"</formula>
    </cfRule>
  </conditionalFormatting>
  <conditionalFormatting sqref="J1315:L1315">
    <cfRule type="expression" priority="5774" dxfId="3">
      <formula>$H1315="ETAPA"</formula>
    </cfRule>
  </conditionalFormatting>
  <conditionalFormatting sqref="J1333:L1334">
    <cfRule type="expression" priority="6993" dxfId="3">
      <formula>$H1333="ETAPA"</formula>
    </cfRule>
  </conditionalFormatting>
  <conditionalFormatting sqref="J1353:L1353">
    <cfRule type="expression" priority="5772" dxfId="3">
      <formula>$H1353="ETAPA"</formula>
    </cfRule>
  </conditionalFormatting>
  <conditionalFormatting sqref="J1374:L1374">
    <cfRule type="expression" priority="5770" dxfId="3">
      <formula>$H1374="ETAPA"</formula>
    </cfRule>
  </conditionalFormatting>
  <conditionalFormatting sqref="J1398:L1398">
    <cfRule type="expression" priority="5766" dxfId="3">
      <formula>$H1398="ETAPA"</formula>
    </cfRule>
  </conditionalFormatting>
  <conditionalFormatting sqref="J1416:L1416">
    <cfRule type="expression" priority="5764" dxfId="3">
      <formula>$H1416="ETAPA"</formula>
    </cfRule>
  </conditionalFormatting>
  <conditionalFormatting sqref="J1416:L1420">
    <cfRule type="expression" priority="7524" dxfId="4">
      <formula>$H1416="SUBETAPA"</formula>
    </cfRule>
  </conditionalFormatting>
  <conditionalFormatting sqref="J1428:L1429">
    <cfRule type="expression" priority="6992" dxfId="3">
      <formula>$H1428="ETAPA"</formula>
    </cfRule>
  </conditionalFormatting>
  <conditionalFormatting sqref="J1429:L1432">
    <cfRule type="expression" priority="7517" dxfId="4">
      <formula>$H1429="SUBETAPA"</formula>
    </cfRule>
  </conditionalFormatting>
  <conditionalFormatting sqref="G1441:H1441 J1436:L1441">
    <cfRule type="expression" priority="7046" dxfId="5">
      <formula>$H1436="CÉLULA CONSTRUTIVA"</formula>
    </cfRule>
  </conditionalFormatting>
  <conditionalFormatting sqref="J1447:L1447">
    <cfRule type="expression" priority="7043" dxfId="4">
      <formula>$H1447="SUBETAPA"</formula>
    </cfRule>
  </conditionalFormatting>
  <conditionalFormatting sqref="J1447:L1449">
    <cfRule type="expression" priority="7044" dxfId="5">
      <formula>$H1447="CÉLULA CONSTRUTIVA"</formula>
    </cfRule>
  </conditionalFormatting>
  <conditionalFormatting sqref="J1457:L1457">
    <cfRule type="expression" priority="7041" dxfId="4">
      <formula>$H1457="SUBETAPA"</formula>
    </cfRule>
  </conditionalFormatting>
  <conditionalFormatting sqref="J1457:L1458">
    <cfRule type="expression" priority="7042" dxfId="5">
      <formula>$H1457="CÉLULA CONSTRUTIVA"</formula>
    </cfRule>
  </conditionalFormatting>
  <conditionalFormatting sqref="J1466:L1466">
    <cfRule type="expression" priority="7039" dxfId="4">
      <formula>$H1466="SUBETAPA"</formula>
    </cfRule>
  </conditionalFormatting>
  <conditionalFormatting sqref="J1466:L1467">
    <cfRule type="expression" priority="7040" dxfId="5">
      <formula>$H1466="CÉLULA CONSTRUTIVA"</formula>
    </cfRule>
  </conditionalFormatting>
  <conditionalFormatting sqref="J1473:L1473">
    <cfRule type="expression" priority="7037" dxfId="4">
      <formula>$H1473="SUBETAPA"</formula>
    </cfRule>
  </conditionalFormatting>
  <conditionalFormatting sqref="J1473:L1474">
    <cfRule type="expression" priority="7038" dxfId="5">
      <formula>$H1473="CÉLULA CONSTRUTIVA"</formula>
    </cfRule>
  </conditionalFormatting>
  <conditionalFormatting sqref="J1480:L1480">
    <cfRule type="expression" priority="7035" dxfId="4">
      <formula>$H1480="SUBETAPA"</formula>
    </cfRule>
  </conditionalFormatting>
  <conditionalFormatting sqref="J1488:L1488">
    <cfRule type="expression" priority="7033" dxfId="4">
      <formula>$H1488="SUBETAPA"</formula>
    </cfRule>
  </conditionalFormatting>
  <conditionalFormatting sqref="J1498:L1498">
    <cfRule type="expression" priority="7031" dxfId="4">
      <formula>$H1498="SUBETAPA"</formula>
    </cfRule>
  </conditionalFormatting>
  <conditionalFormatting sqref="J1506:L1506">
    <cfRule type="expression" priority="7029" dxfId="4">
      <formula>$H1506="SUBETAPA"</formula>
    </cfRule>
  </conditionalFormatting>
  <conditionalFormatting sqref="J1517:L1517">
    <cfRule type="expression" priority="7027" dxfId="4">
      <formula>$H1517="SUBETAPA"</formula>
    </cfRule>
  </conditionalFormatting>
  <conditionalFormatting sqref="J1528:L1528">
    <cfRule type="expression" priority="7025" dxfId="4">
      <formula>$H1528="SUBETAPA"</formula>
    </cfRule>
  </conditionalFormatting>
  <conditionalFormatting sqref="J1539:L1539">
    <cfRule type="expression" priority="7023" dxfId="4">
      <formula>$H1539="SUBETAPA"</formula>
    </cfRule>
  </conditionalFormatting>
  <conditionalFormatting sqref="J1550:L1550">
    <cfRule type="expression" priority="7021" dxfId="4">
      <formula>$H1550="SUBETAPA"</formula>
    </cfRule>
  </conditionalFormatting>
  <conditionalFormatting sqref="H1586:H1587 J1587:L1588">
    <cfRule type="expression" priority="8594" dxfId="4">
      <formula>$H1586="SUBETAPA"</formula>
    </cfRule>
  </conditionalFormatting>
  <conditionalFormatting sqref="H1589 J1588:L1590">
    <cfRule type="expression" priority="8593" dxfId="5">
      <formula>$H1588="CÉLULA CONSTRUTIVA"</formula>
    </cfRule>
    <cfRule type="expression" priority="6927" dxfId="3">
      <formula>$H1588="ETAPA"</formula>
    </cfRule>
  </conditionalFormatting>
  <conditionalFormatting sqref="H1595:H1596 J1596:L1597">
    <cfRule type="expression" priority="8586" dxfId="4">
      <formula>$H1595="SUBETAPA"</formula>
    </cfRule>
  </conditionalFormatting>
  <conditionalFormatting sqref="H1598 J1597:L1599">
    <cfRule type="expression" priority="6926" dxfId="3">
      <formula>$H1597="ETAPA"</formula>
    </cfRule>
    <cfRule type="expression" priority="8585" dxfId="5">
      <formula>$H1597="CÉLULA CONSTRUTIVA"</formula>
    </cfRule>
  </conditionalFormatting>
  <conditionalFormatting sqref="H1604:H1605 J1605:L1606">
    <cfRule type="expression" priority="8578" dxfId="4">
      <formula>$H1604="SUBETAPA"</formula>
    </cfRule>
  </conditionalFormatting>
  <conditionalFormatting sqref="H1607 J1606:L1607">
    <cfRule type="expression" priority="6925" dxfId="3">
      <formula>$H1606="ETAPA"</formula>
    </cfRule>
    <cfRule type="expression" priority="8577" dxfId="5">
      <formula>$H1606="CÉLULA CONSTRUTIVA"</formula>
    </cfRule>
  </conditionalFormatting>
  <conditionalFormatting sqref="J1608:L1608">
    <cfRule type="expression" priority="5476" dxfId="3">
      <formula>$H1608="ETAPA"</formula>
    </cfRule>
    <cfRule type="expression" priority="5477" dxfId="5">
      <formula>$H1608="CÉLULA CONSTRUTIVA"</formula>
    </cfRule>
  </conditionalFormatting>
  <conditionalFormatting sqref="H1613:H1614 J1614:L1615">
    <cfRule type="expression" priority="8570" dxfId="4">
      <formula>$H1613="SUBETAPA"</formula>
    </cfRule>
  </conditionalFormatting>
  <conditionalFormatting sqref="H1616 J1615:L1616">
    <cfRule type="expression" priority="6924" dxfId="3">
      <formula>$H1615="ETAPA"</formula>
    </cfRule>
    <cfRule type="expression" priority="8569" dxfId="5">
      <formula>$H1615="CÉLULA CONSTRUTIVA"</formula>
    </cfRule>
  </conditionalFormatting>
  <conditionalFormatting sqref="J1617:L1617">
    <cfRule type="expression" priority="5473" dxfId="5">
      <formula>$H1617="CÉLULA CONSTRUTIVA"</formula>
    </cfRule>
    <cfRule type="expression" priority="5472" dxfId="3">
      <formula>$H1617="ETAPA"</formula>
    </cfRule>
  </conditionalFormatting>
  <conditionalFormatting sqref="J1626:L1626">
    <cfRule type="expression" priority="6923" dxfId="3">
      <formula>$H1626="ETAPA"</formula>
    </cfRule>
  </conditionalFormatting>
  <conditionalFormatting sqref="J1627:L1627">
    <cfRule type="expression" priority="5463" dxfId="3">
      <formula>$H1627="ETAPA"</formula>
    </cfRule>
  </conditionalFormatting>
  <conditionalFormatting sqref="G1630:M1631 J1628:L1629 O1628:O1629">
    <cfRule type="expression" priority="6922" dxfId="3">
      <formula>$H1628="ETAPA"</formula>
    </cfRule>
  </conditionalFormatting>
  <conditionalFormatting sqref="J1635:L1635">
    <cfRule type="expression" priority="5460" dxfId="3">
      <formula>$H1635="ETAPA"</formula>
    </cfRule>
  </conditionalFormatting>
  <conditionalFormatting sqref="J1637:L1637">
    <cfRule type="expression" priority="6919" dxfId="3">
      <formula>$H1637="ETAPA"</formula>
    </cfRule>
  </conditionalFormatting>
  <conditionalFormatting sqref="J1638:L1638">
    <cfRule type="expression" priority="5456" dxfId="3">
      <formula>$H1638="ETAPA"</formula>
    </cfRule>
  </conditionalFormatting>
  <conditionalFormatting sqref="G1641:M1642 J1639:L1640 O1639:O1640">
    <cfRule type="expression" priority="6918" dxfId="3">
      <formula>$H1639="ETAPA"</formula>
    </cfRule>
  </conditionalFormatting>
  <conditionalFormatting sqref="J1644:L1644">
    <cfRule type="expression" priority="5453" dxfId="3">
      <formula>$H1644="ETAPA"</formula>
    </cfRule>
  </conditionalFormatting>
  <conditionalFormatting sqref="J1646:L1646">
    <cfRule type="expression" priority="6915" dxfId="3">
      <formula>$H1646="ETAPA"</formula>
    </cfRule>
  </conditionalFormatting>
  <conditionalFormatting sqref="J1647:L1647">
    <cfRule type="expression" priority="5449" dxfId="3">
      <formula>$H1647="ETAPA"</formula>
    </cfRule>
  </conditionalFormatting>
  <conditionalFormatting sqref="G1650:M1651 J1648:L1649 O1648:O1649">
    <cfRule type="expression" priority="6914" dxfId="3">
      <formula>$H1648="ETAPA"</formula>
    </cfRule>
  </conditionalFormatting>
  <conditionalFormatting sqref="J1653:L1653">
    <cfRule type="expression" priority="5446" dxfId="3">
      <formula>$H1653="ETAPA"</formula>
    </cfRule>
  </conditionalFormatting>
  <conditionalFormatting sqref="J1655:L1655">
    <cfRule type="expression" priority="6911" dxfId="3">
      <formula>$H1655="ETAPA"</formula>
    </cfRule>
  </conditionalFormatting>
  <conditionalFormatting sqref="J1656:L1656">
    <cfRule type="expression" priority="5442" dxfId="3">
      <formula>$H1656="ETAPA"</formula>
    </cfRule>
  </conditionalFormatting>
  <conditionalFormatting sqref="G1659:M1660 J1657:L1658 O1657:O1658">
    <cfRule type="expression" priority="6910" dxfId="3">
      <formula>$H1657="ETAPA"</formula>
    </cfRule>
  </conditionalFormatting>
  <conditionalFormatting sqref="J1662:L1662">
    <cfRule type="expression" priority="5439" dxfId="3">
      <formula>$H1662="ETAPA"</formula>
    </cfRule>
  </conditionalFormatting>
  <conditionalFormatting sqref="J1664:L1664">
    <cfRule type="expression" priority="6907" dxfId="3">
      <formula>$H1664="ETAPA"</formula>
    </cfRule>
  </conditionalFormatting>
  <conditionalFormatting sqref="J1665:L1665">
    <cfRule type="expression" priority="5435" dxfId="3">
      <formula>$H1665="ETAPA"</formula>
    </cfRule>
  </conditionalFormatting>
  <conditionalFormatting sqref="G1668:M1669 J1666:L1667 O1666:O1667">
    <cfRule type="expression" priority="6906" dxfId="3">
      <formula>$H1666="ETAPA"</formula>
    </cfRule>
  </conditionalFormatting>
  <conditionalFormatting sqref="J1671:L1671">
    <cfRule type="expression" priority="5432" dxfId="3">
      <formula>$H1671="ETAPA"</formula>
    </cfRule>
  </conditionalFormatting>
  <conditionalFormatting sqref="J1673:L1673">
    <cfRule type="expression" priority="6903" dxfId="3">
      <formula>$H1673="ETAPA"</formula>
    </cfRule>
  </conditionalFormatting>
  <conditionalFormatting sqref="J1674:L1674">
    <cfRule type="expression" priority="5428" dxfId="3">
      <formula>$H1674="ETAPA"</formula>
    </cfRule>
  </conditionalFormatting>
  <conditionalFormatting sqref="G1677:M1678 J1675:L1676 O1675:O1676">
    <cfRule type="expression" priority="6902" dxfId="3">
      <formula>$H1675="ETAPA"</formula>
    </cfRule>
  </conditionalFormatting>
  <conditionalFormatting sqref="J1680:L1680">
    <cfRule type="expression" priority="5425" dxfId="3">
      <formula>$H1680="ETAPA"</formula>
    </cfRule>
  </conditionalFormatting>
  <conditionalFormatting sqref="J1682:L1682">
    <cfRule type="expression" priority="6899" dxfId="3">
      <formula>$H1682="ETAPA"</formula>
    </cfRule>
  </conditionalFormatting>
  <conditionalFormatting sqref="J1683:L1683">
    <cfRule type="expression" priority="5421" dxfId="3">
      <formula>$H1683="ETAPA"</formula>
    </cfRule>
  </conditionalFormatting>
  <conditionalFormatting sqref="G1686:M1687 J1684:L1685 O1684:O1685">
    <cfRule type="expression" priority="6898" dxfId="3">
      <formula>$H1684="ETAPA"</formula>
    </cfRule>
  </conditionalFormatting>
  <conditionalFormatting sqref="J1691:L1691">
    <cfRule type="expression" priority="5418" dxfId="3">
      <formula>$H1691="ETAPA"</formula>
    </cfRule>
  </conditionalFormatting>
  <conditionalFormatting sqref="J1693:L1693">
    <cfRule type="expression" priority="6895" dxfId="3">
      <formula>$H1693="ETAPA"</formula>
    </cfRule>
  </conditionalFormatting>
  <conditionalFormatting sqref="J1694:L1694">
    <cfRule type="expression" priority="5414" dxfId="3">
      <formula>$H1694="ETAPA"</formula>
    </cfRule>
  </conditionalFormatting>
  <conditionalFormatting sqref="G1697:M1698 J1695:L1696 O1695:O1696">
    <cfRule type="expression" priority="6894" dxfId="3">
      <formula>$H1695="ETAPA"</formula>
    </cfRule>
  </conditionalFormatting>
  <conditionalFormatting sqref="H1702 J1701:L1702">
    <cfRule type="expression" priority="8519" dxfId="4">
      <formula>$H1701="SUBETAPA"</formula>
    </cfRule>
  </conditionalFormatting>
  <conditionalFormatting sqref="J1702:L1702">
    <cfRule type="expression" priority="6891" dxfId="3">
      <formula>$H1702="ETAPA"</formula>
    </cfRule>
  </conditionalFormatting>
  <conditionalFormatting sqref="J1704:L1704">
    <cfRule type="expression" priority="6890" dxfId="3">
      <formula>$H1704="ETAPA"</formula>
    </cfRule>
  </conditionalFormatting>
  <conditionalFormatting sqref="J1705:L1706">
    <cfRule type="expression" priority="5410" dxfId="3">
      <formula>$H1705="ETAPA"</formula>
    </cfRule>
  </conditionalFormatting>
  <conditionalFormatting sqref="J1707:L1707">
    <cfRule type="expression" priority="6887" dxfId="5">
      <formula>$H1707="CÉLULA CONSTRUTIVA"</formula>
    </cfRule>
  </conditionalFormatting>
  <conditionalFormatting sqref="J1711:L1711">
    <cfRule type="expression" priority="5407" dxfId="3">
      <formula>$H1711="ETAPA"</formula>
    </cfRule>
  </conditionalFormatting>
  <conditionalFormatting sqref="J1713:L1713">
    <cfRule type="expression" priority="6886" dxfId="3">
      <formula>$H1713="ETAPA"</formula>
    </cfRule>
  </conditionalFormatting>
  <conditionalFormatting sqref="J1714:L1715">
    <cfRule type="expression" priority="5403" dxfId="3">
      <formula>$H1714="ETAPA"</formula>
    </cfRule>
  </conditionalFormatting>
  <conditionalFormatting sqref="J1716:L1716">
    <cfRule type="expression" priority="6883" dxfId="5">
      <formula>$H1716="CÉLULA CONSTRUTIVA"</formula>
    </cfRule>
  </conditionalFormatting>
  <conditionalFormatting sqref="J1720:L1720">
    <cfRule type="expression" priority="5400" dxfId="3">
      <formula>$H1720="ETAPA"</formula>
    </cfRule>
  </conditionalFormatting>
  <conditionalFormatting sqref="J1722:L1722">
    <cfRule type="expression" priority="6882" dxfId="3">
      <formula>$H1722="ETAPA"</formula>
    </cfRule>
  </conditionalFormatting>
  <conditionalFormatting sqref="J1723:L1724">
    <cfRule type="expression" priority="5396" dxfId="3">
      <formula>$H1723="ETAPA"</formula>
    </cfRule>
  </conditionalFormatting>
  <conditionalFormatting sqref="J1725:L1725">
    <cfRule type="expression" priority="6879" dxfId="5">
      <formula>$H1725="CÉLULA CONSTRUTIVA"</formula>
    </cfRule>
  </conditionalFormatting>
  <conditionalFormatting sqref="J1729:L1729">
    <cfRule type="expression" priority="5393" dxfId="3">
      <formula>$H1729="ETAPA"</formula>
    </cfRule>
  </conditionalFormatting>
  <conditionalFormatting sqref="J1731:L1731">
    <cfRule type="expression" priority="6878" dxfId="3">
      <formula>$H1731="ETAPA"</formula>
    </cfRule>
  </conditionalFormatting>
  <conditionalFormatting sqref="J1732:L1733">
    <cfRule type="expression" priority="5389" dxfId="3">
      <formula>$H1732="ETAPA"</formula>
    </cfRule>
  </conditionalFormatting>
  <conditionalFormatting sqref="J1734:L1734">
    <cfRule type="expression" priority="6875" dxfId="5">
      <formula>$H1734="CÉLULA CONSTRUTIVA"</formula>
    </cfRule>
  </conditionalFormatting>
  <conditionalFormatting sqref="J1738:L1738">
    <cfRule type="expression" priority="5386" dxfId="3">
      <formula>$H1738="ETAPA"</formula>
    </cfRule>
  </conditionalFormatting>
  <conditionalFormatting sqref="J1740:L1740">
    <cfRule type="expression" priority="6874" dxfId="3">
      <formula>$H1740="ETAPA"</formula>
    </cfRule>
  </conditionalFormatting>
  <conditionalFormatting sqref="J1741:L1742">
    <cfRule type="expression" priority="5382" dxfId="3">
      <formula>$H1741="ETAPA"</formula>
    </cfRule>
  </conditionalFormatting>
  <conditionalFormatting sqref="J1743:L1743">
    <cfRule type="expression" priority="6871" dxfId="5">
      <formula>$H1743="CÉLULA CONSTRUTIVA"</formula>
    </cfRule>
  </conditionalFormatting>
  <conditionalFormatting sqref="H1749 J1748:L1749">
    <cfRule type="expression" priority="8495" dxfId="4">
      <formula>$H1748="SUBETAPA"</formula>
    </cfRule>
  </conditionalFormatting>
  <conditionalFormatting sqref="J1749:L1749">
    <cfRule type="expression" priority="6870" dxfId="3">
      <formula>$H1749="ETAPA"</formula>
    </cfRule>
  </conditionalFormatting>
  <conditionalFormatting sqref="J1751:L1751 L1754:L1757">
    <cfRule type="expression" priority="6869" dxfId="3">
      <formula>$H1751="ETAPA"</formula>
    </cfRule>
  </conditionalFormatting>
  <conditionalFormatting sqref="J1752:L1753">
    <cfRule type="expression" priority="5376" dxfId="3">
      <formula>$H1752="ETAPA"</formula>
    </cfRule>
  </conditionalFormatting>
  <conditionalFormatting sqref="H1759 J1758:L1759">
    <cfRule type="expression" priority="8483" dxfId="4">
      <formula>$H1758="SUBETAPA"</formula>
    </cfRule>
  </conditionalFormatting>
  <conditionalFormatting sqref="J1759:L1759">
    <cfRule type="expression" priority="6867" dxfId="3">
      <formula>$H1759="ETAPA"</formula>
    </cfRule>
  </conditionalFormatting>
  <conditionalFormatting sqref="H1763 J1763:L1763 L1765:L1766 O1763">
    <cfRule type="expression" priority="8479" dxfId="5">
      <formula>$H1763="CÉLULA CONSTRUTIVA"</formula>
    </cfRule>
  </conditionalFormatting>
  <conditionalFormatting sqref="H1797 J1793:L1797">
    <cfRule type="expression" priority="8475" dxfId="4">
      <formula>$H1793="SUBETAPA"</formula>
    </cfRule>
  </conditionalFormatting>
  <conditionalFormatting sqref="H1797 J1797:L1797 O1797">
    <cfRule type="expression" priority="8474" dxfId="5">
      <formula>$H1797="CÉLULA CONSTRUTIVA"</formula>
    </cfRule>
  </conditionalFormatting>
  <conditionalFormatting sqref="H1804 J1800:L1804 L1806:L1807">
    <cfRule type="expression" priority="8473" dxfId="4">
      <formula>$H1800="SUBETAPA"</formula>
    </cfRule>
  </conditionalFormatting>
  <conditionalFormatting sqref="H1804 J1804:L1804 L1806:L1807 O1804">
    <cfRule type="expression" priority="8472" dxfId="5">
      <formula>$H1804="CÉLULA CONSTRUTIVA"</formula>
    </cfRule>
  </conditionalFormatting>
  <conditionalFormatting sqref="H1813 J1813:L1813 O1813">
    <cfRule type="expression" priority="8467" dxfId="5">
      <formula>$H1813="CÉLULA CONSTRUTIVA"</formula>
    </cfRule>
  </conditionalFormatting>
  <conditionalFormatting sqref="H1820 J1816:L1820">
    <cfRule type="expression" priority="8466" dxfId="4">
      <formula>$H1816="SUBETAPA"</formula>
    </cfRule>
  </conditionalFormatting>
  <conditionalFormatting sqref="H1820 J1820:L1820 O1820">
    <cfRule type="expression" priority="8465" dxfId="5">
      <formula>$H1820="CÉLULA CONSTRUTIVA"</formula>
    </cfRule>
  </conditionalFormatting>
  <conditionalFormatting sqref="H1827 J1823:L1827">
    <cfRule type="expression" priority="8464" dxfId="4">
      <formula>$H1823="SUBETAPA"</formula>
    </cfRule>
  </conditionalFormatting>
  <conditionalFormatting sqref="H1827 J1827:L1827 O1827">
    <cfRule type="expression" priority="8463" dxfId="5">
      <formula>$H1827="CÉLULA CONSTRUTIVA"</formula>
    </cfRule>
  </conditionalFormatting>
  <conditionalFormatting sqref="H1834 J1830:L1834">
    <cfRule type="expression" priority="8462" dxfId="4">
      <formula>$H1830="SUBETAPA"</formula>
    </cfRule>
  </conditionalFormatting>
  <conditionalFormatting sqref="H1834 J1834:L1834 O1834">
    <cfRule type="expression" priority="8461" dxfId="5">
      <formula>$H1834="CÉLULA CONSTRUTIVA"</formula>
    </cfRule>
  </conditionalFormatting>
  <conditionalFormatting sqref="H1841 H1851 H1854 H1858 H1871 H1879 J1837:L1841 J1849:L1851 J1853:L1854 J1858:L1858 J1864:L1864 J1871:L1871 J1879:L1879 L1860:L1863 L1866:L1867 L1873:L1874 L1881">
    <cfRule type="expression" priority="8460" dxfId="4">
      <formula>$H1837="SUBETAPA"</formula>
    </cfRule>
  </conditionalFormatting>
  <conditionalFormatting sqref="H1841 H1851 H1854 H1858 H1871 H1879 J1841:L1841 J1851:L1851 J1854:L1854 J1858:M1858 J1864:M1864 J1871:M1871 J1879:M1879 L1860:L1863 L1866:L1867 L1873:L1874 L1881 O1841 O1854 O1858 O1864 O1871 O1879">
    <cfRule type="expression" priority="8459" dxfId="5">
      <formula>$H1841="CÉLULA CONSTRUTIVA"</formula>
    </cfRule>
  </conditionalFormatting>
  <conditionalFormatting sqref="J16:M16">
    <cfRule type="expression" priority="6866" dxfId="6">
      <formula>$H16="SUBETAPA"</formula>
    </cfRule>
  </conditionalFormatting>
  <conditionalFormatting sqref="J17:M17">
    <cfRule type="expression" priority="6865" dxfId="8">
      <formula>$H17="ETAPA"</formula>
    </cfRule>
    <cfRule type="expression" priority="6864" dxfId="7">
      <formula>$H17="CÉLULA CONSTRUTIVA"</formula>
    </cfRule>
  </conditionalFormatting>
  <conditionalFormatting sqref="J1129:M1129">
    <cfRule type="expression" priority="7701" dxfId="5">
      <formula>$H1129="CÉLULA CONSTRUTIVA"</formula>
    </cfRule>
  </conditionalFormatting>
  <conditionalFormatting sqref="J1132:M1132">
    <cfRule type="expression" priority="7698" dxfId="5">
      <formula>$H1132="CÉLULA CONSTRUTIVA"</formula>
    </cfRule>
  </conditionalFormatting>
  <conditionalFormatting sqref="J1135:M1135">
    <cfRule type="expression" priority="7695" dxfId="5">
      <formula>$H1135="CÉLULA CONSTRUTIVA"</formula>
    </cfRule>
  </conditionalFormatting>
  <conditionalFormatting sqref="J1136:M1136">
    <cfRule type="expression" priority="4506" dxfId="5">
      <formula>$H1136="CÉLULA CONSTRUTIVA"</formula>
    </cfRule>
  </conditionalFormatting>
  <conditionalFormatting sqref="J1138:M1138">
    <cfRule type="expression" priority="7692" dxfId="5">
      <formula>$H1138="CÉLULA CONSTRUTIVA"</formula>
    </cfRule>
  </conditionalFormatting>
  <conditionalFormatting sqref="J1139:M1139">
    <cfRule type="expression" priority="4503" dxfId="5">
      <formula>$H1139="CÉLULA CONSTRUTIVA"</formula>
    </cfRule>
  </conditionalFormatting>
  <conditionalFormatting sqref="J1141:M1141">
    <cfRule type="expression" priority="7689" dxfId="5">
      <formula>$H1141="CÉLULA CONSTRUTIVA"</formula>
    </cfRule>
  </conditionalFormatting>
  <conditionalFormatting sqref="J1142:M1142">
    <cfRule type="expression" priority="4500" dxfId="5">
      <formula>$H1142="CÉLULA CONSTRUTIVA"</formula>
    </cfRule>
  </conditionalFormatting>
  <conditionalFormatting sqref="J1144:M1144">
    <cfRule type="expression" priority="7686" dxfId="5">
      <formula>$H1144="CÉLULA CONSTRUTIVA"</formula>
    </cfRule>
  </conditionalFormatting>
  <conditionalFormatting sqref="J1145:M1145">
    <cfRule type="expression" priority="4497" dxfId="5">
      <formula>$H1145="CÉLULA CONSTRUTIVA"</formula>
    </cfRule>
  </conditionalFormatting>
  <conditionalFormatting sqref="J1149:M1149">
    <cfRule type="expression" priority="7685" dxfId="4">
      <formula>$H1149="SUBETAPA"</formula>
    </cfRule>
  </conditionalFormatting>
  <conditionalFormatting sqref="J1151:M1152">
    <cfRule type="expression" priority="9212" dxfId="4">
      <formula>$H1151="SUBETAPA"</formula>
    </cfRule>
  </conditionalFormatting>
  <conditionalFormatting sqref="J1156:M1156">
    <cfRule type="expression" priority="7682" dxfId="4">
      <formula>$H1156="SUBETAPA"</formula>
    </cfRule>
  </conditionalFormatting>
  <conditionalFormatting sqref="J1158:M1159">
    <cfRule type="expression" priority="9203" dxfId="4">
      <formula>$H1158="SUBETAPA"</formula>
    </cfRule>
  </conditionalFormatting>
  <conditionalFormatting sqref="J1163:M1163">
    <cfRule type="expression" priority="7677" dxfId="5">
      <formula>$H1163="CÉLULA CONSTRUTIVA"</formula>
    </cfRule>
  </conditionalFormatting>
  <conditionalFormatting sqref="J1168:M1168">
    <cfRule type="expression" priority="7674" dxfId="5">
      <formula>$H1168="CÉLULA CONSTRUTIVA"</formula>
    </cfRule>
  </conditionalFormatting>
  <conditionalFormatting sqref="J1169:M1169">
    <cfRule type="expression" priority="4479" dxfId="5">
      <formula>$H1169="CÉLULA CONSTRUTIVA"</formula>
    </cfRule>
  </conditionalFormatting>
  <conditionalFormatting sqref="J1173:M1173">
    <cfRule type="expression" priority="7671" dxfId="5">
      <formula>$H1173="CÉLULA CONSTRUTIVA"</formula>
    </cfRule>
  </conditionalFormatting>
  <conditionalFormatting sqref="J1178:M1178">
    <cfRule type="expression" priority="7668" dxfId="5">
      <formula>$H1178="CÉLULA CONSTRUTIVA"</formula>
    </cfRule>
  </conditionalFormatting>
  <conditionalFormatting sqref="J1181:M1181">
    <cfRule type="expression" priority="7665" dxfId="5">
      <formula>$H1181="CÉLULA CONSTRUTIVA"</formula>
    </cfRule>
  </conditionalFormatting>
  <conditionalFormatting sqref="G1433:H1434 J1433:M1434">
    <cfRule type="expression" priority="10602" dxfId="3">
      <formula>$H1433="ETAPA"</formula>
    </cfRule>
  </conditionalFormatting>
  <conditionalFormatting sqref="J1564:M1565 O1565">
    <cfRule type="expression" priority="6842" dxfId="3">
      <formula>$H1564="ETAPA"</formula>
    </cfRule>
  </conditionalFormatting>
  <conditionalFormatting sqref="H1565 J1565:M1565 O1565">
    <cfRule type="expression" priority="8618" dxfId="5">
      <formula>$H1565="CÉLULA CONSTRUTIVA"</formula>
    </cfRule>
  </conditionalFormatting>
  <conditionalFormatting sqref="J1565:M1565 O1565">
    <cfRule type="expression" priority="6841" dxfId="4">
      <formula>$H1565="SUBETAPA"</formula>
    </cfRule>
  </conditionalFormatting>
  <conditionalFormatting sqref="J1570:M1571 O1571">
    <cfRule type="expression" priority="6840" dxfId="3">
      <formula>$H1570="ETAPA"</formula>
    </cfRule>
  </conditionalFormatting>
  <conditionalFormatting sqref="H1571 J1571:M1571 O1571">
    <cfRule type="expression" priority="8612" dxfId="5">
      <formula>$H1571="CÉLULA CONSTRUTIVA"</formula>
    </cfRule>
  </conditionalFormatting>
  <conditionalFormatting sqref="J1571:M1571 O1571">
    <cfRule type="expression" priority="6839" dxfId="4">
      <formula>$H1571="SUBETAPA"</formula>
    </cfRule>
  </conditionalFormatting>
  <conditionalFormatting sqref="J1576:M1577 O1577">
    <cfRule type="expression" priority="6838" dxfId="3">
      <formula>$H1576="ETAPA"</formula>
    </cfRule>
  </conditionalFormatting>
  <conditionalFormatting sqref="H1577 J1577:M1577 O1577">
    <cfRule type="expression" priority="8606" dxfId="5">
      <formula>$H1577="CÉLULA CONSTRUTIVA"</formula>
    </cfRule>
  </conditionalFormatting>
  <conditionalFormatting sqref="J1577:M1577 O1577">
    <cfRule type="expression" priority="6837" dxfId="4">
      <formula>$H1577="SUBETAPA"</formula>
    </cfRule>
  </conditionalFormatting>
  <conditionalFormatting sqref="H1583 J1582:M1583 O1583">
    <cfRule type="expression" priority="8600" dxfId="5">
      <formula>$H1582="CÉLULA CONSTRUTIVA"</formula>
    </cfRule>
  </conditionalFormatting>
  <conditionalFormatting sqref="H1592 J1591:M1592 O1592">
    <cfRule type="expression" priority="8592" dxfId="5">
      <formula>$H1591="CÉLULA CONSTRUTIVA"</formula>
    </cfRule>
  </conditionalFormatting>
  <conditionalFormatting sqref="H1601 J1600:M1601 O1601">
    <cfRule type="expression" priority="8584" dxfId="5">
      <formula>$H1600="CÉLULA CONSTRUTIVA"</formula>
    </cfRule>
  </conditionalFormatting>
  <conditionalFormatting sqref="H1610 J1609:M1610 O1610">
    <cfRule type="expression" priority="8576" dxfId="5">
      <formula>$H1609="CÉLULA CONSTRUTIVA"</formula>
    </cfRule>
  </conditionalFormatting>
  <conditionalFormatting sqref="H1619 J1618:M1619 O1619">
    <cfRule type="expression" priority="8568" dxfId="5">
      <formula>$H1618="CÉLULA CONSTRUTIVA"</formula>
    </cfRule>
  </conditionalFormatting>
  <conditionalFormatting sqref="K23">
    <cfRule type="expression" priority="6830" dxfId="4">
      <formula>$H23="SUBETAPA"</formula>
    </cfRule>
    <cfRule type="expression" priority="6831" dxfId="3">
      <formula>$H23="ETAPA"</formula>
    </cfRule>
  </conditionalFormatting>
  <conditionalFormatting sqref="K35:K38 O36:O38">
    <cfRule type="expression" priority="6826" dxfId="5">
      <formula>$H35="CÉLULA CONSTRUTIVA"</formula>
    </cfRule>
  </conditionalFormatting>
  <conditionalFormatting sqref="K37 N37:O37">
    <cfRule type="expression" priority="6828" dxfId="3">
      <formula>$H37="ETAPA"</formula>
    </cfRule>
    <cfRule type="expression" priority="6827" dxfId="4">
      <formula>$H37="SUBETAPA"</formula>
    </cfRule>
  </conditionalFormatting>
  <conditionalFormatting sqref="K46">
    <cfRule type="expression" priority="6825" dxfId="3">
      <formula>$H46="ETAPA"</formula>
    </cfRule>
  </conditionalFormatting>
  <conditionalFormatting sqref="K157">
    <cfRule type="expression" priority="6824" dxfId="3">
      <formula>$H157="ETAPA"</formula>
    </cfRule>
  </conditionalFormatting>
  <conditionalFormatting sqref="K167">
    <cfRule type="expression" priority="6821" dxfId="3">
      <formula>$H167="ETAPA"</formula>
    </cfRule>
  </conditionalFormatting>
  <conditionalFormatting sqref="K185">
    <cfRule type="expression" priority="6817" dxfId="4">
      <formula>$H185="SUBETAPA"</formula>
    </cfRule>
  </conditionalFormatting>
  <conditionalFormatting sqref="K194">
    <cfRule type="expression" priority="6814" dxfId="4">
      <formula>$H194="SUBETAPA"</formula>
    </cfRule>
  </conditionalFormatting>
  <conditionalFormatting sqref="K203">
    <cfRule type="expression" priority="6811" dxfId="4">
      <formula>$H203="SUBETAPA"</formula>
    </cfRule>
  </conditionalFormatting>
  <conditionalFormatting sqref="K206:K212">
    <cfRule type="expression" priority="6806" dxfId="4">
      <formula>$H206="SUBETAPA"</formula>
    </cfRule>
    <cfRule type="expression" priority="6805" dxfId="5">
      <formula>$H206="CÉLULA CONSTRUTIVA"</formula>
    </cfRule>
  </conditionalFormatting>
  <conditionalFormatting sqref="K221">
    <cfRule type="expression" priority="6803" dxfId="4">
      <formula>$H221="SUBETAPA"</formula>
    </cfRule>
  </conditionalFormatting>
  <conditionalFormatting sqref="K349 K351 K353 K355 K357 K361 K363 K365 K367 K369 K371 K373 K375 K377">
    <cfRule type="expression" priority="6801" dxfId="3">
      <formula>$H349="ETAPA"</formula>
    </cfRule>
  </conditionalFormatting>
  <conditionalFormatting sqref="K359">
    <cfRule type="expression" priority="6800" dxfId="3">
      <formula>$H359="ETAPA"</formula>
    </cfRule>
    <cfRule type="expression" priority="6799" dxfId="4">
      <formula>$H359="SUBETAPA"</formula>
    </cfRule>
  </conditionalFormatting>
  <conditionalFormatting sqref="K1011">
    <cfRule type="expression" priority="6791" dxfId="3">
      <formula>$H1011="ETAPA"</formula>
    </cfRule>
    <cfRule type="expression" priority="6790" dxfId="5">
      <formula>$H1011="CÉLULA CONSTRUTIVA"</formula>
    </cfRule>
  </conditionalFormatting>
  <conditionalFormatting sqref="J1245:K1245 K1242:K1244">
    <cfRule type="expression" priority="7198" dxfId="5">
      <formula>$H1242="CÉLULA CONSTRUTIVA"</formula>
    </cfRule>
  </conditionalFormatting>
  <conditionalFormatting sqref="J1278:K1278 K1273:K1277">
    <cfRule type="expression" priority="7189" dxfId="5">
      <formula>$H1273="CÉLULA CONSTRUTIVA"</formula>
    </cfRule>
  </conditionalFormatting>
  <conditionalFormatting sqref="H1295:H1298 J1298:K1298 K1295:K1297">
    <cfRule type="expression" priority="9127" dxfId="5">
      <formula>$H1295="CÉLULA CONSTRUTIVA"</formula>
    </cfRule>
  </conditionalFormatting>
  <conditionalFormatting sqref="H1317:H1320 J1320:K1320 K1317:K1319">
    <cfRule type="expression" priority="9117" dxfId="5">
      <formula>$H1317="CÉLULA CONSTRUTIVA"</formula>
    </cfRule>
  </conditionalFormatting>
  <conditionalFormatting sqref="H1355:H1358 J1358:K1358 K1355:K1357">
    <cfRule type="expression" priority="9100" dxfId="5">
      <formula>$H1355="CÉLULA CONSTRUTIVA"</formula>
    </cfRule>
  </conditionalFormatting>
  <conditionalFormatting sqref="H1376:H1379 J1379:K1379 K1376:K1378">
    <cfRule type="expression" priority="9091" dxfId="5">
      <formula>$H1376="CÉLULA CONSTRUTIVA"</formula>
    </cfRule>
  </conditionalFormatting>
  <conditionalFormatting sqref="H1400:H1403 J1403:K1403 K1400:K1402">
    <cfRule type="expression" priority="9081" dxfId="5">
      <formula>$H1400="CÉLULA CONSTRUTIVA"</formula>
    </cfRule>
  </conditionalFormatting>
  <conditionalFormatting sqref="K1418:K1420">
    <cfRule type="expression" priority="6789" dxfId="5">
      <formula>$H1418="CÉLULA CONSTRUTIVA"</formula>
    </cfRule>
  </conditionalFormatting>
  <conditionalFormatting sqref="K1430:K1432">
    <cfRule type="expression" priority="6788" dxfId="5">
      <formula>$H1430="CÉLULA CONSTRUTIVA"</formula>
    </cfRule>
  </conditionalFormatting>
  <conditionalFormatting sqref="K1437:K1440">
    <cfRule type="expression" priority="6727" dxfId="4">
      <formula>$H1437="SUBETAPA"</formula>
    </cfRule>
  </conditionalFormatting>
  <conditionalFormatting sqref="K1633">
    <cfRule type="expression" priority="6726" dxfId="3">
      <formula>$H1633="ETAPA"</formula>
    </cfRule>
    <cfRule type="expression" priority="6725" dxfId="4">
      <formula>$H1633="SUBETAPA"</formula>
    </cfRule>
  </conditionalFormatting>
  <conditionalFormatting sqref="K1689">
    <cfRule type="expression" priority="6722" dxfId="4">
      <formula>$H1689="SUBETAPA"</formula>
    </cfRule>
    <cfRule type="expression" priority="6723" dxfId="3">
      <formula>$H1689="ETAPA"</formula>
    </cfRule>
  </conditionalFormatting>
  <conditionalFormatting sqref="K1700">
    <cfRule type="expression" priority="6720" dxfId="3">
      <formula>$H1700="ETAPA"</formula>
    </cfRule>
    <cfRule type="expression" priority="6719" dxfId="4">
      <formula>$H1700="SUBETAPA"</formula>
    </cfRule>
  </conditionalFormatting>
  <conditionalFormatting sqref="K1747">
    <cfRule type="expression" priority="6717" dxfId="3">
      <formula>$H1747="ETAPA"</formula>
    </cfRule>
    <cfRule type="expression" priority="6716" dxfId="4">
      <formula>$H1747="SUBETAPA"</formula>
    </cfRule>
  </conditionalFormatting>
  <conditionalFormatting sqref="K1755">
    <cfRule type="expression" priority="6713" dxfId="4">
      <formula>$H1755="SUBETAPA"</formula>
    </cfRule>
    <cfRule type="expression" priority="6714" dxfId="3">
      <formula>$H1755="ETAPA"</formula>
    </cfRule>
  </conditionalFormatting>
  <conditionalFormatting sqref="K1766 O1766:O1770">
    <cfRule type="expression" priority="6711" dxfId="4">
      <formula>$H1766="SUBETAPA"</formula>
    </cfRule>
  </conditionalFormatting>
  <conditionalFormatting sqref="K1807 O1807">
    <cfRule type="expression" priority="6710" dxfId="4">
      <formula>$H1807="SUBETAPA"</formula>
    </cfRule>
  </conditionalFormatting>
  <conditionalFormatting sqref="K360:L360">
    <cfRule type="expression" priority="6698" dxfId="4">
      <formula>$H360="SUBETAPA"</formula>
    </cfRule>
    <cfRule type="expression" priority="6699" dxfId="3">
      <formula>$H360="ETAPA"</formula>
    </cfRule>
  </conditionalFormatting>
  <conditionalFormatting sqref="K362:L362">
    <cfRule type="expression" priority="6695" dxfId="4">
      <formula>$H362="SUBETAPA"</formula>
    </cfRule>
    <cfRule type="expression" priority="6696" dxfId="3">
      <formula>$H362="ETAPA"</formula>
    </cfRule>
  </conditionalFormatting>
  <conditionalFormatting sqref="K364:L364">
    <cfRule type="expression" priority="6692" dxfId="4">
      <formula>$H364="SUBETAPA"</formula>
    </cfRule>
    <cfRule type="expression" priority="6693" dxfId="3">
      <formula>$H364="ETAPA"</formula>
    </cfRule>
  </conditionalFormatting>
  <conditionalFormatting sqref="K366:L366">
    <cfRule type="expression" priority="6690" dxfId="3">
      <formula>$H366="ETAPA"</formula>
    </cfRule>
    <cfRule type="expression" priority="6689" dxfId="4">
      <formula>$H366="SUBETAPA"</formula>
    </cfRule>
  </conditionalFormatting>
  <conditionalFormatting sqref="K368:L368">
    <cfRule type="expression" priority="6687" dxfId="3">
      <formula>$H368="ETAPA"</formula>
    </cfRule>
    <cfRule type="expression" priority="6686" dxfId="4">
      <formula>$H368="SUBETAPA"</formula>
    </cfRule>
  </conditionalFormatting>
  <conditionalFormatting sqref="K370:L370">
    <cfRule type="expression" priority="6683" dxfId="4">
      <formula>$H370="SUBETAPA"</formula>
    </cfRule>
    <cfRule type="expression" priority="6684" dxfId="3">
      <formula>$H370="ETAPA"</formula>
    </cfRule>
  </conditionalFormatting>
  <conditionalFormatting sqref="K372:L372">
    <cfRule type="expression" priority="6680" dxfId="4">
      <formula>$H372="SUBETAPA"</formula>
    </cfRule>
    <cfRule type="expression" priority="6681" dxfId="3">
      <formula>$H372="ETAPA"</formula>
    </cfRule>
  </conditionalFormatting>
  <conditionalFormatting sqref="K374:L374">
    <cfRule type="expression" priority="6678" dxfId="3">
      <formula>$H374="ETAPA"</formula>
    </cfRule>
    <cfRule type="expression" priority="6677" dxfId="4">
      <formula>$H374="SUBETAPA"</formula>
    </cfRule>
  </conditionalFormatting>
  <conditionalFormatting sqref="K376:L376 K378:L378">
    <cfRule type="expression" priority="6675" dxfId="3">
      <formula>$H376="ETAPA"</formula>
    </cfRule>
    <cfRule type="expression" priority="6674" dxfId="4">
      <formula>$H376="SUBETAPA"</formula>
    </cfRule>
  </conditionalFormatting>
  <conditionalFormatting sqref="K924:L924">
    <cfRule type="expression" priority="6672" dxfId="4">
      <formula>$H924="SUBETAPA"</formula>
    </cfRule>
  </conditionalFormatting>
  <conditionalFormatting sqref="K929:L929">
    <cfRule type="expression" priority="6671" dxfId="4">
      <formula>$H929="SUBETAPA"</formula>
    </cfRule>
  </conditionalFormatting>
  <conditionalFormatting sqref="K934:L934">
    <cfRule type="expression" priority="6670" dxfId="4">
      <formula>$H934="SUBETAPA"</formula>
    </cfRule>
  </conditionalFormatting>
  <conditionalFormatting sqref="K939:L939">
    <cfRule type="expression" priority="6669" dxfId="4">
      <formula>$H939="SUBETAPA"</formula>
    </cfRule>
  </conditionalFormatting>
  <conditionalFormatting sqref="K944:L944">
    <cfRule type="expression" priority="6668" dxfId="4">
      <formula>$H944="SUBETAPA"</formula>
    </cfRule>
  </conditionalFormatting>
  <conditionalFormatting sqref="K948:L948 K951:L951">
    <cfRule type="expression" priority="6667" dxfId="4">
      <formula>$H948="SUBETAPA"</formula>
    </cfRule>
  </conditionalFormatting>
  <conditionalFormatting sqref="K955:L955 K958:L958">
    <cfRule type="expression" priority="6666" dxfId="4">
      <formula>$H955="SUBETAPA"</formula>
    </cfRule>
  </conditionalFormatting>
  <conditionalFormatting sqref="K962:L962 K965:L965">
    <cfRule type="expression" priority="6665" dxfId="4">
      <formula>$H962="SUBETAPA"</formula>
    </cfRule>
  </conditionalFormatting>
  <conditionalFormatting sqref="K969:L969 K972:L972">
    <cfRule type="expression" priority="6664" dxfId="4">
      <formula>$H969="SUBETAPA"</formula>
    </cfRule>
  </conditionalFormatting>
  <conditionalFormatting sqref="K976:L976 K979:L979">
    <cfRule type="expression" priority="6663" dxfId="4">
      <formula>$H976="SUBETAPA"</formula>
    </cfRule>
  </conditionalFormatting>
  <conditionalFormatting sqref="K984:L984">
    <cfRule type="expression" priority="6662" dxfId="4">
      <formula>$H984="SUBETAPA"</formula>
    </cfRule>
  </conditionalFormatting>
  <conditionalFormatting sqref="K988:L988 K991:L991">
    <cfRule type="expression" priority="6661" dxfId="4">
      <formula>$H988="SUBETAPA"</formula>
    </cfRule>
  </conditionalFormatting>
  <conditionalFormatting sqref="K996:L996">
    <cfRule type="expression" priority="6660" dxfId="4">
      <formula>$H996="SUBETAPA"</formula>
    </cfRule>
  </conditionalFormatting>
  <conditionalFormatting sqref="K1090:L1090">
    <cfRule type="expression" priority="6657" dxfId="4">
      <formula>$H1090="SUBETAPA"</formula>
    </cfRule>
  </conditionalFormatting>
  <conditionalFormatting sqref="I1083:M1084 I1085:L1085 K1088:L1088 K1090:L1091 L1086:L1087 L1089 O1088">
    <cfRule type="expression" priority="6658" dxfId="3">
      <formula>$H1083="ETAPA"</formula>
    </cfRule>
  </conditionalFormatting>
  <conditionalFormatting sqref="G703:M703 G704:L705 G706:G718 G719:L720 G721:G733 G734:L735 G736:G748 G749:L750 G751:G763 G764:L765 G766:G778 G779:L780 G781:G793 G794:L795 G796:G808 G809:L810 G811:G823 G824:L825 G826:G838 G839:L840 G841:G853 G854:L855 G856:G868 G869:L870 G871:G883 G884:L885 G886:G898 G899:L900 G901:G913 H572:M573 H578:L579 H583:M584 H587:L588 H592:M593 H596:L597 H601:M602 H605:L606 H610:M611 H614:L615 H619:M620 H623:L624 H628:M629 H632:L633 H637:M638 H641:L642 H646:M647 H650:L651 H655:M656 H661:L662 H666:M667 H672:L673 H677:M678 H681:L682 H686:M687 H690:L691 H695:M696 H701:L702 H706:M706 H708:L708 H710:L711 H712:M712 H714:M714 H721:M721 H723:L723 H725:L727 H729:M729 H736:M736 H738:L738 H740:L742 H744:M744 H751:M751 H753:L753 H755:L757 H759:M759 H766:M766 H768:L768 H770:L772 H774:M774 H781:M781 H783:L783 H785:L787 H789:M789 H796:M796 H798:L798 H800:L802 H804:M804 H811:M811 H813:L813 H815:L817 H819:M819 H826:M826 H828:L828 H830:L832 H834:M834 H841:M841 H843:L843 H845:L847 H849:M849 H856:M856 H858:L858 H860:L862 H864:M864 H871:M871 H873:L873 H875:L877 H879:M879 H886:M886 H888:L888 H890:L892 H894:M894 H901:M901 H903:L903 H905:L906 H907:M907 H909:M909 H1003:L1003 H1009:J1009 I1111:M1113 K568:M568 K570:M570 K575:M575 K577:M577 K581:M581 K586:M586 K590:M590 K595:M595 K599:M599 K604:M604 K608:M608 K613:M613 K617:M617 K622:M622 K626:M626 K631:M631 K635:M635 K640:M640 K644:M644 K649:M649 K653:M653 K658:M658 K660:M660 K664:M664 K669:M669 K671:M671 K675:M675 K680:M680 K684:M684 K689:M689 K693:M693 K698:M698 K700:M700 K716:M716 K718:M718 K731:M731 K733:M733 K746:M746 K748:M748 K761:M761 K763:M763 K776:M776 K778:M778 K791:M791 K793:M793 K806:M806 K808:M808 K821:M821 K823:M823 K836:M836 K838:M838 K851:M851 K853:M853 K866:M866 K868:M868 K881:M881 K883:M883 K896:M896 K898:M898 K911:M911 K913:M913 K916:M916 K919:L919 K924:L924 K929:L929 K934:L934 K939:L939 K944:L944 K948:M948 K951:L951 K955:M955 K958:L958 K962:M962 K965:L965 K969:M969 K972:L972 K976:M976 K979:L979 K984:L984 K988:M988 K991:L991 K996:L996 K1004:M1004 K1116:M1116 K1118:M1119 L569 L571 L576 L580 L582 L589 L591 L598 L600 L607 L609 L616 L618 L625 L627 L634 L636 L643 L645 L652 L654 L659 L663 L665 L670 L674 L676 L683 L685 L692 L694 L699 L713:M713 L715 L717 L728:M728 L730 L732 L743:M743 L745 L747 L758:M758 L760 L762 L773:M773 L775 L777 L788:M788 L790 L792 L803:M803 L805 L807 L818:M818 L820 L822 L833:M833 L835 L837 L848:M848 L850 L852 L863:M863 L865 L867 L878:M878 L880 L882 L893:M893 L895 L897 L908:M908 L910 L912 L914:L915 L917:L918 L949:L950 L956:L957 L963:L964 L970:L971 L977:L978 L989:L990 L1009:M1009 L1011:M1011 L1114:M1115 L1117 M727 M742 M757 M772 M787 M802 M817 M832 M847 M862 M877 M892 O570 O573 O575 O581 O584 O586 O590 O593 O595 O599 O602 O604 O608 O611 O613 O617 O620 O622 O626 O629 O631 O635 O638 O640 O644 O647 O649 O653 O656 O658 O664 O667 O669 O675 O678 O680 O684 O687 O689 O693 O696 O698 O706 O714 O716 O718 O721 O729 O731 O733 O736 O744 O746 O748 O751 O759 O761 O763 O766 O774 O776 O778 O781 O789 O791 O793 O796 O804 O806 O808 O811 O819 O821 O823 O826 O834 O836 O838 O841 O849 O851 O853 O856 O864 O866 O868 O871 O879 O881 O883 O886 O894 O896 O898 O901 O909 O911 O913 O1004 O1011 O1116">
    <cfRule type="expression" priority="6641" dxfId="3">
      <formula>$H568="ETAPA"</formula>
    </cfRule>
  </conditionalFormatting>
  <conditionalFormatting sqref="K916:M916 K919:L919 M948 M955 M962 M969 M976 M988">
    <cfRule type="expression" priority="6640" dxfId="4">
      <formula>$H916="SUBETAPA"</formula>
    </cfRule>
  </conditionalFormatting>
  <conditionalFormatting sqref="K1011:M1011">
    <cfRule type="expression" priority="6792" dxfId="4">
      <formula>$H1011="SUBETAPA"</formula>
    </cfRule>
  </conditionalFormatting>
  <conditionalFormatting sqref="K1020:M1020">
    <cfRule type="expression" priority="6637" dxfId="4">
      <formula>$H1020="SUBETAPA"</formula>
    </cfRule>
  </conditionalFormatting>
  <conditionalFormatting sqref="I1013:M1015 K1018:M1018 K1020:M1021 L1016:M1017 L1019 O1018">
    <cfRule type="expression" priority="6638" dxfId="3">
      <formula>$H1013="ETAPA"</formula>
    </cfRule>
  </conditionalFormatting>
  <conditionalFormatting sqref="K1034:M1034">
    <cfRule type="expression" priority="6634" dxfId="4">
      <formula>$H1034="SUBETAPA"</formula>
    </cfRule>
  </conditionalFormatting>
  <conditionalFormatting sqref="I1027:M1029 K1032:M1032 K1034:M1035 L1030:M1031 L1033 O1032">
    <cfRule type="expression" priority="6635" dxfId="3">
      <formula>$H1027="ETAPA"</formula>
    </cfRule>
  </conditionalFormatting>
  <conditionalFormatting sqref="K1048:M1048">
    <cfRule type="expression" priority="6631" dxfId="4">
      <formula>$H1048="SUBETAPA"</formula>
    </cfRule>
  </conditionalFormatting>
  <conditionalFormatting sqref="I1041:M1043 K1046:M1046 K1048:M1049 L1044:M1045 L1047 O1046">
    <cfRule type="expression" priority="6632" dxfId="3">
      <formula>$H1041="ETAPA"</formula>
    </cfRule>
  </conditionalFormatting>
  <conditionalFormatting sqref="K1062:M1062">
    <cfRule type="expression" priority="6628" dxfId="4">
      <formula>$H1062="SUBETAPA"</formula>
    </cfRule>
  </conditionalFormatting>
  <conditionalFormatting sqref="I1055:M1057 K1060:M1060 K1062:M1063 L1058:M1059 L1061 O1060">
    <cfRule type="expression" priority="6629" dxfId="3">
      <formula>$H1055="ETAPA"</formula>
    </cfRule>
  </conditionalFormatting>
  <conditionalFormatting sqref="K1076:M1076">
    <cfRule type="expression" priority="6625" dxfId="4">
      <formula>$H1076="SUBETAPA"</formula>
    </cfRule>
  </conditionalFormatting>
  <conditionalFormatting sqref="I1069:M1071 K1074:M1074 K1076:M1077 L1072:L1073 L1075 O1074">
    <cfRule type="expression" priority="6626" dxfId="3">
      <formula>$H1069="ETAPA"</formula>
    </cfRule>
  </conditionalFormatting>
  <conditionalFormatting sqref="K1104:M1104">
    <cfRule type="expression" priority="6622" dxfId="4">
      <formula>$H1104="SUBETAPA"</formula>
    </cfRule>
  </conditionalFormatting>
  <conditionalFormatting sqref="I1097:M1099 K1102:M1102 K1104:M1105 L1100:M1101 L1103 O1102">
    <cfRule type="expression" priority="6623" dxfId="3">
      <formula>$H1097="ETAPA"</formula>
    </cfRule>
  </conditionalFormatting>
  <conditionalFormatting sqref="K1118:M1118">
    <cfRule type="expression" priority="6621" dxfId="4">
      <formula>$H1118="SUBETAPA"</formula>
    </cfRule>
  </conditionalFormatting>
  <conditionalFormatting sqref="K1129:M1129 O1129">
    <cfRule type="expression" priority="6620" dxfId="3">
      <formula>$H1129="ETAPA"</formula>
    </cfRule>
    <cfRule type="expression" priority="6619" dxfId="4">
      <formula>$H1129="SUBETAPA"</formula>
    </cfRule>
  </conditionalFormatting>
  <conditionalFormatting sqref="K1132:M1132 O1132">
    <cfRule type="expression" priority="6617" dxfId="4">
      <formula>$H1132="SUBETAPA"</formula>
    </cfRule>
    <cfRule type="expression" priority="6618" dxfId="3">
      <formula>$H1132="ETAPA"</formula>
    </cfRule>
  </conditionalFormatting>
  <conditionalFormatting sqref="K1135:M1135 O1135">
    <cfRule type="expression" priority="6616" dxfId="3">
      <formula>$H1135="ETAPA"</formula>
    </cfRule>
  </conditionalFormatting>
  <conditionalFormatting sqref="K1135:M1135 O1135:O1136">
    <cfRule type="expression" priority="6615" dxfId="4">
      <formula>$H1135="SUBETAPA"</formula>
    </cfRule>
  </conditionalFormatting>
  <conditionalFormatting sqref="K1138:M1138 O1138">
    <cfRule type="expression" priority="6614" dxfId="3">
      <formula>$H1138="ETAPA"</formula>
    </cfRule>
  </conditionalFormatting>
  <conditionalFormatting sqref="K1138:M1138 O1138:O1139">
    <cfRule type="expression" priority="6613" dxfId="4">
      <formula>$H1138="SUBETAPA"</formula>
    </cfRule>
  </conditionalFormatting>
  <conditionalFormatting sqref="K1141:M1141 O1141">
    <cfRule type="expression" priority="6612" dxfId="3">
      <formula>$H1141="ETAPA"</formula>
    </cfRule>
  </conditionalFormatting>
  <conditionalFormatting sqref="K1141:M1141 O1141:O1142">
    <cfRule type="expression" priority="6611" dxfId="4">
      <formula>$H1141="SUBETAPA"</formula>
    </cfRule>
  </conditionalFormatting>
  <conditionalFormatting sqref="K1144:M1144 O1144">
    <cfRule type="expression" priority="6610" dxfId="3">
      <formula>$H1144="ETAPA"</formula>
    </cfRule>
  </conditionalFormatting>
  <conditionalFormatting sqref="K1144:M1144 O1144:O1145">
    <cfRule type="expression" priority="6609" dxfId="4">
      <formula>$H1144="SUBETAPA"</formula>
    </cfRule>
  </conditionalFormatting>
  <conditionalFormatting sqref="H1152:H1155 J1152:L1152 K1149:M1149 O1149">
    <cfRule type="expression" priority="9213" dxfId="3">
      <formula>$H1149="ETAPA"</formula>
    </cfRule>
  </conditionalFormatting>
  <conditionalFormatting sqref="H1159:H1162 J1159:L1159 K1156:M1156 O1156">
    <cfRule type="expression" priority="9204" dxfId="3">
      <formula>$H1156="ETAPA"</formula>
    </cfRule>
  </conditionalFormatting>
  <conditionalFormatting sqref="K1163:M1163 O1163">
    <cfRule type="expression" priority="6608" dxfId="3">
      <formula>$H1163="ETAPA"</formula>
    </cfRule>
    <cfRule type="expression" priority="6607" dxfId="4">
      <formula>$H1163="SUBETAPA"</formula>
    </cfRule>
  </conditionalFormatting>
  <conditionalFormatting sqref="K1168:M1168 O1168">
    <cfRule type="expression" priority="6606" dxfId="3">
      <formula>$H1168="ETAPA"</formula>
    </cfRule>
  </conditionalFormatting>
  <conditionalFormatting sqref="K1168:M1168 O1168:O1169">
    <cfRule type="expression" priority="6605" dxfId="4">
      <formula>$H1168="SUBETAPA"</formula>
    </cfRule>
  </conditionalFormatting>
  <conditionalFormatting sqref="K1173:M1173 O1173">
    <cfRule type="expression" priority="6603" dxfId="4">
      <formula>$H1173="SUBETAPA"</formula>
    </cfRule>
    <cfRule type="expression" priority="6604" dxfId="3">
      <formula>$H1173="ETAPA"</formula>
    </cfRule>
  </conditionalFormatting>
  <conditionalFormatting sqref="K1178:M1178 O1178">
    <cfRule type="expression" priority="6602" dxfId="3">
      <formula>$H1178="ETAPA"</formula>
    </cfRule>
    <cfRule type="expression" priority="6601" dxfId="4">
      <formula>$H1178="SUBETAPA"</formula>
    </cfRule>
  </conditionalFormatting>
  <conditionalFormatting sqref="K1181:M1181 O1181">
    <cfRule type="expression" priority="6600" dxfId="3">
      <formula>$H1181="ETAPA"</formula>
    </cfRule>
    <cfRule type="expression" priority="6599" dxfId="4">
      <formula>$H1181="SUBETAPA"</formula>
    </cfRule>
  </conditionalFormatting>
  <conditionalFormatting sqref="L22:L23">
    <cfRule type="expression" priority="6597" dxfId="4">
      <formula>$H22="SUBETAPA"</formula>
    </cfRule>
  </conditionalFormatting>
  <conditionalFormatting sqref="G33:N33 L34:L36">
    <cfRule type="expression" priority="6829" dxfId="5">
      <formula>$H33="CÉLULA CONSTRUTIVA"</formula>
    </cfRule>
  </conditionalFormatting>
  <conditionalFormatting sqref="L34:L38">
    <cfRule type="expression" priority="6591" dxfId="3">
      <formula>$H34="ETAPA"</formula>
    </cfRule>
  </conditionalFormatting>
  <conditionalFormatting sqref="L37:L38">
    <cfRule type="expression" priority="6592" dxfId="4">
      <formula>$H37="SUBETAPA"</formula>
    </cfRule>
  </conditionalFormatting>
  <conditionalFormatting sqref="G41:N41 L44:L45">
    <cfRule type="expression" priority="6589" dxfId="5">
      <formula>$H41="CÉLULA CONSTRUTIVA"</formula>
    </cfRule>
  </conditionalFormatting>
  <conditionalFormatting sqref="L44:L46">
    <cfRule type="expression" priority="6586" dxfId="3">
      <formula>$H44="ETAPA"</formula>
    </cfRule>
  </conditionalFormatting>
  <conditionalFormatting sqref="H46:I46 L46">
    <cfRule type="expression" priority="6587" dxfId="4">
      <formula>$H46="SUBETAPA"</formula>
    </cfRule>
  </conditionalFormatting>
  <conditionalFormatting sqref="L46:L47">
    <cfRule type="expression" priority="6584" dxfId="5">
      <formula>$H46="CÉLULA CONSTRUTIVA"</formula>
    </cfRule>
  </conditionalFormatting>
  <conditionalFormatting sqref="L47:L48">
    <cfRule type="expression" priority="6583" dxfId="3">
      <formula>$H47="ETAPA"</formula>
    </cfRule>
  </conditionalFormatting>
  <conditionalFormatting sqref="L65">
    <cfRule type="expression" priority="6579" dxfId="3">
      <formula>$H65="ETAPA"</formula>
    </cfRule>
    <cfRule type="expression" priority="6580" dxfId="4">
      <formula>$H65="SUBETAPA"</formula>
    </cfRule>
  </conditionalFormatting>
  <conditionalFormatting sqref="L73">
    <cfRule type="expression" priority="6577" dxfId="3">
      <formula>$H73="ETAPA"</formula>
    </cfRule>
  </conditionalFormatting>
  <conditionalFormatting sqref="L73:L76">
    <cfRule type="expression" priority="6566" dxfId="5">
      <formula>$H73="CÉLULA CONSTRUTIVA"</formula>
    </cfRule>
    <cfRule type="expression" priority="6567" dxfId="4">
      <formula>$H73="SUBETAPA"</formula>
    </cfRule>
  </conditionalFormatting>
  <conditionalFormatting sqref="L74">
    <cfRule type="expression" priority="6574" dxfId="3">
      <formula>$H74="ETAPA"</formula>
    </cfRule>
  </conditionalFormatting>
  <conditionalFormatting sqref="L75">
    <cfRule type="expression" priority="6571" dxfId="3">
      <formula>$H75="ETAPA"</formula>
    </cfRule>
  </conditionalFormatting>
  <conditionalFormatting sqref="L76">
    <cfRule type="expression" priority="6568" dxfId="3">
      <formula>$H76="ETAPA"</formula>
    </cfRule>
  </conditionalFormatting>
  <conditionalFormatting sqref="L80:L92">
    <cfRule type="expression" priority="6542" dxfId="5">
      <formula>$H80="CÉLULA CONSTRUTIVA"</formula>
    </cfRule>
  </conditionalFormatting>
  <conditionalFormatting sqref="L84:L85">
    <cfRule type="expression" priority="6565" dxfId="3">
      <formula>$H84="ETAPA"</formula>
    </cfRule>
  </conditionalFormatting>
  <conditionalFormatting sqref="L84:L92">
    <cfRule type="expression" priority="6543" dxfId="4">
      <formula>$H84="SUBETAPA"</formula>
    </cfRule>
  </conditionalFormatting>
  <conditionalFormatting sqref="L86">
    <cfRule type="expression" priority="6562" dxfId="3">
      <formula>$H86="ETAPA"</formula>
    </cfRule>
  </conditionalFormatting>
  <conditionalFormatting sqref="L87">
    <cfRule type="expression" priority="6559" dxfId="3">
      <formula>$H87="ETAPA"</formula>
    </cfRule>
  </conditionalFormatting>
  <conditionalFormatting sqref="L88">
    <cfRule type="expression" priority="6556" dxfId="3">
      <formula>$H88="ETAPA"</formula>
    </cfRule>
  </conditionalFormatting>
  <conditionalFormatting sqref="L89">
    <cfRule type="expression" priority="6553" dxfId="3">
      <formula>$H89="ETAPA"</formula>
    </cfRule>
  </conditionalFormatting>
  <conditionalFormatting sqref="L90">
    <cfRule type="expression" priority="6550" dxfId="3">
      <formula>$H90="ETAPA"</formula>
    </cfRule>
  </conditionalFormatting>
  <conditionalFormatting sqref="L91">
    <cfRule type="expression" priority="6547" dxfId="3">
      <formula>$H91="ETAPA"</formula>
    </cfRule>
  </conditionalFormatting>
  <conditionalFormatting sqref="L92">
    <cfRule type="expression" priority="6544" dxfId="3">
      <formula>$H92="ETAPA"</formula>
    </cfRule>
  </conditionalFormatting>
  <conditionalFormatting sqref="G99:K99 L97:L99 M99 N97:N99">
    <cfRule type="expression" priority="6541" dxfId="4">
      <formula>$H97="SUBETAPA"</formula>
    </cfRule>
  </conditionalFormatting>
  <conditionalFormatting sqref="L104">
    <cfRule type="expression" priority="6540" dxfId="4">
      <formula>$H104="SUBETAPA"</formula>
    </cfRule>
  </conditionalFormatting>
  <conditionalFormatting sqref="L106">
    <cfRule type="expression" priority="6539" dxfId="4">
      <formula>$H106="SUBETAPA"</formula>
    </cfRule>
  </conditionalFormatting>
  <conditionalFormatting sqref="L108">
    <cfRule type="expression" priority="6538" dxfId="4">
      <formula>$H108="SUBETAPA"</formula>
    </cfRule>
  </conditionalFormatting>
  <conditionalFormatting sqref="L110">
    <cfRule type="expression" priority="6537" dxfId="4">
      <formula>$H110="SUBETAPA"</formula>
    </cfRule>
  </conditionalFormatting>
  <conditionalFormatting sqref="L112">
    <cfRule type="expression" priority="6536" dxfId="4">
      <formula>$H112="SUBETAPA"</formula>
    </cfRule>
  </conditionalFormatting>
  <conditionalFormatting sqref="L114">
    <cfRule type="expression" priority="6535" dxfId="4">
      <formula>$H114="SUBETAPA"</formula>
    </cfRule>
  </conditionalFormatting>
  <conditionalFormatting sqref="L116">
    <cfRule type="expression" priority="6534" dxfId="4">
      <formula>$H116="SUBETAPA"</formula>
    </cfRule>
  </conditionalFormatting>
  <conditionalFormatting sqref="L118">
    <cfRule type="expression" priority="6533" dxfId="4">
      <formula>$H118="SUBETAPA"</formula>
    </cfRule>
  </conditionalFormatting>
  <conditionalFormatting sqref="L120">
    <cfRule type="expression" priority="6532" dxfId="4">
      <formula>$H120="SUBETAPA"</formula>
    </cfRule>
  </conditionalFormatting>
  <conditionalFormatting sqref="L122:L123">
    <cfRule type="expression" priority="6530" dxfId="4">
      <formula>$H122="SUBETAPA"</formula>
    </cfRule>
  </conditionalFormatting>
  <conditionalFormatting sqref="L123">
    <cfRule type="expression" priority="6529" dxfId="5">
      <formula>$H123="CÉLULA CONSTRUTIVA"</formula>
    </cfRule>
  </conditionalFormatting>
  <conditionalFormatting sqref="L125:L126">
    <cfRule type="expression" priority="6527" dxfId="4">
      <formula>$H125="SUBETAPA"</formula>
    </cfRule>
  </conditionalFormatting>
  <conditionalFormatting sqref="L126">
    <cfRule type="expression" priority="6526" dxfId="5">
      <formula>$H126="CÉLULA CONSTRUTIVA"</formula>
    </cfRule>
  </conditionalFormatting>
  <conditionalFormatting sqref="L128:L129">
    <cfRule type="expression" priority="6524" dxfId="4">
      <formula>$H128="SUBETAPA"</formula>
    </cfRule>
  </conditionalFormatting>
  <conditionalFormatting sqref="L129">
    <cfRule type="expression" priority="6523" dxfId="5">
      <formula>$H129="CÉLULA CONSTRUTIVA"</formula>
    </cfRule>
  </conditionalFormatting>
  <conditionalFormatting sqref="L131">
    <cfRule type="expression" priority="6522" dxfId="4">
      <formula>$H131="SUBETAPA"</formula>
    </cfRule>
  </conditionalFormatting>
  <conditionalFormatting sqref="L133:L134">
    <cfRule type="expression" priority="6520" dxfId="4">
      <formula>$H133="SUBETAPA"</formula>
    </cfRule>
  </conditionalFormatting>
  <conditionalFormatting sqref="L134">
    <cfRule type="expression" priority="6519" dxfId="5">
      <formula>$H134="CÉLULA CONSTRUTIVA"</formula>
    </cfRule>
  </conditionalFormatting>
  <conditionalFormatting sqref="L136:L137">
    <cfRule type="expression" priority="6517" dxfId="4">
      <formula>$H136="SUBETAPA"</formula>
    </cfRule>
  </conditionalFormatting>
  <conditionalFormatting sqref="L137">
    <cfRule type="expression" priority="6516" dxfId="5">
      <formula>$H137="CÉLULA CONSTRUTIVA"</formula>
    </cfRule>
  </conditionalFormatting>
  <conditionalFormatting sqref="L142">
    <cfRule type="expression" priority="6515" dxfId="3">
      <formula>$H142="ETAPA"</formula>
    </cfRule>
  </conditionalFormatting>
  <conditionalFormatting sqref="L142:L147">
    <cfRule type="expression" priority="6499" dxfId="4">
      <formula>$H142="SUBETAPA"</formula>
    </cfRule>
    <cfRule type="expression" priority="6498" dxfId="5">
      <formula>$H142="CÉLULA CONSTRUTIVA"</formula>
    </cfRule>
  </conditionalFormatting>
  <conditionalFormatting sqref="L143">
    <cfRule type="expression" priority="6512" dxfId="3">
      <formula>$H143="ETAPA"</formula>
    </cfRule>
  </conditionalFormatting>
  <conditionalFormatting sqref="L144">
    <cfRule type="expression" priority="6509" dxfId="3">
      <formula>$H144="ETAPA"</formula>
    </cfRule>
  </conditionalFormatting>
  <conditionalFormatting sqref="L145">
    <cfRule type="expression" priority="6506" dxfId="3">
      <formula>$H145="ETAPA"</formula>
    </cfRule>
  </conditionalFormatting>
  <conditionalFormatting sqref="L146">
    <cfRule type="expression" priority="6503" dxfId="3">
      <formula>$H146="ETAPA"</formula>
    </cfRule>
  </conditionalFormatting>
  <conditionalFormatting sqref="L147">
    <cfRule type="expression" priority="6500" dxfId="3">
      <formula>$H147="ETAPA"</formula>
    </cfRule>
  </conditionalFormatting>
  <conditionalFormatting sqref="L148:L157">
    <cfRule type="expression" priority="6474" dxfId="4">
      <formula>$H148="SUBETAPA"</formula>
    </cfRule>
  </conditionalFormatting>
  <conditionalFormatting sqref="L149:L150">
    <cfRule type="expression" priority="6496" dxfId="3">
      <formula>$H149="ETAPA"</formula>
    </cfRule>
  </conditionalFormatting>
  <conditionalFormatting sqref="L151">
    <cfRule type="expression" priority="6493" dxfId="3">
      <formula>$H151="ETAPA"</formula>
    </cfRule>
  </conditionalFormatting>
  <conditionalFormatting sqref="L152">
    <cfRule type="expression" priority="6490" dxfId="3">
      <formula>$H152="ETAPA"</formula>
    </cfRule>
  </conditionalFormatting>
  <conditionalFormatting sqref="L153">
    <cfRule type="expression" priority="6487" dxfId="3">
      <formula>$H153="ETAPA"</formula>
    </cfRule>
  </conditionalFormatting>
  <conditionalFormatting sqref="L154">
    <cfRule type="expression" priority="6484" dxfId="3">
      <formula>$H154="ETAPA"</formula>
    </cfRule>
  </conditionalFormatting>
  <conditionalFormatting sqref="L155">
    <cfRule type="expression" priority="6481" dxfId="3">
      <formula>$H155="ETAPA"</formula>
    </cfRule>
  </conditionalFormatting>
  <conditionalFormatting sqref="L156">
    <cfRule type="expression" priority="6478" dxfId="3">
      <formula>$H156="ETAPA"</formula>
    </cfRule>
  </conditionalFormatting>
  <conditionalFormatting sqref="L157">
    <cfRule type="expression" priority="6475" dxfId="3">
      <formula>$H157="ETAPA"</formula>
    </cfRule>
  </conditionalFormatting>
  <conditionalFormatting sqref="L158:L167">
    <cfRule type="expression" priority="6449" dxfId="4">
      <formula>$H158="SUBETAPA"</formula>
    </cfRule>
  </conditionalFormatting>
  <conditionalFormatting sqref="L159:L160">
    <cfRule type="expression" priority="6471" dxfId="3">
      <formula>$H159="ETAPA"</formula>
    </cfRule>
  </conditionalFormatting>
  <conditionalFormatting sqref="L161">
    <cfRule type="expression" priority="6468" dxfId="3">
      <formula>$H161="ETAPA"</formula>
    </cfRule>
  </conditionalFormatting>
  <conditionalFormatting sqref="L162">
    <cfRule type="expression" priority="6465" dxfId="3">
      <formula>$H162="ETAPA"</formula>
    </cfRule>
  </conditionalFormatting>
  <conditionalFormatting sqref="L163">
    <cfRule type="expression" priority="6462" dxfId="3">
      <formula>$H163="ETAPA"</formula>
    </cfRule>
  </conditionalFormatting>
  <conditionalFormatting sqref="L164">
    <cfRule type="expression" priority="6459" dxfId="3">
      <formula>$H164="ETAPA"</formula>
    </cfRule>
  </conditionalFormatting>
  <conditionalFormatting sqref="L165">
    <cfRule type="expression" priority="6456" dxfId="3">
      <formula>$H165="ETAPA"</formula>
    </cfRule>
  </conditionalFormatting>
  <conditionalFormatting sqref="L166">
    <cfRule type="expression" priority="6453" dxfId="3">
      <formula>$H166="ETAPA"</formula>
    </cfRule>
  </conditionalFormatting>
  <conditionalFormatting sqref="L167">
    <cfRule type="expression" priority="6450" dxfId="3">
      <formula>$H167="ETAPA"</formula>
    </cfRule>
  </conditionalFormatting>
  <conditionalFormatting sqref="L168:L176">
    <cfRule type="expression" priority="6427" dxfId="4">
      <formula>$H168="SUBETAPA"</formula>
    </cfRule>
  </conditionalFormatting>
  <conditionalFormatting sqref="L169:L170">
    <cfRule type="expression" priority="6446" dxfId="3">
      <formula>$H169="ETAPA"</formula>
    </cfRule>
  </conditionalFormatting>
  <conditionalFormatting sqref="L171">
    <cfRule type="expression" priority="6443" dxfId="3">
      <formula>$H171="ETAPA"</formula>
    </cfRule>
  </conditionalFormatting>
  <conditionalFormatting sqref="L172">
    <cfRule type="expression" priority="6440" dxfId="3">
      <formula>$H172="ETAPA"</formula>
    </cfRule>
  </conditionalFormatting>
  <conditionalFormatting sqref="L173">
    <cfRule type="expression" priority="6437" dxfId="3">
      <formula>$H173="ETAPA"</formula>
    </cfRule>
  </conditionalFormatting>
  <conditionalFormatting sqref="L174">
    <cfRule type="expression" priority="6434" dxfId="3">
      <formula>$H174="ETAPA"</formula>
    </cfRule>
  </conditionalFormatting>
  <conditionalFormatting sqref="L175">
    <cfRule type="expression" priority="6431" dxfId="3">
      <formula>$H175="ETAPA"</formula>
    </cfRule>
  </conditionalFormatting>
  <conditionalFormatting sqref="L176">
    <cfRule type="expression" priority="6428" dxfId="3">
      <formula>$H176="ETAPA"</formula>
    </cfRule>
  </conditionalFormatting>
  <conditionalFormatting sqref="L177:L178">
    <cfRule type="expression" priority="6423" dxfId="4">
      <formula>$H177="SUBETAPA"</formula>
    </cfRule>
  </conditionalFormatting>
  <conditionalFormatting sqref="L180">
    <cfRule type="expression" priority="6421" dxfId="3">
      <formula>$H180="ETAPA"</formula>
    </cfRule>
  </conditionalFormatting>
  <conditionalFormatting sqref="L180:L185">
    <cfRule type="expression" priority="6404" dxfId="5">
      <formula>$H180="CÉLULA CONSTRUTIVA"</formula>
    </cfRule>
    <cfRule type="expression" priority="6405" dxfId="4">
      <formula>$H180="SUBETAPA"</formula>
    </cfRule>
  </conditionalFormatting>
  <conditionalFormatting sqref="L181">
    <cfRule type="expression" priority="6418" dxfId="3">
      <formula>$H181="ETAPA"</formula>
    </cfRule>
  </conditionalFormatting>
  <conditionalFormatting sqref="L182">
    <cfRule type="expression" priority="6415" dxfId="3">
      <formula>$H182="ETAPA"</formula>
    </cfRule>
  </conditionalFormatting>
  <conditionalFormatting sqref="L183">
    <cfRule type="expression" priority="6412" dxfId="3">
      <formula>$H183="ETAPA"</formula>
    </cfRule>
  </conditionalFormatting>
  <conditionalFormatting sqref="L184">
    <cfRule type="expression" priority="6409" dxfId="3">
      <formula>$H184="ETAPA"</formula>
    </cfRule>
  </conditionalFormatting>
  <conditionalFormatting sqref="L185">
    <cfRule type="expression" priority="6406" dxfId="3">
      <formula>$H185="ETAPA"</formula>
    </cfRule>
  </conditionalFormatting>
  <conditionalFormatting sqref="L186:L187">
    <cfRule type="expression" priority="6401" dxfId="4">
      <formula>$H186="SUBETAPA"</formula>
    </cfRule>
  </conditionalFormatting>
  <conditionalFormatting sqref="L189">
    <cfRule type="expression" priority="6399" dxfId="3">
      <formula>$H189="ETAPA"</formula>
    </cfRule>
  </conditionalFormatting>
  <conditionalFormatting sqref="L189:L194">
    <cfRule type="expression" priority="6382" dxfId="5">
      <formula>$H189="CÉLULA CONSTRUTIVA"</formula>
    </cfRule>
    <cfRule type="expression" priority="6383" dxfId="4">
      <formula>$H189="SUBETAPA"</formula>
    </cfRule>
  </conditionalFormatting>
  <conditionalFormatting sqref="L190">
    <cfRule type="expression" priority="6396" dxfId="3">
      <formula>$H190="ETAPA"</formula>
    </cfRule>
  </conditionalFormatting>
  <conditionalFormatting sqref="L191">
    <cfRule type="expression" priority="6393" dxfId="3">
      <formula>$H191="ETAPA"</formula>
    </cfRule>
  </conditionalFormatting>
  <conditionalFormatting sqref="L192">
    <cfRule type="expression" priority="6390" dxfId="3">
      <formula>$H192="ETAPA"</formula>
    </cfRule>
  </conditionalFormatting>
  <conditionalFormatting sqref="L193">
    <cfRule type="expression" priority="6387" dxfId="3">
      <formula>$H193="ETAPA"</formula>
    </cfRule>
  </conditionalFormatting>
  <conditionalFormatting sqref="L194">
    <cfRule type="expression" priority="6384" dxfId="3">
      <formula>$H194="ETAPA"</formula>
    </cfRule>
  </conditionalFormatting>
  <conditionalFormatting sqref="L195:L196">
    <cfRule type="expression" priority="6379" dxfId="4">
      <formula>$H195="SUBETAPA"</formula>
    </cfRule>
  </conditionalFormatting>
  <conditionalFormatting sqref="L198">
    <cfRule type="expression" priority="6377" dxfId="3">
      <formula>$H198="ETAPA"</formula>
    </cfRule>
  </conditionalFormatting>
  <conditionalFormatting sqref="L198:L203">
    <cfRule type="expression" priority="6360" dxfId="5">
      <formula>$H198="CÉLULA CONSTRUTIVA"</formula>
    </cfRule>
    <cfRule type="expression" priority="6361" dxfId="4">
      <formula>$H198="SUBETAPA"</formula>
    </cfRule>
  </conditionalFormatting>
  <conditionalFormatting sqref="L199">
    <cfRule type="expression" priority="6374" dxfId="3">
      <formula>$H199="ETAPA"</formula>
    </cfRule>
  </conditionalFormatting>
  <conditionalFormatting sqref="L200">
    <cfRule type="expression" priority="6371" dxfId="3">
      <formula>$H200="ETAPA"</formula>
    </cfRule>
  </conditionalFormatting>
  <conditionalFormatting sqref="L201">
    <cfRule type="expression" priority="6368" dxfId="3">
      <formula>$H201="ETAPA"</formula>
    </cfRule>
  </conditionalFormatting>
  <conditionalFormatting sqref="L202">
    <cfRule type="expression" priority="6365" dxfId="3">
      <formula>$H202="ETAPA"</formula>
    </cfRule>
  </conditionalFormatting>
  <conditionalFormatting sqref="L203">
    <cfRule type="expression" priority="6362" dxfId="3">
      <formula>$H203="ETAPA"</formula>
    </cfRule>
  </conditionalFormatting>
  <conditionalFormatting sqref="G206:J209 L204">
    <cfRule type="expression" priority="9713" dxfId="4">
      <formula>$H204="SUBETAPA"</formula>
    </cfRule>
  </conditionalFormatting>
  <conditionalFormatting sqref="L205:L212">
    <cfRule type="expression" priority="6340" dxfId="4">
      <formula>$H205="SUBETAPA"</formula>
    </cfRule>
    <cfRule type="expression" priority="6339" dxfId="5">
      <formula>$H205="CÉLULA CONSTRUTIVA"</formula>
    </cfRule>
  </conditionalFormatting>
  <conditionalFormatting sqref="L207">
    <cfRule type="expression" priority="6356" dxfId="3">
      <formula>$H207="ETAPA"</formula>
    </cfRule>
  </conditionalFormatting>
  <conditionalFormatting sqref="L208">
    <cfRule type="expression" priority="6353" dxfId="3">
      <formula>$H208="ETAPA"</formula>
    </cfRule>
  </conditionalFormatting>
  <conditionalFormatting sqref="L209">
    <cfRule type="expression" priority="6350" dxfId="3">
      <formula>$H209="ETAPA"</formula>
    </cfRule>
  </conditionalFormatting>
  <conditionalFormatting sqref="L210">
    <cfRule type="expression" priority="6347" dxfId="3">
      <formula>$H210="ETAPA"</formula>
    </cfRule>
  </conditionalFormatting>
  <conditionalFormatting sqref="L211">
    <cfRule type="expression" priority="6344" dxfId="3">
      <formula>$H211="ETAPA"</formula>
    </cfRule>
  </conditionalFormatting>
  <conditionalFormatting sqref="L212">
    <cfRule type="expression" priority="6341" dxfId="3">
      <formula>$H212="ETAPA"</formula>
    </cfRule>
  </conditionalFormatting>
  <conditionalFormatting sqref="L213:L214">
    <cfRule type="expression" priority="6336" dxfId="4">
      <formula>$H213="SUBETAPA"</formula>
    </cfRule>
  </conditionalFormatting>
  <conditionalFormatting sqref="L216">
    <cfRule type="expression" priority="6334" dxfId="3">
      <formula>$H216="ETAPA"</formula>
    </cfRule>
  </conditionalFormatting>
  <conditionalFormatting sqref="L216:L221">
    <cfRule type="expression" priority="6318" dxfId="4">
      <formula>$H216="SUBETAPA"</formula>
    </cfRule>
    <cfRule type="expression" priority="6317" dxfId="5">
      <formula>$H216="CÉLULA CONSTRUTIVA"</formula>
    </cfRule>
  </conditionalFormatting>
  <conditionalFormatting sqref="L217">
    <cfRule type="expression" priority="6331" dxfId="3">
      <formula>$H217="ETAPA"</formula>
    </cfRule>
  </conditionalFormatting>
  <conditionalFormatting sqref="L218">
    <cfRule type="expression" priority="6328" dxfId="3">
      <formula>$H218="ETAPA"</formula>
    </cfRule>
  </conditionalFormatting>
  <conditionalFormatting sqref="L219">
    <cfRule type="expression" priority="6325" dxfId="3">
      <formula>$H219="ETAPA"</formula>
    </cfRule>
  </conditionalFormatting>
  <conditionalFormatting sqref="L220">
    <cfRule type="expression" priority="6322" dxfId="3">
      <formula>$H220="ETAPA"</formula>
    </cfRule>
  </conditionalFormatting>
  <conditionalFormatting sqref="L221">
    <cfRule type="expression" priority="6319" dxfId="3">
      <formula>$H221="ETAPA"</formula>
    </cfRule>
  </conditionalFormatting>
  <conditionalFormatting sqref="L222:L224">
    <cfRule type="expression" priority="6314" dxfId="4">
      <formula>$H222="SUBETAPA"</formula>
    </cfRule>
  </conditionalFormatting>
  <conditionalFormatting sqref="L223:L224">
    <cfRule type="expression" priority="6315" dxfId="3">
      <formula>$H223="ETAPA"</formula>
    </cfRule>
  </conditionalFormatting>
  <conditionalFormatting sqref="L225">
    <cfRule type="expression" priority="6312" dxfId="3">
      <formula>$H225="ETAPA"</formula>
    </cfRule>
    <cfRule type="expression" priority="6311" dxfId="4">
      <formula>$H225="SUBETAPA"</formula>
    </cfRule>
  </conditionalFormatting>
  <conditionalFormatting sqref="L226">
    <cfRule type="expression" priority="6308" dxfId="4">
      <formula>$H226="SUBETAPA"</formula>
    </cfRule>
    <cfRule type="expression" priority="6309" dxfId="3">
      <formula>$H226="ETAPA"</formula>
    </cfRule>
  </conditionalFormatting>
  <conditionalFormatting sqref="L227">
    <cfRule type="expression" priority="6305" dxfId="4">
      <formula>$H227="SUBETAPA"</formula>
    </cfRule>
    <cfRule type="expression" priority="6306" dxfId="3">
      <formula>$H227="ETAPA"</formula>
    </cfRule>
  </conditionalFormatting>
  <conditionalFormatting sqref="L228">
    <cfRule type="expression" priority="6303" dxfId="3">
      <formula>$H228="ETAPA"</formula>
    </cfRule>
    <cfRule type="expression" priority="6302" dxfId="4">
      <formula>$H228="SUBETAPA"</formula>
    </cfRule>
  </conditionalFormatting>
  <conditionalFormatting sqref="L229">
    <cfRule type="expression" priority="6299" dxfId="4">
      <formula>$H229="SUBETAPA"</formula>
    </cfRule>
    <cfRule type="expression" priority="6300" dxfId="3">
      <formula>$H229="ETAPA"</formula>
    </cfRule>
  </conditionalFormatting>
  <conditionalFormatting sqref="L230">
    <cfRule type="expression" priority="6296" dxfId="4">
      <formula>$H230="SUBETAPA"</formula>
    </cfRule>
    <cfRule type="expression" priority="6297" dxfId="3">
      <formula>$H230="ETAPA"</formula>
    </cfRule>
  </conditionalFormatting>
  <conditionalFormatting sqref="L231:L239">
    <cfRule type="expression" priority="6292" dxfId="4">
      <formula>$H231="SUBETAPA"</formula>
    </cfRule>
  </conditionalFormatting>
  <conditionalFormatting sqref="L232:L239">
    <cfRule type="expression" priority="6293" dxfId="3">
      <formula>$H232="ETAPA"</formula>
    </cfRule>
  </conditionalFormatting>
  <conditionalFormatting sqref="L240:L248">
    <cfRule type="expression" priority="6288" dxfId="4">
      <formula>$H240="SUBETAPA"</formula>
    </cfRule>
  </conditionalFormatting>
  <conditionalFormatting sqref="L241:L248">
    <cfRule type="expression" priority="6289" dxfId="3">
      <formula>$H241="ETAPA"</formula>
    </cfRule>
  </conditionalFormatting>
  <conditionalFormatting sqref="L249:L251">
    <cfRule type="expression" priority="6284" dxfId="4">
      <formula>$H249="SUBETAPA"</formula>
    </cfRule>
  </conditionalFormatting>
  <conditionalFormatting sqref="L250:L251">
    <cfRule type="expression" priority="6285" dxfId="3">
      <formula>$H250="ETAPA"</formula>
    </cfRule>
  </conditionalFormatting>
  <conditionalFormatting sqref="L252">
    <cfRule type="expression" priority="6281" dxfId="4">
      <formula>$H252="SUBETAPA"</formula>
    </cfRule>
    <cfRule type="expression" priority="6282" dxfId="3">
      <formula>$H252="ETAPA"</formula>
    </cfRule>
  </conditionalFormatting>
  <conditionalFormatting sqref="L253">
    <cfRule type="expression" priority="6278" dxfId="4">
      <formula>$H253="SUBETAPA"</formula>
    </cfRule>
    <cfRule type="expression" priority="6279" dxfId="3">
      <formula>$H253="ETAPA"</formula>
    </cfRule>
  </conditionalFormatting>
  <conditionalFormatting sqref="L254">
    <cfRule type="expression" priority="6275" dxfId="4">
      <formula>$H254="SUBETAPA"</formula>
    </cfRule>
    <cfRule type="expression" priority="6276" dxfId="3">
      <formula>$H254="ETAPA"</formula>
    </cfRule>
  </conditionalFormatting>
  <conditionalFormatting sqref="L255">
    <cfRule type="expression" priority="6273" dxfId="3">
      <formula>$H255="ETAPA"</formula>
    </cfRule>
    <cfRule type="expression" priority="6272" dxfId="4">
      <formula>$H255="SUBETAPA"</formula>
    </cfRule>
  </conditionalFormatting>
  <conditionalFormatting sqref="L256">
    <cfRule type="expression" priority="6269" dxfId="4">
      <formula>$H256="SUBETAPA"</formula>
    </cfRule>
    <cfRule type="expression" priority="6270" dxfId="3">
      <formula>$H256="ETAPA"</formula>
    </cfRule>
  </conditionalFormatting>
  <conditionalFormatting sqref="L257">
    <cfRule type="expression" priority="6267" dxfId="3">
      <formula>$H257="ETAPA"</formula>
    </cfRule>
    <cfRule type="expression" priority="6266" dxfId="4">
      <formula>$H257="SUBETAPA"</formula>
    </cfRule>
  </conditionalFormatting>
  <conditionalFormatting sqref="L258:L260">
    <cfRule type="expression" priority="6262" dxfId="4">
      <formula>$H258="SUBETAPA"</formula>
    </cfRule>
  </conditionalFormatting>
  <conditionalFormatting sqref="L259:L260">
    <cfRule type="expression" priority="6263" dxfId="3">
      <formula>$H259="ETAPA"</formula>
    </cfRule>
  </conditionalFormatting>
  <conditionalFormatting sqref="L261">
    <cfRule type="expression" priority="6260" dxfId="3">
      <formula>$H261="ETAPA"</formula>
    </cfRule>
    <cfRule type="expression" priority="6259" dxfId="4">
      <formula>$H261="SUBETAPA"</formula>
    </cfRule>
  </conditionalFormatting>
  <conditionalFormatting sqref="L262">
    <cfRule type="expression" priority="6257" dxfId="3">
      <formula>$H262="ETAPA"</formula>
    </cfRule>
    <cfRule type="expression" priority="6256" dxfId="4">
      <formula>$H262="SUBETAPA"</formula>
    </cfRule>
  </conditionalFormatting>
  <conditionalFormatting sqref="L263">
    <cfRule type="expression" priority="6254" dxfId="3">
      <formula>$H263="ETAPA"</formula>
    </cfRule>
    <cfRule type="expression" priority="6253" dxfId="4">
      <formula>$H263="SUBETAPA"</formula>
    </cfRule>
  </conditionalFormatting>
  <conditionalFormatting sqref="L264">
    <cfRule type="expression" priority="6250" dxfId="4">
      <formula>$H264="SUBETAPA"</formula>
    </cfRule>
    <cfRule type="expression" priority="6251" dxfId="3">
      <formula>$H264="ETAPA"</formula>
    </cfRule>
  </conditionalFormatting>
  <conditionalFormatting sqref="L265">
    <cfRule type="expression" priority="6247" dxfId="4">
      <formula>$H265="SUBETAPA"</formula>
    </cfRule>
    <cfRule type="expression" priority="6248" dxfId="3">
      <formula>$H265="ETAPA"</formula>
    </cfRule>
  </conditionalFormatting>
  <conditionalFormatting sqref="L266">
    <cfRule type="expression" priority="6244" dxfId="4">
      <formula>$H266="SUBETAPA"</formula>
    </cfRule>
    <cfRule type="expression" priority="6245" dxfId="3">
      <formula>$H266="ETAPA"</formula>
    </cfRule>
  </conditionalFormatting>
  <conditionalFormatting sqref="L267:L269">
    <cfRule type="expression" priority="6240" dxfId="4">
      <formula>$H267="SUBETAPA"</formula>
    </cfRule>
  </conditionalFormatting>
  <conditionalFormatting sqref="L268:L269">
    <cfRule type="expression" priority="6241" dxfId="3">
      <formula>$H268="ETAPA"</formula>
    </cfRule>
  </conditionalFormatting>
  <conditionalFormatting sqref="L268:L273">
    <cfRule type="expression" priority="6227" dxfId="5">
      <formula>$H268="CÉLULA CONSTRUTIVA"</formula>
    </cfRule>
  </conditionalFormatting>
  <conditionalFormatting sqref="L270">
    <cfRule type="expression" priority="6238" dxfId="3">
      <formula>$H270="ETAPA"</formula>
    </cfRule>
    <cfRule type="expression" priority="6237" dxfId="4">
      <formula>$H270="SUBETAPA"</formula>
    </cfRule>
  </conditionalFormatting>
  <conditionalFormatting sqref="L271">
    <cfRule type="expression" priority="6235" dxfId="3">
      <formula>$H271="ETAPA"</formula>
    </cfRule>
    <cfRule type="expression" priority="6234" dxfId="4">
      <formula>$H271="SUBETAPA"</formula>
    </cfRule>
  </conditionalFormatting>
  <conditionalFormatting sqref="L272">
    <cfRule type="expression" priority="6232" dxfId="3">
      <formula>$H272="ETAPA"</formula>
    </cfRule>
    <cfRule type="expression" priority="6231" dxfId="4">
      <formula>$H272="SUBETAPA"</formula>
    </cfRule>
  </conditionalFormatting>
  <conditionalFormatting sqref="L273">
    <cfRule type="expression" priority="6229" dxfId="3">
      <formula>$H273="ETAPA"</formula>
    </cfRule>
    <cfRule type="expression" priority="6228" dxfId="4">
      <formula>$H273="SUBETAPA"</formula>
    </cfRule>
  </conditionalFormatting>
  <conditionalFormatting sqref="L274:L276">
    <cfRule type="expression" priority="6224" dxfId="4">
      <formula>$H274="SUBETAPA"</formula>
    </cfRule>
  </conditionalFormatting>
  <conditionalFormatting sqref="L275:L276">
    <cfRule type="expression" priority="6225" dxfId="3">
      <formula>$H275="ETAPA"</formula>
    </cfRule>
  </conditionalFormatting>
  <conditionalFormatting sqref="L275:L279">
    <cfRule type="expression" priority="6214" dxfId="5">
      <formula>$H275="CÉLULA CONSTRUTIVA"</formula>
    </cfRule>
  </conditionalFormatting>
  <conditionalFormatting sqref="L277">
    <cfRule type="expression" priority="6222" dxfId="3">
      <formula>$H277="ETAPA"</formula>
    </cfRule>
    <cfRule type="expression" priority="6221" dxfId="4">
      <formula>$H277="SUBETAPA"</formula>
    </cfRule>
  </conditionalFormatting>
  <conditionalFormatting sqref="L278">
    <cfRule type="expression" priority="6218" dxfId="4">
      <formula>$H278="SUBETAPA"</formula>
    </cfRule>
    <cfRule type="expression" priority="6219" dxfId="3">
      <formula>$H278="ETAPA"</formula>
    </cfRule>
  </conditionalFormatting>
  <conditionalFormatting sqref="L279">
    <cfRule type="expression" priority="6216" dxfId="3">
      <formula>$H279="ETAPA"</formula>
    </cfRule>
    <cfRule type="expression" priority="6215" dxfId="4">
      <formula>$H279="SUBETAPA"</formula>
    </cfRule>
  </conditionalFormatting>
  <conditionalFormatting sqref="L282">
    <cfRule type="expression" priority="6213" dxfId="3">
      <formula>$H282="ETAPA"</formula>
    </cfRule>
    <cfRule type="expression" priority="6212" dxfId="4">
      <formula>$H282="SUBETAPA"</formula>
    </cfRule>
  </conditionalFormatting>
  <conditionalFormatting sqref="L284">
    <cfRule type="expression" priority="6210" dxfId="3">
      <formula>$H284="ETAPA"</formula>
    </cfRule>
    <cfRule type="expression" priority="6209" dxfId="4">
      <formula>$H284="SUBETAPA"</formula>
    </cfRule>
  </conditionalFormatting>
  <conditionalFormatting sqref="L286">
    <cfRule type="expression" priority="6207" dxfId="3">
      <formula>$H286="ETAPA"</formula>
    </cfRule>
    <cfRule type="expression" priority="6206" dxfId="4">
      <formula>$H286="SUBETAPA"</formula>
    </cfRule>
  </conditionalFormatting>
  <conditionalFormatting sqref="L288">
    <cfRule type="expression" priority="6204" dxfId="3">
      <formula>$H288="ETAPA"</formula>
    </cfRule>
    <cfRule type="expression" priority="6203" dxfId="4">
      <formula>$H288="SUBETAPA"</formula>
    </cfRule>
  </conditionalFormatting>
  <conditionalFormatting sqref="L290">
    <cfRule type="expression" priority="6201" dxfId="3">
      <formula>$H290="ETAPA"</formula>
    </cfRule>
    <cfRule type="expression" priority="6200" dxfId="4">
      <formula>$H290="SUBETAPA"</formula>
    </cfRule>
  </conditionalFormatting>
  <conditionalFormatting sqref="L292">
    <cfRule type="expression" priority="6198" dxfId="3">
      <formula>$H292="ETAPA"</formula>
    </cfRule>
    <cfRule type="expression" priority="6197" dxfId="4">
      <formula>$H292="SUBETAPA"</formula>
    </cfRule>
  </conditionalFormatting>
  <conditionalFormatting sqref="L294">
    <cfRule type="expression" priority="6195" dxfId="3">
      <formula>$H294="ETAPA"</formula>
    </cfRule>
    <cfRule type="expression" priority="6194" dxfId="4">
      <formula>$H294="SUBETAPA"</formula>
    </cfRule>
  </conditionalFormatting>
  <conditionalFormatting sqref="L296">
    <cfRule type="expression" priority="6192" dxfId="3">
      <formula>$H296="ETAPA"</formula>
    </cfRule>
    <cfRule type="expression" priority="6191" dxfId="4">
      <formula>$H296="SUBETAPA"</formula>
    </cfRule>
  </conditionalFormatting>
  <conditionalFormatting sqref="L298">
    <cfRule type="expression" priority="6188" dxfId="4">
      <formula>$H298="SUBETAPA"</formula>
    </cfRule>
    <cfRule type="expression" priority="6189" dxfId="3">
      <formula>$H298="ETAPA"</formula>
    </cfRule>
  </conditionalFormatting>
  <conditionalFormatting sqref="L300">
    <cfRule type="expression" priority="6186" dxfId="3">
      <formula>$H300="ETAPA"</formula>
    </cfRule>
    <cfRule type="expression" priority="6185" dxfId="4">
      <formula>$H300="SUBETAPA"</formula>
    </cfRule>
  </conditionalFormatting>
  <conditionalFormatting sqref="L302">
    <cfRule type="expression" priority="6182" dxfId="4">
      <formula>$H302="SUBETAPA"</formula>
    </cfRule>
    <cfRule type="expression" priority="6183" dxfId="3">
      <formula>$H302="ETAPA"</formula>
    </cfRule>
  </conditionalFormatting>
  <conditionalFormatting sqref="L304">
    <cfRule type="expression" priority="6179" dxfId="4">
      <formula>$H304="SUBETAPA"</formula>
    </cfRule>
    <cfRule type="expression" priority="6180" dxfId="3">
      <formula>$H304="ETAPA"</formula>
    </cfRule>
  </conditionalFormatting>
  <conditionalFormatting sqref="L306">
    <cfRule type="expression" priority="6177" dxfId="3">
      <formula>$H306="ETAPA"</formula>
    </cfRule>
    <cfRule type="expression" priority="6176" dxfId="4">
      <formula>$H306="SUBETAPA"</formula>
    </cfRule>
  </conditionalFormatting>
  <conditionalFormatting sqref="L308">
    <cfRule type="expression" priority="6174" dxfId="3">
      <formula>$H308="ETAPA"</formula>
    </cfRule>
    <cfRule type="expression" priority="6173" dxfId="4">
      <formula>$H308="SUBETAPA"</formula>
    </cfRule>
  </conditionalFormatting>
  <conditionalFormatting sqref="L310">
    <cfRule type="expression" priority="6171" dxfId="3">
      <formula>$H310="ETAPA"</formula>
    </cfRule>
    <cfRule type="expression" priority="6170" dxfId="4">
      <formula>$H310="SUBETAPA"</formula>
    </cfRule>
  </conditionalFormatting>
  <conditionalFormatting sqref="L312">
    <cfRule type="expression" priority="6168" dxfId="3">
      <formula>$H312="ETAPA"</formula>
    </cfRule>
    <cfRule type="expression" priority="6167" dxfId="4">
      <formula>$H312="SUBETAPA"</formula>
    </cfRule>
    <cfRule type="expression" priority="6166" dxfId="5">
      <formula>$H312="CÉLULA CONSTRUTIVA"</formula>
    </cfRule>
  </conditionalFormatting>
  <conditionalFormatting sqref="L359">
    <cfRule type="expression" priority="6165" dxfId="3">
      <formula>$H359="ETAPA"</formula>
    </cfRule>
    <cfRule type="expression" priority="6164" dxfId="4">
      <formula>$H359="SUBETAPA"</formula>
    </cfRule>
  </conditionalFormatting>
  <conditionalFormatting sqref="L361 L363 L365 L367 L369 L371 L373 L375 L377">
    <cfRule type="expression" priority="6162" dxfId="3">
      <formula>$H361="ETAPA"</formula>
    </cfRule>
    <cfRule type="expression" priority="6161" dxfId="4">
      <formula>$H361="SUBETAPA"</formula>
    </cfRule>
  </conditionalFormatting>
  <conditionalFormatting sqref="L574">
    <cfRule type="expression" priority="6066" dxfId="3">
      <formula>$H574="ETAPA"</formula>
    </cfRule>
  </conditionalFormatting>
  <conditionalFormatting sqref="L585">
    <cfRule type="expression" priority="6065" dxfId="3">
      <formula>$H585="ETAPA"</formula>
    </cfRule>
  </conditionalFormatting>
  <conditionalFormatting sqref="L920">
    <cfRule type="expression" priority="6063" dxfId="4">
      <formula>$H920="SUBETAPA"</formula>
    </cfRule>
    <cfRule type="expression" priority="6064" dxfId="3">
      <formula>$H920="ETAPA"</formula>
    </cfRule>
  </conditionalFormatting>
  <conditionalFormatting sqref="L920:L921">
    <cfRule type="expression" priority="6059" dxfId="5">
      <formula>$H920="CÉLULA CONSTRUTIVA"</formula>
    </cfRule>
  </conditionalFormatting>
  <conditionalFormatting sqref="L921">
    <cfRule type="expression" priority="6060" dxfId="4">
      <formula>$H921="SUBETAPA"</formula>
    </cfRule>
  </conditionalFormatting>
  <conditionalFormatting sqref="L921:L922">
    <cfRule type="expression" priority="6061" dxfId="3">
      <formula>$H921="ETAPA"</formula>
    </cfRule>
  </conditionalFormatting>
  <conditionalFormatting sqref="L925">
    <cfRule type="expression" priority="6057" dxfId="4">
      <formula>$H925="SUBETAPA"</formula>
    </cfRule>
    <cfRule type="expression" priority="6058" dxfId="3">
      <formula>$H925="ETAPA"</formula>
    </cfRule>
  </conditionalFormatting>
  <conditionalFormatting sqref="L925:L926">
    <cfRule type="expression" priority="6053" dxfId="5">
      <formula>$H925="CÉLULA CONSTRUTIVA"</formula>
    </cfRule>
  </conditionalFormatting>
  <conditionalFormatting sqref="L926">
    <cfRule type="expression" priority="6054" dxfId="4">
      <formula>$H926="SUBETAPA"</formula>
    </cfRule>
  </conditionalFormatting>
  <conditionalFormatting sqref="L926:L927">
    <cfRule type="expression" priority="6055" dxfId="3">
      <formula>$H926="ETAPA"</formula>
    </cfRule>
  </conditionalFormatting>
  <conditionalFormatting sqref="L930">
    <cfRule type="expression" priority="6052" dxfId="3">
      <formula>$H930="ETAPA"</formula>
    </cfRule>
    <cfRule type="expression" priority="6051" dxfId="4">
      <formula>$H930="SUBETAPA"</formula>
    </cfRule>
  </conditionalFormatting>
  <conditionalFormatting sqref="L930:L931">
    <cfRule type="expression" priority="6047" dxfId="5">
      <formula>$H930="CÉLULA CONSTRUTIVA"</formula>
    </cfRule>
  </conditionalFormatting>
  <conditionalFormatting sqref="L931">
    <cfRule type="expression" priority="6048" dxfId="4">
      <formula>$H931="SUBETAPA"</formula>
    </cfRule>
  </conditionalFormatting>
  <conditionalFormatting sqref="L931:L932">
    <cfRule type="expression" priority="6049" dxfId="3">
      <formula>$H931="ETAPA"</formula>
    </cfRule>
  </conditionalFormatting>
  <conditionalFormatting sqref="L935">
    <cfRule type="expression" priority="6046" dxfId="3">
      <formula>$H935="ETAPA"</formula>
    </cfRule>
    <cfRule type="expression" priority="6045" dxfId="4">
      <formula>$H935="SUBETAPA"</formula>
    </cfRule>
  </conditionalFormatting>
  <conditionalFormatting sqref="L935:L936">
    <cfRule type="expression" priority="6041" dxfId="5">
      <formula>$H935="CÉLULA CONSTRUTIVA"</formula>
    </cfRule>
  </conditionalFormatting>
  <conditionalFormatting sqref="L936">
    <cfRule type="expression" priority="6042" dxfId="4">
      <formula>$H936="SUBETAPA"</formula>
    </cfRule>
  </conditionalFormatting>
  <conditionalFormatting sqref="L936:L937">
    <cfRule type="expression" priority="6043" dxfId="3">
      <formula>$H936="ETAPA"</formula>
    </cfRule>
  </conditionalFormatting>
  <conditionalFormatting sqref="L940">
    <cfRule type="expression" priority="6039" dxfId="4">
      <formula>$H940="SUBETAPA"</formula>
    </cfRule>
    <cfRule type="expression" priority="6040" dxfId="3">
      <formula>$H940="ETAPA"</formula>
    </cfRule>
  </conditionalFormatting>
  <conditionalFormatting sqref="L940:L941">
    <cfRule type="expression" priority="6035" dxfId="5">
      <formula>$H940="CÉLULA CONSTRUTIVA"</formula>
    </cfRule>
  </conditionalFormatting>
  <conditionalFormatting sqref="L941">
    <cfRule type="expression" priority="6036" dxfId="4">
      <formula>$H941="SUBETAPA"</formula>
    </cfRule>
  </conditionalFormatting>
  <conditionalFormatting sqref="L941:L942">
    <cfRule type="expression" priority="6037" dxfId="3">
      <formula>$H941="ETAPA"</formula>
    </cfRule>
  </conditionalFormatting>
  <conditionalFormatting sqref="L945">
    <cfRule type="expression" priority="6033" dxfId="4">
      <formula>$H945="SUBETAPA"</formula>
    </cfRule>
    <cfRule type="expression" priority="6034" dxfId="3">
      <formula>$H945="ETAPA"</formula>
    </cfRule>
  </conditionalFormatting>
  <conditionalFormatting sqref="L945:L946">
    <cfRule type="expression" priority="6029" dxfId="5">
      <formula>$H945="CÉLULA CONSTRUTIVA"</formula>
    </cfRule>
  </conditionalFormatting>
  <conditionalFormatting sqref="L946">
    <cfRule type="expression" priority="6030" dxfId="4">
      <formula>$H946="SUBETAPA"</formula>
    </cfRule>
  </conditionalFormatting>
  <conditionalFormatting sqref="L946:L947">
    <cfRule type="expression" priority="6031" dxfId="3">
      <formula>$H946="ETAPA"</formula>
    </cfRule>
  </conditionalFormatting>
  <conditionalFormatting sqref="L952">
    <cfRule type="expression" priority="6028" dxfId="3">
      <formula>$H952="ETAPA"</formula>
    </cfRule>
    <cfRule type="expression" priority="6027" dxfId="4">
      <formula>$H952="SUBETAPA"</formula>
    </cfRule>
  </conditionalFormatting>
  <conditionalFormatting sqref="L952:L953">
    <cfRule type="expression" priority="6023" dxfId="5">
      <formula>$H952="CÉLULA CONSTRUTIVA"</formula>
    </cfRule>
  </conditionalFormatting>
  <conditionalFormatting sqref="L953">
    <cfRule type="expression" priority="6024" dxfId="4">
      <formula>$H953="SUBETAPA"</formula>
    </cfRule>
  </conditionalFormatting>
  <conditionalFormatting sqref="L953:L954">
    <cfRule type="expression" priority="6025" dxfId="3">
      <formula>$H953="ETAPA"</formula>
    </cfRule>
  </conditionalFormatting>
  <conditionalFormatting sqref="L959">
    <cfRule type="expression" priority="6022" dxfId="3">
      <formula>$H959="ETAPA"</formula>
    </cfRule>
    <cfRule type="expression" priority="6021" dxfId="4">
      <formula>$H959="SUBETAPA"</formula>
    </cfRule>
  </conditionalFormatting>
  <conditionalFormatting sqref="L959:L960">
    <cfRule type="expression" priority="6017" dxfId="5">
      <formula>$H959="CÉLULA CONSTRUTIVA"</formula>
    </cfRule>
  </conditionalFormatting>
  <conditionalFormatting sqref="L960">
    <cfRule type="expression" priority="6018" dxfId="4">
      <formula>$H960="SUBETAPA"</formula>
    </cfRule>
  </conditionalFormatting>
  <conditionalFormatting sqref="L960:L961">
    <cfRule type="expression" priority="6019" dxfId="3">
      <formula>$H960="ETAPA"</formula>
    </cfRule>
  </conditionalFormatting>
  <conditionalFormatting sqref="L966">
    <cfRule type="expression" priority="6016" dxfId="3">
      <formula>$H966="ETAPA"</formula>
    </cfRule>
    <cfRule type="expression" priority="6015" dxfId="4">
      <formula>$H966="SUBETAPA"</formula>
    </cfRule>
  </conditionalFormatting>
  <conditionalFormatting sqref="L966:L967">
    <cfRule type="expression" priority="6011" dxfId="5">
      <formula>$H966="CÉLULA CONSTRUTIVA"</formula>
    </cfRule>
  </conditionalFormatting>
  <conditionalFormatting sqref="L967">
    <cfRule type="expression" priority="6012" dxfId="4">
      <formula>$H967="SUBETAPA"</formula>
    </cfRule>
  </conditionalFormatting>
  <conditionalFormatting sqref="L967:L968">
    <cfRule type="expression" priority="6013" dxfId="3">
      <formula>$H967="ETAPA"</formula>
    </cfRule>
  </conditionalFormatting>
  <conditionalFormatting sqref="L973">
    <cfRule type="expression" priority="6010" dxfId="3">
      <formula>$H973="ETAPA"</formula>
    </cfRule>
    <cfRule type="expression" priority="6009" dxfId="4">
      <formula>$H973="SUBETAPA"</formula>
    </cfRule>
  </conditionalFormatting>
  <conditionalFormatting sqref="L973:L974">
    <cfRule type="expression" priority="6005" dxfId="5">
      <formula>$H973="CÉLULA CONSTRUTIVA"</formula>
    </cfRule>
  </conditionalFormatting>
  <conditionalFormatting sqref="L974">
    <cfRule type="expression" priority="6006" dxfId="4">
      <formula>$H974="SUBETAPA"</formula>
    </cfRule>
  </conditionalFormatting>
  <conditionalFormatting sqref="L974:L975">
    <cfRule type="expression" priority="6007" dxfId="3">
      <formula>$H974="ETAPA"</formula>
    </cfRule>
  </conditionalFormatting>
  <conditionalFormatting sqref="L980">
    <cfRule type="expression" priority="6004" dxfId="3">
      <formula>$H980="ETAPA"</formula>
    </cfRule>
    <cfRule type="expression" priority="6003" dxfId="4">
      <formula>$H980="SUBETAPA"</formula>
    </cfRule>
  </conditionalFormatting>
  <conditionalFormatting sqref="L980:L981">
    <cfRule type="expression" priority="5999" dxfId="5">
      <formula>$H980="CÉLULA CONSTRUTIVA"</formula>
    </cfRule>
  </conditionalFormatting>
  <conditionalFormatting sqref="L981">
    <cfRule type="expression" priority="6000" dxfId="4">
      <formula>$H981="SUBETAPA"</formula>
    </cfRule>
  </conditionalFormatting>
  <conditionalFormatting sqref="L981:L982">
    <cfRule type="expression" priority="6001" dxfId="3">
      <formula>$H981="ETAPA"</formula>
    </cfRule>
  </conditionalFormatting>
  <conditionalFormatting sqref="L985">
    <cfRule type="expression" priority="5998" dxfId="3">
      <formula>$H985="ETAPA"</formula>
    </cfRule>
    <cfRule type="expression" priority="5997" dxfId="4">
      <formula>$H985="SUBETAPA"</formula>
    </cfRule>
  </conditionalFormatting>
  <conditionalFormatting sqref="L985:L986">
    <cfRule type="expression" priority="5993" dxfId="5">
      <formula>$H985="CÉLULA CONSTRUTIVA"</formula>
    </cfRule>
  </conditionalFormatting>
  <conditionalFormatting sqref="L986">
    <cfRule type="expression" priority="5994" dxfId="4">
      <formula>$H986="SUBETAPA"</formula>
    </cfRule>
  </conditionalFormatting>
  <conditionalFormatting sqref="L986:L987">
    <cfRule type="expression" priority="5995" dxfId="3">
      <formula>$H986="ETAPA"</formula>
    </cfRule>
  </conditionalFormatting>
  <conditionalFormatting sqref="L992">
    <cfRule type="expression" priority="5991" dxfId="4">
      <formula>$H992="SUBETAPA"</formula>
    </cfRule>
    <cfRule type="expression" priority="5992" dxfId="3">
      <formula>$H992="ETAPA"</formula>
    </cfRule>
  </conditionalFormatting>
  <conditionalFormatting sqref="L992:L993">
    <cfRule type="expression" priority="5987" dxfId="5">
      <formula>$H992="CÉLULA CONSTRUTIVA"</formula>
    </cfRule>
  </conditionalFormatting>
  <conditionalFormatting sqref="L993">
    <cfRule type="expression" priority="5988" dxfId="4">
      <formula>$H993="SUBETAPA"</formula>
    </cfRule>
  </conditionalFormatting>
  <conditionalFormatting sqref="L993:L994">
    <cfRule type="expression" priority="5989" dxfId="3">
      <formula>$H993="ETAPA"</formula>
    </cfRule>
  </conditionalFormatting>
  <conditionalFormatting sqref="L997">
    <cfRule type="expression" priority="5985" dxfId="4">
      <formula>$H997="SUBETAPA"</formula>
    </cfRule>
    <cfRule type="expression" priority="5986" dxfId="3">
      <formula>$H997="ETAPA"</formula>
    </cfRule>
  </conditionalFormatting>
  <conditionalFormatting sqref="L997:L1001">
    <cfRule type="expression" priority="5972" dxfId="5">
      <formula>$H997="CÉLULA CONSTRUTIVA"</formula>
    </cfRule>
  </conditionalFormatting>
  <conditionalFormatting sqref="L998">
    <cfRule type="expression" priority="5983" dxfId="3">
      <formula>$H998="ETAPA"</formula>
    </cfRule>
    <cfRule type="expression" priority="5982" dxfId="4">
      <formula>$H998="SUBETAPA"</formula>
    </cfRule>
  </conditionalFormatting>
  <conditionalFormatting sqref="L999">
    <cfRule type="expression" priority="5980" dxfId="3">
      <formula>$H999="ETAPA"</formula>
    </cfRule>
    <cfRule type="expression" priority="5979" dxfId="4">
      <formula>$H999="SUBETAPA"</formula>
    </cfRule>
  </conditionalFormatting>
  <conditionalFormatting sqref="L1000">
    <cfRule type="expression" priority="5976" dxfId="4">
      <formula>$H1000="SUBETAPA"</formula>
    </cfRule>
    <cfRule type="expression" priority="5977" dxfId="3">
      <formula>$H1000="ETAPA"</formula>
    </cfRule>
  </conditionalFormatting>
  <conditionalFormatting sqref="L1001">
    <cfRule type="expression" priority="5973" dxfId="4">
      <formula>$H1001="SUBETAPA"</formula>
    </cfRule>
    <cfRule type="expression" priority="5974" dxfId="3">
      <formula>$H1001="ETAPA"</formula>
    </cfRule>
  </conditionalFormatting>
  <conditionalFormatting sqref="L1022">
    <cfRule type="expression" priority="5971" dxfId="4">
      <formula>$H1022="SUBETAPA"</formula>
    </cfRule>
    <cfRule type="expression" priority="5970" dxfId="5">
      <formula>$H1022="CÉLULA CONSTRUTIVA"</formula>
    </cfRule>
  </conditionalFormatting>
  <conditionalFormatting sqref="L1022:L1024">
    <cfRule type="expression" priority="5968" dxfId="3">
      <formula>$H1022="ETAPA"</formula>
    </cfRule>
  </conditionalFormatting>
  <conditionalFormatting sqref="L1023:L1024">
    <cfRule type="expression" priority="5967" dxfId="4">
      <formula>$H1023="SUBETAPA"</formula>
    </cfRule>
  </conditionalFormatting>
  <conditionalFormatting sqref="L1023:L1026">
    <cfRule type="expression" priority="5960" dxfId="5">
      <formula>$H1023="CÉLULA CONSTRUTIVA"</formula>
    </cfRule>
  </conditionalFormatting>
  <conditionalFormatting sqref="L1025">
    <cfRule type="expression" priority="5964" dxfId="4">
      <formula>$H1025="SUBETAPA"</formula>
    </cfRule>
    <cfRule type="expression" priority="5965" dxfId="3">
      <formula>$H1025="ETAPA"</formula>
    </cfRule>
  </conditionalFormatting>
  <conditionalFormatting sqref="L1026">
    <cfRule type="expression" priority="5962" dxfId="3">
      <formula>$H1026="ETAPA"</formula>
    </cfRule>
    <cfRule type="expression" priority="5961" dxfId="4">
      <formula>$H1026="SUBETAPA"</formula>
    </cfRule>
  </conditionalFormatting>
  <conditionalFormatting sqref="L1036">
    <cfRule type="expression" priority="5959" dxfId="4">
      <formula>$H1036="SUBETAPA"</formula>
    </cfRule>
    <cfRule type="expression" priority="5958" dxfId="5">
      <formula>$H1036="CÉLULA CONSTRUTIVA"</formula>
    </cfRule>
  </conditionalFormatting>
  <conditionalFormatting sqref="L1036:L1038">
    <cfRule type="expression" priority="5956" dxfId="3">
      <formula>$H1036="ETAPA"</formula>
    </cfRule>
  </conditionalFormatting>
  <conditionalFormatting sqref="L1037:L1038">
    <cfRule type="expression" priority="5955" dxfId="4">
      <formula>$H1037="SUBETAPA"</formula>
    </cfRule>
  </conditionalFormatting>
  <conditionalFormatting sqref="L1037:L1040">
    <cfRule type="expression" priority="5948" dxfId="5">
      <formula>$H1037="CÉLULA CONSTRUTIVA"</formula>
    </cfRule>
  </conditionalFormatting>
  <conditionalFormatting sqref="L1039">
    <cfRule type="expression" priority="5952" dxfId="4">
      <formula>$H1039="SUBETAPA"</formula>
    </cfRule>
    <cfRule type="expression" priority="5953" dxfId="3">
      <formula>$H1039="ETAPA"</formula>
    </cfRule>
  </conditionalFormatting>
  <conditionalFormatting sqref="L1040">
    <cfRule type="expression" priority="5949" dxfId="4">
      <formula>$H1040="SUBETAPA"</formula>
    </cfRule>
    <cfRule type="expression" priority="5950" dxfId="3">
      <formula>$H1040="ETAPA"</formula>
    </cfRule>
  </conditionalFormatting>
  <conditionalFormatting sqref="L1050">
    <cfRule type="expression" priority="5946" dxfId="5">
      <formula>$H1050="CÉLULA CONSTRUTIVA"</formula>
    </cfRule>
    <cfRule type="expression" priority="5947" dxfId="4">
      <formula>$H1050="SUBETAPA"</formula>
    </cfRule>
  </conditionalFormatting>
  <conditionalFormatting sqref="L1050:L1052">
    <cfRule type="expression" priority="5944" dxfId="3">
      <formula>$H1050="ETAPA"</formula>
    </cfRule>
  </conditionalFormatting>
  <conditionalFormatting sqref="L1051:L1052">
    <cfRule type="expression" priority="5943" dxfId="4">
      <formula>$H1051="SUBETAPA"</formula>
    </cfRule>
  </conditionalFormatting>
  <conditionalFormatting sqref="L1051:L1054">
    <cfRule type="expression" priority="5936" dxfId="5">
      <formula>$H1051="CÉLULA CONSTRUTIVA"</formula>
    </cfRule>
  </conditionalFormatting>
  <conditionalFormatting sqref="L1053">
    <cfRule type="expression" priority="5940" dxfId="4">
      <formula>$H1053="SUBETAPA"</formula>
    </cfRule>
    <cfRule type="expression" priority="5941" dxfId="3">
      <formula>$H1053="ETAPA"</formula>
    </cfRule>
  </conditionalFormatting>
  <conditionalFormatting sqref="L1054">
    <cfRule type="expression" priority="5937" dxfId="4">
      <formula>$H1054="SUBETAPA"</formula>
    </cfRule>
    <cfRule type="expression" priority="5938" dxfId="3">
      <formula>$H1054="ETAPA"</formula>
    </cfRule>
  </conditionalFormatting>
  <conditionalFormatting sqref="L1064">
    <cfRule type="expression" priority="5935" dxfId="4">
      <formula>$H1064="SUBETAPA"</formula>
    </cfRule>
    <cfRule type="expression" priority="5934" dxfId="5">
      <formula>$H1064="CÉLULA CONSTRUTIVA"</formula>
    </cfRule>
  </conditionalFormatting>
  <conditionalFormatting sqref="L1064:L1066">
    <cfRule type="expression" priority="5932" dxfId="3">
      <formula>$H1064="ETAPA"</formula>
    </cfRule>
  </conditionalFormatting>
  <conditionalFormatting sqref="L1065:L1066">
    <cfRule type="expression" priority="5931" dxfId="4">
      <formula>$H1065="SUBETAPA"</formula>
    </cfRule>
  </conditionalFormatting>
  <conditionalFormatting sqref="L1065:L1068">
    <cfRule type="expression" priority="5924" dxfId="5">
      <formula>$H1065="CÉLULA CONSTRUTIVA"</formula>
    </cfRule>
  </conditionalFormatting>
  <conditionalFormatting sqref="L1067">
    <cfRule type="expression" priority="5928" dxfId="4">
      <formula>$H1067="SUBETAPA"</formula>
    </cfRule>
    <cfRule type="expression" priority="5929" dxfId="3">
      <formula>$H1067="ETAPA"</formula>
    </cfRule>
  </conditionalFormatting>
  <conditionalFormatting sqref="L1068">
    <cfRule type="expression" priority="5925" dxfId="4">
      <formula>$H1068="SUBETAPA"</formula>
    </cfRule>
    <cfRule type="expression" priority="5926" dxfId="3">
      <formula>$H1068="ETAPA"</formula>
    </cfRule>
  </conditionalFormatting>
  <conditionalFormatting sqref="L1078">
    <cfRule type="expression" priority="5922" dxfId="5">
      <formula>$H1078="CÉLULA CONSTRUTIVA"</formula>
    </cfRule>
    <cfRule type="expression" priority="5923" dxfId="4">
      <formula>$H1078="SUBETAPA"</formula>
    </cfRule>
  </conditionalFormatting>
  <conditionalFormatting sqref="L1078:L1080">
    <cfRule type="expression" priority="5920" dxfId="3">
      <formula>$H1078="ETAPA"</formula>
    </cfRule>
  </conditionalFormatting>
  <conditionalFormatting sqref="L1079:L1080">
    <cfRule type="expression" priority="5919" dxfId="4">
      <formula>$H1079="SUBETAPA"</formula>
    </cfRule>
  </conditionalFormatting>
  <conditionalFormatting sqref="L1079:L1082">
    <cfRule type="expression" priority="5912" dxfId="5">
      <formula>$H1079="CÉLULA CONSTRUTIVA"</formula>
    </cfRule>
  </conditionalFormatting>
  <conditionalFormatting sqref="L1081">
    <cfRule type="expression" priority="5917" dxfId="3">
      <formula>$H1081="ETAPA"</formula>
    </cfRule>
    <cfRule type="expression" priority="5916" dxfId="4">
      <formula>$H1081="SUBETAPA"</formula>
    </cfRule>
  </conditionalFormatting>
  <conditionalFormatting sqref="L1082">
    <cfRule type="expression" priority="5914" dxfId="3">
      <formula>$H1082="ETAPA"</formula>
    </cfRule>
    <cfRule type="expression" priority="5913" dxfId="4">
      <formula>$H1082="SUBETAPA"</formula>
    </cfRule>
  </conditionalFormatting>
  <conditionalFormatting sqref="L1092">
    <cfRule type="expression" priority="5911" dxfId="4">
      <formula>$H1092="SUBETAPA"</formula>
    </cfRule>
    <cfRule type="expression" priority="5910" dxfId="5">
      <formula>$H1092="CÉLULA CONSTRUTIVA"</formula>
    </cfRule>
  </conditionalFormatting>
  <conditionalFormatting sqref="L1092:L1094">
    <cfRule type="expression" priority="5908" dxfId="3">
      <formula>$H1092="ETAPA"</formula>
    </cfRule>
  </conditionalFormatting>
  <conditionalFormatting sqref="L1093:L1094">
    <cfRule type="expression" priority="5907" dxfId="4">
      <formula>$H1093="SUBETAPA"</formula>
    </cfRule>
  </conditionalFormatting>
  <conditionalFormatting sqref="L1093:L1096">
    <cfRule type="expression" priority="5900" dxfId="5">
      <formula>$H1093="CÉLULA CONSTRUTIVA"</formula>
    </cfRule>
  </conditionalFormatting>
  <conditionalFormatting sqref="L1095">
    <cfRule type="expression" priority="5905" dxfId="3">
      <formula>$H1095="ETAPA"</formula>
    </cfRule>
    <cfRule type="expression" priority="5904" dxfId="4">
      <formula>$H1095="SUBETAPA"</formula>
    </cfRule>
  </conditionalFormatting>
  <conditionalFormatting sqref="L1096">
    <cfRule type="expression" priority="5902" dxfId="3">
      <formula>$H1096="ETAPA"</formula>
    </cfRule>
    <cfRule type="expression" priority="5901" dxfId="4">
      <formula>$H1096="SUBETAPA"</formula>
    </cfRule>
  </conditionalFormatting>
  <conditionalFormatting sqref="L1106">
    <cfRule type="expression" priority="5899" dxfId="4">
      <formula>$H1106="SUBETAPA"</formula>
    </cfRule>
    <cfRule type="expression" priority="5898" dxfId="5">
      <formula>$H1106="CÉLULA CONSTRUTIVA"</formula>
    </cfRule>
  </conditionalFormatting>
  <conditionalFormatting sqref="L1106:L1108">
    <cfRule type="expression" priority="5896" dxfId="3">
      <formula>$H1106="ETAPA"</formula>
    </cfRule>
  </conditionalFormatting>
  <conditionalFormatting sqref="L1107:L1108">
    <cfRule type="expression" priority="5895" dxfId="4">
      <formula>$H1107="SUBETAPA"</formula>
    </cfRule>
  </conditionalFormatting>
  <conditionalFormatting sqref="L1107:L1110">
    <cfRule type="expression" priority="5888" dxfId="5">
      <formula>$H1107="CÉLULA CONSTRUTIVA"</formula>
    </cfRule>
  </conditionalFormatting>
  <conditionalFormatting sqref="L1109">
    <cfRule type="expression" priority="5892" dxfId="4">
      <formula>$H1109="SUBETAPA"</formula>
    </cfRule>
    <cfRule type="expression" priority="5893" dxfId="3">
      <formula>$H1109="ETAPA"</formula>
    </cfRule>
  </conditionalFormatting>
  <conditionalFormatting sqref="L1110">
    <cfRule type="expression" priority="5890" dxfId="3">
      <formula>$H1110="ETAPA"</formula>
    </cfRule>
    <cfRule type="expression" priority="5889" dxfId="4">
      <formula>$H1110="SUBETAPA"</formula>
    </cfRule>
  </conditionalFormatting>
  <conditionalFormatting sqref="L1120">
    <cfRule type="expression" priority="5887" dxfId="3">
      <formula>$H1120="ETAPA"</formula>
    </cfRule>
    <cfRule type="expression" priority="5886" dxfId="4">
      <formula>$H1120="SUBETAPA"</formula>
    </cfRule>
  </conditionalFormatting>
  <conditionalFormatting sqref="L1121:L1122">
    <cfRule type="expression" priority="5884" dxfId="3">
      <formula>$H1121="ETAPA"</formula>
    </cfRule>
    <cfRule type="expression" priority="5883" dxfId="4">
      <formula>$H1121="SUBETAPA"</formula>
    </cfRule>
  </conditionalFormatting>
  <conditionalFormatting sqref="L1123">
    <cfRule type="expression" priority="5880" dxfId="4">
      <formula>$H1123="SUBETAPA"</formula>
    </cfRule>
    <cfRule type="expression" priority="5881" dxfId="3">
      <formula>$H1123="ETAPA"</formula>
    </cfRule>
  </conditionalFormatting>
  <conditionalFormatting sqref="L1124">
    <cfRule type="expression" priority="5878" dxfId="3">
      <formula>$H1124="ETAPA"</formula>
    </cfRule>
    <cfRule type="expression" priority="5877" dxfId="4">
      <formula>$H1124="SUBETAPA"</formula>
    </cfRule>
  </conditionalFormatting>
  <conditionalFormatting sqref="L1125">
    <cfRule type="expression" priority="5875" dxfId="3">
      <formula>$H1125="ETAPA"</formula>
    </cfRule>
  </conditionalFormatting>
  <conditionalFormatting sqref="L1126">
    <cfRule type="expression" priority="5872" dxfId="3">
      <formula>$H1126="ETAPA"</formula>
    </cfRule>
    <cfRule type="expression" priority="5871" dxfId="4">
      <formula>$H1126="SUBETAPA"</formula>
    </cfRule>
  </conditionalFormatting>
  <conditionalFormatting sqref="L1127">
    <cfRule type="expression" priority="5869" dxfId="3">
      <formula>$H1127="ETAPA"</formula>
    </cfRule>
    <cfRule type="expression" priority="5868" dxfId="4">
      <formula>$H1127="SUBETAPA"</formula>
    </cfRule>
  </conditionalFormatting>
  <conditionalFormatting sqref="L1128">
    <cfRule type="expression" priority="5866" dxfId="3">
      <formula>$H1128="ETAPA"</formula>
    </cfRule>
    <cfRule type="expression" priority="5865" dxfId="4">
      <formula>$H1128="SUBETAPA"</formula>
    </cfRule>
  </conditionalFormatting>
  <conditionalFormatting sqref="L1131">
    <cfRule type="expression" priority="5861" dxfId="5">
      <formula>$H1131="CÉLULA CONSTRUTIVA"</formula>
    </cfRule>
    <cfRule type="expression" priority="5863" dxfId="3">
      <formula>$H1131="ETAPA"</formula>
    </cfRule>
  </conditionalFormatting>
  <conditionalFormatting sqref="L1134">
    <cfRule type="expression" priority="5858" dxfId="5">
      <formula>$H1134="CÉLULA CONSTRUTIVA"</formula>
    </cfRule>
    <cfRule type="expression" priority="5860" dxfId="3">
      <formula>$H1134="ETAPA"</formula>
    </cfRule>
  </conditionalFormatting>
  <conditionalFormatting sqref="L1137">
    <cfRule type="expression" priority="5857" dxfId="3">
      <formula>$H1137="ETAPA"</formula>
    </cfRule>
    <cfRule type="expression" priority="5855" dxfId="5">
      <formula>$H1137="CÉLULA CONSTRUTIVA"</formula>
    </cfRule>
  </conditionalFormatting>
  <conditionalFormatting sqref="L1140">
    <cfRule type="expression" priority="5852" dxfId="5">
      <formula>$H1140="CÉLULA CONSTRUTIVA"</formula>
    </cfRule>
    <cfRule type="expression" priority="5854" dxfId="3">
      <formula>$H1140="ETAPA"</formula>
    </cfRule>
  </conditionalFormatting>
  <conditionalFormatting sqref="L1143">
    <cfRule type="expression" priority="5851" dxfId="3">
      <formula>$H1143="ETAPA"</formula>
    </cfRule>
    <cfRule type="expression" priority="5849" dxfId="5">
      <formula>$H1143="CÉLULA CONSTRUTIVA"</formula>
    </cfRule>
  </conditionalFormatting>
  <conditionalFormatting sqref="L1146">
    <cfRule type="expression" priority="5848" dxfId="3">
      <formula>$H1146="ETAPA"</formula>
    </cfRule>
    <cfRule type="expression" priority="5847" dxfId="4">
      <formula>$H1146="SUBETAPA"</formula>
    </cfRule>
  </conditionalFormatting>
  <conditionalFormatting sqref="L1147">
    <cfRule type="expression" priority="5845" dxfId="3">
      <formula>$H1147="ETAPA"</formula>
    </cfRule>
    <cfRule type="expression" priority="5844" dxfId="4">
      <formula>$H1147="SUBETAPA"</formula>
    </cfRule>
  </conditionalFormatting>
  <conditionalFormatting sqref="L1148">
    <cfRule type="expression" priority="5842" dxfId="3">
      <formula>$H1148="ETAPA"</formula>
    </cfRule>
    <cfRule type="expression" priority="5841" dxfId="4">
      <formula>$H1148="SUBETAPA"</formula>
    </cfRule>
  </conditionalFormatting>
  <conditionalFormatting sqref="L1153">
    <cfRule type="expression" priority="5839" dxfId="3">
      <formula>$H1153="ETAPA"</formula>
    </cfRule>
    <cfRule type="expression" priority="5838" dxfId="4">
      <formula>$H1153="SUBETAPA"</formula>
    </cfRule>
  </conditionalFormatting>
  <conditionalFormatting sqref="L1154">
    <cfRule type="expression" priority="5835" dxfId="4">
      <formula>$H1154="SUBETAPA"</formula>
    </cfRule>
    <cfRule type="expression" priority="5836" dxfId="3">
      <formula>$H1154="ETAPA"</formula>
    </cfRule>
  </conditionalFormatting>
  <conditionalFormatting sqref="L1155">
    <cfRule type="expression" priority="5832" dxfId="4">
      <formula>$H1155="SUBETAPA"</formula>
    </cfRule>
    <cfRule type="expression" priority="5833" dxfId="3">
      <formula>$H1155="ETAPA"</formula>
    </cfRule>
  </conditionalFormatting>
  <conditionalFormatting sqref="L1160">
    <cfRule type="expression" priority="5829" dxfId="4">
      <formula>$H1160="SUBETAPA"</formula>
    </cfRule>
    <cfRule type="expression" priority="5830" dxfId="3">
      <formula>$H1160="ETAPA"</formula>
    </cfRule>
  </conditionalFormatting>
  <conditionalFormatting sqref="L1161">
    <cfRule type="expression" priority="5826" dxfId="4">
      <formula>$H1161="SUBETAPA"</formula>
    </cfRule>
    <cfRule type="expression" priority="5827" dxfId="3">
      <formula>$H1161="ETAPA"</formula>
    </cfRule>
  </conditionalFormatting>
  <conditionalFormatting sqref="L1162">
    <cfRule type="expression" priority="5824" dxfId="3">
      <formula>$H1162="ETAPA"</formula>
    </cfRule>
    <cfRule type="expression" priority="5823" dxfId="4">
      <formula>$H1162="SUBETAPA"</formula>
    </cfRule>
  </conditionalFormatting>
  <conditionalFormatting sqref="L1165">
    <cfRule type="expression" priority="5821" dxfId="3">
      <formula>$H1165="ETAPA"</formula>
    </cfRule>
    <cfRule type="expression" priority="5820" dxfId="4">
      <formula>$H1165="SUBETAPA"</formula>
    </cfRule>
  </conditionalFormatting>
  <conditionalFormatting sqref="L1166">
    <cfRule type="expression" priority="5817" dxfId="4">
      <formula>$H1166="SUBETAPA"</formula>
    </cfRule>
    <cfRule type="expression" priority="5818" dxfId="3">
      <formula>$H1166="ETAPA"</formula>
    </cfRule>
  </conditionalFormatting>
  <conditionalFormatting sqref="L1167">
    <cfRule type="expression" priority="5815" dxfId="3">
      <formula>$H1167="ETAPA"</formula>
    </cfRule>
    <cfRule type="expression" priority="5814" dxfId="4">
      <formula>$H1167="SUBETAPA"</formula>
    </cfRule>
  </conditionalFormatting>
  <conditionalFormatting sqref="L1170">
    <cfRule type="expression" priority="5811" dxfId="4">
      <formula>$H1170="SUBETAPA"</formula>
    </cfRule>
    <cfRule type="expression" priority="5812" dxfId="3">
      <formula>$H1170="ETAPA"</formula>
    </cfRule>
  </conditionalFormatting>
  <conditionalFormatting sqref="L1171">
    <cfRule type="expression" priority="5809" dxfId="3">
      <formula>$H1171="ETAPA"</formula>
    </cfRule>
    <cfRule type="expression" priority="5808" dxfId="4">
      <formula>$H1171="SUBETAPA"</formula>
    </cfRule>
  </conditionalFormatting>
  <conditionalFormatting sqref="L1172">
    <cfRule type="expression" priority="5806" dxfId="3">
      <formula>$H1172="ETAPA"</formula>
    </cfRule>
    <cfRule type="expression" priority="5805" dxfId="4">
      <formula>$H1172="SUBETAPA"</formula>
    </cfRule>
  </conditionalFormatting>
  <conditionalFormatting sqref="L1175">
    <cfRule type="expression" priority="5803" dxfId="3">
      <formula>$H1175="ETAPA"</formula>
    </cfRule>
    <cfRule type="expression" priority="5802" dxfId="4">
      <formula>$H1175="SUBETAPA"</formula>
    </cfRule>
  </conditionalFormatting>
  <conditionalFormatting sqref="L1176">
    <cfRule type="expression" priority="5800" dxfId="3">
      <formula>$H1176="ETAPA"</formula>
    </cfRule>
    <cfRule type="expression" priority="5799" dxfId="4">
      <formula>$H1176="SUBETAPA"</formula>
    </cfRule>
  </conditionalFormatting>
  <conditionalFormatting sqref="L1177">
    <cfRule type="expression" priority="5797" dxfId="3">
      <formula>$H1177="ETAPA"</formula>
    </cfRule>
    <cfRule type="expression" priority="5796" dxfId="4">
      <formula>$H1177="SUBETAPA"</formula>
    </cfRule>
  </conditionalFormatting>
  <conditionalFormatting sqref="L1180">
    <cfRule type="expression" priority="5794" dxfId="3">
      <formula>$H1180="ETAPA"</formula>
    </cfRule>
    <cfRule type="expression" priority="5792" dxfId="5">
      <formula>$H1180="CÉLULA CONSTRUTIVA"</formula>
    </cfRule>
  </conditionalFormatting>
  <conditionalFormatting sqref="L1187">
    <cfRule type="expression" priority="5791" dxfId="5">
      <formula>$H1187="CÉLULA CONSTRUTIVA"</formula>
    </cfRule>
  </conditionalFormatting>
  <conditionalFormatting sqref="L1202:L1206">
    <cfRule type="expression" priority="5789" dxfId="5">
      <formula>$H1202="CÉLULA CONSTRUTIVA"</formula>
    </cfRule>
    <cfRule type="expression" priority="5788" dxfId="4">
      <formula>$H1202="SUBETAPA"</formula>
    </cfRule>
  </conditionalFormatting>
  <conditionalFormatting sqref="L1231">
    <cfRule type="expression" priority="5787" dxfId="5">
      <formula>$H1231="CÉLULA CONSTRUTIVA"</formula>
    </cfRule>
  </conditionalFormatting>
  <conditionalFormatting sqref="L1240">
    <cfRule type="expression" priority="5786" dxfId="3">
      <formula>$H1240="ETAPA"</formula>
    </cfRule>
  </conditionalFormatting>
  <conditionalFormatting sqref="L1240:L1245">
    <cfRule type="expression" priority="5785" dxfId="5">
      <formula>$H1240="CÉLULA CONSTRUTIVA"</formula>
    </cfRule>
    <cfRule type="expression" priority="5784" dxfId="4">
      <formula>$H1240="SUBETAPA"</formula>
    </cfRule>
  </conditionalFormatting>
  <conditionalFormatting sqref="L1257:L1258">
    <cfRule type="expression" priority="5781" dxfId="5">
      <formula>$H1257="CÉLULA CONSTRUTIVA"</formula>
    </cfRule>
  </conditionalFormatting>
  <conditionalFormatting sqref="L1258">
    <cfRule type="expression" priority="5782" dxfId="3">
      <formula>$H1258="ETAPA"</formula>
    </cfRule>
  </conditionalFormatting>
  <conditionalFormatting sqref="L1271">
    <cfRule type="expression" priority="5780" dxfId="3">
      <formula>$H1271="ETAPA"</formula>
    </cfRule>
  </conditionalFormatting>
  <conditionalFormatting sqref="L1271:L1278">
    <cfRule type="expression" priority="5779" dxfId="5">
      <formula>$H1271="CÉLULA CONSTRUTIVA"</formula>
    </cfRule>
    <cfRule type="expression" priority="5778" dxfId="4">
      <formula>$H1271="SUBETAPA"</formula>
    </cfRule>
  </conditionalFormatting>
  <conditionalFormatting sqref="L1282">
    <cfRule type="expression" priority="5777" dxfId="5">
      <formula>$H1282="CÉLULA CONSTRUTIVA"</formula>
    </cfRule>
  </conditionalFormatting>
  <conditionalFormatting sqref="L1302">
    <cfRule type="expression" priority="5775" dxfId="5">
      <formula>$H1302="CÉLULA CONSTRUTIVA"</formula>
    </cfRule>
  </conditionalFormatting>
  <conditionalFormatting sqref="L1341">
    <cfRule type="expression" priority="5773" dxfId="5">
      <formula>$H1341="CÉLULA CONSTRUTIVA"</formula>
    </cfRule>
  </conditionalFormatting>
  <conditionalFormatting sqref="L1362">
    <cfRule type="expression" priority="5771" dxfId="5">
      <formula>$H1362="CÉLULA CONSTRUTIVA"</formula>
    </cfRule>
  </conditionalFormatting>
  <conditionalFormatting sqref="L1383">
    <cfRule type="expression" priority="5769" dxfId="5">
      <formula>$H1383="CÉLULA CONSTRUTIVA"</formula>
    </cfRule>
  </conditionalFormatting>
  <conditionalFormatting sqref="L1387">
    <cfRule type="expression" priority="5768" dxfId="3">
      <formula>$H1387="ETAPA"</formula>
    </cfRule>
    <cfRule type="expression" priority="5767" dxfId="5">
      <formula>$H1387="CÉLULA CONSTRUTIVA"</formula>
    </cfRule>
  </conditionalFormatting>
  <conditionalFormatting sqref="L1407">
    <cfRule type="expression" priority="5765" dxfId="5">
      <formula>$H1407="CÉLULA CONSTRUTIVA"</formula>
    </cfRule>
  </conditionalFormatting>
  <conditionalFormatting sqref="L1435:L1440">
    <cfRule type="expression" priority="5561" dxfId="3">
      <formula>$H1435="ETAPA"</formula>
    </cfRule>
  </conditionalFormatting>
  <conditionalFormatting sqref="L1446">
    <cfRule type="expression" priority="5559" dxfId="4">
      <formula>$H1446="SUBETAPA"</formula>
    </cfRule>
    <cfRule type="expression" priority="5560" dxfId="3">
      <formula>$H1446="ETAPA"</formula>
    </cfRule>
  </conditionalFormatting>
  <conditionalFormatting sqref="L1447">
    <cfRule type="expression" priority="5557" dxfId="3">
      <formula>$H1447="ETAPA"</formula>
    </cfRule>
  </conditionalFormatting>
  <conditionalFormatting sqref="L1448:L1449 L1458 L1467 L1474 L1482 L1490 L1500 L1508:L1509 L1519:L1520 L1530:L1531 L1541:L1542 L1552:L1553 L1562:L1563">
    <cfRule type="expression" priority="10304" dxfId="3">
      <formula>$H1448="ETAPA"</formula>
    </cfRule>
    <cfRule type="expression" priority="10303" dxfId="4">
      <formula>$H1448="SUBETAPA"</formula>
    </cfRule>
  </conditionalFormatting>
  <conditionalFormatting sqref="L1456">
    <cfRule type="expression" priority="5556" dxfId="3">
      <formula>$H1456="ETAPA"</formula>
    </cfRule>
    <cfRule type="expression" priority="5555" dxfId="4">
      <formula>$H1456="SUBETAPA"</formula>
    </cfRule>
  </conditionalFormatting>
  <conditionalFormatting sqref="L1457">
    <cfRule type="expression" priority="5553" dxfId="3">
      <formula>$H1457="ETAPA"</formula>
    </cfRule>
  </conditionalFormatting>
  <conditionalFormatting sqref="L1465">
    <cfRule type="expression" priority="5551" dxfId="4">
      <formula>$H1465="SUBETAPA"</formula>
    </cfRule>
    <cfRule type="expression" priority="5552" dxfId="3">
      <formula>$H1465="ETAPA"</formula>
    </cfRule>
  </conditionalFormatting>
  <conditionalFormatting sqref="L1466">
    <cfRule type="expression" priority="5549" dxfId="3">
      <formula>$H1466="ETAPA"</formula>
    </cfRule>
  </conditionalFormatting>
  <conditionalFormatting sqref="L1472">
    <cfRule type="expression" priority="5547" dxfId="4">
      <formula>$H1472="SUBETAPA"</formula>
    </cfRule>
    <cfRule type="expression" priority="5548" dxfId="3">
      <formula>$H1472="ETAPA"</formula>
    </cfRule>
  </conditionalFormatting>
  <conditionalFormatting sqref="L1473">
    <cfRule type="expression" priority="5545" dxfId="3">
      <formula>$H1473="ETAPA"</formula>
    </cfRule>
  </conditionalFormatting>
  <conditionalFormatting sqref="L1479">
    <cfRule type="expression" priority="5543" dxfId="4">
      <formula>$H1479="SUBETAPA"</formula>
    </cfRule>
    <cfRule type="expression" priority="5544" dxfId="3">
      <formula>$H1479="ETAPA"</formula>
    </cfRule>
  </conditionalFormatting>
  <conditionalFormatting sqref="L1480:L1481">
    <cfRule type="expression" priority="5540" dxfId="3">
      <formula>$H1480="ETAPA"</formula>
    </cfRule>
  </conditionalFormatting>
  <conditionalFormatting sqref="L1481">
    <cfRule type="expression" priority="5539" dxfId="4">
      <formula>$H1481="SUBETAPA"</formula>
    </cfRule>
  </conditionalFormatting>
  <conditionalFormatting sqref="L1487">
    <cfRule type="expression" priority="5537" dxfId="3">
      <formula>$H1487="ETAPA"</formula>
    </cfRule>
    <cfRule type="expression" priority="5536" dxfId="4">
      <formula>$H1487="SUBETAPA"</formula>
    </cfRule>
  </conditionalFormatting>
  <conditionalFormatting sqref="L1488:L1489">
    <cfRule type="expression" priority="5533" dxfId="3">
      <formula>$H1488="ETAPA"</formula>
    </cfRule>
  </conditionalFormatting>
  <conditionalFormatting sqref="L1489">
    <cfRule type="expression" priority="5532" dxfId="4">
      <formula>$H1489="SUBETAPA"</formula>
    </cfRule>
  </conditionalFormatting>
  <conditionalFormatting sqref="L1497">
    <cfRule type="expression" priority="5530" dxfId="3">
      <formula>$H1497="ETAPA"</formula>
    </cfRule>
    <cfRule type="expression" priority="5529" dxfId="4">
      <formula>$H1497="SUBETAPA"</formula>
    </cfRule>
  </conditionalFormatting>
  <conditionalFormatting sqref="L1498:L1499">
    <cfRule type="expression" priority="5526" dxfId="3">
      <formula>$H1498="ETAPA"</formula>
    </cfRule>
  </conditionalFormatting>
  <conditionalFormatting sqref="L1499">
    <cfRule type="expression" priority="5525" dxfId="4">
      <formula>$H1499="SUBETAPA"</formula>
    </cfRule>
  </conditionalFormatting>
  <conditionalFormatting sqref="L1505">
    <cfRule type="expression" priority="5522" dxfId="4">
      <formula>$H1505="SUBETAPA"</formula>
    </cfRule>
    <cfRule type="expression" priority="5523" dxfId="3">
      <formula>$H1505="ETAPA"</formula>
    </cfRule>
  </conditionalFormatting>
  <conditionalFormatting sqref="L1506:L1507">
    <cfRule type="expression" priority="5519" dxfId="3">
      <formula>$H1506="ETAPA"</formula>
    </cfRule>
  </conditionalFormatting>
  <conditionalFormatting sqref="L1507">
    <cfRule type="expression" priority="5518" dxfId="4">
      <formula>$H1507="SUBETAPA"</formula>
    </cfRule>
  </conditionalFormatting>
  <conditionalFormatting sqref="L1516">
    <cfRule type="expression" priority="5516" dxfId="3">
      <formula>$H1516="ETAPA"</formula>
    </cfRule>
    <cfRule type="expression" priority="5515" dxfId="4">
      <formula>$H1516="SUBETAPA"</formula>
    </cfRule>
  </conditionalFormatting>
  <conditionalFormatting sqref="L1517:L1518">
    <cfRule type="expression" priority="5512" dxfId="3">
      <formula>$H1517="ETAPA"</formula>
    </cfRule>
  </conditionalFormatting>
  <conditionalFormatting sqref="L1518">
    <cfRule type="expression" priority="5511" dxfId="4">
      <formula>$H1518="SUBETAPA"</formula>
    </cfRule>
  </conditionalFormatting>
  <conditionalFormatting sqref="L1527">
    <cfRule type="expression" priority="5509" dxfId="3">
      <formula>$H1527="ETAPA"</formula>
    </cfRule>
    <cfRule type="expression" priority="5508" dxfId="4">
      <formula>$H1527="SUBETAPA"</formula>
    </cfRule>
  </conditionalFormatting>
  <conditionalFormatting sqref="L1528:L1529">
    <cfRule type="expression" priority="5505" dxfId="3">
      <formula>$H1528="ETAPA"</formula>
    </cfRule>
  </conditionalFormatting>
  <conditionalFormatting sqref="L1529">
    <cfRule type="expression" priority="5504" dxfId="4">
      <formula>$H1529="SUBETAPA"</formula>
    </cfRule>
  </conditionalFormatting>
  <conditionalFormatting sqref="L1538">
    <cfRule type="expression" priority="5502" dxfId="3">
      <formula>$H1538="ETAPA"</formula>
    </cfRule>
    <cfRule type="expression" priority="5501" dxfId="4">
      <formula>$H1538="SUBETAPA"</formula>
    </cfRule>
  </conditionalFormatting>
  <conditionalFormatting sqref="L1539:L1540">
    <cfRule type="expression" priority="5498" dxfId="3">
      <formula>$H1539="ETAPA"</formula>
    </cfRule>
  </conditionalFormatting>
  <conditionalFormatting sqref="L1540">
    <cfRule type="expression" priority="5497" dxfId="4">
      <formula>$H1540="SUBETAPA"</formula>
    </cfRule>
  </conditionalFormatting>
  <conditionalFormatting sqref="L1549">
    <cfRule type="expression" priority="5495" dxfId="3">
      <formula>$H1549="ETAPA"</formula>
    </cfRule>
    <cfRule type="expression" priority="5494" dxfId="4">
      <formula>$H1549="SUBETAPA"</formula>
    </cfRule>
  </conditionalFormatting>
  <conditionalFormatting sqref="L1550:L1551">
    <cfRule type="expression" priority="5491" dxfId="3">
      <formula>$H1550="ETAPA"</formula>
    </cfRule>
  </conditionalFormatting>
  <conditionalFormatting sqref="L1551">
    <cfRule type="expression" priority="5490" dxfId="4">
      <formula>$H1551="SUBETAPA"</formula>
    </cfRule>
  </conditionalFormatting>
  <conditionalFormatting sqref="L1560">
    <cfRule type="expression" priority="5488" dxfId="3">
      <formula>$H1560="ETAPA"</formula>
    </cfRule>
    <cfRule type="expression" priority="5487" dxfId="4">
      <formula>$H1560="SUBETAPA"</formula>
    </cfRule>
  </conditionalFormatting>
  <conditionalFormatting sqref="L1560:L1561">
    <cfRule type="expression" priority="5486" dxfId="5">
      <formula>$H1560="CÉLULA CONSTRUTIVA"</formula>
    </cfRule>
  </conditionalFormatting>
  <conditionalFormatting sqref="L1568">
    <cfRule type="expression" priority="5485" dxfId="4">
      <formula>$H1568="SUBETAPA"</formula>
    </cfRule>
  </conditionalFormatting>
  <conditionalFormatting sqref="L1574">
    <cfRule type="expression" priority="5484" dxfId="4">
      <formula>$H1574="SUBETAPA"</formula>
    </cfRule>
  </conditionalFormatting>
  <conditionalFormatting sqref="L1580">
    <cfRule type="expression" priority="5483" dxfId="4">
      <formula>$H1580="SUBETAPA"</formula>
    </cfRule>
  </conditionalFormatting>
  <conditionalFormatting sqref="L1589">
    <cfRule type="expression" priority="5482" dxfId="4">
      <formula>$H1589="SUBETAPA"</formula>
    </cfRule>
  </conditionalFormatting>
  <conditionalFormatting sqref="L1598">
    <cfRule type="expression" priority="5481" dxfId="4">
      <formula>$H1598="SUBETAPA"</formula>
    </cfRule>
  </conditionalFormatting>
  <conditionalFormatting sqref="L1602:L1604 M1605:M1608">
    <cfRule type="expression" priority="5480" dxfId="4">
      <formula>$H1602="SUBETAPA"</formula>
    </cfRule>
    <cfRule type="expression" priority="5479" dxfId="3">
      <formula>$H1602="ETAPA"</formula>
    </cfRule>
  </conditionalFormatting>
  <conditionalFormatting sqref="L1607">
    <cfRule type="expression" priority="5478" dxfId="4">
      <formula>$H1607="SUBETAPA"</formula>
    </cfRule>
  </conditionalFormatting>
  <conditionalFormatting sqref="L1608">
    <cfRule type="expression" priority="5475" dxfId="4">
      <formula>$H1608="SUBETAPA"</formula>
    </cfRule>
  </conditionalFormatting>
  <conditionalFormatting sqref="L1616">
    <cfRule type="expression" priority="5474" dxfId="4">
      <formula>$H1616="SUBETAPA"</formula>
    </cfRule>
  </conditionalFormatting>
  <conditionalFormatting sqref="L1617">
    <cfRule type="expression" priority="5471" dxfId="4">
      <formula>$H1617="SUBETAPA"</formula>
    </cfRule>
  </conditionalFormatting>
  <conditionalFormatting sqref="L1620:L1622">
    <cfRule type="expression" priority="5470" dxfId="4">
      <formula>$H1620="SUBETAPA"</formula>
    </cfRule>
    <cfRule type="expression" priority="5469" dxfId="3">
      <formula>$H1620="ETAPA"</formula>
    </cfRule>
  </conditionalFormatting>
  <conditionalFormatting sqref="L1623">
    <cfRule type="expression" priority="5468" dxfId="4">
      <formula>$H1623="SUBETAPA"</formula>
    </cfRule>
  </conditionalFormatting>
  <conditionalFormatting sqref="L1624">
    <cfRule type="expression" priority="5465" dxfId="4">
      <formula>$H1624="SUBETAPA"</formula>
    </cfRule>
    <cfRule type="expression" priority="5467" dxfId="5">
      <formula>$H1624="CÉLULA CONSTRUTIVA"</formula>
    </cfRule>
    <cfRule type="expression" priority="5466" dxfId="3">
      <formula>$H1624="ETAPA"</formula>
    </cfRule>
  </conditionalFormatting>
  <conditionalFormatting sqref="L1625">
    <cfRule type="expression" priority="5464" dxfId="3">
      <formula>$H1625="ETAPA"</formula>
    </cfRule>
  </conditionalFormatting>
  <conditionalFormatting sqref="G1630:M1631 J1629:L1629 L1626 L1632:M1633 O1628:O1629">
    <cfRule type="expression" priority="6920" dxfId="4">
      <formula>$H1626="SUBETAPA"</formula>
    </cfRule>
  </conditionalFormatting>
  <conditionalFormatting sqref="G1630:M1632 J1629:L1629 L1626 L1633:M1633 O1628:O1629">
    <cfRule type="expression" priority="6921" dxfId="5">
      <formula>$H1626="CÉLULA CONSTRUTIVA"</formula>
    </cfRule>
  </conditionalFormatting>
  <conditionalFormatting sqref="L1627">
    <cfRule type="expression" priority="5462" dxfId="4">
      <formula>$H1627="SUBETAPA"</formula>
    </cfRule>
    <cfRule type="expression" priority="5461" dxfId="5">
      <formula>$H1627="CÉLULA CONSTRUTIVA"</formula>
    </cfRule>
  </conditionalFormatting>
  <conditionalFormatting sqref="L1635">
    <cfRule type="expression" priority="5459" dxfId="4">
      <formula>$H1635="SUBETAPA"</formula>
    </cfRule>
    <cfRule type="expression" priority="5458" dxfId="5">
      <formula>$H1635="CÉLULA CONSTRUTIVA"</formula>
    </cfRule>
  </conditionalFormatting>
  <conditionalFormatting sqref="L1636">
    <cfRule type="expression" priority="5457" dxfId="3">
      <formula>$H1636="ETAPA"</formula>
    </cfRule>
  </conditionalFormatting>
  <conditionalFormatting sqref="G1641:M1642 J1640:L1640 L1637 O1639:O1640">
    <cfRule type="expression" priority="6917" dxfId="4">
      <formula>$H1637="SUBETAPA"</formula>
    </cfRule>
  </conditionalFormatting>
  <conditionalFormatting sqref="L1637:L1638">
    <cfRule type="expression" priority="5454" dxfId="5">
      <formula>$H1637="CÉLULA CONSTRUTIVA"</formula>
    </cfRule>
  </conditionalFormatting>
  <conditionalFormatting sqref="L1638">
    <cfRule type="expression" priority="5455" dxfId="4">
      <formula>$H1638="SUBETAPA"</formula>
    </cfRule>
  </conditionalFormatting>
  <conditionalFormatting sqref="L1644">
    <cfRule type="expression" priority="5452" dxfId="4">
      <formula>$H1644="SUBETAPA"</formula>
    </cfRule>
    <cfRule type="expression" priority="5451" dxfId="5">
      <formula>$H1644="CÉLULA CONSTRUTIVA"</formula>
    </cfRule>
  </conditionalFormatting>
  <conditionalFormatting sqref="L1645">
    <cfRule type="expression" priority="5450" dxfId="3">
      <formula>$H1645="ETAPA"</formula>
    </cfRule>
  </conditionalFormatting>
  <conditionalFormatting sqref="G1650:M1651 J1649:L1649 L1646 O1648:O1649">
    <cfRule type="expression" priority="6913" dxfId="4">
      <formula>$H1646="SUBETAPA"</formula>
    </cfRule>
  </conditionalFormatting>
  <conditionalFormatting sqref="L1646:L1647">
    <cfRule type="expression" priority="5447" dxfId="5">
      <formula>$H1646="CÉLULA CONSTRUTIVA"</formula>
    </cfRule>
  </conditionalFormatting>
  <conditionalFormatting sqref="L1647">
    <cfRule type="expression" priority="5448" dxfId="4">
      <formula>$H1647="SUBETAPA"</formula>
    </cfRule>
  </conditionalFormatting>
  <conditionalFormatting sqref="L1653">
    <cfRule type="expression" priority="5445" dxfId="4">
      <formula>$H1653="SUBETAPA"</formula>
    </cfRule>
    <cfRule type="expression" priority="5444" dxfId="5">
      <formula>$H1653="CÉLULA CONSTRUTIVA"</formula>
    </cfRule>
  </conditionalFormatting>
  <conditionalFormatting sqref="L1654">
    <cfRule type="expression" priority="5443" dxfId="3">
      <formula>$H1654="ETAPA"</formula>
    </cfRule>
  </conditionalFormatting>
  <conditionalFormatting sqref="G1659:M1660 J1658:L1658 L1655 O1657:O1658">
    <cfRule type="expression" priority="6909" dxfId="4">
      <formula>$H1655="SUBETAPA"</formula>
    </cfRule>
  </conditionalFormatting>
  <conditionalFormatting sqref="L1655:L1656">
    <cfRule type="expression" priority="5440" dxfId="5">
      <formula>$H1655="CÉLULA CONSTRUTIVA"</formula>
    </cfRule>
  </conditionalFormatting>
  <conditionalFormatting sqref="L1656">
    <cfRule type="expression" priority="5441" dxfId="4">
      <formula>$H1656="SUBETAPA"</formula>
    </cfRule>
  </conditionalFormatting>
  <conditionalFormatting sqref="L1662">
    <cfRule type="expression" priority="5438" dxfId="4">
      <formula>$H1662="SUBETAPA"</formula>
    </cfRule>
    <cfRule type="expression" priority="5437" dxfId="5">
      <formula>$H1662="CÉLULA CONSTRUTIVA"</formula>
    </cfRule>
  </conditionalFormatting>
  <conditionalFormatting sqref="L1663">
    <cfRule type="expression" priority="5436" dxfId="3">
      <formula>$H1663="ETAPA"</formula>
    </cfRule>
  </conditionalFormatting>
  <conditionalFormatting sqref="G1668:M1669 J1667:L1667 L1664 O1666:O1667">
    <cfRule type="expression" priority="6905" dxfId="4">
      <formula>$H1664="SUBETAPA"</formula>
    </cfRule>
  </conditionalFormatting>
  <conditionalFormatting sqref="L1664:L1665">
    <cfRule type="expression" priority="5433" dxfId="5">
      <formula>$H1664="CÉLULA CONSTRUTIVA"</formula>
    </cfRule>
  </conditionalFormatting>
  <conditionalFormatting sqref="L1665">
    <cfRule type="expression" priority="5434" dxfId="4">
      <formula>$H1665="SUBETAPA"</formula>
    </cfRule>
  </conditionalFormatting>
  <conditionalFormatting sqref="L1671">
    <cfRule type="expression" priority="5430" dxfId="5">
      <formula>$H1671="CÉLULA CONSTRUTIVA"</formula>
    </cfRule>
    <cfRule type="expression" priority="5431" dxfId="4">
      <formula>$H1671="SUBETAPA"</formula>
    </cfRule>
  </conditionalFormatting>
  <conditionalFormatting sqref="L1672">
    <cfRule type="expression" priority="5429" dxfId="3">
      <formula>$H1672="ETAPA"</formula>
    </cfRule>
  </conditionalFormatting>
  <conditionalFormatting sqref="G1677:M1678 J1676:L1676 L1673 O1675:O1676">
    <cfRule type="expression" priority="6901" dxfId="4">
      <formula>$H1673="SUBETAPA"</formula>
    </cfRule>
  </conditionalFormatting>
  <conditionalFormatting sqref="L1673:L1674">
    <cfRule type="expression" priority="5426" dxfId="5">
      <formula>$H1673="CÉLULA CONSTRUTIVA"</formula>
    </cfRule>
  </conditionalFormatting>
  <conditionalFormatting sqref="L1674">
    <cfRule type="expression" priority="5427" dxfId="4">
      <formula>$H1674="SUBETAPA"</formula>
    </cfRule>
  </conditionalFormatting>
  <conditionalFormatting sqref="L1680">
    <cfRule type="expression" priority="5424" dxfId="4">
      <formula>$H1680="SUBETAPA"</formula>
    </cfRule>
    <cfRule type="expression" priority="5423" dxfId="5">
      <formula>$H1680="CÉLULA CONSTRUTIVA"</formula>
    </cfRule>
  </conditionalFormatting>
  <conditionalFormatting sqref="L1681">
    <cfRule type="expression" priority="5422" dxfId="3">
      <formula>$H1681="ETAPA"</formula>
    </cfRule>
  </conditionalFormatting>
  <conditionalFormatting sqref="G1686:M1687 J1685:L1685 L1682 L1688:M1689 O1684:O1685">
    <cfRule type="expression" priority="6896" dxfId="4">
      <formula>$H1682="SUBETAPA"</formula>
    </cfRule>
  </conditionalFormatting>
  <conditionalFormatting sqref="G1686:M1688 J1685:L1685 L1682 L1689:M1689 O1684:O1685">
    <cfRule type="expression" priority="6897" dxfId="5">
      <formula>$H1682="CÉLULA CONSTRUTIVA"</formula>
    </cfRule>
  </conditionalFormatting>
  <conditionalFormatting sqref="L1683">
    <cfRule type="expression" priority="5419" dxfId="5">
      <formula>$H1683="CÉLULA CONSTRUTIVA"</formula>
    </cfRule>
    <cfRule type="expression" priority="5420" dxfId="4">
      <formula>$H1683="SUBETAPA"</formula>
    </cfRule>
  </conditionalFormatting>
  <conditionalFormatting sqref="L1691">
    <cfRule type="expression" priority="5417" dxfId="4">
      <formula>$H1691="SUBETAPA"</formula>
    </cfRule>
    <cfRule type="expression" priority="5416" dxfId="5">
      <formula>$H1691="CÉLULA CONSTRUTIVA"</formula>
    </cfRule>
  </conditionalFormatting>
  <conditionalFormatting sqref="L1692">
    <cfRule type="expression" priority="5415" dxfId="3">
      <formula>$H1692="ETAPA"</formula>
    </cfRule>
  </conditionalFormatting>
  <conditionalFormatting sqref="G1697:M1698 J1696:L1696 L1693 L1699:M1700 O1695:O1696">
    <cfRule type="expression" priority="6892" dxfId="4">
      <formula>$H1693="SUBETAPA"</formula>
    </cfRule>
  </conditionalFormatting>
  <conditionalFormatting sqref="G1697:M1699 J1696:L1696 L1693 L1700:M1700 O1695:O1696">
    <cfRule type="expression" priority="6893" dxfId="5">
      <formula>$H1693="CÉLULA CONSTRUTIVA"</formula>
    </cfRule>
  </conditionalFormatting>
  <conditionalFormatting sqref="L1694">
    <cfRule type="expression" priority="5412" dxfId="5">
      <formula>$H1694="CÉLULA CONSTRUTIVA"</formula>
    </cfRule>
    <cfRule type="expression" priority="5413" dxfId="4">
      <formula>$H1694="SUBETAPA"</formula>
    </cfRule>
  </conditionalFormatting>
  <conditionalFormatting sqref="L1703">
    <cfRule type="expression" priority="5411" dxfId="3">
      <formula>$H1703="ETAPA"</formula>
    </cfRule>
  </conditionalFormatting>
  <conditionalFormatting sqref="G1708:M1709 J1707:L1707 L1704">
    <cfRule type="expression" priority="6888" dxfId="4">
      <formula>$H1704="SUBETAPA"</formula>
    </cfRule>
  </conditionalFormatting>
  <conditionalFormatting sqref="L1704:L1705">
    <cfRule type="expression" priority="5408" dxfId="5">
      <formula>$H1704="CÉLULA CONSTRUTIVA"</formula>
    </cfRule>
  </conditionalFormatting>
  <conditionalFormatting sqref="L1705">
    <cfRule type="expression" priority="5409" dxfId="4">
      <formula>$H1705="SUBETAPA"</formula>
    </cfRule>
  </conditionalFormatting>
  <conditionalFormatting sqref="L1711">
    <cfRule type="expression" priority="5405" dxfId="5">
      <formula>$H1711="CÉLULA CONSTRUTIVA"</formula>
    </cfRule>
    <cfRule type="expression" priority="5406" dxfId="4">
      <formula>$H1711="SUBETAPA"</formula>
    </cfRule>
  </conditionalFormatting>
  <conditionalFormatting sqref="L1712">
    <cfRule type="expression" priority="5404" dxfId="3">
      <formula>$H1712="ETAPA"</formula>
    </cfRule>
  </conditionalFormatting>
  <conditionalFormatting sqref="G1717:M1718 J1716:L1716 L1713">
    <cfRule type="expression" priority="6884" dxfId="4">
      <formula>$H1713="SUBETAPA"</formula>
    </cfRule>
  </conditionalFormatting>
  <conditionalFormatting sqref="L1713:L1714">
    <cfRule type="expression" priority="5401" dxfId="5">
      <formula>$H1713="CÉLULA CONSTRUTIVA"</formula>
    </cfRule>
  </conditionalFormatting>
  <conditionalFormatting sqref="L1714">
    <cfRule type="expression" priority="5402" dxfId="4">
      <formula>$H1714="SUBETAPA"</formula>
    </cfRule>
  </conditionalFormatting>
  <conditionalFormatting sqref="L1720">
    <cfRule type="expression" priority="5398" dxfId="5">
      <formula>$H1720="CÉLULA CONSTRUTIVA"</formula>
    </cfRule>
    <cfRule type="expression" priority="5399" dxfId="4">
      <formula>$H1720="SUBETAPA"</formula>
    </cfRule>
  </conditionalFormatting>
  <conditionalFormatting sqref="L1721">
    <cfRule type="expression" priority="5397" dxfId="3">
      <formula>$H1721="ETAPA"</formula>
    </cfRule>
  </conditionalFormatting>
  <conditionalFormatting sqref="G1726:M1727 J1725:L1725 L1722">
    <cfRule type="expression" priority="6880" dxfId="4">
      <formula>$H1722="SUBETAPA"</formula>
    </cfRule>
  </conditionalFormatting>
  <conditionalFormatting sqref="L1722:L1723">
    <cfRule type="expression" priority="5394" dxfId="5">
      <formula>$H1722="CÉLULA CONSTRUTIVA"</formula>
    </cfRule>
  </conditionalFormatting>
  <conditionalFormatting sqref="L1723">
    <cfRule type="expression" priority="5395" dxfId="4">
      <formula>$H1723="SUBETAPA"</formula>
    </cfRule>
  </conditionalFormatting>
  <conditionalFormatting sqref="L1729">
    <cfRule type="expression" priority="5391" dxfId="5">
      <formula>$H1729="CÉLULA CONSTRUTIVA"</formula>
    </cfRule>
    <cfRule type="expression" priority="5392" dxfId="4">
      <formula>$H1729="SUBETAPA"</formula>
    </cfRule>
  </conditionalFormatting>
  <conditionalFormatting sqref="L1730">
    <cfRule type="expression" priority="5390" dxfId="3">
      <formula>$H1730="ETAPA"</formula>
    </cfRule>
  </conditionalFormatting>
  <conditionalFormatting sqref="G1735:M1736 J1734:L1734 L1731">
    <cfRule type="expression" priority="6876" dxfId="4">
      <formula>$H1731="SUBETAPA"</formula>
    </cfRule>
  </conditionalFormatting>
  <conditionalFormatting sqref="L1731:L1732">
    <cfRule type="expression" priority="5387" dxfId="5">
      <formula>$H1731="CÉLULA CONSTRUTIVA"</formula>
    </cfRule>
  </conditionalFormatting>
  <conditionalFormatting sqref="L1732">
    <cfRule type="expression" priority="5388" dxfId="4">
      <formula>$H1732="SUBETAPA"</formula>
    </cfRule>
  </conditionalFormatting>
  <conditionalFormatting sqref="L1738">
    <cfRule type="expression" priority="5384" dxfId="5">
      <formula>$H1738="CÉLULA CONSTRUTIVA"</formula>
    </cfRule>
    <cfRule type="expression" priority="5385" dxfId="4">
      <formula>$H1738="SUBETAPA"</formula>
    </cfRule>
  </conditionalFormatting>
  <conditionalFormatting sqref="L1739">
    <cfRule type="expression" priority="5383" dxfId="3">
      <formula>$H1739="ETAPA"</formula>
    </cfRule>
  </conditionalFormatting>
  <conditionalFormatting sqref="G1744:M1745 J1743:L1743 L1740 L1746:M1747">
    <cfRule type="expression" priority="6872" dxfId="4">
      <formula>$H1740="SUBETAPA"</formula>
    </cfRule>
  </conditionalFormatting>
  <conditionalFormatting sqref="L1740:L1741">
    <cfRule type="expression" priority="5380" dxfId="5">
      <formula>$H1740="CÉLULA CONSTRUTIVA"</formula>
    </cfRule>
  </conditionalFormatting>
  <conditionalFormatting sqref="L1741">
    <cfRule type="expression" priority="5381" dxfId="4">
      <formula>$H1741="SUBETAPA"</formula>
    </cfRule>
  </conditionalFormatting>
  <conditionalFormatting sqref="L1750">
    <cfRule type="expression" priority="5379" dxfId="3">
      <formula>$H1750="ETAPA"</formula>
    </cfRule>
  </conditionalFormatting>
  <conditionalFormatting sqref="G1755:M1755 H1756:H1757 J1756:L1757 L1751">
    <cfRule type="expression" priority="5378" dxfId="5">
      <formula>$H1751="CÉLULA CONSTRUTIVA"</formula>
    </cfRule>
  </conditionalFormatting>
  <conditionalFormatting sqref="L1751 L1754:M1755 L1756:L1757 M1756:M1759">
    <cfRule type="expression" priority="5377" dxfId="4">
      <formula>$H1751="SUBETAPA"</formula>
    </cfRule>
  </conditionalFormatting>
  <conditionalFormatting sqref="L1752">
    <cfRule type="expression" priority="5375" dxfId="4">
      <formula>$H1752="SUBETAPA"</formula>
    </cfRule>
    <cfRule type="expression" priority="5374" dxfId="5">
      <formula>$H1752="CÉLULA CONSTRUTIVA"</formula>
    </cfRule>
  </conditionalFormatting>
  <conditionalFormatting sqref="L1760:L1762 L1764 L1771 L1776 L1781 L1786 L1791 L1798 L1805 L1808:L1812 L1814 L1821 L1828 L1835 L1842 L1847 L1852 L1855:M1857 L1859:M1859 L1865:M1865 L1868:M1870 L1872:M1872 L1875:M1878 L1880:M1880">
    <cfRule type="expression" priority="5328" dxfId="5">
      <formula>$H1760="CÉLULA CONSTRUTIVA"</formula>
    </cfRule>
  </conditionalFormatting>
  <conditionalFormatting sqref="L1763 L1765:L1766">
    <cfRule type="expression" priority="5373" dxfId="3">
      <formula>$H1763="ETAPA"</formula>
    </cfRule>
  </conditionalFormatting>
  <conditionalFormatting sqref="L1797">
    <cfRule type="expression" priority="5372" dxfId="3">
      <formula>$H1797="ETAPA"</formula>
    </cfRule>
  </conditionalFormatting>
  <conditionalFormatting sqref="L1804 L1806:L1807">
    <cfRule type="expression" priority="5371" dxfId="3">
      <formula>$H1804="ETAPA"</formula>
    </cfRule>
  </conditionalFormatting>
  <conditionalFormatting sqref="L1813">
    <cfRule type="expression" priority="5370" dxfId="3">
      <formula>$H1813="ETAPA"</formula>
    </cfRule>
  </conditionalFormatting>
  <conditionalFormatting sqref="L1820">
    <cfRule type="expression" priority="5369" dxfId="3">
      <formula>$H1820="ETAPA"</formula>
    </cfRule>
  </conditionalFormatting>
  <conditionalFormatting sqref="L1827">
    <cfRule type="expression" priority="5368" dxfId="3">
      <formula>$H1827="ETAPA"</formula>
    </cfRule>
  </conditionalFormatting>
  <conditionalFormatting sqref="L1834">
    <cfRule type="expression" priority="5367" dxfId="3">
      <formula>$H1834="ETAPA"</formula>
    </cfRule>
  </conditionalFormatting>
  <conditionalFormatting sqref="L1841 L1851 L1854 L1858 L1860:L1864 L1866:L1867 L1871 L1873:L1874 L1879 L1881">
    <cfRule type="expression" priority="5366" dxfId="3">
      <formula>$H1841="ETAPA"</formula>
    </cfRule>
  </conditionalFormatting>
  <conditionalFormatting sqref="L1882">
    <cfRule type="expression" priority="5362" dxfId="5">
      <formula>$H1882="CÉLULA CONSTRUTIVA"</formula>
    </cfRule>
    <cfRule type="expression" priority="5361" dxfId="4">
      <formula>$H1882="SUBETAPA"</formula>
    </cfRule>
  </conditionalFormatting>
  <conditionalFormatting sqref="L17:M17">
    <cfRule type="expression" priority="5360" dxfId="6">
      <formula>$H17="SUBETAPA"</formula>
    </cfRule>
  </conditionalFormatting>
  <conditionalFormatting sqref="L37:M38">
    <cfRule type="expression" priority="5272" dxfId="5">
      <formula>$H37="CÉLULA CONSTRUTIVA"</formula>
    </cfRule>
  </conditionalFormatting>
  <conditionalFormatting sqref="L52:M52">
    <cfRule type="expression" priority="5244" dxfId="5">
      <formula>$H52="CÉLULA CONSTRUTIVA"</formula>
    </cfRule>
  </conditionalFormatting>
  <conditionalFormatting sqref="L56:M56">
    <cfRule type="expression" priority="5232" dxfId="5">
      <formula>$H56="CÉLULA CONSTRUTIVA"</formula>
    </cfRule>
  </conditionalFormatting>
  <conditionalFormatting sqref="L80:M83">
    <cfRule type="expression" priority="5359" dxfId="4">
      <formula>$H80="SUBETAPA"</formula>
    </cfRule>
  </conditionalFormatting>
  <conditionalFormatting sqref="L123:M123">
    <cfRule type="expression" priority="5358" dxfId="3">
      <formula>$H123="ETAPA"</formula>
    </cfRule>
  </conditionalFormatting>
  <conditionalFormatting sqref="L126:M126">
    <cfRule type="expression" priority="5357" dxfId="3">
      <formula>$H126="ETAPA"</formula>
    </cfRule>
  </conditionalFormatting>
  <conditionalFormatting sqref="L129:M129">
    <cfRule type="expression" priority="5356" dxfId="3">
      <formula>$H129="ETAPA"</formula>
    </cfRule>
  </conditionalFormatting>
  <conditionalFormatting sqref="L134:M134">
    <cfRule type="expression" priority="5355" dxfId="3">
      <formula>$H134="ETAPA"</formula>
    </cfRule>
  </conditionalFormatting>
  <conditionalFormatting sqref="L137:M137">
    <cfRule type="expression" priority="5354" dxfId="3">
      <formula>$H137="ETAPA"</formula>
    </cfRule>
  </conditionalFormatting>
  <conditionalFormatting sqref="L149:M157">
    <cfRule type="expression" priority="5180" dxfId="5">
      <formula>$H149="CÉLULA CONSTRUTIVA"</formula>
    </cfRule>
  </conditionalFormatting>
  <conditionalFormatting sqref="L159:M167">
    <cfRule type="expression" priority="5173" dxfId="5">
      <formula>$H159="CÉLULA CONSTRUTIVA"</formula>
    </cfRule>
  </conditionalFormatting>
  <conditionalFormatting sqref="L169:M176">
    <cfRule type="expression" priority="5169" dxfId="5">
      <formula>$H169="CÉLULA CONSTRUTIVA"</formula>
    </cfRule>
  </conditionalFormatting>
  <conditionalFormatting sqref="L223:M230">
    <cfRule type="expression" priority="5134" dxfId="5">
      <formula>$H223="CÉLULA CONSTRUTIVA"</formula>
    </cfRule>
  </conditionalFormatting>
  <conditionalFormatting sqref="L232:M239">
    <cfRule type="expression" priority="5130" dxfId="5">
      <formula>$H232="CÉLULA CONSTRUTIVA"</formula>
    </cfRule>
  </conditionalFormatting>
  <conditionalFormatting sqref="L241:M248">
    <cfRule type="expression" priority="5126" dxfId="5">
      <formula>$H241="CÉLULA CONSTRUTIVA"</formula>
    </cfRule>
  </conditionalFormatting>
  <conditionalFormatting sqref="L250:M257">
    <cfRule type="expression" priority="5122" dxfId="5">
      <formula>$H250="CÉLULA CONSTRUTIVA"</formula>
    </cfRule>
  </conditionalFormatting>
  <conditionalFormatting sqref="L259:M266">
    <cfRule type="expression" priority="5118" dxfId="5">
      <formula>$H259="CÉLULA CONSTRUTIVA"</formula>
    </cfRule>
  </conditionalFormatting>
  <conditionalFormatting sqref="L280:M280">
    <cfRule type="expression" priority="5353" dxfId="5">
      <formula>$H280="CÉLULA CONSTRUTIVA"</formula>
    </cfRule>
  </conditionalFormatting>
  <conditionalFormatting sqref="L280:M281">
    <cfRule type="expression" priority="5352" dxfId="4">
      <formula>$H280="SUBETAPA"</formula>
    </cfRule>
  </conditionalFormatting>
  <conditionalFormatting sqref="L283:M283">
    <cfRule type="expression" priority="5350" dxfId="5">
      <formula>$H283="CÉLULA CONSTRUTIVA"</formula>
    </cfRule>
  </conditionalFormatting>
  <conditionalFormatting sqref="L285:M285">
    <cfRule type="expression" priority="5349" dxfId="5">
      <formula>$H285="CÉLULA CONSTRUTIVA"</formula>
    </cfRule>
  </conditionalFormatting>
  <conditionalFormatting sqref="L287:M287">
    <cfRule type="expression" priority="5348" dxfId="5">
      <formula>$H287="CÉLULA CONSTRUTIVA"</formula>
    </cfRule>
  </conditionalFormatting>
  <conditionalFormatting sqref="L289:M289">
    <cfRule type="expression" priority="5347" dxfId="5">
      <formula>$H289="CÉLULA CONSTRUTIVA"</formula>
    </cfRule>
  </conditionalFormatting>
  <conditionalFormatting sqref="L291:M291">
    <cfRule type="expression" priority="5346" dxfId="5">
      <formula>$H291="CÉLULA CONSTRUTIVA"</formula>
    </cfRule>
  </conditionalFormatting>
  <conditionalFormatting sqref="L293:M293">
    <cfRule type="expression" priority="5345" dxfId="5">
      <formula>$H293="CÉLULA CONSTRUTIVA"</formula>
    </cfRule>
  </conditionalFormatting>
  <conditionalFormatting sqref="L295:M295 N296">
    <cfRule type="expression" priority="5343" dxfId="4">
      <formula>$H295="SUBETAPA"</formula>
    </cfRule>
    <cfRule type="expression" priority="5344" dxfId="5">
      <formula>$H295="CÉLULA CONSTRUTIVA"</formula>
    </cfRule>
  </conditionalFormatting>
  <conditionalFormatting sqref="L296:M296">
    <cfRule type="expression" priority="5093" dxfId="5">
      <formula>$H296="CÉLULA CONSTRUTIVA"</formula>
    </cfRule>
  </conditionalFormatting>
  <conditionalFormatting sqref="L297:M297">
    <cfRule type="expression" priority="5342" dxfId="5">
      <formula>$H297="CÉLULA CONSTRUTIVA"</formula>
    </cfRule>
  </conditionalFormatting>
  <conditionalFormatting sqref="L299:M299">
    <cfRule type="expression" priority="5341" dxfId="5">
      <formula>$H299="CÉLULA CONSTRUTIVA"</formula>
    </cfRule>
  </conditionalFormatting>
  <conditionalFormatting sqref="L301:M301">
    <cfRule type="expression" priority="5340" dxfId="5">
      <formula>$H301="CÉLULA CONSTRUTIVA"</formula>
    </cfRule>
  </conditionalFormatting>
  <conditionalFormatting sqref="L303:M303">
    <cfRule type="expression" priority="5339" dxfId="5">
      <formula>$H303="CÉLULA CONSTRUTIVA"</formula>
    </cfRule>
  </conditionalFormatting>
  <conditionalFormatting sqref="L305:M305">
    <cfRule type="expression" priority="5338" dxfId="5">
      <formula>$H305="CÉLULA CONSTRUTIVA"</formula>
    </cfRule>
  </conditionalFormatting>
  <conditionalFormatting sqref="L307:M307">
    <cfRule type="expression" priority="5337" dxfId="5">
      <formula>$H307="CÉLULA CONSTRUTIVA"</formula>
    </cfRule>
  </conditionalFormatting>
  <conditionalFormatting sqref="L309:M309">
    <cfRule type="expression" priority="5336" dxfId="5">
      <formula>$H309="CÉLULA CONSTRUTIVA"</formula>
    </cfRule>
  </conditionalFormatting>
  <conditionalFormatting sqref="L311:M311 N312:O312">
    <cfRule type="expression" priority="5335" dxfId="5">
      <formula>$H311="CÉLULA CONSTRUTIVA"</formula>
    </cfRule>
    <cfRule type="expression" priority="3050" dxfId="4">
      <formula>$H311="SUBETAPA"</formula>
    </cfRule>
  </conditionalFormatting>
  <conditionalFormatting sqref="L347:M347">
    <cfRule type="expression" priority="5334" dxfId="5">
      <formula>$H347="CÉLULA CONSTRUTIVA"</formula>
    </cfRule>
  </conditionalFormatting>
  <conditionalFormatting sqref="L1120:M1128 L1146:M1148 L1153:M1155 L1160:M1162 L1165:M1167 L1170:M1172 L1175:M1177">
    <cfRule type="expression" priority="4474" dxfId="5">
      <formula>$H1120="CÉLULA CONSTRUTIVA"</formula>
    </cfRule>
  </conditionalFormatting>
  <conditionalFormatting sqref="L1131:M1131">
    <cfRule type="expression" priority="5862" dxfId="4">
      <formula>$H1131="SUBETAPA"</formula>
    </cfRule>
  </conditionalFormatting>
  <conditionalFormatting sqref="L1134:M1134">
    <cfRule type="expression" priority="5859" dxfId="4">
      <formula>$H1134="SUBETAPA"</formula>
    </cfRule>
  </conditionalFormatting>
  <conditionalFormatting sqref="L1137:M1137">
    <cfRule type="expression" priority="5856" dxfId="4">
      <formula>$H1137="SUBETAPA"</formula>
    </cfRule>
  </conditionalFormatting>
  <conditionalFormatting sqref="L1140:M1140">
    <cfRule type="expression" priority="5853" dxfId="4">
      <formula>$H1140="SUBETAPA"</formula>
    </cfRule>
  </conditionalFormatting>
  <conditionalFormatting sqref="L1143:M1143">
    <cfRule type="expression" priority="5850" dxfId="4">
      <formula>$H1143="SUBETAPA"</formula>
    </cfRule>
  </conditionalFormatting>
  <conditionalFormatting sqref="L1180:M1180">
    <cfRule type="expression" priority="5793" dxfId="4">
      <formula>$H1180="SUBETAPA"</formula>
    </cfRule>
  </conditionalFormatting>
  <conditionalFormatting sqref="L1444:M1446 L1454:M1456 L1463:M1465 L1470:M1472 L1477:M1479 L1485:M1487 L1495:M1497 L1503:M1505 L1514:M1516 L1547:M1549 L1558:M1559">
    <cfRule type="expression" priority="5330" dxfId="5">
      <formula>$H1444="CÉLULA CONSTRUTIVA"</formula>
    </cfRule>
  </conditionalFormatting>
  <conditionalFormatting sqref="L1525:M1527 L1536:M1538">
    <cfRule type="expression" priority="5332" dxfId="5">
      <formula>$H1525="CÉLULA CONSTRUTIVA"</formula>
    </cfRule>
  </conditionalFormatting>
  <conditionalFormatting sqref="L1525:M1526 L1536:M1537">
    <cfRule type="expression" priority="5331" dxfId="4">
      <formula>$H1525="SUBETAPA"</formula>
    </cfRule>
  </conditionalFormatting>
  <conditionalFormatting sqref="L1444:M1445 L1454:M1455 L1463:M1464 L1470:M1471 L1477:M1478 L1485:M1486 L1495:M1496 L1503:M1504 L1514:M1515 L1547:M1548 L1558:M1559">
    <cfRule type="expression" priority="5329" dxfId="4">
      <formula>$H1444="SUBETAPA"</formula>
    </cfRule>
  </conditionalFormatting>
  <conditionalFormatting sqref="L1760:L1762 L1764 L1771 L1776 L1781 L1786 L1791 L1798 L1805 L1808:L1812 L1814 L1821 L1828 L1835 L1842 L1847 L1852 L1855:M1857 L1859 L1865 L1868:M1870 L1872 L1875:M1878 L1880">
    <cfRule type="expression" priority="5327" dxfId="4">
      <formula>$H1760="SUBETAPA"</formula>
    </cfRule>
  </conditionalFormatting>
  <conditionalFormatting sqref="L48:N48 N45:O45">
    <cfRule type="expression" priority="5326" dxfId="4">
      <formula>$H45="SUBETAPA"</formula>
    </cfRule>
  </conditionalFormatting>
  <conditionalFormatting sqref="L62:N62">
    <cfRule type="expression" priority="5325" dxfId="3">
      <formula>$H62="ETAPA"</formula>
    </cfRule>
  </conditionalFormatting>
  <conditionalFormatting sqref="L65:N65">
    <cfRule type="expression" priority="3445" dxfId="5">
      <formula>$H65="CÉLULA CONSTRUTIVA"</formula>
    </cfRule>
  </conditionalFormatting>
  <conditionalFormatting sqref="L178:N178">
    <cfRule type="expression" priority="5166" dxfId="5">
      <formula>$H178="CÉLULA CONSTRUTIVA"</formula>
    </cfRule>
  </conditionalFormatting>
  <conditionalFormatting sqref="L187:N187">
    <cfRule type="expression" priority="5160" dxfId="5">
      <formula>$H187="CÉLULA CONSTRUTIVA"</formula>
    </cfRule>
  </conditionalFormatting>
  <conditionalFormatting sqref="L196:N196">
    <cfRule type="expression" priority="5154" dxfId="5">
      <formula>$H196="CÉLULA CONSTRUTIVA"</formula>
    </cfRule>
  </conditionalFormatting>
  <conditionalFormatting sqref="L214:N214">
    <cfRule type="expression" priority="5141" dxfId="5">
      <formula>$H214="CÉLULA CONSTRUTIVA"</formula>
    </cfRule>
  </conditionalFormatting>
  <conditionalFormatting sqref="L283:N283">
    <cfRule type="expression" priority="5324" dxfId="3">
      <formula>$H283="ETAPA"</formula>
    </cfRule>
  </conditionalFormatting>
  <conditionalFormatting sqref="L284:N284">
    <cfRule type="expression" priority="5111" dxfId="5">
      <formula>$H284="CÉLULA CONSTRUTIVA"</formula>
    </cfRule>
  </conditionalFormatting>
  <conditionalFormatting sqref="L285:N285">
    <cfRule type="expression" priority="5323" dxfId="3">
      <formula>$H285="ETAPA"</formula>
    </cfRule>
  </conditionalFormatting>
  <conditionalFormatting sqref="L286:N286">
    <cfRule type="expression" priority="5108" dxfId="5">
      <formula>$H286="CÉLULA CONSTRUTIVA"</formula>
    </cfRule>
  </conditionalFormatting>
  <conditionalFormatting sqref="L287:N287">
    <cfRule type="expression" priority="5322" dxfId="3">
      <formula>$H287="ETAPA"</formula>
    </cfRule>
  </conditionalFormatting>
  <conditionalFormatting sqref="L288:N288">
    <cfRule type="expression" priority="5105" dxfId="5">
      <formula>$H288="CÉLULA CONSTRUTIVA"</formula>
    </cfRule>
  </conditionalFormatting>
  <conditionalFormatting sqref="L289:N289">
    <cfRule type="expression" priority="5321" dxfId="3">
      <formula>$H289="ETAPA"</formula>
    </cfRule>
  </conditionalFormatting>
  <conditionalFormatting sqref="L290:N290">
    <cfRule type="expression" priority="5102" dxfId="5">
      <formula>$H290="CÉLULA CONSTRUTIVA"</formula>
    </cfRule>
  </conditionalFormatting>
  <conditionalFormatting sqref="L291:N291">
    <cfRule type="expression" priority="5320" dxfId="3">
      <formula>$H291="ETAPA"</formula>
    </cfRule>
  </conditionalFormatting>
  <conditionalFormatting sqref="L292:N292">
    <cfRule type="expression" priority="5099" dxfId="5">
      <formula>$H292="CÉLULA CONSTRUTIVA"</formula>
    </cfRule>
  </conditionalFormatting>
  <conditionalFormatting sqref="L293:N293">
    <cfRule type="expression" priority="5319" dxfId="3">
      <formula>$H293="ETAPA"</formula>
    </cfRule>
  </conditionalFormatting>
  <conditionalFormatting sqref="L294:N294">
    <cfRule type="expression" priority="5096" dxfId="5">
      <formula>$H294="CÉLULA CONSTRUTIVA"</formula>
    </cfRule>
  </conditionalFormatting>
  <conditionalFormatting sqref="L295:N295">
    <cfRule type="expression" priority="5318" dxfId="3">
      <formula>$H295="ETAPA"</formula>
    </cfRule>
  </conditionalFormatting>
  <conditionalFormatting sqref="L297:N297">
    <cfRule type="expression" priority="5317" dxfId="3">
      <formula>$H297="ETAPA"</formula>
    </cfRule>
  </conditionalFormatting>
  <conditionalFormatting sqref="L298:N298">
    <cfRule type="expression" priority="5090" dxfId="5">
      <formula>$H298="CÉLULA CONSTRUTIVA"</formula>
    </cfRule>
  </conditionalFormatting>
  <conditionalFormatting sqref="L299:N299">
    <cfRule type="expression" priority="5316" dxfId="3">
      <formula>$H299="ETAPA"</formula>
    </cfRule>
  </conditionalFormatting>
  <conditionalFormatting sqref="L300:N300">
    <cfRule type="expression" priority="5087" dxfId="5">
      <formula>$H300="CÉLULA CONSTRUTIVA"</formula>
    </cfRule>
  </conditionalFormatting>
  <conditionalFormatting sqref="L301:N301">
    <cfRule type="expression" priority="5315" dxfId="3">
      <formula>$H301="ETAPA"</formula>
    </cfRule>
  </conditionalFormatting>
  <conditionalFormatting sqref="L302:N302">
    <cfRule type="expression" priority="5084" dxfId="5">
      <formula>$H302="CÉLULA CONSTRUTIVA"</formula>
    </cfRule>
  </conditionalFormatting>
  <conditionalFormatting sqref="L303:N303">
    <cfRule type="expression" priority="5314" dxfId="3">
      <formula>$H303="ETAPA"</formula>
    </cfRule>
  </conditionalFormatting>
  <conditionalFormatting sqref="L304:N304">
    <cfRule type="expression" priority="5081" dxfId="5">
      <formula>$H304="CÉLULA CONSTRUTIVA"</formula>
    </cfRule>
  </conditionalFormatting>
  <conditionalFormatting sqref="L305:N305">
    <cfRule type="expression" priority="5313" dxfId="3">
      <formula>$H305="ETAPA"</formula>
    </cfRule>
  </conditionalFormatting>
  <conditionalFormatting sqref="L306:N306">
    <cfRule type="expression" priority="5078" dxfId="5">
      <formula>$H306="CÉLULA CONSTRUTIVA"</formula>
    </cfRule>
  </conditionalFormatting>
  <conditionalFormatting sqref="L307:N307">
    <cfRule type="expression" priority="5312" dxfId="3">
      <formula>$H307="ETAPA"</formula>
    </cfRule>
  </conditionalFormatting>
  <conditionalFormatting sqref="L308:N308">
    <cfRule type="expression" priority="5075" dxfId="5">
      <formula>$H308="CÉLULA CONSTRUTIVA"</formula>
    </cfRule>
  </conditionalFormatting>
  <conditionalFormatting sqref="L309:N309">
    <cfRule type="expression" priority="5311" dxfId="3">
      <formula>$H309="ETAPA"</formula>
    </cfRule>
  </conditionalFormatting>
  <conditionalFormatting sqref="L310:N310">
    <cfRule type="expression" priority="5072" dxfId="5">
      <formula>$H310="CÉLULA CONSTRUTIVA"</formula>
    </cfRule>
  </conditionalFormatting>
  <conditionalFormatting sqref="L311:N311">
    <cfRule type="expression" priority="5310" dxfId="3">
      <formula>$H311="ETAPA"</formula>
    </cfRule>
  </conditionalFormatting>
  <conditionalFormatting sqref="L347:N347">
    <cfRule type="expression" priority="5309" dxfId="3">
      <formula>$H347="ETAPA"</formula>
    </cfRule>
  </conditionalFormatting>
  <conditionalFormatting sqref="M20">
    <cfRule type="expression" priority="5308" dxfId="3">
      <formula>$H20="ETAPA"</formula>
    </cfRule>
    <cfRule type="expression" priority="5306" dxfId="4">
      <formula>$H20="SUBETAPA"</formula>
    </cfRule>
  </conditionalFormatting>
  <conditionalFormatting sqref="M21:M22">
    <cfRule type="expression" priority="5303" dxfId="5">
      <formula>$H21="CÉLULA CONSTRUTIVA"</formula>
    </cfRule>
  </conditionalFormatting>
  <conditionalFormatting sqref="M22">
    <cfRule type="expression" priority="5302" dxfId="4">
      <formula>$H22="SUBETAPA"</formula>
    </cfRule>
    <cfRule type="expression" priority="5301" dxfId="3">
      <formula>$H22="ETAPA"</formula>
    </cfRule>
    <cfRule type="expression" priority="5300" dxfId="5">
      <formula>$H22="CÉLULA CONSTRUTIVA"</formula>
    </cfRule>
    <cfRule type="expression" priority="5299" dxfId="3">
      <formula>$H22="ETAPA"</formula>
    </cfRule>
  </conditionalFormatting>
  <conditionalFormatting sqref="M22:M23">
    <cfRule type="expression" priority="5304" dxfId="3">
      <formula>$H22="ETAPA"</formula>
    </cfRule>
    <cfRule type="expression" priority="5297" dxfId="5">
      <formula>$H22="CÉLULA CONSTRUTIVA"</formula>
    </cfRule>
  </conditionalFormatting>
  <conditionalFormatting sqref="M23">
    <cfRule type="expression" priority="5296" dxfId="4">
      <formula>$H23="SUBETAPA"</formula>
    </cfRule>
  </conditionalFormatting>
  <conditionalFormatting sqref="M26:M30">
    <cfRule type="expression" priority="5292" dxfId="5">
      <formula>$H26="CÉLULA CONSTRUTIVA"</formula>
    </cfRule>
  </conditionalFormatting>
  <conditionalFormatting sqref="M28:M30">
    <cfRule type="expression" priority="5293" dxfId="3">
      <formula>$H28="ETAPA"</formula>
    </cfRule>
  </conditionalFormatting>
  <conditionalFormatting sqref="M29">
    <cfRule type="expression" priority="5291" dxfId="3">
      <formula>$H29="ETAPA"</formula>
    </cfRule>
  </conditionalFormatting>
  <conditionalFormatting sqref="M29:M30">
    <cfRule type="expression" priority="5288" dxfId="5">
      <formula>$H29="CÉLULA CONSTRUTIVA"</formula>
    </cfRule>
  </conditionalFormatting>
  <conditionalFormatting sqref="M30">
    <cfRule type="expression" priority="5289" dxfId="3">
      <formula>$H30="ETAPA"</formula>
    </cfRule>
  </conditionalFormatting>
  <conditionalFormatting sqref="M32">
    <cfRule type="expression" priority="5287" dxfId="3">
      <formula>$H32="ETAPA"</formula>
    </cfRule>
  </conditionalFormatting>
  <conditionalFormatting sqref="M33:M36">
    <cfRule type="expression" priority="5285" dxfId="3">
      <formula>$H33="ETAPA"</formula>
    </cfRule>
  </conditionalFormatting>
  <conditionalFormatting sqref="M34:M36">
    <cfRule type="expression" priority="5284" dxfId="5">
      <formula>$H34="CÉLULA CONSTRUTIVA"</formula>
    </cfRule>
  </conditionalFormatting>
  <conditionalFormatting sqref="M35">
    <cfRule type="expression" priority="5283" dxfId="3">
      <formula>$H35="ETAPA"</formula>
    </cfRule>
  </conditionalFormatting>
  <conditionalFormatting sqref="M35:M37">
    <cfRule type="expression" priority="5277" dxfId="5">
      <formula>$H35="CÉLULA CONSTRUTIVA"</formula>
    </cfRule>
  </conditionalFormatting>
  <conditionalFormatting sqref="M36">
    <cfRule type="expression" priority="5281" dxfId="3">
      <formula>$H36="ETAPA"</formula>
    </cfRule>
  </conditionalFormatting>
  <conditionalFormatting sqref="M37">
    <cfRule type="expression" priority="5279" dxfId="4">
      <formula>$H37="SUBETAPA"</formula>
    </cfRule>
    <cfRule type="expression" priority="5276" dxfId="3">
      <formula>$H37="ETAPA"</formula>
    </cfRule>
    <cfRule type="expression" priority="5278" dxfId="3">
      <formula>$H37="ETAPA"</formula>
    </cfRule>
  </conditionalFormatting>
  <conditionalFormatting sqref="M38">
    <cfRule type="expression" priority="5274" dxfId="4">
      <formula>$H38="SUBETAPA"</formula>
    </cfRule>
    <cfRule type="expression" priority="5273" dxfId="3">
      <formula>$H38="ETAPA"</formula>
    </cfRule>
    <cfRule type="expression" priority="5271" dxfId="3">
      <formula>$H38="ETAPA"</formula>
    </cfRule>
    <cfRule type="expression" priority="5270" dxfId="5">
      <formula>$H38="CÉLULA CONSTRUTIVA"</formula>
    </cfRule>
  </conditionalFormatting>
  <conditionalFormatting sqref="M40">
    <cfRule type="expression" priority="5266" dxfId="3">
      <formula>$H40="ETAPA"</formula>
    </cfRule>
    <cfRule type="expression" priority="5265" dxfId="5">
      <formula>$H40="CÉLULA CONSTRUTIVA"</formula>
    </cfRule>
    <cfRule type="expression" priority="5269" dxfId="4">
      <formula>$H40="SUBETAPA"</formula>
    </cfRule>
    <cfRule type="expression" priority="5268" dxfId="3">
      <formula>$H40="ETAPA"</formula>
    </cfRule>
  </conditionalFormatting>
  <conditionalFormatting sqref="M42:M45">
    <cfRule type="expression" priority="5262" dxfId="5">
      <formula>$H42="CÉLULA CONSTRUTIVA"</formula>
    </cfRule>
  </conditionalFormatting>
  <conditionalFormatting sqref="M44:M45 M48">
    <cfRule type="expression" priority="5263" dxfId="3">
      <formula>$H44="ETAPA"</formula>
    </cfRule>
  </conditionalFormatting>
  <conditionalFormatting sqref="M45">
    <cfRule type="expression" priority="5261" dxfId="3">
      <formula>$H45="ETAPA"</formula>
    </cfRule>
  </conditionalFormatting>
  <conditionalFormatting sqref="M45:M46">
    <cfRule type="expression" priority="5257" dxfId="5">
      <formula>$H45="CÉLULA CONSTRUTIVA"</formula>
    </cfRule>
  </conditionalFormatting>
  <conditionalFormatting sqref="M46">
    <cfRule type="expression" priority="5259" dxfId="4">
      <formula>$H46="SUBETAPA"</formula>
    </cfRule>
    <cfRule type="expression" priority="5256" dxfId="3">
      <formula>$H46="ETAPA"</formula>
    </cfRule>
  </conditionalFormatting>
  <conditionalFormatting sqref="M46:M48">
    <cfRule type="expression" priority="5252" dxfId="5">
      <formula>$H46="CÉLULA CONSTRUTIVA"</formula>
    </cfRule>
  </conditionalFormatting>
  <conditionalFormatting sqref="M47">
    <cfRule type="expression" priority="5254" dxfId="4">
      <formula>$H47="SUBETAPA"</formula>
    </cfRule>
    <cfRule type="expression" priority="5253" dxfId="3">
      <formula>$H47="ETAPA"</formula>
    </cfRule>
    <cfRule type="expression" priority="5251" dxfId="3">
      <formula>$H47="ETAPA"</formula>
    </cfRule>
  </conditionalFormatting>
  <conditionalFormatting sqref="M48">
    <cfRule type="expression" priority="5249" dxfId="3">
      <formula>$H48="ETAPA"</formula>
    </cfRule>
    <cfRule type="expression" priority="5248" dxfId="5">
      <formula>$H48="CÉLULA CONSTRUTIVA"</formula>
    </cfRule>
  </conditionalFormatting>
  <conditionalFormatting sqref="M50">
    <cfRule type="expression" priority="5247" dxfId="3">
      <formula>$H50="ETAPA"</formula>
    </cfRule>
  </conditionalFormatting>
  <conditionalFormatting sqref="M52">
    <cfRule type="expression" priority="5245" dxfId="3">
      <formula>$H52="ETAPA"</formula>
    </cfRule>
  </conditionalFormatting>
  <conditionalFormatting sqref="M53">
    <cfRule type="expression" priority="5243" dxfId="4">
      <formula>$H53="SUBETAPA"</formula>
    </cfRule>
    <cfRule type="expression" priority="5241" dxfId="5">
      <formula>$H53="CÉLULA CONSTRUTIVA"</formula>
    </cfRule>
    <cfRule type="expression" priority="5240" dxfId="3">
      <formula>$H53="ETAPA"</formula>
    </cfRule>
  </conditionalFormatting>
  <conditionalFormatting sqref="M53:M54">
    <cfRule type="expression" priority="5236" dxfId="5">
      <formula>$H53="CÉLULA CONSTRUTIVA"</formula>
    </cfRule>
  </conditionalFormatting>
  <conditionalFormatting sqref="M54">
    <cfRule type="expression" priority="5235" dxfId="3">
      <formula>$H54="ETAPA"</formula>
    </cfRule>
    <cfRule type="expression" priority="5238" dxfId="4">
      <formula>$H54="SUBETAPA"</formula>
    </cfRule>
    <cfRule type="expression" priority="5234" dxfId="5">
      <formula>$H54="CÉLULA CONSTRUTIVA"</formula>
    </cfRule>
  </conditionalFormatting>
  <conditionalFormatting sqref="M56">
    <cfRule type="expression" priority="5233" dxfId="3">
      <formula>$H56="ETAPA"</formula>
    </cfRule>
  </conditionalFormatting>
  <conditionalFormatting sqref="M57">
    <cfRule type="expression" priority="5229" dxfId="4">
      <formula>$H57="SUBETAPA"</formula>
    </cfRule>
    <cfRule type="expression" priority="5230" dxfId="5">
      <formula>$H57="CÉLULA CONSTRUTIVA"</formula>
    </cfRule>
  </conditionalFormatting>
  <conditionalFormatting sqref="M58">
    <cfRule type="expression" priority="5228" dxfId="5">
      <formula>$H58="CÉLULA CONSTRUTIVA"</formula>
    </cfRule>
  </conditionalFormatting>
  <conditionalFormatting sqref="M64">
    <cfRule type="expression" priority="5227" dxfId="3">
      <formula>$H64="ETAPA"</formula>
    </cfRule>
  </conditionalFormatting>
  <conditionalFormatting sqref="M64:M65">
    <cfRule type="expression" priority="5223" dxfId="5">
      <formula>$H64="CÉLULA CONSTRUTIVA"</formula>
    </cfRule>
  </conditionalFormatting>
  <conditionalFormatting sqref="M65">
    <cfRule type="expression" priority="5225" dxfId="4">
      <formula>$H65="SUBETAPA"</formula>
    </cfRule>
    <cfRule type="expression" priority="5224" dxfId="3">
      <formula>$H65="ETAPA"</formula>
    </cfRule>
    <cfRule type="expression" priority="5222" dxfId="3">
      <formula>$H65="ETAPA"</formula>
    </cfRule>
  </conditionalFormatting>
  <conditionalFormatting sqref="M66:M68">
    <cfRule type="expression" priority="5220" dxfId="3">
      <formula>$H66="ETAPA"</formula>
    </cfRule>
    <cfRule type="expression" priority="5219" dxfId="5">
      <formula>$H66="CÉLULA CONSTRUTIVA"</formula>
    </cfRule>
  </conditionalFormatting>
  <conditionalFormatting sqref="M67">
    <cfRule type="expression" priority="5218" dxfId="3">
      <formula>$H67="ETAPA"</formula>
    </cfRule>
    <cfRule type="expression" priority="5217" dxfId="5">
      <formula>$H67="CÉLULA CONSTRUTIVA"</formula>
    </cfRule>
  </conditionalFormatting>
  <conditionalFormatting sqref="M77">
    <cfRule type="expression" priority="5216" dxfId="5">
      <formula>$H77="CÉLULA CONSTRUTIVA"</formula>
    </cfRule>
  </conditionalFormatting>
  <conditionalFormatting sqref="I80:K82 M80:M83">
    <cfRule type="expression" priority="7983" dxfId="3">
      <formula>$H80="ETAPA"</formula>
    </cfRule>
  </conditionalFormatting>
  <conditionalFormatting sqref="M84">
    <cfRule type="expression" priority="5215" dxfId="3">
      <formula>$H84="ETAPA"</formula>
    </cfRule>
  </conditionalFormatting>
  <conditionalFormatting sqref="M84:M93">
    <cfRule type="expression" priority="5211" dxfId="5">
      <formula>$H84="CÉLULA CONSTRUTIVA"</formula>
    </cfRule>
  </conditionalFormatting>
  <conditionalFormatting sqref="M85:M93">
    <cfRule type="expression" priority="5213" dxfId="3">
      <formula>$H85="ETAPA"</formula>
    </cfRule>
  </conditionalFormatting>
  <conditionalFormatting sqref="M96:M98">
    <cfRule type="expression" priority="5209" dxfId="5">
      <formula>$H96="CÉLULA CONSTRUTIVA"</formula>
    </cfRule>
  </conditionalFormatting>
  <conditionalFormatting sqref="M97:M98">
    <cfRule type="expression" priority="5208" dxfId="4">
      <formula>$H97="SUBETAPA"</formula>
    </cfRule>
  </conditionalFormatting>
  <conditionalFormatting sqref="M100:M101">
    <cfRule type="expression" priority="5210" dxfId="5">
      <formula>$H100="CÉLULA CONSTRUTIVA"</formula>
    </cfRule>
  </conditionalFormatting>
  <conditionalFormatting sqref="M104">
    <cfRule type="expression" priority="5207" dxfId="5">
      <formula>$H104="CÉLULA CONSTRUTIVA"</formula>
    </cfRule>
  </conditionalFormatting>
  <conditionalFormatting sqref="M106">
    <cfRule type="expression" priority="5206" dxfId="5">
      <formula>$H106="CÉLULA CONSTRUTIVA"</formula>
    </cfRule>
  </conditionalFormatting>
  <conditionalFormatting sqref="M108">
    <cfRule type="expression" priority="5205" dxfId="5">
      <formula>$H108="CÉLULA CONSTRUTIVA"</formula>
    </cfRule>
  </conditionalFormatting>
  <conditionalFormatting sqref="M110">
    <cfRule type="expression" priority="5204" dxfId="5">
      <formula>$H110="CÉLULA CONSTRUTIVA"</formula>
    </cfRule>
  </conditionalFormatting>
  <conditionalFormatting sqref="M112">
    <cfRule type="expression" priority="5203" dxfId="5">
      <formula>$H112="CÉLULA CONSTRUTIVA"</formula>
    </cfRule>
  </conditionalFormatting>
  <conditionalFormatting sqref="M114">
    <cfRule type="expression" priority="5201" dxfId="4">
      <formula>$H114="SUBETAPA"</formula>
    </cfRule>
    <cfRule type="expression" priority="5202" dxfId="5">
      <formula>$H114="CÉLULA CONSTRUTIVA"</formula>
    </cfRule>
  </conditionalFormatting>
  <conditionalFormatting sqref="M116">
    <cfRule type="expression" priority="5200" dxfId="5">
      <formula>$H116="CÉLULA CONSTRUTIVA"</formula>
    </cfRule>
  </conditionalFormatting>
  <conditionalFormatting sqref="M118">
    <cfRule type="expression" priority="5199" dxfId="5">
      <formula>$H118="CÉLULA CONSTRUTIVA"</formula>
    </cfRule>
  </conditionalFormatting>
  <conditionalFormatting sqref="M120">
    <cfRule type="expression" priority="5198" dxfId="5">
      <formula>$H120="CÉLULA CONSTRUTIVA"</formula>
    </cfRule>
  </conditionalFormatting>
  <conditionalFormatting sqref="M122">
    <cfRule type="expression" priority="5196" dxfId="4">
      <formula>$H122="SUBETAPA"</formula>
    </cfRule>
    <cfRule type="expression" priority="5197" dxfId="5">
      <formula>$H122="CÉLULA CONSTRUTIVA"</formula>
    </cfRule>
  </conditionalFormatting>
  <conditionalFormatting sqref="M125">
    <cfRule type="expression" priority="5194" dxfId="4">
      <formula>$H125="SUBETAPA"</formula>
    </cfRule>
    <cfRule type="expression" priority="5195" dxfId="5">
      <formula>$H125="CÉLULA CONSTRUTIVA"</formula>
    </cfRule>
  </conditionalFormatting>
  <conditionalFormatting sqref="M128">
    <cfRule type="expression" priority="5192" dxfId="4">
      <formula>$H128="SUBETAPA"</formula>
    </cfRule>
    <cfRule type="expression" priority="5193" dxfId="5">
      <formula>$H128="CÉLULA CONSTRUTIVA"</formula>
    </cfRule>
  </conditionalFormatting>
  <conditionalFormatting sqref="M131">
    <cfRule type="expression" priority="5191" dxfId="5">
      <formula>$H131="CÉLULA CONSTRUTIVA"</formula>
    </cfRule>
  </conditionalFormatting>
  <conditionalFormatting sqref="M133">
    <cfRule type="expression" priority="5189" dxfId="4">
      <formula>$H133="SUBETAPA"</formula>
    </cfRule>
    <cfRule type="expression" priority="5190" dxfId="5">
      <formula>$H133="CÉLULA CONSTRUTIVA"</formula>
    </cfRule>
  </conditionalFormatting>
  <conditionalFormatting sqref="M136">
    <cfRule type="expression" priority="5188" dxfId="5">
      <formula>$H136="CÉLULA CONSTRUTIVA"</formula>
    </cfRule>
    <cfRule type="expression" priority="5187" dxfId="4">
      <formula>$H136="SUBETAPA"</formula>
    </cfRule>
  </conditionalFormatting>
  <conditionalFormatting sqref="M148">
    <cfRule type="expression" priority="5186" dxfId="4">
      <formula>$H148="SUBETAPA"</formula>
    </cfRule>
  </conditionalFormatting>
  <conditionalFormatting sqref="M149:M156">
    <cfRule type="expression" priority="5184" dxfId="4">
      <formula>$H149="SUBETAPA"</formula>
    </cfRule>
    <cfRule type="expression" priority="5185" dxfId="3">
      <formula>$H149="ETAPA"</formula>
    </cfRule>
  </conditionalFormatting>
  <conditionalFormatting sqref="M157">
    <cfRule type="expression" priority="5181" dxfId="4">
      <formula>$H157="SUBETAPA"</formula>
    </cfRule>
    <cfRule type="expression" priority="5182" dxfId="3">
      <formula>$H157="ETAPA"</formula>
    </cfRule>
  </conditionalFormatting>
  <conditionalFormatting sqref="M158">
    <cfRule type="expression" priority="5179" dxfId="4">
      <formula>$H158="SUBETAPA"</formula>
    </cfRule>
  </conditionalFormatting>
  <conditionalFormatting sqref="M159:M166">
    <cfRule type="expression" priority="5177" dxfId="4">
      <formula>$H159="SUBETAPA"</formula>
    </cfRule>
    <cfRule type="expression" priority="5178" dxfId="3">
      <formula>$H159="ETAPA"</formula>
    </cfRule>
  </conditionalFormatting>
  <conditionalFormatting sqref="M167">
    <cfRule type="expression" priority="5175" dxfId="3">
      <formula>$H167="ETAPA"</formula>
    </cfRule>
    <cfRule type="expression" priority="5174" dxfId="4">
      <formula>$H167="SUBETAPA"</formula>
    </cfRule>
  </conditionalFormatting>
  <conditionalFormatting sqref="M168">
    <cfRule type="expression" priority="5172" dxfId="4">
      <formula>$H168="SUBETAPA"</formula>
    </cfRule>
  </conditionalFormatting>
  <conditionalFormatting sqref="M169:M176">
    <cfRule type="expression" priority="5171" dxfId="3">
      <formula>$H169="ETAPA"</formula>
    </cfRule>
    <cfRule type="expression" priority="5170" dxfId="4">
      <formula>$H169="SUBETAPA"</formula>
    </cfRule>
  </conditionalFormatting>
  <conditionalFormatting sqref="M178">
    <cfRule type="expression" priority="5168" dxfId="3">
      <formula>$H178="ETAPA"</formula>
    </cfRule>
    <cfRule type="expression" priority="5167" dxfId="4">
      <formula>$H178="SUBETAPA"</formula>
    </cfRule>
  </conditionalFormatting>
  <conditionalFormatting sqref="M185">
    <cfRule type="expression" priority="5165" dxfId="3">
      <formula>$H185="ETAPA"</formula>
    </cfRule>
    <cfRule type="expression" priority="5164" dxfId="4">
      <formula>$H185="SUBETAPA"</formula>
    </cfRule>
  </conditionalFormatting>
  <conditionalFormatting sqref="M187">
    <cfRule type="expression" priority="5162" dxfId="3">
      <formula>$H187="ETAPA"</formula>
    </cfRule>
    <cfRule type="expression" priority="5161" dxfId="4">
      <formula>$H187="SUBETAPA"</formula>
    </cfRule>
  </conditionalFormatting>
  <conditionalFormatting sqref="M194">
    <cfRule type="expression" priority="5159" dxfId="3">
      <formula>$H194="ETAPA"</formula>
    </cfRule>
    <cfRule type="expression" priority="5158" dxfId="4">
      <formula>$H194="SUBETAPA"</formula>
    </cfRule>
  </conditionalFormatting>
  <conditionalFormatting sqref="M196">
    <cfRule type="expression" priority="5156" dxfId="3">
      <formula>$H196="ETAPA"</formula>
    </cfRule>
    <cfRule type="expression" priority="5155" dxfId="4">
      <formula>$H196="SUBETAPA"</formula>
    </cfRule>
  </conditionalFormatting>
  <conditionalFormatting sqref="M203">
    <cfRule type="expression" priority="5153" dxfId="3">
      <formula>$H203="ETAPA"</formula>
    </cfRule>
    <cfRule type="expression" priority="5152" dxfId="4">
      <formula>$H203="SUBETAPA"</formula>
    </cfRule>
    <cfRule type="expression" priority="5151" dxfId="5">
      <formula>$H203="CÉLULA CONSTRUTIVA"</formula>
    </cfRule>
  </conditionalFormatting>
  <conditionalFormatting sqref="M204">
    <cfRule type="expression" priority="5150" dxfId="4">
      <formula>$H204="SUBETAPA"</formula>
    </cfRule>
  </conditionalFormatting>
  <conditionalFormatting sqref="M205">
    <cfRule type="expression" priority="5148" dxfId="4">
      <formula>$H205="SUBETAPA"</formula>
    </cfRule>
    <cfRule type="expression" priority="5147" dxfId="5">
      <formula>$H205="CÉLULA CONSTRUTIVA"</formula>
    </cfRule>
    <cfRule type="expression" priority="5149" dxfId="3">
      <formula>$H205="ETAPA"</formula>
    </cfRule>
  </conditionalFormatting>
  <conditionalFormatting sqref="M212">
    <cfRule type="expression" priority="5146" dxfId="3">
      <formula>$H212="ETAPA"</formula>
    </cfRule>
    <cfRule type="expression" priority="5145" dxfId="4">
      <formula>$H212="SUBETAPA"</formula>
    </cfRule>
  </conditionalFormatting>
  <conditionalFormatting sqref="M214">
    <cfRule type="expression" priority="5142" dxfId="4">
      <formula>$H214="SUBETAPA"</formula>
    </cfRule>
    <cfRule type="expression" priority="5143" dxfId="3">
      <formula>$H214="ETAPA"</formula>
    </cfRule>
  </conditionalFormatting>
  <conditionalFormatting sqref="M221">
    <cfRule type="expression" priority="5139" dxfId="4">
      <formula>$H221="SUBETAPA"</formula>
    </cfRule>
    <cfRule type="expression" priority="5140" dxfId="3">
      <formula>$H221="ETAPA"</formula>
    </cfRule>
  </conditionalFormatting>
  <conditionalFormatting sqref="M222">
    <cfRule type="expression" priority="5137" dxfId="4">
      <formula>$H222="SUBETAPA"</formula>
    </cfRule>
  </conditionalFormatting>
  <conditionalFormatting sqref="M223:M230">
    <cfRule type="expression" priority="5135" dxfId="4">
      <formula>$H223="SUBETAPA"</formula>
    </cfRule>
    <cfRule type="expression" priority="5136" dxfId="3">
      <formula>$H223="ETAPA"</formula>
    </cfRule>
  </conditionalFormatting>
  <conditionalFormatting sqref="M231">
    <cfRule type="expression" priority="5133" dxfId="4">
      <formula>$H231="SUBETAPA"</formula>
    </cfRule>
  </conditionalFormatting>
  <conditionalFormatting sqref="M232:M239">
    <cfRule type="expression" priority="5131" dxfId="4">
      <formula>$H232="SUBETAPA"</formula>
    </cfRule>
    <cfRule type="expression" priority="5132" dxfId="3">
      <formula>$H232="ETAPA"</formula>
    </cfRule>
  </conditionalFormatting>
  <conditionalFormatting sqref="M240">
    <cfRule type="expression" priority="5129" dxfId="4">
      <formula>$H240="SUBETAPA"</formula>
    </cfRule>
  </conditionalFormatting>
  <conditionalFormatting sqref="M241:M248">
    <cfRule type="expression" priority="5127" dxfId="4">
      <formula>$H241="SUBETAPA"</formula>
    </cfRule>
    <cfRule type="expression" priority="5128" dxfId="3">
      <formula>$H241="ETAPA"</formula>
    </cfRule>
  </conditionalFormatting>
  <conditionalFormatting sqref="M249">
    <cfRule type="expression" priority="5125" dxfId="4">
      <formula>$H249="SUBETAPA"</formula>
    </cfRule>
  </conditionalFormatting>
  <conditionalFormatting sqref="M250:M257">
    <cfRule type="expression" priority="5123" dxfId="4">
      <formula>$H250="SUBETAPA"</formula>
    </cfRule>
    <cfRule type="expression" priority="5124" dxfId="3">
      <formula>$H250="ETAPA"</formula>
    </cfRule>
  </conditionalFormatting>
  <conditionalFormatting sqref="M258">
    <cfRule type="expression" priority="5121" dxfId="4">
      <formula>$H258="SUBETAPA"</formula>
    </cfRule>
  </conditionalFormatting>
  <conditionalFormatting sqref="M259:M266">
    <cfRule type="expression" priority="5119" dxfId="4">
      <formula>$H259="SUBETAPA"</formula>
    </cfRule>
    <cfRule type="expression" priority="5120" dxfId="3">
      <formula>$H259="ETAPA"</formula>
    </cfRule>
  </conditionalFormatting>
  <conditionalFormatting sqref="M267">
    <cfRule type="expression" priority="5117" dxfId="4">
      <formula>$H267="SUBETAPA"</formula>
    </cfRule>
  </conditionalFormatting>
  <conditionalFormatting sqref="M282">
    <cfRule type="expression" priority="5116" dxfId="3">
      <formula>$H282="ETAPA"</formula>
    </cfRule>
    <cfRule type="expression" priority="5115" dxfId="4">
      <formula>$H282="SUBETAPA"</formula>
    </cfRule>
  </conditionalFormatting>
  <conditionalFormatting sqref="M284">
    <cfRule type="expression" priority="5112" dxfId="4">
      <formula>$H284="SUBETAPA"</formula>
    </cfRule>
    <cfRule type="expression" priority="5113" dxfId="3">
      <formula>$H284="ETAPA"</formula>
    </cfRule>
  </conditionalFormatting>
  <conditionalFormatting sqref="M286">
    <cfRule type="expression" priority="5109" dxfId="4">
      <formula>$H286="SUBETAPA"</formula>
    </cfRule>
    <cfRule type="expression" priority="5110" dxfId="3">
      <formula>$H286="ETAPA"</formula>
    </cfRule>
  </conditionalFormatting>
  <conditionalFormatting sqref="M288">
    <cfRule type="expression" priority="5107" dxfId="3">
      <formula>$H288="ETAPA"</formula>
    </cfRule>
    <cfRule type="expression" priority="5106" dxfId="4">
      <formula>$H288="SUBETAPA"</formula>
    </cfRule>
  </conditionalFormatting>
  <conditionalFormatting sqref="M290">
    <cfRule type="expression" priority="5103" dxfId="4">
      <formula>$H290="SUBETAPA"</formula>
    </cfRule>
    <cfRule type="expression" priority="5104" dxfId="3">
      <formula>$H290="ETAPA"</formula>
    </cfRule>
  </conditionalFormatting>
  <conditionalFormatting sqref="M292">
    <cfRule type="expression" priority="5100" dxfId="4">
      <formula>$H292="SUBETAPA"</formula>
    </cfRule>
    <cfRule type="expression" priority="5101" dxfId="3">
      <formula>$H292="ETAPA"</formula>
    </cfRule>
  </conditionalFormatting>
  <conditionalFormatting sqref="M294">
    <cfRule type="expression" priority="5097" dxfId="4">
      <formula>$H294="SUBETAPA"</formula>
    </cfRule>
    <cfRule type="expression" priority="5098" dxfId="3">
      <formula>$H294="ETAPA"</formula>
    </cfRule>
  </conditionalFormatting>
  <conditionalFormatting sqref="M296">
    <cfRule type="expression" priority="5095" dxfId="3">
      <formula>$H296="ETAPA"</formula>
    </cfRule>
    <cfRule type="expression" priority="5094" dxfId="4">
      <formula>$H296="SUBETAPA"</formula>
    </cfRule>
  </conditionalFormatting>
  <conditionalFormatting sqref="M298">
    <cfRule type="expression" priority="5092" dxfId="3">
      <formula>$H298="ETAPA"</formula>
    </cfRule>
    <cfRule type="expression" priority="5091" dxfId="4">
      <formula>$H298="SUBETAPA"</formula>
    </cfRule>
  </conditionalFormatting>
  <conditionalFormatting sqref="M300">
    <cfRule type="expression" priority="5089" dxfId="3">
      <formula>$H300="ETAPA"</formula>
    </cfRule>
    <cfRule type="expression" priority="5088" dxfId="4">
      <formula>$H300="SUBETAPA"</formula>
    </cfRule>
  </conditionalFormatting>
  <conditionalFormatting sqref="M302">
    <cfRule type="expression" priority="5086" dxfId="3">
      <formula>$H302="ETAPA"</formula>
    </cfRule>
    <cfRule type="expression" priority="5085" dxfId="4">
      <formula>$H302="SUBETAPA"</formula>
    </cfRule>
  </conditionalFormatting>
  <conditionalFormatting sqref="M304">
    <cfRule type="expression" priority="5082" dxfId="4">
      <formula>$H304="SUBETAPA"</formula>
    </cfRule>
    <cfRule type="expression" priority="5083" dxfId="3">
      <formula>$H304="ETAPA"</formula>
    </cfRule>
  </conditionalFormatting>
  <conditionalFormatting sqref="M306">
    <cfRule type="expression" priority="5080" dxfId="3">
      <formula>$H306="ETAPA"</formula>
    </cfRule>
    <cfRule type="expression" priority="5079" dxfId="4">
      <formula>$H306="SUBETAPA"</formula>
    </cfRule>
  </conditionalFormatting>
  <conditionalFormatting sqref="M308">
    <cfRule type="expression" priority="5077" dxfId="3">
      <formula>$H308="ETAPA"</formula>
    </cfRule>
    <cfRule type="expression" priority="5076" dxfId="4">
      <formula>$H308="SUBETAPA"</formula>
    </cfRule>
  </conditionalFormatting>
  <conditionalFormatting sqref="M310">
    <cfRule type="expression" priority="5073" dxfId="4">
      <formula>$H310="SUBETAPA"</formula>
    </cfRule>
    <cfRule type="expression" priority="5074" dxfId="3">
      <formula>$H310="ETAPA"</formula>
    </cfRule>
  </conditionalFormatting>
  <conditionalFormatting sqref="M312">
    <cfRule type="expression" priority="5071" dxfId="3">
      <formula>$H312="ETAPA"</formula>
    </cfRule>
    <cfRule type="expression" priority="5070" dxfId="4">
      <formula>$H312="SUBETAPA"</formula>
    </cfRule>
  </conditionalFormatting>
  <conditionalFormatting sqref="M312:M313">
    <cfRule type="expression" priority="5068" dxfId="5">
      <formula>$H312="CÉLULA CONSTRUTIVA"</formula>
    </cfRule>
  </conditionalFormatting>
  <conditionalFormatting sqref="M313:M314">
    <cfRule type="expression" priority="5067" dxfId="4">
      <formula>$H313="SUBETAPA"</formula>
    </cfRule>
  </conditionalFormatting>
  <conditionalFormatting sqref="M314:M316">
    <cfRule type="expression" priority="5062" dxfId="5">
      <formula>$H314="CÉLULA CONSTRUTIVA"</formula>
    </cfRule>
  </conditionalFormatting>
  <conditionalFormatting sqref="M315">
    <cfRule type="expression" priority="5064" dxfId="4">
      <formula>$H315="SUBETAPA"</formula>
    </cfRule>
    <cfRule type="expression" priority="5065" dxfId="3">
      <formula>$H315="ETAPA"</formula>
    </cfRule>
  </conditionalFormatting>
  <conditionalFormatting sqref="M316">
    <cfRule type="expression" priority="5061" dxfId="4">
      <formula>$H316="SUBETAPA"</formula>
    </cfRule>
  </conditionalFormatting>
  <conditionalFormatting sqref="M317">
    <cfRule type="expression" priority="5060" dxfId="3">
      <formula>$H317="ETAPA"</formula>
    </cfRule>
    <cfRule type="expression" priority="5059" dxfId="4">
      <formula>$H317="SUBETAPA"</formula>
    </cfRule>
  </conditionalFormatting>
  <conditionalFormatting sqref="M317:M318">
    <cfRule type="expression" priority="5057" dxfId="5">
      <formula>$H317="CÉLULA CONSTRUTIVA"</formula>
    </cfRule>
  </conditionalFormatting>
  <conditionalFormatting sqref="M318">
    <cfRule type="expression" priority="5056" dxfId="4">
      <formula>$H318="SUBETAPA"</formula>
    </cfRule>
  </conditionalFormatting>
  <conditionalFormatting sqref="M319">
    <cfRule type="expression" priority="5055" dxfId="3">
      <formula>$H319="ETAPA"</formula>
    </cfRule>
    <cfRule type="expression" priority="5054" dxfId="4">
      <formula>$H319="SUBETAPA"</formula>
    </cfRule>
  </conditionalFormatting>
  <conditionalFormatting sqref="M319:M320">
    <cfRule type="expression" priority="5052" dxfId="5">
      <formula>$H319="CÉLULA CONSTRUTIVA"</formula>
    </cfRule>
  </conditionalFormatting>
  <conditionalFormatting sqref="M320">
    <cfRule type="expression" priority="5051" dxfId="4">
      <formula>$H320="SUBETAPA"</formula>
    </cfRule>
  </conditionalFormatting>
  <conditionalFormatting sqref="M321">
    <cfRule type="expression" priority="5049" dxfId="4">
      <formula>$H321="SUBETAPA"</formula>
    </cfRule>
    <cfRule type="expression" priority="5050" dxfId="3">
      <formula>$H321="ETAPA"</formula>
    </cfRule>
  </conditionalFormatting>
  <conditionalFormatting sqref="M321:M322">
    <cfRule type="expression" priority="5047" dxfId="5">
      <formula>$H321="CÉLULA CONSTRUTIVA"</formula>
    </cfRule>
  </conditionalFormatting>
  <conditionalFormatting sqref="M322">
    <cfRule type="expression" priority="5046" dxfId="4">
      <formula>$H322="SUBETAPA"</formula>
    </cfRule>
  </conditionalFormatting>
  <conditionalFormatting sqref="M323">
    <cfRule type="expression" priority="5044" dxfId="4">
      <formula>$H323="SUBETAPA"</formula>
    </cfRule>
    <cfRule type="expression" priority="5045" dxfId="3">
      <formula>$H323="ETAPA"</formula>
    </cfRule>
  </conditionalFormatting>
  <conditionalFormatting sqref="M324">
    <cfRule type="expression" priority="5041" dxfId="4">
      <formula>$H324="SUBETAPA"</formula>
    </cfRule>
    <cfRule type="expression" priority="5042" dxfId="3">
      <formula>$H324="ETAPA"</formula>
    </cfRule>
  </conditionalFormatting>
  <conditionalFormatting sqref="M324:M326">
    <cfRule type="expression" priority="5036" dxfId="5">
      <formula>$H324="CÉLULA CONSTRUTIVA"</formula>
    </cfRule>
  </conditionalFormatting>
  <conditionalFormatting sqref="M325">
    <cfRule type="expression" priority="5039" dxfId="3">
      <formula>$H325="ETAPA"</formula>
    </cfRule>
    <cfRule type="expression" priority="5038" dxfId="4">
      <formula>$H325="SUBETAPA"</formula>
    </cfRule>
  </conditionalFormatting>
  <conditionalFormatting sqref="M326">
    <cfRule type="expression" priority="5035" dxfId="4">
      <formula>$H326="SUBETAPA"</formula>
    </cfRule>
  </conditionalFormatting>
  <conditionalFormatting sqref="M327">
    <cfRule type="expression" priority="5034" dxfId="3">
      <formula>$H327="ETAPA"</formula>
    </cfRule>
    <cfRule type="expression" priority="5033" dxfId="4">
      <formula>$H327="SUBETAPA"</formula>
    </cfRule>
  </conditionalFormatting>
  <conditionalFormatting sqref="M327:M328">
    <cfRule type="expression" priority="5031" dxfId="5">
      <formula>$H327="CÉLULA CONSTRUTIVA"</formula>
    </cfRule>
  </conditionalFormatting>
  <conditionalFormatting sqref="M328">
    <cfRule type="expression" priority="5030" dxfId="4">
      <formula>$H328="SUBETAPA"</formula>
    </cfRule>
  </conditionalFormatting>
  <conditionalFormatting sqref="M329">
    <cfRule type="expression" priority="5028" dxfId="4">
      <formula>$H329="SUBETAPA"</formula>
    </cfRule>
    <cfRule type="expression" priority="5029" dxfId="3">
      <formula>$H329="ETAPA"</formula>
    </cfRule>
  </conditionalFormatting>
  <conditionalFormatting sqref="M329:M330">
    <cfRule type="expression" priority="5025" dxfId="5">
      <formula>$H329="CÉLULA CONSTRUTIVA"</formula>
    </cfRule>
  </conditionalFormatting>
  <conditionalFormatting sqref="M330">
    <cfRule type="expression" priority="5024" dxfId="4">
      <formula>$H330="SUBETAPA"</formula>
    </cfRule>
    <cfRule type="expression" priority="5026" dxfId="3">
      <formula>$H330="ETAPA"</formula>
    </cfRule>
  </conditionalFormatting>
  <conditionalFormatting sqref="M331 M333 M335 M337 M339 M341 M343 M345">
    <cfRule type="expression" priority="5023" dxfId="3">
      <formula>$H331="ETAPA"</formula>
    </cfRule>
    <cfRule type="expression" priority="5002" dxfId="4">
      <formula>$H331="SUBETAPA"</formula>
    </cfRule>
  </conditionalFormatting>
  <conditionalFormatting sqref="M332">
    <cfRule type="expression" priority="5020" dxfId="4">
      <formula>$H332="SUBETAPA"</formula>
    </cfRule>
    <cfRule type="expression" priority="5021" dxfId="5">
      <formula>$H332="CÉLULA CONSTRUTIVA"</formula>
    </cfRule>
    <cfRule type="expression" priority="5022" dxfId="3">
      <formula>$H332="ETAPA"</formula>
    </cfRule>
  </conditionalFormatting>
  <conditionalFormatting sqref="M334">
    <cfRule type="expression" priority="5018" dxfId="5">
      <formula>$H334="CÉLULA CONSTRUTIVA"</formula>
    </cfRule>
    <cfRule type="expression" priority="5019" dxfId="3">
      <formula>$H334="ETAPA"</formula>
    </cfRule>
    <cfRule type="expression" priority="5017" dxfId="4">
      <formula>$H334="SUBETAPA"</formula>
    </cfRule>
  </conditionalFormatting>
  <conditionalFormatting sqref="M336">
    <cfRule type="expression" priority="5015" dxfId="5">
      <formula>$H336="CÉLULA CONSTRUTIVA"</formula>
    </cfRule>
    <cfRule type="expression" priority="5016" dxfId="3">
      <formula>$H336="ETAPA"</formula>
    </cfRule>
    <cfRule type="expression" priority="5014" dxfId="4">
      <formula>$H336="SUBETAPA"</formula>
    </cfRule>
  </conditionalFormatting>
  <conditionalFormatting sqref="M338">
    <cfRule type="expression" priority="5013" dxfId="3">
      <formula>$H338="ETAPA"</formula>
    </cfRule>
    <cfRule type="expression" priority="5012" dxfId="5">
      <formula>$H338="CÉLULA CONSTRUTIVA"</formula>
    </cfRule>
    <cfRule type="expression" priority="5011" dxfId="4">
      <formula>$H338="SUBETAPA"</formula>
    </cfRule>
  </conditionalFormatting>
  <conditionalFormatting sqref="M340">
    <cfRule type="expression" priority="5010" dxfId="5">
      <formula>$H340="CÉLULA CONSTRUTIVA"</formula>
    </cfRule>
    <cfRule type="expression" priority="5009" dxfId="4">
      <formula>$H340="SUBETAPA"</formula>
    </cfRule>
  </conditionalFormatting>
  <conditionalFormatting sqref="M342">
    <cfRule type="expression" priority="5006" dxfId="4">
      <formula>$H342="SUBETAPA"</formula>
    </cfRule>
    <cfRule type="expression" priority="5007" dxfId="5">
      <formula>$H342="CÉLULA CONSTRUTIVA"</formula>
    </cfRule>
    <cfRule type="expression" priority="5008" dxfId="3">
      <formula>$H342="ETAPA"</formula>
    </cfRule>
  </conditionalFormatting>
  <conditionalFormatting sqref="M344">
    <cfRule type="expression" priority="5005" dxfId="3">
      <formula>$H344="ETAPA"</formula>
    </cfRule>
    <cfRule type="expression" priority="5003" dxfId="4">
      <formula>$H344="SUBETAPA"</formula>
    </cfRule>
    <cfRule type="expression" priority="5004" dxfId="5">
      <formula>$H344="CÉLULA CONSTRUTIVA"</formula>
    </cfRule>
  </conditionalFormatting>
  <conditionalFormatting sqref="M345:M346">
    <cfRule type="expression" priority="5000" dxfId="5">
      <formula>$H345="CÉLULA CONSTRUTIVA"</formula>
    </cfRule>
  </conditionalFormatting>
  <conditionalFormatting sqref="M349">
    <cfRule type="expression" priority="4999" dxfId="5">
      <formula>$H349="CÉLULA CONSTRUTIVA"</formula>
    </cfRule>
  </conditionalFormatting>
  <conditionalFormatting sqref="M349:M350">
    <cfRule type="expression" priority="4998" dxfId="4">
      <formula>$H349="SUBETAPA"</formula>
    </cfRule>
  </conditionalFormatting>
  <conditionalFormatting sqref="M350">
    <cfRule type="expression" priority="4997" dxfId="3">
      <formula>$H350="ETAPA"</formula>
    </cfRule>
  </conditionalFormatting>
  <conditionalFormatting sqref="M350:M351 N352:O352">
    <cfRule type="expression" priority="4995" dxfId="5">
      <formula>$H350="CÉLULA CONSTRUTIVA"</formula>
    </cfRule>
  </conditionalFormatting>
  <conditionalFormatting sqref="M351:M352">
    <cfRule type="expression" priority="4994" dxfId="4">
      <formula>$H351="SUBETAPA"</formula>
    </cfRule>
  </conditionalFormatting>
  <conditionalFormatting sqref="M352">
    <cfRule type="expression" priority="4993" dxfId="3">
      <formula>$H352="ETAPA"</formula>
    </cfRule>
  </conditionalFormatting>
  <conditionalFormatting sqref="M352:M353">
    <cfRule type="expression" priority="4991" dxfId="5">
      <formula>$H352="CÉLULA CONSTRUTIVA"</formula>
    </cfRule>
  </conditionalFormatting>
  <conditionalFormatting sqref="M353:M354">
    <cfRule type="expression" priority="4990" dxfId="4">
      <formula>$H353="SUBETAPA"</formula>
    </cfRule>
  </conditionalFormatting>
  <conditionalFormatting sqref="M354">
    <cfRule type="expression" priority="4989" dxfId="3">
      <formula>$H354="ETAPA"</formula>
    </cfRule>
  </conditionalFormatting>
  <conditionalFormatting sqref="M354:M355">
    <cfRule type="expression" priority="4987" dxfId="5">
      <formula>$H354="CÉLULA CONSTRUTIVA"</formula>
    </cfRule>
  </conditionalFormatting>
  <conditionalFormatting sqref="M355:M356">
    <cfRule type="expression" priority="4986" dxfId="4">
      <formula>$H355="SUBETAPA"</formula>
    </cfRule>
  </conditionalFormatting>
  <conditionalFormatting sqref="M356">
    <cfRule type="expression" priority="4985" dxfId="3">
      <formula>$H356="ETAPA"</formula>
    </cfRule>
  </conditionalFormatting>
  <conditionalFormatting sqref="M356:M357">
    <cfRule type="expression" priority="4983" dxfId="5">
      <formula>$H356="CÉLULA CONSTRUTIVA"</formula>
    </cfRule>
  </conditionalFormatting>
  <conditionalFormatting sqref="M357:M358">
    <cfRule type="expression" priority="4982" dxfId="4">
      <formula>$H357="SUBETAPA"</formula>
    </cfRule>
  </conditionalFormatting>
  <conditionalFormatting sqref="M358">
    <cfRule type="expression" priority="4981" dxfId="3">
      <formula>$H358="ETAPA"</formula>
    </cfRule>
  </conditionalFormatting>
  <conditionalFormatting sqref="M359 N360">
    <cfRule type="expression" priority="4978" dxfId="4">
      <formula>$H359="SUBETAPA"</formula>
    </cfRule>
  </conditionalFormatting>
  <conditionalFormatting sqref="M360">
    <cfRule type="expression" priority="4976" dxfId="4">
      <formula>$H360="SUBETAPA"</formula>
    </cfRule>
    <cfRule type="expression" priority="4977" dxfId="3">
      <formula>$H360="ETAPA"</formula>
    </cfRule>
  </conditionalFormatting>
  <conditionalFormatting sqref="M360:M361 N362">
    <cfRule type="expression" priority="4974" dxfId="5">
      <formula>$H360="CÉLULA CONSTRUTIVA"</formula>
    </cfRule>
  </conditionalFormatting>
  <conditionalFormatting sqref="M361:M362">
    <cfRule type="expression" priority="4973" dxfId="4">
      <formula>$H361="SUBETAPA"</formula>
    </cfRule>
  </conditionalFormatting>
  <conditionalFormatting sqref="M362">
    <cfRule type="expression" priority="4972" dxfId="3">
      <formula>$H362="ETAPA"</formula>
    </cfRule>
  </conditionalFormatting>
  <conditionalFormatting sqref="M362:M363 N364">
    <cfRule type="expression" priority="4970" dxfId="5">
      <formula>$H362="CÉLULA CONSTRUTIVA"</formula>
    </cfRule>
  </conditionalFormatting>
  <conditionalFormatting sqref="M363:M364">
    <cfRule type="expression" priority="4969" dxfId="4">
      <formula>$H363="SUBETAPA"</formula>
    </cfRule>
  </conditionalFormatting>
  <conditionalFormatting sqref="M364">
    <cfRule type="expression" priority="4968" dxfId="3">
      <formula>$H364="ETAPA"</formula>
    </cfRule>
  </conditionalFormatting>
  <conditionalFormatting sqref="M364:M365 N366">
    <cfRule type="expression" priority="4966" dxfId="5">
      <formula>$H364="CÉLULA CONSTRUTIVA"</formula>
    </cfRule>
  </conditionalFormatting>
  <conditionalFormatting sqref="M365:M366">
    <cfRule type="expression" priority="4965" dxfId="4">
      <formula>$H365="SUBETAPA"</formula>
    </cfRule>
  </conditionalFormatting>
  <conditionalFormatting sqref="M366">
    <cfRule type="expression" priority="4964" dxfId="3">
      <formula>$H366="ETAPA"</formula>
    </cfRule>
  </conditionalFormatting>
  <conditionalFormatting sqref="M366:M367 N368">
    <cfRule type="expression" priority="4962" dxfId="5">
      <formula>$H366="CÉLULA CONSTRUTIVA"</formula>
    </cfRule>
  </conditionalFormatting>
  <conditionalFormatting sqref="M367:M368">
    <cfRule type="expression" priority="4961" dxfId="4">
      <formula>$H367="SUBETAPA"</formula>
    </cfRule>
  </conditionalFormatting>
  <conditionalFormatting sqref="M368">
    <cfRule type="expression" priority="4960" dxfId="3">
      <formula>$H368="ETAPA"</formula>
    </cfRule>
  </conditionalFormatting>
  <conditionalFormatting sqref="M368:M369 N370">
    <cfRule type="expression" priority="4958" dxfId="5">
      <formula>$H368="CÉLULA CONSTRUTIVA"</formula>
    </cfRule>
  </conditionalFormatting>
  <conditionalFormatting sqref="M369:M370">
    <cfRule type="expression" priority="4957" dxfId="4">
      <formula>$H369="SUBETAPA"</formula>
    </cfRule>
  </conditionalFormatting>
  <conditionalFormatting sqref="M370">
    <cfRule type="expression" priority="4956" dxfId="3">
      <formula>$H370="ETAPA"</formula>
    </cfRule>
  </conditionalFormatting>
  <conditionalFormatting sqref="M370:M373 N374">
    <cfRule type="expression" priority="4950" dxfId="5">
      <formula>$H370="CÉLULA CONSTRUTIVA"</formula>
    </cfRule>
  </conditionalFormatting>
  <conditionalFormatting sqref="M372">
    <cfRule type="expression" priority="4952" dxfId="4">
      <formula>$H372="SUBETAPA"</formula>
    </cfRule>
    <cfRule type="expression" priority="4953" dxfId="3">
      <formula>$H372="ETAPA"</formula>
    </cfRule>
  </conditionalFormatting>
  <conditionalFormatting sqref="M373 N374">
    <cfRule type="expression" priority="4949" dxfId="4">
      <formula>$H373="SUBETAPA"</formula>
    </cfRule>
  </conditionalFormatting>
  <conditionalFormatting sqref="M374">
    <cfRule type="expression" priority="4947" dxfId="4">
      <formula>$H374="SUBETAPA"</formula>
    </cfRule>
    <cfRule type="expression" priority="4948" dxfId="3">
      <formula>$H374="ETAPA"</formula>
    </cfRule>
  </conditionalFormatting>
  <conditionalFormatting sqref="M374:M375 N376">
    <cfRule type="expression" priority="4945" dxfId="5">
      <formula>$H374="CÉLULA CONSTRUTIVA"</formula>
    </cfRule>
  </conditionalFormatting>
  <conditionalFormatting sqref="M375 N376">
    <cfRule type="expression" priority="4944" dxfId="4">
      <formula>$H375="SUBETAPA"</formula>
    </cfRule>
  </conditionalFormatting>
  <conditionalFormatting sqref="M376">
    <cfRule type="expression" priority="4943" dxfId="3">
      <formula>$H376="ETAPA"</formula>
    </cfRule>
    <cfRule type="expression" priority="4942" dxfId="4">
      <formula>$H376="SUBETAPA"</formula>
    </cfRule>
  </conditionalFormatting>
  <conditionalFormatting sqref="M376:M377 N378">
    <cfRule type="expression" priority="4940" dxfId="5">
      <formula>$H376="CÉLULA CONSTRUTIVA"</formula>
    </cfRule>
  </conditionalFormatting>
  <conditionalFormatting sqref="M377 N378">
    <cfRule type="expression" priority="4939" dxfId="4">
      <formula>$H377="SUBETAPA"</formula>
    </cfRule>
  </conditionalFormatting>
  <conditionalFormatting sqref="M378">
    <cfRule type="expression" priority="4938" dxfId="3">
      <formula>$H378="ETAPA"</formula>
    </cfRule>
    <cfRule type="expression" priority="4937" dxfId="4">
      <formula>$H378="SUBETAPA"</formula>
    </cfRule>
  </conditionalFormatting>
  <conditionalFormatting sqref="M378:M379">
    <cfRule type="expression" priority="4934" dxfId="5">
      <formula>$H378="CÉLULA CONSTRUTIVA"</formula>
    </cfRule>
  </conditionalFormatting>
  <conditionalFormatting sqref="M379">
    <cfRule type="expression" priority="4935" dxfId="3">
      <formula>$H379="ETAPA"</formula>
    </cfRule>
  </conditionalFormatting>
  <conditionalFormatting sqref="M380:M381">
    <cfRule type="expression" priority="4933" dxfId="3">
      <formula>$H380="ETAPA"</formula>
    </cfRule>
  </conditionalFormatting>
  <conditionalFormatting sqref="M383">
    <cfRule type="expression" priority="4932" dxfId="3">
      <formula>$H383="ETAPA"</formula>
    </cfRule>
    <cfRule type="expression" priority="4931" dxfId="5">
      <formula>$H383="CÉLULA CONSTRUTIVA"</formula>
    </cfRule>
  </conditionalFormatting>
  <conditionalFormatting sqref="M385 M387">
    <cfRule type="expression" priority="4929" dxfId="5">
      <formula>$H385="CÉLULA CONSTRUTIVA"</formula>
    </cfRule>
    <cfRule type="expression" priority="4930" dxfId="3">
      <formula>$H385="ETAPA"</formula>
    </cfRule>
  </conditionalFormatting>
  <conditionalFormatting sqref="M389 M391">
    <cfRule type="expression" priority="4927" dxfId="5">
      <formula>$H389="CÉLULA CONSTRUTIVA"</formula>
    </cfRule>
    <cfRule type="expression" priority="4928" dxfId="3">
      <formula>$H389="ETAPA"</formula>
    </cfRule>
  </conditionalFormatting>
  <conditionalFormatting sqref="H397:J397 M393:M394">
    <cfRule type="expression" priority="4926" dxfId="3">
      <formula>$H393="ETAPA"</formula>
    </cfRule>
  </conditionalFormatting>
  <conditionalFormatting sqref="M396 M398">
    <cfRule type="expression" priority="4924" dxfId="5">
      <formula>$H396="CÉLULA CONSTRUTIVA"</formula>
    </cfRule>
    <cfRule type="expression" priority="4925" dxfId="3">
      <formula>$H396="ETAPA"</formula>
    </cfRule>
  </conditionalFormatting>
  <conditionalFormatting sqref="M400">
    <cfRule type="expression" priority="4923" dxfId="3">
      <formula>$H400="ETAPA"</formula>
    </cfRule>
    <cfRule type="expression" priority="4922" dxfId="5">
      <formula>$H400="CÉLULA CONSTRUTIVA"</formula>
    </cfRule>
  </conditionalFormatting>
  <conditionalFormatting sqref="M402 M404">
    <cfRule type="expression" priority="4920" dxfId="5">
      <formula>$H402="CÉLULA CONSTRUTIVA"</formula>
    </cfRule>
    <cfRule type="expression" priority="4921" dxfId="3">
      <formula>$H402="ETAPA"</formula>
    </cfRule>
  </conditionalFormatting>
  <conditionalFormatting sqref="H410:J410 M406:M407">
    <cfRule type="expression" priority="4919" dxfId="3">
      <formula>$H406="ETAPA"</formula>
    </cfRule>
  </conditionalFormatting>
  <conditionalFormatting sqref="M409">
    <cfRule type="expression" priority="4917" dxfId="5">
      <formula>$H409="CÉLULA CONSTRUTIVA"</formula>
    </cfRule>
    <cfRule type="expression" priority="4918" dxfId="4">
      <formula>$H409="SUBETAPA"</formula>
    </cfRule>
  </conditionalFormatting>
  <conditionalFormatting sqref="M411">
    <cfRule type="expression" priority="4915" dxfId="5">
      <formula>$H411="CÉLULA CONSTRUTIVA"</formula>
    </cfRule>
    <cfRule type="expression" priority="4916" dxfId="3">
      <formula>$H411="ETAPA"</formula>
    </cfRule>
  </conditionalFormatting>
  <conditionalFormatting sqref="M413">
    <cfRule type="expression" priority="4913" dxfId="5">
      <formula>$H413="CÉLULA CONSTRUTIVA"</formula>
    </cfRule>
    <cfRule type="expression" priority="4914" dxfId="3">
      <formula>$H413="ETAPA"</formula>
    </cfRule>
  </conditionalFormatting>
  <conditionalFormatting sqref="M415 M417">
    <cfRule type="expression" priority="4911" dxfId="5">
      <formula>$H415="CÉLULA CONSTRUTIVA"</formula>
    </cfRule>
    <cfRule type="expression" priority="4912" dxfId="3">
      <formula>$H415="ETAPA"</formula>
    </cfRule>
  </conditionalFormatting>
  <conditionalFormatting sqref="H423:J423 M419:M420">
    <cfRule type="expression" priority="4910" dxfId="3">
      <formula>$H419="ETAPA"</formula>
    </cfRule>
  </conditionalFormatting>
  <conditionalFormatting sqref="M422">
    <cfRule type="expression" priority="4908" dxfId="5">
      <formula>$H422="CÉLULA CONSTRUTIVA"</formula>
    </cfRule>
    <cfRule type="expression" priority="4909" dxfId="4">
      <formula>$H422="SUBETAPA"</formula>
    </cfRule>
  </conditionalFormatting>
  <conditionalFormatting sqref="M424">
    <cfRule type="expression" priority="4907" dxfId="3">
      <formula>$H424="ETAPA"</formula>
    </cfRule>
    <cfRule type="expression" priority="4906" dxfId="5">
      <formula>$H424="CÉLULA CONSTRUTIVA"</formula>
    </cfRule>
  </conditionalFormatting>
  <conditionalFormatting sqref="M426">
    <cfRule type="expression" priority="4904" dxfId="5">
      <formula>$H426="CÉLULA CONSTRUTIVA"</formula>
    </cfRule>
    <cfRule type="expression" priority="4905" dxfId="3">
      <formula>$H426="ETAPA"</formula>
    </cfRule>
  </conditionalFormatting>
  <conditionalFormatting sqref="M428 M430">
    <cfRule type="expression" priority="4903" dxfId="3">
      <formula>$H428="ETAPA"</formula>
    </cfRule>
    <cfRule type="expression" priority="4902" dxfId="5">
      <formula>$H428="CÉLULA CONSTRUTIVA"</formula>
    </cfRule>
  </conditionalFormatting>
  <conditionalFormatting sqref="H436:J436 M432:M433">
    <cfRule type="expression" priority="4901" dxfId="3">
      <formula>$H432="ETAPA"</formula>
    </cfRule>
  </conditionalFormatting>
  <conditionalFormatting sqref="M435">
    <cfRule type="expression" priority="4900" dxfId="4">
      <formula>$H435="SUBETAPA"</formula>
    </cfRule>
    <cfRule type="expression" priority="4899" dxfId="5">
      <formula>$H435="CÉLULA CONSTRUTIVA"</formula>
    </cfRule>
  </conditionalFormatting>
  <conditionalFormatting sqref="M437">
    <cfRule type="expression" priority="4897" dxfId="5">
      <formula>$H437="CÉLULA CONSTRUTIVA"</formula>
    </cfRule>
    <cfRule type="expression" priority="4898" dxfId="3">
      <formula>$H437="ETAPA"</formula>
    </cfRule>
  </conditionalFormatting>
  <conditionalFormatting sqref="M439">
    <cfRule type="expression" priority="4896" dxfId="3">
      <formula>$H439="ETAPA"</formula>
    </cfRule>
    <cfRule type="expression" priority="4895" dxfId="5">
      <formula>$H439="CÉLULA CONSTRUTIVA"</formula>
    </cfRule>
  </conditionalFormatting>
  <conditionalFormatting sqref="M441 M443">
    <cfRule type="expression" priority="4894" dxfId="3">
      <formula>$H441="ETAPA"</formula>
    </cfRule>
    <cfRule type="expression" priority="4893" dxfId="5">
      <formula>$H441="CÉLULA CONSTRUTIVA"</formula>
    </cfRule>
  </conditionalFormatting>
  <conditionalFormatting sqref="H449:J449 M445:M446">
    <cfRule type="expression" priority="4892" dxfId="3">
      <formula>$H445="ETAPA"</formula>
    </cfRule>
  </conditionalFormatting>
  <conditionalFormatting sqref="M448">
    <cfRule type="expression" priority="4890" dxfId="5">
      <formula>$H448="CÉLULA CONSTRUTIVA"</formula>
    </cfRule>
    <cfRule type="expression" priority="4891" dxfId="4">
      <formula>$H448="SUBETAPA"</formula>
    </cfRule>
  </conditionalFormatting>
  <conditionalFormatting sqref="M450">
    <cfRule type="expression" priority="4889" dxfId="3">
      <formula>$H450="ETAPA"</formula>
    </cfRule>
    <cfRule type="expression" priority="4888" dxfId="5">
      <formula>$H450="CÉLULA CONSTRUTIVA"</formula>
    </cfRule>
  </conditionalFormatting>
  <conditionalFormatting sqref="M452">
    <cfRule type="expression" priority="4887" dxfId="3">
      <formula>$H452="ETAPA"</formula>
    </cfRule>
    <cfRule type="expression" priority="4886" dxfId="5">
      <formula>$H452="CÉLULA CONSTRUTIVA"</formula>
    </cfRule>
  </conditionalFormatting>
  <conditionalFormatting sqref="M454 M456">
    <cfRule type="expression" priority="4885" dxfId="3">
      <formula>$H454="ETAPA"</formula>
    </cfRule>
    <cfRule type="expression" priority="4884" dxfId="5">
      <formula>$H454="CÉLULA CONSTRUTIVA"</formula>
    </cfRule>
  </conditionalFormatting>
  <conditionalFormatting sqref="H462:J462 M458:M459">
    <cfRule type="expression" priority="4883" dxfId="3">
      <formula>$H458="ETAPA"</formula>
    </cfRule>
  </conditionalFormatting>
  <conditionalFormatting sqref="M461">
    <cfRule type="expression" priority="4881" dxfId="5">
      <formula>$H461="CÉLULA CONSTRUTIVA"</formula>
    </cfRule>
    <cfRule type="expression" priority="4882" dxfId="4">
      <formula>$H461="SUBETAPA"</formula>
    </cfRule>
  </conditionalFormatting>
  <conditionalFormatting sqref="M463">
    <cfRule type="expression" priority="4880" dxfId="3">
      <formula>$H463="ETAPA"</formula>
    </cfRule>
    <cfRule type="expression" priority="4879" dxfId="5">
      <formula>$H463="CÉLULA CONSTRUTIVA"</formula>
    </cfRule>
  </conditionalFormatting>
  <conditionalFormatting sqref="M465">
    <cfRule type="expression" priority="4878" dxfId="3">
      <formula>$H465="ETAPA"</formula>
    </cfRule>
    <cfRule type="expression" priority="4877" dxfId="5">
      <formula>$H465="CÉLULA CONSTRUTIVA"</formula>
    </cfRule>
  </conditionalFormatting>
  <conditionalFormatting sqref="M467 M469">
    <cfRule type="expression" priority="4876" dxfId="3">
      <formula>$H467="ETAPA"</formula>
    </cfRule>
    <cfRule type="expression" priority="4875" dxfId="5">
      <formula>$H467="CÉLULA CONSTRUTIVA"</formula>
    </cfRule>
  </conditionalFormatting>
  <conditionalFormatting sqref="H475:J475 M471:M472">
    <cfRule type="expression" priority="4874" dxfId="3">
      <formula>$H471="ETAPA"</formula>
    </cfRule>
  </conditionalFormatting>
  <conditionalFormatting sqref="M474">
    <cfRule type="expression" priority="4872" dxfId="5">
      <formula>$H474="CÉLULA CONSTRUTIVA"</formula>
    </cfRule>
    <cfRule type="expression" priority="4873" dxfId="4">
      <formula>$H474="SUBETAPA"</formula>
    </cfRule>
  </conditionalFormatting>
  <conditionalFormatting sqref="M476">
    <cfRule type="expression" priority="4871" dxfId="3">
      <formula>$H476="ETAPA"</formula>
    </cfRule>
    <cfRule type="expression" priority="4870" dxfId="5">
      <formula>$H476="CÉLULA CONSTRUTIVA"</formula>
    </cfRule>
  </conditionalFormatting>
  <conditionalFormatting sqref="M478">
    <cfRule type="expression" priority="4869" dxfId="3">
      <formula>$H478="ETAPA"</formula>
    </cfRule>
    <cfRule type="expression" priority="4868" dxfId="5">
      <formula>$H478="CÉLULA CONSTRUTIVA"</formula>
    </cfRule>
  </conditionalFormatting>
  <conditionalFormatting sqref="M480 M482">
    <cfRule type="expression" priority="4867" dxfId="3">
      <formula>$H480="ETAPA"</formula>
    </cfRule>
    <cfRule type="expression" priority="4866" dxfId="5">
      <formula>$H480="CÉLULA CONSTRUTIVA"</formula>
    </cfRule>
  </conditionalFormatting>
  <conditionalFormatting sqref="H488:J488 M484:M485">
    <cfRule type="expression" priority="4865" dxfId="3">
      <formula>$H484="ETAPA"</formula>
    </cfRule>
  </conditionalFormatting>
  <conditionalFormatting sqref="M487">
    <cfRule type="expression" priority="4864" dxfId="4">
      <formula>$H487="SUBETAPA"</formula>
    </cfRule>
    <cfRule type="expression" priority="4863" dxfId="5">
      <formula>$H487="CÉLULA CONSTRUTIVA"</formula>
    </cfRule>
  </conditionalFormatting>
  <conditionalFormatting sqref="M489">
    <cfRule type="expression" priority="4862" dxfId="3">
      <formula>$H489="ETAPA"</formula>
    </cfRule>
    <cfRule type="expression" priority="4861" dxfId="5">
      <formula>$H489="CÉLULA CONSTRUTIVA"</formula>
    </cfRule>
  </conditionalFormatting>
  <conditionalFormatting sqref="M491">
    <cfRule type="expression" priority="4860" dxfId="3">
      <formula>$H491="ETAPA"</formula>
    </cfRule>
    <cfRule type="expression" priority="4859" dxfId="5">
      <formula>$H491="CÉLULA CONSTRUTIVA"</formula>
    </cfRule>
  </conditionalFormatting>
  <conditionalFormatting sqref="M493 M495">
    <cfRule type="expression" priority="4858" dxfId="3">
      <formula>$H493="ETAPA"</formula>
    </cfRule>
    <cfRule type="expression" priority="4857" dxfId="5">
      <formula>$H493="CÉLULA CONSTRUTIVA"</formula>
    </cfRule>
  </conditionalFormatting>
  <conditionalFormatting sqref="H501:J501 M497:M498">
    <cfRule type="expression" priority="4856" dxfId="3">
      <formula>$H497="ETAPA"</formula>
    </cfRule>
  </conditionalFormatting>
  <conditionalFormatting sqref="M500">
    <cfRule type="expression" priority="4855" dxfId="4">
      <formula>$H500="SUBETAPA"</formula>
    </cfRule>
    <cfRule type="expression" priority="4854" dxfId="5">
      <formula>$H500="CÉLULA CONSTRUTIVA"</formula>
    </cfRule>
  </conditionalFormatting>
  <conditionalFormatting sqref="M502">
    <cfRule type="expression" priority="4853" dxfId="3">
      <formula>$H502="ETAPA"</formula>
    </cfRule>
    <cfRule type="expression" priority="4852" dxfId="5">
      <formula>$H502="CÉLULA CONSTRUTIVA"</formula>
    </cfRule>
  </conditionalFormatting>
  <conditionalFormatting sqref="M504">
    <cfRule type="expression" priority="4851" dxfId="3">
      <formula>$H504="ETAPA"</formula>
    </cfRule>
    <cfRule type="expression" priority="4850" dxfId="5">
      <formula>$H504="CÉLULA CONSTRUTIVA"</formula>
    </cfRule>
  </conditionalFormatting>
  <conditionalFormatting sqref="M506 M508">
    <cfRule type="expression" priority="4849" dxfId="3">
      <formula>$H506="ETAPA"</formula>
    </cfRule>
    <cfRule type="expression" priority="4848" dxfId="5">
      <formula>$H506="CÉLULA CONSTRUTIVA"</formula>
    </cfRule>
  </conditionalFormatting>
  <conditionalFormatting sqref="H514:J514 M510:M511">
    <cfRule type="expression" priority="4847" dxfId="3">
      <formula>$H510="ETAPA"</formula>
    </cfRule>
  </conditionalFormatting>
  <conditionalFormatting sqref="M513">
    <cfRule type="expression" priority="4846" dxfId="4">
      <formula>$H513="SUBETAPA"</formula>
    </cfRule>
    <cfRule type="expression" priority="4845" dxfId="5">
      <formula>$H513="CÉLULA CONSTRUTIVA"</formula>
    </cfRule>
  </conditionalFormatting>
  <conditionalFormatting sqref="M515">
    <cfRule type="expression" priority="4844" dxfId="3">
      <formula>$H515="ETAPA"</formula>
    </cfRule>
    <cfRule type="expression" priority="4843" dxfId="5">
      <formula>$H515="CÉLULA CONSTRUTIVA"</formula>
    </cfRule>
  </conditionalFormatting>
  <conditionalFormatting sqref="M517">
    <cfRule type="expression" priority="4842" dxfId="3">
      <formula>$H517="ETAPA"</formula>
    </cfRule>
    <cfRule type="expression" priority="4841" dxfId="5">
      <formula>$H517="CÉLULA CONSTRUTIVA"</formula>
    </cfRule>
  </conditionalFormatting>
  <conditionalFormatting sqref="M519 M521">
    <cfRule type="expression" priority="4840" dxfId="3">
      <formula>$H519="ETAPA"</formula>
    </cfRule>
    <cfRule type="expression" priority="4839" dxfId="5">
      <formula>$H519="CÉLULA CONSTRUTIVA"</formula>
    </cfRule>
  </conditionalFormatting>
  <conditionalFormatting sqref="H527:J527 M523:M524">
    <cfRule type="expression" priority="4838" dxfId="3">
      <formula>$H523="ETAPA"</formula>
    </cfRule>
  </conditionalFormatting>
  <conditionalFormatting sqref="M526">
    <cfRule type="expression" priority="4837" dxfId="4">
      <formula>$H526="SUBETAPA"</formula>
    </cfRule>
    <cfRule type="expression" priority="4836" dxfId="5">
      <formula>$H526="CÉLULA CONSTRUTIVA"</formula>
    </cfRule>
  </conditionalFormatting>
  <conditionalFormatting sqref="M528">
    <cfRule type="expression" priority="4835" dxfId="3">
      <formula>$H528="ETAPA"</formula>
    </cfRule>
    <cfRule type="expression" priority="4834" dxfId="5">
      <formula>$H528="CÉLULA CONSTRUTIVA"</formula>
    </cfRule>
  </conditionalFormatting>
  <conditionalFormatting sqref="M530">
    <cfRule type="expression" priority="4833" dxfId="3">
      <formula>$H530="ETAPA"</formula>
    </cfRule>
    <cfRule type="expression" priority="4832" dxfId="5">
      <formula>$H530="CÉLULA CONSTRUTIVA"</formula>
    </cfRule>
  </conditionalFormatting>
  <conditionalFormatting sqref="M532 M534">
    <cfRule type="expression" priority="4831" dxfId="3">
      <formula>$H532="ETAPA"</formula>
    </cfRule>
    <cfRule type="expression" priority="4830" dxfId="5">
      <formula>$H532="CÉLULA CONSTRUTIVA"</formula>
    </cfRule>
  </conditionalFormatting>
  <conditionalFormatting sqref="H540:J540 M536:M537">
    <cfRule type="expression" priority="4829" dxfId="3">
      <formula>$H536="ETAPA"</formula>
    </cfRule>
  </conditionalFormatting>
  <conditionalFormatting sqref="M539">
    <cfRule type="expression" priority="4828" dxfId="4">
      <formula>$H539="SUBETAPA"</formula>
    </cfRule>
    <cfRule type="expression" priority="4827" dxfId="5">
      <formula>$H539="CÉLULA CONSTRUTIVA"</formula>
    </cfRule>
  </conditionalFormatting>
  <conditionalFormatting sqref="M541">
    <cfRule type="expression" priority="4826" dxfId="3">
      <formula>$H541="ETAPA"</formula>
    </cfRule>
    <cfRule type="expression" priority="4825" dxfId="5">
      <formula>$H541="CÉLULA CONSTRUTIVA"</formula>
    </cfRule>
  </conditionalFormatting>
  <conditionalFormatting sqref="M543">
    <cfRule type="expression" priority="4824" dxfId="3">
      <formula>$H543="ETAPA"</formula>
    </cfRule>
    <cfRule type="expression" priority="4823" dxfId="5">
      <formula>$H543="CÉLULA CONSTRUTIVA"</formula>
    </cfRule>
  </conditionalFormatting>
  <conditionalFormatting sqref="M545 M547">
    <cfRule type="expression" priority="4822" dxfId="3">
      <formula>$H545="ETAPA"</formula>
    </cfRule>
    <cfRule type="expression" priority="4821" dxfId="5">
      <formula>$H545="CÉLULA CONSTRUTIVA"</formula>
    </cfRule>
  </conditionalFormatting>
  <conditionalFormatting sqref="H553:J553 M549:M550">
    <cfRule type="expression" priority="4820" dxfId="3">
      <formula>$H549="ETAPA"</formula>
    </cfRule>
  </conditionalFormatting>
  <conditionalFormatting sqref="M552">
    <cfRule type="expression" priority="4819" dxfId="4">
      <formula>$H552="SUBETAPA"</formula>
    </cfRule>
    <cfRule type="expression" priority="4818" dxfId="5">
      <formula>$H552="CÉLULA CONSTRUTIVA"</formula>
    </cfRule>
  </conditionalFormatting>
  <conditionalFormatting sqref="M554">
    <cfRule type="expression" priority="4817" dxfId="3">
      <formula>$H554="ETAPA"</formula>
    </cfRule>
    <cfRule type="expression" priority="4816" dxfId="5">
      <formula>$H554="CÉLULA CONSTRUTIVA"</formula>
    </cfRule>
  </conditionalFormatting>
  <conditionalFormatting sqref="M556">
    <cfRule type="expression" priority="4815" dxfId="3">
      <formula>$H556="ETAPA"</formula>
    </cfRule>
    <cfRule type="expression" priority="4814" dxfId="5">
      <formula>$H556="CÉLULA CONSTRUTIVA"</formula>
    </cfRule>
  </conditionalFormatting>
  <conditionalFormatting sqref="M558 M560">
    <cfRule type="expression" priority="4813" dxfId="3">
      <formula>$H558="ETAPA"</formula>
    </cfRule>
    <cfRule type="expression" priority="4812" dxfId="5">
      <formula>$H558="CÉLULA CONSTRUTIVA"</formula>
    </cfRule>
  </conditionalFormatting>
  <conditionalFormatting sqref="H566:J566 M562:M563">
    <cfRule type="expression" priority="4811" dxfId="3">
      <formula>$H562="ETAPA"</formula>
    </cfRule>
  </conditionalFormatting>
  <conditionalFormatting sqref="M565">
    <cfRule type="expression" priority="4810" dxfId="4">
      <formula>$H565="SUBETAPA"</formula>
    </cfRule>
    <cfRule type="expression" priority="4809" dxfId="5">
      <formula>$H565="CÉLULA CONSTRUTIVA"</formula>
    </cfRule>
  </conditionalFormatting>
  <conditionalFormatting sqref="M567">
    <cfRule type="expression" priority="4808" dxfId="3">
      <formula>$H567="ETAPA"</formula>
    </cfRule>
    <cfRule type="expression" priority="4807" dxfId="5">
      <formula>$H567="CÉLULA CONSTRUTIVA"</formula>
    </cfRule>
  </conditionalFormatting>
  <conditionalFormatting sqref="M569 M571">
    <cfRule type="expression" priority="4806" dxfId="3">
      <formula>$H569="ETAPA"</formula>
    </cfRule>
    <cfRule type="expression" priority="4805" dxfId="5">
      <formula>$H569="CÉLULA CONSTRUTIVA"</formula>
    </cfRule>
  </conditionalFormatting>
  <conditionalFormatting sqref="M574">
    <cfRule type="expression" priority="4804" dxfId="3">
      <formula>$H574="ETAPA"</formula>
    </cfRule>
    <cfRule type="expression" priority="4803" dxfId="5">
      <formula>$H574="CÉLULA CONSTRUTIVA"</formula>
    </cfRule>
  </conditionalFormatting>
  <conditionalFormatting sqref="M576">
    <cfRule type="expression" priority="4802" dxfId="3">
      <formula>$H576="ETAPA"</formula>
    </cfRule>
    <cfRule type="expression" priority="4801" dxfId="5">
      <formula>$H576="CÉLULA CONSTRUTIVA"</formula>
    </cfRule>
  </conditionalFormatting>
  <conditionalFormatting sqref="M578:M579">
    <cfRule type="expression" priority="4800" dxfId="3">
      <formula>$H578="ETAPA"</formula>
    </cfRule>
  </conditionalFormatting>
  <conditionalFormatting sqref="M580 M582">
    <cfRule type="expression" priority="4799" dxfId="3">
      <formula>$H580="ETAPA"</formula>
    </cfRule>
    <cfRule type="expression" priority="4798" dxfId="5">
      <formula>$H580="CÉLULA CONSTRUTIVA"</formula>
    </cfRule>
  </conditionalFormatting>
  <conditionalFormatting sqref="M585">
    <cfRule type="expression" priority="4797" dxfId="3">
      <formula>$H585="ETAPA"</formula>
    </cfRule>
    <cfRule type="expression" priority="4796" dxfId="5">
      <formula>$H585="CÉLULA CONSTRUTIVA"</formula>
    </cfRule>
  </conditionalFormatting>
  <conditionalFormatting sqref="M587:M588">
    <cfRule type="expression" priority="4795" dxfId="3">
      <formula>$H587="ETAPA"</formula>
    </cfRule>
  </conditionalFormatting>
  <conditionalFormatting sqref="M589 M591">
    <cfRule type="expression" priority="4794" dxfId="3">
      <formula>$H589="ETAPA"</formula>
    </cfRule>
    <cfRule type="expression" priority="4793" dxfId="5">
      <formula>$H589="CÉLULA CONSTRUTIVA"</formula>
    </cfRule>
  </conditionalFormatting>
  <conditionalFormatting sqref="M594">
    <cfRule type="expression" priority="4792" dxfId="3">
      <formula>$H594="ETAPA"</formula>
    </cfRule>
    <cfRule type="expression" priority="4791" dxfId="5">
      <formula>$H594="CÉLULA CONSTRUTIVA"</formula>
    </cfRule>
  </conditionalFormatting>
  <conditionalFormatting sqref="M596">
    <cfRule type="expression" priority="4790" dxfId="3">
      <formula>$H596="ETAPA"</formula>
    </cfRule>
  </conditionalFormatting>
  <conditionalFormatting sqref="M597">
    <cfRule type="expression" priority="4789" dxfId="3">
      <formula>$H597="ETAPA"</formula>
    </cfRule>
  </conditionalFormatting>
  <conditionalFormatting sqref="M598 M600">
    <cfRule type="expression" priority="4788" dxfId="3">
      <formula>$H598="ETAPA"</formula>
    </cfRule>
    <cfRule type="expression" priority="4787" dxfId="5">
      <formula>$H598="CÉLULA CONSTRUTIVA"</formula>
    </cfRule>
  </conditionalFormatting>
  <conditionalFormatting sqref="M603">
    <cfRule type="expression" priority="4786" dxfId="3">
      <formula>$H603="ETAPA"</formula>
    </cfRule>
    <cfRule type="expression" priority="4785" dxfId="5">
      <formula>$H603="CÉLULA CONSTRUTIVA"</formula>
    </cfRule>
  </conditionalFormatting>
  <conditionalFormatting sqref="M605">
    <cfRule type="expression" priority="4784" dxfId="3">
      <formula>$H605="ETAPA"</formula>
    </cfRule>
  </conditionalFormatting>
  <conditionalFormatting sqref="M606">
    <cfRule type="expression" priority="4783" dxfId="3">
      <formula>$H606="ETAPA"</formula>
    </cfRule>
  </conditionalFormatting>
  <conditionalFormatting sqref="M607 M609">
    <cfRule type="expression" priority="4782" dxfId="3">
      <formula>$H607="ETAPA"</formula>
    </cfRule>
    <cfRule type="expression" priority="4781" dxfId="5">
      <formula>$H607="CÉLULA CONSTRUTIVA"</formula>
    </cfRule>
  </conditionalFormatting>
  <conditionalFormatting sqref="M612">
    <cfRule type="expression" priority="4780" dxfId="3">
      <formula>$H612="ETAPA"</formula>
    </cfRule>
    <cfRule type="expression" priority="4779" dxfId="5">
      <formula>$H612="CÉLULA CONSTRUTIVA"</formula>
    </cfRule>
  </conditionalFormatting>
  <conditionalFormatting sqref="M614">
    <cfRule type="expression" priority="4778" dxfId="3">
      <formula>$H614="ETAPA"</formula>
    </cfRule>
  </conditionalFormatting>
  <conditionalFormatting sqref="M615">
    <cfRule type="expression" priority="4777" dxfId="3">
      <formula>$H615="ETAPA"</formula>
    </cfRule>
  </conditionalFormatting>
  <conditionalFormatting sqref="M616 M618">
    <cfRule type="expression" priority="4776" dxfId="3">
      <formula>$H616="ETAPA"</formula>
    </cfRule>
    <cfRule type="expression" priority="4775" dxfId="5">
      <formula>$H616="CÉLULA CONSTRUTIVA"</formula>
    </cfRule>
  </conditionalFormatting>
  <conditionalFormatting sqref="M621">
    <cfRule type="expression" priority="4774" dxfId="3">
      <formula>$H621="ETAPA"</formula>
    </cfRule>
    <cfRule type="expression" priority="4773" dxfId="5">
      <formula>$H621="CÉLULA CONSTRUTIVA"</formula>
    </cfRule>
  </conditionalFormatting>
  <conditionalFormatting sqref="M623">
    <cfRule type="expression" priority="4772" dxfId="3">
      <formula>$H623="ETAPA"</formula>
    </cfRule>
  </conditionalFormatting>
  <conditionalFormatting sqref="M624">
    <cfRule type="expression" priority="4771" dxfId="3">
      <formula>$H624="ETAPA"</formula>
    </cfRule>
  </conditionalFormatting>
  <conditionalFormatting sqref="M625 M627">
    <cfRule type="expression" priority="4770" dxfId="3">
      <formula>$H625="ETAPA"</formula>
    </cfRule>
    <cfRule type="expression" priority="4769" dxfId="5">
      <formula>$H625="CÉLULA CONSTRUTIVA"</formula>
    </cfRule>
  </conditionalFormatting>
  <conditionalFormatting sqref="M630">
    <cfRule type="expression" priority="4768" dxfId="3">
      <formula>$H630="ETAPA"</formula>
    </cfRule>
    <cfRule type="expression" priority="4767" dxfId="5">
      <formula>$H630="CÉLULA CONSTRUTIVA"</formula>
    </cfRule>
  </conditionalFormatting>
  <conditionalFormatting sqref="M632">
    <cfRule type="expression" priority="4766" dxfId="3">
      <formula>$H632="ETAPA"</formula>
    </cfRule>
  </conditionalFormatting>
  <conditionalFormatting sqref="M633">
    <cfRule type="expression" priority="4765" dxfId="3">
      <formula>$H633="ETAPA"</formula>
    </cfRule>
  </conditionalFormatting>
  <conditionalFormatting sqref="M634 M636">
    <cfRule type="expression" priority="4764" dxfId="3">
      <formula>$H634="ETAPA"</formula>
    </cfRule>
    <cfRule type="expression" priority="4763" dxfId="5">
      <formula>$H634="CÉLULA CONSTRUTIVA"</formula>
    </cfRule>
  </conditionalFormatting>
  <conditionalFormatting sqref="M639">
    <cfRule type="expression" priority="4762" dxfId="3">
      <formula>$H639="ETAPA"</formula>
    </cfRule>
    <cfRule type="expression" priority="4761" dxfId="5">
      <formula>$H639="CÉLULA CONSTRUTIVA"</formula>
    </cfRule>
  </conditionalFormatting>
  <conditionalFormatting sqref="M641">
    <cfRule type="expression" priority="4760" dxfId="3">
      <formula>$H641="ETAPA"</formula>
    </cfRule>
  </conditionalFormatting>
  <conditionalFormatting sqref="M642">
    <cfRule type="expression" priority="4759" dxfId="3">
      <formula>$H642="ETAPA"</formula>
    </cfRule>
  </conditionalFormatting>
  <conditionalFormatting sqref="M643 M645">
    <cfRule type="expression" priority="4758" dxfId="3">
      <formula>$H643="ETAPA"</formula>
    </cfRule>
    <cfRule type="expression" priority="4757" dxfId="5">
      <formula>$H643="CÉLULA CONSTRUTIVA"</formula>
    </cfRule>
  </conditionalFormatting>
  <conditionalFormatting sqref="M648">
    <cfRule type="expression" priority="4756" dxfId="3">
      <formula>$H648="ETAPA"</formula>
    </cfRule>
    <cfRule type="expression" priority="4755" dxfId="5">
      <formula>$H648="CÉLULA CONSTRUTIVA"</formula>
    </cfRule>
  </conditionalFormatting>
  <conditionalFormatting sqref="M650">
    <cfRule type="expression" priority="4754" dxfId="3">
      <formula>$H650="ETAPA"</formula>
    </cfRule>
  </conditionalFormatting>
  <conditionalFormatting sqref="M651">
    <cfRule type="expression" priority="4753" dxfId="3">
      <formula>$H651="ETAPA"</formula>
    </cfRule>
  </conditionalFormatting>
  <conditionalFormatting sqref="M652 M654">
    <cfRule type="expression" priority="4752" dxfId="3">
      <formula>$H652="ETAPA"</formula>
    </cfRule>
    <cfRule type="expression" priority="4751" dxfId="5">
      <formula>$H652="CÉLULA CONSTRUTIVA"</formula>
    </cfRule>
  </conditionalFormatting>
  <conditionalFormatting sqref="M657">
    <cfRule type="expression" priority="4750" dxfId="3">
      <formula>$H657="ETAPA"</formula>
    </cfRule>
    <cfRule type="expression" priority="4749" dxfId="5">
      <formula>$H657="CÉLULA CONSTRUTIVA"</formula>
    </cfRule>
  </conditionalFormatting>
  <conditionalFormatting sqref="M659">
    <cfRule type="expression" priority="4748" dxfId="3">
      <formula>$H659="ETAPA"</formula>
    </cfRule>
    <cfRule type="expression" priority="4747" dxfId="5">
      <formula>$H659="CÉLULA CONSTRUTIVA"</formula>
    </cfRule>
  </conditionalFormatting>
  <conditionalFormatting sqref="M661">
    <cfRule type="expression" priority="4746" dxfId="3">
      <formula>$H661="ETAPA"</formula>
    </cfRule>
  </conditionalFormatting>
  <conditionalFormatting sqref="M662">
    <cfRule type="expression" priority="4745" dxfId="3">
      <formula>$H662="ETAPA"</formula>
    </cfRule>
  </conditionalFormatting>
  <conditionalFormatting sqref="M663 M665">
    <cfRule type="expression" priority="4744" dxfId="3">
      <formula>$H663="ETAPA"</formula>
    </cfRule>
    <cfRule type="expression" priority="4743" dxfId="5">
      <formula>$H663="CÉLULA CONSTRUTIVA"</formula>
    </cfRule>
  </conditionalFormatting>
  <conditionalFormatting sqref="M668">
    <cfRule type="expression" priority="4742" dxfId="3">
      <formula>$H668="ETAPA"</formula>
    </cfRule>
    <cfRule type="expression" priority="4741" dxfId="5">
      <formula>$H668="CÉLULA CONSTRUTIVA"</formula>
    </cfRule>
  </conditionalFormatting>
  <conditionalFormatting sqref="M670">
    <cfRule type="expression" priority="4740" dxfId="3">
      <formula>$H670="ETAPA"</formula>
    </cfRule>
    <cfRule type="expression" priority="4739" dxfId="5">
      <formula>$H670="CÉLULA CONSTRUTIVA"</formula>
    </cfRule>
  </conditionalFormatting>
  <conditionalFormatting sqref="M672">
    <cfRule type="expression" priority="4738" dxfId="3">
      <formula>$H672="ETAPA"</formula>
    </cfRule>
  </conditionalFormatting>
  <conditionalFormatting sqref="M673">
    <cfRule type="expression" priority="4737" dxfId="3">
      <formula>$H673="ETAPA"</formula>
    </cfRule>
  </conditionalFormatting>
  <conditionalFormatting sqref="M674 M676">
    <cfRule type="expression" priority="4736" dxfId="3">
      <formula>$H674="ETAPA"</formula>
    </cfRule>
    <cfRule type="expression" priority="4735" dxfId="5">
      <formula>$H674="CÉLULA CONSTRUTIVA"</formula>
    </cfRule>
  </conditionalFormatting>
  <conditionalFormatting sqref="M679">
    <cfRule type="expression" priority="4734" dxfId="3">
      <formula>$H679="ETAPA"</formula>
    </cfRule>
    <cfRule type="expression" priority="4733" dxfId="5">
      <formula>$H679="CÉLULA CONSTRUTIVA"</formula>
    </cfRule>
  </conditionalFormatting>
  <conditionalFormatting sqref="M681">
    <cfRule type="expression" priority="4732" dxfId="3">
      <formula>$H681="ETAPA"</formula>
    </cfRule>
  </conditionalFormatting>
  <conditionalFormatting sqref="M682">
    <cfRule type="expression" priority="4731" dxfId="3">
      <formula>$H682="ETAPA"</formula>
    </cfRule>
  </conditionalFormatting>
  <conditionalFormatting sqref="M683 M685">
    <cfRule type="expression" priority="4730" dxfId="3">
      <formula>$H683="ETAPA"</formula>
    </cfRule>
    <cfRule type="expression" priority="4729" dxfId="5">
      <formula>$H683="CÉLULA CONSTRUTIVA"</formula>
    </cfRule>
  </conditionalFormatting>
  <conditionalFormatting sqref="M688">
    <cfRule type="expression" priority="4728" dxfId="3">
      <formula>$H688="ETAPA"</formula>
    </cfRule>
    <cfRule type="expression" priority="4727" dxfId="5">
      <formula>$H688="CÉLULA CONSTRUTIVA"</formula>
    </cfRule>
  </conditionalFormatting>
  <conditionalFormatting sqref="M690">
    <cfRule type="expression" priority="4726" dxfId="3">
      <formula>$H690="ETAPA"</formula>
    </cfRule>
  </conditionalFormatting>
  <conditionalFormatting sqref="M691">
    <cfRule type="expression" priority="4725" dxfId="3">
      <formula>$H691="ETAPA"</formula>
    </cfRule>
  </conditionalFormatting>
  <conditionalFormatting sqref="M692 M694">
    <cfRule type="expression" priority="4724" dxfId="3">
      <formula>$H692="ETAPA"</formula>
    </cfRule>
    <cfRule type="expression" priority="4723" dxfId="5">
      <formula>$H692="CÉLULA CONSTRUTIVA"</formula>
    </cfRule>
  </conditionalFormatting>
  <conditionalFormatting sqref="M697">
    <cfRule type="expression" priority="4721" dxfId="5">
      <formula>$H697="CÉLULA CONSTRUTIVA"</formula>
    </cfRule>
    <cfRule type="expression" priority="4722" dxfId="3">
      <formula>$H697="ETAPA"</formula>
    </cfRule>
  </conditionalFormatting>
  <conditionalFormatting sqref="M699">
    <cfRule type="expression" priority="4720" dxfId="3">
      <formula>$H699="ETAPA"</formula>
    </cfRule>
    <cfRule type="expression" priority="4719" dxfId="5">
      <formula>$H699="CÉLULA CONSTRUTIVA"</formula>
    </cfRule>
  </conditionalFormatting>
  <conditionalFormatting sqref="M701">
    <cfRule type="expression" priority="4718" dxfId="3">
      <formula>$H701="ETAPA"</formula>
    </cfRule>
  </conditionalFormatting>
  <conditionalFormatting sqref="M702">
    <cfRule type="expression" priority="4717" dxfId="3">
      <formula>$H702="ETAPA"</formula>
    </cfRule>
  </conditionalFormatting>
  <conditionalFormatting sqref="M704:M705">
    <cfRule type="expression" priority="4716" dxfId="3">
      <formula>$H704="ETAPA"</formula>
    </cfRule>
  </conditionalFormatting>
  <conditionalFormatting sqref="M707">
    <cfRule type="expression" priority="4715" dxfId="3">
      <formula>$H707="ETAPA"</formula>
    </cfRule>
    <cfRule type="expression" priority="4714" dxfId="5">
      <formula>$H707="CÉLULA CONSTRUTIVA"</formula>
    </cfRule>
  </conditionalFormatting>
  <conditionalFormatting sqref="M709">
    <cfRule type="expression" priority="4713" dxfId="3">
      <formula>$H709="ETAPA"</formula>
    </cfRule>
    <cfRule type="expression" priority="4712" dxfId="5">
      <formula>$H709="CÉLULA CONSTRUTIVA"</formula>
    </cfRule>
  </conditionalFormatting>
  <conditionalFormatting sqref="M715 M717">
    <cfRule type="expression" priority="4711" dxfId="3">
      <formula>$H715="ETAPA"</formula>
    </cfRule>
    <cfRule type="expression" priority="4710" dxfId="5">
      <formula>$H715="CÉLULA CONSTRUTIVA"</formula>
    </cfRule>
  </conditionalFormatting>
  <conditionalFormatting sqref="M719:M720">
    <cfRule type="expression" priority="4709" dxfId="3">
      <formula>$H719="ETAPA"</formula>
    </cfRule>
  </conditionalFormatting>
  <conditionalFormatting sqref="M722">
    <cfRule type="expression" priority="4708" dxfId="3">
      <formula>$H722="ETAPA"</formula>
    </cfRule>
    <cfRule type="expression" priority="4707" dxfId="5">
      <formula>$H722="CÉLULA CONSTRUTIVA"</formula>
    </cfRule>
  </conditionalFormatting>
  <conditionalFormatting sqref="M724">
    <cfRule type="expression" priority="4706" dxfId="3">
      <formula>$H724="ETAPA"</formula>
    </cfRule>
    <cfRule type="expression" priority="4705" dxfId="5">
      <formula>$H724="CÉLULA CONSTRUTIVA"</formula>
    </cfRule>
  </conditionalFormatting>
  <conditionalFormatting sqref="M725">
    <cfRule type="expression" priority="4704" dxfId="3">
      <formula>$H725="ETAPA"</formula>
    </cfRule>
  </conditionalFormatting>
  <conditionalFormatting sqref="M730 M732">
    <cfRule type="expression" priority="4703" dxfId="3">
      <formula>$H730="ETAPA"</formula>
    </cfRule>
    <cfRule type="expression" priority="4702" dxfId="5">
      <formula>$H730="CÉLULA CONSTRUTIVA"</formula>
    </cfRule>
  </conditionalFormatting>
  <conditionalFormatting sqref="M734:M735">
    <cfRule type="expression" priority="4701" dxfId="3">
      <formula>$H734="ETAPA"</formula>
    </cfRule>
  </conditionalFormatting>
  <conditionalFormatting sqref="M737">
    <cfRule type="expression" priority="4700" dxfId="3">
      <formula>$H737="ETAPA"</formula>
    </cfRule>
    <cfRule type="expression" priority="4699" dxfId="5">
      <formula>$H737="CÉLULA CONSTRUTIVA"</formula>
    </cfRule>
  </conditionalFormatting>
  <conditionalFormatting sqref="M739">
    <cfRule type="expression" priority="4698" dxfId="3">
      <formula>$H739="ETAPA"</formula>
    </cfRule>
    <cfRule type="expression" priority="4697" dxfId="5">
      <formula>$H739="CÉLULA CONSTRUTIVA"</formula>
    </cfRule>
  </conditionalFormatting>
  <conditionalFormatting sqref="M740">
    <cfRule type="expression" priority="4696" dxfId="3">
      <formula>$H740="ETAPA"</formula>
    </cfRule>
  </conditionalFormatting>
  <conditionalFormatting sqref="M745 M747">
    <cfRule type="expression" priority="4695" dxfId="3">
      <formula>$H745="ETAPA"</formula>
    </cfRule>
    <cfRule type="expression" priority="4694" dxfId="5">
      <formula>$H745="CÉLULA CONSTRUTIVA"</formula>
    </cfRule>
  </conditionalFormatting>
  <conditionalFormatting sqref="M749:M750">
    <cfRule type="expression" priority="4693" dxfId="3">
      <formula>$H749="ETAPA"</formula>
    </cfRule>
  </conditionalFormatting>
  <conditionalFormatting sqref="M752">
    <cfRule type="expression" priority="4691" dxfId="5">
      <formula>$H752="CÉLULA CONSTRUTIVA"</formula>
    </cfRule>
    <cfRule type="expression" priority="4692" dxfId="3">
      <formula>$H752="ETAPA"</formula>
    </cfRule>
  </conditionalFormatting>
  <conditionalFormatting sqref="M754">
    <cfRule type="expression" priority="4689" dxfId="5">
      <formula>$H754="CÉLULA CONSTRUTIVA"</formula>
    </cfRule>
    <cfRule type="expression" priority="4690" dxfId="3">
      <formula>$H754="ETAPA"</formula>
    </cfRule>
  </conditionalFormatting>
  <conditionalFormatting sqref="M755">
    <cfRule type="expression" priority="4688" dxfId="3">
      <formula>$H755="ETAPA"</formula>
    </cfRule>
  </conditionalFormatting>
  <conditionalFormatting sqref="M760 M762">
    <cfRule type="expression" priority="4686" dxfId="5">
      <formula>$H760="CÉLULA CONSTRUTIVA"</formula>
    </cfRule>
    <cfRule type="expression" priority="4687" dxfId="3">
      <formula>$H760="ETAPA"</formula>
    </cfRule>
  </conditionalFormatting>
  <conditionalFormatting sqref="M764:M765">
    <cfRule type="expression" priority="4685" dxfId="3">
      <formula>$H764="ETAPA"</formula>
    </cfRule>
  </conditionalFormatting>
  <conditionalFormatting sqref="M767">
    <cfRule type="expression" priority="4684" dxfId="3">
      <formula>$H767="ETAPA"</formula>
    </cfRule>
    <cfRule type="expression" priority="4683" dxfId="5">
      <formula>$H767="CÉLULA CONSTRUTIVA"</formula>
    </cfRule>
  </conditionalFormatting>
  <conditionalFormatting sqref="M769">
    <cfRule type="expression" priority="4681" dxfId="5">
      <formula>$H769="CÉLULA CONSTRUTIVA"</formula>
    </cfRule>
    <cfRule type="expression" priority="4682" dxfId="3">
      <formula>$H769="ETAPA"</formula>
    </cfRule>
  </conditionalFormatting>
  <conditionalFormatting sqref="M770">
    <cfRule type="expression" priority="4680" dxfId="3">
      <formula>$H770="ETAPA"</formula>
    </cfRule>
  </conditionalFormatting>
  <conditionalFormatting sqref="M775 M777">
    <cfRule type="expression" priority="4678" dxfId="5">
      <formula>$H775="CÉLULA CONSTRUTIVA"</formula>
    </cfRule>
    <cfRule type="expression" priority="4679" dxfId="3">
      <formula>$H775="ETAPA"</formula>
    </cfRule>
  </conditionalFormatting>
  <conditionalFormatting sqref="M779:M780">
    <cfRule type="expression" priority="4677" dxfId="3">
      <formula>$H779="ETAPA"</formula>
    </cfRule>
  </conditionalFormatting>
  <conditionalFormatting sqref="M782">
    <cfRule type="expression" priority="4675" dxfId="5">
      <formula>$H782="CÉLULA CONSTRUTIVA"</formula>
    </cfRule>
    <cfRule type="expression" priority="4676" dxfId="3">
      <formula>$H782="ETAPA"</formula>
    </cfRule>
  </conditionalFormatting>
  <conditionalFormatting sqref="M784">
    <cfRule type="expression" priority="4673" dxfId="5">
      <formula>$H784="CÉLULA CONSTRUTIVA"</formula>
    </cfRule>
    <cfRule type="expression" priority="4674" dxfId="3">
      <formula>$H784="ETAPA"</formula>
    </cfRule>
  </conditionalFormatting>
  <conditionalFormatting sqref="M785">
    <cfRule type="expression" priority="4672" dxfId="3">
      <formula>$H785="ETAPA"</formula>
    </cfRule>
  </conditionalFormatting>
  <conditionalFormatting sqref="M790 M792">
    <cfRule type="expression" priority="4670" dxfId="5">
      <formula>$H790="CÉLULA CONSTRUTIVA"</formula>
    </cfRule>
    <cfRule type="expression" priority="4671" dxfId="3">
      <formula>$H790="ETAPA"</formula>
    </cfRule>
  </conditionalFormatting>
  <conditionalFormatting sqref="M794:M795">
    <cfRule type="expression" priority="4669" dxfId="3">
      <formula>$H794="ETAPA"</formula>
    </cfRule>
  </conditionalFormatting>
  <conditionalFormatting sqref="M797">
    <cfRule type="expression" priority="4667" dxfId="5">
      <formula>$H797="CÉLULA CONSTRUTIVA"</formula>
    </cfRule>
    <cfRule type="expression" priority="4668" dxfId="3">
      <formula>$H797="ETAPA"</formula>
    </cfRule>
  </conditionalFormatting>
  <conditionalFormatting sqref="M799">
    <cfRule type="expression" priority="4665" dxfId="5">
      <formula>$H799="CÉLULA CONSTRUTIVA"</formula>
    </cfRule>
    <cfRule type="expression" priority="4666" dxfId="3">
      <formula>$H799="ETAPA"</formula>
    </cfRule>
  </conditionalFormatting>
  <conditionalFormatting sqref="M800">
    <cfRule type="expression" priority="4664" dxfId="3">
      <formula>$H800="ETAPA"</formula>
    </cfRule>
  </conditionalFormatting>
  <conditionalFormatting sqref="M805 M807">
    <cfRule type="expression" priority="4662" dxfId="5">
      <formula>$H805="CÉLULA CONSTRUTIVA"</formula>
    </cfRule>
    <cfRule type="expression" priority="4663" dxfId="3">
      <formula>$H805="ETAPA"</formula>
    </cfRule>
  </conditionalFormatting>
  <conditionalFormatting sqref="M809:M810">
    <cfRule type="expression" priority="4661" dxfId="3">
      <formula>$H809="ETAPA"</formula>
    </cfRule>
  </conditionalFormatting>
  <conditionalFormatting sqref="M812">
    <cfRule type="expression" priority="4660" dxfId="3">
      <formula>$H812="ETAPA"</formula>
    </cfRule>
    <cfRule type="expression" priority="4659" dxfId="5">
      <formula>$H812="CÉLULA CONSTRUTIVA"</formula>
    </cfRule>
  </conditionalFormatting>
  <conditionalFormatting sqref="M814">
    <cfRule type="expression" priority="4657" dxfId="5">
      <formula>$H814="CÉLULA CONSTRUTIVA"</formula>
    </cfRule>
    <cfRule type="expression" priority="4658" dxfId="3">
      <formula>$H814="ETAPA"</formula>
    </cfRule>
  </conditionalFormatting>
  <conditionalFormatting sqref="M815">
    <cfRule type="expression" priority="4656" dxfId="3">
      <formula>$H815="ETAPA"</formula>
    </cfRule>
  </conditionalFormatting>
  <conditionalFormatting sqref="M820 M822">
    <cfRule type="expression" priority="4655" dxfId="3">
      <formula>$H820="ETAPA"</formula>
    </cfRule>
    <cfRule type="expression" priority="4654" dxfId="5">
      <formula>$H820="CÉLULA CONSTRUTIVA"</formula>
    </cfRule>
  </conditionalFormatting>
  <conditionalFormatting sqref="M824:M825">
    <cfRule type="expression" priority="4653" dxfId="3">
      <formula>$H824="ETAPA"</formula>
    </cfRule>
  </conditionalFormatting>
  <conditionalFormatting sqref="M827">
    <cfRule type="expression" priority="4652" dxfId="3">
      <formula>$H827="ETAPA"</formula>
    </cfRule>
    <cfRule type="expression" priority="4651" dxfId="5">
      <formula>$H827="CÉLULA CONSTRUTIVA"</formula>
    </cfRule>
  </conditionalFormatting>
  <conditionalFormatting sqref="M829">
    <cfRule type="expression" priority="4650" dxfId="3">
      <formula>$H829="ETAPA"</formula>
    </cfRule>
    <cfRule type="expression" priority="4649" dxfId="5">
      <formula>$H829="CÉLULA CONSTRUTIVA"</formula>
    </cfRule>
  </conditionalFormatting>
  <conditionalFormatting sqref="M830">
    <cfRule type="expression" priority="4648" dxfId="3">
      <formula>$H830="ETAPA"</formula>
    </cfRule>
  </conditionalFormatting>
  <conditionalFormatting sqref="M835 M837">
    <cfRule type="expression" priority="4647" dxfId="3">
      <formula>$H835="ETAPA"</formula>
    </cfRule>
    <cfRule type="expression" priority="4646" dxfId="5">
      <formula>$H835="CÉLULA CONSTRUTIVA"</formula>
    </cfRule>
  </conditionalFormatting>
  <conditionalFormatting sqref="M839:M840">
    <cfRule type="expression" priority="4645" dxfId="3">
      <formula>$H839="ETAPA"</formula>
    </cfRule>
  </conditionalFormatting>
  <conditionalFormatting sqref="M842">
    <cfRule type="expression" priority="4643" dxfId="5">
      <formula>$H842="CÉLULA CONSTRUTIVA"</formula>
    </cfRule>
    <cfRule type="expression" priority="4644" dxfId="3">
      <formula>$H842="ETAPA"</formula>
    </cfRule>
  </conditionalFormatting>
  <conditionalFormatting sqref="M844">
    <cfRule type="expression" priority="4642" dxfId="3">
      <formula>$H844="ETAPA"</formula>
    </cfRule>
    <cfRule type="expression" priority="4641" dxfId="5">
      <formula>$H844="CÉLULA CONSTRUTIVA"</formula>
    </cfRule>
  </conditionalFormatting>
  <conditionalFormatting sqref="M845">
    <cfRule type="expression" priority="4640" dxfId="3">
      <formula>$H845="ETAPA"</formula>
    </cfRule>
  </conditionalFormatting>
  <conditionalFormatting sqref="M850 M852">
    <cfRule type="expression" priority="4639" dxfId="3">
      <formula>$H850="ETAPA"</formula>
    </cfRule>
    <cfRule type="expression" priority="4638" dxfId="5">
      <formula>$H850="CÉLULA CONSTRUTIVA"</formula>
    </cfRule>
  </conditionalFormatting>
  <conditionalFormatting sqref="M854:M855">
    <cfRule type="expression" priority="4637" dxfId="3">
      <formula>$H854="ETAPA"</formula>
    </cfRule>
  </conditionalFormatting>
  <conditionalFormatting sqref="M857">
    <cfRule type="expression" priority="4636" dxfId="3">
      <formula>$H857="ETAPA"</formula>
    </cfRule>
    <cfRule type="expression" priority="4635" dxfId="5">
      <formula>$H857="CÉLULA CONSTRUTIVA"</formula>
    </cfRule>
  </conditionalFormatting>
  <conditionalFormatting sqref="M859">
    <cfRule type="expression" priority="4634" dxfId="3">
      <formula>$H859="ETAPA"</formula>
    </cfRule>
    <cfRule type="expression" priority="4633" dxfId="5">
      <formula>$H859="CÉLULA CONSTRUTIVA"</formula>
    </cfRule>
  </conditionalFormatting>
  <conditionalFormatting sqref="M860">
    <cfRule type="expression" priority="4632" dxfId="3">
      <formula>$H860="ETAPA"</formula>
    </cfRule>
  </conditionalFormatting>
  <conditionalFormatting sqref="M865 M867">
    <cfRule type="expression" priority="4631" dxfId="3">
      <formula>$H865="ETAPA"</formula>
    </cfRule>
    <cfRule type="expression" priority="4630" dxfId="5">
      <formula>$H865="CÉLULA CONSTRUTIVA"</formula>
    </cfRule>
  </conditionalFormatting>
  <conditionalFormatting sqref="M869:M870">
    <cfRule type="expression" priority="4629" dxfId="3">
      <formula>$H869="ETAPA"</formula>
    </cfRule>
  </conditionalFormatting>
  <conditionalFormatting sqref="M872">
    <cfRule type="expression" priority="4628" dxfId="3">
      <formula>$H872="ETAPA"</formula>
    </cfRule>
    <cfRule type="expression" priority="4627" dxfId="5">
      <formula>$H872="CÉLULA CONSTRUTIVA"</formula>
    </cfRule>
  </conditionalFormatting>
  <conditionalFormatting sqref="M874">
    <cfRule type="expression" priority="4626" dxfId="3">
      <formula>$H874="ETAPA"</formula>
    </cfRule>
    <cfRule type="expression" priority="4625" dxfId="5">
      <formula>$H874="CÉLULA CONSTRUTIVA"</formula>
    </cfRule>
  </conditionalFormatting>
  <conditionalFormatting sqref="M875">
    <cfRule type="expression" priority="4624" dxfId="3">
      <formula>$H875="ETAPA"</formula>
    </cfRule>
  </conditionalFormatting>
  <conditionalFormatting sqref="M880 M882">
    <cfRule type="expression" priority="4622" dxfId="5">
      <formula>$H880="CÉLULA CONSTRUTIVA"</formula>
    </cfRule>
    <cfRule type="expression" priority="4623" dxfId="3">
      <formula>$H880="ETAPA"</formula>
    </cfRule>
  </conditionalFormatting>
  <conditionalFormatting sqref="M884:M885">
    <cfRule type="expression" priority="4621" dxfId="3">
      <formula>$H884="ETAPA"</formula>
    </cfRule>
  </conditionalFormatting>
  <conditionalFormatting sqref="M887">
    <cfRule type="expression" priority="4620" dxfId="3">
      <formula>$H887="ETAPA"</formula>
    </cfRule>
    <cfRule type="expression" priority="4619" dxfId="5">
      <formula>$H887="CÉLULA CONSTRUTIVA"</formula>
    </cfRule>
  </conditionalFormatting>
  <conditionalFormatting sqref="M889">
    <cfRule type="expression" priority="4618" dxfId="3">
      <formula>$H889="ETAPA"</formula>
    </cfRule>
    <cfRule type="expression" priority="4617" dxfId="5">
      <formula>$H889="CÉLULA CONSTRUTIVA"</formula>
    </cfRule>
  </conditionalFormatting>
  <conditionalFormatting sqref="M890">
    <cfRule type="expression" priority="4616" dxfId="3">
      <formula>$H890="ETAPA"</formula>
    </cfRule>
  </conditionalFormatting>
  <conditionalFormatting sqref="M895 M897">
    <cfRule type="expression" priority="4615" dxfId="3">
      <formula>$H895="ETAPA"</formula>
    </cfRule>
    <cfRule type="expression" priority="4614" dxfId="5">
      <formula>$H895="CÉLULA CONSTRUTIVA"</formula>
    </cfRule>
  </conditionalFormatting>
  <conditionalFormatting sqref="M899:M900">
    <cfRule type="expression" priority="4613" dxfId="3">
      <formula>$H899="ETAPA"</formula>
    </cfRule>
  </conditionalFormatting>
  <conditionalFormatting sqref="M902">
    <cfRule type="expression" priority="4611" dxfId="5">
      <formula>$H902="CÉLULA CONSTRUTIVA"</formula>
    </cfRule>
    <cfRule type="expression" priority="4612" dxfId="3">
      <formula>$H902="ETAPA"</formula>
    </cfRule>
  </conditionalFormatting>
  <conditionalFormatting sqref="M904">
    <cfRule type="expression" priority="4610" dxfId="3">
      <formula>$H904="ETAPA"</formula>
    </cfRule>
    <cfRule type="expression" priority="4609" dxfId="5">
      <formula>$H904="CÉLULA CONSTRUTIVA"</formula>
    </cfRule>
  </conditionalFormatting>
  <conditionalFormatting sqref="M905">
    <cfRule type="expression" priority="4608" dxfId="3">
      <formula>$H905="ETAPA"</formula>
    </cfRule>
  </conditionalFormatting>
  <conditionalFormatting sqref="M910 M912">
    <cfRule type="expression" priority="4607" dxfId="3">
      <formula>$H910="ETAPA"</formula>
    </cfRule>
    <cfRule type="expression" priority="4606" dxfId="5">
      <formula>$H910="CÉLULA CONSTRUTIVA"</formula>
    </cfRule>
  </conditionalFormatting>
  <conditionalFormatting sqref="M917:M922 M949:M954 M956:M961 M963:M968 M970:M975 M977:M982 M989:M994">
    <cfRule type="expression" priority="9354" dxfId="4">
      <formula>$H917="SUBETAPA"</formula>
    </cfRule>
  </conditionalFormatting>
  <conditionalFormatting sqref="M999:M1001">
    <cfRule type="expression" priority="33" dxfId="5">
      <formula>$H999="CÉLULA CONSTRUTIVA"</formula>
    </cfRule>
    <cfRule type="expression" priority="32" dxfId="4">
      <formula>$H999="SUBETAPA"</formula>
    </cfRule>
  </conditionalFormatting>
  <conditionalFormatting sqref="M999:M1003">
    <cfRule type="expression" priority="4605" dxfId="3">
      <formula>$H999="ETAPA"</formula>
    </cfRule>
  </conditionalFormatting>
  <conditionalFormatting sqref="M1002:M1003">
    <cfRule type="expression" priority="4604" dxfId="5">
      <formula>$H1002="CÉLULA CONSTRUTIVA"</formula>
    </cfRule>
    <cfRule type="expression" priority="4603" dxfId="4">
      <formula>$H1002="SUBETAPA"</formula>
    </cfRule>
  </conditionalFormatting>
  <conditionalFormatting sqref="M1012">
    <cfRule type="expression" priority="4602" dxfId="3">
      <formula>$H1012="ETAPA"</formula>
    </cfRule>
    <cfRule type="expression" priority="4601" dxfId="5">
      <formula>$H1012="CÉLULA CONSTRUTIVA"</formula>
    </cfRule>
    <cfRule type="expression" priority="4600" dxfId="4">
      <formula>$H1012="SUBETAPA"</formula>
    </cfRule>
  </conditionalFormatting>
  <conditionalFormatting sqref="I1013:K1014 I1015:J1015 I1016:K1016 M1013:M1014 M1016:M1017">
    <cfRule type="expression" priority="4599" dxfId="5">
      <formula>$H1013="CÉLULA CONSTRUTIVA"</formula>
    </cfRule>
  </conditionalFormatting>
  <conditionalFormatting sqref="M1013:M1014 M1016:M1017">
    <cfRule type="expression" priority="4598" dxfId="4">
      <formula>$H1013="SUBETAPA"</formula>
    </cfRule>
  </conditionalFormatting>
  <conditionalFormatting sqref="M1019">
    <cfRule type="expression" priority="4596" dxfId="5">
      <formula>$H1019="CÉLULA CONSTRUTIVA"</formula>
    </cfRule>
    <cfRule type="expression" priority="4597" dxfId="3">
      <formula>$H1019="ETAPA"</formula>
    </cfRule>
    <cfRule type="expression" priority="4595" dxfId="4">
      <formula>$H1019="SUBETAPA"</formula>
    </cfRule>
  </conditionalFormatting>
  <conditionalFormatting sqref="M1022:M1026">
    <cfRule type="expression" priority="4593" dxfId="5">
      <formula>$H1022="CÉLULA CONSTRUTIVA"</formula>
    </cfRule>
    <cfRule type="expression" priority="4592" dxfId="4">
      <formula>$H1022="SUBETAPA"</formula>
    </cfRule>
    <cfRule type="expression" priority="4594" dxfId="3">
      <formula>$H1022="ETAPA"</formula>
    </cfRule>
  </conditionalFormatting>
  <conditionalFormatting sqref="I1027:K1028 I1029:J1029 I1030:K1030 M1027:M1028 M1030:M1031">
    <cfRule type="expression" priority="4591" dxfId="5">
      <formula>$H1027="CÉLULA CONSTRUTIVA"</formula>
    </cfRule>
  </conditionalFormatting>
  <conditionalFormatting sqref="M1027:M1028 M1030:M1031">
    <cfRule type="expression" priority="4590" dxfId="4">
      <formula>$H1027="SUBETAPA"</formula>
    </cfRule>
  </conditionalFormatting>
  <conditionalFormatting sqref="M1033">
    <cfRule type="expression" priority="4587" dxfId="4">
      <formula>$H1033="SUBETAPA"</formula>
    </cfRule>
    <cfRule type="expression" priority="4588" dxfId="5">
      <formula>$H1033="CÉLULA CONSTRUTIVA"</formula>
    </cfRule>
    <cfRule type="expression" priority="4589" dxfId="3">
      <formula>$H1033="ETAPA"</formula>
    </cfRule>
  </conditionalFormatting>
  <conditionalFormatting sqref="M1036:M1040">
    <cfRule type="expression" priority="4585" dxfId="5">
      <formula>$H1036="CÉLULA CONSTRUTIVA"</formula>
    </cfRule>
    <cfRule type="expression" priority="4586" dxfId="3">
      <formula>$H1036="ETAPA"</formula>
    </cfRule>
    <cfRule type="expression" priority="4584" dxfId="4">
      <formula>$H1036="SUBETAPA"</formula>
    </cfRule>
  </conditionalFormatting>
  <conditionalFormatting sqref="I1041:K1042 I1043:J1043 I1044:K1044 M1041:M1042 M1044:M1045">
    <cfRule type="expression" priority="4583" dxfId="5">
      <formula>$H1041="CÉLULA CONSTRUTIVA"</formula>
    </cfRule>
  </conditionalFormatting>
  <conditionalFormatting sqref="M1041:M1042 M1044:M1045">
    <cfRule type="expression" priority="4582" dxfId="4">
      <formula>$H1041="SUBETAPA"</formula>
    </cfRule>
  </conditionalFormatting>
  <conditionalFormatting sqref="M1047">
    <cfRule type="expression" priority="4581" dxfId="3">
      <formula>$H1047="ETAPA"</formula>
    </cfRule>
    <cfRule type="expression" priority="4580" dxfId="5">
      <formula>$H1047="CÉLULA CONSTRUTIVA"</formula>
    </cfRule>
    <cfRule type="expression" priority="4579" dxfId="4">
      <formula>$H1047="SUBETAPA"</formula>
    </cfRule>
  </conditionalFormatting>
  <conditionalFormatting sqref="M1050:M1054">
    <cfRule type="expression" priority="4578" dxfId="3">
      <formula>$H1050="ETAPA"</formula>
    </cfRule>
    <cfRule type="expression" priority="4576" dxfId="4">
      <formula>$H1050="SUBETAPA"</formula>
    </cfRule>
    <cfRule type="expression" priority="4577" dxfId="5">
      <formula>$H1050="CÉLULA CONSTRUTIVA"</formula>
    </cfRule>
  </conditionalFormatting>
  <conditionalFormatting sqref="I1055:K1056 I1057:J1057 I1058:K1058 M1055:M1056 M1058:M1059">
    <cfRule type="expression" priority="4575" dxfId="5">
      <formula>$H1055="CÉLULA CONSTRUTIVA"</formula>
    </cfRule>
  </conditionalFormatting>
  <conditionalFormatting sqref="M1055:M1056 M1058:M1059">
    <cfRule type="expression" priority="4574" dxfId="4">
      <formula>$H1055="SUBETAPA"</formula>
    </cfRule>
  </conditionalFormatting>
  <conditionalFormatting sqref="M1061">
    <cfRule type="expression" priority="4571" dxfId="4">
      <formula>$H1061="SUBETAPA"</formula>
    </cfRule>
    <cfRule type="expression" priority="4572" dxfId="5">
      <formula>$H1061="CÉLULA CONSTRUTIVA"</formula>
    </cfRule>
    <cfRule type="expression" priority="4573" dxfId="3">
      <formula>$H1061="ETAPA"</formula>
    </cfRule>
  </conditionalFormatting>
  <conditionalFormatting sqref="M1064:M1068">
    <cfRule type="expression" priority="4568" dxfId="4">
      <formula>$H1064="SUBETAPA"</formula>
    </cfRule>
    <cfRule type="expression" priority="4569" dxfId="5">
      <formula>$H1064="CÉLULA CONSTRUTIVA"</formula>
    </cfRule>
    <cfRule type="expression" priority="4570" dxfId="3">
      <formula>$H1064="ETAPA"</formula>
    </cfRule>
  </conditionalFormatting>
  <conditionalFormatting sqref="I1069:K1070 I1071:J1071 I1072:K1072 M1069:M1070 M1073">
    <cfRule type="expression" priority="4567" dxfId="5">
      <formula>$H1069="CÉLULA CONSTRUTIVA"</formula>
    </cfRule>
  </conditionalFormatting>
  <conditionalFormatting sqref="M1069:M1070 M1073">
    <cfRule type="expression" priority="4566" dxfId="4">
      <formula>$H1069="SUBETAPA"</formula>
    </cfRule>
  </conditionalFormatting>
  <conditionalFormatting sqref="M1072">
    <cfRule type="expression" priority="4564" dxfId="3">
      <formula>$H1072="ETAPA"</formula>
    </cfRule>
    <cfRule type="expression" priority="4565" dxfId="4">
      <formula>$H1072="SUBETAPA"</formula>
    </cfRule>
  </conditionalFormatting>
  <conditionalFormatting sqref="M1075">
    <cfRule type="expression" priority="4563" dxfId="3">
      <formula>$H1075="ETAPA"</formula>
    </cfRule>
    <cfRule type="expression" priority="4561" dxfId="4">
      <formula>$H1075="SUBETAPA"</formula>
    </cfRule>
    <cfRule type="expression" priority="4562" dxfId="5">
      <formula>$H1075="CÉLULA CONSTRUTIVA"</formula>
    </cfRule>
  </conditionalFormatting>
  <conditionalFormatting sqref="M1076">
    <cfRule type="expression" priority="4560" dxfId="4">
      <formula>$H1076="SUBETAPA"</formula>
    </cfRule>
  </conditionalFormatting>
  <conditionalFormatting sqref="M1078:M1081">
    <cfRule type="expression" priority="4558" dxfId="5">
      <formula>$H1078="CÉLULA CONSTRUTIVA"</formula>
    </cfRule>
    <cfRule type="expression" priority="4559" dxfId="3">
      <formula>$H1078="ETAPA"</formula>
    </cfRule>
    <cfRule type="expression" priority="4557" dxfId="4">
      <formula>$H1078="SUBETAPA"</formula>
    </cfRule>
  </conditionalFormatting>
  <conditionalFormatting sqref="M1082">
    <cfRule type="expression" priority="4555" dxfId="4">
      <formula>$H1082="SUBETAPA"</formula>
    </cfRule>
    <cfRule type="expression" priority="4554" dxfId="3">
      <formula>$H1082="ETAPA"</formula>
    </cfRule>
    <cfRule type="expression" priority="4556" dxfId="5">
      <formula>$H1082="CÉLULA CONSTRUTIVA"</formula>
    </cfRule>
  </conditionalFormatting>
  <conditionalFormatting sqref="I1083:K1084 I1085:J1085 I1086:K1086 M1083:M1084 M1087">
    <cfRule type="expression" priority="4553" dxfId="5">
      <formula>$H1083="CÉLULA CONSTRUTIVA"</formula>
    </cfRule>
  </conditionalFormatting>
  <conditionalFormatting sqref="M1083:M1084 M1087">
    <cfRule type="expression" priority="4552" dxfId="4">
      <formula>$H1083="SUBETAPA"</formula>
    </cfRule>
  </conditionalFormatting>
  <conditionalFormatting sqref="M1085">
    <cfRule type="expression" priority="4551" dxfId="5">
      <formula>$H1085="CÉLULA CONSTRUTIVA"</formula>
    </cfRule>
    <cfRule type="expression" priority="4549" dxfId="3">
      <formula>$H1085="ETAPA"</formula>
    </cfRule>
    <cfRule type="expression" priority="4550" dxfId="4">
      <formula>$H1085="SUBETAPA"</formula>
    </cfRule>
  </conditionalFormatting>
  <conditionalFormatting sqref="M1086">
    <cfRule type="expression" priority="4546" dxfId="3">
      <formula>$H1086="ETAPA"</formula>
    </cfRule>
    <cfRule type="expression" priority="4547" dxfId="4">
      <formula>$H1086="SUBETAPA"</formula>
    </cfRule>
    <cfRule type="expression" priority="4548" dxfId="5">
      <formula>$H1086="CÉLULA CONSTRUTIVA"</formula>
    </cfRule>
  </conditionalFormatting>
  <conditionalFormatting sqref="M1088">
    <cfRule type="expression" priority="4543" dxfId="3">
      <formula>$H1088="ETAPA"</formula>
    </cfRule>
    <cfRule type="expression" priority="4544" dxfId="4">
      <formula>$H1088="SUBETAPA"</formula>
    </cfRule>
    <cfRule type="expression" priority="4545" dxfId="5">
      <formula>$H1088="CÉLULA CONSTRUTIVA"</formula>
    </cfRule>
  </conditionalFormatting>
  <conditionalFormatting sqref="M1089">
    <cfRule type="expression" priority="4541" dxfId="5">
      <formula>$H1089="CÉLULA CONSTRUTIVA"</formula>
    </cfRule>
    <cfRule type="expression" priority="4542" dxfId="3">
      <formula>$H1089="ETAPA"</formula>
    </cfRule>
    <cfRule type="expression" priority="4540" dxfId="4">
      <formula>$H1089="SUBETAPA"</formula>
    </cfRule>
  </conditionalFormatting>
  <conditionalFormatting sqref="M1090">
    <cfRule type="expression" priority="4538" dxfId="4">
      <formula>$H1090="SUBETAPA"</formula>
    </cfRule>
    <cfRule type="expression" priority="4537" dxfId="3">
      <formula>$H1090="ETAPA"</formula>
    </cfRule>
    <cfRule type="expression" priority="4539" dxfId="5">
      <formula>$H1090="CÉLULA CONSTRUTIVA"</formula>
    </cfRule>
  </conditionalFormatting>
  <conditionalFormatting sqref="M1091">
    <cfRule type="expression" priority="4536" dxfId="5">
      <formula>$H1091="CÉLULA CONSTRUTIVA"</formula>
    </cfRule>
    <cfRule type="expression" priority="4535" dxfId="4">
      <formula>$H1091="SUBETAPA"</formula>
    </cfRule>
    <cfRule type="expression" priority="4534" dxfId="3">
      <formula>$H1091="ETAPA"</formula>
    </cfRule>
  </conditionalFormatting>
  <conditionalFormatting sqref="M1092:M1095">
    <cfRule type="expression" priority="4533" dxfId="3">
      <formula>$H1092="ETAPA"</formula>
    </cfRule>
    <cfRule type="expression" priority="4532" dxfId="5">
      <formula>$H1092="CÉLULA CONSTRUTIVA"</formula>
    </cfRule>
    <cfRule type="expression" priority="4531" dxfId="4">
      <formula>$H1092="SUBETAPA"</formula>
    </cfRule>
  </conditionalFormatting>
  <conditionalFormatting sqref="M1096">
    <cfRule type="expression" priority="4530" dxfId="5">
      <formula>$H1096="CÉLULA CONSTRUTIVA"</formula>
    </cfRule>
    <cfRule type="expression" priority="4528" dxfId="3">
      <formula>$H1096="ETAPA"</formula>
    </cfRule>
    <cfRule type="expression" priority="4529" dxfId="4">
      <formula>$H1096="SUBETAPA"</formula>
    </cfRule>
  </conditionalFormatting>
  <conditionalFormatting sqref="I1097:K1098 I1099:J1099 I1100:K1100 M1097:M1098 M1100:M1101">
    <cfRule type="expression" priority="4527" dxfId="5">
      <formula>$H1097="CÉLULA CONSTRUTIVA"</formula>
    </cfRule>
  </conditionalFormatting>
  <conditionalFormatting sqref="M1097:M1098 M1100:M1101">
    <cfRule type="expression" priority="4526" dxfId="4">
      <formula>$H1097="SUBETAPA"</formula>
    </cfRule>
  </conditionalFormatting>
  <conditionalFormatting sqref="M1103">
    <cfRule type="expression" priority="4523" dxfId="4">
      <formula>$H1103="SUBETAPA"</formula>
    </cfRule>
    <cfRule type="expression" priority="4525" dxfId="3">
      <formula>$H1103="ETAPA"</formula>
    </cfRule>
    <cfRule type="expression" priority="4524" dxfId="5">
      <formula>$H1103="CÉLULA CONSTRUTIVA"</formula>
    </cfRule>
  </conditionalFormatting>
  <conditionalFormatting sqref="M1106:M1110">
    <cfRule type="expression" priority="4521" dxfId="5">
      <formula>$H1106="CÉLULA CONSTRUTIVA"</formula>
    </cfRule>
    <cfRule type="expression" priority="4522" dxfId="3">
      <formula>$H1106="ETAPA"</formula>
    </cfRule>
    <cfRule type="expression" priority="4520" dxfId="4">
      <formula>$H1106="SUBETAPA"</formula>
    </cfRule>
  </conditionalFormatting>
  <conditionalFormatting sqref="I1111:K1112 I1113:J1113 I1114:K1114 M1111:M1112 M1114:M1115">
    <cfRule type="expression" priority="4519" dxfId="5">
      <formula>$H1111="CÉLULA CONSTRUTIVA"</formula>
    </cfRule>
  </conditionalFormatting>
  <conditionalFormatting sqref="M1111:M1112 M1114:M1115">
    <cfRule type="expression" priority="4518" dxfId="4">
      <formula>$H1111="SUBETAPA"</formula>
    </cfRule>
  </conditionalFormatting>
  <conditionalFormatting sqref="M1117">
    <cfRule type="expression" priority="4517" dxfId="3">
      <formula>$H1117="ETAPA"</formula>
    </cfRule>
    <cfRule type="expression" priority="4516" dxfId="5">
      <formula>$H1117="CÉLULA CONSTRUTIVA"</formula>
    </cfRule>
    <cfRule type="expression" priority="4515" dxfId="4">
      <formula>$H1117="SUBETAPA"</formula>
    </cfRule>
  </conditionalFormatting>
  <conditionalFormatting sqref="M1120:M1128 M1146:M1148 M1153:M1155 M1160:M1162 M1165:M1167 M1170:M1172 M1175:M1177">
    <cfRule type="expression" priority="4514" dxfId="3">
      <formula>$H1120="ETAPA"</formula>
    </cfRule>
    <cfRule type="expression" priority="4473" dxfId="4">
      <formula>$H1120="SUBETAPA"</formula>
    </cfRule>
  </conditionalFormatting>
  <conditionalFormatting sqref="M1130">
    <cfRule type="expression" priority="4513" dxfId="3">
      <formula>$H1130="ETAPA"</formula>
    </cfRule>
    <cfRule type="expression" priority="4512" dxfId="5">
      <formula>$H1130="CÉLULA CONSTRUTIVA"</formula>
    </cfRule>
    <cfRule type="expression" priority="4511" dxfId="4">
      <formula>$H1130="SUBETAPA"</formula>
    </cfRule>
  </conditionalFormatting>
  <conditionalFormatting sqref="M1133">
    <cfRule type="expression" priority="4508" dxfId="4">
      <formula>$H1133="SUBETAPA"</formula>
    </cfRule>
    <cfRule type="expression" priority="4509" dxfId="5">
      <formula>$H1133="CÉLULA CONSTRUTIVA"</formula>
    </cfRule>
    <cfRule type="expression" priority="4510" dxfId="3">
      <formula>$H1133="ETAPA"</formula>
    </cfRule>
  </conditionalFormatting>
  <conditionalFormatting sqref="M1136">
    <cfRule type="expression" priority="4505" dxfId="4">
      <formula>$H1136="SUBETAPA"</formula>
    </cfRule>
    <cfRule type="expression" priority="4507" dxfId="3">
      <formula>$H1136="ETAPA"</formula>
    </cfRule>
  </conditionalFormatting>
  <conditionalFormatting sqref="M1139">
    <cfRule type="expression" priority="4502" dxfId="4">
      <formula>$H1139="SUBETAPA"</formula>
    </cfRule>
    <cfRule type="expression" priority="4504" dxfId="3">
      <formula>$H1139="ETAPA"</formula>
    </cfRule>
  </conditionalFormatting>
  <conditionalFormatting sqref="M1142">
    <cfRule type="expression" priority="4499" dxfId="4">
      <formula>$H1142="SUBETAPA"</formula>
    </cfRule>
    <cfRule type="expression" priority="4501" dxfId="3">
      <formula>$H1142="ETAPA"</formula>
    </cfRule>
  </conditionalFormatting>
  <conditionalFormatting sqref="M1145">
    <cfRule type="expression" priority="4496" dxfId="4">
      <formula>$H1145="SUBETAPA"</formula>
    </cfRule>
    <cfRule type="expression" priority="4498" dxfId="3">
      <formula>$H1145="ETAPA"</formula>
    </cfRule>
  </conditionalFormatting>
  <conditionalFormatting sqref="M1150">
    <cfRule type="expression" priority="4493" dxfId="4">
      <formula>$H1150="SUBETAPA"</formula>
    </cfRule>
    <cfRule type="expression" priority="4494" dxfId="5">
      <formula>$H1150="CÉLULA CONSTRUTIVA"</formula>
    </cfRule>
    <cfRule type="expression" priority="4495" dxfId="3">
      <formula>$H1150="ETAPA"</formula>
    </cfRule>
  </conditionalFormatting>
  <conditionalFormatting sqref="M1151">
    <cfRule type="expression" priority="4491" dxfId="5">
      <formula>$H1151="CÉLULA CONSTRUTIVA"</formula>
    </cfRule>
    <cfRule type="expression" priority="4492" dxfId="3">
      <formula>$H1151="ETAPA"</formula>
    </cfRule>
  </conditionalFormatting>
  <conditionalFormatting sqref="M1152">
    <cfRule type="expression" priority="4490" dxfId="3">
      <formula>$H1152="ETAPA"</formula>
    </cfRule>
  </conditionalFormatting>
  <conditionalFormatting sqref="M1157">
    <cfRule type="expression" priority="4488" dxfId="5">
      <formula>$H1157="CÉLULA CONSTRUTIVA"</formula>
    </cfRule>
    <cfRule type="expression" priority="4487" dxfId="4">
      <formula>$H1157="SUBETAPA"</formula>
    </cfRule>
    <cfRule type="expression" priority="4489" dxfId="3">
      <formula>$H1157="ETAPA"</formula>
    </cfRule>
  </conditionalFormatting>
  <conditionalFormatting sqref="M1158">
    <cfRule type="expression" priority="4486" dxfId="3">
      <formula>$H1158="ETAPA"</formula>
    </cfRule>
    <cfRule type="expression" priority="4485" dxfId="5">
      <formula>$H1158="CÉLULA CONSTRUTIVA"</formula>
    </cfRule>
  </conditionalFormatting>
  <conditionalFormatting sqref="M1159">
    <cfRule type="expression" priority="4484" dxfId="3">
      <formula>$H1159="ETAPA"</formula>
    </cfRule>
  </conditionalFormatting>
  <conditionalFormatting sqref="M1164">
    <cfRule type="expression" priority="4483" dxfId="3">
      <formula>$H1164="ETAPA"</formula>
    </cfRule>
    <cfRule type="expression" priority="4482" dxfId="5">
      <formula>$H1164="CÉLULA CONSTRUTIVA"</formula>
    </cfRule>
    <cfRule type="expression" priority="4481" dxfId="4">
      <formula>$H1164="SUBETAPA"</formula>
    </cfRule>
  </conditionalFormatting>
  <conditionalFormatting sqref="M1169">
    <cfRule type="expression" priority="4480" dxfId="3">
      <formula>$H1169="ETAPA"</formula>
    </cfRule>
    <cfRule type="expression" priority="4478" dxfId="4">
      <formula>$H1169="SUBETAPA"</formula>
    </cfRule>
  </conditionalFormatting>
  <conditionalFormatting sqref="M1174">
    <cfRule type="expression" priority="4477" dxfId="3">
      <formula>$H1174="ETAPA"</formula>
    </cfRule>
    <cfRule type="expression" priority="4476" dxfId="5">
      <formula>$H1174="CÉLULA CONSTRUTIVA"</formula>
    </cfRule>
    <cfRule type="expression" priority="4475" dxfId="4">
      <formula>$H1174="SUBETAPA"</formula>
    </cfRule>
  </conditionalFormatting>
  <conditionalFormatting sqref="M1179">
    <cfRule type="expression" priority="4472" dxfId="3">
      <formula>$H1179="ETAPA"</formula>
    </cfRule>
    <cfRule type="expression" priority="4471" dxfId="5">
      <formula>$H1179="CÉLULA CONSTRUTIVA"</formula>
    </cfRule>
    <cfRule type="expression" priority="4470" dxfId="4">
      <formula>$H1179="SUBETAPA"</formula>
    </cfRule>
  </conditionalFormatting>
  <conditionalFormatting sqref="M1182">
    <cfRule type="expression" priority="4469" dxfId="3">
      <formula>$H1182="ETAPA"</formula>
    </cfRule>
    <cfRule type="expression" priority="4467" dxfId="4">
      <formula>$H1182="SUBETAPA"</formula>
    </cfRule>
    <cfRule type="expression" priority="4468" dxfId="5">
      <formula>$H1182="CÉLULA CONSTRUTIVA"</formula>
    </cfRule>
  </conditionalFormatting>
  <conditionalFormatting sqref="M1435">
    <cfRule type="expression" priority="3773" dxfId="5">
      <formula>$H1435="CÉLULA CONSTRUTIVA"</formula>
    </cfRule>
    <cfRule type="expression" priority="3772" dxfId="3">
      <formula>$H1435="ETAPA"</formula>
    </cfRule>
    <cfRule type="expression" priority="3774" dxfId="3">
      <formula>$H1435="ETAPA"</formula>
    </cfRule>
    <cfRule type="expression" priority="3775" dxfId="4">
      <formula>$H1435="SUBETAPA"</formula>
    </cfRule>
  </conditionalFormatting>
  <conditionalFormatting sqref="M1435:M1441">
    <cfRule type="expression" priority="3770" dxfId="3">
      <formula>$H1435="ETAPA"</formula>
    </cfRule>
    <cfRule type="expression" priority="3771" dxfId="5">
      <formula>$H1435="CÉLULA CONSTRUTIVA"</formula>
    </cfRule>
  </conditionalFormatting>
  <conditionalFormatting sqref="M1436 O1436">
    <cfRule type="expression" priority="3769" dxfId="5">
      <formula>$H1436="CÉLULA CONSTRUTIVA"</formula>
    </cfRule>
  </conditionalFormatting>
  <conditionalFormatting sqref="M1436">
    <cfRule type="expression" priority="3765" dxfId="3">
      <formula>$H1436="ETAPA"</formula>
    </cfRule>
    <cfRule type="expression" priority="3767" dxfId="5">
      <formula>$H1436="CÉLULA CONSTRUTIVA"</formula>
    </cfRule>
    <cfRule type="expression" priority="3768" dxfId="3">
      <formula>$H1436="ETAPA"</formula>
    </cfRule>
    <cfRule type="expression" priority="3766" dxfId="4">
      <formula>$H1436="SUBETAPA"</formula>
    </cfRule>
  </conditionalFormatting>
  <conditionalFormatting sqref="M1437:M1441">
    <cfRule type="expression" priority="3764" dxfId="3">
      <formula>$H1437="ETAPA"</formula>
    </cfRule>
    <cfRule type="expression" priority="3763" dxfId="3">
      <formula>$H1437="ETAPA"</formula>
    </cfRule>
    <cfRule type="expression" priority="3762" dxfId="5">
      <formula>$H1437="CÉLULA CONSTRUTIVA"</formula>
    </cfRule>
    <cfRule type="expression" priority="3761" dxfId="4">
      <formula>$H1437="SUBETAPA"</formula>
    </cfRule>
    <cfRule type="expression" priority="3760" dxfId="5">
      <formula>$H1437="CÉLULA CONSTRUTIVA"</formula>
    </cfRule>
  </conditionalFormatting>
  <conditionalFormatting sqref="M1446">
    <cfRule type="expression" priority="3758" dxfId="3">
      <formula>$H1446="ETAPA"</formula>
    </cfRule>
    <cfRule type="expression" priority="3757" dxfId="5">
      <formula>$H1446="CÉLULA CONSTRUTIVA"</formula>
    </cfRule>
    <cfRule type="expression" priority="3756" dxfId="3">
      <formula>$H1446="ETAPA"</formula>
    </cfRule>
    <cfRule type="expression" priority="3759" dxfId="4">
      <formula>$H1446="SUBETAPA"</formula>
    </cfRule>
  </conditionalFormatting>
  <conditionalFormatting sqref="M1446:M1447 O1447">
    <cfRule type="expression" priority="3753" dxfId="5">
      <formula>$H1446="CÉLULA CONSTRUTIVA"</formula>
    </cfRule>
  </conditionalFormatting>
  <conditionalFormatting sqref="M1446:M1447">
    <cfRule type="expression" priority="3755" dxfId="3">
      <formula>$H1446="ETAPA"</formula>
    </cfRule>
  </conditionalFormatting>
  <conditionalFormatting sqref="M1447">
    <cfRule type="expression" priority="3752" dxfId="3">
      <formula>$H1447="ETAPA"</formula>
    </cfRule>
    <cfRule type="expression" priority="3750" dxfId="4">
      <formula>$H1447="SUBETAPA"</formula>
    </cfRule>
    <cfRule type="expression" priority="3749" dxfId="3">
      <formula>$H1447="ETAPA"</formula>
    </cfRule>
    <cfRule type="expression" priority="3751" dxfId="5">
      <formula>$H1447="CÉLULA CONSTRUTIVA"</formula>
    </cfRule>
  </conditionalFormatting>
  <conditionalFormatting sqref="J1562:M1563 L1481:M1482 L1489:M1490 L1499:M1500 L1507:M1509 L1518:M1520 L1529:M1531 L1540:M1542 L1551:M1553 M1448:M1449 M1458 M1467 M1474">
    <cfRule type="expression" priority="3617" dxfId="5">
      <formula>$H1448="CÉLULA CONSTRUTIVA"</formula>
    </cfRule>
  </conditionalFormatting>
  <conditionalFormatting sqref="M1448:M1449 M1458 M1467 M1474 M1481:M1482 M1489:M1490 M1499:M1500 M1507:M1509 M1518:M1520 M1529:M1531 M1540:M1542 M1551:M1553 M1562:M1563">
    <cfRule type="expression" priority="3613" dxfId="5">
      <formula>$H1448="CÉLULA CONSTRUTIVA"</formula>
    </cfRule>
    <cfRule type="expression" priority="3611" dxfId="5">
      <formula>$H1448="CÉLULA CONSTRUTIVA"</formula>
    </cfRule>
    <cfRule type="expression" priority="3616" dxfId="3">
      <formula>$H1448="ETAPA"</formula>
    </cfRule>
    <cfRule type="expression" priority="3615" dxfId="3">
      <formula>$H1448="ETAPA"</formula>
    </cfRule>
    <cfRule type="expression" priority="3614" dxfId="3">
      <formula>$H1448="ETAPA"</formula>
    </cfRule>
    <cfRule type="expression" priority="3612" dxfId="4">
      <formula>$H1448="SUBETAPA"</formula>
    </cfRule>
  </conditionalFormatting>
  <conditionalFormatting sqref="M1456">
    <cfRule type="expression" priority="3745" dxfId="3">
      <formula>$H1456="ETAPA"</formula>
    </cfRule>
    <cfRule type="expression" priority="3748" dxfId="4">
      <formula>$H1456="SUBETAPA"</formula>
    </cfRule>
    <cfRule type="expression" priority="3747" dxfId="3">
      <formula>$H1456="ETAPA"</formula>
    </cfRule>
    <cfRule type="expression" priority="3746" dxfId="5">
      <formula>$H1456="CÉLULA CONSTRUTIVA"</formula>
    </cfRule>
  </conditionalFormatting>
  <conditionalFormatting sqref="M1456:M1457 O1457">
    <cfRule type="expression" priority="3742" dxfId="5">
      <formula>$H1456="CÉLULA CONSTRUTIVA"</formula>
    </cfRule>
  </conditionalFormatting>
  <conditionalFormatting sqref="M1456:M1457">
    <cfRule type="expression" priority="3744" dxfId="3">
      <formula>$H1456="ETAPA"</formula>
    </cfRule>
  </conditionalFormatting>
  <conditionalFormatting sqref="M1457">
    <cfRule type="expression" priority="3741" dxfId="3">
      <formula>$H1457="ETAPA"</formula>
    </cfRule>
    <cfRule type="expression" priority="3740" dxfId="5">
      <formula>$H1457="CÉLULA CONSTRUTIVA"</formula>
    </cfRule>
    <cfRule type="expression" priority="3739" dxfId="4">
      <formula>$H1457="SUBETAPA"</formula>
    </cfRule>
    <cfRule type="expression" priority="3738" dxfId="3">
      <formula>$H1457="ETAPA"</formula>
    </cfRule>
  </conditionalFormatting>
  <conditionalFormatting sqref="M1465">
    <cfRule type="expression" priority="3737" dxfId="4">
      <formula>$H1465="SUBETAPA"</formula>
    </cfRule>
    <cfRule type="expression" priority="3736" dxfId="3">
      <formula>$H1465="ETAPA"</formula>
    </cfRule>
    <cfRule type="expression" priority="3735" dxfId="5">
      <formula>$H1465="CÉLULA CONSTRUTIVA"</formula>
    </cfRule>
    <cfRule type="expression" priority="3734" dxfId="3">
      <formula>$H1465="ETAPA"</formula>
    </cfRule>
  </conditionalFormatting>
  <conditionalFormatting sqref="M1465:M1466 O1466">
    <cfRule type="expression" priority="3731" dxfId="5">
      <formula>$H1465="CÉLULA CONSTRUTIVA"</formula>
    </cfRule>
  </conditionalFormatting>
  <conditionalFormatting sqref="M1465:M1466">
    <cfRule type="expression" priority="3733" dxfId="3">
      <formula>$H1465="ETAPA"</formula>
    </cfRule>
  </conditionalFormatting>
  <conditionalFormatting sqref="M1466">
    <cfRule type="expression" priority="3730" dxfId="3">
      <formula>$H1466="ETAPA"</formula>
    </cfRule>
    <cfRule type="expression" priority="3729" dxfId="5">
      <formula>$H1466="CÉLULA CONSTRUTIVA"</formula>
    </cfRule>
    <cfRule type="expression" priority="3728" dxfId="4">
      <formula>$H1466="SUBETAPA"</formula>
    </cfRule>
    <cfRule type="expression" priority="3727" dxfId="3">
      <formula>$H1466="ETAPA"</formula>
    </cfRule>
  </conditionalFormatting>
  <conditionalFormatting sqref="M1472">
    <cfRule type="expression" priority="3726" dxfId="4">
      <formula>$H1472="SUBETAPA"</formula>
    </cfRule>
    <cfRule type="expression" priority="3725" dxfId="3">
      <formula>$H1472="ETAPA"</formula>
    </cfRule>
    <cfRule type="expression" priority="3724" dxfId="5">
      <formula>$H1472="CÉLULA CONSTRUTIVA"</formula>
    </cfRule>
    <cfRule type="expression" priority="3723" dxfId="3">
      <formula>$H1472="ETAPA"</formula>
    </cfRule>
  </conditionalFormatting>
  <conditionalFormatting sqref="M1472:M1473 O1473">
    <cfRule type="expression" priority="3720" dxfId="5">
      <formula>$H1472="CÉLULA CONSTRUTIVA"</formula>
    </cfRule>
  </conditionalFormatting>
  <conditionalFormatting sqref="M1472:M1473">
    <cfRule type="expression" priority="3722" dxfId="3">
      <formula>$H1472="ETAPA"</formula>
    </cfRule>
  </conditionalFormatting>
  <conditionalFormatting sqref="M1473">
    <cfRule type="expression" priority="3717" dxfId="4">
      <formula>$H1473="SUBETAPA"</formula>
    </cfRule>
    <cfRule type="expression" priority="3716" dxfId="3">
      <formula>$H1473="ETAPA"</formula>
    </cfRule>
    <cfRule type="expression" priority="3719" dxfId="3">
      <formula>$H1473="ETAPA"</formula>
    </cfRule>
    <cfRule type="expression" priority="3718" dxfId="5">
      <formula>$H1473="CÉLULA CONSTRUTIVA"</formula>
    </cfRule>
  </conditionalFormatting>
  <conditionalFormatting sqref="M1479">
    <cfRule type="expression" priority="3715" dxfId="4">
      <formula>$H1479="SUBETAPA"</formula>
    </cfRule>
    <cfRule type="expression" priority="3714" dxfId="3">
      <formula>$H1479="ETAPA"</formula>
    </cfRule>
    <cfRule type="expression" priority="3713" dxfId="5">
      <formula>$H1479="CÉLULA CONSTRUTIVA"</formula>
    </cfRule>
    <cfRule type="expression" priority="3712" dxfId="3">
      <formula>$H1479="ETAPA"</formula>
    </cfRule>
  </conditionalFormatting>
  <conditionalFormatting sqref="M1479:M1480 O1480">
    <cfRule type="expression" priority="3709" dxfId="5">
      <formula>$H1479="CÉLULA CONSTRUTIVA"</formula>
    </cfRule>
  </conditionalFormatting>
  <conditionalFormatting sqref="M1479:M1480">
    <cfRule type="expression" priority="3711" dxfId="3">
      <formula>$H1479="ETAPA"</formula>
    </cfRule>
  </conditionalFormatting>
  <conditionalFormatting sqref="M1480">
    <cfRule type="expression" priority="3707" dxfId="5">
      <formula>$H1480="CÉLULA CONSTRUTIVA"</formula>
    </cfRule>
    <cfRule type="expression" priority="3708" dxfId="3">
      <formula>$H1480="ETAPA"</formula>
    </cfRule>
    <cfRule type="expression" priority="3705" dxfId="3">
      <formula>$H1480="ETAPA"</formula>
    </cfRule>
    <cfRule type="expression" priority="3706" dxfId="4">
      <formula>$H1480="SUBETAPA"</formula>
    </cfRule>
  </conditionalFormatting>
  <conditionalFormatting sqref="M1487">
    <cfRule type="expression" priority="3704" dxfId="4">
      <formula>$H1487="SUBETAPA"</formula>
    </cfRule>
    <cfRule type="expression" priority="3703" dxfId="3">
      <formula>$H1487="ETAPA"</formula>
    </cfRule>
    <cfRule type="expression" priority="3702" dxfId="5">
      <formula>$H1487="CÉLULA CONSTRUTIVA"</formula>
    </cfRule>
    <cfRule type="expression" priority="3701" dxfId="3">
      <formula>$H1487="ETAPA"</formula>
    </cfRule>
  </conditionalFormatting>
  <conditionalFormatting sqref="M1487:M1488 O1488">
    <cfRule type="expression" priority="3698" dxfId="5">
      <formula>$H1487="CÉLULA CONSTRUTIVA"</formula>
    </cfRule>
  </conditionalFormatting>
  <conditionalFormatting sqref="M1487:M1488">
    <cfRule type="expression" priority="3700" dxfId="3">
      <formula>$H1487="ETAPA"</formula>
    </cfRule>
  </conditionalFormatting>
  <conditionalFormatting sqref="M1488">
    <cfRule type="expression" priority="3697" dxfId="3">
      <formula>$H1488="ETAPA"</formula>
    </cfRule>
    <cfRule type="expression" priority="3696" dxfId="5">
      <formula>$H1488="CÉLULA CONSTRUTIVA"</formula>
    </cfRule>
    <cfRule type="expression" priority="3695" dxfId="4">
      <formula>$H1488="SUBETAPA"</formula>
    </cfRule>
    <cfRule type="expression" priority="3694" dxfId="3">
      <formula>$H1488="ETAPA"</formula>
    </cfRule>
  </conditionalFormatting>
  <conditionalFormatting sqref="M1497">
    <cfRule type="expression" priority="3693" dxfId="4">
      <formula>$H1497="SUBETAPA"</formula>
    </cfRule>
    <cfRule type="expression" priority="3692" dxfId="3">
      <formula>$H1497="ETAPA"</formula>
    </cfRule>
    <cfRule type="expression" priority="3691" dxfId="5">
      <formula>$H1497="CÉLULA CONSTRUTIVA"</formula>
    </cfRule>
    <cfRule type="expression" priority="3690" dxfId="3">
      <formula>$H1497="ETAPA"</formula>
    </cfRule>
  </conditionalFormatting>
  <conditionalFormatting sqref="M1497:M1498 O1498">
    <cfRule type="expression" priority="3687" dxfId="5">
      <formula>$H1497="CÉLULA CONSTRUTIVA"</formula>
    </cfRule>
  </conditionalFormatting>
  <conditionalFormatting sqref="M1497:M1498">
    <cfRule type="expression" priority="3689" dxfId="3">
      <formula>$H1497="ETAPA"</formula>
    </cfRule>
  </conditionalFormatting>
  <conditionalFormatting sqref="M1498">
    <cfRule type="expression" priority="3686" dxfId="3">
      <formula>$H1498="ETAPA"</formula>
    </cfRule>
    <cfRule type="expression" priority="3685" dxfId="5">
      <formula>$H1498="CÉLULA CONSTRUTIVA"</formula>
    </cfRule>
    <cfRule type="expression" priority="3684" dxfId="4">
      <formula>$H1498="SUBETAPA"</formula>
    </cfRule>
    <cfRule type="expression" priority="3683" dxfId="3">
      <formula>$H1498="ETAPA"</formula>
    </cfRule>
  </conditionalFormatting>
  <conditionalFormatting sqref="M1505">
    <cfRule type="expression" priority="3681" dxfId="3">
      <formula>$H1505="ETAPA"</formula>
    </cfRule>
    <cfRule type="expression" priority="3679" dxfId="3">
      <formula>$H1505="ETAPA"</formula>
    </cfRule>
    <cfRule type="expression" priority="3680" dxfId="5">
      <formula>$H1505="CÉLULA CONSTRUTIVA"</formula>
    </cfRule>
    <cfRule type="expression" priority="3682" dxfId="4">
      <formula>$H1505="SUBETAPA"</formula>
    </cfRule>
  </conditionalFormatting>
  <conditionalFormatting sqref="M1505:M1506 O1506">
    <cfRule type="expression" priority="3676" dxfId="5">
      <formula>$H1505="CÉLULA CONSTRUTIVA"</formula>
    </cfRule>
  </conditionalFormatting>
  <conditionalFormatting sqref="M1505:M1506">
    <cfRule type="expression" priority="3678" dxfId="3">
      <formula>$H1505="ETAPA"</formula>
    </cfRule>
  </conditionalFormatting>
  <conditionalFormatting sqref="M1506">
    <cfRule type="expression" priority="3675" dxfId="3">
      <formula>$H1506="ETAPA"</formula>
    </cfRule>
    <cfRule type="expression" priority="3674" dxfId="5">
      <formula>$H1506="CÉLULA CONSTRUTIVA"</formula>
    </cfRule>
    <cfRule type="expression" priority="3673" dxfId="4">
      <formula>$H1506="SUBETAPA"</formula>
    </cfRule>
    <cfRule type="expression" priority="3672" dxfId="3">
      <formula>$H1506="ETAPA"</formula>
    </cfRule>
  </conditionalFormatting>
  <conditionalFormatting sqref="M1516">
    <cfRule type="expression" priority="3671" dxfId="4">
      <formula>$H1516="SUBETAPA"</formula>
    </cfRule>
    <cfRule type="expression" priority="3670" dxfId="3">
      <formula>$H1516="ETAPA"</formula>
    </cfRule>
    <cfRule type="expression" priority="3669" dxfId="5">
      <formula>$H1516="CÉLULA CONSTRUTIVA"</formula>
    </cfRule>
    <cfRule type="expression" priority="3668" dxfId="3">
      <formula>$H1516="ETAPA"</formula>
    </cfRule>
  </conditionalFormatting>
  <conditionalFormatting sqref="M1516:M1517 O1517">
    <cfRule type="expression" priority="3665" dxfId="5">
      <formula>$H1516="CÉLULA CONSTRUTIVA"</formula>
    </cfRule>
  </conditionalFormatting>
  <conditionalFormatting sqref="M1516:M1517">
    <cfRule type="expression" priority="3667" dxfId="3">
      <formula>$H1516="ETAPA"</formula>
    </cfRule>
  </conditionalFormatting>
  <conditionalFormatting sqref="M1517">
    <cfRule type="expression" priority="3664" dxfId="3">
      <formula>$H1517="ETAPA"</formula>
    </cfRule>
    <cfRule type="expression" priority="3663" dxfId="5">
      <formula>$H1517="CÉLULA CONSTRUTIVA"</formula>
    </cfRule>
    <cfRule type="expression" priority="3662" dxfId="4">
      <formula>$H1517="SUBETAPA"</formula>
    </cfRule>
    <cfRule type="expression" priority="3661" dxfId="3">
      <formula>$H1517="ETAPA"</formula>
    </cfRule>
  </conditionalFormatting>
  <conditionalFormatting sqref="M1527">
    <cfRule type="expression" priority="3657" dxfId="3">
      <formula>$H1527="ETAPA"</formula>
    </cfRule>
    <cfRule type="expression" priority="3660" dxfId="4">
      <formula>$H1527="SUBETAPA"</formula>
    </cfRule>
    <cfRule type="expression" priority="3659" dxfId="3">
      <formula>$H1527="ETAPA"</formula>
    </cfRule>
    <cfRule type="expression" priority="3658" dxfId="5">
      <formula>$H1527="CÉLULA CONSTRUTIVA"</formula>
    </cfRule>
  </conditionalFormatting>
  <conditionalFormatting sqref="M1527:M1528 O1528">
    <cfRule type="expression" priority="3654" dxfId="5">
      <formula>$H1527="CÉLULA CONSTRUTIVA"</formula>
    </cfRule>
  </conditionalFormatting>
  <conditionalFormatting sqref="M1527:M1528">
    <cfRule type="expression" priority="3656" dxfId="3">
      <formula>$H1527="ETAPA"</formula>
    </cfRule>
  </conditionalFormatting>
  <conditionalFormatting sqref="M1528">
    <cfRule type="expression" priority="3650" dxfId="3">
      <formula>$H1528="ETAPA"</formula>
    </cfRule>
    <cfRule type="expression" priority="3651" dxfId="4">
      <formula>$H1528="SUBETAPA"</formula>
    </cfRule>
    <cfRule type="expression" priority="3652" dxfId="5">
      <formula>$H1528="CÉLULA CONSTRUTIVA"</formula>
    </cfRule>
    <cfRule type="expression" priority="3653" dxfId="3">
      <formula>$H1528="ETAPA"</formula>
    </cfRule>
  </conditionalFormatting>
  <conditionalFormatting sqref="M1538">
    <cfRule type="expression" priority="3648" dxfId="3">
      <formula>$H1538="ETAPA"</formula>
    </cfRule>
    <cfRule type="expression" priority="3649" dxfId="4">
      <formula>$H1538="SUBETAPA"</formula>
    </cfRule>
    <cfRule type="expression" priority="3646" dxfId="3">
      <formula>$H1538="ETAPA"</formula>
    </cfRule>
    <cfRule type="expression" priority="3647" dxfId="5">
      <formula>$H1538="CÉLULA CONSTRUTIVA"</formula>
    </cfRule>
  </conditionalFormatting>
  <conditionalFormatting sqref="M1538:M1539 O1539">
    <cfRule type="expression" priority="3643" dxfId="5">
      <formula>$H1538="CÉLULA CONSTRUTIVA"</formula>
    </cfRule>
  </conditionalFormatting>
  <conditionalFormatting sqref="M1538:M1539">
    <cfRule type="expression" priority="3645" dxfId="3">
      <formula>$H1538="ETAPA"</formula>
    </cfRule>
  </conditionalFormatting>
  <conditionalFormatting sqref="M1539">
    <cfRule type="expression" priority="3639" dxfId="3">
      <formula>$H1539="ETAPA"</formula>
    </cfRule>
    <cfRule type="expression" priority="3640" dxfId="4">
      <formula>$H1539="SUBETAPA"</formula>
    </cfRule>
    <cfRule type="expression" priority="3641" dxfId="5">
      <formula>$H1539="CÉLULA CONSTRUTIVA"</formula>
    </cfRule>
    <cfRule type="expression" priority="3642" dxfId="3">
      <formula>$H1539="ETAPA"</formula>
    </cfRule>
  </conditionalFormatting>
  <conditionalFormatting sqref="M1549">
    <cfRule type="expression" priority="3636" dxfId="5">
      <formula>$H1549="CÉLULA CONSTRUTIVA"</formula>
    </cfRule>
    <cfRule type="expression" priority="3637" dxfId="3">
      <formula>$H1549="ETAPA"</formula>
    </cfRule>
    <cfRule type="expression" priority="3638" dxfId="4">
      <formula>$H1549="SUBETAPA"</formula>
    </cfRule>
    <cfRule type="expression" priority="3635" dxfId="3">
      <formula>$H1549="ETAPA"</formula>
    </cfRule>
  </conditionalFormatting>
  <conditionalFormatting sqref="M1549:M1550 O1550">
    <cfRule type="expression" priority="3632" dxfId="5">
      <formula>$H1549="CÉLULA CONSTRUTIVA"</formula>
    </cfRule>
  </conditionalFormatting>
  <conditionalFormatting sqref="M1549:M1550">
    <cfRule type="expression" priority="3634" dxfId="3">
      <formula>$H1549="ETAPA"</formula>
    </cfRule>
  </conditionalFormatting>
  <conditionalFormatting sqref="M1550">
    <cfRule type="expression" priority="3631" dxfId="3">
      <formula>$H1550="ETAPA"</formula>
    </cfRule>
    <cfRule type="expression" priority="3630" dxfId="5">
      <formula>$H1550="CÉLULA CONSTRUTIVA"</formula>
    </cfRule>
    <cfRule type="expression" priority="3629" dxfId="4">
      <formula>$H1550="SUBETAPA"</formula>
    </cfRule>
    <cfRule type="expression" priority="3628" dxfId="3">
      <formula>$H1550="ETAPA"</formula>
    </cfRule>
  </conditionalFormatting>
  <conditionalFormatting sqref="H1560 J1560:K1560 M1560">
    <cfRule type="expression" priority="5718" dxfId="5">
      <formula>$H1560="CÉLULA CONSTRUTIVA"</formula>
    </cfRule>
  </conditionalFormatting>
  <conditionalFormatting sqref="L1561:M1561 M1560">
    <cfRule type="expression" priority="4464" dxfId="3">
      <formula>$H1560="ETAPA"</formula>
    </cfRule>
  </conditionalFormatting>
  <conditionalFormatting sqref="M1560">
    <cfRule type="expression" priority="3627" dxfId="4">
      <formula>$H1560="SUBETAPA"</formula>
    </cfRule>
    <cfRule type="expression" priority="3626" dxfId="3">
      <formula>$H1560="ETAPA"</formula>
    </cfRule>
    <cfRule type="expression" priority="3625" dxfId="5">
      <formula>$H1560="CÉLULA CONSTRUTIVA"</formula>
    </cfRule>
    <cfRule type="expression" priority="3624" dxfId="3">
      <formula>$H1560="ETAPA"</formula>
    </cfRule>
  </conditionalFormatting>
  <conditionalFormatting sqref="M1560:M1561 O1561">
    <cfRule type="expression" priority="3622" dxfId="5">
      <formula>$H1560="CÉLULA CONSTRUTIVA"</formula>
    </cfRule>
  </conditionalFormatting>
  <conditionalFormatting sqref="M1561">
    <cfRule type="expression" priority="3621" dxfId="3">
      <formula>$H1561="ETAPA"</formula>
    </cfRule>
    <cfRule type="expression" priority="3618" dxfId="3">
      <formula>$H1561="ETAPA"</formula>
    </cfRule>
    <cfRule type="expression" priority="3619" dxfId="4">
      <formula>$H1561="SUBETAPA"</formula>
    </cfRule>
    <cfRule type="expression" priority="3620" dxfId="5">
      <formula>$H1561="CÉLULA CONSTRUTIVA"</formula>
    </cfRule>
  </conditionalFormatting>
  <conditionalFormatting sqref="M1567">
    <cfRule type="expression" priority="8616" dxfId="4">
      <formula>$H1567="SUBETAPA"</formula>
    </cfRule>
  </conditionalFormatting>
  <conditionalFormatting sqref="M1573">
    <cfRule type="expression" priority="8610" dxfId="4">
      <formula>$H1573="SUBETAPA"</formula>
    </cfRule>
  </conditionalFormatting>
  <conditionalFormatting sqref="M1579">
    <cfRule type="expression" priority="8604" dxfId="4">
      <formula>$H1579="SUBETAPA"</formula>
    </cfRule>
  </conditionalFormatting>
  <conditionalFormatting sqref="L1584:L1586 M1587:M1590">
    <cfRule type="expression" priority="3609" dxfId="3">
      <formula>$H1584="ETAPA"</formula>
    </cfRule>
    <cfRule type="expression" priority="3610" dxfId="4">
      <formula>$H1584="SUBETAPA"</formula>
    </cfRule>
  </conditionalFormatting>
  <conditionalFormatting sqref="L1593:L1595 M1596:M1599">
    <cfRule type="expression" priority="3607" dxfId="3">
      <formula>$H1593="ETAPA"</formula>
    </cfRule>
    <cfRule type="expression" priority="3608" dxfId="4">
      <formula>$H1593="SUBETAPA"</formula>
    </cfRule>
  </conditionalFormatting>
  <conditionalFormatting sqref="L1611:L1613 M1614:M1617">
    <cfRule type="expression" priority="3606" dxfId="4">
      <formula>$H1611="SUBETAPA"</formula>
    </cfRule>
    <cfRule type="expression" priority="3605" dxfId="3">
      <formula>$H1611="ETAPA"</formula>
    </cfRule>
  </conditionalFormatting>
  <conditionalFormatting sqref="M1622">
    <cfRule type="expression" priority="8564" dxfId="4">
      <formula>$H1622="SUBETAPA"</formula>
    </cfRule>
  </conditionalFormatting>
  <conditionalFormatting sqref="M1858:M1859 M1864:M1865 M1871:M1872 M1879:M1880">
    <cfRule type="expression" priority="3601" dxfId="5">
      <formula>$H1858="CÉLULA CONSTRUTIVA"</formula>
    </cfRule>
    <cfRule type="expression" priority="3600" dxfId="3">
      <formula>$H1858="ETAPA"</formula>
    </cfRule>
    <cfRule type="expression" priority="3604" dxfId="5">
      <formula>$H1858="CÉLULA CONSTRUTIVA"</formula>
    </cfRule>
    <cfRule type="expression" priority="3603" dxfId="4">
      <formula>$H1858="SUBETAPA"</formula>
    </cfRule>
    <cfRule type="expression" priority="3602" dxfId="3">
      <formula>$H1858="ETAPA"</formula>
    </cfRule>
  </conditionalFormatting>
  <conditionalFormatting sqref="M1858:M1860 M1864:M1866 M1871:M1873 M1879:M1881">
    <cfRule type="expression" priority="3599" dxfId="3">
      <formula>$H1858="ETAPA"</formula>
    </cfRule>
  </conditionalFormatting>
  <conditionalFormatting sqref="M1860 M1866 M1873 M1881">
    <cfRule type="expression" priority="3595" dxfId="3">
      <formula>$H1860="ETAPA"</formula>
    </cfRule>
    <cfRule type="expression" priority="3598" dxfId="3">
      <formula>$H1860="ETAPA"</formula>
    </cfRule>
    <cfRule type="expression" priority="3597" dxfId="5">
      <formula>$H1860="CÉLULA CONSTRUTIVA"</formula>
    </cfRule>
    <cfRule type="expression" priority="3596" dxfId="4">
      <formula>$H1860="SUBETAPA"</formula>
    </cfRule>
  </conditionalFormatting>
  <conditionalFormatting sqref="M1860:M1861 M1863 M1866:M1867 M1873:M1874">
    <cfRule type="expression" priority="3590" dxfId="5">
      <formula>$H1860="CÉLULA CONSTRUTIVA"</formula>
    </cfRule>
  </conditionalFormatting>
  <conditionalFormatting sqref="M1861 M1863 M1867 M1874">
    <cfRule type="expression" priority="3592" dxfId="3">
      <formula>$H1861="ETAPA"</formula>
    </cfRule>
    <cfRule type="expression" priority="3591" dxfId="3">
      <formula>$H1861="ETAPA"</formula>
    </cfRule>
    <cfRule type="expression" priority="3593" dxfId="3">
      <formula>$H1861="ETAPA"</formula>
    </cfRule>
    <cfRule type="expression" priority="3589" dxfId="4">
      <formula>$H1861="SUBETAPA"</formula>
    </cfRule>
  </conditionalFormatting>
  <conditionalFormatting sqref="M1861 M1863 M1867 M1874 O1861 O1863 O1867 O1874">
    <cfRule type="expression" priority="35" dxfId="5">
      <formula>$H1861="CÉLULA CONSTRUTIVA"</formula>
    </cfRule>
  </conditionalFormatting>
  <conditionalFormatting sqref="M1861:M1863 O1862">
    <cfRule type="expression" priority="3587" dxfId="5">
      <formula>$H1861="CÉLULA CONSTRUTIVA"</formula>
    </cfRule>
  </conditionalFormatting>
  <conditionalFormatting sqref="M1862">
    <cfRule type="expression" priority="3583" dxfId="3">
      <formula>$H1862="ETAPA"</formula>
    </cfRule>
    <cfRule type="expression" priority="3582" dxfId="5">
      <formula>$H1862="CÉLULA CONSTRUTIVA"</formula>
    </cfRule>
    <cfRule type="expression" priority="3581" dxfId="3">
      <formula>$H1862="ETAPA"</formula>
    </cfRule>
    <cfRule type="expression" priority="3585" dxfId="5">
      <formula>$H1862="CÉLULA CONSTRUTIVA"</formula>
    </cfRule>
    <cfRule type="expression" priority="3584" dxfId="4">
      <formula>$H1862="SUBETAPA"</formula>
    </cfRule>
    <cfRule type="expression" priority="3586" dxfId="3">
      <formula>$H1862="ETAPA"</formula>
    </cfRule>
  </conditionalFormatting>
  <conditionalFormatting sqref="M1867 M1874">
    <cfRule type="expression" priority="3588" dxfId="5">
      <formula>$H1867="CÉLULA CONSTRUTIVA"</formula>
    </cfRule>
  </conditionalFormatting>
  <conditionalFormatting sqref="M1881">
    <cfRule type="expression" priority="3594" dxfId="5">
      <formula>$H1881="CÉLULA CONSTRUTIVA"</formula>
    </cfRule>
  </conditionalFormatting>
  <conditionalFormatting sqref="M21:N21">
    <cfRule type="expression" priority="3580" dxfId="3">
      <formula>$H21="ETAPA"</formula>
    </cfRule>
  </conditionalFormatting>
  <conditionalFormatting sqref="M24:N24">
    <cfRule type="expression" priority="3579" dxfId="3">
      <formula>$H24="ETAPA"</formula>
    </cfRule>
    <cfRule type="expression" priority="5295" dxfId="5">
      <formula>$H24="CÉLULA CONSTRUTIVA"</formula>
    </cfRule>
  </conditionalFormatting>
  <conditionalFormatting sqref="M25:N25">
    <cfRule type="expression" priority="3578" dxfId="3">
      <formula>$H25="ETAPA"</formula>
    </cfRule>
  </conditionalFormatting>
  <conditionalFormatting sqref="M41:N41">
    <cfRule type="expression" priority="3577" dxfId="3">
      <formula>$H41="ETAPA"</formula>
    </cfRule>
  </conditionalFormatting>
  <conditionalFormatting sqref="M52:N52">
    <cfRule type="expression" priority="3576" dxfId="4">
      <formula>$H52="SUBETAPA"</formula>
    </cfRule>
  </conditionalFormatting>
  <conditionalFormatting sqref="M56:N56">
    <cfRule type="expression" priority="3575" dxfId="4">
      <formula>$H56="SUBETAPA"</formula>
    </cfRule>
  </conditionalFormatting>
  <conditionalFormatting sqref="M58:N58">
    <cfRule type="expression" priority="3574" dxfId="3">
      <formula>$H58="ETAPA"</formula>
    </cfRule>
  </conditionalFormatting>
  <conditionalFormatting sqref="M77:N77">
    <cfRule type="expression" priority="3573" dxfId="4">
      <formula>$H77="SUBETAPA"</formula>
    </cfRule>
  </conditionalFormatting>
  <conditionalFormatting sqref="M84:N84">
    <cfRule type="expression" priority="3572" dxfId="4">
      <formula>$H84="SUBETAPA"</formula>
    </cfRule>
  </conditionalFormatting>
  <conditionalFormatting sqref="M85:N93">
    <cfRule type="expression" priority="3571" dxfId="4">
      <formula>$H85="SUBETAPA"</formula>
    </cfRule>
  </conditionalFormatting>
  <conditionalFormatting sqref="M96:N96 M100:M101">
    <cfRule type="expression" priority="3570" dxfId="4">
      <formula>$H96="SUBETAPA"</formula>
    </cfRule>
  </conditionalFormatting>
  <conditionalFormatting sqref="M104:N104">
    <cfRule type="expression" priority="3569" dxfId="4">
      <formula>$H104="SUBETAPA"</formula>
    </cfRule>
  </conditionalFormatting>
  <conditionalFormatting sqref="M106:N106">
    <cfRule type="expression" priority="3568" dxfId="4">
      <formula>$H106="SUBETAPA"</formula>
    </cfRule>
  </conditionalFormatting>
  <conditionalFormatting sqref="M108:N108">
    <cfRule type="expression" priority="3567" dxfId="4">
      <formula>$H108="SUBETAPA"</formula>
    </cfRule>
  </conditionalFormatting>
  <conditionalFormatting sqref="M110:N110">
    <cfRule type="expression" priority="3566" dxfId="4">
      <formula>$H110="SUBETAPA"</formula>
    </cfRule>
  </conditionalFormatting>
  <conditionalFormatting sqref="M112:N112">
    <cfRule type="expression" priority="3565" dxfId="4">
      <formula>$H112="SUBETAPA"</formula>
    </cfRule>
  </conditionalFormatting>
  <conditionalFormatting sqref="M116:N116">
    <cfRule type="expression" priority="3564" dxfId="4">
      <formula>$H116="SUBETAPA"</formula>
    </cfRule>
  </conditionalFormatting>
  <conditionalFormatting sqref="M118:N118">
    <cfRule type="expression" priority="3563" dxfId="4">
      <formula>$H118="SUBETAPA"</formula>
    </cfRule>
  </conditionalFormatting>
  <conditionalFormatting sqref="M120:N120">
    <cfRule type="expression" priority="3562" dxfId="4">
      <formula>$H120="SUBETAPA"</formula>
    </cfRule>
  </conditionalFormatting>
  <conditionalFormatting sqref="M131:N131">
    <cfRule type="expression" priority="3561" dxfId="4">
      <formula>$H131="SUBETAPA"</formula>
    </cfRule>
  </conditionalFormatting>
  <conditionalFormatting sqref="M139:N139">
    <cfRule type="expression" priority="3560" dxfId="4">
      <formula>$H139="SUBETAPA"</formula>
    </cfRule>
  </conditionalFormatting>
  <conditionalFormatting sqref="M140:N140">
    <cfRule type="expression" priority="3559" dxfId="4">
      <formula>$H140="SUBETAPA"</formula>
    </cfRule>
  </conditionalFormatting>
  <conditionalFormatting sqref="M177:N177">
    <cfRule type="expression" priority="3558" dxfId="4">
      <formula>$H177="SUBETAPA"</formula>
    </cfRule>
  </conditionalFormatting>
  <conditionalFormatting sqref="G185:K185 M185:N185">
    <cfRule type="expression" priority="3352" dxfId="5">
      <formula>$H185="CÉLULA CONSTRUTIVA"</formula>
    </cfRule>
  </conditionalFormatting>
  <conditionalFormatting sqref="M186:N186">
    <cfRule type="expression" priority="3557" dxfId="4">
      <formula>$H186="SUBETAPA"</formula>
    </cfRule>
  </conditionalFormatting>
  <conditionalFormatting sqref="G194:K194 M194:N194">
    <cfRule type="expression" priority="3346" dxfId="5">
      <formula>$H194="CÉLULA CONSTRUTIVA"</formula>
    </cfRule>
  </conditionalFormatting>
  <conditionalFormatting sqref="M195:N195">
    <cfRule type="expression" priority="3556" dxfId="4">
      <formula>$H195="SUBETAPA"</formula>
    </cfRule>
  </conditionalFormatting>
  <conditionalFormatting sqref="G212:J212 M212:N212">
    <cfRule type="expression" priority="3332" dxfId="5">
      <formula>$H212="CÉLULA CONSTRUTIVA"</formula>
    </cfRule>
  </conditionalFormatting>
  <conditionalFormatting sqref="M213:N213">
    <cfRule type="expression" priority="3555" dxfId="4">
      <formula>$H213="SUBETAPA"</formula>
    </cfRule>
  </conditionalFormatting>
  <conditionalFormatting sqref="G221:K221 M221:N221">
    <cfRule type="expression" priority="3326" dxfId="5">
      <formula>$H221="CÉLULA CONSTRUTIVA"</formula>
    </cfRule>
  </conditionalFormatting>
  <conditionalFormatting sqref="M274:N274">
    <cfRule type="expression" priority="3554" dxfId="4">
      <formula>$H274="SUBETAPA"</formula>
    </cfRule>
  </conditionalFormatting>
  <conditionalFormatting sqref="M314:N314">
    <cfRule type="expression" priority="3553" dxfId="3">
      <formula>$H314="ETAPA"</formula>
    </cfRule>
  </conditionalFormatting>
  <conditionalFormatting sqref="M316:N316">
    <cfRule type="expression" priority="3552" dxfId="3">
      <formula>$H316="ETAPA"</formula>
    </cfRule>
  </conditionalFormatting>
  <conditionalFormatting sqref="M318:N318">
    <cfRule type="expression" priority="3551" dxfId="3">
      <formula>$H318="ETAPA"</formula>
    </cfRule>
  </conditionalFormatting>
  <conditionalFormatting sqref="M320:N320">
    <cfRule type="expression" priority="3550" dxfId="3">
      <formula>$H320="ETAPA"</formula>
    </cfRule>
  </conditionalFormatting>
  <conditionalFormatting sqref="M322:N322">
    <cfRule type="expression" priority="3549" dxfId="3">
      <formula>$H322="ETAPA"</formula>
    </cfRule>
  </conditionalFormatting>
  <conditionalFormatting sqref="M326:N326">
    <cfRule type="expression" priority="3548" dxfId="3">
      <formula>$H326="ETAPA"</formula>
    </cfRule>
  </conditionalFormatting>
  <conditionalFormatting sqref="M328:N328">
    <cfRule type="expression" priority="3547" dxfId="3">
      <formula>$H328="ETAPA"</formula>
    </cfRule>
  </conditionalFormatting>
  <conditionalFormatting sqref="M340:N340">
    <cfRule type="expression" priority="3546" dxfId="3">
      <formula>$H340="ETAPA"</formula>
    </cfRule>
  </conditionalFormatting>
  <conditionalFormatting sqref="M349:N349">
    <cfRule type="expression" priority="3545" dxfId="3">
      <formula>$H349="ETAPA"</formula>
    </cfRule>
  </conditionalFormatting>
  <conditionalFormatting sqref="M351:N351">
    <cfRule type="expression" priority="3544" dxfId="3">
      <formula>$H351="ETAPA"</formula>
    </cfRule>
  </conditionalFormatting>
  <conditionalFormatting sqref="M353:N353">
    <cfRule type="expression" priority="3543" dxfId="3">
      <formula>$H353="ETAPA"</formula>
    </cfRule>
  </conditionalFormatting>
  <conditionalFormatting sqref="M355:N355">
    <cfRule type="expression" priority="3542" dxfId="3">
      <formula>$H355="ETAPA"</formula>
    </cfRule>
  </conditionalFormatting>
  <conditionalFormatting sqref="M357:N357">
    <cfRule type="expression" priority="3541" dxfId="3">
      <formula>$H357="ETAPA"</formula>
    </cfRule>
  </conditionalFormatting>
  <conditionalFormatting sqref="M359:N359">
    <cfRule type="expression" priority="3540" dxfId="3">
      <formula>$H359="ETAPA"</formula>
    </cfRule>
  </conditionalFormatting>
  <conditionalFormatting sqref="M361:N361">
    <cfRule type="expression" priority="3539" dxfId="3">
      <formula>$H361="ETAPA"</formula>
    </cfRule>
  </conditionalFormatting>
  <conditionalFormatting sqref="M363:N363">
    <cfRule type="expression" priority="3538" dxfId="3">
      <formula>$H363="ETAPA"</formula>
    </cfRule>
  </conditionalFormatting>
  <conditionalFormatting sqref="M365:N365">
    <cfRule type="expression" priority="3537" dxfId="3">
      <formula>$H365="ETAPA"</formula>
    </cfRule>
  </conditionalFormatting>
  <conditionalFormatting sqref="M367:N367">
    <cfRule type="expression" priority="3536" dxfId="3">
      <formula>$H367="ETAPA"</formula>
    </cfRule>
  </conditionalFormatting>
  <conditionalFormatting sqref="M369:N369">
    <cfRule type="expression" priority="3535" dxfId="3">
      <formula>$H369="ETAPA"</formula>
    </cfRule>
  </conditionalFormatting>
  <conditionalFormatting sqref="M371:N371">
    <cfRule type="expression" priority="3534" dxfId="3">
      <formula>$H371="ETAPA"</formula>
    </cfRule>
  </conditionalFormatting>
  <conditionalFormatting sqref="M373:N373">
    <cfRule type="expression" priority="3533" dxfId="3">
      <formula>$H373="ETAPA"</formula>
    </cfRule>
  </conditionalFormatting>
  <conditionalFormatting sqref="M375:N375">
    <cfRule type="expression" priority="3532" dxfId="3">
      <formula>$H375="ETAPA"</formula>
    </cfRule>
  </conditionalFormatting>
  <conditionalFormatting sqref="M377:N377">
    <cfRule type="expression" priority="3531" dxfId="3">
      <formula>$H377="ETAPA"</formula>
    </cfRule>
  </conditionalFormatting>
  <conditionalFormatting sqref="M32:O32">
    <cfRule type="expression" priority="5286" dxfId="5">
      <formula>$H32="CÉLULA CONSTRUTIVA"</formula>
    </cfRule>
  </conditionalFormatting>
  <conditionalFormatting sqref="M40:O40">
    <cfRule type="expression" priority="5267" dxfId="5">
      <formula>$H40="CÉLULA CONSTRUTIVA"</formula>
    </cfRule>
  </conditionalFormatting>
  <conditionalFormatting sqref="M46:O46">
    <cfRule type="expression" priority="5258" dxfId="3">
      <formula>$H46="ETAPA"</formula>
    </cfRule>
  </conditionalFormatting>
  <conditionalFormatting sqref="M47:O47">
    <cfRule type="expression" priority="5250" dxfId="5">
      <formula>$H47="CÉLULA CONSTRUTIVA"</formula>
    </cfRule>
  </conditionalFormatting>
  <conditionalFormatting sqref="M50:O50">
    <cfRule type="expression" priority="5246" dxfId="5">
      <formula>$H50="CÉLULA CONSTRUTIVA"</formula>
    </cfRule>
  </conditionalFormatting>
  <conditionalFormatting sqref="M54:O54">
    <cfRule type="expression" priority="5237" dxfId="3">
      <formula>$H54="ETAPA"</formula>
    </cfRule>
  </conditionalFormatting>
  <conditionalFormatting sqref="M57:O57">
    <cfRule type="expression" priority="5231" dxfId="3">
      <formula>$H57="ETAPA"</formula>
    </cfRule>
  </conditionalFormatting>
  <conditionalFormatting sqref="N8">
    <cfRule type="expression" priority="3529" dxfId="5">
      <formula>$H8="CÉLULA CONSTRUTIVA"</formula>
    </cfRule>
    <cfRule type="expression" priority="3528" dxfId="4">
      <formula>$H8="SUBETAPA"</formula>
    </cfRule>
  </conditionalFormatting>
  <conditionalFormatting sqref="M59:N60 N8:N10 N69:N70 N100:N101">
    <cfRule type="expression" priority="3527" dxfId="3">
      <formula>$H8="ETAPA"</formula>
    </cfRule>
  </conditionalFormatting>
  <conditionalFormatting sqref="N9 N59 N69 N100">
    <cfRule type="expression" priority="3526" dxfId="5">
      <formula>$H9="CÉLULA CONSTRUTIVA"</formula>
    </cfRule>
    <cfRule type="expression" priority="3525" dxfId="4">
      <formula>$H9="SUBETAPA"</formula>
    </cfRule>
  </conditionalFormatting>
  <conditionalFormatting sqref="L281:N282 N10 N60 N63 N66 N70 N72 N77 N79 N101">
    <cfRule type="expression" priority="3524" dxfId="5">
      <formula>$H10="CÉLULA CONSTRUTIVA"</formula>
    </cfRule>
  </conditionalFormatting>
  <conditionalFormatting sqref="M79:N79 N10 N60 N63 N65:N66 N70 N72 N101 N281">
    <cfRule type="expression" priority="3523" dxfId="4">
      <formula>$H10="SUBETAPA"</formula>
    </cfRule>
  </conditionalFormatting>
  <conditionalFormatting sqref="N12">
    <cfRule type="expression" priority="3522" dxfId="5">
      <formula>$H12="CÉLULA CONSTRUTIVA"</formula>
    </cfRule>
    <cfRule type="expression" priority="3521" dxfId="4">
      <formula>$H12="SUBETAPA"</formula>
    </cfRule>
  </conditionalFormatting>
  <conditionalFormatting sqref="N12:N13">
    <cfRule type="expression" priority="3520" dxfId="3">
      <formula>$H12="ETAPA"</formula>
    </cfRule>
  </conditionalFormatting>
  <conditionalFormatting sqref="N13">
    <cfRule type="expression" priority="3518" dxfId="4">
      <formula>$H13="SUBETAPA"</formula>
    </cfRule>
    <cfRule type="expression" priority="3519" dxfId="5">
      <formula>$H13="CÉLULA CONSTRUTIVA"</formula>
    </cfRule>
  </conditionalFormatting>
  <conditionalFormatting sqref="N16">
    <cfRule type="expression" priority="3516" dxfId="4">
      <formula>$H16="SUBETAPA"</formula>
    </cfRule>
    <cfRule type="expression" priority="3517" dxfId="5">
      <formula>$H16="CÉLULA CONSTRUTIVA"</formula>
    </cfRule>
    <cfRule type="expression" priority="3515" dxfId="3">
      <formula>$H16="ETAPA"</formula>
    </cfRule>
  </conditionalFormatting>
  <conditionalFormatting sqref="N20">
    <cfRule type="expression" priority="3511" dxfId="3">
      <formula>$H20="ETAPA"</formula>
    </cfRule>
    <cfRule type="expression" priority="3512" dxfId="4">
      <formula>$H20="SUBETAPA"</formula>
    </cfRule>
    <cfRule type="expression" priority="3513" dxfId="5">
      <formula>$H20="CÉLULA CONSTRUTIVA"</formula>
    </cfRule>
    <cfRule type="expression" priority="3514" dxfId="3">
      <formula>$H20="ETAPA"</formula>
    </cfRule>
    <cfRule type="expression" priority="3510" dxfId="4">
      <formula>$H20="SUBETAPA"</formula>
    </cfRule>
  </conditionalFormatting>
  <conditionalFormatting sqref="N20:N21">
    <cfRule type="expression" priority="3508" dxfId="5">
      <formula>$H20="CÉLULA CONSTRUTIVA"</formula>
    </cfRule>
  </conditionalFormatting>
  <conditionalFormatting sqref="N21">
    <cfRule type="expression" priority="3507" dxfId="4">
      <formula>$H21="SUBETAPA"</formula>
    </cfRule>
  </conditionalFormatting>
  <conditionalFormatting sqref="G22:L22 N21:N22">
    <cfRule type="expression" priority="9501" dxfId="4">
      <formula>$H21="SUBETAPA"</formula>
    </cfRule>
  </conditionalFormatting>
  <conditionalFormatting sqref="N21:N22">
    <cfRule type="expression" priority="3506" dxfId="3">
      <formula>$H21="ETAPA"</formula>
    </cfRule>
  </conditionalFormatting>
  <conditionalFormatting sqref="N22">
    <cfRule type="expression" priority="3505" dxfId="4">
      <formula>$H22="SUBETAPA"</formula>
    </cfRule>
  </conditionalFormatting>
  <conditionalFormatting sqref="G23:L23 N23">
    <cfRule type="expression" priority="3503" dxfId="5">
      <formula>$H23="CÉLULA CONSTRUTIVA"</formula>
    </cfRule>
  </conditionalFormatting>
  <conditionalFormatting sqref="L22:L23 N23">
    <cfRule type="expression" priority="3504" dxfId="3">
      <formula>$H22="ETAPA"</formula>
    </cfRule>
  </conditionalFormatting>
  <conditionalFormatting sqref="N23">
    <cfRule type="expression" priority="3500" dxfId="4">
      <formula>$H23="SUBETAPA"</formula>
    </cfRule>
    <cfRule type="expression" priority="3502" dxfId="3">
      <formula>$H23="ETAPA"</formula>
    </cfRule>
    <cfRule type="expression" priority="3501" dxfId="5">
      <formula>$H23="CÉLULA CONSTRUTIVA"</formula>
    </cfRule>
    <cfRule type="expression" priority="3499" dxfId="4">
      <formula>$H23="SUBETAPA"</formula>
    </cfRule>
  </conditionalFormatting>
  <conditionalFormatting sqref="N24">
    <cfRule type="expression" priority="3498" dxfId="5">
      <formula>$H24="CÉLULA CONSTRUTIVA"</formula>
    </cfRule>
    <cfRule type="expression" priority="3497" dxfId="3">
      <formula>$H24="ETAPA"</formula>
    </cfRule>
    <cfRule type="expression" priority="3496" dxfId="4">
      <formula>$H24="SUBETAPA"</formula>
    </cfRule>
  </conditionalFormatting>
  <conditionalFormatting sqref="N25">
    <cfRule type="expression" priority="3495" dxfId="5">
      <formula>$H25="CÉLULA CONSTRUTIVA"</formula>
    </cfRule>
    <cfRule type="expression" priority="3494" dxfId="4">
      <formula>$H25="SUBETAPA"</formula>
    </cfRule>
  </conditionalFormatting>
  <conditionalFormatting sqref="N26">
    <cfRule type="expression" priority="3493" dxfId="5">
      <formula>$H26="CÉLULA CONSTRUTIVA"</formula>
    </cfRule>
    <cfRule type="expression" priority="3492" dxfId="4">
      <formula>$H26="SUBETAPA"</formula>
    </cfRule>
  </conditionalFormatting>
  <conditionalFormatting sqref="L26:L30 N26:N27">
    <cfRule type="expression" priority="3490" dxfId="3">
      <formula>$H26="ETAPA"</formula>
    </cfRule>
  </conditionalFormatting>
  <conditionalFormatting sqref="N28 N30:N31">
    <cfRule type="expression" priority="3489" dxfId="4">
      <formula>$H28="SUBETAPA"</formula>
    </cfRule>
  </conditionalFormatting>
  <conditionalFormatting sqref="N28 N31">
    <cfRule type="expression" priority="3488" dxfId="5">
      <formula>$H28="CÉLULA CONSTRUTIVA"</formula>
    </cfRule>
  </conditionalFormatting>
  <conditionalFormatting sqref="N33">
    <cfRule type="expression" priority="3487" dxfId="5">
      <formula>$H33="CÉLULA CONSTRUTIVA"</formula>
    </cfRule>
    <cfRule type="expression" priority="3486" dxfId="4">
      <formula>$H33="SUBETAPA"</formula>
    </cfRule>
  </conditionalFormatting>
  <conditionalFormatting sqref="N33:N34">
    <cfRule type="expression" priority="3485" dxfId="3">
      <formula>$H33="ETAPA"</formula>
    </cfRule>
  </conditionalFormatting>
  <conditionalFormatting sqref="N34 N38:N39">
    <cfRule type="expression" priority="3484" dxfId="4">
      <formula>$H34="SUBETAPA"</formula>
    </cfRule>
  </conditionalFormatting>
  <conditionalFormatting sqref="N34">
    <cfRule type="expression" priority="3483" dxfId="5">
      <formula>$H34="CÉLULA CONSTRUTIVA"</formula>
    </cfRule>
  </conditionalFormatting>
  <conditionalFormatting sqref="N34:N36">
    <cfRule type="expression" priority="3482" dxfId="3">
      <formula>$H34="ETAPA"</formula>
    </cfRule>
  </conditionalFormatting>
  <conditionalFormatting sqref="N34:N37">
    <cfRule type="expression" priority="3478" dxfId="5">
      <formula>$H34="CÉLULA CONSTRUTIVA"</formula>
    </cfRule>
  </conditionalFormatting>
  <conditionalFormatting sqref="N37">
    <cfRule type="expression" priority="3477" dxfId="4">
      <formula>$H37="SUBETAPA"</formula>
    </cfRule>
    <cfRule type="expression" priority="3480" dxfId="3">
      <formula>$H37="ETAPA"</formula>
    </cfRule>
  </conditionalFormatting>
  <conditionalFormatting sqref="N38:N39">
    <cfRule type="expression" priority="3476" dxfId="5">
      <formula>$H38="CÉLULA CONSTRUTIVA"</formula>
    </cfRule>
  </conditionalFormatting>
  <conditionalFormatting sqref="N41">
    <cfRule type="expression" priority="3475" dxfId="5">
      <formula>$H41="CÉLULA CONSTRUTIVA"</formula>
    </cfRule>
    <cfRule type="expression" priority="3474" dxfId="4">
      <formula>$H41="SUBETAPA"</formula>
    </cfRule>
  </conditionalFormatting>
  <conditionalFormatting sqref="N42">
    <cfRule type="expression" priority="3472" dxfId="4">
      <formula>$H42="SUBETAPA"</formula>
    </cfRule>
    <cfRule type="expression" priority="3473" dxfId="5">
      <formula>$H42="CÉLULA CONSTRUTIVA"</formula>
    </cfRule>
  </conditionalFormatting>
  <conditionalFormatting sqref="L42:L43 N42:N43">
    <cfRule type="expression" priority="3470" dxfId="3">
      <formula>$H42="ETAPA"</formula>
    </cfRule>
  </conditionalFormatting>
  <conditionalFormatting sqref="N44 N49">
    <cfRule type="expression" priority="3469" dxfId="5">
      <formula>$H44="CÉLULA CONSTRUTIVA"</formula>
    </cfRule>
    <cfRule type="expression" priority="3468" dxfId="4">
      <formula>$H44="SUBETAPA"</formula>
    </cfRule>
  </conditionalFormatting>
  <conditionalFormatting sqref="N46">
    <cfRule type="expression" priority="3465" dxfId="4">
      <formula>$H46="SUBETAPA"</formula>
    </cfRule>
    <cfRule type="expression" priority="3466" dxfId="5">
      <formula>$H46="CÉLULA CONSTRUTIVA"</formula>
    </cfRule>
    <cfRule type="expression" priority="3467" dxfId="3">
      <formula>$H46="ETAPA"</formula>
    </cfRule>
  </conditionalFormatting>
  <conditionalFormatting sqref="N47">
    <cfRule type="expression" priority="3464" dxfId="3">
      <formula>$H47="ETAPA"</formula>
    </cfRule>
    <cfRule type="expression" priority="3463" dxfId="5">
      <formula>$H47="CÉLULA CONSTRUTIVA"</formula>
    </cfRule>
    <cfRule type="expression" priority="3462" dxfId="4">
      <formula>$H47="SUBETAPA"</formula>
    </cfRule>
  </conditionalFormatting>
  <conditionalFormatting sqref="N51 N54">
    <cfRule type="expression" priority="3461" dxfId="4">
      <formula>$H51="SUBETAPA"</formula>
    </cfRule>
  </conditionalFormatting>
  <conditionalFormatting sqref="N51:N52">
    <cfRule type="expression" priority="3458" dxfId="5">
      <formula>$H51="CÉLULA CONSTRUTIVA"</formula>
    </cfRule>
  </conditionalFormatting>
  <conditionalFormatting sqref="N52">
    <cfRule type="expression" priority="3459" dxfId="3">
      <formula>$H52="ETAPA"</formula>
    </cfRule>
    <cfRule type="expression" priority="3457" dxfId="3">
      <formula>$H52="ETAPA"</formula>
    </cfRule>
    <cfRule type="expression" priority="3456" dxfId="5">
      <formula>$H52="CÉLULA CONSTRUTIVA"</formula>
    </cfRule>
  </conditionalFormatting>
  <conditionalFormatting sqref="N53">
    <cfRule type="expression" priority="3455" dxfId="4">
      <formula>$H53="SUBETAPA"</formula>
    </cfRule>
  </conditionalFormatting>
  <conditionalFormatting sqref="N55 N57">
    <cfRule type="expression" priority="3454" dxfId="4">
      <formula>$H55="SUBETAPA"</formula>
    </cfRule>
  </conditionalFormatting>
  <conditionalFormatting sqref="N55:N56">
    <cfRule type="expression" priority="3451" dxfId="5">
      <formula>$H55="CÉLULA CONSTRUTIVA"</formula>
    </cfRule>
  </conditionalFormatting>
  <conditionalFormatting sqref="N56">
    <cfRule type="expression" priority="3452" dxfId="3">
      <formula>$H56="ETAPA"</formula>
    </cfRule>
    <cfRule type="expression" priority="3450" dxfId="3">
      <formula>$H56="ETAPA"</formula>
    </cfRule>
    <cfRule type="expression" priority="3449" dxfId="5">
      <formula>$H56="CÉLULA CONSTRUTIVA"</formula>
    </cfRule>
  </conditionalFormatting>
  <conditionalFormatting sqref="N58">
    <cfRule type="expression" priority="3448" dxfId="5">
      <formula>$H58="CÉLULA CONSTRUTIVA"</formula>
    </cfRule>
    <cfRule type="expression" priority="3447" dxfId="3">
      <formula>$H58="ETAPA"</formula>
    </cfRule>
    <cfRule type="expression" priority="3446" dxfId="4">
      <formula>$H58="SUBETAPA"</formula>
    </cfRule>
  </conditionalFormatting>
  <conditionalFormatting sqref="G62:K62 N62">
    <cfRule type="expression" priority="9630" dxfId="5">
      <formula>$H62="CÉLULA CONSTRUTIVA"</formula>
    </cfRule>
  </conditionalFormatting>
  <conditionalFormatting sqref="N68">
    <cfRule type="expression" priority="3442" dxfId="4">
      <formula>$H68="SUBETAPA"</formula>
    </cfRule>
    <cfRule type="expression" priority="3444" dxfId="3">
      <formula>$H68="ETAPA"</formula>
    </cfRule>
    <cfRule type="expression" priority="3443" dxfId="5">
      <formula>$H68="CÉLULA CONSTRUTIVA"</formula>
    </cfRule>
  </conditionalFormatting>
  <conditionalFormatting sqref="N80">
    <cfRule type="expression" priority="3440" dxfId="4">
      <formula>$H80="SUBETAPA"</formula>
    </cfRule>
  </conditionalFormatting>
  <conditionalFormatting sqref="N80:N81">
    <cfRule type="expression" priority="3439" dxfId="3">
      <formula>$H80="ETAPA"</formula>
    </cfRule>
  </conditionalFormatting>
  <conditionalFormatting sqref="M95:N95 N81 N83">
    <cfRule type="expression" priority="3438" dxfId="4">
      <formula>$H81="SUBETAPA"</formula>
    </cfRule>
  </conditionalFormatting>
  <conditionalFormatting sqref="N81">
    <cfRule type="expression" priority="3437" dxfId="5">
      <formula>$H81="CÉLULA CONSTRUTIVA"</formula>
    </cfRule>
  </conditionalFormatting>
  <conditionalFormatting sqref="N83:N84">
    <cfRule type="expression" priority="3435" dxfId="5">
      <formula>$H83="CÉLULA CONSTRUTIVA"</formula>
    </cfRule>
  </conditionalFormatting>
  <conditionalFormatting sqref="G84:K84 N84">
    <cfRule type="expression" priority="3436" dxfId="3">
      <formula>$H84="ETAPA"</formula>
    </cfRule>
  </conditionalFormatting>
  <conditionalFormatting sqref="N84">
    <cfRule type="expression" priority="3434" dxfId="3">
      <formula>$H84="ETAPA"</formula>
    </cfRule>
    <cfRule type="expression" priority="3433" dxfId="4">
      <formula>$H84="SUBETAPA"</formula>
    </cfRule>
  </conditionalFormatting>
  <conditionalFormatting sqref="N85:N86">
    <cfRule type="expression" priority="3432" dxfId="5">
      <formula>$H85="CÉLULA CONSTRUTIVA"</formula>
    </cfRule>
  </conditionalFormatting>
  <conditionalFormatting sqref="G83:K83 G85:K87 G88:I88 G89:K89 G90:I90 G91:K92 K88 K90 N85:N91">
    <cfRule type="expression" priority="3431" dxfId="3">
      <formula>$H83="ETAPA"</formula>
    </cfRule>
  </conditionalFormatting>
  <conditionalFormatting sqref="N87:N93">
    <cfRule type="expression" priority="3430" dxfId="5">
      <formula>$H87="CÉLULA CONSTRUTIVA"</formula>
    </cfRule>
  </conditionalFormatting>
  <conditionalFormatting sqref="N92">
    <cfRule type="expression" priority="3429" dxfId="3">
      <formula>$H92="ETAPA"</formula>
    </cfRule>
  </conditionalFormatting>
  <conditionalFormatting sqref="N95:N97">
    <cfRule type="expression" priority="3426" dxfId="5">
      <formula>$H95="CÉLULA CONSTRUTIVA"</formula>
    </cfRule>
  </conditionalFormatting>
  <conditionalFormatting sqref="N96">
    <cfRule type="expression" priority="3428" dxfId="3">
      <formula>$H96="ETAPA"</formula>
    </cfRule>
  </conditionalFormatting>
  <conditionalFormatting sqref="N97">
    <cfRule type="expression" priority="3425" dxfId="4">
      <formula>$H97="SUBETAPA"</formula>
    </cfRule>
  </conditionalFormatting>
  <conditionalFormatting sqref="N97:N98">
    <cfRule type="expression" priority="3424" dxfId="3">
      <formula>$H97="ETAPA"</formula>
    </cfRule>
  </conditionalFormatting>
  <conditionalFormatting sqref="N98">
    <cfRule type="expression" priority="3423" dxfId="5">
      <formula>$H98="CÉLULA CONSTRUTIVA"</formula>
    </cfRule>
    <cfRule type="expression" priority="3422" dxfId="4">
      <formula>$H98="SUBETAPA"</formula>
    </cfRule>
  </conditionalFormatting>
  <conditionalFormatting sqref="N104">
    <cfRule type="expression" priority="3421" dxfId="5">
      <formula>$H104="CÉLULA CONSTRUTIVA"</formula>
    </cfRule>
  </conditionalFormatting>
  <conditionalFormatting sqref="N106">
    <cfRule type="expression" priority="3420" dxfId="5">
      <formula>$H106="CÉLULA CONSTRUTIVA"</formula>
    </cfRule>
  </conditionalFormatting>
  <conditionalFormatting sqref="N108">
    <cfRule type="expression" priority="3419" dxfId="5">
      <formula>$H108="CÉLULA CONSTRUTIVA"</formula>
    </cfRule>
  </conditionalFormatting>
  <conditionalFormatting sqref="N110">
    <cfRule type="expression" priority="3418" dxfId="5">
      <formula>$H110="CÉLULA CONSTRUTIVA"</formula>
    </cfRule>
  </conditionalFormatting>
  <conditionalFormatting sqref="N112">
    <cfRule type="expression" priority="3417" dxfId="5">
      <formula>$H112="CÉLULA CONSTRUTIVA"</formula>
    </cfRule>
  </conditionalFormatting>
  <conditionalFormatting sqref="N114">
    <cfRule type="expression" priority="3416" dxfId="5">
      <formula>$H114="CÉLULA CONSTRUTIVA"</formula>
    </cfRule>
    <cfRule type="expression" priority="3415" dxfId="4">
      <formula>$H114="SUBETAPA"</formula>
    </cfRule>
  </conditionalFormatting>
  <conditionalFormatting sqref="N116">
    <cfRule type="expression" priority="3414" dxfId="5">
      <formula>$H116="CÉLULA CONSTRUTIVA"</formula>
    </cfRule>
  </conditionalFormatting>
  <conditionalFormatting sqref="N118">
    <cfRule type="expression" priority="3413" dxfId="5">
      <formula>$H118="CÉLULA CONSTRUTIVA"</formula>
    </cfRule>
  </conditionalFormatting>
  <conditionalFormatting sqref="N120">
    <cfRule type="expression" priority="3412" dxfId="5">
      <formula>$H120="CÉLULA CONSTRUTIVA"</formula>
    </cfRule>
  </conditionalFormatting>
  <conditionalFormatting sqref="N122">
    <cfRule type="expression" priority="3411" dxfId="5">
      <formula>$H122="CÉLULA CONSTRUTIVA"</formula>
    </cfRule>
  </conditionalFormatting>
  <conditionalFormatting sqref="G123:K123 N122:N123">
    <cfRule type="expression" priority="3410" dxfId="3">
      <formula>$H122="ETAPA"</formula>
    </cfRule>
  </conditionalFormatting>
  <conditionalFormatting sqref="G122:L122 G123:K123 N122:N123">
    <cfRule type="expression" priority="3409" dxfId="5">
      <formula>$H122="CÉLULA CONSTRUTIVA"</formula>
    </cfRule>
  </conditionalFormatting>
  <conditionalFormatting sqref="N122:N123">
    <cfRule type="expression" priority="3408" dxfId="4">
      <formula>$H122="SUBETAPA"</formula>
    </cfRule>
    <cfRule type="expression" priority="6531" dxfId="4">
      <formula>$H122="SUBETAPA"</formula>
    </cfRule>
  </conditionalFormatting>
  <conditionalFormatting sqref="N123">
    <cfRule type="expression" priority="3406" dxfId="5">
      <formula>$H123="CÉLULA CONSTRUTIVA"</formula>
    </cfRule>
    <cfRule type="expression" priority="3407" dxfId="3">
      <formula>$H123="ETAPA"</formula>
    </cfRule>
  </conditionalFormatting>
  <conditionalFormatting sqref="N125">
    <cfRule type="expression" priority="3405" dxfId="5">
      <formula>$H125="CÉLULA CONSTRUTIVA"</formula>
    </cfRule>
  </conditionalFormatting>
  <conditionalFormatting sqref="G126:K126 N125:N126">
    <cfRule type="expression" priority="3404" dxfId="3">
      <formula>$H125="ETAPA"</formula>
    </cfRule>
  </conditionalFormatting>
  <conditionalFormatting sqref="G125:L125 G126:K126 N125:N126">
    <cfRule type="expression" priority="3403" dxfId="5">
      <formula>$H125="CÉLULA CONSTRUTIVA"</formula>
    </cfRule>
  </conditionalFormatting>
  <conditionalFormatting sqref="N125:N126">
    <cfRule type="expression" priority="6528" dxfId="4">
      <formula>$H125="SUBETAPA"</formula>
    </cfRule>
    <cfRule type="expression" priority="3402" dxfId="4">
      <formula>$H125="SUBETAPA"</formula>
    </cfRule>
  </conditionalFormatting>
  <conditionalFormatting sqref="N126">
    <cfRule type="expression" priority="3401" dxfId="3">
      <formula>$H126="ETAPA"</formula>
    </cfRule>
    <cfRule type="expression" priority="3400" dxfId="5">
      <formula>$H126="CÉLULA CONSTRUTIVA"</formula>
    </cfRule>
  </conditionalFormatting>
  <conditionalFormatting sqref="N128">
    <cfRule type="expression" priority="3399" dxfId="5">
      <formula>$H128="CÉLULA CONSTRUTIVA"</formula>
    </cfRule>
  </conditionalFormatting>
  <conditionalFormatting sqref="G129:K129 N128:N129">
    <cfRule type="expression" priority="3398" dxfId="3">
      <formula>$H128="ETAPA"</formula>
    </cfRule>
  </conditionalFormatting>
  <conditionalFormatting sqref="G128:L128 G129:K129 N128:N129">
    <cfRule type="expression" priority="3397" dxfId="5">
      <formula>$H128="CÉLULA CONSTRUTIVA"</formula>
    </cfRule>
  </conditionalFormatting>
  <conditionalFormatting sqref="N128:N129">
    <cfRule type="expression" priority="6525" dxfId="4">
      <formula>$H128="SUBETAPA"</formula>
    </cfRule>
    <cfRule type="expression" priority="3396" dxfId="4">
      <formula>$H128="SUBETAPA"</formula>
    </cfRule>
  </conditionalFormatting>
  <conditionalFormatting sqref="N129">
    <cfRule type="expression" priority="3395" dxfId="3">
      <formula>$H129="ETAPA"</formula>
    </cfRule>
    <cfRule type="expression" priority="3394" dxfId="5">
      <formula>$H129="CÉLULA CONSTRUTIVA"</formula>
    </cfRule>
  </conditionalFormatting>
  <conditionalFormatting sqref="N131">
    <cfRule type="expression" priority="3393" dxfId="5">
      <formula>$H131="CÉLULA CONSTRUTIVA"</formula>
    </cfRule>
  </conditionalFormatting>
  <conditionalFormatting sqref="N133">
    <cfRule type="expression" priority="3392" dxfId="5">
      <formula>$H133="CÉLULA CONSTRUTIVA"</formula>
    </cfRule>
  </conditionalFormatting>
  <conditionalFormatting sqref="G134:K134 N133:N134">
    <cfRule type="expression" priority="3391" dxfId="3">
      <formula>$H133="ETAPA"</formula>
    </cfRule>
  </conditionalFormatting>
  <conditionalFormatting sqref="G133:L133 G134:K134 N133:N134">
    <cfRule type="expression" priority="3390" dxfId="5">
      <formula>$H133="CÉLULA CONSTRUTIVA"</formula>
    </cfRule>
  </conditionalFormatting>
  <conditionalFormatting sqref="N133:N134">
    <cfRule type="expression" priority="6521" dxfId="4">
      <formula>$H133="SUBETAPA"</formula>
    </cfRule>
    <cfRule type="expression" priority="3389" dxfId="4">
      <formula>$H133="SUBETAPA"</formula>
    </cfRule>
  </conditionalFormatting>
  <conditionalFormatting sqref="N134">
    <cfRule type="expression" priority="3387" dxfId="5">
      <formula>$H134="CÉLULA CONSTRUTIVA"</formula>
    </cfRule>
    <cfRule type="expression" priority="3388" dxfId="3">
      <formula>$H134="ETAPA"</formula>
    </cfRule>
  </conditionalFormatting>
  <conditionalFormatting sqref="N136">
    <cfRule type="expression" priority="3386" dxfId="5">
      <formula>$H136="CÉLULA CONSTRUTIVA"</formula>
    </cfRule>
  </conditionalFormatting>
  <conditionalFormatting sqref="G137:K137 N136:N137">
    <cfRule type="expression" priority="3385" dxfId="3">
      <formula>$H136="ETAPA"</formula>
    </cfRule>
  </conditionalFormatting>
  <conditionalFormatting sqref="G136:L136 G137:K137 N136:N137">
    <cfRule type="expression" priority="3384" dxfId="5">
      <formula>$H136="CÉLULA CONSTRUTIVA"</formula>
    </cfRule>
  </conditionalFormatting>
  <conditionalFormatting sqref="N136:N137">
    <cfRule type="expression" priority="3383" dxfId="4">
      <formula>$H136="SUBETAPA"</formula>
    </cfRule>
    <cfRule type="expression" priority="6518" dxfId="4">
      <formula>$H136="SUBETAPA"</formula>
    </cfRule>
  </conditionalFormatting>
  <conditionalFormatting sqref="N137">
    <cfRule type="expression" priority="3382" dxfId="3">
      <formula>$H137="ETAPA"</formula>
    </cfRule>
    <cfRule type="expression" priority="3381" dxfId="5">
      <formula>$H137="CÉLULA CONSTRUTIVA"</formula>
    </cfRule>
  </conditionalFormatting>
  <conditionalFormatting sqref="N139:N140">
    <cfRule type="expression" priority="3380" dxfId="5">
      <formula>$H139="CÉLULA CONSTRUTIVA"</formula>
    </cfRule>
  </conditionalFormatting>
  <conditionalFormatting sqref="G145:J147 N145:N147">
    <cfRule type="expression" priority="3379" dxfId="5">
      <formula>$H145="CÉLULA CONSTRUTIVA"</formula>
    </cfRule>
  </conditionalFormatting>
  <conditionalFormatting sqref="N145:N147">
    <cfRule type="expression" priority="3377" dxfId="3">
      <formula>$H145="ETAPA"</formula>
    </cfRule>
    <cfRule type="expression" priority="3378" dxfId="4">
      <formula>$H145="SUBETAPA"</formula>
    </cfRule>
  </conditionalFormatting>
  <conditionalFormatting sqref="G168:K169 G170:J173 K170:K176 N145:N176">
    <cfRule type="expression" priority="6447" dxfId="4">
      <formula>$H145="SUBETAPA"</formula>
    </cfRule>
  </conditionalFormatting>
  <conditionalFormatting sqref="N148">
    <cfRule type="expression" priority="3376" dxfId="5">
      <formula>$H148="CÉLULA CONSTRUTIVA"</formula>
    </cfRule>
  </conditionalFormatting>
  <conditionalFormatting sqref="N148:N153">
    <cfRule type="expression" priority="3375" dxfId="4">
      <formula>$H148="SUBETAPA"</formula>
    </cfRule>
  </conditionalFormatting>
  <conditionalFormatting sqref="G154:J156 N154:N156">
    <cfRule type="expression" priority="3374" dxfId="5">
      <formula>$H154="CÉLULA CONSTRUTIVA"</formula>
    </cfRule>
  </conditionalFormatting>
  <conditionalFormatting sqref="N154:N156">
    <cfRule type="expression" priority="3373" dxfId="4">
      <formula>$H154="SUBETAPA"</formula>
    </cfRule>
    <cfRule type="expression" priority="3372" dxfId="3">
      <formula>$H154="ETAPA"</formula>
    </cfRule>
  </conditionalFormatting>
  <conditionalFormatting sqref="G157:K157 N157">
    <cfRule type="expression" priority="3371" dxfId="5">
      <formula>$H157="CÉLULA CONSTRUTIVA"</formula>
    </cfRule>
  </conditionalFormatting>
  <conditionalFormatting sqref="N157">
    <cfRule type="expression" priority="3370" dxfId="4">
      <formula>$H157="SUBETAPA"</formula>
    </cfRule>
    <cfRule type="expression" priority="3369" dxfId="3">
      <formula>$H157="ETAPA"</formula>
    </cfRule>
  </conditionalFormatting>
  <conditionalFormatting sqref="N158">
    <cfRule type="expression" priority="3368" dxfId="5">
      <formula>$H158="CÉLULA CONSTRUTIVA"</formula>
    </cfRule>
  </conditionalFormatting>
  <conditionalFormatting sqref="N158:N163">
    <cfRule type="expression" priority="3367" dxfId="4">
      <formula>$H158="SUBETAPA"</formula>
    </cfRule>
  </conditionalFormatting>
  <conditionalFormatting sqref="G164:J166 N164:N166">
    <cfRule type="expression" priority="3366" dxfId="5">
      <formula>$H164="CÉLULA CONSTRUTIVA"</formula>
    </cfRule>
  </conditionalFormatting>
  <conditionalFormatting sqref="N164:N166">
    <cfRule type="expression" priority="3365" dxfId="4">
      <formula>$H164="SUBETAPA"</formula>
    </cfRule>
    <cfRule type="expression" priority="3364" dxfId="3">
      <formula>$H164="ETAPA"</formula>
    </cfRule>
  </conditionalFormatting>
  <conditionalFormatting sqref="G167:K167 N167">
    <cfRule type="expression" priority="3363" dxfId="5">
      <formula>$H167="CÉLULA CONSTRUTIVA"</formula>
    </cfRule>
  </conditionalFormatting>
  <conditionalFormatting sqref="N167">
    <cfRule type="expression" priority="3362" dxfId="4">
      <formula>$H167="SUBETAPA"</formula>
    </cfRule>
    <cfRule type="expression" priority="3361" dxfId="3">
      <formula>$H167="ETAPA"</formula>
    </cfRule>
  </conditionalFormatting>
  <conditionalFormatting sqref="N168">
    <cfRule type="expression" priority="3360" dxfId="5">
      <formula>$H168="CÉLULA CONSTRUTIVA"</formula>
    </cfRule>
  </conditionalFormatting>
  <conditionalFormatting sqref="N168:N173">
    <cfRule type="expression" priority="3359" dxfId="4">
      <formula>$H168="SUBETAPA"</formula>
    </cfRule>
  </conditionalFormatting>
  <conditionalFormatting sqref="G174:J176 N174:N176">
    <cfRule type="expression" priority="3358" dxfId="5">
      <formula>$H174="CÉLULA CONSTRUTIVA"</formula>
    </cfRule>
  </conditionalFormatting>
  <conditionalFormatting sqref="N174:N176">
    <cfRule type="expression" priority="3357" dxfId="4">
      <formula>$H174="SUBETAPA"</formula>
    </cfRule>
    <cfRule type="expression" priority="3356" dxfId="3">
      <formula>$H174="ETAPA"</formula>
    </cfRule>
  </conditionalFormatting>
  <conditionalFormatting sqref="N177">
    <cfRule type="expression" priority="3355" dxfId="5">
      <formula>$H177="CÉLULA CONSTRUTIVA"</formula>
    </cfRule>
  </conditionalFormatting>
  <conditionalFormatting sqref="N178">
    <cfRule type="expression" priority="3354" dxfId="4">
      <formula>$H178="SUBETAPA"</formula>
    </cfRule>
    <cfRule type="expression" priority="3353" dxfId="3">
      <formula>$H178="ETAPA"</formula>
    </cfRule>
  </conditionalFormatting>
  <conditionalFormatting sqref="N185">
    <cfRule type="expression" priority="3350" dxfId="3">
      <formula>$H185="ETAPA"</formula>
    </cfRule>
    <cfRule type="expression" priority="3351" dxfId="4">
      <formula>$H185="SUBETAPA"</formula>
    </cfRule>
  </conditionalFormatting>
  <conditionalFormatting sqref="N186">
    <cfRule type="expression" priority="3349" dxfId="5">
      <formula>$H186="CÉLULA CONSTRUTIVA"</formula>
    </cfRule>
  </conditionalFormatting>
  <conditionalFormatting sqref="N187">
    <cfRule type="expression" priority="3348" dxfId="4">
      <formula>$H187="SUBETAPA"</formula>
    </cfRule>
    <cfRule type="expression" priority="3347" dxfId="3">
      <formula>$H187="ETAPA"</formula>
    </cfRule>
  </conditionalFormatting>
  <conditionalFormatting sqref="N194">
    <cfRule type="expression" priority="3345" dxfId="4">
      <formula>$H194="SUBETAPA"</formula>
    </cfRule>
    <cfRule type="expression" priority="3344" dxfId="3">
      <formula>$H194="ETAPA"</formula>
    </cfRule>
  </conditionalFormatting>
  <conditionalFormatting sqref="N195">
    <cfRule type="expression" priority="3343" dxfId="5">
      <formula>$H195="CÉLULA CONSTRUTIVA"</formula>
    </cfRule>
  </conditionalFormatting>
  <conditionalFormatting sqref="N196">
    <cfRule type="expression" priority="3342" dxfId="4">
      <formula>$H196="SUBETAPA"</formula>
    </cfRule>
    <cfRule type="expression" priority="3341" dxfId="3">
      <formula>$H196="ETAPA"</formula>
    </cfRule>
  </conditionalFormatting>
  <conditionalFormatting sqref="N203">
    <cfRule type="expression" priority="3338" dxfId="3">
      <formula>$H203="ETAPA"</formula>
    </cfRule>
    <cfRule type="expression" priority="3339" dxfId="4">
      <formula>$H203="SUBETAPA"</formula>
    </cfRule>
  </conditionalFormatting>
  <conditionalFormatting sqref="G203:K203 N203:N205">
    <cfRule type="expression" priority="3340" dxfId="5">
      <formula>$H203="CÉLULA CONSTRUTIVA"</formula>
    </cfRule>
  </conditionalFormatting>
  <conditionalFormatting sqref="G204:K204 G210:J212 M206:O211 N203:N205">
    <cfRule type="expression" priority="6809" dxfId="4">
      <formula>$H203="SUBETAPA"</formula>
    </cfRule>
  </conditionalFormatting>
  <conditionalFormatting sqref="G210:J211 K206:K211 L206 M206:O211 N204">
    <cfRule type="expression" priority="3337" dxfId="3">
      <formula>$H204="ETAPA"</formula>
    </cfRule>
  </conditionalFormatting>
  <conditionalFormatting sqref="N204">
    <cfRule type="expression" priority="3336" dxfId="5">
      <formula>$H204="CÉLULA CONSTRUTIVA"</formula>
    </cfRule>
    <cfRule type="expression" priority="3335" dxfId="4">
      <formula>$H204="SUBETAPA"</formula>
    </cfRule>
  </conditionalFormatting>
  <conditionalFormatting sqref="N205">
    <cfRule type="expression" priority="3334" dxfId="4">
      <formula>$H205="SUBETAPA"</formula>
    </cfRule>
    <cfRule type="expression" priority="3333" dxfId="3">
      <formula>$H205="ETAPA"</formula>
    </cfRule>
  </conditionalFormatting>
  <conditionalFormatting sqref="N212">
    <cfRule type="expression" priority="9710" dxfId="4">
      <formula>$H212="SUBETAPA"</formula>
    </cfRule>
    <cfRule type="expression" priority="3331" dxfId="4">
      <formula>$H212="SUBETAPA"</formula>
    </cfRule>
    <cfRule type="expression" priority="3330" dxfId="3">
      <formula>$H212="ETAPA"</formula>
    </cfRule>
  </conditionalFormatting>
  <conditionalFormatting sqref="N213">
    <cfRule type="expression" priority="3329" dxfId="5">
      <formula>$H213="CÉLULA CONSTRUTIVA"</formula>
    </cfRule>
  </conditionalFormatting>
  <conditionalFormatting sqref="N214">
    <cfRule type="expression" priority="3328" dxfId="4">
      <formula>$H214="SUBETAPA"</formula>
    </cfRule>
    <cfRule type="expression" priority="3327" dxfId="3">
      <formula>$H214="ETAPA"</formula>
    </cfRule>
  </conditionalFormatting>
  <conditionalFormatting sqref="N221">
    <cfRule type="expression" priority="3325" dxfId="4">
      <formula>$H221="SUBETAPA"</formula>
    </cfRule>
    <cfRule type="expression" priority="3324" dxfId="3">
      <formula>$H221="ETAPA"</formula>
    </cfRule>
  </conditionalFormatting>
  <conditionalFormatting sqref="G267:K268 G269:J272 N221:N272">
    <cfRule type="expression" priority="6242" dxfId="4">
      <formula>$H221="SUBETAPA"</formula>
    </cfRule>
  </conditionalFormatting>
  <conditionalFormatting sqref="N222">
    <cfRule type="expression" priority="3323" dxfId="5">
      <formula>$H222="CÉLULA CONSTRUTIVA"</formula>
    </cfRule>
  </conditionalFormatting>
  <conditionalFormatting sqref="N222:N227">
    <cfRule type="expression" priority="3322" dxfId="4">
      <formula>$H222="SUBETAPA"</formula>
    </cfRule>
  </conditionalFormatting>
  <conditionalFormatting sqref="G228:J230 N228:N230">
    <cfRule type="expression" priority="3321" dxfId="5">
      <formula>$H228="CÉLULA CONSTRUTIVA"</formula>
    </cfRule>
  </conditionalFormatting>
  <conditionalFormatting sqref="N228:N230">
    <cfRule type="expression" priority="3320" dxfId="4">
      <formula>$H228="SUBETAPA"</formula>
    </cfRule>
    <cfRule type="expression" priority="3319" dxfId="3">
      <formula>$H228="ETAPA"</formula>
    </cfRule>
  </conditionalFormatting>
  <conditionalFormatting sqref="N231">
    <cfRule type="expression" priority="3318" dxfId="5">
      <formula>$H231="CÉLULA CONSTRUTIVA"</formula>
    </cfRule>
  </conditionalFormatting>
  <conditionalFormatting sqref="N231:N236">
    <cfRule type="expression" priority="3317" dxfId="4">
      <formula>$H231="SUBETAPA"</formula>
    </cfRule>
  </conditionalFormatting>
  <conditionalFormatting sqref="G237:J239 N237:N239">
    <cfRule type="expression" priority="3316" dxfId="5">
      <formula>$H237="CÉLULA CONSTRUTIVA"</formula>
    </cfRule>
  </conditionalFormatting>
  <conditionalFormatting sqref="N237:N239">
    <cfRule type="expression" priority="3315" dxfId="4">
      <formula>$H237="SUBETAPA"</formula>
    </cfRule>
    <cfRule type="expression" priority="3314" dxfId="3">
      <formula>$H237="ETAPA"</formula>
    </cfRule>
  </conditionalFormatting>
  <conditionalFormatting sqref="N240">
    <cfRule type="expression" priority="3313" dxfId="5">
      <formula>$H240="CÉLULA CONSTRUTIVA"</formula>
    </cfRule>
  </conditionalFormatting>
  <conditionalFormatting sqref="N240:N245">
    <cfRule type="expression" priority="3312" dxfId="4">
      <formula>$H240="SUBETAPA"</formula>
    </cfRule>
  </conditionalFormatting>
  <conditionalFormatting sqref="G246:J248 N246:N248">
    <cfRule type="expression" priority="3311" dxfId="5">
      <formula>$H246="CÉLULA CONSTRUTIVA"</formula>
    </cfRule>
  </conditionalFormatting>
  <conditionalFormatting sqref="N246:N248">
    <cfRule type="expression" priority="3309" dxfId="3">
      <formula>$H246="ETAPA"</formula>
    </cfRule>
    <cfRule type="expression" priority="3310" dxfId="4">
      <formula>$H246="SUBETAPA"</formula>
    </cfRule>
  </conditionalFormatting>
  <conditionalFormatting sqref="N249">
    <cfRule type="expression" priority="3308" dxfId="5">
      <formula>$H249="CÉLULA CONSTRUTIVA"</formula>
    </cfRule>
  </conditionalFormatting>
  <conditionalFormatting sqref="N249:N254">
    <cfRule type="expression" priority="3307" dxfId="4">
      <formula>$H249="SUBETAPA"</formula>
    </cfRule>
  </conditionalFormatting>
  <conditionalFormatting sqref="G255:J257 N255:N257">
    <cfRule type="expression" priority="3306" dxfId="5">
      <formula>$H255="CÉLULA CONSTRUTIVA"</formula>
    </cfRule>
  </conditionalFormatting>
  <conditionalFormatting sqref="N255:N257">
    <cfRule type="expression" priority="3305" dxfId="4">
      <formula>$H255="SUBETAPA"</formula>
    </cfRule>
    <cfRule type="expression" priority="3304" dxfId="3">
      <formula>$H255="ETAPA"</formula>
    </cfRule>
  </conditionalFormatting>
  <conditionalFormatting sqref="N258">
    <cfRule type="expression" priority="3303" dxfId="5">
      <formula>$H258="CÉLULA CONSTRUTIVA"</formula>
    </cfRule>
  </conditionalFormatting>
  <conditionalFormatting sqref="N258:N263">
    <cfRule type="expression" priority="3302" dxfId="4">
      <formula>$H258="SUBETAPA"</formula>
    </cfRule>
  </conditionalFormatting>
  <conditionalFormatting sqref="G264:J266 N264:N266">
    <cfRule type="expression" priority="3301" dxfId="5">
      <formula>$H264="CÉLULA CONSTRUTIVA"</formula>
    </cfRule>
  </conditionalFormatting>
  <conditionalFormatting sqref="N264:N266">
    <cfRule type="expression" priority="3300" dxfId="4">
      <formula>$H264="SUBETAPA"</formula>
    </cfRule>
    <cfRule type="expression" priority="3299" dxfId="3">
      <formula>$H264="ETAPA"</formula>
    </cfRule>
  </conditionalFormatting>
  <conditionalFormatting sqref="N267">
    <cfRule type="expression" priority="3298" dxfId="5">
      <formula>$H267="CÉLULA CONSTRUTIVA"</formula>
    </cfRule>
  </conditionalFormatting>
  <conditionalFormatting sqref="N267:N272">
    <cfRule type="expression" priority="3297" dxfId="4">
      <formula>$H267="SUBETAPA"</formula>
    </cfRule>
  </conditionalFormatting>
  <conditionalFormatting sqref="N274">
    <cfRule type="expression" priority="3296" dxfId="5">
      <formula>$H274="CÉLULA CONSTRUTIVA"</formula>
    </cfRule>
  </conditionalFormatting>
  <conditionalFormatting sqref="N280">
    <cfRule type="expression" priority="3294" dxfId="4">
      <formula>$H280="SUBETAPA"</formula>
    </cfRule>
    <cfRule type="expression" priority="3295" dxfId="5">
      <formula>$H280="CÉLULA CONSTRUTIVA"</formula>
    </cfRule>
  </conditionalFormatting>
  <conditionalFormatting sqref="G141:J144 K141:K147 N282">
    <cfRule type="expression" priority="3293" dxfId="3">
      <formula>$H141="ETAPA"</formula>
    </cfRule>
  </conditionalFormatting>
  <conditionalFormatting sqref="N282">
    <cfRule type="expression" priority="3292" dxfId="4">
      <formula>$H282="SUBETAPA"</formula>
    </cfRule>
  </conditionalFormatting>
  <conditionalFormatting sqref="N283">
    <cfRule type="expression" priority="3291" dxfId="5">
      <formula>$H283="CÉLULA CONSTRUTIVA"</formula>
    </cfRule>
    <cfRule type="expression" priority="3290" dxfId="4">
      <formula>$H283="SUBETAPA"</formula>
    </cfRule>
  </conditionalFormatting>
  <conditionalFormatting sqref="G309:K312 N283:N312">
    <cfRule type="expression" priority="9540" dxfId="5">
      <formula>$H283="CÉLULA CONSTRUTIVA"</formula>
    </cfRule>
  </conditionalFormatting>
  <conditionalFormatting sqref="L283:M283 N284">
    <cfRule type="expression" priority="3289" dxfId="4">
      <formula>$H283="SUBETAPA"</formula>
    </cfRule>
  </conditionalFormatting>
  <conditionalFormatting sqref="N284">
    <cfRule type="expression" priority="3288" dxfId="3">
      <formula>$H284="ETAPA"</formula>
    </cfRule>
  </conditionalFormatting>
  <conditionalFormatting sqref="N285">
    <cfRule type="expression" priority="3287" dxfId="5">
      <formula>$H285="CÉLULA CONSTRUTIVA"</formula>
    </cfRule>
    <cfRule type="expression" priority="3286" dxfId="4">
      <formula>$H285="SUBETAPA"</formula>
    </cfRule>
  </conditionalFormatting>
  <conditionalFormatting sqref="L285:M285 N286">
    <cfRule type="expression" priority="3285" dxfId="4">
      <formula>$H285="SUBETAPA"</formula>
    </cfRule>
  </conditionalFormatting>
  <conditionalFormatting sqref="N286">
    <cfRule type="expression" priority="3284" dxfId="3">
      <formula>$H286="ETAPA"</formula>
    </cfRule>
  </conditionalFormatting>
  <conditionalFormatting sqref="N287">
    <cfRule type="expression" priority="3283" dxfId="5">
      <formula>$H287="CÉLULA CONSTRUTIVA"</formula>
    </cfRule>
    <cfRule type="expression" priority="3282" dxfId="4">
      <formula>$H287="SUBETAPA"</formula>
    </cfRule>
  </conditionalFormatting>
  <conditionalFormatting sqref="L287:M287 N288">
    <cfRule type="expression" priority="3281" dxfId="4">
      <formula>$H287="SUBETAPA"</formula>
    </cfRule>
  </conditionalFormatting>
  <conditionalFormatting sqref="N288">
    <cfRule type="expression" priority="3280" dxfId="3">
      <formula>$H288="ETAPA"</formula>
    </cfRule>
  </conditionalFormatting>
  <conditionalFormatting sqref="N289">
    <cfRule type="expression" priority="3279" dxfId="5">
      <formula>$H289="CÉLULA CONSTRUTIVA"</formula>
    </cfRule>
    <cfRule type="expression" priority="3278" dxfId="4">
      <formula>$H289="SUBETAPA"</formula>
    </cfRule>
  </conditionalFormatting>
  <conditionalFormatting sqref="L289:M289 N290">
    <cfRule type="expression" priority="3277" dxfId="4">
      <formula>$H289="SUBETAPA"</formula>
    </cfRule>
  </conditionalFormatting>
  <conditionalFormatting sqref="N290">
    <cfRule type="expression" priority="3276" dxfId="3">
      <formula>$H290="ETAPA"</formula>
    </cfRule>
  </conditionalFormatting>
  <conditionalFormatting sqref="N291">
    <cfRule type="expression" priority="3274" dxfId="4">
      <formula>$H291="SUBETAPA"</formula>
    </cfRule>
    <cfRule type="expression" priority="3275" dxfId="5">
      <formula>$H291="CÉLULA CONSTRUTIVA"</formula>
    </cfRule>
  </conditionalFormatting>
  <conditionalFormatting sqref="L291:M291 N292">
    <cfRule type="expression" priority="3273" dxfId="4">
      <formula>$H291="SUBETAPA"</formula>
    </cfRule>
  </conditionalFormatting>
  <conditionalFormatting sqref="N292">
    <cfRule type="expression" priority="3272" dxfId="3">
      <formula>$H292="ETAPA"</formula>
    </cfRule>
  </conditionalFormatting>
  <conditionalFormatting sqref="N293">
    <cfRule type="expression" priority="3271" dxfId="5">
      <formula>$H293="CÉLULA CONSTRUTIVA"</formula>
    </cfRule>
    <cfRule type="expression" priority="3270" dxfId="4">
      <formula>$H293="SUBETAPA"</formula>
    </cfRule>
  </conditionalFormatting>
  <conditionalFormatting sqref="L293:M293 N294">
    <cfRule type="expression" priority="3269" dxfId="4">
      <formula>$H293="SUBETAPA"</formula>
    </cfRule>
  </conditionalFormatting>
  <conditionalFormatting sqref="N294">
    <cfRule type="expression" priority="3268" dxfId="3">
      <formula>$H294="ETAPA"</formula>
    </cfRule>
  </conditionalFormatting>
  <conditionalFormatting sqref="N295">
    <cfRule type="expression" priority="3267" dxfId="5">
      <formula>$H295="CÉLULA CONSTRUTIVA"</formula>
    </cfRule>
    <cfRule type="expression" priority="3266" dxfId="4">
      <formula>$H295="SUBETAPA"</formula>
    </cfRule>
  </conditionalFormatting>
  <conditionalFormatting sqref="N296">
    <cfRule type="expression" priority="3265" dxfId="3">
      <formula>$H296="ETAPA"</formula>
    </cfRule>
  </conditionalFormatting>
  <conditionalFormatting sqref="N297">
    <cfRule type="expression" priority="3264" dxfId="5">
      <formula>$H297="CÉLULA CONSTRUTIVA"</formula>
    </cfRule>
    <cfRule type="expression" priority="3263" dxfId="4">
      <formula>$H297="SUBETAPA"</formula>
    </cfRule>
  </conditionalFormatting>
  <conditionalFormatting sqref="L297:M297 N298">
    <cfRule type="expression" priority="3262" dxfId="4">
      <formula>$H297="SUBETAPA"</formula>
    </cfRule>
  </conditionalFormatting>
  <conditionalFormatting sqref="N298">
    <cfRule type="expression" priority="3261" dxfId="3">
      <formula>$H298="ETAPA"</formula>
    </cfRule>
  </conditionalFormatting>
  <conditionalFormatting sqref="N299">
    <cfRule type="expression" priority="3260" dxfId="5">
      <formula>$H299="CÉLULA CONSTRUTIVA"</formula>
    </cfRule>
    <cfRule type="expression" priority="3259" dxfId="4">
      <formula>$H299="SUBETAPA"</formula>
    </cfRule>
  </conditionalFormatting>
  <conditionalFormatting sqref="L299:M299 N300">
    <cfRule type="expression" priority="3258" dxfId="4">
      <formula>$H299="SUBETAPA"</formula>
    </cfRule>
  </conditionalFormatting>
  <conditionalFormatting sqref="N300">
    <cfRule type="expression" priority="3257" dxfId="3">
      <formula>$H300="ETAPA"</formula>
    </cfRule>
  </conditionalFormatting>
  <conditionalFormatting sqref="N301">
    <cfRule type="expression" priority="3256" dxfId="5">
      <formula>$H301="CÉLULA CONSTRUTIVA"</formula>
    </cfRule>
    <cfRule type="expression" priority="3255" dxfId="4">
      <formula>$H301="SUBETAPA"</formula>
    </cfRule>
  </conditionalFormatting>
  <conditionalFormatting sqref="L301:M301 N302">
    <cfRule type="expression" priority="3254" dxfId="4">
      <formula>$H301="SUBETAPA"</formula>
    </cfRule>
  </conditionalFormatting>
  <conditionalFormatting sqref="N302">
    <cfRule type="expression" priority="3253" dxfId="3">
      <formula>$H302="ETAPA"</formula>
    </cfRule>
  </conditionalFormatting>
  <conditionalFormatting sqref="N303">
    <cfRule type="expression" priority="3252" dxfId="5">
      <formula>$H303="CÉLULA CONSTRUTIVA"</formula>
    </cfRule>
    <cfRule type="expression" priority="3251" dxfId="4">
      <formula>$H303="SUBETAPA"</formula>
    </cfRule>
  </conditionalFormatting>
  <conditionalFormatting sqref="N304">
    <cfRule type="expression" priority="3250" dxfId="3">
      <formula>$H304="ETAPA"</formula>
    </cfRule>
    <cfRule type="expression" priority="3249" dxfId="4">
      <formula>$H304="SUBETAPA"</formula>
    </cfRule>
  </conditionalFormatting>
  <conditionalFormatting sqref="N305">
    <cfRule type="expression" priority="3248" dxfId="5">
      <formula>$H305="CÉLULA CONSTRUTIVA"</formula>
    </cfRule>
    <cfRule type="expression" priority="3247" dxfId="4">
      <formula>$H305="SUBETAPA"</formula>
    </cfRule>
  </conditionalFormatting>
  <conditionalFormatting sqref="L305:M305 N306">
    <cfRule type="expression" priority="3246" dxfId="4">
      <formula>$H305="SUBETAPA"</formula>
    </cfRule>
  </conditionalFormatting>
  <conditionalFormatting sqref="N306">
    <cfRule type="expression" priority="3245" dxfId="3">
      <formula>$H306="ETAPA"</formula>
    </cfRule>
  </conditionalFormatting>
  <conditionalFormatting sqref="N307">
    <cfRule type="expression" priority="3243" dxfId="4">
      <formula>$H307="SUBETAPA"</formula>
    </cfRule>
    <cfRule type="expression" priority="3244" dxfId="5">
      <formula>$H307="CÉLULA CONSTRUTIVA"</formula>
    </cfRule>
  </conditionalFormatting>
  <conditionalFormatting sqref="G309:K310 N307:N310">
    <cfRule type="expression" priority="9545" dxfId="3">
      <formula>$H307="ETAPA"</formula>
    </cfRule>
  </conditionalFormatting>
  <conditionalFormatting sqref="N308">
    <cfRule type="expression" priority="3241" dxfId="4">
      <formula>$H308="SUBETAPA"</formula>
    </cfRule>
    <cfRule type="expression" priority="3242" dxfId="3">
      <formula>$H308="ETAPA"</formula>
    </cfRule>
  </conditionalFormatting>
  <conditionalFormatting sqref="N309">
    <cfRule type="expression" priority="3240" dxfId="5">
      <formula>$H309="CÉLULA CONSTRUTIVA"</formula>
    </cfRule>
    <cfRule type="expression" priority="3239" dxfId="4">
      <formula>$H309="SUBETAPA"</formula>
    </cfRule>
  </conditionalFormatting>
  <conditionalFormatting sqref="L309:M309 N310">
    <cfRule type="expression" priority="3238" dxfId="4">
      <formula>$H309="SUBETAPA"</formula>
    </cfRule>
  </conditionalFormatting>
  <conditionalFormatting sqref="N310">
    <cfRule type="expression" priority="3237" dxfId="3">
      <formula>$H310="ETAPA"</formula>
    </cfRule>
  </conditionalFormatting>
  <conditionalFormatting sqref="N311">
    <cfRule type="expression" priority="3236" dxfId="5">
      <formula>$H311="CÉLULA CONSTRUTIVA"</formula>
    </cfRule>
    <cfRule type="expression" priority="3235" dxfId="4">
      <formula>$H311="SUBETAPA"</formula>
    </cfRule>
  </conditionalFormatting>
  <conditionalFormatting sqref="N313">
    <cfRule type="expression" priority="3234" dxfId="5">
      <formula>$H313="CÉLULA CONSTRUTIVA"</formula>
    </cfRule>
    <cfRule type="expression" priority="3233" dxfId="4">
      <formula>$H313="SUBETAPA"</formula>
    </cfRule>
  </conditionalFormatting>
  <conditionalFormatting sqref="N314">
    <cfRule type="expression" priority="3232" dxfId="5">
      <formula>$H314="CÉLULA CONSTRUTIVA"</formula>
    </cfRule>
    <cfRule type="expression" priority="3231" dxfId="4">
      <formula>$H314="SUBETAPA"</formula>
    </cfRule>
  </conditionalFormatting>
  <conditionalFormatting sqref="N315">
    <cfRule type="expression" priority="3230" dxfId="3">
      <formula>$H315="ETAPA"</formula>
    </cfRule>
    <cfRule type="expression" priority="3229" dxfId="5">
      <formula>$H315="CÉLULA CONSTRUTIVA"</formula>
    </cfRule>
    <cfRule type="expression" priority="3228" dxfId="4">
      <formula>$H315="SUBETAPA"</formula>
    </cfRule>
  </conditionalFormatting>
  <conditionalFormatting sqref="N316">
    <cfRule type="expression" priority="3227" dxfId="5">
      <formula>$H316="CÉLULA CONSTRUTIVA"</formula>
    </cfRule>
    <cfRule type="expression" priority="3226" dxfId="4">
      <formula>$H316="SUBETAPA"</formula>
    </cfRule>
  </conditionalFormatting>
  <conditionalFormatting sqref="N317">
    <cfRule type="expression" priority="9775" dxfId="5">
      <formula>$H317="CÉLULA CONSTRUTIVA"</formula>
    </cfRule>
    <cfRule type="expression" priority="9776" dxfId="4">
      <formula>$H317="SUBETAPA"</formula>
    </cfRule>
    <cfRule type="expression" priority="3224" dxfId="5">
      <formula>$H317="CÉLULA CONSTRUTIVA"</formula>
    </cfRule>
    <cfRule type="expression" priority="3223" dxfId="4">
      <formula>$H317="SUBETAPA"</formula>
    </cfRule>
    <cfRule type="expression" priority="3225" dxfId="3">
      <formula>$H317="ETAPA"</formula>
    </cfRule>
  </conditionalFormatting>
  <conditionalFormatting sqref="N318">
    <cfRule type="expression" priority="3222" dxfId="5">
      <formula>$H318="CÉLULA CONSTRUTIVA"</formula>
    </cfRule>
    <cfRule type="expression" priority="3221" dxfId="4">
      <formula>$H318="SUBETAPA"</formula>
    </cfRule>
  </conditionalFormatting>
  <conditionalFormatting sqref="N319">
    <cfRule type="expression" priority="3219" dxfId="5">
      <formula>$H319="CÉLULA CONSTRUTIVA"</formula>
    </cfRule>
    <cfRule type="expression" priority="3218" dxfId="4">
      <formula>$H319="SUBETAPA"</formula>
    </cfRule>
    <cfRule type="expression" priority="3220" dxfId="3">
      <formula>$H319="ETAPA"</formula>
    </cfRule>
  </conditionalFormatting>
  <conditionalFormatting sqref="N320">
    <cfRule type="expression" priority="3217" dxfId="5">
      <formula>$H320="CÉLULA CONSTRUTIVA"</formula>
    </cfRule>
    <cfRule type="expression" priority="3216" dxfId="4">
      <formula>$H320="SUBETAPA"</formula>
    </cfRule>
  </conditionalFormatting>
  <conditionalFormatting sqref="N321">
    <cfRule type="expression" priority="9773" dxfId="4">
      <formula>$H321="SUBETAPA"</formula>
    </cfRule>
    <cfRule type="expression" priority="9772" dxfId="5">
      <formula>$H321="CÉLULA CONSTRUTIVA"</formula>
    </cfRule>
    <cfRule type="expression" priority="3215" dxfId="3">
      <formula>$H321="ETAPA"</formula>
    </cfRule>
    <cfRule type="expression" priority="3214" dxfId="5">
      <formula>$H321="CÉLULA CONSTRUTIVA"</formula>
    </cfRule>
    <cfRule type="expression" priority="3213" dxfId="4">
      <formula>$H321="SUBETAPA"</formula>
    </cfRule>
  </conditionalFormatting>
  <conditionalFormatting sqref="N322">
    <cfRule type="expression" priority="3212" dxfId="5">
      <formula>$H322="CÉLULA CONSTRUTIVA"</formula>
    </cfRule>
    <cfRule type="expression" priority="3211" dxfId="4">
      <formula>$H322="SUBETAPA"</formula>
    </cfRule>
  </conditionalFormatting>
  <conditionalFormatting sqref="N323">
    <cfRule type="expression" priority="3210" dxfId="3">
      <formula>$H323="ETAPA"</formula>
    </cfRule>
    <cfRule type="expression" priority="3209" dxfId="5">
      <formula>$H323="CÉLULA CONSTRUTIVA"</formula>
    </cfRule>
    <cfRule type="expression" priority="3208" dxfId="4">
      <formula>$H323="SUBETAPA"</formula>
    </cfRule>
  </conditionalFormatting>
  <conditionalFormatting sqref="N324">
    <cfRule type="expression" priority="3207" dxfId="5">
      <formula>$H324="CÉLULA CONSTRUTIVA"</formula>
    </cfRule>
    <cfRule type="expression" priority="3206" dxfId="4">
      <formula>$H324="SUBETAPA"</formula>
    </cfRule>
    <cfRule type="expression" priority="3205" dxfId="3">
      <formula>$H324="ETAPA"</formula>
    </cfRule>
  </conditionalFormatting>
  <conditionalFormatting sqref="N325">
    <cfRule type="expression" priority="9769" dxfId="5">
      <formula>$H325="CÉLULA CONSTRUTIVA"</formula>
    </cfRule>
    <cfRule type="expression" priority="9770" dxfId="4">
      <formula>$H325="SUBETAPA"</formula>
    </cfRule>
    <cfRule type="expression" priority="3204" dxfId="3">
      <formula>$H325="ETAPA"</formula>
    </cfRule>
    <cfRule type="expression" priority="3203" dxfId="5">
      <formula>$H325="CÉLULA CONSTRUTIVA"</formula>
    </cfRule>
    <cfRule type="expression" priority="3202" dxfId="4">
      <formula>$H325="SUBETAPA"</formula>
    </cfRule>
  </conditionalFormatting>
  <conditionalFormatting sqref="N326">
    <cfRule type="expression" priority="3201" dxfId="5">
      <formula>$H326="CÉLULA CONSTRUTIVA"</formula>
    </cfRule>
    <cfRule type="expression" priority="3200" dxfId="4">
      <formula>$H326="SUBETAPA"</formula>
    </cfRule>
  </conditionalFormatting>
  <conditionalFormatting sqref="N327">
    <cfRule type="expression" priority="3199" dxfId="3">
      <formula>$H327="ETAPA"</formula>
    </cfRule>
    <cfRule type="expression" priority="3197" dxfId="4">
      <formula>$H327="SUBETAPA"</formula>
    </cfRule>
    <cfRule type="expression" priority="3198" dxfId="5">
      <formula>$H327="CÉLULA CONSTRUTIVA"</formula>
    </cfRule>
  </conditionalFormatting>
  <conditionalFormatting sqref="N328">
    <cfRule type="expression" priority="3195" dxfId="4">
      <formula>$H328="SUBETAPA"</formula>
    </cfRule>
    <cfRule type="expression" priority="3196" dxfId="5">
      <formula>$H328="CÉLULA CONSTRUTIVA"</formula>
    </cfRule>
  </conditionalFormatting>
  <conditionalFormatting sqref="N329">
    <cfRule type="expression" priority="3194" dxfId="3">
      <formula>$H329="ETAPA"</formula>
    </cfRule>
    <cfRule type="expression" priority="3193" dxfId="5">
      <formula>$H329="CÉLULA CONSTRUTIVA"</formula>
    </cfRule>
    <cfRule type="expression" priority="3192" dxfId="4">
      <formula>$H329="SUBETAPA"</formula>
    </cfRule>
  </conditionalFormatting>
  <conditionalFormatting sqref="N330">
    <cfRule type="expression" priority="3191" dxfId="5">
      <formula>$H330="CÉLULA CONSTRUTIVA"</formula>
    </cfRule>
    <cfRule type="expression" priority="3190" dxfId="4">
      <formula>$H330="SUBETAPA"</formula>
    </cfRule>
    <cfRule type="expression" priority="3189" dxfId="3">
      <formula>$H330="ETAPA"</formula>
    </cfRule>
  </conditionalFormatting>
  <conditionalFormatting sqref="N331">
    <cfRule type="expression" priority="3187" dxfId="5">
      <formula>$H331="CÉLULA CONSTRUTIVA"</formula>
    </cfRule>
    <cfRule type="expression" priority="3188" dxfId="3">
      <formula>$H331="ETAPA"</formula>
    </cfRule>
    <cfRule type="expression" priority="3186" dxfId="4">
      <formula>$H331="SUBETAPA"</formula>
    </cfRule>
    <cfRule type="expression" priority="9767" dxfId="4">
      <formula>$H331="SUBETAPA"</formula>
    </cfRule>
  </conditionalFormatting>
  <conditionalFormatting sqref="N332">
    <cfRule type="expression" priority="3184" dxfId="4">
      <formula>$H332="SUBETAPA"</formula>
    </cfRule>
    <cfRule type="expression" priority="3185" dxfId="5">
      <formula>$H332="CÉLULA CONSTRUTIVA"</formula>
    </cfRule>
    <cfRule type="expression" priority="3183" dxfId="3">
      <formula>$H332="ETAPA"</formula>
    </cfRule>
  </conditionalFormatting>
  <conditionalFormatting sqref="N333">
    <cfRule type="expression" priority="3182" dxfId="3">
      <formula>$H333="ETAPA"</formula>
    </cfRule>
    <cfRule type="expression" priority="3180" dxfId="4">
      <formula>$H333="SUBETAPA"</formula>
    </cfRule>
    <cfRule type="expression" priority="3181" dxfId="5">
      <formula>$H333="CÉLULA CONSTRUTIVA"</formula>
    </cfRule>
  </conditionalFormatting>
  <conditionalFormatting sqref="N334">
    <cfRule type="expression" priority="3179" dxfId="5">
      <formula>$H334="CÉLULA CONSTRUTIVA"</formula>
    </cfRule>
    <cfRule type="expression" priority="3178" dxfId="4">
      <formula>$H334="SUBETAPA"</formula>
    </cfRule>
    <cfRule type="expression" priority="3177" dxfId="3">
      <formula>$H334="ETAPA"</formula>
    </cfRule>
  </conditionalFormatting>
  <conditionalFormatting sqref="N335">
    <cfRule type="expression" priority="3176" dxfId="3">
      <formula>$H335="ETAPA"</formula>
    </cfRule>
    <cfRule type="expression" priority="3175" dxfId="5">
      <formula>$H335="CÉLULA CONSTRUTIVA"</formula>
    </cfRule>
    <cfRule type="expression" priority="3174" dxfId="4">
      <formula>$H335="SUBETAPA"</formula>
    </cfRule>
    <cfRule type="expression" priority="9764" dxfId="4">
      <formula>$H335="SUBETAPA"</formula>
    </cfRule>
  </conditionalFormatting>
  <conditionalFormatting sqref="N336">
    <cfRule type="expression" priority="3171" dxfId="3">
      <formula>$H336="ETAPA"</formula>
    </cfRule>
    <cfRule type="expression" priority="3173" dxfId="5">
      <formula>$H336="CÉLULA CONSTRUTIVA"</formula>
    </cfRule>
    <cfRule type="expression" priority="3172" dxfId="4">
      <formula>$H336="SUBETAPA"</formula>
    </cfRule>
  </conditionalFormatting>
  <conditionalFormatting sqref="N337">
    <cfRule type="expression" priority="3169" dxfId="5">
      <formula>$H337="CÉLULA CONSTRUTIVA"</formula>
    </cfRule>
    <cfRule type="expression" priority="3170" dxfId="3">
      <formula>$H337="ETAPA"</formula>
    </cfRule>
    <cfRule type="expression" priority="3168" dxfId="4">
      <formula>$H337="SUBETAPA"</formula>
    </cfRule>
  </conditionalFormatting>
  <conditionalFormatting sqref="N338">
    <cfRule type="expression" priority="3166" dxfId="4">
      <formula>$H338="SUBETAPA"</formula>
    </cfRule>
    <cfRule type="expression" priority="3167" dxfId="5">
      <formula>$H338="CÉLULA CONSTRUTIVA"</formula>
    </cfRule>
    <cfRule type="expression" priority="3165" dxfId="3">
      <formula>$H338="ETAPA"</formula>
    </cfRule>
  </conditionalFormatting>
  <conditionalFormatting sqref="N339">
    <cfRule type="expression" priority="3162" dxfId="4">
      <formula>$H339="SUBETAPA"</formula>
    </cfRule>
    <cfRule type="expression" priority="3163" dxfId="5">
      <formula>$H339="CÉLULA CONSTRUTIVA"</formula>
    </cfRule>
    <cfRule type="expression" priority="3164" dxfId="3">
      <formula>$H339="ETAPA"</formula>
    </cfRule>
    <cfRule type="expression" priority="9761" dxfId="4">
      <formula>$H339="SUBETAPA"</formula>
    </cfRule>
  </conditionalFormatting>
  <conditionalFormatting sqref="N340">
    <cfRule type="expression" priority="3161" dxfId="5">
      <formula>$H340="CÉLULA CONSTRUTIVA"</formula>
    </cfRule>
    <cfRule type="expression" priority="3160" dxfId="4">
      <formula>$H340="SUBETAPA"</formula>
    </cfRule>
  </conditionalFormatting>
  <conditionalFormatting sqref="N341">
    <cfRule type="expression" priority="3157" dxfId="4">
      <formula>$H341="SUBETAPA"</formula>
    </cfRule>
    <cfRule type="expression" priority="3159" dxfId="3">
      <formula>$H341="ETAPA"</formula>
    </cfRule>
    <cfRule type="expression" priority="3158" dxfId="5">
      <formula>$H341="CÉLULA CONSTRUTIVA"</formula>
    </cfRule>
  </conditionalFormatting>
  <conditionalFormatting sqref="N342">
    <cfRule type="expression" priority="3156" dxfId="5">
      <formula>$H342="CÉLULA CONSTRUTIVA"</formula>
    </cfRule>
    <cfRule type="expression" priority="3154" dxfId="3">
      <formula>$H342="ETAPA"</formula>
    </cfRule>
    <cfRule type="expression" priority="3155" dxfId="4">
      <formula>$H342="SUBETAPA"</formula>
    </cfRule>
  </conditionalFormatting>
  <conditionalFormatting sqref="N343">
    <cfRule type="expression" priority="3151" dxfId="4">
      <formula>$H343="SUBETAPA"</formula>
    </cfRule>
    <cfRule type="expression" priority="3152" dxfId="5">
      <formula>$H343="CÉLULA CONSTRUTIVA"</formula>
    </cfRule>
    <cfRule type="expression" priority="3153" dxfId="3">
      <formula>$H343="ETAPA"</formula>
    </cfRule>
    <cfRule type="expression" priority="9758" dxfId="4">
      <formula>$H343="SUBETAPA"</formula>
    </cfRule>
  </conditionalFormatting>
  <conditionalFormatting sqref="N344">
    <cfRule type="expression" priority="3150" dxfId="5">
      <formula>$H344="CÉLULA CONSTRUTIVA"</formula>
    </cfRule>
    <cfRule type="expression" priority="3149" dxfId="4">
      <formula>$H344="SUBETAPA"</formula>
    </cfRule>
  </conditionalFormatting>
  <conditionalFormatting sqref="N346">
    <cfRule type="expression" priority="3148" dxfId="5">
      <formula>$H346="CÉLULA CONSTRUTIVA"</formula>
    </cfRule>
    <cfRule type="expression" priority="3147" dxfId="4">
      <formula>$H346="SUBETAPA"</formula>
    </cfRule>
  </conditionalFormatting>
  <conditionalFormatting sqref="N347">
    <cfRule type="expression" priority="3146" dxfId="5">
      <formula>$H347="CÉLULA CONSTRUTIVA"</formula>
    </cfRule>
    <cfRule type="expression" priority="3145" dxfId="4">
      <formula>$H347="SUBETAPA"</formula>
    </cfRule>
  </conditionalFormatting>
  <conditionalFormatting sqref="J1213 J1220 J1227 J1252 J1336 N348 O400:O408 O413:O421 O426:O434 O439:O447 O452:O460 O465:O473 O478:O486 O491:O499 O504:O512 O517:O525 O530:O538 O543:O551">
    <cfRule type="expression" priority="3144" dxfId="3">
      <formula>$H348="ETAPA"</formula>
    </cfRule>
    <cfRule type="expression" priority="3143" dxfId="4">
      <formula>$H348="SUBETAPA"</formula>
    </cfRule>
  </conditionalFormatting>
  <conditionalFormatting sqref="N349">
    <cfRule type="expression" priority="3142" dxfId="5">
      <formula>$H349="CÉLULA CONSTRUTIVA"</formula>
    </cfRule>
    <cfRule type="expression" priority="3141" dxfId="4">
      <formula>$H349="SUBETAPA"</formula>
    </cfRule>
  </conditionalFormatting>
  <conditionalFormatting sqref="M358:M359 N349:N378">
    <cfRule type="expression" priority="4979" dxfId="5">
      <formula>$H349="CÉLULA CONSTRUTIVA"</formula>
    </cfRule>
  </conditionalFormatting>
  <conditionalFormatting sqref="N349:N1881">
    <cfRule type="expression" priority="9645" dxfId="4">
      <formula>$H349="SUBETAPA"</formula>
    </cfRule>
  </conditionalFormatting>
  <conditionalFormatting sqref="N350">
    <cfRule type="expression" priority="3140" dxfId="3">
      <formula>$H350="ETAPA"</formula>
    </cfRule>
    <cfRule type="expression" priority="3139" dxfId="4">
      <formula>$H350="SUBETAPA"</formula>
    </cfRule>
  </conditionalFormatting>
  <conditionalFormatting sqref="N351">
    <cfRule type="expression" priority="3138" dxfId="5">
      <formula>$H351="CÉLULA CONSTRUTIVA"</formula>
    </cfRule>
    <cfRule type="expression" priority="3137" dxfId="4">
      <formula>$H351="SUBETAPA"</formula>
    </cfRule>
  </conditionalFormatting>
  <conditionalFormatting sqref="N353">
    <cfRule type="expression" priority="3136" dxfId="5">
      <formula>$H353="CÉLULA CONSTRUTIVA"</formula>
    </cfRule>
    <cfRule type="expression" priority="3135" dxfId="4">
      <formula>$H353="SUBETAPA"</formula>
    </cfRule>
  </conditionalFormatting>
  <conditionalFormatting sqref="N354">
    <cfRule type="expression" priority="3134" dxfId="3">
      <formula>$H354="ETAPA"</formula>
    </cfRule>
    <cfRule type="expression" priority="3133" dxfId="4">
      <formula>$H354="SUBETAPA"</formula>
    </cfRule>
  </conditionalFormatting>
  <conditionalFormatting sqref="N355">
    <cfRule type="expression" priority="3132" dxfId="5">
      <formula>$H355="CÉLULA CONSTRUTIVA"</formula>
    </cfRule>
    <cfRule type="expression" priority="3131" dxfId="4">
      <formula>$H355="SUBETAPA"</formula>
    </cfRule>
  </conditionalFormatting>
  <conditionalFormatting sqref="N356">
    <cfRule type="expression" priority="3130" dxfId="3">
      <formula>$H356="ETAPA"</formula>
    </cfRule>
    <cfRule type="expression" priority="3129" dxfId="4">
      <formula>$H356="SUBETAPA"</formula>
    </cfRule>
  </conditionalFormatting>
  <conditionalFormatting sqref="N357">
    <cfRule type="expression" priority="3128" dxfId="5">
      <formula>$H357="CÉLULA CONSTRUTIVA"</formula>
    </cfRule>
    <cfRule type="expression" priority="3127" dxfId="4">
      <formula>$H357="SUBETAPA"</formula>
    </cfRule>
  </conditionalFormatting>
  <conditionalFormatting sqref="N358">
    <cfRule type="expression" priority="3126" dxfId="3">
      <formula>$H358="ETAPA"</formula>
    </cfRule>
    <cfRule type="expression" priority="3125" dxfId="4">
      <formula>$H358="SUBETAPA"</formula>
    </cfRule>
  </conditionalFormatting>
  <conditionalFormatting sqref="N359">
    <cfRule type="expression" priority="3124" dxfId="5">
      <formula>$H359="CÉLULA CONSTRUTIVA"</formula>
    </cfRule>
    <cfRule type="expression" priority="3123" dxfId="4">
      <formula>$H359="SUBETAPA"</formula>
    </cfRule>
  </conditionalFormatting>
  <conditionalFormatting sqref="N360">
    <cfRule type="expression" priority="3122" dxfId="3">
      <formula>$H360="ETAPA"</formula>
    </cfRule>
  </conditionalFormatting>
  <conditionalFormatting sqref="N361">
    <cfRule type="expression" priority="3121" dxfId="5">
      <formula>$H361="CÉLULA CONSTRUTIVA"</formula>
    </cfRule>
    <cfRule type="expression" priority="3120" dxfId="4">
      <formula>$H361="SUBETAPA"</formula>
    </cfRule>
  </conditionalFormatting>
  <conditionalFormatting sqref="N362">
    <cfRule type="expression" priority="3118" dxfId="4">
      <formula>$H362="SUBETAPA"</formula>
    </cfRule>
    <cfRule type="expression" priority="3119" dxfId="3">
      <formula>$H362="ETAPA"</formula>
    </cfRule>
  </conditionalFormatting>
  <conditionalFormatting sqref="N363">
    <cfRule type="expression" priority="3117" dxfId="5">
      <formula>$H363="CÉLULA CONSTRUTIVA"</formula>
    </cfRule>
    <cfRule type="expression" priority="3116" dxfId="4">
      <formula>$H363="SUBETAPA"</formula>
    </cfRule>
  </conditionalFormatting>
  <conditionalFormatting sqref="N364">
    <cfRule type="expression" priority="3115" dxfId="3">
      <formula>$H364="ETAPA"</formula>
    </cfRule>
    <cfRule type="expression" priority="3114" dxfId="4">
      <formula>$H364="SUBETAPA"</formula>
    </cfRule>
  </conditionalFormatting>
  <conditionalFormatting sqref="N365">
    <cfRule type="expression" priority="3113" dxfId="5">
      <formula>$H365="CÉLULA CONSTRUTIVA"</formula>
    </cfRule>
    <cfRule type="expression" priority="3112" dxfId="4">
      <formula>$H365="SUBETAPA"</formula>
    </cfRule>
  </conditionalFormatting>
  <conditionalFormatting sqref="N366">
    <cfRule type="expression" priority="3111" dxfId="3">
      <formula>$H366="ETAPA"</formula>
    </cfRule>
    <cfRule type="expression" priority="3110" dxfId="4">
      <formula>$H366="SUBETAPA"</formula>
    </cfRule>
  </conditionalFormatting>
  <conditionalFormatting sqref="N367">
    <cfRule type="expression" priority="3109" dxfId="5">
      <formula>$H367="CÉLULA CONSTRUTIVA"</formula>
    </cfRule>
    <cfRule type="expression" priority="3108" dxfId="4">
      <formula>$H367="SUBETAPA"</formula>
    </cfRule>
  </conditionalFormatting>
  <conditionalFormatting sqref="N368">
    <cfRule type="expression" priority="3107" dxfId="3">
      <formula>$H368="ETAPA"</formula>
    </cfRule>
    <cfRule type="expression" priority="3106" dxfId="4">
      <formula>$H368="SUBETAPA"</formula>
    </cfRule>
  </conditionalFormatting>
  <conditionalFormatting sqref="N369">
    <cfRule type="expression" priority="3104" dxfId="4">
      <formula>$H369="SUBETAPA"</formula>
    </cfRule>
    <cfRule type="expression" priority="3105" dxfId="5">
      <formula>$H369="CÉLULA CONSTRUTIVA"</formula>
    </cfRule>
  </conditionalFormatting>
  <conditionalFormatting sqref="N370">
    <cfRule type="expression" priority="3103" dxfId="3">
      <formula>$H370="ETAPA"</formula>
    </cfRule>
    <cfRule type="expression" priority="3102" dxfId="4">
      <formula>$H370="SUBETAPA"</formula>
    </cfRule>
  </conditionalFormatting>
  <conditionalFormatting sqref="N371">
    <cfRule type="expression" priority="3101" dxfId="5">
      <formula>$H371="CÉLULA CONSTRUTIVA"</formula>
    </cfRule>
    <cfRule type="expression" priority="3100" dxfId="4">
      <formula>$H371="SUBETAPA"</formula>
    </cfRule>
  </conditionalFormatting>
  <conditionalFormatting sqref="M371 N372">
    <cfRule type="expression" priority="3099" dxfId="4">
      <formula>$H371="SUBETAPA"</formula>
    </cfRule>
  </conditionalFormatting>
  <conditionalFormatting sqref="N372">
    <cfRule type="expression" priority="4954" dxfId="5">
      <formula>$H372="CÉLULA CONSTRUTIVA"</formula>
    </cfRule>
    <cfRule type="expression" priority="3098" dxfId="3">
      <formula>$H372="ETAPA"</formula>
    </cfRule>
  </conditionalFormatting>
  <conditionalFormatting sqref="N373">
    <cfRule type="expression" priority="3097" dxfId="5">
      <formula>$H373="CÉLULA CONSTRUTIVA"</formula>
    </cfRule>
    <cfRule type="expression" priority="3096" dxfId="4">
      <formula>$H373="SUBETAPA"</formula>
    </cfRule>
  </conditionalFormatting>
  <conditionalFormatting sqref="N374">
    <cfRule type="expression" priority="3095" dxfId="3">
      <formula>$H374="ETAPA"</formula>
    </cfRule>
  </conditionalFormatting>
  <conditionalFormatting sqref="N375">
    <cfRule type="expression" priority="3094" dxfId="5">
      <formula>$H375="CÉLULA CONSTRUTIVA"</formula>
    </cfRule>
    <cfRule type="expression" priority="3093" dxfId="4">
      <formula>$H375="SUBETAPA"</formula>
    </cfRule>
  </conditionalFormatting>
  <conditionalFormatting sqref="N376">
    <cfRule type="expression" priority="3092" dxfId="3">
      <formula>$H376="ETAPA"</formula>
    </cfRule>
  </conditionalFormatting>
  <conditionalFormatting sqref="N377">
    <cfRule type="expression" priority="3091" dxfId="5">
      <formula>$H377="CÉLULA CONSTRUTIVA"</formula>
    </cfRule>
    <cfRule type="expression" priority="3090" dxfId="4">
      <formula>$H377="SUBETAPA"</formula>
    </cfRule>
  </conditionalFormatting>
  <conditionalFormatting sqref="N378">
    <cfRule type="expression" priority="3089" dxfId="3">
      <formula>$H378="ETAPA"</formula>
    </cfRule>
  </conditionalFormatting>
  <conditionalFormatting sqref="N379:N1881">
    <cfRule type="expression" priority="10405" dxfId="5">
      <formula>$H379="CÉLULA CONSTRUTIVA"</formula>
    </cfRule>
    <cfRule type="expression" priority="10403" dxfId="5">
      <formula>$H379="CÉLULA CONSTRUTIVA"</formula>
    </cfRule>
    <cfRule type="expression" priority="10404" dxfId="4">
      <formula>$H379="SUBETAPA"</formula>
    </cfRule>
  </conditionalFormatting>
  <conditionalFormatting sqref="N27:O27">
    <cfRule type="expression" priority="3088" dxfId="3">
      <formula>$H27="ETAPA"</formula>
    </cfRule>
    <cfRule type="expression" priority="3087" dxfId="5">
      <formula>$H27="CÉLULA CONSTRUTIVA"</formula>
    </cfRule>
    <cfRule type="expression" priority="3086" dxfId="4">
      <formula>$H27="SUBETAPA"</formula>
    </cfRule>
  </conditionalFormatting>
  <conditionalFormatting sqref="N29:O29 N30 N32:O32">
    <cfRule type="expression" priority="3085" dxfId="3">
      <formula>$H29="ETAPA"</formula>
    </cfRule>
  </conditionalFormatting>
  <conditionalFormatting sqref="N29:O29 N30">
    <cfRule type="expression" priority="3084" dxfId="5">
      <formula>$H29="CÉLULA CONSTRUTIVA"</formula>
    </cfRule>
  </conditionalFormatting>
  <conditionalFormatting sqref="N29:O29">
    <cfRule type="expression" priority="3083" dxfId="4">
      <formula>$H29="SUBETAPA"</formula>
    </cfRule>
  </conditionalFormatting>
  <conditionalFormatting sqref="N32:O32">
    <cfRule type="expression" priority="3082" dxfId="4">
      <formula>$H32="SUBETAPA"</formula>
    </cfRule>
  </conditionalFormatting>
  <conditionalFormatting sqref="N35:O35 N36">
    <cfRule type="expression" priority="3081" dxfId="5">
      <formula>$H35="CÉLULA CONSTRUTIVA"</formula>
    </cfRule>
  </conditionalFormatting>
  <conditionalFormatting sqref="N35:O35">
    <cfRule type="expression" priority="3080" dxfId="4">
      <formula>$H35="SUBETAPA"</formula>
    </cfRule>
  </conditionalFormatting>
  <conditionalFormatting sqref="G33:N33 K35:L36 M34:N36 N38:O38 O36">
    <cfRule type="expression" priority="9346" dxfId="4">
      <formula>$H33="SUBETAPA"</formula>
    </cfRule>
  </conditionalFormatting>
  <conditionalFormatting sqref="N40:O40">
    <cfRule type="expression" priority="3079" dxfId="4">
      <formula>$H40="SUBETAPA"</formula>
    </cfRule>
  </conditionalFormatting>
  <conditionalFormatting sqref="N43:O43">
    <cfRule type="expression" priority="3078" dxfId="3">
      <formula>$H43="ETAPA"</formula>
    </cfRule>
    <cfRule type="expression" priority="3077" dxfId="5">
      <formula>$H43="CÉLULA CONSTRUTIVA"</formula>
    </cfRule>
    <cfRule type="expression" priority="3076" dxfId="4">
      <formula>$H43="SUBETAPA"</formula>
    </cfRule>
  </conditionalFormatting>
  <conditionalFormatting sqref="N45:O45 N48 N50:O50">
    <cfRule type="expression" priority="3075" dxfId="3">
      <formula>$H45="ETAPA"</formula>
    </cfRule>
  </conditionalFormatting>
  <conditionalFormatting sqref="N45:O45 N48">
    <cfRule type="expression" priority="3074" dxfId="5">
      <formula>$H45="CÉLULA CONSTRUTIVA"</formula>
    </cfRule>
  </conditionalFormatting>
  <conditionalFormatting sqref="K46 N46:O46">
    <cfRule type="expression" priority="3073" dxfId="4">
      <formula>$H46="SUBETAPA"</formula>
    </cfRule>
    <cfRule type="expression" priority="3072" dxfId="5">
      <formula>$H46="CÉLULA CONSTRUTIVA"</formula>
    </cfRule>
  </conditionalFormatting>
  <conditionalFormatting sqref="N50:O50">
    <cfRule type="expression" priority="3071" dxfId="4">
      <formula>$H50="SUBETAPA"</formula>
    </cfRule>
  </conditionalFormatting>
  <conditionalFormatting sqref="H53:L53 N53:O53">
    <cfRule type="expression" priority="3070" dxfId="4">
      <formula>$H53="SUBETAPA"</formula>
    </cfRule>
    <cfRule type="expression" priority="3069" dxfId="5">
      <formula>$H53="CÉLULA CONSTRUTIVA"</formula>
    </cfRule>
  </conditionalFormatting>
  <conditionalFormatting sqref="N53:O53">
    <cfRule type="expression" priority="3068" dxfId="3">
      <formula>$H53="ETAPA"</formula>
    </cfRule>
  </conditionalFormatting>
  <conditionalFormatting sqref="N64:O64">
    <cfRule type="expression" priority="3066" dxfId="4">
      <formula>$H64="SUBETAPA"</formula>
    </cfRule>
    <cfRule type="expression" priority="3067" dxfId="5">
      <formula>$H64="CÉLULA CONSTRUTIVA"</formula>
    </cfRule>
  </conditionalFormatting>
  <conditionalFormatting sqref="N67:O67">
    <cfRule type="expression" priority="3065" dxfId="4">
      <formula>$H67="SUBETAPA"</formula>
    </cfRule>
  </conditionalFormatting>
  <conditionalFormatting sqref="N71:O71">
    <cfRule type="expression" priority="3064" dxfId="3">
      <formula>$H71="ETAPA"</formula>
    </cfRule>
    <cfRule type="expression" priority="3063" dxfId="5">
      <formula>$H71="CÉLULA CONSTRUTIVA"</formula>
    </cfRule>
    <cfRule type="expression" priority="3062" dxfId="4">
      <formula>$H71="SUBETAPA"</formula>
    </cfRule>
  </conditionalFormatting>
  <conditionalFormatting sqref="N80:O80">
    <cfRule type="expression" priority="3441" dxfId="5">
      <formula>$H80="CÉLULA CONSTRUTIVA"</formula>
    </cfRule>
  </conditionalFormatting>
  <conditionalFormatting sqref="N82:O82">
    <cfRule type="expression" priority="3061" dxfId="3">
      <formula>$H82="ETAPA"</formula>
    </cfRule>
    <cfRule type="expression" priority="3059" dxfId="4">
      <formula>$H82="SUBETAPA"</formula>
    </cfRule>
    <cfRule type="expression" priority="3060" dxfId="5">
      <formula>$H82="CÉLULA CONSTRUTIVA"</formula>
    </cfRule>
  </conditionalFormatting>
  <conditionalFormatting sqref="N99:O99">
    <cfRule type="expression" priority="3056" dxfId="4">
      <formula>$H99="SUBETAPA"</formula>
    </cfRule>
    <cfRule type="expression" priority="3058" dxfId="3">
      <formula>$H99="ETAPA"</formula>
    </cfRule>
    <cfRule type="expression" priority="3057" dxfId="5">
      <formula>$H99="CÉLULA CONSTRUTIVA"</formula>
    </cfRule>
  </conditionalFormatting>
  <conditionalFormatting sqref="N102:O102">
    <cfRule type="expression" priority="3055" dxfId="3">
      <formula>$H102="ETAPA"</formula>
    </cfRule>
    <cfRule type="expression" priority="3054" dxfId="5">
      <formula>$H102="CÉLULA CONSTRUTIVA"</formula>
    </cfRule>
    <cfRule type="expression" priority="3053" dxfId="4">
      <formula>$H102="SUBETAPA"</formula>
    </cfRule>
  </conditionalFormatting>
  <conditionalFormatting sqref="G115:L115 N115:O115">
    <cfRule type="expression" priority="3052" dxfId="5">
      <formula>$H115="CÉLULA CONSTRUTIVA"</formula>
    </cfRule>
  </conditionalFormatting>
  <conditionalFormatting sqref="L115 N115:O115">
    <cfRule type="expression" priority="3051" dxfId="4">
      <formula>$H115="SUBETAPA"</formula>
    </cfRule>
  </conditionalFormatting>
  <conditionalFormatting sqref="N312:O312">
    <cfRule type="expression" priority="3049" dxfId="3">
      <formula>$H312="ETAPA"</formula>
    </cfRule>
  </conditionalFormatting>
  <conditionalFormatting sqref="N344:O344">
    <cfRule type="expression" priority="3048" dxfId="3">
      <formula>$H344="ETAPA"</formula>
    </cfRule>
  </conditionalFormatting>
  <conditionalFormatting sqref="N345:O345">
    <cfRule type="expression" priority="3047" dxfId="3">
      <formula>$H345="ETAPA"</formula>
    </cfRule>
    <cfRule type="expression" priority="3046" dxfId="5">
      <formula>$H345="CÉLULA CONSTRUTIVA"</formula>
    </cfRule>
    <cfRule type="expression" priority="3045" dxfId="4">
      <formula>$H345="SUBETAPA"</formula>
    </cfRule>
  </conditionalFormatting>
  <conditionalFormatting sqref="N352:O352">
    <cfRule type="expression" priority="3044" dxfId="3">
      <formula>$H352="ETAPA"</formula>
    </cfRule>
    <cfRule type="expression" priority="3043" dxfId="4">
      <formula>$H352="SUBETAPA"</formula>
    </cfRule>
  </conditionalFormatting>
  <conditionalFormatting sqref="O8:O10 O59:O60 O63 O66 O68 O70 O72 O77 O79 O96 O100:O101 O140 O281">
    <cfRule type="expression" priority="3042" dxfId="5">
      <formula>$H8="CÉLULA CONSTRUTIVA"</formula>
    </cfRule>
  </conditionalFormatting>
  <conditionalFormatting sqref="O12:O13">
    <cfRule type="expression" priority="3041" dxfId="5">
      <formula>$H12="CÉLULA CONSTRUTIVA"</formula>
    </cfRule>
    <cfRule type="expression" priority="3040" dxfId="4">
      <formula>$H12="SUBETAPA"</formula>
    </cfRule>
  </conditionalFormatting>
  <conditionalFormatting sqref="O14:O15 O17 O20 O915:O998">
    <cfRule type="expression" priority="3038" dxfId="6">
      <formula>$H14="SUBETAPA"</formula>
    </cfRule>
    <cfRule type="expression" priority="3037" dxfId="8">
      <formula>$H14="ETAPA"</formula>
    </cfRule>
    <cfRule type="expression" priority="3036" dxfId="6">
      <formula>$H14="SUBETAPA"</formula>
    </cfRule>
    <cfRule type="expression" priority="3035" dxfId="8">
      <formula>$H14="ETAPA"</formula>
    </cfRule>
    <cfRule type="expression" priority="3034" dxfId="6">
      <formula>$H14="SUBETAPA"</formula>
    </cfRule>
    <cfRule type="expression" priority="3033" dxfId="8">
      <formula>$H14="ETAPA"</formula>
    </cfRule>
    <cfRule type="expression" priority="3039" dxfId="7">
      <formula>$H14="CÉLULA CONSTRUTIVA"</formula>
    </cfRule>
  </conditionalFormatting>
  <conditionalFormatting sqref="O16">
    <cfRule type="expression" priority="3032" dxfId="5">
      <formula>$H16="CÉLULA CONSTRUTIVA"</formula>
    </cfRule>
    <cfRule type="expression" priority="3031" dxfId="4">
      <formula>$H16="SUBETAPA"</formula>
    </cfRule>
  </conditionalFormatting>
  <conditionalFormatting sqref="O18:O19">
    <cfRule type="expression" priority="3030" dxfId="3">
      <formula>$H18="ETAPA"</formula>
    </cfRule>
    <cfRule type="expression" priority="3029" dxfId="5">
      <formula>$H18="CÉLULA CONSTRUTIVA"</formula>
    </cfRule>
    <cfRule type="expression" priority="3028" dxfId="4">
      <formula>$H18="SUBETAPA"</formula>
    </cfRule>
  </conditionalFormatting>
  <conditionalFormatting sqref="O21:O22">
    <cfRule type="expression" priority="3027" dxfId="3">
      <formula>$H21="ETAPA"</formula>
    </cfRule>
    <cfRule type="expression" priority="3025" dxfId="4">
      <formula>$H21="SUBETAPA"</formula>
    </cfRule>
    <cfRule type="expression" priority="3026" dxfId="5">
      <formula>$H21="CÉLULA CONSTRUTIVA"</formula>
    </cfRule>
  </conditionalFormatting>
  <conditionalFormatting sqref="O23">
    <cfRule type="expression" priority="3021" dxfId="6">
      <formula>$H23="SUBETAPA"</formula>
    </cfRule>
    <cfRule type="expression" priority="3024" dxfId="7">
      <formula>$H23="CÉLULA CONSTRUTIVA"</formula>
    </cfRule>
    <cfRule type="expression" priority="3023" dxfId="6">
      <formula>$H23="SUBETAPA"</formula>
    </cfRule>
    <cfRule type="expression" priority="3022" dxfId="8">
      <formula>$H23="ETAPA"</formula>
    </cfRule>
    <cfRule type="expression" priority="3020" dxfId="8">
      <formula>$H23="ETAPA"</formula>
    </cfRule>
    <cfRule type="expression" priority="3019" dxfId="6">
      <formula>$H23="SUBETAPA"</formula>
    </cfRule>
    <cfRule type="expression" priority="3018" dxfId="8">
      <formula>$H23="ETAPA"</formula>
    </cfRule>
  </conditionalFormatting>
  <conditionalFormatting sqref="O24:O26">
    <cfRule type="expression" priority="3017" dxfId="4">
      <formula>$H24="SUBETAPA"</formula>
    </cfRule>
  </conditionalFormatting>
  <conditionalFormatting sqref="O25 O28 O31">
    <cfRule type="expression" priority="3016" dxfId="5">
      <formula>$H25="CÉLULA CONSTRUTIVA"</formula>
    </cfRule>
  </conditionalFormatting>
  <conditionalFormatting sqref="O26">
    <cfRule type="expression" priority="3015" dxfId="3">
      <formula>$H26="ETAPA"</formula>
    </cfRule>
    <cfRule type="expression" priority="3014" dxfId="5">
      <formula>$H26="CÉLULA CONSTRUTIVA"</formula>
    </cfRule>
  </conditionalFormatting>
  <conditionalFormatting sqref="O28 O31">
    <cfRule type="expression" priority="3013" dxfId="4">
      <formula>$H28="SUBETAPA"</formula>
    </cfRule>
  </conditionalFormatting>
  <conditionalFormatting sqref="O33:O34 O39">
    <cfRule type="expression" priority="3012" dxfId="3">
      <formula>$H33="ETAPA"</formula>
    </cfRule>
    <cfRule type="expression" priority="3011" dxfId="5">
      <formula>$H33="CÉLULA CONSTRUTIVA"</formula>
    </cfRule>
    <cfRule type="expression" priority="3010" dxfId="4">
      <formula>$H33="SUBETAPA"</formula>
    </cfRule>
  </conditionalFormatting>
  <conditionalFormatting sqref="N44:O44 N49:O49 O41">
    <cfRule type="expression" priority="3009" dxfId="3">
      <formula>$H41="ETAPA"</formula>
    </cfRule>
  </conditionalFormatting>
  <conditionalFormatting sqref="O41 O44 O49">
    <cfRule type="expression" priority="3008" dxfId="5">
      <formula>$H41="CÉLULA CONSTRUTIVA"</formula>
    </cfRule>
  </conditionalFormatting>
  <conditionalFormatting sqref="O41:O42">
    <cfRule type="expression" priority="3007" dxfId="4">
      <formula>$H41="SUBETAPA"</formula>
    </cfRule>
  </conditionalFormatting>
  <conditionalFormatting sqref="O42">
    <cfRule type="expression" priority="3005" dxfId="5">
      <formula>$H42="CÉLULA CONSTRUTIVA"</formula>
    </cfRule>
    <cfRule type="expression" priority="3006" dxfId="3">
      <formula>$H42="ETAPA"</formula>
    </cfRule>
  </conditionalFormatting>
  <conditionalFormatting sqref="O44 O49">
    <cfRule type="expression" priority="3004" dxfId="4">
      <formula>$H44="SUBETAPA"</formula>
    </cfRule>
  </conditionalFormatting>
  <conditionalFormatting sqref="O51">
    <cfRule type="expression" priority="3002" dxfId="5">
      <formula>$H51="CÉLULA CONSTRUTIVA"</formula>
    </cfRule>
    <cfRule type="expression" priority="3003" dxfId="3">
      <formula>$H51="ETAPA"</formula>
    </cfRule>
  </conditionalFormatting>
  <conditionalFormatting sqref="O51:O52">
    <cfRule type="expression" priority="3001" dxfId="4">
      <formula>$H51="SUBETAPA"</formula>
    </cfRule>
  </conditionalFormatting>
  <conditionalFormatting sqref="O52">
    <cfRule type="expression" priority="2999" dxfId="5">
      <formula>$H52="CÉLULA CONSTRUTIVA"</formula>
    </cfRule>
    <cfRule type="expression" priority="3000" dxfId="3">
      <formula>$H52="ETAPA"</formula>
    </cfRule>
  </conditionalFormatting>
  <conditionalFormatting sqref="O55">
    <cfRule type="expression" priority="2997" dxfId="5">
      <formula>$H55="CÉLULA CONSTRUTIVA"</formula>
    </cfRule>
    <cfRule type="expression" priority="2998" dxfId="3">
      <formula>$H55="ETAPA"</formula>
    </cfRule>
  </conditionalFormatting>
  <conditionalFormatting sqref="O55:O56">
    <cfRule type="expression" priority="2996" dxfId="4">
      <formula>$H55="SUBETAPA"</formula>
    </cfRule>
  </conditionalFormatting>
  <conditionalFormatting sqref="O56">
    <cfRule type="expression" priority="2994" dxfId="5">
      <formula>$H56="CÉLULA CONSTRUTIVA"</formula>
    </cfRule>
    <cfRule type="expression" priority="2995" dxfId="3">
      <formula>$H56="ETAPA"</formula>
    </cfRule>
  </conditionalFormatting>
  <conditionalFormatting sqref="O58">
    <cfRule type="expression" priority="2992" dxfId="5">
      <formula>$H58="CÉLULA CONSTRUTIVA"</formula>
    </cfRule>
    <cfRule type="expression" priority="2993" dxfId="3">
      <formula>$H58="ETAPA"</formula>
    </cfRule>
  </conditionalFormatting>
  <conditionalFormatting sqref="O58:O60">
    <cfRule type="expression" priority="2991" dxfId="4">
      <formula>$H58="SUBETAPA"</formula>
    </cfRule>
  </conditionalFormatting>
  <conditionalFormatting sqref="O61:O62">
    <cfRule type="expression" priority="2986" dxfId="8">
      <formula>$H61="ETAPA"</formula>
    </cfRule>
    <cfRule type="expression" priority="2990" dxfId="7">
      <formula>$H61="CÉLULA CONSTRUTIVA"</formula>
    </cfRule>
    <cfRule type="expression" priority="2984" dxfId="8">
      <formula>$H61="ETAPA"</formula>
    </cfRule>
    <cfRule type="expression" priority="2989" dxfId="6">
      <formula>$H61="SUBETAPA"</formula>
    </cfRule>
    <cfRule type="expression" priority="2988" dxfId="8">
      <formula>$H61="ETAPA"</formula>
    </cfRule>
    <cfRule type="expression" priority="2987" dxfId="6">
      <formula>$H61="SUBETAPA"</formula>
    </cfRule>
    <cfRule type="expression" priority="2985" dxfId="6">
      <formula>$H61="SUBETAPA"</formula>
    </cfRule>
  </conditionalFormatting>
  <conditionalFormatting sqref="G80:G82 G93:L94 M94:O94 N80:N83 N85:N93 O80">
    <cfRule type="expression" priority="2983" dxfId="4">
      <formula>$H80="SUBETAPA"</formula>
    </cfRule>
  </conditionalFormatting>
  <conditionalFormatting sqref="L80:L83 M94:O94 N80:N83 N85:N93 O80">
    <cfRule type="expression" priority="2982" dxfId="3">
      <formula>$H80="ETAPA"</formula>
    </cfRule>
  </conditionalFormatting>
  <conditionalFormatting sqref="O81 O83 O93 O95">
    <cfRule type="expression" priority="2980" dxfId="5">
      <formula>$H81="CÉLULA CONSTRUTIVA"</formula>
    </cfRule>
    <cfRule type="expression" priority="2981" dxfId="3">
      <formula>$H81="ETAPA"</formula>
    </cfRule>
  </conditionalFormatting>
  <conditionalFormatting sqref="O81 O83 O95">
    <cfRule type="expression" priority="2979" dxfId="4">
      <formula>$H81="SUBETAPA"</formula>
    </cfRule>
  </conditionalFormatting>
  <conditionalFormatting sqref="O84:O92">
    <cfRule type="expression" priority="2977" dxfId="5">
      <formula>$H84="CÉLULA CONSTRUTIVA"</formula>
    </cfRule>
    <cfRule type="expression" priority="2978" dxfId="3">
      <formula>$H84="ETAPA"</formula>
    </cfRule>
  </conditionalFormatting>
  <conditionalFormatting sqref="O84:O93">
    <cfRule type="expression" priority="2976" dxfId="4">
      <formula>$H84="SUBETAPA"</formula>
    </cfRule>
  </conditionalFormatting>
  <conditionalFormatting sqref="O96:O98">
    <cfRule type="expression" priority="2975" dxfId="4">
      <formula>$H96="SUBETAPA"</formula>
    </cfRule>
  </conditionalFormatting>
  <conditionalFormatting sqref="O97:O98">
    <cfRule type="expression" priority="2974" dxfId="3">
      <formula>$H97="ETAPA"</formula>
    </cfRule>
    <cfRule type="expression" priority="2973" dxfId="5">
      <formula>$H97="CÉLULA CONSTRUTIVA"</formula>
    </cfRule>
  </conditionalFormatting>
  <conditionalFormatting sqref="O104">
    <cfRule type="expression" priority="2970" dxfId="4">
      <formula>$H104="SUBETAPA"</formula>
    </cfRule>
    <cfRule type="expression" priority="2971" dxfId="5">
      <formula>$H104="CÉLULA CONSTRUTIVA"</formula>
    </cfRule>
    <cfRule type="expression" priority="2972" dxfId="3">
      <formula>$H104="ETAPA"</formula>
    </cfRule>
  </conditionalFormatting>
  <conditionalFormatting sqref="O106">
    <cfRule type="expression" priority="2969" dxfId="3">
      <formula>$H106="ETAPA"</formula>
    </cfRule>
    <cfRule type="expression" priority="2967" dxfId="4">
      <formula>$H106="SUBETAPA"</formula>
    </cfRule>
    <cfRule type="expression" priority="2968" dxfId="5">
      <formula>$H106="CÉLULA CONSTRUTIVA"</formula>
    </cfRule>
  </conditionalFormatting>
  <conditionalFormatting sqref="O108">
    <cfRule type="expression" priority="2964" dxfId="4">
      <formula>$H108="SUBETAPA"</formula>
    </cfRule>
    <cfRule type="expression" priority="2965" dxfId="5">
      <formula>$H108="CÉLULA CONSTRUTIVA"</formula>
    </cfRule>
    <cfRule type="expression" priority="2966" dxfId="3">
      <formula>$H108="ETAPA"</formula>
    </cfRule>
  </conditionalFormatting>
  <conditionalFormatting sqref="O110">
    <cfRule type="expression" priority="2963" dxfId="3">
      <formula>$H110="ETAPA"</formula>
    </cfRule>
    <cfRule type="expression" priority="2962" dxfId="5">
      <formula>$H110="CÉLULA CONSTRUTIVA"</formula>
    </cfRule>
    <cfRule type="expression" priority="2961" dxfId="4">
      <formula>$H110="SUBETAPA"</formula>
    </cfRule>
  </conditionalFormatting>
  <conditionalFormatting sqref="O112">
    <cfRule type="expression" priority="2960" dxfId="3">
      <formula>$H112="ETAPA"</formula>
    </cfRule>
    <cfRule type="expression" priority="2959" dxfId="5">
      <formula>$H112="CÉLULA CONSTRUTIVA"</formula>
    </cfRule>
    <cfRule type="expression" priority="2958" dxfId="4">
      <formula>$H112="SUBETAPA"</formula>
    </cfRule>
  </conditionalFormatting>
  <conditionalFormatting sqref="O114">
    <cfRule type="expression" priority="2957" dxfId="3">
      <formula>$H114="ETAPA"</formula>
    </cfRule>
    <cfRule type="expression" priority="2956" dxfId="5">
      <formula>$H114="CÉLULA CONSTRUTIVA"</formula>
    </cfRule>
    <cfRule type="expression" priority="2955" dxfId="4">
      <formula>$H114="SUBETAPA"</formula>
    </cfRule>
  </conditionalFormatting>
  <conditionalFormatting sqref="O116">
    <cfRule type="expression" priority="2954" dxfId="3">
      <formula>$H116="ETAPA"</formula>
    </cfRule>
    <cfRule type="expression" priority="2953" dxfId="5">
      <formula>$H116="CÉLULA CONSTRUTIVA"</formula>
    </cfRule>
    <cfRule type="expression" priority="2952" dxfId="4">
      <formula>$H116="SUBETAPA"</formula>
    </cfRule>
  </conditionalFormatting>
  <conditionalFormatting sqref="O118">
    <cfRule type="expression" priority="2951" dxfId="3">
      <formula>$H118="ETAPA"</formula>
    </cfRule>
    <cfRule type="expression" priority="2950" dxfId="5">
      <formula>$H118="CÉLULA CONSTRUTIVA"</formula>
    </cfRule>
    <cfRule type="expression" priority="2949" dxfId="4">
      <formula>$H118="SUBETAPA"</formula>
    </cfRule>
  </conditionalFormatting>
  <conditionalFormatting sqref="O120">
    <cfRule type="expression" priority="2946" dxfId="4">
      <formula>$H120="SUBETAPA"</formula>
    </cfRule>
    <cfRule type="expression" priority="2947" dxfId="5">
      <formula>$H120="CÉLULA CONSTRUTIVA"</formula>
    </cfRule>
    <cfRule type="expression" priority="2948" dxfId="3">
      <formula>$H120="ETAPA"</formula>
    </cfRule>
  </conditionalFormatting>
  <conditionalFormatting sqref="O122">
    <cfRule type="expression" priority="2944" dxfId="5">
      <formula>$H122="CÉLULA CONSTRUTIVA"</formula>
    </cfRule>
    <cfRule type="expression" priority="2943" dxfId="4">
      <formula>$H122="SUBETAPA"</formula>
    </cfRule>
    <cfRule type="expression" priority="2945" dxfId="3">
      <formula>$H122="ETAPA"</formula>
    </cfRule>
  </conditionalFormatting>
  <conditionalFormatting sqref="O123 O126">
    <cfRule type="expression" priority="2942" dxfId="3">
      <formula>$H123="ETAPA"</formula>
    </cfRule>
    <cfRule type="expression" priority="2937" dxfId="4">
      <formula>$H123="SUBETAPA"</formula>
    </cfRule>
    <cfRule type="expression" priority="2938" dxfId="5">
      <formula>$H123="CÉLULA CONSTRUTIVA"</formula>
    </cfRule>
  </conditionalFormatting>
  <conditionalFormatting sqref="O125">
    <cfRule type="expression" priority="2941" dxfId="3">
      <formula>$H125="ETAPA"</formula>
    </cfRule>
    <cfRule type="expression" priority="2940" dxfId="5">
      <formula>$H125="CÉLULA CONSTRUTIVA"</formula>
    </cfRule>
    <cfRule type="expression" priority="2939" dxfId="4">
      <formula>$H125="SUBETAPA"</formula>
    </cfRule>
  </conditionalFormatting>
  <conditionalFormatting sqref="O128">
    <cfRule type="expression" priority="2936" dxfId="3">
      <formula>$H128="ETAPA"</formula>
    </cfRule>
    <cfRule type="expression" priority="2935" dxfId="5">
      <formula>$H128="CÉLULA CONSTRUTIVA"</formula>
    </cfRule>
    <cfRule type="expression" priority="2934" dxfId="4">
      <formula>$H128="SUBETAPA"</formula>
    </cfRule>
  </conditionalFormatting>
  <conditionalFormatting sqref="O129">
    <cfRule type="expression" priority="2933" dxfId="3">
      <formula>$H129="ETAPA"</formula>
    </cfRule>
    <cfRule type="expression" priority="2932" dxfId="5">
      <formula>$H129="CÉLULA CONSTRUTIVA"</formula>
    </cfRule>
    <cfRule type="expression" priority="2931" dxfId="4">
      <formula>$H129="SUBETAPA"</formula>
    </cfRule>
  </conditionalFormatting>
  <conditionalFormatting sqref="O131">
    <cfRule type="expression" priority="2928" dxfId="4">
      <formula>$H131="SUBETAPA"</formula>
    </cfRule>
    <cfRule type="expression" priority="2930" dxfId="3">
      <formula>$H131="ETAPA"</formula>
    </cfRule>
    <cfRule type="expression" priority="2929" dxfId="5">
      <formula>$H131="CÉLULA CONSTRUTIVA"</formula>
    </cfRule>
  </conditionalFormatting>
  <conditionalFormatting sqref="O133">
    <cfRule type="expression" priority="2927" dxfId="3">
      <formula>$H133="ETAPA"</formula>
    </cfRule>
    <cfRule type="expression" priority="2925" dxfId="4">
      <formula>$H133="SUBETAPA"</formula>
    </cfRule>
    <cfRule type="expression" priority="2926" dxfId="5">
      <formula>$H133="CÉLULA CONSTRUTIVA"</formula>
    </cfRule>
  </conditionalFormatting>
  <conditionalFormatting sqref="O134">
    <cfRule type="expression" priority="2923" dxfId="5">
      <formula>$H134="CÉLULA CONSTRUTIVA"</formula>
    </cfRule>
    <cfRule type="expression" priority="2924" dxfId="3">
      <formula>$H134="ETAPA"</formula>
    </cfRule>
    <cfRule type="expression" priority="2922" dxfId="4">
      <formula>$H134="SUBETAPA"</formula>
    </cfRule>
  </conditionalFormatting>
  <conditionalFormatting sqref="O136">
    <cfRule type="expression" priority="2919" dxfId="4">
      <formula>$H136="SUBETAPA"</formula>
    </cfRule>
    <cfRule type="expression" priority="2920" dxfId="5">
      <formula>$H136="CÉLULA CONSTRUTIVA"</formula>
    </cfRule>
    <cfRule type="expression" priority="2921" dxfId="3">
      <formula>$H136="ETAPA"</formula>
    </cfRule>
  </conditionalFormatting>
  <conditionalFormatting sqref="O137">
    <cfRule type="expression" priority="2917" dxfId="5">
      <formula>$H137="CÉLULA CONSTRUTIVA"</formula>
    </cfRule>
    <cfRule type="expression" priority="2918" dxfId="3">
      <formula>$H137="ETAPA"</formula>
    </cfRule>
    <cfRule type="expression" priority="2916" dxfId="4">
      <formula>$H137="SUBETAPA"</formula>
    </cfRule>
  </conditionalFormatting>
  <conditionalFormatting sqref="O139">
    <cfRule type="expression" priority="2914" dxfId="5">
      <formula>$H139="CÉLULA CONSTRUTIVA"</formula>
    </cfRule>
    <cfRule type="expression" priority="2915" dxfId="3">
      <formula>$H139="ETAPA"</formula>
    </cfRule>
  </conditionalFormatting>
  <conditionalFormatting sqref="O141:O147">
    <cfRule type="expression" priority="2913" dxfId="3">
      <formula>$H141="ETAPA"</formula>
    </cfRule>
    <cfRule type="expression" priority="2912" dxfId="5">
      <formula>$H141="CÉLULA CONSTRUTIVA"</formula>
    </cfRule>
  </conditionalFormatting>
  <conditionalFormatting sqref="O148">
    <cfRule type="expression" priority="2911" dxfId="3">
      <formula>$H148="ETAPA"</formula>
    </cfRule>
    <cfRule type="expression" priority="2910" dxfId="5">
      <formula>$H148="CÉLULA CONSTRUTIVA"</formula>
    </cfRule>
  </conditionalFormatting>
  <conditionalFormatting sqref="O149">
    <cfRule type="expression" priority="2908" dxfId="5">
      <formula>$H149="CÉLULA CONSTRUTIVA"</formula>
    </cfRule>
    <cfRule type="expression" priority="2909" dxfId="3">
      <formula>$H149="ETAPA"</formula>
    </cfRule>
  </conditionalFormatting>
  <conditionalFormatting sqref="O150:O156">
    <cfRule type="expression" priority="2906" dxfId="5">
      <formula>$H150="CÉLULA CONSTRUTIVA"</formula>
    </cfRule>
    <cfRule type="expression" priority="2907" dxfId="3">
      <formula>$H150="ETAPA"</formula>
    </cfRule>
  </conditionalFormatting>
  <conditionalFormatting sqref="O157">
    <cfRule type="expression" priority="2904" dxfId="5">
      <formula>$H157="CÉLULA CONSTRUTIVA"</formula>
    </cfRule>
    <cfRule type="expression" priority="2905" dxfId="3">
      <formula>$H157="ETAPA"</formula>
    </cfRule>
  </conditionalFormatting>
  <conditionalFormatting sqref="O158">
    <cfRule type="expression" priority="2902" dxfId="5">
      <formula>$H158="CÉLULA CONSTRUTIVA"</formula>
    </cfRule>
    <cfRule type="expression" priority="2903" dxfId="3">
      <formula>$H158="ETAPA"</formula>
    </cfRule>
  </conditionalFormatting>
  <conditionalFormatting sqref="O159">
    <cfRule type="expression" priority="2900" dxfId="5">
      <formula>$H159="CÉLULA CONSTRUTIVA"</formula>
    </cfRule>
    <cfRule type="expression" priority="2901" dxfId="3">
      <formula>$H159="ETAPA"</formula>
    </cfRule>
  </conditionalFormatting>
  <conditionalFormatting sqref="O160:O166">
    <cfRule type="expression" priority="2898" dxfId="5">
      <formula>$H160="CÉLULA CONSTRUTIVA"</formula>
    </cfRule>
    <cfRule type="expression" priority="2899" dxfId="3">
      <formula>$H160="ETAPA"</formula>
    </cfRule>
  </conditionalFormatting>
  <conditionalFormatting sqref="O167">
    <cfRule type="expression" priority="2897" dxfId="3">
      <formula>$H167="ETAPA"</formula>
    </cfRule>
    <cfRule type="expression" priority="2896" dxfId="5">
      <formula>$H167="CÉLULA CONSTRUTIVA"</formula>
    </cfRule>
  </conditionalFormatting>
  <conditionalFormatting sqref="O168">
    <cfRule type="expression" priority="2894" dxfId="5">
      <formula>$H168="CÉLULA CONSTRUTIVA"</formula>
    </cfRule>
    <cfRule type="expression" priority="2895" dxfId="3">
      <formula>$H168="ETAPA"</formula>
    </cfRule>
  </conditionalFormatting>
  <conditionalFormatting sqref="O169">
    <cfRule type="expression" priority="2893" dxfId="3">
      <formula>$H169="ETAPA"</formula>
    </cfRule>
    <cfRule type="expression" priority="2892" dxfId="5">
      <formula>$H169="CÉLULA CONSTRUTIVA"</formula>
    </cfRule>
  </conditionalFormatting>
  <conditionalFormatting sqref="O170:O176">
    <cfRule type="expression" priority="2891" dxfId="3">
      <formula>$H170="ETAPA"</formula>
    </cfRule>
    <cfRule type="expression" priority="2890" dxfId="5">
      <formula>$H170="CÉLULA CONSTRUTIVA"</formula>
    </cfRule>
  </conditionalFormatting>
  <conditionalFormatting sqref="O177">
    <cfRule type="expression" priority="2889" dxfId="3">
      <formula>$H177="ETAPA"</formula>
    </cfRule>
    <cfRule type="expression" priority="2888" dxfId="5">
      <formula>$H177="CÉLULA CONSTRUTIVA"</formula>
    </cfRule>
  </conditionalFormatting>
  <conditionalFormatting sqref="O178">
    <cfRule type="expression" priority="2887" dxfId="3">
      <formula>$H178="ETAPA"</formula>
    </cfRule>
    <cfRule type="expression" priority="2886" dxfId="5">
      <formula>$H178="CÉLULA CONSTRUTIVA"</formula>
    </cfRule>
  </conditionalFormatting>
  <conditionalFormatting sqref="O185">
    <cfRule type="expression" priority="2884" dxfId="5">
      <formula>$H185="CÉLULA CONSTRUTIVA"</formula>
    </cfRule>
    <cfRule type="expression" priority="2883" dxfId="4">
      <formula>$H185="SUBETAPA"</formula>
    </cfRule>
    <cfRule type="expression" priority="2885" dxfId="3">
      <formula>$H185="ETAPA"</formula>
    </cfRule>
  </conditionalFormatting>
  <conditionalFormatting sqref="O186">
    <cfRule type="expression" priority="2882" dxfId="3">
      <formula>$H186="ETAPA"</formula>
    </cfRule>
    <cfRule type="expression" priority="2880" dxfId="4">
      <formula>$H186="SUBETAPA"</formula>
    </cfRule>
    <cfRule type="expression" priority="2881" dxfId="5">
      <formula>$H186="CÉLULA CONSTRUTIVA"</formula>
    </cfRule>
  </conditionalFormatting>
  <conditionalFormatting sqref="O187">
    <cfRule type="expression" priority="2879" dxfId="4">
      <formula>$H187="SUBETAPA"</formula>
    </cfRule>
    <cfRule type="expression" priority="2877" dxfId="5">
      <formula>$H187="CÉLULA CONSTRUTIVA"</formula>
    </cfRule>
    <cfRule type="expression" priority="2878" dxfId="3">
      <formula>$H187="ETAPA"</formula>
    </cfRule>
  </conditionalFormatting>
  <conditionalFormatting sqref="O194">
    <cfRule type="expression" priority="2876" dxfId="3">
      <formula>$H194="ETAPA"</formula>
    </cfRule>
    <cfRule type="expression" priority="2875" dxfId="5">
      <formula>$H194="CÉLULA CONSTRUTIVA"</formula>
    </cfRule>
    <cfRule type="expression" priority="2874" dxfId="4">
      <formula>$H194="SUBETAPA"</formula>
    </cfRule>
  </conditionalFormatting>
  <conditionalFormatting sqref="O195">
    <cfRule type="expression" priority="2873" dxfId="3">
      <formula>$H195="ETAPA"</formula>
    </cfRule>
    <cfRule type="expression" priority="2872" dxfId="5">
      <formula>$H195="CÉLULA CONSTRUTIVA"</formula>
    </cfRule>
    <cfRule type="expression" priority="2871" dxfId="4">
      <formula>$H195="SUBETAPA"</formula>
    </cfRule>
  </conditionalFormatting>
  <conditionalFormatting sqref="O196">
    <cfRule type="expression" priority="2870" dxfId="4">
      <formula>$H196="SUBETAPA"</formula>
    </cfRule>
    <cfRule type="expression" priority="2869" dxfId="3">
      <formula>$H196="ETAPA"</formula>
    </cfRule>
    <cfRule type="expression" priority="2868" dxfId="5">
      <formula>$H196="CÉLULA CONSTRUTIVA"</formula>
    </cfRule>
  </conditionalFormatting>
  <conditionalFormatting sqref="O203">
    <cfRule type="expression" priority="2865" dxfId="4">
      <formula>$H203="SUBETAPA"</formula>
    </cfRule>
    <cfRule type="expression" priority="2867" dxfId="3">
      <formula>$H203="ETAPA"</formula>
    </cfRule>
    <cfRule type="expression" priority="2866" dxfId="5">
      <formula>$H203="CÉLULA CONSTRUTIVA"</formula>
    </cfRule>
  </conditionalFormatting>
  <conditionalFormatting sqref="O204">
    <cfRule type="expression" priority="2862" dxfId="4">
      <formula>$H204="SUBETAPA"</formula>
    </cfRule>
    <cfRule type="expression" priority="2863" dxfId="5">
      <formula>$H204="CÉLULA CONSTRUTIVA"</formula>
    </cfRule>
    <cfRule type="expression" priority="2864" dxfId="3">
      <formula>$H204="ETAPA"</formula>
    </cfRule>
  </conditionalFormatting>
  <conditionalFormatting sqref="O205">
    <cfRule type="expression" priority="2860" dxfId="3">
      <formula>$H205="ETAPA"</formula>
    </cfRule>
    <cfRule type="expression" priority="2859" dxfId="5">
      <formula>$H205="CÉLULA CONSTRUTIVA"</formula>
    </cfRule>
    <cfRule type="expression" priority="2861" dxfId="4">
      <formula>$H205="SUBETAPA"</formula>
    </cfRule>
  </conditionalFormatting>
  <conditionalFormatting sqref="O212">
    <cfRule type="expression" priority="2856" dxfId="4">
      <formula>$H212="SUBETAPA"</formula>
    </cfRule>
    <cfRule type="expression" priority="2857" dxfId="5">
      <formula>$H212="CÉLULA CONSTRUTIVA"</formula>
    </cfRule>
    <cfRule type="expression" priority="2858" dxfId="3">
      <formula>$H212="ETAPA"</formula>
    </cfRule>
  </conditionalFormatting>
  <conditionalFormatting sqref="O213">
    <cfRule type="expression" priority="2853" dxfId="4">
      <formula>$H213="SUBETAPA"</formula>
    </cfRule>
    <cfRule type="expression" priority="2854" dxfId="5">
      <formula>$H213="CÉLULA CONSTRUTIVA"</formula>
    </cfRule>
    <cfRule type="expression" priority="2855" dxfId="3">
      <formula>$H213="ETAPA"</formula>
    </cfRule>
  </conditionalFormatting>
  <conditionalFormatting sqref="O214">
    <cfRule type="expression" priority="2852" dxfId="4">
      <formula>$H214="SUBETAPA"</formula>
    </cfRule>
    <cfRule type="expression" priority="2850" dxfId="5">
      <formula>$H214="CÉLULA CONSTRUTIVA"</formula>
    </cfRule>
    <cfRule type="expression" priority="2851" dxfId="3">
      <formula>$H214="ETAPA"</formula>
    </cfRule>
  </conditionalFormatting>
  <conditionalFormatting sqref="O221">
    <cfRule type="expression" priority="2849" dxfId="3">
      <formula>$H221="ETAPA"</formula>
    </cfRule>
    <cfRule type="expression" priority="2848" dxfId="5">
      <formula>$H221="CÉLULA CONSTRUTIVA"</formula>
    </cfRule>
    <cfRule type="expression" priority="2847" dxfId="4">
      <formula>$H221="SUBETAPA"</formula>
    </cfRule>
  </conditionalFormatting>
  <conditionalFormatting sqref="O222">
    <cfRule type="expression" priority="2845" dxfId="5">
      <formula>$H222="CÉLULA CONSTRUTIVA"</formula>
    </cfRule>
    <cfRule type="expression" priority="2846" dxfId="3">
      <formula>$H222="ETAPA"</formula>
    </cfRule>
  </conditionalFormatting>
  <conditionalFormatting sqref="O222:O268">
    <cfRule type="expression" priority="2844" dxfId="4">
      <formula>$H222="SUBETAPA"</formula>
    </cfRule>
  </conditionalFormatting>
  <conditionalFormatting sqref="O223">
    <cfRule type="expression" priority="2843" dxfId="3">
      <formula>$H223="ETAPA"</formula>
    </cfRule>
    <cfRule type="expression" priority="2842" dxfId="5">
      <formula>$H223="CÉLULA CONSTRUTIVA"</formula>
    </cfRule>
  </conditionalFormatting>
  <conditionalFormatting sqref="O224:O230">
    <cfRule type="expression" priority="2840" dxfId="5">
      <formula>$H224="CÉLULA CONSTRUTIVA"</formula>
    </cfRule>
    <cfRule type="expression" priority="2841" dxfId="3">
      <formula>$H224="ETAPA"</formula>
    </cfRule>
  </conditionalFormatting>
  <conditionalFormatting sqref="O231">
    <cfRule type="expression" priority="2839" dxfId="3">
      <formula>$H231="ETAPA"</formula>
    </cfRule>
    <cfRule type="expression" priority="2838" dxfId="5">
      <formula>$H231="CÉLULA CONSTRUTIVA"</formula>
    </cfRule>
  </conditionalFormatting>
  <conditionalFormatting sqref="O232">
    <cfRule type="expression" priority="2836" dxfId="5">
      <formula>$H232="CÉLULA CONSTRUTIVA"</formula>
    </cfRule>
    <cfRule type="expression" priority="2837" dxfId="3">
      <formula>$H232="ETAPA"</formula>
    </cfRule>
  </conditionalFormatting>
  <conditionalFormatting sqref="O233:O239">
    <cfRule type="expression" priority="2834" dxfId="5">
      <formula>$H233="CÉLULA CONSTRUTIVA"</formula>
    </cfRule>
    <cfRule type="expression" priority="2835" dxfId="3">
      <formula>$H233="ETAPA"</formula>
    </cfRule>
  </conditionalFormatting>
  <conditionalFormatting sqref="O240">
    <cfRule type="expression" priority="2833" dxfId="3">
      <formula>$H240="ETAPA"</formula>
    </cfRule>
    <cfRule type="expression" priority="2832" dxfId="5">
      <formula>$H240="CÉLULA CONSTRUTIVA"</formula>
    </cfRule>
  </conditionalFormatting>
  <conditionalFormatting sqref="O241">
    <cfRule type="expression" priority="2830" dxfId="5">
      <formula>$H241="CÉLULA CONSTRUTIVA"</formula>
    </cfRule>
    <cfRule type="expression" priority="2831" dxfId="3">
      <formula>$H241="ETAPA"</formula>
    </cfRule>
  </conditionalFormatting>
  <conditionalFormatting sqref="O242:O248">
    <cfRule type="expression" priority="2829" dxfId="3">
      <formula>$H242="ETAPA"</formula>
    </cfRule>
    <cfRule type="expression" priority="2828" dxfId="5">
      <formula>$H242="CÉLULA CONSTRUTIVA"</formula>
    </cfRule>
  </conditionalFormatting>
  <conditionalFormatting sqref="O249">
    <cfRule type="expression" priority="2827" dxfId="3">
      <formula>$H249="ETAPA"</formula>
    </cfRule>
    <cfRule type="expression" priority="2826" dxfId="5">
      <formula>$H249="CÉLULA CONSTRUTIVA"</formula>
    </cfRule>
  </conditionalFormatting>
  <conditionalFormatting sqref="O250">
    <cfRule type="expression" priority="2824" dxfId="5">
      <formula>$H250="CÉLULA CONSTRUTIVA"</formula>
    </cfRule>
    <cfRule type="expression" priority="2825" dxfId="3">
      <formula>$H250="ETAPA"</formula>
    </cfRule>
  </conditionalFormatting>
  <conditionalFormatting sqref="O251:O257">
    <cfRule type="expression" priority="2823" dxfId="3">
      <formula>$H251="ETAPA"</formula>
    </cfRule>
    <cfRule type="expression" priority="2822" dxfId="5">
      <formula>$H251="CÉLULA CONSTRUTIVA"</formula>
    </cfRule>
  </conditionalFormatting>
  <conditionalFormatting sqref="O258">
    <cfRule type="expression" priority="2821" dxfId="3">
      <formula>$H258="ETAPA"</formula>
    </cfRule>
    <cfRule type="expression" priority="2820" dxfId="5">
      <formula>$H258="CÉLULA CONSTRUTIVA"</formula>
    </cfRule>
  </conditionalFormatting>
  <conditionalFormatting sqref="O259">
    <cfRule type="expression" priority="2818" dxfId="5">
      <formula>$H259="CÉLULA CONSTRUTIVA"</formula>
    </cfRule>
    <cfRule type="expression" priority="2819" dxfId="3">
      <formula>$H259="ETAPA"</formula>
    </cfRule>
  </conditionalFormatting>
  <conditionalFormatting sqref="O260:O266">
    <cfRule type="expression" priority="2816" dxfId="5">
      <formula>$H260="CÉLULA CONSTRUTIVA"</formula>
    </cfRule>
    <cfRule type="expression" priority="2817" dxfId="3">
      <formula>$H260="ETAPA"</formula>
    </cfRule>
  </conditionalFormatting>
  <conditionalFormatting sqref="O267">
    <cfRule type="expression" priority="2815" dxfId="3">
      <formula>$H267="ETAPA"</formula>
    </cfRule>
    <cfRule type="expression" priority="2814" dxfId="5">
      <formula>$H267="CÉLULA CONSTRUTIVA"</formula>
    </cfRule>
  </conditionalFormatting>
  <conditionalFormatting sqref="O268">
    <cfRule type="expression" priority="2812" dxfId="5">
      <formula>$H268="CÉLULA CONSTRUTIVA"</formula>
    </cfRule>
    <cfRule type="expression" priority="2813" dxfId="3">
      <formula>$H268="ETAPA"</formula>
    </cfRule>
  </conditionalFormatting>
  <conditionalFormatting sqref="O274">
    <cfRule type="expression" priority="2810" dxfId="5">
      <formula>$H274="CÉLULA CONSTRUTIVA"</formula>
    </cfRule>
    <cfRule type="expression" priority="2811" dxfId="3">
      <formula>$H274="ETAPA"</formula>
    </cfRule>
  </conditionalFormatting>
  <conditionalFormatting sqref="O274:O275">
    <cfRule type="expression" priority="2809" dxfId="4">
      <formula>$H274="SUBETAPA"</formula>
    </cfRule>
  </conditionalFormatting>
  <conditionalFormatting sqref="O275">
    <cfRule type="expression" priority="2807" dxfId="5">
      <formula>$H275="CÉLULA CONSTRUTIVA"</formula>
    </cfRule>
    <cfRule type="expression" priority="2808" dxfId="3">
      <formula>$H275="ETAPA"</formula>
    </cfRule>
  </conditionalFormatting>
  <conditionalFormatting sqref="O280">
    <cfRule type="expression" priority="2805" dxfId="5">
      <formula>$H280="CÉLULA CONSTRUTIVA"</formula>
    </cfRule>
    <cfRule type="expression" priority="2806" dxfId="3">
      <formula>$H280="ETAPA"</formula>
    </cfRule>
  </conditionalFormatting>
  <conditionalFormatting sqref="O280:O281">
    <cfRule type="expression" priority="2804" dxfId="4">
      <formula>$H280="SUBETAPA"</formula>
    </cfRule>
  </conditionalFormatting>
  <conditionalFormatting sqref="O282">
    <cfRule type="expression" priority="2801" dxfId="8">
      <formula>$H282="ETAPA"</formula>
    </cfRule>
    <cfRule type="expression" priority="2803" dxfId="7">
      <formula>$H282="CÉLULA CONSTRUTIVA"</formula>
    </cfRule>
    <cfRule type="expression" priority="2802" dxfId="6">
      <formula>$H282="SUBETAPA"</formula>
    </cfRule>
    <cfRule type="expression" priority="2797" dxfId="8">
      <formula>$H282="ETAPA"</formula>
    </cfRule>
    <cfRule type="expression" priority="2798" dxfId="6">
      <formula>$H282="SUBETAPA"</formula>
    </cfRule>
    <cfRule type="expression" priority="2799" dxfId="8">
      <formula>$H282="ETAPA"</formula>
    </cfRule>
    <cfRule type="expression" priority="2800" dxfId="6">
      <formula>$H282="SUBETAPA"</formula>
    </cfRule>
  </conditionalFormatting>
  <conditionalFormatting sqref="O283">
    <cfRule type="expression" priority="2795" dxfId="5">
      <formula>$H283="CÉLULA CONSTRUTIVA"</formula>
    </cfRule>
    <cfRule type="expression" priority="2794" dxfId="4">
      <formula>$H283="SUBETAPA"</formula>
    </cfRule>
    <cfRule type="expression" priority="2796" dxfId="3">
      <formula>$H283="ETAPA"</formula>
    </cfRule>
  </conditionalFormatting>
  <conditionalFormatting sqref="O284">
    <cfRule type="expression" priority="2788" dxfId="6">
      <formula>$H284="SUBETAPA"</formula>
    </cfRule>
    <cfRule type="expression" priority="2789" dxfId="8">
      <formula>$H284="ETAPA"</formula>
    </cfRule>
    <cfRule type="expression" priority="2793" dxfId="7">
      <formula>$H284="CÉLULA CONSTRUTIVA"</formula>
    </cfRule>
    <cfRule type="expression" priority="2792" dxfId="6">
      <formula>$H284="SUBETAPA"</formula>
    </cfRule>
    <cfRule type="expression" priority="2791" dxfId="8">
      <formula>$H284="ETAPA"</formula>
    </cfRule>
    <cfRule type="expression" priority="2790" dxfId="6">
      <formula>$H284="SUBETAPA"</formula>
    </cfRule>
    <cfRule type="expression" priority="2787" dxfId="8">
      <formula>$H284="ETAPA"</formula>
    </cfRule>
  </conditionalFormatting>
  <conditionalFormatting sqref="O285">
    <cfRule type="expression" priority="2785" dxfId="5">
      <formula>$H285="CÉLULA CONSTRUTIVA"</formula>
    </cfRule>
    <cfRule type="expression" priority="2784" dxfId="4">
      <formula>$H285="SUBETAPA"</formula>
    </cfRule>
    <cfRule type="expression" priority="2786" dxfId="3">
      <formula>$H285="ETAPA"</formula>
    </cfRule>
  </conditionalFormatting>
  <conditionalFormatting sqref="O286">
    <cfRule type="expression" priority="2780" dxfId="6">
      <formula>$H286="SUBETAPA"</formula>
    </cfRule>
    <cfRule type="expression" priority="2779" dxfId="8">
      <formula>$H286="ETAPA"</formula>
    </cfRule>
    <cfRule type="expression" priority="2783" dxfId="7">
      <formula>$H286="CÉLULA CONSTRUTIVA"</formula>
    </cfRule>
    <cfRule type="expression" priority="2782" dxfId="6">
      <formula>$H286="SUBETAPA"</formula>
    </cfRule>
    <cfRule type="expression" priority="2781" dxfId="8">
      <formula>$H286="ETAPA"</formula>
    </cfRule>
    <cfRule type="expression" priority="2777" dxfId="8">
      <formula>$H286="ETAPA"</formula>
    </cfRule>
    <cfRule type="expression" priority="2778" dxfId="6">
      <formula>$H286="SUBETAPA"</formula>
    </cfRule>
  </conditionalFormatting>
  <conditionalFormatting sqref="O287">
    <cfRule type="expression" priority="2775" dxfId="5">
      <formula>$H287="CÉLULA CONSTRUTIVA"</formula>
    </cfRule>
    <cfRule type="expression" priority="2774" dxfId="4">
      <formula>$H287="SUBETAPA"</formula>
    </cfRule>
    <cfRule type="expression" priority="2776" dxfId="3">
      <formula>$H287="ETAPA"</formula>
    </cfRule>
  </conditionalFormatting>
  <conditionalFormatting sqref="O288">
    <cfRule type="expression" priority="2768" dxfId="6">
      <formula>$H288="SUBETAPA"</formula>
    </cfRule>
    <cfRule type="expression" priority="2769" dxfId="8">
      <formula>$H288="ETAPA"</formula>
    </cfRule>
    <cfRule type="expression" priority="2770" dxfId="6">
      <formula>$H288="SUBETAPA"</formula>
    </cfRule>
    <cfRule type="expression" priority="2772" dxfId="6">
      <formula>$H288="SUBETAPA"</formula>
    </cfRule>
    <cfRule type="expression" priority="2773" dxfId="7">
      <formula>$H288="CÉLULA CONSTRUTIVA"</formula>
    </cfRule>
    <cfRule type="expression" priority="2771" dxfId="8">
      <formula>$H288="ETAPA"</formula>
    </cfRule>
    <cfRule type="expression" priority="2767" dxfId="8">
      <formula>$H288="ETAPA"</formula>
    </cfRule>
  </conditionalFormatting>
  <conditionalFormatting sqref="O289">
    <cfRule type="expression" priority="2764" dxfId="4">
      <formula>$H289="SUBETAPA"</formula>
    </cfRule>
    <cfRule type="expression" priority="2765" dxfId="5">
      <formula>$H289="CÉLULA CONSTRUTIVA"</formula>
    </cfRule>
    <cfRule type="expression" priority="2766" dxfId="3">
      <formula>$H289="ETAPA"</formula>
    </cfRule>
  </conditionalFormatting>
  <conditionalFormatting sqref="O290">
    <cfRule type="expression" priority="2763" dxfId="7">
      <formula>$H290="CÉLULA CONSTRUTIVA"</formula>
    </cfRule>
    <cfRule type="expression" priority="2761" dxfId="8">
      <formula>$H290="ETAPA"</formula>
    </cfRule>
    <cfRule type="expression" priority="2760" dxfId="6">
      <formula>$H290="SUBETAPA"</formula>
    </cfRule>
    <cfRule type="expression" priority="2759" dxfId="8">
      <formula>$H290="ETAPA"</formula>
    </cfRule>
    <cfRule type="expression" priority="2758" dxfId="6">
      <formula>$H290="SUBETAPA"</formula>
    </cfRule>
    <cfRule type="expression" priority="2757" dxfId="8">
      <formula>$H290="ETAPA"</formula>
    </cfRule>
    <cfRule type="expression" priority="2762" dxfId="6">
      <formula>$H290="SUBETAPA"</formula>
    </cfRule>
  </conditionalFormatting>
  <conditionalFormatting sqref="O291">
    <cfRule type="expression" priority="2756" dxfId="3">
      <formula>$H291="ETAPA"</formula>
    </cfRule>
    <cfRule type="expression" priority="2754" dxfId="4">
      <formula>$H291="SUBETAPA"</formula>
    </cfRule>
    <cfRule type="expression" priority="2755" dxfId="5">
      <formula>$H291="CÉLULA CONSTRUTIVA"</formula>
    </cfRule>
  </conditionalFormatting>
  <conditionalFormatting sqref="O292">
    <cfRule type="expression" priority="2753" dxfId="7">
      <formula>$H292="CÉLULA CONSTRUTIVA"</formula>
    </cfRule>
    <cfRule type="expression" priority="2752" dxfId="6">
      <formula>$H292="SUBETAPA"</formula>
    </cfRule>
    <cfRule type="expression" priority="2747" dxfId="8">
      <formula>$H292="ETAPA"</formula>
    </cfRule>
    <cfRule type="expression" priority="2748" dxfId="6">
      <formula>$H292="SUBETAPA"</formula>
    </cfRule>
    <cfRule type="expression" priority="2749" dxfId="8">
      <formula>$H292="ETAPA"</formula>
    </cfRule>
    <cfRule type="expression" priority="2750" dxfId="6">
      <formula>$H292="SUBETAPA"</formula>
    </cfRule>
    <cfRule type="expression" priority="2751" dxfId="8">
      <formula>$H292="ETAPA"</formula>
    </cfRule>
  </conditionalFormatting>
  <conditionalFormatting sqref="O293">
    <cfRule type="expression" priority="2745" dxfId="5">
      <formula>$H293="CÉLULA CONSTRUTIVA"</formula>
    </cfRule>
    <cfRule type="expression" priority="2744" dxfId="4">
      <formula>$H293="SUBETAPA"</formula>
    </cfRule>
    <cfRule type="expression" priority="2746" dxfId="3">
      <formula>$H293="ETAPA"</formula>
    </cfRule>
  </conditionalFormatting>
  <conditionalFormatting sqref="O294">
    <cfRule type="expression" priority="2740" dxfId="6">
      <formula>$H294="SUBETAPA"</formula>
    </cfRule>
    <cfRule type="expression" priority="2739" dxfId="8">
      <formula>$H294="ETAPA"</formula>
    </cfRule>
    <cfRule type="expression" priority="2738" dxfId="6">
      <formula>$H294="SUBETAPA"</formula>
    </cfRule>
    <cfRule type="expression" priority="2737" dxfId="8">
      <formula>$H294="ETAPA"</formula>
    </cfRule>
    <cfRule type="expression" priority="2743" dxfId="7">
      <formula>$H294="CÉLULA CONSTRUTIVA"</formula>
    </cfRule>
    <cfRule type="expression" priority="2742" dxfId="6">
      <formula>$H294="SUBETAPA"</formula>
    </cfRule>
    <cfRule type="expression" priority="2741" dxfId="8">
      <formula>$H294="ETAPA"</formula>
    </cfRule>
  </conditionalFormatting>
  <conditionalFormatting sqref="O295">
    <cfRule type="expression" priority="2735" dxfId="5">
      <formula>$H295="CÉLULA CONSTRUTIVA"</formula>
    </cfRule>
    <cfRule type="expression" priority="2734" dxfId="4">
      <formula>$H295="SUBETAPA"</formula>
    </cfRule>
    <cfRule type="expression" priority="2736" dxfId="3">
      <formula>$H295="ETAPA"</formula>
    </cfRule>
  </conditionalFormatting>
  <conditionalFormatting sqref="O296">
    <cfRule type="expression" priority="2731" dxfId="8">
      <formula>$H296="ETAPA"</formula>
    </cfRule>
    <cfRule type="expression" priority="2732" dxfId="6">
      <formula>$H296="SUBETAPA"</formula>
    </cfRule>
    <cfRule type="expression" priority="2733" dxfId="7">
      <formula>$H296="CÉLULA CONSTRUTIVA"</formula>
    </cfRule>
    <cfRule type="expression" priority="2727" dxfId="8">
      <formula>$H296="ETAPA"</formula>
    </cfRule>
    <cfRule type="expression" priority="2728" dxfId="6">
      <formula>$H296="SUBETAPA"</formula>
    </cfRule>
    <cfRule type="expression" priority="2729" dxfId="8">
      <formula>$H296="ETAPA"</formula>
    </cfRule>
    <cfRule type="expression" priority="2730" dxfId="6">
      <formula>$H296="SUBETAPA"</formula>
    </cfRule>
  </conditionalFormatting>
  <conditionalFormatting sqref="O297">
    <cfRule type="expression" priority="2724" dxfId="4">
      <formula>$H297="SUBETAPA"</formula>
    </cfRule>
    <cfRule type="expression" priority="2726" dxfId="3">
      <formula>$H297="ETAPA"</formula>
    </cfRule>
    <cfRule type="expression" priority="2725" dxfId="5">
      <formula>$H297="CÉLULA CONSTRUTIVA"</formula>
    </cfRule>
  </conditionalFormatting>
  <conditionalFormatting sqref="O298">
    <cfRule type="expression" priority="2722" dxfId="6">
      <formula>$H298="SUBETAPA"</formula>
    </cfRule>
    <cfRule type="expression" priority="2723" dxfId="7">
      <formula>$H298="CÉLULA CONSTRUTIVA"</formula>
    </cfRule>
    <cfRule type="expression" priority="2721" dxfId="8">
      <formula>$H298="ETAPA"</formula>
    </cfRule>
    <cfRule type="expression" priority="2720" dxfId="6">
      <formula>$H298="SUBETAPA"</formula>
    </cfRule>
    <cfRule type="expression" priority="2719" dxfId="8">
      <formula>$H298="ETAPA"</formula>
    </cfRule>
    <cfRule type="expression" priority="2718" dxfId="6">
      <formula>$H298="SUBETAPA"</formula>
    </cfRule>
    <cfRule type="expression" priority="2717" dxfId="8">
      <formula>$H298="ETAPA"</formula>
    </cfRule>
  </conditionalFormatting>
  <conditionalFormatting sqref="O299">
    <cfRule type="expression" priority="2716" dxfId="3">
      <formula>$H299="ETAPA"</formula>
    </cfRule>
    <cfRule type="expression" priority="2715" dxfId="5">
      <formula>$H299="CÉLULA CONSTRUTIVA"</formula>
    </cfRule>
    <cfRule type="expression" priority="2714" dxfId="4">
      <formula>$H299="SUBETAPA"</formula>
    </cfRule>
  </conditionalFormatting>
  <conditionalFormatting sqref="O300">
    <cfRule type="expression" priority="2709" dxfId="8">
      <formula>$H300="ETAPA"</formula>
    </cfRule>
    <cfRule type="expression" priority="2707" dxfId="8">
      <formula>$H300="ETAPA"</formula>
    </cfRule>
    <cfRule type="expression" priority="2708" dxfId="6">
      <formula>$H300="SUBETAPA"</formula>
    </cfRule>
    <cfRule type="expression" priority="2713" dxfId="7">
      <formula>$H300="CÉLULA CONSTRUTIVA"</formula>
    </cfRule>
    <cfRule type="expression" priority="2712" dxfId="6">
      <formula>$H300="SUBETAPA"</formula>
    </cfRule>
    <cfRule type="expression" priority="2711" dxfId="8">
      <formula>$H300="ETAPA"</formula>
    </cfRule>
    <cfRule type="expression" priority="2710" dxfId="6">
      <formula>$H300="SUBETAPA"</formula>
    </cfRule>
  </conditionalFormatting>
  <conditionalFormatting sqref="O301">
    <cfRule type="expression" priority="2704" dxfId="4">
      <formula>$H301="SUBETAPA"</formula>
    </cfRule>
    <cfRule type="expression" priority="2705" dxfId="5">
      <formula>$H301="CÉLULA CONSTRUTIVA"</formula>
    </cfRule>
    <cfRule type="expression" priority="2706" dxfId="3">
      <formula>$H301="ETAPA"</formula>
    </cfRule>
  </conditionalFormatting>
  <conditionalFormatting sqref="O303">
    <cfRule type="expression" priority="2701" dxfId="4">
      <formula>$H303="SUBETAPA"</formula>
    </cfRule>
    <cfRule type="expression" priority="2703" dxfId="3">
      <formula>$H303="ETAPA"</formula>
    </cfRule>
    <cfRule type="expression" priority="2702" dxfId="5">
      <formula>$H303="CÉLULA CONSTRUTIVA"</formula>
    </cfRule>
  </conditionalFormatting>
  <conditionalFormatting sqref="O302 O304">
    <cfRule type="expression" priority="2696" dxfId="8">
      <formula>$H302="ETAPA"</formula>
    </cfRule>
    <cfRule type="expression" priority="2697" dxfId="6">
      <formula>$H302="SUBETAPA"</formula>
    </cfRule>
    <cfRule type="expression" priority="2698" dxfId="8">
      <formula>$H302="ETAPA"</formula>
    </cfRule>
    <cfRule type="expression" priority="2699" dxfId="6">
      <formula>$H302="SUBETAPA"</formula>
    </cfRule>
    <cfRule type="expression" priority="2700" dxfId="7">
      <formula>$H302="CÉLULA CONSTRUTIVA"</formula>
    </cfRule>
    <cfRule type="expression" priority="2695" dxfId="6">
      <formula>$H302="SUBETAPA"</formula>
    </cfRule>
    <cfRule type="expression" priority="2694" dxfId="8">
      <formula>$H302="ETAPA"</formula>
    </cfRule>
  </conditionalFormatting>
  <conditionalFormatting sqref="O305">
    <cfRule type="expression" priority="2693" dxfId="3">
      <formula>$H305="ETAPA"</formula>
    </cfRule>
    <cfRule type="expression" priority="2692" dxfId="5">
      <formula>$H305="CÉLULA CONSTRUTIVA"</formula>
    </cfRule>
    <cfRule type="expression" priority="2691" dxfId="4">
      <formula>$H305="SUBETAPA"</formula>
    </cfRule>
  </conditionalFormatting>
  <conditionalFormatting sqref="O306">
    <cfRule type="expression" priority="2684" dxfId="8">
      <formula>$H306="ETAPA"</formula>
    </cfRule>
    <cfRule type="expression" priority="2685" dxfId="6">
      <formula>$H306="SUBETAPA"</formula>
    </cfRule>
    <cfRule type="expression" priority="2686" dxfId="8">
      <formula>$H306="ETAPA"</formula>
    </cfRule>
    <cfRule type="expression" priority="2687" dxfId="6">
      <formula>$H306="SUBETAPA"</formula>
    </cfRule>
    <cfRule type="expression" priority="2690" dxfId="7">
      <formula>$H306="CÉLULA CONSTRUTIVA"</formula>
    </cfRule>
    <cfRule type="expression" priority="2689" dxfId="6">
      <formula>$H306="SUBETAPA"</formula>
    </cfRule>
    <cfRule type="expression" priority="2688" dxfId="8">
      <formula>$H306="ETAPA"</formula>
    </cfRule>
  </conditionalFormatting>
  <conditionalFormatting sqref="O307">
    <cfRule type="expression" priority="2681" dxfId="4">
      <formula>$H307="SUBETAPA"</formula>
    </cfRule>
    <cfRule type="expression" priority="2682" dxfId="5">
      <formula>$H307="CÉLULA CONSTRUTIVA"</formula>
    </cfRule>
    <cfRule type="expression" priority="2683" dxfId="3">
      <formula>$H307="ETAPA"</formula>
    </cfRule>
  </conditionalFormatting>
  <conditionalFormatting sqref="O308">
    <cfRule type="expression" priority="2679" dxfId="6">
      <formula>$H308="SUBETAPA"</formula>
    </cfRule>
    <cfRule type="expression" priority="2680" dxfId="7">
      <formula>$H308="CÉLULA CONSTRUTIVA"</formula>
    </cfRule>
    <cfRule type="expression" priority="2674" dxfId="8">
      <formula>$H308="ETAPA"</formula>
    </cfRule>
    <cfRule type="expression" priority="2675" dxfId="6">
      <formula>$H308="SUBETAPA"</formula>
    </cfRule>
    <cfRule type="expression" priority="2676" dxfId="8">
      <formula>$H308="ETAPA"</formula>
    </cfRule>
    <cfRule type="expression" priority="2677" dxfId="6">
      <formula>$H308="SUBETAPA"</formula>
    </cfRule>
    <cfRule type="expression" priority="2678" dxfId="8">
      <formula>$H308="ETAPA"</formula>
    </cfRule>
  </conditionalFormatting>
  <conditionalFormatting sqref="O309">
    <cfRule type="expression" priority="2672" dxfId="5">
      <formula>$H309="CÉLULA CONSTRUTIVA"</formula>
    </cfRule>
    <cfRule type="expression" priority="2671" dxfId="4">
      <formula>$H309="SUBETAPA"</formula>
    </cfRule>
    <cfRule type="expression" priority="2673" dxfId="3">
      <formula>$H309="ETAPA"</formula>
    </cfRule>
  </conditionalFormatting>
  <conditionalFormatting sqref="O310">
    <cfRule type="expression" priority="2666" dxfId="8">
      <formula>$H310="ETAPA"</formula>
    </cfRule>
    <cfRule type="expression" priority="2668" dxfId="8">
      <formula>$H310="ETAPA"</formula>
    </cfRule>
    <cfRule type="expression" priority="2667" dxfId="6">
      <formula>$H310="SUBETAPA"</formula>
    </cfRule>
    <cfRule type="expression" priority="2665" dxfId="6">
      <formula>$H310="SUBETAPA"</formula>
    </cfRule>
    <cfRule type="expression" priority="2664" dxfId="8">
      <formula>$H310="ETAPA"</formula>
    </cfRule>
    <cfRule type="expression" priority="2670" dxfId="7">
      <formula>$H310="CÉLULA CONSTRUTIVA"</formula>
    </cfRule>
    <cfRule type="expression" priority="2669" dxfId="6">
      <formula>$H310="SUBETAPA"</formula>
    </cfRule>
  </conditionalFormatting>
  <conditionalFormatting sqref="O311">
    <cfRule type="expression" priority="2661" dxfId="4">
      <formula>$H311="SUBETAPA"</formula>
    </cfRule>
    <cfRule type="expression" priority="2662" dxfId="5">
      <formula>$H311="CÉLULA CONSTRUTIVA"</formula>
    </cfRule>
    <cfRule type="expression" priority="2663" dxfId="3">
      <formula>$H311="ETAPA"</formula>
    </cfRule>
  </conditionalFormatting>
  <conditionalFormatting sqref="O313">
    <cfRule type="expression" priority="2659" dxfId="5">
      <formula>$H313="CÉLULA CONSTRUTIVA"</formula>
    </cfRule>
    <cfRule type="expression" priority="2660" dxfId="3">
      <formula>$H313="ETAPA"</formula>
    </cfRule>
  </conditionalFormatting>
  <conditionalFormatting sqref="O313:O314">
    <cfRule type="expression" priority="2658" dxfId="4">
      <formula>$H313="SUBETAPA"</formula>
    </cfRule>
  </conditionalFormatting>
  <conditionalFormatting sqref="O314">
    <cfRule type="expression" priority="2657" dxfId="3">
      <formula>$H314="ETAPA"</formula>
    </cfRule>
    <cfRule type="expression" priority="2656" dxfId="5">
      <formula>$H314="CÉLULA CONSTRUTIVA"</formula>
    </cfRule>
  </conditionalFormatting>
  <conditionalFormatting sqref="O315">
    <cfRule type="expression" priority="2655" dxfId="7">
      <formula>$H315="CÉLULA CONSTRUTIVA"</formula>
    </cfRule>
    <cfRule type="expression" priority="2654" dxfId="6">
      <formula>$H315="SUBETAPA"</formula>
    </cfRule>
    <cfRule type="expression" priority="2653" dxfId="8">
      <formula>$H315="ETAPA"</formula>
    </cfRule>
    <cfRule type="expression" priority="2652" dxfId="6">
      <formula>$H315="SUBETAPA"</formula>
    </cfRule>
    <cfRule type="expression" priority="2651" dxfId="8">
      <formula>$H315="ETAPA"</formula>
    </cfRule>
    <cfRule type="expression" priority="2650" dxfId="6">
      <formula>$H315="SUBETAPA"</formula>
    </cfRule>
    <cfRule type="expression" priority="2649" dxfId="8">
      <formula>$H315="ETAPA"</formula>
    </cfRule>
  </conditionalFormatting>
  <conditionalFormatting sqref="O316">
    <cfRule type="expression" priority="2647" dxfId="5">
      <formula>$H316="CÉLULA CONSTRUTIVA"</formula>
    </cfRule>
    <cfRule type="expression" priority="2648" dxfId="3">
      <formula>$H316="ETAPA"</formula>
    </cfRule>
    <cfRule type="expression" priority="2646" dxfId="4">
      <formula>$H316="SUBETAPA"</formula>
    </cfRule>
  </conditionalFormatting>
  <conditionalFormatting sqref="O317">
    <cfRule type="expression" priority="2642" dxfId="6">
      <formula>$H317="SUBETAPA"</formula>
    </cfRule>
    <cfRule type="expression" priority="2643" dxfId="8">
      <formula>$H317="ETAPA"</formula>
    </cfRule>
    <cfRule type="expression" priority="2644" dxfId="6">
      <formula>$H317="SUBETAPA"</formula>
    </cfRule>
    <cfRule type="expression" priority="2645" dxfId="7">
      <formula>$H317="CÉLULA CONSTRUTIVA"</formula>
    </cfRule>
    <cfRule type="expression" priority="2639" dxfId="8">
      <formula>$H317="ETAPA"</formula>
    </cfRule>
    <cfRule type="expression" priority="2640" dxfId="6">
      <formula>$H317="SUBETAPA"</formula>
    </cfRule>
    <cfRule type="expression" priority="2641" dxfId="8">
      <formula>$H317="ETAPA"</formula>
    </cfRule>
  </conditionalFormatting>
  <conditionalFormatting sqref="O318">
    <cfRule type="expression" priority="2637" dxfId="5">
      <formula>$H318="CÉLULA CONSTRUTIVA"</formula>
    </cfRule>
    <cfRule type="expression" priority="2636" dxfId="4">
      <formula>$H318="SUBETAPA"</formula>
    </cfRule>
    <cfRule type="expression" priority="2638" dxfId="3">
      <formula>$H318="ETAPA"</formula>
    </cfRule>
  </conditionalFormatting>
  <conditionalFormatting sqref="O319">
    <cfRule type="expression" priority="2635" dxfId="7">
      <formula>$H319="CÉLULA CONSTRUTIVA"</formula>
    </cfRule>
    <cfRule type="expression" priority="2634" dxfId="6">
      <formula>$H319="SUBETAPA"</formula>
    </cfRule>
    <cfRule type="expression" priority="2633" dxfId="8">
      <formula>$H319="ETAPA"</formula>
    </cfRule>
    <cfRule type="expression" priority="2632" dxfId="6">
      <formula>$H319="SUBETAPA"</formula>
    </cfRule>
    <cfRule type="expression" priority="2631" dxfId="8">
      <formula>$H319="ETAPA"</formula>
    </cfRule>
    <cfRule type="expression" priority="2630" dxfId="6">
      <formula>$H319="SUBETAPA"</formula>
    </cfRule>
    <cfRule type="expression" priority="2629" dxfId="8">
      <formula>$H319="ETAPA"</formula>
    </cfRule>
  </conditionalFormatting>
  <conditionalFormatting sqref="O320">
    <cfRule type="expression" priority="2628" dxfId="3">
      <formula>$H320="ETAPA"</formula>
    </cfRule>
    <cfRule type="expression" priority="2627" dxfId="5">
      <formula>$H320="CÉLULA CONSTRUTIVA"</formula>
    </cfRule>
    <cfRule type="expression" priority="2626" dxfId="4">
      <formula>$H320="SUBETAPA"</formula>
    </cfRule>
  </conditionalFormatting>
  <conditionalFormatting sqref="O321">
    <cfRule type="expression" priority="2623" dxfId="8">
      <formula>$H321="ETAPA"</formula>
    </cfRule>
    <cfRule type="expression" priority="2625" dxfId="7">
      <formula>$H321="CÉLULA CONSTRUTIVA"</formula>
    </cfRule>
    <cfRule type="expression" priority="2624" dxfId="6">
      <formula>$H321="SUBETAPA"</formula>
    </cfRule>
    <cfRule type="expression" priority="2622" dxfId="6">
      <formula>$H321="SUBETAPA"</formula>
    </cfRule>
    <cfRule type="expression" priority="2621" dxfId="8">
      <formula>$H321="ETAPA"</formula>
    </cfRule>
    <cfRule type="expression" priority="2620" dxfId="6">
      <formula>$H321="SUBETAPA"</formula>
    </cfRule>
    <cfRule type="expression" priority="2619" dxfId="8">
      <formula>$H321="ETAPA"</formula>
    </cfRule>
  </conditionalFormatting>
  <conditionalFormatting sqref="O322">
    <cfRule type="expression" priority="2618" dxfId="3">
      <formula>$H322="ETAPA"</formula>
    </cfRule>
    <cfRule type="expression" priority="2617" dxfId="5">
      <formula>$H322="CÉLULA CONSTRUTIVA"</formula>
    </cfRule>
    <cfRule type="expression" priority="2616" dxfId="4">
      <formula>$H322="SUBETAPA"</formula>
    </cfRule>
  </conditionalFormatting>
  <conditionalFormatting sqref="O323">
    <cfRule type="expression" priority="2609" dxfId="8">
      <formula>$H323="ETAPA"</formula>
    </cfRule>
    <cfRule type="expression" priority="2612" dxfId="6">
      <formula>$H323="SUBETAPA"</formula>
    </cfRule>
    <cfRule type="expression" priority="2610" dxfId="6">
      <formula>$H323="SUBETAPA"</formula>
    </cfRule>
    <cfRule type="expression" priority="2611" dxfId="8">
      <formula>$H323="ETAPA"</formula>
    </cfRule>
    <cfRule type="expression" priority="2613" dxfId="8">
      <formula>$H323="ETAPA"</formula>
    </cfRule>
    <cfRule type="expression" priority="2615" dxfId="7">
      <formula>$H323="CÉLULA CONSTRUTIVA"</formula>
    </cfRule>
    <cfRule type="expression" priority="2614" dxfId="6">
      <formula>$H323="SUBETAPA"</formula>
    </cfRule>
  </conditionalFormatting>
  <conditionalFormatting sqref="O324">
    <cfRule type="expression" priority="2608" dxfId="3">
      <formula>$H324="ETAPA"</formula>
    </cfRule>
    <cfRule type="expression" priority="2607" dxfId="5">
      <formula>$H324="CÉLULA CONSTRUTIVA"</formula>
    </cfRule>
    <cfRule type="expression" priority="2606" dxfId="4">
      <formula>$H324="SUBETAPA"</formula>
    </cfRule>
  </conditionalFormatting>
  <conditionalFormatting sqref="O325">
    <cfRule type="expression" priority="2603" dxfId="8">
      <formula>$H325="ETAPA"</formula>
    </cfRule>
    <cfRule type="expression" priority="2602" dxfId="6">
      <formula>$H325="SUBETAPA"</formula>
    </cfRule>
    <cfRule type="expression" priority="2601" dxfId="8">
      <formula>$H325="ETAPA"</formula>
    </cfRule>
    <cfRule type="expression" priority="2599" dxfId="8">
      <formula>$H325="ETAPA"</formula>
    </cfRule>
    <cfRule type="expression" priority="2605" dxfId="7">
      <formula>$H325="CÉLULA CONSTRUTIVA"</formula>
    </cfRule>
    <cfRule type="expression" priority="2600" dxfId="6">
      <formula>$H325="SUBETAPA"</formula>
    </cfRule>
    <cfRule type="expression" priority="2604" dxfId="6">
      <formula>$H325="SUBETAPA"</formula>
    </cfRule>
  </conditionalFormatting>
  <conditionalFormatting sqref="O326">
    <cfRule type="expression" priority="2597" dxfId="5">
      <formula>$H326="CÉLULA CONSTRUTIVA"</formula>
    </cfRule>
    <cfRule type="expression" priority="2598" dxfId="3">
      <formula>$H326="ETAPA"</formula>
    </cfRule>
    <cfRule type="expression" priority="2596" dxfId="4">
      <formula>$H326="SUBETAPA"</formula>
    </cfRule>
  </conditionalFormatting>
  <conditionalFormatting sqref="O327">
    <cfRule type="expression" priority="2589" dxfId="8">
      <formula>$H327="ETAPA"</formula>
    </cfRule>
    <cfRule type="expression" priority="2590" dxfId="6">
      <formula>$H327="SUBETAPA"</formula>
    </cfRule>
    <cfRule type="expression" priority="2591" dxfId="8">
      <formula>$H327="ETAPA"</formula>
    </cfRule>
    <cfRule type="expression" priority="2592" dxfId="6">
      <formula>$H327="SUBETAPA"</formula>
    </cfRule>
    <cfRule type="expression" priority="2595" dxfId="7">
      <formula>$H327="CÉLULA CONSTRUTIVA"</formula>
    </cfRule>
    <cfRule type="expression" priority="2594" dxfId="6">
      <formula>$H327="SUBETAPA"</formula>
    </cfRule>
    <cfRule type="expression" priority="2593" dxfId="8">
      <formula>$H327="ETAPA"</formula>
    </cfRule>
  </conditionalFormatting>
  <conditionalFormatting sqref="O328">
    <cfRule type="expression" priority="2586" dxfId="4">
      <formula>$H328="SUBETAPA"</formula>
    </cfRule>
    <cfRule type="expression" priority="2587" dxfId="5">
      <formula>$H328="CÉLULA CONSTRUTIVA"</formula>
    </cfRule>
    <cfRule type="expression" priority="2588" dxfId="3">
      <formula>$H328="ETAPA"</formula>
    </cfRule>
  </conditionalFormatting>
  <conditionalFormatting sqref="O329">
    <cfRule type="expression" priority="2584" dxfId="6">
      <formula>$H329="SUBETAPA"</formula>
    </cfRule>
    <cfRule type="expression" priority="2585" dxfId="7">
      <formula>$H329="CÉLULA CONSTRUTIVA"</formula>
    </cfRule>
    <cfRule type="expression" priority="2579" dxfId="8">
      <formula>$H329="ETAPA"</formula>
    </cfRule>
    <cfRule type="expression" priority="2580" dxfId="6">
      <formula>$H329="SUBETAPA"</formula>
    </cfRule>
    <cfRule type="expression" priority="2581" dxfId="8">
      <formula>$H329="ETAPA"</formula>
    </cfRule>
    <cfRule type="expression" priority="2582" dxfId="6">
      <formula>$H329="SUBETAPA"</formula>
    </cfRule>
    <cfRule type="expression" priority="2583" dxfId="8">
      <formula>$H329="ETAPA"</formula>
    </cfRule>
  </conditionalFormatting>
  <conditionalFormatting sqref="O330">
    <cfRule type="expression" priority="2577" dxfId="5">
      <formula>$H330="CÉLULA CONSTRUTIVA"</formula>
    </cfRule>
    <cfRule type="expression" priority="2576" dxfId="4">
      <formula>$H330="SUBETAPA"</formula>
    </cfRule>
    <cfRule type="expression" priority="2578" dxfId="3">
      <formula>$H330="ETAPA"</formula>
    </cfRule>
  </conditionalFormatting>
  <conditionalFormatting sqref="O331">
    <cfRule type="expression" priority="2575" dxfId="7">
      <formula>$H331="CÉLULA CONSTRUTIVA"</formula>
    </cfRule>
    <cfRule type="expression" priority="2574" dxfId="6">
      <formula>$H331="SUBETAPA"</formula>
    </cfRule>
    <cfRule type="expression" priority="2573" dxfId="8">
      <formula>$H331="ETAPA"</formula>
    </cfRule>
    <cfRule type="expression" priority="2572" dxfId="6">
      <formula>$H331="SUBETAPA"</formula>
    </cfRule>
    <cfRule type="expression" priority="2571" dxfId="8">
      <formula>$H331="ETAPA"</formula>
    </cfRule>
    <cfRule type="expression" priority="2569" dxfId="8">
      <formula>$H331="ETAPA"</formula>
    </cfRule>
    <cfRule type="expression" priority="2570" dxfId="6">
      <formula>$H331="SUBETAPA"</formula>
    </cfRule>
  </conditionalFormatting>
  <conditionalFormatting sqref="O332">
    <cfRule type="expression" priority="2568" dxfId="3">
      <formula>$H332="ETAPA"</formula>
    </cfRule>
    <cfRule type="expression" priority="2567" dxfId="5">
      <formula>$H332="CÉLULA CONSTRUTIVA"</formula>
    </cfRule>
    <cfRule type="expression" priority="2566" dxfId="4">
      <formula>$H332="SUBETAPA"</formula>
    </cfRule>
  </conditionalFormatting>
  <conditionalFormatting sqref="O333">
    <cfRule type="expression" priority="2565" dxfId="7">
      <formula>$H333="CÉLULA CONSTRUTIVA"</formula>
    </cfRule>
    <cfRule type="expression" priority="2564" dxfId="6">
      <formula>$H333="SUBETAPA"</formula>
    </cfRule>
    <cfRule type="expression" priority="2560" dxfId="6">
      <formula>$H333="SUBETAPA"</formula>
    </cfRule>
    <cfRule type="expression" priority="2561" dxfId="8">
      <formula>$H333="ETAPA"</formula>
    </cfRule>
    <cfRule type="expression" priority="2562" dxfId="6">
      <formula>$H333="SUBETAPA"</formula>
    </cfRule>
    <cfRule type="expression" priority="2563" dxfId="8">
      <formula>$H333="ETAPA"</formula>
    </cfRule>
    <cfRule type="expression" priority="2559" dxfId="8">
      <formula>$H333="ETAPA"</formula>
    </cfRule>
  </conditionalFormatting>
  <conditionalFormatting sqref="O334">
    <cfRule type="expression" priority="2556" dxfId="4">
      <formula>$H334="SUBETAPA"</formula>
    </cfRule>
    <cfRule type="expression" priority="2557" dxfId="5">
      <formula>$H334="CÉLULA CONSTRUTIVA"</formula>
    </cfRule>
    <cfRule type="expression" priority="2558" dxfId="3">
      <formula>$H334="ETAPA"</formula>
    </cfRule>
  </conditionalFormatting>
  <conditionalFormatting sqref="O336">
    <cfRule type="expression" priority="2553" dxfId="4">
      <formula>$H336="SUBETAPA"</formula>
    </cfRule>
    <cfRule type="expression" priority="2554" dxfId="5">
      <formula>$H336="CÉLULA CONSTRUTIVA"</formula>
    </cfRule>
    <cfRule type="expression" priority="2555" dxfId="3">
      <formula>$H336="ETAPA"</formula>
    </cfRule>
  </conditionalFormatting>
  <conditionalFormatting sqref="O335 O337">
    <cfRule type="expression" priority="2547" dxfId="6">
      <formula>$H335="SUBETAPA"</formula>
    </cfRule>
    <cfRule type="expression" priority="2548" dxfId="8">
      <formula>$H335="ETAPA"</formula>
    </cfRule>
    <cfRule type="expression" priority="2549" dxfId="6">
      <formula>$H335="SUBETAPA"</formula>
    </cfRule>
    <cfRule type="expression" priority="2552" dxfId="7">
      <formula>$H335="CÉLULA CONSTRUTIVA"</formula>
    </cfRule>
    <cfRule type="expression" priority="2546" dxfId="8">
      <formula>$H335="ETAPA"</formula>
    </cfRule>
    <cfRule type="expression" priority="2550" dxfId="8">
      <formula>$H335="ETAPA"</formula>
    </cfRule>
    <cfRule type="expression" priority="2551" dxfId="6">
      <formula>$H335="SUBETAPA"</formula>
    </cfRule>
  </conditionalFormatting>
  <conditionalFormatting sqref="O338">
    <cfRule type="expression" priority="2545" dxfId="3">
      <formula>$H338="ETAPA"</formula>
    </cfRule>
    <cfRule type="expression" priority="2544" dxfId="5">
      <formula>$H338="CÉLULA CONSTRUTIVA"</formula>
    </cfRule>
    <cfRule type="expression" priority="2543" dxfId="4">
      <formula>$H338="SUBETAPA"</formula>
    </cfRule>
  </conditionalFormatting>
  <conditionalFormatting sqref="O339">
    <cfRule type="expression" priority="2542" dxfId="7">
      <formula>$H339="CÉLULA CONSTRUTIVA"</formula>
    </cfRule>
    <cfRule type="expression" priority="2541" dxfId="6">
      <formula>$H339="SUBETAPA"</formula>
    </cfRule>
    <cfRule type="expression" priority="2540" dxfId="8">
      <formula>$H339="ETAPA"</formula>
    </cfRule>
    <cfRule type="expression" priority="2539" dxfId="6">
      <formula>$H339="SUBETAPA"</formula>
    </cfRule>
    <cfRule type="expression" priority="2538" dxfId="8">
      <formula>$H339="ETAPA"</formula>
    </cfRule>
    <cfRule type="expression" priority="2537" dxfId="6">
      <formula>$H339="SUBETAPA"</formula>
    </cfRule>
    <cfRule type="expression" priority="2536" dxfId="8">
      <formula>$H339="ETAPA"</formula>
    </cfRule>
  </conditionalFormatting>
  <conditionalFormatting sqref="O340">
    <cfRule type="expression" priority="2534" dxfId="5">
      <formula>$H340="CÉLULA CONSTRUTIVA"</formula>
    </cfRule>
    <cfRule type="expression" priority="2533" dxfId="4">
      <formula>$H340="SUBETAPA"</formula>
    </cfRule>
    <cfRule type="expression" priority="2535" dxfId="3">
      <formula>$H340="ETAPA"</formula>
    </cfRule>
  </conditionalFormatting>
  <conditionalFormatting sqref="O341">
    <cfRule type="expression" priority="2531" dxfId="6">
      <formula>$H341="SUBETAPA"</formula>
    </cfRule>
    <cfRule type="expression" priority="2530" dxfId="8">
      <formula>$H341="ETAPA"</formula>
    </cfRule>
    <cfRule type="expression" priority="2529" dxfId="6">
      <formula>$H341="SUBETAPA"</formula>
    </cfRule>
    <cfRule type="expression" priority="2528" dxfId="8">
      <formula>$H341="ETAPA"</formula>
    </cfRule>
    <cfRule type="expression" priority="2527" dxfId="6">
      <formula>$H341="SUBETAPA"</formula>
    </cfRule>
    <cfRule type="expression" priority="2526" dxfId="8">
      <formula>$H341="ETAPA"</formula>
    </cfRule>
    <cfRule type="expression" priority="2532" dxfId="7">
      <formula>$H341="CÉLULA CONSTRUTIVA"</formula>
    </cfRule>
  </conditionalFormatting>
  <conditionalFormatting sqref="O342">
    <cfRule type="expression" priority="2525" dxfId="3">
      <formula>$H342="ETAPA"</formula>
    </cfRule>
    <cfRule type="expression" priority="2524" dxfId="5">
      <formula>$H342="CÉLULA CONSTRUTIVA"</formula>
    </cfRule>
    <cfRule type="expression" priority="2523" dxfId="4">
      <formula>$H342="SUBETAPA"</formula>
    </cfRule>
  </conditionalFormatting>
  <conditionalFormatting sqref="O343">
    <cfRule type="expression" priority="2516" dxfId="8">
      <formula>$H343="ETAPA"</formula>
    </cfRule>
    <cfRule type="expression" priority="2522" dxfId="7">
      <formula>$H343="CÉLULA CONSTRUTIVA"</formula>
    </cfRule>
    <cfRule type="expression" priority="2521" dxfId="6">
      <formula>$H343="SUBETAPA"</formula>
    </cfRule>
    <cfRule type="expression" priority="2520" dxfId="8">
      <formula>$H343="ETAPA"</formula>
    </cfRule>
    <cfRule type="expression" priority="2519" dxfId="6">
      <formula>$H343="SUBETAPA"</formula>
    </cfRule>
    <cfRule type="expression" priority="2518" dxfId="8">
      <formula>$H343="ETAPA"</formula>
    </cfRule>
    <cfRule type="expression" priority="2517" dxfId="6">
      <formula>$H343="SUBETAPA"</formula>
    </cfRule>
  </conditionalFormatting>
  <conditionalFormatting sqref="O344">
    <cfRule type="expression" priority="2514" dxfId="4">
      <formula>$H344="SUBETAPA"</formula>
    </cfRule>
    <cfRule type="expression" priority="2515" dxfId="5">
      <formula>$H344="CÉLULA CONSTRUTIVA"</formula>
    </cfRule>
  </conditionalFormatting>
  <conditionalFormatting sqref="O346">
    <cfRule type="expression" priority="2512" dxfId="5">
      <formula>$H346="CÉLULA CONSTRUTIVA"</formula>
    </cfRule>
    <cfRule type="expression" priority="2513" dxfId="3">
      <formula>$H346="ETAPA"</formula>
    </cfRule>
  </conditionalFormatting>
  <conditionalFormatting sqref="O346:O347">
    <cfRule type="expression" priority="2511" dxfId="4">
      <formula>$H346="SUBETAPA"</formula>
    </cfRule>
  </conditionalFormatting>
  <conditionalFormatting sqref="O347">
    <cfRule type="expression" priority="2509" dxfId="5">
      <formula>$H347="CÉLULA CONSTRUTIVA"</formula>
    </cfRule>
    <cfRule type="expression" priority="2510" dxfId="3">
      <formula>$H347="ETAPA"</formula>
    </cfRule>
  </conditionalFormatting>
  <conditionalFormatting sqref="O348">
    <cfRule type="expression" priority="2508" dxfId="7">
      <formula>$H348="CÉLULA CONSTRUTIVA"</formula>
    </cfRule>
    <cfRule type="expression" priority="2507" dxfId="6">
      <formula>$H348="SUBETAPA"</formula>
    </cfRule>
    <cfRule type="expression" priority="2506" dxfId="8">
      <formula>$H348="ETAPA"</formula>
    </cfRule>
    <cfRule type="expression" priority="2505" dxfId="6">
      <formula>$H348="SUBETAPA"</formula>
    </cfRule>
    <cfRule type="expression" priority="2504" dxfId="8">
      <formula>$H348="ETAPA"</formula>
    </cfRule>
    <cfRule type="expression" priority="2503" dxfId="6">
      <formula>$H348="SUBETAPA"</formula>
    </cfRule>
    <cfRule type="expression" priority="2502" dxfId="8">
      <formula>$H348="ETAPA"</formula>
    </cfRule>
  </conditionalFormatting>
  <conditionalFormatting sqref="O349">
    <cfRule type="expression" priority="2499" dxfId="4">
      <formula>$H349="SUBETAPA"</formula>
    </cfRule>
    <cfRule type="expression" priority="2501" dxfId="3">
      <formula>$H349="ETAPA"</formula>
    </cfRule>
    <cfRule type="expression" priority="2500" dxfId="5">
      <formula>$H349="CÉLULA CONSTRUTIVA"</formula>
    </cfRule>
  </conditionalFormatting>
  <conditionalFormatting sqref="O350">
    <cfRule type="expression" priority="2492" dxfId="8">
      <formula>$H350="ETAPA"</formula>
    </cfRule>
    <cfRule type="expression" priority="2493" dxfId="6">
      <formula>$H350="SUBETAPA"</formula>
    </cfRule>
    <cfRule type="expression" priority="2494" dxfId="8">
      <formula>$H350="ETAPA"</formula>
    </cfRule>
    <cfRule type="expression" priority="2495" dxfId="6">
      <formula>$H350="SUBETAPA"</formula>
    </cfRule>
    <cfRule type="expression" priority="2496" dxfId="8">
      <formula>$H350="ETAPA"</formula>
    </cfRule>
    <cfRule type="expression" priority="2498" dxfId="7">
      <formula>$H350="CÉLULA CONSTRUTIVA"</formula>
    </cfRule>
    <cfRule type="expression" priority="2497" dxfId="6">
      <formula>$H350="SUBETAPA"</formula>
    </cfRule>
  </conditionalFormatting>
  <conditionalFormatting sqref="O351">
    <cfRule type="expression" priority="2490" dxfId="5">
      <formula>$H351="CÉLULA CONSTRUTIVA"</formula>
    </cfRule>
    <cfRule type="expression" priority="2489" dxfId="4">
      <formula>$H351="SUBETAPA"</formula>
    </cfRule>
    <cfRule type="expression" priority="2491" dxfId="3">
      <formula>$H351="ETAPA"</formula>
    </cfRule>
  </conditionalFormatting>
  <conditionalFormatting sqref="O353">
    <cfRule type="expression" priority="2486" dxfId="4">
      <formula>$H353="SUBETAPA"</formula>
    </cfRule>
    <cfRule type="expression" priority="2488" dxfId="3">
      <formula>$H353="ETAPA"</formula>
    </cfRule>
    <cfRule type="expression" priority="2487" dxfId="5">
      <formula>$H353="CÉLULA CONSTRUTIVA"</formula>
    </cfRule>
  </conditionalFormatting>
  <conditionalFormatting sqref="O354">
    <cfRule type="expression" priority="2484" dxfId="5">
      <formula>$H354="CÉLULA CONSTRUTIVA"</formula>
    </cfRule>
    <cfRule type="expression" priority="2483" dxfId="4">
      <formula>$H354="SUBETAPA"</formula>
    </cfRule>
    <cfRule type="expression" priority="2485" dxfId="3">
      <formula>$H354="ETAPA"</formula>
    </cfRule>
  </conditionalFormatting>
  <conditionalFormatting sqref="O355">
    <cfRule type="expression" priority="2481" dxfId="5">
      <formula>$H355="CÉLULA CONSTRUTIVA"</formula>
    </cfRule>
    <cfRule type="expression" priority="2480" dxfId="4">
      <formula>$H355="SUBETAPA"</formula>
    </cfRule>
    <cfRule type="expression" priority="2482" dxfId="3">
      <formula>$H355="ETAPA"</formula>
    </cfRule>
  </conditionalFormatting>
  <conditionalFormatting sqref="O356">
    <cfRule type="expression" priority="2478" dxfId="5">
      <formula>$H356="CÉLULA CONSTRUTIVA"</formula>
    </cfRule>
    <cfRule type="expression" priority="2477" dxfId="4">
      <formula>$H356="SUBETAPA"</formula>
    </cfRule>
    <cfRule type="expression" priority="2479" dxfId="3">
      <formula>$H356="ETAPA"</formula>
    </cfRule>
  </conditionalFormatting>
  <conditionalFormatting sqref="O357">
    <cfRule type="expression" priority="2475" dxfId="5">
      <formula>$H357="CÉLULA CONSTRUTIVA"</formula>
    </cfRule>
    <cfRule type="expression" priority="2474" dxfId="4">
      <formula>$H357="SUBETAPA"</formula>
    </cfRule>
    <cfRule type="expression" priority="2476" dxfId="3">
      <formula>$H357="ETAPA"</formula>
    </cfRule>
  </conditionalFormatting>
  <conditionalFormatting sqref="O358">
    <cfRule type="expression" priority="2473" dxfId="3">
      <formula>$H358="ETAPA"</formula>
    </cfRule>
    <cfRule type="expression" priority="2472" dxfId="5">
      <formula>$H358="CÉLULA CONSTRUTIVA"</formula>
    </cfRule>
    <cfRule type="expression" priority="2471" dxfId="4">
      <formula>$H358="SUBETAPA"</formula>
    </cfRule>
  </conditionalFormatting>
  <conditionalFormatting sqref="O359">
    <cfRule type="expression" priority="2470" dxfId="3">
      <formula>$H359="ETAPA"</formula>
    </cfRule>
    <cfRule type="expression" priority="2469" dxfId="5">
      <formula>$H359="CÉLULA CONSTRUTIVA"</formula>
    </cfRule>
    <cfRule type="expression" priority="2468" dxfId="4">
      <formula>$H359="SUBETAPA"</formula>
    </cfRule>
  </conditionalFormatting>
  <conditionalFormatting sqref="O360">
    <cfRule type="expression" priority="2465" dxfId="4">
      <formula>$H360="SUBETAPA"</formula>
    </cfRule>
    <cfRule type="expression" priority="2466" dxfId="5">
      <formula>$H360="CÉLULA CONSTRUTIVA"</formula>
    </cfRule>
    <cfRule type="expression" priority="2467" dxfId="3">
      <formula>$H360="ETAPA"</formula>
    </cfRule>
  </conditionalFormatting>
  <conditionalFormatting sqref="O361">
    <cfRule type="expression" priority="2462" dxfId="4">
      <formula>$H361="SUBETAPA"</formula>
    </cfRule>
    <cfRule type="expression" priority="2463" dxfId="5">
      <formula>$H361="CÉLULA CONSTRUTIVA"</formula>
    </cfRule>
    <cfRule type="expression" priority="2464" dxfId="3">
      <formula>$H361="ETAPA"</formula>
    </cfRule>
  </conditionalFormatting>
  <conditionalFormatting sqref="O362">
    <cfRule type="expression" priority="2459" dxfId="4">
      <formula>$H362="SUBETAPA"</formula>
    </cfRule>
    <cfRule type="expression" priority="2461" dxfId="3">
      <formula>$H362="ETAPA"</formula>
    </cfRule>
    <cfRule type="expression" priority="2460" dxfId="5">
      <formula>$H362="CÉLULA CONSTRUTIVA"</formula>
    </cfRule>
  </conditionalFormatting>
  <conditionalFormatting sqref="O363">
    <cfRule type="expression" priority="2458" dxfId="3">
      <formula>$H363="ETAPA"</formula>
    </cfRule>
    <cfRule type="expression" priority="2457" dxfId="5">
      <formula>$H363="CÉLULA CONSTRUTIVA"</formula>
    </cfRule>
    <cfRule type="expression" priority="2456" dxfId="4">
      <formula>$H363="SUBETAPA"</formula>
    </cfRule>
  </conditionalFormatting>
  <conditionalFormatting sqref="O364">
    <cfRule type="expression" priority="2455" dxfId="3">
      <formula>$H364="ETAPA"</formula>
    </cfRule>
    <cfRule type="expression" priority="2454" dxfId="5">
      <formula>$H364="CÉLULA CONSTRUTIVA"</formula>
    </cfRule>
    <cfRule type="expression" priority="2453" dxfId="4">
      <formula>$H364="SUBETAPA"</formula>
    </cfRule>
  </conditionalFormatting>
  <conditionalFormatting sqref="O365">
    <cfRule type="expression" priority="2452" dxfId="3">
      <formula>$H365="ETAPA"</formula>
    </cfRule>
    <cfRule type="expression" priority="2451" dxfId="5">
      <formula>$H365="CÉLULA CONSTRUTIVA"</formula>
    </cfRule>
    <cfRule type="expression" priority="2450" dxfId="4">
      <formula>$H365="SUBETAPA"</formula>
    </cfRule>
  </conditionalFormatting>
  <conditionalFormatting sqref="O366">
    <cfRule type="expression" priority="2449" dxfId="3">
      <formula>$H366="ETAPA"</formula>
    </cfRule>
    <cfRule type="expression" priority="2448" dxfId="5">
      <formula>$H366="CÉLULA CONSTRUTIVA"</formula>
    </cfRule>
    <cfRule type="expression" priority="2447" dxfId="4">
      <formula>$H366="SUBETAPA"</formula>
    </cfRule>
  </conditionalFormatting>
  <conditionalFormatting sqref="O367">
    <cfRule type="expression" priority="2446" dxfId="3">
      <formula>$H367="ETAPA"</formula>
    </cfRule>
    <cfRule type="expression" priority="2445" dxfId="5">
      <formula>$H367="CÉLULA CONSTRUTIVA"</formula>
    </cfRule>
    <cfRule type="expression" priority="2444" dxfId="4">
      <formula>$H367="SUBETAPA"</formula>
    </cfRule>
  </conditionalFormatting>
  <conditionalFormatting sqref="O368">
    <cfRule type="expression" priority="2443" dxfId="3">
      <formula>$H368="ETAPA"</formula>
    </cfRule>
    <cfRule type="expression" priority="2442" dxfId="5">
      <formula>$H368="CÉLULA CONSTRUTIVA"</formula>
    </cfRule>
    <cfRule type="expression" priority="2441" dxfId="4">
      <formula>$H368="SUBETAPA"</formula>
    </cfRule>
  </conditionalFormatting>
  <conditionalFormatting sqref="O369">
    <cfRule type="expression" priority="2438" dxfId="4">
      <formula>$H369="SUBETAPA"</formula>
    </cfRule>
    <cfRule type="expression" priority="2439" dxfId="5">
      <formula>$H369="CÉLULA CONSTRUTIVA"</formula>
    </cfRule>
    <cfRule type="expression" priority="2440" dxfId="3">
      <formula>$H369="ETAPA"</formula>
    </cfRule>
  </conditionalFormatting>
  <conditionalFormatting sqref="O370">
    <cfRule type="expression" priority="2437" dxfId="3">
      <formula>$H370="ETAPA"</formula>
    </cfRule>
    <cfRule type="expression" priority="2435" dxfId="4">
      <formula>$H370="SUBETAPA"</formula>
    </cfRule>
    <cfRule type="expression" priority="2436" dxfId="5">
      <formula>$H370="CÉLULA CONSTRUTIVA"</formula>
    </cfRule>
  </conditionalFormatting>
  <conditionalFormatting sqref="O371">
    <cfRule type="expression" priority="2434" dxfId="3">
      <formula>$H371="ETAPA"</formula>
    </cfRule>
    <cfRule type="expression" priority="2433" dxfId="5">
      <formula>$H371="CÉLULA CONSTRUTIVA"</formula>
    </cfRule>
    <cfRule type="expression" priority="2432" dxfId="4">
      <formula>$H371="SUBETAPA"</formula>
    </cfRule>
  </conditionalFormatting>
  <conditionalFormatting sqref="O372">
    <cfRule type="expression" priority="2429" dxfId="4">
      <formula>$H372="SUBETAPA"</formula>
    </cfRule>
    <cfRule type="expression" priority="2431" dxfId="3">
      <formula>$H372="ETAPA"</formula>
    </cfRule>
    <cfRule type="expression" priority="2430" dxfId="5">
      <formula>$H372="CÉLULA CONSTRUTIVA"</formula>
    </cfRule>
  </conditionalFormatting>
  <conditionalFormatting sqref="O373">
    <cfRule type="expression" priority="2428" dxfId="3">
      <formula>$H373="ETAPA"</formula>
    </cfRule>
    <cfRule type="expression" priority="2427" dxfId="5">
      <formula>$H373="CÉLULA CONSTRUTIVA"</formula>
    </cfRule>
    <cfRule type="expression" priority="2426" dxfId="4">
      <formula>$H373="SUBETAPA"</formula>
    </cfRule>
  </conditionalFormatting>
  <conditionalFormatting sqref="O374">
    <cfRule type="expression" priority="2423" dxfId="4">
      <formula>$H374="SUBETAPA"</formula>
    </cfRule>
    <cfRule type="expression" priority="2425" dxfId="3">
      <formula>$H374="ETAPA"</formula>
    </cfRule>
    <cfRule type="expression" priority="2424" dxfId="5">
      <formula>$H374="CÉLULA CONSTRUTIVA"</formula>
    </cfRule>
  </conditionalFormatting>
  <conditionalFormatting sqref="O375">
    <cfRule type="expression" priority="2422" dxfId="3">
      <formula>$H375="ETAPA"</formula>
    </cfRule>
    <cfRule type="expression" priority="2420" dxfId="4">
      <formula>$H375="SUBETAPA"</formula>
    </cfRule>
    <cfRule type="expression" priority="2421" dxfId="5">
      <formula>$H375="CÉLULA CONSTRUTIVA"</formula>
    </cfRule>
  </conditionalFormatting>
  <conditionalFormatting sqref="O376">
    <cfRule type="expression" priority="2417" dxfId="4">
      <formula>$H376="SUBETAPA"</formula>
    </cfRule>
    <cfRule type="expression" priority="2418" dxfId="5">
      <formula>$H376="CÉLULA CONSTRUTIVA"</formula>
    </cfRule>
    <cfRule type="expression" priority="2419" dxfId="3">
      <formula>$H376="ETAPA"</formula>
    </cfRule>
  </conditionalFormatting>
  <conditionalFormatting sqref="O377">
    <cfRule type="expression" priority="2414" dxfId="4">
      <formula>$H377="SUBETAPA"</formula>
    </cfRule>
    <cfRule type="expression" priority="2415" dxfId="5">
      <formula>$H377="CÉLULA CONSTRUTIVA"</formula>
    </cfRule>
    <cfRule type="expression" priority="2416" dxfId="3">
      <formula>$H377="ETAPA"</formula>
    </cfRule>
  </conditionalFormatting>
  <conditionalFormatting sqref="O378">
    <cfRule type="expression" priority="2412" dxfId="5">
      <formula>$H378="CÉLULA CONSTRUTIVA"</formula>
    </cfRule>
    <cfRule type="expression" priority="2413" dxfId="3">
      <formula>$H378="ETAPA"</formula>
    </cfRule>
    <cfRule type="expression" priority="2411" dxfId="4">
      <formula>$H378="SUBETAPA"</formula>
    </cfRule>
  </conditionalFormatting>
  <conditionalFormatting sqref="O379">
    <cfRule type="expression" priority="2343" dxfId="3">
      <formula>$H379="ETAPA"</formula>
    </cfRule>
    <cfRule type="expression" priority="2342" dxfId="5">
      <formula>$H379="CÉLULA CONSTRUTIVA"</formula>
    </cfRule>
    <cfRule type="expression" priority="2344" dxfId="4">
      <formula>$H379="SUBETAPA"</formula>
    </cfRule>
  </conditionalFormatting>
  <conditionalFormatting sqref="O380:O381 O1002:O1003 O1010">
    <cfRule type="expression" priority="2341" dxfId="3">
      <formula>$H380="ETAPA"</formula>
    </cfRule>
    <cfRule type="expression" priority="1700" dxfId="4">
      <formula>$H380="SUBETAPA"</formula>
    </cfRule>
    <cfRule type="expression" priority="1701" dxfId="5">
      <formula>$H380="CÉLULA CONSTRUTIVA"</formula>
    </cfRule>
  </conditionalFormatting>
  <conditionalFormatting sqref="O382:O395">
    <cfRule type="expression" priority="2339" dxfId="4">
      <formula>$H382="SUBETAPA"</formula>
    </cfRule>
    <cfRule type="expression" priority="2340" dxfId="3">
      <formula>$H382="ETAPA"</formula>
    </cfRule>
  </conditionalFormatting>
  <conditionalFormatting sqref="O396">
    <cfRule type="expression" priority="2336" dxfId="4">
      <formula>$H396="SUBETAPA"</formula>
    </cfRule>
    <cfRule type="expression" priority="2337" dxfId="5">
      <formula>$H396="CÉLULA CONSTRUTIVA"</formula>
    </cfRule>
    <cfRule type="expression" priority="2338" dxfId="3">
      <formula>$H396="ETAPA"</formula>
    </cfRule>
  </conditionalFormatting>
  <conditionalFormatting sqref="O398">
    <cfRule type="expression" priority="2335" dxfId="3">
      <formula>$H398="ETAPA"</formula>
    </cfRule>
    <cfRule type="expression" priority="2334" dxfId="5">
      <formula>$H398="CÉLULA CONSTRUTIVA"</formula>
    </cfRule>
    <cfRule type="expression" priority="2333" dxfId="4">
      <formula>$H398="SUBETAPA"</formula>
    </cfRule>
  </conditionalFormatting>
  <conditionalFormatting sqref="O399 O412 O425 O438 O451 O464 O477 O1131 O1134 O1137 O1140 O1143 O1180 O1240:O1241 O1271:O1272">
    <cfRule type="expression" priority="31" dxfId="3">
      <formula>$H399="ETAPA"</formula>
    </cfRule>
    <cfRule type="expression" priority="30" dxfId="5">
      <formula>$H399="CÉLULA CONSTRUTIVA"</formula>
    </cfRule>
    <cfRule type="expression" priority="29" dxfId="4">
      <formula>$H399="SUBETAPA"</formula>
    </cfRule>
  </conditionalFormatting>
  <conditionalFormatting sqref="O409">
    <cfRule type="expression" priority="2332" dxfId="3">
      <formula>$H409="ETAPA"</formula>
    </cfRule>
    <cfRule type="expression" priority="2331" dxfId="5">
      <formula>$H409="CÉLULA CONSTRUTIVA"</formula>
    </cfRule>
    <cfRule type="expression" priority="2330" dxfId="4">
      <formula>$H409="SUBETAPA"</formula>
    </cfRule>
  </conditionalFormatting>
  <conditionalFormatting sqref="O411">
    <cfRule type="expression" priority="2329" dxfId="3">
      <formula>$H411="ETAPA"</formula>
    </cfRule>
    <cfRule type="expression" priority="2328" dxfId="5">
      <formula>$H411="CÉLULA CONSTRUTIVA"</formula>
    </cfRule>
    <cfRule type="expression" priority="2327" dxfId="4">
      <formula>$H411="SUBETAPA"</formula>
    </cfRule>
  </conditionalFormatting>
  <conditionalFormatting sqref="O422">
    <cfRule type="expression" priority="2325" dxfId="5">
      <formula>$H422="CÉLULA CONSTRUTIVA"</formula>
    </cfRule>
    <cfRule type="expression" priority="2326" dxfId="3">
      <formula>$H422="ETAPA"</formula>
    </cfRule>
    <cfRule type="expression" priority="2324" dxfId="4">
      <formula>$H422="SUBETAPA"</formula>
    </cfRule>
  </conditionalFormatting>
  <conditionalFormatting sqref="O424">
    <cfRule type="expression" priority="2323" dxfId="3">
      <formula>$H424="ETAPA"</formula>
    </cfRule>
    <cfRule type="expression" priority="2322" dxfId="5">
      <formula>$H424="CÉLULA CONSTRUTIVA"</formula>
    </cfRule>
    <cfRule type="expression" priority="2321" dxfId="4">
      <formula>$H424="SUBETAPA"</formula>
    </cfRule>
  </conditionalFormatting>
  <conditionalFormatting sqref="O435">
    <cfRule type="expression" priority="2318" dxfId="4">
      <formula>$H435="SUBETAPA"</formula>
    </cfRule>
    <cfRule type="expression" priority="2320" dxfId="3">
      <formula>$H435="ETAPA"</formula>
    </cfRule>
    <cfRule type="expression" priority="2319" dxfId="5">
      <formula>$H435="CÉLULA CONSTRUTIVA"</formula>
    </cfRule>
  </conditionalFormatting>
  <conditionalFormatting sqref="O437">
    <cfRule type="expression" priority="2317" dxfId="3">
      <formula>$H437="ETAPA"</formula>
    </cfRule>
    <cfRule type="expression" priority="2316" dxfId="5">
      <formula>$H437="CÉLULA CONSTRUTIVA"</formula>
    </cfRule>
    <cfRule type="expression" priority="2315" dxfId="4">
      <formula>$H437="SUBETAPA"</formula>
    </cfRule>
  </conditionalFormatting>
  <conditionalFormatting sqref="O448">
    <cfRule type="expression" priority="2313" dxfId="5">
      <formula>$H448="CÉLULA CONSTRUTIVA"</formula>
    </cfRule>
    <cfRule type="expression" priority="2314" dxfId="3">
      <formula>$H448="ETAPA"</formula>
    </cfRule>
    <cfRule type="expression" priority="2312" dxfId="4">
      <formula>$H448="SUBETAPA"</formula>
    </cfRule>
  </conditionalFormatting>
  <conditionalFormatting sqref="O450">
    <cfRule type="expression" priority="2311" dxfId="3">
      <formula>$H450="ETAPA"</formula>
    </cfRule>
    <cfRule type="expression" priority="2310" dxfId="5">
      <formula>$H450="CÉLULA CONSTRUTIVA"</formula>
    </cfRule>
    <cfRule type="expression" priority="2309" dxfId="4">
      <formula>$H450="SUBETAPA"</formula>
    </cfRule>
  </conditionalFormatting>
  <conditionalFormatting sqref="O461">
    <cfRule type="expression" priority="2308" dxfId="3">
      <formula>$H461="ETAPA"</formula>
    </cfRule>
    <cfRule type="expression" priority="2307" dxfId="5">
      <formula>$H461="CÉLULA CONSTRUTIVA"</formula>
    </cfRule>
    <cfRule type="expression" priority="2306" dxfId="4">
      <formula>$H461="SUBETAPA"</formula>
    </cfRule>
  </conditionalFormatting>
  <conditionalFormatting sqref="O463">
    <cfRule type="expression" priority="2303" dxfId="4">
      <formula>$H463="SUBETAPA"</formula>
    </cfRule>
    <cfRule type="expression" priority="2305" dxfId="3">
      <formula>$H463="ETAPA"</formula>
    </cfRule>
    <cfRule type="expression" priority="2304" dxfId="5">
      <formula>$H463="CÉLULA CONSTRUTIVA"</formula>
    </cfRule>
  </conditionalFormatting>
  <conditionalFormatting sqref="O474">
    <cfRule type="expression" priority="2300" dxfId="4">
      <formula>$H474="SUBETAPA"</formula>
    </cfRule>
    <cfRule type="expression" priority="2301" dxfId="5">
      <formula>$H474="CÉLULA CONSTRUTIVA"</formula>
    </cfRule>
    <cfRule type="expression" priority="2302" dxfId="3">
      <formula>$H474="ETAPA"</formula>
    </cfRule>
  </conditionalFormatting>
  <conditionalFormatting sqref="O476">
    <cfRule type="expression" priority="2299" dxfId="3">
      <formula>$H476="ETAPA"</formula>
    </cfRule>
    <cfRule type="expression" priority="2298" dxfId="5">
      <formula>$H476="CÉLULA CONSTRUTIVA"</formula>
    </cfRule>
    <cfRule type="expression" priority="2297" dxfId="4">
      <formula>$H476="SUBETAPA"</formula>
    </cfRule>
  </conditionalFormatting>
  <conditionalFormatting sqref="O487">
    <cfRule type="expression" priority="2296" dxfId="3">
      <formula>$H487="ETAPA"</formula>
    </cfRule>
    <cfRule type="expression" priority="2295" dxfId="5">
      <formula>$H487="CÉLULA CONSTRUTIVA"</formula>
    </cfRule>
    <cfRule type="expression" priority="2294" dxfId="4">
      <formula>$H487="SUBETAPA"</formula>
    </cfRule>
  </conditionalFormatting>
  <conditionalFormatting sqref="O489">
    <cfRule type="expression" priority="2293" dxfId="3">
      <formula>$H489="ETAPA"</formula>
    </cfRule>
    <cfRule type="expression" priority="2292" dxfId="5">
      <formula>$H489="CÉLULA CONSTRUTIVA"</formula>
    </cfRule>
    <cfRule type="expression" priority="2291" dxfId="4">
      <formula>$H489="SUBETAPA"</formula>
    </cfRule>
  </conditionalFormatting>
  <conditionalFormatting sqref="G1237 G1334:H1334 G1429:H1429 G1793:H1796 G1800:H1803 G1816:H1819 G1823:H1826 G1830:H1833 G1837:H1840 G1849:H1850 H1442:H1443 H1450:H1453 H1501:H1502 H1510:H1513 H1521:H1524 H1532:H1535 H1543:H1546 H1554:H1557 J1325 J1334:L1334 J1343 J1364 J1429:L1429 J1442:K1443 J1450:K1453 J1459:K1461 J1468:K1468 J1475:K1475 J1483:K1483 J1491:K1493 J1501:K1502 J1510:K1513 J1521:K1524 J1532:K1535 J1543:K1546 J1554:K1557 J1767:L1770 J1773:L1775 J1778:L1780 J1783:L1785 J1788:L1790 J1793:L1796 J1800:L1803 J1816:L1819 J1823:L1826 J1830:L1833 J1837:L1840 J1844:L1846 J1849:L1850 J1852:K1852 J1853:L1853 J1855:K1857 L1213 L1220 L1227 L1252:L1253 L1335:L1337 L1418:L1420 L1430:L1432 L1433:M1434 M1131 M1134 M1137 M1140 M1143 M1180 M1442:M1443 M1450:M1453 M1459:M1461 M1468 M1475 M1483 M1491:M1493 M1501:M1502 M1510:M1513 M1521:M1524 M1532:M1535 M1543:M1546 M1554:M1557 O490 O503 O516 O529 O542 O555 O1190 O1283 O1293:O1294 O1306 O1315:O1316 O1326 O1334 O1344 O1353:O1354 O1365 O1374:O1375 O1398:O1399 O1411 O1416:O1417 O1429 O1767:O1770 O1773:O1775 O1778:O1780 O1783:O1785 O1788:O1790 O1793:O1796 O1800:O1803 O1816:O1819 O1823:O1826 O1830:O1833 O1837:O1840 O1844:O1846 O1849:O1850 O1853">
    <cfRule type="expression" priority="10515" dxfId="5">
      <formula>$H490="CÉLULA CONSTRUTIVA"</formula>
    </cfRule>
  </conditionalFormatting>
  <conditionalFormatting sqref="O500">
    <cfRule type="expression" priority="2289" dxfId="5">
      <formula>$H500="CÉLULA CONSTRUTIVA"</formula>
    </cfRule>
    <cfRule type="expression" priority="2288" dxfId="4">
      <formula>$H500="SUBETAPA"</formula>
    </cfRule>
    <cfRule type="expression" priority="2290" dxfId="3">
      <formula>$H500="ETAPA"</formula>
    </cfRule>
  </conditionalFormatting>
  <conditionalFormatting sqref="O502">
    <cfRule type="expression" priority="2285" dxfId="4">
      <formula>$H502="SUBETAPA"</formula>
    </cfRule>
    <cfRule type="expression" priority="2286" dxfId="5">
      <formula>$H502="CÉLULA CONSTRUTIVA"</formula>
    </cfRule>
    <cfRule type="expression" priority="2287" dxfId="3">
      <formula>$H502="ETAPA"</formula>
    </cfRule>
  </conditionalFormatting>
  <conditionalFormatting sqref="O513">
    <cfRule type="expression" priority="2284" dxfId="3">
      <formula>$H513="ETAPA"</formula>
    </cfRule>
    <cfRule type="expression" priority="2282" dxfId="4">
      <formula>$H513="SUBETAPA"</formula>
    </cfRule>
    <cfRule type="expression" priority="2283" dxfId="5">
      <formula>$H513="CÉLULA CONSTRUTIVA"</formula>
    </cfRule>
  </conditionalFormatting>
  <conditionalFormatting sqref="O515">
    <cfRule type="expression" priority="2279" dxfId="4">
      <formula>$H515="SUBETAPA"</formula>
    </cfRule>
    <cfRule type="expression" priority="2281" dxfId="3">
      <formula>$H515="ETAPA"</formula>
    </cfRule>
    <cfRule type="expression" priority="2280" dxfId="5">
      <formula>$H515="CÉLULA CONSTRUTIVA"</formula>
    </cfRule>
  </conditionalFormatting>
  <conditionalFormatting sqref="O526">
    <cfRule type="expression" priority="2276" dxfId="4">
      <formula>$H526="SUBETAPA"</formula>
    </cfRule>
    <cfRule type="expression" priority="2277" dxfId="5">
      <formula>$H526="CÉLULA CONSTRUTIVA"</formula>
    </cfRule>
    <cfRule type="expression" priority="2278" dxfId="3">
      <formula>$H526="ETAPA"</formula>
    </cfRule>
  </conditionalFormatting>
  <conditionalFormatting sqref="O528">
    <cfRule type="expression" priority="2275" dxfId="3">
      <formula>$H528="ETAPA"</formula>
    </cfRule>
    <cfRule type="expression" priority="2274" dxfId="5">
      <formula>$H528="CÉLULA CONSTRUTIVA"</formula>
    </cfRule>
    <cfRule type="expression" priority="2273" dxfId="4">
      <formula>$H528="SUBETAPA"</formula>
    </cfRule>
  </conditionalFormatting>
  <conditionalFormatting sqref="O539">
    <cfRule type="expression" priority="2270" dxfId="4">
      <formula>$H539="SUBETAPA"</formula>
    </cfRule>
    <cfRule type="expression" priority="2272" dxfId="3">
      <formula>$H539="ETAPA"</formula>
    </cfRule>
    <cfRule type="expression" priority="2271" dxfId="5">
      <formula>$H539="CÉLULA CONSTRUTIVA"</formula>
    </cfRule>
  </conditionalFormatting>
  <conditionalFormatting sqref="O541">
    <cfRule type="expression" priority="2269" dxfId="3">
      <formula>$H541="ETAPA"</formula>
    </cfRule>
    <cfRule type="expression" priority="2268" dxfId="5">
      <formula>$H541="CÉLULA CONSTRUTIVA"</formula>
    </cfRule>
    <cfRule type="expression" priority="2267" dxfId="4">
      <formula>$H541="SUBETAPA"</formula>
    </cfRule>
  </conditionalFormatting>
  <conditionalFormatting sqref="O552">
    <cfRule type="expression" priority="2264" dxfId="4">
      <formula>$H552="SUBETAPA"</formula>
    </cfRule>
    <cfRule type="expression" priority="2266" dxfId="3">
      <formula>$H552="ETAPA"</formula>
    </cfRule>
    <cfRule type="expression" priority="2265" dxfId="5">
      <formula>$H552="CÉLULA CONSTRUTIVA"</formula>
    </cfRule>
  </conditionalFormatting>
  <conditionalFormatting sqref="O554">
    <cfRule type="expression" priority="2262" dxfId="5">
      <formula>$H554="CÉLULA CONSTRUTIVA"</formula>
    </cfRule>
    <cfRule type="expression" priority="2261" dxfId="4">
      <formula>$H554="SUBETAPA"</formula>
    </cfRule>
    <cfRule type="expression" priority="2263" dxfId="3">
      <formula>$H554="ETAPA"</formula>
    </cfRule>
  </conditionalFormatting>
  <conditionalFormatting sqref="O565">
    <cfRule type="expression" priority="2259" dxfId="5">
      <formula>$H565="CÉLULA CONSTRUTIVA"</formula>
    </cfRule>
    <cfRule type="expression" priority="2260" dxfId="3">
      <formula>$H565="ETAPA"</formula>
    </cfRule>
    <cfRule type="expression" priority="2258" dxfId="4">
      <formula>$H565="SUBETAPA"</formula>
    </cfRule>
  </conditionalFormatting>
  <conditionalFormatting sqref="O567">
    <cfRule type="expression" priority="2255" dxfId="4">
      <formula>$H567="SUBETAPA"</formula>
    </cfRule>
    <cfRule type="expression" priority="2256" dxfId="5">
      <formula>$H567="CÉLULA CONSTRUTIVA"</formula>
    </cfRule>
    <cfRule type="expression" priority="2257" dxfId="3">
      <formula>$H567="ETAPA"</formula>
    </cfRule>
  </conditionalFormatting>
  <conditionalFormatting sqref="O568">
    <cfRule type="expression" priority="2252" dxfId="5">
      <formula>$H568="CÉLULA CONSTRUTIVA"</formula>
    </cfRule>
    <cfRule type="expression" priority="2254" dxfId="4">
      <formula>$H568="SUBETAPA"</formula>
    </cfRule>
    <cfRule type="expression" priority="2253" dxfId="3">
      <formula>$H568="ETAPA"</formula>
    </cfRule>
  </conditionalFormatting>
  <conditionalFormatting sqref="O569">
    <cfRule type="expression" priority="2250" dxfId="5">
      <formula>$H569="CÉLULA CONSTRUTIVA"</formula>
    </cfRule>
    <cfRule type="expression" priority="2249" dxfId="4">
      <formula>$H569="SUBETAPA"</formula>
    </cfRule>
    <cfRule type="expression" priority="2251" dxfId="3">
      <formula>$H569="ETAPA"</formula>
    </cfRule>
  </conditionalFormatting>
  <conditionalFormatting sqref="G703:M705 G719:M720 G734:M735 G749:M750 G764:M765 G779:M780 G794:M795 G809:M810 G824:M825 G839:M840 G854:M855 G869:M870 G884:M885 H1002:L1003 H1009:J1009 L1009:M1009 O570 O573 O575 O581 O584 O586 O590 O593 O595 O599 O602 O604 O608 O611 O613 O617 O620 O622 O626 O629 O631 O635 O638 O640 O644 O647 O649 O653 O656 O658 O664 O667 O669 O675 O678 O680 O684 O687 O689 O693 O696 O698 O706 O714 O716 O718 O721 O729 O731 O733 O736 O744 O746 O748 O751 O759 O761 O763 O766 O774 O776 O778 O781 O789 O791 O793 O796 O804 O806 O808 O811 O819 O821 O823 O826 O834 O836 O838 O841 O849 O851 O853 O856 O864 O866 O868 O871 O879 O881 O883 O886 O894 O896 O898 O901 O909 O911 O913 O1004 O1011 O1116">
    <cfRule type="expression" priority="8162" dxfId="4">
      <formula>$H570="SUBETAPA"</formula>
    </cfRule>
  </conditionalFormatting>
  <conditionalFormatting sqref="O571">
    <cfRule type="expression" priority="2248" dxfId="3">
      <formula>$H571="ETAPA"</formula>
    </cfRule>
    <cfRule type="expression" priority="2247" dxfId="4">
      <formula>$H571="SUBETAPA"</formula>
    </cfRule>
  </conditionalFormatting>
  <conditionalFormatting sqref="O573">
    <cfRule type="expression" priority="2245" dxfId="4">
      <formula>$H573="SUBETAPA"</formula>
    </cfRule>
    <cfRule type="expression" priority="2246" dxfId="3">
      <formula>$H573="ETAPA"</formula>
    </cfRule>
  </conditionalFormatting>
  <conditionalFormatting sqref="O574">
    <cfRule type="expression" priority="2244" dxfId="3">
      <formula>$H574="ETAPA"</formula>
    </cfRule>
    <cfRule type="expression" priority="2243" dxfId="5">
      <formula>$H574="CÉLULA CONSTRUTIVA"</formula>
    </cfRule>
    <cfRule type="expression" priority="2242" dxfId="4">
      <formula>$H574="SUBETAPA"</formula>
    </cfRule>
  </conditionalFormatting>
  <conditionalFormatting sqref="O575">
    <cfRule type="expression" priority="2241" dxfId="3">
      <formula>$H575="ETAPA"</formula>
    </cfRule>
    <cfRule type="expression" priority="2240" dxfId="4">
      <formula>$H575="SUBETAPA"</formula>
    </cfRule>
  </conditionalFormatting>
  <conditionalFormatting sqref="O572 O576">
    <cfRule type="expression" priority="2239" dxfId="3">
      <formula>$H572="ETAPA"</formula>
    </cfRule>
    <cfRule type="expression" priority="2238" dxfId="5">
      <formula>$H572="CÉLULA CONSTRUTIVA"</formula>
    </cfRule>
    <cfRule type="expression" priority="2237" dxfId="4">
      <formula>$H572="SUBETAPA"</formula>
    </cfRule>
  </conditionalFormatting>
  <conditionalFormatting sqref="O577">
    <cfRule type="expression" priority="2235" dxfId="3">
      <formula>$H577="ETAPA"</formula>
    </cfRule>
    <cfRule type="expression" priority="2234" dxfId="4">
      <formula>$H577="SUBETAPA"</formula>
    </cfRule>
    <cfRule type="expression" priority="2236" dxfId="5">
      <formula>$H577="CÉLULA CONSTRUTIVA"</formula>
    </cfRule>
  </conditionalFormatting>
  <conditionalFormatting sqref="O578">
    <cfRule type="expression" priority="2233" dxfId="3">
      <formula>$H578="ETAPA"</formula>
    </cfRule>
    <cfRule type="expression" priority="2232" dxfId="5">
      <formula>$H578="CÉLULA CONSTRUTIVA"</formula>
    </cfRule>
    <cfRule type="expression" priority="2231" dxfId="4">
      <formula>$H578="SUBETAPA"</formula>
    </cfRule>
  </conditionalFormatting>
  <conditionalFormatting sqref="O579">
    <cfRule type="expression" priority="2225" dxfId="6">
      <formula>$H579="SUBETAPA"</formula>
    </cfRule>
    <cfRule type="expression" priority="2224" dxfId="8">
      <formula>$H579="ETAPA"</formula>
    </cfRule>
    <cfRule type="expression" priority="2228" dxfId="8">
      <formula>$H579="ETAPA"</formula>
    </cfRule>
    <cfRule type="expression" priority="2230" dxfId="7">
      <formula>$H579="CÉLULA CONSTRUTIVA"</formula>
    </cfRule>
    <cfRule type="expression" priority="2229" dxfId="6">
      <formula>$H579="SUBETAPA"</formula>
    </cfRule>
    <cfRule type="expression" priority="2227" dxfId="6">
      <formula>$H579="SUBETAPA"</formula>
    </cfRule>
    <cfRule type="expression" priority="2226" dxfId="8">
      <formula>$H579="ETAPA"</formula>
    </cfRule>
  </conditionalFormatting>
  <conditionalFormatting sqref="O580">
    <cfRule type="expression" priority="2221" dxfId="4">
      <formula>$H580="SUBETAPA"</formula>
    </cfRule>
    <cfRule type="expression" priority="2222" dxfId="5">
      <formula>$H580="CÉLULA CONSTRUTIVA"</formula>
    </cfRule>
    <cfRule type="expression" priority="2223" dxfId="3">
      <formula>$H580="ETAPA"</formula>
    </cfRule>
  </conditionalFormatting>
  <conditionalFormatting sqref="O582">
    <cfRule type="expression" priority="2219" dxfId="4">
      <formula>$H582="SUBETAPA"</formula>
    </cfRule>
    <cfRule type="expression" priority="2220" dxfId="3">
      <formula>$H582="ETAPA"</formula>
    </cfRule>
  </conditionalFormatting>
  <conditionalFormatting sqref="O583">
    <cfRule type="expression" priority="2216" dxfId="4">
      <formula>$H583="SUBETAPA"</formula>
    </cfRule>
    <cfRule type="expression" priority="2217" dxfId="5">
      <formula>$H583="CÉLULA CONSTRUTIVA"</formula>
    </cfRule>
    <cfRule type="expression" priority="2218" dxfId="3">
      <formula>$H583="ETAPA"</formula>
    </cfRule>
  </conditionalFormatting>
  <conditionalFormatting sqref="O584">
    <cfRule type="expression" priority="2214" dxfId="4">
      <formula>$H584="SUBETAPA"</formula>
    </cfRule>
    <cfRule type="expression" priority="2215" dxfId="3">
      <formula>$H584="ETAPA"</formula>
    </cfRule>
  </conditionalFormatting>
  <conditionalFormatting sqref="O585">
    <cfRule type="expression" priority="2212" dxfId="5">
      <formula>$H585="CÉLULA CONSTRUTIVA"</formula>
    </cfRule>
    <cfRule type="expression" priority="2213" dxfId="3">
      <formula>$H585="ETAPA"</formula>
    </cfRule>
    <cfRule type="expression" priority="2211" dxfId="4">
      <formula>$H585="SUBETAPA"</formula>
    </cfRule>
  </conditionalFormatting>
  <conditionalFormatting sqref="O586">
    <cfRule type="expression" priority="2210" dxfId="3">
      <formula>$H586="ETAPA"</formula>
    </cfRule>
    <cfRule type="expression" priority="2209" dxfId="4">
      <formula>$H586="SUBETAPA"</formula>
    </cfRule>
  </conditionalFormatting>
  <conditionalFormatting sqref="O587">
    <cfRule type="expression" priority="2206" dxfId="4">
      <formula>$H587="SUBETAPA"</formula>
    </cfRule>
    <cfRule type="expression" priority="2207" dxfId="5">
      <formula>$H587="CÉLULA CONSTRUTIVA"</formula>
    </cfRule>
    <cfRule type="expression" priority="2208" dxfId="3">
      <formula>$H587="ETAPA"</formula>
    </cfRule>
  </conditionalFormatting>
  <conditionalFormatting sqref="O588">
    <cfRule type="expression" priority="2201" dxfId="8">
      <formula>$H588="ETAPA"</formula>
    </cfRule>
    <cfRule type="expression" priority="2199" dxfId="8">
      <formula>$H588="ETAPA"</formula>
    </cfRule>
    <cfRule type="expression" priority="2205" dxfId="7">
      <formula>$H588="CÉLULA CONSTRUTIVA"</formula>
    </cfRule>
    <cfRule type="expression" priority="2204" dxfId="6">
      <formula>$H588="SUBETAPA"</formula>
    </cfRule>
    <cfRule type="expression" priority="2203" dxfId="8">
      <formula>$H588="ETAPA"</formula>
    </cfRule>
    <cfRule type="expression" priority="2202" dxfId="6">
      <formula>$H588="SUBETAPA"</formula>
    </cfRule>
    <cfRule type="expression" priority="2200" dxfId="6">
      <formula>$H588="SUBETAPA"</formula>
    </cfRule>
  </conditionalFormatting>
  <conditionalFormatting sqref="O589">
    <cfRule type="expression" priority="2198" dxfId="3">
      <formula>$H589="ETAPA"</formula>
    </cfRule>
    <cfRule type="expression" priority="2196" dxfId="4">
      <formula>$H589="SUBETAPA"</formula>
    </cfRule>
    <cfRule type="expression" priority="2197" dxfId="5">
      <formula>$H589="CÉLULA CONSTRUTIVA"</formula>
    </cfRule>
  </conditionalFormatting>
  <conditionalFormatting sqref="O591">
    <cfRule type="expression" priority="2194" dxfId="4">
      <formula>$H591="SUBETAPA"</formula>
    </cfRule>
    <cfRule type="expression" priority="2195" dxfId="3">
      <formula>$H591="ETAPA"</formula>
    </cfRule>
  </conditionalFormatting>
  <conditionalFormatting sqref="O592">
    <cfRule type="expression" priority="2192" dxfId="5">
      <formula>$H592="CÉLULA CONSTRUTIVA"</formula>
    </cfRule>
    <cfRule type="expression" priority="2191" dxfId="4">
      <formula>$H592="SUBETAPA"</formula>
    </cfRule>
    <cfRule type="expression" priority="2193" dxfId="3">
      <formula>$H592="ETAPA"</formula>
    </cfRule>
  </conditionalFormatting>
  <conditionalFormatting sqref="O593">
    <cfRule type="expression" priority="2190" dxfId="3">
      <formula>$H593="ETAPA"</formula>
    </cfRule>
    <cfRule type="expression" priority="2189" dxfId="4">
      <formula>$H593="SUBETAPA"</formula>
    </cfRule>
  </conditionalFormatting>
  <conditionalFormatting sqref="O594">
    <cfRule type="expression" priority="2188" dxfId="3">
      <formula>$H594="ETAPA"</formula>
    </cfRule>
    <cfRule type="expression" priority="2187" dxfId="5">
      <formula>$H594="CÉLULA CONSTRUTIVA"</formula>
    </cfRule>
    <cfRule type="expression" priority="2186" dxfId="4">
      <formula>$H594="SUBETAPA"</formula>
    </cfRule>
  </conditionalFormatting>
  <conditionalFormatting sqref="O595">
    <cfRule type="expression" priority="2184" dxfId="4">
      <formula>$H595="SUBETAPA"</formula>
    </cfRule>
    <cfRule type="expression" priority="2185" dxfId="3">
      <formula>$H595="ETAPA"</formula>
    </cfRule>
  </conditionalFormatting>
  <conditionalFormatting sqref="O596">
    <cfRule type="expression" priority="2183" dxfId="3">
      <formula>$H596="ETAPA"</formula>
    </cfRule>
    <cfRule type="expression" priority="2182" dxfId="5">
      <formula>$H596="CÉLULA CONSTRUTIVA"</formula>
    </cfRule>
    <cfRule type="expression" priority="2181" dxfId="4">
      <formula>$H596="SUBETAPA"</formula>
    </cfRule>
  </conditionalFormatting>
  <conditionalFormatting sqref="O597">
    <cfRule type="expression" priority="2177" dxfId="6">
      <formula>$H597="SUBETAPA"</formula>
    </cfRule>
    <cfRule type="expression" priority="2180" dxfId="7">
      <formula>$H597="CÉLULA CONSTRUTIVA"</formula>
    </cfRule>
    <cfRule type="expression" priority="2175" dxfId="6">
      <formula>$H597="SUBETAPA"</formula>
    </cfRule>
    <cfRule type="expression" priority="2174" dxfId="8">
      <formula>$H597="ETAPA"</formula>
    </cfRule>
    <cfRule type="expression" priority="2179" dxfId="6">
      <formula>$H597="SUBETAPA"</formula>
    </cfRule>
    <cfRule type="expression" priority="2178" dxfId="8">
      <formula>$H597="ETAPA"</formula>
    </cfRule>
    <cfRule type="expression" priority="2176" dxfId="8">
      <formula>$H597="ETAPA"</formula>
    </cfRule>
  </conditionalFormatting>
  <conditionalFormatting sqref="O598">
    <cfRule type="expression" priority="2172" dxfId="5">
      <formula>$H598="CÉLULA CONSTRUTIVA"</formula>
    </cfRule>
    <cfRule type="expression" priority="2173" dxfId="3">
      <formula>$H598="ETAPA"</formula>
    </cfRule>
    <cfRule type="expression" priority="2171" dxfId="4">
      <formula>$H598="SUBETAPA"</formula>
    </cfRule>
  </conditionalFormatting>
  <conditionalFormatting sqref="O600">
    <cfRule type="expression" priority="2169" dxfId="4">
      <formula>$H600="SUBETAPA"</formula>
    </cfRule>
    <cfRule type="expression" priority="2170" dxfId="3">
      <formula>$H600="ETAPA"</formula>
    </cfRule>
  </conditionalFormatting>
  <conditionalFormatting sqref="O601">
    <cfRule type="expression" priority="2168" dxfId="3">
      <formula>$H601="ETAPA"</formula>
    </cfRule>
    <cfRule type="expression" priority="2167" dxfId="5">
      <formula>$H601="CÉLULA CONSTRUTIVA"</formula>
    </cfRule>
    <cfRule type="expression" priority="2166" dxfId="4">
      <formula>$H601="SUBETAPA"</formula>
    </cfRule>
  </conditionalFormatting>
  <conditionalFormatting sqref="O602">
    <cfRule type="expression" priority="2165" dxfId="3">
      <formula>$H602="ETAPA"</formula>
    </cfRule>
    <cfRule type="expression" priority="2164" dxfId="4">
      <formula>$H602="SUBETAPA"</formula>
    </cfRule>
  </conditionalFormatting>
  <conditionalFormatting sqref="O603">
    <cfRule type="expression" priority="2161" dxfId="4">
      <formula>$H603="SUBETAPA"</formula>
    </cfRule>
    <cfRule type="expression" priority="2162" dxfId="5">
      <formula>$H603="CÉLULA CONSTRUTIVA"</formula>
    </cfRule>
    <cfRule type="expression" priority="2163" dxfId="3">
      <formula>$H603="ETAPA"</formula>
    </cfRule>
  </conditionalFormatting>
  <conditionalFormatting sqref="O604">
    <cfRule type="expression" priority="2159" dxfId="4">
      <formula>$H604="SUBETAPA"</formula>
    </cfRule>
    <cfRule type="expression" priority="2160" dxfId="3">
      <formula>$H604="ETAPA"</formula>
    </cfRule>
  </conditionalFormatting>
  <conditionalFormatting sqref="O605">
    <cfRule type="expression" priority="2157" dxfId="5">
      <formula>$H605="CÉLULA CONSTRUTIVA"</formula>
    </cfRule>
    <cfRule type="expression" priority="2158" dxfId="3">
      <formula>$H605="ETAPA"</formula>
    </cfRule>
    <cfRule type="expression" priority="2156" dxfId="4">
      <formula>$H605="SUBETAPA"</formula>
    </cfRule>
  </conditionalFormatting>
  <conditionalFormatting sqref="O606">
    <cfRule type="expression" priority="2149" dxfId="8">
      <formula>$H606="ETAPA"</formula>
    </cfRule>
    <cfRule type="expression" priority="2150" dxfId="6">
      <formula>$H606="SUBETAPA"</formula>
    </cfRule>
    <cfRule type="expression" priority="2151" dxfId="8">
      <formula>$H606="ETAPA"</formula>
    </cfRule>
    <cfRule type="expression" priority="2152" dxfId="6">
      <formula>$H606="SUBETAPA"</formula>
    </cfRule>
    <cfRule type="expression" priority="2153" dxfId="8">
      <formula>$H606="ETAPA"</formula>
    </cfRule>
    <cfRule type="expression" priority="2154" dxfId="6">
      <formula>$H606="SUBETAPA"</formula>
    </cfRule>
    <cfRule type="expression" priority="2155" dxfId="7">
      <formula>$H606="CÉLULA CONSTRUTIVA"</formula>
    </cfRule>
  </conditionalFormatting>
  <conditionalFormatting sqref="O607">
    <cfRule type="expression" priority="2147" dxfId="5">
      <formula>$H607="CÉLULA CONSTRUTIVA"</formula>
    </cfRule>
    <cfRule type="expression" priority="2146" dxfId="4">
      <formula>$H607="SUBETAPA"</formula>
    </cfRule>
    <cfRule type="expression" priority="2148" dxfId="3">
      <formula>$H607="ETAPA"</formula>
    </cfRule>
  </conditionalFormatting>
  <conditionalFormatting sqref="O609">
    <cfRule type="expression" priority="2145" dxfId="3">
      <formula>$H609="ETAPA"</formula>
    </cfRule>
    <cfRule type="expression" priority="2144" dxfId="4">
      <formula>$H609="SUBETAPA"</formula>
    </cfRule>
  </conditionalFormatting>
  <conditionalFormatting sqref="O610">
    <cfRule type="expression" priority="2143" dxfId="3">
      <formula>$H610="ETAPA"</formula>
    </cfRule>
    <cfRule type="expression" priority="2142" dxfId="5">
      <formula>$H610="CÉLULA CONSTRUTIVA"</formula>
    </cfRule>
    <cfRule type="expression" priority="2141" dxfId="4">
      <formula>$H610="SUBETAPA"</formula>
    </cfRule>
  </conditionalFormatting>
  <conditionalFormatting sqref="O611">
    <cfRule type="expression" priority="2140" dxfId="3">
      <formula>$H611="ETAPA"</formula>
    </cfRule>
    <cfRule type="expression" priority="2139" dxfId="4">
      <formula>$H611="SUBETAPA"</formula>
    </cfRule>
  </conditionalFormatting>
  <conditionalFormatting sqref="O612">
    <cfRule type="expression" priority="2136" dxfId="4">
      <formula>$H612="SUBETAPA"</formula>
    </cfRule>
    <cfRule type="expression" priority="2137" dxfId="5">
      <formula>$H612="CÉLULA CONSTRUTIVA"</formula>
    </cfRule>
    <cfRule type="expression" priority="2138" dxfId="3">
      <formula>$H612="ETAPA"</formula>
    </cfRule>
  </conditionalFormatting>
  <conditionalFormatting sqref="O613">
    <cfRule type="expression" priority="2134" dxfId="4">
      <formula>$H613="SUBETAPA"</formula>
    </cfRule>
    <cfRule type="expression" priority="2135" dxfId="3">
      <formula>$H613="ETAPA"</formula>
    </cfRule>
  </conditionalFormatting>
  <conditionalFormatting sqref="O614">
    <cfRule type="expression" priority="2133" dxfId="3">
      <formula>$H614="ETAPA"</formula>
    </cfRule>
    <cfRule type="expression" priority="2131" dxfId="4">
      <formula>$H614="SUBETAPA"</formula>
    </cfRule>
    <cfRule type="expression" priority="2132" dxfId="5">
      <formula>$H614="CÉLULA CONSTRUTIVA"</formula>
    </cfRule>
  </conditionalFormatting>
  <conditionalFormatting sqref="O615">
    <cfRule type="expression" priority="2130" dxfId="7">
      <formula>$H615="CÉLULA CONSTRUTIVA"</formula>
    </cfRule>
    <cfRule type="expression" priority="2127" dxfId="6">
      <formula>$H615="SUBETAPA"</formula>
    </cfRule>
    <cfRule type="expression" priority="2126" dxfId="8">
      <formula>$H615="ETAPA"</formula>
    </cfRule>
    <cfRule type="expression" priority="2125" dxfId="6">
      <formula>$H615="SUBETAPA"</formula>
    </cfRule>
    <cfRule type="expression" priority="2124" dxfId="8">
      <formula>$H615="ETAPA"</formula>
    </cfRule>
    <cfRule type="expression" priority="2129" dxfId="6">
      <formula>$H615="SUBETAPA"</formula>
    </cfRule>
    <cfRule type="expression" priority="2128" dxfId="8">
      <formula>$H615="ETAPA"</formula>
    </cfRule>
  </conditionalFormatting>
  <conditionalFormatting sqref="O616">
    <cfRule type="expression" priority="2123" dxfId="3">
      <formula>$H616="ETAPA"</formula>
    </cfRule>
    <cfRule type="expression" priority="2121" dxfId="4">
      <formula>$H616="SUBETAPA"</formula>
    </cfRule>
    <cfRule type="expression" priority="2122" dxfId="5">
      <formula>$H616="CÉLULA CONSTRUTIVA"</formula>
    </cfRule>
  </conditionalFormatting>
  <conditionalFormatting sqref="O618">
    <cfRule type="expression" priority="2119" dxfId="4">
      <formula>$H618="SUBETAPA"</formula>
    </cfRule>
    <cfRule type="expression" priority="2120" dxfId="3">
      <formula>$H618="ETAPA"</formula>
    </cfRule>
  </conditionalFormatting>
  <conditionalFormatting sqref="O619">
    <cfRule type="expression" priority="2118" dxfId="3">
      <formula>$H619="ETAPA"</formula>
    </cfRule>
    <cfRule type="expression" priority="2117" dxfId="5">
      <formula>$H619="CÉLULA CONSTRUTIVA"</formula>
    </cfRule>
    <cfRule type="expression" priority="2116" dxfId="4">
      <formula>$H619="SUBETAPA"</formula>
    </cfRule>
  </conditionalFormatting>
  <conditionalFormatting sqref="O620">
    <cfRule type="expression" priority="2115" dxfId="3">
      <formula>$H620="ETAPA"</formula>
    </cfRule>
    <cfRule type="expression" priority="2114" dxfId="4">
      <formula>$H620="SUBETAPA"</formula>
    </cfRule>
  </conditionalFormatting>
  <conditionalFormatting sqref="O621">
    <cfRule type="expression" priority="2113" dxfId="3">
      <formula>$H621="ETAPA"</formula>
    </cfRule>
    <cfRule type="expression" priority="2112" dxfId="5">
      <formula>$H621="CÉLULA CONSTRUTIVA"</formula>
    </cfRule>
    <cfRule type="expression" priority="2111" dxfId="4">
      <formula>$H621="SUBETAPA"</formula>
    </cfRule>
  </conditionalFormatting>
  <conditionalFormatting sqref="O622">
    <cfRule type="expression" priority="2110" dxfId="3">
      <formula>$H622="ETAPA"</formula>
    </cfRule>
    <cfRule type="expression" priority="2109" dxfId="4">
      <formula>$H622="SUBETAPA"</formula>
    </cfRule>
  </conditionalFormatting>
  <conditionalFormatting sqref="O623">
    <cfRule type="expression" priority="2108" dxfId="3">
      <formula>$H623="ETAPA"</formula>
    </cfRule>
    <cfRule type="expression" priority="2107" dxfId="5">
      <formula>$H623="CÉLULA CONSTRUTIVA"</formula>
    </cfRule>
    <cfRule type="expression" priority="2106" dxfId="4">
      <formula>$H623="SUBETAPA"</formula>
    </cfRule>
  </conditionalFormatting>
  <conditionalFormatting sqref="O624">
    <cfRule type="expression" priority="2102" dxfId="6">
      <formula>$H624="SUBETAPA"</formula>
    </cfRule>
    <cfRule type="expression" priority="2103" dxfId="8">
      <formula>$H624="ETAPA"</formula>
    </cfRule>
    <cfRule type="expression" priority="2104" dxfId="6">
      <formula>$H624="SUBETAPA"</formula>
    </cfRule>
    <cfRule type="expression" priority="2105" dxfId="7">
      <formula>$H624="CÉLULA CONSTRUTIVA"</formula>
    </cfRule>
    <cfRule type="expression" priority="2099" dxfId="8">
      <formula>$H624="ETAPA"</formula>
    </cfRule>
    <cfRule type="expression" priority="2100" dxfId="6">
      <formula>$H624="SUBETAPA"</formula>
    </cfRule>
    <cfRule type="expression" priority="2101" dxfId="8">
      <formula>$H624="ETAPA"</formula>
    </cfRule>
  </conditionalFormatting>
  <conditionalFormatting sqref="O625">
    <cfRule type="expression" priority="2097" dxfId="5">
      <formula>$H625="CÉLULA CONSTRUTIVA"</formula>
    </cfRule>
    <cfRule type="expression" priority="2098" dxfId="3">
      <formula>$H625="ETAPA"</formula>
    </cfRule>
    <cfRule type="expression" priority="2096" dxfId="4">
      <formula>$H625="SUBETAPA"</formula>
    </cfRule>
  </conditionalFormatting>
  <conditionalFormatting sqref="O627">
    <cfRule type="expression" priority="2094" dxfId="4">
      <formula>$H627="SUBETAPA"</formula>
    </cfRule>
    <cfRule type="expression" priority="2095" dxfId="3">
      <formula>$H627="ETAPA"</formula>
    </cfRule>
  </conditionalFormatting>
  <conditionalFormatting sqref="O628">
    <cfRule type="expression" priority="2091" dxfId="4">
      <formula>$H628="SUBETAPA"</formula>
    </cfRule>
    <cfRule type="expression" priority="2092" dxfId="5">
      <formula>$H628="CÉLULA CONSTRUTIVA"</formula>
    </cfRule>
    <cfRule type="expression" priority="2093" dxfId="3">
      <formula>$H628="ETAPA"</formula>
    </cfRule>
  </conditionalFormatting>
  <conditionalFormatting sqref="O629">
    <cfRule type="expression" priority="2089" dxfId="4">
      <formula>$H629="SUBETAPA"</formula>
    </cfRule>
    <cfRule type="expression" priority="2090" dxfId="3">
      <formula>$H629="ETAPA"</formula>
    </cfRule>
  </conditionalFormatting>
  <conditionalFormatting sqref="O630">
    <cfRule type="expression" priority="2086" dxfId="4">
      <formula>$H630="SUBETAPA"</formula>
    </cfRule>
    <cfRule type="expression" priority="2087" dxfId="5">
      <formula>$H630="CÉLULA CONSTRUTIVA"</formula>
    </cfRule>
    <cfRule type="expression" priority="2088" dxfId="3">
      <formula>$H630="ETAPA"</formula>
    </cfRule>
  </conditionalFormatting>
  <conditionalFormatting sqref="O631">
    <cfRule type="expression" priority="2085" dxfId="3">
      <formula>$H631="ETAPA"</formula>
    </cfRule>
    <cfRule type="expression" priority="2084" dxfId="4">
      <formula>$H631="SUBETAPA"</formula>
    </cfRule>
  </conditionalFormatting>
  <conditionalFormatting sqref="O632">
    <cfRule type="expression" priority="2083" dxfId="3">
      <formula>$H632="ETAPA"</formula>
    </cfRule>
    <cfRule type="expression" priority="2082" dxfId="5">
      <formula>$H632="CÉLULA CONSTRUTIVA"</formula>
    </cfRule>
    <cfRule type="expression" priority="2081" dxfId="4">
      <formula>$H632="SUBETAPA"</formula>
    </cfRule>
  </conditionalFormatting>
  <conditionalFormatting sqref="O633">
    <cfRule type="expression" priority="2075" dxfId="6">
      <formula>$H633="SUBETAPA"</formula>
    </cfRule>
    <cfRule type="expression" priority="2077" dxfId="6">
      <formula>$H633="SUBETAPA"</formula>
    </cfRule>
    <cfRule type="expression" priority="2076" dxfId="8">
      <formula>$H633="ETAPA"</formula>
    </cfRule>
    <cfRule type="expression" priority="2080" dxfId="7">
      <formula>$H633="CÉLULA CONSTRUTIVA"</formula>
    </cfRule>
    <cfRule type="expression" priority="2074" dxfId="8">
      <formula>$H633="ETAPA"</formula>
    </cfRule>
    <cfRule type="expression" priority="2079" dxfId="6">
      <formula>$H633="SUBETAPA"</formula>
    </cfRule>
    <cfRule type="expression" priority="2078" dxfId="8">
      <formula>$H633="ETAPA"</formula>
    </cfRule>
  </conditionalFormatting>
  <conditionalFormatting sqref="O634">
    <cfRule type="expression" priority="2073" dxfId="3">
      <formula>$H634="ETAPA"</formula>
    </cfRule>
    <cfRule type="expression" priority="2071" dxfId="4">
      <formula>$H634="SUBETAPA"</formula>
    </cfRule>
    <cfRule type="expression" priority="2072" dxfId="5">
      <formula>$H634="CÉLULA CONSTRUTIVA"</formula>
    </cfRule>
  </conditionalFormatting>
  <conditionalFormatting sqref="O636">
    <cfRule type="expression" priority="2069" dxfId="4">
      <formula>$H636="SUBETAPA"</formula>
    </cfRule>
    <cfRule type="expression" priority="2070" dxfId="3">
      <formula>$H636="ETAPA"</formula>
    </cfRule>
  </conditionalFormatting>
  <conditionalFormatting sqref="O637">
    <cfRule type="expression" priority="2067" dxfId="5">
      <formula>$H637="CÉLULA CONSTRUTIVA"</formula>
    </cfRule>
    <cfRule type="expression" priority="2068" dxfId="3">
      <formula>$H637="ETAPA"</formula>
    </cfRule>
    <cfRule type="expression" priority="2066" dxfId="4">
      <formula>$H637="SUBETAPA"</formula>
    </cfRule>
  </conditionalFormatting>
  <conditionalFormatting sqref="O638">
    <cfRule type="expression" priority="2064" dxfId="4">
      <formula>$H638="SUBETAPA"</formula>
    </cfRule>
    <cfRule type="expression" priority="2065" dxfId="3">
      <formula>$H638="ETAPA"</formula>
    </cfRule>
  </conditionalFormatting>
  <conditionalFormatting sqref="O639">
    <cfRule type="expression" priority="2061" dxfId="4">
      <formula>$H639="SUBETAPA"</formula>
    </cfRule>
    <cfRule type="expression" priority="2062" dxfId="5">
      <formula>$H639="CÉLULA CONSTRUTIVA"</formula>
    </cfRule>
    <cfRule type="expression" priority="2063" dxfId="3">
      <formula>$H639="ETAPA"</formula>
    </cfRule>
  </conditionalFormatting>
  <conditionalFormatting sqref="O640">
    <cfRule type="expression" priority="2059" dxfId="4">
      <formula>$H640="SUBETAPA"</formula>
    </cfRule>
    <cfRule type="expression" priority="2060" dxfId="3">
      <formula>$H640="ETAPA"</formula>
    </cfRule>
  </conditionalFormatting>
  <conditionalFormatting sqref="O641">
    <cfRule type="expression" priority="2056" dxfId="4">
      <formula>$H641="SUBETAPA"</formula>
    </cfRule>
    <cfRule type="expression" priority="2057" dxfId="5">
      <formula>$H641="CÉLULA CONSTRUTIVA"</formula>
    </cfRule>
    <cfRule type="expression" priority="2058" dxfId="3">
      <formula>$H641="ETAPA"</formula>
    </cfRule>
  </conditionalFormatting>
  <conditionalFormatting sqref="O642">
    <cfRule type="expression" priority="2052" dxfId="6">
      <formula>$H642="SUBETAPA"</formula>
    </cfRule>
    <cfRule type="expression" priority="2051" dxfId="8">
      <formula>$H642="ETAPA"</formula>
    </cfRule>
    <cfRule type="expression" priority="2050" dxfId="6">
      <formula>$H642="SUBETAPA"</formula>
    </cfRule>
    <cfRule type="expression" priority="2049" dxfId="8">
      <formula>$H642="ETAPA"</formula>
    </cfRule>
    <cfRule type="expression" priority="2054" dxfId="6">
      <formula>$H642="SUBETAPA"</formula>
    </cfRule>
    <cfRule type="expression" priority="2055" dxfId="7">
      <formula>$H642="CÉLULA CONSTRUTIVA"</formula>
    </cfRule>
    <cfRule type="expression" priority="2053" dxfId="8">
      <formula>$H642="ETAPA"</formula>
    </cfRule>
  </conditionalFormatting>
  <conditionalFormatting sqref="O643">
    <cfRule type="expression" priority="2048" dxfId="3">
      <formula>$H643="ETAPA"</formula>
    </cfRule>
    <cfRule type="expression" priority="2047" dxfId="5">
      <formula>$H643="CÉLULA CONSTRUTIVA"</formula>
    </cfRule>
    <cfRule type="expression" priority="2046" dxfId="4">
      <formula>$H643="SUBETAPA"</formula>
    </cfRule>
  </conditionalFormatting>
  <conditionalFormatting sqref="O645">
    <cfRule type="expression" priority="2044" dxfId="4">
      <formula>$H645="SUBETAPA"</formula>
    </cfRule>
    <cfRule type="expression" priority="2045" dxfId="3">
      <formula>$H645="ETAPA"</formula>
    </cfRule>
  </conditionalFormatting>
  <conditionalFormatting sqref="O646">
    <cfRule type="expression" priority="2041" dxfId="4">
      <formula>$H646="SUBETAPA"</formula>
    </cfRule>
    <cfRule type="expression" priority="2042" dxfId="5">
      <formula>$H646="CÉLULA CONSTRUTIVA"</formula>
    </cfRule>
    <cfRule type="expression" priority="2043" dxfId="3">
      <formula>$H646="ETAPA"</formula>
    </cfRule>
  </conditionalFormatting>
  <conditionalFormatting sqref="O647">
    <cfRule type="expression" priority="2039" dxfId="4">
      <formula>$H647="SUBETAPA"</formula>
    </cfRule>
    <cfRule type="expression" priority="2040" dxfId="3">
      <formula>$H647="ETAPA"</formula>
    </cfRule>
  </conditionalFormatting>
  <conditionalFormatting sqref="O648">
    <cfRule type="expression" priority="2038" dxfId="3">
      <formula>$H648="ETAPA"</formula>
    </cfRule>
    <cfRule type="expression" priority="2037" dxfId="5">
      <formula>$H648="CÉLULA CONSTRUTIVA"</formula>
    </cfRule>
    <cfRule type="expression" priority="2036" dxfId="4">
      <formula>$H648="SUBETAPA"</formula>
    </cfRule>
  </conditionalFormatting>
  <conditionalFormatting sqref="O649">
    <cfRule type="expression" priority="2035" dxfId="3">
      <formula>$H649="ETAPA"</formula>
    </cfRule>
    <cfRule type="expression" priority="2034" dxfId="4">
      <formula>$H649="SUBETAPA"</formula>
    </cfRule>
  </conditionalFormatting>
  <conditionalFormatting sqref="O650">
    <cfRule type="expression" priority="2033" dxfId="3">
      <formula>$H650="ETAPA"</formula>
    </cfRule>
    <cfRule type="expression" priority="2032" dxfId="5">
      <formula>$H650="CÉLULA CONSTRUTIVA"</formula>
    </cfRule>
    <cfRule type="expression" priority="2031" dxfId="4">
      <formula>$H650="SUBETAPA"</formula>
    </cfRule>
  </conditionalFormatting>
  <conditionalFormatting sqref="O651">
    <cfRule type="expression" priority="2030" dxfId="7">
      <formula>$H651="CÉLULA CONSTRUTIVA"</formula>
    </cfRule>
    <cfRule type="expression" priority="2029" dxfId="6">
      <formula>$H651="SUBETAPA"</formula>
    </cfRule>
    <cfRule type="expression" priority="2028" dxfId="8">
      <formula>$H651="ETAPA"</formula>
    </cfRule>
    <cfRule type="expression" priority="2027" dxfId="6">
      <formula>$H651="SUBETAPA"</formula>
    </cfRule>
    <cfRule type="expression" priority="2026" dxfId="8">
      <formula>$H651="ETAPA"</formula>
    </cfRule>
    <cfRule type="expression" priority="2025" dxfId="6">
      <formula>$H651="SUBETAPA"</formula>
    </cfRule>
    <cfRule type="expression" priority="2024" dxfId="8">
      <formula>$H651="ETAPA"</formula>
    </cfRule>
  </conditionalFormatting>
  <conditionalFormatting sqref="O652">
    <cfRule type="expression" priority="2023" dxfId="3">
      <formula>$H652="ETAPA"</formula>
    </cfRule>
    <cfRule type="expression" priority="2022" dxfId="5">
      <formula>$H652="CÉLULA CONSTRUTIVA"</formula>
    </cfRule>
    <cfRule type="expression" priority="2021" dxfId="4">
      <formula>$H652="SUBETAPA"</formula>
    </cfRule>
  </conditionalFormatting>
  <conditionalFormatting sqref="O654">
    <cfRule type="expression" priority="2019" dxfId="4">
      <formula>$H654="SUBETAPA"</formula>
    </cfRule>
    <cfRule type="expression" priority="2020" dxfId="3">
      <formula>$H654="ETAPA"</formula>
    </cfRule>
  </conditionalFormatting>
  <conditionalFormatting sqref="O655 O659">
    <cfRule type="expression" priority="2018" dxfId="3">
      <formula>$H655="ETAPA"</formula>
    </cfRule>
    <cfRule type="expression" priority="2010" dxfId="5">
      <formula>$H655="CÉLULA CONSTRUTIVA"</formula>
    </cfRule>
    <cfRule type="expression" priority="2009" dxfId="4">
      <formula>$H655="SUBETAPA"</formula>
    </cfRule>
  </conditionalFormatting>
  <conditionalFormatting sqref="O656">
    <cfRule type="expression" priority="2016" dxfId="4">
      <formula>$H656="SUBETAPA"</formula>
    </cfRule>
    <cfRule type="expression" priority="2017" dxfId="3">
      <formula>$H656="ETAPA"</formula>
    </cfRule>
  </conditionalFormatting>
  <conditionalFormatting sqref="O657">
    <cfRule type="expression" priority="2015" dxfId="3">
      <formula>$H657="ETAPA"</formula>
    </cfRule>
    <cfRule type="expression" priority="2014" dxfId="5">
      <formula>$H657="CÉLULA CONSTRUTIVA"</formula>
    </cfRule>
    <cfRule type="expression" priority="2013" dxfId="4">
      <formula>$H657="SUBETAPA"</formula>
    </cfRule>
  </conditionalFormatting>
  <conditionalFormatting sqref="O658">
    <cfRule type="expression" priority="2011" dxfId="4">
      <formula>$H658="SUBETAPA"</formula>
    </cfRule>
    <cfRule type="expression" priority="2012" dxfId="3">
      <formula>$H658="ETAPA"</formula>
    </cfRule>
  </conditionalFormatting>
  <conditionalFormatting sqref="O660">
    <cfRule type="expression" priority="2007" dxfId="3">
      <formula>$H660="ETAPA"</formula>
    </cfRule>
    <cfRule type="expression" priority="2008" dxfId="5">
      <formula>$H660="CÉLULA CONSTRUTIVA"</formula>
    </cfRule>
    <cfRule type="expression" priority="2006" dxfId="4">
      <formula>$H660="SUBETAPA"</formula>
    </cfRule>
  </conditionalFormatting>
  <conditionalFormatting sqref="O661">
    <cfRule type="expression" priority="2003" dxfId="4">
      <formula>$H661="SUBETAPA"</formula>
    </cfRule>
    <cfRule type="expression" priority="2004" dxfId="5">
      <formula>$H661="CÉLULA CONSTRUTIVA"</formula>
    </cfRule>
    <cfRule type="expression" priority="2005" dxfId="3">
      <formula>$H661="ETAPA"</formula>
    </cfRule>
  </conditionalFormatting>
  <conditionalFormatting sqref="O662">
    <cfRule type="expression" priority="1998" dxfId="8">
      <formula>$H662="ETAPA"</formula>
    </cfRule>
    <cfRule type="expression" priority="1997" dxfId="6">
      <formula>$H662="SUBETAPA"</formula>
    </cfRule>
    <cfRule type="expression" priority="1996" dxfId="8">
      <formula>$H662="ETAPA"</formula>
    </cfRule>
    <cfRule type="expression" priority="2000" dxfId="8">
      <formula>$H662="ETAPA"</formula>
    </cfRule>
    <cfRule type="expression" priority="2001" dxfId="6">
      <formula>$H662="SUBETAPA"</formula>
    </cfRule>
    <cfRule type="expression" priority="2002" dxfId="7">
      <formula>$H662="CÉLULA CONSTRUTIVA"</formula>
    </cfRule>
    <cfRule type="expression" priority="1999" dxfId="6">
      <formula>$H662="SUBETAPA"</formula>
    </cfRule>
  </conditionalFormatting>
  <conditionalFormatting sqref="O663">
    <cfRule type="expression" priority="1995" dxfId="3">
      <formula>$H663="ETAPA"</formula>
    </cfRule>
    <cfRule type="expression" priority="1994" dxfId="5">
      <formula>$H663="CÉLULA CONSTRUTIVA"</formula>
    </cfRule>
    <cfRule type="expression" priority="1993" dxfId="4">
      <formula>$H663="SUBETAPA"</formula>
    </cfRule>
  </conditionalFormatting>
  <conditionalFormatting sqref="O665">
    <cfRule type="expression" priority="1991" dxfId="4">
      <formula>$H665="SUBETAPA"</formula>
    </cfRule>
    <cfRule type="expression" priority="1992" dxfId="3">
      <formula>$H665="ETAPA"</formula>
    </cfRule>
  </conditionalFormatting>
  <conditionalFormatting sqref="O666 O670">
    <cfRule type="expression" priority="1990" dxfId="3">
      <formula>$H666="ETAPA"</formula>
    </cfRule>
    <cfRule type="expression" priority="1981" dxfId="4">
      <formula>$H666="SUBETAPA"</formula>
    </cfRule>
    <cfRule type="expression" priority="1982" dxfId="5">
      <formula>$H666="CÉLULA CONSTRUTIVA"</formula>
    </cfRule>
  </conditionalFormatting>
  <conditionalFormatting sqref="O667">
    <cfRule type="expression" priority="1988" dxfId="4">
      <formula>$H667="SUBETAPA"</formula>
    </cfRule>
    <cfRule type="expression" priority="1989" dxfId="3">
      <formula>$H667="ETAPA"</formula>
    </cfRule>
  </conditionalFormatting>
  <conditionalFormatting sqref="O668">
    <cfRule type="expression" priority="1985" dxfId="4">
      <formula>$H668="SUBETAPA"</formula>
    </cfRule>
    <cfRule type="expression" priority="1986" dxfId="5">
      <formula>$H668="CÉLULA CONSTRUTIVA"</formula>
    </cfRule>
    <cfRule type="expression" priority="1987" dxfId="3">
      <formula>$H668="ETAPA"</formula>
    </cfRule>
  </conditionalFormatting>
  <conditionalFormatting sqref="O669">
    <cfRule type="expression" priority="1984" dxfId="3">
      <formula>$H669="ETAPA"</formula>
    </cfRule>
    <cfRule type="expression" priority="1983" dxfId="4">
      <formula>$H669="SUBETAPA"</formula>
    </cfRule>
  </conditionalFormatting>
  <conditionalFormatting sqref="O671">
    <cfRule type="expression" priority="1978" dxfId="4">
      <formula>$H671="SUBETAPA"</formula>
    </cfRule>
    <cfRule type="expression" priority="1980" dxfId="5">
      <formula>$H671="CÉLULA CONSTRUTIVA"</formula>
    </cfRule>
    <cfRule type="expression" priority="1979" dxfId="3">
      <formula>$H671="ETAPA"</formula>
    </cfRule>
  </conditionalFormatting>
  <conditionalFormatting sqref="O672">
    <cfRule type="expression" priority="1977" dxfId="3">
      <formula>$H672="ETAPA"</formula>
    </cfRule>
    <cfRule type="expression" priority="1976" dxfId="5">
      <formula>$H672="CÉLULA CONSTRUTIVA"</formula>
    </cfRule>
    <cfRule type="expression" priority="1975" dxfId="4">
      <formula>$H672="SUBETAPA"</formula>
    </cfRule>
  </conditionalFormatting>
  <conditionalFormatting sqref="O673">
    <cfRule type="expression" priority="1968" dxfId="8">
      <formula>$H673="ETAPA"</formula>
    </cfRule>
    <cfRule type="expression" priority="1974" dxfId="7">
      <formula>$H673="CÉLULA CONSTRUTIVA"</formula>
    </cfRule>
    <cfRule type="expression" priority="1973" dxfId="6">
      <formula>$H673="SUBETAPA"</formula>
    </cfRule>
    <cfRule type="expression" priority="1972" dxfId="8">
      <formula>$H673="ETAPA"</formula>
    </cfRule>
    <cfRule type="expression" priority="1971" dxfId="6">
      <formula>$H673="SUBETAPA"</formula>
    </cfRule>
    <cfRule type="expression" priority="1970" dxfId="8">
      <formula>$H673="ETAPA"</formula>
    </cfRule>
    <cfRule type="expression" priority="1969" dxfId="6">
      <formula>$H673="SUBETAPA"</formula>
    </cfRule>
  </conditionalFormatting>
  <conditionalFormatting sqref="O674">
    <cfRule type="expression" priority="1967" dxfId="3">
      <formula>$H674="ETAPA"</formula>
    </cfRule>
    <cfRule type="expression" priority="1966" dxfId="5">
      <formula>$H674="CÉLULA CONSTRUTIVA"</formula>
    </cfRule>
    <cfRule type="expression" priority="1965" dxfId="4">
      <formula>$H674="SUBETAPA"</formula>
    </cfRule>
  </conditionalFormatting>
  <conditionalFormatting sqref="O676">
    <cfRule type="expression" priority="1963" dxfId="4">
      <formula>$H676="SUBETAPA"</formula>
    </cfRule>
    <cfRule type="expression" priority="1964" dxfId="3">
      <formula>$H676="ETAPA"</formula>
    </cfRule>
  </conditionalFormatting>
  <conditionalFormatting sqref="O677">
    <cfRule type="expression" priority="1960" dxfId="4">
      <formula>$H677="SUBETAPA"</formula>
    </cfRule>
    <cfRule type="expression" priority="1961" dxfId="5">
      <formula>$H677="CÉLULA CONSTRUTIVA"</formula>
    </cfRule>
    <cfRule type="expression" priority="1962" dxfId="3">
      <formula>$H677="ETAPA"</formula>
    </cfRule>
  </conditionalFormatting>
  <conditionalFormatting sqref="O678">
    <cfRule type="expression" priority="1958" dxfId="4">
      <formula>$H678="SUBETAPA"</formula>
    </cfRule>
    <cfRule type="expression" priority="1959" dxfId="3">
      <formula>$H678="ETAPA"</formula>
    </cfRule>
  </conditionalFormatting>
  <conditionalFormatting sqref="O679">
    <cfRule type="expression" priority="1957" dxfId="3">
      <formula>$H679="ETAPA"</formula>
    </cfRule>
    <cfRule type="expression" priority="1956" dxfId="5">
      <formula>$H679="CÉLULA CONSTRUTIVA"</formula>
    </cfRule>
    <cfRule type="expression" priority="1955" dxfId="4">
      <formula>$H679="SUBETAPA"</formula>
    </cfRule>
  </conditionalFormatting>
  <conditionalFormatting sqref="O680">
    <cfRule type="expression" priority="1954" dxfId="3">
      <formula>$H680="ETAPA"</formula>
    </cfRule>
    <cfRule type="expression" priority="1953" dxfId="4">
      <formula>$H680="SUBETAPA"</formula>
    </cfRule>
  </conditionalFormatting>
  <conditionalFormatting sqref="O681">
    <cfRule type="expression" priority="1950" dxfId="4">
      <formula>$H681="SUBETAPA"</formula>
    </cfRule>
    <cfRule type="expression" priority="1951" dxfId="5">
      <formula>$H681="CÉLULA CONSTRUTIVA"</formula>
    </cfRule>
    <cfRule type="expression" priority="1952" dxfId="3">
      <formula>$H681="ETAPA"</formula>
    </cfRule>
  </conditionalFormatting>
  <conditionalFormatting sqref="O682">
    <cfRule type="expression" priority="1947" dxfId="8">
      <formula>$H682="ETAPA"</formula>
    </cfRule>
    <cfRule type="expression" priority="1946" dxfId="6">
      <formula>$H682="SUBETAPA"</formula>
    </cfRule>
    <cfRule type="expression" priority="1948" dxfId="6">
      <formula>$H682="SUBETAPA"</formula>
    </cfRule>
    <cfRule type="expression" priority="1949" dxfId="7">
      <formula>$H682="CÉLULA CONSTRUTIVA"</formula>
    </cfRule>
    <cfRule type="expression" priority="1945" dxfId="8">
      <formula>$H682="ETAPA"</formula>
    </cfRule>
    <cfRule type="expression" priority="1944" dxfId="6">
      <formula>$H682="SUBETAPA"</formula>
    </cfRule>
    <cfRule type="expression" priority="1943" dxfId="8">
      <formula>$H682="ETAPA"</formula>
    </cfRule>
  </conditionalFormatting>
  <conditionalFormatting sqref="O683">
    <cfRule type="expression" priority="1940" dxfId="4">
      <formula>$H683="SUBETAPA"</formula>
    </cfRule>
    <cfRule type="expression" priority="1942" dxfId="3">
      <formula>$H683="ETAPA"</formula>
    </cfRule>
    <cfRule type="expression" priority="1941" dxfId="5">
      <formula>$H683="CÉLULA CONSTRUTIVA"</formula>
    </cfRule>
  </conditionalFormatting>
  <conditionalFormatting sqref="O685">
    <cfRule type="expression" priority="1938" dxfId="4">
      <formula>$H685="SUBETAPA"</formula>
    </cfRule>
    <cfRule type="expression" priority="1939" dxfId="3">
      <formula>$H685="ETAPA"</formula>
    </cfRule>
  </conditionalFormatting>
  <conditionalFormatting sqref="O686">
    <cfRule type="expression" priority="1936" dxfId="5">
      <formula>$H686="CÉLULA CONSTRUTIVA"</formula>
    </cfRule>
    <cfRule type="expression" priority="1937" dxfId="3">
      <formula>$H686="ETAPA"</formula>
    </cfRule>
    <cfRule type="expression" priority="1935" dxfId="4">
      <formula>$H686="SUBETAPA"</formula>
    </cfRule>
  </conditionalFormatting>
  <conditionalFormatting sqref="O687">
    <cfRule type="expression" priority="1934" dxfId="3">
      <formula>$H687="ETAPA"</formula>
    </cfRule>
    <cfRule type="expression" priority="1933" dxfId="4">
      <formula>$H687="SUBETAPA"</formula>
    </cfRule>
  </conditionalFormatting>
  <conditionalFormatting sqref="O688">
    <cfRule type="expression" priority="1930" dxfId="4">
      <formula>$H688="SUBETAPA"</formula>
    </cfRule>
    <cfRule type="expression" priority="1931" dxfId="5">
      <formula>$H688="CÉLULA CONSTRUTIVA"</formula>
    </cfRule>
    <cfRule type="expression" priority="1932" dxfId="3">
      <formula>$H688="ETAPA"</formula>
    </cfRule>
  </conditionalFormatting>
  <conditionalFormatting sqref="O689">
    <cfRule type="expression" priority="1928" dxfId="4">
      <formula>$H689="SUBETAPA"</formula>
    </cfRule>
    <cfRule type="expression" priority="1929" dxfId="3">
      <formula>$H689="ETAPA"</formula>
    </cfRule>
  </conditionalFormatting>
  <conditionalFormatting sqref="O690">
    <cfRule type="expression" priority="1925" dxfId="4">
      <formula>$H690="SUBETAPA"</formula>
    </cfRule>
    <cfRule type="expression" priority="1926" dxfId="5">
      <formula>$H690="CÉLULA CONSTRUTIVA"</formula>
    </cfRule>
    <cfRule type="expression" priority="1927" dxfId="3">
      <formula>$H690="ETAPA"</formula>
    </cfRule>
  </conditionalFormatting>
  <conditionalFormatting sqref="O691">
    <cfRule type="expression" priority="1918" dxfId="8">
      <formula>$H691="ETAPA"</formula>
    </cfRule>
    <cfRule type="expression" priority="1920" dxfId="8">
      <formula>$H691="ETAPA"</formula>
    </cfRule>
    <cfRule type="expression" priority="1921" dxfId="6">
      <formula>$H691="SUBETAPA"</formula>
    </cfRule>
    <cfRule type="expression" priority="1922" dxfId="8">
      <formula>$H691="ETAPA"</formula>
    </cfRule>
    <cfRule type="expression" priority="1923" dxfId="6">
      <formula>$H691="SUBETAPA"</formula>
    </cfRule>
    <cfRule type="expression" priority="1924" dxfId="7">
      <formula>$H691="CÉLULA CONSTRUTIVA"</formula>
    </cfRule>
    <cfRule type="expression" priority="1919" dxfId="6">
      <formula>$H691="SUBETAPA"</formula>
    </cfRule>
  </conditionalFormatting>
  <conditionalFormatting sqref="O692">
    <cfRule type="expression" priority="1915" dxfId="4">
      <formula>$H692="SUBETAPA"</formula>
    </cfRule>
    <cfRule type="expression" priority="1916" dxfId="5">
      <formula>$H692="CÉLULA CONSTRUTIVA"</formula>
    </cfRule>
    <cfRule type="expression" priority="1917" dxfId="3">
      <formula>$H692="ETAPA"</formula>
    </cfRule>
  </conditionalFormatting>
  <conditionalFormatting sqref="O694">
    <cfRule type="expression" priority="1914" dxfId="3">
      <formula>$H694="ETAPA"</formula>
    </cfRule>
    <cfRule type="expression" priority="1913" dxfId="4">
      <formula>$H694="SUBETAPA"</formula>
    </cfRule>
  </conditionalFormatting>
  <conditionalFormatting sqref="O695 O699">
    <cfRule type="expression" priority="1912" dxfId="3">
      <formula>$H695="ETAPA"</formula>
    </cfRule>
    <cfRule type="expression" priority="1904" dxfId="5">
      <formula>$H695="CÉLULA CONSTRUTIVA"</formula>
    </cfRule>
    <cfRule type="expression" priority="1903" dxfId="4">
      <formula>$H695="SUBETAPA"</formula>
    </cfRule>
  </conditionalFormatting>
  <conditionalFormatting sqref="O696">
    <cfRule type="expression" priority="1911" dxfId="3">
      <formula>$H696="ETAPA"</formula>
    </cfRule>
    <cfRule type="expression" priority="1910" dxfId="4">
      <formula>$H696="SUBETAPA"</formula>
    </cfRule>
  </conditionalFormatting>
  <conditionalFormatting sqref="O697">
    <cfRule type="expression" priority="1909" dxfId="3">
      <formula>$H697="ETAPA"</formula>
    </cfRule>
    <cfRule type="expression" priority="1908" dxfId="5">
      <formula>$H697="CÉLULA CONSTRUTIVA"</formula>
    </cfRule>
    <cfRule type="expression" priority="1907" dxfId="4">
      <formula>$H697="SUBETAPA"</formula>
    </cfRule>
  </conditionalFormatting>
  <conditionalFormatting sqref="O698">
    <cfRule type="expression" priority="1905" dxfId="4">
      <formula>$H698="SUBETAPA"</formula>
    </cfRule>
    <cfRule type="expression" priority="1906" dxfId="3">
      <formula>$H698="ETAPA"</formula>
    </cfRule>
  </conditionalFormatting>
  <conditionalFormatting sqref="O700">
    <cfRule type="expression" priority="1900" dxfId="4">
      <formula>$H700="SUBETAPA"</formula>
    </cfRule>
    <cfRule type="expression" priority="1902" dxfId="5">
      <formula>$H700="CÉLULA CONSTRUTIVA"</formula>
    </cfRule>
    <cfRule type="expression" priority="1901" dxfId="3">
      <formula>$H700="ETAPA"</formula>
    </cfRule>
  </conditionalFormatting>
  <conditionalFormatting sqref="O701">
    <cfRule type="expression" priority="1897" dxfId="4">
      <formula>$H701="SUBETAPA"</formula>
    </cfRule>
    <cfRule type="expression" priority="1898" dxfId="5">
      <formula>$H701="CÉLULA CONSTRUTIVA"</formula>
    </cfRule>
    <cfRule type="expression" priority="1899" dxfId="3">
      <formula>$H701="ETAPA"</formula>
    </cfRule>
  </conditionalFormatting>
  <conditionalFormatting sqref="O702">
    <cfRule type="expression" priority="1890" dxfId="8">
      <formula>$H702="ETAPA"</formula>
    </cfRule>
    <cfRule type="expression" priority="1893" dxfId="6">
      <formula>$H702="SUBETAPA"</formula>
    </cfRule>
    <cfRule type="expression" priority="1891" dxfId="6">
      <formula>$H702="SUBETAPA"</formula>
    </cfRule>
    <cfRule type="expression" priority="1892" dxfId="8">
      <formula>$H702="ETAPA"</formula>
    </cfRule>
    <cfRule type="expression" priority="1894" dxfId="8">
      <formula>$H702="ETAPA"</formula>
    </cfRule>
    <cfRule type="expression" priority="1895" dxfId="6">
      <formula>$H702="SUBETAPA"</formula>
    </cfRule>
    <cfRule type="expression" priority="1896" dxfId="7">
      <formula>$H702="CÉLULA CONSTRUTIVA"</formula>
    </cfRule>
  </conditionalFormatting>
  <conditionalFormatting sqref="O703">
    <cfRule type="expression" priority="1889" dxfId="4">
      <formula>$H703="SUBETAPA"</formula>
    </cfRule>
    <cfRule type="expression" priority="1887" dxfId="5">
      <formula>$H703="CÉLULA CONSTRUTIVA"</formula>
    </cfRule>
    <cfRule type="expression" priority="1888" dxfId="3">
      <formula>$H703="ETAPA"</formula>
    </cfRule>
  </conditionalFormatting>
  <conditionalFormatting sqref="O704:O705">
    <cfRule type="expression" priority="1886" dxfId="3">
      <formula>$H704="ETAPA"</formula>
    </cfRule>
    <cfRule type="expression" priority="1885" dxfId="5">
      <formula>$H704="CÉLULA CONSTRUTIVA"</formula>
    </cfRule>
    <cfRule type="expression" priority="1884" dxfId="4">
      <formula>$H704="SUBETAPA"</formula>
    </cfRule>
  </conditionalFormatting>
  <conditionalFormatting sqref="O707:O713 O715 O717">
    <cfRule type="expression" priority="1881" dxfId="4">
      <formula>$H707="SUBETAPA"</formula>
    </cfRule>
    <cfRule type="expression" priority="1882" dxfId="5">
      <formula>$H707="CÉLULA CONSTRUTIVA"</formula>
    </cfRule>
    <cfRule type="expression" priority="1883" dxfId="3">
      <formula>$H707="ETAPA"</formula>
    </cfRule>
  </conditionalFormatting>
  <conditionalFormatting sqref="O719:O720">
    <cfRule type="expression" priority="1878" dxfId="4">
      <formula>$H719="SUBETAPA"</formula>
    </cfRule>
    <cfRule type="expression" priority="1879" dxfId="5">
      <formula>$H719="CÉLULA CONSTRUTIVA"</formula>
    </cfRule>
    <cfRule type="expression" priority="1880" dxfId="3">
      <formula>$H719="ETAPA"</formula>
    </cfRule>
  </conditionalFormatting>
  <conditionalFormatting sqref="O724:O725">
    <cfRule type="expression" priority="1875" dxfId="4">
      <formula>$H724="SUBETAPA"</formula>
    </cfRule>
    <cfRule type="expression" priority="1876" dxfId="5">
      <formula>$H724="CÉLULA CONSTRUTIVA"</formula>
    </cfRule>
    <cfRule type="expression" priority="1877" dxfId="3">
      <formula>$H724="ETAPA"</formula>
    </cfRule>
  </conditionalFormatting>
  <conditionalFormatting sqref="O727">
    <cfRule type="expression" priority="1872" dxfId="4">
      <formula>$H727="SUBETAPA"</formula>
    </cfRule>
    <cfRule type="expression" priority="1873" dxfId="5">
      <formula>$H727="CÉLULA CONSTRUTIVA"</formula>
    </cfRule>
    <cfRule type="expression" priority="1874" dxfId="3">
      <formula>$H727="ETAPA"</formula>
    </cfRule>
  </conditionalFormatting>
  <conditionalFormatting sqref="O722:O723 O726 O728 O730 O732">
    <cfRule type="expression" priority="1870" dxfId="5">
      <formula>$H722="CÉLULA CONSTRUTIVA"</formula>
    </cfRule>
    <cfRule type="expression" priority="1871" dxfId="3">
      <formula>$H722="ETAPA"</formula>
    </cfRule>
    <cfRule type="expression" priority="1869" dxfId="4">
      <formula>$H722="SUBETAPA"</formula>
    </cfRule>
  </conditionalFormatting>
  <conditionalFormatting sqref="O734:O735">
    <cfRule type="expression" priority="1868" dxfId="3">
      <formula>$H734="ETAPA"</formula>
    </cfRule>
    <cfRule type="expression" priority="1867" dxfId="5">
      <formula>$H734="CÉLULA CONSTRUTIVA"</formula>
    </cfRule>
    <cfRule type="expression" priority="1866" dxfId="4">
      <formula>$H734="SUBETAPA"</formula>
    </cfRule>
  </conditionalFormatting>
  <conditionalFormatting sqref="O739:O740">
    <cfRule type="expression" priority="1863" dxfId="4">
      <formula>$H739="SUBETAPA"</formula>
    </cfRule>
    <cfRule type="expression" priority="1864" dxfId="5">
      <formula>$H739="CÉLULA CONSTRUTIVA"</formula>
    </cfRule>
    <cfRule type="expression" priority="1865" dxfId="3">
      <formula>$H739="ETAPA"</formula>
    </cfRule>
  </conditionalFormatting>
  <conditionalFormatting sqref="O742">
    <cfRule type="expression" priority="1860" dxfId="4">
      <formula>$H742="SUBETAPA"</formula>
    </cfRule>
    <cfRule type="expression" priority="1862" dxfId="3">
      <formula>$H742="ETAPA"</formula>
    </cfRule>
    <cfRule type="expression" priority="1861" dxfId="5">
      <formula>$H742="CÉLULA CONSTRUTIVA"</formula>
    </cfRule>
  </conditionalFormatting>
  <conditionalFormatting sqref="O737:O738 O741 O743 O745 O747">
    <cfRule type="expression" priority="1857" dxfId="4">
      <formula>$H737="SUBETAPA"</formula>
    </cfRule>
    <cfRule type="expression" priority="1858" dxfId="5">
      <formula>$H737="CÉLULA CONSTRUTIVA"</formula>
    </cfRule>
    <cfRule type="expression" priority="1859" dxfId="3">
      <formula>$H737="ETAPA"</formula>
    </cfRule>
  </conditionalFormatting>
  <conditionalFormatting sqref="O749:O750">
    <cfRule type="expression" priority="1854" dxfId="4">
      <formula>$H749="SUBETAPA"</formula>
    </cfRule>
    <cfRule type="expression" priority="1855" dxfId="5">
      <formula>$H749="CÉLULA CONSTRUTIVA"</formula>
    </cfRule>
    <cfRule type="expression" priority="1856" dxfId="3">
      <formula>$H749="ETAPA"</formula>
    </cfRule>
  </conditionalFormatting>
  <conditionalFormatting sqref="O754:O755">
    <cfRule type="expression" priority="1851" dxfId="4">
      <formula>$H754="SUBETAPA"</formula>
    </cfRule>
    <cfRule type="expression" priority="1852" dxfId="5">
      <formula>$H754="CÉLULA CONSTRUTIVA"</formula>
    </cfRule>
    <cfRule type="expression" priority="1853" dxfId="3">
      <formula>$H754="ETAPA"</formula>
    </cfRule>
  </conditionalFormatting>
  <conditionalFormatting sqref="O757">
    <cfRule type="expression" priority="1849" dxfId="5">
      <formula>$H757="CÉLULA CONSTRUTIVA"</formula>
    </cfRule>
    <cfRule type="expression" priority="1850" dxfId="3">
      <formula>$H757="ETAPA"</formula>
    </cfRule>
    <cfRule type="expression" priority="1848" dxfId="4">
      <formula>$H757="SUBETAPA"</formula>
    </cfRule>
  </conditionalFormatting>
  <conditionalFormatting sqref="O752:O753 O756 O758 O760 O762">
    <cfRule type="expression" priority="1847" dxfId="3">
      <formula>$H752="ETAPA"</formula>
    </cfRule>
    <cfRule type="expression" priority="1846" dxfId="5">
      <formula>$H752="CÉLULA CONSTRUTIVA"</formula>
    </cfRule>
    <cfRule type="expression" priority="1845" dxfId="4">
      <formula>$H752="SUBETAPA"</formula>
    </cfRule>
  </conditionalFormatting>
  <conditionalFormatting sqref="O764:O765">
    <cfRule type="expression" priority="1844" dxfId="3">
      <formula>$H764="ETAPA"</formula>
    </cfRule>
    <cfRule type="expression" priority="1843" dxfId="5">
      <formula>$H764="CÉLULA CONSTRUTIVA"</formula>
    </cfRule>
    <cfRule type="expression" priority="1842" dxfId="4">
      <formula>$H764="SUBETAPA"</formula>
    </cfRule>
  </conditionalFormatting>
  <conditionalFormatting sqref="O769:O770">
    <cfRule type="expression" priority="1841" dxfId="3">
      <formula>$H769="ETAPA"</formula>
    </cfRule>
    <cfRule type="expression" priority="1840" dxfId="5">
      <formula>$H769="CÉLULA CONSTRUTIVA"</formula>
    </cfRule>
    <cfRule type="expression" priority="1839" dxfId="4">
      <formula>$H769="SUBETAPA"</formula>
    </cfRule>
  </conditionalFormatting>
  <conditionalFormatting sqref="O772">
    <cfRule type="expression" priority="1836" dxfId="4">
      <formula>$H772="SUBETAPA"</formula>
    </cfRule>
    <cfRule type="expression" priority="1838" dxfId="3">
      <formula>$H772="ETAPA"</formula>
    </cfRule>
    <cfRule type="expression" priority="1837" dxfId="5">
      <formula>$H772="CÉLULA CONSTRUTIVA"</formula>
    </cfRule>
  </conditionalFormatting>
  <conditionalFormatting sqref="O767:O768 O771 O773 O775 O777">
    <cfRule type="expression" priority="1835" dxfId="3">
      <formula>$H767="ETAPA"</formula>
    </cfRule>
    <cfRule type="expression" priority="1834" dxfId="5">
      <formula>$H767="CÉLULA CONSTRUTIVA"</formula>
    </cfRule>
    <cfRule type="expression" priority="1833" dxfId="4">
      <formula>$H767="SUBETAPA"</formula>
    </cfRule>
  </conditionalFormatting>
  <conditionalFormatting sqref="O779:O780">
    <cfRule type="expression" priority="1832" dxfId="3">
      <formula>$H779="ETAPA"</formula>
    </cfRule>
    <cfRule type="expression" priority="1831" dxfId="5">
      <formula>$H779="CÉLULA CONSTRUTIVA"</formula>
    </cfRule>
    <cfRule type="expression" priority="1830" dxfId="4">
      <formula>$H779="SUBETAPA"</formula>
    </cfRule>
  </conditionalFormatting>
  <conditionalFormatting sqref="O784:O785">
    <cfRule type="expression" priority="1829" dxfId="3">
      <formula>$H784="ETAPA"</formula>
    </cfRule>
    <cfRule type="expression" priority="1828" dxfId="5">
      <formula>$H784="CÉLULA CONSTRUTIVA"</formula>
    </cfRule>
    <cfRule type="expression" priority="1827" dxfId="4">
      <formula>$H784="SUBETAPA"</formula>
    </cfRule>
  </conditionalFormatting>
  <conditionalFormatting sqref="O787">
    <cfRule type="expression" priority="1826" dxfId="3">
      <formula>$H787="ETAPA"</formula>
    </cfRule>
    <cfRule type="expression" priority="1825" dxfId="5">
      <formula>$H787="CÉLULA CONSTRUTIVA"</formula>
    </cfRule>
    <cfRule type="expression" priority="1824" dxfId="4">
      <formula>$H787="SUBETAPA"</formula>
    </cfRule>
  </conditionalFormatting>
  <conditionalFormatting sqref="O782:O783 O786 O788 O790 O792">
    <cfRule type="expression" priority="1823" dxfId="3">
      <formula>$H782="ETAPA"</formula>
    </cfRule>
    <cfRule type="expression" priority="1822" dxfId="5">
      <formula>$H782="CÉLULA CONSTRUTIVA"</formula>
    </cfRule>
    <cfRule type="expression" priority="1821" dxfId="4">
      <formula>$H782="SUBETAPA"</formula>
    </cfRule>
  </conditionalFormatting>
  <conditionalFormatting sqref="O794:O795">
    <cfRule type="expression" priority="1819" dxfId="5">
      <formula>$H794="CÉLULA CONSTRUTIVA"</formula>
    </cfRule>
    <cfRule type="expression" priority="1818" dxfId="4">
      <formula>$H794="SUBETAPA"</formula>
    </cfRule>
    <cfRule type="expression" priority="1820" dxfId="3">
      <formula>$H794="ETAPA"</formula>
    </cfRule>
  </conditionalFormatting>
  <conditionalFormatting sqref="O799:O800">
    <cfRule type="expression" priority="1817" dxfId="3">
      <formula>$H799="ETAPA"</formula>
    </cfRule>
    <cfRule type="expression" priority="1816" dxfId="5">
      <formula>$H799="CÉLULA CONSTRUTIVA"</formula>
    </cfRule>
    <cfRule type="expression" priority="1815" dxfId="4">
      <formula>$H799="SUBETAPA"</formula>
    </cfRule>
  </conditionalFormatting>
  <conditionalFormatting sqref="O802">
    <cfRule type="expression" priority="1814" dxfId="3">
      <formula>$H802="ETAPA"</formula>
    </cfRule>
    <cfRule type="expression" priority="1812" dxfId="4">
      <formula>$H802="SUBETAPA"</formula>
    </cfRule>
    <cfRule type="expression" priority="1813" dxfId="5">
      <formula>$H802="CÉLULA CONSTRUTIVA"</formula>
    </cfRule>
  </conditionalFormatting>
  <conditionalFormatting sqref="O797:O798 O801 O803 O805 O807">
    <cfRule type="expression" priority="1809" dxfId="4">
      <formula>$H797="SUBETAPA"</formula>
    </cfRule>
    <cfRule type="expression" priority="1811" dxfId="3">
      <formula>$H797="ETAPA"</formula>
    </cfRule>
    <cfRule type="expression" priority="1810" dxfId="5">
      <formula>$H797="CÉLULA CONSTRUTIVA"</formula>
    </cfRule>
  </conditionalFormatting>
  <conditionalFormatting sqref="O809:O810">
    <cfRule type="expression" priority="1807" dxfId="5">
      <formula>$H809="CÉLULA CONSTRUTIVA"</formula>
    </cfRule>
    <cfRule type="expression" priority="1808" dxfId="3">
      <formula>$H809="ETAPA"</formula>
    </cfRule>
    <cfRule type="expression" priority="1806" dxfId="4">
      <formula>$H809="SUBETAPA"</formula>
    </cfRule>
  </conditionalFormatting>
  <conditionalFormatting sqref="O814:O815">
    <cfRule type="expression" priority="1805" dxfId="3">
      <formula>$H814="ETAPA"</formula>
    </cfRule>
    <cfRule type="expression" priority="1803" dxfId="4">
      <formula>$H814="SUBETAPA"</formula>
    </cfRule>
    <cfRule type="expression" priority="1804" dxfId="5">
      <formula>$H814="CÉLULA CONSTRUTIVA"</formula>
    </cfRule>
  </conditionalFormatting>
  <conditionalFormatting sqref="O817">
    <cfRule type="expression" priority="1800" dxfId="4">
      <formula>$H817="SUBETAPA"</formula>
    </cfRule>
    <cfRule type="expression" priority="1801" dxfId="5">
      <formula>$H817="CÉLULA CONSTRUTIVA"</formula>
    </cfRule>
    <cfRule type="expression" priority="1802" dxfId="3">
      <formula>$H817="ETAPA"</formula>
    </cfRule>
  </conditionalFormatting>
  <conditionalFormatting sqref="O812:O813 O816 O818 O820 O822">
    <cfRule type="expression" priority="1797" dxfId="4">
      <formula>$H812="SUBETAPA"</formula>
    </cfRule>
    <cfRule type="expression" priority="1798" dxfId="5">
      <formula>$H812="CÉLULA CONSTRUTIVA"</formula>
    </cfRule>
    <cfRule type="expression" priority="1799" dxfId="3">
      <formula>$H812="ETAPA"</formula>
    </cfRule>
  </conditionalFormatting>
  <conditionalFormatting sqref="O824:O825">
    <cfRule type="expression" priority="1794" dxfId="4">
      <formula>$H824="SUBETAPA"</formula>
    </cfRule>
    <cfRule type="expression" priority="1796" dxfId="3">
      <formula>$H824="ETAPA"</formula>
    </cfRule>
    <cfRule type="expression" priority="1795" dxfId="5">
      <formula>$H824="CÉLULA CONSTRUTIVA"</formula>
    </cfRule>
  </conditionalFormatting>
  <conditionalFormatting sqref="O829:O830">
    <cfRule type="expression" priority="1793" dxfId="3">
      <formula>$H829="ETAPA"</formula>
    </cfRule>
    <cfRule type="expression" priority="1791" dxfId="4">
      <formula>$H829="SUBETAPA"</formula>
    </cfRule>
    <cfRule type="expression" priority="1792" dxfId="5">
      <formula>$H829="CÉLULA CONSTRUTIVA"</formula>
    </cfRule>
  </conditionalFormatting>
  <conditionalFormatting sqref="O832">
    <cfRule type="expression" priority="1789" dxfId="5">
      <formula>$H832="CÉLULA CONSTRUTIVA"</formula>
    </cfRule>
    <cfRule type="expression" priority="1788" dxfId="4">
      <formula>$H832="SUBETAPA"</formula>
    </cfRule>
    <cfRule type="expression" priority="1790" dxfId="3">
      <formula>$H832="ETAPA"</formula>
    </cfRule>
  </conditionalFormatting>
  <conditionalFormatting sqref="O827:O828 O831 O833 O835 O837">
    <cfRule type="expression" priority="1787" dxfId="3">
      <formula>$H827="ETAPA"</formula>
    </cfRule>
    <cfRule type="expression" priority="1786" dxfId="5">
      <formula>$H827="CÉLULA CONSTRUTIVA"</formula>
    </cfRule>
    <cfRule type="expression" priority="1785" dxfId="4">
      <formula>$H827="SUBETAPA"</formula>
    </cfRule>
  </conditionalFormatting>
  <conditionalFormatting sqref="O839:O840">
    <cfRule type="expression" priority="1782" dxfId="4">
      <formula>$H839="SUBETAPA"</formula>
    </cfRule>
    <cfRule type="expression" priority="1784" dxfId="3">
      <formula>$H839="ETAPA"</formula>
    </cfRule>
    <cfRule type="expression" priority="1783" dxfId="5">
      <formula>$H839="CÉLULA CONSTRUTIVA"</formula>
    </cfRule>
  </conditionalFormatting>
  <conditionalFormatting sqref="O844:O845">
    <cfRule type="expression" priority="1779" dxfId="4">
      <formula>$H844="SUBETAPA"</formula>
    </cfRule>
    <cfRule type="expression" priority="1780" dxfId="5">
      <formula>$H844="CÉLULA CONSTRUTIVA"</formula>
    </cfRule>
    <cfRule type="expression" priority="1781" dxfId="3">
      <formula>$H844="ETAPA"</formula>
    </cfRule>
  </conditionalFormatting>
  <conditionalFormatting sqref="O847">
    <cfRule type="expression" priority="1776" dxfId="4">
      <formula>$H847="SUBETAPA"</formula>
    </cfRule>
    <cfRule type="expression" priority="1777" dxfId="5">
      <formula>$H847="CÉLULA CONSTRUTIVA"</formula>
    </cfRule>
    <cfRule type="expression" priority="1778" dxfId="3">
      <formula>$H847="ETAPA"</formula>
    </cfRule>
  </conditionalFormatting>
  <conditionalFormatting sqref="O842:O843 O846 O848 O850 O852">
    <cfRule type="expression" priority="1773" dxfId="4">
      <formula>$H842="SUBETAPA"</formula>
    </cfRule>
    <cfRule type="expression" priority="1774" dxfId="5">
      <formula>$H842="CÉLULA CONSTRUTIVA"</formula>
    </cfRule>
    <cfRule type="expression" priority="1775" dxfId="3">
      <formula>$H842="ETAPA"</formula>
    </cfRule>
  </conditionalFormatting>
  <conditionalFormatting sqref="O854:O855">
    <cfRule type="expression" priority="1770" dxfId="4">
      <formula>$H854="SUBETAPA"</formula>
    </cfRule>
    <cfRule type="expression" priority="1771" dxfId="5">
      <formula>$H854="CÉLULA CONSTRUTIVA"</formula>
    </cfRule>
    <cfRule type="expression" priority="1772" dxfId="3">
      <formula>$H854="ETAPA"</formula>
    </cfRule>
  </conditionalFormatting>
  <conditionalFormatting sqref="O859:O860">
    <cfRule type="expression" priority="1768" dxfId="5">
      <formula>$H859="CÉLULA CONSTRUTIVA"</formula>
    </cfRule>
    <cfRule type="expression" priority="1769" dxfId="3">
      <formula>$H859="ETAPA"</formula>
    </cfRule>
    <cfRule type="expression" priority="1767" dxfId="4">
      <formula>$H859="SUBETAPA"</formula>
    </cfRule>
  </conditionalFormatting>
  <conditionalFormatting sqref="O862">
    <cfRule type="expression" priority="1764" dxfId="4">
      <formula>$H862="SUBETAPA"</formula>
    </cfRule>
    <cfRule type="expression" priority="1765" dxfId="5">
      <formula>$H862="CÉLULA CONSTRUTIVA"</formula>
    </cfRule>
    <cfRule type="expression" priority="1766" dxfId="3">
      <formula>$H862="ETAPA"</formula>
    </cfRule>
  </conditionalFormatting>
  <conditionalFormatting sqref="O857:O858 O861 O863 O865 O867">
    <cfRule type="expression" priority="1761" dxfId="4">
      <formula>$H857="SUBETAPA"</formula>
    </cfRule>
    <cfRule type="expression" priority="1762" dxfId="5">
      <formula>$H857="CÉLULA CONSTRUTIVA"</formula>
    </cfRule>
    <cfRule type="expression" priority="1763" dxfId="3">
      <formula>$H857="ETAPA"</formula>
    </cfRule>
  </conditionalFormatting>
  <conditionalFormatting sqref="O869:O870">
    <cfRule type="expression" priority="1758" dxfId="4">
      <formula>$H869="SUBETAPA"</formula>
    </cfRule>
    <cfRule type="expression" priority="1760" dxfId="3">
      <formula>$H869="ETAPA"</formula>
    </cfRule>
    <cfRule type="expression" priority="1759" dxfId="5">
      <formula>$H869="CÉLULA CONSTRUTIVA"</formula>
    </cfRule>
  </conditionalFormatting>
  <conditionalFormatting sqref="O874:O875">
    <cfRule type="expression" priority="1757" dxfId="3">
      <formula>$H874="ETAPA"</formula>
    </cfRule>
    <cfRule type="expression" priority="1756" dxfId="5">
      <formula>$H874="CÉLULA CONSTRUTIVA"</formula>
    </cfRule>
    <cfRule type="expression" priority="1755" dxfId="4">
      <formula>$H874="SUBETAPA"</formula>
    </cfRule>
  </conditionalFormatting>
  <conditionalFormatting sqref="O877">
    <cfRule type="expression" priority="1754" dxfId="3">
      <formula>$H877="ETAPA"</formula>
    </cfRule>
    <cfRule type="expression" priority="1753" dxfId="5">
      <formula>$H877="CÉLULA CONSTRUTIVA"</formula>
    </cfRule>
    <cfRule type="expression" priority="1752" dxfId="4">
      <formula>$H877="SUBETAPA"</formula>
    </cfRule>
  </conditionalFormatting>
  <conditionalFormatting sqref="O872:O873 O876 O878 O880 O882">
    <cfRule type="expression" priority="1749" dxfId="4">
      <formula>$H872="SUBETAPA"</formula>
    </cfRule>
    <cfRule type="expression" priority="1750" dxfId="5">
      <formula>$H872="CÉLULA CONSTRUTIVA"</formula>
    </cfRule>
    <cfRule type="expression" priority="1751" dxfId="3">
      <formula>$H872="ETAPA"</formula>
    </cfRule>
  </conditionalFormatting>
  <conditionalFormatting sqref="O884:O885">
    <cfRule type="expression" priority="1746" dxfId="4">
      <formula>$H884="SUBETAPA"</formula>
    </cfRule>
    <cfRule type="expression" priority="1748" dxfId="3">
      <formula>$H884="ETAPA"</formula>
    </cfRule>
    <cfRule type="expression" priority="1747" dxfId="5">
      <formula>$H884="CÉLULA CONSTRUTIVA"</formula>
    </cfRule>
  </conditionalFormatting>
  <conditionalFormatting sqref="O889:O890">
    <cfRule type="expression" priority="1743" dxfId="4">
      <formula>$H889="SUBETAPA"</formula>
    </cfRule>
    <cfRule type="expression" priority="1744" dxfId="5">
      <formula>$H889="CÉLULA CONSTRUTIVA"</formula>
    </cfRule>
    <cfRule type="expression" priority="1745" dxfId="3">
      <formula>$H889="ETAPA"</formula>
    </cfRule>
  </conditionalFormatting>
  <conditionalFormatting sqref="O892">
    <cfRule type="expression" priority="1741" dxfId="5">
      <formula>$H892="CÉLULA CONSTRUTIVA"</formula>
    </cfRule>
    <cfRule type="expression" priority="1740" dxfId="4">
      <formula>$H892="SUBETAPA"</formula>
    </cfRule>
    <cfRule type="expression" priority="1742" dxfId="3">
      <formula>$H892="ETAPA"</formula>
    </cfRule>
  </conditionalFormatting>
  <conditionalFormatting sqref="O887:O888 O891 O893 O895 O897">
    <cfRule type="expression" priority="1737" dxfId="4">
      <formula>$H887="SUBETAPA"</formula>
    </cfRule>
    <cfRule type="expression" priority="1738" dxfId="5">
      <formula>$H887="CÉLULA CONSTRUTIVA"</formula>
    </cfRule>
    <cfRule type="expression" priority="1739" dxfId="3">
      <formula>$H887="ETAPA"</formula>
    </cfRule>
  </conditionalFormatting>
  <conditionalFormatting sqref="O899:O900">
    <cfRule type="expression" priority="1734" dxfId="4">
      <formula>$H899="SUBETAPA"</formula>
    </cfRule>
    <cfRule type="expression" priority="1735" dxfId="5">
      <formula>$H899="CÉLULA CONSTRUTIVA"</formula>
    </cfRule>
    <cfRule type="expression" priority="1736" dxfId="3">
      <formula>$H899="ETAPA"</formula>
    </cfRule>
  </conditionalFormatting>
  <conditionalFormatting sqref="O904:O905">
    <cfRule type="expression" priority="1731" dxfId="4">
      <formula>$H904="SUBETAPA"</formula>
    </cfRule>
    <cfRule type="expression" priority="1732" dxfId="5">
      <formula>$H904="CÉLULA CONSTRUTIVA"</formula>
    </cfRule>
    <cfRule type="expression" priority="1733" dxfId="3">
      <formula>$H904="ETAPA"</formula>
    </cfRule>
  </conditionalFormatting>
  <conditionalFormatting sqref="O907">
    <cfRule type="expression" priority="1728" dxfId="4">
      <formula>$H907="SUBETAPA"</formula>
    </cfRule>
    <cfRule type="expression" priority="1729" dxfId="5">
      <formula>$H907="CÉLULA CONSTRUTIVA"</formula>
    </cfRule>
    <cfRule type="expression" priority="1730" dxfId="3">
      <formula>$H907="ETAPA"</formula>
    </cfRule>
  </conditionalFormatting>
  <conditionalFormatting sqref="O902:O903 O906 O908 O910 O912">
    <cfRule type="expression" priority="1725" dxfId="4">
      <formula>$H902="SUBETAPA"</formula>
    </cfRule>
    <cfRule type="expression" priority="1726" dxfId="5">
      <formula>$H902="CÉLULA CONSTRUTIVA"</formula>
    </cfRule>
    <cfRule type="expression" priority="1727" dxfId="3">
      <formula>$H902="ETAPA"</formula>
    </cfRule>
  </conditionalFormatting>
  <conditionalFormatting sqref="O914">
    <cfRule type="expression" priority="1724" dxfId="4">
      <formula>$H914="SUBETAPA"</formula>
    </cfRule>
    <cfRule type="expression" priority="1722" dxfId="5">
      <formula>$H914="CÉLULA CONSTRUTIVA"</formula>
    </cfRule>
    <cfRule type="expression" priority="1723" dxfId="3">
      <formula>$H914="ETAPA"</formula>
    </cfRule>
  </conditionalFormatting>
  <conditionalFormatting sqref="O999">
    <cfRule type="expression" priority="1721" dxfId="4">
      <formula>$H999="SUBETAPA"</formula>
    </cfRule>
    <cfRule type="expression" priority="1720" dxfId="3">
      <formula>$H999="ETAPA"</formula>
    </cfRule>
    <cfRule type="expression" priority="1719" dxfId="5">
      <formula>$H999="CÉLULA CONSTRUTIVA"</formula>
    </cfRule>
  </conditionalFormatting>
  <conditionalFormatting sqref="O1000:O1001">
    <cfRule type="expression" priority="1716" dxfId="4">
      <formula>$H1000="SUBETAPA"</formula>
    </cfRule>
    <cfRule type="expression" priority="1718" dxfId="3">
      <formula>$H1000="ETAPA"</formula>
    </cfRule>
    <cfRule type="expression" priority="1717" dxfId="5">
      <formula>$H1000="CÉLULA CONSTRUTIVA"</formula>
    </cfRule>
  </conditionalFormatting>
  <conditionalFormatting sqref="O1005:O1006">
    <cfRule type="expression" priority="1711" dxfId="8">
      <formula>$H1005="ETAPA"</formula>
    </cfRule>
    <cfRule type="expression" priority="1712" dxfId="6">
      <formula>$H1005="SUBETAPA"</formula>
    </cfRule>
    <cfRule type="expression" priority="1713" dxfId="8">
      <formula>$H1005="ETAPA"</formula>
    </cfRule>
    <cfRule type="expression" priority="1714" dxfId="6">
      <formula>$H1005="SUBETAPA"</formula>
    </cfRule>
    <cfRule type="expression" priority="1715" dxfId="7">
      <formula>$H1005="CÉLULA CONSTRUTIVA"</formula>
    </cfRule>
    <cfRule type="expression" priority="1710" dxfId="6">
      <formula>$H1005="SUBETAPA"</formula>
    </cfRule>
    <cfRule type="expression" priority="1709" dxfId="8">
      <formula>$H1005="ETAPA"</formula>
    </cfRule>
  </conditionalFormatting>
  <conditionalFormatting sqref="O1009">
    <cfRule type="expression" priority="1707" dxfId="6">
      <formula>$H1009="SUBETAPA"</formula>
    </cfRule>
    <cfRule type="expression" priority="1703" dxfId="6">
      <formula>$H1009="SUBETAPA"</formula>
    </cfRule>
    <cfRule type="expression" priority="1706" dxfId="8">
      <formula>$H1009="ETAPA"</formula>
    </cfRule>
    <cfRule type="expression" priority="1705" dxfId="6">
      <formula>$H1009="SUBETAPA"</formula>
    </cfRule>
    <cfRule type="expression" priority="1704" dxfId="8">
      <formula>$H1009="ETAPA"</formula>
    </cfRule>
    <cfRule type="expression" priority="1702" dxfId="8">
      <formula>$H1009="ETAPA"</formula>
    </cfRule>
    <cfRule type="expression" priority="1708" dxfId="7">
      <formula>$H1009="CÉLULA CONSTRUTIVA"</formula>
    </cfRule>
  </conditionalFormatting>
  <conditionalFormatting sqref="O1012">
    <cfRule type="expression" priority="1697" dxfId="5">
      <formula>$H1012="CÉLULA CONSTRUTIVA"</formula>
    </cfRule>
    <cfRule type="expression" priority="1698" dxfId="3">
      <formula>$H1012="ETAPA"</formula>
    </cfRule>
    <cfRule type="expression" priority="1699" dxfId="4">
      <formula>$H1012="SUBETAPA"</formula>
    </cfRule>
  </conditionalFormatting>
  <conditionalFormatting sqref="O1013:O1014 O1017">
    <cfRule type="expression" priority="1696" dxfId="3">
      <formula>$H1013="ETAPA"</formula>
    </cfRule>
    <cfRule type="expression" priority="1687" dxfId="4">
      <formula>$H1013="SUBETAPA"</formula>
    </cfRule>
    <cfRule type="expression" priority="1688" dxfId="5">
      <formula>$H1013="CÉLULA CONSTRUTIVA"</formula>
    </cfRule>
  </conditionalFormatting>
  <conditionalFormatting sqref="O1015:O1016">
    <cfRule type="expression" priority="1691" dxfId="8">
      <formula>$H1015="ETAPA"</formula>
    </cfRule>
    <cfRule type="expression" priority="1690" dxfId="6">
      <formula>$H1015="SUBETAPA"</formula>
    </cfRule>
    <cfRule type="expression" priority="1695" dxfId="7">
      <formula>$H1015="CÉLULA CONSTRUTIVA"</formula>
    </cfRule>
    <cfRule type="expression" priority="1689" dxfId="8">
      <formula>$H1015="ETAPA"</formula>
    </cfRule>
    <cfRule type="expression" priority="1692" dxfId="6">
      <formula>$H1015="SUBETAPA"</formula>
    </cfRule>
    <cfRule type="expression" priority="1693" dxfId="8">
      <formula>$H1015="ETAPA"</formula>
    </cfRule>
    <cfRule type="expression" priority="1694" dxfId="6">
      <formula>$H1015="SUBETAPA"</formula>
    </cfRule>
  </conditionalFormatting>
  <conditionalFormatting sqref="O1019">
    <cfRule type="expression" priority="1685" dxfId="5">
      <formula>$H1019="CÉLULA CONSTRUTIVA"</formula>
    </cfRule>
    <cfRule type="expression" priority="1684" dxfId="4">
      <formula>$H1019="SUBETAPA"</formula>
    </cfRule>
    <cfRule type="expression" priority="1686" dxfId="3">
      <formula>$H1019="ETAPA"</formula>
    </cfRule>
  </conditionalFormatting>
  <conditionalFormatting sqref="O1020">
    <cfRule type="expression" priority="1681" dxfId="3">
      <formula>$H1020="ETAPA"</formula>
    </cfRule>
    <cfRule type="expression" priority="1682" dxfId="4">
      <formula>$H1020="SUBETAPA"</formula>
    </cfRule>
    <cfRule type="expression" priority="1683" dxfId="5">
      <formula>$H1020="CÉLULA CONSTRUTIVA"</formula>
    </cfRule>
  </conditionalFormatting>
  <conditionalFormatting sqref="O1021">
    <cfRule type="expression" priority="1680" dxfId="7">
      <formula>$H1021="CÉLULA CONSTRUTIVA"</formula>
    </cfRule>
    <cfRule type="expression" priority="1679" dxfId="6">
      <formula>$H1021="SUBETAPA"</formula>
    </cfRule>
    <cfRule type="expression" priority="1678" dxfId="8">
      <formula>$H1021="ETAPA"</formula>
    </cfRule>
    <cfRule type="expression" priority="1677" dxfId="6">
      <formula>$H1021="SUBETAPA"</formula>
    </cfRule>
    <cfRule type="expression" priority="1676" dxfId="8">
      <formula>$H1021="ETAPA"</formula>
    </cfRule>
    <cfRule type="expression" priority="1675" dxfId="6">
      <formula>$H1021="SUBETAPA"</formula>
    </cfRule>
    <cfRule type="expression" priority="1674" dxfId="8">
      <formula>$H1021="ETAPA"</formula>
    </cfRule>
  </conditionalFormatting>
  <conditionalFormatting sqref="O1022:O1026">
    <cfRule type="expression" priority="1671" dxfId="4">
      <formula>$H1022="SUBETAPA"</formula>
    </cfRule>
    <cfRule type="expression" priority="1672" dxfId="5">
      <formula>$H1022="CÉLULA CONSTRUTIVA"</formula>
    </cfRule>
    <cfRule type="expression" priority="1673" dxfId="3">
      <formula>$H1022="ETAPA"</formula>
    </cfRule>
  </conditionalFormatting>
  <conditionalFormatting sqref="O1027:O1028 O1031">
    <cfRule type="expression" priority="1670" dxfId="3">
      <formula>$H1027="ETAPA"</formula>
    </cfRule>
    <cfRule type="expression" priority="1662" dxfId="5">
      <formula>$H1027="CÉLULA CONSTRUTIVA"</formula>
    </cfRule>
    <cfRule type="expression" priority="1661" dxfId="4">
      <formula>$H1027="SUBETAPA"</formula>
    </cfRule>
  </conditionalFormatting>
  <conditionalFormatting sqref="O1029:O1030">
    <cfRule type="expression" priority="1667" dxfId="8">
      <formula>$H1029="ETAPA"</formula>
    </cfRule>
    <cfRule type="expression" priority="1666" dxfId="6">
      <formula>$H1029="SUBETAPA"</formula>
    </cfRule>
    <cfRule type="expression" priority="1665" dxfId="8">
      <formula>$H1029="ETAPA"</formula>
    </cfRule>
    <cfRule type="expression" priority="1664" dxfId="6">
      <formula>$H1029="SUBETAPA"</formula>
    </cfRule>
    <cfRule type="expression" priority="1668" dxfId="6">
      <formula>$H1029="SUBETAPA"</formula>
    </cfRule>
    <cfRule type="expression" priority="1663" dxfId="8">
      <formula>$H1029="ETAPA"</formula>
    </cfRule>
    <cfRule type="expression" priority="1669" dxfId="7">
      <formula>$H1029="CÉLULA CONSTRUTIVA"</formula>
    </cfRule>
  </conditionalFormatting>
  <conditionalFormatting sqref="O1033">
    <cfRule type="expression" priority="1659" dxfId="5">
      <formula>$H1033="CÉLULA CONSTRUTIVA"</formula>
    </cfRule>
    <cfRule type="expression" priority="1660" dxfId="3">
      <formula>$H1033="ETAPA"</formula>
    </cfRule>
    <cfRule type="expression" priority="1658" dxfId="4">
      <formula>$H1033="SUBETAPA"</formula>
    </cfRule>
  </conditionalFormatting>
  <conditionalFormatting sqref="O1034">
    <cfRule type="expression" priority="1655" dxfId="3">
      <formula>$H1034="ETAPA"</formula>
    </cfRule>
    <cfRule type="expression" priority="1656" dxfId="4">
      <formula>$H1034="SUBETAPA"</formula>
    </cfRule>
    <cfRule type="expression" priority="1657" dxfId="5">
      <formula>$H1034="CÉLULA CONSTRUTIVA"</formula>
    </cfRule>
  </conditionalFormatting>
  <conditionalFormatting sqref="O1035">
    <cfRule type="expression" priority="1652" dxfId="8">
      <formula>$H1035="ETAPA"</formula>
    </cfRule>
    <cfRule type="expression" priority="1653" dxfId="6">
      <formula>$H1035="SUBETAPA"</formula>
    </cfRule>
    <cfRule type="expression" priority="1651" dxfId="6">
      <formula>$H1035="SUBETAPA"</formula>
    </cfRule>
    <cfRule type="expression" priority="1654" dxfId="7">
      <formula>$H1035="CÉLULA CONSTRUTIVA"</formula>
    </cfRule>
    <cfRule type="expression" priority="1648" dxfId="8">
      <formula>$H1035="ETAPA"</formula>
    </cfRule>
    <cfRule type="expression" priority="1649" dxfId="6">
      <formula>$H1035="SUBETAPA"</formula>
    </cfRule>
    <cfRule type="expression" priority="1650" dxfId="8">
      <formula>$H1035="ETAPA"</formula>
    </cfRule>
  </conditionalFormatting>
  <conditionalFormatting sqref="O1036:O1040">
    <cfRule type="expression" priority="1645" dxfId="4">
      <formula>$H1036="SUBETAPA"</formula>
    </cfRule>
    <cfRule type="expression" priority="1646" dxfId="5">
      <formula>$H1036="CÉLULA CONSTRUTIVA"</formula>
    </cfRule>
    <cfRule type="expression" priority="1647" dxfId="3">
      <formula>$H1036="ETAPA"</formula>
    </cfRule>
  </conditionalFormatting>
  <conditionalFormatting sqref="O1041:O1042 O1045">
    <cfRule type="expression" priority="1644" dxfId="3">
      <formula>$H1041="ETAPA"</formula>
    </cfRule>
    <cfRule type="expression" priority="1636" dxfId="5">
      <formula>$H1041="CÉLULA CONSTRUTIVA"</formula>
    </cfRule>
    <cfRule type="expression" priority="1635" dxfId="4">
      <formula>$H1041="SUBETAPA"</formula>
    </cfRule>
  </conditionalFormatting>
  <conditionalFormatting sqref="O1043:O1044">
    <cfRule type="expression" priority="1638" dxfId="6">
      <formula>$H1043="SUBETAPA"</formula>
    </cfRule>
    <cfRule type="expression" priority="1641" dxfId="8">
      <formula>$H1043="ETAPA"</formula>
    </cfRule>
    <cfRule type="expression" priority="1642" dxfId="6">
      <formula>$H1043="SUBETAPA"</formula>
    </cfRule>
    <cfRule type="expression" priority="1643" dxfId="7">
      <formula>$H1043="CÉLULA CONSTRUTIVA"</formula>
    </cfRule>
    <cfRule type="expression" priority="1640" dxfId="6">
      <formula>$H1043="SUBETAPA"</formula>
    </cfRule>
    <cfRule type="expression" priority="1639" dxfId="8">
      <formula>$H1043="ETAPA"</formula>
    </cfRule>
    <cfRule type="expression" priority="1637" dxfId="8">
      <formula>$H1043="ETAPA"</formula>
    </cfRule>
  </conditionalFormatting>
  <conditionalFormatting sqref="O1047">
    <cfRule type="expression" priority="1632" dxfId="4">
      <formula>$H1047="SUBETAPA"</formula>
    </cfRule>
    <cfRule type="expression" priority="1634" dxfId="3">
      <formula>$H1047="ETAPA"</formula>
    </cfRule>
    <cfRule type="expression" priority="1633" dxfId="5">
      <formula>$H1047="CÉLULA CONSTRUTIVA"</formula>
    </cfRule>
  </conditionalFormatting>
  <conditionalFormatting sqref="O1048">
    <cfRule type="expression" priority="1631" dxfId="5">
      <formula>$H1048="CÉLULA CONSTRUTIVA"</formula>
    </cfRule>
    <cfRule type="expression" priority="1629" dxfId="3">
      <formula>$H1048="ETAPA"</formula>
    </cfRule>
    <cfRule type="expression" priority="1630" dxfId="4">
      <formula>$H1048="SUBETAPA"</formula>
    </cfRule>
  </conditionalFormatting>
  <conditionalFormatting sqref="O1049">
    <cfRule type="expression" priority="1627" dxfId="6">
      <formula>$H1049="SUBETAPA"</formula>
    </cfRule>
    <cfRule type="expression" priority="1625" dxfId="6">
      <formula>$H1049="SUBETAPA"</formula>
    </cfRule>
    <cfRule type="expression" priority="1624" dxfId="8">
      <formula>$H1049="ETAPA"</formula>
    </cfRule>
    <cfRule type="expression" priority="1623" dxfId="6">
      <formula>$H1049="SUBETAPA"</formula>
    </cfRule>
    <cfRule type="expression" priority="1622" dxfId="8">
      <formula>$H1049="ETAPA"</formula>
    </cfRule>
    <cfRule type="expression" priority="1626" dxfId="8">
      <formula>$H1049="ETAPA"</formula>
    </cfRule>
    <cfRule type="expression" priority="1628" dxfId="7">
      <formula>$H1049="CÉLULA CONSTRUTIVA"</formula>
    </cfRule>
  </conditionalFormatting>
  <conditionalFormatting sqref="O1050:O1054">
    <cfRule type="expression" priority="1619" dxfId="4">
      <formula>$H1050="SUBETAPA"</formula>
    </cfRule>
    <cfRule type="expression" priority="1620" dxfId="5">
      <formula>$H1050="CÉLULA CONSTRUTIVA"</formula>
    </cfRule>
    <cfRule type="expression" priority="1621" dxfId="3">
      <formula>$H1050="ETAPA"</formula>
    </cfRule>
  </conditionalFormatting>
  <conditionalFormatting sqref="O1055:O1056 O1059">
    <cfRule type="expression" priority="1618" dxfId="3">
      <formula>$H1055="ETAPA"</formula>
    </cfRule>
    <cfRule type="expression" priority="1610" dxfId="5">
      <formula>$H1055="CÉLULA CONSTRUTIVA"</formula>
    </cfRule>
    <cfRule type="expression" priority="1609" dxfId="4">
      <formula>$H1055="SUBETAPA"</formula>
    </cfRule>
  </conditionalFormatting>
  <conditionalFormatting sqref="O1057:O1058">
    <cfRule type="expression" priority="1616" dxfId="6">
      <formula>$H1057="SUBETAPA"</formula>
    </cfRule>
    <cfRule type="expression" priority="1617" dxfId="7">
      <formula>$H1057="CÉLULA CONSTRUTIVA"</formula>
    </cfRule>
    <cfRule type="expression" priority="1614" dxfId="6">
      <formula>$H1057="SUBETAPA"</formula>
    </cfRule>
    <cfRule type="expression" priority="1612" dxfId="6">
      <formula>$H1057="SUBETAPA"</formula>
    </cfRule>
    <cfRule type="expression" priority="1613" dxfId="8">
      <formula>$H1057="ETAPA"</formula>
    </cfRule>
    <cfRule type="expression" priority="1611" dxfId="8">
      <formula>$H1057="ETAPA"</formula>
    </cfRule>
    <cfRule type="expression" priority="1615" dxfId="8">
      <formula>$H1057="ETAPA"</formula>
    </cfRule>
  </conditionalFormatting>
  <conditionalFormatting sqref="O1061">
    <cfRule type="expression" priority="1606" dxfId="4">
      <formula>$H1061="SUBETAPA"</formula>
    </cfRule>
    <cfRule type="expression" priority="1607" dxfId="5">
      <formula>$H1061="CÉLULA CONSTRUTIVA"</formula>
    </cfRule>
    <cfRule type="expression" priority="1608" dxfId="3">
      <formula>$H1061="ETAPA"</formula>
    </cfRule>
  </conditionalFormatting>
  <conditionalFormatting sqref="O1062">
    <cfRule type="expression" priority="1605" dxfId="5">
      <formula>$H1062="CÉLULA CONSTRUTIVA"</formula>
    </cfRule>
    <cfRule type="expression" priority="1604" dxfId="4">
      <formula>$H1062="SUBETAPA"</formula>
    </cfRule>
    <cfRule type="expression" priority="1603" dxfId="3">
      <formula>$H1062="ETAPA"</formula>
    </cfRule>
  </conditionalFormatting>
  <conditionalFormatting sqref="O1063">
    <cfRule type="expression" priority="1596" dxfId="8">
      <formula>$H1063="ETAPA"</formula>
    </cfRule>
    <cfRule type="expression" priority="1600" dxfId="8">
      <formula>$H1063="ETAPA"</formula>
    </cfRule>
    <cfRule type="expression" priority="1602" dxfId="7">
      <formula>$H1063="CÉLULA CONSTRUTIVA"</formula>
    </cfRule>
    <cfRule type="expression" priority="1601" dxfId="6">
      <formula>$H1063="SUBETAPA"</formula>
    </cfRule>
    <cfRule type="expression" priority="1599" dxfId="6">
      <formula>$H1063="SUBETAPA"</formula>
    </cfRule>
    <cfRule type="expression" priority="1598" dxfId="8">
      <formula>$H1063="ETAPA"</formula>
    </cfRule>
    <cfRule type="expression" priority="1597" dxfId="6">
      <formula>$H1063="SUBETAPA"</formula>
    </cfRule>
  </conditionalFormatting>
  <conditionalFormatting sqref="O1064:O1068">
    <cfRule type="expression" priority="1595" dxfId="3">
      <formula>$H1064="ETAPA"</formula>
    </cfRule>
    <cfRule type="expression" priority="1594" dxfId="5">
      <formula>$H1064="CÉLULA CONSTRUTIVA"</formula>
    </cfRule>
    <cfRule type="expression" priority="1593" dxfId="4">
      <formula>$H1064="SUBETAPA"</formula>
    </cfRule>
  </conditionalFormatting>
  <conditionalFormatting sqref="O1069:O1070 O1073">
    <cfRule type="expression" priority="1592" dxfId="3">
      <formula>$H1069="ETAPA"</formula>
    </cfRule>
    <cfRule type="expression" priority="1584" dxfId="5">
      <formula>$H1069="CÉLULA CONSTRUTIVA"</formula>
    </cfRule>
    <cfRule type="expression" priority="1583" dxfId="4">
      <formula>$H1069="SUBETAPA"</formula>
    </cfRule>
  </conditionalFormatting>
  <conditionalFormatting sqref="O1071:O1072">
    <cfRule type="expression" priority="1587" dxfId="8">
      <formula>$H1071="ETAPA"</formula>
    </cfRule>
    <cfRule type="expression" priority="1585" dxfId="8">
      <formula>$H1071="ETAPA"</formula>
    </cfRule>
    <cfRule type="expression" priority="1586" dxfId="6">
      <formula>$H1071="SUBETAPA"</formula>
    </cfRule>
    <cfRule type="expression" priority="1591" dxfId="7">
      <formula>$H1071="CÉLULA CONSTRUTIVA"</formula>
    </cfRule>
    <cfRule type="expression" priority="1590" dxfId="6">
      <formula>$H1071="SUBETAPA"</formula>
    </cfRule>
    <cfRule type="expression" priority="1589" dxfId="8">
      <formula>$H1071="ETAPA"</formula>
    </cfRule>
    <cfRule type="expression" priority="1588" dxfId="6">
      <formula>$H1071="SUBETAPA"</formula>
    </cfRule>
  </conditionalFormatting>
  <conditionalFormatting sqref="O1075">
    <cfRule type="expression" priority="1580" dxfId="4">
      <formula>$H1075="SUBETAPA"</formula>
    </cfRule>
    <cfRule type="expression" priority="1581" dxfId="5">
      <formula>$H1075="CÉLULA CONSTRUTIVA"</formula>
    </cfRule>
    <cfRule type="expression" priority="1582" dxfId="3">
      <formula>$H1075="ETAPA"</formula>
    </cfRule>
  </conditionalFormatting>
  <conditionalFormatting sqref="O1076">
    <cfRule type="expression" priority="1577" dxfId="3">
      <formula>$H1076="ETAPA"</formula>
    </cfRule>
    <cfRule type="expression" priority="1578" dxfId="4">
      <formula>$H1076="SUBETAPA"</formula>
    </cfRule>
    <cfRule type="expression" priority="1579" dxfId="5">
      <formula>$H1076="CÉLULA CONSTRUTIVA"</formula>
    </cfRule>
  </conditionalFormatting>
  <conditionalFormatting sqref="O1077">
    <cfRule type="expression" priority="1575" dxfId="6">
      <formula>$H1077="SUBETAPA"</formula>
    </cfRule>
    <cfRule type="expression" priority="1576" dxfId="7">
      <formula>$H1077="CÉLULA CONSTRUTIVA"</formula>
    </cfRule>
    <cfRule type="expression" priority="1574" dxfId="8">
      <formula>$H1077="ETAPA"</formula>
    </cfRule>
    <cfRule type="expression" priority="1572" dxfId="8">
      <formula>$H1077="ETAPA"</formula>
    </cfRule>
    <cfRule type="expression" priority="1571" dxfId="6">
      <formula>$H1077="SUBETAPA"</formula>
    </cfRule>
    <cfRule type="expression" priority="1570" dxfId="8">
      <formula>$H1077="ETAPA"</formula>
    </cfRule>
    <cfRule type="expression" priority="1573" dxfId="6">
      <formula>$H1077="SUBETAPA"</formula>
    </cfRule>
  </conditionalFormatting>
  <conditionalFormatting sqref="O1078:O1082">
    <cfRule type="expression" priority="1568" dxfId="5">
      <formula>$H1078="CÉLULA CONSTRUTIVA"</formula>
    </cfRule>
    <cfRule type="expression" priority="1567" dxfId="4">
      <formula>$H1078="SUBETAPA"</formula>
    </cfRule>
    <cfRule type="expression" priority="1569" dxfId="3">
      <formula>$H1078="ETAPA"</formula>
    </cfRule>
  </conditionalFormatting>
  <conditionalFormatting sqref="O1083:O1084 O1087">
    <cfRule type="expression" priority="1566" dxfId="3">
      <formula>$H1083="ETAPA"</formula>
    </cfRule>
    <cfRule type="expression" priority="1558" dxfId="5">
      <formula>$H1083="CÉLULA CONSTRUTIVA"</formula>
    </cfRule>
    <cfRule type="expression" priority="1557" dxfId="4">
      <formula>$H1083="SUBETAPA"</formula>
    </cfRule>
  </conditionalFormatting>
  <conditionalFormatting sqref="O1085:O1086">
    <cfRule type="expression" priority="1560" dxfId="6">
      <formula>$H1085="SUBETAPA"</formula>
    </cfRule>
    <cfRule type="expression" priority="1565" dxfId="7">
      <formula>$H1085="CÉLULA CONSTRUTIVA"</formula>
    </cfRule>
    <cfRule type="expression" priority="1563" dxfId="8">
      <formula>$H1085="ETAPA"</formula>
    </cfRule>
    <cfRule type="expression" priority="1561" dxfId="8">
      <formula>$H1085="ETAPA"</formula>
    </cfRule>
    <cfRule type="expression" priority="1562" dxfId="6">
      <formula>$H1085="SUBETAPA"</formula>
    </cfRule>
    <cfRule type="expression" priority="1559" dxfId="8">
      <formula>$H1085="ETAPA"</formula>
    </cfRule>
    <cfRule type="expression" priority="1564" dxfId="6">
      <formula>$H1085="SUBETAPA"</formula>
    </cfRule>
  </conditionalFormatting>
  <conditionalFormatting sqref="O1089">
    <cfRule type="expression" priority="1555" dxfId="5">
      <formula>$H1089="CÉLULA CONSTRUTIVA"</formula>
    </cfRule>
    <cfRule type="expression" priority="1554" dxfId="4">
      <formula>$H1089="SUBETAPA"</formula>
    </cfRule>
    <cfRule type="expression" priority="1556" dxfId="3">
      <formula>$H1089="ETAPA"</formula>
    </cfRule>
  </conditionalFormatting>
  <conditionalFormatting sqref="O1090">
    <cfRule type="expression" priority="1553" dxfId="5">
      <formula>$H1090="CÉLULA CONSTRUTIVA"</formula>
    </cfRule>
    <cfRule type="expression" priority="1552" dxfId="4">
      <formula>$H1090="SUBETAPA"</formula>
    </cfRule>
    <cfRule type="expression" priority="1551" dxfId="3">
      <formula>$H1090="ETAPA"</formula>
    </cfRule>
  </conditionalFormatting>
  <conditionalFormatting sqref="O1091">
    <cfRule type="expression" priority="1550" dxfId="7">
      <formula>$H1091="CÉLULA CONSTRUTIVA"</formula>
    </cfRule>
    <cfRule type="expression" priority="1549" dxfId="6">
      <formula>$H1091="SUBETAPA"</formula>
    </cfRule>
    <cfRule type="expression" priority="1548" dxfId="8">
      <formula>$H1091="ETAPA"</formula>
    </cfRule>
    <cfRule type="expression" priority="1547" dxfId="6">
      <formula>$H1091="SUBETAPA"</formula>
    </cfRule>
    <cfRule type="expression" priority="1545" dxfId="6">
      <formula>$H1091="SUBETAPA"</formula>
    </cfRule>
    <cfRule type="expression" priority="1546" dxfId="8">
      <formula>$H1091="ETAPA"</formula>
    </cfRule>
    <cfRule type="expression" priority="1544" dxfId="8">
      <formula>$H1091="ETAPA"</formula>
    </cfRule>
  </conditionalFormatting>
  <conditionalFormatting sqref="O1092:O1096">
    <cfRule type="expression" priority="1543" dxfId="3">
      <formula>$H1092="ETAPA"</formula>
    </cfRule>
    <cfRule type="expression" priority="1542" dxfId="5">
      <formula>$H1092="CÉLULA CONSTRUTIVA"</formula>
    </cfRule>
    <cfRule type="expression" priority="1541" dxfId="4">
      <formula>$H1092="SUBETAPA"</formula>
    </cfRule>
  </conditionalFormatting>
  <conditionalFormatting sqref="O1097:O1098 O1101">
    <cfRule type="expression" priority="1540" dxfId="3">
      <formula>$H1097="ETAPA"</formula>
    </cfRule>
    <cfRule type="expression" priority="1532" dxfId="5">
      <formula>$H1097="CÉLULA CONSTRUTIVA"</formula>
    </cfRule>
    <cfRule type="expression" priority="1531" dxfId="4">
      <formula>$H1097="SUBETAPA"</formula>
    </cfRule>
  </conditionalFormatting>
  <conditionalFormatting sqref="O1099:O1100">
    <cfRule type="expression" priority="1539" dxfId="7">
      <formula>$H1099="CÉLULA CONSTRUTIVA"</formula>
    </cfRule>
    <cfRule type="expression" priority="1538" dxfId="6">
      <formula>$H1099="SUBETAPA"</formula>
    </cfRule>
    <cfRule type="expression" priority="1537" dxfId="8">
      <formula>$H1099="ETAPA"</formula>
    </cfRule>
    <cfRule type="expression" priority="1536" dxfId="6">
      <formula>$H1099="SUBETAPA"</formula>
    </cfRule>
    <cfRule type="expression" priority="1535" dxfId="8">
      <formula>$H1099="ETAPA"</formula>
    </cfRule>
    <cfRule type="expression" priority="1534" dxfId="6">
      <formula>$H1099="SUBETAPA"</formula>
    </cfRule>
    <cfRule type="expression" priority="1533" dxfId="8">
      <formula>$H1099="ETAPA"</formula>
    </cfRule>
  </conditionalFormatting>
  <conditionalFormatting sqref="O1103">
    <cfRule type="expression" priority="1530" dxfId="3">
      <formula>$H1103="ETAPA"</formula>
    </cfRule>
    <cfRule type="expression" priority="1529" dxfId="5">
      <formula>$H1103="CÉLULA CONSTRUTIVA"</formula>
    </cfRule>
    <cfRule type="expression" priority="1528" dxfId="4">
      <formula>$H1103="SUBETAPA"</formula>
    </cfRule>
  </conditionalFormatting>
  <conditionalFormatting sqref="O1104">
    <cfRule type="expression" priority="1527" dxfId="5">
      <formula>$H1104="CÉLULA CONSTRUTIVA"</formula>
    </cfRule>
    <cfRule type="expression" priority="1526" dxfId="4">
      <formula>$H1104="SUBETAPA"</formula>
    </cfRule>
    <cfRule type="expression" priority="1525" dxfId="3">
      <formula>$H1104="ETAPA"</formula>
    </cfRule>
  </conditionalFormatting>
  <conditionalFormatting sqref="O1105">
    <cfRule type="expression" priority="1524" dxfId="7">
      <formula>$H1105="CÉLULA CONSTRUTIVA"</formula>
    </cfRule>
    <cfRule type="expression" priority="1523" dxfId="6">
      <formula>$H1105="SUBETAPA"</formula>
    </cfRule>
    <cfRule type="expression" priority="1522" dxfId="8">
      <formula>$H1105="ETAPA"</formula>
    </cfRule>
    <cfRule type="expression" priority="1521" dxfId="6">
      <formula>$H1105="SUBETAPA"</formula>
    </cfRule>
    <cfRule type="expression" priority="1520" dxfId="8">
      <formula>$H1105="ETAPA"</formula>
    </cfRule>
    <cfRule type="expression" priority="1519" dxfId="6">
      <formula>$H1105="SUBETAPA"</formula>
    </cfRule>
    <cfRule type="expression" priority="1518" dxfId="8">
      <formula>$H1105="ETAPA"</formula>
    </cfRule>
  </conditionalFormatting>
  <conditionalFormatting sqref="O1106:O1110">
    <cfRule type="expression" priority="1515" dxfId="4">
      <formula>$H1106="SUBETAPA"</formula>
    </cfRule>
    <cfRule type="expression" priority="1517" dxfId="3">
      <formula>$H1106="ETAPA"</formula>
    </cfRule>
    <cfRule type="expression" priority="1516" dxfId="5">
      <formula>$H1106="CÉLULA CONSTRUTIVA"</formula>
    </cfRule>
  </conditionalFormatting>
  <conditionalFormatting sqref="O1111:O1112 O1115">
    <cfRule type="expression" priority="1514" dxfId="3">
      <formula>$H1111="ETAPA"</formula>
    </cfRule>
    <cfRule type="expression" priority="1506" dxfId="5">
      <formula>$H1111="CÉLULA CONSTRUTIVA"</formula>
    </cfRule>
    <cfRule type="expression" priority="1505" dxfId="4">
      <formula>$H1111="SUBETAPA"</formula>
    </cfRule>
  </conditionalFormatting>
  <conditionalFormatting sqref="O1113:O1114">
    <cfRule type="expression" priority="1511" dxfId="8">
      <formula>$H1113="ETAPA"</formula>
    </cfRule>
    <cfRule type="expression" priority="1508" dxfId="6">
      <formula>$H1113="SUBETAPA"</formula>
    </cfRule>
    <cfRule type="expression" priority="1510" dxfId="6">
      <formula>$H1113="SUBETAPA"</formula>
    </cfRule>
    <cfRule type="expression" priority="1509" dxfId="8">
      <formula>$H1113="ETAPA"</formula>
    </cfRule>
    <cfRule type="expression" priority="1507" dxfId="8">
      <formula>$H1113="ETAPA"</formula>
    </cfRule>
    <cfRule type="expression" priority="1512" dxfId="6">
      <formula>$H1113="SUBETAPA"</formula>
    </cfRule>
    <cfRule type="expression" priority="1513" dxfId="7">
      <formula>$H1113="CÉLULA CONSTRUTIVA"</formula>
    </cfRule>
  </conditionalFormatting>
  <conditionalFormatting sqref="O1117">
    <cfRule type="expression" priority="1502" dxfId="4">
      <formula>$H1117="SUBETAPA"</formula>
    </cfRule>
    <cfRule type="expression" priority="1504" dxfId="3">
      <formula>$H1117="ETAPA"</formula>
    </cfRule>
    <cfRule type="expression" priority="1503" dxfId="5">
      <formula>$H1117="CÉLULA CONSTRUTIVA"</formula>
    </cfRule>
  </conditionalFormatting>
  <conditionalFormatting sqref="O1118">
    <cfRule type="expression" priority="1501" dxfId="5">
      <formula>$H1118="CÉLULA CONSTRUTIVA"</formula>
    </cfRule>
    <cfRule type="expression" priority="1500" dxfId="4">
      <formula>$H1118="SUBETAPA"</formula>
    </cfRule>
    <cfRule type="expression" priority="1499" dxfId="3">
      <formula>$H1118="ETAPA"</formula>
    </cfRule>
  </conditionalFormatting>
  <conditionalFormatting sqref="O1119">
    <cfRule type="expression" priority="1498" dxfId="7">
      <formula>$H1119="CÉLULA CONSTRUTIVA"</formula>
    </cfRule>
    <cfRule type="expression" priority="1497" dxfId="6">
      <formula>$H1119="SUBETAPA"</formula>
    </cfRule>
    <cfRule type="expression" priority="1496" dxfId="8">
      <formula>$H1119="ETAPA"</formula>
    </cfRule>
    <cfRule type="expression" priority="1494" dxfId="8">
      <formula>$H1119="ETAPA"</formula>
    </cfRule>
    <cfRule type="expression" priority="1493" dxfId="6">
      <formula>$H1119="SUBETAPA"</formula>
    </cfRule>
    <cfRule type="expression" priority="1495" dxfId="6">
      <formula>$H1119="SUBETAPA"</formula>
    </cfRule>
    <cfRule type="expression" priority="1492" dxfId="8">
      <formula>$H1119="ETAPA"</formula>
    </cfRule>
  </conditionalFormatting>
  <conditionalFormatting sqref="O1120:O1124">
    <cfRule type="expression" priority="1491" dxfId="3">
      <formula>$H1120="ETAPA"</formula>
    </cfRule>
    <cfRule type="expression" priority="1490" dxfId="5">
      <formula>$H1120="CÉLULA CONSTRUTIVA"</formula>
    </cfRule>
    <cfRule type="expression" priority="1489" dxfId="4">
      <formula>$H1120="SUBETAPA"</formula>
    </cfRule>
  </conditionalFormatting>
  <conditionalFormatting sqref="O1125">
    <cfRule type="expression" priority="1486" dxfId="5">
      <formula>$H1125="CÉLULA CONSTRUTIVA"</formula>
    </cfRule>
    <cfRule type="expression" priority="1487" dxfId="3">
      <formula>$H1125="ETAPA"</formula>
    </cfRule>
    <cfRule type="expression" priority="1488" dxfId="4">
      <formula>$H1125="SUBETAPA"</formula>
    </cfRule>
  </conditionalFormatting>
  <conditionalFormatting sqref="O1126:O1128">
    <cfRule type="expression" priority="1485" dxfId="3">
      <formula>$H1126="ETAPA"</formula>
    </cfRule>
    <cfRule type="expression" priority="1484" dxfId="5">
      <formula>$H1126="CÉLULA CONSTRUTIVA"</formula>
    </cfRule>
    <cfRule type="expression" priority="1483" dxfId="4">
      <formula>$H1126="SUBETAPA"</formula>
    </cfRule>
  </conditionalFormatting>
  <conditionalFormatting sqref="O1130">
    <cfRule type="expression" priority="1480" dxfId="8">
      <formula>$H1130="ETAPA"</formula>
    </cfRule>
    <cfRule type="expression" priority="1481" dxfId="6">
      <formula>$H1130="SUBETAPA"</formula>
    </cfRule>
    <cfRule type="expression" priority="1478" dxfId="8">
      <formula>$H1130="ETAPA"</formula>
    </cfRule>
    <cfRule type="expression" priority="1477" dxfId="6">
      <formula>$H1130="SUBETAPA"</formula>
    </cfRule>
    <cfRule type="expression" priority="1476" dxfId="8">
      <formula>$H1130="ETAPA"</formula>
    </cfRule>
    <cfRule type="expression" priority="1482" dxfId="7">
      <formula>$H1130="CÉLULA CONSTRUTIVA"</formula>
    </cfRule>
    <cfRule type="expression" priority="1479" dxfId="6">
      <formula>$H1130="SUBETAPA"</formula>
    </cfRule>
  </conditionalFormatting>
  <conditionalFormatting sqref="O1133">
    <cfRule type="expression" priority="1474" dxfId="6">
      <formula>$H1133="SUBETAPA"</formula>
    </cfRule>
    <cfRule type="expression" priority="1473" dxfId="8">
      <formula>$H1133="ETAPA"</formula>
    </cfRule>
    <cfRule type="expression" priority="1472" dxfId="6">
      <formula>$H1133="SUBETAPA"</formula>
    </cfRule>
    <cfRule type="expression" priority="1471" dxfId="8">
      <formula>$H1133="ETAPA"</formula>
    </cfRule>
    <cfRule type="expression" priority="1470" dxfId="6">
      <formula>$H1133="SUBETAPA"</formula>
    </cfRule>
    <cfRule type="expression" priority="1469" dxfId="8">
      <formula>$H1133="ETAPA"</formula>
    </cfRule>
    <cfRule type="expression" priority="1475" dxfId="7">
      <formula>$H1133="CÉLULA CONSTRUTIVA"</formula>
    </cfRule>
  </conditionalFormatting>
  <conditionalFormatting sqref="H1136 J1136:L1136 O1136">
    <cfRule type="expression" priority="1468" dxfId="3">
      <formula>$H1136="ETAPA"</formula>
    </cfRule>
  </conditionalFormatting>
  <conditionalFormatting sqref="H1139 J1139:L1139 O1139">
    <cfRule type="expression" priority="1467" dxfId="3">
      <formula>$H1139="ETAPA"</formula>
    </cfRule>
  </conditionalFormatting>
  <conditionalFormatting sqref="H1142 J1142:L1142 O1142">
    <cfRule type="expression" priority="1466" dxfId="3">
      <formula>$H1142="ETAPA"</formula>
    </cfRule>
  </conditionalFormatting>
  <conditionalFormatting sqref="H1145 J1145:L1145 O1145">
    <cfRule type="expression" priority="1465" dxfId="3">
      <formula>$H1145="ETAPA"</formula>
    </cfRule>
  </conditionalFormatting>
  <conditionalFormatting sqref="O1146:O1148">
    <cfRule type="expression" priority="1464" dxfId="3">
      <formula>$H1146="ETAPA"</formula>
    </cfRule>
    <cfRule type="expression" priority="1463" dxfId="5">
      <formula>$H1146="CÉLULA CONSTRUTIVA"</formula>
    </cfRule>
    <cfRule type="expression" priority="1462" dxfId="4">
      <formula>$H1146="SUBETAPA"</formula>
    </cfRule>
  </conditionalFormatting>
  <conditionalFormatting sqref="H1150 J1150:L1150 O1150">
    <cfRule type="expression" priority="1461" dxfId="3">
      <formula>$H1150="ETAPA"</formula>
    </cfRule>
  </conditionalFormatting>
  <conditionalFormatting sqref="O1151:O1152">
    <cfRule type="expression" priority="1458" dxfId="4">
      <formula>$H1151="SUBETAPA"</formula>
    </cfRule>
    <cfRule type="expression" priority="1460" dxfId="3">
      <formula>$H1151="ETAPA"</formula>
    </cfRule>
    <cfRule type="expression" priority="1459" dxfId="5">
      <formula>$H1151="CÉLULA CONSTRUTIVA"</formula>
    </cfRule>
  </conditionalFormatting>
  <conditionalFormatting sqref="O1153:O1155">
    <cfRule type="expression" priority="1456" dxfId="5">
      <formula>$H1153="CÉLULA CONSTRUTIVA"</formula>
    </cfRule>
    <cfRule type="expression" priority="1455" dxfId="4">
      <formula>$H1153="SUBETAPA"</formula>
    </cfRule>
    <cfRule type="expression" priority="1457" dxfId="3">
      <formula>$H1153="ETAPA"</formula>
    </cfRule>
  </conditionalFormatting>
  <conditionalFormatting sqref="H1157 J1157:L1157 O1157">
    <cfRule type="expression" priority="1454" dxfId="3">
      <formula>$H1157="ETAPA"</formula>
    </cfRule>
  </conditionalFormatting>
  <conditionalFormatting sqref="O1158:O1159">
    <cfRule type="expression" priority="1453" dxfId="3">
      <formula>$H1158="ETAPA"</formula>
    </cfRule>
    <cfRule type="expression" priority="1452" dxfId="5">
      <formula>$H1158="CÉLULA CONSTRUTIVA"</formula>
    </cfRule>
    <cfRule type="expression" priority="1451" dxfId="4">
      <formula>$H1158="SUBETAPA"</formula>
    </cfRule>
  </conditionalFormatting>
  <conditionalFormatting sqref="O1160:O1162">
    <cfRule type="expression" priority="1450" dxfId="3">
      <formula>$H1160="ETAPA"</formula>
    </cfRule>
    <cfRule type="expression" priority="1449" dxfId="5">
      <formula>$H1160="CÉLULA CONSTRUTIVA"</formula>
    </cfRule>
    <cfRule type="expression" priority="1448" dxfId="4">
      <formula>$H1160="SUBETAPA"</formula>
    </cfRule>
  </conditionalFormatting>
  <conditionalFormatting sqref="O1164">
    <cfRule type="expression" priority="1441" dxfId="8">
      <formula>$H1164="ETAPA"</formula>
    </cfRule>
    <cfRule type="expression" priority="1442" dxfId="6">
      <formula>$H1164="SUBETAPA"</formula>
    </cfRule>
    <cfRule type="expression" priority="1443" dxfId="8">
      <formula>$H1164="ETAPA"</formula>
    </cfRule>
    <cfRule type="expression" priority="1444" dxfId="6">
      <formula>$H1164="SUBETAPA"</formula>
    </cfRule>
    <cfRule type="expression" priority="1445" dxfId="8">
      <formula>$H1164="ETAPA"</formula>
    </cfRule>
    <cfRule type="expression" priority="1446" dxfId="6">
      <formula>$H1164="SUBETAPA"</formula>
    </cfRule>
    <cfRule type="expression" priority="1447" dxfId="7">
      <formula>$H1164="CÉLULA CONSTRUTIVA"</formula>
    </cfRule>
  </conditionalFormatting>
  <conditionalFormatting sqref="O1165:O1166">
    <cfRule type="expression" priority="1438" dxfId="4">
      <formula>$H1165="SUBETAPA"</formula>
    </cfRule>
    <cfRule type="expression" priority="1440" dxfId="3">
      <formula>$H1165="ETAPA"</formula>
    </cfRule>
    <cfRule type="expression" priority="1439" dxfId="5">
      <formula>$H1165="CÉLULA CONSTRUTIVA"</formula>
    </cfRule>
  </conditionalFormatting>
  <conditionalFormatting sqref="O1167">
    <cfRule type="expression" priority="1435" dxfId="8">
      <formula>$H1167="ETAPA"</formula>
    </cfRule>
    <cfRule type="expression" priority="1432" dxfId="6">
      <formula>$H1167="SUBETAPA"</formula>
    </cfRule>
    <cfRule type="expression" priority="1431" dxfId="8">
      <formula>$H1167="ETAPA"</formula>
    </cfRule>
    <cfRule type="expression" priority="1437" dxfId="7">
      <formula>$H1167="CÉLULA CONSTRUTIVA"</formula>
    </cfRule>
    <cfRule type="expression" priority="1436" dxfId="6">
      <formula>$H1167="SUBETAPA"</formula>
    </cfRule>
    <cfRule type="expression" priority="1434" dxfId="6">
      <formula>$H1167="SUBETAPA"</formula>
    </cfRule>
    <cfRule type="expression" priority="1433" dxfId="8">
      <formula>$H1167="ETAPA"</formula>
    </cfRule>
  </conditionalFormatting>
  <conditionalFormatting sqref="H1169 J1169:L1169 O1169">
    <cfRule type="expression" priority="1430" dxfId="3">
      <formula>$H1169="ETAPA"</formula>
    </cfRule>
  </conditionalFormatting>
  <conditionalFormatting sqref="O1170:O1172">
    <cfRule type="expression" priority="1429" dxfId="3">
      <formula>$H1170="ETAPA"</formula>
    </cfRule>
    <cfRule type="expression" priority="1427" dxfId="4">
      <formula>$H1170="SUBETAPA"</formula>
    </cfRule>
    <cfRule type="expression" priority="1428" dxfId="5">
      <formula>$H1170="CÉLULA CONSTRUTIVA"</formula>
    </cfRule>
  </conditionalFormatting>
  <conditionalFormatting sqref="O1174">
    <cfRule type="expression" priority="1420" dxfId="8">
      <formula>$H1174="ETAPA"</formula>
    </cfRule>
    <cfRule type="expression" priority="1421" dxfId="6">
      <formula>$H1174="SUBETAPA"</formula>
    </cfRule>
    <cfRule type="expression" priority="1422" dxfId="8">
      <formula>$H1174="ETAPA"</formula>
    </cfRule>
    <cfRule type="expression" priority="1423" dxfId="6">
      <formula>$H1174="SUBETAPA"</formula>
    </cfRule>
    <cfRule type="expression" priority="1424" dxfId="8">
      <formula>$H1174="ETAPA"</formula>
    </cfRule>
    <cfRule type="expression" priority="1425" dxfId="6">
      <formula>$H1174="SUBETAPA"</formula>
    </cfRule>
    <cfRule type="expression" priority="1426" dxfId="7">
      <formula>$H1174="CÉLULA CONSTRUTIVA"</formula>
    </cfRule>
  </conditionalFormatting>
  <conditionalFormatting sqref="O1175:O1177">
    <cfRule type="expression" priority="1418" dxfId="5">
      <formula>$H1175="CÉLULA CONSTRUTIVA"</formula>
    </cfRule>
    <cfRule type="expression" priority="1419" dxfId="3">
      <formula>$H1175="ETAPA"</formula>
    </cfRule>
    <cfRule type="expression" priority="1417" dxfId="4">
      <formula>$H1175="SUBETAPA"</formula>
    </cfRule>
  </conditionalFormatting>
  <conditionalFormatting sqref="O1179">
    <cfRule type="expression" priority="1410" dxfId="8">
      <formula>$H1179="ETAPA"</formula>
    </cfRule>
    <cfRule type="expression" priority="1411" dxfId="6">
      <formula>$H1179="SUBETAPA"</formula>
    </cfRule>
    <cfRule type="expression" priority="1412" dxfId="8">
      <formula>$H1179="ETAPA"</formula>
    </cfRule>
    <cfRule type="expression" priority="1413" dxfId="6">
      <formula>$H1179="SUBETAPA"</formula>
    </cfRule>
    <cfRule type="expression" priority="1414" dxfId="8">
      <formula>$H1179="ETAPA"</formula>
    </cfRule>
    <cfRule type="expression" priority="1416" dxfId="7">
      <formula>$H1179="CÉLULA CONSTRUTIVA"</formula>
    </cfRule>
    <cfRule type="expression" priority="1415" dxfId="6">
      <formula>$H1179="SUBETAPA"</formula>
    </cfRule>
  </conditionalFormatting>
  <conditionalFormatting sqref="O1182">
    <cfRule type="expression" priority="1408" dxfId="6">
      <formula>$H1182="SUBETAPA"</formula>
    </cfRule>
    <cfRule type="expression" priority="1409" dxfId="7">
      <formula>$H1182="CÉLULA CONSTRUTIVA"</formula>
    </cfRule>
    <cfRule type="expression" priority="1403" dxfId="8">
      <formula>$H1182="ETAPA"</formula>
    </cfRule>
    <cfRule type="expression" priority="1404" dxfId="6">
      <formula>$H1182="SUBETAPA"</formula>
    </cfRule>
    <cfRule type="expression" priority="1405" dxfId="8">
      <formula>$H1182="ETAPA"</formula>
    </cfRule>
    <cfRule type="expression" priority="1406" dxfId="6">
      <formula>$H1182="SUBETAPA"</formula>
    </cfRule>
    <cfRule type="expression" priority="1407" dxfId="8">
      <formula>$H1182="ETAPA"</formula>
    </cfRule>
  </conditionalFormatting>
  <conditionalFormatting sqref="O1183">
    <cfRule type="expression" priority="1400" dxfId="5">
      <formula>$H1183="CÉLULA CONSTRUTIVA"</formula>
    </cfRule>
    <cfRule type="expression" priority="1401" dxfId="3">
      <formula>$H1183="ETAPA"</formula>
    </cfRule>
    <cfRule type="expression" priority="1402" dxfId="4">
      <formula>$H1183="SUBETAPA"</formula>
    </cfRule>
  </conditionalFormatting>
  <conditionalFormatting sqref="O1188:O1189">
    <cfRule type="expression" priority="1398" dxfId="4">
      <formula>$H1188="SUBETAPA"</formula>
    </cfRule>
    <cfRule type="expression" priority="1399" dxfId="5">
      <formula>$H1188="CÉLULA CONSTRUTIVA"</formula>
    </cfRule>
  </conditionalFormatting>
  <conditionalFormatting sqref="O1191">
    <cfRule type="expression" priority="1396" dxfId="3">
      <formula>$H1191="ETAPA"</formula>
    </cfRule>
    <cfRule type="expression" priority="1397" dxfId="4">
      <formula>$H1191="SUBETAPA"</formula>
    </cfRule>
  </conditionalFormatting>
  <conditionalFormatting sqref="O1197:O1202">
    <cfRule type="expression" priority="1395" dxfId="3">
      <formula>$H1197="ETAPA"</formula>
    </cfRule>
  </conditionalFormatting>
  <conditionalFormatting sqref="O1200:O1202">
    <cfRule type="expression" priority="1393" dxfId="4">
      <formula>$H1200="SUBETAPA"</formula>
    </cfRule>
    <cfRule type="expression" priority="1394" dxfId="5">
      <formula>$H1200="CÉLULA CONSTRUTIVA"</formula>
    </cfRule>
  </conditionalFormatting>
  <conditionalFormatting sqref="H1205 J1205:K1205 O1203:O1206">
    <cfRule type="expression" priority="9166" dxfId="4">
      <formula>$H1203="SUBETAPA"</formula>
    </cfRule>
  </conditionalFormatting>
  <conditionalFormatting sqref="O1203:O1206">
    <cfRule type="expression" priority="1392" dxfId="5">
      <formula>$H1203="CÉLULA CONSTRUTIVA"</formula>
    </cfRule>
  </conditionalFormatting>
  <conditionalFormatting sqref="L1566:L1567 L1572:L1573 L1578:L1579 M1568:M1569 M1574:M1575 M1580:M1581 M1623:M1624 O1208:O1209 O1215 O1222 O1232 O1247 O1283:O1287 O1324:O1330 O1342:O1344 O1363:O1365 O1411:O1414">
    <cfRule type="expression" priority="10510" dxfId="4">
      <formula>$H1208="SUBETAPA"</formula>
    </cfRule>
  </conditionalFormatting>
  <conditionalFormatting sqref="L1566:L1567 L1572:L1573 L1578:L1579 O1208:O1209 O1215 O1222 O1232 O1247 O1284:O1287 O1324:O1325 O1327:O1330 O1342:O1343 O1363:O1364 O1412:O1414">
    <cfRule type="expression" priority="10509" dxfId="3">
      <formula>$H1208="ETAPA"</formula>
    </cfRule>
  </conditionalFormatting>
  <conditionalFormatting sqref="O1216">
    <cfRule type="expression" priority="1390" dxfId="3">
      <formula>$H1216="ETAPA"</formula>
    </cfRule>
    <cfRule type="expression" priority="1391" dxfId="4">
      <formula>$H1216="SUBETAPA"</formula>
    </cfRule>
  </conditionalFormatting>
  <conditionalFormatting sqref="K1220 O1220">
    <cfRule type="expression" priority="1388" dxfId="4">
      <formula>$H1220="SUBETAPA"</formula>
    </cfRule>
    <cfRule type="expression" priority="1389" dxfId="3">
      <formula>$H1220="ETAPA"</formula>
    </cfRule>
  </conditionalFormatting>
  <conditionalFormatting sqref="O1223">
    <cfRule type="expression" priority="1386" dxfId="3">
      <formula>$H1223="ETAPA"</formula>
    </cfRule>
    <cfRule type="expression" priority="1387" dxfId="4">
      <formula>$H1223="SUBETAPA"</formula>
    </cfRule>
  </conditionalFormatting>
  <conditionalFormatting sqref="K1227 O1227">
    <cfRule type="expression" priority="1384" dxfId="4">
      <formula>$H1227="SUBETAPA"</formula>
    </cfRule>
    <cfRule type="expression" priority="1385" dxfId="3">
      <formula>$H1227="ETAPA"</formula>
    </cfRule>
  </conditionalFormatting>
  <conditionalFormatting sqref="O1233">
    <cfRule type="expression" priority="1383" dxfId="4">
      <formula>$H1233="SUBETAPA"</formula>
    </cfRule>
    <cfRule type="expression" priority="1382" dxfId="3">
      <formula>$H1233="ETAPA"</formula>
    </cfRule>
  </conditionalFormatting>
  <conditionalFormatting sqref="K1242 O1242">
    <cfRule type="expression" priority="1380" dxfId="4">
      <formula>$H1242="SUBETAPA"</formula>
    </cfRule>
    <cfRule type="expression" priority="1381" dxfId="3">
      <formula>$H1242="ETAPA"</formula>
    </cfRule>
  </conditionalFormatting>
  <conditionalFormatting sqref="O1242:O1245">
    <cfRule type="expression" priority="1379" dxfId="5">
      <formula>$H1242="CÉLULA CONSTRUTIVA"</formula>
    </cfRule>
  </conditionalFormatting>
  <conditionalFormatting sqref="J1245:K1245 K1243 O1243 O1245">
    <cfRule type="expression" priority="1377" dxfId="4">
      <formula>$H1243="SUBETAPA"</formula>
    </cfRule>
    <cfRule type="expression" priority="1378" dxfId="3">
      <formula>$H1243="ETAPA"</formula>
    </cfRule>
  </conditionalFormatting>
  <conditionalFormatting sqref="K1244 O1244">
    <cfRule type="expression" priority="1375" dxfId="4">
      <formula>$H1244="SUBETAPA"</formula>
    </cfRule>
    <cfRule type="expression" priority="1376" dxfId="3">
      <formula>$H1244="ETAPA"</formula>
    </cfRule>
  </conditionalFormatting>
  <conditionalFormatting sqref="O1248">
    <cfRule type="expression" priority="1373" dxfId="3">
      <formula>$H1248="ETAPA"</formula>
    </cfRule>
    <cfRule type="expression" priority="1374" dxfId="4">
      <formula>$H1248="SUBETAPA"</formula>
    </cfRule>
  </conditionalFormatting>
  <conditionalFormatting sqref="J1253:K1253 K1252 O1252:O1253">
    <cfRule type="expression" priority="1371" dxfId="4">
      <formula>$H1252="SUBETAPA"</formula>
    </cfRule>
    <cfRule type="expression" priority="1372" dxfId="3">
      <formula>$H1252="ETAPA"</formula>
    </cfRule>
  </conditionalFormatting>
  <conditionalFormatting sqref="O1259">
    <cfRule type="expression" priority="1370" dxfId="5">
      <formula>$H1259="CÉLULA CONSTRUTIVA"</formula>
    </cfRule>
    <cfRule type="expression" priority="1369" dxfId="4">
      <formula>$H1259="SUBETAPA"</formula>
    </cfRule>
  </conditionalFormatting>
  <conditionalFormatting sqref="O1260">
    <cfRule type="expression" priority="7624" dxfId="4">
      <formula>$H1260="SUBETAPA"</formula>
    </cfRule>
    <cfRule type="expression" priority="7625" dxfId="5">
      <formula>$H1260="CÉLULA CONSTRUTIVA"</formula>
    </cfRule>
  </conditionalFormatting>
  <conditionalFormatting sqref="O1261:O1264">
    <cfRule type="expression" priority="1367" dxfId="3">
      <formula>$H1261="ETAPA"</formula>
    </cfRule>
    <cfRule type="expression" priority="1368" dxfId="4">
      <formula>$H1261="SUBETAPA"</formula>
    </cfRule>
  </conditionalFormatting>
  <conditionalFormatting sqref="O1265">
    <cfRule type="expression" priority="1365" dxfId="3">
      <formula>$H1265="ETAPA"</formula>
    </cfRule>
    <cfRule type="expression" priority="1366" dxfId="4">
      <formula>$H1265="SUBETAPA"</formula>
    </cfRule>
  </conditionalFormatting>
  <conditionalFormatting sqref="K1273 O1273">
    <cfRule type="expression" priority="1364" dxfId="3">
      <formula>$H1273="ETAPA"</formula>
    </cfRule>
    <cfRule type="expression" priority="1363" dxfId="4">
      <formula>$H1273="SUBETAPA"</formula>
    </cfRule>
  </conditionalFormatting>
  <conditionalFormatting sqref="O1273:O1278">
    <cfRule type="expression" priority="1362" dxfId="5">
      <formula>$H1273="CÉLULA CONSTRUTIVA"</formula>
    </cfRule>
  </conditionalFormatting>
  <conditionalFormatting sqref="K1276:K1277 O1276:O1277">
    <cfRule type="expression" priority="1361" dxfId="3">
      <formula>$H1276="ETAPA"</formula>
    </cfRule>
    <cfRule type="expression" priority="1360" dxfId="4">
      <formula>$H1276="SUBETAPA"</formula>
    </cfRule>
  </conditionalFormatting>
  <conditionalFormatting sqref="J1278:K1278 K1274:K1275 O1274:O1275 O1278">
    <cfRule type="expression" priority="1359" dxfId="3">
      <formula>$H1274="ETAPA"</formula>
    </cfRule>
    <cfRule type="expression" priority="1358" dxfId="4">
      <formula>$H1274="SUBETAPA"</formula>
    </cfRule>
  </conditionalFormatting>
  <conditionalFormatting sqref="H1296:H1298 O1293:O1298">
    <cfRule type="expression" priority="9123" dxfId="4">
      <formula>$H1293="SUBETAPA"</formula>
    </cfRule>
  </conditionalFormatting>
  <conditionalFormatting sqref="O1295:O1298">
    <cfRule type="expression" priority="1357" dxfId="5">
      <formula>$H1295="CÉLULA CONSTRUTIVA"</formula>
    </cfRule>
  </conditionalFormatting>
  <conditionalFormatting sqref="O1303:O1305">
    <cfRule type="expression" priority="1356" dxfId="4">
      <formula>$H1303="SUBETAPA"</formula>
    </cfRule>
    <cfRule type="expression" priority="1355" dxfId="3">
      <formula>$H1303="ETAPA"</formula>
    </cfRule>
  </conditionalFormatting>
  <conditionalFormatting sqref="O1307:O1311">
    <cfRule type="expression" priority="1354" dxfId="4">
      <formula>$H1307="SUBETAPA"</formula>
    </cfRule>
    <cfRule type="expression" priority="1353" dxfId="3">
      <formula>$H1307="ETAPA"</formula>
    </cfRule>
  </conditionalFormatting>
  <conditionalFormatting sqref="H1318:H1320 O1315:O1320">
    <cfRule type="expression" priority="9113" dxfId="4">
      <formula>$H1315="SUBETAPA"</formula>
    </cfRule>
  </conditionalFormatting>
  <conditionalFormatting sqref="O1317:O1320">
    <cfRule type="expression" priority="1352" dxfId="5">
      <formula>$H1317="CÉLULA CONSTRUTIVA"</formula>
    </cfRule>
  </conditionalFormatting>
  <conditionalFormatting sqref="H1335:H1337 O1334:O1337">
    <cfRule type="expression" priority="9105" dxfId="4">
      <formula>$H1334="SUBETAPA"</formula>
    </cfRule>
  </conditionalFormatting>
  <conditionalFormatting sqref="O1345:O1349">
    <cfRule type="expression" priority="1350" dxfId="3">
      <formula>$H1345="ETAPA"</formula>
    </cfRule>
    <cfRule type="expression" priority="1351" dxfId="4">
      <formula>$H1345="SUBETAPA"</formula>
    </cfRule>
  </conditionalFormatting>
  <conditionalFormatting sqref="H1356:H1358 O1353:O1358">
    <cfRule type="expression" priority="9096" dxfId="4">
      <formula>$H1353="SUBETAPA"</formula>
    </cfRule>
  </conditionalFormatting>
  <conditionalFormatting sqref="O1355:O1358">
    <cfRule type="expression" priority="1349" dxfId="5">
      <formula>$H1355="CÉLULA CONSTRUTIVA"</formula>
    </cfRule>
  </conditionalFormatting>
  <conditionalFormatting sqref="O1366:O1370">
    <cfRule type="expression" priority="1348" dxfId="4">
      <formula>$H1366="SUBETAPA"</formula>
    </cfRule>
    <cfRule type="expression" priority="1347" dxfId="3">
      <formula>$H1366="ETAPA"</formula>
    </cfRule>
  </conditionalFormatting>
  <conditionalFormatting sqref="H1377:H1379 O1374:O1379">
    <cfRule type="expression" priority="9087" dxfId="4">
      <formula>$H1374="SUBETAPA"</formula>
    </cfRule>
  </conditionalFormatting>
  <conditionalFormatting sqref="O1376:O1379">
    <cfRule type="expression" priority="1346" dxfId="5">
      <formula>$H1376="CÉLULA CONSTRUTIVA"</formula>
    </cfRule>
  </conditionalFormatting>
  <conditionalFormatting sqref="O1384:O1386">
    <cfRule type="expression" priority="1345" dxfId="4">
      <formula>$H1384="SUBETAPA"</formula>
    </cfRule>
    <cfRule type="expression" priority="1344" dxfId="3">
      <formula>$H1384="ETAPA"</formula>
    </cfRule>
  </conditionalFormatting>
  <conditionalFormatting sqref="O1390:O1394">
    <cfRule type="expression" priority="1343" dxfId="4">
      <formula>$H1390="SUBETAPA"</formula>
    </cfRule>
    <cfRule type="expression" priority="1342" dxfId="3">
      <formula>$H1390="ETAPA"</formula>
    </cfRule>
  </conditionalFormatting>
  <conditionalFormatting sqref="H1401:H1403 O1398:O1403">
    <cfRule type="expression" priority="9077" dxfId="4">
      <formula>$H1398="SUBETAPA"</formula>
    </cfRule>
  </conditionalFormatting>
  <conditionalFormatting sqref="O1400:O1403">
    <cfRule type="expression" priority="1341" dxfId="5">
      <formula>$H1400="CÉLULA CONSTRUTIVA"</formula>
    </cfRule>
  </conditionalFormatting>
  <conditionalFormatting sqref="O1408:O1410">
    <cfRule type="expression" priority="1340" dxfId="4">
      <formula>$H1408="SUBETAPA"</formula>
    </cfRule>
    <cfRule type="expression" priority="1339" dxfId="3">
      <formula>$H1408="ETAPA"</formula>
    </cfRule>
  </conditionalFormatting>
  <conditionalFormatting sqref="H1418:H1420 O1416:O1420">
    <cfRule type="expression" priority="9068" dxfId="4">
      <formula>$H1416="SUBETAPA"</formula>
    </cfRule>
  </conditionalFormatting>
  <conditionalFormatting sqref="H1430:H1432 O1429:O1432">
    <cfRule type="expression" priority="9062" dxfId="4">
      <formula>$H1429="SUBETAPA"</formula>
    </cfRule>
  </conditionalFormatting>
  <conditionalFormatting sqref="O1433:O1434">
    <cfRule type="expression" priority="790" dxfId="4">
      <formula>$H1433="SUBETAPA"</formula>
    </cfRule>
    <cfRule type="expression" priority="789" dxfId="3">
      <formula>$H1433="ETAPA"</formula>
    </cfRule>
  </conditionalFormatting>
  <conditionalFormatting sqref="O1435">
    <cfRule type="expression" priority="788" dxfId="3">
      <formula>$H1435="ETAPA"</formula>
    </cfRule>
    <cfRule type="expression" priority="787" dxfId="5">
      <formula>$H1435="CÉLULA CONSTRUTIVA"</formula>
    </cfRule>
    <cfRule type="expression" priority="786" dxfId="4">
      <formula>$H1435="SUBETAPA"</formula>
    </cfRule>
  </conditionalFormatting>
  <conditionalFormatting sqref="O1436">
    <cfRule type="expression" priority="785" dxfId="4">
      <formula>$H1436="SUBETAPA"</formula>
    </cfRule>
  </conditionalFormatting>
  <conditionalFormatting sqref="O1437">
    <cfRule type="expression" priority="784" dxfId="3">
      <formula>$H1437="ETAPA"</formula>
    </cfRule>
    <cfRule type="expression" priority="783" dxfId="5">
      <formula>$H1437="CÉLULA CONSTRUTIVA"</formula>
    </cfRule>
    <cfRule type="expression" priority="782" dxfId="4">
      <formula>$H1437="SUBETAPA"</formula>
    </cfRule>
  </conditionalFormatting>
  <conditionalFormatting sqref="O1438">
    <cfRule type="expression" priority="781" dxfId="3">
      <formula>$H1438="ETAPA"</formula>
    </cfRule>
    <cfRule type="expression" priority="780" dxfId="5">
      <formula>$H1438="CÉLULA CONSTRUTIVA"</formula>
    </cfRule>
    <cfRule type="expression" priority="779" dxfId="4">
      <formula>$H1438="SUBETAPA"</formula>
    </cfRule>
  </conditionalFormatting>
  <conditionalFormatting sqref="O1439">
    <cfRule type="expression" priority="778" dxfId="3">
      <formula>$H1439="ETAPA"</formula>
    </cfRule>
    <cfRule type="expression" priority="777" dxfId="5">
      <formula>$H1439="CÉLULA CONSTRUTIVA"</formula>
    </cfRule>
    <cfRule type="expression" priority="776" dxfId="4">
      <formula>$H1439="SUBETAPA"</formula>
    </cfRule>
  </conditionalFormatting>
  <conditionalFormatting sqref="O1440">
    <cfRule type="expression" priority="775" dxfId="3">
      <formula>$H1440="ETAPA"</formula>
    </cfRule>
    <cfRule type="expression" priority="774" dxfId="5">
      <formula>$H1440="CÉLULA CONSTRUTIVA"</formula>
    </cfRule>
    <cfRule type="expression" priority="773" dxfId="4">
      <formula>$H1440="SUBETAPA"</formula>
    </cfRule>
  </conditionalFormatting>
  <conditionalFormatting sqref="O1441">
    <cfRule type="expression" priority="772" dxfId="3">
      <formula>$H1441="ETAPA"</formula>
    </cfRule>
    <cfRule type="expression" priority="771" dxfId="5">
      <formula>$H1441="CÉLULA CONSTRUTIVA"</formula>
    </cfRule>
    <cfRule type="expression" priority="770" dxfId="4">
      <formula>$H1441="SUBETAPA"</formula>
    </cfRule>
  </conditionalFormatting>
  <conditionalFormatting sqref="O1436 O1442">
    <cfRule type="expression" priority="769" dxfId="3">
      <formula>$H1436="ETAPA"</formula>
    </cfRule>
  </conditionalFormatting>
  <conditionalFormatting sqref="O1442">
    <cfRule type="expression" priority="768" dxfId="5">
      <formula>$H1442="CÉLULA CONSTRUTIVA"</formula>
    </cfRule>
    <cfRule type="expression" priority="767" dxfId="4">
      <formula>$H1442="SUBETAPA"</formula>
    </cfRule>
  </conditionalFormatting>
  <conditionalFormatting sqref="O1443">
    <cfRule type="expression" priority="764" dxfId="4">
      <formula>$H1443="SUBETAPA"</formula>
    </cfRule>
    <cfRule type="expression" priority="765" dxfId="5">
      <formula>$H1443="CÉLULA CONSTRUTIVA"</formula>
    </cfRule>
    <cfRule type="expression" priority="766" dxfId="3">
      <formula>$H1443="ETAPA"</formula>
    </cfRule>
  </conditionalFormatting>
  <conditionalFormatting sqref="O1444:O1445">
    <cfRule type="expression" priority="762" dxfId="3">
      <formula>$H1444="ETAPA"</formula>
    </cfRule>
    <cfRule type="expression" priority="763" dxfId="4">
      <formula>$H1444="SUBETAPA"</formula>
    </cfRule>
  </conditionalFormatting>
  <conditionalFormatting sqref="O1446">
    <cfRule type="expression" priority="760" dxfId="5">
      <formula>$H1446="CÉLULA CONSTRUTIVA"</formula>
    </cfRule>
    <cfRule type="expression" priority="761" dxfId="3">
      <formula>$H1446="ETAPA"</formula>
    </cfRule>
    <cfRule type="expression" priority="759" dxfId="4">
      <formula>$H1446="SUBETAPA"</formula>
    </cfRule>
  </conditionalFormatting>
  <conditionalFormatting sqref="O1447">
    <cfRule type="expression" priority="758" dxfId="4">
      <formula>$H1447="SUBETAPA"</formula>
    </cfRule>
  </conditionalFormatting>
  <conditionalFormatting sqref="O1448">
    <cfRule type="expression" priority="756" dxfId="5">
      <formula>$H1448="CÉLULA CONSTRUTIVA"</formula>
    </cfRule>
    <cfRule type="expression" priority="757" dxfId="3">
      <formula>$H1448="ETAPA"</formula>
    </cfRule>
    <cfRule type="expression" priority="755" dxfId="4">
      <formula>$H1448="SUBETAPA"</formula>
    </cfRule>
  </conditionalFormatting>
  <conditionalFormatting sqref="O1449">
    <cfRule type="expression" priority="754" dxfId="3">
      <formula>$H1449="ETAPA"</formula>
    </cfRule>
    <cfRule type="expression" priority="753" dxfId="5">
      <formula>$H1449="CÉLULA CONSTRUTIVA"</formula>
    </cfRule>
    <cfRule type="expression" priority="752" dxfId="4">
      <formula>$H1449="SUBETAPA"</formula>
    </cfRule>
  </conditionalFormatting>
  <conditionalFormatting sqref="O1447 O1450 O1452">
    <cfRule type="expression" priority="751" dxfId="3">
      <formula>$H1447="ETAPA"</formula>
    </cfRule>
  </conditionalFormatting>
  <conditionalFormatting sqref="O1450 O1452">
    <cfRule type="expression" priority="750" dxfId="5">
      <formula>$H1450="CÉLULA CONSTRUTIVA"</formula>
    </cfRule>
    <cfRule type="expression" priority="749" dxfId="4">
      <formula>$H1450="SUBETAPA"</formula>
    </cfRule>
  </conditionalFormatting>
  <conditionalFormatting sqref="O1451 O1453">
    <cfRule type="expression" priority="748" dxfId="3">
      <formula>$H1451="ETAPA"</formula>
    </cfRule>
    <cfRule type="expression" priority="747" dxfId="5">
      <formula>$H1451="CÉLULA CONSTRUTIVA"</formula>
    </cfRule>
    <cfRule type="expression" priority="746" dxfId="4">
      <formula>$H1451="SUBETAPA"</formula>
    </cfRule>
  </conditionalFormatting>
  <conditionalFormatting sqref="O1454:O1455">
    <cfRule type="expression" priority="745" dxfId="4">
      <formula>$H1454="SUBETAPA"</formula>
    </cfRule>
    <cfRule type="expression" priority="744" dxfId="3">
      <formula>$H1454="ETAPA"</formula>
    </cfRule>
  </conditionalFormatting>
  <conditionalFormatting sqref="O1456">
    <cfRule type="expression" priority="743" dxfId="3">
      <formula>$H1456="ETAPA"</formula>
    </cfRule>
    <cfRule type="expression" priority="742" dxfId="5">
      <formula>$H1456="CÉLULA CONSTRUTIVA"</formula>
    </cfRule>
    <cfRule type="expression" priority="741" dxfId="4">
      <formula>$H1456="SUBETAPA"</formula>
    </cfRule>
  </conditionalFormatting>
  <conditionalFormatting sqref="O1457">
    <cfRule type="expression" priority="740" dxfId="4">
      <formula>$H1457="SUBETAPA"</formula>
    </cfRule>
  </conditionalFormatting>
  <conditionalFormatting sqref="O1458">
    <cfRule type="expression" priority="739" dxfId="3">
      <formula>$H1458="ETAPA"</formula>
    </cfRule>
    <cfRule type="expression" priority="738" dxfId="5">
      <formula>$H1458="CÉLULA CONSTRUTIVA"</formula>
    </cfRule>
    <cfRule type="expression" priority="737" dxfId="4">
      <formula>$H1458="SUBETAPA"</formula>
    </cfRule>
  </conditionalFormatting>
  <conditionalFormatting sqref="O1457 O1459 O1461">
    <cfRule type="expression" priority="736" dxfId="3">
      <formula>$H1457="ETAPA"</formula>
    </cfRule>
  </conditionalFormatting>
  <conditionalFormatting sqref="O1460">
    <cfRule type="expression" priority="733" dxfId="4">
      <formula>$H1460="SUBETAPA"</formula>
    </cfRule>
    <cfRule type="expression" priority="735" dxfId="3">
      <formula>$H1460="ETAPA"</formula>
    </cfRule>
    <cfRule type="expression" priority="734" dxfId="5">
      <formula>$H1460="CÉLULA CONSTRUTIVA"</formula>
    </cfRule>
  </conditionalFormatting>
  <conditionalFormatting sqref="O1459 O1461">
    <cfRule type="expression" priority="732" dxfId="5">
      <formula>$H1459="CÉLULA CONSTRUTIVA"</formula>
    </cfRule>
    <cfRule type="expression" priority="731" dxfId="4">
      <formula>$H1459="SUBETAPA"</formula>
    </cfRule>
  </conditionalFormatting>
  <conditionalFormatting sqref="O1462">
    <cfRule type="expression" priority="728" dxfId="4">
      <formula>$H1462="SUBETAPA"</formula>
    </cfRule>
    <cfRule type="expression" priority="730" dxfId="3">
      <formula>$H1462="ETAPA"</formula>
    </cfRule>
    <cfRule type="expression" priority="729" dxfId="5">
      <formula>$H1462="CÉLULA CONSTRUTIVA"</formula>
    </cfRule>
  </conditionalFormatting>
  <conditionalFormatting sqref="O1463:O1464">
    <cfRule type="expression" priority="726" dxfId="3">
      <formula>$H1463="ETAPA"</formula>
    </cfRule>
    <cfRule type="expression" priority="727" dxfId="4">
      <formula>$H1463="SUBETAPA"</formula>
    </cfRule>
  </conditionalFormatting>
  <conditionalFormatting sqref="O1465">
    <cfRule type="expression" priority="725" dxfId="3">
      <formula>$H1465="ETAPA"</formula>
    </cfRule>
    <cfRule type="expression" priority="724" dxfId="5">
      <formula>$H1465="CÉLULA CONSTRUTIVA"</formula>
    </cfRule>
    <cfRule type="expression" priority="723" dxfId="4">
      <formula>$H1465="SUBETAPA"</formula>
    </cfRule>
  </conditionalFormatting>
  <conditionalFormatting sqref="O1466">
    <cfRule type="expression" priority="722" dxfId="4">
      <formula>$H1466="SUBETAPA"</formula>
    </cfRule>
  </conditionalFormatting>
  <conditionalFormatting sqref="O1467">
    <cfRule type="expression" priority="721" dxfId="3">
      <formula>$H1467="ETAPA"</formula>
    </cfRule>
    <cfRule type="expression" priority="719" dxfId="4">
      <formula>$H1467="SUBETAPA"</formula>
    </cfRule>
    <cfRule type="expression" priority="720" dxfId="5">
      <formula>$H1467="CÉLULA CONSTRUTIVA"</formula>
    </cfRule>
  </conditionalFormatting>
  <conditionalFormatting sqref="O1466 O1468">
    <cfRule type="expression" priority="718" dxfId="3">
      <formula>$H1466="ETAPA"</formula>
    </cfRule>
  </conditionalFormatting>
  <conditionalFormatting sqref="O1468">
    <cfRule type="expression" priority="716" dxfId="4">
      <formula>$H1468="SUBETAPA"</formula>
    </cfRule>
    <cfRule type="expression" priority="717" dxfId="5">
      <formula>$H1468="CÉLULA CONSTRUTIVA"</formula>
    </cfRule>
  </conditionalFormatting>
  <conditionalFormatting sqref="O1469">
    <cfRule type="expression" priority="713" dxfId="4">
      <formula>$H1469="SUBETAPA"</formula>
    </cfRule>
    <cfRule type="expression" priority="715" dxfId="3">
      <formula>$H1469="ETAPA"</formula>
    </cfRule>
    <cfRule type="expression" priority="714" dxfId="5">
      <formula>$H1469="CÉLULA CONSTRUTIVA"</formula>
    </cfRule>
  </conditionalFormatting>
  <conditionalFormatting sqref="O1470:O1471">
    <cfRule type="expression" priority="711" dxfId="3">
      <formula>$H1470="ETAPA"</formula>
    </cfRule>
    <cfRule type="expression" priority="712" dxfId="4">
      <formula>$H1470="SUBETAPA"</formula>
    </cfRule>
  </conditionalFormatting>
  <conditionalFormatting sqref="O1472">
    <cfRule type="expression" priority="708" dxfId="4">
      <formula>$H1472="SUBETAPA"</formula>
    </cfRule>
    <cfRule type="expression" priority="709" dxfId="5">
      <formula>$H1472="CÉLULA CONSTRUTIVA"</formula>
    </cfRule>
    <cfRule type="expression" priority="710" dxfId="3">
      <formula>$H1472="ETAPA"</formula>
    </cfRule>
  </conditionalFormatting>
  <conditionalFormatting sqref="O1473">
    <cfRule type="expression" priority="707" dxfId="4">
      <formula>$H1473="SUBETAPA"</formula>
    </cfRule>
  </conditionalFormatting>
  <conditionalFormatting sqref="O1474">
    <cfRule type="expression" priority="704" dxfId="4">
      <formula>$H1474="SUBETAPA"</formula>
    </cfRule>
    <cfRule type="expression" priority="705" dxfId="5">
      <formula>$H1474="CÉLULA CONSTRUTIVA"</formula>
    </cfRule>
    <cfRule type="expression" priority="706" dxfId="3">
      <formula>$H1474="ETAPA"</formula>
    </cfRule>
  </conditionalFormatting>
  <conditionalFormatting sqref="O1473 O1475">
    <cfRule type="expression" priority="703" dxfId="3">
      <formula>$H1473="ETAPA"</formula>
    </cfRule>
  </conditionalFormatting>
  <conditionalFormatting sqref="O1475">
    <cfRule type="expression" priority="701" dxfId="4">
      <formula>$H1475="SUBETAPA"</formula>
    </cfRule>
    <cfRule type="expression" priority="702" dxfId="5">
      <formula>$H1475="CÉLULA CONSTRUTIVA"</formula>
    </cfRule>
  </conditionalFormatting>
  <conditionalFormatting sqref="O1476">
    <cfRule type="expression" priority="700" dxfId="3">
      <formula>$H1476="ETAPA"</formula>
    </cfRule>
    <cfRule type="expression" priority="699" dxfId="5">
      <formula>$H1476="CÉLULA CONSTRUTIVA"</formula>
    </cfRule>
    <cfRule type="expression" priority="698" dxfId="4">
      <formula>$H1476="SUBETAPA"</formula>
    </cfRule>
  </conditionalFormatting>
  <conditionalFormatting sqref="O1477:O1478">
    <cfRule type="expression" priority="696" dxfId="3">
      <formula>$H1477="ETAPA"</formula>
    </cfRule>
    <cfRule type="expression" priority="697" dxfId="4">
      <formula>$H1477="SUBETAPA"</formula>
    </cfRule>
  </conditionalFormatting>
  <conditionalFormatting sqref="O1479">
    <cfRule type="expression" priority="695" dxfId="3">
      <formula>$H1479="ETAPA"</formula>
    </cfRule>
    <cfRule type="expression" priority="694" dxfId="5">
      <formula>$H1479="CÉLULA CONSTRUTIVA"</formula>
    </cfRule>
    <cfRule type="expression" priority="693" dxfId="4">
      <formula>$H1479="SUBETAPA"</formula>
    </cfRule>
  </conditionalFormatting>
  <conditionalFormatting sqref="O1480">
    <cfRule type="expression" priority="692" dxfId="4">
      <formula>$H1480="SUBETAPA"</formula>
    </cfRule>
  </conditionalFormatting>
  <conditionalFormatting sqref="O1481">
    <cfRule type="expression" priority="691" dxfId="3">
      <formula>$H1481="ETAPA"</formula>
    </cfRule>
    <cfRule type="expression" priority="690" dxfId="5">
      <formula>$H1481="CÉLULA CONSTRUTIVA"</formula>
    </cfRule>
    <cfRule type="expression" priority="689" dxfId="4">
      <formula>$H1481="SUBETAPA"</formula>
    </cfRule>
  </conditionalFormatting>
  <conditionalFormatting sqref="O1482">
    <cfRule type="expression" priority="686" dxfId="4">
      <formula>$H1482="SUBETAPA"</formula>
    </cfRule>
    <cfRule type="expression" priority="688" dxfId="3">
      <formula>$H1482="ETAPA"</formula>
    </cfRule>
    <cfRule type="expression" priority="687" dxfId="5">
      <formula>$H1482="CÉLULA CONSTRUTIVA"</formula>
    </cfRule>
  </conditionalFormatting>
  <conditionalFormatting sqref="O1480 O1483">
    <cfRule type="expression" priority="685" dxfId="3">
      <formula>$H1480="ETAPA"</formula>
    </cfRule>
  </conditionalFormatting>
  <conditionalFormatting sqref="O1483">
    <cfRule type="expression" priority="684" dxfId="5">
      <formula>$H1483="CÉLULA CONSTRUTIVA"</formula>
    </cfRule>
    <cfRule type="expression" priority="683" dxfId="4">
      <formula>$H1483="SUBETAPA"</formula>
    </cfRule>
  </conditionalFormatting>
  <conditionalFormatting sqref="O1484">
    <cfRule type="expression" priority="682" dxfId="3">
      <formula>$H1484="ETAPA"</formula>
    </cfRule>
    <cfRule type="expression" priority="681" dxfId="5">
      <formula>$H1484="CÉLULA CONSTRUTIVA"</formula>
    </cfRule>
    <cfRule type="expression" priority="680" dxfId="4">
      <formula>$H1484="SUBETAPA"</formula>
    </cfRule>
  </conditionalFormatting>
  <conditionalFormatting sqref="O1485:O1486">
    <cfRule type="expression" priority="679" dxfId="4">
      <formula>$H1485="SUBETAPA"</formula>
    </cfRule>
    <cfRule type="expression" priority="678" dxfId="3">
      <formula>$H1485="ETAPA"</formula>
    </cfRule>
  </conditionalFormatting>
  <conditionalFormatting sqref="O1487">
    <cfRule type="expression" priority="677" dxfId="3">
      <formula>$H1487="ETAPA"</formula>
    </cfRule>
    <cfRule type="expression" priority="676" dxfId="5">
      <formula>$H1487="CÉLULA CONSTRUTIVA"</formula>
    </cfRule>
    <cfRule type="expression" priority="675" dxfId="4">
      <formula>$H1487="SUBETAPA"</formula>
    </cfRule>
  </conditionalFormatting>
  <conditionalFormatting sqref="O1488">
    <cfRule type="expression" priority="674" dxfId="4">
      <formula>$H1488="SUBETAPA"</formula>
    </cfRule>
  </conditionalFormatting>
  <conditionalFormatting sqref="O1489">
    <cfRule type="expression" priority="673" dxfId="3">
      <formula>$H1489="ETAPA"</formula>
    </cfRule>
    <cfRule type="expression" priority="672" dxfId="5">
      <formula>$H1489="CÉLULA CONSTRUTIVA"</formula>
    </cfRule>
    <cfRule type="expression" priority="671" dxfId="4">
      <formula>$H1489="SUBETAPA"</formula>
    </cfRule>
  </conditionalFormatting>
  <conditionalFormatting sqref="O1490">
    <cfRule type="expression" priority="670" dxfId="3">
      <formula>$H1490="ETAPA"</formula>
    </cfRule>
    <cfRule type="expression" priority="668" dxfId="4">
      <formula>$H1490="SUBETAPA"</formula>
    </cfRule>
    <cfRule type="expression" priority="669" dxfId="5">
      <formula>$H1490="CÉLULA CONSTRUTIVA"</formula>
    </cfRule>
  </conditionalFormatting>
  <conditionalFormatting sqref="O1488 O1491 O1493">
    <cfRule type="expression" priority="667" dxfId="3">
      <formula>$H1488="ETAPA"</formula>
    </cfRule>
  </conditionalFormatting>
  <conditionalFormatting sqref="O1491 O1493">
    <cfRule type="expression" priority="666" dxfId="5">
      <formula>$H1491="CÉLULA CONSTRUTIVA"</formula>
    </cfRule>
    <cfRule type="expression" priority="665" dxfId="4">
      <formula>$H1491="SUBETAPA"</formula>
    </cfRule>
  </conditionalFormatting>
  <conditionalFormatting sqref="O1492">
    <cfRule type="expression" priority="664" dxfId="3">
      <formula>$H1492="ETAPA"</formula>
    </cfRule>
    <cfRule type="expression" priority="663" dxfId="5">
      <formula>$H1492="CÉLULA CONSTRUTIVA"</formula>
    </cfRule>
    <cfRule type="expression" priority="662" dxfId="4">
      <formula>$H1492="SUBETAPA"</formula>
    </cfRule>
  </conditionalFormatting>
  <conditionalFormatting sqref="O1494">
    <cfRule type="expression" priority="661" dxfId="3">
      <formula>$H1494="ETAPA"</formula>
    </cfRule>
    <cfRule type="expression" priority="660" dxfId="5">
      <formula>$H1494="CÉLULA CONSTRUTIVA"</formula>
    </cfRule>
    <cfRule type="expression" priority="659" dxfId="4">
      <formula>$H1494="SUBETAPA"</formula>
    </cfRule>
  </conditionalFormatting>
  <conditionalFormatting sqref="O1495:O1496">
    <cfRule type="expression" priority="657" dxfId="3">
      <formula>$H1495="ETAPA"</formula>
    </cfRule>
    <cfRule type="expression" priority="658" dxfId="4">
      <formula>$H1495="SUBETAPA"</formula>
    </cfRule>
  </conditionalFormatting>
  <conditionalFormatting sqref="O1497">
    <cfRule type="expression" priority="655" dxfId="5">
      <formula>$H1497="CÉLULA CONSTRUTIVA"</formula>
    </cfRule>
    <cfRule type="expression" priority="654" dxfId="4">
      <formula>$H1497="SUBETAPA"</formula>
    </cfRule>
    <cfRule type="expression" priority="656" dxfId="3">
      <formula>$H1497="ETAPA"</formula>
    </cfRule>
  </conditionalFormatting>
  <conditionalFormatting sqref="O1498">
    <cfRule type="expression" priority="653" dxfId="4">
      <formula>$H1498="SUBETAPA"</formula>
    </cfRule>
  </conditionalFormatting>
  <conditionalFormatting sqref="O1499">
    <cfRule type="expression" priority="650" dxfId="4">
      <formula>$H1499="SUBETAPA"</formula>
    </cfRule>
    <cfRule type="expression" priority="651" dxfId="5">
      <formula>$H1499="CÉLULA CONSTRUTIVA"</formula>
    </cfRule>
    <cfRule type="expression" priority="652" dxfId="3">
      <formula>$H1499="ETAPA"</formula>
    </cfRule>
  </conditionalFormatting>
  <conditionalFormatting sqref="O1500">
    <cfRule type="expression" priority="647" dxfId="4">
      <formula>$H1500="SUBETAPA"</formula>
    </cfRule>
    <cfRule type="expression" priority="648" dxfId="5">
      <formula>$H1500="CÉLULA CONSTRUTIVA"</formula>
    </cfRule>
    <cfRule type="expression" priority="649" dxfId="3">
      <formula>$H1500="ETAPA"</formula>
    </cfRule>
  </conditionalFormatting>
  <conditionalFormatting sqref="O1498 O1501">
    <cfRule type="expression" priority="646" dxfId="3">
      <formula>$H1498="ETAPA"</formula>
    </cfRule>
  </conditionalFormatting>
  <conditionalFormatting sqref="O1501">
    <cfRule type="expression" priority="644" dxfId="4">
      <formula>$H1501="SUBETAPA"</formula>
    </cfRule>
    <cfRule type="expression" priority="645" dxfId="5">
      <formula>$H1501="CÉLULA CONSTRUTIVA"</formula>
    </cfRule>
  </conditionalFormatting>
  <conditionalFormatting sqref="O1502">
    <cfRule type="expression" priority="642" dxfId="5">
      <formula>$H1502="CÉLULA CONSTRUTIVA"</formula>
    </cfRule>
    <cfRule type="expression" priority="643" dxfId="3">
      <formula>$H1502="ETAPA"</formula>
    </cfRule>
    <cfRule type="expression" priority="641" dxfId="4">
      <formula>$H1502="SUBETAPA"</formula>
    </cfRule>
  </conditionalFormatting>
  <conditionalFormatting sqref="O1503:O1504">
    <cfRule type="expression" priority="639" dxfId="3">
      <formula>$H1503="ETAPA"</formula>
    </cfRule>
    <cfRule type="expression" priority="640" dxfId="4">
      <formula>$H1503="SUBETAPA"</formula>
    </cfRule>
  </conditionalFormatting>
  <conditionalFormatting sqref="O1505">
    <cfRule type="expression" priority="637" dxfId="5">
      <formula>$H1505="CÉLULA CONSTRUTIVA"</formula>
    </cfRule>
    <cfRule type="expression" priority="636" dxfId="4">
      <formula>$H1505="SUBETAPA"</formula>
    </cfRule>
    <cfRule type="expression" priority="638" dxfId="3">
      <formula>$H1505="ETAPA"</formula>
    </cfRule>
  </conditionalFormatting>
  <conditionalFormatting sqref="O1506">
    <cfRule type="expression" priority="635" dxfId="4">
      <formula>$H1506="SUBETAPA"</formula>
    </cfRule>
  </conditionalFormatting>
  <conditionalFormatting sqref="O1507">
    <cfRule type="expression" priority="634" dxfId="3">
      <formula>$H1507="ETAPA"</formula>
    </cfRule>
    <cfRule type="expression" priority="632" dxfId="4">
      <formula>$H1507="SUBETAPA"</formula>
    </cfRule>
    <cfRule type="expression" priority="633" dxfId="5">
      <formula>$H1507="CÉLULA CONSTRUTIVA"</formula>
    </cfRule>
  </conditionalFormatting>
  <conditionalFormatting sqref="O1508">
    <cfRule type="expression" priority="629" dxfId="4">
      <formula>$H1508="SUBETAPA"</formula>
    </cfRule>
    <cfRule type="expression" priority="630" dxfId="5">
      <formula>$H1508="CÉLULA CONSTRUTIVA"</formula>
    </cfRule>
    <cfRule type="expression" priority="631" dxfId="3">
      <formula>$H1508="ETAPA"</formula>
    </cfRule>
  </conditionalFormatting>
  <conditionalFormatting sqref="O1509">
    <cfRule type="expression" priority="626" dxfId="4">
      <formula>$H1509="SUBETAPA"</formula>
    </cfRule>
    <cfRule type="expression" priority="627" dxfId="5">
      <formula>$H1509="CÉLULA CONSTRUTIVA"</formula>
    </cfRule>
    <cfRule type="expression" priority="628" dxfId="3">
      <formula>$H1509="ETAPA"</formula>
    </cfRule>
  </conditionalFormatting>
  <conditionalFormatting sqref="O1506 O1510 O1512">
    <cfRule type="expression" priority="625" dxfId="3">
      <formula>$H1506="ETAPA"</formula>
    </cfRule>
  </conditionalFormatting>
  <conditionalFormatting sqref="O1510 O1512">
    <cfRule type="expression" priority="624" dxfId="5">
      <formula>$H1510="CÉLULA CONSTRUTIVA"</formula>
    </cfRule>
    <cfRule type="expression" priority="623" dxfId="4">
      <formula>$H1510="SUBETAPA"</formula>
    </cfRule>
  </conditionalFormatting>
  <conditionalFormatting sqref="O1511 O1513">
    <cfRule type="expression" priority="621" dxfId="5">
      <formula>$H1511="CÉLULA CONSTRUTIVA"</formula>
    </cfRule>
    <cfRule type="expression" priority="620" dxfId="4">
      <formula>$H1511="SUBETAPA"</formula>
    </cfRule>
    <cfRule type="expression" priority="622" dxfId="3">
      <formula>$H1511="ETAPA"</formula>
    </cfRule>
  </conditionalFormatting>
  <conditionalFormatting sqref="O1514:O1515">
    <cfRule type="expression" priority="619" dxfId="4">
      <formula>$H1514="SUBETAPA"</formula>
    </cfRule>
    <cfRule type="expression" priority="618" dxfId="3">
      <formula>$H1514="ETAPA"</formula>
    </cfRule>
  </conditionalFormatting>
  <conditionalFormatting sqref="O1516">
    <cfRule type="expression" priority="615" dxfId="4">
      <formula>$H1516="SUBETAPA"</formula>
    </cfRule>
    <cfRule type="expression" priority="617" dxfId="3">
      <formula>$H1516="ETAPA"</formula>
    </cfRule>
    <cfRule type="expression" priority="616" dxfId="5">
      <formula>$H1516="CÉLULA CONSTRUTIVA"</formula>
    </cfRule>
  </conditionalFormatting>
  <conditionalFormatting sqref="O1517">
    <cfRule type="expression" priority="614" dxfId="4">
      <formula>$H1517="SUBETAPA"</formula>
    </cfRule>
  </conditionalFormatting>
  <conditionalFormatting sqref="O1518">
    <cfRule type="expression" priority="612" dxfId="5">
      <formula>$H1518="CÉLULA CONSTRUTIVA"</formula>
    </cfRule>
    <cfRule type="expression" priority="611" dxfId="4">
      <formula>$H1518="SUBETAPA"</formula>
    </cfRule>
    <cfRule type="expression" priority="613" dxfId="3">
      <formula>$H1518="ETAPA"</formula>
    </cfRule>
  </conditionalFormatting>
  <conditionalFormatting sqref="O1519">
    <cfRule type="expression" priority="609" dxfId="5">
      <formula>$H1519="CÉLULA CONSTRUTIVA"</formula>
    </cfRule>
    <cfRule type="expression" priority="610" dxfId="3">
      <formula>$H1519="ETAPA"</formula>
    </cfRule>
    <cfRule type="expression" priority="608" dxfId="4">
      <formula>$H1519="SUBETAPA"</formula>
    </cfRule>
  </conditionalFormatting>
  <conditionalFormatting sqref="O1520">
    <cfRule type="expression" priority="606" dxfId="5">
      <formula>$H1520="CÉLULA CONSTRUTIVA"</formula>
    </cfRule>
    <cfRule type="expression" priority="605" dxfId="4">
      <formula>$H1520="SUBETAPA"</formula>
    </cfRule>
    <cfRule type="expression" priority="607" dxfId="3">
      <formula>$H1520="ETAPA"</formula>
    </cfRule>
  </conditionalFormatting>
  <conditionalFormatting sqref="O1517 O1521 O1523">
    <cfRule type="expression" priority="604" dxfId="3">
      <formula>$H1517="ETAPA"</formula>
    </cfRule>
  </conditionalFormatting>
  <conditionalFormatting sqref="O1521 O1523">
    <cfRule type="expression" priority="603" dxfId="5">
      <formula>$H1521="CÉLULA CONSTRUTIVA"</formula>
    </cfRule>
    <cfRule type="expression" priority="602" dxfId="4">
      <formula>$H1521="SUBETAPA"</formula>
    </cfRule>
  </conditionalFormatting>
  <conditionalFormatting sqref="O1522 O1524">
    <cfRule type="expression" priority="600" dxfId="5">
      <formula>$H1522="CÉLULA CONSTRUTIVA"</formula>
    </cfRule>
    <cfRule type="expression" priority="599" dxfId="4">
      <formula>$H1522="SUBETAPA"</formula>
    </cfRule>
    <cfRule type="expression" priority="601" dxfId="3">
      <formula>$H1522="ETAPA"</formula>
    </cfRule>
  </conditionalFormatting>
  <conditionalFormatting sqref="O1525:O1526">
    <cfRule type="expression" priority="598" dxfId="4">
      <formula>$H1525="SUBETAPA"</formula>
    </cfRule>
    <cfRule type="expression" priority="597" dxfId="3">
      <formula>$H1525="ETAPA"</formula>
    </cfRule>
  </conditionalFormatting>
  <conditionalFormatting sqref="O1527">
    <cfRule type="expression" priority="594" dxfId="4">
      <formula>$H1527="SUBETAPA"</formula>
    </cfRule>
    <cfRule type="expression" priority="595" dxfId="5">
      <formula>$H1527="CÉLULA CONSTRUTIVA"</formula>
    </cfRule>
    <cfRule type="expression" priority="596" dxfId="3">
      <formula>$H1527="ETAPA"</formula>
    </cfRule>
  </conditionalFormatting>
  <conditionalFormatting sqref="O1528">
    <cfRule type="expression" priority="593" dxfId="4">
      <formula>$H1528="SUBETAPA"</formula>
    </cfRule>
  </conditionalFormatting>
  <conditionalFormatting sqref="O1529">
    <cfRule type="expression" priority="592" dxfId="3">
      <formula>$H1529="ETAPA"</formula>
    </cfRule>
    <cfRule type="expression" priority="590" dxfId="4">
      <formula>$H1529="SUBETAPA"</formula>
    </cfRule>
    <cfRule type="expression" priority="591" dxfId="5">
      <formula>$H1529="CÉLULA CONSTRUTIVA"</formula>
    </cfRule>
  </conditionalFormatting>
  <conditionalFormatting sqref="O1530">
    <cfRule type="expression" priority="587" dxfId="4">
      <formula>$H1530="SUBETAPA"</formula>
    </cfRule>
    <cfRule type="expression" priority="588" dxfId="5">
      <formula>$H1530="CÉLULA CONSTRUTIVA"</formula>
    </cfRule>
    <cfRule type="expression" priority="589" dxfId="3">
      <formula>$H1530="ETAPA"</formula>
    </cfRule>
  </conditionalFormatting>
  <conditionalFormatting sqref="O1531">
    <cfRule type="expression" priority="584" dxfId="4">
      <formula>$H1531="SUBETAPA"</formula>
    </cfRule>
    <cfRule type="expression" priority="585" dxfId="5">
      <formula>$H1531="CÉLULA CONSTRUTIVA"</formula>
    </cfRule>
    <cfRule type="expression" priority="586" dxfId="3">
      <formula>$H1531="ETAPA"</formula>
    </cfRule>
  </conditionalFormatting>
  <conditionalFormatting sqref="O1528 O1532 O1534">
    <cfRule type="expression" priority="583" dxfId="3">
      <formula>$H1528="ETAPA"</formula>
    </cfRule>
  </conditionalFormatting>
  <conditionalFormatting sqref="O1532 O1534">
    <cfRule type="expression" priority="582" dxfId="5">
      <formula>$H1532="CÉLULA CONSTRUTIVA"</formula>
    </cfRule>
    <cfRule type="expression" priority="581" dxfId="4">
      <formula>$H1532="SUBETAPA"</formula>
    </cfRule>
  </conditionalFormatting>
  <conditionalFormatting sqref="O1533 O1535">
    <cfRule type="expression" priority="580" dxfId="3">
      <formula>$H1533="ETAPA"</formula>
    </cfRule>
    <cfRule type="expression" priority="579" dxfId="5">
      <formula>$H1533="CÉLULA CONSTRUTIVA"</formula>
    </cfRule>
    <cfRule type="expression" priority="578" dxfId="4">
      <formula>$H1533="SUBETAPA"</formula>
    </cfRule>
  </conditionalFormatting>
  <conditionalFormatting sqref="O1536:O1537">
    <cfRule type="expression" priority="576" dxfId="3">
      <formula>$H1536="ETAPA"</formula>
    </cfRule>
    <cfRule type="expression" priority="577" dxfId="4">
      <formula>$H1536="SUBETAPA"</formula>
    </cfRule>
  </conditionalFormatting>
  <conditionalFormatting sqref="O1538">
    <cfRule type="expression" priority="574" dxfId="5">
      <formula>$H1538="CÉLULA CONSTRUTIVA"</formula>
    </cfRule>
    <cfRule type="expression" priority="575" dxfId="3">
      <formula>$H1538="ETAPA"</formula>
    </cfRule>
    <cfRule type="expression" priority="573" dxfId="4">
      <formula>$H1538="SUBETAPA"</formula>
    </cfRule>
  </conditionalFormatting>
  <conditionalFormatting sqref="O1539">
    <cfRule type="expression" priority="572" dxfId="4">
      <formula>$H1539="SUBETAPA"</formula>
    </cfRule>
  </conditionalFormatting>
  <conditionalFormatting sqref="O1540">
    <cfRule type="expression" priority="569" dxfId="4">
      <formula>$H1540="SUBETAPA"</formula>
    </cfRule>
    <cfRule type="expression" priority="570" dxfId="5">
      <formula>$H1540="CÉLULA CONSTRUTIVA"</formula>
    </cfRule>
    <cfRule type="expression" priority="571" dxfId="3">
      <formula>$H1540="ETAPA"</formula>
    </cfRule>
  </conditionalFormatting>
  <conditionalFormatting sqref="O1541">
    <cfRule type="expression" priority="568" dxfId="3">
      <formula>$H1541="ETAPA"</formula>
    </cfRule>
    <cfRule type="expression" priority="567" dxfId="5">
      <formula>$H1541="CÉLULA CONSTRUTIVA"</formula>
    </cfRule>
    <cfRule type="expression" priority="566" dxfId="4">
      <formula>$H1541="SUBETAPA"</formula>
    </cfRule>
  </conditionalFormatting>
  <conditionalFormatting sqref="O1542">
    <cfRule type="expression" priority="565" dxfId="3">
      <formula>$H1542="ETAPA"</formula>
    </cfRule>
    <cfRule type="expression" priority="564" dxfId="5">
      <formula>$H1542="CÉLULA CONSTRUTIVA"</formula>
    </cfRule>
    <cfRule type="expression" priority="563" dxfId="4">
      <formula>$H1542="SUBETAPA"</formula>
    </cfRule>
  </conditionalFormatting>
  <conditionalFormatting sqref="O1539 O1543 O1545">
    <cfRule type="expression" priority="562" dxfId="3">
      <formula>$H1539="ETAPA"</formula>
    </cfRule>
  </conditionalFormatting>
  <conditionalFormatting sqref="O1543 O1545">
    <cfRule type="expression" priority="560" dxfId="4">
      <formula>$H1543="SUBETAPA"</formula>
    </cfRule>
    <cfRule type="expression" priority="561" dxfId="5">
      <formula>$H1543="CÉLULA CONSTRUTIVA"</formula>
    </cfRule>
  </conditionalFormatting>
  <conditionalFormatting sqref="O1544 O1546">
    <cfRule type="expression" priority="559" dxfId="3">
      <formula>$H1544="ETAPA"</formula>
    </cfRule>
    <cfRule type="expression" priority="557" dxfId="4">
      <formula>$H1544="SUBETAPA"</formula>
    </cfRule>
    <cfRule type="expression" priority="558" dxfId="5">
      <formula>$H1544="CÉLULA CONSTRUTIVA"</formula>
    </cfRule>
  </conditionalFormatting>
  <conditionalFormatting sqref="O1547:O1548">
    <cfRule type="expression" priority="556" dxfId="4">
      <formula>$H1547="SUBETAPA"</formula>
    </cfRule>
    <cfRule type="expression" priority="555" dxfId="3">
      <formula>$H1547="ETAPA"</formula>
    </cfRule>
  </conditionalFormatting>
  <conditionalFormatting sqref="O1549">
    <cfRule type="expression" priority="554" dxfId="3">
      <formula>$H1549="ETAPA"</formula>
    </cfRule>
    <cfRule type="expression" priority="553" dxfId="5">
      <formula>$H1549="CÉLULA CONSTRUTIVA"</formula>
    </cfRule>
    <cfRule type="expression" priority="552" dxfId="4">
      <formula>$H1549="SUBETAPA"</formula>
    </cfRule>
  </conditionalFormatting>
  <conditionalFormatting sqref="O1550">
    <cfRule type="expression" priority="551" dxfId="4">
      <formula>$H1550="SUBETAPA"</formula>
    </cfRule>
  </conditionalFormatting>
  <conditionalFormatting sqref="O1551">
    <cfRule type="expression" priority="548" dxfId="4">
      <formula>$H1551="SUBETAPA"</formula>
    </cfRule>
    <cfRule type="expression" priority="549" dxfId="5">
      <formula>$H1551="CÉLULA CONSTRUTIVA"</formula>
    </cfRule>
    <cfRule type="expression" priority="550" dxfId="3">
      <formula>$H1551="ETAPA"</formula>
    </cfRule>
  </conditionalFormatting>
  <conditionalFormatting sqref="O1552">
    <cfRule type="expression" priority="545" dxfId="4">
      <formula>$H1552="SUBETAPA"</formula>
    </cfRule>
    <cfRule type="expression" priority="546" dxfId="5">
      <formula>$H1552="CÉLULA CONSTRUTIVA"</formula>
    </cfRule>
    <cfRule type="expression" priority="547" dxfId="3">
      <formula>$H1552="ETAPA"</formula>
    </cfRule>
  </conditionalFormatting>
  <conditionalFormatting sqref="O1553">
    <cfRule type="expression" priority="543" dxfId="5">
      <formula>$H1553="CÉLULA CONSTRUTIVA"</formula>
    </cfRule>
    <cfRule type="expression" priority="542" dxfId="4">
      <formula>$H1553="SUBETAPA"</formula>
    </cfRule>
    <cfRule type="expression" priority="544" dxfId="3">
      <formula>$H1553="ETAPA"</formula>
    </cfRule>
  </conditionalFormatting>
  <conditionalFormatting sqref="O1550 O1554 O1556">
    <cfRule type="expression" priority="541" dxfId="3">
      <formula>$H1550="ETAPA"</formula>
    </cfRule>
  </conditionalFormatting>
  <conditionalFormatting sqref="O1554 O1556">
    <cfRule type="expression" priority="540" dxfId="5">
      <formula>$H1554="CÉLULA CONSTRUTIVA"</formula>
    </cfRule>
    <cfRule type="expression" priority="539" dxfId="4">
      <formula>$H1554="SUBETAPA"</formula>
    </cfRule>
  </conditionalFormatting>
  <conditionalFormatting sqref="O1555 O1557">
    <cfRule type="expression" priority="536" dxfId="4">
      <formula>$H1555="SUBETAPA"</formula>
    </cfRule>
    <cfRule type="expression" priority="537" dxfId="5">
      <formula>$H1555="CÉLULA CONSTRUTIVA"</formula>
    </cfRule>
    <cfRule type="expression" priority="538" dxfId="3">
      <formula>$H1555="ETAPA"</formula>
    </cfRule>
  </conditionalFormatting>
  <conditionalFormatting sqref="O1558:O1559">
    <cfRule type="expression" priority="535" dxfId="4">
      <formula>$H1558="SUBETAPA"</formula>
    </cfRule>
  </conditionalFormatting>
  <conditionalFormatting sqref="O1560">
    <cfRule type="expression" priority="533" dxfId="5">
      <formula>$H1560="CÉLULA CONSTRUTIVA"</formula>
    </cfRule>
    <cfRule type="expression" priority="534" dxfId="3">
      <formula>$H1560="ETAPA"</formula>
    </cfRule>
    <cfRule type="expression" priority="532" dxfId="4">
      <formula>$H1560="SUBETAPA"</formula>
    </cfRule>
  </conditionalFormatting>
  <conditionalFormatting sqref="O1561">
    <cfRule type="expression" priority="531" dxfId="4">
      <formula>$H1561="SUBETAPA"</formula>
    </cfRule>
  </conditionalFormatting>
  <conditionalFormatting sqref="O1561:O1562">
    <cfRule type="expression" priority="530" dxfId="3">
      <formula>$H1561="ETAPA"</formula>
    </cfRule>
  </conditionalFormatting>
  <conditionalFormatting sqref="O1562">
    <cfRule type="expression" priority="529" dxfId="5">
      <formula>$H1562="CÉLULA CONSTRUTIVA"</formula>
    </cfRule>
    <cfRule type="expression" priority="528" dxfId="4">
      <formula>$H1562="SUBETAPA"</formula>
    </cfRule>
  </conditionalFormatting>
  <conditionalFormatting sqref="O1563">
    <cfRule type="expression" priority="527" dxfId="3">
      <formula>$H1563="ETAPA"</formula>
    </cfRule>
    <cfRule type="expression" priority="525" dxfId="4">
      <formula>$H1563="SUBETAPA"</formula>
    </cfRule>
    <cfRule type="expression" priority="526" dxfId="5">
      <formula>$H1563="CÉLULA CONSTRUTIVA"</formula>
    </cfRule>
  </conditionalFormatting>
  <conditionalFormatting sqref="O1566">
    <cfRule type="expression" priority="524" dxfId="3">
      <formula>$H1566="ETAPA"</formula>
    </cfRule>
    <cfRule type="expression" priority="523" dxfId="5">
      <formula>$H1566="CÉLULA CONSTRUTIVA"</formula>
    </cfRule>
    <cfRule type="expression" priority="522" dxfId="4">
      <formula>$H1566="SUBETAPA"</formula>
    </cfRule>
  </conditionalFormatting>
  <conditionalFormatting sqref="O1567">
    <cfRule type="expression" priority="520" dxfId="5">
      <formula>$H1567="CÉLULA CONSTRUTIVA"</formula>
    </cfRule>
    <cfRule type="expression" priority="519" dxfId="4">
      <formula>$H1567="SUBETAPA"</formula>
    </cfRule>
    <cfRule type="expression" priority="521" dxfId="3">
      <formula>$H1567="ETAPA"</formula>
    </cfRule>
  </conditionalFormatting>
  <conditionalFormatting sqref="O1568">
    <cfRule type="expression" priority="518" dxfId="5">
      <formula>$H1568="CÉLULA CONSTRUTIVA"</formula>
    </cfRule>
    <cfRule type="expression" priority="517" dxfId="3">
      <formula>$H1568="ETAPA"</formula>
    </cfRule>
  </conditionalFormatting>
  <conditionalFormatting sqref="O1569">
    <cfRule type="expression" priority="514" dxfId="4">
      <formula>$H1569="SUBETAPA"</formula>
    </cfRule>
    <cfRule type="expression" priority="516" dxfId="3">
      <formula>$H1569="ETAPA"</formula>
    </cfRule>
    <cfRule type="expression" priority="515" dxfId="5">
      <formula>$H1569="CÉLULA CONSTRUTIVA"</formula>
    </cfRule>
  </conditionalFormatting>
  <conditionalFormatting sqref="O1572">
    <cfRule type="expression" priority="512" dxfId="5">
      <formula>$H1572="CÉLULA CONSTRUTIVA"</formula>
    </cfRule>
    <cfRule type="expression" priority="511" dxfId="4">
      <formula>$H1572="SUBETAPA"</formula>
    </cfRule>
    <cfRule type="expression" priority="513" dxfId="3">
      <formula>$H1572="ETAPA"</formula>
    </cfRule>
  </conditionalFormatting>
  <conditionalFormatting sqref="O1573">
    <cfRule type="expression" priority="508" dxfId="4">
      <formula>$H1573="SUBETAPA"</formula>
    </cfRule>
    <cfRule type="expression" priority="509" dxfId="5">
      <formula>$H1573="CÉLULA CONSTRUTIVA"</formula>
    </cfRule>
    <cfRule type="expression" priority="510" dxfId="3">
      <formula>$H1573="ETAPA"</formula>
    </cfRule>
  </conditionalFormatting>
  <conditionalFormatting sqref="O1574">
    <cfRule type="expression" priority="507" dxfId="5">
      <formula>$H1574="CÉLULA CONSTRUTIVA"</formula>
    </cfRule>
    <cfRule type="expression" priority="506" dxfId="3">
      <formula>$H1574="ETAPA"</formula>
    </cfRule>
  </conditionalFormatting>
  <conditionalFormatting sqref="O1575">
    <cfRule type="expression" priority="505" dxfId="3">
      <formula>$H1575="ETAPA"</formula>
    </cfRule>
    <cfRule type="expression" priority="504" dxfId="5">
      <formula>$H1575="CÉLULA CONSTRUTIVA"</formula>
    </cfRule>
    <cfRule type="expression" priority="503" dxfId="4">
      <formula>$H1575="SUBETAPA"</formula>
    </cfRule>
  </conditionalFormatting>
  <conditionalFormatting sqref="O1578">
    <cfRule type="expression" priority="500" dxfId="4">
      <formula>$H1578="SUBETAPA"</formula>
    </cfRule>
    <cfRule type="expression" priority="501" dxfId="5">
      <formula>$H1578="CÉLULA CONSTRUTIVA"</formula>
    </cfRule>
    <cfRule type="expression" priority="502" dxfId="3">
      <formula>$H1578="ETAPA"</formula>
    </cfRule>
  </conditionalFormatting>
  <conditionalFormatting sqref="O1579">
    <cfRule type="expression" priority="497" dxfId="4">
      <formula>$H1579="SUBETAPA"</formula>
    </cfRule>
    <cfRule type="expression" priority="498" dxfId="5">
      <formula>$H1579="CÉLULA CONSTRUTIVA"</formula>
    </cfRule>
    <cfRule type="expression" priority="499" dxfId="3">
      <formula>$H1579="ETAPA"</formula>
    </cfRule>
  </conditionalFormatting>
  <conditionalFormatting sqref="O1580">
    <cfRule type="expression" priority="495" dxfId="3">
      <formula>$H1580="ETAPA"</formula>
    </cfRule>
    <cfRule type="expression" priority="496" dxfId="5">
      <formula>$H1580="CÉLULA CONSTRUTIVA"</formula>
    </cfRule>
  </conditionalFormatting>
  <conditionalFormatting sqref="O1581">
    <cfRule type="expression" priority="494" dxfId="3">
      <formula>$H1581="ETAPA"</formula>
    </cfRule>
    <cfRule type="expression" priority="492" dxfId="4">
      <formula>$H1581="SUBETAPA"</formula>
    </cfRule>
    <cfRule type="expression" priority="493" dxfId="5">
      <formula>$H1581="CÉLULA CONSTRUTIVA"</formula>
    </cfRule>
  </conditionalFormatting>
  <conditionalFormatting sqref="O1584">
    <cfRule type="expression" priority="490" dxfId="5">
      <formula>$H1584="CÉLULA CONSTRUTIVA"</formula>
    </cfRule>
    <cfRule type="expression" priority="491" dxfId="3">
      <formula>$H1584="ETAPA"</formula>
    </cfRule>
    <cfRule type="expression" priority="489" dxfId="4">
      <formula>$H1584="SUBETAPA"</formula>
    </cfRule>
  </conditionalFormatting>
  <conditionalFormatting sqref="O1585">
    <cfRule type="expression" priority="487" dxfId="5">
      <formula>$H1585="CÉLULA CONSTRUTIVA"</formula>
    </cfRule>
    <cfRule type="expression" priority="486" dxfId="4">
      <formula>$H1585="SUBETAPA"</formula>
    </cfRule>
    <cfRule type="expression" priority="488" dxfId="3">
      <formula>$H1585="ETAPA"</formula>
    </cfRule>
  </conditionalFormatting>
  <conditionalFormatting sqref="O1586">
    <cfRule type="expression" priority="483" dxfId="4">
      <formula>$H1586="SUBETAPA"</formula>
    </cfRule>
    <cfRule type="expression" priority="485" dxfId="3">
      <formula>$H1586="ETAPA"</formula>
    </cfRule>
    <cfRule type="expression" priority="484" dxfId="5">
      <formula>$H1586="CÉLULA CONSTRUTIVA"</formula>
    </cfRule>
  </conditionalFormatting>
  <conditionalFormatting sqref="O1587">
    <cfRule type="expression" priority="481" dxfId="4">
      <formula>$H1587="SUBETAPA"</formula>
    </cfRule>
  </conditionalFormatting>
  <conditionalFormatting sqref="O1589">
    <cfRule type="expression" priority="479" dxfId="3">
      <formula>$H1589="ETAPA"</formula>
    </cfRule>
    <cfRule type="expression" priority="480" dxfId="5">
      <formula>$H1589="CÉLULA CONSTRUTIVA"</formula>
    </cfRule>
  </conditionalFormatting>
  <conditionalFormatting sqref="O1590">
    <cfRule type="expression" priority="478" dxfId="3">
      <formula>$H1590="ETAPA"</formula>
    </cfRule>
    <cfRule type="expression" priority="476" dxfId="4">
      <formula>$H1590="SUBETAPA"</formula>
    </cfRule>
    <cfRule type="expression" priority="477" dxfId="5">
      <formula>$H1590="CÉLULA CONSTRUTIVA"</formula>
    </cfRule>
  </conditionalFormatting>
  <conditionalFormatting sqref="O1593">
    <cfRule type="expression" priority="473" dxfId="4">
      <formula>$H1593="SUBETAPA"</formula>
    </cfRule>
    <cfRule type="expression" priority="474" dxfId="5">
      <formula>$H1593="CÉLULA CONSTRUTIVA"</formula>
    </cfRule>
    <cfRule type="expression" priority="475" dxfId="3">
      <formula>$H1593="ETAPA"</formula>
    </cfRule>
  </conditionalFormatting>
  <conditionalFormatting sqref="O1594">
    <cfRule type="expression" priority="470" dxfId="4">
      <formula>$H1594="SUBETAPA"</formula>
    </cfRule>
    <cfRule type="expression" priority="471" dxfId="5">
      <formula>$H1594="CÉLULA CONSTRUTIVA"</formula>
    </cfRule>
    <cfRule type="expression" priority="472" dxfId="3">
      <formula>$H1594="ETAPA"</formula>
    </cfRule>
  </conditionalFormatting>
  <conditionalFormatting sqref="O1595">
    <cfRule type="expression" priority="468" dxfId="5">
      <formula>$H1595="CÉLULA CONSTRUTIVA"</formula>
    </cfRule>
    <cfRule type="expression" priority="469" dxfId="3">
      <formula>$H1595="ETAPA"</formula>
    </cfRule>
    <cfRule type="expression" priority="467" dxfId="4">
      <formula>$H1595="SUBETAPA"</formula>
    </cfRule>
  </conditionalFormatting>
  <conditionalFormatting sqref="O1596">
    <cfRule type="expression" priority="465" dxfId="4">
      <formula>$H1596="SUBETAPA"</formula>
    </cfRule>
  </conditionalFormatting>
  <conditionalFormatting sqref="O1598">
    <cfRule type="expression" priority="464" dxfId="5">
      <formula>$H1598="CÉLULA CONSTRUTIVA"</formula>
    </cfRule>
    <cfRule type="expression" priority="463" dxfId="3">
      <formula>$H1598="ETAPA"</formula>
    </cfRule>
  </conditionalFormatting>
  <conditionalFormatting sqref="O1599">
    <cfRule type="expression" priority="460" dxfId="4">
      <formula>$H1599="SUBETAPA"</formula>
    </cfRule>
    <cfRule type="expression" priority="461" dxfId="5">
      <formula>$H1599="CÉLULA CONSTRUTIVA"</formula>
    </cfRule>
    <cfRule type="expression" priority="462" dxfId="3">
      <formula>$H1599="ETAPA"</formula>
    </cfRule>
  </conditionalFormatting>
  <conditionalFormatting sqref="O1602">
    <cfRule type="expression" priority="457" dxfId="4">
      <formula>$H1602="SUBETAPA"</formula>
    </cfRule>
    <cfRule type="expression" priority="458" dxfId="5">
      <formula>$H1602="CÉLULA CONSTRUTIVA"</formula>
    </cfRule>
    <cfRule type="expression" priority="459" dxfId="3">
      <formula>$H1602="ETAPA"</formula>
    </cfRule>
  </conditionalFormatting>
  <conditionalFormatting sqref="O1603">
    <cfRule type="expression" priority="454" dxfId="4">
      <formula>$H1603="SUBETAPA"</formula>
    </cfRule>
    <cfRule type="expression" priority="455" dxfId="5">
      <formula>$H1603="CÉLULA CONSTRUTIVA"</formula>
    </cfRule>
    <cfRule type="expression" priority="456" dxfId="3">
      <formula>$H1603="ETAPA"</formula>
    </cfRule>
  </conditionalFormatting>
  <conditionalFormatting sqref="O1604">
    <cfRule type="expression" priority="451" dxfId="4">
      <formula>$H1604="SUBETAPA"</formula>
    </cfRule>
    <cfRule type="expression" priority="452" dxfId="5">
      <formula>$H1604="CÉLULA CONSTRUTIVA"</formula>
    </cfRule>
    <cfRule type="expression" priority="453" dxfId="3">
      <formula>$H1604="ETAPA"</formula>
    </cfRule>
  </conditionalFormatting>
  <conditionalFormatting sqref="O1605">
    <cfRule type="expression" priority="449" dxfId="4">
      <formula>$H1605="SUBETAPA"</formula>
    </cfRule>
  </conditionalFormatting>
  <conditionalFormatting sqref="O1607">
    <cfRule type="expression" priority="448" dxfId="5">
      <formula>$H1607="CÉLULA CONSTRUTIVA"</formula>
    </cfRule>
    <cfRule type="expression" priority="447" dxfId="3">
      <formula>$H1607="ETAPA"</formula>
    </cfRule>
  </conditionalFormatting>
  <conditionalFormatting sqref="O1608">
    <cfRule type="expression" priority="446" dxfId="3">
      <formula>$H1608="ETAPA"</formula>
    </cfRule>
    <cfRule type="expression" priority="445" dxfId="5">
      <formula>$H1608="CÉLULA CONSTRUTIVA"</formula>
    </cfRule>
    <cfRule type="expression" priority="444" dxfId="4">
      <formula>$H1608="SUBETAPA"</formula>
    </cfRule>
  </conditionalFormatting>
  <conditionalFormatting sqref="O1611">
    <cfRule type="expression" priority="442" dxfId="5">
      <formula>$H1611="CÉLULA CONSTRUTIVA"</formula>
    </cfRule>
    <cfRule type="expression" priority="443" dxfId="3">
      <formula>$H1611="ETAPA"</formula>
    </cfRule>
    <cfRule type="expression" priority="441" dxfId="4">
      <formula>$H1611="SUBETAPA"</formula>
    </cfRule>
  </conditionalFormatting>
  <conditionalFormatting sqref="O1612">
    <cfRule type="expression" priority="439" dxfId="5">
      <formula>$H1612="CÉLULA CONSTRUTIVA"</formula>
    </cfRule>
    <cfRule type="expression" priority="438" dxfId="4">
      <formula>$H1612="SUBETAPA"</formula>
    </cfRule>
    <cfRule type="expression" priority="440" dxfId="3">
      <formula>$H1612="ETAPA"</formula>
    </cfRule>
  </conditionalFormatting>
  <conditionalFormatting sqref="O1613">
    <cfRule type="expression" priority="437" dxfId="3">
      <formula>$H1613="ETAPA"</formula>
    </cfRule>
    <cfRule type="expression" priority="436" dxfId="5">
      <formula>$H1613="CÉLULA CONSTRUTIVA"</formula>
    </cfRule>
    <cfRule type="expression" priority="435" dxfId="4">
      <formula>$H1613="SUBETAPA"</formula>
    </cfRule>
  </conditionalFormatting>
  <conditionalFormatting sqref="O1614">
    <cfRule type="expression" priority="433" dxfId="4">
      <formula>$H1614="SUBETAPA"</formula>
    </cfRule>
  </conditionalFormatting>
  <conditionalFormatting sqref="O1616">
    <cfRule type="expression" priority="431" dxfId="3">
      <formula>$H1616="ETAPA"</formula>
    </cfRule>
    <cfRule type="expression" priority="432" dxfId="5">
      <formula>$H1616="CÉLULA CONSTRUTIVA"</formula>
    </cfRule>
  </conditionalFormatting>
  <conditionalFormatting sqref="O1617">
    <cfRule type="expression" priority="428" dxfId="4">
      <formula>$H1617="SUBETAPA"</formula>
    </cfRule>
    <cfRule type="expression" priority="429" dxfId="5">
      <formula>$H1617="CÉLULA CONSTRUTIVA"</formula>
    </cfRule>
    <cfRule type="expression" priority="430" dxfId="3">
      <formula>$H1617="ETAPA"</formula>
    </cfRule>
  </conditionalFormatting>
  <conditionalFormatting sqref="O1620">
    <cfRule type="expression" priority="425" dxfId="4">
      <formula>$H1620="SUBETAPA"</formula>
    </cfRule>
    <cfRule type="expression" priority="426" dxfId="5">
      <formula>$H1620="CÉLULA CONSTRUTIVA"</formula>
    </cfRule>
    <cfRule type="expression" priority="427" dxfId="3">
      <formula>$H1620="ETAPA"</formula>
    </cfRule>
  </conditionalFormatting>
  <conditionalFormatting sqref="O1621">
    <cfRule type="expression" priority="424" dxfId="3">
      <formula>$H1621="ETAPA"</formula>
    </cfRule>
    <cfRule type="expression" priority="422" dxfId="4">
      <formula>$H1621="SUBETAPA"</formula>
    </cfRule>
    <cfRule type="expression" priority="423" dxfId="5">
      <formula>$H1621="CÉLULA CONSTRUTIVA"</formula>
    </cfRule>
  </conditionalFormatting>
  <conditionalFormatting sqref="O1622">
    <cfRule type="expression" priority="419" dxfId="4">
      <formula>$H1622="SUBETAPA"</formula>
    </cfRule>
    <cfRule type="expression" priority="420" dxfId="5">
      <formula>$H1622="CÉLULA CONSTRUTIVA"</formula>
    </cfRule>
    <cfRule type="expression" priority="421" dxfId="3">
      <formula>$H1622="ETAPA"</formula>
    </cfRule>
  </conditionalFormatting>
  <conditionalFormatting sqref="O1623">
    <cfRule type="expression" priority="417" dxfId="3">
      <formula>$H1623="ETAPA"</formula>
    </cfRule>
    <cfRule type="expression" priority="418" dxfId="5">
      <formula>$H1623="CÉLULA CONSTRUTIVA"</formula>
    </cfRule>
  </conditionalFormatting>
  <conditionalFormatting sqref="O1624">
    <cfRule type="expression" priority="414" dxfId="4">
      <formula>$H1624="SUBETAPA"</formula>
    </cfRule>
    <cfRule type="expression" priority="415" dxfId="5">
      <formula>$H1624="CÉLULA CONSTRUTIVA"</formula>
    </cfRule>
    <cfRule type="expression" priority="416" dxfId="3">
      <formula>$H1624="ETAPA"</formula>
    </cfRule>
  </conditionalFormatting>
  <conditionalFormatting sqref="O1625 O1634">
    <cfRule type="expression" priority="413" dxfId="4">
      <formula>$H1625="SUBETAPA"</formula>
    </cfRule>
  </conditionalFormatting>
  <conditionalFormatting sqref="O1625:O1626 O1634">
    <cfRule type="expression" priority="412" dxfId="3">
      <formula>$H1625="ETAPA"</formula>
    </cfRule>
  </conditionalFormatting>
  <conditionalFormatting sqref="O1626">
    <cfRule type="expression" priority="411" dxfId="5">
      <formula>$H1626="CÉLULA CONSTRUTIVA"</formula>
    </cfRule>
  </conditionalFormatting>
  <conditionalFormatting sqref="O1627">
    <cfRule type="expression" priority="410" dxfId="3">
      <formula>$H1627="ETAPA"</formula>
    </cfRule>
    <cfRule type="expression" priority="409" dxfId="5">
      <formula>$H1627="CÉLULA CONSTRUTIVA"</formula>
    </cfRule>
    <cfRule type="expression" priority="408" dxfId="4">
      <formula>$H1627="SUBETAPA"</formula>
    </cfRule>
  </conditionalFormatting>
  <conditionalFormatting sqref="O1630">
    <cfRule type="expression" priority="405" dxfId="4">
      <formula>$H1630="SUBETAPA"</formula>
    </cfRule>
    <cfRule type="expression" priority="406" dxfId="5">
      <formula>$H1630="CÉLULA CONSTRUTIVA"</formula>
    </cfRule>
    <cfRule type="expression" priority="407" dxfId="3">
      <formula>$H1630="ETAPA"</formula>
    </cfRule>
  </conditionalFormatting>
  <conditionalFormatting sqref="O1631">
    <cfRule type="expression" priority="402" dxfId="4">
      <formula>$H1631="SUBETAPA"</formula>
    </cfRule>
    <cfRule type="expression" priority="404" dxfId="3">
      <formula>$H1631="ETAPA"</formula>
    </cfRule>
    <cfRule type="expression" priority="403" dxfId="5">
      <formula>$H1631="CÉLULA CONSTRUTIVA"</formula>
    </cfRule>
  </conditionalFormatting>
  <conditionalFormatting sqref="O1632">
    <cfRule type="expression" priority="401" dxfId="3">
      <formula>$H1632="ETAPA"</formula>
    </cfRule>
    <cfRule type="expression" priority="400" dxfId="5">
      <formula>$H1632="CÉLULA CONSTRUTIVA"</formula>
    </cfRule>
    <cfRule type="expression" priority="399" dxfId="4">
      <formula>$H1632="SUBETAPA"</formula>
    </cfRule>
  </conditionalFormatting>
  <conditionalFormatting sqref="O1633">
    <cfRule type="expression" priority="398" dxfId="3">
      <formula>$H1633="ETAPA"</formula>
    </cfRule>
    <cfRule type="expression" priority="397" dxfId="5">
      <formula>$H1633="CÉLULA CONSTRUTIVA"</formula>
    </cfRule>
    <cfRule type="expression" priority="396" dxfId="4">
      <formula>$H1633="SUBETAPA"</formula>
    </cfRule>
  </conditionalFormatting>
  <conditionalFormatting sqref="O1635">
    <cfRule type="expression" priority="395" dxfId="3">
      <formula>$H1635="ETAPA"</formula>
    </cfRule>
    <cfRule type="expression" priority="394" dxfId="5">
      <formula>$H1635="CÉLULA CONSTRUTIVA"</formula>
    </cfRule>
    <cfRule type="expression" priority="393" dxfId="4">
      <formula>$H1635="SUBETAPA"</formula>
    </cfRule>
  </conditionalFormatting>
  <conditionalFormatting sqref="O1636 O1643">
    <cfRule type="expression" priority="392" dxfId="4">
      <formula>$H1636="SUBETAPA"</formula>
    </cfRule>
  </conditionalFormatting>
  <conditionalFormatting sqref="O1636:O1637 O1643">
    <cfRule type="expression" priority="391" dxfId="3">
      <formula>$H1636="ETAPA"</formula>
    </cfRule>
  </conditionalFormatting>
  <conditionalFormatting sqref="O1637">
    <cfRule type="expression" priority="390" dxfId="5">
      <formula>$H1637="CÉLULA CONSTRUTIVA"</formula>
    </cfRule>
  </conditionalFormatting>
  <conditionalFormatting sqref="O1638">
    <cfRule type="expression" priority="389" dxfId="3">
      <formula>$H1638="ETAPA"</formula>
    </cfRule>
    <cfRule type="expression" priority="388" dxfId="5">
      <formula>$H1638="CÉLULA CONSTRUTIVA"</formula>
    </cfRule>
    <cfRule type="expression" priority="387" dxfId="4">
      <formula>$H1638="SUBETAPA"</formula>
    </cfRule>
  </conditionalFormatting>
  <conditionalFormatting sqref="J1640:L1640 O1639:O1640">
    <cfRule type="expression" priority="6916" dxfId="5">
      <formula>$H1639="CÉLULA CONSTRUTIVA"</formula>
    </cfRule>
  </conditionalFormatting>
  <conditionalFormatting sqref="O1641">
    <cfRule type="expression" priority="385" dxfId="5">
      <formula>$H1641="CÉLULA CONSTRUTIVA"</formula>
    </cfRule>
    <cfRule type="expression" priority="384" dxfId="4">
      <formula>$H1641="SUBETAPA"</formula>
    </cfRule>
    <cfRule type="expression" priority="386" dxfId="3">
      <formula>$H1641="ETAPA"</formula>
    </cfRule>
  </conditionalFormatting>
  <conditionalFormatting sqref="O1642">
    <cfRule type="expression" priority="382" dxfId="5">
      <formula>$H1642="CÉLULA CONSTRUTIVA"</formula>
    </cfRule>
    <cfRule type="expression" priority="381" dxfId="4">
      <formula>$H1642="SUBETAPA"</formula>
    </cfRule>
    <cfRule type="expression" priority="383" dxfId="3">
      <formula>$H1642="ETAPA"</formula>
    </cfRule>
  </conditionalFormatting>
  <conditionalFormatting sqref="O1644">
    <cfRule type="expression" priority="380" dxfId="3">
      <formula>$H1644="ETAPA"</formula>
    </cfRule>
    <cfRule type="expression" priority="379" dxfId="5">
      <formula>$H1644="CÉLULA CONSTRUTIVA"</formula>
    </cfRule>
    <cfRule type="expression" priority="378" dxfId="4">
      <formula>$H1644="SUBETAPA"</formula>
    </cfRule>
  </conditionalFormatting>
  <conditionalFormatting sqref="O1645 O1652">
    <cfRule type="expression" priority="377" dxfId="4">
      <formula>$H1645="SUBETAPA"</formula>
    </cfRule>
  </conditionalFormatting>
  <conditionalFormatting sqref="O1645:O1646 O1652">
    <cfRule type="expression" priority="376" dxfId="3">
      <formula>$H1645="ETAPA"</formula>
    </cfRule>
  </conditionalFormatting>
  <conditionalFormatting sqref="O1646">
    <cfRule type="expression" priority="375" dxfId="5">
      <formula>$H1646="CÉLULA CONSTRUTIVA"</formula>
    </cfRule>
  </conditionalFormatting>
  <conditionalFormatting sqref="O1647">
    <cfRule type="expression" priority="374" dxfId="3">
      <formula>$H1647="ETAPA"</formula>
    </cfRule>
    <cfRule type="expression" priority="373" dxfId="5">
      <formula>$H1647="CÉLULA CONSTRUTIVA"</formula>
    </cfRule>
    <cfRule type="expression" priority="372" dxfId="4">
      <formula>$H1647="SUBETAPA"</formula>
    </cfRule>
  </conditionalFormatting>
  <conditionalFormatting sqref="J1649:L1649 O1648:O1649">
    <cfRule type="expression" priority="6912" dxfId="5">
      <formula>$H1648="CÉLULA CONSTRUTIVA"</formula>
    </cfRule>
  </conditionalFormatting>
  <conditionalFormatting sqref="O1650">
    <cfRule type="expression" priority="371" dxfId="3">
      <formula>$H1650="ETAPA"</formula>
    </cfRule>
    <cfRule type="expression" priority="370" dxfId="5">
      <formula>$H1650="CÉLULA CONSTRUTIVA"</formula>
    </cfRule>
    <cfRule type="expression" priority="369" dxfId="4">
      <formula>$H1650="SUBETAPA"</formula>
    </cfRule>
  </conditionalFormatting>
  <conditionalFormatting sqref="O1651">
    <cfRule type="expression" priority="368" dxfId="3">
      <formula>$H1651="ETAPA"</formula>
    </cfRule>
    <cfRule type="expression" priority="367" dxfId="5">
      <formula>$H1651="CÉLULA CONSTRUTIVA"</formula>
    </cfRule>
    <cfRule type="expression" priority="366" dxfId="4">
      <formula>$H1651="SUBETAPA"</formula>
    </cfRule>
  </conditionalFormatting>
  <conditionalFormatting sqref="O1653">
    <cfRule type="expression" priority="365" dxfId="3">
      <formula>$H1653="ETAPA"</formula>
    </cfRule>
    <cfRule type="expression" priority="364" dxfId="5">
      <formula>$H1653="CÉLULA CONSTRUTIVA"</formula>
    </cfRule>
    <cfRule type="expression" priority="363" dxfId="4">
      <formula>$H1653="SUBETAPA"</formula>
    </cfRule>
  </conditionalFormatting>
  <conditionalFormatting sqref="O1654 O1661">
    <cfRule type="expression" priority="362" dxfId="4">
      <formula>$H1654="SUBETAPA"</formula>
    </cfRule>
  </conditionalFormatting>
  <conditionalFormatting sqref="O1654:O1655 O1661">
    <cfRule type="expression" priority="361" dxfId="3">
      <formula>$H1654="ETAPA"</formula>
    </cfRule>
  </conditionalFormatting>
  <conditionalFormatting sqref="O1655">
    <cfRule type="expression" priority="360" dxfId="5">
      <formula>$H1655="CÉLULA CONSTRUTIVA"</formula>
    </cfRule>
  </conditionalFormatting>
  <conditionalFormatting sqref="O1656">
    <cfRule type="expression" priority="359" dxfId="3">
      <formula>$H1656="ETAPA"</formula>
    </cfRule>
    <cfRule type="expression" priority="358" dxfId="5">
      <formula>$H1656="CÉLULA CONSTRUTIVA"</formula>
    </cfRule>
    <cfRule type="expression" priority="357" dxfId="4">
      <formula>$H1656="SUBETAPA"</formula>
    </cfRule>
  </conditionalFormatting>
  <conditionalFormatting sqref="J1658:L1658 O1657:O1658">
    <cfRule type="expression" priority="6908" dxfId="5">
      <formula>$H1657="CÉLULA CONSTRUTIVA"</formula>
    </cfRule>
  </conditionalFormatting>
  <conditionalFormatting sqref="O1659">
    <cfRule type="expression" priority="356" dxfId="3">
      <formula>$H1659="ETAPA"</formula>
    </cfRule>
    <cfRule type="expression" priority="355" dxfId="5">
      <formula>$H1659="CÉLULA CONSTRUTIVA"</formula>
    </cfRule>
    <cfRule type="expression" priority="354" dxfId="4">
      <formula>$H1659="SUBETAPA"</formula>
    </cfRule>
  </conditionalFormatting>
  <conditionalFormatting sqref="O1660">
    <cfRule type="expression" priority="353" dxfId="3">
      <formula>$H1660="ETAPA"</formula>
    </cfRule>
    <cfRule type="expression" priority="352" dxfId="5">
      <formula>$H1660="CÉLULA CONSTRUTIVA"</formula>
    </cfRule>
    <cfRule type="expression" priority="351" dxfId="4">
      <formula>$H1660="SUBETAPA"</formula>
    </cfRule>
  </conditionalFormatting>
  <conditionalFormatting sqref="O1662">
    <cfRule type="expression" priority="350" dxfId="3">
      <formula>$H1662="ETAPA"</formula>
    </cfRule>
    <cfRule type="expression" priority="349" dxfId="5">
      <formula>$H1662="CÉLULA CONSTRUTIVA"</formula>
    </cfRule>
    <cfRule type="expression" priority="348" dxfId="4">
      <formula>$H1662="SUBETAPA"</formula>
    </cfRule>
  </conditionalFormatting>
  <conditionalFormatting sqref="O1663 O1670">
    <cfRule type="expression" priority="347" dxfId="4">
      <formula>$H1663="SUBETAPA"</formula>
    </cfRule>
  </conditionalFormatting>
  <conditionalFormatting sqref="O1663:O1664 O1670">
    <cfRule type="expression" priority="346" dxfId="3">
      <formula>$H1663="ETAPA"</formula>
    </cfRule>
  </conditionalFormatting>
  <conditionalFormatting sqref="O1664">
    <cfRule type="expression" priority="345" dxfId="5">
      <formula>$H1664="CÉLULA CONSTRUTIVA"</formula>
    </cfRule>
  </conditionalFormatting>
  <conditionalFormatting sqref="O1665">
    <cfRule type="expression" priority="344" dxfId="3">
      <formula>$H1665="ETAPA"</formula>
    </cfRule>
    <cfRule type="expression" priority="343" dxfId="5">
      <formula>$H1665="CÉLULA CONSTRUTIVA"</formula>
    </cfRule>
    <cfRule type="expression" priority="342" dxfId="4">
      <formula>$H1665="SUBETAPA"</formula>
    </cfRule>
  </conditionalFormatting>
  <conditionalFormatting sqref="J1667:L1667 O1666:O1667">
    <cfRule type="expression" priority="6904" dxfId="5">
      <formula>$H1666="CÉLULA CONSTRUTIVA"</formula>
    </cfRule>
  </conditionalFormatting>
  <conditionalFormatting sqref="O1668">
    <cfRule type="expression" priority="341" dxfId="3">
      <formula>$H1668="ETAPA"</formula>
    </cfRule>
    <cfRule type="expression" priority="340" dxfId="5">
      <formula>$H1668="CÉLULA CONSTRUTIVA"</formula>
    </cfRule>
    <cfRule type="expression" priority="339" dxfId="4">
      <formula>$H1668="SUBETAPA"</formula>
    </cfRule>
  </conditionalFormatting>
  <conditionalFormatting sqref="O1669">
    <cfRule type="expression" priority="338" dxfId="3">
      <formula>$H1669="ETAPA"</formula>
    </cfRule>
    <cfRule type="expression" priority="337" dxfId="5">
      <formula>$H1669="CÉLULA CONSTRUTIVA"</formula>
    </cfRule>
    <cfRule type="expression" priority="336" dxfId="4">
      <formula>$H1669="SUBETAPA"</formula>
    </cfRule>
  </conditionalFormatting>
  <conditionalFormatting sqref="O1671">
    <cfRule type="expression" priority="335" dxfId="3">
      <formula>$H1671="ETAPA"</formula>
    </cfRule>
    <cfRule type="expression" priority="334" dxfId="5">
      <formula>$H1671="CÉLULA CONSTRUTIVA"</formula>
    </cfRule>
    <cfRule type="expression" priority="333" dxfId="4">
      <formula>$H1671="SUBETAPA"</formula>
    </cfRule>
  </conditionalFormatting>
  <conditionalFormatting sqref="O1672 O1679">
    <cfRule type="expression" priority="332" dxfId="4">
      <formula>$H1672="SUBETAPA"</formula>
    </cfRule>
  </conditionalFormatting>
  <conditionalFormatting sqref="O1672:O1673 O1679">
    <cfRule type="expression" priority="331" dxfId="3">
      <formula>$H1672="ETAPA"</formula>
    </cfRule>
  </conditionalFormatting>
  <conditionalFormatting sqref="O1673">
    <cfRule type="expression" priority="330" dxfId="5">
      <formula>$H1673="CÉLULA CONSTRUTIVA"</formula>
    </cfRule>
  </conditionalFormatting>
  <conditionalFormatting sqref="O1674">
    <cfRule type="expression" priority="329" dxfId="3">
      <formula>$H1674="ETAPA"</formula>
    </cfRule>
    <cfRule type="expression" priority="328" dxfId="5">
      <formula>$H1674="CÉLULA CONSTRUTIVA"</formula>
    </cfRule>
    <cfRule type="expression" priority="327" dxfId="4">
      <formula>$H1674="SUBETAPA"</formula>
    </cfRule>
  </conditionalFormatting>
  <conditionalFormatting sqref="J1676:L1676 O1675:O1676">
    <cfRule type="expression" priority="6900" dxfId="5">
      <formula>$H1675="CÉLULA CONSTRUTIVA"</formula>
    </cfRule>
  </conditionalFormatting>
  <conditionalFormatting sqref="O1677">
    <cfRule type="expression" priority="326" dxfId="3">
      <formula>$H1677="ETAPA"</formula>
    </cfRule>
    <cfRule type="expression" priority="325" dxfId="5">
      <formula>$H1677="CÉLULA CONSTRUTIVA"</formula>
    </cfRule>
    <cfRule type="expression" priority="324" dxfId="4">
      <formula>$H1677="SUBETAPA"</formula>
    </cfRule>
  </conditionalFormatting>
  <conditionalFormatting sqref="O1678">
    <cfRule type="expression" priority="323" dxfId="3">
      <formula>$H1678="ETAPA"</formula>
    </cfRule>
    <cfRule type="expression" priority="322" dxfId="5">
      <formula>$H1678="CÉLULA CONSTRUTIVA"</formula>
    </cfRule>
    <cfRule type="expression" priority="321" dxfId="4">
      <formula>$H1678="SUBETAPA"</formula>
    </cfRule>
  </conditionalFormatting>
  <conditionalFormatting sqref="O1680">
    <cfRule type="expression" priority="320" dxfId="3">
      <formula>$H1680="ETAPA"</formula>
    </cfRule>
    <cfRule type="expression" priority="319" dxfId="5">
      <formula>$H1680="CÉLULA CONSTRUTIVA"</formula>
    </cfRule>
    <cfRule type="expression" priority="318" dxfId="4">
      <formula>$H1680="SUBETAPA"</formula>
    </cfRule>
  </conditionalFormatting>
  <conditionalFormatting sqref="O1681 O1690">
    <cfRule type="expression" priority="317" dxfId="4">
      <formula>$H1681="SUBETAPA"</formula>
    </cfRule>
  </conditionalFormatting>
  <conditionalFormatting sqref="O1681:O1682 O1690">
    <cfRule type="expression" priority="316" dxfId="3">
      <formula>$H1681="ETAPA"</formula>
    </cfRule>
  </conditionalFormatting>
  <conditionalFormatting sqref="O1682">
    <cfRule type="expression" priority="315" dxfId="5">
      <formula>$H1682="CÉLULA CONSTRUTIVA"</formula>
    </cfRule>
  </conditionalFormatting>
  <conditionalFormatting sqref="O1683">
    <cfRule type="expression" priority="314" dxfId="3">
      <formula>$H1683="ETAPA"</formula>
    </cfRule>
    <cfRule type="expression" priority="313" dxfId="5">
      <formula>$H1683="CÉLULA CONSTRUTIVA"</formula>
    </cfRule>
    <cfRule type="expression" priority="312" dxfId="4">
      <formula>$H1683="SUBETAPA"</formula>
    </cfRule>
  </conditionalFormatting>
  <conditionalFormatting sqref="O1686">
    <cfRule type="expression" priority="311" dxfId="3">
      <formula>$H1686="ETAPA"</formula>
    </cfRule>
    <cfRule type="expression" priority="310" dxfId="5">
      <formula>$H1686="CÉLULA CONSTRUTIVA"</formula>
    </cfRule>
    <cfRule type="expression" priority="309" dxfId="4">
      <formula>$H1686="SUBETAPA"</formula>
    </cfRule>
  </conditionalFormatting>
  <conditionalFormatting sqref="O1687">
    <cfRule type="expression" priority="308" dxfId="3">
      <formula>$H1687="ETAPA"</formula>
    </cfRule>
    <cfRule type="expression" priority="307" dxfId="5">
      <formula>$H1687="CÉLULA CONSTRUTIVA"</formula>
    </cfRule>
    <cfRule type="expression" priority="306" dxfId="4">
      <formula>$H1687="SUBETAPA"</formula>
    </cfRule>
  </conditionalFormatting>
  <conditionalFormatting sqref="O1688">
    <cfRule type="expression" priority="305" dxfId="3">
      <formula>$H1688="ETAPA"</formula>
    </cfRule>
    <cfRule type="expression" priority="304" dxfId="5">
      <formula>$H1688="CÉLULA CONSTRUTIVA"</formula>
    </cfRule>
    <cfRule type="expression" priority="303" dxfId="4">
      <formula>$H1688="SUBETAPA"</formula>
    </cfRule>
  </conditionalFormatting>
  <conditionalFormatting sqref="O1689">
    <cfRule type="expression" priority="302" dxfId="3">
      <formula>$H1689="ETAPA"</formula>
    </cfRule>
    <cfRule type="expression" priority="301" dxfId="5">
      <formula>$H1689="CÉLULA CONSTRUTIVA"</formula>
    </cfRule>
    <cfRule type="expression" priority="300" dxfId="4">
      <formula>$H1689="SUBETAPA"</formula>
    </cfRule>
  </conditionalFormatting>
  <conditionalFormatting sqref="O1691">
    <cfRule type="expression" priority="298" dxfId="5">
      <formula>$H1691="CÉLULA CONSTRUTIVA"</formula>
    </cfRule>
    <cfRule type="expression" priority="297" dxfId="4">
      <formula>$H1691="SUBETAPA"</formula>
    </cfRule>
    <cfRule type="expression" priority="299" dxfId="3">
      <formula>$H1691="ETAPA"</formula>
    </cfRule>
  </conditionalFormatting>
  <conditionalFormatting sqref="O1692 O1701">
    <cfRule type="expression" priority="296" dxfId="4">
      <formula>$H1692="SUBETAPA"</formula>
    </cfRule>
  </conditionalFormatting>
  <conditionalFormatting sqref="O1692:O1693 O1701">
    <cfRule type="expression" priority="295" dxfId="3">
      <formula>$H1692="ETAPA"</formula>
    </cfRule>
  </conditionalFormatting>
  <conditionalFormatting sqref="O1693">
    <cfRule type="expression" priority="294" dxfId="5">
      <formula>$H1693="CÉLULA CONSTRUTIVA"</formula>
    </cfRule>
  </conditionalFormatting>
  <conditionalFormatting sqref="O1694">
    <cfRule type="expression" priority="293" dxfId="3">
      <formula>$H1694="ETAPA"</formula>
    </cfRule>
    <cfRule type="expression" priority="292" dxfId="5">
      <formula>$H1694="CÉLULA CONSTRUTIVA"</formula>
    </cfRule>
    <cfRule type="expression" priority="291" dxfId="4">
      <formula>$H1694="SUBETAPA"</formula>
    </cfRule>
  </conditionalFormatting>
  <conditionalFormatting sqref="O1697">
    <cfRule type="expression" priority="290" dxfId="3">
      <formula>$H1697="ETAPA"</formula>
    </cfRule>
    <cfRule type="expression" priority="289" dxfId="5">
      <formula>$H1697="CÉLULA CONSTRUTIVA"</formula>
    </cfRule>
    <cfRule type="expression" priority="288" dxfId="4">
      <formula>$H1697="SUBETAPA"</formula>
    </cfRule>
  </conditionalFormatting>
  <conditionalFormatting sqref="O1698">
    <cfRule type="expression" priority="287" dxfId="3">
      <formula>$H1698="ETAPA"</formula>
    </cfRule>
    <cfRule type="expression" priority="285" dxfId="4">
      <formula>$H1698="SUBETAPA"</formula>
    </cfRule>
    <cfRule type="expression" priority="286" dxfId="5">
      <formula>$H1698="CÉLULA CONSTRUTIVA"</formula>
    </cfRule>
  </conditionalFormatting>
  <conditionalFormatting sqref="O1699">
    <cfRule type="expression" priority="283" dxfId="5">
      <formula>$H1699="CÉLULA CONSTRUTIVA"</formula>
    </cfRule>
    <cfRule type="expression" priority="282" dxfId="4">
      <formula>$H1699="SUBETAPA"</formula>
    </cfRule>
    <cfRule type="expression" priority="284" dxfId="3">
      <formula>$H1699="ETAPA"</formula>
    </cfRule>
  </conditionalFormatting>
  <conditionalFormatting sqref="O1700">
    <cfRule type="expression" priority="281" dxfId="3">
      <formula>$H1700="ETAPA"</formula>
    </cfRule>
    <cfRule type="expression" priority="280" dxfId="5">
      <formula>$H1700="CÉLULA CONSTRUTIVA"</formula>
    </cfRule>
    <cfRule type="expression" priority="279" dxfId="4">
      <formula>$H1700="SUBETAPA"</formula>
    </cfRule>
  </conditionalFormatting>
  <conditionalFormatting sqref="O1702">
    <cfRule type="expression" priority="277" dxfId="5">
      <formula>$H1702="CÉLULA CONSTRUTIVA"</formula>
    </cfRule>
    <cfRule type="expression" priority="276" dxfId="4">
      <formula>$H1702="SUBETAPA"</formula>
    </cfRule>
    <cfRule type="expression" priority="278" dxfId="3">
      <formula>$H1702="ETAPA"</formula>
    </cfRule>
  </conditionalFormatting>
  <conditionalFormatting sqref="O1703 O1710">
    <cfRule type="expression" priority="275" dxfId="4">
      <formula>$H1703="SUBETAPA"</formula>
    </cfRule>
  </conditionalFormatting>
  <conditionalFormatting sqref="O1703:O1704 O1710">
    <cfRule type="expression" priority="274" dxfId="3">
      <formula>$H1703="ETAPA"</formula>
    </cfRule>
  </conditionalFormatting>
  <conditionalFormatting sqref="O1704">
    <cfRule type="expression" priority="273" dxfId="5">
      <formula>$H1704="CÉLULA CONSTRUTIVA"</formula>
    </cfRule>
  </conditionalFormatting>
  <conditionalFormatting sqref="O1705">
    <cfRule type="expression" priority="271" dxfId="5">
      <formula>$H1705="CÉLULA CONSTRUTIVA"</formula>
    </cfRule>
    <cfRule type="expression" priority="270" dxfId="4">
      <formula>$H1705="SUBETAPA"</formula>
    </cfRule>
    <cfRule type="expression" priority="272" dxfId="3">
      <formula>$H1705="ETAPA"</formula>
    </cfRule>
  </conditionalFormatting>
  <conditionalFormatting sqref="O1706">
    <cfRule type="expression" priority="268" dxfId="5">
      <formula>$H1706="CÉLULA CONSTRUTIVA"</formula>
    </cfRule>
    <cfRule type="expression" priority="267" dxfId="4">
      <formula>$H1706="SUBETAPA"</formula>
    </cfRule>
    <cfRule type="expression" priority="269" dxfId="3">
      <formula>$H1706="ETAPA"</formula>
    </cfRule>
  </conditionalFormatting>
  <conditionalFormatting sqref="O1708">
    <cfRule type="expression" priority="266" dxfId="3">
      <formula>$H1708="ETAPA"</formula>
    </cfRule>
    <cfRule type="expression" priority="265" dxfId="5">
      <formula>$H1708="CÉLULA CONSTRUTIVA"</formula>
    </cfRule>
    <cfRule type="expression" priority="264" dxfId="4">
      <formula>$H1708="SUBETAPA"</formula>
    </cfRule>
  </conditionalFormatting>
  <conditionalFormatting sqref="O1709">
    <cfRule type="expression" priority="263" dxfId="3">
      <formula>$H1709="ETAPA"</formula>
    </cfRule>
    <cfRule type="expression" priority="262" dxfId="5">
      <formula>$H1709="CÉLULA CONSTRUTIVA"</formula>
    </cfRule>
    <cfRule type="expression" priority="261" dxfId="4">
      <formula>$H1709="SUBETAPA"</formula>
    </cfRule>
  </conditionalFormatting>
  <conditionalFormatting sqref="O1711">
    <cfRule type="expression" priority="260" dxfId="3">
      <formula>$H1711="ETAPA"</formula>
    </cfRule>
    <cfRule type="expression" priority="259" dxfId="5">
      <formula>$H1711="CÉLULA CONSTRUTIVA"</formula>
    </cfRule>
    <cfRule type="expression" priority="258" dxfId="4">
      <formula>$H1711="SUBETAPA"</formula>
    </cfRule>
  </conditionalFormatting>
  <conditionalFormatting sqref="O1712 O1719">
    <cfRule type="expression" priority="257" dxfId="4">
      <formula>$H1712="SUBETAPA"</formula>
    </cfRule>
  </conditionalFormatting>
  <conditionalFormatting sqref="O1712:O1713 O1719">
    <cfRule type="expression" priority="256" dxfId="3">
      <formula>$H1712="ETAPA"</formula>
    </cfRule>
  </conditionalFormatting>
  <conditionalFormatting sqref="O1713">
    <cfRule type="expression" priority="255" dxfId="5">
      <formula>$H1713="CÉLULA CONSTRUTIVA"</formula>
    </cfRule>
  </conditionalFormatting>
  <conditionalFormatting sqref="O1714">
    <cfRule type="expression" priority="254" dxfId="3">
      <formula>$H1714="ETAPA"</formula>
    </cfRule>
    <cfRule type="expression" priority="253" dxfId="5">
      <formula>$H1714="CÉLULA CONSTRUTIVA"</formula>
    </cfRule>
    <cfRule type="expression" priority="252" dxfId="4">
      <formula>$H1714="SUBETAPA"</formula>
    </cfRule>
  </conditionalFormatting>
  <conditionalFormatting sqref="O1715">
    <cfRule type="expression" priority="250" dxfId="5">
      <formula>$H1715="CÉLULA CONSTRUTIVA"</formula>
    </cfRule>
    <cfRule type="expression" priority="249" dxfId="4">
      <formula>$H1715="SUBETAPA"</formula>
    </cfRule>
    <cfRule type="expression" priority="251" dxfId="3">
      <formula>$H1715="ETAPA"</formula>
    </cfRule>
  </conditionalFormatting>
  <conditionalFormatting sqref="O1717">
    <cfRule type="expression" priority="248" dxfId="3">
      <formula>$H1717="ETAPA"</formula>
    </cfRule>
    <cfRule type="expression" priority="247" dxfId="5">
      <formula>$H1717="CÉLULA CONSTRUTIVA"</formula>
    </cfRule>
    <cfRule type="expression" priority="246" dxfId="4">
      <formula>$H1717="SUBETAPA"</formula>
    </cfRule>
  </conditionalFormatting>
  <conditionalFormatting sqref="O1718">
    <cfRule type="expression" priority="245" dxfId="3">
      <formula>$H1718="ETAPA"</formula>
    </cfRule>
    <cfRule type="expression" priority="244" dxfId="5">
      <formula>$H1718="CÉLULA CONSTRUTIVA"</formula>
    </cfRule>
    <cfRule type="expression" priority="243" dxfId="4">
      <formula>$H1718="SUBETAPA"</formula>
    </cfRule>
  </conditionalFormatting>
  <conditionalFormatting sqref="O1720">
    <cfRule type="expression" priority="240" dxfId="4">
      <formula>$H1720="SUBETAPA"</formula>
    </cfRule>
    <cfRule type="expression" priority="242" dxfId="3">
      <formula>$H1720="ETAPA"</formula>
    </cfRule>
    <cfRule type="expression" priority="241" dxfId="5">
      <formula>$H1720="CÉLULA CONSTRUTIVA"</formula>
    </cfRule>
  </conditionalFormatting>
  <conditionalFormatting sqref="O1721 O1728">
    <cfRule type="expression" priority="239" dxfId="4">
      <formula>$H1721="SUBETAPA"</formula>
    </cfRule>
  </conditionalFormatting>
  <conditionalFormatting sqref="O1721:O1722 O1728">
    <cfRule type="expression" priority="238" dxfId="3">
      <formula>$H1721="ETAPA"</formula>
    </cfRule>
  </conditionalFormatting>
  <conditionalFormatting sqref="O1722">
    <cfRule type="expression" priority="237" dxfId="5">
      <formula>$H1722="CÉLULA CONSTRUTIVA"</formula>
    </cfRule>
  </conditionalFormatting>
  <conditionalFormatting sqref="O1723">
    <cfRule type="expression" priority="236" dxfId="3">
      <formula>$H1723="ETAPA"</formula>
    </cfRule>
    <cfRule type="expression" priority="235" dxfId="5">
      <formula>$H1723="CÉLULA CONSTRUTIVA"</formula>
    </cfRule>
    <cfRule type="expression" priority="234" dxfId="4">
      <formula>$H1723="SUBETAPA"</formula>
    </cfRule>
  </conditionalFormatting>
  <conditionalFormatting sqref="O1724">
    <cfRule type="expression" priority="233" dxfId="3">
      <formula>$H1724="ETAPA"</formula>
    </cfRule>
    <cfRule type="expression" priority="232" dxfId="5">
      <formula>$H1724="CÉLULA CONSTRUTIVA"</formula>
    </cfRule>
    <cfRule type="expression" priority="231" dxfId="4">
      <formula>$H1724="SUBETAPA"</formula>
    </cfRule>
  </conditionalFormatting>
  <conditionalFormatting sqref="O1726">
    <cfRule type="expression" priority="230" dxfId="3">
      <formula>$H1726="ETAPA"</formula>
    </cfRule>
    <cfRule type="expression" priority="229" dxfId="5">
      <formula>$H1726="CÉLULA CONSTRUTIVA"</formula>
    </cfRule>
    <cfRule type="expression" priority="228" dxfId="4">
      <formula>$H1726="SUBETAPA"</formula>
    </cfRule>
  </conditionalFormatting>
  <conditionalFormatting sqref="O1727">
    <cfRule type="expression" priority="227" dxfId="3">
      <formula>$H1727="ETAPA"</formula>
    </cfRule>
    <cfRule type="expression" priority="226" dxfId="5">
      <formula>$H1727="CÉLULA CONSTRUTIVA"</formula>
    </cfRule>
    <cfRule type="expression" priority="225" dxfId="4">
      <formula>$H1727="SUBETAPA"</formula>
    </cfRule>
  </conditionalFormatting>
  <conditionalFormatting sqref="O1729">
    <cfRule type="expression" priority="224" dxfId="3">
      <formula>$H1729="ETAPA"</formula>
    </cfRule>
    <cfRule type="expression" priority="223" dxfId="5">
      <formula>$H1729="CÉLULA CONSTRUTIVA"</formula>
    </cfRule>
    <cfRule type="expression" priority="222" dxfId="4">
      <formula>$H1729="SUBETAPA"</formula>
    </cfRule>
  </conditionalFormatting>
  <conditionalFormatting sqref="O1730 O1737">
    <cfRule type="expression" priority="221" dxfId="4">
      <formula>$H1730="SUBETAPA"</formula>
    </cfRule>
  </conditionalFormatting>
  <conditionalFormatting sqref="O1730:O1731 O1737">
    <cfRule type="expression" priority="220" dxfId="3">
      <formula>$H1730="ETAPA"</formula>
    </cfRule>
  </conditionalFormatting>
  <conditionalFormatting sqref="O1731">
    <cfRule type="expression" priority="219" dxfId="5">
      <formula>$H1731="CÉLULA CONSTRUTIVA"</formula>
    </cfRule>
  </conditionalFormatting>
  <conditionalFormatting sqref="O1732">
    <cfRule type="expression" priority="218" dxfId="3">
      <formula>$H1732="ETAPA"</formula>
    </cfRule>
    <cfRule type="expression" priority="217" dxfId="5">
      <formula>$H1732="CÉLULA CONSTRUTIVA"</formula>
    </cfRule>
    <cfRule type="expression" priority="216" dxfId="4">
      <formula>$H1732="SUBETAPA"</formula>
    </cfRule>
  </conditionalFormatting>
  <conditionalFormatting sqref="O1733">
    <cfRule type="expression" priority="215" dxfId="3">
      <formula>$H1733="ETAPA"</formula>
    </cfRule>
    <cfRule type="expression" priority="214" dxfId="5">
      <formula>$H1733="CÉLULA CONSTRUTIVA"</formula>
    </cfRule>
    <cfRule type="expression" priority="213" dxfId="4">
      <formula>$H1733="SUBETAPA"</formula>
    </cfRule>
  </conditionalFormatting>
  <conditionalFormatting sqref="O1735">
    <cfRule type="expression" priority="212" dxfId="3">
      <formula>$H1735="ETAPA"</formula>
    </cfRule>
    <cfRule type="expression" priority="211" dxfId="5">
      <formula>$H1735="CÉLULA CONSTRUTIVA"</formula>
    </cfRule>
    <cfRule type="expression" priority="210" dxfId="4">
      <formula>$H1735="SUBETAPA"</formula>
    </cfRule>
  </conditionalFormatting>
  <conditionalFormatting sqref="O1736">
    <cfRule type="expression" priority="209" dxfId="3">
      <formula>$H1736="ETAPA"</formula>
    </cfRule>
    <cfRule type="expression" priority="208" dxfId="5">
      <formula>$H1736="CÉLULA CONSTRUTIVA"</formula>
    </cfRule>
    <cfRule type="expression" priority="207" dxfId="4">
      <formula>$H1736="SUBETAPA"</formula>
    </cfRule>
  </conditionalFormatting>
  <conditionalFormatting sqref="O1738">
    <cfRule type="expression" priority="206" dxfId="3">
      <formula>$H1738="ETAPA"</formula>
    </cfRule>
    <cfRule type="expression" priority="205" dxfId="5">
      <formula>$H1738="CÉLULA CONSTRUTIVA"</formula>
    </cfRule>
    <cfRule type="expression" priority="204" dxfId="4">
      <formula>$H1738="SUBETAPA"</formula>
    </cfRule>
  </conditionalFormatting>
  <conditionalFormatting sqref="O1739 O1748">
    <cfRule type="expression" priority="203" dxfId="4">
      <formula>$H1739="SUBETAPA"</formula>
    </cfRule>
  </conditionalFormatting>
  <conditionalFormatting sqref="O1739:O1740 O1748">
    <cfRule type="expression" priority="202" dxfId="3">
      <formula>$H1739="ETAPA"</formula>
    </cfRule>
  </conditionalFormatting>
  <conditionalFormatting sqref="O1740">
    <cfRule type="expression" priority="201" dxfId="5">
      <formula>$H1740="CÉLULA CONSTRUTIVA"</formula>
    </cfRule>
  </conditionalFormatting>
  <conditionalFormatting sqref="O1741">
    <cfRule type="expression" priority="200" dxfId="3">
      <formula>$H1741="ETAPA"</formula>
    </cfRule>
    <cfRule type="expression" priority="199" dxfId="5">
      <formula>$H1741="CÉLULA CONSTRUTIVA"</formula>
    </cfRule>
    <cfRule type="expression" priority="198" dxfId="4">
      <formula>$H1741="SUBETAPA"</formula>
    </cfRule>
  </conditionalFormatting>
  <conditionalFormatting sqref="O1742">
    <cfRule type="expression" priority="197" dxfId="3">
      <formula>$H1742="ETAPA"</formula>
    </cfRule>
    <cfRule type="expression" priority="196" dxfId="5">
      <formula>$H1742="CÉLULA CONSTRUTIVA"</formula>
    </cfRule>
    <cfRule type="expression" priority="195" dxfId="4">
      <formula>$H1742="SUBETAPA"</formula>
    </cfRule>
  </conditionalFormatting>
  <conditionalFormatting sqref="O1744">
    <cfRule type="expression" priority="194" dxfId="3">
      <formula>$H1744="ETAPA"</formula>
    </cfRule>
    <cfRule type="expression" priority="193" dxfId="5">
      <formula>$H1744="CÉLULA CONSTRUTIVA"</formula>
    </cfRule>
    <cfRule type="expression" priority="192" dxfId="4">
      <formula>$H1744="SUBETAPA"</formula>
    </cfRule>
  </conditionalFormatting>
  <conditionalFormatting sqref="O1745">
    <cfRule type="expression" priority="191" dxfId="3">
      <formula>$H1745="ETAPA"</formula>
    </cfRule>
    <cfRule type="expression" priority="190" dxfId="5">
      <formula>$H1745="CÉLULA CONSTRUTIVA"</formula>
    </cfRule>
    <cfRule type="expression" priority="189" dxfId="4">
      <formula>$H1745="SUBETAPA"</formula>
    </cfRule>
  </conditionalFormatting>
  <conditionalFormatting sqref="O1746">
    <cfRule type="expression" priority="188" dxfId="3">
      <formula>$H1746="ETAPA"</formula>
    </cfRule>
    <cfRule type="expression" priority="187" dxfId="5">
      <formula>$H1746="CÉLULA CONSTRUTIVA"</formula>
    </cfRule>
    <cfRule type="expression" priority="186" dxfId="4">
      <formula>$H1746="SUBETAPA"</formula>
    </cfRule>
  </conditionalFormatting>
  <conditionalFormatting sqref="O1747">
    <cfRule type="expression" priority="185" dxfId="3">
      <formula>$H1747="ETAPA"</formula>
    </cfRule>
    <cfRule type="expression" priority="184" dxfId="5">
      <formula>$H1747="CÉLULA CONSTRUTIVA"</formula>
    </cfRule>
    <cfRule type="expression" priority="183" dxfId="4">
      <formula>$H1747="SUBETAPA"</formula>
    </cfRule>
  </conditionalFormatting>
  <conditionalFormatting sqref="O1749">
    <cfRule type="expression" priority="182" dxfId="3">
      <formula>$H1749="ETAPA"</formula>
    </cfRule>
    <cfRule type="expression" priority="181" dxfId="5">
      <formula>$H1749="CÉLULA CONSTRUTIVA"</formula>
    </cfRule>
    <cfRule type="expression" priority="180" dxfId="4">
      <formula>$H1749="SUBETAPA"</formula>
    </cfRule>
  </conditionalFormatting>
  <conditionalFormatting sqref="O1750 O1758">
    <cfRule type="expression" priority="179" dxfId="4">
      <formula>$H1750="SUBETAPA"</formula>
    </cfRule>
  </conditionalFormatting>
  <conditionalFormatting sqref="O1750:O1751 O1758">
    <cfRule type="expression" priority="178" dxfId="3">
      <formula>$H1750="ETAPA"</formula>
    </cfRule>
  </conditionalFormatting>
  <conditionalFormatting sqref="O1751">
    <cfRule type="expression" priority="177" dxfId="5">
      <formula>$H1751="CÉLULA CONSTRUTIVA"</formula>
    </cfRule>
  </conditionalFormatting>
  <conditionalFormatting sqref="O1752">
    <cfRule type="expression" priority="176" dxfId="3">
      <formula>$H1752="ETAPA"</formula>
    </cfRule>
    <cfRule type="expression" priority="175" dxfId="5">
      <formula>$H1752="CÉLULA CONSTRUTIVA"</formula>
    </cfRule>
    <cfRule type="expression" priority="174" dxfId="4">
      <formula>$H1752="SUBETAPA"</formula>
    </cfRule>
  </conditionalFormatting>
  <conditionalFormatting sqref="O1753">
    <cfRule type="expression" priority="173" dxfId="3">
      <formula>$H1753="ETAPA"</formula>
    </cfRule>
    <cfRule type="expression" priority="172" dxfId="5">
      <formula>$H1753="CÉLULA CONSTRUTIVA"</formula>
    </cfRule>
    <cfRule type="expression" priority="171" dxfId="4">
      <formula>$H1753="SUBETAPA"</formula>
    </cfRule>
  </conditionalFormatting>
  <conditionalFormatting sqref="O1754">
    <cfRule type="expression" priority="170" dxfId="3">
      <formula>$H1754="ETAPA"</formula>
    </cfRule>
    <cfRule type="expression" priority="169" dxfId="5">
      <formula>$H1754="CÉLULA CONSTRUTIVA"</formula>
    </cfRule>
    <cfRule type="expression" priority="168" dxfId="4">
      <formula>$H1754="SUBETAPA"</formula>
    </cfRule>
  </conditionalFormatting>
  <conditionalFormatting sqref="O1755">
    <cfRule type="expression" priority="167" dxfId="3">
      <formula>$H1755="ETAPA"</formula>
    </cfRule>
    <cfRule type="expression" priority="166" dxfId="5">
      <formula>$H1755="CÉLULA CONSTRUTIVA"</formula>
    </cfRule>
    <cfRule type="expression" priority="165" dxfId="4">
      <formula>$H1755="SUBETAPA"</formula>
    </cfRule>
  </conditionalFormatting>
  <conditionalFormatting sqref="O1756">
    <cfRule type="expression" priority="164" dxfId="3">
      <formula>$H1756="ETAPA"</formula>
    </cfRule>
    <cfRule type="expression" priority="163" dxfId="5">
      <formula>$H1756="CÉLULA CONSTRUTIVA"</formula>
    </cfRule>
    <cfRule type="expression" priority="162" dxfId="4">
      <formula>$H1756="SUBETAPA"</formula>
    </cfRule>
  </conditionalFormatting>
  <conditionalFormatting sqref="O1757">
    <cfRule type="expression" priority="161" dxfId="5">
      <formula>$H1757="CÉLULA CONSTRUTIVA"</formula>
    </cfRule>
    <cfRule type="expression" priority="160" dxfId="4">
      <formula>$H1757="SUBETAPA"</formula>
    </cfRule>
  </conditionalFormatting>
  <conditionalFormatting sqref="O1759">
    <cfRule type="expression" priority="157" dxfId="4">
      <formula>$H1759="SUBETAPA"</formula>
    </cfRule>
    <cfRule type="expression" priority="159" dxfId="3">
      <formula>$H1759="ETAPA"</formula>
    </cfRule>
    <cfRule type="expression" priority="158" dxfId="5">
      <formula>$H1759="CÉLULA CONSTRUTIVA"</formula>
    </cfRule>
  </conditionalFormatting>
  <conditionalFormatting sqref="O1760">
    <cfRule type="expression" priority="156" dxfId="5">
      <formula>$H1760="CÉLULA CONSTRUTIVA"</formula>
    </cfRule>
    <cfRule type="expression" priority="155" dxfId="4">
      <formula>$H1760="SUBETAPA"</formula>
    </cfRule>
    <cfRule type="expression" priority="154" dxfId="3">
      <formula>$H1760="ETAPA"</formula>
    </cfRule>
  </conditionalFormatting>
  <conditionalFormatting sqref="O1761:O1762 O1764 O1771 O1776 O1781 O1786 O1791 O1798 O1805 O1808:O1812 O1814 O1821 O1828 O1835 O1842:O1843 O1847 O1856:O1857 O1859:O1860 O1865:O1866 O1868:O1870 O1875:O1877 O1880:O1881">
    <cfRule type="expression" priority="153" dxfId="3">
      <formula>$H1761="ETAPA"</formula>
    </cfRule>
  </conditionalFormatting>
  <conditionalFormatting sqref="O1763">
    <cfRule type="expression" priority="152" dxfId="4">
      <formula>$H1763="SUBETAPA"</formula>
    </cfRule>
    <cfRule type="expression" priority="151" dxfId="3">
      <formula>$H1763="ETAPA"</formula>
    </cfRule>
  </conditionalFormatting>
  <conditionalFormatting sqref="O1765">
    <cfRule type="expression" priority="150" dxfId="4">
      <formula>$H1765="SUBETAPA"</formula>
    </cfRule>
    <cfRule type="expression" priority="149" dxfId="5">
      <formula>$H1765="CÉLULA CONSTRUTIVA"</formula>
    </cfRule>
  </conditionalFormatting>
  <conditionalFormatting sqref="O1765:O1766">
    <cfRule type="expression" priority="148" dxfId="3">
      <formula>$H1765="ETAPA"</formula>
    </cfRule>
  </conditionalFormatting>
  <conditionalFormatting sqref="O1766">
    <cfRule type="expression" priority="147" dxfId="5">
      <formula>$H1766="CÉLULA CONSTRUTIVA"</formula>
    </cfRule>
  </conditionalFormatting>
  <conditionalFormatting sqref="O1772">
    <cfRule type="expression" priority="146" dxfId="4">
      <formula>$H1772="SUBETAPA"</formula>
    </cfRule>
    <cfRule type="expression" priority="144" dxfId="3">
      <formula>$H1772="ETAPA"</formula>
    </cfRule>
    <cfRule type="expression" priority="145" dxfId="5">
      <formula>$H1772="CÉLULA CONSTRUTIVA"</formula>
    </cfRule>
  </conditionalFormatting>
  <conditionalFormatting sqref="O1777">
    <cfRule type="expression" priority="142" dxfId="5">
      <formula>$H1777="CÉLULA CONSTRUTIVA"</formula>
    </cfRule>
    <cfRule type="expression" priority="143" dxfId="4">
      <formula>$H1777="SUBETAPA"</formula>
    </cfRule>
    <cfRule type="expression" priority="141" dxfId="3">
      <formula>$H1777="ETAPA"</formula>
    </cfRule>
  </conditionalFormatting>
  <conditionalFormatting sqref="O1782">
    <cfRule type="expression" priority="138" dxfId="3">
      <formula>$H1782="ETAPA"</formula>
    </cfRule>
    <cfRule type="expression" priority="139" dxfId="5">
      <formula>$H1782="CÉLULA CONSTRUTIVA"</formula>
    </cfRule>
    <cfRule type="expression" priority="140" dxfId="4">
      <formula>$H1782="SUBETAPA"</formula>
    </cfRule>
  </conditionalFormatting>
  <conditionalFormatting sqref="O1787">
    <cfRule type="expression" priority="135" dxfId="3">
      <formula>$H1787="ETAPA"</formula>
    </cfRule>
    <cfRule type="expression" priority="136" dxfId="5">
      <formula>$H1787="CÉLULA CONSTRUTIVA"</formula>
    </cfRule>
    <cfRule type="expression" priority="137" dxfId="4">
      <formula>$H1787="SUBETAPA"</formula>
    </cfRule>
  </conditionalFormatting>
  <conditionalFormatting sqref="O1792">
    <cfRule type="expression" priority="134" dxfId="4">
      <formula>$H1792="SUBETAPA"</formula>
    </cfRule>
    <cfRule type="expression" priority="133" dxfId="5">
      <formula>$H1792="CÉLULA CONSTRUTIVA"</formula>
    </cfRule>
    <cfRule type="expression" priority="132" dxfId="3">
      <formula>$H1792="ETAPA"</formula>
    </cfRule>
  </conditionalFormatting>
  <conditionalFormatting sqref="O1797">
    <cfRule type="expression" priority="131" dxfId="4">
      <formula>$H1797="SUBETAPA"</formula>
    </cfRule>
    <cfRule type="expression" priority="130" dxfId="3">
      <formula>$H1797="ETAPA"</formula>
    </cfRule>
  </conditionalFormatting>
  <conditionalFormatting sqref="O1799">
    <cfRule type="expression" priority="128" dxfId="5">
      <formula>$H1799="CÉLULA CONSTRUTIVA"</formula>
    </cfRule>
    <cfRule type="expression" priority="127" dxfId="3">
      <formula>$H1799="ETAPA"</formula>
    </cfRule>
    <cfRule type="expression" priority="129" dxfId="4">
      <formula>$H1799="SUBETAPA"</formula>
    </cfRule>
  </conditionalFormatting>
  <conditionalFormatting sqref="O1804">
    <cfRule type="expression" priority="125" dxfId="3">
      <formula>$H1804="ETAPA"</formula>
    </cfRule>
    <cfRule type="expression" priority="126" dxfId="4">
      <formula>$H1804="SUBETAPA"</formula>
    </cfRule>
  </conditionalFormatting>
  <conditionalFormatting sqref="O1806">
    <cfRule type="expression" priority="124" dxfId="4">
      <formula>$H1806="SUBETAPA"</formula>
    </cfRule>
    <cfRule type="expression" priority="123" dxfId="5">
      <formula>$H1806="CÉLULA CONSTRUTIVA"</formula>
    </cfRule>
  </conditionalFormatting>
  <conditionalFormatting sqref="O1806:O1807">
    <cfRule type="expression" priority="122" dxfId="3">
      <formula>$H1806="ETAPA"</formula>
    </cfRule>
  </conditionalFormatting>
  <conditionalFormatting sqref="O1807">
    <cfRule type="expression" priority="121" dxfId="5">
      <formula>$H1807="CÉLULA CONSTRUTIVA"</formula>
    </cfRule>
  </conditionalFormatting>
  <conditionalFormatting sqref="O1813">
    <cfRule type="expression" priority="120" dxfId="4">
      <formula>$H1813="SUBETAPA"</formula>
    </cfRule>
    <cfRule type="expression" priority="119" dxfId="3">
      <formula>$H1813="ETAPA"</formula>
    </cfRule>
  </conditionalFormatting>
  <conditionalFormatting sqref="O1815">
    <cfRule type="expression" priority="117" dxfId="5">
      <formula>$H1815="CÉLULA CONSTRUTIVA"</formula>
    </cfRule>
    <cfRule type="expression" priority="118" dxfId="4">
      <formula>$H1815="SUBETAPA"</formula>
    </cfRule>
    <cfRule type="expression" priority="116" dxfId="3">
      <formula>$H1815="ETAPA"</formula>
    </cfRule>
  </conditionalFormatting>
  <conditionalFormatting sqref="O1820">
    <cfRule type="expression" priority="114" dxfId="3">
      <formula>$H1820="ETAPA"</formula>
    </cfRule>
    <cfRule type="expression" priority="115" dxfId="4">
      <formula>$H1820="SUBETAPA"</formula>
    </cfRule>
  </conditionalFormatting>
  <conditionalFormatting sqref="O1822">
    <cfRule type="expression" priority="111" dxfId="3">
      <formula>$H1822="ETAPA"</formula>
    </cfRule>
    <cfRule type="expression" priority="112" dxfId="5">
      <formula>$H1822="CÉLULA CONSTRUTIVA"</formula>
    </cfRule>
    <cfRule type="expression" priority="113" dxfId="4">
      <formula>$H1822="SUBETAPA"</formula>
    </cfRule>
  </conditionalFormatting>
  <conditionalFormatting sqref="O1827">
    <cfRule type="expression" priority="109" dxfId="3">
      <formula>$H1827="ETAPA"</formula>
    </cfRule>
    <cfRule type="expression" priority="110" dxfId="4">
      <formula>$H1827="SUBETAPA"</formula>
    </cfRule>
  </conditionalFormatting>
  <conditionalFormatting sqref="O1829">
    <cfRule type="expression" priority="108" dxfId="4">
      <formula>$H1829="SUBETAPA"</formula>
    </cfRule>
    <cfRule type="expression" priority="106" dxfId="3">
      <formula>$H1829="ETAPA"</formula>
    </cfRule>
    <cfRule type="expression" priority="107" dxfId="5">
      <formula>$H1829="CÉLULA CONSTRUTIVA"</formula>
    </cfRule>
  </conditionalFormatting>
  <conditionalFormatting sqref="O1834">
    <cfRule type="expression" priority="105" dxfId="4">
      <formula>$H1834="SUBETAPA"</formula>
    </cfRule>
    <cfRule type="expression" priority="104" dxfId="3">
      <formula>$H1834="ETAPA"</formula>
    </cfRule>
  </conditionalFormatting>
  <conditionalFormatting sqref="O1836">
    <cfRule type="expression" priority="101" dxfId="3">
      <formula>$H1836="ETAPA"</formula>
    </cfRule>
    <cfRule type="expression" priority="103" dxfId="4">
      <formula>$H1836="SUBETAPA"</formula>
    </cfRule>
    <cfRule type="expression" priority="102" dxfId="5">
      <formula>$H1836="CÉLULA CONSTRUTIVA"</formula>
    </cfRule>
  </conditionalFormatting>
  <conditionalFormatting sqref="O1841 O1854 O1858 O1864 O1871 O1879">
    <cfRule type="expression" priority="99" dxfId="3">
      <formula>$H1841="ETAPA"</formula>
    </cfRule>
    <cfRule type="expression" priority="100" dxfId="4">
      <formula>$H1841="SUBETAPA"</formula>
    </cfRule>
  </conditionalFormatting>
  <conditionalFormatting sqref="M1860 M1866 M1873 M1881 O1843 O1860 O1866 O1873 O1881">
    <cfRule type="expression" priority="98" dxfId="5">
      <formula>$H1843="CÉLULA CONSTRUTIVA"</formula>
    </cfRule>
  </conditionalFormatting>
  <conditionalFormatting sqref="O1843 O1860 O1866 O1873 O1881">
    <cfRule type="expression" priority="97" dxfId="4">
      <formula>$H1843="SUBETAPA"</formula>
    </cfRule>
  </conditionalFormatting>
  <conditionalFormatting sqref="O1848">
    <cfRule type="expression" priority="94" dxfId="3">
      <formula>$H1848="ETAPA"</formula>
    </cfRule>
    <cfRule type="expression" priority="96" dxfId="4">
      <formula>$H1848="SUBETAPA"</formula>
    </cfRule>
    <cfRule type="expression" priority="95" dxfId="5">
      <formula>$H1848="CÉLULA CONSTRUTIVA"</formula>
    </cfRule>
  </conditionalFormatting>
  <conditionalFormatting sqref="O1851">
    <cfRule type="expression" priority="93" dxfId="5">
      <formula>$H1851="CÉLULA CONSTRUTIVA"</formula>
    </cfRule>
    <cfRule type="expression" priority="92" dxfId="4">
      <formula>$H1851="SUBETAPA"</formula>
    </cfRule>
    <cfRule type="expression" priority="91" dxfId="3">
      <formula>$H1851="ETAPA"</formula>
    </cfRule>
  </conditionalFormatting>
  <conditionalFormatting sqref="O1855">
    <cfRule type="expression" priority="20" dxfId="5">
      <formula>$H1855="CÉLULA CONSTRUTIVA"</formula>
    </cfRule>
    <cfRule type="expression" priority="19" dxfId="4">
      <formula>$H1855="SUBETAPA"</formula>
    </cfRule>
    <cfRule type="expression" priority="18" dxfId="3">
      <formula>$H1855="ETAPA"</formula>
    </cfRule>
  </conditionalFormatting>
  <conditionalFormatting sqref="O1761:O1762 O1764 O1771 O1776 O1781 O1786 O1791 O1798 O1805 O1808:O1812 O1814 O1821 O1828 O1835 O1842 O1847 O1852 O1856:O1857 O1859 O1865 O1868:O1870 O1875:O1877 O1880">
    <cfRule type="expression" priority="16" dxfId="4">
      <formula>$H1761="SUBETAPA"</formula>
    </cfRule>
    <cfRule type="expression" priority="17" dxfId="5">
      <formula>$H1761="CÉLULA CONSTRUTIVA"</formula>
    </cfRule>
  </conditionalFormatting>
  <conditionalFormatting sqref="K1867 K1874 O1861 O1863 O1867 O1874">
    <cfRule type="expression" priority="6702" dxfId="4">
      <formula>$H1861="SUBETAPA"</formula>
    </cfRule>
  </conditionalFormatting>
  <conditionalFormatting sqref="O1861 O1863 O1867 O1873:O1874">
    <cfRule type="expression" priority="34" dxfId="3">
      <formula>$H1861="ETAPA"</formula>
    </cfRule>
  </conditionalFormatting>
  <conditionalFormatting sqref="O1862">
    <cfRule type="expression" priority="14" dxfId="3">
      <formula>$H1862="ETAPA"</formula>
    </cfRule>
    <cfRule type="expression" priority="15" dxfId="4">
      <formula>$H1862="SUBETAPA"</formula>
    </cfRule>
  </conditionalFormatting>
  <conditionalFormatting sqref="O1872">
    <cfRule type="expression" priority="12" dxfId="6">
      <formula>$H1872="SUBETAPA"</formula>
    </cfRule>
    <cfRule type="expression" priority="9" dxfId="8">
      <formula>$H1872="ETAPA"</formula>
    </cfRule>
    <cfRule type="expression" priority="8" dxfId="6">
      <formula>$H1872="SUBETAPA"</formula>
    </cfRule>
    <cfRule type="expression" priority="11" dxfId="8">
      <formula>$H1872="ETAPA"</formula>
    </cfRule>
    <cfRule type="expression" priority="7" dxfId="8">
      <formula>$H1872="ETAPA"</formula>
    </cfRule>
    <cfRule type="expression" priority="13" dxfId="7">
      <formula>$H1872="CÉLULA CONSTRUTIVA"</formula>
    </cfRule>
    <cfRule type="expression" priority="10" dxfId="6">
      <formula>$H1872="SUBETAPA"</formula>
    </cfRule>
  </conditionalFormatting>
  <conditionalFormatting sqref="O1878">
    <cfRule type="expression" priority="6" dxfId="5">
      <formula>$H1878="CÉLULA CONSTRUTIVA"</formula>
    </cfRule>
    <cfRule type="expression" priority="5" dxfId="4">
      <formula>$H1878="SUBETAPA"</formula>
    </cfRule>
    <cfRule type="expression" priority="4" dxfId="3">
      <formula>$H1878="ETAPA"</formula>
    </cfRule>
  </conditionalFormatting>
  <conditionalFormatting sqref="P8:P1882">
    <cfRule type="expression" priority="1" dxfId="2">
      <formula>AND($H8="SERVIÇO",$P8="Pendente")</formula>
    </cfRule>
    <cfRule type="expression" priority="3" dxfId="1">
      <formula>AND($H8="SERVIÇO",$P8="Em andamento")</formula>
    </cfRule>
    <cfRule type="expression" priority="2" dxfId="0">
      <formula>AND($H8="SERVIÇO",$P8="Finalizado")</formula>
    </cfRule>
  </conditionalFormatting>
  <dataValidations count="5">
    <dataValidation sqref="P10 P13 P16 P19 P22 P26 P28 P31 P34 P39 P42 P44 P49 P52 P56 P60 P63 P66 P68 P70 P72 P77 P79 P81 P83 P93 P95 P98 P101 P104 P106 P108 P110 P112 P114 P116 P118 P120 P122 P125 P128 P131 P133 P136 P140 P148 P158 P168 P177 P186 P195 P204 P213 P222 P231 P240 P249 P258 P267 P274 P281 P283 P285 P287 P289 P291 P293 P295 P297 P299 P301 P303 P305 P307 P309 P311 P314 P316 P318 P320 P322 P324 P326 P328 P330 P332 P334 P336 P338 P340 P342 P344 P347 P349 P351 P353 P355 P357 P359 P361 P363 P365 P367 P369 P371 P373 P375 P377 P381 P383 P385 P387 P389 P391 P393 P395 P397 P400 P402 P404 P406 P408 P410 P413 P415 P417 P419 P421 P423 P426 P428 P430 P432 P434 P436 P439 P441 P443 P445 P447 P449 P452 P454 P456 P458 P460 P462 P465 P467 P469 P471 P473 P475 P478 P480 P482 P484 P486 P488 P491 P493 P495 P497 P499 P501 P504 P506 P508 P510 P512 P514 P517 P519 P521 P523 P525 P527 P530 P532 P534 P536 P538 P540 P543 P545 P547 P549 P551 P553 P556 P558 P560 P562 P564 P566 P570 P572 P574 P576 P578 P581 P583 P585 P587 P590 P592 P594 P596 P599 P601 P603 P605 P608 P610 P612 P614 P617 P619 P621 P623 P626 P628 P630 P632 P635 P637 P639 P641 P644 P646 P648 P650 P653 P655 P657 P659 P661 P664 P666 P668 P670 P672 P675 P677 P679 P681 P684 P686 P688 P690 P693 P695 P697 P699 P701 P705 P707 P709 P711 P713 P715 P717 P720 P722 P724 P726 P728 P730 P732 P735 P737 P739 P741 P743 P745 P747 P750 P752 P754 P756 P758 P760 P762 P765 P767 P769 P771 P773 P775 P777 P780 P782 P784 P786 P788 P790 P792 P795 P797 P799 P801 P803 P805 P807 P810 P812 P814 P816 P818 P820 P822 P825 P827 P829 P831 P833 P835 P837 P840 P842 P844 P846 P848 P850 P852 P855 P857 P859 P861 P863 P865 P867 P870 P872 P874 P876 P878 P880 P882 P885 P887 P889 P891 P893 P895 P897 P900 P902 P904 P906 P908 P910 P912 P916 P918 P920 P923 P925 P928 P930 P933 P935 P938 P940 P943 P945 P948 P950 P952 P955 P957 P959 P962 P964 P966 P969 P971 P973 P976 P978 P980 P983 P985 P988 P990 P992 P995 P997 P1001 P1004 P1010 P1014 P1017 P1019 P1022 P1025 P1028 P1031 P1033 P1036 P1039 P1042 P1045 P1047 P1050 P1053 P1056 P1059 P1061 P1064 P1067 P1070 P1073 P1075 P1078 P1081 P1084 P1087 P1089 P1092 P1095 P1098 P1101 P1103 P1106 P1109 P1112 P1115 P1117 P1120 P1123 P1127 P1129 P1132 P1135 P1138 P1141 P1144 P1147 P1149 P1151 P1154 P1156 P1158 P1161 P1163 P1166 P1168 P1171 P1173 P1176 P1178 P1181 P1185 P1188 P1190 P1193 P1195 P1197 P1199 P1208 P1210 P1212 P1215 P1217 P1219 P1222 P1224 P1226 P1229 P1232 P1234 P1236 P1239 P1247 P1249 P1251 P1255 P1258 P1260 P1264 P1266 P1268 P1270 P1280 P1283 P1286 P1288 P1290 P1292 P1300 P1303 P1306 P1310 P1312 P1314 P1322 P1324 P1326 P1329 P1331 P1333 P1339 P1342 P1344 P1348 P1350 P1352 P1360 P1363 P1365 P1369 P1371 P1373 P1381 P1384 P1387 P1389 P1393 P1395 P1397 P1405 P1408 P1411 P1413 P1415 P1422 P1424 P1428 P1434 P1436 P1442 P1445 P1447 P1450 P1452 P1455 P1457 P1459 P1461 P1464 P1466 P1468 P1471 P1473 P1475 P1478 P1480 P1483 P1486 P1488 P1491 P1493 P1496 P1498 P1501 P1504 P1506 P1510 P1512 P1515 P1517 P1521 P1523 P1526 P1528 P1532 P1534 P1537 P1539 P1543 P1545 P1548 P1550 P1554 P1556 P1559 P1561 P1565 P1568 P1571 P1574 P1577 P1580 P1583 P1587 P1589 P1592 P1596 P1598 P1601 P1605 P1607 P1610 P1614 P1616 P1619 P1623 P1626 P1629 P1632 P1634 P1637 P1640 P1643 P1646 P1649 P1652 P1655 P1658 P1661 P1664 P1667 P1670 P1673 P1676 P1679 P1682 P1685 P1688 P1690 P1693 P1696 P1699 P1701 P1704 P1707 P1710 P1713 P1716 P1719 P1722 P1725 P1728 P1731 P1734 P1737 P1740 P1743 P1746 P1748 P1751 P1754 P1756 P1758 P1762 P1764 P1766 P1768 P1771 P1773 P1776 P1778 P1781 P1783 P1786 P1788 P1791 P1793 P1796 P1798 P1800 P1803 P1805 P1807 P1809 P1812 P1814 P1816 P1819 P1821 P1823 P1826 P1828 P1830 P1833 P1835 P1837 P1840 P1842 P1844 P1847 P1849 P1853 P1857 P1860 P1862 P1865 P1867 P1869 P1871 P1875 P1880" showDropDown="0" showInputMessage="0" showErrorMessage="1" allowBlank="1" type="list">
      <formula1>#REF!</formula1>
    </dataValidation>
    <dataValidation sqref="P379:P380 P399 P412 P425 P438 P451 P464 P477 P490 P503 P516 P529 P542 P555 P999:P1000 P1012:P1013 P1027 P1041 P1055 P1069 P1083 P1097 P1111 P1125:P1126 P1131 P1134 P1137 P1140 P1143 P1146 P1153 P1160 P1165 P1170 P1175 P1180 P1760:P1761 P1770 P1775 P1780 P1785 P1790 P1795 P1802 P1811 P1818 P1825 P1832 P1839 P1846 P1851:P1852 P1856 P1864 P1879" showDropDown="0" showInputMessage="1" showErrorMessage="1" allowBlank="1" type="list">
      <formula1>"Finalizado, Em Andamento, Pendente, N/A,Lançado ERP"</formula1>
    </dataValidation>
    <dataValidation sqref="H379:H1182 H1760:H1881" showDropDown="0" showInputMessage="1" showErrorMessage="1" allowBlank="1" type="list">
      <formula1>"UNIDADE CONSTRUTIVA,CÉLULA CONSTRUTIVA,ETAPA,SUBETAPA,SERVIÇO"</formula1>
    </dataValidation>
    <dataValidation sqref="H8:H378 H1183:H1759 H1882" showDropDown="0" showInputMessage="0" showErrorMessage="1" allowBlank="1" type="list">
      <formula1>"UNIDADE CONSTRUTIVA,CÉLULA CONSTRUTIVA,ETAPA,SUBETAPA,SERVIÇO"</formula1>
    </dataValidation>
    <dataValidation sqref="P11 P14:P15 P17:P18 P20 P23 P25 P27 P29:P30 P32:P33 P35:P38 P40:P41 P43 P45:P48 P50 P53:P54 P57 P59 P61:P62 P64:P65 P67 P69 P71 P73:P76 P78 P80 P82 P84:P92 P94 P96:P97 P99:P100 P102:P103 P105 P107 P109 P111 P113 P115 P117 P119 P121 P123:P124 P126:P127 P129:P130 P132 P134:P135 P137:P139 P141:P147 P149:P157 P159:P167 P169:P176 P178:P185 P187:P194 P196:P203 P205:P212 P214:P221 P223:P230 P232:P239 P241:P248 P250:P257 P259:P266 P268:P273 P275:P280 P282 P284 P286 P288 P290 P292 P294 P296 P298 P300 P302 P304 P306 P308 P310 P312 P315 P317 P319 P321 P323 P325 P327 P329 P331 P333 P335 P337 P339 P341 P343 P345 P348 P350 P352 P354 P356 P358 P360 P362 P364 P366 P368 P370 P372 P374 P376 P378 P382 P384 P386 P388 P390 P392 P394 P396 P398 P401 P403 P405 P407 P409 P411 P414 P416 P418 P420 P422 P424 P427 P429 P431 P433 P435 P437 P440 P442 P444 P446 P448 P450 P453 P455 P457 P459 P461 P463 P466 P468 P470 P472 P474 P476 P479 P481 P483 P485 P487 P489 P492 P494 P496 P498 P500 P502 P505 P507 P509 P511 P513 P515 P518 P520 P522 P524 P526 P528 P531 P533 P535 P537 P539 P541 P544 P546 P548 P550 P552 P554 P557 P559 P561 P563 P565 P567 P571 P573 P575 P577 P579 P582 P584 P586 P588 P591 P593 P595 P597 P600 P602 P604 P606 P609 P611 P613 P615 P618 P620 P622 P624 P627 P629 P631 P633 P636 P638 P640 P642 P645 P647 P649 P651 P654 P656 P658 P660 P662 P665 P667 P669 P671 P673 P676 P678 P680 P682 P685 P687 P689 P691 P694 P696 P698 P700 P702 P706 P708 P710 P712 P714 P716 P718 P721 P723 P725 P727 P729 P731 P733 P736 P738 P740 P742 P744 P746 P748 P751 P753 P755 P757 P759 P761 P763 P766 P768 P770 P772 P774 P776 P778 P781 P783 P785 P787 P789 P791 P793 P796 P798 P800 P802 P804 P806 P808 P811 P813 P815 P817 P819 P821 P823 P826 P828 P830 P832 P834 P836 P838 P841 P843 P845 P847 P849 P851 P853 P856 P858 P860 P862 P864 P866 P868 P871 P873 P875 P877 P879 P881 P883 P886 P888 P890 P892 P894 P896 P898 P901 P903 P905 P907 P909 P911 P913 P917 P919 P921 P924 P926 P929 P931 P934 P936 P939 P941 P944 P946 P949 P951 P953 P956 P958 P960 P963 P965 P967 P970 P972 P974 P977 P979 P981 P984 P986 P989 P991 P993 P996 P998 P1002:P1003 P1005:P1009 P1011 P1015:P1016 P1018 P1020:P1021 P1023:P1024 P1026 P1029:P1030 P1032 P1034:P1035 P1037:P1038 P1040 P1043:P1044 P1046 P1048:P1049 P1051:P1052 P1054 P1057:P1058 P1060 P1062:P1063 P1065:P1066 P1068 P1071:P1072 P1074 P1076:P1077 P1079:P1080 P1082 P1085:P1086 P1088 P1090:P1091 P1093:P1094 P1096 P1099:P1100 P1102 P1104:P1105 P1107:P1108 P1110 P1113:P1114 P1116 P1118:P1119 P1121:P1122 P1124 P1128 P1130 P1133 P1136 P1139 P1142 P1145 P1148 P1150 P1152 P1155 P1157 P1159 P1162 P1164 P1167 P1169 P1172 P1174 P1177 P1179 P1182:P1184 P1186:P1187 P1189 P1191:P1192 P1194 P1196 P1198 P1200:P1207 P1209 P1211 P1213:P1214 P1216 P1218 P1220:P1221 P1223 P1225 P1227:P1228 P1230:P1231 P1233 P1235 P1237:P1238 P1240:P1246 P1248 P1250 P1252:P1254 P1256:P1257 P1259 P1261:P1263 P1265 P1267 P1269 P1271:P1279 P1281:P1282 P1284:P1285 P1287 P1289 P1291 P1293:P1299 P1301:P1302 P1304:P1305 P1307:P1309 P1311 P1313 P1315:P1321 P1323 P1325 P1327:P1328 P1330 P1332 P1334:P1338 P1340:P1341 P1343 P1345:P1347 P1349 P1351 P1353:P1359 P1361:P1362 P1364 P1366:P1368 P1370 P1372 P1374:P1380 P1382:P1383 P1385:P1386 P1388 P1390:P1392 P1394 P1396 P1398:P1404 P1406:P1407 P1409:P1410 P1412 P1414 P1416:P1421 P1423 P1425:P1427 P1429:P1433 P1435 P1437:P1441 P1443:P1444 P1446 P1448:P1449 P1451 P1453:P1454 P1456 P1458 P1460 P1462:P1463 P1465 P1467 P1469:P1470 P1472 P1474 P1476:P1477 P1479 P1481:P1482 P1484:P1485 P1487 P1489:P1490 P1492 P1494:P1495 P1497 P1499:P1500 P1502:P1503 P1505 P1507:P1509 P1511 P1513:P1514 P1516 P1518:P1520 P1522 P1524:P1525 P1527 P1529:P1531 P1533 P1535:P1536 P1538 P1540:P1542 P1544 P1546:P1547 P1549 P1551:P1553 P1555 P1557:P1558 P1560 P1562:P1564 P1566:P1567 P1569:P1570 P1572:P1573 P1575:P1576 P1578:P1579 P1581:P1582 P1584:P1586 P1588 P1590:P1591 P1593:P1595 P1597 P1599:P1600 P1602:P1604 P1606 P1608:P1609 P1611:P1613 P1615 P1617:P1618 P1620:P1622 P1624:P1625 P1627:P1628 P1630:P1631 P1633 P1635:P1636 P1638:P1639 P1641:P1642 P1644:P1645 P1647:P1648 P1650:P1651 P1653:P1654 P1656:P1657 P1659:P1660 P1662:P1663 P1665:P1666 P1668:P1669 P1671:P1672 P1674:P1675 P1677:P1678 P1680:P1681 P1683:P1684 P1686:P1687 P1689 P1691:P1692 P1694:P1695 P1697:P1698 P1700 P1702:P1703 P1705:P1706 P1708:P1709 P1711:P1712 P1714:P1715 P1717:P1718 P1720:P1721 P1723:P1724 P1726:P1727 P1729:P1730 P1732:P1733 P1735:P1736 P1738:P1739 P1741:P1742 P1744:P1745 P1747 P1749:P1750 P1752:P1753 P1755 P1757 P1759 P1763 P1765 P1767 P1769 P1772 P1774 P1777 P1779 P1782 P1784 P1787 P1789 P1792 P1794 P1797 P1799 P1801 P1804 P1806 P1808 P1810 P1813 P1815 P1817 P1820 P1822 P1824 P1827 P1829 P1831 P1834 P1836 P1838 P1841 P1843 P1845 P1848 P1850 P1854 P1858:P1859 P1861 P1863 P1866 P1868 P1870 P1872:P1874 P1876:P1877 P1881" showDropDown="0" showInputMessage="0" showErrorMessage="1" allowBlank="1" type="list">
      <formula1>"Finalizado,Em Andamento,Pendente,N/A,Lançado ERP"</formula1>
    </dataValidation>
  </dataValidations>
  <printOptions horizontalCentered="1"/>
  <pageMargins left="0.5118110236220472" right="0.5118110236220472" top="0.7874015748031497" bottom="0.7874015748031497" header="0" footer="0"/>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P826"/>
  <sheetViews>
    <sheetView showGridLines="0" zoomScale="85" zoomScaleNormal="85" zoomScalePageLayoutView="55" workbookViewId="0">
      <selection activeCell="E22" sqref="E22"/>
    </sheetView>
  </sheetViews>
  <sheetFormatPr baseColWidth="8" defaultColWidth="11.5703125" defaultRowHeight="12.75"/>
  <cols>
    <col width="12.28515625" customWidth="1" style="218" min="1" max="1"/>
    <col width="11.7109375" bestFit="1" customWidth="1" style="220" min="2" max="2"/>
    <col width="14.42578125" customWidth="1" style="220" min="3" max="3"/>
    <col width="11.5703125" customWidth="1" style="220" min="4" max="4"/>
    <col width="72.42578125" customWidth="1" style="218" min="5" max="5"/>
    <col width="8.140625" customWidth="1" style="220" min="6" max="6"/>
    <col width="11.7109375" customWidth="1" style="219" min="7" max="7"/>
    <col width="20.42578125" customWidth="1" style="219" min="8" max="8"/>
    <col width="20.140625" customWidth="1" style="219" min="9" max="9"/>
    <col width="16.28515625" customWidth="1" style="219" min="10" max="10"/>
    <col width="11.7109375" customWidth="1" style="219" min="11" max="11"/>
    <col width="16" customWidth="1" style="219" min="12" max="12"/>
    <col width="13.28515625" customWidth="1" style="219" min="13" max="13"/>
    <col width="13.42578125" customWidth="1" style="218" min="14" max="14"/>
    <col width="16.7109375" customWidth="1" style="218" min="15" max="15"/>
    <col width="8.5703125" customWidth="1" style="218" min="16" max="16"/>
    <col width="11.5703125" customWidth="1" style="218" min="17" max="16384"/>
  </cols>
  <sheetData>
    <row r="1" ht="18" customHeight="1">
      <c r="A1" s="1900" t="inlineStr">
        <is>
          <t>DADOS</t>
        </is>
      </c>
      <c r="B1" s="2120" t="n"/>
      <c r="C1" s="2120" t="n"/>
      <c r="D1" s="2120" t="n"/>
      <c r="E1" s="2120" t="n"/>
      <c r="F1" s="2120" t="n"/>
      <c r="G1" s="2120" t="n"/>
      <c r="H1" s="1914" t="n"/>
      <c r="I1" s="1833" t="n"/>
      <c r="J1" s="1833" t="n"/>
      <c r="K1" s="1833" t="n"/>
      <c r="L1" s="1833" t="n"/>
      <c r="M1" s="1833" t="n"/>
      <c r="N1" s="1833" t="n"/>
      <c r="O1" s="1833" t="n"/>
      <c r="P1" s="1833" t="n"/>
    </row>
    <row r="2">
      <c r="A2" s="1841" t="inlineStr">
        <is>
          <t>Titulo</t>
        </is>
      </c>
      <c r="B2" s="1905" t="inlineStr">
        <is>
          <t>ORÇAMENTO</t>
        </is>
      </c>
      <c r="C2" s="2121" t="n"/>
      <c r="D2" s="2121" t="n"/>
      <c r="E2" s="2121" t="n"/>
      <c r="F2" s="1850" t="n"/>
      <c r="G2" s="1849" t="n"/>
      <c r="H2" s="1848" t="n"/>
      <c r="I2" s="1833" t="n"/>
      <c r="J2" s="1833" t="n"/>
      <c r="K2" s="1833" t="n"/>
      <c r="L2" s="1833" t="n"/>
      <c r="M2" s="1833" t="n"/>
      <c r="N2" s="1833" t="n"/>
      <c r="O2" s="1833" t="n"/>
      <c r="P2" s="1833" t="n"/>
    </row>
    <row r="3">
      <c r="A3" s="1844" t="inlineStr">
        <is>
          <t>Obra</t>
        </is>
      </c>
      <c r="B3" s="1907" t="inlineStr">
        <is>
          <t>ELECTRA TOWERS</t>
        </is>
      </c>
      <c r="C3" s="2121" t="n"/>
      <c r="D3" s="2121" t="n"/>
      <c r="E3" s="2121" t="n"/>
      <c r="F3" s="1843" t="n"/>
      <c r="G3" s="1846" t="n"/>
      <c r="H3" s="1845" t="n"/>
      <c r="I3" s="1833" t="n"/>
      <c r="J3" s="1833" t="n"/>
      <c r="K3" s="1833" t="n"/>
      <c r="L3" s="1833" t="n"/>
      <c r="M3" s="1833" t="n"/>
      <c r="N3" s="1833" t="n"/>
      <c r="O3" s="1833" t="n"/>
      <c r="P3" s="1833" t="n"/>
    </row>
    <row r="4">
      <c r="A4" s="1841" t="inlineStr">
        <is>
          <t>Cliente</t>
        </is>
      </c>
      <c r="B4" s="1907" t="inlineStr">
        <is>
          <t>THOZEN</t>
        </is>
      </c>
      <c r="C4" s="2121" t="n"/>
      <c r="D4" s="2121" t="n"/>
      <c r="E4" s="2121" t="n"/>
      <c r="F4" s="1847" t="n"/>
      <c r="G4" s="1846" t="n"/>
      <c r="H4" s="1845" t="n"/>
      <c r="I4" s="1833" t="n"/>
      <c r="J4" s="1833" t="n"/>
      <c r="K4" s="1833" t="n"/>
      <c r="L4" s="1833" t="n"/>
      <c r="M4" s="1833" t="n"/>
      <c r="N4" s="1833" t="n"/>
      <c r="O4" s="1833" t="n"/>
      <c r="P4" s="1833" t="n"/>
    </row>
    <row r="5">
      <c r="A5" s="1844" t="inlineStr">
        <is>
          <t>Cidade</t>
        </is>
      </c>
      <c r="B5" s="1907" t="inlineStr">
        <is>
          <t>Porto Belo</t>
        </is>
      </c>
      <c r="C5" s="2121" t="n"/>
      <c r="D5" s="2121" t="n"/>
      <c r="E5" s="2121" t="n"/>
      <c r="F5" s="1847" t="n"/>
      <c r="G5" s="1846" t="n"/>
      <c r="H5" s="1845" t="n"/>
      <c r="I5" s="1833" t="n"/>
      <c r="J5" s="1833" t="n"/>
      <c r="K5" s="1833" t="n"/>
      <c r="L5" s="1833" t="n"/>
      <c r="M5" s="1833" t="n"/>
      <c r="N5" s="1833" t="n"/>
      <c r="O5" s="1833" t="n"/>
      <c r="P5" s="1833" t="n"/>
    </row>
    <row r="6">
      <c r="A6" s="1841" t="inlineStr">
        <is>
          <t>Endereço</t>
        </is>
      </c>
      <c r="B6" s="1907" t="inlineStr"/>
      <c r="C6" s="2121" t="n"/>
      <c r="D6" s="2121" t="n"/>
      <c r="E6" s="2121" t="n"/>
      <c r="F6" s="1843" t="n"/>
      <c r="G6" s="1842" t="n"/>
      <c r="H6" s="1836" t="n"/>
      <c r="I6" s="1833" t="n"/>
      <c r="J6" s="1833" t="n"/>
      <c r="K6" s="1833" t="n"/>
      <c r="L6" s="1833" t="n"/>
      <c r="M6" s="1833" t="n"/>
      <c r="N6" s="1833" t="n"/>
      <c r="O6" s="1833" t="n"/>
      <c r="P6" s="1833" t="n"/>
    </row>
    <row r="7">
      <c r="A7" s="1844" t="inlineStr">
        <is>
          <t>Descrição</t>
        </is>
      </c>
      <c r="B7" s="1907" t="inlineStr"/>
      <c r="C7" s="2121" t="n"/>
      <c r="D7" s="2121" t="n"/>
      <c r="E7" s="2121" t="n"/>
      <c r="F7" s="1843" t="n"/>
      <c r="G7" s="1842" t="n"/>
      <c r="H7" s="1836" t="n"/>
      <c r="I7" s="1833" t="n"/>
      <c r="J7" s="1833" t="n"/>
      <c r="K7" s="1833" t="n"/>
      <c r="L7" s="1833" t="n"/>
      <c r="M7" s="1833" t="n"/>
      <c r="N7" s="1833" t="n"/>
      <c r="O7" s="1833" t="n"/>
      <c r="P7" s="1833" t="n"/>
    </row>
    <row r="8">
      <c r="A8" s="1841" t="inlineStr">
        <is>
          <t>UF</t>
        </is>
      </c>
      <c r="B8" s="1907" t="inlineStr">
        <is>
          <t>SC</t>
        </is>
      </c>
      <c r="C8" s="2121" t="n"/>
      <c r="D8" s="2121" t="n"/>
      <c r="E8" s="2121" t="n"/>
      <c r="F8" s="1840" t="n"/>
      <c r="G8" s="1839" t="n"/>
      <c r="H8" s="1836" t="n"/>
      <c r="I8" s="1833" t="n"/>
      <c r="J8" s="1833" t="n"/>
      <c r="K8" s="1833" t="n"/>
      <c r="L8" s="1833" t="n"/>
      <c r="M8" s="1833" t="n"/>
      <c r="N8" s="1833" t="n"/>
      <c r="O8" s="1833" t="n"/>
      <c r="P8" s="1833" t="n"/>
    </row>
    <row r="9">
      <c r="A9" s="1838" t="n"/>
      <c r="B9" s="1929" t="n"/>
      <c r="C9" s="1929" t="n"/>
      <c r="D9" s="1929" t="n"/>
      <c r="E9" s="1929" t="n"/>
      <c r="F9" s="2028" t="n"/>
      <c r="G9" s="1836" t="n"/>
      <c r="H9" s="1836" t="n"/>
      <c r="I9" s="1833" t="n"/>
      <c r="J9" s="1833" t="n"/>
      <c r="K9" s="1833" t="n"/>
      <c r="L9" s="1833" t="n"/>
      <c r="M9" s="1833" t="n"/>
      <c r="N9" s="1833" t="n"/>
      <c r="O9" s="1833" t="n"/>
      <c r="P9" s="1833" t="n"/>
    </row>
    <row r="10" ht="18" customHeight="1">
      <c r="A10" s="1900" t="inlineStr">
        <is>
          <t>RESUMO</t>
        </is>
      </c>
      <c r="B10" s="2120" t="n"/>
      <c r="C10" s="2120" t="n"/>
      <c r="D10" s="2120" t="n"/>
      <c r="E10" s="2120" t="n"/>
      <c r="F10" s="1833" t="n"/>
      <c r="G10" s="1833" t="n"/>
      <c r="H10" s="1833" t="n"/>
      <c r="I10" s="1833" t="n"/>
      <c r="J10" s="1833" t="n"/>
      <c r="K10" s="1833" t="n"/>
      <c r="L10" s="1833" t="n"/>
      <c r="M10" s="1833" t="n"/>
      <c r="N10" s="1833" t="n"/>
      <c r="O10" s="1833" t="n"/>
      <c r="P10" s="1833" t="n"/>
    </row>
    <row r="11" ht="22.5" customHeight="1">
      <c r="A11" s="1912" t="inlineStr">
        <is>
          <t>Tipo</t>
        </is>
      </c>
      <c r="B11" s="2122" t="n"/>
      <c r="C11" s="1912" t="inlineStr">
        <is>
          <t>Preço</t>
        </is>
      </c>
      <c r="D11" s="2122" t="n"/>
      <c r="E11" s="1912" t="inlineStr">
        <is>
          <t>Observação</t>
        </is>
      </c>
      <c r="F11" s="1833" t="n"/>
      <c r="G11" s="1833" t="n"/>
      <c r="H11" s="1833" t="n"/>
      <c r="I11" s="1833" t="n"/>
      <c r="J11" s="1833" t="n"/>
      <c r="K11" s="1833" t="n"/>
      <c r="L11" s="1833" t="n"/>
      <c r="M11" s="1833" t="n"/>
      <c r="N11" s="1833" t="n"/>
      <c r="O11" s="1833" t="n"/>
      <c r="P11" s="1833" t="n"/>
    </row>
    <row r="12">
      <c r="A12" s="1904" t="inlineStr">
        <is>
          <t>Total</t>
        </is>
      </c>
      <c r="B12" s="2122" t="n"/>
      <c r="C12" s="1902" t="n">
        <v>21718825.11462417</v>
      </c>
      <c r="D12" s="2122" t="n"/>
      <c r="E12" s="1834" t="inlineStr">
        <is>
          <t>Geral da edificação</t>
        </is>
      </c>
      <c r="F12" s="1833" t="n"/>
      <c r="G12" s="1833" t="n"/>
      <c r="H12" s="1833" t="n"/>
      <c r="I12" s="1833" t="n"/>
      <c r="J12" s="1833" t="n"/>
      <c r="K12" s="1833" t="n"/>
      <c r="L12" s="1833" t="n"/>
      <c r="M12" s="1833" t="n"/>
      <c r="N12" s="1833" t="n"/>
      <c r="O12" s="1833" t="n"/>
      <c r="P12" s="1833" t="n"/>
    </row>
    <row r="13">
      <c r="A13" s="1904" t="inlineStr">
        <is>
          <t>Material</t>
        </is>
      </c>
      <c r="B13" s="2122" t="n"/>
      <c r="C13" s="1902" t="n">
        <v>15467432.70462416</v>
      </c>
      <c r="D13" s="2122" t="n"/>
      <c r="E13" s="1834" t="n"/>
      <c r="F13" s="1833" t="n"/>
      <c r="G13" s="1833" t="n"/>
      <c r="H13" s="1833" t="n"/>
      <c r="I13" s="1833" t="n"/>
      <c r="J13" s="1833" t="n"/>
      <c r="K13" s="1833" t="n"/>
      <c r="L13" s="1833" t="n"/>
      <c r="M13" s="1833" t="n"/>
      <c r="N13" s="1833" t="n"/>
      <c r="O13" s="1833" t="n"/>
      <c r="P13" s="1833" t="n"/>
    </row>
    <row r="14">
      <c r="A14" s="1904" t="inlineStr">
        <is>
          <t>Execução</t>
        </is>
      </c>
      <c r="B14" s="2122" t="n"/>
      <c r="C14" s="1902" t="n">
        <v>6251392.41</v>
      </c>
      <c r="D14" s="2122" t="n"/>
      <c r="E14" s="1834" t="n"/>
      <c r="F14" s="1833" t="n"/>
      <c r="G14" s="1833" t="n"/>
      <c r="H14" s="1833" t="n"/>
      <c r="I14" s="1833" t="n"/>
      <c r="J14" s="1833" t="n"/>
      <c r="K14" s="1833" t="n"/>
      <c r="L14" s="1833" t="n"/>
      <c r="M14" s="1833" t="n"/>
      <c r="N14" s="1833" t="n"/>
      <c r="O14" s="1833" t="n"/>
      <c r="P14" s="1833" t="n"/>
    </row>
    <row r="15">
      <c r="A15" s="1833" t="n"/>
      <c r="B15" s="1833" t="n"/>
      <c r="C15" s="1833" t="n"/>
      <c r="D15" s="1833" t="n"/>
      <c r="E15" s="1833" t="n"/>
      <c r="F15" s="1833" t="n"/>
      <c r="G15" s="1833" t="n"/>
      <c r="H15" s="1833" t="n"/>
      <c r="I15" s="1833" t="n"/>
      <c r="J15" s="1833" t="n"/>
      <c r="K15" s="1833" t="n"/>
      <c r="L15" s="1833" t="n"/>
      <c r="M15" s="1833" t="n"/>
      <c r="N15" s="1833" t="n"/>
      <c r="O15" s="1833" t="n"/>
      <c r="P15" s="1833" t="n"/>
    </row>
    <row r="16">
      <c r="A16" s="1913" t="inlineStr">
        <is>
          <t>TABELA DE ORÇAMENTO</t>
        </is>
      </c>
    </row>
    <row r="17">
      <c r="A17" s="1903" t="inlineStr">
        <is>
          <t>Item</t>
        </is>
      </c>
      <c r="B17" s="1903" t="inlineStr">
        <is>
          <t>Referência</t>
        </is>
      </c>
      <c r="C17" s="1903" t="inlineStr">
        <is>
          <t>Tipo</t>
        </is>
      </c>
      <c r="D17" s="1903" t="inlineStr">
        <is>
          <t>Código</t>
        </is>
      </c>
      <c r="E17" s="1903" t="inlineStr">
        <is>
          <t>Descrição</t>
        </is>
      </c>
      <c r="F17" s="1903" t="inlineStr">
        <is>
          <t>Unid.</t>
        </is>
      </c>
      <c r="G17" s="1903" t="inlineStr">
        <is>
          <t>Quantidade</t>
        </is>
      </c>
      <c r="H17" s="2026" t="inlineStr">
        <is>
          <t>Custo unitário</t>
        </is>
      </c>
      <c r="I17" s="2026" t="inlineStr">
        <is>
          <t>Preço total</t>
        </is>
      </c>
      <c r="J17" s="2026" t="inlineStr">
        <is>
          <t>%</t>
        </is>
      </c>
      <c r="K17" s="2026" t="inlineStr">
        <is>
          <t>Observação</t>
        </is>
      </c>
    </row>
    <row r="18">
      <c r="A18" s="2123" t="n"/>
      <c r="B18" s="2123" t="n"/>
      <c r="C18" s="2123" t="n"/>
      <c r="D18" s="2123" t="n"/>
      <c r="E18" s="2123" t="n"/>
      <c r="F18" s="2123" t="n"/>
      <c r="G18" s="2123" t="n"/>
      <c r="H18" s="2123" t="n"/>
      <c r="I18" s="2123" t="n"/>
      <c r="J18" s="2123" t="n"/>
      <c r="K18" s="2123" t="n"/>
    </row>
    <row r="19">
      <c r="A19" s="1832" t="inlineStr">
        <is>
          <t>1.</t>
        </is>
      </c>
      <c r="B19" s="1831" t="n"/>
      <c r="C19" s="1830" t="n"/>
      <c r="D19" s="1830" t="n"/>
      <c r="E19" s="1830" t="inlineStr">
        <is>
          <t>03. PAREDES E PAINÉIS</t>
        </is>
      </c>
      <c r="F19" s="1827" t="n"/>
      <c r="G19" s="1827" t="n"/>
      <c r="H19" s="1829" t="n"/>
      <c r="I19" s="1829" t="n">
        <v>1964071.03548264</v>
      </c>
      <c r="J19" s="2124" t="n">
        <v>0.09043173491738053</v>
      </c>
      <c r="K19" s="1827" t="inlineStr"/>
    </row>
    <row r="20">
      <c r="A20" s="1826" t="inlineStr">
        <is>
          <t>1.1.</t>
        </is>
      </c>
      <c r="B20" s="1825" t="n"/>
      <c r="C20" s="1824" t="n"/>
      <c r="D20" s="1824" t="n"/>
      <c r="E20" s="1824" t="inlineStr">
        <is>
          <t>ARQ_Embasamento</t>
        </is>
      </c>
      <c r="F20" s="1821" t="n"/>
      <c r="G20" s="1821" t="n"/>
      <c r="H20" s="1823" t="n"/>
      <c r="I20" s="1823" t="n">
        <v>228660.0833921</v>
      </c>
      <c r="J20" s="2125" t="n">
        <v>0.01052819764353339</v>
      </c>
      <c r="K20" s="1821" t="inlineStr"/>
    </row>
    <row r="21">
      <c r="A21" s="222" t="inlineStr">
        <is>
          <t>1.1.1.</t>
        </is>
      </c>
      <c r="B21" s="1820" t="n"/>
      <c r="C21" s="1820" t="n"/>
      <c r="D21" s="1820" t="n"/>
      <c r="E21" s="1820" t="inlineStr">
        <is>
          <t>03.001. Alvenaria de vedação com blocos cerâmicos</t>
        </is>
      </c>
      <c r="F21" s="1817" t="n"/>
      <c r="G21" s="1817" t="n"/>
      <c r="H21" s="1819" t="n"/>
      <c r="I21" s="1819" t="n">
        <v>133087.986576</v>
      </c>
      <c r="J21" s="2126" t="n">
        <v>0.006127770994683613</v>
      </c>
      <c r="K21" s="1817" t="inlineStr"/>
    </row>
    <row r="22">
      <c r="A22" s="1816" t="inlineStr">
        <is>
          <t>1.1.1.1</t>
        </is>
      </c>
      <c r="B22" s="1815" t="n"/>
      <c r="C22" s="1814" t="n"/>
      <c r="D22" s="1814" t="n"/>
      <c r="E22" s="1813" t="inlineStr">
        <is>
          <t>BLOCO CERAMICO, 0,05 (Parede padrão)</t>
        </is>
      </c>
      <c r="F22" s="1810" t="inlineStr">
        <is>
          <t>m²</t>
        </is>
      </c>
      <c r="G22" s="1810" t="n">
        <v>35.77</v>
      </c>
      <c r="H22" s="1812" t="n">
        <v>0</v>
      </c>
      <c r="I22" s="1812" t="n">
        <v>0</v>
      </c>
      <c r="J22" s="2127" t="n"/>
      <c r="K22" s="1810" t="inlineStr"/>
    </row>
    <row r="23">
      <c r="A23" s="1809" t="inlineStr">
        <is>
          <t>1.1.1.2</t>
        </is>
      </c>
      <c r="B23" s="1808" t="n"/>
      <c r="C23" s="1807" t="n"/>
      <c r="D23" s="1807" t="n"/>
      <c r="E23" s="1806" t="inlineStr">
        <is>
          <t>BLOCO CERAMICO, 0,09 (Parede padrão)</t>
        </is>
      </c>
      <c r="F23" s="1803" t="inlineStr">
        <is>
          <t>m²</t>
        </is>
      </c>
      <c r="G23" s="1803" t="n">
        <v>171.98</v>
      </c>
      <c r="H23" s="1805" t="n">
        <v>0</v>
      </c>
      <c r="I23" s="1805" t="n">
        <v>0</v>
      </c>
      <c r="J23" s="2128" t="n"/>
      <c r="K23" s="1803" t="inlineStr"/>
    </row>
    <row r="24" ht="25.5" customHeight="1">
      <c r="A24" s="1816" t="inlineStr">
        <is>
          <t>1.1.1.3</t>
        </is>
      </c>
      <c r="B24" s="1815" t="inlineStr">
        <is>
          <t>Thozen - Electra</t>
        </is>
      </c>
      <c r="C24" s="1814" t="inlineStr">
        <is>
          <t>COMPOSICAO</t>
        </is>
      </c>
      <c r="D24" s="1814" t="inlineStr">
        <is>
          <t>4825</t>
        </is>
      </c>
      <c r="E24" s="1813" t="inlineStr">
        <is>
          <t xml:space="preserve"> Alvenaria de vedação de blocos cerâmicos furados na horizontal de 11,5x19x19cm (espessura 11,5cm) com argamassa industrializada de assentamento</t>
        </is>
      </c>
      <c r="F24" s="1810" t="inlineStr">
        <is>
          <t>m2</t>
        </is>
      </c>
      <c r="G24" s="1810" t="n">
        <v>1262.88</v>
      </c>
      <c r="H24" s="1812" t="n">
        <v>25.096</v>
      </c>
      <c r="I24" s="1812" t="n">
        <v>31693.23648</v>
      </c>
      <c r="J24" s="2127" t="n">
        <v>0.001459251884608604</v>
      </c>
      <c r="K24" s="1810" t="inlineStr"/>
    </row>
    <row r="25" ht="25.5" customHeight="1">
      <c r="A25" s="1809" t="inlineStr">
        <is>
          <t>1.1.1.4</t>
        </is>
      </c>
      <c r="B25" s="1808" t="inlineStr">
        <is>
          <t>Thozen - Electra</t>
        </is>
      </c>
      <c r="C25" s="1807" t="inlineStr">
        <is>
          <t>COMPOSICAO</t>
        </is>
      </c>
      <c r="D25" s="1807" t="inlineStr">
        <is>
          <t>4826</t>
        </is>
      </c>
      <c r="E25" s="1806" t="inlineStr">
        <is>
          <t xml:space="preserve"> Alvenaria de vedação de blocos cerâmicos furados na horizontal de 14x19x19cm (espessura 14cm) com argamassa industrializada de assentamento</t>
        </is>
      </c>
      <c r="F25" s="1803" t="inlineStr">
        <is>
          <t>m2</t>
        </is>
      </c>
      <c r="G25" s="1803" t="n">
        <v>1610.87</v>
      </c>
      <c r="H25" s="1805" t="n">
        <v>40.7664</v>
      </c>
      <c r="I25" s="1805" t="n">
        <v>65669.37076799999</v>
      </c>
      <c r="J25" s="2128" t="n">
        <v>0.003023615247207001</v>
      </c>
      <c r="K25" s="1803" t="inlineStr"/>
    </row>
    <row r="26" ht="25.5" customHeight="1">
      <c r="A26" s="1816" t="inlineStr">
        <is>
          <t>1.1.1.5</t>
        </is>
      </c>
      <c r="B26" s="1815" t="inlineStr">
        <is>
          <t>Thozen - Electra</t>
        </is>
      </c>
      <c r="C26" s="1814" t="inlineStr">
        <is>
          <t>COMPOSICAO</t>
        </is>
      </c>
      <c r="D26" s="1814" t="inlineStr">
        <is>
          <t>90472</t>
        </is>
      </c>
      <c r="E26" s="1813" t="inlineStr">
        <is>
          <t>Alvenaria de vedação de blocos cerâmicos furados na horizontal de 19x19x19cm (espessura 19cm) com argamassa industrializada de assentamento</t>
        </is>
      </c>
      <c r="F26" s="1810" t="inlineStr">
        <is>
          <t>m2</t>
        </is>
      </c>
      <c r="G26" s="1810" t="n">
        <v>631.36</v>
      </c>
      <c r="H26" s="1812" t="n">
        <v>56.5848</v>
      </c>
      <c r="I26" s="1812" t="n">
        <v>35725.379328</v>
      </c>
      <c r="J26" s="2127" t="n">
        <v>0.001644903862868008</v>
      </c>
      <c r="K26" s="1810" t="inlineStr"/>
    </row>
    <row r="27">
      <c r="A27" s="222" t="inlineStr">
        <is>
          <t>1.1.2.</t>
        </is>
      </c>
      <c r="B27" s="1820" t="n"/>
      <c r="C27" s="1820" t="n"/>
      <c r="D27" s="1820" t="n"/>
      <c r="E27" s="1820" t="inlineStr">
        <is>
          <t>03.002. Alvenaria de vedação com blocos de concreto</t>
        </is>
      </c>
      <c r="F27" s="1817" t="n"/>
      <c r="G27" s="1817" t="n"/>
      <c r="H27" s="1819" t="n"/>
      <c r="I27" s="1819" t="n">
        <v>0</v>
      </c>
      <c r="J27" s="2126" t="n"/>
      <c r="K27" s="1817" t="inlineStr"/>
    </row>
    <row r="28">
      <c r="A28" s="1809" t="inlineStr">
        <is>
          <t>1.1.2.1</t>
        </is>
      </c>
      <c r="B28" s="1808" t="n"/>
      <c r="C28" s="1807" t="n"/>
      <c r="D28" s="1807" t="n"/>
      <c r="E28" s="1806" t="inlineStr">
        <is>
          <t>BLOCO CONCRETO, 0,05 (Parede padrão)</t>
        </is>
      </c>
      <c r="F28" s="1803" t="inlineStr">
        <is>
          <t>m²</t>
        </is>
      </c>
      <c r="G28" s="1803" t="n">
        <v>1.49</v>
      </c>
      <c r="H28" s="1805" t="n">
        <v>0</v>
      </c>
      <c r="I28" s="1805" t="n">
        <v>0</v>
      </c>
      <c r="J28" s="2128" t="n"/>
      <c r="K28" s="1803" t="inlineStr"/>
    </row>
    <row r="29">
      <c r="A29" s="1816" t="inlineStr">
        <is>
          <t>1.1.2.2</t>
        </is>
      </c>
      <c r="B29" s="1815" t="n"/>
      <c r="C29" s="1814" t="n"/>
      <c r="D29" s="1814" t="n"/>
      <c r="E29" s="1813" t="inlineStr">
        <is>
          <t>BLOCO ANTI CHAMAS, 0,125 (Parede padrão)</t>
        </is>
      </c>
      <c r="F29" s="1810" t="inlineStr">
        <is>
          <t>m²</t>
        </is>
      </c>
      <c r="G29" s="1810" t="n">
        <v>252.44</v>
      </c>
      <c r="H29" s="1812" t="n">
        <v>0</v>
      </c>
      <c r="I29" s="1812" t="n">
        <v>0</v>
      </c>
      <c r="J29" s="2127" t="n"/>
      <c r="K29" s="1810" t="inlineStr"/>
    </row>
    <row r="30">
      <c r="A30" s="1809" t="inlineStr">
        <is>
          <t>1.1.2.3</t>
        </is>
      </c>
      <c r="B30" s="1808" t="n"/>
      <c r="C30" s="1807" t="n"/>
      <c r="D30" s="1807" t="n"/>
      <c r="E30" s="1806" t="inlineStr">
        <is>
          <t>BLOCO ANTI CHAMAS, 0,15 (Parede padrão)</t>
        </is>
      </c>
      <c r="F30" s="1803" t="inlineStr">
        <is>
          <t>m²</t>
        </is>
      </c>
      <c r="G30" s="1803" t="n">
        <v>774.4</v>
      </c>
      <c r="H30" s="1805" t="n">
        <v>0</v>
      </c>
      <c r="I30" s="1805" t="n">
        <v>0</v>
      </c>
      <c r="J30" s="2128" t="n"/>
      <c r="K30" s="1803" t="inlineStr"/>
    </row>
    <row r="31">
      <c r="A31" s="222" t="inlineStr">
        <is>
          <t>1.1.3.</t>
        </is>
      </c>
      <c r="B31" s="1820" t="n"/>
      <c r="C31" s="1820" t="n"/>
      <c r="D31" s="1820" t="n"/>
      <c r="E31" s="1820" t="inlineStr">
        <is>
          <t>03.003. Serviços complementares para alvenaria de vedação</t>
        </is>
      </c>
      <c r="F31" s="1817" t="n"/>
      <c r="G31" s="1817" t="n"/>
      <c r="H31" s="1819" t="n"/>
      <c r="I31" s="1819" t="n">
        <v>95572.09681609999</v>
      </c>
      <c r="J31" s="2126" t="n">
        <v>0.004400426648849776</v>
      </c>
      <c r="K31" s="1817" t="inlineStr"/>
    </row>
    <row r="32" ht="25.5" customHeight="1">
      <c r="A32" s="1816" t="inlineStr">
        <is>
          <t>1.1.3.1</t>
        </is>
      </c>
      <c r="B32" s="1815" t="inlineStr">
        <is>
          <t>Thozen - Electra</t>
        </is>
      </c>
      <c r="C32" s="1814" t="inlineStr">
        <is>
          <t>COMPOSICAO</t>
        </is>
      </c>
      <c r="D32" s="1814" t="inlineStr">
        <is>
          <t>4831</t>
        </is>
      </c>
      <c r="E32" s="1813" t="inlineStr">
        <is>
          <t xml:space="preserve"> Verga/contraverga de concreto, moldada in loco</t>
        </is>
      </c>
      <c r="F32" s="1810" t="inlineStr">
        <is>
          <t>m</t>
        </is>
      </c>
      <c r="G32" s="1810" t="n">
        <v>104.16</v>
      </c>
      <c r="H32" s="1812" t="n">
        <v>43.712512</v>
      </c>
      <c r="I32" s="1812" t="n">
        <v>4553.095249919999</v>
      </c>
      <c r="J32" s="2127" t="n">
        <v>0.0002096381929450785</v>
      </c>
      <c r="K32" s="1810" t="inlineStr"/>
    </row>
    <row r="33" ht="25.5" customHeight="1">
      <c r="A33" s="1809" t="inlineStr">
        <is>
          <t>1.1.3.2</t>
        </is>
      </c>
      <c r="B33" s="1808" t="inlineStr">
        <is>
          <t>Thozen - Electra</t>
        </is>
      </c>
      <c r="C33" s="1807" t="inlineStr">
        <is>
          <t>COMPOSICAO</t>
        </is>
      </c>
      <c r="D33" s="1807" t="inlineStr">
        <is>
          <t>4828</t>
        </is>
      </c>
      <c r="E33" s="1806" t="inlineStr">
        <is>
          <t xml:space="preserve"> Encunhamento de alvenaria de vedação com argamassa expansiva</t>
        </is>
      </c>
      <c r="F33" s="1803" t="inlineStr">
        <is>
          <t>m</t>
        </is>
      </c>
      <c r="G33" s="1803" t="n">
        <v>18470.23</v>
      </c>
      <c r="H33" s="1805" t="n">
        <v>3.633798</v>
      </c>
      <c r="I33" s="1805" t="n">
        <v>67117.08483353999</v>
      </c>
      <c r="J33" s="2128" t="n">
        <v>0.003090272354941857</v>
      </c>
      <c r="K33" s="1803" t="inlineStr"/>
    </row>
    <row r="34" ht="25.5" customHeight="1">
      <c r="A34" s="1816" t="inlineStr">
        <is>
          <t>1.1.3.3</t>
        </is>
      </c>
      <c r="B34" s="1815" t="inlineStr">
        <is>
          <t>Thozen - Electra</t>
        </is>
      </c>
      <c r="C34" s="1814" t="inlineStr">
        <is>
          <t>COMPOSICAO</t>
        </is>
      </c>
      <c r="D34" s="1814" t="inlineStr">
        <is>
          <t>4829</t>
        </is>
      </c>
      <c r="E34" s="1813" t="inlineStr">
        <is>
          <t xml:space="preserve"> Tela soldada para ligação alvenaria/estrutura</t>
        </is>
      </c>
      <c r="F34" s="1810" t="inlineStr">
        <is>
          <t>m²</t>
        </is>
      </c>
      <c r="G34" s="1810" t="n">
        <v>2370.59</v>
      </c>
      <c r="H34" s="1812" t="n">
        <v>1.85</v>
      </c>
      <c r="I34" s="1812" t="n">
        <v>4385.5915</v>
      </c>
      <c r="J34" s="2127" t="n">
        <v>0.0002019258167444335</v>
      </c>
      <c r="K34" s="1810" t="inlineStr"/>
    </row>
    <row r="35" ht="25.5" customHeight="1">
      <c r="A35" s="1809" t="inlineStr">
        <is>
          <t>1.1.3.4</t>
        </is>
      </c>
      <c r="B35" s="1808" t="inlineStr">
        <is>
          <t>Thozen - Electra</t>
        </is>
      </c>
      <c r="C35" s="1807" t="inlineStr">
        <is>
          <t>COMPOSICAO</t>
        </is>
      </c>
      <c r="D35" s="1807" t="inlineStr">
        <is>
          <t>4831</t>
        </is>
      </c>
      <c r="E35" s="1806" t="inlineStr">
        <is>
          <t xml:space="preserve"> Verga/contraverga de concreto, moldada in loco</t>
        </is>
      </c>
      <c r="F35" s="1803" t="inlineStr">
        <is>
          <t>m</t>
        </is>
      </c>
      <c r="G35" s="1803" t="n">
        <v>446.47</v>
      </c>
      <c r="H35" s="1805" t="n">
        <v>43.712512</v>
      </c>
      <c r="I35" s="1805" t="n">
        <v>19516.32523264</v>
      </c>
      <c r="J35" s="2128" t="n">
        <v>0.0008985902842184065</v>
      </c>
      <c r="K35" s="1803" t="inlineStr"/>
    </row>
    <row r="36">
      <c r="A36" s="222" t="inlineStr">
        <is>
          <t>1.1.4.</t>
        </is>
      </c>
      <c r="B36" s="1820" t="n"/>
      <c r="C36" s="1820" t="n"/>
      <c r="D36" s="1820" t="n"/>
      <c r="E36" s="1820" t="inlineStr">
        <is>
          <t>03.005. Mão de obra</t>
        </is>
      </c>
      <c r="F36" s="1817" t="n"/>
      <c r="G36" s="1817" t="n"/>
      <c r="H36" s="1819" t="n"/>
      <c r="I36" s="1819" t="n">
        <v>0</v>
      </c>
      <c r="J36" s="2126" t="n"/>
      <c r="K36" s="1817" t="inlineStr"/>
    </row>
    <row r="37">
      <c r="A37" s="1816" t="inlineStr">
        <is>
          <t>1.1.4.1</t>
        </is>
      </c>
      <c r="B37" s="1815" t="n"/>
      <c r="C37" s="1814" t="n"/>
      <c r="D37" s="1814" t="n"/>
      <c r="E37" s="1813" t="inlineStr">
        <is>
          <t>Mão de obra alvenaria cerâmica</t>
        </is>
      </c>
      <c r="F37" s="1810" t="inlineStr">
        <is>
          <t>m²</t>
        </is>
      </c>
      <c r="G37" s="1810" t="n">
        <v>4045.19</v>
      </c>
      <c r="H37" s="1812" t="n">
        <v>0</v>
      </c>
      <c r="I37" s="1812" t="n">
        <v>0</v>
      </c>
      <c r="J37" s="2127" t="n"/>
      <c r="K37" s="1810" t="inlineStr"/>
    </row>
    <row r="38">
      <c r="A38" s="1809" t="inlineStr">
        <is>
          <t>1.1.4.2</t>
        </is>
      </c>
      <c r="B38" s="1808" t="n"/>
      <c r="C38" s="1807" t="n"/>
      <c r="D38" s="1807" t="n"/>
      <c r="E38" s="1806" t="inlineStr">
        <is>
          <t>Mão de obra blocos sílico calcário  (Parede padrão)</t>
        </is>
      </c>
      <c r="F38" s="1803" t="inlineStr">
        <is>
          <t>m²</t>
        </is>
      </c>
      <c r="G38" s="1803" t="n">
        <v>1028.33</v>
      </c>
      <c r="H38" s="1805" t="n">
        <v>0</v>
      </c>
      <c r="I38" s="1805" t="n">
        <v>0</v>
      </c>
      <c r="J38" s="2128" t="n"/>
      <c r="K38" s="1803" t="inlineStr"/>
    </row>
    <row r="39">
      <c r="A39" s="222" t="inlineStr">
        <is>
          <t>1.1.5.</t>
        </is>
      </c>
      <c r="B39" s="1820" t="n"/>
      <c r="C39" s="1820" t="n"/>
      <c r="D39" s="1820" t="n"/>
      <c r="E39" s="1820" t="inlineStr">
        <is>
          <t>Alvenaria de vedação com tijolo refratário</t>
        </is>
      </c>
      <c r="F39" s="1817" t="n"/>
      <c r="G39" s="1817" t="n"/>
      <c r="H39" s="1819" t="n"/>
      <c r="I39" s="1819" t="n">
        <v>0</v>
      </c>
      <c r="J39" s="2126" t="n"/>
      <c r="K39" s="1817" t="inlineStr"/>
    </row>
    <row r="40">
      <c r="A40" s="1816" t="inlineStr">
        <is>
          <t>1.1.5.1</t>
        </is>
      </c>
      <c r="B40" s="1815" t="n"/>
      <c r="C40" s="1814" t="n"/>
      <c r="D40" s="1814" t="n"/>
      <c r="E40" s="1813" t="inlineStr">
        <is>
          <t>TIJOLO REFRATARIO, 0,016 (Parede padrão)</t>
        </is>
      </c>
      <c r="F40" s="1810" t="inlineStr">
        <is>
          <t>m²</t>
        </is>
      </c>
      <c r="G40" s="1810" t="n">
        <v>14.56</v>
      </c>
      <c r="H40" s="1812" t="n">
        <v>0</v>
      </c>
      <c r="I40" s="1812" t="n">
        <v>0</v>
      </c>
      <c r="J40" s="2127" t="n"/>
      <c r="K40" s="1810" t="inlineStr"/>
    </row>
    <row r="41">
      <c r="A41" s="1826" t="inlineStr">
        <is>
          <t>1.2.</t>
        </is>
      </c>
      <c r="B41" s="1825" t="n"/>
      <c r="C41" s="1824" t="n"/>
      <c r="D41" s="1824" t="n"/>
      <c r="E41" s="1824" t="inlineStr">
        <is>
          <t>ARQ_Impermeab</t>
        </is>
      </c>
      <c r="F41" s="1821" t="n"/>
      <c r="G41" s="1821" t="n"/>
      <c r="H41" s="1823" t="n"/>
      <c r="I41" s="1823" t="n">
        <v>45754.49512326001</v>
      </c>
      <c r="J41" s="2125" t="n">
        <v>0.002106674503882424</v>
      </c>
      <c r="K41" s="1821" t="inlineStr"/>
    </row>
    <row r="42">
      <c r="A42" s="222" t="inlineStr">
        <is>
          <t>1.2.1.</t>
        </is>
      </c>
      <c r="B42" s="1820" t="n"/>
      <c r="C42" s="1820" t="n"/>
      <c r="D42" s="1820" t="n"/>
      <c r="E42" s="1820" t="inlineStr">
        <is>
          <t>03.003. Serviços complementares para alvenaria de vedação</t>
        </is>
      </c>
      <c r="F42" s="1817" t="n"/>
      <c r="G42" s="1817" t="n"/>
      <c r="H42" s="1819" t="n"/>
      <c r="I42" s="1819" t="n">
        <v>45754.49512326001</v>
      </c>
      <c r="J42" s="2126" t="n">
        <v>0.002106674503882424</v>
      </c>
      <c r="K42" s="1817" t="inlineStr"/>
    </row>
    <row r="43" ht="25.5" customHeight="1">
      <c r="A43" s="1809" t="inlineStr">
        <is>
          <t>1.2.1.1</t>
        </is>
      </c>
      <c r="B43" s="1808" t="inlineStr">
        <is>
          <t>Thozen - Electra</t>
        </is>
      </c>
      <c r="C43" s="1807" t="inlineStr">
        <is>
          <t>COMPOSICAO</t>
        </is>
      </c>
      <c r="D43" s="1807" t="inlineStr">
        <is>
          <t>4828</t>
        </is>
      </c>
      <c r="E43" s="1806" t="inlineStr">
        <is>
          <t xml:space="preserve"> Encunhamento de alvenaria de vedação com argamassa expansiva</t>
        </is>
      </c>
      <c r="F43" s="1803" t="inlineStr">
        <is>
          <t>m</t>
        </is>
      </c>
      <c r="G43" s="1803" t="n">
        <v>12591.37</v>
      </c>
      <c r="H43" s="1805" t="n">
        <v>3.633798</v>
      </c>
      <c r="I43" s="1805" t="n">
        <v>45754.49512326001</v>
      </c>
      <c r="J43" s="2128" t="n">
        <v>0.002106674503882424</v>
      </c>
      <c r="K43" s="1803" t="inlineStr"/>
    </row>
    <row r="44">
      <c r="A44" s="1826" t="inlineStr">
        <is>
          <t>1.3.</t>
        </is>
      </c>
      <c r="B44" s="1825" t="n"/>
      <c r="C44" s="1824" t="n"/>
      <c r="D44" s="1824" t="n"/>
      <c r="E44" s="1824" t="inlineStr">
        <is>
          <t>ARQ_Torre_A</t>
        </is>
      </c>
      <c r="F44" s="1821" t="n"/>
      <c r="G44" s="1821" t="n"/>
      <c r="H44" s="1823" t="n"/>
      <c r="I44" s="1823" t="n">
        <v>823378.31908238</v>
      </c>
      <c r="J44" s="2125" t="n">
        <v>0.03791081307284738</v>
      </c>
      <c r="K44" s="1821" t="inlineStr"/>
    </row>
    <row r="45">
      <c r="A45" s="222" t="inlineStr">
        <is>
          <t>1.3.1.</t>
        </is>
      </c>
      <c r="B45" s="1820" t="n"/>
      <c r="C45" s="1820" t="n"/>
      <c r="D45" s="1820" t="n"/>
      <c r="E45" s="1820" t="inlineStr">
        <is>
          <t>03.001. Alvenaria de vedação com blocos cerâmicos</t>
        </is>
      </c>
      <c r="F45" s="1817" t="n"/>
      <c r="G45" s="1817" t="n"/>
      <c r="H45" s="1819" t="n"/>
      <c r="I45" s="1819" t="n">
        <v>416102.63716</v>
      </c>
      <c r="J45" s="2126" t="n">
        <v>0.01915861631391014</v>
      </c>
      <c r="K45" s="1817" t="inlineStr"/>
    </row>
    <row r="46">
      <c r="A46" s="1816" t="inlineStr">
        <is>
          <t>1.3.1.1</t>
        </is>
      </c>
      <c r="B46" s="1815" t="n"/>
      <c r="C46" s="1814" t="n"/>
      <c r="D46" s="1814" t="n"/>
      <c r="E46" s="1813" t="inlineStr">
        <is>
          <t>BLOCO CERAMICO, 0,05 (Parede padrão)</t>
        </is>
      </c>
      <c r="F46" s="1810" t="inlineStr">
        <is>
          <t>m²</t>
        </is>
      </c>
      <c r="G46" s="1810" t="n">
        <v>1074.45</v>
      </c>
      <c r="H46" s="1812" t="n">
        <v>0</v>
      </c>
      <c r="I46" s="1812" t="n">
        <v>0</v>
      </c>
      <c r="J46" s="2127" t="n"/>
      <c r="K46" s="1810" t="inlineStr"/>
    </row>
    <row r="47">
      <c r="A47" s="1809" t="inlineStr">
        <is>
          <t>1.3.1.2</t>
        </is>
      </c>
      <c r="B47" s="1808" t="n"/>
      <c r="C47" s="1807" t="n"/>
      <c r="D47" s="1807" t="n"/>
      <c r="E47" s="1806" t="inlineStr">
        <is>
          <t>BLOCO CERAMICO, 0,09 (Parede padrão)</t>
        </is>
      </c>
      <c r="F47" s="1803" t="inlineStr">
        <is>
          <t>m²</t>
        </is>
      </c>
      <c r="G47" s="1803" t="n">
        <v>1364.5</v>
      </c>
      <c r="H47" s="1805" t="n">
        <v>0</v>
      </c>
      <c r="I47" s="1805" t="n">
        <v>0</v>
      </c>
      <c r="J47" s="2128" t="n"/>
      <c r="K47" s="1803" t="inlineStr"/>
    </row>
    <row r="48" ht="25.5" customHeight="1">
      <c r="A48" s="1816" t="inlineStr">
        <is>
          <t>1.3.1.3</t>
        </is>
      </c>
      <c r="B48" s="1815" t="inlineStr">
        <is>
          <t>Thozen - Electra</t>
        </is>
      </c>
      <c r="C48" s="1814" t="inlineStr">
        <is>
          <t>COMPOSICAO</t>
        </is>
      </c>
      <c r="D48" s="1814" t="inlineStr">
        <is>
          <t>4825</t>
        </is>
      </c>
      <c r="E48" s="1813" t="inlineStr">
        <is>
          <t xml:space="preserve"> Alvenaria de vedação de blocos cerâmicos furados na horizontal de 11,5x19x19cm (espessura 11,5cm) com argamassa industrializada de assentamento</t>
        </is>
      </c>
      <c r="F48" s="1810" t="inlineStr">
        <is>
          <t>m2</t>
        </is>
      </c>
      <c r="G48" s="1810" t="n">
        <v>7270.36</v>
      </c>
      <c r="H48" s="1812" t="n">
        <v>25.096</v>
      </c>
      <c r="I48" s="1812" t="n">
        <v>182456.95456</v>
      </c>
      <c r="J48" s="2127" t="n">
        <v>0.008400866695001116</v>
      </c>
      <c r="K48" s="1810" t="inlineStr"/>
    </row>
    <row r="49" ht="25.5" customHeight="1">
      <c r="A49" s="1809" t="inlineStr">
        <is>
          <t>1.3.1.4</t>
        </is>
      </c>
      <c r="B49" s="1808" t="inlineStr">
        <is>
          <t>Thozen - Electra</t>
        </is>
      </c>
      <c r="C49" s="1807" t="inlineStr">
        <is>
          <t>COMPOSICAO</t>
        </is>
      </c>
      <c r="D49" s="1807" t="inlineStr">
        <is>
          <t>4826</t>
        </is>
      </c>
      <c r="E49" s="1806" t="inlineStr">
        <is>
          <t xml:space="preserve"> Alvenaria de vedação de blocos cerâmicos furados na horizontal de 14x19x19cm (espessura 14cm) com argamassa industrializada de assentamento</t>
        </is>
      </c>
      <c r="F49" s="1803" t="inlineStr">
        <is>
          <t>m2</t>
        </is>
      </c>
      <c r="G49" s="1803" t="n">
        <v>4090.42</v>
      </c>
      <c r="H49" s="1805" t="n">
        <v>40.7664</v>
      </c>
      <c r="I49" s="1805" t="n">
        <v>166751.697888</v>
      </c>
      <c r="J49" s="2128" t="n">
        <v>0.007677749464252524</v>
      </c>
      <c r="K49" s="1803" t="inlineStr"/>
    </row>
    <row r="50" ht="25.5" customHeight="1">
      <c r="A50" s="1816" t="inlineStr">
        <is>
          <t>1.3.1.5</t>
        </is>
      </c>
      <c r="B50" s="1815" t="inlineStr">
        <is>
          <t>Thozen - Electra</t>
        </is>
      </c>
      <c r="C50" s="1814" t="inlineStr">
        <is>
          <t>COMPOSICAO</t>
        </is>
      </c>
      <c r="D50" s="1814" t="inlineStr">
        <is>
          <t>90472</t>
        </is>
      </c>
      <c r="E50" s="1813" t="inlineStr">
        <is>
          <t>Alvenaria de vedação de blocos cerâmicos furados na horizontal de 19x19x19cm (espessura 19cm) com argamassa industrializada de assentamento</t>
        </is>
      </c>
      <c r="F50" s="1810" t="inlineStr">
        <is>
          <t>m2</t>
        </is>
      </c>
      <c r="G50" s="1810" t="n">
        <v>1182.19</v>
      </c>
      <c r="H50" s="1812" t="n">
        <v>56.5848</v>
      </c>
      <c r="I50" s="1812" t="n">
        <v>66893.984712</v>
      </c>
      <c r="J50" s="2127" t="n">
        <v>0.003080000154656504</v>
      </c>
      <c r="K50" s="1810" t="inlineStr"/>
    </row>
    <row r="51">
      <c r="A51" s="222" t="inlineStr">
        <is>
          <t>1.3.2.</t>
        </is>
      </c>
      <c r="B51" s="1820" t="n"/>
      <c r="C51" s="1820" t="n"/>
      <c r="D51" s="1820" t="n"/>
      <c r="E51" s="1820" t="inlineStr">
        <is>
          <t>03.002. Alvenaria de vedação com blocos de concreto</t>
        </is>
      </c>
      <c r="F51" s="1817" t="n"/>
      <c r="G51" s="1817" t="n"/>
      <c r="H51" s="1819" t="n"/>
      <c r="I51" s="1819" t="n">
        <v>0</v>
      </c>
      <c r="J51" s="2126" t="n"/>
      <c r="K51" s="1817" t="inlineStr"/>
    </row>
    <row r="52">
      <c r="A52" s="1809" t="inlineStr">
        <is>
          <t>1.3.2.1</t>
        </is>
      </c>
      <c r="B52" s="1808" t="n"/>
      <c r="C52" s="1807" t="n"/>
      <c r="D52" s="1807" t="n"/>
      <c r="E52" s="1806" t="inlineStr">
        <is>
          <t>BLOCO CONCRETO, 0,05 (Parede padrão)</t>
        </is>
      </c>
      <c r="F52" s="1803" t="inlineStr">
        <is>
          <t>m²</t>
        </is>
      </c>
      <c r="G52" s="1803" t="n">
        <v>363.8</v>
      </c>
      <c r="H52" s="1805" t="n">
        <v>0</v>
      </c>
      <c r="I52" s="1805" t="n">
        <v>0</v>
      </c>
      <c r="J52" s="2128" t="n"/>
      <c r="K52" s="1803" t="inlineStr"/>
    </row>
    <row r="53">
      <c r="A53" s="1816" t="inlineStr">
        <is>
          <t>1.3.2.2</t>
        </is>
      </c>
      <c r="B53" s="1815" t="n"/>
      <c r="C53" s="1814" t="n"/>
      <c r="D53" s="1814" t="n"/>
      <c r="E53" s="1813" t="inlineStr">
        <is>
          <t>BLOCO ANTI CHAMAS, 0,125 (Parede padrão)</t>
        </is>
      </c>
      <c r="F53" s="1810" t="inlineStr">
        <is>
          <t>m²</t>
        </is>
      </c>
      <c r="G53" s="1810" t="n">
        <v>128.55</v>
      </c>
      <c r="H53" s="1812" t="n">
        <v>0</v>
      </c>
      <c r="I53" s="1812" t="n">
        <v>0</v>
      </c>
      <c r="J53" s="2127" t="n"/>
      <c r="K53" s="1810" t="inlineStr"/>
    </row>
    <row r="54">
      <c r="A54" s="1809" t="inlineStr">
        <is>
          <t>1.3.2.3</t>
        </is>
      </c>
      <c r="B54" s="1808" t="n"/>
      <c r="C54" s="1807" t="n"/>
      <c r="D54" s="1807" t="n"/>
      <c r="E54" s="1806" t="inlineStr">
        <is>
          <t>BLOCO ANTI CHAMAS, 0,15 (Parede padrão)</t>
        </is>
      </c>
      <c r="F54" s="1803" t="inlineStr">
        <is>
          <t>m²</t>
        </is>
      </c>
      <c r="G54" s="1803" t="n">
        <v>862.58</v>
      </c>
      <c r="H54" s="1805" t="n">
        <v>0</v>
      </c>
      <c r="I54" s="1805" t="n">
        <v>0</v>
      </c>
      <c r="J54" s="2128" t="n"/>
      <c r="K54" s="1803" t="inlineStr"/>
    </row>
    <row r="55">
      <c r="A55" s="222" t="inlineStr">
        <is>
          <t>1.3.3.</t>
        </is>
      </c>
      <c r="B55" s="1820" t="n"/>
      <c r="C55" s="1820" t="n"/>
      <c r="D55" s="1820" t="n"/>
      <c r="E55" s="1820" t="inlineStr">
        <is>
          <t>03.003. Serviços complementares para alvenaria de vedação</t>
        </is>
      </c>
      <c r="F55" s="1817" t="n"/>
      <c r="G55" s="1817" t="n"/>
      <c r="H55" s="1819" t="n"/>
      <c r="I55" s="1819" t="n">
        <v>407275.68192238</v>
      </c>
      <c r="J55" s="2126" t="n">
        <v>0.01875219675893723</v>
      </c>
      <c r="K55" s="1817" t="inlineStr"/>
    </row>
    <row r="56" ht="25.5" customHeight="1">
      <c r="A56" s="1816" t="inlineStr">
        <is>
          <t>1.3.3.1</t>
        </is>
      </c>
      <c r="B56" s="1815" t="inlineStr">
        <is>
          <t>Thozen - Electra</t>
        </is>
      </c>
      <c r="C56" s="1814" t="inlineStr">
        <is>
          <t>COMPOSICAO</t>
        </is>
      </c>
      <c r="D56" s="1814" t="inlineStr">
        <is>
          <t>4831</t>
        </is>
      </c>
      <c r="E56" s="1813" t="inlineStr">
        <is>
          <t xml:space="preserve"> Verga/contraverga de concreto, moldada in loco</t>
        </is>
      </c>
      <c r="F56" s="1810" t="inlineStr">
        <is>
          <t>m</t>
        </is>
      </c>
      <c r="G56" s="1810" t="n">
        <v>1151.26</v>
      </c>
      <c r="H56" s="1812" t="n">
        <v>43.712512</v>
      </c>
      <c r="I56" s="1812" t="n">
        <v>50324.46656512</v>
      </c>
      <c r="J56" s="2127" t="n">
        <v>0.002317089727438087</v>
      </c>
      <c r="K56" s="1810" t="inlineStr"/>
    </row>
    <row r="57" ht="25.5" customHeight="1">
      <c r="A57" s="1809" t="inlineStr">
        <is>
          <t>1.3.3.2</t>
        </is>
      </c>
      <c r="B57" s="1808" t="inlineStr">
        <is>
          <t>Thozen - Electra</t>
        </is>
      </c>
      <c r="C57" s="1807" t="inlineStr">
        <is>
          <t>COMPOSICAO</t>
        </is>
      </c>
      <c r="D57" s="1807" t="inlineStr">
        <is>
          <t>4828</t>
        </is>
      </c>
      <c r="E57" s="1806" t="inlineStr">
        <is>
          <t xml:space="preserve"> Encunhamento de alvenaria de vedação com argamassa expansiva</t>
        </is>
      </c>
      <c r="F57" s="1803" t="inlineStr">
        <is>
          <t>m</t>
        </is>
      </c>
      <c r="G57" s="1803" t="n">
        <v>62783.49</v>
      </c>
      <c r="H57" s="1805" t="n">
        <v>3.633798</v>
      </c>
      <c r="I57" s="1805" t="n">
        <v>228142.52039502</v>
      </c>
      <c r="J57" s="2128" t="n">
        <v>0.01050436748723587</v>
      </c>
      <c r="K57" s="1803" t="inlineStr"/>
    </row>
    <row r="58" ht="25.5" customHeight="1">
      <c r="A58" s="1816" t="inlineStr">
        <is>
          <t>1.3.3.3</t>
        </is>
      </c>
      <c r="B58" s="1815" t="inlineStr">
        <is>
          <t>Thozen - Electra</t>
        </is>
      </c>
      <c r="C58" s="1814" t="inlineStr">
        <is>
          <t>COMPOSICAO</t>
        </is>
      </c>
      <c r="D58" s="1814" t="inlineStr">
        <is>
          <t>4829</t>
        </is>
      </c>
      <c r="E58" s="1813" t="inlineStr">
        <is>
          <t xml:space="preserve"> Tela soldada para ligação alvenaria/estrutura</t>
        </is>
      </c>
      <c r="F58" s="1810" t="inlineStr">
        <is>
          <t>m²</t>
        </is>
      </c>
      <c r="G58" s="1810" t="n">
        <v>8168.42</v>
      </c>
      <c r="H58" s="1812" t="n">
        <v>1.85</v>
      </c>
      <c r="I58" s="1812" t="n">
        <v>15111.577</v>
      </c>
      <c r="J58" s="2127" t="n">
        <v>0.0006957824339137368</v>
      </c>
      <c r="K58" s="1810" t="inlineStr"/>
    </row>
    <row r="59" ht="25.5" customHeight="1">
      <c r="A59" s="1809" t="inlineStr">
        <is>
          <t>1.3.3.4</t>
        </is>
      </c>
      <c r="B59" s="1808" t="inlineStr">
        <is>
          <t>Thozen - Electra</t>
        </is>
      </c>
      <c r="C59" s="1807" t="inlineStr">
        <is>
          <t>COMPOSICAO</t>
        </is>
      </c>
      <c r="D59" s="1807" t="inlineStr">
        <is>
          <t>4831</t>
        </is>
      </c>
      <c r="E59" s="1806" t="inlineStr">
        <is>
          <t xml:space="preserve"> Verga/contraverga de concreto, moldada in loco</t>
        </is>
      </c>
      <c r="F59" s="1803" t="inlineStr">
        <is>
          <t>m</t>
        </is>
      </c>
      <c r="G59" s="1803" t="n">
        <v>2601.02</v>
      </c>
      <c r="H59" s="1805" t="n">
        <v>43.712512</v>
      </c>
      <c r="I59" s="1805" t="n">
        <v>113697.11796224</v>
      </c>
      <c r="J59" s="2128" t="n">
        <v>0.005234957110349541</v>
      </c>
      <c r="K59" s="1803" t="inlineStr"/>
    </row>
    <row r="60">
      <c r="A60" s="222" t="inlineStr">
        <is>
          <t>1.3.4.</t>
        </is>
      </c>
      <c r="B60" s="1820" t="n"/>
      <c r="C60" s="1820" t="n"/>
      <c r="D60" s="1820" t="n"/>
      <c r="E60" s="1820" t="inlineStr">
        <is>
          <t>03.005. Mão de obra</t>
        </is>
      </c>
      <c r="F60" s="1817" t="n"/>
      <c r="G60" s="1817" t="n"/>
      <c r="H60" s="1819" t="n"/>
      <c r="I60" s="1819" t="n">
        <v>0</v>
      </c>
      <c r="J60" s="2126" t="n"/>
      <c r="K60" s="1817" t="inlineStr"/>
    </row>
    <row r="61">
      <c r="A61" s="1816" t="inlineStr">
        <is>
          <t>1.3.4.1</t>
        </is>
      </c>
      <c r="B61" s="1815" t="n"/>
      <c r="C61" s="1814" t="n"/>
      <c r="D61" s="1814" t="n"/>
      <c r="E61" s="1813" t="inlineStr">
        <is>
          <t>Mão de obra alvenaria cerâmica</t>
        </is>
      </c>
      <c r="F61" s="1810" t="inlineStr">
        <is>
          <t>m²</t>
        </is>
      </c>
      <c r="G61" s="1810" t="n">
        <v>16873.23</v>
      </c>
      <c r="H61" s="1812" t="n">
        <v>0</v>
      </c>
      <c r="I61" s="1812" t="n">
        <v>0</v>
      </c>
      <c r="J61" s="2127" t="n"/>
      <c r="K61" s="1810" t="inlineStr"/>
    </row>
    <row r="62">
      <c r="A62" s="1809" t="inlineStr">
        <is>
          <t>1.3.4.2</t>
        </is>
      </c>
      <c r="B62" s="1808" t="n"/>
      <c r="C62" s="1807" t="n"/>
      <c r="D62" s="1807" t="n"/>
      <c r="E62" s="1806" t="inlineStr">
        <is>
          <t>Mão de obra blocos sílico calcário  (Parede padrão)</t>
        </is>
      </c>
      <c r="F62" s="1803" t="inlineStr">
        <is>
          <t>m²</t>
        </is>
      </c>
      <c r="G62" s="1803" t="n">
        <v>1354.93</v>
      </c>
      <c r="H62" s="1805" t="n">
        <v>0</v>
      </c>
      <c r="I62" s="1805" t="n">
        <v>0</v>
      </c>
      <c r="J62" s="2128" t="n"/>
      <c r="K62" s="1803" t="inlineStr"/>
    </row>
    <row r="63">
      <c r="A63" s="222" t="inlineStr">
        <is>
          <t>1.3.5.</t>
        </is>
      </c>
      <c r="B63" s="1820" t="n"/>
      <c r="C63" s="1820" t="n"/>
      <c r="D63" s="1820" t="n"/>
      <c r="E63" s="1820" t="inlineStr">
        <is>
          <t>Alvenaria de vedação com tijolo refratário</t>
        </is>
      </c>
      <c r="F63" s="1817" t="n"/>
      <c r="G63" s="1817" t="n"/>
      <c r="H63" s="1819" t="n"/>
      <c r="I63" s="1819" t="n">
        <v>0</v>
      </c>
      <c r="J63" s="2126" t="n"/>
      <c r="K63" s="1817" t="inlineStr"/>
    </row>
    <row r="64">
      <c r="A64" s="1816" t="inlineStr">
        <is>
          <t>1.3.5.1</t>
        </is>
      </c>
      <c r="B64" s="1815" t="n"/>
      <c r="C64" s="1814" t="n"/>
      <c r="D64" s="1814" t="n"/>
      <c r="E64" s="1813" t="inlineStr">
        <is>
          <t>TIJOLO REFRATARIO, 0,016 (Parede padrão)</t>
        </is>
      </c>
      <c r="F64" s="1810" t="inlineStr">
        <is>
          <t>m²</t>
        </is>
      </c>
      <c r="G64" s="1810" t="n">
        <v>287.37</v>
      </c>
      <c r="H64" s="1812" t="n">
        <v>0</v>
      </c>
      <c r="I64" s="1812" t="n">
        <v>0</v>
      </c>
      <c r="J64" s="2127" t="n"/>
      <c r="K64" s="1810" t="inlineStr"/>
    </row>
    <row r="65">
      <c r="A65" s="1826" t="inlineStr">
        <is>
          <t>1.4.</t>
        </is>
      </c>
      <c r="B65" s="1825" t="n"/>
      <c r="C65" s="1824" t="n"/>
      <c r="D65" s="1824" t="n"/>
      <c r="E65" s="1824" t="inlineStr">
        <is>
          <t>ARQ_Torre_B</t>
        </is>
      </c>
      <c r="F65" s="1821" t="n"/>
      <c r="G65" s="1821" t="n"/>
      <c r="H65" s="1823" t="n"/>
      <c r="I65" s="1823" t="n">
        <v>866278.1378849</v>
      </c>
      <c r="J65" s="2125" t="n">
        <v>0.03988604969711734</v>
      </c>
      <c r="K65" s="1821" t="inlineStr"/>
    </row>
    <row r="66">
      <c r="A66" s="222" t="inlineStr">
        <is>
          <t>1.4.1.</t>
        </is>
      </c>
      <c r="B66" s="1820" t="n"/>
      <c r="C66" s="1820" t="n"/>
      <c r="D66" s="1820" t="n"/>
      <c r="E66" s="1820" t="inlineStr">
        <is>
          <t>03.001. Alvenaria de vedação com blocos cerâmicos</t>
        </is>
      </c>
      <c r="F66" s="1817" t="n"/>
      <c r="G66" s="1817" t="n"/>
      <c r="H66" s="1819" t="n"/>
      <c r="I66" s="1819" t="n">
        <v>489178.450936</v>
      </c>
      <c r="J66" s="2126" t="n">
        <v>0.02252324646265585</v>
      </c>
      <c r="K66" s="1817" t="inlineStr"/>
    </row>
    <row r="67">
      <c r="A67" s="1809" t="inlineStr">
        <is>
          <t>1.4.1.1</t>
        </is>
      </c>
      <c r="B67" s="1808" t="n"/>
      <c r="C67" s="1807" t="n"/>
      <c r="D67" s="1807" t="n"/>
      <c r="E67" s="1806" t="inlineStr">
        <is>
          <t>BLOCO CERAMICO, 0,05 (Parede padrão)</t>
        </is>
      </c>
      <c r="F67" s="1803" t="inlineStr">
        <is>
          <t>m²</t>
        </is>
      </c>
      <c r="G67" s="1803" t="n">
        <v>398.15</v>
      </c>
      <c r="H67" s="1805" t="n">
        <v>0</v>
      </c>
      <c r="I67" s="1805" t="n">
        <v>0</v>
      </c>
      <c r="J67" s="2128" t="n"/>
      <c r="K67" s="1803" t="inlineStr"/>
    </row>
    <row r="68">
      <c r="A68" s="1816" t="inlineStr">
        <is>
          <t>1.4.1.2</t>
        </is>
      </c>
      <c r="B68" s="1815" t="n"/>
      <c r="C68" s="1814" t="n"/>
      <c r="D68" s="1814" t="n"/>
      <c r="E68" s="1813" t="inlineStr">
        <is>
          <t>BLOCO CERAMICO, 0,09 (Parede padrão)</t>
        </is>
      </c>
      <c r="F68" s="1810" t="inlineStr">
        <is>
          <t>m²</t>
        </is>
      </c>
      <c r="G68" s="1810" t="n">
        <v>3063.66</v>
      </c>
      <c r="H68" s="1812" t="n">
        <v>0</v>
      </c>
      <c r="I68" s="1812" t="n">
        <v>0</v>
      </c>
      <c r="J68" s="2127" t="n"/>
      <c r="K68" s="1810" t="inlineStr"/>
    </row>
    <row r="69" ht="25.5" customHeight="1">
      <c r="A69" s="1809" t="inlineStr">
        <is>
          <t>1.4.1.3</t>
        </is>
      </c>
      <c r="B69" s="1808" t="inlineStr">
        <is>
          <t>Thozen - Electra</t>
        </is>
      </c>
      <c r="C69" s="1807" t="inlineStr">
        <is>
          <t>COMPOSICAO</t>
        </is>
      </c>
      <c r="D69" s="1807" t="inlineStr">
        <is>
          <t>4825</t>
        </is>
      </c>
      <c r="E69" s="1806" t="inlineStr">
        <is>
          <t xml:space="preserve"> Alvenaria de vedação de blocos cerâmicos furados na horizontal de 11,5x19x19cm (espessura 11,5cm) com argamassa industrializada de assentamento</t>
        </is>
      </c>
      <c r="F69" s="1803" t="inlineStr">
        <is>
          <t>m2</t>
        </is>
      </c>
      <c r="G69" s="1803" t="n">
        <v>8394.280000000001</v>
      </c>
      <c r="H69" s="1805" t="n">
        <v>25.096</v>
      </c>
      <c r="I69" s="1805" t="n">
        <v>210662.85088</v>
      </c>
      <c r="J69" s="2128" t="n">
        <v>0.009699550954906494</v>
      </c>
      <c r="K69" s="1803" t="inlineStr"/>
    </row>
    <row r="70" ht="25.5" customHeight="1">
      <c r="A70" s="1816" t="inlineStr">
        <is>
          <t>1.4.1.4</t>
        </is>
      </c>
      <c r="B70" s="1815" t="inlineStr">
        <is>
          <t>Thozen - Electra</t>
        </is>
      </c>
      <c r="C70" s="1814" t="inlineStr">
        <is>
          <t>COMPOSICAO</t>
        </is>
      </c>
      <c r="D70" s="1814" t="inlineStr">
        <is>
          <t>4826</t>
        </is>
      </c>
      <c r="E70" s="1813" t="inlineStr">
        <is>
          <t xml:space="preserve"> Alvenaria de vedação de blocos cerâmicos furados na horizontal de 14x19x19cm (espessura 14cm) com argamassa industrializada de assentamento</t>
        </is>
      </c>
      <c r="F70" s="1810" t="inlineStr">
        <is>
          <t>m2</t>
        </is>
      </c>
      <c r="G70" s="1810" t="n">
        <v>5416.8</v>
      </c>
      <c r="H70" s="1812" t="n">
        <v>40.7664</v>
      </c>
      <c r="I70" s="1812" t="n">
        <v>220823.43552</v>
      </c>
      <c r="J70" s="2127" t="n">
        <v>0.01016737481675795</v>
      </c>
      <c r="K70" s="1810" t="inlineStr"/>
    </row>
    <row r="71" ht="25.5" customHeight="1">
      <c r="A71" s="1809" t="inlineStr">
        <is>
          <t>1.4.1.5</t>
        </is>
      </c>
      <c r="B71" s="1808" t="inlineStr">
        <is>
          <t>Thozen - Electra</t>
        </is>
      </c>
      <c r="C71" s="1807" t="inlineStr">
        <is>
          <t>COMPOSICAO</t>
        </is>
      </c>
      <c r="D71" s="1807" t="inlineStr">
        <is>
          <t>90472</t>
        </is>
      </c>
      <c r="E71" s="1806" t="inlineStr">
        <is>
          <t>Alvenaria de vedação de blocos cerâmicos furados na horizontal de 19x19x19cm (espessura 19cm) com argamassa industrializada de assentamento</t>
        </is>
      </c>
      <c r="F71" s="1803" t="inlineStr">
        <is>
          <t>m2</t>
        </is>
      </c>
      <c r="G71" s="1803" t="n">
        <v>1019.57</v>
      </c>
      <c r="H71" s="1805" t="n">
        <v>56.5848</v>
      </c>
      <c r="I71" s="1805" t="n">
        <v>57692.164536</v>
      </c>
      <c r="J71" s="2128" t="n">
        <v>0.002656320690991407</v>
      </c>
      <c r="K71" s="1803" t="inlineStr"/>
    </row>
    <row r="72">
      <c r="A72" s="222" t="inlineStr">
        <is>
          <t>1.4.2.</t>
        </is>
      </c>
      <c r="B72" s="1820" t="n"/>
      <c r="C72" s="1820" t="n"/>
      <c r="D72" s="1820" t="n"/>
      <c r="E72" s="1820" t="inlineStr">
        <is>
          <t>03.002. Alvenaria de vedação com blocos de concreto</t>
        </is>
      </c>
      <c r="F72" s="1817" t="n"/>
      <c r="G72" s="1817" t="n"/>
      <c r="H72" s="1819" t="n"/>
      <c r="I72" s="1819" t="n">
        <v>0</v>
      </c>
      <c r="J72" s="2126" t="n"/>
      <c r="K72" s="1817" t="inlineStr"/>
    </row>
    <row r="73">
      <c r="A73" s="1816" t="inlineStr">
        <is>
          <t>1.4.2.1</t>
        </is>
      </c>
      <c r="B73" s="1815" t="n"/>
      <c r="C73" s="1814" t="n"/>
      <c r="D73" s="1814" t="n"/>
      <c r="E73" s="1813" t="inlineStr">
        <is>
          <t>BLOCO ANTI CHAMAS, 0,125 (Parede padrão)</t>
        </is>
      </c>
      <c r="F73" s="1810" t="inlineStr">
        <is>
          <t>m²</t>
        </is>
      </c>
      <c r="G73" s="1810" t="n">
        <v>245.34</v>
      </c>
      <c r="H73" s="1812" t="n">
        <v>0</v>
      </c>
      <c r="I73" s="1812" t="n">
        <v>0</v>
      </c>
      <c r="J73" s="2127" t="n"/>
      <c r="K73" s="1810" t="inlineStr"/>
    </row>
    <row r="74">
      <c r="A74" s="1809" t="inlineStr">
        <is>
          <t>1.4.2.2</t>
        </is>
      </c>
      <c r="B74" s="1808" t="n"/>
      <c r="C74" s="1807" t="n"/>
      <c r="D74" s="1807" t="n"/>
      <c r="E74" s="1806" t="inlineStr">
        <is>
          <t>BLOCO ANTI CHAMAS, 0,15 (Parede padrão)</t>
        </is>
      </c>
      <c r="F74" s="1803" t="inlineStr">
        <is>
          <t>m²</t>
        </is>
      </c>
      <c r="G74" s="1803" t="n">
        <v>662.3</v>
      </c>
      <c r="H74" s="1805" t="n">
        <v>0</v>
      </c>
      <c r="I74" s="1805" t="n">
        <v>0</v>
      </c>
      <c r="J74" s="2128" t="n"/>
      <c r="K74" s="1803" t="inlineStr"/>
    </row>
    <row r="75">
      <c r="A75" s="222" t="inlineStr">
        <is>
          <t>1.4.3.</t>
        </is>
      </c>
      <c r="B75" s="1820" t="n"/>
      <c r="C75" s="1820" t="n"/>
      <c r="D75" s="1820" t="n"/>
      <c r="E75" s="1820" t="inlineStr">
        <is>
          <t>03.003. Serviços complementares para alvenaria de vedação</t>
        </is>
      </c>
      <c r="F75" s="1817" t="n"/>
      <c r="G75" s="1817" t="n"/>
      <c r="H75" s="1819" t="n"/>
      <c r="I75" s="1819" t="n">
        <v>377099.6869489</v>
      </c>
      <c r="J75" s="2126" t="n">
        <v>0.01736280323446149</v>
      </c>
      <c r="K75" s="1817" t="inlineStr"/>
    </row>
    <row r="76" ht="25.5" customHeight="1">
      <c r="A76" s="1816" t="inlineStr">
        <is>
          <t>1.4.3.1</t>
        </is>
      </c>
      <c r="B76" s="1815" t="inlineStr">
        <is>
          <t>Thozen - Electra</t>
        </is>
      </c>
      <c r="C76" s="1814" t="inlineStr">
        <is>
          <t>COMPOSICAO</t>
        </is>
      </c>
      <c r="D76" s="1814" t="inlineStr">
        <is>
          <t>4831</t>
        </is>
      </c>
      <c r="E76" s="1813" t="inlineStr">
        <is>
          <t xml:space="preserve"> Verga/contraverga de concreto, moldada in loco</t>
        </is>
      </c>
      <c r="F76" s="1810" t="inlineStr">
        <is>
          <t>m</t>
        </is>
      </c>
      <c r="G76" s="1810" t="n">
        <v>1126.07</v>
      </c>
      <c r="H76" s="1812" t="n">
        <v>43.712512</v>
      </c>
      <c r="I76" s="1812" t="n">
        <v>49223.34838783999</v>
      </c>
      <c r="J76" s="2127" t="n">
        <v>0.002266390936344706</v>
      </c>
      <c r="K76" s="1810" t="inlineStr"/>
    </row>
    <row r="77" ht="25.5" customHeight="1">
      <c r="A77" s="1809" t="inlineStr">
        <is>
          <t>1.4.3.2</t>
        </is>
      </c>
      <c r="B77" s="1808" t="inlineStr">
        <is>
          <t>Thozen - Electra</t>
        </is>
      </c>
      <c r="C77" s="1807" t="inlineStr">
        <is>
          <t>COMPOSICAO</t>
        </is>
      </c>
      <c r="D77" s="1807" t="inlineStr">
        <is>
          <t>4828</t>
        </is>
      </c>
      <c r="E77" s="1806" t="inlineStr">
        <is>
          <t xml:space="preserve"> Encunhamento de alvenaria de vedação com argamassa expansiva</t>
        </is>
      </c>
      <c r="F77" s="1803" t="inlineStr">
        <is>
          <t>m</t>
        </is>
      </c>
      <c r="G77" s="1803" t="n">
        <v>54949.59</v>
      </c>
      <c r="H77" s="1805" t="n">
        <v>3.633798</v>
      </c>
      <c r="I77" s="1805" t="n">
        <v>199675.71024282</v>
      </c>
      <c r="J77" s="2128" t="n">
        <v>0.009193669970129747</v>
      </c>
      <c r="K77" s="1803" t="inlineStr"/>
    </row>
    <row r="78" ht="25.5" customHeight="1">
      <c r="A78" s="1816" t="inlineStr">
        <is>
          <t>1.4.3.3</t>
        </is>
      </c>
      <c r="B78" s="1815" t="inlineStr">
        <is>
          <t>Thozen - Electra</t>
        </is>
      </c>
      <c r="C78" s="1814" t="inlineStr">
        <is>
          <t>COMPOSICAO</t>
        </is>
      </c>
      <c r="D78" s="1814" t="inlineStr">
        <is>
          <t>4829</t>
        </is>
      </c>
      <c r="E78" s="1813" t="inlineStr">
        <is>
          <t xml:space="preserve"> Tela soldada para ligação alvenaria/estrutura</t>
        </is>
      </c>
      <c r="F78" s="1810" t="inlineStr">
        <is>
          <t>m²</t>
        </is>
      </c>
      <c r="G78" s="1810" t="n">
        <v>9600.049999999999</v>
      </c>
      <c r="H78" s="1812" t="n">
        <v>1.85</v>
      </c>
      <c r="I78" s="1812" t="n">
        <v>17760.0925</v>
      </c>
      <c r="J78" s="2127" t="n">
        <v>0.0008177280495730592</v>
      </c>
      <c r="K78" s="1810" t="inlineStr"/>
    </row>
    <row r="79" ht="25.5" customHeight="1">
      <c r="A79" s="1809" t="inlineStr">
        <is>
          <t>1.4.3.4</t>
        </is>
      </c>
      <c r="B79" s="1808" t="inlineStr">
        <is>
          <t>Thozen - Electra</t>
        </is>
      </c>
      <c r="C79" s="1807" t="inlineStr">
        <is>
          <t>COMPOSICAO</t>
        </is>
      </c>
      <c r="D79" s="1807" t="inlineStr">
        <is>
          <t>4831</t>
        </is>
      </c>
      <c r="E79" s="1806" t="inlineStr">
        <is>
          <t xml:space="preserve"> Verga/contraverga de concreto, moldada in loco</t>
        </is>
      </c>
      <c r="F79" s="1803" t="inlineStr">
        <is>
          <t>m</t>
        </is>
      </c>
      <c r="G79" s="1803" t="n">
        <v>2526.52</v>
      </c>
      <c r="H79" s="1805" t="n">
        <v>43.712512</v>
      </c>
      <c r="I79" s="1805" t="n">
        <v>110440.53581824</v>
      </c>
      <c r="J79" s="2128" t="n">
        <v>0.005085014278413976</v>
      </c>
      <c r="K79" s="1803" t="inlineStr"/>
    </row>
    <row r="80">
      <c r="A80" s="222" t="inlineStr">
        <is>
          <t>1.4.4.</t>
        </is>
      </c>
      <c r="B80" s="1820" t="n"/>
      <c r="C80" s="1820" t="n"/>
      <c r="D80" s="1820" t="n"/>
      <c r="E80" s="1820" t="inlineStr">
        <is>
          <t>03.005. Mão de obra</t>
        </is>
      </c>
      <c r="F80" s="1817" t="n"/>
      <c r="G80" s="1817" t="n"/>
      <c r="H80" s="1819" t="n"/>
      <c r="I80" s="1819" t="n">
        <v>0</v>
      </c>
      <c r="J80" s="2126" t="n"/>
      <c r="K80" s="1817" t="inlineStr"/>
    </row>
    <row r="81">
      <c r="A81" s="1816" t="inlineStr">
        <is>
          <t>1.4.4.1</t>
        </is>
      </c>
      <c r="B81" s="1815" t="n"/>
      <c r="C81" s="1814" t="n"/>
      <c r="D81" s="1814" t="n"/>
      <c r="E81" s="1813" t="inlineStr">
        <is>
          <t>Mão de obra alvenaria cerâmica</t>
        </is>
      </c>
      <c r="F81" s="1810" t="inlineStr">
        <is>
          <t>m²</t>
        </is>
      </c>
      <c r="G81" s="1810" t="n">
        <v>20189.64</v>
      </c>
      <c r="H81" s="1812" t="n">
        <v>0</v>
      </c>
      <c r="I81" s="1812" t="n">
        <v>0</v>
      </c>
      <c r="J81" s="2127" t="n"/>
      <c r="K81" s="1810" t="inlineStr"/>
    </row>
    <row r="82">
      <c r="A82" s="1809" t="inlineStr">
        <is>
          <t>1.4.4.2</t>
        </is>
      </c>
      <c r="B82" s="1808" t="n"/>
      <c r="C82" s="1807" t="n"/>
      <c r="D82" s="1807" t="n"/>
      <c r="E82" s="1806" t="inlineStr">
        <is>
          <t>Mão de obra blocos sílico calcário  (Parede padrão)</t>
        </is>
      </c>
      <c r="F82" s="1803" t="inlineStr">
        <is>
          <t>m²</t>
        </is>
      </c>
      <c r="G82" s="1803" t="n">
        <v>907.65</v>
      </c>
      <c r="H82" s="1805" t="n">
        <v>0</v>
      </c>
      <c r="I82" s="1805" t="n">
        <v>0</v>
      </c>
      <c r="J82" s="2128" t="n"/>
      <c r="K82" s="1803" t="inlineStr"/>
    </row>
    <row r="83">
      <c r="A83" s="222" t="inlineStr">
        <is>
          <t>1.4.5.</t>
        </is>
      </c>
      <c r="B83" s="1820" t="n"/>
      <c r="C83" s="1820" t="n"/>
      <c r="D83" s="1820" t="n"/>
      <c r="E83" s="1820" t="inlineStr">
        <is>
          <t>Alvenaria de vedação com tijolo refratário</t>
        </is>
      </c>
      <c r="F83" s="1817" t="n"/>
      <c r="G83" s="1817" t="n"/>
      <c r="H83" s="1819" t="n"/>
      <c r="I83" s="1819" t="n">
        <v>0</v>
      </c>
      <c r="J83" s="2126" t="n"/>
      <c r="K83" s="1817" t="inlineStr"/>
    </row>
    <row r="84">
      <c r="A84" s="1816" t="inlineStr">
        <is>
          <t>1.4.5.1</t>
        </is>
      </c>
      <c r="B84" s="1815" t="n"/>
      <c r="C84" s="1814" t="n"/>
      <c r="D84" s="1814" t="n"/>
      <c r="E84" s="1813" t="inlineStr">
        <is>
          <t>TIJOLO REFRATARIO, 0,016 (Parede padrão)</t>
        </is>
      </c>
      <c r="F84" s="1810" t="inlineStr">
        <is>
          <t>m²</t>
        </is>
      </c>
      <c r="G84" s="1810" t="n">
        <v>269.16</v>
      </c>
      <c r="H84" s="1812" t="n">
        <v>0</v>
      </c>
      <c r="I84" s="1812" t="n">
        <v>0</v>
      </c>
      <c r="J84" s="2127" t="n"/>
      <c r="K84" s="1810" t="inlineStr"/>
    </row>
    <row r="85">
      <c r="A85" s="1832" t="inlineStr">
        <is>
          <t>2.</t>
        </is>
      </c>
      <c r="B85" s="1831" t="n"/>
      <c r="C85" s="1830" t="n"/>
      <c r="D85" s="1830" t="n"/>
      <c r="E85" s="1830" t="inlineStr">
        <is>
          <t>04. IMPERMEABILIZAÇÃO E TRATAMENTOS</t>
        </is>
      </c>
      <c r="F85" s="1827" t="n"/>
      <c r="G85" s="1827" t="n"/>
      <c r="H85" s="1829" t="n"/>
      <c r="I85" s="1829" t="n">
        <v>331117.5105</v>
      </c>
      <c r="J85" s="2124" t="n">
        <v>0.01524564559788481</v>
      </c>
      <c r="K85" s="1827" t="inlineStr"/>
    </row>
    <row r="86">
      <c r="A86" s="1826" t="inlineStr">
        <is>
          <t>2.1.</t>
        </is>
      </c>
      <c r="B86" s="1825" t="n"/>
      <c r="C86" s="1824" t="n"/>
      <c r="D86" s="1824" t="n"/>
      <c r="E86" s="1824" t="inlineStr">
        <is>
          <t>ARQ_Embasamento</t>
        </is>
      </c>
      <c r="F86" s="1821" t="n"/>
      <c r="G86" s="1821" t="n"/>
      <c r="H86" s="1823" t="n"/>
      <c r="I86" s="1823" t="n">
        <v>0</v>
      </c>
      <c r="J86" s="2125" t="n"/>
      <c r="K86" s="1821" t="inlineStr"/>
    </row>
    <row r="87">
      <c r="A87" s="222" t="inlineStr">
        <is>
          <t>2.1.1.</t>
        </is>
      </c>
      <c r="B87" s="1820" t="n"/>
      <c r="C87" s="1820" t="n"/>
      <c r="D87" s="1820" t="n"/>
      <c r="E87" s="1820" t="inlineStr">
        <is>
          <t>04.007. Impermeabilização de esquadrias</t>
        </is>
      </c>
      <c r="F87" s="1817" t="n"/>
      <c r="G87" s="1817" t="n"/>
      <c r="H87" s="1819" t="n"/>
      <c r="I87" s="1819" t="n">
        <v>0</v>
      </c>
      <c r="J87" s="2126" t="n"/>
      <c r="K87" s="1817" t="inlineStr"/>
    </row>
    <row r="88">
      <c r="A88" s="1809" t="inlineStr">
        <is>
          <t>2.1.1.1</t>
        </is>
      </c>
      <c r="B88" s="1808" t="n"/>
      <c r="C88" s="1807" t="n"/>
      <c r="D88" s="1807" t="n"/>
      <c r="E88" s="1806" t="inlineStr">
        <is>
          <t>Peitoril</t>
        </is>
      </c>
      <c r="F88" s="1803" t="inlineStr">
        <is>
          <t>m²</t>
        </is>
      </c>
      <c r="G88" s="1803" t="n">
        <v>84.83</v>
      </c>
      <c r="H88" s="1805" t="n">
        <v>0</v>
      </c>
      <c r="I88" s="1805" t="n">
        <v>0</v>
      </c>
      <c r="J88" s="2128" t="n"/>
      <c r="K88" s="1803" t="inlineStr"/>
    </row>
    <row r="89">
      <c r="A89" s="1826" t="inlineStr">
        <is>
          <t>2.2.</t>
        </is>
      </c>
      <c r="B89" s="1825" t="n"/>
      <c r="C89" s="1824" t="n"/>
      <c r="D89" s="1824" t="n"/>
      <c r="E89" s="1824" t="inlineStr">
        <is>
          <t>ARQ_Impermeab</t>
        </is>
      </c>
      <c r="F89" s="1821" t="n"/>
      <c r="G89" s="1821" t="n"/>
      <c r="H89" s="1823" t="n"/>
      <c r="I89" s="1823" t="n">
        <v>331117.5105</v>
      </c>
      <c r="J89" s="2125" t="n">
        <v>0.01524564559788481</v>
      </c>
      <c r="K89" s="1821" t="inlineStr"/>
    </row>
    <row r="90">
      <c r="A90" s="222" t="inlineStr">
        <is>
          <t>2.2.1.</t>
        </is>
      </c>
      <c r="B90" s="1820" t="n"/>
      <c r="C90" s="1820" t="n"/>
      <c r="D90" s="1820" t="n"/>
      <c r="E90" s="1820" t="inlineStr">
        <is>
          <t>04.004. Impermeabilização de lajes e terraços</t>
        </is>
      </c>
      <c r="F90" s="1817" t="n"/>
      <c r="G90" s="1817" t="n"/>
      <c r="H90" s="1819" t="n"/>
      <c r="I90" s="1819" t="n">
        <v>0</v>
      </c>
      <c r="J90" s="2126" t="n"/>
      <c r="K90" s="1817" t="inlineStr"/>
    </row>
    <row r="91">
      <c r="A91" s="1816" t="inlineStr">
        <is>
          <t>2.2.1.1</t>
        </is>
      </c>
      <c r="B91" s="1815" t="n"/>
      <c r="C91" s="1814" t="n"/>
      <c r="D91" s="1814" t="n"/>
      <c r="E91" s="1813" t="inlineStr">
        <is>
          <t>VERIFICAR MATERIAL TERRAÇO (Laje)</t>
        </is>
      </c>
      <c r="F91" s="1810" t="inlineStr">
        <is>
          <t>m²</t>
        </is>
      </c>
      <c r="G91" s="1810" t="n">
        <v>755.42</v>
      </c>
      <c r="H91" s="1812" t="n">
        <v>0</v>
      </c>
      <c r="I91" s="1812" t="n">
        <v>0</v>
      </c>
      <c r="J91" s="2127" t="n"/>
      <c r="K91" s="1810" t="inlineStr"/>
    </row>
    <row r="92">
      <c r="A92" s="1809" t="inlineStr">
        <is>
          <t>2.2.1.2</t>
        </is>
      </c>
      <c r="B92" s="1808" t="n"/>
      <c r="C92" s="1807" t="n"/>
      <c r="D92" s="1807" t="n"/>
      <c r="E92" s="1806" t="inlineStr">
        <is>
          <t>VERIFICAR MATERIAL   -  TERRAÇO (Parede padrão)</t>
        </is>
      </c>
      <c r="F92" s="1803" t="inlineStr">
        <is>
          <t>m²</t>
        </is>
      </c>
      <c r="G92" s="1803" t="n">
        <v>55.75</v>
      </c>
      <c r="H92" s="1805" t="n">
        <v>0</v>
      </c>
      <c r="I92" s="1805" t="n">
        <v>0</v>
      </c>
      <c r="J92" s="2128" t="n"/>
      <c r="K92" s="1803" t="inlineStr"/>
    </row>
    <row r="93">
      <c r="A93" s="222" t="inlineStr">
        <is>
          <t>2.2.2.</t>
        </is>
      </c>
      <c r="B93" s="1820" t="n"/>
      <c r="C93" s="1820" t="n"/>
      <c r="D93" s="1820" t="n"/>
      <c r="E93" s="1820" t="inlineStr">
        <is>
          <t>04.006. Impermeabilização de banheiro, cozinha e sacada</t>
        </is>
      </c>
      <c r="F93" s="1817" t="n"/>
      <c r="G93" s="1817" t="n"/>
      <c r="H93" s="1819" t="n"/>
      <c r="I93" s="1819" t="n">
        <v>331117.5105</v>
      </c>
      <c r="J93" s="2126" t="n">
        <v>0.01524564559788481</v>
      </c>
      <c r="K93" s="1817" t="inlineStr"/>
    </row>
    <row r="94" ht="25.5" customHeight="1">
      <c r="A94" s="1816" t="inlineStr">
        <is>
          <t>2.2.2.1</t>
        </is>
      </c>
      <c r="B94" s="1815" t="inlineStr">
        <is>
          <t>Thozen - Electra</t>
        </is>
      </c>
      <c r="C94" s="1814" t="inlineStr">
        <is>
          <t>COMPOSICAO</t>
        </is>
      </c>
      <c r="D94" s="1814" t="inlineStr">
        <is>
          <t>4842</t>
        </is>
      </c>
      <c r="E94" s="1813" t="inlineStr">
        <is>
          <t xml:space="preserve"> Impermeabilização com argamassa polimérica, 3 demãos</t>
        </is>
      </c>
      <c r="F94" s="1810" t="inlineStr">
        <is>
          <t>m2</t>
        </is>
      </c>
      <c r="G94" s="1810" t="n">
        <v>9140.58</v>
      </c>
      <c r="H94" s="1812" t="n">
        <v>36.225</v>
      </c>
      <c r="I94" s="1812" t="n">
        <v>331117.5105</v>
      </c>
      <c r="J94" s="2127" t="n">
        <v>0.01524564559788481</v>
      </c>
      <c r="K94" s="1810" t="inlineStr"/>
    </row>
    <row r="95">
      <c r="A95" s="222" t="inlineStr">
        <is>
          <t>2.2.3.</t>
        </is>
      </c>
      <c r="B95" s="1820" t="n"/>
      <c r="C95" s="1820" t="n"/>
      <c r="D95" s="1820" t="n"/>
      <c r="E95" s="1820" t="inlineStr">
        <is>
          <t>04.007. Impermeabilização de esquadrias</t>
        </is>
      </c>
      <c r="F95" s="1817" t="n"/>
      <c r="G95" s="1817" t="n"/>
      <c r="H95" s="1819" t="n"/>
      <c r="I95" s="1819" t="n">
        <v>0</v>
      </c>
      <c r="J95" s="2126" t="n"/>
      <c r="K95" s="1817" t="inlineStr"/>
    </row>
    <row r="96">
      <c r="A96" s="1809" t="inlineStr">
        <is>
          <t>2.2.3.1</t>
        </is>
      </c>
      <c r="B96" s="1808" t="n"/>
      <c r="C96" s="1807" t="n"/>
      <c r="D96" s="1807" t="n"/>
      <c r="E96" s="1806" t="inlineStr">
        <is>
          <t>Polímero acrílico - janela</t>
        </is>
      </c>
      <c r="F96" s="1803" t="inlineStr">
        <is>
          <t>m²</t>
        </is>
      </c>
      <c r="G96" s="1803" t="n">
        <v>582.79</v>
      </c>
      <c r="H96" s="1805" t="n">
        <v>0</v>
      </c>
      <c r="I96" s="1805" t="n">
        <v>0</v>
      </c>
      <c r="J96" s="2128" t="n"/>
      <c r="K96" s="1803" t="inlineStr"/>
    </row>
    <row r="97">
      <c r="A97" s="1826" t="inlineStr">
        <is>
          <t>2.3.</t>
        </is>
      </c>
      <c r="B97" s="1825" t="n"/>
      <c r="C97" s="1824" t="n"/>
      <c r="D97" s="1824" t="n"/>
      <c r="E97" s="1824" t="inlineStr">
        <is>
          <t>ARQ_Torre_A</t>
        </is>
      </c>
      <c r="F97" s="1821" t="n"/>
      <c r="G97" s="1821" t="n"/>
      <c r="H97" s="1823" t="n"/>
      <c r="I97" s="1823" t="n">
        <v>0</v>
      </c>
      <c r="J97" s="2125" t="n"/>
      <c r="K97" s="1821" t="inlineStr"/>
    </row>
    <row r="98">
      <c r="A98" s="222" t="inlineStr">
        <is>
          <t>2.3.1.</t>
        </is>
      </c>
      <c r="B98" s="1820" t="n"/>
      <c r="C98" s="1820" t="n"/>
      <c r="D98" s="1820" t="n"/>
      <c r="E98" s="1820" t="inlineStr">
        <is>
          <t>04.007. Impermeabilização de esquadrias</t>
        </is>
      </c>
      <c r="F98" s="1817" t="n"/>
      <c r="G98" s="1817" t="n"/>
      <c r="H98" s="1819" t="n"/>
      <c r="I98" s="1819" t="n">
        <v>0</v>
      </c>
      <c r="J98" s="2126" t="n"/>
      <c r="K98" s="1817" t="inlineStr"/>
    </row>
    <row r="99">
      <c r="A99" s="1816" t="inlineStr">
        <is>
          <t>2.3.1.1</t>
        </is>
      </c>
      <c r="B99" s="1815" t="n"/>
      <c r="C99" s="1814" t="n"/>
      <c r="D99" s="1814" t="n"/>
      <c r="E99" s="1813" t="inlineStr">
        <is>
          <t>Peitoril</t>
        </is>
      </c>
      <c r="F99" s="1810" t="inlineStr">
        <is>
          <t>m²</t>
        </is>
      </c>
      <c r="G99" s="1810" t="n">
        <v>252.2</v>
      </c>
      <c r="H99" s="1812" t="n">
        <v>0</v>
      </c>
      <c r="I99" s="1812" t="n">
        <v>0</v>
      </c>
      <c r="J99" s="2127" t="n"/>
      <c r="K99" s="1810" t="inlineStr"/>
    </row>
    <row r="100">
      <c r="A100" s="1826" t="inlineStr">
        <is>
          <t>2.4.</t>
        </is>
      </c>
      <c r="B100" s="1825" t="n"/>
      <c r="C100" s="1824" t="n"/>
      <c r="D100" s="1824" t="n"/>
      <c r="E100" s="1824" t="inlineStr">
        <is>
          <t>ARQ_Torre_B</t>
        </is>
      </c>
      <c r="F100" s="1821" t="n"/>
      <c r="G100" s="1821" t="n"/>
      <c r="H100" s="1823" t="n"/>
      <c r="I100" s="1823" t="n">
        <v>0</v>
      </c>
      <c r="J100" s="2125" t="n"/>
      <c r="K100" s="1821" t="inlineStr"/>
    </row>
    <row r="101">
      <c r="A101" s="222" t="inlineStr">
        <is>
          <t>2.4.1.</t>
        </is>
      </c>
      <c r="B101" s="1820" t="n"/>
      <c r="C101" s="1820" t="n"/>
      <c r="D101" s="1820" t="n"/>
      <c r="E101" s="1820" t="inlineStr">
        <is>
          <t>04.007. Impermeabilização de esquadrias</t>
        </is>
      </c>
      <c r="F101" s="1817" t="n"/>
      <c r="G101" s="1817" t="n"/>
      <c r="H101" s="1819" t="n"/>
      <c r="I101" s="1819" t="n">
        <v>0</v>
      </c>
      <c r="J101" s="2126" t="n"/>
      <c r="K101" s="1817" t="inlineStr"/>
    </row>
    <row r="102">
      <c r="A102" s="1809" t="inlineStr">
        <is>
          <t>2.4.1.1</t>
        </is>
      </c>
      <c r="B102" s="1808" t="n"/>
      <c r="C102" s="1807" t="n"/>
      <c r="D102" s="1807" t="n"/>
      <c r="E102" s="1806" t="inlineStr">
        <is>
          <t>Peitoril</t>
        </is>
      </c>
      <c r="F102" s="1803" t="inlineStr">
        <is>
          <t>m²</t>
        </is>
      </c>
      <c r="G102" s="1803" t="n">
        <v>234.85</v>
      </c>
      <c r="H102" s="1805" t="n">
        <v>0</v>
      </c>
      <c r="I102" s="1805" t="n">
        <v>0</v>
      </c>
      <c r="J102" s="2128" t="n"/>
      <c r="K102" s="1803" t="inlineStr"/>
    </row>
    <row r="103">
      <c r="A103" s="1832" t="inlineStr">
        <is>
          <t>3.</t>
        </is>
      </c>
      <c r="B103" s="1831" t="n"/>
      <c r="C103" s="1830" t="n"/>
      <c r="D103" s="1830" t="n"/>
      <c r="E103" s="1830" t="inlineStr">
        <is>
          <t>12. REVESTIMENTOS ARGAMASSADOS INTERNOS DE PAREDE</t>
        </is>
      </c>
      <c r="F103" s="1827" t="n"/>
      <c r="G103" s="1827" t="n"/>
      <c r="H103" s="1829" t="n"/>
      <c r="I103" s="1829" t="n">
        <v>4588051.866450001</v>
      </c>
      <c r="J103" s="2124" t="n">
        <v>0.211247700657651</v>
      </c>
      <c r="K103" s="1827" t="inlineStr"/>
    </row>
    <row r="104">
      <c r="A104" s="1826" t="inlineStr">
        <is>
          <t>3.1.</t>
        </is>
      </c>
      <c r="B104" s="1825" t="n"/>
      <c r="C104" s="1824" t="n"/>
      <c r="D104" s="1824" t="n"/>
      <c r="E104" s="1824" t="inlineStr">
        <is>
          <t>ARQ_Embasamento</t>
        </is>
      </c>
      <c r="F104" s="1821" t="n"/>
      <c r="G104" s="1821" t="n"/>
      <c r="H104" s="1823" t="n"/>
      <c r="I104" s="1823" t="n">
        <v>729384.80223</v>
      </c>
      <c r="J104" s="2125" t="n">
        <v>0.03358306899109729</v>
      </c>
      <c r="K104" s="1821" t="inlineStr"/>
    </row>
    <row r="105">
      <c r="A105" s="222" t="inlineStr">
        <is>
          <t>3.1.1.</t>
        </is>
      </c>
      <c r="B105" s="1820" t="n"/>
      <c r="C105" s="1820" t="n"/>
      <c r="D105" s="1820" t="n"/>
      <c r="E105" s="1820" t="inlineStr">
        <is>
          <t>12.001. Reboco interno</t>
        </is>
      </c>
      <c r="F105" s="1817" t="n"/>
      <c r="G105" s="1817" t="n"/>
      <c r="H105" s="1819" t="n"/>
      <c r="I105" s="1819" t="n">
        <v>291649.25223</v>
      </c>
      <c r="J105" s="2126" t="n">
        <v>0.01342840833658266</v>
      </c>
      <c r="K105" s="1817" t="inlineStr"/>
    </row>
    <row r="106" ht="25.5" customHeight="1">
      <c r="A106" s="1816" t="inlineStr">
        <is>
          <t>3.1.1.1</t>
        </is>
      </c>
      <c r="B106" s="1815" t="inlineStr">
        <is>
          <t>Thozen - Electra</t>
        </is>
      </c>
      <c r="C106" s="1814" t="inlineStr">
        <is>
          <t>COMPOSICAO</t>
        </is>
      </c>
      <c r="D106" s="1814" t="inlineStr">
        <is>
          <t>90541</t>
        </is>
      </c>
      <c r="E106" s="1813" t="inlineStr">
        <is>
          <t>Chapisco adesivo aplicado em concreto, com desempenadeira dentada</t>
        </is>
      </c>
      <c r="F106" s="1810" t="inlineStr">
        <is>
          <t>m2</t>
        </is>
      </c>
      <c r="G106" s="1810" t="n">
        <v>5164.25</v>
      </c>
      <c r="H106" s="1812" t="n">
        <v>6.459</v>
      </c>
      <c r="I106" s="1812" t="n">
        <v>33355.89075</v>
      </c>
      <c r="J106" s="2127" t="n">
        <v>0.001535805485515886</v>
      </c>
      <c r="K106" s="1810" t="inlineStr"/>
    </row>
    <row r="107" ht="25.5" customHeight="1">
      <c r="A107" s="1809" t="inlineStr">
        <is>
          <t>3.1.1.2</t>
        </is>
      </c>
      <c r="B107" s="1808" t="inlineStr">
        <is>
          <t>Thozen - Electra</t>
        </is>
      </c>
      <c r="C107" s="1807" t="inlineStr">
        <is>
          <t>COMPOSICAO</t>
        </is>
      </c>
      <c r="D107" s="1807" t="inlineStr">
        <is>
          <t>90507</t>
        </is>
      </c>
      <c r="E107" s="1806" t="inlineStr">
        <is>
          <t>Chapisco rolado aplicado em alvenaria, com desempenadeira dentada</t>
        </is>
      </c>
      <c r="F107" s="1803" t="inlineStr">
        <is>
          <t>m2</t>
        </is>
      </c>
      <c r="G107" s="1803" t="n">
        <v>7010.14</v>
      </c>
      <c r="H107" s="1805" t="n">
        <v>5.502</v>
      </c>
      <c r="I107" s="1805" t="n">
        <v>38569.79028</v>
      </c>
      <c r="J107" s="2128" t="n">
        <v>0.001775869094043645</v>
      </c>
      <c r="K107" s="1803" t="inlineStr"/>
    </row>
    <row r="108" ht="25.5" customHeight="1">
      <c r="A108" s="1816" t="inlineStr">
        <is>
          <t>3.1.1.3</t>
        </is>
      </c>
      <c r="B108" s="1815" t="inlineStr">
        <is>
          <t>Thozen - Electra</t>
        </is>
      </c>
      <c r="C108" s="1814" t="inlineStr">
        <is>
          <t>COMPOSICAO</t>
        </is>
      </c>
      <c r="D108" s="1814" t="inlineStr">
        <is>
          <t>4861</t>
        </is>
      </c>
      <c r="E108" s="1813" t="inlineStr">
        <is>
          <t xml:space="preserve"> Massa única para paredes internas em argamassa estabilizada, aplicação manual, espessura 2cm, com execução de taliscas</t>
        </is>
      </c>
      <c r="F108" s="1810" t="inlineStr">
        <is>
          <t>m2</t>
        </is>
      </c>
      <c r="G108" s="1810" t="n">
        <v>12174.4</v>
      </c>
      <c r="H108" s="1812" t="n">
        <v>18.048</v>
      </c>
      <c r="I108" s="1812" t="n">
        <v>219723.5712</v>
      </c>
      <c r="J108" s="2127" t="n">
        <v>0.01011673375702312</v>
      </c>
      <c r="K108" s="1810" t="inlineStr"/>
    </row>
    <row r="109">
      <c r="A109" s="222" t="inlineStr">
        <is>
          <t>3.1.2.</t>
        </is>
      </c>
      <c r="B109" s="1820" t="n"/>
      <c r="C109" s="1820" t="n"/>
      <c r="D109" s="1820" t="n"/>
      <c r="E109" s="1820" t="inlineStr">
        <is>
          <t>12.004. Mão de obra</t>
        </is>
      </c>
      <c r="F109" s="1817" t="n"/>
      <c r="G109" s="1817" t="n"/>
      <c r="H109" s="1819" t="n"/>
      <c r="I109" s="1819" t="n">
        <v>437735.55</v>
      </c>
      <c r="J109" s="2126" t="n">
        <v>0.02015466065451463</v>
      </c>
      <c r="K109" s="1817" t="inlineStr"/>
    </row>
    <row r="110" ht="25.5" customHeight="1">
      <c r="A110" s="1809" t="inlineStr">
        <is>
          <t>3.1.2.1</t>
        </is>
      </c>
      <c r="B110" s="1808" t="inlineStr">
        <is>
          <t>Thozen - Electra</t>
        </is>
      </c>
      <c r="C110" s="1807" t="inlineStr">
        <is>
          <t>COMPOSICAO</t>
        </is>
      </c>
      <c r="D110" s="1807" t="inlineStr">
        <is>
          <t>4865</t>
        </is>
      </c>
      <c r="E110" s="1806" t="inlineStr">
        <is>
          <t xml:space="preserve"> Mão de obra para reboco interno, incluso chapisco</t>
        </is>
      </c>
      <c r="F110" s="1803" t="inlineStr">
        <is>
          <t>m2</t>
        </is>
      </c>
      <c r="G110" s="1803" t="n">
        <v>12506.73</v>
      </c>
      <c r="H110" s="1805" t="n">
        <v>35</v>
      </c>
      <c r="I110" s="1805" t="n">
        <v>437735.55</v>
      </c>
      <c r="J110" s="2128" t="n">
        <v>0.02015466065451463</v>
      </c>
      <c r="K110" s="1803" t="inlineStr"/>
    </row>
    <row r="111">
      <c r="A111" s="222" t="inlineStr">
        <is>
          <t>3.1.3.</t>
        </is>
      </c>
      <c r="B111" s="1820" t="n"/>
      <c r="C111" s="1820" t="n"/>
      <c r="D111" s="1820" t="n"/>
      <c r="E111" s="1820" t="inlineStr">
        <is>
          <t>Revestimento Argamassado Interno em parede (a definir)</t>
        </is>
      </c>
      <c r="F111" s="1817" t="n"/>
      <c r="G111" s="1817" t="n"/>
      <c r="H111" s="1819" t="n"/>
      <c r="I111" s="1819" t="n">
        <v>0</v>
      </c>
      <c r="J111" s="2126" t="n"/>
      <c r="K111" s="1817" t="inlineStr"/>
    </row>
    <row r="112">
      <c r="A112" s="1816" t="inlineStr">
        <is>
          <t>3.1.3.1</t>
        </is>
      </c>
      <c r="B112" s="1815" t="n"/>
      <c r="C112" s="1814" t="n"/>
      <c r="D112" s="1814" t="n"/>
      <c r="E112" s="1813" t="inlineStr">
        <is>
          <t>50_PAINEL 7cm  -  PAINEL A DEFINIR,  (Parede padrão)</t>
        </is>
      </c>
      <c r="F112" s="1810" t="inlineStr">
        <is>
          <t>m²</t>
        </is>
      </c>
      <c r="G112" s="1810" t="n">
        <v>721.02</v>
      </c>
      <c r="H112" s="1812" t="n">
        <v>0</v>
      </c>
      <c r="I112" s="1812" t="n">
        <v>0</v>
      </c>
      <c r="J112" s="2127" t="n"/>
      <c r="K112" s="1810" t="inlineStr"/>
    </row>
    <row r="113">
      <c r="A113" s="1809" t="inlineStr">
        <is>
          <t>3.1.3.2</t>
        </is>
      </c>
      <c r="B113" s="1808" t="n"/>
      <c r="C113" s="1807" t="n"/>
      <c r="D113" s="1807" t="n"/>
      <c r="E113" s="1806" t="inlineStr">
        <is>
          <t>55_BRISE 10cm  -  BRISE A DEFINIR,  (Parede padrão)</t>
        </is>
      </c>
      <c r="F113" s="1803" t="inlineStr">
        <is>
          <t>m²</t>
        </is>
      </c>
      <c r="G113" s="1803" t="n">
        <v>7.43</v>
      </c>
      <c r="H113" s="1805" t="n">
        <v>0</v>
      </c>
      <c r="I113" s="1805" t="n">
        <v>0</v>
      </c>
      <c r="J113" s="2128" t="n"/>
      <c r="K113" s="1803" t="inlineStr"/>
    </row>
    <row r="114" ht="25.5" customHeight="1">
      <c r="A114" s="1816" t="inlineStr">
        <is>
          <t>3.1.3.3</t>
        </is>
      </c>
      <c r="B114" s="1815" t="n"/>
      <c r="C114" s="1814" t="n"/>
      <c r="D114" s="1814" t="n"/>
      <c r="E114" s="1813" t="inlineStr">
        <is>
          <t>56_BRISE AMADEIRADO 2 cm  -  BRISE AMADEIRADO A DEFINIR,  (Parede padrão)</t>
        </is>
      </c>
      <c r="F114" s="1810" t="inlineStr">
        <is>
          <t>m²</t>
        </is>
      </c>
      <c r="G114" s="1810" t="n">
        <v>721.54</v>
      </c>
      <c r="H114" s="1812" t="n">
        <v>0</v>
      </c>
      <c r="I114" s="1812" t="n">
        <v>0</v>
      </c>
      <c r="J114" s="2127" t="n"/>
      <c r="K114" s="1810" t="inlineStr"/>
    </row>
    <row r="115">
      <c r="A115" s="1809" t="inlineStr">
        <is>
          <t>3.1.3.4</t>
        </is>
      </c>
      <c r="B115" s="1808" t="n"/>
      <c r="C115" s="1807" t="n"/>
      <c r="D115" s="1807" t="n"/>
      <c r="E115" s="1806" t="inlineStr">
        <is>
          <t>56_BRISE METALICO 2 cm  -  BRISE METALICO A DEFINIR,  (Parede padrão)</t>
        </is>
      </c>
      <c r="F115" s="1803" t="inlineStr">
        <is>
          <t>m²</t>
        </is>
      </c>
      <c r="G115" s="1803" t="n">
        <v>182.44</v>
      </c>
      <c r="H115" s="1805" t="n">
        <v>0</v>
      </c>
      <c r="I115" s="1805" t="n">
        <v>0</v>
      </c>
      <c r="J115" s="2128" t="n"/>
      <c r="K115" s="1803" t="inlineStr"/>
    </row>
    <row r="116" ht="25.5" customHeight="1">
      <c r="A116" s="1816" t="inlineStr">
        <is>
          <t>3.1.3.5</t>
        </is>
      </c>
      <c r="B116" s="1815" t="n"/>
      <c r="C116" s="1814" t="n"/>
      <c r="D116" s="1814" t="n"/>
      <c r="E116" s="1813" t="inlineStr">
        <is>
          <t>RODAPÉ - AREA TECNICA - LAZER  -  RODAPE A DEFINIR - Xcm,  (Parede padrão)</t>
        </is>
      </c>
      <c r="F116" s="1810" t="inlineStr">
        <is>
          <t>m²</t>
        </is>
      </c>
      <c r="G116" s="1810" t="n">
        <v>0.59</v>
      </c>
      <c r="H116" s="1812" t="n">
        <v>0</v>
      </c>
      <c r="I116" s="1812" t="n">
        <v>0</v>
      </c>
      <c r="J116" s="2127" t="n"/>
      <c r="K116" s="1810" t="inlineStr"/>
    </row>
    <row r="117">
      <c r="A117" s="1826" t="inlineStr">
        <is>
          <t>3.2.</t>
        </is>
      </c>
      <c r="B117" s="1825" t="n"/>
      <c r="C117" s="1824" t="n"/>
      <c r="D117" s="1824" t="n"/>
      <c r="E117" s="1824" t="inlineStr">
        <is>
          <t>ARQ_Torre_A</t>
        </is>
      </c>
      <c r="F117" s="1821" t="n"/>
      <c r="G117" s="1821" t="n"/>
      <c r="H117" s="1823" t="n"/>
      <c r="I117" s="1823" t="n">
        <v>2009978.076</v>
      </c>
      <c r="J117" s="2125" t="n">
        <v>0.09254543306979343</v>
      </c>
      <c r="K117" s="1821" t="inlineStr"/>
    </row>
    <row r="118">
      <c r="A118" s="222" t="inlineStr">
        <is>
          <t>3.2.1.</t>
        </is>
      </c>
      <c r="B118" s="1820" t="n"/>
      <c r="C118" s="1820" t="n"/>
      <c r="D118" s="1820" t="n"/>
      <c r="E118" s="1820" t="inlineStr">
        <is>
          <t>12.001. Reboco interno</t>
        </is>
      </c>
      <c r="F118" s="1817" t="n"/>
      <c r="G118" s="1817" t="n"/>
      <c r="H118" s="1819" t="n"/>
      <c r="I118" s="1819" t="n">
        <v>784835.9759999999</v>
      </c>
      <c r="J118" s="2126" t="n">
        <v>0.03613620773029466</v>
      </c>
      <c r="K118" s="1817" t="inlineStr"/>
    </row>
    <row r="119" ht="25.5" customHeight="1">
      <c r="A119" s="1809" t="inlineStr">
        <is>
          <t>3.2.1.1</t>
        </is>
      </c>
      <c r="B119" s="1808" t="inlineStr">
        <is>
          <t>Thozen - Electra</t>
        </is>
      </c>
      <c r="C119" s="1807" t="inlineStr">
        <is>
          <t>COMPOSICAO</t>
        </is>
      </c>
      <c r="D119" s="1807" t="inlineStr">
        <is>
          <t>90541</t>
        </is>
      </c>
      <c r="E119" s="1806" t="inlineStr">
        <is>
          <t>Chapisco adesivo aplicado em concreto, com desempenadeira dentada</t>
        </is>
      </c>
      <c r="F119" s="1803" t="inlineStr">
        <is>
          <t>m2</t>
        </is>
      </c>
      <c r="G119" s="1803" t="n">
        <v>5257</v>
      </c>
      <c r="H119" s="1805" t="n">
        <v>6.459</v>
      </c>
      <c r="I119" s="1805" t="n">
        <v>33954.963</v>
      </c>
      <c r="J119" s="2128" t="n">
        <v>0.001563388572853176</v>
      </c>
      <c r="K119" s="1803" t="inlineStr"/>
    </row>
    <row r="120" ht="25.5" customHeight="1">
      <c r="A120" s="1816" t="inlineStr">
        <is>
          <t>3.2.1.2</t>
        </is>
      </c>
      <c r="B120" s="1815" t="inlineStr">
        <is>
          <t>Thozen - Electra</t>
        </is>
      </c>
      <c r="C120" s="1814" t="inlineStr">
        <is>
          <t>COMPOSICAO</t>
        </is>
      </c>
      <c r="D120" s="1814" t="inlineStr">
        <is>
          <t>90507</t>
        </is>
      </c>
      <c r="E120" s="1813" t="inlineStr">
        <is>
          <t>Chapisco rolado aplicado em alvenaria, com desempenadeira dentada</t>
        </is>
      </c>
      <c r="F120" s="1810" t="inlineStr">
        <is>
          <t>m2</t>
        </is>
      </c>
      <c r="G120" s="1810" t="n">
        <v>27855.74</v>
      </c>
      <c r="H120" s="1812" t="n">
        <v>5.502</v>
      </c>
      <c r="I120" s="1812" t="n">
        <v>153262.28148</v>
      </c>
      <c r="J120" s="2127" t="n">
        <v>0.007056656180577754</v>
      </c>
      <c r="K120" s="1810" t="inlineStr"/>
    </row>
    <row r="121" ht="25.5" customHeight="1">
      <c r="A121" s="1809" t="inlineStr">
        <is>
          <t>3.2.1.3</t>
        </is>
      </c>
      <c r="B121" s="1808" t="inlineStr">
        <is>
          <t>Thozen - Electra</t>
        </is>
      </c>
      <c r="C121" s="1807" t="inlineStr">
        <is>
          <t>COMPOSICAO</t>
        </is>
      </c>
      <c r="D121" s="1807" t="inlineStr">
        <is>
          <t>4861</t>
        </is>
      </c>
      <c r="E121" s="1806" t="inlineStr">
        <is>
          <t xml:space="preserve"> Massa única para paredes internas em argamassa estabilizada, aplicação manual, espessura 2cm, com execução de taliscas</t>
        </is>
      </c>
      <c r="F121" s="1803" t="inlineStr">
        <is>
          <t>m2</t>
        </is>
      </c>
      <c r="G121" s="1803" t="n">
        <v>33112.74</v>
      </c>
      <c r="H121" s="1805" t="n">
        <v>18.048</v>
      </c>
      <c r="I121" s="1805" t="n">
        <v>597618.7315199999</v>
      </c>
      <c r="J121" s="2128" t="n">
        <v>0.02751616297686374</v>
      </c>
      <c r="K121" s="1803" t="inlineStr"/>
    </row>
    <row r="122">
      <c r="A122" s="222" t="inlineStr">
        <is>
          <t>3.2.2.</t>
        </is>
      </c>
      <c r="B122" s="1820" t="n"/>
      <c r="C122" s="1820" t="n"/>
      <c r="D122" s="1820" t="n"/>
      <c r="E122" s="1820" t="inlineStr">
        <is>
          <t>12.004. Mão de obra</t>
        </is>
      </c>
      <c r="F122" s="1817" t="n"/>
      <c r="G122" s="1817" t="n"/>
      <c r="H122" s="1819" t="n"/>
      <c r="I122" s="1819" t="n">
        <v>1225142.1</v>
      </c>
      <c r="J122" s="2126" t="n">
        <v>0.05640922533949876</v>
      </c>
      <c r="K122" s="1817" t="inlineStr"/>
    </row>
    <row r="123" ht="25.5" customHeight="1">
      <c r="A123" s="1816" t="inlineStr">
        <is>
          <t>3.2.2.1</t>
        </is>
      </c>
      <c r="B123" s="1815" t="inlineStr">
        <is>
          <t>Thozen - Electra</t>
        </is>
      </c>
      <c r="C123" s="1814" t="inlineStr">
        <is>
          <t>COMPOSICAO</t>
        </is>
      </c>
      <c r="D123" s="1814" t="inlineStr">
        <is>
          <t>4865</t>
        </is>
      </c>
      <c r="E123" s="1813" t="inlineStr">
        <is>
          <t xml:space="preserve"> Mão de obra para reboco interno, incluso chapisco</t>
        </is>
      </c>
      <c r="F123" s="1810" t="inlineStr">
        <is>
          <t>m2</t>
        </is>
      </c>
      <c r="G123" s="1810" t="n">
        <v>35004.06</v>
      </c>
      <c r="H123" s="1812" t="n">
        <v>35</v>
      </c>
      <c r="I123" s="1812" t="n">
        <v>1225142.1</v>
      </c>
      <c r="J123" s="2127" t="n">
        <v>0.05640922533949876</v>
      </c>
      <c r="K123" s="1810" t="inlineStr"/>
    </row>
    <row r="124">
      <c r="A124" s="1826" t="inlineStr">
        <is>
          <t>3.3.</t>
        </is>
      </c>
      <c r="B124" s="1825" t="n"/>
      <c r="C124" s="1824" t="n"/>
      <c r="D124" s="1824" t="n"/>
      <c r="E124" s="1824" t="inlineStr">
        <is>
          <t>ARQ_Torre_B</t>
        </is>
      </c>
      <c r="F124" s="1821" t="n"/>
      <c r="G124" s="1821" t="n"/>
      <c r="H124" s="1823" t="n"/>
      <c r="I124" s="1823" t="n">
        <v>1848688.98822</v>
      </c>
      <c r="J124" s="2125" t="n">
        <v>0.0851191985967603</v>
      </c>
      <c r="K124" s="1821" t="inlineStr"/>
    </row>
    <row r="125">
      <c r="A125" s="222" t="inlineStr">
        <is>
          <t>3.3.1.</t>
        </is>
      </c>
      <c r="B125" s="1820" t="n"/>
      <c r="C125" s="1820" t="n"/>
      <c r="D125" s="1820" t="n"/>
      <c r="E125" s="1820" t="inlineStr">
        <is>
          <t>12.001. Reboco interno</t>
        </is>
      </c>
      <c r="F125" s="1817" t="n"/>
      <c r="G125" s="1817" t="n"/>
      <c r="H125" s="1819" t="n"/>
      <c r="I125" s="1819" t="n">
        <v>719710.08822</v>
      </c>
      <c r="J125" s="2126" t="n">
        <v>0.03313761607368853</v>
      </c>
      <c r="K125" s="1817" t="inlineStr"/>
    </row>
    <row r="126" ht="25.5" customHeight="1">
      <c r="A126" s="1809" t="inlineStr">
        <is>
          <t>3.3.1.1</t>
        </is>
      </c>
      <c r="B126" s="1808" t="inlineStr">
        <is>
          <t>Thozen - Electra</t>
        </is>
      </c>
      <c r="C126" s="1807" t="inlineStr">
        <is>
          <t>COMPOSICAO</t>
        </is>
      </c>
      <c r="D126" s="1807" t="inlineStr">
        <is>
          <t>90541</t>
        </is>
      </c>
      <c r="E126" s="1806" t="inlineStr">
        <is>
          <t>Chapisco adesivo aplicado em concreto, com desempenadeira dentada</t>
        </is>
      </c>
      <c r="F126" s="1803" t="inlineStr">
        <is>
          <t>m2</t>
        </is>
      </c>
      <c r="G126" s="1803" t="n">
        <v>4960.46</v>
      </c>
      <c r="H126" s="1805" t="n">
        <v>6.459</v>
      </c>
      <c r="I126" s="1805" t="n">
        <v>32039.61114</v>
      </c>
      <c r="J126" s="2128" t="n">
        <v>0.001475200015235926</v>
      </c>
      <c r="K126" s="1803" t="inlineStr"/>
    </row>
    <row r="127" ht="25.5" customHeight="1">
      <c r="A127" s="1816" t="inlineStr">
        <is>
          <t>3.3.1.2</t>
        </is>
      </c>
      <c r="B127" s="1815" t="inlineStr">
        <is>
          <t>Thozen - Electra</t>
        </is>
      </c>
      <c r="C127" s="1814" t="inlineStr">
        <is>
          <t>COMPOSICAO</t>
        </is>
      </c>
      <c r="D127" s="1814" t="inlineStr">
        <is>
          <t>90507</t>
        </is>
      </c>
      <c r="E127" s="1813" t="inlineStr">
        <is>
          <t>Chapisco rolado aplicado em alvenaria, com desempenadeira dentada</t>
        </is>
      </c>
      <c r="F127" s="1810" t="inlineStr">
        <is>
          <t>m2</t>
        </is>
      </c>
      <c r="G127" s="1810" t="n">
        <v>25398.9</v>
      </c>
      <c r="H127" s="1812" t="n">
        <v>5.502</v>
      </c>
      <c r="I127" s="1812" t="n">
        <v>139744.7478</v>
      </c>
      <c r="J127" s="2127" t="n">
        <v>0.006434268293173196</v>
      </c>
      <c r="K127" s="1810" t="inlineStr"/>
    </row>
    <row r="128" ht="25.5" customHeight="1">
      <c r="A128" s="1809" t="inlineStr">
        <is>
          <t>3.3.1.3</t>
        </is>
      </c>
      <c r="B128" s="1808" t="inlineStr">
        <is>
          <t>Thozen - Electra</t>
        </is>
      </c>
      <c r="C128" s="1807" t="inlineStr">
        <is>
          <t>COMPOSICAO</t>
        </is>
      </c>
      <c r="D128" s="1807" t="inlineStr">
        <is>
          <t>4861</t>
        </is>
      </c>
      <c r="E128" s="1806" t="inlineStr">
        <is>
          <t xml:space="preserve"> Massa única para paredes internas em argamassa estabilizada, aplicação manual, espessura 2cm, com execução de taliscas</t>
        </is>
      </c>
      <c r="F128" s="1803" t="inlineStr">
        <is>
          <t>m2</t>
        </is>
      </c>
      <c r="G128" s="1803" t="n">
        <v>30359.36</v>
      </c>
      <c r="H128" s="1805" t="n">
        <v>18.048</v>
      </c>
      <c r="I128" s="1805" t="n">
        <v>547925.72928</v>
      </c>
      <c r="J128" s="2128" t="n">
        <v>0.0252281477652794</v>
      </c>
      <c r="K128" s="1803" t="inlineStr"/>
    </row>
    <row r="129">
      <c r="A129" s="222" t="inlineStr">
        <is>
          <t>3.3.2.</t>
        </is>
      </c>
      <c r="B129" s="1820" t="n"/>
      <c r="C129" s="1820" t="n"/>
      <c r="D129" s="1820" t="n"/>
      <c r="E129" s="1820" t="inlineStr">
        <is>
          <t>12.004. Mão de obra</t>
        </is>
      </c>
      <c r="F129" s="1817" t="n"/>
      <c r="G129" s="1817" t="n"/>
      <c r="H129" s="1819" t="n"/>
      <c r="I129" s="1819" t="n">
        <v>1128978.9</v>
      </c>
      <c r="J129" s="2126" t="n">
        <v>0.05198158252307177</v>
      </c>
      <c r="K129" s="1817" t="inlineStr"/>
    </row>
    <row r="130" ht="25.5" customHeight="1">
      <c r="A130" s="1816" t="inlineStr">
        <is>
          <t>3.3.2.1</t>
        </is>
      </c>
      <c r="B130" s="1815" t="inlineStr">
        <is>
          <t>Thozen - Electra</t>
        </is>
      </c>
      <c r="C130" s="1814" t="inlineStr">
        <is>
          <t>COMPOSICAO</t>
        </is>
      </c>
      <c r="D130" s="1814" t="inlineStr">
        <is>
          <t>4865</t>
        </is>
      </c>
      <c r="E130" s="1813" t="inlineStr">
        <is>
          <t xml:space="preserve"> Mão de obra para reboco interno, incluso chapisco</t>
        </is>
      </c>
      <c r="F130" s="1810" t="inlineStr">
        <is>
          <t>m2</t>
        </is>
      </c>
      <c r="G130" s="1810" t="n">
        <v>32256.54</v>
      </c>
      <c r="H130" s="1812" t="n">
        <v>35</v>
      </c>
      <c r="I130" s="1812" t="n">
        <v>1128978.9</v>
      </c>
      <c r="J130" s="2127" t="n">
        <v>0.05198158252307177</v>
      </c>
      <c r="K130" s="1810" t="inlineStr"/>
    </row>
    <row r="131">
      <c r="A131" s="1832" t="inlineStr">
        <is>
          <t>4.</t>
        </is>
      </c>
      <c r="B131" s="1831" t="n"/>
      <c r="C131" s="1830" t="n"/>
      <c r="D131" s="1830" t="n"/>
      <c r="E131" s="1830" t="inlineStr">
        <is>
          <t>13. ACABAMENTOS INTERNOS DE PAREDE</t>
        </is>
      </c>
      <c r="F131" s="1827" t="n"/>
      <c r="G131" s="1827" t="n"/>
      <c r="H131" s="1829" t="n"/>
      <c r="I131" s="1829" t="n">
        <v>1366321.61559025</v>
      </c>
      <c r="J131" s="2124" t="n">
        <v>0.062909554654973</v>
      </c>
      <c r="K131" s="1827" t="inlineStr"/>
    </row>
    <row r="132">
      <c r="A132" s="1826" t="inlineStr">
        <is>
          <t>4.1.</t>
        </is>
      </c>
      <c r="B132" s="1825" t="n"/>
      <c r="C132" s="1824" t="n"/>
      <c r="D132" s="1824" t="n"/>
      <c r="E132" s="1824" t="inlineStr">
        <is>
          <t>ARQ_Embasamento</t>
        </is>
      </c>
      <c r="F132" s="1821" t="n"/>
      <c r="G132" s="1821" t="n"/>
      <c r="H132" s="1823" t="n"/>
      <c r="I132" s="1823" t="n">
        <v>212682.684302</v>
      </c>
      <c r="J132" s="2125" t="n">
        <v>0.009792550157733533</v>
      </c>
      <c r="K132" s="1821" t="inlineStr"/>
    </row>
    <row r="133">
      <c r="A133" s="222" t="inlineStr">
        <is>
          <t>4.1.1.</t>
        </is>
      </c>
      <c r="B133" s="1820" t="n"/>
      <c r="C133" s="1820" t="n"/>
      <c r="D133" s="1820" t="n"/>
      <c r="E133" s="1820" t="inlineStr">
        <is>
          <t>13.001. Acabamentos cerâmicos</t>
        </is>
      </c>
      <c r="F133" s="1817" t="n"/>
      <c r="G133" s="1817" t="n"/>
      <c r="H133" s="1819" t="n"/>
      <c r="I133" s="1819" t="n">
        <v>12124.198533</v>
      </c>
      <c r="J133" s="2126" t="n">
        <v>0.0005582345485546675</v>
      </c>
      <c r="K133" s="1817" t="inlineStr"/>
    </row>
    <row r="134">
      <c r="A134" s="1809" t="inlineStr">
        <is>
          <t>4.1.1.1</t>
        </is>
      </c>
      <c r="B134" s="1808" t="n"/>
      <c r="C134" s="1807" t="n"/>
      <c r="D134" s="1807" t="n"/>
      <c r="E134" s="1806" t="inlineStr">
        <is>
          <t>REVESTIMENTO INTERNO, PAREDE - PASTILHA,   (Parede padrão)</t>
        </is>
      </c>
      <c r="F134" s="1803" t="inlineStr">
        <is>
          <t>m²</t>
        </is>
      </c>
      <c r="G134" s="1803" t="n">
        <v>93.95</v>
      </c>
      <c r="H134" s="1805" t="n">
        <v>0</v>
      </c>
      <c r="I134" s="1805" t="n">
        <v>0</v>
      </c>
      <c r="J134" s="2128" t="n"/>
      <c r="K134" s="1803" t="inlineStr"/>
    </row>
    <row r="135" ht="25.5" customHeight="1">
      <c r="A135" s="1816" t="inlineStr">
        <is>
          <t>4.1.1.2</t>
        </is>
      </c>
      <c r="B135" s="1815" t="inlineStr">
        <is>
          <t>Thozen - Electra</t>
        </is>
      </c>
      <c r="C135" s="1814" t="inlineStr">
        <is>
          <t>COMPOSICAO</t>
        </is>
      </c>
      <c r="D135" s="1814" t="inlineStr">
        <is>
          <t>4899</t>
        </is>
      </c>
      <c r="E135" s="1813" t="inlineStr">
        <is>
          <t xml:space="preserve"> Revestimento interno de parede em porcelanato, placa 30x90cm, aplicação em banheiros e cozinhas</t>
        </is>
      </c>
      <c r="F135" s="1810" t="inlineStr">
        <is>
          <t>m2</t>
        </is>
      </c>
      <c r="G135" s="1810" t="n">
        <v>124.44</v>
      </c>
      <c r="H135" s="1812" t="n">
        <v>97.430075</v>
      </c>
      <c r="I135" s="1812" t="n">
        <v>12124.198533</v>
      </c>
      <c r="J135" s="2127" t="n">
        <v>0.0005582345485546675</v>
      </c>
      <c r="K135" s="1810" t="inlineStr"/>
    </row>
    <row r="136">
      <c r="A136" s="222" t="inlineStr">
        <is>
          <t>4.1.2.</t>
        </is>
      </c>
      <c r="B136" s="1820" t="n"/>
      <c r="C136" s="1820" t="n"/>
      <c r="D136" s="1820" t="n"/>
      <c r="E136" s="1820" t="inlineStr">
        <is>
          <t>13.002. Acabamentos especiais</t>
        </is>
      </c>
      <c r="F136" s="1817" t="n"/>
      <c r="G136" s="1817" t="n"/>
      <c r="H136" s="1819" t="n"/>
      <c r="I136" s="1819" t="n">
        <v>0</v>
      </c>
      <c r="J136" s="2126" t="n"/>
      <c r="K136" s="1817" t="inlineStr"/>
    </row>
    <row r="137">
      <c r="A137" s="1809" t="inlineStr">
        <is>
          <t>4.1.2.1</t>
        </is>
      </c>
      <c r="B137" s="1808" t="n"/>
      <c r="C137" s="1807" t="n"/>
      <c r="D137" s="1807" t="n"/>
      <c r="E137" s="1806" t="inlineStr">
        <is>
          <t>REVESTIMENTO INTERNO, PAREDE - BRISE,   (Parede padrão)</t>
        </is>
      </c>
      <c r="F137" s="1803" t="inlineStr">
        <is>
          <t>m²</t>
        </is>
      </c>
      <c r="G137" s="1803" t="n">
        <v>911.41</v>
      </c>
      <c r="H137" s="1805" t="n">
        <v>0</v>
      </c>
      <c r="I137" s="1805" t="n">
        <v>0</v>
      </c>
      <c r="J137" s="2128" t="n"/>
      <c r="K137" s="1803" t="inlineStr"/>
    </row>
    <row r="138">
      <c r="A138" s="222" t="inlineStr">
        <is>
          <t>4.1.3.</t>
        </is>
      </c>
      <c r="B138" s="1820" t="n"/>
      <c r="C138" s="1820" t="n"/>
      <c r="D138" s="1820" t="n"/>
      <c r="E138" s="1820" t="inlineStr">
        <is>
          <t>13.002. Acabamentos especiais em parede</t>
        </is>
      </c>
      <c r="F138" s="1817" t="n"/>
      <c r="G138" s="1817" t="n"/>
      <c r="H138" s="1819" t="n"/>
      <c r="I138" s="1819" t="n">
        <v>147674.284632</v>
      </c>
      <c r="J138" s="2126" t="n">
        <v>0.006799368006907742</v>
      </c>
      <c r="K138" s="1817" t="inlineStr"/>
    </row>
    <row r="139" ht="25.5" customHeight="1">
      <c r="A139" s="1816" t="inlineStr">
        <is>
          <t>4.1.3.1</t>
        </is>
      </c>
      <c r="B139" s="1815" t="inlineStr">
        <is>
          <t>Thozen - Electra</t>
        </is>
      </c>
      <c r="C139" s="1814" t="inlineStr">
        <is>
          <t>COMPOSICAO</t>
        </is>
      </c>
      <c r="D139" s="1814" t="inlineStr">
        <is>
          <t>90511</t>
        </is>
      </c>
      <c r="E139" s="1813" t="inlineStr">
        <is>
          <t xml:space="preserve">Acabamentos de elevador em granito, acabamento polido, esp. 2cm </t>
        </is>
      </c>
      <c r="F139" s="1810" t="inlineStr">
        <is>
          <t>m²</t>
        </is>
      </c>
      <c r="G139" s="1810" t="n">
        <v>236.88</v>
      </c>
      <c r="H139" s="1812" t="n">
        <v>623.4138999999999</v>
      </c>
      <c r="I139" s="1812" t="n">
        <v>147674.284632</v>
      </c>
      <c r="J139" s="2127" t="n">
        <v>0.006799368006907742</v>
      </c>
      <c r="K139" s="1810" t="inlineStr"/>
    </row>
    <row r="140">
      <c r="A140" s="222" t="inlineStr">
        <is>
          <t>4.1.4.</t>
        </is>
      </c>
      <c r="B140" s="1820" t="n"/>
      <c r="C140" s="1820" t="n"/>
      <c r="D140" s="1820" t="n"/>
      <c r="E140" s="1820" t="inlineStr">
        <is>
          <t>13.003 - Peitoris</t>
        </is>
      </c>
      <c r="F140" s="1817" t="n"/>
      <c r="G140" s="1817" t="n"/>
      <c r="H140" s="1819" t="n"/>
      <c r="I140" s="1819" t="n">
        <v>52884.20113699999</v>
      </c>
      <c r="J140" s="2126" t="n">
        <v>0.002434947602271123</v>
      </c>
      <c r="K140" s="1817" t="inlineStr"/>
    </row>
    <row r="141" ht="25.5" customHeight="1">
      <c r="A141" s="1809" t="inlineStr">
        <is>
          <t>4.1.4.1</t>
        </is>
      </c>
      <c r="B141" s="1808" t="inlineStr">
        <is>
          <t>Thozen - Electra</t>
        </is>
      </c>
      <c r="C141" s="1807" t="inlineStr">
        <is>
          <t>COMPOSICAO</t>
        </is>
      </c>
      <c r="D141" s="1807" t="inlineStr">
        <is>
          <t>4902</t>
        </is>
      </c>
      <c r="E141" s="1806" t="inlineStr">
        <is>
          <t xml:space="preserve"> Peitoril em granito, acabamento polido, esp. 2cm </t>
        </is>
      </c>
      <c r="F141" s="1803" t="inlineStr">
        <is>
          <t>m²</t>
        </is>
      </c>
      <c r="G141" s="1803" t="n">
        <v>84.83</v>
      </c>
      <c r="H141" s="1805" t="n">
        <v>623.4138999999999</v>
      </c>
      <c r="I141" s="1805" t="n">
        <v>52884.20113699999</v>
      </c>
      <c r="J141" s="2128" t="n">
        <v>0.002434947602271123</v>
      </c>
      <c r="K141" s="1803" t="inlineStr"/>
    </row>
    <row r="142">
      <c r="A142" s="1826" t="inlineStr">
        <is>
          <t>4.2.</t>
        </is>
      </c>
      <c r="B142" s="1825" t="n"/>
      <c r="C142" s="1824" t="n"/>
      <c r="D142" s="1824" t="n"/>
      <c r="E142" s="1824" t="inlineStr">
        <is>
          <t>ARQ_Torre_A</t>
        </is>
      </c>
      <c r="F142" s="1821" t="n"/>
      <c r="G142" s="1821" t="n"/>
      <c r="H142" s="1823" t="n"/>
      <c r="I142" s="1823" t="n">
        <v>584545.9298612499</v>
      </c>
      <c r="J142" s="2125" t="n">
        <v>0.02691425188868302</v>
      </c>
      <c r="K142" s="1821" t="inlineStr"/>
    </row>
    <row r="143">
      <c r="A143" s="222" t="inlineStr">
        <is>
          <t>4.2.1.</t>
        </is>
      </c>
      <c r="B143" s="1820" t="n"/>
      <c r="C143" s="1820" t="n"/>
      <c r="D143" s="1820" t="n"/>
      <c r="E143" s="1820" t="inlineStr">
        <is>
          <t>13.001. Acabamentos cerâmicos</t>
        </is>
      </c>
      <c r="F143" s="1817" t="n"/>
      <c r="G143" s="1817" t="n"/>
      <c r="H143" s="1819" t="n"/>
      <c r="I143" s="1819" t="n">
        <v>174165.02776925</v>
      </c>
      <c r="J143" s="2126" t="n">
        <v>0.008019081458139168</v>
      </c>
      <c r="K143" s="1817" t="inlineStr"/>
    </row>
    <row r="144" ht="25.5" customHeight="1">
      <c r="A144" s="1816" t="inlineStr">
        <is>
          <t>4.2.1.1</t>
        </is>
      </c>
      <c r="B144" s="1815" t="inlineStr">
        <is>
          <t>Thozen - Electra</t>
        </is>
      </c>
      <c r="C144" s="1814" t="inlineStr">
        <is>
          <t>COMPOSICAO</t>
        </is>
      </c>
      <c r="D144" s="1814" t="inlineStr">
        <is>
          <t>4899</t>
        </is>
      </c>
      <c r="E144" s="1813" t="inlineStr">
        <is>
          <t xml:space="preserve"> Revestimento interno de parede em porcelanato, placa 30x90cm, aplicação em banheiros e cozinhas</t>
        </is>
      </c>
      <c r="F144" s="1810" t="inlineStr">
        <is>
          <t>m2</t>
        </is>
      </c>
      <c r="G144" s="1810" t="n">
        <v>1787.59</v>
      </c>
      <c r="H144" s="1812" t="n">
        <v>97.430075</v>
      </c>
      <c r="I144" s="1812" t="n">
        <v>174165.02776925</v>
      </c>
      <c r="J144" s="2127" t="n">
        <v>0.008019081458139168</v>
      </c>
      <c r="K144" s="1810" t="inlineStr"/>
    </row>
    <row r="145">
      <c r="A145" s="222" t="inlineStr">
        <is>
          <t>4.2.2.</t>
        </is>
      </c>
      <c r="B145" s="1820" t="n"/>
      <c r="C145" s="1820" t="n"/>
      <c r="D145" s="1820" t="n"/>
      <c r="E145" s="1820" t="inlineStr">
        <is>
          <t>13.002. Acabamentos especiais em parede</t>
        </is>
      </c>
      <c r="F145" s="1817" t="n"/>
      <c r="G145" s="1817" t="n"/>
      <c r="H145" s="1819" t="n"/>
      <c r="I145" s="1819" t="n">
        <v>253155.9165119999</v>
      </c>
      <c r="J145" s="2126" t="n">
        <v>0.01165605944041327</v>
      </c>
      <c r="K145" s="1817" t="inlineStr"/>
    </row>
    <row r="146" ht="25.5" customHeight="1">
      <c r="A146" s="1809" t="inlineStr">
        <is>
          <t>4.2.2.1</t>
        </is>
      </c>
      <c r="B146" s="1808" t="inlineStr">
        <is>
          <t>Thozen - Electra</t>
        </is>
      </c>
      <c r="C146" s="1807" t="inlineStr">
        <is>
          <t>COMPOSICAO</t>
        </is>
      </c>
      <c r="D146" s="1807" t="inlineStr">
        <is>
          <t>90511</t>
        </is>
      </c>
      <c r="E146" s="1806" t="inlineStr">
        <is>
          <t xml:space="preserve">Acabamentos de elevador em granito, acabamento polido, esp. 2cm </t>
        </is>
      </c>
      <c r="F146" s="1803" t="inlineStr">
        <is>
          <t>m²</t>
        </is>
      </c>
      <c r="G146" s="1803" t="n">
        <v>406.08</v>
      </c>
      <c r="H146" s="1805" t="n">
        <v>623.4138999999999</v>
      </c>
      <c r="I146" s="1805" t="n">
        <v>253155.9165119999</v>
      </c>
      <c r="J146" s="2128" t="n">
        <v>0.01165605944041327</v>
      </c>
      <c r="K146" s="1803" t="inlineStr"/>
    </row>
    <row r="147">
      <c r="A147" s="222" t="inlineStr">
        <is>
          <t>4.2.3.</t>
        </is>
      </c>
      <c r="B147" s="1820" t="n"/>
      <c r="C147" s="1820" t="n"/>
      <c r="D147" s="1820" t="n"/>
      <c r="E147" s="1820" t="inlineStr">
        <is>
          <t>13.003 - Peitoris</t>
        </is>
      </c>
      <c r="F147" s="1817" t="n"/>
      <c r="G147" s="1817" t="n"/>
      <c r="H147" s="1819" t="n"/>
      <c r="I147" s="1819" t="n">
        <v>157224.98558</v>
      </c>
      <c r="J147" s="2126" t="n">
        <v>0.007239110990130583</v>
      </c>
      <c r="K147" s="1817" t="inlineStr"/>
    </row>
    <row r="148" ht="25.5" customHeight="1">
      <c r="A148" s="1816" t="inlineStr">
        <is>
          <t>4.2.3.1</t>
        </is>
      </c>
      <c r="B148" s="1815" t="inlineStr">
        <is>
          <t>Thozen - Electra</t>
        </is>
      </c>
      <c r="C148" s="1814" t="inlineStr">
        <is>
          <t>COMPOSICAO</t>
        </is>
      </c>
      <c r="D148" s="1814" t="inlineStr">
        <is>
          <t>4902</t>
        </is>
      </c>
      <c r="E148" s="1813" t="inlineStr">
        <is>
          <t xml:space="preserve"> Peitoril em granito, acabamento polido, esp. 2cm </t>
        </is>
      </c>
      <c r="F148" s="1810" t="inlineStr">
        <is>
          <t>m²</t>
        </is>
      </c>
      <c r="G148" s="1810" t="n">
        <v>252.2</v>
      </c>
      <c r="H148" s="1812" t="n">
        <v>623.4138999999999</v>
      </c>
      <c r="I148" s="1812" t="n">
        <v>157224.98558</v>
      </c>
      <c r="J148" s="2127" t="n">
        <v>0.007239110990130583</v>
      </c>
      <c r="K148" s="1810" t="inlineStr"/>
    </row>
    <row r="149">
      <c r="A149" s="1826" t="inlineStr">
        <is>
          <t>4.3.</t>
        </is>
      </c>
      <c r="B149" s="1825" t="n"/>
      <c r="C149" s="1824" t="n"/>
      <c r="D149" s="1824" t="n"/>
      <c r="E149" s="1824" t="inlineStr">
        <is>
          <t>ARQ_Torre_B</t>
        </is>
      </c>
      <c r="F149" s="1821" t="n"/>
      <c r="G149" s="1821" t="n"/>
      <c r="H149" s="1823" t="n"/>
      <c r="I149" s="1823" t="n">
        <v>569093.0014269999</v>
      </c>
      <c r="J149" s="2125" t="n">
        <v>0.02620275260855645</v>
      </c>
      <c r="K149" s="1821" t="inlineStr"/>
    </row>
    <row r="150">
      <c r="A150" s="222" t="inlineStr">
        <is>
          <t>4.3.1.</t>
        </is>
      </c>
      <c r="B150" s="1820" t="n"/>
      <c r="C150" s="1820" t="n"/>
      <c r="D150" s="1820" t="n"/>
      <c r="E150" s="1820" t="inlineStr">
        <is>
          <t>13.001. Acabamentos cerâmicos</t>
        </is>
      </c>
      <c r="F150" s="1817" t="n"/>
      <c r="G150" s="1817" t="n"/>
      <c r="H150" s="1819" t="n"/>
      <c r="I150" s="1819" t="n">
        <v>169528.3305</v>
      </c>
      <c r="J150" s="2126" t="n">
        <v>0.007805593976897473</v>
      </c>
      <c r="K150" s="1817" t="inlineStr"/>
    </row>
    <row r="151" ht="25.5" customHeight="1">
      <c r="A151" s="1809" t="inlineStr">
        <is>
          <t>4.3.1.1</t>
        </is>
      </c>
      <c r="B151" s="1808" t="inlineStr">
        <is>
          <t>Thozen - Electra</t>
        </is>
      </c>
      <c r="C151" s="1807" t="inlineStr">
        <is>
          <t>COMPOSICAO</t>
        </is>
      </c>
      <c r="D151" s="1807" t="inlineStr">
        <is>
          <t>4899</t>
        </is>
      </c>
      <c r="E151" s="1806" t="inlineStr">
        <is>
          <t xml:space="preserve"> Revestimento interno de parede em porcelanato, placa 30x90cm, aplicação em banheiros e cozinhas</t>
        </is>
      </c>
      <c r="F151" s="1803" t="inlineStr">
        <is>
          <t>m2</t>
        </is>
      </c>
      <c r="G151" s="1803" t="n">
        <v>1740</v>
      </c>
      <c r="H151" s="1805" t="n">
        <v>97.430075</v>
      </c>
      <c r="I151" s="1805" t="n">
        <v>169528.3305</v>
      </c>
      <c r="J151" s="2128" t="n">
        <v>0.007805593976897473</v>
      </c>
      <c r="K151" s="1803" t="inlineStr"/>
    </row>
    <row r="152">
      <c r="A152" s="222" t="inlineStr">
        <is>
          <t>4.3.2.</t>
        </is>
      </c>
      <c r="B152" s="1820" t="n"/>
      <c r="C152" s="1820" t="n"/>
      <c r="D152" s="1820" t="n"/>
      <c r="E152" s="1820" t="inlineStr">
        <is>
          <t>13.002. Acabamentos especiais em parede</t>
        </is>
      </c>
      <c r="F152" s="1817" t="n"/>
      <c r="G152" s="1817" t="n"/>
      <c r="H152" s="1819" t="n"/>
      <c r="I152" s="1819" t="n">
        <v>253155.9165119999</v>
      </c>
      <c r="J152" s="2126" t="n">
        <v>0.01165605944041327</v>
      </c>
      <c r="K152" s="1817" t="inlineStr"/>
    </row>
    <row r="153" ht="25.5" customHeight="1">
      <c r="A153" s="1816" t="inlineStr">
        <is>
          <t>4.3.2.1</t>
        </is>
      </c>
      <c r="B153" s="1815" t="inlineStr">
        <is>
          <t>Thozen - Electra</t>
        </is>
      </c>
      <c r="C153" s="1814" t="inlineStr">
        <is>
          <t>COMPOSICAO</t>
        </is>
      </c>
      <c r="D153" s="1814" t="inlineStr">
        <is>
          <t>90511</t>
        </is>
      </c>
      <c r="E153" s="1813" t="inlineStr">
        <is>
          <t xml:space="preserve">Acabamentos de elevador em granito, acabamento polido, esp. 2cm </t>
        </is>
      </c>
      <c r="F153" s="1810" t="inlineStr">
        <is>
          <t>m²</t>
        </is>
      </c>
      <c r="G153" s="1810" t="n">
        <v>406.08</v>
      </c>
      <c r="H153" s="1812" t="n">
        <v>623.4138999999999</v>
      </c>
      <c r="I153" s="1812" t="n">
        <v>253155.9165119999</v>
      </c>
      <c r="J153" s="2127" t="n">
        <v>0.01165605944041327</v>
      </c>
      <c r="K153" s="1810" t="inlineStr"/>
    </row>
    <row r="154">
      <c r="A154" s="222" t="inlineStr">
        <is>
          <t>4.3.3.</t>
        </is>
      </c>
      <c r="B154" s="1820" t="n"/>
      <c r="C154" s="1820" t="n"/>
      <c r="D154" s="1820" t="n"/>
      <c r="E154" s="1820" t="inlineStr">
        <is>
          <t>13.003 - Peitoris</t>
        </is>
      </c>
      <c r="F154" s="1817" t="n"/>
      <c r="G154" s="1817" t="n"/>
      <c r="H154" s="1819" t="n"/>
      <c r="I154" s="1819" t="n">
        <v>146408.754415</v>
      </c>
      <c r="J154" s="2126" t="n">
        <v>0.006741099191245708</v>
      </c>
      <c r="K154" s="1817" t="inlineStr"/>
    </row>
    <row r="155" ht="25.5" customHeight="1">
      <c r="A155" s="1809" t="inlineStr">
        <is>
          <t>4.3.3.1</t>
        </is>
      </c>
      <c r="B155" s="1808" t="inlineStr">
        <is>
          <t>Thozen - Electra</t>
        </is>
      </c>
      <c r="C155" s="1807" t="inlineStr">
        <is>
          <t>COMPOSICAO</t>
        </is>
      </c>
      <c r="D155" s="1807" t="inlineStr">
        <is>
          <t>4902</t>
        </is>
      </c>
      <c r="E155" s="1806" t="inlineStr">
        <is>
          <t xml:space="preserve"> Peitoril em granito, acabamento polido, esp. 2cm </t>
        </is>
      </c>
      <c r="F155" s="1803" t="inlineStr">
        <is>
          <t>m²</t>
        </is>
      </c>
      <c r="G155" s="1803" t="n">
        <v>234.85</v>
      </c>
      <c r="H155" s="1805" t="n">
        <v>623.4138999999999</v>
      </c>
      <c r="I155" s="1805" t="n">
        <v>146408.754415</v>
      </c>
      <c r="J155" s="2128" t="n">
        <v>0.006741099191245708</v>
      </c>
      <c r="K155" s="1803" t="inlineStr"/>
    </row>
    <row r="156">
      <c r="A156" s="1832" t="inlineStr">
        <is>
          <t>5.</t>
        </is>
      </c>
      <c r="B156" s="1831" t="n"/>
      <c r="C156" s="1830" t="n"/>
      <c r="D156" s="1830" t="n"/>
      <c r="E156" s="1830" t="inlineStr">
        <is>
          <t>15. ACABAMENTOS INTERNOS EM TETO</t>
        </is>
      </c>
      <c r="F156" s="1827" t="n"/>
      <c r="G156" s="1827" t="n"/>
      <c r="H156" s="1829" t="n"/>
      <c r="I156" s="1829" t="n">
        <v>3516664.2369378</v>
      </c>
      <c r="J156" s="2124" t="n">
        <v>0.1619177933602811</v>
      </c>
      <c r="K156" s="1827" t="inlineStr"/>
    </row>
    <row r="157">
      <c r="A157" s="1826" t="inlineStr">
        <is>
          <t>5.1.</t>
        </is>
      </c>
      <c r="B157" s="1825" t="n"/>
      <c r="C157" s="1824" t="n"/>
      <c r="D157" s="1824" t="n"/>
      <c r="E157" s="1824" t="inlineStr">
        <is>
          <t>ARQ_Embasamento</t>
        </is>
      </c>
      <c r="F157" s="1821" t="n"/>
      <c r="G157" s="1821" t="n"/>
      <c r="H157" s="1823" t="n"/>
      <c r="I157" s="1823" t="n">
        <v>284888.85416604</v>
      </c>
      <c r="J157" s="2125" t="n">
        <v>0.01311713928642543</v>
      </c>
      <c r="K157" s="1821" t="inlineStr"/>
    </row>
    <row r="158">
      <c r="A158" s="222" t="inlineStr">
        <is>
          <t>5.1.1.</t>
        </is>
      </c>
      <c r="B158" s="1820" t="n"/>
      <c r="C158" s="1820" t="n"/>
      <c r="D158" s="1820" t="n"/>
      <c r="E158" s="1820" t="inlineStr">
        <is>
          <t>15.001. Acabamento de gesso em teto</t>
        </is>
      </c>
      <c r="F158" s="1817" t="n"/>
      <c r="G158" s="1817" t="n"/>
      <c r="H158" s="1819" t="n"/>
      <c r="I158" s="1819" t="n">
        <v>238530.276</v>
      </c>
      <c r="J158" s="2126" t="n">
        <v>0.01098265098324254</v>
      </c>
      <c r="K158" s="1817" t="inlineStr"/>
    </row>
    <row r="159" ht="25.5" customHeight="1">
      <c r="A159" s="1816" t="inlineStr">
        <is>
          <t>5.1.1.1</t>
        </is>
      </c>
      <c r="B159" s="1815" t="inlineStr">
        <is>
          <t>Thozen - Electra</t>
        </is>
      </c>
      <c r="C159" s="1814" t="inlineStr">
        <is>
          <t>COMPOSICAO</t>
        </is>
      </c>
      <c r="D159" s="1814" t="inlineStr">
        <is>
          <t>4872</t>
        </is>
      </c>
      <c r="E159" s="1813" t="inlineStr">
        <is>
          <t xml:space="preserve"> Forro de gesso acartonado, aplicação em áreas secas - material e mão de obra</t>
        </is>
      </c>
      <c r="F159" s="1810" t="inlineStr">
        <is>
          <t>m2</t>
        </is>
      </c>
      <c r="G159" s="1810" t="n">
        <v>1605.39</v>
      </c>
      <c r="H159" s="1812" t="n">
        <v>126.4</v>
      </c>
      <c r="I159" s="1812" t="n">
        <v>202921.296</v>
      </c>
      <c r="J159" s="2127" t="n">
        <v>0.009343106495358482</v>
      </c>
      <c r="K159" s="1810" t="inlineStr"/>
    </row>
    <row r="160" ht="25.5" customHeight="1">
      <c r="A160" s="1809" t="inlineStr">
        <is>
          <t>5.1.1.2</t>
        </is>
      </c>
      <c r="B160" s="1808" t="inlineStr">
        <is>
          <t>Thozen - Electra</t>
        </is>
      </c>
      <c r="C160" s="1807" t="inlineStr">
        <is>
          <t>COMPOSICAO</t>
        </is>
      </c>
      <c r="D160" s="1807" t="inlineStr">
        <is>
          <t>4876</t>
        </is>
      </c>
      <c r="E160" s="1806" t="inlineStr">
        <is>
          <t xml:space="preserve"> Gesso negativo - material e mão de obra</t>
        </is>
      </c>
      <c r="F160" s="1803" t="inlineStr">
        <is>
          <t>m</t>
        </is>
      </c>
      <c r="G160" s="1803" t="n">
        <v>1618.59</v>
      </c>
      <c r="H160" s="1805" t="n">
        <v>22</v>
      </c>
      <c r="I160" s="1805" t="n">
        <v>35608.98</v>
      </c>
      <c r="J160" s="2128" t="n">
        <v>0.001639544487884062</v>
      </c>
      <c r="K160" s="1803" t="inlineStr"/>
    </row>
    <row r="161">
      <c r="A161" s="222" t="inlineStr">
        <is>
          <t>5.1.2.</t>
        </is>
      </c>
      <c r="B161" s="1820" t="n"/>
      <c r="C161" s="1820" t="n"/>
      <c r="D161" s="1820" t="n"/>
      <c r="E161" s="1820" t="inlineStr">
        <is>
          <t>15.002. Acabamento especial em teto</t>
        </is>
      </c>
      <c r="F161" s="1817" t="n"/>
      <c r="G161" s="1817" t="n"/>
      <c r="H161" s="1819" t="n"/>
      <c r="I161" s="1819" t="n">
        <v>46358.57816604001</v>
      </c>
      <c r="J161" s="2126" t="n">
        <v>0.002134488303182886</v>
      </c>
      <c r="K161" s="1817" t="inlineStr"/>
    </row>
    <row r="162">
      <c r="A162" s="1816" t="inlineStr">
        <is>
          <t>5.1.2.1</t>
        </is>
      </c>
      <c r="B162" s="1815" t="n"/>
      <c r="C162" s="1814" t="n"/>
      <c r="D162" s="1814" t="n"/>
      <c r="E162" s="1813" t="inlineStr">
        <is>
          <t>FORRO EM ACM</t>
        </is>
      </c>
      <c r="F162" s="1810" t="inlineStr">
        <is>
          <t>m²</t>
        </is>
      </c>
      <c r="G162" s="1810" t="n">
        <v>4.13</v>
      </c>
      <c r="H162" s="1812" t="n">
        <v>0</v>
      </c>
      <c r="I162" s="1812" t="n">
        <v>0</v>
      </c>
      <c r="J162" s="2127" t="n"/>
      <c r="K162" s="1810" t="inlineStr"/>
    </row>
    <row r="163">
      <c r="A163" s="1809" t="inlineStr">
        <is>
          <t>5.1.2.2</t>
        </is>
      </c>
      <c r="B163" s="1808" t="n"/>
      <c r="C163" s="1807" t="n"/>
      <c r="D163" s="1807" t="n"/>
      <c r="E163" s="1806" t="inlineStr">
        <is>
          <t>PROJEÇÃO AREA SUPERIOR PERGOLADO</t>
        </is>
      </c>
      <c r="F163" s="1803" t="inlineStr">
        <is>
          <t>m²</t>
        </is>
      </c>
      <c r="G163" s="1803" t="n">
        <v>42.39</v>
      </c>
      <c r="H163" s="1805" t="n">
        <v>0</v>
      </c>
      <c r="I163" s="1805" t="n">
        <v>0</v>
      </c>
      <c r="J163" s="2128" t="n"/>
      <c r="K163" s="1803" t="inlineStr"/>
    </row>
    <row r="164" ht="25.5" customHeight="1">
      <c r="A164" s="1816" t="inlineStr">
        <is>
          <t>5.1.2.3</t>
        </is>
      </c>
      <c r="B164" s="1815" t="inlineStr">
        <is>
          <t>Thozen - Electra</t>
        </is>
      </c>
      <c r="C164" s="1814" t="inlineStr">
        <is>
          <t>COMPOSICAO</t>
        </is>
      </c>
      <c r="D164" s="1814" t="inlineStr">
        <is>
          <t>1481</t>
        </is>
      </c>
      <c r="E164" s="1813" t="inlineStr">
        <is>
          <t>Textura acrilica aplicacao em teto, 1 demão, incluindo aplicação de uma demão de fundo selador látex pva</t>
        </is>
      </c>
      <c r="F164" s="1810" t="inlineStr">
        <is>
          <t>m2</t>
        </is>
      </c>
      <c r="G164" s="1810" t="n">
        <v>5054.89</v>
      </c>
      <c r="H164" s="1812" t="n">
        <v>9.171036000000001</v>
      </c>
      <c r="I164" s="1812" t="n">
        <v>46358.57816604001</v>
      </c>
      <c r="J164" s="2127" t="n">
        <v>0.002134488303182886</v>
      </c>
      <c r="K164" s="1810" t="inlineStr"/>
    </row>
    <row r="165">
      <c r="A165" s="1809" t="inlineStr">
        <is>
          <t>5.1.2.4</t>
        </is>
      </c>
      <c r="B165" s="1808" t="n"/>
      <c r="C165" s="1807" t="n"/>
      <c r="D165" s="1807" t="n"/>
      <c r="E165" s="1806" t="inlineStr">
        <is>
          <t>SEM ACABAMENTO</t>
        </is>
      </c>
      <c r="F165" s="1803" t="inlineStr">
        <is>
          <t>m²</t>
        </is>
      </c>
      <c r="G165" s="1803" t="n">
        <v>3667.47</v>
      </c>
      <c r="H165" s="1805" t="n">
        <v>0</v>
      </c>
      <c r="I165" s="1805" t="n">
        <v>0</v>
      </c>
      <c r="J165" s="2128" t="n"/>
      <c r="K165" s="1803" t="inlineStr"/>
    </row>
    <row r="166">
      <c r="A166" s="1826" t="inlineStr">
        <is>
          <t>5.2.</t>
        </is>
      </c>
      <c r="B166" s="1825" t="n"/>
      <c r="C166" s="1824" t="n"/>
      <c r="D166" s="1824" t="n"/>
      <c r="E166" s="1824" t="inlineStr">
        <is>
          <t>ARQ_Impermeab</t>
        </is>
      </c>
      <c r="F166" s="1821" t="n"/>
      <c r="G166" s="1821" t="n"/>
      <c r="H166" s="1823" t="n"/>
      <c r="I166" s="1823" t="n">
        <v>0</v>
      </c>
      <c r="J166" s="2125" t="n"/>
      <c r="K166" s="1821" t="inlineStr"/>
    </row>
    <row r="167">
      <c r="A167" s="222" t="inlineStr">
        <is>
          <t>5.2.1.</t>
        </is>
      </c>
      <c r="B167" s="1820" t="n"/>
      <c r="C167" s="1820" t="n"/>
      <c r="D167" s="1820" t="n"/>
      <c r="E167" s="1820" t="inlineStr">
        <is>
          <t>15.002. Acabamento especial em teto</t>
        </is>
      </c>
      <c r="F167" s="1817" t="n"/>
      <c r="G167" s="1817" t="n"/>
      <c r="H167" s="1819" t="n"/>
      <c r="I167" s="1819" t="n">
        <v>0</v>
      </c>
      <c r="J167" s="2126" t="n"/>
      <c r="K167" s="1817" t="inlineStr"/>
    </row>
    <row r="168">
      <c r="A168" s="1816" t="inlineStr">
        <is>
          <t>5.2.1.1</t>
        </is>
      </c>
      <c r="B168" s="1815" t="n"/>
      <c r="C168" s="1814" t="n"/>
      <c r="D168" s="1814" t="n"/>
      <c r="E168" s="1813" t="inlineStr">
        <is>
          <t>IMPERMEABILIZACAO</t>
        </is>
      </c>
      <c r="F168" s="1810" t="inlineStr">
        <is>
          <t>m²</t>
        </is>
      </c>
      <c r="G168" s="1810" t="n">
        <v>126.41</v>
      </c>
      <c r="H168" s="1812" t="n">
        <v>0</v>
      </c>
      <c r="I168" s="1812" t="n">
        <v>0</v>
      </c>
      <c r="J168" s="2127" t="n"/>
      <c r="K168" s="1810" t="inlineStr"/>
    </row>
    <row r="169">
      <c r="A169" s="1826" t="inlineStr">
        <is>
          <t>5.3.</t>
        </is>
      </c>
      <c r="B169" s="1825" t="n"/>
      <c r="C169" s="1824" t="n"/>
      <c r="D169" s="1824" t="n"/>
      <c r="E169" s="1824" t="inlineStr">
        <is>
          <t>ARQ_Torre_A</t>
        </is>
      </c>
      <c r="F169" s="1821" t="n"/>
      <c r="G169" s="1821" t="n"/>
      <c r="H169" s="1823" t="n"/>
      <c r="I169" s="1823" t="n">
        <v>1639874.95276104</v>
      </c>
      <c r="J169" s="2125" t="n">
        <v>0.07550477266179767</v>
      </c>
      <c r="K169" s="1821" t="inlineStr"/>
    </row>
    <row r="170">
      <c r="A170" s="222" t="inlineStr">
        <is>
          <t>5.3.1.</t>
        </is>
      </c>
      <c r="B170" s="1820" t="n"/>
      <c r="C170" s="1820" t="n"/>
      <c r="D170" s="1820" t="n"/>
      <c r="E170" s="1820" t="inlineStr">
        <is>
          <t>15.001. Acabamento de gesso em teto</t>
        </is>
      </c>
      <c r="F170" s="1817" t="n"/>
      <c r="G170" s="1817" t="n"/>
      <c r="H170" s="1819" t="n"/>
      <c r="I170" s="1819" t="n">
        <v>1636608.78</v>
      </c>
      <c r="J170" s="2126" t="n">
        <v>0.07535438824902201</v>
      </c>
      <c r="K170" s="1817" t="inlineStr"/>
    </row>
    <row r="171" ht="25.5" customHeight="1">
      <c r="A171" s="1809" t="inlineStr">
        <is>
          <t>5.3.1.1</t>
        </is>
      </c>
      <c r="B171" s="1808" t="inlineStr">
        <is>
          <t>Thozen - Electra</t>
        </is>
      </c>
      <c r="C171" s="1807" t="inlineStr">
        <is>
          <t>COMPOSICAO</t>
        </is>
      </c>
      <c r="D171" s="1807" t="inlineStr">
        <is>
          <t>4873</t>
        </is>
      </c>
      <c r="E171" s="1806" t="inlineStr">
        <is>
          <t xml:space="preserve"> Forro de gesso acartonado, aplicação em áreas molhadas - material e mão de obra</t>
        </is>
      </c>
      <c r="F171" s="1803" t="inlineStr">
        <is>
          <t>m2</t>
        </is>
      </c>
      <c r="G171" s="1803" t="n">
        <v>1734.25</v>
      </c>
      <c r="H171" s="1805" t="n">
        <v>136.4</v>
      </c>
      <c r="I171" s="1805" t="n">
        <v>236551.7</v>
      </c>
      <c r="J171" s="2128" t="n">
        <v>0.01089155139615356</v>
      </c>
      <c r="K171" s="1803" t="inlineStr"/>
    </row>
    <row r="172" ht="25.5" customHeight="1">
      <c r="A172" s="1816" t="inlineStr">
        <is>
          <t>5.3.1.2</t>
        </is>
      </c>
      <c r="B172" s="1815" t="inlineStr">
        <is>
          <t>Thozen - Electra</t>
        </is>
      </c>
      <c r="C172" s="1814" t="inlineStr">
        <is>
          <t>COMPOSICAO</t>
        </is>
      </c>
      <c r="D172" s="1814" t="inlineStr">
        <is>
          <t>4872</t>
        </is>
      </c>
      <c r="E172" s="1813" t="inlineStr">
        <is>
          <t xml:space="preserve"> Forro de gesso acartonado, aplicação em áreas secas - material e mão de obra</t>
        </is>
      </c>
      <c r="F172" s="1810" t="inlineStr">
        <is>
          <t>m2</t>
        </is>
      </c>
      <c r="G172" s="1810" t="n">
        <v>8378.549999999999</v>
      </c>
      <c r="H172" s="1812" t="n">
        <v>126.4</v>
      </c>
      <c r="I172" s="1812" t="n">
        <v>1059048.72</v>
      </c>
      <c r="J172" s="2127" t="n">
        <v>0.04876178680986289</v>
      </c>
      <c r="K172" s="1810" t="inlineStr"/>
    </row>
    <row r="173" ht="25.5" customHeight="1">
      <c r="A173" s="1809" t="inlineStr">
        <is>
          <t>5.3.1.3</t>
        </is>
      </c>
      <c r="B173" s="1808" t="inlineStr">
        <is>
          <t>Thozen - Electra</t>
        </is>
      </c>
      <c r="C173" s="1807" t="inlineStr">
        <is>
          <t>COMPOSICAO</t>
        </is>
      </c>
      <c r="D173" s="1807" t="inlineStr">
        <is>
          <t>4876</t>
        </is>
      </c>
      <c r="E173" s="1806" t="inlineStr">
        <is>
          <t xml:space="preserve"> Gesso negativo - material e mão de obra</t>
        </is>
      </c>
      <c r="F173" s="1803" t="inlineStr">
        <is>
          <t>m</t>
        </is>
      </c>
      <c r="G173" s="1803" t="n">
        <v>15500.38</v>
      </c>
      <c r="H173" s="1805" t="n">
        <v>22</v>
      </c>
      <c r="I173" s="1805" t="n">
        <v>341008.36</v>
      </c>
      <c r="J173" s="2128" t="n">
        <v>0.01570105004300556</v>
      </c>
      <c r="K173" s="1803" t="inlineStr"/>
    </row>
    <row r="174">
      <c r="A174" s="222" t="inlineStr">
        <is>
          <t>5.3.2.</t>
        </is>
      </c>
      <c r="B174" s="1820" t="n"/>
      <c r="C174" s="1820" t="n"/>
      <c r="D174" s="1820" t="n"/>
      <c r="E174" s="1820" t="inlineStr">
        <is>
          <t>15.002. Acabamento especial em teto</t>
        </is>
      </c>
      <c r="F174" s="1817" t="n"/>
      <c r="G174" s="1817" t="n"/>
      <c r="H174" s="1819" t="n"/>
      <c r="I174" s="1819" t="n">
        <v>3266.17276104</v>
      </c>
      <c r="J174" s="2126" t="n">
        <v>0.0001503844127756594</v>
      </c>
      <c r="K174" s="1817" t="inlineStr"/>
    </row>
    <row r="175" ht="25.5" customHeight="1">
      <c r="A175" s="1816" t="inlineStr">
        <is>
          <t>5.3.2.1</t>
        </is>
      </c>
      <c r="B175" s="1815" t="inlineStr">
        <is>
          <t>Thozen - Electra</t>
        </is>
      </c>
      <c r="C175" s="1814" t="inlineStr">
        <is>
          <t>COMPOSICAO</t>
        </is>
      </c>
      <c r="D175" s="1814" t="inlineStr">
        <is>
          <t>1481</t>
        </is>
      </c>
      <c r="E175" s="1813" t="inlineStr">
        <is>
          <t>Textura acrilica aplicacao em teto, 1 demão, incluindo aplicação de uma demão de fundo selador látex pva</t>
        </is>
      </c>
      <c r="F175" s="1810" t="inlineStr">
        <is>
          <t>m2</t>
        </is>
      </c>
      <c r="G175" s="1810" t="n">
        <v>356.14</v>
      </c>
      <c r="H175" s="1812" t="n">
        <v>9.171036000000001</v>
      </c>
      <c r="I175" s="1812" t="n">
        <v>3266.17276104</v>
      </c>
      <c r="J175" s="2127" t="n">
        <v>0.0001503844127756594</v>
      </c>
      <c r="K175" s="1810" t="inlineStr"/>
    </row>
    <row r="176">
      <c r="A176" s="1809" t="inlineStr">
        <is>
          <t>5.3.2.2</t>
        </is>
      </c>
      <c r="B176" s="1808" t="n"/>
      <c r="C176" s="1807" t="n"/>
      <c r="D176" s="1807" t="n"/>
      <c r="E176" s="1806" t="inlineStr">
        <is>
          <t>SEM ACABAMENTO</t>
        </is>
      </c>
      <c r="F176" s="1803" t="inlineStr">
        <is>
          <t>m²</t>
        </is>
      </c>
      <c r="G176" s="1803" t="n">
        <v>55.53</v>
      </c>
      <c r="H176" s="1805" t="n">
        <v>0</v>
      </c>
      <c r="I176" s="1805" t="n">
        <v>0</v>
      </c>
      <c r="J176" s="2128" t="n"/>
      <c r="K176" s="1803" t="inlineStr"/>
    </row>
    <row r="177">
      <c r="A177" s="1826" t="inlineStr">
        <is>
          <t>5.4.</t>
        </is>
      </c>
      <c r="B177" s="1825" t="n"/>
      <c r="C177" s="1824" t="n"/>
      <c r="D177" s="1824" t="n"/>
      <c r="E177" s="1824" t="inlineStr">
        <is>
          <t>ARQ_Torre_B</t>
        </is>
      </c>
      <c r="F177" s="1821" t="n"/>
      <c r="G177" s="1821" t="n"/>
      <c r="H177" s="1823" t="n"/>
      <c r="I177" s="1823" t="n">
        <v>1591900.43001072</v>
      </c>
      <c r="J177" s="2125" t="n">
        <v>0.07329588141205799</v>
      </c>
      <c r="K177" s="1821" t="inlineStr"/>
    </row>
    <row r="178">
      <c r="A178" s="222" t="inlineStr">
        <is>
          <t>5.4.1.</t>
        </is>
      </c>
      <c r="B178" s="1820" t="n"/>
      <c r="C178" s="1820" t="n"/>
      <c r="D178" s="1820" t="n"/>
      <c r="E178" s="1820" t="inlineStr">
        <is>
          <t>15.001. Acabamento de gesso em teto</t>
        </is>
      </c>
      <c r="F178" s="1817" t="n"/>
      <c r="G178" s="1817" t="n"/>
      <c r="H178" s="1819" t="n"/>
      <c r="I178" s="1819" t="n">
        <v>1589584.56</v>
      </c>
      <c r="J178" s="2126" t="n">
        <v>0.07318925179473303</v>
      </c>
      <c r="K178" s="1817" t="inlineStr"/>
    </row>
    <row r="179" ht="25.5" customHeight="1">
      <c r="A179" s="1816" t="inlineStr">
        <is>
          <t>5.4.1.1</t>
        </is>
      </c>
      <c r="B179" s="1815" t="inlineStr">
        <is>
          <t>Thozen - Electra</t>
        </is>
      </c>
      <c r="C179" s="1814" t="inlineStr">
        <is>
          <t>COMPOSICAO</t>
        </is>
      </c>
      <c r="D179" s="1814" t="inlineStr">
        <is>
          <t>4873</t>
        </is>
      </c>
      <c r="E179" s="1813" t="inlineStr">
        <is>
          <t xml:space="preserve"> Forro de gesso acartonado, aplicação em áreas molhadas - material e mão de obra</t>
        </is>
      </c>
      <c r="F179" s="1810" t="inlineStr">
        <is>
          <t>m2</t>
        </is>
      </c>
      <c r="G179" s="1810" t="n">
        <v>1774.06</v>
      </c>
      <c r="H179" s="1812" t="n">
        <v>136.4</v>
      </c>
      <c r="I179" s="1812" t="n">
        <v>241981.784</v>
      </c>
      <c r="J179" s="2127" t="n">
        <v>0.01114156878757976</v>
      </c>
      <c r="K179" s="1810" t="inlineStr"/>
    </row>
    <row r="180" ht="25.5" customHeight="1">
      <c r="A180" s="1809" t="inlineStr">
        <is>
          <t>5.4.1.2</t>
        </is>
      </c>
      <c r="B180" s="1808" t="inlineStr">
        <is>
          <t>Thozen - Electra</t>
        </is>
      </c>
      <c r="C180" s="1807" t="inlineStr">
        <is>
          <t>COMPOSICAO</t>
        </is>
      </c>
      <c r="D180" s="1807" t="inlineStr">
        <is>
          <t>4872</t>
        </is>
      </c>
      <c r="E180" s="1806" t="inlineStr">
        <is>
          <t xml:space="preserve"> Forro de gesso acartonado, aplicação em áreas secas - material e mão de obra</t>
        </is>
      </c>
      <c r="F180" s="1803" t="inlineStr">
        <is>
          <t>m2</t>
        </is>
      </c>
      <c r="G180" s="1803" t="n">
        <v>8048.89</v>
      </c>
      <c r="H180" s="1805" t="n">
        <v>126.4</v>
      </c>
      <c r="I180" s="1805" t="n">
        <v>1017379.696</v>
      </c>
      <c r="J180" s="2128" t="n">
        <v>0.04684321967834976</v>
      </c>
      <c r="K180" s="1803" t="inlineStr"/>
    </row>
    <row r="181" ht="25.5" customHeight="1">
      <c r="A181" s="1816" t="inlineStr">
        <is>
          <t>5.4.1.3</t>
        </is>
      </c>
      <c r="B181" s="1815" t="inlineStr">
        <is>
          <t>Thozen - Electra</t>
        </is>
      </c>
      <c r="C181" s="1814" t="inlineStr">
        <is>
          <t>COMPOSICAO</t>
        </is>
      </c>
      <c r="D181" s="1814" t="inlineStr">
        <is>
          <t>4876</t>
        </is>
      </c>
      <c r="E181" s="1813" t="inlineStr">
        <is>
          <t xml:space="preserve"> Gesso negativo - material e mão de obra</t>
        </is>
      </c>
      <c r="F181" s="1810" t="inlineStr">
        <is>
          <t>m</t>
        </is>
      </c>
      <c r="G181" s="1810" t="n">
        <v>15010.14</v>
      </c>
      <c r="H181" s="1812" t="n">
        <v>22</v>
      </c>
      <c r="I181" s="1812" t="n">
        <v>330223.08</v>
      </c>
      <c r="J181" s="2127" t="n">
        <v>0.01520446332880351</v>
      </c>
      <c r="K181" s="1810" t="inlineStr"/>
    </row>
    <row r="182">
      <c r="A182" s="222" t="inlineStr">
        <is>
          <t>5.4.2.</t>
        </is>
      </c>
      <c r="B182" s="1820" t="n"/>
      <c r="C182" s="1820" t="n"/>
      <c r="D182" s="1820" t="n"/>
      <c r="E182" s="1820" t="inlineStr">
        <is>
          <t>15.002. Acabamento especial em teto</t>
        </is>
      </c>
      <c r="F182" s="1817" t="n"/>
      <c r="G182" s="1817" t="n"/>
      <c r="H182" s="1819" t="n"/>
      <c r="I182" s="1819" t="n">
        <v>2315.87001072</v>
      </c>
      <c r="J182" s="2126" t="n">
        <v>0.0001066296173249551</v>
      </c>
      <c r="K182" s="1817" t="inlineStr"/>
    </row>
    <row r="183" ht="25.5" customHeight="1">
      <c r="A183" s="1809" t="inlineStr">
        <is>
          <t>5.4.2.1</t>
        </is>
      </c>
      <c r="B183" s="1808" t="inlineStr">
        <is>
          <t>Thozen - Electra</t>
        </is>
      </c>
      <c r="C183" s="1807" t="inlineStr">
        <is>
          <t>COMPOSICAO</t>
        </is>
      </c>
      <c r="D183" s="1807" t="inlineStr">
        <is>
          <t>1481</t>
        </is>
      </c>
      <c r="E183" s="1806" t="inlineStr">
        <is>
          <t>Textura acrilica aplicacao em teto, 1 demão, incluindo aplicação de uma demão de fundo selador látex pva</t>
        </is>
      </c>
      <c r="F183" s="1803" t="inlineStr">
        <is>
          <t>m2</t>
        </is>
      </c>
      <c r="G183" s="1803" t="n">
        <v>252.52</v>
      </c>
      <c r="H183" s="1805" t="n">
        <v>9.171036000000001</v>
      </c>
      <c r="I183" s="1805" t="n">
        <v>2315.87001072</v>
      </c>
      <c r="J183" s="2128" t="n">
        <v>0.0001066296173249551</v>
      </c>
      <c r="K183" s="1803" t="inlineStr"/>
    </row>
    <row r="184">
      <c r="A184" s="1816" t="inlineStr">
        <is>
          <t>5.4.2.2</t>
        </is>
      </c>
      <c r="B184" s="1815" t="n"/>
      <c r="C184" s="1814" t="n"/>
      <c r="D184" s="1814" t="n"/>
      <c r="E184" s="1813" t="inlineStr">
        <is>
          <t>SEM ACABAMENTO</t>
        </is>
      </c>
      <c r="F184" s="1810" t="inlineStr">
        <is>
          <t>m²</t>
        </is>
      </c>
      <c r="G184" s="1810" t="n">
        <v>45.3</v>
      </c>
      <c r="H184" s="1812" t="n">
        <v>0</v>
      </c>
      <c r="I184" s="1812" t="n">
        <v>0</v>
      </c>
      <c r="J184" s="2127" t="n"/>
      <c r="K184" s="1810" t="inlineStr"/>
    </row>
    <row r="185">
      <c r="A185" s="1832" t="inlineStr">
        <is>
          <t>6.</t>
        </is>
      </c>
      <c r="B185" s="1831" t="n"/>
      <c r="C185" s="1830" t="n"/>
      <c r="D185" s="1830" t="n"/>
      <c r="E185" s="1830" t="inlineStr">
        <is>
          <t>16. REVESTIMENTOS ARGAMASSADOS EM PISO E PAVIMENTAÇÕES</t>
        </is>
      </c>
      <c r="F185" s="1827" t="n"/>
      <c r="G185" s="1827" t="n"/>
      <c r="H185" s="1829" t="n"/>
      <c r="I185" s="1829" t="n">
        <v>1563155.424</v>
      </c>
      <c r="J185" s="2124" t="n">
        <v>0.07197237492130563</v>
      </c>
      <c r="K185" s="1827" t="inlineStr"/>
    </row>
    <row r="186">
      <c r="A186" s="1826" t="inlineStr">
        <is>
          <t>6.1.</t>
        </is>
      </c>
      <c r="B186" s="1825" t="n"/>
      <c r="C186" s="1824" t="n"/>
      <c r="D186" s="1824" t="n"/>
      <c r="E186" s="1824" t="inlineStr">
        <is>
          <t>ARQ_Embasamento</t>
        </is>
      </c>
      <c r="F186" s="1821" t="n"/>
      <c r="G186" s="1821" t="n"/>
      <c r="H186" s="1823" t="n"/>
      <c r="I186" s="1823" t="n">
        <v>216466.024</v>
      </c>
      <c r="J186" s="2125" t="n">
        <v>0.009966746491008142</v>
      </c>
      <c r="K186" s="1821" t="inlineStr"/>
    </row>
    <row r="187">
      <c r="A187" s="222" t="inlineStr">
        <is>
          <t>6.1.1.</t>
        </is>
      </c>
      <c r="B187" s="1820" t="n"/>
      <c r="C187" s="1820" t="n"/>
      <c r="D187" s="1820" t="n"/>
      <c r="E187" s="1820" t="inlineStr">
        <is>
          <t>16.001. Contrapiso</t>
        </is>
      </c>
      <c r="F187" s="1817" t="n"/>
      <c r="G187" s="1817" t="n"/>
      <c r="H187" s="1819" t="n"/>
      <c r="I187" s="1819" t="n">
        <v>97854.504</v>
      </c>
      <c r="J187" s="2126" t="n">
        <v>0.004505515537031078</v>
      </c>
      <c r="K187" s="1817" t="inlineStr"/>
    </row>
    <row r="188" ht="25.5" customHeight="1">
      <c r="A188" s="1809" t="inlineStr">
        <is>
          <t>6.1.1.1</t>
        </is>
      </c>
      <c r="B188" s="1808" t="inlineStr">
        <is>
          <t>Thozen - Electra</t>
        </is>
      </c>
      <c r="C188" s="1807" t="inlineStr">
        <is>
          <t>COMPOSICAO</t>
        </is>
      </c>
      <c r="D188" s="1807" t="inlineStr">
        <is>
          <t>60</t>
        </is>
      </c>
      <c r="E188" s="1806" t="inlineStr">
        <is>
          <t>Contrapiso comum em argamassa estabilizada, nao aderido, espessura 5cm</t>
        </is>
      </c>
      <c r="F188" s="1803" t="inlineStr">
        <is>
          <t>m2</t>
        </is>
      </c>
      <c r="G188" s="1803" t="n">
        <v>3706.61</v>
      </c>
      <c r="H188" s="1805" t="n">
        <v>26.4</v>
      </c>
      <c r="I188" s="1805" t="n">
        <v>97854.504</v>
      </c>
      <c r="J188" s="2128" t="n">
        <v>0.004505515537031078</v>
      </c>
      <c r="K188" s="1803" t="inlineStr"/>
    </row>
    <row r="189">
      <c r="A189" s="222" t="inlineStr">
        <is>
          <t>6.1.2.</t>
        </is>
      </c>
      <c r="B189" s="1820" t="n"/>
      <c r="C189" s="1820" t="n"/>
      <c r="D189" s="1820" t="n"/>
      <c r="E189" s="1820" t="inlineStr">
        <is>
          <t>16.004. Mão de obra</t>
        </is>
      </c>
      <c r="F189" s="1817" t="n"/>
      <c r="G189" s="1817" t="n"/>
      <c r="H189" s="1819" t="n"/>
      <c r="I189" s="1819" t="n">
        <v>118611.52</v>
      </c>
      <c r="J189" s="2126" t="n">
        <v>0.005461230953977065</v>
      </c>
      <c r="K189" s="1817" t="inlineStr"/>
    </row>
    <row r="190" ht="25.5" customHeight="1">
      <c r="A190" s="1816" t="inlineStr">
        <is>
          <t>6.1.2.1</t>
        </is>
      </c>
      <c r="B190" s="1815" t="inlineStr">
        <is>
          <t>Thozen - Electra</t>
        </is>
      </c>
      <c r="C190" s="1814" t="inlineStr">
        <is>
          <t>COMPOSICAO</t>
        </is>
      </c>
      <c r="D190" s="1814" t="inlineStr">
        <is>
          <t>4863</t>
        </is>
      </c>
      <c r="E190" s="1813" t="inlineStr">
        <is>
          <t xml:space="preserve"> Mão de obra de execução contrapiso comum</t>
        </is>
      </c>
      <c r="F190" s="1810" t="inlineStr">
        <is>
          <t>m2</t>
        </is>
      </c>
      <c r="G190" s="1810" t="n">
        <v>3706.61</v>
      </c>
      <c r="H190" s="1812" t="n">
        <v>32</v>
      </c>
      <c r="I190" s="1812" t="n">
        <v>118611.52</v>
      </c>
      <c r="J190" s="2127" t="n">
        <v>0.005461230953977065</v>
      </c>
      <c r="K190" s="1810" t="inlineStr"/>
    </row>
    <row r="191">
      <c r="A191" s="1826" t="inlineStr">
        <is>
          <t>6.2.</t>
        </is>
      </c>
      <c r="B191" s="1825" t="n"/>
      <c r="C191" s="1824" t="n"/>
      <c r="D191" s="1824" t="n"/>
      <c r="E191" s="1824" t="inlineStr">
        <is>
          <t>ARQ_Impermeab</t>
        </is>
      </c>
      <c r="F191" s="1821" t="n"/>
      <c r="G191" s="1821" t="n"/>
      <c r="H191" s="1823" t="n"/>
      <c r="I191" s="1823" t="n">
        <v>0</v>
      </c>
      <c r="J191" s="2125" t="n"/>
      <c r="K191" s="1821" t="inlineStr"/>
    </row>
    <row r="192">
      <c r="A192" s="222" t="inlineStr">
        <is>
          <t>6.2.1.</t>
        </is>
      </c>
      <c r="B192" s="1820" t="n"/>
      <c r="C192" s="1820" t="n"/>
      <c r="D192" s="1820" t="n"/>
      <c r="E192" s="1820" t="inlineStr">
        <is>
          <t>16.001. Contrapiso</t>
        </is>
      </c>
      <c r="F192" s="1817" t="n"/>
      <c r="G192" s="1817" t="n"/>
      <c r="H192" s="1819" t="n"/>
      <c r="I192" s="1819" t="n">
        <v>0</v>
      </c>
      <c r="J192" s="2126" t="n"/>
      <c r="K192" s="1817" t="inlineStr"/>
    </row>
    <row r="193">
      <c r="A193" s="1809" t="inlineStr">
        <is>
          <t>6.2.1.1</t>
        </is>
      </c>
      <c r="B193" s="1808" t="n"/>
      <c r="C193" s="1807" t="n"/>
      <c r="D193" s="1807" t="n"/>
      <c r="E193" s="1806" t="inlineStr">
        <is>
          <t>REGULARIZAÇÃO</t>
        </is>
      </c>
      <c r="F193" s="1803" t="inlineStr">
        <is>
          <t>m²</t>
        </is>
      </c>
      <c r="G193" s="1803" t="n">
        <v>7792.79</v>
      </c>
      <c r="H193" s="1805" t="n">
        <v>0</v>
      </c>
      <c r="I193" s="1805" t="n">
        <v>0</v>
      </c>
      <c r="J193" s="2128" t="n"/>
      <c r="K193" s="1803" t="inlineStr"/>
    </row>
    <row r="194">
      <c r="A194" s="1826" t="inlineStr">
        <is>
          <t>6.3.</t>
        </is>
      </c>
      <c r="B194" s="1825" t="n"/>
      <c r="C194" s="1824" t="n"/>
      <c r="D194" s="1824" t="n"/>
      <c r="E194" s="1824" t="inlineStr">
        <is>
          <t>ARQ_Torre_A</t>
        </is>
      </c>
      <c r="F194" s="1821" t="n"/>
      <c r="G194" s="1821" t="n"/>
      <c r="H194" s="1823" t="n"/>
      <c r="I194" s="1823" t="n">
        <v>678396.5919999999</v>
      </c>
      <c r="J194" s="2125" t="n">
        <v>0.03123541850996386</v>
      </c>
      <c r="K194" s="1821" t="inlineStr"/>
    </row>
    <row r="195">
      <c r="A195" s="222" t="inlineStr">
        <is>
          <t>6.3.1.</t>
        </is>
      </c>
      <c r="B195" s="1820" t="n"/>
      <c r="C195" s="1820" t="n"/>
      <c r="D195" s="1820" t="n"/>
      <c r="E195" s="1820" t="inlineStr">
        <is>
          <t>16.001. Contrapiso</t>
        </is>
      </c>
      <c r="F195" s="1817" t="n"/>
      <c r="G195" s="1817" t="n"/>
      <c r="H195" s="1819" t="n"/>
      <c r="I195" s="1819" t="n">
        <v>306672.432</v>
      </c>
      <c r="J195" s="2126" t="n">
        <v>0.01412012069628503</v>
      </c>
      <c r="K195" s="1817" t="inlineStr"/>
    </row>
    <row r="196" ht="25.5" customHeight="1">
      <c r="A196" s="1816" t="inlineStr">
        <is>
          <t>6.3.1.1</t>
        </is>
      </c>
      <c r="B196" s="1815" t="inlineStr">
        <is>
          <t>Thozen - Electra</t>
        </is>
      </c>
      <c r="C196" s="1814" t="inlineStr">
        <is>
          <t>COMPOSICAO</t>
        </is>
      </c>
      <c r="D196" s="1814" t="inlineStr">
        <is>
          <t>60</t>
        </is>
      </c>
      <c r="E196" s="1813" t="inlineStr">
        <is>
          <t>Contrapiso comum em argamassa estabilizada, nao aderido, espessura 5cm</t>
        </is>
      </c>
      <c r="F196" s="1810" t="inlineStr">
        <is>
          <t>m2</t>
        </is>
      </c>
      <c r="G196" s="1810" t="n">
        <v>11616.38</v>
      </c>
      <c r="H196" s="1812" t="n">
        <v>26.4</v>
      </c>
      <c r="I196" s="1812" t="n">
        <v>306672.432</v>
      </c>
      <c r="J196" s="2127" t="n">
        <v>0.01412012069628503</v>
      </c>
      <c r="K196" s="1810" t="inlineStr"/>
    </row>
    <row r="197">
      <c r="A197" s="222" t="inlineStr">
        <is>
          <t>6.3.2.</t>
        </is>
      </c>
      <c r="B197" s="1820" t="n"/>
      <c r="C197" s="1820" t="n"/>
      <c r="D197" s="1820" t="n"/>
      <c r="E197" s="1820" t="inlineStr">
        <is>
          <t>16.004. Mão de obra</t>
        </is>
      </c>
      <c r="F197" s="1817" t="n"/>
      <c r="G197" s="1817" t="n"/>
      <c r="H197" s="1819" t="n"/>
      <c r="I197" s="1819" t="n">
        <v>371724.16</v>
      </c>
      <c r="J197" s="2126" t="n">
        <v>0.01711529781367883</v>
      </c>
      <c r="K197" s="1817" t="inlineStr"/>
    </row>
    <row r="198" ht="25.5" customHeight="1">
      <c r="A198" s="1809" t="inlineStr">
        <is>
          <t>6.3.2.1</t>
        </is>
      </c>
      <c r="B198" s="1808" t="inlineStr">
        <is>
          <t>Thozen - Electra</t>
        </is>
      </c>
      <c r="C198" s="1807" t="inlineStr">
        <is>
          <t>COMPOSICAO</t>
        </is>
      </c>
      <c r="D198" s="1807" t="inlineStr">
        <is>
          <t>4863</t>
        </is>
      </c>
      <c r="E198" s="1806" t="inlineStr">
        <is>
          <t xml:space="preserve"> Mão de obra de execução contrapiso comum</t>
        </is>
      </c>
      <c r="F198" s="1803" t="inlineStr">
        <is>
          <t>m2</t>
        </is>
      </c>
      <c r="G198" s="1803" t="n">
        <v>11616.38</v>
      </c>
      <c r="H198" s="1805" t="n">
        <v>32</v>
      </c>
      <c r="I198" s="1805" t="n">
        <v>371724.16</v>
      </c>
      <c r="J198" s="2128" t="n">
        <v>0.01711529781367883</v>
      </c>
      <c r="K198" s="1803" t="inlineStr"/>
    </row>
    <row r="199">
      <c r="A199" s="1826" t="inlineStr">
        <is>
          <t>6.4.</t>
        </is>
      </c>
      <c r="B199" s="1825" t="n"/>
      <c r="C199" s="1824" t="n"/>
      <c r="D199" s="1824" t="n"/>
      <c r="E199" s="1824" t="inlineStr">
        <is>
          <t>ARQ_Torre_B</t>
        </is>
      </c>
      <c r="F199" s="1821" t="n"/>
      <c r="G199" s="1821" t="n"/>
      <c r="H199" s="1823" t="n"/>
      <c r="I199" s="1823" t="n">
        <v>668292.808</v>
      </c>
      <c r="J199" s="2125" t="n">
        <v>0.03077020992033363</v>
      </c>
      <c r="K199" s="1821" t="inlineStr"/>
    </row>
    <row r="200">
      <c r="A200" s="222" t="inlineStr">
        <is>
          <t>6.4.1.</t>
        </is>
      </c>
      <c r="B200" s="1820" t="n"/>
      <c r="C200" s="1820" t="n"/>
      <c r="D200" s="1820" t="n"/>
      <c r="E200" s="1820" t="inlineStr">
        <is>
          <t>16.001. Contrapiso</t>
        </is>
      </c>
      <c r="F200" s="1817" t="n"/>
      <c r="G200" s="1817" t="n"/>
      <c r="H200" s="1819" t="n"/>
      <c r="I200" s="1819" t="n">
        <v>302104.968</v>
      </c>
      <c r="J200" s="2126" t="n">
        <v>0.01390982092289055</v>
      </c>
      <c r="K200" s="1817" t="inlineStr"/>
    </row>
    <row r="201" ht="25.5" customHeight="1">
      <c r="A201" s="1816" t="inlineStr">
        <is>
          <t>6.4.1.1</t>
        </is>
      </c>
      <c r="B201" s="1815" t="inlineStr">
        <is>
          <t>Thozen - Electra</t>
        </is>
      </c>
      <c r="C201" s="1814" t="inlineStr">
        <is>
          <t>COMPOSICAO</t>
        </is>
      </c>
      <c r="D201" s="1814" t="inlineStr">
        <is>
          <t>60</t>
        </is>
      </c>
      <c r="E201" s="1813" t="inlineStr">
        <is>
          <t>Contrapiso comum em argamassa estabilizada, nao aderido, espessura 5cm</t>
        </is>
      </c>
      <c r="F201" s="1810" t="inlineStr">
        <is>
          <t>m2</t>
        </is>
      </c>
      <c r="G201" s="1810" t="n">
        <v>11443.37</v>
      </c>
      <c r="H201" s="1812" t="n">
        <v>26.4</v>
      </c>
      <c r="I201" s="1812" t="n">
        <v>302104.968</v>
      </c>
      <c r="J201" s="2127" t="n">
        <v>0.01390982092289055</v>
      </c>
      <c r="K201" s="1810" t="inlineStr"/>
    </row>
    <row r="202">
      <c r="A202" s="222" t="inlineStr">
        <is>
          <t>6.4.2.</t>
        </is>
      </c>
      <c r="B202" s="1820" t="n"/>
      <c r="C202" s="1820" t="n"/>
      <c r="D202" s="1820" t="n"/>
      <c r="E202" s="1820" t="inlineStr">
        <is>
          <t>16.004. Mão de obra</t>
        </is>
      </c>
      <c r="F202" s="1817" t="n"/>
      <c r="G202" s="1817" t="n"/>
      <c r="H202" s="1819" t="n"/>
      <c r="I202" s="1819" t="n">
        <v>366187.84</v>
      </c>
      <c r="J202" s="2126" t="n">
        <v>0.01686038899744309</v>
      </c>
      <c r="K202" s="1817" t="inlineStr"/>
    </row>
    <row r="203" ht="25.5" customHeight="1">
      <c r="A203" s="1809" t="inlineStr">
        <is>
          <t>6.4.2.1</t>
        </is>
      </c>
      <c r="B203" s="1808" t="inlineStr">
        <is>
          <t>Thozen - Electra</t>
        </is>
      </c>
      <c r="C203" s="1807" t="inlineStr">
        <is>
          <t>COMPOSICAO</t>
        </is>
      </c>
      <c r="D203" s="1807" t="inlineStr">
        <is>
          <t>4863</t>
        </is>
      </c>
      <c r="E203" s="1806" t="inlineStr">
        <is>
          <t xml:space="preserve"> Mão de obra de execução contrapiso comum</t>
        </is>
      </c>
      <c r="F203" s="1803" t="inlineStr">
        <is>
          <t>m2</t>
        </is>
      </c>
      <c r="G203" s="1803" t="n">
        <v>11443.37</v>
      </c>
      <c r="H203" s="1805" t="n">
        <v>32</v>
      </c>
      <c r="I203" s="1805" t="n">
        <v>366187.84</v>
      </c>
      <c r="J203" s="2128" t="n">
        <v>0.01686038899744309</v>
      </c>
      <c r="K203" s="1803" t="inlineStr"/>
    </row>
    <row r="204">
      <c r="A204" s="1832" t="inlineStr">
        <is>
          <t>7.</t>
        </is>
      </c>
      <c r="B204" s="1831" t="n"/>
      <c r="C204" s="1830" t="n"/>
      <c r="D204" s="1830" t="n"/>
      <c r="E204" s="1830" t="inlineStr">
        <is>
          <t>17. ACABAMENTOS EM PISO E PAVIMENTAÇÕES</t>
        </is>
      </c>
      <c r="F204" s="1827" t="n"/>
      <c r="G204" s="1827" t="n"/>
      <c r="H204" s="1829" t="n"/>
      <c r="I204" s="1829" t="n">
        <v>2050093.568879203</v>
      </c>
      <c r="J204" s="2124" t="n">
        <v>0.09439247095823758</v>
      </c>
      <c r="K204" s="1827" t="inlineStr"/>
    </row>
    <row r="205">
      <c r="A205" s="1826" t="inlineStr">
        <is>
          <t>7.1.</t>
        </is>
      </c>
      <c r="B205" s="1825" t="n"/>
      <c r="C205" s="1824" t="n"/>
      <c r="D205" s="1824" t="n"/>
      <c r="E205" s="1824" t="inlineStr">
        <is>
          <t>ARQ_Embasamento</t>
        </is>
      </c>
      <c r="F205" s="1821" t="n"/>
      <c r="G205" s="1821" t="n"/>
      <c r="H205" s="1823" t="n"/>
      <c r="I205" s="1823" t="n">
        <v>297343.5805380532</v>
      </c>
      <c r="J205" s="2125" t="n">
        <v>0.01369059233033004</v>
      </c>
      <c r="K205" s="1821" t="inlineStr"/>
    </row>
    <row r="206">
      <c r="A206" s="222" t="inlineStr">
        <is>
          <t>7.1.1.</t>
        </is>
      </c>
      <c r="B206" s="1820" t="n"/>
      <c r="C206" s="1820" t="n"/>
      <c r="D206" s="1820" t="n"/>
      <c r="E206" s="1820" t="inlineStr">
        <is>
          <t>17.001. Acabamentos cerâmicos em piso</t>
        </is>
      </c>
      <c r="F206" s="1817" t="n"/>
      <c r="G206" s="1817" t="n"/>
      <c r="H206" s="1819" t="n"/>
      <c r="I206" s="1819" t="n">
        <v>179410.409191</v>
      </c>
      <c r="J206" s="2126" t="n">
        <v>0.008260594587604817</v>
      </c>
      <c r="K206" s="1817" t="inlineStr"/>
    </row>
    <row r="207">
      <c r="A207" s="1816" t="inlineStr">
        <is>
          <t>7.1.1.1</t>
        </is>
      </c>
      <c r="B207" s="1815" t="n"/>
      <c r="C207" s="1814" t="n"/>
      <c r="D207" s="1814" t="n"/>
      <c r="E207" s="1813" t="inlineStr">
        <is>
          <t>REVESTIMENTO - PISO PASTILHA  (Laje)</t>
        </is>
      </c>
      <c r="F207" s="1810" t="inlineStr">
        <is>
          <t>m²</t>
        </is>
      </c>
      <c r="G207" s="1810" t="n">
        <v>142.03</v>
      </c>
      <c r="H207" s="1812" t="n">
        <v>0</v>
      </c>
      <c r="I207" s="1812" t="n">
        <v>0</v>
      </c>
      <c r="J207" s="2127" t="n"/>
      <c r="K207" s="1810" t="inlineStr"/>
    </row>
    <row r="208" ht="25.5" customHeight="1">
      <c r="A208" s="1809" t="inlineStr">
        <is>
          <t>7.1.1.2</t>
        </is>
      </c>
      <c r="B208" s="1808" t="inlineStr">
        <is>
          <t>Thozen - Electra</t>
        </is>
      </c>
      <c r="C208" s="1807" t="inlineStr">
        <is>
          <t>COMPOSICAO</t>
        </is>
      </c>
      <c r="D208" s="1807" t="inlineStr">
        <is>
          <t>4883</t>
        </is>
      </c>
      <c r="E208" s="1806" t="inlineStr">
        <is>
          <t xml:space="preserve"> Revestimento interno de piso porcelanato, placa 80x80, aplicação em áreas internas</t>
        </is>
      </c>
      <c r="F208" s="1803" t="inlineStr">
        <is>
          <t>m2</t>
        </is>
      </c>
      <c r="G208" s="1803" t="n">
        <v>1911.23</v>
      </c>
      <c r="H208" s="1805" t="n">
        <v>93.8717</v>
      </c>
      <c r="I208" s="1805" t="n">
        <v>179410.409191</v>
      </c>
      <c r="J208" s="2128" t="n">
        <v>0.008260594587604817</v>
      </c>
      <c r="K208" s="1803" t="inlineStr"/>
    </row>
    <row r="209">
      <c r="A209" s="1816" t="inlineStr">
        <is>
          <t>7.1.1.3</t>
        </is>
      </c>
      <c r="B209" s="1815" t="n"/>
      <c r="C209" s="1814" t="n"/>
      <c r="D209" s="1814" t="n"/>
      <c r="E209" s="1813" t="inlineStr">
        <is>
          <t>REVESTIMENTO - PISO PORCELANATO EXT  (Laje)</t>
        </is>
      </c>
      <c r="F209" s="1810" t="inlineStr">
        <is>
          <t>m²</t>
        </is>
      </c>
      <c r="G209" s="1810" t="n">
        <v>174.83</v>
      </c>
      <c r="H209" s="1812" t="n">
        <v>0</v>
      </c>
      <c r="I209" s="1812" t="n">
        <v>0</v>
      </c>
      <c r="J209" s="2127" t="n"/>
      <c r="K209" s="1810" t="inlineStr"/>
    </row>
    <row r="210" ht="25.5" customHeight="1">
      <c r="A210" s="1809" t="inlineStr">
        <is>
          <t>7.1.1.4</t>
        </is>
      </c>
      <c r="B210" s="1808" t="n"/>
      <c r="C210" s="1807" t="n"/>
      <c r="D210" s="1807" t="n"/>
      <c r="E210" s="1806" t="inlineStr">
        <is>
          <t>PISO - A definir 104_REVESTIMENTO ESPELHO ESCADA - ESCADA PRESSURIZADA  -  COMPOSICAO A DEFINIR,  (Parede padrão)</t>
        </is>
      </c>
      <c r="F210" s="1803" t="inlineStr">
        <is>
          <t>m²</t>
        </is>
      </c>
      <c r="G210" s="1803" t="n">
        <v>50.53</v>
      </c>
      <c r="H210" s="1805" t="n">
        <v>0</v>
      </c>
      <c r="I210" s="1805" t="n">
        <v>0</v>
      </c>
      <c r="J210" s="2128" t="n"/>
      <c r="K210" s="1803" t="inlineStr"/>
    </row>
    <row r="211">
      <c r="A211" s="1816" t="inlineStr">
        <is>
          <t>7.1.1.5</t>
        </is>
      </c>
      <c r="B211" s="1815" t="n"/>
      <c r="C211" s="1814" t="n"/>
      <c r="D211" s="1814" t="n"/>
      <c r="E211" s="1813" t="inlineStr">
        <is>
          <t>REVESTIMENTO - PISO PORCELANATO,   (Parede padrão)</t>
        </is>
      </c>
      <c r="F211" s="1810" t="inlineStr">
        <is>
          <t>m²</t>
        </is>
      </c>
      <c r="G211" s="1810" t="n">
        <v>8.49</v>
      </c>
      <c r="H211" s="1812" t="n">
        <v>0</v>
      </c>
      <c r="I211" s="1812" t="n">
        <v>0</v>
      </c>
      <c r="J211" s="2127" t="n"/>
      <c r="K211" s="1810" t="inlineStr"/>
    </row>
    <row r="212">
      <c r="A212" s="222" t="inlineStr">
        <is>
          <t>7.1.2.</t>
        </is>
      </c>
      <c r="B212" s="1820" t="n"/>
      <c r="C212" s="1820" t="n"/>
      <c r="D212" s="1820" t="n"/>
      <c r="E212" s="1820" t="inlineStr">
        <is>
          <t>17.004. Acabamentos especiais em piso</t>
        </is>
      </c>
      <c r="F212" s="1817" t="n"/>
      <c r="G212" s="1817" t="n"/>
      <c r="H212" s="1819" t="n"/>
      <c r="I212" s="1819" t="n">
        <v>0</v>
      </c>
      <c r="J212" s="2126" t="n"/>
      <c r="K212" s="1817" t="inlineStr"/>
    </row>
    <row r="213">
      <c r="A213" s="1809" t="inlineStr">
        <is>
          <t>7.1.2.1</t>
        </is>
      </c>
      <c r="B213" s="1808" t="n"/>
      <c r="C213" s="1807" t="n"/>
      <c r="D213" s="1807" t="n"/>
      <c r="E213" s="1806" t="inlineStr">
        <is>
          <t>REVESTIMENTO - PISO DECK EXTERNO PRONTO  (Laje)</t>
        </is>
      </c>
      <c r="F213" s="1803" t="inlineStr">
        <is>
          <t>m²</t>
        </is>
      </c>
      <c r="G213" s="1803" t="n">
        <v>6.05</v>
      </c>
      <c r="H213" s="1805" t="n">
        <v>0</v>
      </c>
      <c r="I213" s="1805" t="n">
        <v>0</v>
      </c>
      <c r="J213" s="2128" t="n"/>
      <c r="K213" s="1803" t="inlineStr"/>
    </row>
    <row r="214">
      <c r="A214" s="1816" t="inlineStr">
        <is>
          <t>7.1.2.2</t>
        </is>
      </c>
      <c r="B214" s="1815" t="n"/>
      <c r="C214" s="1814" t="n"/>
      <c r="D214" s="1814" t="n"/>
      <c r="E214" s="1813" t="inlineStr">
        <is>
          <t>REVESTIMENTO - PISO EMBORRACHADO  (Laje)</t>
        </is>
      </c>
      <c r="F214" s="1810" t="inlineStr">
        <is>
          <t>m²</t>
        </is>
      </c>
      <c r="G214" s="1810" t="n">
        <v>68.91</v>
      </c>
      <c r="H214" s="1812" t="n">
        <v>0</v>
      </c>
      <c r="I214" s="1812" t="n">
        <v>0</v>
      </c>
      <c r="J214" s="2127" t="n"/>
      <c r="K214" s="1810" t="inlineStr"/>
    </row>
    <row r="215">
      <c r="A215" s="1809" t="inlineStr">
        <is>
          <t>7.1.2.3</t>
        </is>
      </c>
      <c r="B215" s="1808" t="n"/>
      <c r="C215" s="1807" t="n"/>
      <c r="D215" s="1807" t="n"/>
      <c r="E215" s="1806" t="inlineStr">
        <is>
          <t>REVESTIMENTO - PISO GRAMA  (Laje)</t>
        </is>
      </c>
      <c r="F215" s="1803" t="inlineStr">
        <is>
          <t>m²</t>
        </is>
      </c>
      <c r="G215" s="1803" t="n">
        <v>179.62</v>
      </c>
      <c r="H215" s="1805" t="n">
        <v>0</v>
      </c>
      <c r="I215" s="1805" t="n">
        <v>0</v>
      </c>
      <c r="J215" s="2128" t="n"/>
      <c r="K215" s="1803" t="inlineStr"/>
    </row>
    <row r="216">
      <c r="A216" s="1816" t="inlineStr">
        <is>
          <t>7.1.2.4</t>
        </is>
      </c>
      <c r="B216" s="1815" t="n"/>
      <c r="C216" s="1814" t="n"/>
      <c r="D216" s="1814" t="n"/>
      <c r="E216" s="1813" t="inlineStr">
        <is>
          <t>REVESTIMENTO - PISO PASTILHA  (Laje)</t>
        </is>
      </c>
      <c r="F216" s="1810" t="inlineStr">
        <is>
          <t>m²</t>
        </is>
      </c>
      <c r="G216" s="1810" t="n">
        <v>57.89</v>
      </c>
      <c r="H216" s="1812" t="n">
        <v>0</v>
      </c>
      <c r="I216" s="1812" t="n">
        <v>0</v>
      </c>
      <c r="J216" s="2127" t="n"/>
      <c r="K216" s="1810" t="inlineStr"/>
    </row>
    <row r="217">
      <c r="A217" s="1809" t="inlineStr">
        <is>
          <t>7.1.2.5</t>
        </is>
      </c>
      <c r="B217" s="1808" t="n"/>
      <c r="C217" s="1807" t="n"/>
      <c r="D217" s="1807" t="n"/>
      <c r="E217" s="1806" t="inlineStr">
        <is>
          <t>REVESTIMENTO - PISO VINILICO  (Laje)</t>
        </is>
      </c>
      <c r="F217" s="1803" t="inlineStr">
        <is>
          <t>m²</t>
        </is>
      </c>
      <c r="G217" s="1803" t="n">
        <v>142.53</v>
      </c>
      <c r="H217" s="1805" t="n">
        <v>0</v>
      </c>
      <c r="I217" s="1805" t="n">
        <v>0</v>
      </c>
      <c r="J217" s="2128" t="n"/>
      <c r="K217" s="1803" t="inlineStr"/>
    </row>
    <row r="218">
      <c r="A218" s="222" t="inlineStr">
        <is>
          <t>7.1.3.</t>
        </is>
      </c>
      <c r="B218" s="1820" t="n"/>
      <c r="C218" s="1820" t="n"/>
      <c r="D218" s="1820" t="n"/>
      <c r="E218" s="1820" t="inlineStr">
        <is>
          <t>17.005. Rodapés</t>
        </is>
      </c>
      <c r="F218" s="1817" t="n"/>
      <c r="G218" s="1817" t="n"/>
      <c r="H218" s="1819" t="n"/>
      <c r="I218" s="1819" t="n">
        <v>117933.1713470532</v>
      </c>
      <c r="J218" s="2126" t="n">
        <v>0.005429997742725226</v>
      </c>
      <c r="K218" s="1817" t="inlineStr"/>
    </row>
    <row r="219">
      <c r="A219" s="1816" t="inlineStr">
        <is>
          <t>7.1.3.1</t>
        </is>
      </c>
      <c r="B219" s="1815" t="n"/>
      <c r="C219" s="1814" t="n"/>
      <c r="D219" s="1814" t="n"/>
      <c r="E219" s="1813" t="inlineStr">
        <is>
          <t>CONFERÊNCIA RODAPE A DEFINIR - Xcm,  (Parede padrão)</t>
        </is>
      </c>
      <c r="F219" s="1810" t="inlineStr">
        <is>
          <t>m</t>
        </is>
      </c>
      <c r="G219" s="1810" t="n">
        <v>12.48</v>
      </c>
      <c r="H219" s="1812" t="n">
        <v>0</v>
      </c>
      <c r="I219" s="1812" t="n">
        <v>0</v>
      </c>
      <c r="J219" s="2127" t="n"/>
      <c r="K219" s="1810" t="inlineStr"/>
    </row>
    <row r="220" ht="25.5" customHeight="1">
      <c r="A220" s="1809" t="inlineStr">
        <is>
          <t>7.1.3.2</t>
        </is>
      </c>
      <c r="B220" s="1808" t="inlineStr">
        <is>
          <t>Thozen - Electra</t>
        </is>
      </c>
      <c r="C220" s="1807" t="inlineStr">
        <is>
          <t>COMPOSICAO</t>
        </is>
      </c>
      <c r="D220" s="1807" t="inlineStr">
        <is>
          <t>90521</t>
        </is>
      </c>
      <c r="E220" s="1806" t="inlineStr">
        <is>
          <t xml:space="preserve">Rodapé em poliestireno, altura 15cm </t>
        </is>
      </c>
      <c r="F220" s="1803" t="inlineStr">
        <is>
          <t>m</t>
        </is>
      </c>
      <c r="G220" s="1803" t="n">
        <v>1434.26</v>
      </c>
      <c r="H220" s="1805" t="n">
        <v>82.22579682</v>
      </c>
      <c r="I220" s="1805" t="n">
        <v>117933.1713470532</v>
      </c>
      <c r="J220" s="2128" t="n">
        <v>0.005429997742725226</v>
      </c>
      <c r="K220" s="1803" t="inlineStr"/>
    </row>
    <row r="221">
      <c r="A221" s="1816" t="inlineStr">
        <is>
          <t>7.1.3.3</t>
        </is>
      </c>
      <c r="B221" s="1815" t="n"/>
      <c r="C221" s="1814" t="n"/>
      <c r="D221" s="1814" t="n"/>
      <c r="E221" s="1813" t="inlineStr">
        <is>
          <t>RODAPE DE PORCELANATO - 15cm,  (Parede padrão)</t>
        </is>
      </c>
      <c r="F221" s="1810" t="inlineStr">
        <is>
          <t>m</t>
        </is>
      </c>
      <c r="G221" s="1810" t="n">
        <v>157.33</v>
      </c>
      <c r="H221" s="1812" t="n">
        <v>0</v>
      </c>
      <c r="I221" s="1812" t="n">
        <v>0</v>
      </c>
      <c r="J221" s="2127" t="n"/>
      <c r="K221" s="1810" t="inlineStr"/>
    </row>
    <row r="222">
      <c r="A222" s="1809" t="inlineStr">
        <is>
          <t>7.1.3.4</t>
        </is>
      </c>
      <c r="B222" s="1808" t="n"/>
      <c r="C222" s="1807" t="n"/>
      <c r="D222" s="1807" t="n"/>
      <c r="E222" s="1806" t="inlineStr">
        <is>
          <t>RODAPE PINTURA - 10cm,  (Parede padrão)</t>
        </is>
      </c>
      <c r="F222" s="1803" t="inlineStr">
        <is>
          <t>m</t>
        </is>
      </c>
      <c r="G222" s="1803" t="n">
        <v>165.55</v>
      </c>
      <c r="H222" s="1805" t="n">
        <v>0</v>
      </c>
      <c r="I222" s="1805" t="n">
        <v>0</v>
      </c>
      <c r="J222" s="2128" t="n"/>
      <c r="K222" s="1803" t="inlineStr"/>
    </row>
    <row r="223">
      <c r="A223" s="1816" t="inlineStr">
        <is>
          <t>7.1.3.5</t>
        </is>
      </c>
      <c r="B223" s="1815" t="n"/>
      <c r="C223" s="1814" t="n"/>
      <c r="D223" s="1814" t="n"/>
      <c r="E223" s="1813" t="inlineStr">
        <is>
          <t>SEM RODAPE,  (Parede padrão)</t>
        </is>
      </c>
      <c r="F223" s="1810" t="inlineStr">
        <is>
          <t>m</t>
        </is>
      </c>
      <c r="G223" s="1810" t="n">
        <v>467.36</v>
      </c>
      <c r="H223" s="1812" t="n">
        <v>0</v>
      </c>
      <c r="I223" s="1812" t="n">
        <v>0</v>
      </c>
      <c r="J223" s="2127" t="n"/>
      <c r="K223" s="1810" t="inlineStr"/>
    </row>
    <row r="224">
      <c r="A224" s="222" t="inlineStr">
        <is>
          <t>7.1.4.</t>
        </is>
      </c>
      <c r="B224" s="1820" t="n"/>
      <c r="C224" s="1820" t="n"/>
      <c r="D224" s="1820" t="n"/>
      <c r="E224" s="1820" t="inlineStr">
        <is>
          <t>17.006. Soleiras</t>
        </is>
      </c>
      <c r="F224" s="1817" t="n"/>
      <c r="G224" s="1817" t="n"/>
      <c r="H224" s="1819" t="n"/>
      <c r="I224" s="1819" t="n">
        <v>0</v>
      </c>
      <c r="J224" s="2126" t="n"/>
      <c r="K224" s="1817" t="inlineStr"/>
    </row>
    <row r="225">
      <c r="A225" s="1809" t="inlineStr">
        <is>
          <t>7.1.4.1</t>
        </is>
      </c>
      <c r="B225" s="1808" t="n"/>
      <c r="C225" s="1807" t="n"/>
      <c r="D225" s="1807" t="n"/>
      <c r="E225" s="1806" t="inlineStr">
        <is>
          <t>REVESTIMENTO - SOLEIRA,  SEM SOLEIRA  (Laje)</t>
        </is>
      </c>
      <c r="F225" s="1803" t="inlineStr">
        <is>
          <t>m²</t>
        </is>
      </c>
      <c r="G225" s="1803" t="n">
        <v>36.96</v>
      </c>
      <c r="H225" s="1805" t="n">
        <v>0</v>
      </c>
      <c r="I225" s="1805" t="n">
        <v>0</v>
      </c>
      <c r="J225" s="2128" t="n"/>
      <c r="K225" s="1803" t="inlineStr"/>
    </row>
    <row r="226">
      <c r="A226" s="1826" t="inlineStr">
        <is>
          <t>7.2.</t>
        </is>
      </c>
      <c r="B226" s="1825" t="n"/>
      <c r="C226" s="1824" t="n"/>
      <c r="D226" s="1824" t="n"/>
      <c r="E226" s="1824" t="inlineStr">
        <is>
          <t>ARQ_Impermeab</t>
        </is>
      </c>
      <c r="F226" s="1821" t="n"/>
      <c r="G226" s="1821" t="n"/>
      <c r="H226" s="1823" t="n"/>
      <c r="I226" s="1823" t="n">
        <v>0</v>
      </c>
      <c r="J226" s="2125" t="n"/>
      <c r="K226" s="1821" t="inlineStr"/>
    </row>
    <row r="227">
      <c r="A227" s="222" t="inlineStr">
        <is>
          <t>7.2.1.</t>
        </is>
      </c>
      <c r="B227" s="1820" t="n"/>
      <c r="C227" s="1820" t="n"/>
      <c r="D227" s="1820" t="n"/>
      <c r="E227" s="1820" t="inlineStr">
        <is>
          <t>17.004. Acabamentos especiais em piso</t>
        </is>
      </c>
      <c r="F227" s="1817" t="n"/>
      <c r="G227" s="1817" t="n"/>
      <c r="H227" s="1819" t="n"/>
      <c r="I227" s="1819" t="n">
        <v>0</v>
      </c>
      <c r="J227" s="2126" t="n"/>
      <c r="K227" s="1817" t="inlineStr"/>
    </row>
    <row r="228">
      <c r="A228" s="1816" t="inlineStr">
        <is>
          <t>7.2.1.1</t>
        </is>
      </c>
      <c r="B228" s="1815" t="n"/>
      <c r="C228" s="1814" t="n"/>
      <c r="D228" s="1814" t="n"/>
      <c r="E228" s="1813" t="inlineStr">
        <is>
          <t>REVESTIMENTO - PISO  (Laje)</t>
        </is>
      </c>
      <c r="F228" s="1810" t="inlineStr">
        <is>
          <t>m²</t>
        </is>
      </c>
      <c r="G228" s="1810" t="n">
        <v>582.79</v>
      </c>
      <c r="H228" s="1812" t="n">
        <v>0</v>
      </c>
      <c r="I228" s="1812" t="n">
        <v>0</v>
      </c>
      <c r="J228" s="2127" t="n"/>
      <c r="K228" s="1810" t="inlineStr"/>
    </row>
    <row r="229">
      <c r="A229" s="1826" t="inlineStr">
        <is>
          <t>7.3.</t>
        </is>
      </c>
      <c r="B229" s="1825" t="n"/>
      <c r="C229" s="1824" t="n"/>
      <c r="D229" s="1824" t="n"/>
      <c r="E229" s="1824" t="inlineStr">
        <is>
          <t>ARQ_Torre_A</t>
        </is>
      </c>
      <c r="F229" s="1821" t="n"/>
      <c r="G229" s="1821" t="n"/>
      <c r="H229" s="1823" t="n"/>
      <c r="I229" s="1823" t="n">
        <v>883795.1704456487</v>
      </c>
      <c r="J229" s="2125" t="n">
        <v>0.04069258653639388</v>
      </c>
      <c r="K229" s="1821" t="inlineStr"/>
    </row>
    <row r="230">
      <c r="A230" s="222" t="inlineStr">
        <is>
          <t>7.3.1.</t>
        </is>
      </c>
      <c r="B230" s="1820" t="n"/>
      <c r="C230" s="1820" t="n"/>
      <c r="D230" s="1820" t="n"/>
      <c r="E230" s="1820" t="inlineStr">
        <is>
          <t>17.001. Acabamentos cerâmicos em piso</t>
        </is>
      </c>
      <c r="F230" s="1817" t="n"/>
      <c r="G230" s="1817" t="n"/>
      <c r="H230" s="1819" t="n"/>
      <c r="I230" s="1819" t="n">
        <v>636302.7474310001</v>
      </c>
      <c r="J230" s="2126" t="n">
        <v>0.02929729136234683</v>
      </c>
      <c r="K230" s="1817" t="inlineStr"/>
    </row>
    <row r="231" ht="25.5" customHeight="1">
      <c r="A231" s="1809" t="inlineStr">
        <is>
          <t>7.3.1.1</t>
        </is>
      </c>
      <c r="B231" s="1808" t="inlineStr">
        <is>
          <t>Thozen - Electra</t>
        </is>
      </c>
      <c r="C231" s="1807" t="inlineStr">
        <is>
          <t>COMPOSICAO</t>
        </is>
      </c>
      <c r="D231" s="1807" t="inlineStr">
        <is>
          <t>4883</t>
        </is>
      </c>
      <c r="E231" s="1806" t="inlineStr">
        <is>
          <t xml:space="preserve"> Revestimento interno de piso porcelanato, placa 80x80, aplicação em áreas internas</t>
        </is>
      </c>
      <c r="F231" s="1803" t="inlineStr">
        <is>
          <t>m2</t>
        </is>
      </c>
      <c r="G231" s="1803" t="n">
        <v>6778.43</v>
      </c>
      <c r="H231" s="1805" t="n">
        <v>93.8717</v>
      </c>
      <c r="I231" s="1805" t="n">
        <v>636302.7474310001</v>
      </c>
      <c r="J231" s="2128" t="n">
        <v>0.02929729136234683</v>
      </c>
      <c r="K231" s="1803" t="inlineStr"/>
    </row>
    <row r="232" ht="25.5" customHeight="1">
      <c r="A232" s="1816" t="inlineStr">
        <is>
          <t>7.3.1.2</t>
        </is>
      </c>
      <c r="B232" s="1815" t="n"/>
      <c r="C232" s="1814" t="n"/>
      <c r="D232" s="1814" t="n"/>
      <c r="E232" s="1813" t="inlineStr">
        <is>
          <t>PISO - A definir 104_REVESTIMENTO ESPELHO ESCADA - ESCADA PRESSURIZADA  -  COMPOSICAO A DEFINIR,  (Parede padrão)</t>
        </is>
      </c>
      <c r="F232" s="1810" t="inlineStr">
        <is>
          <t>m²</t>
        </is>
      </c>
      <c r="G232" s="1810" t="n">
        <v>98.19</v>
      </c>
      <c r="H232" s="1812" t="n">
        <v>0</v>
      </c>
      <c r="I232" s="1812" t="n">
        <v>0</v>
      </c>
      <c r="J232" s="2127" t="n"/>
      <c r="K232" s="1810" t="inlineStr"/>
    </row>
    <row r="233">
      <c r="A233" s="222" t="inlineStr">
        <is>
          <t>7.3.2.</t>
        </is>
      </c>
      <c r="B233" s="1820" t="n"/>
      <c r="C233" s="1820" t="n"/>
      <c r="D233" s="1820" t="n"/>
      <c r="E233" s="1820" t="inlineStr">
        <is>
          <t>17.003. Acabamentos pedra em piso</t>
        </is>
      </c>
      <c r="F233" s="1817" t="n"/>
      <c r="G233" s="1817" t="n"/>
      <c r="H233" s="1819" t="n"/>
      <c r="I233" s="1819" t="n">
        <v>0</v>
      </c>
      <c r="J233" s="2126" t="n"/>
      <c r="K233" s="1817" t="inlineStr"/>
    </row>
    <row r="234">
      <c r="A234" s="1809" t="inlineStr">
        <is>
          <t>7.3.2.1</t>
        </is>
      </c>
      <c r="B234" s="1808" t="n"/>
      <c r="C234" s="1807" t="n"/>
      <c r="D234" s="1807" t="n"/>
      <c r="E234" s="1806" t="inlineStr">
        <is>
          <t>REVESTIMENTO - PISO PEDRA NATURAL  (Laje)</t>
        </is>
      </c>
      <c r="F234" s="1803" t="inlineStr">
        <is>
          <t>m²</t>
        </is>
      </c>
      <c r="G234" s="1803" t="n">
        <v>15.92</v>
      </c>
      <c r="H234" s="1805" t="n">
        <v>0</v>
      </c>
      <c r="I234" s="1805" t="n">
        <v>0</v>
      </c>
      <c r="J234" s="2128" t="n"/>
      <c r="K234" s="1803" t="inlineStr"/>
    </row>
    <row r="235">
      <c r="A235" s="222" t="inlineStr">
        <is>
          <t>7.3.3.</t>
        </is>
      </c>
      <c r="B235" s="1820" t="n"/>
      <c r="C235" s="1820" t="n"/>
      <c r="D235" s="1820" t="n"/>
      <c r="E235" s="1820" t="inlineStr">
        <is>
          <t>17.004. Acabamentos especiais em piso</t>
        </is>
      </c>
      <c r="F235" s="1817" t="n"/>
      <c r="G235" s="1817" t="n"/>
      <c r="H235" s="1819" t="n"/>
      <c r="I235" s="1819" t="n">
        <v>0</v>
      </c>
      <c r="J235" s="2126" t="n"/>
      <c r="K235" s="1817" t="inlineStr"/>
    </row>
    <row r="236">
      <c r="A236" s="1816" t="inlineStr">
        <is>
          <t>7.3.3.1</t>
        </is>
      </c>
      <c r="B236" s="1815" t="n"/>
      <c r="C236" s="1814" t="n"/>
      <c r="D236" s="1814" t="n"/>
      <c r="E236" s="1813" t="inlineStr">
        <is>
          <t>REVESTIMENTO - PISO VINILICO  (Laje)</t>
        </is>
      </c>
      <c r="F236" s="1810" t="inlineStr">
        <is>
          <t>m²</t>
        </is>
      </c>
      <c r="G236" s="1810" t="n">
        <v>3790.81</v>
      </c>
      <c r="H236" s="1812" t="n">
        <v>0</v>
      </c>
      <c r="I236" s="1812" t="n">
        <v>0</v>
      </c>
      <c r="J236" s="2127" t="n"/>
      <c r="K236" s="1810" t="inlineStr"/>
    </row>
    <row r="237">
      <c r="A237" s="222" t="inlineStr">
        <is>
          <t>7.3.4.</t>
        </is>
      </c>
      <c r="B237" s="1820" t="n"/>
      <c r="C237" s="1820" t="n"/>
      <c r="D237" s="1820" t="n"/>
      <c r="E237" s="1820" t="inlineStr">
        <is>
          <t>17.005. Rodapés</t>
        </is>
      </c>
      <c r="F237" s="1817" t="n"/>
      <c r="G237" s="1817" t="n"/>
      <c r="H237" s="1819" t="n"/>
      <c r="I237" s="1819" t="n">
        <v>238041.6468640886</v>
      </c>
      <c r="J237" s="2126" t="n">
        <v>0.01096015302889499</v>
      </c>
      <c r="K237" s="1817" t="inlineStr"/>
    </row>
    <row r="238" ht="25.5" customHeight="1">
      <c r="A238" s="1809" t="inlineStr">
        <is>
          <t>7.3.4.1</t>
        </is>
      </c>
      <c r="B238" s="1808" t="inlineStr">
        <is>
          <t>Thozen - Electra</t>
        </is>
      </c>
      <c r="C238" s="1807" t="inlineStr">
        <is>
          <t>COMPOSICAO</t>
        </is>
      </c>
      <c r="D238" s="1807" t="inlineStr">
        <is>
          <t>4882</t>
        </is>
      </c>
      <c r="E238" s="1806" t="inlineStr">
        <is>
          <t xml:space="preserve"> Rodapé em poliestireno, altura 10cm </t>
        </is>
      </c>
      <c r="F238" s="1803" t="inlineStr">
        <is>
          <t>m</t>
        </is>
      </c>
      <c r="G238" s="1803" t="n">
        <v>11426.45</v>
      </c>
      <c r="H238" s="1805" t="n">
        <v>17.65579682</v>
      </c>
      <c r="I238" s="1805" t="n">
        <v>201743.079573889</v>
      </c>
      <c r="J238" s="2128" t="n">
        <v>0.009288857869114068</v>
      </c>
      <c r="K238" s="1803" t="inlineStr"/>
    </row>
    <row r="239" ht="25.5" customHeight="1">
      <c r="A239" s="1816" t="inlineStr">
        <is>
          <t>7.3.4.2</t>
        </is>
      </c>
      <c r="B239" s="1815" t="inlineStr">
        <is>
          <t>Thozen - Electra</t>
        </is>
      </c>
      <c r="C239" s="1814" t="inlineStr">
        <is>
          <t>COMPOSICAO</t>
        </is>
      </c>
      <c r="D239" s="1814" t="inlineStr">
        <is>
          <t>90521</t>
        </is>
      </c>
      <c r="E239" s="1813" t="inlineStr">
        <is>
          <t xml:space="preserve">Rodapé em poliestireno, altura 15cm </t>
        </is>
      </c>
      <c r="F239" s="1810" t="inlineStr">
        <is>
          <t>m</t>
        </is>
      </c>
      <c r="G239" s="1810" t="n">
        <v>304.78</v>
      </c>
      <c r="H239" s="1812" t="n">
        <v>82.22579682</v>
      </c>
      <c r="I239" s="1812" t="n">
        <v>25060.7783547996</v>
      </c>
      <c r="J239" s="2127" t="n">
        <v>0.001153873573848392</v>
      </c>
      <c r="K239" s="1810" t="inlineStr"/>
    </row>
    <row r="240" ht="25.5" customHeight="1">
      <c r="A240" s="1809" t="inlineStr">
        <is>
          <t>7.3.4.3</t>
        </is>
      </c>
      <c r="B240" s="1808" t="inlineStr">
        <is>
          <t>Thozen - Electra</t>
        </is>
      </c>
      <c r="C240" s="1807" t="inlineStr">
        <is>
          <t>COMPOSICAO</t>
        </is>
      </c>
      <c r="D240" s="1807" t="inlineStr">
        <is>
          <t>4891</t>
        </is>
      </c>
      <c r="E240" s="1806" t="inlineStr">
        <is>
          <t xml:space="preserve"> Rodapé em porcelanato, altura 10cm, com placa 80x80</t>
        </is>
      </c>
      <c r="F240" s="1803" t="inlineStr">
        <is>
          <t>m</t>
        </is>
      </c>
      <c r="G240" s="1803" t="n">
        <v>1154.5</v>
      </c>
      <c r="H240" s="1805" t="n">
        <v>9.7339012</v>
      </c>
      <c r="I240" s="1805" t="n">
        <v>11237.7889354</v>
      </c>
      <c r="J240" s="2128" t="n">
        <v>0.0005174215859325253</v>
      </c>
      <c r="K240" s="1803" t="inlineStr"/>
    </row>
    <row r="241">
      <c r="A241" s="1816" t="inlineStr">
        <is>
          <t>7.3.4.4</t>
        </is>
      </c>
      <c r="B241" s="1815" t="n"/>
      <c r="C241" s="1814" t="n"/>
      <c r="D241" s="1814" t="n"/>
      <c r="E241" s="1813" t="inlineStr">
        <is>
          <t>RODAPE PINTURA - 10cm,  (Parede padrão)</t>
        </is>
      </c>
      <c r="F241" s="1810" t="inlineStr">
        <is>
          <t>m</t>
        </is>
      </c>
      <c r="G241" s="1810" t="n">
        <v>235.2</v>
      </c>
      <c r="H241" s="1812" t="n">
        <v>0</v>
      </c>
      <c r="I241" s="1812" t="n">
        <v>0</v>
      </c>
      <c r="J241" s="2127" t="n"/>
      <c r="K241" s="1810" t="inlineStr">
        <is>
          <t>rodapé da escada - pintura?</t>
        </is>
      </c>
    </row>
    <row r="242">
      <c r="A242" s="1809" t="inlineStr">
        <is>
          <t>7.3.4.5</t>
        </is>
      </c>
      <c r="B242" s="1808" t="n"/>
      <c r="C242" s="1807" t="n"/>
      <c r="D242" s="1807" t="n"/>
      <c r="E242" s="1806" t="inlineStr">
        <is>
          <t>SEM RODAPE,  (Parede padrão)</t>
        </is>
      </c>
      <c r="F242" s="1803" t="inlineStr">
        <is>
          <t>m</t>
        </is>
      </c>
      <c r="G242" s="1803" t="n">
        <v>71.75</v>
      </c>
      <c r="H242" s="1805" t="n">
        <v>0</v>
      </c>
      <c r="I242" s="1805" t="n">
        <v>0</v>
      </c>
      <c r="J242" s="2128" t="n"/>
      <c r="K242" s="1803" t="inlineStr">
        <is>
          <t>box do banheiro</t>
        </is>
      </c>
    </row>
    <row r="243">
      <c r="A243" s="222" t="inlineStr">
        <is>
          <t>7.3.5.</t>
        </is>
      </c>
      <c r="B243" s="1820" t="n"/>
      <c r="C243" s="1820" t="n"/>
      <c r="D243" s="1820" t="n"/>
      <c r="E243" s="1820" t="inlineStr">
        <is>
          <t>17.006. Soleiras</t>
        </is>
      </c>
      <c r="F243" s="1817" t="n"/>
      <c r="G243" s="1817" t="n"/>
      <c r="H243" s="1819" t="n"/>
      <c r="I243" s="1819" t="n">
        <v>9450.776150559999</v>
      </c>
      <c r="J243" s="2126" t="n">
        <v>0.00043514214515206</v>
      </c>
      <c r="K243" s="1817" t="inlineStr"/>
    </row>
    <row r="244" ht="25.5" customHeight="1">
      <c r="A244" s="1816" t="inlineStr">
        <is>
          <t>7.3.5.1</t>
        </is>
      </c>
      <c r="B244" s="1815" t="inlineStr">
        <is>
          <t>Thozen - Electra</t>
        </is>
      </c>
      <c r="C244" s="1814" t="inlineStr">
        <is>
          <t>COMPOSICAO</t>
        </is>
      </c>
      <c r="D244" s="1814" t="inlineStr">
        <is>
          <t>4898</t>
        </is>
      </c>
      <c r="E244" s="1813" t="inlineStr">
        <is>
          <t xml:space="preserve"> Soleira de granito, acabamento polido, espessura 2cm </t>
        </is>
      </c>
      <c r="F244" s="1810" t="inlineStr">
        <is>
          <t>m2</t>
        </is>
      </c>
      <c r="G244" s="1810" t="n">
        <v>15.92</v>
      </c>
      <c r="H244" s="1812" t="n">
        <v>593.641718</v>
      </c>
      <c r="I244" s="1812" t="n">
        <v>9450.776150559999</v>
      </c>
      <c r="J244" s="2127" t="n">
        <v>0.00043514214515206</v>
      </c>
      <c r="K244" s="1810" t="inlineStr"/>
    </row>
    <row r="245">
      <c r="A245" s="1809" t="inlineStr">
        <is>
          <t>7.3.5.2</t>
        </is>
      </c>
      <c r="B245" s="1808" t="n"/>
      <c r="C245" s="1807" t="n"/>
      <c r="D245" s="1807" t="n"/>
      <c r="E245" s="1806" t="inlineStr">
        <is>
          <t>REVESTIMENTO - SOLEIRA,  SEM SOLEIRA  (Laje)</t>
        </is>
      </c>
      <c r="F245" s="1803" t="inlineStr">
        <is>
          <t>m²</t>
        </is>
      </c>
      <c r="G245" s="1803" t="n">
        <v>149.96</v>
      </c>
      <c r="H245" s="1805" t="n">
        <v>0</v>
      </c>
      <c r="I245" s="1805" t="n">
        <v>0</v>
      </c>
      <c r="J245" s="2128" t="n"/>
      <c r="K245" s="1803" t="inlineStr">
        <is>
          <t>onde vão as soleiras?</t>
        </is>
      </c>
    </row>
    <row r="246">
      <c r="A246" s="1826" t="inlineStr">
        <is>
          <t>7.4.</t>
        </is>
      </c>
      <c r="B246" s="1825" t="n"/>
      <c r="C246" s="1824" t="n"/>
      <c r="D246" s="1824" t="n"/>
      <c r="E246" s="1824" t="inlineStr">
        <is>
          <t>ARQ_Torre_B</t>
        </is>
      </c>
      <c r="F246" s="1821" t="n"/>
      <c r="G246" s="1821" t="n"/>
      <c r="H246" s="1823" t="n"/>
      <c r="I246" s="1823" t="n">
        <v>868954.8178955013</v>
      </c>
      <c r="J246" s="2125" t="n">
        <v>0.04000929209151367</v>
      </c>
      <c r="K246" s="1821" t="inlineStr"/>
    </row>
    <row r="247">
      <c r="A247" s="222" t="inlineStr">
        <is>
          <t>7.4.1.</t>
        </is>
      </c>
      <c r="B247" s="1820" t="n"/>
      <c r="C247" s="1820" t="n"/>
      <c r="D247" s="1820" t="n"/>
      <c r="E247" s="1820" t="inlineStr">
        <is>
          <t>17.001. Acabamentos cerâmicos em piso</t>
        </is>
      </c>
      <c r="F247" s="1817" t="n"/>
      <c r="G247" s="1817" t="n"/>
      <c r="H247" s="1819" t="n"/>
      <c r="I247" s="1819" t="n">
        <v>601178.773442</v>
      </c>
      <c r="J247" s="2126" t="n">
        <v>0.02768007800924746</v>
      </c>
      <c r="K247" s="1817" t="inlineStr"/>
    </row>
    <row r="248" ht="25.5" customHeight="1">
      <c r="A248" s="1816" t="inlineStr">
        <is>
          <t>7.4.1.1</t>
        </is>
      </c>
      <c r="B248" s="1815" t="inlineStr">
        <is>
          <t>Thozen - Electra</t>
        </is>
      </c>
      <c r="C248" s="1814" t="inlineStr">
        <is>
          <t>COMPOSICAO</t>
        </is>
      </c>
      <c r="D248" s="1814" t="inlineStr">
        <is>
          <t>4883</t>
        </is>
      </c>
      <c r="E248" s="1813" t="inlineStr">
        <is>
          <t xml:space="preserve"> Revestimento interno de piso porcelanato, placa 80x80, aplicação em áreas internas</t>
        </is>
      </c>
      <c r="F248" s="1810" t="inlineStr">
        <is>
          <t>m2</t>
        </is>
      </c>
      <c r="G248" s="1810" t="n">
        <v>6404.26</v>
      </c>
      <c r="H248" s="1812" t="n">
        <v>93.8717</v>
      </c>
      <c r="I248" s="1812" t="n">
        <v>601178.773442</v>
      </c>
      <c r="J248" s="2127" t="n">
        <v>0.02768007800924746</v>
      </c>
      <c r="K248" s="1810" t="inlineStr"/>
    </row>
    <row r="249" ht="25.5" customHeight="1">
      <c r="A249" s="1809" t="inlineStr">
        <is>
          <t>7.4.1.2</t>
        </is>
      </c>
      <c r="B249" s="1808" t="n"/>
      <c r="C249" s="1807" t="n"/>
      <c r="D249" s="1807" t="n"/>
      <c r="E249" s="1806" t="inlineStr">
        <is>
          <t>PISO - A definir 104_REVESTIMENTO ESPELHO ESCADA - ESCADA PRESSURIZADA  -  COMPOSICAO A DEFINIR,  (Parede padrão)</t>
        </is>
      </c>
      <c r="F249" s="1803" t="inlineStr">
        <is>
          <t>m²</t>
        </is>
      </c>
      <c r="G249" s="1803" t="n">
        <v>95.97</v>
      </c>
      <c r="H249" s="1805" t="n">
        <v>0</v>
      </c>
      <c r="I249" s="1805" t="n">
        <v>0</v>
      </c>
      <c r="J249" s="2128" t="n"/>
      <c r="K249" s="1803" t="inlineStr"/>
    </row>
    <row r="250">
      <c r="A250" s="222" t="inlineStr">
        <is>
          <t>7.4.2.</t>
        </is>
      </c>
      <c r="B250" s="1820" t="n"/>
      <c r="C250" s="1820" t="n"/>
      <c r="D250" s="1820" t="n"/>
      <c r="E250" s="1820" t="inlineStr">
        <is>
          <t>17.003. Acabamentos pedra em piso</t>
        </is>
      </c>
      <c r="F250" s="1817" t="n"/>
      <c r="G250" s="1817" t="n"/>
      <c r="H250" s="1819" t="n"/>
      <c r="I250" s="1819" t="n">
        <v>0</v>
      </c>
      <c r="J250" s="2126" t="n"/>
      <c r="K250" s="1817" t="inlineStr"/>
    </row>
    <row r="251">
      <c r="A251" s="1816" t="inlineStr">
        <is>
          <t>7.4.2.1</t>
        </is>
      </c>
      <c r="B251" s="1815" t="n"/>
      <c r="C251" s="1814" t="n"/>
      <c r="D251" s="1814" t="n"/>
      <c r="E251" s="1813" t="inlineStr">
        <is>
          <t>REVESTIMENTO - PISO PEDRA NATURAL  (Laje)</t>
        </is>
      </c>
      <c r="F251" s="1810" t="inlineStr">
        <is>
          <t>m²</t>
        </is>
      </c>
      <c r="G251" s="1810" t="n">
        <v>17.12</v>
      </c>
      <c r="H251" s="1812" t="n">
        <v>0</v>
      </c>
      <c r="I251" s="1812" t="n">
        <v>0</v>
      </c>
      <c r="J251" s="2127" t="n"/>
      <c r="K251" s="1810" t="inlineStr"/>
    </row>
    <row r="252">
      <c r="A252" s="222" t="inlineStr">
        <is>
          <t>7.4.3.</t>
        </is>
      </c>
      <c r="B252" s="1820" t="n"/>
      <c r="C252" s="1820" t="n"/>
      <c r="D252" s="1820" t="n"/>
      <c r="E252" s="1820" t="inlineStr">
        <is>
          <t>17.004. Acabamentos especiais em piso</t>
        </is>
      </c>
      <c r="F252" s="1817" t="n"/>
      <c r="G252" s="1817" t="n"/>
      <c r="H252" s="1819" t="n"/>
      <c r="I252" s="1819" t="n">
        <v>0</v>
      </c>
      <c r="J252" s="2126" t="n"/>
      <c r="K252" s="1817" t="inlineStr"/>
    </row>
    <row r="253">
      <c r="A253" s="1809" t="inlineStr">
        <is>
          <t>7.4.3.1</t>
        </is>
      </c>
      <c r="B253" s="1808" t="n"/>
      <c r="C253" s="1807" t="n"/>
      <c r="D253" s="1807" t="n"/>
      <c r="E253" s="1806" t="inlineStr">
        <is>
          <t>REVESTIMENTO - PISO VINILICO  (Laje)</t>
        </is>
      </c>
      <c r="F253" s="1803" t="inlineStr">
        <is>
          <t>m²</t>
        </is>
      </c>
      <c r="G253" s="1803" t="n">
        <v>4028.01</v>
      </c>
      <c r="H253" s="1805" t="n">
        <v>0</v>
      </c>
      <c r="I253" s="1805" t="n">
        <v>0</v>
      </c>
      <c r="J253" s="2128" t="n"/>
      <c r="K253" s="1803" t="inlineStr"/>
    </row>
    <row r="254">
      <c r="A254" s="222" t="inlineStr">
        <is>
          <t>7.4.4.</t>
        </is>
      </c>
      <c r="B254" s="1820" t="n"/>
      <c r="C254" s="1820" t="n"/>
      <c r="D254" s="1820" t="n"/>
      <c r="E254" s="1820" t="inlineStr">
        <is>
          <t>17.005. Rodapés</t>
        </is>
      </c>
      <c r="F254" s="1817" t="n"/>
      <c r="G254" s="1817" t="n"/>
      <c r="H254" s="1819" t="n"/>
      <c r="I254" s="1819" t="n">
        <v>257612.8982413412</v>
      </c>
      <c r="J254" s="2126" t="n">
        <v>0.01186127227793182</v>
      </c>
      <c r="K254" s="1817" t="inlineStr"/>
    </row>
    <row r="255" ht="25.5" customHeight="1">
      <c r="A255" s="1816" t="inlineStr">
        <is>
          <t>7.4.4.1</t>
        </is>
      </c>
      <c r="B255" s="1815" t="inlineStr">
        <is>
          <t>Thozen - Electra</t>
        </is>
      </c>
      <c r="C255" s="1814" t="inlineStr">
        <is>
          <t>COMPOSICAO</t>
        </is>
      </c>
      <c r="D255" s="1814" t="inlineStr">
        <is>
          <t>4882</t>
        </is>
      </c>
      <c r="E255" s="1813" t="inlineStr">
        <is>
          <t xml:space="preserve"> Rodapé em poliestireno, altura 10cm </t>
        </is>
      </c>
      <c r="F255" s="1810" t="inlineStr">
        <is>
          <t>m</t>
        </is>
      </c>
      <c r="G255" s="1810" t="n">
        <v>12343.05</v>
      </c>
      <c r="H255" s="1812" t="n">
        <v>17.65579682</v>
      </c>
      <c r="I255" s="1812" t="n">
        <v>217926.382939101</v>
      </c>
      <c r="J255" s="2127" t="n">
        <v>0.01003398580673511</v>
      </c>
      <c r="K255" s="1810" t="inlineStr"/>
    </row>
    <row r="256" ht="25.5" customHeight="1">
      <c r="A256" s="1809" t="inlineStr">
        <is>
          <t>7.4.4.2</t>
        </is>
      </c>
      <c r="B256" s="1808" t="inlineStr">
        <is>
          <t>Thozen - Electra</t>
        </is>
      </c>
      <c r="C256" s="1807" t="inlineStr">
        <is>
          <t>COMPOSICAO</t>
        </is>
      </c>
      <c r="D256" s="1807" t="inlineStr">
        <is>
          <t>90521</t>
        </is>
      </c>
      <c r="E256" s="1806" t="inlineStr">
        <is>
          <t xml:space="preserve">Rodapé em poliestireno, altura 15cm </t>
        </is>
      </c>
      <c r="F256" s="1803" t="inlineStr">
        <is>
          <t>m</t>
        </is>
      </c>
      <c r="G256" s="1803" t="n">
        <v>311.21</v>
      </c>
      <c r="H256" s="1805" t="n">
        <v>82.22579682</v>
      </c>
      <c r="I256" s="1805" t="n">
        <v>25589.4902283522</v>
      </c>
      <c r="J256" s="2128" t="n">
        <v>0.001178217057934766</v>
      </c>
      <c r="K256" s="1803" t="inlineStr"/>
    </row>
    <row r="257" ht="25.5" customHeight="1">
      <c r="A257" s="1816" t="inlineStr">
        <is>
          <t>7.4.4.3</t>
        </is>
      </c>
      <c r="B257" s="1815" t="inlineStr">
        <is>
          <t>Thozen - Electra</t>
        </is>
      </c>
      <c r="C257" s="1814" t="inlineStr">
        <is>
          <t>COMPOSICAO</t>
        </is>
      </c>
      <c r="D257" s="1814" t="inlineStr">
        <is>
          <t>4891</t>
        </is>
      </c>
      <c r="E257" s="1813" t="inlineStr">
        <is>
          <t xml:space="preserve"> Rodapé em porcelanato, altura 10cm, com placa 80x80</t>
        </is>
      </c>
      <c r="F257" s="1810" t="inlineStr">
        <is>
          <t>m</t>
        </is>
      </c>
      <c r="G257" s="1810" t="n">
        <v>1448.24</v>
      </c>
      <c r="H257" s="1812" t="n">
        <v>9.7339012</v>
      </c>
      <c r="I257" s="1812" t="n">
        <v>14097.025073888</v>
      </c>
      <c r="J257" s="2127" t="n">
        <v>0.0006490694132619493</v>
      </c>
      <c r="K257" s="1810" t="inlineStr"/>
    </row>
    <row r="258">
      <c r="A258" s="1809" t="inlineStr">
        <is>
          <t>7.4.4.4</t>
        </is>
      </c>
      <c r="B258" s="1808" t="n"/>
      <c r="C258" s="1807" t="n"/>
      <c r="D258" s="1807" t="n"/>
      <c r="E258" s="1806" t="inlineStr">
        <is>
          <t>RODAPE PINTURA - 10cm,  (Parede padrão)</t>
        </is>
      </c>
      <c r="F258" s="1803" t="inlineStr">
        <is>
          <t>m</t>
        </is>
      </c>
      <c r="G258" s="1803" t="n">
        <v>364.43</v>
      </c>
      <c r="H258" s="1805" t="n">
        <v>0</v>
      </c>
      <c r="I258" s="1805" t="n">
        <v>0</v>
      </c>
      <c r="J258" s="2128" t="n"/>
      <c r="K258" s="1803" t="inlineStr"/>
    </row>
    <row r="259">
      <c r="A259" s="1816" t="inlineStr">
        <is>
          <t>7.4.4.5</t>
        </is>
      </c>
      <c r="B259" s="1815" t="n"/>
      <c r="C259" s="1814" t="n"/>
      <c r="D259" s="1814" t="n"/>
      <c r="E259" s="1813" t="inlineStr">
        <is>
          <t>SEM RODAPE,  (Parede padrão)</t>
        </is>
      </c>
      <c r="F259" s="1810" t="inlineStr">
        <is>
          <t>m</t>
        </is>
      </c>
      <c r="G259" s="1810" t="n">
        <v>87.84</v>
      </c>
      <c r="H259" s="1812" t="n">
        <v>0</v>
      </c>
      <c r="I259" s="1812" t="n">
        <v>0</v>
      </c>
      <c r="J259" s="2127" t="n"/>
      <c r="K259" s="1810" t="inlineStr"/>
    </row>
    <row r="260">
      <c r="A260" s="222" t="inlineStr">
        <is>
          <t>7.4.5.</t>
        </is>
      </c>
      <c r="B260" s="1820" t="n"/>
      <c r="C260" s="1820" t="n"/>
      <c r="D260" s="1820" t="n"/>
      <c r="E260" s="1820" t="inlineStr">
        <is>
          <t>17.006. Soleiras</t>
        </is>
      </c>
      <c r="F260" s="1817" t="n"/>
      <c r="G260" s="1817" t="n"/>
      <c r="H260" s="1819" t="n"/>
      <c r="I260" s="1819" t="n">
        <v>10163.14621216</v>
      </c>
      <c r="J260" s="2126" t="n">
        <v>0.0004679418043343762</v>
      </c>
      <c r="K260" s="1817" t="inlineStr"/>
    </row>
    <row r="261" ht="25.5" customHeight="1">
      <c r="A261" s="1809" t="inlineStr">
        <is>
          <t>7.4.5.1</t>
        </is>
      </c>
      <c r="B261" s="1808" t="inlineStr">
        <is>
          <t>Thozen - Electra</t>
        </is>
      </c>
      <c r="C261" s="1807" t="inlineStr">
        <is>
          <t>COMPOSICAO</t>
        </is>
      </c>
      <c r="D261" s="1807" t="inlineStr">
        <is>
          <t>4898</t>
        </is>
      </c>
      <c r="E261" s="1806" t="inlineStr">
        <is>
          <t xml:space="preserve"> Soleira de granito, acabamento polido, espessura 2cm </t>
        </is>
      </c>
      <c r="F261" s="1803" t="inlineStr">
        <is>
          <t>m2</t>
        </is>
      </c>
      <c r="G261" s="1803" t="n">
        <v>17.12</v>
      </c>
      <c r="H261" s="1805" t="n">
        <v>593.641718</v>
      </c>
      <c r="I261" s="1805" t="n">
        <v>10163.14621216</v>
      </c>
      <c r="J261" s="2128" t="n">
        <v>0.0004679418043343762</v>
      </c>
      <c r="K261" s="1803" t="inlineStr"/>
    </row>
    <row r="262">
      <c r="A262" s="1816" t="inlineStr">
        <is>
          <t>7.4.5.2</t>
        </is>
      </c>
      <c r="B262" s="1815" t="n"/>
      <c r="C262" s="1814" t="n"/>
      <c r="D262" s="1814" t="n"/>
      <c r="E262" s="1813" t="inlineStr">
        <is>
          <t>REVESTIMENTO - SOLEIRA,  SEM SOLEIRA  (Laje)</t>
        </is>
      </c>
      <c r="F262" s="1810" t="inlineStr">
        <is>
          <t>m²</t>
        </is>
      </c>
      <c r="G262" s="1810" t="n">
        <v>164.07</v>
      </c>
      <c r="H262" s="1812" t="n">
        <v>0</v>
      </c>
      <c r="I262" s="1812" t="n">
        <v>0</v>
      </c>
      <c r="J262" s="2127" t="n"/>
      <c r="K262" s="1810" t="inlineStr"/>
    </row>
    <row r="263">
      <c r="A263" s="1832" t="inlineStr">
        <is>
          <t>8.</t>
        </is>
      </c>
      <c r="B263" s="1831" t="n"/>
      <c r="C263" s="1830" t="n"/>
      <c r="D263" s="1830" t="n"/>
      <c r="E263" s="1830" t="inlineStr">
        <is>
          <t>18. SISTEMAS DE PINTURA INTERNA</t>
        </is>
      </c>
      <c r="F263" s="1827" t="n"/>
      <c r="G263" s="1827" t="n"/>
      <c r="H263" s="1829" t="n"/>
      <c r="I263" s="1829" t="n">
        <v>5651637.794951611</v>
      </c>
      <c r="J263" s="2124" t="n">
        <v>0.2602183941868076</v>
      </c>
      <c r="K263" s="1827" t="inlineStr"/>
    </row>
    <row r="264">
      <c r="A264" s="1826" t="inlineStr">
        <is>
          <t>8.1.</t>
        </is>
      </c>
      <c r="B264" s="1825" t="n"/>
      <c r="C264" s="1824" t="n"/>
      <c r="D264" s="1824" t="n"/>
      <c r="E264" s="1824" t="inlineStr">
        <is>
          <t>ARQ_Embasamento</t>
        </is>
      </c>
      <c r="F264" s="1821" t="n"/>
      <c r="G264" s="1821" t="n"/>
      <c r="H264" s="1823" t="n"/>
      <c r="I264" s="1823" t="n">
        <v>949739.9682463501</v>
      </c>
      <c r="J264" s="2125" t="n">
        <v>0.04372888327218268</v>
      </c>
      <c r="K264" s="1821" t="inlineStr"/>
    </row>
    <row r="265">
      <c r="A265" s="222" t="inlineStr">
        <is>
          <t>8.1.1.</t>
        </is>
      </c>
      <c r="B265" s="1820" t="n"/>
      <c r="C265" s="1820" t="n"/>
      <c r="D265" s="1820" t="n"/>
      <c r="E265" s="1820" t="inlineStr">
        <is>
          <t>18.001. Sistema de pintura em piso</t>
        </is>
      </c>
      <c r="F265" s="1817" t="n"/>
      <c r="G265" s="1817" t="n"/>
      <c r="H265" s="1819" t="n"/>
      <c r="I265" s="1819" t="n">
        <v>0</v>
      </c>
      <c r="J265" s="2126" t="n"/>
      <c r="K265" s="1817" t="inlineStr"/>
    </row>
    <row r="266">
      <c r="A266" s="1809" t="inlineStr">
        <is>
          <t>8.1.1.1</t>
        </is>
      </c>
      <c r="B266" s="1808" t="n"/>
      <c r="C266" s="1807" t="n"/>
      <c r="D266" s="1807" t="n"/>
      <c r="E266" s="1806" t="inlineStr">
        <is>
          <t>REVESTIMENTO - PISO PINTURA,</t>
        </is>
      </c>
      <c r="F266" s="1803" t="inlineStr">
        <is>
          <t>m²</t>
        </is>
      </c>
      <c r="G266" s="1803" t="n">
        <v>602.73</v>
      </c>
      <c r="H266" s="1805" t="n">
        <v>0</v>
      </c>
      <c r="I266" s="1805" t="n">
        <v>0</v>
      </c>
      <c r="J266" s="2128" t="n"/>
      <c r="K266" s="1803" t="inlineStr"/>
    </row>
    <row r="267">
      <c r="A267" s="222" t="inlineStr">
        <is>
          <t>8.1.2.</t>
        </is>
      </c>
      <c r="B267" s="1820" t="n"/>
      <c r="C267" s="1820" t="n"/>
      <c r="D267" s="1820" t="n"/>
      <c r="E267" s="1820" t="inlineStr">
        <is>
          <t>18.002. Sistemas de pintura em parede</t>
        </is>
      </c>
      <c r="F267" s="1817" t="n"/>
      <c r="G267" s="1817" t="n"/>
      <c r="H267" s="1819" t="n"/>
      <c r="I267" s="1819" t="n">
        <v>419337.4830525001</v>
      </c>
      <c r="J267" s="2126" t="n">
        <v>0.01930755834348254</v>
      </c>
      <c r="K267" s="1817" t="inlineStr"/>
    </row>
    <row r="268" ht="25.5" customHeight="1">
      <c r="A268" s="1816" t="inlineStr">
        <is>
          <t>8.1.2.1</t>
        </is>
      </c>
      <c r="B268" s="1815" t="inlineStr">
        <is>
          <t>Thozen - Electra</t>
        </is>
      </c>
      <c r="C268" s="1814" t="inlineStr">
        <is>
          <t>COMPOSICAO</t>
        </is>
      </c>
      <c r="D268" s="1814" t="inlineStr">
        <is>
          <t>90559</t>
        </is>
      </c>
      <c r="E268" s="1813" t="inlineStr">
        <is>
          <t>Massa latex acrílica em paredes internas 2 demaos</t>
        </is>
      </c>
      <c r="F268" s="1810" t="inlineStr">
        <is>
          <t>m2</t>
        </is>
      </c>
      <c r="G268" s="1810" t="n">
        <v>12354.28</v>
      </c>
      <c r="H268" s="1812" t="n">
        <v>11.9703</v>
      </c>
      <c r="I268" s="1812" t="n">
        <v>147884.437884</v>
      </c>
      <c r="J268" s="2127" t="n">
        <v>0.006809044094398246</v>
      </c>
      <c r="K268" s="1810" t="inlineStr"/>
    </row>
    <row r="269" ht="25.5" customHeight="1">
      <c r="A269" s="1809" t="inlineStr">
        <is>
          <t>8.1.2.2</t>
        </is>
      </c>
      <c r="B269" s="1808" t="inlineStr">
        <is>
          <t>Thozen - Electra</t>
        </is>
      </c>
      <c r="C269" s="1807" t="inlineStr">
        <is>
          <t>COMPOSICAO</t>
        </is>
      </c>
      <c r="D269" s="1807" t="inlineStr">
        <is>
          <t>4926</t>
        </is>
      </c>
      <c r="E269" s="1806" t="inlineStr">
        <is>
          <t xml:space="preserve"> Pintura com tinta acrílica em paredes internas, aplicação manual, 3 demãos</t>
        </is>
      </c>
      <c r="F269" s="1803" t="inlineStr">
        <is>
          <t>m2</t>
        </is>
      </c>
      <c r="G269" s="1803" t="n">
        <v>12354.28</v>
      </c>
      <c r="H269" s="1805" t="n">
        <v>20.0353125</v>
      </c>
      <c r="I269" s="1805" t="n">
        <v>247521.8605125</v>
      </c>
      <c r="J269" s="2128" t="n">
        <v>0.01139665056494393</v>
      </c>
      <c r="K269" s="1803" t="inlineStr"/>
    </row>
    <row r="270" ht="25.5" customHeight="1">
      <c r="A270" s="1816" t="inlineStr">
        <is>
          <t>8.1.2.3</t>
        </is>
      </c>
      <c r="B270" s="1815" t="inlineStr">
        <is>
          <t>Thozen - Electra</t>
        </is>
      </c>
      <c r="C270" s="1814" t="inlineStr">
        <is>
          <t>COMPOSICAO</t>
        </is>
      </c>
      <c r="D270" s="1814" t="inlineStr">
        <is>
          <t>4924</t>
        </is>
      </c>
      <c r="E270" s="1813" t="inlineStr">
        <is>
          <t xml:space="preserve"> Selador látex PVA, 1 demão</t>
        </is>
      </c>
      <c r="F270" s="1810" t="inlineStr">
        <is>
          <t>m2</t>
        </is>
      </c>
      <c r="G270" s="1810" t="n">
        <v>12977.35</v>
      </c>
      <c r="H270" s="1812" t="n">
        <v>1.398</v>
      </c>
      <c r="I270" s="1812" t="n">
        <v>18142.3353</v>
      </c>
      <c r="J270" s="2127" t="n">
        <v>0.0008353276571937597</v>
      </c>
      <c r="K270" s="1810" t="inlineStr"/>
    </row>
    <row r="271" ht="25.5" customHeight="1">
      <c r="A271" s="1809" t="inlineStr">
        <is>
          <t>8.1.2.4</t>
        </is>
      </c>
      <c r="B271" s="1808" t="inlineStr">
        <is>
          <t>Thozen - Electra</t>
        </is>
      </c>
      <c r="C271" s="1807" t="inlineStr">
        <is>
          <t>COMPOSICAO</t>
        </is>
      </c>
      <c r="D271" s="1807" t="inlineStr">
        <is>
          <t>4927</t>
        </is>
      </c>
      <c r="E271" s="1806" t="inlineStr">
        <is>
          <t xml:space="preserve"> Textura acrílica branca em paredes internas, acabamento suave, 1 demão</t>
        </is>
      </c>
      <c r="F271" s="1803" t="inlineStr">
        <is>
          <t>m2</t>
        </is>
      </c>
      <c r="G271" s="1803" t="n">
        <v>623.08</v>
      </c>
      <c r="H271" s="1805" t="n">
        <v>9.290699999999999</v>
      </c>
      <c r="I271" s="1805" t="n">
        <v>5788.849356</v>
      </c>
      <c r="J271" s="2128" t="n">
        <v>0.0002665360269466018</v>
      </c>
      <c r="K271" s="1803" t="inlineStr"/>
    </row>
    <row r="272">
      <c r="A272" s="222" t="inlineStr">
        <is>
          <t>8.1.3.</t>
        </is>
      </c>
      <c r="B272" s="1820" t="n"/>
      <c r="C272" s="1820" t="n"/>
      <c r="D272" s="1820" t="n"/>
      <c r="E272" s="1820" t="inlineStr">
        <is>
          <t>18.003. Sistema de pintura em teto</t>
        </is>
      </c>
      <c r="F272" s="1817" t="n"/>
      <c r="G272" s="1817" t="n"/>
      <c r="H272" s="1819" t="n"/>
      <c r="I272" s="1819" t="n">
        <v>84810.68519385</v>
      </c>
      <c r="J272" s="2126" t="n">
        <v>0.003904938906513111</v>
      </c>
      <c r="K272" s="1817" t="inlineStr"/>
    </row>
    <row r="273" ht="25.5" customHeight="1">
      <c r="A273" s="1816" t="inlineStr">
        <is>
          <t>8.1.3.1</t>
        </is>
      </c>
      <c r="B273" s="1815" t="inlineStr">
        <is>
          <t>Thozen - Electra</t>
        </is>
      </c>
      <c r="C273" s="1814" t="inlineStr">
        <is>
          <t>COMPOSICAO</t>
        </is>
      </c>
      <c r="D273" s="1814" t="inlineStr">
        <is>
          <t>4929</t>
        </is>
      </c>
      <c r="E273" s="1813" t="inlineStr">
        <is>
          <t xml:space="preserve"> Aplicação e lixamento de massa látex PVA em teto, 2 demãos</t>
        </is>
      </c>
      <c r="F273" s="1810" t="inlineStr">
        <is>
          <t>m2</t>
        </is>
      </c>
      <c r="G273" s="1810" t="n">
        <v>1605.39</v>
      </c>
      <c r="H273" s="1812" t="n">
        <v>2.8</v>
      </c>
      <c r="I273" s="1812" t="n">
        <v>4495.092</v>
      </c>
      <c r="J273" s="2127" t="n">
        <v>0.0002069675489478144</v>
      </c>
      <c r="K273" s="1810" t="inlineStr"/>
    </row>
    <row r="274" ht="25.5" customHeight="1">
      <c r="A274" s="1809" t="inlineStr">
        <is>
          <t>8.1.3.2</t>
        </is>
      </c>
      <c r="B274" s="1808" t="inlineStr">
        <is>
          <t>Thozen - Electra</t>
        </is>
      </c>
      <c r="C274" s="1807" t="inlineStr">
        <is>
          <t>COMPOSICAO</t>
        </is>
      </c>
      <c r="D274" s="1807" t="inlineStr">
        <is>
          <t>4930</t>
        </is>
      </c>
      <c r="E274" s="1806" t="inlineStr">
        <is>
          <t xml:space="preserve"> Pintura com tinta látex em teto, acabamento fosco, aplicação manual, 3 demãos</t>
        </is>
      </c>
      <c r="F274" s="1803" t="inlineStr">
        <is>
          <t>m2</t>
        </is>
      </c>
      <c r="G274" s="1803" t="n">
        <v>1605.39</v>
      </c>
      <c r="H274" s="1805" t="n">
        <v>20.033479</v>
      </c>
      <c r="I274" s="1805" t="n">
        <v>32161.54685181</v>
      </c>
      <c r="J274" s="2128" t="n">
        <v>0.001480814301974112</v>
      </c>
      <c r="K274" s="1803" t="inlineStr"/>
    </row>
    <row r="275" ht="25.5" customHeight="1">
      <c r="A275" s="1816" t="inlineStr">
        <is>
          <t>8.1.3.3</t>
        </is>
      </c>
      <c r="B275" s="1815" t="inlineStr">
        <is>
          <t>Thozen - Electra</t>
        </is>
      </c>
      <c r="C275" s="1814" t="inlineStr">
        <is>
          <t>COMPOSICAO</t>
        </is>
      </c>
      <c r="D275" s="1814" t="inlineStr">
        <is>
          <t>1481</t>
        </is>
      </c>
      <c r="E275" s="1813" t="inlineStr">
        <is>
          <t>Textura acrilica aplicacao em teto, 1 demão, incluindo aplicação de uma demão de fundo selador látex pva</t>
        </is>
      </c>
      <c r="F275" s="1810" t="inlineStr">
        <is>
          <t>m2</t>
        </is>
      </c>
      <c r="G275" s="1810" t="n">
        <v>5054.89</v>
      </c>
      <c r="H275" s="1812" t="n">
        <v>9.171036000000001</v>
      </c>
      <c r="I275" s="1812" t="n">
        <v>46358.57816604001</v>
      </c>
      <c r="J275" s="2127" t="n">
        <v>0.002134488303182886</v>
      </c>
      <c r="K275" s="1810" t="inlineStr"/>
    </row>
    <row r="276" ht="25.5" customHeight="1">
      <c r="A276" s="1809" t="inlineStr">
        <is>
          <t>8.1.3.4</t>
        </is>
      </c>
      <c r="B276" s="1808" t="inlineStr">
        <is>
          <t>Thozen - Electra</t>
        </is>
      </c>
      <c r="C276" s="1807" t="inlineStr">
        <is>
          <t>COMPOSICAO</t>
        </is>
      </c>
      <c r="D276" s="1807" t="inlineStr">
        <is>
          <t>245</t>
        </is>
      </c>
      <c r="E276" s="1806" t="inlineStr">
        <is>
          <t>Fundo selador latex PVA em teto, 1 demao</t>
        </is>
      </c>
      <c r="F276" s="1803" t="inlineStr">
        <is>
          <t>m2</t>
        </is>
      </c>
      <c r="G276" s="1803" t="n">
        <v>1605.39</v>
      </c>
      <c r="H276" s="1805" t="n">
        <v>1.1184</v>
      </c>
      <c r="I276" s="1805" t="n">
        <v>1795.468176</v>
      </c>
      <c r="J276" s="2128" t="n">
        <v>8.266875240829847e-05</v>
      </c>
      <c r="K276" s="1803" t="inlineStr"/>
    </row>
    <row r="277">
      <c r="A277" s="1816" t="inlineStr">
        <is>
          <t>8.1.3.5</t>
        </is>
      </c>
      <c r="B277" s="1815" t="n"/>
      <c r="C277" s="1814" t="n"/>
      <c r="D277" s="1814" t="n"/>
      <c r="E277" s="1813" t="inlineStr">
        <is>
          <t>TEXTURA EM TETO</t>
        </is>
      </c>
      <c r="F277" s="1810" t="inlineStr">
        <is>
          <t>m²</t>
        </is>
      </c>
      <c r="G277" s="1810" t="n">
        <v>5054.89</v>
      </c>
      <c r="H277" s="1812" t="n">
        <v>0</v>
      </c>
      <c r="I277" s="1812" t="n">
        <v>0</v>
      </c>
      <c r="J277" s="2127" t="n"/>
      <c r="K277" s="1810" t="inlineStr"/>
    </row>
    <row r="278">
      <c r="A278" s="222" t="inlineStr">
        <is>
          <t>8.1.4.</t>
        </is>
      </c>
      <c r="B278" s="1820" t="n"/>
      <c r="C278" s="1820" t="n"/>
      <c r="D278" s="1820" t="n"/>
      <c r="E278" s="1820" t="inlineStr">
        <is>
          <t>18.004. Pintura diversas</t>
        </is>
      </c>
      <c r="F278" s="1817" t="n"/>
      <c r="G278" s="1817" t="n"/>
      <c r="H278" s="1819" t="n"/>
      <c r="I278" s="1819" t="n">
        <v>0</v>
      </c>
      <c r="J278" s="2126" t="n"/>
      <c r="K278" s="1817" t="inlineStr"/>
    </row>
    <row r="279">
      <c r="A279" s="1809" t="inlineStr">
        <is>
          <t>8.1.4.1</t>
        </is>
      </c>
      <c r="B279" s="1808" t="n"/>
      <c r="C279" s="1807" t="n"/>
      <c r="D279" s="1807" t="n"/>
      <c r="E279" s="1806" t="inlineStr">
        <is>
          <t>REVESTIMENTO INTERNO, PAREDE -  FAIXAS DE GARAGEM</t>
        </is>
      </c>
      <c r="F279" s="1803" t="inlineStr">
        <is>
          <t>m²</t>
        </is>
      </c>
      <c r="G279" s="1803" t="n"/>
      <c r="H279" s="1805" t="n">
        <v>0</v>
      </c>
      <c r="I279" s="1805" t="n">
        <v>0</v>
      </c>
      <c r="J279" s="2128" t="n"/>
      <c r="K279" s="1803" t="inlineStr"/>
    </row>
    <row r="280">
      <c r="A280" s="222" t="inlineStr">
        <is>
          <t>8.1.5.</t>
        </is>
      </c>
      <c r="B280" s="1820" t="n"/>
      <c r="C280" s="1820" t="n"/>
      <c r="D280" s="1820" t="n"/>
      <c r="E280" s="1820" t="inlineStr">
        <is>
          <t>18.005. Mão de obra</t>
        </is>
      </c>
      <c r="F280" s="1817" t="n"/>
      <c r="G280" s="1817" t="n"/>
      <c r="H280" s="1819" t="n"/>
      <c r="I280" s="1819" t="n">
        <v>445591.8</v>
      </c>
      <c r="J280" s="2126" t="n">
        <v>0.02051638602218703</v>
      </c>
      <c r="K280" s="1817" t="inlineStr"/>
    </row>
    <row r="281" ht="25.5" customHeight="1">
      <c r="A281" s="1816" t="inlineStr">
        <is>
          <t>8.1.5.1</t>
        </is>
      </c>
      <c r="B281" s="1815" t="inlineStr">
        <is>
          <t>Thozen - Electra</t>
        </is>
      </c>
      <c r="C281" s="1814" t="inlineStr">
        <is>
          <t>COMPOSICAO</t>
        </is>
      </c>
      <c r="D281" s="1814" t="inlineStr">
        <is>
          <t>4937</t>
        </is>
      </c>
      <c r="E281" s="1813" t="inlineStr">
        <is>
          <t xml:space="preserve"> Mão de obra para pintura acrílica em paredes internas, 3 demãos</t>
        </is>
      </c>
      <c r="F281" s="1810" t="inlineStr">
        <is>
          <t>m2</t>
        </is>
      </c>
      <c r="G281" s="1810" t="n">
        <v>12354.28</v>
      </c>
      <c r="H281" s="1812" t="n">
        <v>34</v>
      </c>
      <c r="I281" s="1812" t="n">
        <v>420045.52</v>
      </c>
      <c r="J281" s="2127" t="n">
        <v>0.01934015849306536</v>
      </c>
      <c r="K281" s="1810" t="inlineStr"/>
    </row>
    <row r="282" ht="25.5" customHeight="1">
      <c r="A282" s="1809" t="inlineStr">
        <is>
          <t>8.1.5.2</t>
        </is>
      </c>
      <c r="B282" s="1808" t="inlineStr">
        <is>
          <t>Thozen - Electra</t>
        </is>
      </c>
      <c r="C282" s="1807" t="inlineStr">
        <is>
          <t>COMPOSICAO</t>
        </is>
      </c>
      <c r="D282" s="1807" t="inlineStr">
        <is>
          <t>80040</t>
        </is>
      </c>
      <c r="E282" s="1806" t="inlineStr">
        <is>
          <t xml:space="preserve"> Mão de obra para aplicação de textura acrílica em paredes internas, 2 demãos</t>
        </is>
      </c>
      <c r="F282" s="1803" t="inlineStr">
        <is>
          <t>m2</t>
        </is>
      </c>
      <c r="G282" s="1803" t="n">
        <v>623.08</v>
      </c>
      <c r="H282" s="1805" t="n">
        <v>41</v>
      </c>
      <c r="I282" s="1805" t="n">
        <v>25546.28</v>
      </c>
      <c r="J282" s="2128" t="n">
        <v>0.001176227529121667</v>
      </c>
      <c r="K282" s="1803" t="inlineStr"/>
    </row>
    <row r="283">
      <c r="A283" s="1826" t="inlineStr">
        <is>
          <t>8.2.</t>
        </is>
      </c>
      <c r="B283" s="1825" t="n"/>
      <c r="C283" s="1824" t="n"/>
      <c r="D283" s="1824" t="n"/>
      <c r="E283" s="1824" t="inlineStr">
        <is>
          <t>ARQ_Torre_A</t>
        </is>
      </c>
      <c r="F283" s="1821" t="n"/>
      <c r="G283" s="1821" t="n"/>
      <c r="H283" s="1823" t="n"/>
      <c r="I283" s="1823" t="n">
        <v>2463560.753776115</v>
      </c>
      <c r="J283" s="2125" t="n">
        <v>0.1134297431271869</v>
      </c>
      <c r="K283" s="1821" t="inlineStr"/>
    </row>
    <row r="284">
      <c r="A284" s="222" t="inlineStr">
        <is>
          <t>8.2.1.</t>
        </is>
      </c>
      <c r="B284" s="1820" t="n"/>
      <c r="C284" s="1820" t="n"/>
      <c r="D284" s="1820" t="n"/>
      <c r="E284" s="1820" t="inlineStr">
        <is>
          <t>18.001. Sistema de pintura em piso</t>
        </is>
      </c>
      <c r="F284" s="1817" t="n"/>
      <c r="G284" s="1817" t="n"/>
      <c r="H284" s="1819" t="n"/>
      <c r="I284" s="1819" t="n">
        <v>0</v>
      </c>
      <c r="J284" s="2126" t="n"/>
      <c r="K284" s="1817" t="inlineStr"/>
    </row>
    <row r="285">
      <c r="A285" s="1816" t="inlineStr">
        <is>
          <t>8.2.1.1</t>
        </is>
      </c>
      <c r="B285" s="1815" t="n"/>
      <c r="C285" s="1814" t="n"/>
      <c r="D285" s="1814" t="n"/>
      <c r="E285" s="1813" t="inlineStr">
        <is>
          <t>REVESTIMENTO - PISO PINTURA,</t>
        </is>
      </c>
      <c r="F285" s="1810" t="inlineStr">
        <is>
          <t>m²</t>
        </is>
      </c>
      <c r="G285" s="1810" t="n">
        <v>916.4</v>
      </c>
      <c r="H285" s="1812" t="n">
        <v>0</v>
      </c>
      <c r="I285" s="1812" t="n">
        <v>0</v>
      </c>
      <c r="J285" s="2127" t="n"/>
      <c r="K285" s="1810" t="inlineStr">
        <is>
          <t>PINTURA DA PAREDE DA ESCADA</t>
        </is>
      </c>
    </row>
    <row r="286">
      <c r="A286" s="222" t="inlineStr">
        <is>
          <t>8.2.2.</t>
        </is>
      </c>
      <c r="B286" s="1820" t="n"/>
      <c r="C286" s="1820" t="n"/>
      <c r="D286" s="1820" t="n"/>
      <c r="E286" s="1820" t="inlineStr">
        <is>
          <t>18.002. Sistemas de pintura em parede</t>
        </is>
      </c>
      <c r="F286" s="1817" t="n"/>
      <c r="G286" s="1817" t="n"/>
      <c r="H286" s="1819" t="n"/>
      <c r="I286" s="1819" t="n">
        <v>1086526.759063875</v>
      </c>
      <c r="J286" s="2126" t="n">
        <v>0.050026958333592</v>
      </c>
      <c r="K286" s="1817" t="inlineStr"/>
    </row>
    <row r="287" ht="25.5" customHeight="1">
      <c r="A287" s="1809" t="inlineStr">
        <is>
          <t>8.2.2.1</t>
        </is>
      </c>
      <c r="B287" s="1808" t="inlineStr">
        <is>
          <t>Thozen - Electra</t>
        </is>
      </c>
      <c r="C287" s="1807" t="inlineStr">
        <is>
          <t>COMPOSICAO</t>
        </is>
      </c>
      <c r="D287" s="1807" t="inlineStr">
        <is>
          <t>90559</t>
        </is>
      </c>
      <c r="E287" s="1806" t="inlineStr">
        <is>
          <t>Massa latex acrílica em paredes internas 2 demaos</t>
        </is>
      </c>
      <c r="F287" s="1803" t="inlineStr">
        <is>
          <t>m2</t>
        </is>
      </c>
      <c r="G287" s="1803" t="n">
        <v>32255.03</v>
      </c>
      <c r="H287" s="1805" t="n">
        <v>11.9703</v>
      </c>
      <c r="I287" s="1805" t="n">
        <v>386102.385609</v>
      </c>
      <c r="J287" s="2128" t="n">
        <v>0.01777731454493003</v>
      </c>
      <c r="K287" s="1803" t="inlineStr"/>
    </row>
    <row r="288" ht="25.5" customHeight="1">
      <c r="A288" s="1816" t="inlineStr">
        <is>
          <t>8.2.2.2</t>
        </is>
      </c>
      <c r="B288" s="1815" t="inlineStr">
        <is>
          <t>Thozen - Electra</t>
        </is>
      </c>
      <c r="C288" s="1814" t="inlineStr">
        <is>
          <t>COMPOSICAO</t>
        </is>
      </c>
      <c r="D288" s="1814" t="inlineStr">
        <is>
          <t>4926</t>
        </is>
      </c>
      <c r="E288" s="1813" t="inlineStr">
        <is>
          <t xml:space="preserve"> Pintura com tinta acrílica em paredes internas, aplicação manual, 3 demãos</t>
        </is>
      </c>
      <c r="F288" s="1810" t="inlineStr">
        <is>
          <t>m2</t>
        </is>
      </c>
      <c r="G288" s="1810" t="n">
        <v>32255.03</v>
      </c>
      <c r="H288" s="1812" t="n">
        <v>20.0353125</v>
      </c>
      <c r="I288" s="1812" t="n">
        <v>646239.6057468749</v>
      </c>
      <c r="J288" s="2127" t="n">
        <v>0.0297548141916634</v>
      </c>
      <c r="K288" s="1810" t="inlineStr"/>
    </row>
    <row r="289" ht="25.5" customHeight="1">
      <c r="A289" s="1809" t="inlineStr">
        <is>
          <t>8.2.2.3</t>
        </is>
      </c>
      <c r="B289" s="1808" t="inlineStr">
        <is>
          <t>Thozen - Electra</t>
        </is>
      </c>
      <c r="C289" s="1807" t="inlineStr">
        <is>
          <t>COMPOSICAO</t>
        </is>
      </c>
      <c r="D289" s="1807" t="inlineStr">
        <is>
          <t>4924</t>
        </is>
      </c>
      <c r="E289" s="1806" t="inlineStr">
        <is>
          <t xml:space="preserve"> Selador látex PVA, 1 demão</t>
        </is>
      </c>
      <c r="F289" s="1803" t="inlineStr">
        <is>
          <t>m2</t>
        </is>
      </c>
      <c r="G289" s="1803" t="n">
        <v>33105.67</v>
      </c>
      <c r="H289" s="1805" t="n">
        <v>1.398</v>
      </c>
      <c r="I289" s="1805" t="n">
        <v>46281.72665999999</v>
      </c>
      <c r="J289" s="2128" t="n">
        <v>0.002130949828811717</v>
      </c>
      <c r="K289" s="1803" t="inlineStr"/>
    </row>
    <row r="290" ht="25.5" customHeight="1">
      <c r="A290" s="1816" t="inlineStr">
        <is>
          <t>8.2.2.4</t>
        </is>
      </c>
      <c r="B290" s="1815" t="inlineStr">
        <is>
          <t>Thozen - Electra</t>
        </is>
      </c>
      <c r="C290" s="1814" t="inlineStr">
        <is>
          <t>COMPOSICAO</t>
        </is>
      </c>
      <c r="D290" s="1814" t="inlineStr">
        <is>
          <t>4927</t>
        </is>
      </c>
      <c r="E290" s="1813" t="inlineStr">
        <is>
          <t xml:space="preserve"> Textura acrílica branca em paredes internas, acabamento suave, 1 demão</t>
        </is>
      </c>
      <c r="F290" s="1810" t="inlineStr">
        <is>
          <t>m2</t>
        </is>
      </c>
      <c r="G290" s="1810" t="n">
        <v>850.64</v>
      </c>
      <c r="H290" s="1812" t="n">
        <v>9.290699999999999</v>
      </c>
      <c r="I290" s="1812" t="n">
        <v>7903.041047999999</v>
      </c>
      <c r="J290" s="2127" t="n">
        <v>0.0003638797681868417</v>
      </c>
      <c r="K290" s="1810" t="inlineStr"/>
    </row>
    <row r="291">
      <c r="A291" s="222" t="inlineStr">
        <is>
          <t>8.2.3.</t>
        </is>
      </c>
      <c r="B291" s="1820" t="n"/>
      <c r="C291" s="1820" t="n"/>
      <c r="D291" s="1820" t="n"/>
      <c r="E291" s="1820" t="inlineStr">
        <is>
          <t>18.003. Sistema de pintura em teto</t>
        </is>
      </c>
      <c r="F291" s="1817" t="n"/>
      <c r="G291" s="1817" t="n"/>
      <c r="H291" s="1819" t="n"/>
      <c r="I291" s="1819" t="n">
        <v>245486.73471224</v>
      </c>
      <c r="J291" s="2126" t="n">
        <v>0.01130294725504943</v>
      </c>
      <c r="K291" s="1817" t="inlineStr"/>
    </row>
    <row r="292" ht="25.5" customHeight="1">
      <c r="A292" s="1809" t="inlineStr">
        <is>
          <t>8.2.3.1</t>
        </is>
      </c>
      <c r="B292" s="1808" t="inlineStr">
        <is>
          <t>Thozen - Electra</t>
        </is>
      </c>
      <c r="C292" s="1807" t="inlineStr">
        <is>
          <t>COMPOSICAO</t>
        </is>
      </c>
      <c r="D292" s="1807" t="inlineStr">
        <is>
          <t>4929</t>
        </is>
      </c>
      <c r="E292" s="1806" t="inlineStr">
        <is>
          <t xml:space="preserve"> Aplicação e lixamento de massa látex PVA em teto, 2 demãos</t>
        </is>
      </c>
      <c r="F292" s="1803" t="inlineStr">
        <is>
          <t>m2</t>
        </is>
      </c>
      <c r="G292" s="1803" t="n">
        <v>10112.8</v>
      </c>
      <c r="H292" s="1805" t="n">
        <v>2.8</v>
      </c>
      <c r="I292" s="1805" t="n">
        <v>28315.84</v>
      </c>
      <c r="J292" s="2128" t="n">
        <v>0.001303746397448257</v>
      </c>
      <c r="K292" s="1803" t="inlineStr"/>
    </row>
    <row r="293" ht="25.5" customHeight="1">
      <c r="A293" s="1816" t="inlineStr">
        <is>
          <t>8.2.3.2</t>
        </is>
      </c>
      <c r="B293" s="1815" t="inlineStr">
        <is>
          <t>Thozen - Electra</t>
        </is>
      </c>
      <c r="C293" s="1814" t="inlineStr">
        <is>
          <t>COMPOSICAO</t>
        </is>
      </c>
      <c r="D293" s="1814" t="inlineStr">
        <is>
          <t>4930</t>
        </is>
      </c>
      <c r="E293" s="1813" t="inlineStr">
        <is>
          <t xml:space="preserve"> Pintura com tinta látex em teto, acabamento fosco, aplicação manual, 3 demãos</t>
        </is>
      </c>
      <c r="F293" s="1810" t="inlineStr">
        <is>
          <t>m2</t>
        </is>
      </c>
      <c r="G293" s="1810" t="n">
        <v>10112.8</v>
      </c>
      <c r="H293" s="1812" t="n">
        <v>20.033479</v>
      </c>
      <c r="I293" s="1812" t="n">
        <v>202594.5664312</v>
      </c>
      <c r="J293" s="2127" t="n">
        <v>0.009328062883787612</v>
      </c>
      <c r="K293" s="1810" t="inlineStr"/>
    </row>
    <row r="294" ht="25.5" customHeight="1">
      <c r="A294" s="1809" t="inlineStr">
        <is>
          <t>8.2.3.3</t>
        </is>
      </c>
      <c r="B294" s="1808" t="inlineStr">
        <is>
          <t>Thozen - Electra</t>
        </is>
      </c>
      <c r="C294" s="1807" t="inlineStr">
        <is>
          <t>COMPOSICAO</t>
        </is>
      </c>
      <c r="D294" s="1807" t="inlineStr">
        <is>
          <t>1481</t>
        </is>
      </c>
      <c r="E294" s="1806" t="inlineStr">
        <is>
          <t>Textura acrilica aplicacao em teto, 1 demão, incluindo aplicação de uma demão de fundo selador látex pva</t>
        </is>
      </c>
      <c r="F294" s="1803" t="inlineStr">
        <is>
          <t>m2</t>
        </is>
      </c>
      <c r="G294" s="1803" t="n">
        <v>356.14</v>
      </c>
      <c r="H294" s="1805" t="n">
        <v>9.171036000000001</v>
      </c>
      <c r="I294" s="1805" t="n">
        <v>3266.17276104</v>
      </c>
      <c r="J294" s="2128" t="n">
        <v>0.0001503844127756594</v>
      </c>
      <c r="K294" s="1803" t="inlineStr"/>
    </row>
    <row r="295" ht="25.5" customHeight="1">
      <c r="A295" s="1816" t="inlineStr">
        <is>
          <t>8.2.3.4</t>
        </is>
      </c>
      <c r="B295" s="1815" t="inlineStr">
        <is>
          <t>Thozen - Electra</t>
        </is>
      </c>
      <c r="C295" s="1814" t="inlineStr">
        <is>
          <t>COMPOSICAO</t>
        </is>
      </c>
      <c r="D295" s="1814" t="inlineStr">
        <is>
          <t>245</t>
        </is>
      </c>
      <c r="E295" s="1813" t="inlineStr">
        <is>
          <t>Fundo selador latex PVA em teto, 1 demao</t>
        </is>
      </c>
      <c r="F295" s="1810" t="inlineStr">
        <is>
          <t>m2</t>
        </is>
      </c>
      <c r="G295" s="1810" t="n">
        <v>10112.8</v>
      </c>
      <c r="H295" s="1812" t="n">
        <v>1.1184</v>
      </c>
      <c r="I295" s="1812" t="n">
        <v>11310.15552</v>
      </c>
      <c r="J295" s="2127" t="n">
        <v>0.000520753561037904</v>
      </c>
      <c r="K295" s="1810" t="inlineStr"/>
    </row>
    <row r="296">
      <c r="A296" s="1809" t="inlineStr">
        <is>
          <t>8.2.3.5</t>
        </is>
      </c>
      <c r="B296" s="1808" t="n"/>
      <c r="C296" s="1807" t="n"/>
      <c r="D296" s="1807" t="n"/>
      <c r="E296" s="1806" t="inlineStr">
        <is>
          <t>TEXTURA EM TETO</t>
        </is>
      </c>
      <c r="F296" s="1803" t="inlineStr">
        <is>
          <t>m²</t>
        </is>
      </c>
      <c r="G296" s="1803" t="n">
        <v>356.14</v>
      </c>
      <c r="H296" s="1805" t="n">
        <v>0</v>
      </c>
      <c r="I296" s="1805" t="n">
        <v>0</v>
      </c>
      <c r="J296" s="2128" t="n"/>
      <c r="K296" s="1803" t="inlineStr"/>
    </row>
    <row r="297">
      <c r="A297" s="222" t="inlineStr">
        <is>
          <t>8.2.4.</t>
        </is>
      </c>
      <c r="B297" s="1820" t="n"/>
      <c r="C297" s="1820" t="n"/>
      <c r="D297" s="1820" t="n"/>
      <c r="E297" s="1820" t="inlineStr">
        <is>
          <t>18.005. Mão de obra</t>
        </is>
      </c>
      <c r="F297" s="1817" t="n"/>
      <c r="G297" s="1817" t="n"/>
      <c r="H297" s="1819" t="n"/>
      <c r="I297" s="1819" t="n">
        <v>1131547.26</v>
      </c>
      <c r="J297" s="2126" t="n">
        <v>0.05209983753854544</v>
      </c>
      <c r="K297" s="1817" t="inlineStr"/>
    </row>
    <row r="298" ht="25.5" customHeight="1">
      <c r="A298" s="1816" t="inlineStr">
        <is>
          <t>8.2.4.1</t>
        </is>
      </c>
      <c r="B298" s="1815" t="inlineStr">
        <is>
          <t>Thozen - Electra</t>
        </is>
      </c>
      <c r="C298" s="1814" t="inlineStr">
        <is>
          <t>COMPOSICAO</t>
        </is>
      </c>
      <c r="D298" s="1814" t="inlineStr">
        <is>
          <t>4937</t>
        </is>
      </c>
      <c r="E298" s="1813" t="inlineStr">
        <is>
          <t xml:space="preserve"> Mão de obra para pintura acrílica em paredes internas, 3 demãos</t>
        </is>
      </c>
      <c r="F298" s="1810" t="inlineStr">
        <is>
          <t>m2</t>
        </is>
      </c>
      <c r="G298" s="1810" t="n">
        <v>32255.03</v>
      </c>
      <c r="H298" s="1812" t="n">
        <v>34</v>
      </c>
      <c r="I298" s="1812" t="n">
        <v>1096671.02</v>
      </c>
      <c r="J298" s="2127" t="n">
        <v>0.0504940306030443</v>
      </c>
      <c r="K298" s="1810" t="inlineStr"/>
    </row>
    <row r="299" ht="25.5" customHeight="1">
      <c r="A299" s="1809" t="inlineStr">
        <is>
          <t>8.2.4.2</t>
        </is>
      </c>
      <c r="B299" s="1808" t="inlineStr">
        <is>
          <t>Thozen - Electra</t>
        </is>
      </c>
      <c r="C299" s="1807" t="inlineStr">
        <is>
          <t>COMPOSICAO</t>
        </is>
      </c>
      <c r="D299" s="1807" t="inlineStr">
        <is>
          <t>80040</t>
        </is>
      </c>
      <c r="E299" s="1806" t="inlineStr">
        <is>
          <t xml:space="preserve"> Mão de obra para aplicação de textura acrílica em paredes internas, 2 demãos</t>
        </is>
      </c>
      <c r="F299" s="1803" t="inlineStr">
        <is>
          <t>m2</t>
        </is>
      </c>
      <c r="G299" s="1803" t="n">
        <v>850.64</v>
      </c>
      <c r="H299" s="1805" t="n">
        <v>41</v>
      </c>
      <c r="I299" s="1805" t="n">
        <v>34876.24</v>
      </c>
      <c r="J299" s="2128" t="n">
        <v>0.001605806935501147</v>
      </c>
      <c r="K299" s="1803" t="inlineStr"/>
    </row>
    <row r="300">
      <c r="A300" s="1826" t="inlineStr">
        <is>
          <t>8.3.</t>
        </is>
      </c>
      <c r="B300" s="1825" t="n"/>
      <c r="C300" s="1824" t="n"/>
      <c r="D300" s="1824" t="n"/>
      <c r="E300" s="1824" t="inlineStr">
        <is>
          <t>ARQ_Torre_B</t>
        </is>
      </c>
      <c r="F300" s="1821" t="n"/>
      <c r="G300" s="1821" t="n"/>
      <c r="H300" s="1823" t="n"/>
      <c r="I300" s="1823" t="n">
        <v>2238337.072929145</v>
      </c>
      <c r="J300" s="2125" t="n">
        <v>0.1030597677874381</v>
      </c>
      <c r="K300" s="1821" t="inlineStr"/>
    </row>
    <row r="301">
      <c r="A301" s="222" t="inlineStr">
        <is>
          <t>8.3.1.</t>
        </is>
      </c>
      <c r="B301" s="1820" t="n"/>
      <c r="C301" s="1820" t="n"/>
      <c r="D301" s="1820" t="n"/>
      <c r="E301" s="1820" t="inlineStr">
        <is>
          <t>18.001. Sistema de pintura em piso</t>
        </is>
      </c>
      <c r="F301" s="1817" t="n"/>
      <c r="G301" s="1817" t="n"/>
      <c r="H301" s="1819" t="n"/>
      <c r="I301" s="1819" t="n">
        <v>0</v>
      </c>
      <c r="J301" s="2126" t="n"/>
      <c r="K301" s="1817" t="inlineStr"/>
    </row>
    <row r="302">
      <c r="A302" s="1816" t="inlineStr">
        <is>
          <t>8.3.1.1</t>
        </is>
      </c>
      <c r="B302" s="1815" t="n"/>
      <c r="C302" s="1814" t="n"/>
      <c r="D302" s="1814" t="n"/>
      <c r="E302" s="1813" t="inlineStr">
        <is>
          <t>REVESTIMENTO - PISO PINTURA,</t>
        </is>
      </c>
      <c r="F302" s="1810" t="inlineStr">
        <is>
          <t>m²</t>
        </is>
      </c>
      <c r="G302" s="1810" t="n">
        <v>1572.08</v>
      </c>
      <c r="H302" s="1812" t="n">
        <v>0</v>
      </c>
      <c r="I302" s="1812" t="n">
        <v>0</v>
      </c>
      <c r="J302" s="2127" t="n"/>
      <c r="K302" s="1810" t="inlineStr"/>
    </row>
    <row r="303">
      <c r="A303" s="222" t="inlineStr">
        <is>
          <t>8.3.2.</t>
        </is>
      </c>
      <c r="B303" s="1820" t="n"/>
      <c r="C303" s="1820" t="n"/>
      <c r="D303" s="1820" t="n"/>
      <c r="E303" s="1820" t="inlineStr">
        <is>
          <t>18.002. Sistemas de pintura em parede</t>
        </is>
      </c>
      <c r="F303" s="1817" t="n"/>
      <c r="G303" s="1817" t="n"/>
      <c r="H303" s="1819" t="n"/>
      <c r="I303" s="1819" t="n">
        <v>974869.8130953751</v>
      </c>
      <c r="J303" s="2126" t="n">
        <v>0.04488593687505479</v>
      </c>
      <c r="K303" s="1817" t="inlineStr"/>
    </row>
    <row r="304" ht="25.5" customHeight="1">
      <c r="A304" s="1809" t="inlineStr">
        <is>
          <t>8.3.2.1</t>
        </is>
      </c>
      <c r="B304" s="1808" t="inlineStr">
        <is>
          <t>Thozen - Electra</t>
        </is>
      </c>
      <c r="C304" s="1807" t="inlineStr">
        <is>
          <t>COMPOSICAO</t>
        </is>
      </c>
      <c r="D304" s="1807" t="inlineStr">
        <is>
          <t>90559</t>
        </is>
      </c>
      <c r="E304" s="1806" t="inlineStr">
        <is>
          <t>Massa latex acrílica em paredes internas 2 demaos</t>
        </is>
      </c>
      <c r="F304" s="1803" t="inlineStr">
        <is>
          <t>m2</t>
        </is>
      </c>
      <c r="G304" s="1803" t="n">
        <v>28827.63</v>
      </c>
      <c r="H304" s="1805" t="n">
        <v>11.9703</v>
      </c>
      <c r="I304" s="1805" t="n">
        <v>345075.379389</v>
      </c>
      <c r="J304" s="2128" t="n">
        <v>0.01588830784205941</v>
      </c>
      <c r="K304" s="1803" t="inlineStr"/>
    </row>
    <row r="305" ht="25.5" customHeight="1">
      <c r="A305" s="1816" t="inlineStr">
        <is>
          <t>8.3.2.2</t>
        </is>
      </c>
      <c r="B305" s="1815" t="inlineStr">
        <is>
          <t>Thozen - Electra</t>
        </is>
      </c>
      <c r="C305" s="1814" t="inlineStr">
        <is>
          <t>COMPOSICAO</t>
        </is>
      </c>
      <c r="D305" s="1814" t="inlineStr">
        <is>
          <t>4926</t>
        </is>
      </c>
      <c r="E305" s="1813" t="inlineStr">
        <is>
          <t xml:space="preserve"> Pintura com tinta acrílica em paredes internas, aplicação manual, 3 demãos</t>
        </is>
      </c>
      <c r="F305" s="1810" t="inlineStr">
        <is>
          <t>m2</t>
        </is>
      </c>
      <c r="G305" s="1810" t="n">
        <v>28827.63</v>
      </c>
      <c r="H305" s="1812" t="n">
        <v>20.0353125</v>
      </c>
      <c r="I305" s="1812" t="n">
        <v>577570.575684375</v>
      </c>
      <c r="J305" s="2127" t="n">
        <v>0.02659308561288028</v>
      </c>
      <c r="K305" s="1810" t="inlineStr"/>
    </row>
    <row r="306" ht="25.5" customHeight="1">
      <c r="A306" s="1809" t="inlineStr">
        <is>
          <t>8.3.2.3</t>
        </is>
      </c>
      <c r="B306" s="1808" t="inlineStr">
        <is>
          <t>Thozen - Electra</t>
        </is>
      </c>
      <c r="C306" s="1807" t="inlineStr">
        <is>
          <t>COMPOSICAO</t>
        </is>
      </c>
      <c r="D306" s="1807" t="inlineStr">
        <is>
          <t>4924</t>
        </is>
      </c>
      <c r="E306" s="1806" t="inlineStr">
        <is>
          <t xml:space="preserve"> Selador látex PVA, 1 demão</t>
        </is>
      </c>
      <c r="F306" s="1803" t="inlineStr">
        <is>
          <t>m2</t>
        </is>
      </c>
      <c r="G306" s="1803" t="n">
        <v>29943.1</v>
      </c>
      <c r="H306" s="1805" t="n">
        <v>1.398</v>
      </c>
      <c r="I306" s="1805" t="n">
        <v>41860.4538</v>
      </c>
      <c r="J306" s="2128" t="n">
        <v>0.001927381134986609</v>
      </c>
      <c r="K306" s="1803" t="inlineStr"/>
    </row>
    <row r="307" ht="25.5" customHeight="1">
      <c r="A307" s="1816" t="inlineStr">
        <is>
          <t>8.3.2.4</t>
        </is>
      </c>
      <c r="B307" s="1815" t="inlineStr">
        <is>
          <t>Thozen - Electra</t>
        </is>
      </c>
      <c r="C307" s="1814" t="inlineStr">
        <is>
          <t>COMPOSICAO</t>
        </is>
      </c>
      <c r="D307" s="1814" t="inlineStr">
        <is>
          <t>4927</t>
        </is>
      </c>
      <c r="E307" s="1813" t="inlineStr">
        <is>
          <t xml:space="preserve"> Textura acrílica branca em paredes internas, acabamento suave, 1 demão</t>
        </is>
      </c>
      <c r="F307" s="1810" t="inlineStr">
        <is>
          <t>m2</t>
        </is>
      </c>
      <c r="G307" s="1810" t="n">
        <v>1115.46</v>
      </c>
      <c r="H307" s="1812" t="n">
        <v>9.290699999999999</v>
      </c>
      <c r="I307" s="1812" t="n">
        <v>10363.404222</v>
      </c>
      <c r="J307" s="2127" t="n">
        <v>0.0004771622851284849</v>
      </c>
      <c r="K307" s="1810" t="inlineStr"/>
    </row>
    <row r="308">
      <c r="A308" s="222" t="inlineStr">
        <is>
          <t>8.3.3.</t>
        </is>
      </c>
      <c r="B308" s="1820" t="n"/>
      <c r="C308" s="1820" t="n"/>
      <c r="D308" s="1820" t="n"/>
      <c r="E308" s="1820" t="inlineStr">
        <is>
          <t>18.003. Sistema de pintura em teto</t>
        </is>
      </c>
      <c r="F308" s="1817" t="n"/>
      <c r="G308" s="1817" t="n"/>
      <c r="H308" s="1819" t="n"/>
      <c r="I308" s="1819" t="n">
        <v>237593.97983377</v>
      </c>
      <c r="J308" s="2126" t="n">
        <v>0.01093954109303032</v>
      </c>
      <c r="K308" s="1817" t="inlineStr"/>
    </row>
    <row r="309" ht="25.5" customHeight="1">
      <c r="A309" s="1809" t="inlineStr">
        <is>
          <t>8.3.3.1</t>
        </is>
      </c>
      <c r="B309" s="1808" t="inlineStr">
        <is>
          <t>Thozen - Electra</t>
        </is>
      </c>
      <c r="C309" s="1807" t="inlineStr">
        <is>
          <t>COMPOSICAO</t>
        </is>
      </c>
      <c r="D309" s="1807" t="inlineStr">
        <is>
          <t>4929</t>
        </is>
      </c>
      <c r="E309" s="1806" t="inlineStr">
        <is>
          <t xml:space="preserve"> Aplicação e lixamento de massa látex PVA em teto, 2 demãos</t>
        </is>
      </c>
      <c r="F309" s="1803" t="inlineStr">
        <is>
          <t>m2</t>
        </is>
      </c>
      <c r="G309" s="1803" t="n">
        <v>9822.950000000001</v>
      </c>
      <c r="H309" s="1805" t="n">
        <v>2.8</v>
      </c>
      <c r="I309" s="1805" t="n">
        <v>27504.26</v>
      </c>
      <c r="J309" s="2128" t="n">
        <v>0.001266378814454391</v>
      </c>
      <c r="K309" s="1803" t="inlineStr"/>
    </row>
    <row r="310" ht="25.5" customHeight="1">
      <c r="A310" s="1816" t="inlineStr">
        <is>
          <t>8.3.3.2</t>
        </is>
      </c>
      <c r="B310" s="1815" t="inlineStr">
        <is>
          <t>Thozen - Electra</t>
        </is>
      </c>
      <c r="C310" s="1814" t="inlineStr">
        <is>
          <t>COMPOSICAO</t>
        </is>
      </c>
      <c r="D310" s="1814" t="inlineStr">
        <is>
          <t>4930</t>
        </is>
      </c>
      <c r="E310" s="1813" t="inlineStr">
        <is>
          <t xml:space="preserve"> Pintura com tinta látex em teto, acabamento fosco, aplicação manual, 3 demãos</t>
        </is>
      </c>
      <c r="F310" s="1810" t="inlineStr">
        <is>
          <t>m2</t>
        </is>
      </c>
      <c r="G310" s="1810" t="n">
        <v>9822.950000000001</v>
      </c>
      <c r="H310" s="1812" t="n">
        <v>20.033479</v>
      </c>
      <c r="I310" s="1812" t="n">
        <v>196787.86254305</v>
      </c>
      <c r="J310" s="2127" t="n">
        <v>0.009060704780506046</v>
      </c>
      <c r="K310" s="1810" t="inlineStr"/>
    </row>
    <row r="311" ht="25.5" customHeight="1">
      <c r="A311" s="1809" t="inlineStr">
        <is>
          <t>8.3.3.3</t>
        </is>
      </c>
      <c r="B311" s="1808" t="inlineStr">
        <is>
          <t>Thozen - Electra</t>
        </is>
      </c>
      <c r="C311" s="1807" t="inlineStr">
        <is>
          <t>COMPOSICAO</t>
        </is>
      </c>
      <c r="D311" s="1807" t="inlineStr">
        <is>
          <t>1481</t>
        </is>
      </c>
      <c r="E311" s="1806" t="inlineStr">
        <is>
          <t>Textura acrilica aplicacao em teto, 1 demão, incluindo aplicação de uma demão de fundo selador látex pva</t>
        </is>
      </c>
      <c r="F311" s="1803" t="inlineStr">
        <is>
          <t>m2</t>
        </is>
      </c>
      <c r="G311" s="1803" t="n">
        <v>252.52</v>
      </c>
      <c r="H311" s="1805" t="n">
        <v>9.171036000000001</v>
      </c>
      <c r="I311" s="1805" t="n">
        <v>2315.87001072</v>
      </c>
      <c r="J311" s="2128" t="n">
        <v>0.0001066296173249551</v>
      </c>
      <c r="K311" s="1803" t="inlineStr"/>
    </row>
    <row r="312" ht="25.5" customHeight="1">
      <c r="A312" s="1816" t="inlineStr">
        <is>
          <t>8.3.3.4</t>
        </is>
      </c>
      <c r="B312" s="1815" t="inlineStr">
        <is>
          <t>Thozen - Electra</t>
        </is>
      </c>
      <c r="C312" s="1814" t="inlineStr">
        <is>
          <t>COMPOSICAO</t>
        </is>
      </c>
      <c r="D312" s="1814" t="inlineStr">
        <is>
          <t>245</t>
        </is>
      </c>
      <c r="E312" s="1813" t="inlineStr">
        <is>
          <t>Fundo selador latex PVA em teto, 1 demao</t>
        </is>
      </c>
      <c r="F312" s="1810" t="inlineStr">
        <is>
          <t>m2</t>
        </is>
      </c>
      <c r="G312" s="1810" t="n">
        <v>9822.950000000001</v>
      </c>
      <c r="H312" s="1812" t="n">
        <v>1.1184</v>
      </c>
      <c r="I312" s="1812" t="n">
        <v>10985.98728</v>
      </c>
      <c r="J312" s="2127" t="n">
        <v>0.0005058278807449252</v>
      </c>
      <c r="K312" s="1810" t="inlineStr"/>
    </row>
    <row r="313">
      <c r="A313" s="1809" t="inlineStr">
        <is>
          <t>8.3.3.5</t>
        </is>
      </c>
      <c r="B313" s="1808" t="n"/>
      <c r="C313" s="1807" t="n"/>
      <c r="D313" s="1807" t="n"/>
      <c r="E313" s="1806" t="inlineStr">
        <is>
          <t>TEXTURA EM TETO</t>
        </is>
      </c>
      <c r="F313" s="1803" t="inlineStr">
        <is>
          <t>m²</t>
        </is>
      </c>
      <c r="G313" s="1803" t="n">
        <v>252.52</v>
      </c>
      <c r="H313" s="1805" t="n">
        <v>0</v>
      </c>
      <c r="I313" s="1805" t="n">
        <v>0</v>
      </c>
      <c r="J313" s="2128" t="n"/>
      <c r="K313" s="1803" t="inlineStr"/>
    </row>
    <row r="314">
      <c r="A314" s="222" t="inlineStr">
        <is>
          <t>8.3.4.</t>
        </is>
      </c>
      <c r="B314" s="1820" t="n"/>
      <c r="C314" s="1820" t="n"/>
      <c r="D314" s="1820" t="n"/>
      <c r="E314" s="1820" t="inlineStr">
        <is>
          <t>18.005. Mão de obra</t>
        </is>
      </c>
      <c r="F314" s="1817" t="n"/>
      <c r="G314" s="1817" t="n"/>
      <c r="H314" s="1819" t="n"/>
      <c r="I314" s="1819" t="n">
        <v>1025873.28</v>
      </c>
      <c r="J314" s="2126" t="n">
        <v>0.04723428981935297</v>
      </c>
      <c r="K314" s="1817" t="inlineStr"/>
    </row>
    <row r="315" ht="25.5" customHeight="1">
      <c r="A315" s="1816" t="inlineStr">
        <is>
          <t>8.3.4.1</t>
        </is>
      </c>
      <c r="B315" s="1815" t="inlineStr">
        <is>
          <t>Thozen - Electra</t>
        </is>
      </c>
      <c r="C315" s="1814" t="inlineStr">
        <is>
          <t>COMPOSICAO</t>
        </is>
      </c>
      <c r="D315" s="1814" t="inlineStr">
        <is>
          <t>4937</t>
        </is>
      </c>
      <c r="E315" s="1813" t="inlineStr">
        <is>
          <t xml:space="preserve"> Mão de obra para pintura acrílica em paredes internas, 3 demãos</t>
        </is>
      </c>
      <c r="F315" s="1810" t="inlineStr">
        <is>
          <t>m2</t>
        </is>
      </c>
      <c r="G315" s="1810" t="n">
        <v>28827.63</v>
      </c>
      <c r="H315" s="1812" t="n">
        <v>34</v>
      </c>
      <c r="I315" s="1812" t="n">
        <v>980139.42</v>
      </c>
      <c r="J315" s="2127" t="n">
        <v>0.0451285654185793</v>
      </c>
      <c r="K315" s="1810" t="inlineStr"/>
    </row>
    <row r="316" ht="25.5" customHeight="1">
      <c r="A316" s="1809" t="inlineStr">
        <is>
          <t>8.3.4.2</t>
        </is>
      </c>
      <c r="B316" s="1808" t="inlineStr">
        <is>
          <t>Thozen - Electra</t>
        </is>
      </c>
      <c r="C316" s="1807" t="inlineStr">
        <is>
          <t>COMPOSICAO</t>
        </is>
      </c>
      <c r="D316" s="1807" t="inlineStr">
        <is>
          <t>80040</t>
        </is>
      </c>
      <c r="E316" s="1806" t="inlineStr">
        <is>
          <t xml:space="preserve"> Mão de obra para aplicação de textura acrílica em paredes internas, 2 demãos</t>
        </is>
      </c>
      <c r="F316" s="1803" t="inlineStr">
        <is>
          <t>m2</t>
        </is>
      </c>
      <c r="G316" s="1803" t="n">
        <v>1115.46</v>
      </c>
      <c r="H316" s="1805" t="n">
        <v>41</v>
      </c>
      <c r="I316" s="1805" t="n">
        <v>45733.86</v>
      </c>
      <c r="J316" s="2128" t="n">
        <v>0.002105724400773664</v>
      </c>
      <c r="K316" s="1803" t="inlineStr"/>
    </row>
    <row r="317">
      <c r="A317" s="1832" t="inlineStr">
        <is>
          <t>9.</t>
        </is>
      </c>
      <c r="B317" s="1831" t="n"/>
      <c r="C317" s="1830" t="n"/>
      <c r="D317" s="1830" t="n"/>
      <c r="E317" s="1830" t="inlineStr">
        <is>
          <t>19. ESQUADRIAS, VIDROS E FERRAGENS</t>
        </is>
      </c>
      <c r="F317" s="1827" t="n"/>
      <c r="G317" s="1827" t="n"/>
      <c r="H317" s="1829" t="n"/>
      <c r="I317" s="1829" t="n">
        <v>0</v>
      </c>
      <c r="J317" s="2124" t="n"/>
      <c r="K317" s="1827" t="inlineStr"/>
    </row>
    <row r="318">
      <c r="A318" s="1826" t="inlineStr">
        <is>
          <t>9.1.</t>
        </is>
      </c>
      <c r="B318" s="1825" t="n"/>
      <c r="C318" s="1824" t="n"/>
      <c r="D318" s="1824" t="n"/>
      <c r="E318" s="1824" t="inlineStr">
        <is>
          <t>ARQ_Embasamento</t>
        </is>
      </c>
      <c r="F318" s="1821" t="n"/>
      <c r="G318" s="1821" t="n"/>
      <c r="H318" s="1823" t="n"/>
      <c r="I318" s="1823" t="n">
        <v>0</v>
      </c>
      <c r="J318" s="2125" t="n"/>
      <c r="K318" s="1821" t="inlineStr"/>
    </row>
    <row r="319">
      <c r="A319" s="222" t="inlineStr">
        <is>
          <t>9.1.1.</t>
        </is>
      </c>
      <c r="B319" s="1820" t="n"/>
      <c r="C319" s="1820" t="n"/>
      <c r="D319" s="1820" t="n"/>
      <c r="E319" s="1820" t="inlineStr">
        <is>
          <t>18.003. Guardo corpo</t>
        </is>
      </c>
      <c r="F319" s="1817" t="n"/>
      <c r="G319" s="1817" t="n"/>
      <c r="H319" s="1819" t="n"/>
      <c r="I319" s="1819" t="n">
        <v>0</v>
      </c>
      <c r="J319" s="2126" t="n"/>
      <c r="K319" s="1817" t="inlineStr"/>
    </row>
    <row r="320">
      <c r="A320" s="1816" t="inlineStr">
        <is>
          <t>9.1.1.1</t>
        </is>
      </c>
      <c r="B320" s="1815" t="n"/>
      <c r="C320" s="1814" t="n"/>
      <c r="D320" s="1814" t="n"/>
      <c r="E320" s="1813" t="inlineStr">
        <is>
          <t>CORRIMÃO DUPLO - ALUMÍNIO</t>
        </is>
      </c>
      <c r="F320" s="1810" t="inlineStr">
        <is>
          <t>m</t>
        </is>
      </c>
      <c r="G320" s="1810" t="n">
        <v>1.72</v>
      </c>
      <c r="H320" s="1812" t="n">
        <v>0</v>
      </c>
      <c r="I320" s="1812" t="n">
        <v>0</v>
      </c>
      <c r="J320" s="2127" t="n"/>
      <c r="K320" s="1810" t="inlineStr"/>
    </row>
    <row r="321">
      <c r="A321" s="222" t="inlineStr">
        <is>
          <t>9.1.2.</t>
        </is>
      </c>
      <c r="B321" s="1820" t="n"/>
      <c r="C321" s="1820" t="n"/>
      <c r="D321" s="1820" t="n"/>
      <c r="E321" s="1820" t="inlineStr">
        <is>
          <t>19.001. Contramarco</t>
        </is>
      </c>
      <c r="F321" s="1817" t="n"/>
      <c r="G321" s="1817" t="n"/>
      <c r="H321" s="1819" t="n"/>
      <c r="I321" s="1819" t="n">
        <v>0</v>
      </c>
      <c r="J321" s="2126" t="n"/>
      <c r="K321" s="1817" t="inlineStr"/>
    </row>
    <row r="322">
      <c r="A322" s="1809" t="inlineStr">
        <is>
          <t>9.1.2.1</t>
        </is>
      </c>
      <c r="B322" s="1808" t="n"/>
      <c r="C322" s="1807" t="n"/>
      <c r="D322" s="1807" t="n"/>
      <c r="E322" s="1806" t="inlineStr">
        <is>
          <t>Contramarco de Alumínio</t>
        </is>
      </c>
      <c r="F322" s="1803" t="inlineStr">
        <is>
          <t>m</t>
        </is>
      </c>
      <c r="G322" s="1803" t="n"/>
      <c r="H322" s="1805" t="n">
        <v>0</v>
      </c>
      <c r="I322" s="1805" t="n">
        <v>0</v>
      </c>
      <c r="J322" s="2128" t="n"/>
      <c r="K322" s="1803" t="inlineStr"/>
    </row>
    <row r="323">
      <c r="A323" s="1816" t="inlineStr">
        <is>
          <t>9.1.2.2</t>
        </is>
      </c>
      <c r="B323" s="1815" t="n"/>
      <c r="C323" s="1814" t="n"/>
      <c r="D323" s="1814" t="n"/>
      <c r="E323" s="1813" t="inlineStr">
        <is>
          <t>Contramarco de Porta corta-fogo</t>
        </is>
      </c>
      <c r="F323" s="1810" t="inlineStr">
        <is>
          <t>m</t>
        </is>
      </c>
      <c r="G323" s="1810" t="n"/>
      <c r="H323" s="1812" t="n">
        <v>0</v>
      </c>
      <c r="I323" s="1812" t="n">
        <v>0</v>
      </c>
      <c r="J323" s="2127" t="n"/>
      <c r="K323" s="1810" t="inlineStr"/>
    </row>
    <row r="324">
      <c r="A324" s="222" t="inlineStr">
        <is>
          <t>9.1.3.</t>
        </is>
      </c>
      <c r="B324" s="1820" t="n"/>
      <c r="C324" s="1820" t="n"/>
      <c r="D324" s="1820" t="n"/>
      <c r="E324" s="1820" t="inlineStr">
        <is>
          <t>19.002. Esquadrias de alumínio</t>
        </is>
      </c>
      <c r="F324" s="1817" t="n"/>
      <c r="G324" s="1817" t="n"/>
      <c r="H324" s="1819" t="n"/>
      <c r="I324" s="1819" t="n">
        <v>0</v>
      </c>
      <c r="J324" s="2126" t="n"/>
      <c r="K324" s="1817" t="inlineStr"/>
    </row>
    <row r="325">
      <c r="A325" s="1809" t="inlineStr">
        <is>
          <t>9.1.3.1</t>
        </is>
      </c>
      <c r="B325" s="1808" t="n"/>
      <c r="C325" s="1807" t="n"/>
      <c r="D325" s="1807" t="n"/>
      <c r="E325" s="1806" t="inlineStr">
        <is>
          <t>CONFERÊNCIA P03 - PORTA DE ABRIR, 1 FOLHA, MADEIRA, 80 x 210 cm</t>
        </is>
      </c>
      <c r="F325" s="1803" t="inlineStr">
        <is>
          <t>m²</t>
        </is>
      </c>
      <c r="G325" s="1803" t="n">
        <v>101.01</v>
      </c>
      <c r="H325" s="1805" t="n">
        <v>0</v>
      </c>
      <c r="I325" s="1805" t="n">
        <v>0</v>
      </c>
      <c r="J325" s="2128" t="n"/>
      <c r="K325" s="1803" t="inlineStr"/>
    </row>
    <row r="326">
      <c r="A326" s="1816" t="inlineStr">
        <is>
          <t>9.1.3.2</t>
        </is>
      </c>
      <c r="B326" s="1815" t="n"/>
      <c r="C326" s="1814" t="n"/>
      <c r="D326" s="1814" t="n"/>
      <c r="E326" s="1813" t="inlineStr">
        <is>
          <t>CONFERÊNCIA P07 - PORTA DE ABRIR, 1 FOLHA, MADEIRA, 90 x 210 cm</t>
        </is>
      </c>
      <c r="F326" s="1810" t="inlineStr">
        <is>
          <t>m²</t>
        </is>
      </c>
      <c r="G326" s="1810" t="n">
        <v>5.15</v>
      </c>
      <c r="H326" s="1812" t="n">
        <v>0</v>
      </c>
      <c r="I326" s="1812" t="n">
        <v>0</v>
      </c>
      <c r="J326" s="2127" t="n"/>
      <c r="K326" s="1810" t="inlineStr"/>
    </row>
    <row r="327">
      <c r="A327" s="1809" t="inlineStr">
        <is>
          <t>9.1.3.3</t>
        </is>
      </c>
      <c r="B327" s="1808" t="n"/>
      <c r="C327" s="1807" t="n"/>
      <c r="D327" s="1807" t="n"/>
      <c r="E327" s="1806" t="inlineStr">
        <is>
          <t>PA01 - PORTA DE ABRIR, 1 FOLHA, ALUMINIO BOX DE PRAIA, 60 x 100 cm</t>
        </is>
      </c>
      <c r="F327" s="1803" t="inlineStr">
        <is>
          <t>m²</t>
        </is>
      </c>
      <c r="G327" s="1803" t="n">
        <v>302.3</v>
      </c>
      <c r="H327" s="1805" t="n">
        <v>0</v>
      </c>
      <c r="I327" s="1805" t="n">
        <v>0</v>
      </c>
      <c r="J327" s="2128" t="n"/>
      <c r="K327" s="1803" t="inlineStr"/>
    </row>
    <row r="328">
      <c r="A328" s="1816" t="inlineStr">
        <is>
          <t>9.1.3.4</t>
        </is>
      </c>
      <c r="B328" s="1815" t="n"/>
      <c r="C328" s="1814" t="n"/>
      <c r="D328" s="1814" t="n"/>
      <c r="E328" s="1813" t="inlineStr">
        <is>
          <t>PA02 - PORTA DE ABRIR, 1 FOLHA, ALUMINIO VENEZIANA, 60 x 210 cm</t>
        </is>
      </c>
      <c r="F328" s="1810" t="inlineStr">
        <is>
          <t>m²</t>
        </is>
      </c>
      <c r="G328" s="1810" t="n">
        <v>29.6</v>
      </c>
      <c r="H328" s="1812" t="n">
        <v>0</v>
      </c>
      <c r="I328" s="1812" t="n">
        <v>0</v>
      </c>
      <c r="J328" s="2127" t="n"/>
      <c r="K328" s="1810" t="inlineStr"/>
    </row>
    <row r="329">
      <c r="A329" s="1809" t="inlineStr">
        <is>
          <t>9.1.3.5</t>
        </is>
      </c>
      <c r="B329" s="1808" t="n"/>
      <c r="C329" s="1807" t="n"/>
      <c r="D329" s="1807" t="n"/>
      <c r="E329" s="1806" t="inlineStr">
        <is>
          <t>PA03 - PORTA DE ABRIR, 1 FOLHA, ALUMINIO VENEZIANA, 70 x 210 cm</t>
        </is>
      </c>
      <c r="F329" s="1803" t="inlineStr">
        <is>
          <t>m²</t>
        </is>
      </c>
      <c r="G329" s="1803" t="n">
        <v>4.05</v>
      </c>
      <c r="H329" s="1805" t="n">
        <v>0</v>
      </c>
      <c r="I329" s="1805" t="n">
        <v>0</v>
      </c>
      <c r="J329" s="2128" t="n"/>
      <c r="K329" s="1803" t="inlineStr"/>
    </row>
    <row r="330">
      <c r="A330" s="1816" t="inlineStr">
        <is>
          <t>9.1.3.6</t>
        </is>
      </c>
      <c r="B330" s="1815" t="n"/>
      <c r="C330" s="1814" t="n"/>
      <c r="D330" s="1814" t="n"/>
      <c r="E330" s="1813" t="inlineStr">
        <is>
          <t>PA04 - PORTA DE ABRIR, 1 FOLHA, ALUMINIO VENEZIANA, 80 x 210 cm</t>
        </is>
      </c>
      <c r="F330" s="1810" t="inlineStr">
        <is>
          <t>m²</t>
        </is>
      </c>
      <c r="G330" s="1810" t="n">
        <v>37.44</v>
      </c>
      <c r="H330" s="1812" t="n">
        <v>0</v>
      </c>
      <c r="I330" s="1812" t="n">
        <v>0</v>
      </c>
      <c r="J330" s="2127" t="n"/>
      <c r="K330" s="1810" t="inlineStr"/>
    </row>
    <row r="331">
      <c r="A331" s="1809" t="inlineStr">
        <is>
          <t>9.1.3.7</t>
        </is>
      </c>
      <c r="B331" s="1808" t="n"/>
      <c r="C331" s="1807" t="n"/>
      <c r="D331" s="1807" t="n"/>
      <c r="E331" s="1806" t="inlineStr">
        <is>
          <t>PA08 - PORTA DE ABRIR, 2 FOLHAS, ALUMINIO VENEZIANA, 125 x 110 cm</t>
        </is>
      </c>
      <c r="F331" s="1803" t="inlineStr">
        <is>
          <t>m²</t>
        </is>
      </c>
      <c r="G331" s="1803" t="n">
        <v>3.45</v>
      </c>
      <c r="H331" s="1805" t="n">
        <v>0</v>
      </c>
      <c r="I331" s="1805" t="n">
        <v>0</v>
      </c>
      <c r="J331" s="2128" t="n"/>
      <c r="K331" s="1803" t="inlineStr"/>
    </row>
    <row r="332">
      <c r="A332" s="1816" t="inlineStr">
        <is>
          <t>9.1.3.8</t>
        </is>
      </c>
      <c r="B332" s="1815" t="n"/>
      <c r="C332" s="1814" t="n"/>
      <c r="D332" s="1814" t="n"/>
      <c r="E332" s="1813" t="inlineStr">
        <is>
          <t>PA0X - PORTA DE ABRIR, 1 FOLHA, ALUMINIO VENEZIANA, 220 x 210 cm</t>
        </is>
      </c>
      <c r="F332" s="1810" t="inlineStr">
        <is>
          <t>m²</t>
        </is>
      </c>
      <c r="G332" s="1810" t="n">
        <v>20.63</v>
      </c>
      <c r="H332" s="1812" t="n">
        <v>0</v>
      </c>
      <c r="I332" s="1812" t="n">
        <v>0</v>
      </c>
      <c r="J332" s="2127" t="n"/>
      <c r="K332" s="1810" t="inlineStr"/>
    </row>
    <row r="333">
      <c r="A333" s="1809" t="inlineStr">
        <is>
          <t>9.1.3.9</t>
        </is>
      </c>
      <c r="B333" s="1808" t="n"/>
      <c r="C333" s="1807" t="n"/>
      <c r="D333" s="1807" t="n"/>
      <c r="E333" s="1806" t="inlineStr">
        <is>
          <t>PA0XX - PORTA DE ABRIR, 1 FOLHA, ALUMINIO VENEZIANA, 270 x 210 cm</t>
        </is>
      </c>
      <c r="F333" s="1803" t="inlineStr">
        <is>
          <t>m²</t>
        </is>
      </c>
      <c r="G333" s="1803" t="n">
        <v>25.04</v>
      </c>
      <c r="H333" s="1805" t="n">
        <v>0</v>
      </c>
      <c r="I333" s="1805" t="n">
        <v>0</v>
      </c>
      <c r="J333" s="2128" t="n"/>
      <c r="K333" s="1803" t="inlineStr"/>
    </row>
    <row r="334">
      <c r="A334" s="1816" t="inlineStr">
        <is>
          <t>9.1.3.10</t>
        </is>
      </c>
      <c r="B334" s="1815" t="n"/>
      <c r="C334" s="1814" t="n"/>
      <c r="D334" s="1814" t="n"/>
      <c r="E334" s="1813" t="inlineStr">
        <is>
          <t>PG01 - PORTÃO BASCULANTE, 1 FOLHA, ALUMINIO, 350 x 265 cm</t>
        </is>
      </c>
      <c r="F334" s="1810" t="inlineStr">
        <is>
          <t>m²</t>
        </is>
      </c>
      <c r="G334" s="1810" t="n">
        <v>21.85</v>
      </c>
      <c r="H334" s="1812" t="n">
        <v>0</v>
      </c>
      <c r="I334" s="1812" t="n">
        <v>0</v>
      </c>
      <c r="J334" s="2127" t="n"/>
      <c r="K334" s="1810" t="inlineStr"/>
    </row>
    <row r="335">
      <c r="A335" s="1809" t="inlineStr">
        <is>
          <t>9.1.3.11</t>
        </is>
      </c>
      <c r="B335" s="1808" t="n"/>
      <c r="C335" s="1807" t="n"/>
      <c r="D335" s="1807" t="n"/>
      <c r="E335" s="1806" t="inlineStr">
        <is>
          <t>PV00 - PORTA DE ABRIR, 1 FOLHA, ALUMINIO E VIDRO, 100 x 210 cm</t>
        </is>
      </c>
      <c r="F335" s="1803" t="inlineStr">
        <is>
          <t>m²</t>
        </is>
      </c>
      <c r="G335" s="1803" t="n">
        <v>41.57</v>
      </c>
      <c r="H335" s="1805" t="n">
        <v>0</v>
      </c>
      <c r="I335" s="1805" t="n">
        <v>0</v>
      </c>
      <c r="J335" s="2128" t="n"/>
      <c r="K335" s="1803" t="inlineStr"/>
    </row>
    <row r="336">
      <c r="A336" s="1816" t="inlineStr">
        <is>
          <t>9.1.3.12</t>
        </is>
      </c>
      <c r="B336" s="1815" t="n"/>
      <c r="C336" s="1814" t="n"/>
      <c r="D336" s="1814" t="n"/>
      <c r="E336" s="1813" t="inlineStr">
        <is>
          <t>PV00 - PORTA DE ABRIR, 1 FOLHA, ALUMINIO E VIDRO, 133 x 80 cm</t>
        </is>
      </c>
      <c r="F336" s="1810" t="inlineStr">
        <is>
          <t>m²</t>
        </is>
      </c>
      <c r="G336" s="1810" t="n">
        <v>2.49</v>
      </c>
      <c r="H336" s="1812" t="n">
        <v>0</v>
      </c>
      <c r="I336" s="1812" t="n">
        <v>0</v>
      </c>
      <c r="J336" s="2127" t="n"/>
      <c r="K336" s="1810" t="inlineStr"/>
    </row>
    <row r="337">
      <c r="A337" s="1809" t="inlineStr">
        <is>
          <t>9.1.3.13</t>
        </is>
      </c>
      <c r="B337" s="1808" t="n"/>
      <c r="C337" s="1807" t="n"/>
      <c r="D337" s="1807" t="n"/>
      <c r="E337" s="1806" t="inlineStr">
        <is>
          <t>PV00 - PORTA DE ABRIR, 1 FOLHA, ALUMINIO E VIDRO, 97 x 80 cm</t>
        </is>
      </c>
      <c r="F337" s="1803" t="inlineStr">
        <is>
          <t>m²</t>
        </is>
      </c>
      <c r="G337" s="1803" t="n">
        <v>1.86</v>
      </c>
      <c r="H337" s="1805" t="n">
        <v>0</v>
      </c>
      <c r="I337" s="1805" t="n">
        <v>0</v>
      </c>
      <c r="J337" s="2128" t="n"/>
      <c r="K337" s="1803" t="inlineStr"/>
    </row>
    <row r="338">
      <c r="A338" s="1816" t="inlineStr">
        <is>
          <t>9.1.3.14</t>
        </is>
      </c>
      <c r="B338" s="1815" t="n"/>
      <c r="C338" s="1814" t="n"/>
      <c r="D338" s="1814" t="n"/>
      <c r="E338" s="1813" t="inlineStr">
        <is>
          <t>PV03 - PORTA DE CORRER, 3 FOLHAS, ALUMINIO E VIDRO, 215 x 230 cm</t>
        </is>
      </c>
      <c r="F338" s="1810" t="inlineStr">
        <is>
          <t>m²</t>
        </is>
      </c>
      <c r="G338" s="1810" t="n">
        <v>19.17</v>
      </c>
      <c r="H338" s="1812" t="n">
        <v>0</v>
      </c>
      <c r="I338" s="1812" t="n">
        <v>0</v>
      </c>
      <c r="J338" s="2127" t="n"/>
      <c r="K338" s="1810" t="inlineStr"/>
    </row>
    <row r="339">
      <c r="A339" s="1809" t="inlineStr">
        <is>
          <t>9.1.3.15</t>
        </is>
      </c>
      <c r="B339" s="1808" t="n"/>
      <c r="C339" s="1807" t="n"/>
      <c r="D339" s="1807" t="n"/>
      <c r="E339" s="1806" t="inlineStr">
        <is>
          <t>PV08 - PORTA DE CORRER, 3 FOLHAS, ALUMINIO E VIDRO, 250 x 230 cm</t>
        </is>
      </c>
      <c r="F339" s="1803" t="inlineStr">
        <is>
          <t>m²</t>
        </is>
      </c>
      <c r="G339" s="1803" t="n">
        <v>72.73999999999999</v>
      </c>
      <c r="H339" s="1805" t="n">
        <v>0</v>
      </c>
      <c r="I339" s="1805" t="n">
        <v>0</v>
      </c>
      <c r="J339" s="2128" t="n"/>
      <c r="K339" s="1803" t="inlineStr"/>
    </row>
    <row r="340">
      <c r="A340" s="1816" t="inlineStr">
        <is>
          <t>9.1.3.16</t>
        </is>
      </c>
      <c r="B340" s="1815" t="n"/>
      <c r="C340" s="1814" t="n"/>
      <c r="D340" s="1814" t="n"/>
      <c r="E340" s="1813" t="inlineStr">
        <is>
          <t>PV09 - PORTA DE CORRER, 3 FOLHAS, ALUMINIO E VIDRO, 400 x 230 cm</t>
        </is>
      </c>
      <c r="F340" s="1810" t="inlineStr">
        <is>
          <t>m²</t>
        </is>
      </c>
      <c r="G340" s="1810" t="n">
        <v>38.32</v>
      </c>
      <c r="H340" s="1812" t="n">
        <v>0</v>
      </c>
      <c r="I340" s="1812" t="n">
        <v>0</v>
      </c>
      <c r="J340" s="2127" t="n"/>
      <c r="K340" s="1810" t="inlineStr"/>
    </row>
    <row r="341">
      <c r="A341" s="1809" t="inlineStr">
        <is>
          <t>9.1.3.17</t>
        </is>
      </c>
      <c r="B341" s="1808" t="n"/>
      <c r="C341" s="1807" t="n"/>
      <c r="D341" s="1807" t="n"/>
      <c r="E341" s="1806" t="inlineStr">
        <is>
          <t>PV10 - PORTA DE CORRER, 3 FOLHAS, ALUMINIO E VIDRO, 230 x 230 cm</t>
        </is>
      </c>
      <c r="F341" s="1803" t="inlineStr">
        <is>
          <t>m²</t>
        </is>
      </c>
      <c r="G341" s="1803" t="n">
        <v>66.28</v>
      </c>
      <c r="H341" s="1805" t="n">
        <v>0</v>
      </c>
      <c r="I341" s="1805" t="n">
        <v>0</v>
      </c>
      <c r="J341" s="2128" t="n"/>
      <c r="K341" s="1803" t="inlineStr"/>
    </row>
    <row r="342">
      <c r="A342" s="1816" t="inlineStr">
        <is>
          <t>9.1.3.18</t>
        </is>
      </c>
      <c r="B342" s="1815" t="n"/>
      <c r="C342" s="1814" t="n"/>
      <c r="D342" s="1814" t="n"/>
      <c r="E342" s="1813" t="inlineStr">
        <is>
          <t>PV11 - PORTA DE CORRER, 3 FOLHAS, ALUMINIO E VIDRO, 205 x 230 cm</t>
        </is>
      </c>
      <c r="F342" s="1810" t="inlineStr">
        <is>
          <t>m²</t>
        </is>
      </c>
      <c r="G342" s="1810" t="n">
        <v>19.86</v>
      </c>
      <c r="H342" s="1812" t="n">
        <v>0</v>
      </c>
      <c r="I342" s="1812" t="n">
        <v>0</v>
      </c>
      <c r="J342" s="2127" t="n"/>
      <c r="K342" s="1810" t="inlineStr"/>
    </row>
    <row r="343">
      <c r="A343" s="1809" t="inlineStr">
        <is>
          <t>9.1.3.19</t>
        </is>
      </c>
      <c r="B343" s="1808" t="n"/>
      <c r="C343" s="1807" t="n"/>
      <c r="D343" s="1807" t="n"/>
      <c r="E343" s="1806" t="inlineStr">
        <is>
          <t>PV12 - PORTA DE CORRER, 2 FOLHAS, ALUMINIO E VIDRO, 180 x 233 cm</t>
        </is>
      </c>
      <c r="F343" s="1803" t="inlineStr">
        <is>
          <t>m²</t>
        </is>
      </c>
      <c r="G343" s="1803" t="n">
        <v>10.18</v>
      </c>
      <c r="H343" s="1805" t="n">
        <v>0</v>
      </c>
      <c r="I343" s="1805" t="n">
        <v>0</v>
      </c>
      <c r="J343" s="2128" t="n"/>
      <c r="K343" s="1803" t="inlineStr"/>
    </row>
    <row r="344">
      <c r="A344" s="1816" t="inlineStr">
        <is>
          <t>9.1.3.20</t>
        </is>
      </c>
      <c r="B344" s="1815" t="n"/>
      <c r="C344" s="1814" t="n"/>
      <c r="D344" s="1814" t="n"/>
      <c r="E344" s="1813" t="inlineStr">
        <is>
          <t>PV12 - PORTA DE CORRER, 2 FOLHAS, ALUMINIO E VIDRO, 90 x 233 cm</t>
        </is>
      </c>
      <c r="F344" s="1810" t="inlineStr">
        <is>
          <t>m²</t>
        </is>
      </c>
      <c r="G344" s="1810" t="n">
        <v>5.6</v>
      </c>
      <c r="H344" s="1812" t="n">
        <v>0</v>
      </c>
      <c r="I344" s="1812" t="n">
        <v>0</v>
      </c>
      <c r="J344" s="2127" t="n"/>
      <c r="K344" s="1810" t="inlineStr"/>
    </row>
    <row r="345">
      <c r="A345" s="1826" t="inlineStr">
        <is>
          <t>9.2.</t>
        </is>
      </c>
      <c r="B345" s="1825" t="n"/>
      <c r="C345" s="1824" t="n"/>
      <c r="D345" s="1824" t="n"/>
      <c r="E345" s="1824" t="inlineStr">
        <is>
          <t>ARQ_Torre_A</t>
        </is>
      </c>
      <c r="F345" s="1821" t="n"/>
      <c r="G345" s="1821" t="n"/>
      <c r="H345" s="1823" t="n"/>
      <c r="I345" s="1823" t="n">
        <v>0</v>
      </c>
      <c r="J345" s="2125" t="n"/>
      <c r="K345" s="1821" t="inlineStr"/>
    </row>
    <row r="346">
      <c r="A346" s="222" t="inlineStr">
        <is>
          <t>9.2.1.</t>
        </is>
      </c>
      <c r="B346" s="1820" t="n"/>
      <c r="C346" s="1820" t="n"/>
      <c r="D346" s="1820" t="n"/>
      <c r="E346" s="1820" t="inlineStr">
        <is>
          <t>18.003. Guardo corpo</t>
        </is>
      </c>
      <c r="F346" s="1817" t="n"/>
      <c r="G346" s="1817" t="n"/>
      <c r="H346" s="1819" t="n"/>
      <c r="I346" s="1819" t="n">
        <v>0</v>
      </c>
      <c r="J346" s="2126" t="n"/>
      <c r="K346" s="1817" t="inlineStr"/>
    </row>
    <row r="347">
      <c r="A347" s="1809" t="inlineStr">
        <is>
          <t>9.2.1.1</t>
        </is>
      </c>
      <c r="B347" s="1808" t="n"/>
      <c r="C347" s="1807" t="n"/>
      <c r="D347" s="1807" t="n"/>
      <c r="E347" s="1806" t="inlineStr">
        <is>
          <t>GP01 - GUARDA-CORPO, ALUMÍNIO E VIDRO, 80 cm</t>
        </is>
      </c>
      <c r="F347" s="1803" t="inlineStr">
        <is>
          <t>m</t>
        </is>
      </c>
      <c r="G347" s="1803" t="n">
        <v>183.35</v>
      </c>
      <c r="H347" s="1805" t="n">
        <v>0</v>
      </c>
      <c r="I347" s="1805" t="n">
        <v>0</v>
      </c>
      <c r="J347" s="2128" t="n"/>
      <c r="K347" s="1803" t="inlineStr"/>
    </row>
    <row r="348">
      <c r="A348" s="1816" t="inlineStr">
        <is>
          <t>9.2.1.2</t>
        </is>
      </c>
      <c r="B348" s="1815" t="n"/>
      <c r="C348" s="1814" t="n"/>
      <c r="D348" s="1814" t="n"/>
      <c r="E348" s="1813" t="inlineStr">
        <is>
          <t>GP02 - GUARDA-CORPO, ALUMÍNIO E VIDRO, 80 cm</t>
        </is>
      </c>
      <c r="F348" s="1810" t="inlineStr">
        <is>
          <t>m</t>
        </is>
      </c>
      <c r="G348" s="1810" t="n">
        <v>160.83</v>
      </c>
      <c r="H348" s="1812" t="n">
        <v>0</v>
      </c>
      <c r="I348" s="1812" t="n">
        <v>0</v>
      </c>
      <c r="J348" s="2127" t="n"/>
      <c r="K348" s="1810" t="inlineStr"/>
    </row>
    <row r="349">
      <c r="A349" s="1809" t="inlineStr">
        <is>
          <t>9.2.1.3</t>
        </is>
      </c>
      <c r="B349" s="1808" t="n"/>
      <c r="C349" s="1807" t="n"/>
      <c r="D349" s="1807" t="n"/>
      <c r="E349" s="1806" t="inlineStr">
        <is>
          <t>GP03 - GUARDA-CORPO, ALUMÍNIO E VIDRO, 80 cm</t>
        </is>
      </c>
      <c r="F349" s="1803" t="inlineStr">
        <is>
          <t>m</t>
        </is>
      </c>
      <c r="G349" s="1803" t="n">
        <v>91.59999999999999</v>
      </c>
      <c r="H349" s="1805" t="n">
        <v>0</v>
      </c>
      <c r="I349" s="1805" t="n">
        <v>0</v>
      </c>
      <c r="J349" s="2128" t="n"/>
      <c r="K349" s="1803" t="inlineStr"/>
    </row>
    <row r="350">
      <c r="A350" s="1816" t="inlineStr">
        <is>
          <t>9.2.1.4</t>
        </is>
      </c>
      <c r="B350" s="1815" t="n"/>
      <c r="C350" s="1814" t="n"/>
      <c r="D350" s="1814" t="n"/>
      <c r="E350" s="1813" t="inlineStr">
        <is>
          <t>GP04 - GUARDA-CORPO, ALUMÍNIO E VIDRO, 80 cm</t>
        </is>
      </c>
      <c r="F350" s="1810" t="inlineStr">
        <is>
          <t>m</t>
        </is>
      </c>
      <c r="G350" s="1810" t="n">
        <v>90.92</v>
      </c>
      <c r="H350" s="1812" t="n">
        <v>0</v>
      </c>
      <c r="I350" s="1812" t="n">
        <v>0</v>
      </c>
      <c r="J350" s="2127" t="n"/>
      <c r="K350" s="1810" t="inlineStr"/>
    </row>
    <row r="351">
      <c r="A351" s="222" t="inlineStr">
        <is>
          <t>9.2.2.</t>
        </is>
      </c>
      <c r="B351" s="1820" t="n"/>
      <c r="C351" s="1820" t="n"/>
      <c r="D351" s="1820" t="n"/>
      <c r="E351" s="1820" t="inlineStr">
        <is>
          <t>19.001. Contramarco</t>
        </is>
      </c>
      <c r="F351" s="1817" t="n"/>
      <c r="G351" s="1817" t="n"/>
      <c r="H351" s="1819" t="n"/>
      <c r="I351" s="1819" t="n">
        <v>0</v>
      </c>
      <c r="J351" s="2126" t="n"/>
      <c r="K351" s="1817" t="inlineStr"/>
    </row>
    <row r="352">
      <c r="A352" s="1809" t="inlineStr">
        <is>
          <t>9.2.2.1</t>
        </is>
      </c>
      <c r="B352" s="1808" t="n"/>
      <c r="C352" s="1807" t="n"/>
      <c r="D352" s="1807" t="n"/>
      <c r="E352" s="1806" t="inlineStr">
        <is>
          <t>Contramarco de Alumínio</t>
        </is>
      </c>
      <c r="F352" s="1803" t="inlineStr">
        <is>
          <t>m</t>
        </is>
      </c>
      <c r="G352" s="1803" t="n"/>
      <c r="H352" s="1805" t="n">
        <v>0</v>
      </c>
      <c r="I352" s="1805" t="n">
        <v>0</v>
      </c>
      <c r="J352" s="2128" t="n"/>
      <c r="K352" s="1803" t="inlineStr"/>
    </row>
    <row r="353">
      <c r="A353" s="1816" t="inlineStr">
        <is>
          <t>9.2.2.2</t>
        </is>
      </c>
      <c r="B353" s="1815" t="n"/>
      <c r="C353" s="1814" t="n"/>
      <c r="D353" s="1814" t="n"/>
      <c r="E353" s="1813" t="inlineStr">
        <is>
          <t>Contramarco de Porta corta-fogo</t>
        </is>
      </c>
      <c r="F353" s="1810" t="inlineStr">
        <is>
          <t>m</t>
        </is>
      </c>
      <c r="G353" s="1810" t="n"/>
      <c r="H353" s="1812" t="n">
        <v>0</v>
      </c>
      <c r="I353" s="1812" t="n">
        <v>0</v>
      </c>
      <c r="J353" s="2127" t="n"/>
      <c r="K353" s="1810" t="inlineStr"/>
    </row>
    <row r="354">
      <c r="A354" s="222" t="inlineStr">
        <is>
          <t>9.2.3.</t>
        </is>
      </c>
      <c r="B354" s="1820" t="n"/>
      <c r="C354" s="1820" t="n"/>
      <c r="D354" s="1820" t="n"/>
      <c r="E354" s="1820" t="inlineStr">
        <is>
          <t>19.002. Esquadrias de alumínio</t>
        </is>
      </c>
      <c r="F354" s="1817" t="n"/>
      <c r="G354" s="1817" t="n"/>
      <c r="H354" s="1819" t="n"/>
      <c r="I354" s="1819" t="n">
        <v>0</v>
      </c>
      <c r="J354" s="2126" t="n"/>
      <c r="K354" s="1817" t="inlineStr"/>
    </row>
    <row r="355">
      <c r="A355" s="1809" t="inlineStr">
        <is>
          <t>9.2.3.1</t>
        </is>
      </c>
      <c r="B355" s="1808" t="n"/>
      <c r="C355" s="1807" t="n"/>
      <c r="D355" s="1807" t="n"/>
      <c r="E355" s="1806" t="inlineStr">
        <is>
          <t>CONFERÊNCIA P03 - PORTA DE ABRIR, 1 FOLHA, MADEIRA, 80 x 210 cm</t>
        </is>
      </c>
      <c r="F355" s="1803" t="inlineStr">
        <is>
          <t>m²</t>
        </is>
      </c>
      <c r="G355" s="1803" t="n">
        <v>2217.19</v>
      </c>
      <c r="H355" s="1805" t="n">
        <v>0</v>
      </c>
      <c r="I355" s="1805" t="n">
        <v>0</v>
      </c>
      <c r="J355" s="2128" t="n"/>
      <c r="K355" s="1803" t="inlineStr"/>
    </row>
    <row r="356">
      <c r="A356" s="1816" t="inlineStr">
        <is>
          <t>9.2.3.2</t>
        </is>
      </c>
      <c r="B356" s="1815" t="n"/>
      <c r="C356" s="1814" t="n"/>
      <c r="D356" s="1814" t="n"/>
      <c r="E356" s="1813" t="inlineStr">
        <is>
          <t>CONFERÊNCIA P06 - PORTA DE ABRIR, 1 FOLHA, A DEFINIR, 70 x 140 cm</t>
        </is>
      </c>
      <c r="F356" s="1810" t="inlineStr">
        <is>
          <t>m²</t>
        </is>
      </c>
      <c r="G356" s="1810" t="n">
        <v>7.76</v>
      </c>
      <c r="H356" s="1812" t="n">
        <v>0</v>
      </c>
      <c r="I356" s="1812" t="n">
        <v>0</v>
      </c>
      <c r="J356" s="2127" t="n"/>
      <c r="K356" s="1810" t="inlineStr"/>
    </row>
    <row r="357">
      <c r="A357" s="1809" t="inlineStr">
        <is>
          <t>9.2.3.3</t>
        </is>
      </c>
      <c r="B357" s="1808" t="n"/>
      <c r="C357" s="1807" t="n"/>
      <c r="D357" s="1807" t="n"/>
      <c r="E357" s="1806" t="inlineStr">
        <is>
          <t>CONFERÊNCIA P07 - PORTA DE ABRIR, 1 FOLHA, MADEIRA, 90 x 210 cm</t>
        </is>
      </c>
      <c r="F357" s="1803" t="inlineStr">
        <is>
          <t>m²</t>
        </is>
      </c>
      <c r="G357" s="1803" t="n">
        <v>497.31</v>
      </c>
      <c r="H357" s="1805" t="n">
        <v>0</v>
      </c>
      <c r="I357" s="1805" t="n">
        <v>0</v>
      </c>
      <c r="J357" s="2128" t="n"/>
      <c r="K357" s="1803" t="inlineStr"/>
    </row>
    <row r="358">
      <c r="A358" s="1816" t="inlineStr">
        <is>
          <t>9.2.3.4</t>
        </is>
      </c>
      <c r="B358" s="1815" t="n"/>
      <c r="C358" s="1814" t="n"/>
      <c r="D358" s="1814" t="n"/>
      <c r="E358" s="1813" t="inlineStr">
        <is>
          <t>CONFERÊNCIA P0XX - PORTA DE CORRER, 1 FOLHA, A DEFINIR, 70 x 210 cm</t>
        </is>
      </c>
      <c r="F358" s="1810" t="inlineStr">
        <is>
          <t>m²</t>
        </is>
      </c>
      <c r="G358" s="1810" t="n">
        <v>197.55</v>
      </c>
      <c r="H358" s="1812" t="n">
        <v>0</v>
      </c>
      <c r="I358" s="1812" t="n">
        <v>0</v>
      </c>
      <c r="J358" s="2127" t="n"/>
      <c r="K358" s="1810" t="inlineStr"/>
    </row>
    <row r="359">
      <c r="A359" s="1809" t="inlineStr">
        <is>
          <t>9.2.3.5</t>
        </is>
      </c>
      <c r="B359" s="1808" t="n"/>
      <c r="C359" s="1807" t="n"/>
      <c r="D359" s="1807" t="n"/>
      <c r="E359" s="1806" t="inlineStr">
        <is>
          <t>CONFERÊNCIA PD00 - PORTA DE ABRIR, 2 FOLHAS, A DEFINIR, 140 x 210 cm</t>
        </is>
      </c>
      <c r="F359" s="1803" t="inlineStr">
        <is>
          <t>m²</t>
        </is>
      </c>
      <c r="G359" s="1803" t="n">
        <v>7.23</v>
      </c>
      <c r="H359" s="1805" t="n">
        <v>0</v>
      </c>
      <c r="I359" s="1805" t="n">
        <v>0</v>
      </c>
      <c r="J359" s="2128" t="n"/>
      <c r="K359" s="1803" t="inlineStr"/>
    </row>
    <row r="360">
      <c r="A360" s="1816" t="inlineStr">
        <is>
          <t>9.2.3.6</t>
        </is>
      </c>
      <c r="B360" s="1815" t="n"/>
      <c r="C360" s="1814" t="n"/>
      <c r="D360" s="1814" t="n"/>
      <c r="E360" s="1813" t="inlineStr">
        <is>
          <t>PA04 - PORTA DE ABRIR, 1 FOLHA, ALUMINIO VENEZIANA, 80 x 210 cm</t>
        </is>
      </c>
      <c r="F360" s="1810" t="inlineStr">
        <is>
          <t>m²</t>
        </is>
      </c>
      <c r="G360" s="1810" t="n">
        <v>4.13</v>
      </c>
      <c r="H360" s="1812" t="n">
        <v>0</v>
      </c>
      <c r="I360" s="1812" t="n">
        <v>0</v>
      </c>
      <c r="J360" s="2127" t="n"/>
      <c r="K360" s="1810" t="inlineStr"/>
    </row>
    <row r="361">
      <c r="A361" s="1809" t="inlineStr">
        <is>
          <t>9.2.3.7</t>
        </is>
      </c>
      <c r="B361" s="1808" t="n"/>
      <c r="C361" s="1807" t="n"/>
      <c r="D361" s="1807" t="n"/>
      <c r="E361" s="1806" t="inlineStr">
        <is>
          <t>PV05 - PORTA DE CORRER, 3 FOLHAS, ALUMINIO E VIDRO, 175 x 230 cm</t>
        </is>
      </c>
      <c r="F361" s="1803" t="inlineStr">
        <is>
          <t>m²</t>
        </is>
      </c>
      <c r="G361" s="1803" t="n">
        <v>420.59</v>
      </c>
      <c r="H361" s="1805" t="n">
        <v>0</v>
      </c>
      <c r="I361" s="1805" t="n">
        <v>0</v>
      </c>
      <c r="J361" s="2128" t="n"/>
      <c r="K361" s="1803" t="inlineStr"/>
    </row>
    <row r="362">
      <c r="A362" s="1816" t="inlineStr">
        <is>
          <t>9.2.3.8</t>
        </is>
      </c>
      <c r="B362" s="1815" t="n"/>
      <c r="C362" s="1814" t="n"/>
      <c r="D362" s="1814" t="n"/>
      <c r="E362" s="1813" t="inlineStr">
        <is>
          <t>PV05 - PORTA DE CORRER, 3 FOLHAS, ALUMINIO E VIDRO, 300 x 230 cm</t>
        </is>
      </c>
      <c r="F362" s="1810" t="inlineStr">
        <is>
          <t>m²</t>
        </is>
      </c>
      <c r="G362" s="1810" t="n">
        <v>703.55</v>
      </c>
      <c r="H362" s="1812" t="n">
        <v>0</v>
      </c>
      <c r="I362" s="1812" t="n">
        <v>0</v>
      </c>
      <c r="J362" s="2127" t="n"/>
      <c r="K362" s="1810" t="inlineStr"/>
    </row>
    <row r="363">
      <c r="A363" s="1809" t="inlineStr">
        <is>
          <t>9.2.3.9</t>
        </is>
      </c>
      <c r="B363" s="1808" t="n"/>
      <c r="C363" s="1807" t="n"/>
      <c r="D363" s="1807" t="n"/>
      <c r="E363" s="1806" t="inlineStr">
        <is>
          <t>PV07 - PORTA DE CORRER, 4 FOLHAS, ALUMINIO E VIDRO, 320 x 210 cm</t>
        </is>
      </c>
      <c r="F363" s="1803" t="inlineStr">
        <is>
          <t>m²</t>
        </is>
      </c>
      <c r="G363" s="1803" t="n">
        <v>1378.02</v>
      </c>
      <c r="H363" s="1805" t="n">
        <v>0</v>
      </c>
      <c r="I363" s="1805" t="n">
        <v>0</v>
      </c>
      <c r="J363" s="2128" t="n"/>
      <c r="K363" s="1803" t="inlineStr"/>
    </row>
    <row r="364">
      <c r="A364" s="1826" t="inlineStr">
        <is>
          <t>9.3.</t>
        </is>
      </c>
      <c r="B364" s="1825" t="n"/>
      <c r="C364" s="1824" t="n"/>
      <c r="D364" s="1824" t="n"/>
      <c r="E364" s="1824" t="inlineStr">
        <is>
          <t>ARQ_Torre_B</t>
        </is>
      </c>
      <c r="F364" s="1821" t="n"/>
      <c r="G364" s="1821" t="n"/>
      <c r="H364" s="1823" t="n"/>
      <c r="I364" s="1823" t="n">
        <v>0</v>
      </c>
      <c r="J364" s="2125" t="n"/>
      <c r="K364" s="1821" t="inlineStr"/>
    </row>
    <row r="365">
      <c r="A365" s="222" t="inlineStr">
        <is>
          <t>9.3.1.</t>
        </is>
      </c>
      <c r="B365" s="1820" t="n"/>
      <c r="C365" s="1820" t="n"/>
      <c r="D365" s="1820" t="n"/>
      <c r="E365" s="1820" t="inlineStr">
        <is>
          <t>18.003. Guardo corpo</t>
        </is>
      </c>
      <c r="F365" s="1817" t="n"/>
      <c r="G365" s="1817" t="n"/>
      <c r="H365" s="1819" t="n"/>
      <c r="I365" s="1819" t="n">
        <v>0</v>
      </c>
      <c r="J365" s="2126" t="n"/>
      <c r="K365" s="1817" t="inlineStr"/>
    </row>
    <row r="366">
      <c r="A366" s="1816" t="inlineStr">
        <is>
          <t>9.3.1.1</t>
        </is>
      </c>
      <c r="B366" s="1815" t="n"/>
      <c r="C366" s="1814" t="n"/>
      <c r="D366" s="1814" t="n"/>
      <c r="E366" s="1813" t="inlineStr">
        <is>
          <t>GP05 - GUARDA-CORPO, ALUMÍNIO E VIDRO, 80 cm</t>
        </is>
      </c>
      <c r="F366" s="1810" t="inlineStr">
        <is>
          <t>m</t>
        </is>
      </c>
      <c r="G366" s="1810" t="n">
        <v>85.69</v>
      </c>
      <c r="H366" s="1812" t="n">
        <v>0</v>
      </c>
      <c r="I366" s="1812" t="n">
        <v>0</v>
      </c>
      <c r="J366" s="2127" t="n"/>
      <c r="K366" s="1810" t="inlineStr"/>
    </row>
    <row r="367">
      <c r="A367" s="1809" t="inlineStr">
        <is>
          <t>9.3.1.2</t>
        </is>
      </c>
      <c r="B367" s="1808" t="n"/>
      <c r="C367" s="1807" t="n"/>
      <c r="D367" s="1807" t="n"/>
      <c r="E367" s="1806" t="inlineStr">
        <is>
          <t>GP06 - GUARDA-CORPO, ALUMÍNIO E VIDRO, 80 cm</t>
        </is>
      </c>
      <c r="F367" s="1803" t="inlineStr">
        <is>
          <t>m</t>
        </is>
      </c>
      <c r="G367" s="1803" t="n">
        <v>143.53</v>
      </c>
      <c r="H367" s="1805" t="n">
        <v>0</v>
      </c>
      <c r="I367" s="1805" t="n">
        <v>0</v>
      </c>
      <c r="J367" s="2128" t="n"/>
      <c r="K367" s="1803" t="inlineStr"/>
    </row>
    <row r="368">
      <c r="A368" s="1816" t="inlineStr">
        <is>
          <t>9.3.1.3</t>
        </is>
      </c>
      <c r="B368" s="1815" t="n"/>
      <c r="C368" s="1814" t="n"/>
      <c r="D368" s="1814" t="n"/>
      <c r="E368" s="1813" t="inlineStr">
        <is>
          <t>GP07 - GUARDA-CORPO, ALUMÍNIO E VIDRO, 80 cm</t>
        </is>
      </c>
      <c r="F368" s="1810" t="inlineStr">
        <is>
          <t>m</t>
        </is>
      </c>
      <c r="G368" s="1810" t="n">
        <v>97.83</v>
      </c>
      <c r="H368" s="1812" t="n">
        <v>0</v>
      </c>
      <c r="I368" s="1812" t="n">
        <v>0</v>
      </c>
      <c r="J368" s="2127" t="n"/>
      <c r="K368" s="1810" t="inlineStr"/>
    </row>
    <row r="369">
      <c r="A369" s="1809" t="inlineStr">
        <is>
          <t>9.3.1.4</t>
        </is>
      </c>
      <c r="B369" s="1808" t="n"/>
      <c r="C369" s="1807" t="n"/>
      <c r="D369" s="1807" t="n"/>
      <c r="E369" s="1806" t="inlineStr">
        <is>
          <t>GP08 - GUARDA-CORPO, ALUMÍNIO E VIDRO, 80 cm</t>
        </is>
      </c>
      <c r="F369" s="1803" t="inlineStr">
        <is>
          <t>m</t>
        </is>
      </c>
      <c r="G369" s="1803" t="n">
        <v>76.31999999999999</v>
      </c>
      <c r="H369" s="1805" t="n">
        <v>0</v>
      </c>
      <c r="I369" s="1805" t="n">
        <v>0</v>
      </c>
      <c r="J369" s="2128" t="n"/>
      <c r="K369" s="1803" t="inlineStr"/>
    </row>
    <row r="370">
      <c r="A370" s="222" t="inlineStr">
        <is>
          <t>9.3.2.</t>
        </is>
      </c>
      <c r="B370" s="1820" t="n"/>
      <c r="C370" s="1820" t="n"/>
      <c r="D370" s="1820" t="n"/>
      <c r="E370" s="1820" t="inlineStr">
        <is>
          <t>19.001. Contramarco</t>
        </is>
      </c>
      <c r="F370" s="1817" t="n"/>
      <c r="G370" s="1817" t="n"/>
      <c r="H370" s="1819" t="n"/>
      <c r="I370" s="1819" t="n">
        <v>0</v>
      </c>
      <c r="J370" s="2126" t="n"/>
      <c r="K370" s="1817" t="inlineStr"/>
    </row>
    <row r="371">
      <c r="A371" s="1816" t="inlineStr">
        <is>
          <t>9.3.2.1</t>
        </is>
      </c>
      <c r="B371" s="1815" t="n"/>
      <c r="C371" s="1814" t="n"/>
      <c r="D371" s="1814" t="n"/>
      <c r="E371" s="1813" t="inlineStr">
        <is>
          <t>Contramarco de Alumínio</t>
        </is>
      </c>
      <c r="F371" s="1810" t="inlineStr">
        <is>
          <t>m</t>
        </is>
      </c>
      <c r="G371" s="1810" t="n"/>
      <c r="H371" s="1812" t="n">
        <v>0</v>
      </c>
      <c r="I371" s="1812" t="n">
        <v>0</v>
      </c>
      <c r="J371" s="2127" t="n"/>
      <c r="K371" s="1810" t="inlineStr"/>
    </row>
    <row r="372">
      <c r="A372" s="1809" t="inlineStr">
        <is>
          <t>9.3.2.2</t>
        </is>
      </c>
      <c r="B372" s="1808" t="n"/>
      <c r="C372" s="1807" t="n"/>
      <c r="D372" s="1807" t="n"/>
      <c r="E372" s="1806" t="inlineStr">
        <is>
          <t>Contramarco de Porta corta-fogo</t>
        </is>
      </c>
      <c r="F372" s="1803" t="inlineStr">
        <is>
          <t>m</t>
        </is>
      </c>
      <c r="G372" s="1803" t="n"/>
      <c r="H372" s="1805" t="n">
        <v>0</v>
      </c>
      <c r="I372" s="1805" t="n">
        <v>0</v>
      </c>
      <c r="J372" s="2128" t="n"/>
      <c r="K372" s="1803" t="inlineStr"/>
    </row>
    <row r="373">
      <c r="A373" s="222" t="inlineStr">
        <is>
          <t>9.3.3.</t>
        </is>
      </c>
      <c r="B373" s="1820" t="n"/>
      <c r="C373" s="1820" t="n"/>
      <c r="D373" s="1820" t="n"/>
      <c r="E373" s="1820" t="inlineStr">
        <is>
          <t>19.002. Esquadrias de alumínio</t>
        </is>
      </c>
      <c r="F373" s="1817" t="n"/>
      <c r="G373" s="1817" t="n"/>
      <c r="H373" s="1819" t="n"/>
      <c r="I373" s="1819" t="n">
        <v>0</v>
      </c>
      <c r="J373" s="2126" t="n"/>
      <c r="K373" s="1817" t="inlineStr"/>
    </row>
    <row r="374">
      <c r="A374" s="1816" t="inlineStr">
        <is>
          <t>9.3.3.1</t>
        </is>
      </c>
      <c r="B374" s="1815" t="n"/>
      <c r="C374" s="1814" t="n"/>
      <c r="D374" s="1814" t="n"/>
      <c r="E374" s="1813" t="inlineStr">
        <is>
          <t>CONFERÊNCIA P03 - PORTA DE ABRIR, 1 FOLHA, MADEIRA, 80 x 210 cm</t>
        </is>
      </c>
      <c r="F374" s="1810" t="inlineStr">
        <is>
          <t>m²</t>
        </is>
      </c>
      <c r="G374" s="1810" t="n">
        <v>1985.66</v>
      </c>
      <c r="H374" s="1812" t="n">
        <v>0</v>
      </c>
      <c r="I374" s="1812" t="n">
        <v>0</v>
      </c>
      <c r="J374" s="2127" t="n"/>
      <c r="K374" s="1810" t="inlineStr"/>
    </row>
    <row r="375">
      <c r="A375" s="1809" t="inlineStr">
        <is>
          <t>9.3.3.2</t>
        </is>
      </c>
      <c r="B375" s="1808" t="n"/>
      <c r="C375" s="1807" t="n"/>
      <c r="D375" s="1807" t="n"/>
      <c r="E375" s="1806" t="inlineStr">
        <is>
          <t>CONFERÊNCIA P05 - PORTA DE ABRIR, 1 FOLHA, A DEFINIR, 70 x 180 cm</t>
        </is>
      </c>
      <c r="F375" s="1803" t="inlineStr">
        <is>
          <t>m²</t>
        </is>
      </c>
      <c r="G375" s="1803" t="n">
        <v>6.66</v>
      </c>
      <c r="H375" s="1805" t="n">
        <v>0</v>
      </c>
      <c r="I375" s="1805" t="n">
        <v>0</v>
      </c>
      <c r="J375" s="2128" t="n"/>
      <c r="K375" s="1803" t="inlineStr"/>
    </row>
    <row r="376">
      <c r="A376" s="1816" t="inlineStr">
        <is>
          <t>9.3.3.3</t>
        </is>
      </c>
      <c r="B376" s="1815" t="n"/>
      <c r="C376" s="1814" t="n"/>
      <c r="D376" s="1814" t="n"/>
      <c r="E376" s="1813" t="inlineStr">
        <is>
          <t>CONFERÊNCIA P06 - PORTA DE ABRIR, 1 FOLHA, A DEFINIR, 70 x 140 cm</t>
        </is>
      </c>
      <c r="F376" s="1810" t="inlineStr">
        <is>
          <t>m²</t>
        </is>
      </c>
      <c r="G376" s="1810" t="n">
        <v>2.59</v>
      </c>
      <c r="H376" s="1812" t="n">
        <v>0</v>
      </c>
      <c r="I376" s="1812" t="n">
        <v>0</v>
      </c>
      <c r="J376" s="2127" t="n"/>
      <c r="K376" s="1810" t="inlineStr"/>
    </row>
    <row r="377">
      <c r="A377" s="1809" t="inlineStr">
        <is>
          <t>9.3.3.4</t>
        </is>
      </c>
      <c r="B377" s="1808" t="n"/>
      <c r="C377" s="1807" t="n"/>
      <c r="D377" s="1807" t="n"/>
      <c r="E377" s="1806" t="inlineStr">
        <is>
          <t>CONFERÊNCIA P07 - PORTA DE ABRIR, 1 FOLHA, MADEIRA, 90 x 210 cm</t>
        </is>
      </c>
      <c r="F377" s="1803" t="inlineStr">
        <is>
          <t>m²</t>
        </is>
      </c>
      <c r="G377" s="1803" t="n">
        <v>503.57</v>
      </c>
      <c r="H377" s="1805" t="n">
        <v>0</v>
      </c>
      <c r="I377" s="1805" t="n">
        <v>0</v>
      </c>
      <c r="J377" s="2128" t="n"/>
      <c r="K377" s="1803" t="inlineStr"/>
    </row>
    <row r="378">
      <c r="A378" s="1816" t="inlineStr">
        <is>
          <t>9.3.3.5</t>
        </is>
      </c>
      <c r="B378" s="1815" t="n"/>
      <c r="C378" s="1814" t="n"/>
      <c r="D378" s="1814" t="n"/>
      <c r="E378" s="1813" t="inlineStr">
        <is>
          <t>CONFERÊNCIA P0X - PORTA DE CORRER, 1 FOLHA, A DEFINIR, 90 x 210 cm</t>
        </is>
      </c>
      <c r="F378" s="1810" t="inlineStr">
        <is>
          <t>m²</t>
        </is>
      </c>
      <c r="G378" s="1810" t="n">
        <v>239.05</v>
      </c>
      <c r="H378" s="1812" t="n">
        <v>0</v>
      </c>
      <c r="I378" s="1812" t="n">
        <v>0</v>
      </c>
      <c r="J378" s="2127" t="n"/>
      <c r="K378" s="1810" t="inlineStr"/>
    </row>
    <row r="379">
      <c r="A379" s="1809" t="inlineStr">
        <is>
          <t>9.3.3.6</t>
        </is>
      </c>
      <c r="B379" s="1808" t="n"/>
      <c r="C379" s="1807" t="n"/>
      <c r="D379" s="1807" t="n"/>
      <c r="E379" s="1806" t="inlineStr">
        <is>
          <t>CONFERÊNCIA P0XX - PORTA DE CORRER, 1 FOLHA, A DEFINIR, 70 x 210 cm</t>
        </is>
      </c>
      <c r="F379" s="1803" t="inlineStr">
        <is>
          <t>m²</t>
        </is>
      </c>
      <c r="G379" s="1803" t="n">
        <v>97.3</v>
      </c>
      <c r="H379" s="1805" t="n">
        <v>0</v>
      </c>
      <c r="I379" s="1805" t="n">
        <v>0</v>
      </c>
      <c r="J379" s="2128" t="n"/>
      <c r="K379" s="1803" t="inlineStr"/>
    </row>
    <row r="380">
      <c r="A380" s="1816" t="inlineStr">
        <is>
          <t>9.3.3.7</t>
        </is>
      </c>
      <c r="B380" s="1815" t="n"/>
      <c r="C380" s="1814" t="n"/>
      <c r="D380" s="1814" t="n"/>
      <c r="E380" s="1813" t="inlineStr">
        <is>
          <t>CONFERÊNCIA PA05 - PORTA DE ABRIR, 1 FOLHA, A DEFINIR, 70 x 229 cm</t>
        </is>
      </c>
      <c r="F380" s="1810" t="inlineStr">
        <is>
          <t>m²</t>
        </is>
      </c>
      <c r="G380" s="1810" t="n">
        <v>94.7</v>
      </c>
      <c r="H380" s="1812" t="n">
        <v>0</v>
      </c>
      <c r="I380" s="1812" t="n">
        <v>0</v>
      </c>
      <c r="J380" s="2127" t="n"/>
      <c r="K380" s="1810" t="inlineStr"/>
    </row>
    <row r="381">
      <c r="A381" s="1809" t="inlineStr">
        <is>
          <t>9.3.3.8</t>
        </is>
      </c>
      <c r="B381" s="1808" t="n"/>
      <c r="C381" s="1807" t="n"/>
      <c r="D381" s="1807" t="n"/>
      <c r="E381" s="1806" t="inlineStr">
        <is>
          <t>CONFERÊNCIA PD00 - PORTA DE ABRIR, 2 FOLHAS, A DEFINIR, 140 x 210 cm</t>
        </is>
      </c>
      <c r="F381" s="1803" t="inlineStr">
        <is>
          <t>m²</t>
        </is>
      </c>
      <c r="G381" s="1803" t="n">
        <v>7.23</v>
      </c>
      <c r="H381" s="1805" t="n">
        <v>0</v>
      </c>
      <c r="I381" s="1805" t="n">
        <v>0</v>
      </c>
      <c r="J381" s="2128" t="n"/>
      <c r="K381" s="1803" t="inlineStr"/>
    </row>
    <row r="382">
      <c r="A382" s="1816" t="inlineStr">
        <is>
          <t>9.3.3.9</t>
        </is>
      </c>
      <c r="B382" s="1815" t="n"/>
      <c r="C382" s="1814" t="n"/>
      <c r="D382" s="1814" t="n"/>
      <c r="E382" s="1813" t="inlineStr">
        <is>
          <t>PA04 - PORTA DE ABRIR, 1 FOLHA, ALUMINIO VENEZIANA, 80 x 210 cm</t>
        </is>
      </c>
      <c r="F382" s="1810" t="inlineStr">
        <is>
          <t>m²</t>
        </is>
      </c>
      <c r="G382" s="1810" t="n">
        <v>8.51</v>
      </c>
      <c r="H382" s="1812" t="n">
        <v>0</v>
      </c>
      <c r="I382" s="1812" t="n">
        <v>0</v>
      </c>
      <c r="J382" s="2127" t="n"/>
      <c r="K382" s="1810" t="inlineStr"/>
    </row>
    <row r="383">
      <c r="A383" s="1809" t="inlineStr">
        <is>
          <t>9.3.3.10</t>
        </is>
      </c>
      <c r="B383" s="1808" t="n"/>
      <c r="C383" s="1807" t="n"/>
      <c r="D383" s="1807" t="n"/>
      <c r="E383" s="1806" t="inlineStr">
        <is>
          <t>PV02 - PORTA DE CORRER, 3 FOLHAS, ALUMINIO E VIDRO, 209 x 230 cm</t>
        </is>
      </c>
      <c r="F383" s="1803" t="inlineStr">
        <is>
          <t>m²</t>
        </is>
      </c>
      <c r="G383" s="1803" t="n">
        <v>455.2</v>
      </c>
      <c r="H383" s="1805" t="n">
        <v>0</v>
      </c>
      <c r="I383" s="1805" t="n">
        <v>0</v>
      </c>
      <c r="J383" s="2128" t="n"/>
      <c r="K383" s="1803" t="inlineStr"/>
    </row>
    <row r="384">
      <c r="A384" s="1816" t="inlineStr">
        <is>
          <t>9.3.3.11</t>
        </is>
      </c>
      <c r="B384" s="1815" t="n"/>
      <c r="C384" s="1814" t="n"/>
      <c r="D384" s="1814" t="n"/>
      <c r="E384" s="1813" t="inlineStr">
        <is>
          <t>PV03 - PORTA DE CORRER, 3 FOLHAS, ALUMINIO E VIDRO, 215 x 230 cm</t>
        </is>
      </c>
      <c r="F384" s="1810" t="inlineStr">
        <is>
          <t>m²</t>
        </is>
      </c>
      <c r="G384" s="1810" t="n">
        <v>460.06</v>
      </c>
      <c r="H384" s="1812" t="n">
        <v>0</v>
      </c>
      <c r="I384" s="1812" t="n">
        <v>0</v>
      </c>
      <c r="J384" s="2127" t="n"/>
      <c r="K384" s="1810" t="inlineStr"/>
    </row>
    <row r="385">
      <c r="A385" s="1809" t="inlineStr">
        <is>
          <t>9.3.3.12</t>
        </is>
      </c>
      <c r="B385" s="1808" t="n"/>
      <c r="C385" s="1807" t="n"/>
      <c r="D385" s="1807" t="n"/>
      <c r="E385" s="1806" t="inlineStr">
        <is>
          <t>PV04 - PORTA DE CORRER, 3 FOLHAS, ALUMINIO E VIDRO, 290 x 230 cm</t>
        </is>
      </c>
      <c r="F385" s="1803" t="inlineStr">
        <is>
          <t>m²</t>
        </is>
      </c>
      <c r="G385" s="1803" t="n">
        <v>623</v>
      </c>
      <c r="H385" s="1805" t="n">
        <v>0</v>
      </c>
      <c r="I385" s="1805" t="n">
        <v>0</v>
      </c>
      <c r="J385" s="2128" t="n"/>
      <c r="K385" s="1803" t="inlineStr"/>
    </row>
    <row r="386">
      <c r="A386" s="1816" t="inlineStr">
        <is>
          <t>9.3.3.13</t>
        </is>
      </c>
      <c r="B386" s="1815" t="n"/>
      <c r="C386" s="1814" t="n"/>
      <c r="D386" s="1814" t="n"/>
      <c r="E386" s="1813" t="inlineStr">
        <is>
          <t>PV06 - PORTA DE CORRER, 3 FOLHAS, ALUMINIO E VIDRO, 345 x 230 cm</t>
        </is>
      </c>
      <c r="F386" s="1810" t="inlineStr">
        <is>
          <t>m²</t>
        </is>
      </c>
      <c r="G386" s="1810" t="n">
        <v>736.95</v>
      </c>
      <c r="H386" s="1812" t="n">
        <v>0</v>
      </c>
      <c r="I386" s="1812" t="n">
        <v>0</v>
      </c>
      <c r="J386" s="2127" t="n"/>
      <c r="K386" s="1810" t="inlineStr"/>
    </row>
    <row r="387">
      <c r="A387" s="1832" t="inlineStr">
        <is>
          <t>10.</t>
        </is>
      </c>
      <c r="B387" s="1831" t="n"/>
      <c r="C387" s="1830" t="n"/>
      <c r="D387" s="1830" t="n"/>
      <c r="E387" s="1830" t="inlineStr">
        <is>
          <t>20. ESQUADRIAS DE MADEIRA</t>
        </is>
      </c>
      <c r="F387" s="1827" t="n"/>
      <c r="G387" s="1827" t="n"/>
      <c r="H387" s="1829" t="n"/>
      <c r="I387" s="1829" t="n">
        <v>0</v>
      </c>
      <c r="J387" s="2124" t="n"/>
      <c r="K387" s="1827" t="inlineStr"/>
    </row>
    <row r="388">
      <c r="A388" s="1826" t="inlineStr">
        <is>
          <t>10.1.</t>
        </is>
      </c>
      <c r="B388" s="1825" t="n"/>
      <c r="C388" s="1824" t="n"/>
      <c r="D388" s="1824" t="n"/>
      <c r="E388" s="1824" t="inlineStr">
        <is>
          <t>ARQ_Embasamento</t>
        </is>
      </c>
      <c r="F388" s="1821" t="n"/>
      <c r="G388" s="1821" t="n"/>
      <c r="H388" s="1823" t="n"/>
      <c r="I388" s="1823" t="n">
        <v>0</v>
      </c>
      <c r="J388" s="2125" t="n"/>
      <c r="K388" s="1821" t="inlineStr"/>
    </row>
    <row r="389">
      <c r="A389" s="222" t="inlineStr">
        <is>
          <t>10.1.1.</t>
        </is>
      </c>
      <c r="B389" s="1820" t="n"/>
      <c r="C389" s="1820" t="n"/>
      <c r="D389" s="1820" t="n"/>
      <c r="E389" s="1820" t="inlineStr">
        <is>
          <t>20.001. Esquadrias de madeira</t>
        </is>
      </c>
      <c r="F389" s="1817" t="n"/>
      <c r="G389" s="1817" t="n"/>
      <c r="H389" s="1819" t="n"/>
      <c r="I389" s="1819" t="n">
        <v>0</v>
      </c>
      <c r="J389" s="2126" t="n"/>
      <c r="K389" s="1817" t="inlineStr"/>
    </row>
    <row r="390">
      <c r="A390" s="1809" t="inlineStr">
        <is>
          <t>10.1.1.1</t>
        </is>
      </c>
      <c r="B390" s="1808" t="n"/>
      <c r="C390" s="1807" t="n"/>
      <c r="D390" s="1807" t="n"/>
      <c r="E390" s="1806" t="inlineStr">
        <is>
          <t>P01 - PORTA DE ABRIR, 1 FOLHA, MADEIRA, 60 x 210 cm</t>
        </is>
      </c>
      <c r="F390" s="1803" t="inlineStr">
        <is>
          <t>un</t>
        </is>
      </c>
      <c r="G390" s="1803" t="n">
        <v>11</v>
      </c>
      <c r="H390" s="1805" t="n">
        <v>0</v>
      </c>
      <c r="I390" s="1805" t="n">
        <v>0</v>
      </c>
      <c r="J390" s="2128" t="n"/>
      <c r="K390" s="1803" t="inlineStr"/>
    </row>
    <row r="391">
      <c r="A391" s="1816" t="inlineStr">
        <is>
          <t>10.1.1.2</t>
        </is>
      </c>
      <c r="B391" s="1815" t="n"/>
      <c r="C391" s="1814" t="n"/>
      <c r="D391" s="1814" t="n"/>
      <c r="E391" s="1813" t="inlineStr">
        <is>
          <t>P02 - PORTA DE ABRIR, 1 FOLHA, MADEIRA, 70 x 210 cm</t>
        </is>
      </c>
      <c r="F391" s="1810" t="inlineStr">
        <is>
          <t>un</t>
        </is>
      </c>
      <c r="G391" s="1810" t="n">
        <v>1</v>
      </c>
      <c r="H391" s="1812" t="n">
        <v>0</v>
      </c>
      <c r="I391" s="1812" t="n">
        <v>0</v>
      </c>
      <c r="J391" s="2127" t="n"/>
      <c r="K391" s="1810" t="inlineStr"/>
    </row>
    <row r="392">
      <c r="A392" s="1809" t="inlineStr">
        <is>
          <t>10.1.1.3</t>
        </is>
      </c>
      <c r="B392" s="1808" t="n"/>
      <c r="C392" s="1807" t="n"/>
      <c r="D392" s="1807" t="n"/>
      <c r="E392" s="1806" t="inlineStr">
        <is>
          <t>PD02 - PORTA DE ABRIR, 2 FOLHAS, MADEIRA, 197 x 210 cm</t>
        </is>
      </c>
      <c r="F392" s="1803" t="inlineStr">
        <is>
          <t>un</t>
        </is>
      </c>
      <c r="G392" s="1803" t="n">
        <v>1</v>
      </c>
      <c r="H392" s="1805" t="n">
        <v>0</v>
      </c>
      <c r="I392" s="1805" t="n">
        <v>0</v>
      </c>
      <c r="J392" s="2128" t="n"/>
      <c r="K392" s="1803" t="inlineStr"/>
    </row>
    <row r="393">
      <c r="A393" s="1816" t="inlineStr">
        <is>
          <t>10.1.1.4</t>
        </is>
      </c>
      <c r="B393" s="1815" t="n"/>
      <c r="C393" s="1814" t="n"/>
      <c r="D393" s="1814" t="n"/>
      <c r="E393" s="1813" t="inlineStr">
        <is>
          <t>PD03 - PORTA DE ABRIR, 2 FOLHAS, MADEIRA, 220 x 210 cm</t>
        </is>
      </c>
      <c r="F393" s="1810" t="inlineStr">
        <is>
          <t>un</t>
        </is>
      </c>
      <c r="G393" s="1810" t="n">
        <v>2</v>
      </c>
      <c r="H393" s="1812" t="n">
        <v>0</v>
      </c>
      <c r="I393" s="1812" t="n">
        <v>0</v>
      </c>
      <c r="J393" s="2127" t="n"/>
      <c r="K393" s="1810" t="inlineStr"/>
    </row>
    <row r="394">
      <c r="A394" s="222" t="inlineStr">
        <is>
          <t>10.1.2.</t>
        </is>
      </c>
      <c r="B394" s="1820" t="n"/>
      <c r="C394" s="1820" t="n"/>
      <c r="D394" s="1820" t="n"/>
      <c r="E394" s="1820" t="inlineStr">
        <is>
          <t>20.002. Corrimão</t>
        </is>
      </c>
      <c r="F394" s="1817" t="n"/>
      <c r="G394" s="1817" t="n"/>
      <c r="H394" s="1819" t="n"/>
      <c r="I394" s="1819" t="n">
        <v>0</v>
      </c>
      <c r="J394" s="2126" t="n"/>
      <c r="K394" s="1817" t="inlineStr"/>
    </row>
    <row r="395">
      <c r="A395" s="1809" t="inlineStr">
        <is>
          <t>10.1.2.1</t>
        </is>
      </c>
      <c r="B395" s="1808" t="n"/>
      <c r="C395" s="1807" t="n"/>
      <c r="D395" s="1807" t="n"/>
      <c r="E395" s="1806" t="inlineStr">
        <is>
          <t>CORRIMÃO ESCADA_PAREDE - MADEIRA</t>
        </is>
      </c>
      <c r="F395" s="1803" t="inlineStr">
        <is>
          <t>m</t>
        </is>
      </c>
      <c r="G395" s="1803" t="n">
        <v>186.76</v>
      </c>
      <c r="H395" s="1805" t="n">
        <v>0</v>
      </c>
      <c r="I395" s="1805" t="n">
        <v>0</v>
      </c>
      <c r="J395" s="2128" t="n"/>
      <c r="K395" s="1803" t="inlineStr"/>
    </row>
    <row r="396">
      <c r="A396" s="1826" t="inlineStr">
        <is>
          <t>10.2.</t>
        </is>
      </c>
      <c r="B396" s="1825" t="n"/>
      <c r="C396" s="1824" t="n"/>
      <c r="D396" s="1824" t="n"/>
      <c r="E396" s="1824" t="inlineStr">
        <is>
          <t>ARQ_Torre_A</t>
        </is>
      </c>
      <c r="F396" s="1821" t="n"/>
      <c r="G396" s="1821" t="n"/>
      <c r="H396" s="1823" t="n"/>
      <c r="I396" s="1823" t="n">
        <v>0</v>
      </c>
      <c r="J396" s="2125" t="n"/>
      <c r="K396" s="1821" t="inlineStr"/>
    </row>
    <row r="397">
      <c r="A397" s="222" t="inlineStr">
        <is>
          <t>10.2.1.</t>
        </is>
      </c>
      <c r="B397" s="1820" t="n"/>
      <c r="C397" s="1820" t="n"/>
      <c r="D397" s="1820" t="n"/>
      <c r="E397" s="1820" t="inlineStr">
        <is>
          <t>20.001. Esquadrias de madeira</t>
        </is>
      </c>
      <c r="F397" s="1817" t="n"/>
      <c r="G397" s="1817" t="n"/>
      <c r="H397" s="1819" t="n"/>
      <c r="I397" s="1819" t="n">
        <v>0</v>
      </c>
      <c r="J397" s="2126" t="n"/>
      <c r="K397" s="1817" t="inlineStr"/>
    </row>
    <row r="398">
      <c r="A398" s="1816" t="inlineStr">
        <is>
          <t>10.2.1.1</t>
        </is>
      </c>
      <c r="B398" s="1815" t="n"/>
      <c r="C398" s="1814" t="n"/>
      <c r="D398" s="1814" t="n"/>
      <c r="E398" s="1813" t="inlineStr">
        <is>
          <t>P01 - PORTA DE ABRIR, 1 FOLHA, MADEIRA, 60 x 210 cm</t>
        </is>
      </c>
      <c r="F398" s="1810" t="inlineStr">
        <is>
          <t>un</t>
        </is>
      </c>
      <c r="G398" s="1810" t="n">
        <v>48</v>
      </c>
      <c r="H398" s="1812" t="n">
        <v>0</v>
      </c>
      <c r="I398" s="1812" t="n">
        <v>0</v>
      </c>
      <c r="J398" s="2127" t="n"/>
      <c r="K398" s="1810" t="inlineStr"/>
    </row>
    <row r="399">
      <c r="A399" s="1809" t="inlineStr">
        <is>
          <t>10.2.1.2</t>
        </is>
      </c>
      <c r="B399" s="1808" t="n"/>
      <c r="C399" s="1807" t="n"/>
      <c r="D399" s="1807" t="n"/>
      <c r="E399" s="1806" t="inlineStr">
        <is>
          <t>P02 - PORTA DE ABRIR, 1 FOLHA, MADEIRA, 70 x 210 cm</t>
        </is>
      </c>
      <c r="F399" s="1803" t="inlineStr">
        <is>
          <t>un</t>
        </is>
      </c>
      <c r="G399" s="1803" t="n">
        <v>288</v>
      </c>
      <c r="H399" s="1805" t="n">
        <v>0</v>
      </c>
      <c r="I399" s="1805" t="n">
        <v>0</v>
      </c>
      <c r="J399" s="2128" t="n"/>
      <c r="K399" s="1803" t="inlineStr"/>
    </row>
    <row r="400">
      <c r="A400" s="222" t="inlineStr">
        <is>
          <t>10.2.2.</t>
        </is>
      </c>
      <c r="B400" s="1820" t="n"/>
      <c r="C400" s="1820" t="n"/>
      <c r="D400" s="1820" t="n"/>
      <c r="E400" s="1820" t="inlineStr">
        <is>
          <t>20.002. Corrimão</t>
        </is>
      </c>
      <c r="F400" s="1817" t="n"/>
      <c r="G400" s="1817" t="n"/>
      <c r="H400" s="1819" t="n"/>
      <c r="I400" s="1819" t="n">
        <v>0</v>
      </c>
      <c r="J400" s="2126" t="n"/>
      <c r="K400" s="1817" t="inlineStr"/>
    </row>
    <row r="401">
      <c r="A401" s="1816" t="inlineStr">
        <is>
          <t>10.2.2.1</t>
        </is>
      </c>
      <c r="B401" s="1815" t="n"/>
      <c r="C401" s="1814" t="n"/>
      <c r="D401" s="1814" t="n"/>
      <c r="E401" s="1813" t="inlineStr">
        <is>
          <t>CORRIMÃO ESCADA_PAREDE - MADEIRA</t>
        </is>
      </c>
      <c r="F401" s="1810" t="inlineStr">
        <is>
          <t>m</t>
        </is>
      </c>
      <c r="G401" s="1810" t="n">
        <v>485.55</v>
      </c>
      <c r="H401" s="1812" t="n">
        <v>0</v>
      </c>
      <c r="I401" s="1812" t="n">
        <v>0</v>
      </c>
      <c r="J401" s="2127" t="n"/>
      <c r="K401" s="1810" t="inlineStr"/>
    </row>
    <row r="402">
      <c r="A402" s="1826" t="inlineStr">
        <is>
          <t>10.3.</t>
        </is>
      </c>
      <c r="B402" s="1825" t="n"/>
      <c r="C402" s="1824" t="n"/>
      <c r="D402" s="1824" t="n"/>
      <c r="E402" s="1824" t="inlineStr">
        <is>
          <t>ARQ_Torre_B</t>
        </is>
      </c>
      <c r="F402" s="1821" t="n"/>
      <c r="G402" s="1821" t="n"/>
      <c r="H402" s="1823" t="n"/>
      <c r="I402" s="1823" t="n">
        <v>0</v>
      </c>
      <c r="J402" s="2125" t="n"/>
      <c r="K402" s="1821" t="inlineStr"/>
    </row>
    <row r="403">
      <c r="A403" s="222" t="inlineStr">
        <is>
          <t>10.3.1.</t>
        </is>
      </c>
      <c r="B403" s="1820" t="n"/>
      <c r="C403" s="1820" t="n"/>
      <c r="D403" s="1820" t="n"/>
      <c r="E403" s="1820" t="inlineStr">
        <is>
          <t>20.001. Esquadrias de madeira</t>
        </is>
      </c>
      <c r="F403" s="1817" t="n"/>
      <c r="G403" s="1817" t="n"/>
      <c r="H403" s="1819" t="n"/>
      <c r="I403" s="1819" t="n">
        <v>0</v>
      </c>
      <c r="J403" s="2126" t="n"/>
      <c r="K403" s="1817" t="inlineStr"/>
    </row>
    <row r="404">
      <c r="A404" s="1809" t="inlineStr">
        <is>
          <t>10.3.1.1</t>
        </is>
      </c>
      <c r="B404" s="1808" t="n"/>
      <c r="C404" s="1807" t="n"/>
      <c r="D404" s="1807" t="n"/>
      <c r="E404" s="1806" t="inlineStr">
        <is>
          <t>P01 - PORTA DE ABRIR, 1 FOLHA, MADEIRA, 60 x 210 cm</t>
        </is>
      </c>
      <c r="F404" s="1803" t="inlineStr">
        <is>
          <t>un</t>
        </is>
      </c>
      <c r="G404" s="1803" t="n">
        <v>96</v>
      </c>
      <c r="H404" s="1805" t="n">
        <v>0</v>
      </c>
      <c r="I404" s="1805" t="n">
        <v>0</v>
      </c>
      <c r="J404" s="2128" t="n"/>
      <c r="K404" s="1803" t="inlineStr"/>
    </row>
    <row r="405">
      <c r="A405" s="1816" t="inlineStr">
        <is>
          <t>10.3.1.2</t>
        </is>
      </c>
      <c r="B405" s="1815" t="n"/>
      <c r="C405" s="1814" t="n"/>
      <c r="D405" s="1814" t="n"/>
      <c r="E405" s="1813" t="inlineStr">
        <is>
          <t>P02 - PORTA DE ABRIR, 1 FOLHA, MADEIRA, 70 x 210 cm</t>
        </is>
      </c>
      <c r="F405" s="1810" t="inlineStr">
        <is>
          <t>un</t>
        </is>
      </c>
      <c r="G405" s="1810" t="n">
        <v>264</v>
      </c>
      <c r="H405" s="1812" t="n">
        <v>0</v>
      </c>
      <c r="I405" s="1812" t="n">
        <v>0</v>
      </c>
      <c r="J405" s="2127" t="n"/>
      <c r="K405" s="1810" t="inlineStr"/>
    </row>
    <row r="406">
      <c r="A406" s="222" t="inlineStr">
        <is>
          <t>10.3.2.</t>
        </is>
      </c>
      <c r="B406" s="1820" t="n"/>
      <c r="C406" s="1820" t="n"/>
      <c r="D406" s="1820" t="n"/>
      <c r="E406" s="1820" t="inlineStr">
        <is>
          <t>20.002. Corrimão</t>
        </is>
      </c>
      <c r="F406" s="1817" t="n"/>
      <c r="G406" s="1817" t="n"/>
      <c r="H406" s="1819" t="n"/>
      <c r="I406" s="1819" t="n">
        <v>0</v>
      </c>
      <c r="J406" s="2126" t="n"/>
      <c r="K406" s="1817" t="inlineStr"/>
    </row>
    <row r="407">
      <c r="A407" s="1809" t="inlineStr">
        <is>
          <t>10.3.2.1</t>
        </is>
      </c>
      <c r="B407" s="1808" t="n"/>
      <c r="C407" s="1807" t="n"/>
      <c r="D407" s="1807" t="n"/>
      <c r="E407" s="1806" t="inlineStr">
        <is>
          <t>CORRIMÃO ESCADA_PAREDE - MADEIRA</t>
        </is>
      </c>
      <c r="F407" s="1803" t="inlineStr">
        <is>
          <t>m</t>
        </is>
      </c>
      <c r="G407" s="1803" t="n">
        <v>421.67</v>
      </c>
      <c r="H407" s="1805" t="n">
        <v>0</v>
      </c>
      <c r="I407" s="1805" t="n">
        <v>0</v>
      </c>
      <c r="J407" s="2128" t="n"/>
      <c r="K407" s="1803" t="inlineStr"/>
    </row>
    <row r="408">
      <c r="A408" s="1832" t="inlineStr">
        <is>
          <t>11.</t>
        </is>
      </c>
      <c r="B408" s="1831" t="n"/>
      <c r="C408" s="1830" t="n"/>
      <c r="D408" s="1830" t="n"/>
      <c r="E408" s="1830" t="inlineStr">
        <is>
          <t>21. ESQUADRIAS METÁLICAS</t>
        </is>
      </c>
      <c r="F408" s="1827" t="n"/>
      <c r="G408" s="1827" t="n"/>
      <c r="H408" s="1829" t="n"/>
      <c r="I408" s="1829" t="n">
        <v>0</v>
      </c>
      <c r="J408" s="2124" t="n"/>
      <c r="K408" s="1827" t="inlineStr"/>
    </row>
    <row r="409">
      <c r="A409" s="1826" t="inlineStr">
        <is>
          <t>11.1.</t>
        </is>
      </c>
      <c r="B409" s="1825" t="n"/>
      <c r="C409" s="1824" t="n"/>
      <c r="D409" s="1824" t="n"/>
      <c r="E409" s="1824" t="inlineStr">
        <is>
          <t>ARQ_Embasamento</t>
        </is>
      </c>
      <c r="F409" s="1821" t="n"/>
      <c r="G409" s="1821" t="n"/>
      <c r="H409" s="1823" t="n"/>
      <c r="I409" s="1823" t="n">
        <v>0</v>
      </c>
      <c r="J409" s="2125" t="n"/>
      <c r="K409" s="1821" t="inlineStr"/>
    </row>
    <row r="410">
      <c r="A410" s="222" t="inlineStr">
        <is>
          <t>11.1.1.</t>
        </is>
      </c>
      <c r="B410" s="1820" t="n"/>
      <c r="C410" s="1820" t="n"/>
      <c r="D410" s="1820" t="n"/>
      <c r="E410" s="1820" t="inlineStr">
        <is>
          <t>21.001. Esquadrias metálicas</t>
        </is>
      </c>
      <c r="F410" s="1817" t="n"/>
      <c r="G410" s="1817" t="n"/>
      <c r="H410" s="1819" t="n"/>
      <c r="I410" s="1819" t="n">
        <v>0</v>
      </c>
      <c r="J410" s="2126" t="n"/>
      <c r="K410" s="1817" t="inlineStr"/>
    </row>
    <row r="411">
      <c r="A411" s="1816" t="inlineStr">
        <is>
          <t>11.1.1.1</t>
        </is>
      </c>
      <c r="B411" s="1815" t="n"/>
      <c r="C411" s="1814" t="n"/>
      <c r="D411" s="1814" t="n"/>
      <c r="E411" s="1813" t="inlineStr">
        <is>
          <t>GP11 - GUARDA CORPO METALICO, 90 cm</t>
        </is>
      </c>
      <c r="F411" s="1810" t="inlineStr">
        <is>
          <t>m</t>
        </is>
      </c>
      <c r="G411" s="1810" t="n">
        <v>39.41</v>
      </c>
      <c r="H411" s="1812" t="n">
        <v>0</v>
      </c>
      <c r="I411" s="1812" t="n">
        <v>0</v>
      </c>
      <c r="J411" s="2127" t="n"/>
      <c r="K411" s="1810" t="inlineStr"/>
    </row>
    <row r="412">
      <c r="A412" s="1809" t="inlineStr">
        <is>
          <t>11.1.1.2</t>
        </is>
      </c>
      <c r="B412" s="1808" t="n"/>
      <c r="C412" s="1807" t="n"/>
      <c r="D412" s="1807" t="n"/>
      <c r="E412" s="1806" t="inlineStr">
        <is>
          <t>PCF01 - PORTA DE ABRIR, 1 FOLHA, AÇO GALVANIZADO, 80 x 210 cm</t>
        </is>
      </c>
      <c r="F412" s="1803" t="inlineStr">
        <is>
          <t>un</t>
        </is>
      </c>
      <c r="G412" s="1803" t="n">
        <v>2</v>
      </c>
      <c r="H412" s="1805" t="n">
        <v>0</v>
      </c>
      <c r="I412" s="1805" t="n">
        <v>0</v>
      </c>
      <c r="J412" s="2128" t="n"/>
      <c r="K412" s="1803" t="inlineStr"/>
    </row>
    <row r="413">
      <c r="A413" s="1816" t="inlineStr">
        <is>
          <t>11.1.1.3</t>
        </is>
      </c>
      <c r="B413" s="1815" t="n"/>
      <c r="C413" s="1814" t="n"/>
      <c r="D413" s="1814" t="n"/>
      <c r="E413" s="1813" t="inlineStr">
        <is>
          <t>PCF02 - PORTA DE ABRIR, 1 FOLHA, AÇO GALVANIZADO, 90 x 210 cm</t>
        </is>
      </c>
      <c r="F413" s="1810" t="inlineStr">
        <is>
          <t>un</t>
        </is>
      </c>
      <c r="G413" s="1810" t="n">
        <v>13</v>
      </c>
      <c r="H413" s="1812" t="n">
        <v>0</v>
      </c>
      <c r="I413" s="1812" t="n">
        <v>0</v>
      </c>
      <c r="J413" s="2127" t="n"/>
      <c r="K413" s="1810" t="inlineStr"/>
    </row>
    <row r="414">
      <c r="A414" s="1809" t="inlineStr">
        <is>
          <t>11.1.1.4</t>
        </is>
      </c>
      <c r="B414" s="1808" t="n"/>
      <c r="C414" s="1807" t="n"/>
      <c r="D414" s="1807" t="n"/>
      <c r="E414" s="1806" t="inlineStr">
        <is>
          <t>PCF03 - PORTA DE ABRIR, 1 FOLHA, AÇO GALVANIZADO,100 x 210 cm</t>
        </is>
      </c>
      <c r="F414" s="1803" t="inlineStr">
        <is>
          <t>un</t>
        </is>
      </c>
      <c r="G414" s="1803" t="n">
        <v>22</v>
      </c>
      <c r="H414" s="1805" t="n">
        <v>0</v>
      </c>
      <c r="I414" s="1805" t="n">
        <v>0</v>
      </c>
      <c r="J414" s="2128" t="n"/>
      <c r="K414" s="1803" t="inlineStr"/>
    </row>
    <row r="415">
      <c r="A415" s="1816" t="inlineStr">
        <is>
          <t>11.1.1.5</t>
        </is>
      </c>
      <c r="B415" s="1815" t="n"/>
      <c r="C415" s="1814" t="n"/>
      <c r="D415" s="1814" t="n"/>
      <c r="E415" s="1813" t="inlineStr">
        <is>
          <t>PD01 - PORTA DE ABRIR, 2 FOLHAS, AÇO GALVANIZADO, 160 x 210 cm</t>
        </is>
      </c>
      <c r="F415" s="1810" t="inlineStr">
        <is>
          <t>un</t>
        </is>
      </c>
      <c r="G415" s="1810" t="n">
        <v>2</v>
      </c>
      <c r="H415" s="1812" t="n">
        <v>0</v>
      </c>
      <c r="I415" s="1812" t="n">
        <v>0</v>
      </c>
      <c r="J415" s="2127" t="n"/>
      <c r="K415" s="1810" t="inlineStr"/>
    </row>
    <row r="416">
      <c r="A416" s="1826" t="inlineStr">
        <is>
          <t>11.2.</t>
        </is>
      </c>
      <c r="B416" s="1825" t="n"/>
      <c r="C416" s="1824" t="n"/>
      <c r="D416" s="1824" t="n"/>
      <c r="E416" s="1824" t="inlineStr">
        <is>
          <t>ARQ_Torre_A</t>
        </is>
      </c>
      <c r="F416" s="1821" t="n"/>
      <c r="G416" s="1821" t="n"/>
      <c r="H416" s="1823" t="n"/>
      <c r="I416" s="1823" t="n">
        <v>0</v>
      </c>
      <c r="J416" s="2125" t="n"/>
      <c r="K416" s="1821" t="inlineStr"/>
    </row>
    <row r="417">
      <c r="A417" s="222" t="inlineStr">
        <is>
          <t>11.2.1.</t>
        </is>
      </c>
      <c r="B417" s="1820" t="n"/>
      <c r="C417" s="1820" t="n"/>
      <c r="D417" s="1820" t="n"/>
      <c r="E417" s="1820" t="inlineStr">
        <is>
          <t>21.001. Esquadrias metálicas</t>
        </is>
      </c>
      <c r="F417" s="1817" t="n"/>
      <c r="G417" s="1817" t="n"/>
      <c r="H417" s="1819" t="n"/>
      <c r="I417" s="1819" t="n">
        <v>0</v>
      </c>
      <c r="J417" s="2126" t="n"/>
      <c r="K417" s="1817" t="inlineStr"/>
    </row>
    <row r="418">
      <c r="A418" s="1809" t="inlineStr">
        <is>
          <t>11.2.1.1</t>
        </is>
      </c>
      <c r="B418" s="1808" t="n"/>
      <c r="C418" s="1807" t="n"/>
      <c r="D418" s="1807" t="n"/>
      <c r="E418" s="1806" t="inlineStr">
        <is>
          <t>GP10 - GUARDA CORPO METALICO, 90 cm</t>
        </is>
      </c>
      <c r="F418" s="1803" t="inlineStr">
        <is>
          <t>m</t>
        </is>
      </c>
      <c r="G418" s="1803" t="n">
        <v>177.6</v>
      </c>
      <c r="H418" s="1805" t="n">
        <v>0</v>
      </c>
      <c r="I418" s="1805" t="n">
        <v>0</v>
      </c>
      <c r="J418" s="2128" t="n"/>
      <c r="K418" s="1803" t="inlineStr"/>
    </row>
    <row r="419">
      <c r="A419" s="1816" t="inlineStr">
        <is>
          <t>11.2.1.2</t>
        </is>
      </c>
      <c r="B419" s="1815" t="n"/>
      <c r="C419" s="1814" t="n"/>
      <c r="D419" s="1814" t="n"/>
      <c r="E419" s="1813" t="inlineStr">
        <is>
          <t>GP11 - GUARDA CORPO METALICO, 90 cm</t>
        </is>
      </c>
      <c r="F419" s="1810" t="inlineStr">
        <is>
          <t>m</t>
        </is>
      </c>
      <c r="G419" s="1810" t="n">
        <v>838.6799999999999</v>
      </c>
      <c r="H419" s="1812" t="n">
        <v>0</v>
      </c>
      <c r="I419" s="1812" t="n">
        <v>0</v>
      </c>
      <c r="J419" s="2127" t="n"/>
      <c r="K419" s="1810" t="inlineStr"/>
    </row>
    <row r="420">
      <c r="A420" s="1809" t="inlineStr">
        <is>
          <t>11.2.1.3</t>
        </is>
      </c>
      <c r="B420" s="1808" t="n"/>
      <c r="C420" s="1807" t="n"/>
      <c r="D420" s="1807" t="n"/>
      <c r="E420" s="1806" t="inlineStr">
        <is>
          <t>GP14 - GUARDA CORPO METALICO, 90 cm</t>
        </is>
      </c>
      <c r="F420" s="1803" t="inlineStr">
        <is>
          <t>m</t>
        </is>
      </c>
      <c r="G420" s="1803" t="n">
        <v>37.44</v>
      </c>
      <c r="H420" s="1805" t="n">
        <v>0</v>
      </c>
      <c r="I420" s="1805" t="n">
        <v>0</v>
      </c>
      <c r="J420" s="2128" t="n"/>
      <c r="K420" s="1803" t="inlineStr"/>
    </row>
    <row r="421">
      <c r="A421" s="1816" t="inlineStr">
        <is>
          <t>11.2.1.4</t>
        </is>
      </c>
      <c r="B421" s="1815" t="n"/>
      <c r="C421" s="1814" t="n"/>
      <c r="D421" s="1814" t="n"/>
      <c r="E421" s="1813" t="inlineStr">
        <is>
          <t>PCF03 - PORTA DE ABRIR, 1 FOLHA, AÇO GALVANIZADO,100 x 210 cm</t>
        </is>
      </c>
      <c r="F421" s="1810" t="inlineStr">
        <is>
          <t>un</t>
        </is>
      </c>
      <c r="G421" s="1810" t="n">
        <v>50</v>
      </c>
      <c r="H421" s="1812" t="n">
        <v>0</v>
      </c>
      <c r="I421" s="1812" t="n">
        <v>0</v>
      </c>
      <c r="J421" s="2127" t="n"/>
      <c r="K421" s="1810" t="inlineStr"/>
    </row>
    <row r="422">
      <c r="A422" s="1826" t="inlineStr">
        <is>
          <t>11.3.</t>
        </is>
      </c>
      <c r="B422" s="1825" t="n"/>
      <c r="C422" s="1824" t="n"/>
      <c r="D422" s="1824" t="n"/>
      <c r="E422" s="1824" t="inlineStr">
        <is>
          <t>ARQ_Torre_B</t>
        </is>
      </c>
      <c r="F422" s="1821" t="n"/>
      <c r="G422" s="1821" t="n"/>
      <c r="H422" s="1823" t="n"/>
      <c r="I422" s="1823" t="n">
        <v>0</v>
      </c>
      <c r="J422" s="2125" t="n"/>
      <c r="K422" s="1821" t="inlineStr"/>
    </row>
    <row r="423">
      <c r="A423" s="222" t="inlineStr">
        <is>
          <t>11.3.1.</t>
        </is>
      </c>
      <c r="B423" s="1820" t="n"/>
      <c r="C423" s="1820" t="n"/>
      <c r="D423" s="1820" t="n"/>
      <c r="E423" s="1820" t="inlineStr">
        <is>
          <t>21.001. Esquadrias metálicas</t>
        </is>
      </c>
      <c r="F423" s="1817" t="n"/>
      <c r="G423" s="1817" t="n"/>
      <c r="H423" s="1819" t="n"/>
      <c r="I423" s="1819" t="n">
        <v>0</v>
      </c>
      <c r="J423" s="2126" t="n"/>
      <c r="K423" s="1817" t="inlineStr"/>
    </row>
    <row r="424">
      <c r="A424" s="1809" t="inlineStr">
        <is>
          <t>11.3.1.1</t>
        </is>
      </c>
      <c r="B424" s="1808" t="n"/>
      <c r="C424" s="1807" t="n"/>
      <c r="D424" s="1807" t="n"/>
      <c r="E424" s="1806" t="inlineStr">
        <is>
          <t>GP11 - GUARDA CORPO METALICO, 90 cm</t>
        </is>
      </c>
      <c r="F424" s="1803" t="inlineStr">
        <is>
          <t>m</t>
        </is>
      </c>
      <c r="G424" s="1803" t="n">
        <v>635.67</v>
      </c>
      <c r="H424" s="1805" t="n">
        <v>0</v>
      </c>
      <c r="I424" s="1805" t="n">
        <v>0</v>
      </c>
      <c r="J424" s="2128" t="n"/>
      <c r="K424" s="1803" t="inlineStr"/>
    </row>
    <row r="425">
      <c r="A425" s="1816" t="inlineStr">
        <is>
          <t>11.3.1.2</t>
        </is>
      </c>
      <c r="B425" s="1815" t="n"/>
      <c r="C425" s="1814" t="n"/>
      <c r="D425" s="1814" t="n"/>
      <c r="E425" s="1813" t="inlineStr">
        <is>
          <t>GP12 - GUARDA CORPO METALICO, 90 cm</t>
        </is>
      </c>
      <c r="F425" s="1810" t="inlineStr">
        <is>
          <t>m</t>
        </is>
      </c>
      <c r="G425" s="1810" t="n">
        <v>34.8</v>
      </c>
      <c r="H425" s="1812" t="n">
        <v>0</v>
      </c>
      <c r="I425" s="1812" t="n">
        <v>0</v>
      </c>
      <c r="J425" s="2127" t="n"/>
      <c r="K425" s="1810" t="inlineStr"/>
    </row>
    <row r="426">
      <c r="A426" s="1809" t="inlineStr">
        <is>
          <t>11.3.1.3</t>
        </is>
      </c>
      <c r="B426" s="1808" t="n"/>
      <c r="C426" s="1807" t="n"/>
      <c r="D426" s="1807" t="n"/>
      <c r="E426" s="1806" t="inlineStr">
        <is>
          <t>GP13 - GUARDA CORPO METALICO, 90 cm</t>
        </is>
      </c>
      <c r="F426" s="1803" t="inlineStr">
        <is>
          <t>m</t>
        </is>
      </c>
      <c r="G426" s="1803" t="n">
        <v>46.8</v>
      </c>
      <c r="H426" s="1805" t="n">
        <v>0</v>
      </c>
      <c r="I426" s="1805" t="n">
        <v>0</v>
      </c>
      <c r="J426" s="2128" t="n"/>
      <c r="K426" s="1803" t="inlineStr"/>
    </row>
    <row r="427">
      <c r="A427" s="1816" t="inlineStr">
        <is>
          <t>11.3.1.4</t>
        </is>
      </c>
      <c r="B427" s="1815" t="n"/>
      <c r="C427" s="1814" t="n"/>
      <c r="D427" s="1814" t="n"/>
      <c r="E427" s="1813" t="inlineStr">
        <is>
          <t>GP15 - GUARDA CORPO METALICO, 90 cm</t>
        </is>
      </c>
      <c r="F427" s="1810" t="inlineStr">
        <is>
          <t>m</t>
        </is>
      </c>
      <c r="G427" s="1810" t="n">
        <v>40.8</v>
      </c>
      <c r="H427" s="1812" t="n">
        <v>0</v>
      </c>
      <c r="I427" s="1812" t="n">
        <v>0</v>
      </c>
      <c r="J427" s="2127" t="n"/>
      <c r="K427" s="1810" t="inlineStr"/>
    </row>
    <row r="428">
      <c r="A428" s="1809" t="inlineStr">
        <is>
          <t>11.3.1.5</t>
        </is>
      </c>
      <c r="B428" s="1808" t="n"/>
      <c r="C428" s="1807" t="n"/>
      <c r="D428" s="1807" t="n"/>
      <c r="E428" s="1806" t="inlineStr">
        <is>
          <t>PCF01 - PORTA DE ABRIR, 1 FOLHA, AÇO GALVANIZADO, 80 x 210 cm</t>
        </is>
      </c>
      <c r="F428" s="1803" t="inlineStr">
        <is>
          <t>un</t>
        </is>
      </c>
      <c r="G428" s="1803" t="n">
        <v>48</v>
      </c>
      <c r="H428" s="1805" t="n">
        <v>0</v>
      </c>
      <c r="I428" s="1805" t="n">
        <v>0</v>
      </c>
      <c r="J428" s="2128" t="n"/>
      <c r="K428" s="1803" t="inlineStr"/>
    </row>
    <row r="429">
      <c r="A429" s="1816" t="inlineStr">
        <is>
          <t>11.3.1.6</t>
        </is>
      </c>
      <c r="B429" s="1815" t="n"/>
      <c r="C429" s="1814" t="n"/>
      <c r="D429" s="1814" t="n"/>
      <c r="E429" s="1813" t="inlineStr">
        <is>
          <t>PCF02 - PORTA DE ABRIR, 1 FOLHA, AÇO GALVANIZADO, 90 x 210 cm</t>
        </is>
      </c>
      <c r="F429" s="1810" t="inlineStr">
        <is>
          <t>un</t>
        </is>
      </c>
      <c r="G429" s="1810" t="n">
        <v>4</v>
      </c>
      <c r="H429" s="1812" t="n">
        <v>0</v>
      </c>
      <c r="I429" s="1812" t="n">
        <v>0</v>
      </c>
      <c r="J429" s="2127" t="n"/>
      <c r="K429" s="1810" t="inlineStr"/>
    </row>
    <row r="430">
      <c r="A430" s="1832" t="inlineStr">
        <is>
          <t>12.</t>
        </is>
      </c>
      <c r="B430" s="1831" t="n"/>
      <c r="C430" s="1830" t="n"/>
      <c r="D430" s="1830" t="n"/>
      <c r="E430" s="1830" t="inlineStr">
        <is>
          <t>23. COBERTURA</t>
        </is>
      </c>
      <c r="F430" s="1827" t="n"/>
      <c r="G430" s="1827" t="n"/>
      <c r="H430" s="1829" t="n"/>
      <c r="I430" s="1829" t="n">
        <v>0</v>
      </c>
      <c r="J430" s="2124" t="n"/>
      <c r="K430" s="1827" t="inlineStr"/>
    </row>
    <row r="431">
      <c r="A431" s="1826" t="inlineStr">
        <is>
          <t>12.1.</t>
        </is>
      </c>
      <c r="B431" s="1825" t="n"/>
      <c r="C431" s="1824" t="n"/>
      <c r="D431" s="1824" t="n"/>
      <c r="E431" s="1824" t="inlineStr">
        <is>
          <t>ARQ_Embasamento</t>
        </is>
      </c>
      <c r="F431" s="1821" t="n"/>
      <c r="G431" s="1821" t="n"/>
      <c r="H431" s="1823" t="n"/>
      <c r="I431" s="1823" t="n">
        <v>0</v>
      </c>
      <c r="J431" s="2125" t="n"/>
      <c r="K431" s="1821" t="inlineStr"/>
    </row>
    <row r="432">
      <c r="A432" s="222" t="inlineStr">
        <is>
          <t>12.1.1.</t>
        </is>
      </c>
      <c r="B432" s="1820" t="n"/>
      <c r="C432" s="1820" t="n"/>
      <c r="D432" s="1820" t="n"/>
      <c r="E432" s="1820" t="inlineStr">
        <is>
          <t>23.001. Telhamento para cobertura</t>
        </is>
      </c>
      <c r="F432" s="1817" t="n"/>
      <c r="G432" s="1817" t="n"/>
      <c r="H432" s="1819" t="n"/>
      <c r="I432" s="1819" t="n">
        <v>0</v>
      </c>
      <c r="J432" s="2126" t="n"/>
      <c r="K432" s="1817" t="inlineStr"/>
    </row>
    <row r="433">
      <c r="A433" s="1809" t="inlineStr">
        <is>
          <t>12.1.1.1</t>
        </is>
      </c>
      <c r="B433" s="1808" t="n"/>
      <c r="C433" s="1807" t="n"/>
      <c r="D433" s="1807" t="n"/>
      <c r="E433" s="1806" t="inlineStr">
        <is>
          <t>TELHADO METALICO COM ESTRUTURA EM VIDRO</t>
        </is>
      </c>
      <c r="F433" s="1803" t="inlineStr">
        <is>
          <t>m²</t>
        </is>
      </c>
      <c r="G433" s="1803" t="n">
        <v>90.22</v>
      </c>
      <c r="H433" s="1805" t="n">
        <v>0</v>
      </c>
      <c r="I433" s="1805" t="n">
        <v>0</v>
      </c>
      <c r="J433" s="2128" t="n"/>
      <c r="K433" s="1803" t="inlineStr"/>
    </row>
    <row r="434">
      <c r="A434" s="222" t="inlineStr">
        <is>
          <t>12.1.2.</t>
        </is>
      </c>
      <c r="B434" s="1820" t="n"/>
      <c r="C434" s="1820" t="n"/>
      <c r="D434" s="1820" t="n"/>
      <c r="E434" s="1820" t="inlineStr">
        <is>
          <t>23.002. Telhamento para cobertura</t>
        </is>
      </c>
      <c r="F434" s="1817" t="n"/>
      <c r="G434" s="1817" t="n"/>
      <c r="H434" s="1819" t="n"/>
      <c r="I434" s="1819" t="n">
        <v>0</v>
      </c>
      <c r="J434" s="2126" t="n"/>
      <c r="K434" s="1817" t="inlineStr"/>
    </row>
    <row r="435">
      <c r="A435" s="1816" t="inlineStr">
        <is>
          <t>12.1.2.1</t>
        </is>
      </c>
      <c r="B435" s="1815" t="n"/>
      <c r="C435" s="1814" t="n"/>
      <c r="D435" s="1814" t="n"/>
      <c r="E435" s="1813" t="inlineStr">
        <is>
          <t>TELHADO METALICO COM ESTRUTURA EM VIDRO</t>
        </is>
      </c>
      <c r="F435" s="1810" t="inlineStr">
        <is>
          <t>m²</t>
        </is>
      </c>
      <c r="G435" s="1810" t="n">
        <v>90.22</v>
      </c>
      <c r="H435" s="1812" t="n">
        <v>0</v>
      </c>
      <c r="I435" s="1812" t="n">
        <v>0</v>
      </c>
      <c r="J435" s="2127" t="n"/>
      <c r="K435" s="1810" t="inlineStr"/>
    </row>
    <row r="436">
      <c r="A436" s="222" t="inlineStr">
        <is>
          <t>12.1.3.</t>
        </is>
      </c>
      <c r="B436" s="1820" t="n"/>
      <c r="C436" s="1820" t="n"/>
      <c r="D436" s="1820" t="n"/>
      <c r="E436" s="1820" t="inlineStr">
        <is>
          <t>23.004. Coberturas especiais</t>
        </is>
      </c>
      <c r="F436" s="1817" t="n"/>
      <c r="G436" s="1817" t="n"/>
      <c r="H436" s="1819" t="n"/>
      <c r="I436" s="1819" t="n">
        <v>0</v>
      </c>
      <c r="J436" s="2126" t="n"/>
      <c r="K436" s="1817" t="inlineStr"/>
    </row>
    <row r="437" ht="25.5" customHeight="1">
      <c r="A437" s="1809" t="inlineStr">
        <is>
          <t>12.1.3.1</t>
        </is>
      </c>
      <c r="B437" s="1808" t="n"/>
      <c r="C437" s="1807" t="n"/>
      <c r="D437" s="1807" t="n"/>
      <c r="E437" s="1806" t="inlineStr">
        <is>
          <t>Pergolado Modelos genéricos - pergolado cobertura:Modelos genéricos - pergolado coberturaModelos genéricos - pergolado cobertura</t>
        </is>
      </c>
      <c r="F437" s="1803" t="inlineStr">
        <is>
          <t>m²</t>
        </is>
      </c>
      <c r="G437" s="1803" t="n">
        <v>9.48</v>
      </c>
      <c r="H437" s="1805" t="n">
        <v>0</v>
      </c>
      <c r="I437" s="1805" t="n">
        <v>0</v>
      </c>
      <c r="J437" s="2128" t="n"/>
      <c r="K437" s="1803" t="inlineStr"/>
    </row>
    <row r="438" ht="25.5" customHeight="1">
      <c r="A438" s="1816" t="inlineStr">
        <is>
          <t>12.1.3.2</t>
        </is>
      </c>
      <c r="B438" s="1815" t="n"/>
      <c r="C438" s="1814" t="n"/>
      <c r="D438" s="1814" t="n"/>
      <c r="E438" s="1813" t="inlineStr">
        <is>
          <t>Pergolado Modelos genéricos - pergolado estrutura:Modelos genéricos - pergolado estruturaModelos genéricos - pergolado estrutura</t>
        </is>
      </c>
      <c r="F438" s="1810" t="inlineStr">
        <is>
          <t>m²</t>
        </is>
      </c>
      <c r="G438" s="1810" t="n">
        <v>3.08</v>
      </c>
      <c r="H438" s="1812" t="n">
        <v>0</v>
      </c>
      <c r="I438" s="1812" t="n">
        <v>0</v>
      </c>
      <c r="J438" s="2127" t="n"/>
      <c r="K438" s="1810" t="inlineStr"/>
    </row>
    <row r="439">
      <c r="A439" s="1826" t="inlineStr">
        <is>
          <t>12.2.</t>
        </is>
      </c>
      <c r="B439" s="1825" t="n"/>
      <c r="C439" s="1824" t="n"/>
      <c r="D439" s="1824" t="n"/>
      <c r="E439" s="1824" t="inlineStr">
        <is>
          <t>ARQ_Torre_A</t>
        </is>
      </c>
      <c r="F439" s="1821" t="n"/>
      <c r="G439" s="1821" t="n"/>
      <c r="H439" s="1823" t="n"/>
      <c r="I439" s="1823" t="n">
        <v>0</v>
      </c>
      <c r="J439" s="2125" t="n"/>
      <c r="K439" s="1821" t="inlineStr"/>
    </row>
    <row r="440">
      <c r="A440" s="222" t="inlineStr">
        <is>
          <t>12.2.1.</t>
        </is>
      </c>
      <c r="B440" s="1820" t="n"/>
      <c r="C440" s="1820" t="n"/>
      <c r="D440" s="1820" t="n"/>
      <c r="E440" s="1820" t="inlineStr">
        <is>
          <t>23.001. Telhamento para cobertura</t>
        </is>
      </c>
      <c r="F440" s="1817" t="n"/>
      <c r="G440" s="1817" t="n"/>
      <c r="H440" s="1819" t="n"/>
      <c r="I440" s="1819" t="n">
        <v>0</v>
      </c>
      <c r="J440" s="2126" t="n"/>
      <c r="K440" s="1817" t="inlineStr"/>
    </row>
    <row r="441">
      <c r="A441" s="1809" t="inlineStr">
        <is>
          <t>12.2.1.1</t>
        </is>
      </c>
      <c r="B441" s="1808" t="n"/>
      <c r="C441" s="1807" t="n"/>
      <c r="D441" s="1807" t="n"/>
      <c r="E441" s="1806" t="inlineStr">
        <is>
          <t>TELHADO EM FIBROCIMENTO COM ESTRUTURA EM MADEIRA</t>
        </is>
      </c>
      <c r="F441" s="1803" t="inlineStr">
        <is>
          <t>m²</t>
        </is>
      </c>
      <c r="G441" s="1803" t="n">
        <v>407.37</v>
      </c>
      <c r="H441" s="1805" t="n">
        <v>0</v>
      </c>
      <c r="I441" s="1805" t="n">
        <v>0</v>
      </c>
      <c r="J441" s="2128" t="n"/>
      <c r="K441" s="1803" t="inlineStr"/>
    </row>
    <row r="442">
      <c r="A442" s="222" t="inlineStr">
        <is>
          <t>12.2.2.</t>
        </is>
      </c>
      <c r="B442" s="1820" t="n"/>
      <c r="C442" s="1820" t="n"/>
      <c r="D442" s="1820" t="n"/>
      <c r="E442" s="1820" t="inlineStr">
        <is>
          <t>23.002. Telhamento para cobertura</t>
        </is>
      </c>
      <c r="F442" s="1817" t="n"/>
      <c r="G442" s="1817" t="n"/>
      <c r="H442" s="1819" t="n"/>
      <c r="I442" s="1819" t="n">
        <v>0</v>
      </c>
      <c r="J442" s="2126" t="n"/>
      <c r="K442" s="1817" t="inlineStr"/>
    </row>
    <row r="443">
      <c r="A443" s="1816" t="inlineStr">
        <is>
          <t>12.2.2.1</t>
        </is>
      </c>
      <c r="B443" s="1815" t="n"/>
      <c r="C443" s="1814" t="n"/>
      <c r="D443" s="1814" t="n"/>
      <c r="E443" s="1813" t="inlineStr">
        <is>
          <t>TELHADO EM FIBROCIMENTO COM ESTRUTURA EM MADEIRA</t>
        </is>
      </c>
      <c r="F443" s="1810" t="inlineStr">
        <is>
          <t>m²</t>
        </is>
      </c>
      <c r="G443" s="1810" t="n">
        <v>407.37</v>
      </c>
      <c r="H443" s="1812" t="n">
        <v>0</v>
      </c>
      <c r="I443" s="1812" t="n">
        <v>0</v>
      </c>
      <c r="J443" s="2127" t="n"/>
      <c r="K443" s="1810" t="inlineStr"/>
    </row>
    <row r="444">
      <c r="A444" s="222" t="inlineStr">
        <is>
          <t>12.2.3.</t>
        </is>
      </c>
      <c r="B444" s="1820" t="n"/>
      <c r="C444" s="1820" t="n"/>
      <c r="D444" s="1820" t="n"/>
      <c r="E444" s="1820" t="inlineStr">
        <is>
          <t>23.003. Serviços complementares</t>
        </is>
      </c>
      <c r="F444" s="1817" t="n"/>
      <c r="G444" s="1817" t="n"/>
      <c r="H444" s="1819" t="n"/>
      <c r="I444" s="1819" t="n">
        <v>0</v>
      </c>
      <c r="J444" s="2126" t="n"/>
      <c r="K444" s="1817" t="inlineStr"/>
    </row>
    <row r="445">
      <c r="A445" s="1809" t="inlineStr">
        <is>
          <t>12.2.3.1</t>
        </is>
      </c>
      <c r="B445" s="1808" t="n"/>
      <c r="C445" s="1807" t="n"/>
      <c r="D445" s="1807" t="n"/>
      <c r="E445" s="1806" t="inlineStr">
        <is>
          <t>Calha:CTN_Calha 40cm:5539081</t>
        </is>
      </c>
      <c r="F445" s="1803" t="inlineStr">
        <is>
          <t>m</t>
        </is>
      </c>
      <c r="G445" s="1803" t="n">
        <v>34.35</v>
      </c>
      <c r="H445" s="1805" t="n">
        <v>0</v>
      </c>
      <c r="I445" s="1805" t="n">
        <v>0</v>
      </c>
      <c r="J445" s="2128" t="n"/>
      <c r="K445" s="1803" t="inlineStr"/>
    </row>
    <row r="446">
      <c r="A446" s="1816" t="inlineStr">
        <is>
          <t>12.2.3.2</t>
        </is>
      </c>
      <c r="B446" s="1815" t="n"/>
      <c r="C446" s="1814" t="n"/>
      <c r="D446" s="1814" t="n"/>
      <c r="E446" s="1813" t="inlineStr">
        <is>
          <t>Rufos Moldura de parede:RUFOSRUFOS</t>
        </is>
      </c>
      <c r="F446" s="1810" t="inlineStr">
        <is>
          <t>m</t>
        </is>
      </c>
      <c r="G446" s="1810" t="n">
        <v>71.2</v>
      </c>
      <c r="H446" s="1812" t="n">
        <v>0</v>
      </c>
      <c r="I446" s="1812" t="n">
        <v>0</v>
      </c>
      <c r="J446" s="2127" t="n"/>
      <c r="K446" s="1810" t="inlineStr"/>
    </row>
    <row r="447">
      <c r="A447" s="1826" t="inlineStr">
        <is>
          <t>12.3.</t>
        </is>
      </c>
      <c r="B447" s="1825" t="n"/>
      <c r="C447" s="1824" t="n"/>
      <c r="D447" s="1824" t="n"/>
      <c r="E447" s="1824" t="inlineStr">
        <is>
          <t>ARQ_Torre_B</t>
        </is>
      </c>
      <c r="F447" s="1821" t="n"/>
      <c r="G447" s="1821" t="n"/>
      <c r="H447" s="1823" t="n"/>
      <c r="I447" s="1823" t="n">
        <v>0</v>
      </c>
      <c r="J447" s="2125" t="n"/>
      <c r="K447" s="1821" t="inlineStr"/>
    </row>
    <row r="448">
      <c r="A448" s="222" t="inlineStr">
        <is>
          <t>12.3.1.</t>
        </is>
      </c>
      <c r="B448" s="1820" t="n"/>
      <c r="C448" s="1820" t="n"/>
      <c r="D448" s="1820" t="n"/>
      <c r="E448" s="1820" t="inlineStr">
        <is>
          <t>23.001. Telhamento para cobertura</t>
        </is>
      </c>
      <c r="F448" s="1817" t="n"/>
      <c r="G448" s="1817" t="n"/>
      <c r="H448" s="1819" t="n"/>
      <c r="I448" s="1819" t="n">
        <v>0</v>
      </c>
      <c r="J448" s="2126" t="n"/>
      <c r="K448" s="1817" t="inlineStr"/>
    </row>
    <row r="449">
      <c r="A449" s="1809" t="inlineStr">
        <is>
          <t>12.3.1.1</t>
        </is>
      </c>
      <c r="B449" s="1808" t="n"/>
      <c r="C449" s="1807" t="n"/>
      <c r="D449" s="1807" t="n"/>
      <c r="E449" s="1806" t="inlineStr">
        <is>
          <t>TELHADO EM FIBROCIMENTO COM ESTRUTURA EM MADEIRA</t>
        </is>
      </c>
      <c r="F449" s="1803" t="inlineStr">
        <is>
          <t>m²</t>
        </is>
      </c>
      <c r="G449" s="1803" t="n">
        <v>382.05</v>
      </c>
      <c r="H449" s="1805" t="n">
        <v>0</v>
      </c>
      <c r="I449" s="1805" t="n">
        <v>0</v>
      </c>
      <c r="J449" s="2128" t="n"/>
      <c r="K449" s="1803" t="inlineStr"/>
    </row>
    <row r="450">
      <c r="A450" s="222" t="inlineStr">
        <is>
          <t>12.3.2.</t>
        </is>
      </c>
      <c r="B450" s="1820" t="n"/>
      <c r="C450" s="1820" t="n"/>
      <c r="D450" s="1820" t="n"/>
      <c r="E450" s="1820" t="inlineStr">
        <is>
          <t>23.002. Telhamento para cobertura</t>
        </is>
      </c>
      <c r="F450" s="1817" t="n"/>
      <c r="G450" s="1817" t="n"/>
      <c r="H450" s="1819" t="n"/>
      <c r="I450" s="1819" t="n">
        <v>0</v>
      </c>
      <c r="J450" s="2126" t="n"/>
      <c r="K450" s="1817" t="inlineStr"/>
    </row>
    <row r="451">
      <c r="A451" s="1816" t="inlineStr">
        <is>
          <t>12.3.2.1</t>
        </is>
      </c>
      <c r="B451" s="1815" t="n"/>
      <c r="C451" s="1814" t="n"/>
      <c r="D451" s="1814" t="n"/>
      <c r="E451" s="1813" t="inlineStr">
        <is>
          <t>TELHADO EM FIBROCIMENTO COM ESTRUTURA EM MADEIRA</t>
        </is>
      </c>
      <c r="F451" s="1810" t="inlineStr">
        <is>
          <t>m²</t>
        </is>
      </c>
      <c r="G451" s="1810" t="n">
        <v>382.05</v>
      </c>
      <c r="H451" s="1812" t="n">
        <v>0</v>
      </c>
      <c r="I451" s="1812" t="n">
        <v>0</v>
      </c>
      <c r="J451" s="2127" t="n"/>
      <c r="K451" s="1810" t="inlineStr"/>
    </row>
    <row r="452">
      <c r="A452" s="222" t="inlineStr">
        <is>
          <t>12.3.3.</t>
        </is>
      </c>
      <c r="B452" s="1820" t="n"/>
      <c r="C452" s="1820" t="n"/>
      <c r="D452" s="1820" t="n"/>
      <c r="E452" s="1820" t="inlineStr">
        <is>
          <t>23.003. Serviços complementares</t>
        </is>
      </c>
      <c r="F452" s="1817" t="n"/>
      <c r="G452" s="1817" t="n"/>
      <c r="H452" s="1819" t="n"/>
      <c r="I452" s="1819" t="n">
        <v>0</v>
      </c>
      <c r="J452" s="2126" t="n"/>
      <c r="K452" s="1817" t="inlineStr"/>
    </row>
    <row r="453">
      <c r="A453" s="1809" t="inlineStr">
        <is>
          <t>12.3.3.1</t>
        </is>
      </c>
      <c r="B453" s="1808" t="n"/>
      <c r="C453" s="1807" t="n"/>
      <c r="D453" s="1807" t="n"/>
      <c r="E453" s="1806" t="inlineStr">
        <is>
          <t>Calha:CTN_Calha 40cm:5539081</t>
        </is>
      </c>
      <c r="F453" s="1803" t="inlineStr">
        <is>
          <t>m</t>
        </is>
      </c>
      <c r="G453" s="1803" t="n">
        <v>46.67</v>
      </c>
      <c r="H453" s="1805" t="n">
        <v>0</v>
      </c>
      <c r="I453" s="1805" t="n">
        <v>0</v>
      </c>
      <c r="J453" s="2128" t="n"/>
      <c r="K453" s="1803" t="inlineStr"/>
    </row>
    <row r="454">
      <c r="A454" s="1816" t="inlineStr">
        <is>
          <t>12.3.3.2</t>
        </is>
      </c>
      <c r="B454" s="1815" t="n"/>
      <c r="C454" s="1814" t="n"/>
      <c r="D454" s="1814" t="n"/>
      <c r="E454" s="1813" t="inlineStr">
        <is>
          <t>Rufos Moldura de parede:RUFOSRUFOS</t>
        </is>
      </c>
      <c r="F454" s="1810" t="inlineStr">
        <is>
          <t>m</t>
        </is>
      </c>
      <c r="G454" s="1810" t="n">
        <v>31.37</v>
      </c>
      <c r="H454" s="1812" t="n">
        <v>0</v>
      </c>
      <c r="I454" s="1812" t="n">
        <v>0</v>
      </c>
      <c r="J454" s="2127" t="n"/>
      <c r="K454" s="1810" t="inlineStr"/>
    </row>
    <row r="455">
      <c r="A455" s="1832" t="inlineStr">
        <is>
          <t>13.</t>
        </is>
      </c>
      <c r="B455" s="1831" t="n"/>
      <c r="C455" s="1830" t="n"/>
      <c r="D455" s="1830" t="n"/>
      <c r="E455" s="1830" t="inlineStr">
        <is>
          <t>24. REVESTIMENTOS E ACABAMENTOS EM FACHADA</t>
        </is>
      </c>
      <c r="F455" s="1827" t="n"/>
      <c r="G455" s="1827" t="n"/>
      <c r="H455" s="1829" t="n"/>
      <c r="I455" s="1829" t="n">
        <v>0</v>
      </c>
      <c r="J455" s="2124" t="n"/>
      <c r="K455" s="1827" t="inlineStr"/>
    </row>
    <row r="456">
      <c r="A456" s="1826" t="inlineStr">
        <is>
          <t>13.1.</t>
        </is>
      </c>
      <c r="B456" s="1825" t="n"/>
      <c r="C456" s="1824" t="n"/>
      <c r="D456" s="1824" t="n"/>
      <c r="E456" s="1824" t="inlineStr">
        <is>
          <t>ARQ_Embasamento</t>
        </is>
      </c>
      <c r="F456" s="1821" t="n"/>
      <c r="G456" s="1821" t="n"/>
      <c r="H456" s="1823" t="n"/>
      <c r="I456" s="1823" t="n">
        <v>0</v>
      </c>
      <c r="J456" s="2125" t="n"/>
      <c r="K456" s="1821" t="inlineStr"/>
    </row>
    <row r="457">
      <c r="A457" s="222" t="inlineStr">
        <is>
          <t>13.1.1.</t>
        </is>
      </c>
      <c r="B457" s="1820" t="n"/>
      <c r="C457" s="1820" t="n"/>
      <c r="D457" s="1820" t="n"/>
      <c r="E457" s="1820" t="inlineStr">
        <is>
          <t>24.003. Acabamentos especiais em fachada</t>
        </is>
      </c>
      <c r="F457" s="1817" t="n"/>
      <c r="G457" s="1817" t="n"/>
      <c r="H457" s="1819" t="n"/>
      <c r="I457" s="1819" t="n">
        <v>0</v>
      </c>
      <c r="J457" s="2126" t="n"/>
      <c r="K457" s="1817" t="inlineStr"/>
    </row>
    <row r="458">
      <c r="A458" s="1809" t="inlineStr">
        <is>
          <t>13.1.1.1</t>
        </is>
      </c>
      <c r="B458" s="1808" t="n"/>
      <c r="C458" s="1807" t="n"/>
      <c r="D458" s="1807" t="n"/>
      <c r="E458" s="1806" t="inlineStr">
        <is>
          <t>CTN_Molduras_Fachada</t>
        </is>
      </c>
      <c r="F458" s="1803" t="inlineStr">
        <is>
          <t>m²</t>
        </is>
      </c>
      <c r="G458" s="1803" t="n">
        <v>28.78</v>
      </c>
      <c r="H458" s="1805" t="n">
        <v>0</v>
      </c>
      <c r="I458" s="1805" t="n">
        <v>0</v>
      </c>
      <c r="J458" s="2128" t="n"/>
      <c r="K458" s="1803" t="inlineStr"/>
    </row>
    <row r="459">
      <c r="A459" s="1826" t="inlineStr">
        <is>
          <t>13.2.</t>
        </is>
      </c>
      <c r="B459" s="1825" t="n"/>
      <c r="C459" s="1824" t="n"/>
      <c r="D459" s="1824" t="n"/>
      <c r="E459" s="1824" t="inlineStr">
        <is>
          <t>ARQ_Torre_A</t>
        </is>
      </c>
      <c r="F459" s="1821" t="n"/>
      <c r="G459" s="1821" t="n"/>
      <c r="H459" s="1823" t="n"/>
      <c r="I459" s="1823" t="n">
        <v>0</v>
      </c>
      <c r="J459" s="2125" t="n"/>
      <c r="K459" s="1821" t="inlineStr"/>
    </row>
    <row r="460">
      <c r="A460" s="222" t="inlineStr">
        <is>
          <t>13.2.1.</t>
        </is>
      </c>
      <c r="B460" s="1820" t="n"/>
      <c r="C460" s="1820" t="n"/>
      <c r="D460" s="1820" t="n"/>
      <c r="E460" s="1820" t="inlineStr">
        <is>
          <t>24.003. Acabamentos especiais em fachada</t>
        </is>
      </c>
      <c r="F460" s="1817" t="n"/>
      <c r="G460" s="1817" t="n"/>
      <c r="H460" s="1819" t="n"/>
      <c r="I460" s="1819" t="n">
        <v>0</v>
      </c>
      <c r="J460" s="2126" t="n"/>
      <c r="K460" s="1817" t="inlineStr"/>
    </row>
    <row r="461">
      <c r="A461" s="1816" t="inlineStr">
        <is>
          <t>13.2.1.1</t>
        </is>
      </c>
      <c r="B461" s="1815" t="n"/>
      <c r="C461" s="1814" t="n"/>
      <c r="D461" s="1814" t="n"/>
      <c r="E461" s="1813" t="inlineStr">
        <is>
          <t>CTN_Molduras_Fachada</t>
        </is>
      </c>
      <c r="F461" s="1810" t="inlineStr">
        <is>
          <t>m²</t>
        </is>
      </c>
      <c r="G461" s="1810" t="n">
        <v>4.06</v>
      </c>
      <c r="H461" s="1812" t="n">
        <v>0</v>
      </c>
      <c r="I461" s="1812" t="n">
        <v>0</v>
      </c>
      <c r="J461" s="2127" t="n"/>
      <c r="K461" s="1810" t="inlineStr"/>
    </row>
    <row r="462">
      <c r="A462" s="1826" t="inlineStr">
        <is>
          <t>13.3.</t>
        </is>
      </c>
      <c r="B462" s="1825" t="n"/>
      <c r="C462" s="1824" t="n"/>
      <c r="D462" s="1824" t="n"/>
      <c r="E462" s="1824" t="inlineStr">
        <is>
          <t>ARQ_Torre_B</t>
        </is>
      </c>
      <c r="F462" s="1821" t="n"/>
      <c r="G462" s="1821" t="n"/>
      <c r="H462" s="1823" t="n"/>
      <c r="I462" s="1823" t="n">
        <v>0</v>
      </c>
      <c r="J462" s="2125" t="n"/>
      <c r="K462" s="1821" t="inlineStr"/>
    </row>
    <row r="463">
      <c r="A463" s="222" t="inlineStr">
        <is>
          <t>13.3.1.</t>
        </is>
      </c>
      <c r="B463" s="1820" t="n"/>
      <c r="C463" s="1820" t="n"/>
      <c r="D463" s="1820" t="n"/>
      <c r="E463" s="1820" t="inlineStr">
        <is>
          <t>24.003. Acabamentos especiais em fachada</t>
        </is>
      </c>
      <c r="F463" s="1817" t="n"/>
      <c r="G463" s="1817" t="n"/>
      <c r="H463" s="1819" t="n"/>
      <c r="I463" s="1819" t="n">
        <v>0</v>
      </c>
      <c r="J463" s="2126" t="n"/>
      <c r="K463" s="1817" t="inlineStr"/>
    </row>
    <row r="464">
      <c r="A464" s="1809" t="inlineStr">
        <is>
          <t>13.3.1.1</t>
        </is>
      </c>
      <c r="B464" s="1808" t="n"/>
      <c r="C464" s="1807" t="n"/>
      <c r="D464" s="1807" t="n"/>
      <c r="E464" s="1806" t="inlineStr">
        <is>
          <t>CTN_Molduras_Fachada</t>
        </is>
      </c>
      <c r="F464" s="1803" t="inlineStr">
        <is>
          <t>m²</t>
        </is>
      </c>
      <c r="G464" s="1803" t="n">
        <v>4</v>
      </c>
      <c r="H464" s="1805" t="n">
        <v>0</v>
      </c>
      <c r="I464" s="1805" t="n">
        <v>0</v>
      </c>
      <c r="J464" s="2128" t="n"/>
      <c r="K464" s="1803" t="inlineStr"/>
    </row>
    <row r="465">
      <c r="A465" s="1832" t="inlineStr">
        <is>
          <t>14.</t>
        </is>
      </c>
      <c r="B465" s="1831" t="n"/>
      <c r="C465" s="1830" t="n"/>
      <c r="D465" s="1830" t="n"/>
      <c r="E465" s="1830" t="inlineStr">
        <is>
          <t>24. REVESTIMENTOS E ACABAMENTOS EM FACHADA - Fachada Direita</t>
        </is>
      </c>
      <c r="F465" s="1827" t="n"/>
      <c r="G465" s="1827" t="n"/>
      <c r="H465" s="1829" t="n"/>
      <c r="I465" s="1829" t="n">
        <v>195719.16182284</v>
      </c>
      <c r="J465" s="2124" t="n">
        <v>0.009011498586590406</v>
      </c>
      <c r="K465" s="1827" t="inlineStr"/>
    </row>
    <row r="466">
      <c r="A466" s="1826" t="inlineStr">
        <is>
          <t>14.1.</t>
        </is>
      </c>
      <c r="B466" s="1825" t="n"/>
      <c r="C466" s="1824" t="n"/>
      <c r="D466" s="1824" t="n"/>
      <c r="E466" s="1824" t="inlineStr">
        <is>
          <t>ARQ_Embasamento</t>
        </is>
      </c>
      <c r="F466" s="1821" t="n"/>
      <c r="G466" s="1821" t="n"/>
      <c r="H466" s="1823" t="n"/>
      <c r="I466" s="1823" t="n">
        <v>12390.97110344</v>
      </c>
      <c r="J466" s="2125" t="n">
        <v>0.0005705175596766812</v>
      </c>
      <c r="K466" s="1821" t="inlineStr"/>
    </row>
    <row r="467">
      <c r="A467" s="222" t="inlineStr">
        <is>
          <t>14.1.1.</t>
        </is>
      </c>
      <c r="B467" s="1820" t="n"/>
      <c r="C467" s="1820" t="n"/>
      <c r="D467" s="1820" t="n"/>
      <c r="E467" s="1820" t="inlineStr">
        <is>
          <t>24.001. Revestimento argamassado em fachada</t>
        </is>
      </c>
      <c r="F467" s="1817" t="n"/>
      <c r="G467" s="1817" t="n"/>
      <c r="H467" s="1819" t="n"/>
      <c r="I467" s="1819" t="n">
        <v>1033.104975</v>
      </c>
      <c r="J467" s="2126" t="n">
        <v>4.756725879727115e-05</v>
      </c>
      <c r="K467" s="1817" t="inlineStr"/>
    </row>
    <row r="468" ht="25.5" customHeight="1">
      <c r="A468" s="1816" t="inlineStr">
        <is>
          <t>14.1.1.1</t>
        </is>
      </c>
      <c r="B468" s="1815" t="inlineStr">
        <is>
          <t>Thozen - Electra</t>
        </is>
      </c>
      <c r="C468" s="1814" t="inlineStr">
        <is>
          <t>COMPOSICAO</t>
        </is>
      </c>
      <c r="D468" s="1814" t="inlineStr">
        <is>
          <t>42</t>
        </is>
      </c>
      <c r="E468" s="1813" t="inlineStr">
        <is>
          <t>Chapisco aplicado em alvenarias externas, com colher de pedreiro, de argamassa estabilizada</t>
        </is>
      </c>
      <c r="F468" s="1810" t="inlineStr">
        <is>
          <t>m2</t>
        </is>
      </c>
      <c r="G468" s="1810" t="n">
        <v>183.19</v>
      </c>
      <c r="H468" s="1812" t="n">
        <v>1.3365</v>
      </c>
      <c r="I468" s="1812" t="n">
        <v>244.833435</v>
      </c>
      <c r="J468" s="2127" t="n">
        <v>1.127286737233054e-05</v>
      </c>
      <c r="K468" s="1810" t="inlineStr"/>
    </row>
    <row r="469" ht="25.5" customHeight="1">
      <c r="A469" s="1809" t="inlineStr">
        <is>
          <t>14.1.1.2</t>
        </is>
      </c>
      <c r="B469" s="1808" t="inlineStr">
        <is>
          <t>Thozen - Electra</t>
        </is>
      </c>
      <c r="C469" s="1807" t="inlineStr">
        <is>
          <t>COMPOSICAO</t>
        </is>
      </c>
      <c r="D469" s="1807" t="inlineStr">
        <is>
          <t>90546</t>
        </is>
      </c>
      <c r="E469" s="1806" t="inlineStr">
        <is>
          <t>Chapisco rolado aplicado em alvenaria externa, com desempenadeira dentada</t>
        </is>
      </c>
      <c r="F469" s="1803" t="inlineStr">
        <is>
          <t>m2</t>
        </is>
      </c>
      <c r="G469" s="1803" t="n">
        <v>143.27</v>
      </c>
      <c r="H469" s="1805" t="n">
        <v>5.502</v>
      </c>
      <c r="I469" s="1805" t="n">
        <v>788.2715400000001</v>
      </c>
      <c r="J469" s="2128" t="n">
        <v>3.62943914249406e-05</v>
      </c>
      <c r="K469" s="1803" t="inlineStr"/>
    </row>
    <row r="470" ht="25.5" customHeight="1">
      <c r="A470" s="1816" t="inlineStr">
        <is>
          <t>14.1.1.3</t>
        </is>
      </c>
      <c r="B470" s="1815" t="n"/>
      <c r="C470" s="1814" t="n"/>
      <c r="D470" s="1814" t="n"/>
      <c r="E470" s="1813" t="inlineStr">
        <is>
          <t>REBOCO ARGAMASSADO EXTERNO   -  FACHADA LATERAL DIREITA (Parede padrão)</t>
        </is>
      </c>
      <c r="F470" s="1810" t="inlineStr">
        <is>
          <t>m²</t>
        </is>
      </c>
      <c r="G470" s="1810" t="n">
        <v>326.46</v>
      </c>
      <c r="H470" s="1812" t="n">
        <v>0</v>
      </c>
      <c r="I470" s="1812" t="n">
        <v>0</v>
      </c>
      <c r="J470" s="2127" t="n"/>
      <c r="K470" s="1810" t="inlineStr"/>
    </row>
    <row r="471">
      <c r="A471" s="222" t="inlineStr">
        <is>
          <t>14.1.2.</t>
        </is>
      </c>
      <c r="B471" s="1820" t="n"/>
      <c r="C471" s="1820" t="n"/>
      <c r="D471" s="1820" t="n"/>
      <c r="E471" s="1820" t="inlineStr">
        <is>
          <t>24.002. Pintura e textura em fachada</t>
        </is>
      </c>
      <c r="F471" s="1817" t="n"/>
      <c r="G471" s="1817" t="n"/>
      <c r="H471" s="1819" t="n"/>
      <c r="I471" s="1819" t="n">
        <v>11357.86612844</v>
      </c>
      <c r="J471" s="2126" t="n">
        <v>0.0005229503008794101</v>
      </c>
      <c r="K471" s="1817" t="inlineStr"/>
    </row>
    <row r="472" ht="25.5" customHeight="1">
      <c r="A472" s="1809" t="inlineStr">
        <is>
          <t>14.1.2.1</t>
        </is>
      </c>
      <c r="B472" s="1808" t="inlineStr">
        <is>
          <t>Thozen - Electra</t>
        </is>
      </c>
      <c r="C472" s="1807" t="inlineStr">
        <is>
          <t>COMPOSICAO</t>
        </is>
      </c>
      <c r="D472" s="1807" t="inlineStr">
        <is>
          <t>4979</t>
        </is>
      </c>
      <c r="E472" s="1806" t="inlineStr">
        <is>
          <t xml:space="preserve"> Pintura com tinta acrílica em paredes externas, aplicação manual, acabamento fosco, 3 demãos</t>
        </is>
      </c>
      <c r="F472" s="1803" t="inlineStr">
        <is>
          <t>m2</t>
        </is>
      </c>
      <c r="G472" s="1803" t="n">
        <v>326.46</v>
      </c>
      <c r="H472" s="1805" t="n">
        <v>17.20959</v>
      </c>
      <c r="I472" s="1805" t="n">
        <v>5618.242751399999</v>
      </c>
      <c r="J472" s="2128" t="n">
        <v>0.0002586807859886034</v>
      </c>
      <c r="K472" s="1803" t="inlineStr"/>
    </row>
    <row r="473" ht="25.5" customHeight="1">
      <c r="A473" s="1816" t="inlineStr">
        <is>
          <t>14.1.2.2</t>
        </is>
      </c>
      <c r="B473" s="1815" t="inlineStr">
        <is>
          <t>Thozen - Electra</t>
        </is>
      </c>
      <c r="C473" s="1814" t="inlineStr">
        <is>
          <t>COMPOSICAO</t>
        </is>
      </c>
      <c r="D473" s="1814" t="inlineStr">
        <is>
          <t>1497</t>
        </is>
      </c>
      <c r="E473" s="1813" t="inlineStr">
        <is>
          <t>Textura acrilica em paredes externas, 2 demaos, incluindo aplicação de uma demão de fundo selador acrílico</t>
        </is>
      </c>
      <c r="F473" s="1810" t="inlineStr">
        <is>
          <t>m2</t>
        </is>
      </c>
      <c r="G473" s="1810" t="n">
        <v>326.38</v>
      </c>
      <c r="H473" s="1812" t="n">
        <v>17.585708</v>
      </c>
      <c r="I473" s="1812" t="n">
        <v>5739.62337704</v>
      </c>
      <c r="J473" s="2127" t="n">
        <v>0.0002642695148908068</v>
      </c>
      <c r="K473" s="1810" t="inlineStr"/>
    </row>
    <row r="474">
      <c r="A474" s="1826" t="inlineStr">
        <is>
          <t>14.2.</t>
        </is>
      </c>
      <c r="B474" s="1825" t="n"/>
      <c r="C474" s="1824" t="n"/>
      <c r="D474" s="1824" t="n"/>
      <c r="E474" s="1824" t="inlineStr">
        <is>
          <t>ARQ_Torre_A</t>
        </is>
      </c>
      <c r="F474" s="1821" t="n"/>
      <c r="G474" s="1821" t="n"/>
      <c r="H474" s="1823" t="n"/>
      <c r="I474" s="1823" t="n">
        <v>90069.6477758</v>
      </c>
      <c r="J474" s="2125" t="n">
        <v>0.00414707735342242</v>
      </c>
      <c r="K474" s="1821" t="inlineStr"/>
    </row>
    <row r="475">
      <c r="A475" s="222" t="inlineStr">
        <is>
          <t>14.2.1.</t>
        </is>
      </c>
      <c r="B475" s="1820" t="n"/>
      <c r="C475" s="1820" t="n"/>
      <c r="D475" s="1820" t="n"/>
      <c r="E475" s="1820" t="inlineStr">
        <is>
          <t>24.001. Revestimento argamassado em fachada</t>
        </is>
      </c>
      <c r="F475" s="1817" t="n"/>
      <c r="G475" s="1817" t="n"/>
      <c r="H475" s="1819" t="n"/>
      <c r="I475" s="1819" t="n">
        <v>6661.83894</v>
      </c>
      <c r="J475" s="2126" t="n">
        <v>0.0003067310917989902</v>
      </c>
      <c r="K475" s="1817" t="inlineStr"/>
    </row>
    <row r="476" ht="25.5" customHeight="1">
      <c r="A476" s="1809" t="inlineStr">
        <is>
          <t>14.2.1.1</t>
        </is>
      </c>
      <c r="B476" s="1808" t="inlineStr">
        <is>
          <t>Thozen - Electra</t>
        </is>
      </c>
      <c r="C476" s="1807" t="inlineStr">
        <is>
          <t>COMPOSICAO</t>
        </is>
      </c>
      <c r="D476" s="1807" t="inlineStr">
        <is>
          <t>42</t>
        </is>
      </c>
      <c r="E476" s="1806" t="inlineStr">
        <is>
          <t>Chapisco aplicado em alvenarias externas, com colher de pedreiro, de argamassa estabilizada</t>
        </is>
      </c>
      <c r="F476" s="1803" t="inlineStr">
        <is>
          <t>m2</t>
        </is>
      </c>
      <c r="G476" s="1803" t="n">
        <v>1566.92</v>
      </c>
      <c r="H476" s="1805" t="n">
        <v>1.3365</v>
      </c>
      <c r="I476" s="1805" t="n">
        <v>2094.18858</v>
      </c>
      <c r="J476" s="2128" t="n">
        <v>9.642273782986066e-05</v>
      </c>
      <c r="K476" s="1803" t="inlineStr"/>
    </row>
    <row r="477" ht="25.5" customHeight="1">
      <c r="A477" s="1816" t="inlineStr">
        <is>
          <t>14.2.1.2</t>
        </is>
      </c>
      <c r="B477" s="1815" t="inlineStr">
        <is>
          <t>Thozen - Electra</t>
        </is>
      </c>
      <c r="C477" s="1814" t="inlineStr">
        <is>
          <t>COMPOSICAO</t>
        </is>
      </c>
      <c r="D477" s="1814" t="inlineStr">
        <is>
          <t>90546</t>
        </is>
      </c>
      <c r="E477" s="1813" t="inlineStr">
        <is>
          <t>Chapisco rolado aplicado em alvenaria externa, com desempenadeira dentada</t>
        </is>
      </c>
      <c r="F477" s="1810" t="inlineStr">
        <is>
          <t>m2</t>
        </is>
      </c>
      <c r="G477" s="1810" t="n">
        <v>830.1799999999999</v>
      </c>
      <c r="H477" s="1812" t="n">
        <v>5.502</v>
      </c>
      <c r="I477" s="1812" t="n">
        <v>4567.65036</v>
      </c>
      <c r="J477" s="2127" t="n">
        <v>0.0002103083539691295</v>
      </c>
      <c r="K477" s="1810" t="inlineStr"/>
    </row>
    <row r="478" ht="25.5" customHeight="1">
      <c r="A478" s="1809" t="inlineStr">
        <is>
          <t>14.2.1.3</t>
        </is>
      </c>
      <c r="B478" s="1808" t="n"/>
      <c r="C478" s="1807" t="n"/>
      <c r="D478" s="1807" t="n"/>
      <c r="E478" s="1806" t="inlineStr">
        <is>
          <t>REBOCO ARGAMASSADO EXTERNO   -  FACHADA LATERAL DIREITA (Parede padrão)</t>
        </is>
      </c>
      <c r="F478" s="1803" t="inlineStr">
        <is>
          <t>m²</t>
        </is>
      </c>
      <c r="G478" s="1803" t="n">
        <v>2397.1</v>
      </c>
      <c r="H478" s="1805" t="n">
        <v>0</v>
      </c>
      <c r="I478" s="1805" t="n">
        <v>0</v>
      </c>
      <c r="J478" s="2128" t="n"/>
      <c r="K478" s="1803" t="inlineStr"/>
    </row>
    <row r="479">
      <c r="A479" s="222" t="inlineStr">
        <is>
          <t>14.2.2.</t>
        </is>
      </c>
      <c r="B479" s="1820" t="n"/>
      <c r="C479" s="1820" t="n"/>
      <c r="D479" s="1820" t="n"/>
      <c r="E479" s="1820" t="inlineStr">
        <is>
          <t>24.002. Pintura e textura em fachada</t>
        </is>
      </c>
      <c r="F479" s="1817" t="n"/>
      <c r="G479" s="1817" t="n"/>
      <c r="H479" s="1819" t="n"/>
      <c r="I479" s="1819" t="n">
        <v>83407.80883579999</v>
      </c>
      <c r="J479" s="2126" t="n">
        <v>0.00384034626162343</v>
      </c>
      <c r="K479" s="1817" t="inlineStr"/>
    </row>
    <row r="480" ht="25.5" customHeight="1">
      <c r="A480" s="1816" t="inlineStr">
        <is>
          <t>14.2.2.1</t>
        </is>
      </c>
      <c r="B480" s="1815" t="inlineStr">
        <is>
          <t>Thozen - Electra</t>
        </is>
      </c>
      <c r="C480" s="1814" t="inlineStr">
        <is>
          <t>COMPOSICAO</t>
        </is>
      </c>
      <c r="D480" s="1814" t="inlineStr">
        <is>
          <t>4979</t>
        </is>
      </c>
      <c r="E480" s="1813" t="inlineStr">
        <is>
          <t xml:space="preserve"> Pintura com tinta acrílica em paredes externas, aplicação manual, acabamento fosco, 3 demãos</t>
        </is>
      </c>
      <c r="F480" s="1810" t="inlineStr">
        <is>
          <t>m2</t>
        </is>
      </c>
      <c r="G480" s="1810" t="n">
        <v>2397.1</v>
      </c>
      <c r="H480" s="1812" t="n">
        <v>17.20959</v>
      </c>
      <c r="I480" s="1812" t="n">
        <v>41253.108189</v>
      </c>
      <c r="J480" s="2127" t="n">
        <v>0.001899417117237276</v>
      </c>
      <c r="K480" s="1810" t="inlineStr"/>
    </row>
    <row r="481" ht="25.5" customHeight="1">
      <c r="A481" s="1809" t="inlineStr">
        <is>
          <t>14.2.2.2</t>
        </is>
      </c>
      <c r="B481" s="1808" t="inlineStr">
        <is>
          <t>Thozen - Electra</t>
        </is>
      </c>
      <c r="C481" s="1807" t="inlineStr">
        <is>
          <t>COMPOSICAO</t>
        </is>
      </c>
      <c r="D481" s="1807" t="inlineStr">
        <is>
          <t>1497</t>
        </is>
      </c>
      <c r="E481" s="1806" t="inlineStr">
        <is>
          <t>Textura acrilica em paredes externas, 2 demaos, incluindo aplicação de uma demão de fundo selador acrílico</t>
        </is>
      </c>
      <c r="F481" s="1803" t="inlineStr">
        <is>
          <t>m2</t>
        </is>
      </c>
      <c r="G481" s="1803" t="n">
        <v>2397.1</v>
      </c>
      <c r="H481" s="1805" t="n">
        <v>17.585708</v>
      </c>
      <c r="I481" s="1805" t="n">
        <v>42154.7006468</v>
      </c>
      <c r="J481" s="2128" t="n">
        <v>0.001940929144386154</v>
      </c>
      <c r="K481" s="1803" t="inlineStr"/>
    </row>
    <row r="482">
      <c r="A482" s="1826" t="inlineStr">
        <is>
          <t>14.3.</t>
        </is>
      </c>
      <c r="B482" s="1825" t="n"/>
      <c r="C482" s="1824" t="n"/>
      <c r="D482" s="1824" t="n"/>
      <c r="E482" s="1824" t="inlineStr">
        <is>
          <t>ARQ_Torre_B</t>
        </is>
      </c>
      <c r="F482" s="1821" t="n"/>
      <c r="G482" s="1821" t="n"/>
      <c r="H482" s="1823" t="n"/>
      <c r="I482" s="1823" t="n">
        <v>93258.54294359998</v>
      </c>
      <c r="J482" s="2125" t="n">
        <v>0.004293903673491307</v>
      </c>
      <c r="K482" s="1821" t="inlineStr"/>
    </row>
    <row r="483">
      <c r="A483" s="222" t="inlineStr">
        <is>
          <t>14.3.1.</t>
        </is>
      </c>
      <c r="B483" s="1820" t="n"/>
      <c r="C483" s="1820" t="n"/>
      <c r="D483" s="1820" t="n"/>
      <c r="E483" s="1820" t="inlineStr">
        <is>
          <t>24.001. Revestimento argamassado em fachada</t>
        </is>
      </c>
      <c r="F483" s="1817" t="n"/>
      <c r="G483" s="1817" t="n"/>
      <c r="H483" s="1819" t="n"/>
      <c r="I483" s="1819" t="n">
        <v>7202.81193</v>
      </c>
      <c r="J483" s="2126" t="n">
        <v>0.0003316391145463045</v>
      </c>
      <c r="K483" s="1817" t="inlineStr"/>
    </row>
    <row r="484" ht="25.5" customHeight="1">
      <c r="A484" s="1816" t="inlineStr">
        <is>
          <t>14.3.1.1</t>
        </is>
      </c>
      <c r="B484" s="1815" t="inlineStr">
        <is>
          <t>Thozen - Electra</t>
        </is>
      </c>
      <c r="C484" s="1814" t="inlineStr">
        <is>
          <t>COMPOSICAO</t>
        </is>
      </c>
      <c r="D484" s="1814" t="inlineStr">
        <is>
          <t>42</t>
        </is>
      </c>
      <c r="E484" s="1813" t="inlineStr">
        <is>
          <t>Chapisco aplicado em alvenarias externas, com colher de pedreiro, de argamassa estabilizada</t>
        </is>
      </c>
      <c r="F484" s="1810" t="inlineStr">
        <is>
          <t>m2</t>
        </is>
      </c>
      <c r="G484" s="1810" t="n">
        <v>1537.58</v>
      </c>
      <c r="H484" s="1812" t="n">
        <v>1.3365</v>
      </c>
      <c r="I484" s="1812" t="n">
        <v>2054.97567</v>
      </c>
      <c r="J484" s="2127" t="n">
        <v>9.461725757054422e-05</v>
      </c>
      <c r="K484" s="1810" t="inlineStr"/>
    </row>
    <row r="485" ht="25.5" customHeight="1">
      <c r="A485" s="1809" t="inlineStr">
        <is>
          <t>14.3.1.2</t>
        </is>
      </c>
      <c r="B485" s="1808" t="inlineStr">
        <is>
          <t>Thozen - Electra</t>
        </is>
      </c>
      <c r="C485" s="1807" t="inlineStr">
        <is>
          <t>COMPOSICAO</t>
        </is>
      </c>
      <c r="D485" s="1807" t="inlineStr">
        <is>
          <t>90546</t>
        </is>
      </c>
      <c r="E485" s="1806" t="inlineStr">
        <is>
          <t>Chapisco rolado aplicado em alvenaria externa, com desempenadeira dentada</t>
        </is>
      </c>
      <c r="F485" s="1803" t="inlineStr">
        <is>
          <t>m2</t>
        </is>
      </c>
      <c r="G485" s="1803" t="n">
        <v>935.63</v>
      </c>
      <c r="H485" s="1805" t="n">
        <v>5.502</v>
      </c>
      <c r="I485" s="1805" t="n">
        <v>5147.83626</v>
      </c>
      <c r="J485" s="2128" t="n">
        <v>0.0002370218569757602</v>
      </c>
      <c r="K485" s="1803" t="inlineStr"/>
    </row>
    <row r="486" ht="25.5" customHeight="1">
      <c r="A486" s="1816" t="inlineStr">
        <is>
          <t>14.3.1.3</t>
        </is>
      </c>
      <c r="B486" s="1815" t="n"/>
      <c r="C486" s="1814" t="n"/>
      <c r="D486" s="1814" t="n"/>
      <c r="E486" s="1813" t="inlineStr">
        <is>
          <t>REBOCO ARGAMASSADO EXTERNO   -  FACHADA LATERAL DIREITA (Parede padrão)</t>
        </is>
      </c>
      <c r="F486" s="1810" t="inlineStr">
        <is>
          <t>m²</t>
        </is>
      </c>
      <c r="G486" s="1810" t="n">
        <v>2473.2</v>
      </c>
      <c r="H486" s="1812" t="n">
        <v>0</v>
      </c>
      <c r="I486" s="1812" t="n">
        <v>0</v>
      </c>
      <c r="J486" s="2127" t="n"/>
      <c r="K486" s="1810" t="inlineStr"/>
    </row>
    <row r="487">
      <c r="A487" s="222" t="inlineStr">
        <is>
          <t>14.3.2.</t>
        </is>
      </c>
      <c r="B487" s="1820" t="n"/>
      <c r="C487" s="1820" t="n"/>
      <c r="D487" s="1820" t="n"/>
      <c r="E487" s="1820" t="inlineStr">
        <is>
          <t>24.002. Pintura e textura em fachada</t>
        </is>
      </c>
      <c r="F487" s="1817" t="n"/>
      <c r="G487" s="1817" t="n"/>
      <c r="H487" s="1819" t="n"/>
      <c r="I487" s="1819" t="n">
        <v>86055.73101359999</v>
      </c>
      <c r="J487" s="2126" t="n">
        <v>0.003962264558945002</v>
      </c>
      <c r="K487" s="1817" t="inlineStr"/>
    </row>
    <row r="488" ht="25.5" customHeight="1">
      <c r="A488" s="1809" t="inlineStr">
        <is>
          <t>14.3.2.1</t>
        </is>
      </c>
      <c r="B488" s="1808" t="inlineStr">
        <is>
          <t>Thozen - Electra</t>
        </is>
      </c>
      <c r="C488" s="1807" t="inlineStr">
        <is>
          <t>COMPOSICAO</t>
        </is>
      </c>
      <c r="D488" s="1807" t="inlineStr">
        <is>
          <t>4979</t>
        </is>
      </c>
      <c r="E488" s="1806" t="inlineStr">
        <is>
          <t xml:space="preserve"> Pintura com tinta acrílica em paredes externas, aplicação manual, acabamento fosco, 3 demãos</t>
        </is>
      </c>
      <c r="F488" s="1803" t="inlineStr">
        <is>
          <t>m2</t>
        </is>
      </c>
      <c r="G488" s="1803" t="n">
        <v>2473.2</v>
      </c>
      <c r="H488" s="1805" t="n">
        <v>17.20959</v>
      </c>
      <c r="I488" s="1805" t="n">
        <v>42562.75798799999</v>
      </c>
      <c r="J488" s="2128" t="n">
        <v>0.001959717331088077</v>
      </c>
      <c r="K488" s="1803" t="inlineStr"/>
    </row>
    <row r="489" ht="25.5" customHeight="1">
      <c r="A489" s="1816" t="inlineStr">
        <is>
          <t>14.3.2.2</t>
        </is>
      </c>
      <c r="B489" s="1815" t="inlineStr">
        <is>
          <t>Thozen - Electra</t>
        </is>
      </c>
      <c r="C489" s="1814" t="inlineStr">
        <is>
          <t>COMPOSICAO</t>
        </is>
      </c>
      <c r="D489" s="1814" t="inlineStr">
        <is>
          <t>1497</t>
        </is>
      </c>
      <c r="E489" s="1813" t="inlineStr">
        <is>
          <t>Textura acrilica em paredes externas, 2 demaos, incluindo aplicação de uma demão de fundo selador acrílico</t>
        </is>
      </c>
      <c r="F489" s="1810" t="inlineStr">
        <is>
          <t>m2</t>
        </is>
      </c>
      <c r="G489" s="1810" t="n">
        <v>2473.2</v>
      </c>
      <c r="H489" s="1812" t="n">
        <v>17.585708</v>
      </c>
      <c r="I489" s="1812" t="n">
        <v>43492.9730256</v>
      </c>
      <c r="J489" s="2127" t="n">
        <v>0.002002547227856925</v>
      </c>
      <c r="K489" s="1810" t="inlineStr"/>
    </row>
    <row r="490">
      <c r="A490" s="1832" t="inlineStr">
        <is>
          <t>15.</t>
        </is>
      </c>
      <c r="B490" s="1831" t="n"/>
      <c r="C490" s="1830" t="n"/>
      <c r="D490" s="1830" t="n"/>
      <c r="E490" s="1830" t="inlineStr">
        <is>
          <t>24. REVESTIMENTOS E ACABAMENTOS EM FACHADA - Fachada Esquerda</t>
        </is>
      </c>
      <c r="F490" s="1827" t="n"/>
      <c r="G490" s="1827" t="n"/>
      <c r="H490" s="1829" t="n"/>
      <c r="I490" s="1829" t="n">
        <v>203296.41392426</v>
      </c>
      <c r="J490" s="2124" t="n">
        <v>0.009360378052281116</v>
      </c>
      <c r="K490" s="1827" t="inlineStr"/>
    </row>
    <row r="491">
      <c r="A491" s="1826" t="inlineStr">
        <is>
          <t>15.1.</t>
        </is>
      </c>
      <c r="B491" s="1825" t="n"/>
      <c r="C491" s="1824" t="n"/>
      <c r="D491" s="1824" t="n"/>
      <c r="E491" s="1824" t="inlineStr">
        <is>
          <t>ARQ_Embasamento</t>
        </is>
      </c>
      <c r="F491" s="1821" t="n"/>
      <c r="G491" s="1821" t="n"/>
      <c r="H491" s="1823" t="n"/>
      <c r="I491" s="1823" t="n">
        <v>11384.83789776</v>
      </c>
      <c r="J491" s="2125" t="n">
        <v>0.0005241921622221693</v>
      </c>
      <c r="K491" s="1821" t="inlineStr"/>
    </row>
    <row r="492">
      <c r="A492" s="222" t="inlineStr">
        <is>
          <t>15.1.1.</t>
        </is>
      </c>
      <c r="B492" s="1820" t="n"/>
      <c r="C492" s="1820" t="n"/>
      <c r="D492" s="1820" t="n"/>
      <c r="E492" s="1820" t="inlineStr">
        <is>
          <t>24.001. Revestimento argamassado em fachada</t>
        </is>
      </c>
      <c r="F492" s="1817" t="n"/>
      <c r="G492" s="1817" t="n"/>
      <c r="H492" s="1819" t="n"/>
      <c r="I492" s="1819" t="n">
        <v>1051.982205</v>
      </c>
      <c r="J492" s="2126" t="n">
        <v>4.843642321571333e-05</v>
      </c>
      <c r="K492" s="1817" t="inlineStr"/>
    </row>
    <row r="493" ht="25.5" customHeight="1">
      <c r="A493" s="1809" t="inlineStr">
        <is>
          <t>15.1.1.1</t>
        </is>
      </c>
      <c r="B493" s="1808" t="inlineStr">
        <is>
          <t>Thozen - Electra</t>
        </is>
      </c>
      <c r="C493" s="1807" t="inlineStr">
        <is>
          <t>COMPOSICAO</t>
        </is>
      </c>
      <c r="D493" s="1807" t="inlineStr">
        <is>
          <t>42</t>
        </is>
      </c>
      <c r="E493" s="1806" t="inlineStr">
        <is>
          <t>Chapisco aplicado em alvenarias externas, com colher de pedreiro, de argamassa estabilizada</t>
        </is>
      </c>
      <c r="F493" s="1803" t="inlineStr">
        <is>
          <t>m2</t>
        </is>
      </c>
      <c r="G493" s="1803" t="n">
        <v>169.65</v>
      </c>
      <c r="H493" s="1805" t="n">
        <v>1.3365</v>
      </c>
      <c r="I493" s="1805" t="n">
        <v>226.737225</v>
      </c>
      <c r="J493" s="2128" t="n">
        <v>1.043966346261192e-05</v>
      </c>
      <c r="K493" s="1803" t="inlineStr"/>
    </row>
    <row r="494" ht="25.5" customHeight="1">
      <c r="A494" s="1816" t="inlineStr">
        <is>
          <t>15.1.1.2</t>
        </is>
      </c>
      <c r="B494" s="1815" t="inlineStr">
        <is>
          <t>Thozen - Electra</t>
        </is>
      </c>
      <c r="C494" s="1814" t="inlineStr">
        <is>
          <t>COMPOSICAO</t>
        </is>
      </c>
      <c r="D494" s="1814" t="inlineStr">
        <is>
          <t>90546</t>
        </is>
      </c>
      <c r="E494" s="1813" t="inlineStr">
        <is>
          <t>Chapisco rolado aplicado em alvenaria externa, com desempenadeira dentada</t>
        </is>
      </c>
      <c r="F494" s="1810" t="inlineStr">
        <is>
          <t>m2</t>
        </is>
      </c>
      <c r="G494" s="1810" t="n">
        <v>149.99</v>
      </c>
      <c r="H494" s="1812" t="n">
        <v>5.502</v>
      </c>
      <c r="I494" s="1812" t="n">
        <v>825.2449800000001</v>
      </c>
      <c r="J494" s="2127" t="n">
        <v>3.799675975310142e-05</v>
      </c>
      <c r="K494" s="1810" t="inlineStr"/>
    </row>
    <row r="495" ht="25.5" customHeight="1">
      <c r="A495" s="1809" t="inlineStr">
        <is>
          <t>15.1.1.3</t>
        </is>
      </c>
      <c r="B495" s="1808" t="n"/>
      <c r="C495" s="1807" t="n"/>
      <c r="D495" s="1807" t="n"/>
      <c r="E495" s="1806" t="inlineStr">
        <is>
          <t>REBOCO ARGAMASSADO EXTERNO   -  FACHADA LATERAL ESQUERDA (Parede padrão)</t>
        </is>
      </c>
      <c r="F495" s="1803" t="inlineStr">
        <is>
          <t>m²</t>
        </is>
      </c>
      <c r="G495" s="1803" t="n">
        <v>319.64</v>
      </c>
      <c r="H495" s="1805" t="n">
        <v>0</v>
      </c>
      <c r="I495" s="1805" t="n">
        <v>0</v>
      </c>
      <c r="J495" s="2128" t="n"/>
      <c r="K495" s="1803" t="inlineStr"/>
    </row>
    <row r="496">
      <c r="A496" s="222" t="inlineStr">
        <is>
          <t>15.1.2.</t>
        </is>
      </c>
      <c r="B496" s="1820" t="n"/>
      <c r="C496" s="1820" t="n"/>
      <c r="D496" s="1820" t="n"/>
      <c r="E496" s="1820" t="inlineStr">
        <is>
          <t>24.002. Pintura e textura em fachada</t>
        </is>
      </c>
      <c r="F496" s="1817" t="n"/>
      <c r="G496" s="1817" t="n"/>
      <c r="H496" s="1819" t="n"/>
      <c r="I496" s="1819" t="n">
        <v>10332.85569276</v>
      </c>
      <c r="J496" s="2126" t="n">
        <v>0.000475755739006456</v>
      </c>
      <c r="K496" s="1817" t="inlineStr"/>
    </row>
    <row r="497" ht="25.5" customHeight="1">
      <c r="A497" s="1816" t="inlineStr">
        <is>
          <t>15.1.2.1</t>
        </is>
      </c>
      <c r="B497" s="1815" t="inlineStr">
        <is>
          <t>Thozen - Electra</t>
        </is>
      </c>
      <c r="C497" s="1814" t="inlineStr">
        <is>
          <t>COMPOSICAO</t>
        </is>
      </c>
      <c r="D497" s="1814" t="inlineStr">
        <is>
          <t>4979</t>
        </is>
      </c>
      <c r="E497" s="1813" t="inlineStr">
        <is>
          <t xml:space="preserve"> Pintura com tinta acrílica em paredes externas, aplicação manual, acabamento fosco, 3 demãos</t>
        </is>
      </c>
      <c r="F497" s="1810" t="inlineStr">
        <is>
          <t>m2</t>
        </is>
      </c>
      <c r="G497" s="1810" t="n">
        <v>312.74</v>
      </c>
      <c r="H497" s="1812" t="n">
        <v>17.20959</v>
      </c>
      <c r="I497" s="1812" t="n">
        <v>5382.1271766</v>
      </c>
      <c r="J497" s="2127" t="n">
        <v>0.0002478093151077493</v>
      </c>
      <c r="K497" s="1810" t="inlineStr"/>
    </row>
    <row r="498" ht="25.5" customHeight="1">
      <c r="A498" s="1809" t="inlineStr">
        <is>
          <t>15.1.2.2</t>
        </is>
      </c>
      <c r="B498" s="1808" t="inlineStr">
        <is>
          <t>Thozen - Electra</t>
        </is>
      </c>
      <c r="C498" s="1807" t="inlineStr">
        <is>
          <t>COMPOSICAO</t>
        </is>
      </c>
      <c r="D498" s="1807" t="inlineStr">
        <is>
          <t>1497</t>
        </is>
      </c>
      <c r="E498" s="1806" t="inlineStr">
        <is>
          <t>Textura acrilica em paredes externas, 2 demaos, incluindo aplicação de uma demão de fundo selador acrílico</t>
        </is>
      </c>
      <c r="F498" s="1803" t="inlineStr">
        <is>
          <t>m2</t>
        </is>
      </c>
      <c r="G498" s="1803" t="n">
        <v>281.52</v>
      </c>
      <c r="H498" s="1805" t="n">
        <v>17.585708</v>
      </c>
      <c r="I498" s="1805" t="n">
        <v>4950.728516159999</v>
      </c>
      <c r="J498" s="2128" t="n">
        <v>0.0002279464238987067</v>
      </c>
      <c r="K498" s="1803" t="inlineStr"/>
    </row>
    <row r="499">
      <c r="A499" s="1826" t="inlineStr">
        <is>
          <t>15.2.</t>
        </is>
      </c>
      <c r="B499" s="1825" t="n"/>
      <c r="C499" s="1824" t="n"/>
      <c r="D499" s="1824" t="n"/>
      <c r="E499" s="1824" t="inlineStr">
        <is>
          <t>ARQ_Torre_A</t>
        </is>
      </c>
      <c r="F499" s="1821" t="n"/>
      <c r="G499" s="1821" t="n"/>
      <c r="H499" s="1823" t="n"/>
      <c r="I499" s="1823" t="n">
        <v>101002.65278676</v>
      </c>
      <c r="J499" s="2125" t="n">
        <v>0.004650465771224005</v>
      </c>
      <c r="K499" s="1821" t="inlineStr"/>
    </row>
    <row r="500">
      <c r="A500" s="222" t="inlineStr">
        <is>
          <t>15.2.1.</t>
        </is>
      </c>
      <c r="B500" s="1820" t="n"/>
      <c r="C500" s="1820" t="n"/>
      <c r="D500" s="1820" t="n"/>
      <c r="E500" s="1820" t="inlineStr">
        <is>
          <t>24.001. Revestimento argamassado em fachada</t>
        </is>
      </c>
      <c r="F500" s="1817" t="n"/>
      <c r="G500" s="1817" t="n"/>
      <c r="H500" s="1819" t="n"/>
      <c r="I500" s="1819" t="n">
        <v>7416.523380000001</v>
      </c>
      <c r="J500" s="2126" t="n">
        <v>0.0003414790321694774</v>
      </c>
      <c r="K500" s="1817" t="inlineStr"/>
    </row>
    <row r="501" ht="25.5" customHeight="1">
      <c r="A501" s="1816" t="inlineStr">
        <is>
          <t>15.2.1.1</t>
        </is>
      </c>
      <c r="B501" s="1815" t="inlineStr">
        <is>
          <t>Thozen - Electra</t>
        </is>
      </c>
      <c r="C501" s="1814" t="inlineStr">
        <is>
          <t>COMPOSICAO</t>
        </is>
      </c>
      <c r="D501" s="1814" t="inlineStr">
        <is>
          <t>42</t>
        </is>
      </c>
      <c r="E501" s="1813" t="inlineStr">
        <is>
          <t>Chapisco aplicado em alvenarias externas, com colher de pedreiro, de argamassa estabilizada</t>
        </is>
      </c>
      <c r="F501" s="1810" t="inlineStr">
        <is>
          <t>m2</t>
        </is>
      </c>
      <c r="G501" s="1810" t="n">
        <v>1772.12</v>
      </c>
      <c r="H501" s="1812" t="n">
        <v>1.3365</v>
      </c>
      <c r="I501" s="1812" t="n">
        <v>2368.43838</v>
      </c>
      <c r="J501" s="2127" t="n">
        <v>0.0001090500230790676</v>
      </c>
      <c r="K501" s="1810" t="inlineStr"/>
    </row>
    <row r="502" ht="25.5" customHeight="1">
      <c r="A502" s="1809" t="inlineStr">
        <is>
          <t>15.2.1.2</t>
        </is>
      </c>
      <c r="B502" s="1808" t="inlineStr">
        <is>
          <t>Thozen - Electra</t>
        </is>
      </c>
      <c r="C502" s="1807" t="inlineStr">
        <is>
          <t>COMPOSICAO</t>
        </is>
      </c>
      <c r="D502" s="1807" t="inlineStr">
        <is>
          <t>90546</t>
        </is>
      </c>
      <c r="E502" s="1806" t="inlineStr">
        <is>
          <t>Chapisco rolado aplicado em alvenaria externa, com desempenadeira dentada</t>
        </is>
      </c>
      <c r="F502" s="1803" t="inlineStr">
        <is>
          <t>m2</t>
        </is>
      </c>
      <c r="G502" s="1803" t="n">
        <v>917.5</v>
      </c>
      <c r="H502" s="1805" t="n">
        <v>5.502</v>
      </c>
      <c r="I502" s="1805" t="n">
        <v>5048.085</v>
      </c>
      <c r="J502" s="2128" t="n">
        <v>0.0002324290090904097</v>
      </c>
      <c r="K502" s="1803" t="inlineStr"/>
    </row>
    <row r="503" ht="25.5" customHeight="1">
      <c r="A503" s="1816" t="inlineStr">
        <is>
          <t>15.2.1.3</t>
        </is>
      </c>
      <c r="B503" s="1815" t="n"/>
      <c r="C503" s="1814" t="n"/>
      <c r="D503" s="1814" t="n"/>
      <c r="E503" s="1813" t="inlineStr">
        <is>
          <t>REBOCO ARGAMASSADO EXTERNO   -  FACHADA LATERAL ESQUERDA (Parede padrão)</t>
        </is>
      </c>
      <c r="F503" s="1810" t="inlineStr">
        <is>
          <t>m²</t>
        </is>
      </c>
      <c r="G503" s="1810" t="n">
        <v>2689.62</v>
      </c>
      <c r="H503" s="1812" t="n">
        <v>0</v>
      </c>
      <c r="I503" s="1812" t="n">
        <v>0</v>
      </c>
      <c r="J503" s="2127" t="n"/>
      <c r="K503" s="1810" t="inlineStr"/>
    </row>
    <row r="504">
      <c r="A504" s="222" t="inlineStr">
        <is>
          <t>15.2.2.</t>
        </is>
      </c>
      <c r="B504" s="1820" t="n"/>
      <c r="C504" s="1820" t="n"/>
      <c r="D504" s="1820" t="n"/>
      <c r="E504" s="1820" t="inlineStr">
        <is>
          <t>24.002. Pintura e textura em fachada</t>
        </is>
      </c>
      <c r="F504" s="1817" t="n"/>
      <c r="G504" s="1817" t="n"/>
      <c r="H504" s="1819" t="n"/>
      <c r="I504" s="1819" t="n">
        <v>93586.12940676</v>
      </c>
      <c r="J504" s="2126" t="n">
        <v>0.004308986739054528</v>
      </c>
      <c r="K504" s="1817" t="inlineStr"/>
    </row>
    <row r="505" ht="25.5" customHeight="1">
      <c r="A505" s="1809" t="inlineStr">
        <is>
          <t>15.2.2.1</t>
        </is>
      </c>
      <c r="B505" s="1808" t="inlineStr">
        <is>
          <t>Thozen - Electra</t>
        </is>
      </c>
      <c r="C505" s="1807" t="inlineStr">
        <is>
          <t>COMPOSICAO</t>
        </is>
      </c>
      <c r="D505" s="1807" t="inlineStr">
        <is>
          <t>4979</t>
        </is>
      </c>
      <c r="E505" s="1806" t="inlineStr">
        <is>
          <t xml:space="preserve"> Pintura com tinta acrílica em paredes externas, aplicação manual, acabamento fosco, 3 demãos</t>
        </is>
      </c>
      <c r="F505" s="1803" t="inlineStr">
        <is>
          <t>m2</t>
        </is>
      </c>
      <c r="G505" s="1803" t="n">
        <v>2689.62</v>
      </c>
      <c r="H505" s="1805" t="n">
        <v>17.20959</v>
      </c>
      <c r="I505" s="1805" t="n">
        <v>46287.2574558</v>
      </c>
      <c r="J505" s="2128" t="n">
        <v>0.002131204483277178</v>
      </c>
      <c r="K505" s="1803" t="inlineStr"/>
    </row>
    <row r="506" ht="25.5" customHeight="1">
      <c r="A506" s="1816" t="inlineStr">
        <is>
          <t>15.2.2.2</t>
        </is>
      </c>
      <c r="B506" s="1815" t="inlineStr">
        <is>
          <t>Thozen - Electra</t>
        </is>
      </c>
      <c r="C506" s="1814" t="inlineStr">
        <is>
          <t>COMPOSICAO</t>
        </is>
      </c>
      <c r="D506" s="1814" t="inlineStr">
        <is>
          <t>1497</t>
        </is>
      </c>
      <c r="E506" s="1813" t="inlineStr">
        <is>
          <t>Textura acrilica em paredes externas, 2 demaos, incluindo aplicação de uma demão de fundo selador acrílico</t>
        </is>
      </c>
      <c r="F506" s="1810" t="inlineStr">
        <is>
          <t>m2</t>
        </is>
      </c>
      <c r="G506" s="1810" t="n">
        <v>2689.62</v>
      </c>
      <c r="H506" s="1812" t="n">
        <v>17.585708</v>
      </c>
      <c r="I506" s="1812" t="n">
        <v>47298.87195096</v>
      </c>
      <c r="J506" s="2127" t="n">
        <v>0.00217778225577735</v>
      </c>
      <c r="K506" s="1810" t="inlineStr"/>
    </row>
    <row r="507">
      <c r="A507" s="1826" t="inlineStr">
        <is>
          <t>15.3.</t>
        </is>
      </c>
      <c r="B507" s="1825" t="n"/>
      <c r="C507" s="1824" t="n"/>
      <c r="D507" s="1824" t="n"/>
      <c r="E507" s="1824" t="inlineStr">
        <is>
          <t>ARQ_Torre_B</t>
        </is>
      </c>
      <c r="F507" s="1821" t="n"/>
      <c r="G507" s="1821" t="n"/>
      <c r="H507" s="1823" t="n"/>
      <c r="I507" s="1823" t="n">
        <v>90908.92323974</v>
      </c>
      <c r="J507" s="2125" t="n">
        <v>0.004185720118834941</v>
      </c>
      <c r="K507" s="1821" t="inlineStr"/>
    </row>
    <row r="508">
      <c r="A508" s="222" t="inlineStr">
        <is>
          <t>15.3.1.</t>
        </is>
      </c>
      <c r="B508" s="1820" t="n"/>
      <c r="C508" s="1820" t="n"/>
      <c r="D508" s="1820" t="n"/>
      <c r="E508" s="1820" t="inlineStr">
        <is>
          <t>24.001. Revestimento argamassado em fachada</t>
        </is>
      </c>
      <c r="F508" s="1817" t="n"/>
      <c r="G508" s="1817" t="n"/>
      <c r="H508" s="1819" t="n"/>
      <c r="I508" s="1819" t="n">
        <v>8022.000015000001</v>
      </c>
      <c r="J508" s="2126" t="n">
        <v>0.0003693569966452034</v>
      </c>
      <c r="K508" s="1817" t="inlineStr"/>
    </row>
    <row r="509" ht="25.5" customHeight="1">
      <c r="A509" s="1809" t="inlineStr">
        <is>
          <t>15.3.1.1</t>
        </is>
      </c>
      <c r="B509" s="1808" t="inlineStr">
        <is>
          <t>Thozen - Electra</t>
        </is>
      </c>
      <c r="C509" s="1807" t="inlineStr">
        <is>
          <t>COMPOSICAO</t>
        </is>
      </c>
      <c r="D509" s="1807" t="inlineStr">
        <is>
          <t>42</t>
        </is>
      </c>
      <c r="E509" s="1806" t="inlineStr">
        <is>
          <t>Chapisco aplicado em alvenarias externas, com colher de pedreiro, de argamassa estabilizada</t>
        </is>
      </c>
      <c r="F509" s="1803" t="inlineStr">
        <is>
          <t>m2</t>
        </is>
      </c>
      <c r="G509" s="1803" t="n">
        <v>1220.63</v>
      </c>
      <c r="H509" s="1805" t="n">
        <v>1.3365</v>
      </c>
      <c r="I509" s="1805" t="n">
        <v>1631.371995</v>
      </c>
      <c r="J509" s="2128" t="n">
        <v>7.511327092465654e-05</v>
      </c>
      <c r="K509" s="1803" t="inlineStr"/>
    </row>
    <row r="510" ht="25.5" customHeight="1">
      <c r="A510" s="1816" t="inlineStr">
        <is>
          <t>15.3.1.2</t>
        </is>
      </c>
      <c r="B510" s="1815" t="inlineStr">
        <is>
          <t>Thozen - Electra</t>
        </is>
      </c>
      <c r="C510" s="1814" t="inlineStr">
        <is>
          <t>COMPOSICAO</t>
        </is>
      </c>
      <c r="D510" s="1814" t="inlineStr">
        <is>
          <t>90546</t>
        </is>
      </c>
      <c r="E510" s="1813" t="inlineStr">
        <is>
          <t>Chapisco rolado aplicado em alvenaria externa, com desempenadeira dentada</t>
        </is>
      </c>
      <c r="F510" s="1810" t="inlineStr">
        <is>
          <t>m2</t>
        </is>
      </c>
      <c r="G510" s="1810" t="n">
        <v>1161.51</v>
      </c>
      <c r="H510" s="1812" t="n">
        <v>5.502</v>
      </c>
      <c r="I510" s="1812" t="n">
        <v>6390.62802</v>
      </c>
      <c r="J510" s="2127" t="n">
        <v>0.0002942437257205469</v>
      </c>
      <c r="K510" s="1810" t="inlineStr"/>
    </row>
    <row r="511" ht="25.5" customHeight="1">
      <c r="A511" s="1809" t="inlineStr">
        <is>
          <t>15.3.1.3</t>
        </is>
      </c>
      <c r="B511" s="1808" t="n"/>
      <c r="C511" s="1807" t="n"/>
      <c r="D511" s="1807" t="n"/>
      <c r="E511" s="1806" t="inlineStr">
        <is>
          <t>REBOCO ARGAMASSADO EXTERNO   -  FACHADA LATERAL ESQUERDA (Parede padrão)</t>
        </is>
      </c>
      <c r="F511" s="1803" t="inlineStr">
        <is>
          <t>m²</t>
        </is>
      </c>
      <c r="G511" s="1803" t="n">
        <v>2382.13</v>
      </c>
      <c r="H511" s="1805" t="n">
        <v>0</v>
      </c>
      <c r="I511" s="1805" t="n">
        <v>0</v>
      </c>
      <c r="J511" s="2128" t="n"/>
      <c r="K511" s="1803" t="inlineStr"/>
    </row>
    <row r="512">
      <c r="A512" s="222" t="inlineStr">
        <is>
          <t>15.3.2.</t>
        </is>
      </c>
      <c r="B512" s="1820" t="n"/>
      <c r="C512" s="1820" t="n"/>
      <c r="D512" s="1820" t="n"/>
      <c r="E512" s="1820" t="inlineStr">
        <is>
          <t>24.002. Pintura e textura em fachada</t>
        </is>
      </c>
      <c r="F512" s="1817" t="n"/>
      <c r="G512" s="1817" t="n"/>
      <c r="H512" s="1819" t="n"/>
      <c r="I512" s="1819" t="n">
        <v>82886.92322474001</v>
      </c>
      <c r="J512" s="2126" t="n">
        <v>0.003816363122189738</v>
      </c>
      <c r="K512" s="1817" t="inlineStr"/>
    </row>
    <row r="513" ht="25.5" customHeight="1">
      <c r="A513" s="1816" t="inlineStr">
        <is>
          <t>15.3.2.1</t>
        </is>
      </c>
      <c r="B513" s="1815" t="inlineStr">
        <is>
          <t>Thozen - Electra</t>
        </is>
      </c>
      <c r="C513" s="1814" t="inlineStr">
        <is>
          <t>COMPOSICAO</t>
        </is>
      </c>
      <c r="D513" s="1814" t="inlineStr">
        <is>
          <t>4979</t>
        </is>
      </c>
      <c r="E513" s="1813" t="inlineStr">
        <is>
          <t xml:space="preserve"> Pintura com tinta acrílica em paredes externas, aplicação manual, acabamento fosco, 3 demãos</t>
        </is>
      </c>
      <c r="F513" s="1810" t="inlineStr">
        <is>
          <t>m2</t>
        </is>
      </c>
      <c r="G513" s="1810" t="n">
        <v>2382.13</v>
      </c>
      <c r="H513" s="1812" t="n">
        <v>17.20959</v>
      </c>
      <c r="I513" s="1812" t="n">
        <v>40995.4806267</v>
      </c>
      <c r="J513" s="2127" t="n">
        <v>0.001887555169782</v>
      </c>
      <c r="K513" s="1810" t="inlineStr"/>
    </row>
    <row r="514" ht="25.5" customHeight="1">
      <c r="A514" s="1809" t="inlineStr">
        <is>
          <t>15.3.2.2</t>
        </is>
      </c>
      <c r="B514" s="1808" t="inlineStr">
        <is>
          <t>Thozen - Electra</t>
        </is>
      </c>
      <c r="C514" s="1807" t="inlineStr">
        <is>
          <t>COMPOSICAO</t>
        </is>
      </c>
      <c r="D514" s="1807" t="inlineStr">
        <is>
          <t>1497</t>
        </is>
      </c>
      <c r="E514" s="1806" t="inlineStr">
        <is>
          <t>Textura acrilica em paredes externas, 2 demaos, incluindo aplicação de uma demão de fundo selador acrílico</t>
        </is>
      </c>
      <c r="F514" s="1803" t="inlineStr">
        <is>
          <t>m2</t>
        </is>
      </c>
      <c r="G514" s="1803" t="n">
        <v>2382.13</v>
      </c>
      <c r="H514" s="1805" t="n">
        <v>17.585708</v>
      </c>
      <c r="I514" s="1805" t="n">
        <v>41891.44259804</v>
      </c>
      <c r="J514" s="2128" t="n">
        <v>0.001928807952407738</v>
      </c>
      <c r="K514" s="1803" t="inlineStr"/>
    </row>
    <row r="515">
      <c r="A515" s="1832" t="inlineStr">
        <is>
          <t>16.</t>
        </is>
      </c>
      <c r="B515" s="1831" t="n"/>
      <c r="C515" s="1830" t="n"/>
      <c r="D515" s="1830" t="n"/>
      <c r="E515" s="1830" t="inlineStr">
        <is>
          <t>24. REVESTIMENTOS E ACABAMENTOS EM FACHADA - Fachada Frontal</t>
        </is>
      </c>
      <c r="F515" s="1827" t="n"/>
      <c r="G515" s="1827" t="n"/>
      <c r="H515" s="1829" t="n"/>
      <c r="I515" s="1829" t="n">
        <v>143301.12676202</v>
      </c>
      <c r="J515" s="2124" t="n">
        <v>0.006598014671867747</v>
      </c>
      <c r="K515" s="1827" t="inlineStr"/>
    </row>
    <row r="516">
      <c r="A516" s="1826" t="inlineStr">
        <is>
          <t>16.1.</t>
        </is>
      </c>
      <c r="B516" s="1825" t="n"/>
      <c r="C516" s="1824" t="n"/>
      <c r="D516" s="1824" t="n"/>
      <c r="E516" s="1824" t="inlineStr">
        <is>
          <t>ARQ_Embasamento</t>
        </is>
      </c>
      <c r="F516" s="1821" t="n"/>
      <c r="G516" s="1821" t="n"/>
      <c r="H516" s="1823" t="n"/>
      <c r="I516" s="1823" t="n">
        <v>9612.1466526</v>
      </c>
      <c r="J516" s="2125" t="n">
        <v>0.0004425721281823734</v>
      </c>
      <c r="K516" s="1821" t="inlineStr"/>
    </row>
    <row r="517">
      <c r="A517" s="222" t="inlineStr">
        <is>
          <t>16.1.1.</t>
        </is>
      </c>
      <c r="B517" s="1820" t="n"/>
      <c r="C517" s="1820" t="n"/>
      <c r="D517" s="1820" t="n"/>
      <c r="E517" s="1820" t="inlineStr">
        <is>
          <t>24.001. Revestimento argamassado em fachada</t>
        </is>
      </c>
      <c r="F517" s="1817" t="n"/>
      <c r="G517" s="1817" t="n"/>
      <c r="H517" s="1819" t="n"/>
      <c r="I517" s="1819" t="n">
        <v>958.5560399999999</v>
      </c>
      <c r="J517" s="2126" t="n">
        <v>4.413480171883538e-05</v>
      </c>
      <c r="K517" s="1817" t="inlineStr"/>
    </row>
    <row r="518" ht="25.5" customHeight="1">
      <c r="A518" s="1816" t="inlineStr">
        <is>
          <t>16.1.1.1</t>
        </is>
      </c>
      <c r="B518" s="1815" t="inlineStr">
        <is>
          <t>Thozen - Electra</t>
        </is>
      </c>
      <c r="C518" s="1814" t="inlineStr">
        <is>
          <t>COMPOSICAO</t>
        </is>
      </c>
      <c r="D518" s="1814" t="inlineStr">
        <is>
          <t>42</t>
        </is>
      </c>
      <c r="E518" s="1813" t="inlineStr">
        <is>
          <t>Chapisco aplicado em alvenarias externas, com colher de pedreiro, de argamassa estabilizada</t>
        </is>
      </c>
      <c r="F518" s="1810" t="inlineStr">
        <is>
          <t>m2</t>
        </is>
      </c>
      <c r="G518" s="1810" t="n">
        <v>180.64</v>
      </c>
      <c r="H518" s="1812" t="n">
        <v>1.3365</v>
      </c>
      <c r="I518" s="1812" t="n">
        <v>241.42536</v>
      </c>
      <c r="J518" s="2127" t="n">
        <v>1.11159493538828e-05</v>
      </c>
      <c r="K518" s="1810" t="inlineStr"/>
    </row>
    <row r="519" ht="25.5" customHeight="1">
      <c r="A519" s="1809" t="inlineStr">
        <is>
          <t>16.1.1.2</t>
        </is>
      </c>
      <c r="B519" s="1808" t="inlineStr">
        <is>
          <t>Thozen - Electra</t>
        </is>
      </c>
      <c r="C519" s="1807" t="inlineStr">
        <is>
          <t>COMPOSICAO</t>
        </is>
      </c>
      <c r="D519" s="1807" t="inlineStr">
        <is>
          <t>90546</t>
        </is>
      </c>
      <c r="E519" s="1806" t="inlineStr">
        <is>
          <t>Chapisco rolado aplicado em alvenaria externa, com desempenadeira dentada</t>
        </is>
      </c>
      <c r="F519" s="1803" t="inlineStr">
        <is>
          <t>m2</t>
        </is>
      </c>
      <c r="G519" s="1803" t="n">
        <v>130.34</v>
      </c>
      <c r="H519" s="1805" t="n">
        <v>5.502</v>
      </c>
      <c r="I519" s="1805" t="n">
        <v>717.13068</v>
      </c>
      <c r="J519" s="2128" t="n">
        <v>3.301885236495259e-05</v>
      </c>
      <c r="K519" s="1803" t="inlineStr"/>
    </row>
    <row r="520">
      <c r="A520" s="1816" t="inlineStr">
        <is>
          <t>16.1.1.3</t>
        </is>
      </c>
      <c r="B520" s="1815" t="n"/>
      <c r="C520" s="1814" t="n"/>
      <c r="D520" s="1814" t="n"/>
      <c r="E520" s="1813" t="inlineStr">
        <is>
          <t>REBOCO ARGAMASSADO EXTERNO   -  FACHADA FRONTAL (Parede padrão)</t>
        </is>
      </c>
      <c r="F520" s="1810" t="inlineStr">
        <is>
          <t>m²</t>
        </is>
      </c>
      <c r="G520" s="1810" t="n">
        <v>310.98</v>
      </c>
      <c r="H520" s="1812" t="n">
        <v>0</v>
      </c>
      <c r="I520" s="1812" t="n">
        <v>0</v>
      </c>
      <c r="J520" s="2127" t="n"/>
      <c r="K520" s="1810" t="inlineStr"/>
    </row>
    <row r="521">
      <c r="A521" s="222" t="inlineStr">
        <is>
          <t>16.1.2.</t>
        </is>
      </c>
      <c r="B521" s="1820" t="n"/>
      <c r="C521" s="1820" t="n"/>
      <c r="D521" s="1820" t="n"/>
      <c r="E521" s="1820" t="inlineStr">
        <is>
          <t>24.002. Pintura e textura em fachada</t>
        </is>
      </c>
      <c r="F521" s="1817" t="n"/>
      <c r="G521" s="1817" t="n"/>
      <c r="H521" s="1819" t="n"/>
      <c r="I521" s="1819" t="n">
        <v>8653.590612600001</v>
      </c>
      <c r="J521" s="2126" t="n">
        <v>0.0003984373264635381</v>
      </c>
      <c r="K521" s="1817" t="inlineStr"/>
    </row>
    <row r="522" ht="25.5" customHeight="1">
      <c r="A522" s="1809" t="inlineStr">
        <is>
          <t>16.1.2.1</t>
        </is>
      </c>
      <c r="B522" s="1808" t="inlineStr">
        <is>
          <t>Thozen - Electra</t>
        </is>
      </c>
      <c r="C522" s="1807" t="inlineStr">
        <is>
          <t>COMPOSICAO</t>
        </is>
      </c>
      <c r="D522" s="1807" t="inlineStr">
        <is>
          <t>4979</t>
        </is>
      </c>
      <c r="E522" s="1806" t="inlineStr">
        <is>
          <t xml:space="preserve"> Pintura com tinta acrílica em paredes externas, aplicação manual, acabamento fosco, 3 demãos</t>
        </is>
      </c>
      <c r="F522" s="1803" t="inlineStr">
        <is>
          <t>m2</t>
        </is>
      </c>
      <c r="G522" s="1803" t="n">
        <v>248.7</v>
      </c>
      <c r="H522" s="1805" t="n">
        <v>17.20959</v>
      </c>
      <c r="I522" s="1805" t="n">
        <v>4280.025033</v>
      </c>
      <c r="J522" s="2128" t="n">
        <v>0.0001970652192469695</v>
      </c>
      <c r="K522" s="1803" t="inlineStr"/>
    </row>
    <row r="523" ht="25.5" customHeight="1">
      <c r="A523" s="1816" t="inlineStr">
        <is>
          <t>16.1.2.2</t>
        </is>
      </c>
      <c r="B523" s="1815" t="inlineStr">
        <is>
          <t>Thozen - Electra</t>
        </is>
      </c>
      <c r="C523" s="1814" t="inlineStr">
        <is>
          <t>COMPOSICAO</t>
        </is>
      </c>
      <c r="D523" s="1814" t="inlineStr">
        <is>
          <t>1497</t>
        </is>
      </c>
      <c r="E523" s="1813" t="inlineStr">
        <is>
          <t>Textura acrilica em paredes externas, 2 demaos, incluindo aplicação de uma demão de fundo selador acrílico</t>
        </is>
      </c>
      <c r="F523" s="1810" t="inlineStr">
        <is>
          <t>m2</t>
        </is>
      </c>
      <c r="G523" s="1810" t="n">
        <v>248.7</v>
      </c>
      <c r="H523" s="1812" t="n">
        <v>17.585708</v>
      </c>
      <c r="I523" s="1812" t="n">
        <v>4373.5655796</v>
      </c>
      <c r="J523" s="2127" t="n">
        <v>0.0002013721072165685</v>
      </c>
      <c r="K523" s="1810" t="inlineStr"/>
    </row>
    <row r="524">
      <c r="A524" s="1826" t="inlineStr">
        <is>
          <t>16.2.</t>
        </is>
      </c>
      <c r="B524" s="1825" t="n"/>
      <c r="C524" s="1824" t="n"/>
      <c r="D524" s="1824" t="n"/>
      <c r="E524" s="1824" t="inlineStr">
        <is>
          <t>ARQ_Torre_A</t>
        </is>
      </c>
      <c r="F524" s="1821" t="n"/>
      <c r="G524" s="1821" t="n"/>
      <c r="H524" s="1823" t="n"/>
      <c r="I524" s="1823" t="n">
        <v>58680.65379362</v>
      </c>
      <c r="J524" s="2125" t="n">
        <v>0.00270183370803552</v>
      </c>
      <c r="K524" s="1821" t="inlineStr"/>
    </row>
    <row r="525">
      <c r="A525" s="222" t="inlineStr">
        <is>
          <t>16.2.1.</t>
        </is>
      </c>
      <c r="B525" s="1820" t="n"/>
      <c r="C525" s="1820" t="n"/>
      <c r="D525" s="1820" t="n"/>
      <c r="E525" s="1820" t="inlineStr">
        <is>
          <t>24.001. Revestimento argamassado em fachada</t>
        </is>
      </c>
      <c r="F525" s="1817" t="n"/>
      <c r="G525" s="1817" t="n"/>
      <c r="H525" s="1819" t="n"/>
      <c r="I525" s="1819" t="n">
        <v>5385.0438</v>
      </c>
      <c r="J525" s="2126" t="n">
        <v>0.0002479436052171179</v>
      </c>
      <c r="K525" s="1817" t="inlineStr"/>
    </row>
    <row r="526" ht="25.5" customHeight="1">
      <c r="A526" s="1809" t="inlineStr">
        <is>
          <t>16.2.1.1</t>
        </is>
      </c>
      <c r="B526" s="1808" t="inlineStr">
        <is>
          <t>Thozen - Electra</t>
        </is>
      </c>
      <c r="C526" s="1807" t="inlineStr">
        <is>
          <t>COMPOSICAO</t>
        </is>
      </c>
      <c r="D526" s="1807" t="inlineStr">
        <is>
          <t>42</t>
        </is>
      </c>
      <c r="E526" s="1806" t="inlineStr">
        <is>
          <t>Chapisco aplicado em alvenarias externas, com colher de pedreiro, de argamassa estabilizada</t>
        </is>
      </c>
      <c r="F526" s="1803" t="inlineStr">
        <is>
          <t>m2</t>
        </is>
      </c>
      <c r="G526" s="1803" t="n">
        <v>730.36</v>
      </c>
      <c r="H526" s="1805" t="n">
        <v>1.3365</v>
      </c>
      <c r="I526" s="1805" t="n">
        <v>976.1261400000001</v>
      </c>
      <c r="J526" s="2128" t="n">
        <v>4.494378194254783e-05</v>
      </c>
      <c r="K526" s="1803" t="inlineStr"/>
    </row>
    <row r="527" ht="25.5" customHeight="1">
      <c r="A527" s="1816" t="inlineStr">
        <is>
          <t>16.2.1.2</t>
        </is>
      </c>
      <c r="B527" s="1815" t="inlineStr">
        <is>
          <t>Thozen - Electra</t>
        </is>
      </c>
      <c r="C527" s="1814" t="inlineStr">
        <is>
          <t>COMPOSICAO</t>
        </is>
      </c>
      <c r="D527" s="1814" t="inlineStr">
        <is>
          <t>90546</t>
        </is>
      </c>
      <c r="E527" s="1813" t="inlineStr">
        <is>
          <t>Chapisco rolado aplicado em alvenaria externa, com desempenadeira dentada</t>
        </is>
      </c>
      <c r="F527" s="1810" t="inlineStr">
        <is>
          <t>m2</t>
        </is>
      </c>
      <c r="G527" s="1810" t="n">
        <v>801.33</v>
      </c>
      <c r="H527" s="1812" t="n">
        <v>5.502</v>
      </c>
      <c r="I527" s="1812" t="n">
        <v>4408.91766</v>
      </c>
      <c r="J527" s="2127" t="n">
        <v>0.00020299982327457</v>
      </c>
      <c r="K527" s="1810" t="inlineStr"/>
    </row>
    <row r="528">
      <c r="A528" s="1809" t="inlineStr">
        <is>
          <t>16.2.1.3</t>
        </is>
      </c>
      <c r="B528" s="1808" t="n"/>
      <c r="C528" s="1807" t="n"/>
      <c r="D528" s="1807" t="n"/>
      <c r="E528" s="1806" t="inlineStr">
        <is>
          <t>REBOCO ARGAMASSADO EXTERNO   -  FACHADA FRONTAL (Parede padrão)</t>
        </is>
      </c>
      <c r="F528" s="1803" t="inlineStr">
        <is>
          <t>m²</t>
        </is>
      </c>
      <c r="G528" s="1803" t="n">
        <v>1531.69</v>
      </c>
      <c r="H528" s="1805" t="n">
        <v>0</v>
      </c>
      <c r="I528" s="1805" t="n">
        <v>0</v>
      </c>
      <c r="J528" s="2128" t="n"/>
      <c r="K528" s="1803" t="inlineStr"/>
    </row>
    <row r="529">
      <c r="A529" s="222" t="inlineStr">
        <is>
          <t>16.2.2.</t>
        </is>
      </c>
      <c r="B529" s="1820" t="n"/>
      <c r="C529" s="1820" t="n"/>
      <c r="D529" s="1820" t="n"/>
      <c r="E529" s="1820" t="inlineStr">
        <is>
          <t>24.002. Pintura e textura em fachada</t>
        </is>
      </c>
      <c r="F529" s="1817" t="n"/>
      <c r="G529" s="1817" t="n"/>
      <c r="H529" s="1819" t="n"/>
      <c r="I529" s="1819" t="n">
        <v>53295.60999362</v>
      </c>
      <c r="J529" s="2126" t="n">
        <v>0.002453890102818402</v>
      </c>
      <c r="K529" s="1817" t="inlineStr"/>
    </row>
    <row r="530" ht="25.5" customHeight="1">
      <c r="A530" s="1816" t="inlineStr">
        <is>
          <t>16.2.2.1</t>
        </is>
      </c>
      <c r="B530" s="1815" t="inlineStr">
        <is>
          <t>Thozen - Electra</t>
        </is>
      </c>
      <c r="C530" s="1814" t="inlineStr">
        <is>
          <t>COMPOSICAO</t>
        </is>
      </c>
      <c r="D530" s="1814" t="inlineStr">
        <is>
          <t>4979</t>
        </is>
      </c>
      <c r="E530" s="1813" t="inlineStr">
        <is>
          <t xml:space="preserve"> Pintura com tinta acrílica em paredes externas, aplicação manual, acabamento fosco, 3 demãos</t>
        </is>
      </c>
      <c r="F530" s="1810" t="inlineStr">
        <is>
          <t>m2</t>
        </is>
      </c>
      <c r="G530" s="1810" t="n">
        <v>1531.69</v>
      </c>
      <c r="H530" s="1812" t="n">
        <v>17.20959</v>
      </c>
      <c r="I530" s="1812" t="n">
        <v>26359.7569071</v>
      </c>
      <c r="J530" s="2127" t="n">
        <v>0.001213682451420952</v>
      </c>
      <c r="K530" s="1810" t="inlineStr"/>
    </row>
    <row r="531" ht="25.5" customHeight="1">
      <c r="A531" s="1809" t="inlineStr">
        <is>
          <t>16.2.2.2</t>
        </is>
      </c>
      <c r="B531" s="1808" t="inlineStr">
        <is>
          <t>Thozen - Electra</t>
        </is>
      </c>
      <c r="C531" s="1807" t="inlineStr">
        <is>
          <t>COMPOSICAO</t>
        </is>
      </c>
      <c r="D531" s="1807" t="inlineStr">
        <is>
          <t>1497</t>
        </is>
      </c>
      <c r="E531" s="1806" t="inlineStr">
        <is>
          <t>Textura acrilica em paredes externas, 2 demaos, incluindo aplicação de uma demão de fundo selador acrílico</t>
        </is>
      </c>
      <c r="F531" s="1803" t="inlineStr">
        <is>
          <t>m2</t>
        </is>
      </c>
      <c r="G531" s="1803" t="n">
        <v>1531.69</v>
      </c>
      <c r="H531" s="1805" t="n">
        <v>17.585708</v>
      </c>
      <c r="I531" s="1805" t="n">
        <v>26935.85308652</v>
      </c>
      <c r="J531" s="2128" t="n">
        <v>0.00124020765139745</v>
      </c>
      <c r="K531" s="1803" t="inlineStr"/>
    </row>
    <row r="532">
      <c r="A532" s="1826" t="inlineStr">
        <is>
          <t>16.3.</t>
        </is>
      </c>
      <c r="B532" s="1825" t="n"/>
      <c r="C532" s="1824" t="n"/>
      <c r="D532" s="1824" t="n"/>
      <c r="E532" s="1824" t="inlineStr">
        <is>
          <t>ARQ_Torre_B</t>
        </is>
      </c>
      <c r="F532" s="1821" t="n"/>
      <c r="G532" s="1821" t="n"/>
      <c r="H532" s="1823" t="n"/>
      <c r="I532" s="1823" t="n">
        <v>75008.32631579999</v>
      </c>
      <c r="J532" s="2125" t="n">
        <v>0.003453608835649854</v>
      </c>
      <c r="K532" s="1821" t="inlineStr"/>
    </row>
    <row r="533">
      <c r="A533" s="222" t="inlineStr">
        <is>
          <t>16.3.1.</t>
        </is>
      </c>
      <c r="B533" s="1820" t="n"/>
      <c r="C533" s="1820" t="n"/>
      <c r="D533" s="1820" t="n"/>
      <c r="E533" s="1820" t="inlineStr">
        <is>
          <t>24.001. Revestimento argamassado em fachada</t>
        </is>
      </c>
      <c r="F533" s="1817" t="n"/>
      <c r="G533" s="1817" t="n"/>
      <c r="H533" s="1819" t="n"/>
      <c r="I533" s="1819" t="n">
        <v>5779.601414999999</v>
      </c>
      <c r="J533" s="2126" t="n">
        <v>0.00026611022394155</v>
      </c>
      <c r="K533" s="1817" t="inlineStr"/>
    </row>
    <row r="534" ht="25.5" customHeight="1">
      <c r="A534" s="1816" t="inlineStr">
        <is>
          <t>16.3.1.1</t>
        </is>
      </c>
      <c r="B534" s="1815" t="inlineStr">
        <is>
          <t>Thozen - Electra</t>
        </is>
      </c>
      <c r="C534" s="1814" t="inlineStr">
        <is>
          <t>COMPOSICAO</t>
        </is>
      </c>
      <c r="D534" s="1814" t="inlineStr">
        <is>
          <t>42</t>
        </is>
      </c>
      <c r="E534" s="1813" t="inlineStr">
        <is>
          <t>Chapisco aplicado em alvenarias externas, com colher de pedreiro, de argamassa estabilizada</t>
        </is>
      </c>
      <c r="F534" s="1810" t="inlineStr">
        <is>
          <t>m2</t>
        </is>
      </c>
      <c r="G534" s="1810" t="n">
        <v>1240.47</v>
      </c>
      <c r="H534" s="1812" t="n">
        <v>1.3365</v>
      </c>
      <c r="I534" s="1812" t="n">
        <v>1657.888155</v>
      </c>
      <c r="J534" s="2127" t="n">
        <v>7.633415464465784e-05</v>
      </c>
      <c r="K534" s="1810" t="inlineStr"/>
    </row>
    <row r="535" ht="25.5" customHeight="1">
      <c r="A535" s="1809" t="inlineStr">
        <is>
          <t>16.3.1.2</t>
        </is>
      </c>
      <c r="B535" s="1808" t="inlineStr">
        <is>
          <t>Thozen - Electra</t>
        </is>
      </c>
      <c r="C535" s="1807" t="inlineStr">
        <is>
          <t>COMPOSICAO</t>
        </is>
      </c>
      <c r="D535" s="1807" t="inlineStr">
        <is>
          <t>90546</t>
        </is>
      </c>
      <c r="E535" s="1806" t="inlineStr">
        <is>
          <t>Chapisco rolado aplicado em alvenaria externa, com desempenadeira dentada</t>
        </is>
      </c>
      <c r="F535" s="1803" t="inlineStr">
        <is>
          <t>m2</t>
        </is>
      </c>
      <c r="G535" s="1803" t="n">
        <v>749.13</v>
      </c>
      <c r="H535" s="1805" t="n">
        <v>5.502</v>
      </c>
      <c r="I535" s="1805" t="n">
        <v>4121.71326</v>
      </c>
      <c r="J535" s="2128" t="n">
        <v>0.0001897760692968922</v>
      </c>
      <c r="K535" s="1803" t="inlineStr"/>
    </row>
    <row r="536">
      <c r="A536" s="1816" t="inlineStr">
        <is>
          <t>16.3.1.3</t>
        </is>
      </c>
      <c r="B536" s="1815" t="n"/>
      <c r="C536" s="1814" t="n"/>
      <c r="D536" s="1814" t="n"/>
      <c r="E536" s="1813" t="inlineStr">
        <is>
          <t>REBOCO ARGAMASSADO EXTERNO   -  FACHADA FRONTAL (Parede padrão)</t>
        </is>
      </c>
      <c r="F536" s="1810" t="inlineStr">
        <is>
          <t>m²</t>
        </is>
      </c>
      <c r="G536" s="1810" t="n">
        <v>1989.6</v>
      </c>
      <c r="H536" s="1812" t="n">
        <v>0</v>
      </c>
      <c r="I536" s="1812" t="n">
        <v>0</v>
      </c>
      <c r="J536" s="2127" t="n"/>
      <c r="K536" s="1810" t="inlineStr"/>
    </row>
    <row r="537">
      <c r="A537" s="222" t="inlineStr">
        <is>
          <t>16.3.2.</t>
        </is>
      </c>
      <c r="B537" s="1820" t="n"/>
      <c r="C537" s="1820" t="n"/>
      <c r="D537" s="1820" t="n"/>
      <c r="E537" s="1820" t="inlineStr">
        <is>
          <t>24.002. Pintura e textura em fachada</t>
        </is>
      </c>
      <c r="F537" s="1817" t="n"/>
      <c r="G537" s="1817" t="n"/>
      <c r="H537" s="1819" t="n"/>
      <c r="I537" s="1819" t="n">
        <v>69228.72490080001</v>
      </c>
      <c r="J537" s="2126" t="n">
        <v>0.003187498611708305</v>
      </c>
      <c r="K537" s="1817" t="inlineStr"/>
    </row>
    <row r="538" ht="25.5" customHeight="1">
      <c r="A538" s="1809" t="inlineStr">
        <is>
          <t>16.3.2.1</t>
        </is>
      </c>
      <c r="B538" s="1808" t="inlineStr">
        <is>
          <t>Thozen - Electra</t>
        </is>
      </c>
      <c r="C538" s="1807" t="inlineStr">
        <is>
          <t>COMPOSICAO</t>
        </is>
      </c>
      <c r="D538" s="1807" t="inlineStr">
        <is>
          <t>4979</t>
        </is>
      </c>
      <c r="E538" s="1806" t="inlineStr">
        <is>
          <t xml:space="preserve"> Pintura com tinta acrílica em paredes externas, aplicação manual, acabamento fosco, 3 demãos</t>
        </is>
      </c>
      <c r="F538" s="1803" t="inlineStr">
        <is>
          <t>m2</t>
        </is>
      </c>
      <c r="G538" s="1803" t="n">
        <v>1989.6</v>
      </c>
      <c r="H538" s="1805" t="n">
        <v>17.20959</v>
      </c>
      <c r="I538" s="1805" t="n">
        <v>34240.200264</v>
      </c>
      <c r="J538" s="2128" t="n">
        <v>0.001576521753975756</v>
      </c>
      <c r="K538" s="1803" t="inlineStr"/>
    </row>
    <row r="539" ht="25.5" customHeight="1">
      <c r="A539" s="1816" t="inlineStr">
        <is>
          <t>16.3.2.2</t>
        </is>
      </c>
      <c r="B539" s="1815" t="inlineStr">
        <is>
          <t>Thozen - Electra</t>
        </is>
      </c>
      <c r="C539" s="1814" t="inlineStr">
        <is>
          <t>COMPOSICAO</t>
        </is>
      </c>
      <c r="D539" s="1814" t="inlineStr">
        <is>
          <t>1497</t>
        </is>
      </c>
      <c r="E539" s="1813" t="inlineStr">
        <is>
          <t>Textura acrilica em paredes externas, 2 demaos, incluindo aplicação de uma demão de fundo selador acrílico</t>
        </is>
      </c>
      <c r="F539" s="1810" t="inlineStr">
        <is>
          <t>m2</t>
        </is>
      </c>
      <c r="G539" s="1810" t="n">
        <v>1989.6</v>
      </c>
      <c r="H539" s="1812" t="n">
        <v>17.585708</v>
      </c>
      <c r="I539" s="1812" t="n">
        <v>34988.5246368</v>
      </c>
      <c r="J539" s="2127" t="n">
        <v>0.001610976857732548</v>
      </c>
      <c r="K539" s="1810" t="inlineStr"/>
    </row>
    <row r="540">
      <c r="A540" s="1832" t="inlineStr">
        <is>
          <t>17.</t>
        </is>
      </c>
      <c r="B540" s="1831" t="n"/>
      <c r="C540" s="1830" t="n"/>
      <c r="D540" s="1830" t="n"/>
      <c r="E540" s="1830" t="inlineStr">
        <is>
          <t>24. REVESTIMENTOS E ACABAMENTOS EM FACHADA - Fachada Posterior</t>
        </is>
      </c>
      <c r="F540" s="1827" t="n"/>
      <c r="G540" s="1827" t="n"/>
      <c r="H540" s="1829" t="n"/>
      <c r="I540" s="1829" t="n">
        <v>145395.35932354</v>
      </c>
      <c r="J540" s="2124" t="n">
        <v>0.006694439434739006</v>
      </c>
      <c r="K540" s="1827" t="inlineStr"/>
    </row>
    <row r="541">
      <c r="A541" s="1826" t="inlineStr">
        <is>
          <t>17.1.</t>
        </is>
      </c>
      <c r="B541" s="1825" t="n"/>
      <c r="C541" s="1824" t="n"/>
      <c r="D541" s="1824" t="n"/>
      <c r="E541" s="1824" t="inlineStr">
        <is>
          <t>ARQ_Embasamento</t>
        </is>
      </c>
      <c r="F541" s="1821" t="n"/>
      <c r="G541" s="1821" t="n"/>
      <c r="H541" s="1823" t="n"/>
      <c r="I541" s="1823" t="n">
        <v>28211.20593386</v>
      </c>
      <c r="J541" s="2125" t="n">
        <v>0.001298928730489397</v>
      </c>
      <c r="K541" s="1821" t="inlineStr"/>
    </row>
    <row r="542">
      <c r="A542" s="222" t="inlineStr">
        <is>
          <t>17.1.1.</t>
        </is>
      </c>
      <c r="B542" s="1820" t="n"/>
      <c r="C542" s="1820" t="n"/>
      <c r="D542" s="1820" t="n"/>
      <c r="E542" s="1820" t="inlineStr">
        <is>
          <t>24.001. Revestimento argamassado em fachada</t>
        </is>
      </c>
      <c r="F542" s="1817" t="n"/>
      <c r="G542" s="1817" t="n"/>
      <c r="H542" s="1819" t="n"/>
      <c r="I542" s="1819" t="n">
        <v>3525.172995</v>
      </c>
      <c r="J542" s="2126" t="n">
        <v>0.0001623095621607246</v>
      </c>
      <c r="K542" s="1817" t="inlineStr"/>
    </row>
    <row r="543" ht="25.5" customHeight="1">
      <c r="A543" s="1809" t="inlineStr">
        <is>
          <t>17.1.1.1</t>
        </is>
      </c>
      <c r="B543" s="1808" t="inlineStr">
        <is>
          <t>Thozen - Electra</t>
        </is>
      </c>
      <c r="C543" s="1807" t="inlineStr">
        <is>
          <t>COMPOSICAO</t>
        </is>
      </c>
      <c r="D543" s="1807" t="inlineStr">
        <is>
          <t>42</t>
        </is>
      </c>
      <c r="E543" s="1806" t="inlineStr">
        <is>
          <t>Chapisco aplicado em alvenarias externas, com colher de pedreiro, de argamassa estabilizada</t>
        </is>
      </c>
      <c r="F543" s="1803" t="inlineStr">
        <is>
          <t>m2</t>
        </is>
      </c>
      <c r="G543" s="1803" t="n">
        <v>822.47</v>
      </c>
      <c r="H543" s="1805" t="n">
        <v>1.3365</v>
      </c>
      <c r="I543" s="1805" t="n">
        <v>1099.231155</v>
      </c>
      <c r="J543" s="2128" t="n">
        <v>5.061190691479175e-05</v>
      </c>
      <c r="K543" s="1803" t="inlineStr"/>
    </row>
    <row r="544" ht="25.5" customHeight="1">
      <c r="A544" s="1816" t="inlineStr">
        <is>
          <t>17.1.1.2</t>
        </is>
      </c>
      <c r="B544" s="1815" t="inlineStr">
        <is>
          <t>Thozen - Electra</t>
        </is>
      </c>
      <c r="C544" s="1814" t="inlineStr">
        <is>
          <t>COMPOSICAO</t>
        </is>
      </c>
      <c r="D544" s="1814" t="inlineStr">
        <is>
          <t>90546</t>
        </is>
      </c>
      <c r="E544" s="1813" t="inlineStr">
        <is>
          <t>Chapisco rolado aplicado em alvenaria externa, com desempenadeira dentada</t>
        </is>
      </c>
      <c r="F544" s="1810" t="inlineStr">
        <is>
          <t>m2</t>
        </is>
      </c>
      <c r="G544" s="1810" t="n">
        <v>440.92</v>
      </c>
      <c r="H544" s="1812" t="n">
        <v>5.502</v>
      </c>
      <c r="I544" s="1812" t="n">
        <v>2425.94184</v>
      </c>
      <c r="J544" s="2127" t="n">
        <v>0.0001116976552459329</v>
      </c>
      <c r="K544" s="1810" t="inlineStr"/>
    </row>
    <row r="545" ht="25.5" customHeight="1">
      <c r="A545" s="1809" t="inlineStr">
        <is>
          <t>17.1.1.3</t>
        </is>
      </c>
      <c r="B545" s="1808" t="n"/>
      <c r="C545" s="1807" t="n"/>
      <c r="D545" s="1807" t="n"/>
      <c r="E545" s="1806" t="inlineStr">
        <is>
          <t>REBOCO ARGAMASSADO EXTERNO   -  FACHADA POSTERIOR (Parede padrão)</t>
        </is>
      </c>
      <c r="F545" s="1803" t="inlineStr">
        <is>
          <t>m²</t>
        </is>
      </c>
      <c r="G545" s="1803" t="n">
        <v>1263.38</v>
      </c>
      <c r="H545" s="1805" t="n">
        <v>0</v>
      </c>
      <c r="I545" s="1805" t="n">
        <v>0</v>
      </c>
      <c r="J545" s="2128" t="n"/>
      <c r="K545" s="1803" t="inlineStr"/>
    </row>
    <row r="546">
      <c r="A546" s="222" t="inlineStr">
        <is>
          <t>17.1.2.</t>
        </is>
      </c>
      <c r="B546" s="1820" t="n"/>
      <c r="C546" s="1820" t="n"/>
      <c r="D546" s="1820" t="n"/>
      <c r="E546" s="1820" t="inlineStr">
        <is>
          <t>24.002. Pintura e textura em fachada</t>
        </is>
      </c>
      <c r="F546" s="1817" t="n"/>
      <c r="G546" s="1817" t="n"/>
      <c r="H546" s="1819" t="n"/>
      <c r="I546" s="1819" t="n">
        <v>24686.03293886</v>
      </c>
      <c r="J546" s="2126" t="n">
        <v>0.001136619168328672</v>
      </c>
      <c r="K546" s="1817" t="inlineStr"/>
    </row>
    <row r="547" ht="25.5" customHeight="1">
      <c r="A547" s="1816" t="inlineStr">
        <is>
          <t>17.1.2.1</t>
        </is>
      </c>
      <c r="B547" s="1815" t="inlineStr">
        <is>
          <t>Thozen - Electra</t>
        </is>
      </c>
      <c r="C547" s="1814" t="inlineStr">
        <is>
          <t>COMPOSICAO</t>
        </is>
      </c>
      <c r="D547" s="1814" t="inlineStr">
        <is>
          <t>4979</t>
        </is>
      </c>
      <c r="E547" s="1813" t="inlineStr">
        <is>
          <t xml:space="preserve"> Pintura com tinta acrílica em paredes externas, aplicação manual, acabamento fosco, 3 demãos</t>
        </is>
      </c>
      <c r="F547" s="1810" t="inlineStr">
        <is>
          <t>m2</t>
        </is>
      </c>
      <c r="G547" s="1810" t="n">
        <v>1211.19</v>
      </c>
      <c r="H547" s="1812" t="n">
        <v>17.20959</v>
      </c>
      <c r="I547" s="1812" t="n">
        <v>20844.0833121</v>
      </c>
      <c r="J547" s="2127" t="n">
        <v>0.0009597242577391918</v>
      </c>
      <c r="K547" s="1810" t="inlineStr"/>
    </row>
    <row r="548" ht="25.5" customHeight="1">
      <c r="A548" s="1809" t="inlineStr">
        <is>
          <t>17.1.2.2</t>
        </is>
      </c>
      <c r="B548" s="1808" t="inlineStr">
        <is>
          <t>Thozen - Electra</t>
        </is>
      </c>
      <c r="C548" s="1807" t="inlineStr">
        <is>
          <t>COMPOSICAO</t>
        </is>
      </c>
      <c r="D548" s="1807" t="inlineStr">
        <is>
          <t>1497</t>
        </is>
      </c>
      <c r="E548" s="1806" t="inlineStr">
        <is>
          <t>Textura acrilica em paredes externas, 2 demaos, incluindo aplicação de uma demão de fundo selador acrílico</t>
        </is>
      </c>
      <c r="F548" s="1803" t="inlineStr">
        <is>
          <t>m2</t>
        </is>
      </c>
      <c r="G548" s="1803" t="n">
        <v>218.47</v>
      </c>
      <c r="H548" s="1805" t="n">
        <v>17.585708</v>
      </c>
      <c r="I548" s="1805" t="n">
        <v>3841.94962676</v>
      </c>
      <c r="J548" s="2128" t="n">
        <v>0.0001768949105894802</v>
      </c>
      <c r="K548" s="1803" t="inlineStr"/>
    </row>
    <row r="549">
      <c r="A549" s="1826" t="inlineStr">
        <is>
          <t>17.2.</t>
        </is>
      </c>
      <c r="B549" s="1825" t="n"/>
      <c r="C549" s="1824" t="n"/>
      <c r="D549" s="1824" t="n"/>
      <c r="E549" s="1824" t="inlineStr">
        <is>
          <t>ARQ_Torre_A</t>
        </is>
      </c>
      <c r="F549" s="1821" t="n"/>
      <c r="G549" s="1821" t="n"/>
      <c r="H549" s="1823" t="n"/>
      <c r="I549" s="1823" t="n">
        <v>52478.43945185999</v>
      </c>
      <c r="J549" s="2125" t="n">
        <v>0.002416265114475465</v>
      </c>
      <c r="K549" s="1821" t="inlineStr"/>
    </row>
    <row r="550">
      <c r="A550" s="222" t="inlineStr">
        <is>
          <t>17.2.1.</t>
        </is>
      </c>
      <c r="B550" s="1820" t="n"/>
      <c r="C550" s="1820" t="n"/>
      <c r="D550" s="1820" t="n"/>
      <c r="E550" s="1820" t="inlineStr">
        <is>
          <t>24.001. Revestimento argamassado em fachada</t>
        </is>
      </c>
      <c r="F550" s="1817" t="n"/>
      <c r="G550" s="1817" t="n"/>
      <c r="H550" s="1819" t="n"/>
      <c r="I550" s="1819" t="n">
        <v>4649.86668</v>
      </c>
      <c r="J550" s="2126" t="n">
        <v>0.0002140938405028665</v>
      </c>
      <c r="K550" s="1817" t="inlineStr"/>
    </row>
    <row r="551" ht="25.5" customHeight="1">
      <c r="A551" s="1816" t="inlineStr">
        <is>
          <t>17.2.1.1</t>
        </is>
      </c>
      <c r="B551" s="1815" t="inlineStr">
        <is>
          <t>Thozen - Electra</t>
        </is>
      </c>
      <c r="C551" s="1814" t="inlineStr">
        <is>
          <t>COMPOSICAO</t>
        </is>
      </c>
      <c r="D551" s="1814" t="inlineStr">
        <is>
          <t>42</t>
        </is>
      </c>
      <c r="E551" s="1813" t="inlineStr">
        <is>
          <t>Chapisco aplicado em alvenarias externas, com colher de pedreiro, de argamassa estabilizada</t>
        </is>
      </c>
      <c r="F551" s="1810" t="inlineStr">
        <is>
          <t>m2</t>
        </is>
      </c>
      <c r="G551" s="1810" t="n">
        <v>699.3200000000001</v>
      </c>
      <c r="H551" s="1812" t="n">
        <v>1.3365</v>
      </c>
      <c r="I551" s="1812" t="n">
        <v>934.6411800000001</v>
      </c>
      <c r="J551" s="2127" t="n">
        <v>4.303368967093289e-05</v>
      </c>
      <c r="K551" s="1810" t="inlineStr"/>
    </row>
    <row r="552" ht="25.5" customHeight="1">
      <c r="A552" s="1809" t="inlineStr">
        <is>
          <t>17.2.1.2</t>
        </is>
      </c>
      <c r="B552" s="1808" t="inlineStr">
        <is>
          <t>Thozen - Electra</t>
        </is>
      </c>
      <c r="C552" s="1807" t="inlineStr">
        <is>
          <t>COMPOSICAO</t>
        </is>
      </c>
      <c r="D552" s="1807" t="inlineStr">
        <is>
          <t>90546</t>
        </is>
      </c>
      <c r="E552" s="1806" t="inlineStr">
        <is>
          <t>Chapisco rolado aplicado em alvenaria externa, com desempenadeira dentada</t>
        </is>
      </c>
      <c r="F552" s="1803" t="inlineStr">
        <is>
          <t>m2</t>
        </is>
      </c>
      <c r="G552" s="1803" t="n">
        <v>675.25</v>
      </c>
      <c r="H552" s="1805" t="n">
        <v>5.502</v>
      </c>
      <c r="I552" s="1805" t="n">
        <v>3715.2255</v>
      </c>
      <c r="J552" s="2128" t="n">
        <v>0.0001710601508319337</v>
      </c>
      <c r="K552" s="1803" t="inlineStr"/>
    </row>
    <row r="553" ht="25.5" customHeight="1">
      <c r="A553" s="1816" t="inlineStr">
        <is>
          <t>17.2.1.3</t>
        </is>
      </c>
      <c r="B553" s="1815" t="n"/>
      <c r="C553" s="1814" t="n"/>
      <c r="D553" s="1814" t="n"/>
      <c r="E553" s="1813" t="inlineStr">
        <is>
          <t>REBOCO ARGAMASSADO EXTERNO   -  FACHADA POSTERIOR (Parede padrão)</t>
        </is>
      </c>
      <c r="F553" s="1810" t="inlineStr">
        <is>
          <t>m²</t>
        </is>
      </c>
      <c r="G553" s="1810" t="n">
        <v>1374.57</v>
      </c>
      <c r="H553" s="1812" t="n">
        <v>0</v>
      </c>
      <c r="I553" s="1812" t="n">
        <v>0</v>
      </c>
      <c r="J553" s="2127" t="n"/>
      <c r="K553" s="1810" t="inlineStr"/>
    </row>
    <row r="554">
      <c r="A554" s="222" t="inlineStr">
        <is>
          <t>17.2.2.</t>
        </is>
      </c>
      <c r="B554" s="1820" t="n"/>
      <c r="C554" s="1820" t="n"/>
      <c r="D554" s="1820" t="n"/>
      <c r="E554" s="1820" t="inlineStr">
        <is>
          <t>24.002. Pintura e textura em fachada</t>
        </is>
      </c>
      <c r="F554" s="1817" t="n"/>
      <c r="G554" s="1817" t="n"/>
      <c r="H554" s="1819" t="n"/>
      <c r="I554" s="1819" t="n">
        <v>47828.57277186</v>
      </c>
      <c r="J554" s="2126" t="n">
        <v>0.002202171273972599</v>
      </c>
      <c r="K554" s="1817" t="inlineStr"/>
    </row>
    <row r="555" ht="25.5" customHeight="1">
      <c r="A555" s="1809" t="inlineStr">
        <is>
          <t>17.2.2.1</t>
        </is>
      </c>
      <c r="B555" s="1808" t="inlineStr">
        <is>
          <t>Thozen - Electra</t>
        </is>
      </c>
      <c r="C555" s="1807" t="inlineStr">
        <is>
          <t>COMPOSICAO</t>
        </is>
      </c>
      <c r="D555" s="1807" t="inlineStr">
        <is>
          <t>4979</t>
        </is>
      </c>
      <c r="E555" s="1806" t="inlineStr">
        <is>
          <t xml:space="preserve"> Pintura com tinta acrílica em paredes externas, aplicação manual, acabamento fosco, 3 demãos</t>
        </is>
      </c>
      <c r="F555" s="1803" t="inlineStr">
        <is>
          <t>m2</t>
        </is>
      </c>
      <c r="G555" s="1803" t="n">
        <v>1374.57</v>
      </c>
      <c r="H555" s="1805" t="n">
        <v>17.20959</v>
      </c>
      <c r="I555" s="1805" t="n">
        <v>23655.7861263</v>
      </c>
      <c r="J555" s="2128" t="n">
        <v>0.001089183507922424</v>
      </c>
      <c r="K555" s="1803" t="inlineStr"/>
    </row>
    <row r="556" ht="25.5" customHeight="1">
      <c r="A556" s="1816" t="inlineStr">
        <is>
          <t>17.2.2.2</t>
        </is>
      </c>
      <c r="B556" s="1815" t="inlineStr">
        <is>
          <t>Thozen - Electra</t>
        </is>
      </c>
      <c r="C556" s="1814" t="inlineStr">
        <is>
          <t>COMPOSICAO</t>
        </is>
      </c>
      <c r="D556" s="1814" t="inlineStr">
        <is>
          <t>1497</t>
        </is>
      </c>
      <c r="E556" s="1813" t="inlineStr">
        <is>
          <t>Textura acrilica em paredes externas, 2 demaos, incluindo aplicação de uma demão de fundo selador acrílico</t>
        </is>
      </c>
      <c r="F556" s="1810" t="inlineStr">
        <is>
          <t>m2</t>
        </is>
      </c>
      <c r="G556" s="1810" t="n">
        <v>1374.57</v>
      </c>
      <c r="H556" s="1812" t="n">
        <v>17.585708</v>
      </c>
      <c r="I556" s="1812" t="n">
        <v>24172.78664556</v>
      </c>
      <c r="J556" s="2127" t="n">
        <v>0.001112987766050175</v>
      </c>
      <c r="K556" s="1810" t="inlineStr"/>
    </row>
    <row r="557">
      <c r="A557" s="1826" t="inlineStr">
        <is>
          <t>17.3.</t>
        </is>
      </c>
      <c r="B557" s="1825" t="n"/>
      <c r="C557" s="1824" t="n"/>
      <c r="D557" s="1824" t="n"/>
      <c r="E557" s="1824" t="inlineStr">
        <is>
          <t>ARQ_Torre_B</t>
        </is>
      </c>
      <c r="F557" s="1821" t="n"/>
      <c r="G557" s="1821" t="n"/>
      <c r="H557" s="1823" t="n"/>
      <c r="I557" s="1823" t="n">
        <v>64705.71393781999</v>
      </c>
      <c r="J557" s="2125" t="n">
        <v>0.002979245589774145</v>
      </c>
      <c r="K557" s="1821" t="inlineStr"/>
    </row>
    <row r="558">
      <c r="A558" s="222" t="inlineStr">
        <is>
          <t>17.3.1.</t>
        </is>
      </c>
      <c r="B558" s="1820" t="n"/>
      <c r="C558" s="1820" t="n"/>
      <c r="D558" s="1820" t="n"/>
      <c r="E558" s="1820" t="inlineStr">
        <is>
          <t>24.001. Revestimento argamassado em fachada</t>
        </is>
      </c>
      <c r="F558" s="1817" t="n"/>
      <c r="G558" s="1817" t="n"/>
      <c r="H558" s="1819" t="n"/>
      <c r="I558" s="1819" t="n">
        <v>4698.09096</v>
      </c>
      <c r="J558" s="2126" t="n">
        <v>0.0002163142313272085</v>
      </c>
      <c r="K558" s="1817" t="inlineStr"/>
    </row>
    <row r="559" ht="25.5" customHeight="1">
      <c r="A559" s="1809" t="inlineStr">
        <is>
          <t>17.3.1.1</t>
        </is>
      </c>
      <c r="B559" s="1808" t="inlineStr">
        <is>
          <t>Thozen - Electra</t>
        </is>
      </c>
      <c r="C559" s="1807" t="inlineStr">
        <is>
          <t>COMPOSICAO</t>
        </is>
      </c>
      <c r="D559" s="1807" t="inlineStr">
        <is>
          <t>42</t>
        </is>
      </c>
      <c r="E559" s="1806" t="inlineStr">
        <is>
          <t>Chapisco aplicado em alvenarias externas, com colher de pedreiro, de argamassa estabilizada</t>
        </is>
      </c>
      <c r="F559" s="1803" t="inlineStr">
        <is>
          <t>m2</t>
        </is>
      </c>
      <c r="G559" s="1803" t="n">
        <v>1150.08</v>
      </c>
      <c r="H559" s="1805" t="n">
        <v>1.3365</v>
      </c>
      <c r="I559" s="1805" t="n">
        <v>1537.08192</v>
      </c>
      <c r="J559" s="2128" t="n">
        <v>7.077187241426884e-05</v>
      </c>
      <c r="K559" s="1803" t="inlineStr"/>
    </row>
    <row r="560" ht="25.5" customHeight="1">
      <c r="A560" s="1816" t="inlineStr">
        <is>
          <t>17.3.1.2</t>
        </is>
      </c>
      <c r="B560" s="1815" t="inlineStr">
        <is>
          <t>Thozen - Electra</t>
        </is>
      </c>
      <c r="C560" s="1814" t="inlineStr">
        <is>
          <t>COMPOSICAO</t>
        </is>
      </c>
      <c r="D560" s="1814" t="inlineStr">
        <is>
          <t>90546</t>
        </is>
      </c>
      <c r="E560" s="1813" t="inlineStr">
        <is>
          <t>Chapisco rolado aplicado em alvenaria externa, com desempenadeira dentada</t>
        </is>
      </c>
      <c r="F560" s="1810" t="inlineStr">
        <is>
          <t>m2</t>
        </is>
      </c>
      <c r="G560" s="1810" t="n">
        <v>574.52</v>
      </c>
      <c r="H560" s="1812" t="n">
        <v>5.502</v>
      </c>
      <c r="I560" s="1812" t="n">
        <v>3161.00904</v>
      </c>
      <c r="J560" s="2127" t="n">
        <v>0.0001455423589129397</v>
      </c>
      <c r="K560" s="1810" t="inlineStr"/>
    </row>
    <row r="561" ht="25.5" customHeight="1">
      <c r="A561" s="1809" t="inlineStr">
        <is>
          <t>17.3.1.3</t>
        </is>
      </c>
      <c r="B561" s="1808" t="n"/>
      <c r="C561" s="1807" t="n"/>
      <c r="D561" s="1807" t="n"/>
      <c r="E561" s="1806" t="inlineStr">
        <is>
          <t>REBOCO ARGAMASSADO EXTERNO   -  FACHADA POSTERIOR (Parede padrão)</t>
        </is>
      </c>
      <c r="F561" s="1803" t="inlineStr">
        <is>
          <t>m²</t>
        </is>
      </c>
      <c r="G561" s="1803" t="n">
        <v>1724.59</v>
      </c>
      <c r="H561" s="1805" t="n">
        <v>0</v>
      </c>
      <c r="I561" s="1805" t="n">
        <v>0</v>
      </c>
      <c r="J561" s="2128" t="n"/>
      <c r="K561" s="1803" t="inlineStr"/>
    </row>
    <row r="562">
      <c r="A562" s="222" t="inlineStr">
        <is>
          <t>17.3.2.</t>
        </is>
      </c>
      <c r="B562" s="1820" t="n"/>
      <c r="C562" s="1820" t="n"/>
      <c r="D562" s="1820" t="n"/>
      <c r="E562" s="1820" t="inlineStr">
        <is>
          <t>24.002. Pintura e textura em fachada</t>
        </is>
      </c>
      <c r="F562" s="1817" t="n"/>
      <c r="G562" s="1817" t="n"/>
      <c r="H562" s="1819" t="n"/>
      <c r="I562" s="1819" t="n">
        <v>60007.62297781999</v>
      </c>
      <c r="J562" s="2126" t="n">
        <v>0.002762931358446936</v>
      </c>
      <c r="K562" s="1817" t="inlineStr"/>
    </row>
    <row r="563" ht="25.5" customHeight="1">
      <c r="A563" s="1816" t="inlineStr">
        <is>
          <t>17.3.2.1</t>
        </is>
      </c>
      <c r="B563" s="1815" t="inlineStr">
        <is>
          <t>Thozen - Electra</t>
        </is>
      </c>
      <c r="C563" s="1814" t="inlineStr">
        <is>
          <t>COMPOSICAO</t>
        </is>
      </c>
      <c r="D563" s="1814" t="inlineStr">
        <is>
          <t>4979</t>
        </is>
      </c>
      <c r="E563" s="1813" t="inlineStr">
        <is>
          <t xml:space="preserve"> Pintura com tinta acrílica em paredes externas, aplicação manual, acabamento fosco, 3 demãos</t>
        </is>
      </c>
      <c r="F563" s="1810" t="inlineStr">
        <is>
          <t>m2</t>
        </is>
      </c>
      <c r="G563" s="1810" t="n">
        <v>1724.59</v>
      </c>
      <c r="H563" s="1812" t="n">
        <v>17.20959</v>
      </c>
      <c r="I563" s="1812" t="n">
        <v>29679.48681809999</v>
      </c>
      <c r="J563" s="2127" t="n">
        <v>0.00136653279638573</v>
      </c>
      <c r="K563" s="1810" t="inlineStr"/>
    </row>
    <row r="564" ht="25.5" customHeight="1">
      <c r="A564" s="1809" t="inlineStr">
        <is>
          <t>17.3.2.2</t>
        </is>
      </c>
      <c r="B564" s="1808" t="inlineStr">
        <is>
          <t>Thozen - Electra</t>
        </is>
      </c>
      <c r="C564" s="1807" t="inlineStr">
        <is>
          <t>COMPOSICAO</t>
        </is>
      </c>
      <c r="D564" s="1807" t="inlineStr">
        <is>
          <t>1497</t>
        </is>
      </c>
      <c r="E564" s="1806" t="inlineStr">
        <is>
          <t>Textura acrilica em paredes externas, 2 demaos, incluindo aplicação de uma demão de fundo selador acrílico</t>
        </is>
      </c>
      <c r="F564" s="1803" t="inlineStr">
        <is>
          <t>m2</t>
        </is>
      </c>
      <c r="G564" s="1803" t="n">
        <v>1724.59</v>
      </c>
      <c r="H564" s="1805" t="n">
        <v>17.585708</v>
      </c>
      <c r="I564" s="1805" t="n">
        <v>30328.13615972</v>
      </c>
      <c r="J564" s="2128" t="n">
        <v>0.001396398562061206</v>
      </c>
      <c r="K564" s="1803" t="inlineStr"/>
    </row>
    <row r="565">
      <c r="A565" s="1832" t="inlineStr">
        <is>
          <t>18.</t>
        </is>
      </c>
      <c r="B565" s="1831" t="n"/>
      <c r="C565" s="1830" t="n"/>
      <c r="D565" s="1830" t="n"/>
      <c r="E565" s="1830" t="inlineStr">
        <is>
          <t>98. REVESTIMENTOS E ACABAMENTOS EM FACHADA - VERIFICAÇÃO</t>
        </is>
      </c>
      <c r="F565" s="1827" t="n"/>
      <c r="G565" s="1827" t="n"/>
      <c r="H565" s="1829" t="n"/>
      <c r="I565" s="1829" t="n">
        <v>0</v>
      </c>
      <c r="J565" s="2124" t="n"/>
      <c r="K565" s="1827" t="inlineStr"/>
    </row>
    <row r="566">
      <c r="A566" s="1826" t="inlineStr">
        <is>
          <t>18.1.</t>
        </is>
      </c>
      <c r="B566" s="1825" t="n"/>
      <c r="C566" s="1824" t="n"/>
      <c r="D566" s="1824" t="n"/>
      <c r="E566" s="1824" t="inlineStr">
        <is>
          <t>ARQ_Embasamento</t>
        </is>
      </c>
      <c r="F566" s="1821" t="n"/>
      <c r="G566" s="1821" t="n"/>
      <c r="H566" s="1823" t="n"/>
      <c r="I566" s="1823" t="n">
        <v>0</v>
      </c>
      <c r="J566" s="2125" t="n"/>
      <c r="K566" s="1821" t="inlineStr"/>
    </row>
    <row r="567">
      <c r="A567" s="222" t="inlineStr">
        <is>
          <t>18.1.1.</t>
        </is>
      </c>
      <c r="B567" s="1820" t="n"/>
      <c r="C567" s="1820" t="n"/>
      <c r="D567" s="1820" t="n"/>
      <c r="E567" s="1820" t="inlineStr">
        <is>
          <t>24.001. Revestimento argamassado em fachada</t>
        </is>
      </c>
      <c r="F567" s="1817" t="n"/>
      <c r="G567" s="1817" t="n"/>
      <c r="H567" s="1819" t="n"/>
      <c r="I567" s="1819" t="n">
        <v>0</v>
      </c>
      <c r="J567" s="2126" t="n"/>
      <c r="K567" s="1817" t="inlineStr"/>
    </row>
    <row r="568">
      <c r="A568" s="1816" t="inlineStr">
        <is>
          <t>18.1.1.1</t>
        </is>
      </c>
      <c r="B568" s="1815" t="n"/>
      <c r="C568" s="1814" t="n"/>
      <c r="D568" s="1814" t="n"/>
      <c r="E568" s="1813" t="inlineStr">
        <is>
          <t>CHAPISCO ARGAMASSADO EXTERNO  (Parede padrão)</t>
        </is>
      </c>
      <c r="F568" s="1810" t="inlineStr">
        <is>
          <t>m²</t>
        </is>
      </c>
      <c r="G568" s="1810" t="n">
        <v>3.66</v>
      </c>
      <c r="H568" s="1812" t="n">
        <v>0</v>
      </c>
      <c r="I568" s="1812" t="n">
        <v>0</v>
      </c>
      <c r="J568" s="2127" t="n"/>
      <c r="K568" s="1810" t="inlineStr"/>
    </row>
    <row r="569">
      <c r="A569" s="1809" t="inlineStr">
        <is>
          <t>18.1.1.2</t>
        </is>
      </c>
      <c r="B569" s="1808" t="n"/>
      <c r="C569" s="1807" t="n"/>
      <c r="D569" s="1807" t="n"/>
      <c r="E569" s="1806" t="inlineStr">
        <is>
          <t>CHAPISCO ARGAMASSADO PARA ESTRUTURA EXTERNO  (Parede padrão)</t>
        </is>
      </c>
      <c r="F569" s="1803" t="inlineStr">
        <is>
          <t>m²</t>
        </is>
      </c>
      <c r="G569" s="1803" t="n">
        <v>1</v>
      </c>
      <c r="H569" s="1805" t="n">
        <v>0</v>
      </c>
      <c r="I569" s="1805" t="n">
        <v>0</v>
      </c>
      <c r="J569" s="2128" t="n"/>
      <c r="K569" s="1803" t="inlineStr"/>
    </row>
    <row r="570">
      <c r="A570" s="1816" t="inlineStr">
        <is>
          <t>18.1.1.3</t>
        </is>
      </c>
      <c r="B570" s="1815" t="n"/>
      <c r="C570" s="1814" t="n"/>
      <c r="D570" s="1814" t="n"/>
      <c r="E570" s="1813" t="inlineStr">
        <is>
          <t>REBOCO ARGAMASSADO EXTERNO  (Parede padrão)</t>
        </is>
      </c>
      <c r="F570" s="1810" t="inlineStr">
        <is>
          <t>m²</t>
        </is>
      </c>
      <c r="G570" s="1810" t="n">
        <v>4.66</v>
      </c>
      <c r="H570" s="1812" t="n">
        <v>0</v>
      </c>
      <c r="I570" s="1812" t="n">
        <v>0</v>
      </c>
      <c r="J570" s="2127" t="n"/>
      <c r="K570" s="1810" t="inlineStr"/>
    </row>
    <row r="571">
      <c r="A571" s="222" t="inlineStr">
        <is>
          <t>18.1.2.</t>
        </is>
      </c>
      <c r="B571" s="1820" t="n"/>
      <c r="C571" s="1820" t="n"/>
      <c r="D571" s="1820" t="n"/>
      <c r="E571" s="1820" t="inlineStr">
        <is>
          <t>24.002. Pintura e textura em fachada</t>
        </is>
      </c>
      <c r="F571" s="1817" t="n"/>
      <c r="G571" s="1817" t="n"/>
      <c r="H571" s="1819" t="n"/>
      <c r="I571" s="1819" t="n">
        <v>0</v>
      </c>
      <c r="J571" s="2126" t="n"/>
      <c r="K571" s="1817" t="inlineStr"/>
    </row>
    <row r="572" ht="25.5" customHeight="1">
      <c r="A572" s="1809" t="inlineStr">
        <is>
          <t>18.1.2.1</t>
        </is>
      </c>
      <c r="B572" s="1808" t="n"/>
      <c r="C572" s="1807" t="n"/>
      <c r="D572" s="1807" t="n"/>
      <c r="E572" s="1806" t="inlineStr">
        <is>
          <t>REVESTIMENTO EXTERNO - PINTURA PARA FACHADA, PINTURA COR 01 - CINZA ESCURO (Parede padrão)</t>
        </is>
      </c>
      <c r="F572" s="1803" t="inlineStr">
        <is>
          <t>m²</t>
        </is>
      </c>
      <c r="G572" s="1803" t="n">
        <v>4.66</v>
      </c>
      <c r="H572" s="1805" t="n">
        <v>0</v>
      </c>
      <c r="I572" s="1805" t="n">
        <v>0</v>
      </c>
      <c r="J572" s="2128" t="n"/>
      <c r="K572" s="1803" t="inlineStr"/>
    </row>
    <row r="573" ht="25.5" customHeight="1">
      <c r="A573" s="1816" t="inlineStr">
        <is>
          <t>18.1.2.2</t>
        </is>
      </c>
      <c r="B573" s="1815" t="n"/>
      <c r="C573" s="1814" t="n"/>
      <c r="D573" s="1814" t="n"/>
      <c r="E573" s="1813" t="inlineStr">
        <is>
          <t>REVESTIMENTO EXTERNO - TEXTURA PARA FACHADA, PINTURA COR 01 - CINZA ESCURO (Parede padrão)</t>
        </is>
      </c>
      <c r="F573" s="1810" t="inlineStr">
        <is>
          <t>m²</t>
        </is>
      </c>
      <c r="G573" s="1810" t="n">
        <v>4.66</v>
      </c>
      <c r="H573" s="1812" t="n">
        <v>0</v>
      </c>
      <c r="I573" s="1812" t="n">
        <v>0</v>
      </c>
      <c r="J573" s="2127" t="n"/>
      <c r="K573" s="1810" t="inlineStr"/>
    </row>
    <row r="574">
      <c r="A574" s="1826" t="inlineStr">
        <is>
          <t>18.2.</t>
        </is>
      </c>
      <c r="B574" s="1825" t="n"/>
      <c r="C574" s="1824" t="n"/>
      <c r="D574" s="1824" t="n"/>
      <c r="E574" s="1824" t="inlineStr">
        <is>
          <t>ARQ_Torre_A</t>
        </is>
      </c>
      <c r="F574" s="1821" t="n"/>
      <c r="G574" s="1821" t="n"/>
      <c r="H574" s="1823" t="n"/>
      <c r="I574" s="1823" t="n">
        <v>0</v>
      </c>
      <c r="J574" s="2125" t="n"/>
      <c r="K574" s="1821" t="inlineStr"/>
    </row>
    <row r="575">
      <c r="A575" s="222" t="inlineStr">
        <is>
          <t>18.2.1.</t>
        </is>
      </c>
      <c r="B575" s="1820" t="n"/>
      <c r="C575" s="1820" t="n"/>
      <c r="D575" s="1820" t="n"/>
      <c r="E575" s="1820" t="inlineStr">
        <is>
          <t>24.001. Revestimento argamassado em fachada</t>
        </is>
      </c>
      <c r="F575" s="1817" t="n"/>
      <c r="G575" s="1817" t="n"/>
      <c r="H575" s="1819" t="n"/>
      <c r="I575" s="1819" t="n">
        <v>0</v>
      </c>
      <c r="J575" s="2126" t="n"/>
      <c r="K575" s="1817" t="inlineStr"/>
    </row>
    <row r="576">
      <c r="A576" s="1809" t="inlineStr">
        <is>
          <t>18.2.1.1</t>
        </is>
      </c>
      <c r="B576" s="1808" t="n"/>
      <c r="C576" s="1807" t="n"/>
      <c r="D576" s="1807" t="n"/>
      <c r="E576" s="1806" t="inlineStr">
        <is>
          <t>CHAPISCO ARGAMASSADO EXTERNO  (Parede padrão)</t>
        </is>
      </c>
      <c r="F576" s="1803" t="inlineStr">
        <is>
          <t>m²</t>
        </is>
      </c>
      <c r="G576" s="1803" t="n">
        <v>1.66</v>
      </c>
      <c r="H576" s="1805" t="n">
        <v>0</v>
      </c>
      <c r="I576" s="1805" t="n">
        <v>0</v>
      </c>
      <c r="J576" s="2128" t="n"/>
      <c r="K576" s="1803" t="inlineStr"/>
    </row>
    <row r="577">
      <c r="A577" s="1816" t="inlineStr">
        <is>
          <t>18.2.1.2</t>
        </is>
      </c>
      <c r="B577" s="1815" t="n"/>
      <c r="C577" s="1814" t="n"/>
      <c r="D577" s="1814" t="n"/>
      <c r="E577" s="1813" t="inlineStr">
        <is>
          <t>REBOCO ARGAMASSADO EXTERNO  (Parede padrão)</t>
        </is>
      </c>
      <c r="F577" s="1810" t="inlineStr">
        <is>
          <t>m²</t>
        </is>
      </c>
      <c r="G577" s="1810" t="n">
        <v>1.66</v>
      </c>
      <c r="H577" s="1812" t="n">
        <v>0</v>
      </c>
      <c r="I577" s="1812" t="n">
        <v>0</v>
      </c>
      <c r="J577" s="2127" t="n"/>
      <c r="K577" s="1810" t="inlineStr"/>
    </row>
    <row r="578">
      <c r="A578" s="222" t="inlineStr">
        <is>
          <t>18.2.2.</t>
        </is>
      </c>
      <c r="B578" s="1820" t="n"/>
      <c r="C578" s="1820" t="n"/>
      <c r="D578" s="1820" t="n"/>
      <c r="E578" s="1820" t="inlineStr">
        <is>
          <t>24.002. Pintura e textura em fachada</t>
        </is>
      </c>
      <c r="F578" s="1817" t="n"/>
      <c r="G578" s="1817" t="n"/>
      <c r="H578" s="1819" t="n"/>
      <c r="I578" s="1819" t="n">
        <v>0</v>
      </c>
      <c r="J578" s="2126" t="n"/>
      <c r="K578" s="1817" t="inlineStr"/>
    </row>
    <row r="579">
      <c r="A579" s="1809" t="inlineStr">
        <is>
          <t>18.2.2.1</t>
        </is>
      </c>
      <c r="B579" s="1808" t="n"/>
      <c r="C579" s="1807" t="n"/>
      <c r="D579" s="1807" t="n"/>
      <c r="E579" s="1806" t="inlineStr">
        <is>
          <t>REVESTIMENTO EXTERNO -  ACM ABA,  (Parede padrão)</t>
        </is>
      </c>
      <c r="F579" s="1803" t="inlineStr">
        <is>
          <t>m²</t>
        </is>
      </c>
      <c r="G579" s="1803" t="n">
        <v>352.38</v>
      </c>
      <c r="H579" s="1805" t="n">
        <v>0</v>
      </c>
      <c r="I579" s="1805" t="n">
        <v>0</v>
      </c>
      <c r="J579" s="2128" t="n"/>
      <c r="K579" s="1803" t="inlineStr">
        <is>
          <t>adicionar fachada nesse elemento - esquerda</t>
        </is>
      </c>
    </row>
    <row r="580" ht="25.5" customHeight="1">
      <c r="A580" s="1816" t="inlineStr">
        <is>
          <t>18.2.2.2</t>
        </is>
      </c>
      <c r="B580" s="1815" t="n"/>
      <c r="C580" s="1814" t="n"/>
      <c r="D580" s="1814" t="n"/>
      <c r="E580" s="1813" t="inlineStr">
        <is>
          <t>REVESTIMENTO EXTERNO - PINTURA PARA FACHADA, PINTURA COR 01 - CINZA ESCURO (Parede padrão)</t>
        </is>
      </c>
      <c r="F580" s="1810" t="inlineStr">
        <is>
          <t>m²</t>
        </is>
      </c>
      <c r="G580" s="1810" t="n">
        <v>1.66</v>
      </c>
      <c r="H580" s="1812" t="n">
        <v>0</v>
      </c>
      <c r="I580" s="1812" t="n">
        <v>0</v>
      </c>
      <c r="J580" s="2127" t="n"/>
      <c r="K580" s="1810" t="inlineStr">
        <is>
          <t>adicionar fachada nesse elemento - frontal</t>
        </is>
      </c>
    </row>
    <row r="581" ht="25.5" customHeight="1">
      <c r="A581" s="1809" t="inlineStr">
        <is>
          <t>18.2.2.3</t>
        </is>
      </c>
      <c r="B581" s="1808" t="n"/>
      <c r="C581" s="1807" t="n"/>
      <c r="D581" s="1807" t="n"/>
      <c r="E581" s="1806" t="inlineStr">
        <is>
          <t>REVESTIMENTO EXTERNO - TEXTURA PARA FACHADA, PINTURA COR 01 - CINZA ESCURO (Parede padrão)</t>
        </is>
      </c>
      <c r="F581" s="1803" t="inlineStr">
        <is>
          <t>m²</t>
        </is>
      </c>
      <c r="G581" s="1803" t="n">
        <v>1.66</v>
      </c>
      <c r="H581" s="1805" t="n">
        <v>0</v>
      </c>
      <c r="I581" s="1805" t="n">
        <v>0</v>
      </c>
      <c r="J581" s="2128" t="n"/>
      <c r="K581" s="1803" t="inlineStr">
        <is>
          <t>adicionar fachada nesse elemento - frontal</t>
        </is>
      </c>
    </row>
    <row r="582">
      <c r="A582" s="1826" t="inlineStr">
        <is>
          <t>18.3.</t>
        </is>
      </c>
      <c r="B582" s="1825" t="n"/>
      <c r="C582" s="1824" t="n"/>
      <c r="D582" s="1824" t="n"/>
      <c r="E582" s="1824" t="inlineStr">
        <is>
          <t>ARQ_Torre_B</t>
        </is>
      </c>
      <c r="F582" s="1821" t="n"/>
      <c r="G582" s="1821" t="n"/>
      <c r="H582" s="1823" t="n"/>
      <c r="I582" s="1823" t="n">
        <v>0</v>
      </c>
      <c r="J582" s="2125" t="n"/>
      <c r="K582" s="1821" t="inlineStr"/>
    </row>
    <row r="583">
      <c r="A583" s="222" t="inlineStr">
        <is>
          <t>18.3.1.</t>
        </is>
      </c>
      <c r="B583" s="1820" t="n"/>
      <c r="C583" s="1820" t="n"/>
      <c r="D583" s="1820" t="n"/>
      <c r="E583" s="1820" t="inlineStr">
        <is>
          <t>24.002. Pintura e textura em fachada</t>
        </is>
      </c>
      <c r="F583" s="1817" t="n"/>
      <c r="G583" s="1817" t="n"/>
      <c r="H583" s="1819" t="n"/>
      <c r="I583" s="1819" t="n">
        <v>0</v>
      </c>
      <c r="J583" s="2126" t="n"/>
      <c r="K583" s="1817" t="inlineStr"/>
    </row>
    <row r="584">
      <c r="A584" s="1816" t="inlineStr">
        <is>
          <t>18.3.1.1</t>
        </is>
      </c>
      <c r="B584" s="1815" t="n"/>
      <c r="C584" s="1814" t="n"/>
      <c r="D584" s="1814" t="n"/>
      <c r="E584" s="1813" t="inlineStr">
        <is>
          <t>REVESTIMENTO EXTERNO -  ACM ABA,  (Parede padrão)</t>
        </is>
      </c>
      <c r="F584" s="1810" t="inlineStr">
        <is>
          <t>m²</t>
        </is>
      </c>
      <c r="G584" s="1810" t="n">
        <v>124.24</v>
      </c>
      <c r="H584" s="1812" t="n">
        <v>0</v>
      </c>
      <c r="I584" s="1812" t="n">
        <v>0</v>
      </c>
      <c r="J584" s="2127" t="n"/>
      <c r="K584" s="1810" t="inlineStr"/>
    </row>
    <row r="585">
      <c r="A585" s="1832" t="inlineStr">
        <is>
          <t>19.</t>
        </is>
      </c>
      <c r="B585" s="1831" t="n"/>
      <c r="C585" s="1830" t="n"/>
      <c r="D585" s="1830" t="n"/>
      <c r="E585" s="1830" t="inlineStr">
        <is>
          <t>99. IMPERMEABILIZAÇÃO E TRATAMENTOS</t>
        </is>
      </c>
      <c r="F585" s="1827" t="n"/>
      <c r="G585" s="1827" t="n"/>
      <c r="H585" s="1829" t="n"/>
      <c r="I585" s="1829" t="n">
        <v>0</v>
      </c>
      <c r="J585" s="2124" t="n"/>
      <c r="K585" s="1827" t="inlineStr"/>
    </row>
    <row r="586">
      <c r="A586" s="1826" t="inlineStr">
        <is>
          <t>19.1.</t>
        </is>
      </c>
      <c r="B586" s="1825" t="n"/>
      <c r="C586" s="1824" t="n"/>
      <c r="D586" s="1824" t="n"/>
      <c r="E586" s="1824" t="inlineStr">
        <is>
          <t>ARQ_Impermeab</t>
        </is>
      </c>
      <c r="F586" s="1821" t="n"/>
      <c r="G586" s="1821" t="n"/>
      <c r="H586" s="1823" t="n"/>
      <c r="I586" s="1823" t="n">
        <v>0</v>
      </c>
      <c r="J586" s="2125" t="n"/>
      <c r="K586" s="1821" t="inlineStr"/>
    </row>
    <row r="587">
      <c r="A587" s="222" t="inlineStr">
        <is>
          <t>19.1.1.</t>
        </is>
      </c>
      <c r="B587" s="1820" t="n"/>
      <c r="C587" s="1820" t="n"/>
      <c r="D587" s="1820" t="n"/>
      <c r="E587" s="1820" t="inlineStr">
        <is>
          <t>Verificação piso</t>
        </is>
      </c>
      <c r="F587" s="1817" t="n"/>
      <c r="G587" s="1817" t="n"/>
      <c r="H587" s="1819" t="n"/>
      <c r="I587" s="1819" t="n">
        <v>0</v>
      </c>
      <c r="J587" s="2126" t="n"/>
      <c r="K587" s="1817" t="inlineStr"/>
    </row>
    <row r="588">
      <c r="A588" s="1809" t="inlineStr">
        <is>
          <t>19.1.1.1</t>
        </is>
      </c>
      <c r="B588" s="1808" t="n"/>
      <c r="C588" s="1807" t="n"/>
      <c r="D588" s="1807" t="n"/>
      <c r="E588" s="1806" t="inlineStr">
        <is>
          <t>VERIFICAÇÃO ÁREA DE SERVIÇO (Laje)</t>
        </is>
      </c>
      <c r="F588" s="1803" t="inlineStr">
        <is>
          <t>m²</t>
        </is>
      </c>
      <c r="G588" s="1803" t="n">
        <v>630.5</v>
      </c>
      <c r="H588" s="1805" t="n">
        <v>0</v>
      </c>
      <c r="I588" s="1805" t="n">
        <v>0</v>
      </c>
      <c r="J588" s="2128" t="n"/>
      <c r="K588" s="1803" t="inlineStr"/>
    </row>
    <row r="589">
      <c r="A589" s="1816" t="inlineStr">
        <is>
          <t>19.1.1.2</t>
        </is>
      </c>
      <c r="B589" s="1815" t="n"/>
      <c r="C589" s="1814" t="n"/>
      <c r="D589" s="1814" t="n"/>
      <c r="E589" s="1813" t="inlineStr">
        <is>
          <t>VERIFICAÇÃO ÁREA TÉCNICA (Laje)</t>
        </is>
      </c>
      <c r="F589" s="1810" t="inlineStr">
        <is>
          <t>m²</t>
        </is>
      </c>
      <c r="G589" s="1810" t="n">
        <v>553.92</v>
      </c>
      <c r="H589" s="1812" t="n">
        <v>0</v>
      </c>
      <c r="I589" s="1812" t="n">
        <v>0</v>
      </c>
      <c r="J589" s="2127" t="n"/>
      <c r="K589" s="1810" t="inlineStr"/>
    </row>
    <row r="590">
      <c r="A590" s="1809" t="inlineStr">
        <is>
          <t>19.1.1.3</t>
        </is>
      </c>
      <c r="B590" s="1808" t="n"/>
      <c r="C590" s="1807" t="n"/>
      <c r="D590" s="1807" t="n"/>
      <c r="E590" s="1806" t="inlineStr">
        <is>
          <t>VERIFICAÇÃO BANHEIRO (Laje)</t>
        </is>
      </c>
      <c r="F590" s="1803" t="inlineStr">
        <is>
          <t>m²</t>
        </is>
      </c>
      <c r="G590" s="1803" t="n">
        <v>1726.89</v>
      </c>
      <c r="H590" s="1805" t="n">
        <v>0</v>
      </c>
      <c r="I590" s="1805" t="n">
        <v>0</v>
      </c>
      <c r="J590" s="2128" t="n"/>
      <c r="K590" s="1803" t="inlineStr"/>
    </row>
    <row r="591">
      <c r="A591" s="1816" t="inlineStr">
        <is>
          <t>19.1.1.4</t>
        </is>
      </c>
      <c r="B591" s="1815" t="n"/>
      <c r="C591" s="1814" t="n"/>
      <c r="D591" s="1814" t="n"/>
      <c r="E591" s="1813" t="inlineStr">
        <is>
          <t>VERIFICAÇÃO BOX BANHEIRO (Laje)</t>
        </is>
      </c>
      <c r="F591" s="1810" t="inlineStr">
        <is>
          <t>m²</t>
        </is>
      </c>
      <c r="G591" s="1810" t="n">
        <v>582.66</v>
      </c>
      <c r="H591" s="1812" t="n">
        <v>0</v>
      </c>
      <c r="I591" s="1812" t="n">
        <v>0</v>
      </c>
      <c r="J591" s="2127" t="n"/>
      <c r="K591" s="1810" t="inlineStr"/>
    </row>
    <row r="592">
      <c r="A592" s="1809" t="inlineStr">
        <is>
          <t>19.1.1.5</t>
        </is>
      </c>
      <c r="B592" s="1808" t="n"/>
      <c r="C592" s="1807" t="n"/>
      <c r="D592" s="1807" t="n"/>
      <c r="E592" s="1806" t="inlineStr">
        <is>
          <t>VERIFICAÇÃO CALHA E RUFO (Laje)</t>
        </is>
      </c>
      <c r="F592" s="1803" t="inlineStr">
        <is>
          <t>m²</t>
        </is>
      </c>
      <c r="G592" s="1803" t="n">
        <v>31.68</v>
      </c>
      <c r="H592" s="1805" t="n">
        <v>0</v>
      </c>
      <c r="I592" s="1805" t="n">
        <v>0</v>
      </c>
      <c r="J592" s="2128" t="n"/>
      <c r="K592" s="1803" t="inlineStr"/>
    </row>
    <row r="593">
      <c r="A593" s="1816" t="inlineStr">
        <is>
          <t>19.1.1.6</t>
        </is>
      </c>
      <c r="B593" s="1815" t="n"/>
      <c r="C593" s="1814" t="n"/>
      <c r="D593" s="1814" t="n"/>
      <c r="E593" s="1813" t="inlineStr">
        <is>
          <t>VERIFICAÇÃO CENTRAL DE GÁS/LIXEIRA (Laje)</t>
        </is>
      </c>
      <c r="F593" s="1810" t="inlineStr">
        <is>
          <t>m²</t>
        </is>
      </c>
      <c r="G593" s="1810" t="n">
        <v>14.77</v>
      </c>
      <c r="H593" s="1812" t="n">
        <v>0</v>
      </c>
      <c r="I593" s="1812" t="n">
        <v>0</v>
      </c>
      <c r="J593" s="2127" t="n"/>
      <c r="K593" s="1810" t="inlineStr"/>
    </row>
    <row r="594">
      <c r="A594" s="1809" t="inlineStr">
        <is>
          <t>19.1.1.7</t>
        </is>
      </c>
      <c r="B594" s="1808" t="n"/>
      <c r="C594" s="1807" t="n"/>
      <c r="D594" s="1807" t="n"/>
      <c r="E594" s="1806" t="inlineStr">
        <is>
          <t>VERIFICAÇÃO COZINHA (Laje)</t>
        </is>
      </c>
      <c r="F594" s="1803" t="inlineStr">
        <is>
          <t>m²</t>
        </is>
      </c>
      <c r="G594" s="1803" t="n">
        <v>598.14</v>
      </c>
      <c r="H594" s="1805" t="n">
        <v>0</v>
      </c>
      <c r="I594" s="1805" t="n">
        <v>0</v>
      </c>
      <c r="J594" s="2128" t="n"/>
      <c r="K594" s="1803" t="inlineStr"/>
    </row>
    <row r="595">
      <c r="A595" s="1816" t="inlineStr">
        <is>
          <t>19.1.1.8</t>
        </is>
      </c>
      <c r="B595" s="1815" t="n"/>
      <c r="C595" s="1814" t="n"/>
      <c r="D595" s="1814" t="n"/>
      <c r="E595" s="1813" t="inlineStr">
        <is>
          <t>VERIFICAÇÃO ESQUADRIA (Laje)</t>
        </is>
      </c>
      <c r="F595" s="1810" t="inlineStr">
        <is>
          <t>m²</t>
        </is>
      </c>
      <c r="G595" s="1810" t="n">
        <v>582.79</v>
      </c>
      <c r="H595" s="1812" t="n">
        <v>0</v>
      </c>
      <c r="I595" s="1812" t="n">
        <v>0</v>
      </c>
      <c r="J595" s="2127" t="n"/>
      <c r="K595" s="1810" t="inlineStr"/>
    </row>
    <row r="596">
      <c r="A596" s="1809" t="inlineStr">
        <is>
          <t>19.1.1.9</t>
        </is>
      </c>
      <c r="B596" s="1808" t="n"/>
      <c r="C596" s="1807" t="n"/>
      <c r="D596" s="1807" t="n"/>
      <c r="E596" s="1806" t="inlineStr">
        <is>
          <t>VERIFICAÇÃO FLOREIRA (Laje)</t>
        </is>
      </c>
      <c r="F596" s="1803" t="inlineStr">
        <is>
          <t>m²</t>
        </is>
      </c>
      <c r="G596" s="1803" t="n">
        <v>142.63</v>
      </c>
      <c r="H596" s="1805" t="n">
        <v>0</v>
      </c>
      <c r="I596" s="1805" t="n">
        <v>0</v>
      </c>
      <c r="J596" s="2128" t="n"/>
      <c r="K596" s="1803" t="inlineStr"/>
    </row>
    <row r="597">
      <c r="A597" s="1816" t="inlineStr">
        <is>
          <t>19.1.1.10</t>
        </is>
      </c>
      <c r="B597" s="1815" t="n"/>
      <c r="C597" s="1814" t="n"/>
      <c r="D597" s="1814" t="n"/>
      <c r="E597" s="1813" t="inlineStr">
        <is>
          <t>VERIFICAÇÃO FOSSO ELEVADOR (Laje)</t>
        </is>
      </c>
      <c r="F597" s="1810" t="inlineStr">
        <is>
          <t>m²</t>
        </is>
      </c>
      <c r="G597" s="1810" t="n">
        <v>35.54</v>
      </c>
      <c r="H597" s="1812" t="n">
        <v>0</v>
      </c>
      <c r="I597" s="1812" t="n">
        <v>0</v>
      </c>
      <c r="J597" s="2127" t="n"/>
      <c r="K597" s="1810" t="inlineStr"/>
    </row>
    <row r="598">
      <c r="A598" s="1809" t="inlineStr">
        <is>
          <t>19.1.1.11</t>
        </is>
      </c>
      <c r="B598" s="1808" t="n"/>
      <c r="C598" s="1807" t="n"/>
      <c r="D598" s="1807" t="n"/>
      <c r="E598" s="1806" t="inlineStr">
        <is>
          <t>VERIFICAÇÃO LAVA PÉS (Laje)</t>
        </is>
      </c>
      <c r="F598" s="1803" t="inlineStr">
        <is>
          <t>m²</t>
        </is>
      </c>
      <c r="G598" s="1803" t="n">
        <v>7.08</v>
      </c>
      <c r="H598" s="1805" t="n">
        <v>0</v>
      </c>
      <c r="I598" s="1805" t="n">
        <v>0</v>
      </c>
      <c r="J598" s="2128" t="n"/>
      <c r="K598" s="1803" t="inlineStr"/>
    </row>
    <row r="599">
      <c r="A599" s="1816" t="inlineStr">
        <is>
          <t>19.1.1.12</t>
        </is>
      </c>
      <c r="B599" s="1815" t="n"/>
      <c r="C599" s="1814" t="n"/>
      <c r="D599" s="1814" t="n"/>
      <c r="E599" s="1813" t="inlineStr">
        <is>
          <t>VERIFICAÇÃO PISCINA (Laje)</t>
        </is>
      </c>
      <c r="F599" s="1810" t="inlineStr">
        <is>
          <t>m²</t>
        </is>
      </c>
      <c r="G599" s="1810" t="n">
        <v>175.26</v>
      </c>
      <c r="H599" s="1812" t="n">
        <v>0</v>
      </c>
      <c r="I599" s="1812" t="n">
        <v>0</v>
      </c>
      <c r="J599" s="2127" t="n"/>
      <c r="K599" s="1810" t="inlineStr"/>
    </row>
    <row r="600">
      <c r="A600" s="1809" t="inlineStr">
        <is>
          <t>19.1.1.13</t>
        </is>
      </c>
      <c r="B600" s="1808" t="n"/>
      <c r="C600" s="1807" t="n"/>
      <c r="D600" s="1807" t="n"/>
      <c r="E600" s="1806" t="inlineStr">
        <is>
          <t>VERIFICAÇÃO RESERVATÓRIO (Laje)</t>
        </is>
      </c>
      <c r="F600" s="1803" t="inlineStr">
        <is>
          <t>m²</t>
        </is>
      </c>
      <c r="G600" s="1803" t="n">
        <v>126.52</v>
      </c>
      <c r="H600" s="1805" t="n">
        <v>0</v>
      </c>
      <c r="I600" s="1805" t="n">
        <v>0</v>
      </c>
      <c r="J600" s="2128" t="n"/>
      <c r="K600" s="1803" t="inlineStr"/>
    </row>
    <row r="601">
      <c r="A601" s="1816" t="inlineStr">
        <is>
          <t>19.1.1.14</t>
        </is>
      </c>
      <c r="B601" s="1815" t="n"/>
      <c r="C601" s="1814" t="n"/>
      <c r="D601" s="1814" t="n"/>
      <c r="E601" s="1813" t="inlineStr">
        <is>
          <t>VERIFICAÇÃO SACADA (Laje)</t>
        </is>
      </c>
      <c r="F601" s="1810" t="inlineStr">
        <is>
          <t>m²</t>
        </is>
      </c>
      <c r="G601" s="1810" t="n">
        <v>1687.27</v>
      </c>
      <c r="H601" s="1812" t="n">
        <v>0</v>
      </c>
      <c r="I601" s="1812" t="n">
        <v>0</v>
      </c>
      <c r="J601" s="2127" t="n"/>
      <c r="K601" s="1810" t="inlineStr"/>
    </row>
    <row r="602">
      <c r="A602" s="1809" t="inlineStr">
        <is>
          <t>19.1.1.15</t>
        </is>
      </c>
      <c r="B602" s="1808" t="n"/>
      <c r="C602" s="1807" t="n"/>
      <c r="D602" s="1807" t="n"/>
      <c r="E602" s="1806" t="inlineStr">
        <is>
          <t>VERIFICAÇÃO SAUNA (Laje)</t>
        </is>
      </c>
      <c r="F602" s="1803" t="inlineStr">
        <is>
          <t>m²</t>
        </is>
      </c>
      <c r="G602" s="1803" t="n">
        <v>8.4</v>
      </c>
      <c r="H602" s="1805" t="n">
        <v>0</v>
      </c>
      <c r="I602" s="1805" t="n">
        <v>0</v>
      </c>
      <c r="J602" s="2128" t="n"/>
      <c r="K602" s="1803" t="inlineStr"/>
    </row>
    <row r="603">
      <c r="A603" s="1816" t="inlineStr">
        <is>
          <t>19.1.1.16</t>
        </is>
      </c>
      <c r="B603" s="1815" t="n"/>
      <c r="C603" s="1814" t="n"/>
      <c r="D603" s="1814" t="n"/>
      <c r="E603" s="1813" t="inlineStr">
        <is>
          <t>VERIFICAÇÃO SPA (Laje)</t>
        </is>
      </c>
      <c r="F603" s="1810" t="inlineStr">
        <is>
          <t>m²</t>
        </is>
      </c>
      <c r="G603" s="1810" t="n">
        <v>10.94</v>
      </c>
      <c r="H603" s="1812" t="n">
        <v>0</v>
      </c>
      <c r="I603" s="1812" t="n">
        <v>0</v>
      </c>
      <c r="J603" s="2127" t="n"/>
      <c r="K603" s="1810" t="inlineStr"/>
    </row>
    <row r="604">
      <c r="A604" s="1809" t="inlineStr">
        <is>
          <t>19.1.1.17</t>
        </is>
      </c>
      <c r="B604" s="1808" t="n"/>
      <c r="C604" s="1807" t="n"/>
      <c r="D604" s="1807" t="n"/>
      <c r="E604" s="1806" t="inlineStr">
        <is>
          <t>VERIFICAÇÃO TAMPA DE RESERVATÓRIO (Laje)</t>
        </is>
      </c>
      <c r="F604" s="1803" t="inlineStr">
        <is>
          <t>m²</t>
        </is>
      </c>
      <c r="G604" s="1803" t="n">
        <v>121.89</v>
      </c>
      <c r="H604" s="1805" t="n">
        <v>0</v>
      </c>
      <c r="I604" s="1805" t="n">
        <v>0</v>
      </c>
      <c r="J604" s="2128" t="n"/>
      <c r="K604" s="1803" t="inlineStr"/>
    </row>
    <row r="605">
      <c r="A605" s="1816" t="inlineStr">
        <is>
          <t>19.1.1.18</t>
        </is>
      </c>
      <c r="B605" s="1815" t="n"/>
      <c r="C605" s="1814" t="n"/>
      <c r="D605" s="1814" t="n"/>
      <c r="E605" s="1813" t="inlineStr">
        <is>
          <t>VERIFICAÇÃO TERRAÇO (Laje)</t>
        </is>
      </c>
      <c r="F605" s="1810" t="inlineStr">
        <is>
          <t>m²</t>
        </is>
      </c>
      <c r="G605" s="1810" t="n">
        <v>755.42</v>
      </c>
      <c r="H605" s="1812" t="n">
        <v>0</v>
      </c>
      <c r="I605" s="1812" t="n">
        <v>0</v>
      </c>
      <c r="J605" s="2127" t="n"/>
      <c r="K605" s="1810" t="inlineStr"/>
    </row>
    <row r="606">
      <c r="A606" s="1809" t="inlineStr">
        <is>
          <t>19.1.1.19</t>
        </is>
      </c>
      <c r="B606" s="1808" t="n"/>
      <c r="C606" s="1807" t="n"/>
      <c r="D606" s="1807" t="n"/>
      <c r="E606" s="1806" t="inlineStr">
        <is>
          <t>VERIFICAÇÃO VIGA BALDRAME (Laje)</t>
        </is>
      </c>
      <c r="F606" s="1803" t="inlineStr">
        <is>
          <t>m²</t>
        </is>
      </c>
      <c r="G606" s="1803" t="n">
        <v>0.5</v>
      </c>
      <c r="H606" s="1805" t="n">
        <v>0</v>
      </c>
      <c r="I606" s="1805" t="n">
        <v>0</v>
      </c>
      <c r="J606" s="2128" t="n"/>
      <c r="K606" s="1803" t="inlineStr"/>
    </row>
    <row r="607">
      <c r="A607" s="1832" t="inlineStr">
        <is>
          <t>20.</t>
        </is>
      </c>
      <c r="B607" s="1831" t="n"/>
      <c r="C607" s="1830" t="n"/>
      <c r="D607" s="1830" t="n"/>
      <c r="E607" s="1830" t="inlineStr">
        <is>
          <t>99. IMPERMEABILIZAÇÃO E TRATAMENTOS - VERIFICAÇÃO</t>
        </is>
      </c>
      <c r="F607" s="1827" t="n"/>
      <c r="G607" s="1827" t="n"/>
      <c r="H607" s="1829" t="n"/>
      <c r="I607" s="1829" t="n">
        <v>0</v>
      </c>
      <c r="J607" s="2124" t="n"/>
      <c r="K607" s="1827" t="inlineStr"/>
    </row>
    <row r="608">
      <c r="A608" s="1826" t="inlineStr">
        <is>
          <t>20.1.</t>
        </is>
      </c>
      <c r="B608" s="1825" t="n"/>
      <c r="C608" s="1824" t="n"/>
      <c r="D608" s="1824" t="n"/>
      <c r="E608" s="1824" t="inlineStr">
        <is>
          <t>ARQ_Impermeab</t>
        </is>
      </c>
      <c r="F608" s="1821" t="n"/>
      <c r="G608" s="1821" t="n"/>
      <c r="H608" s="1823" t="n"/>
      <c r="I608" s="1823" t="n">
        <v>0</v>
      </c>
      <c r="J608" s="2125" t="n"/>
      <c r="K608" s="1821" t="inlineStr"/>
    </row>
    <row r="609">
      <c r="A609" s="222" t="inlineStr">
        <is>
          <t>20.1.1.</t>
        </is>
      </c>
      <c r="B609" s="1820" t="n"/>
      <c r="C609" s="1820" t="n"/>
      <c r="D609" s="1820" t="n"/>
      <c r="E609" s="1820" t="inlineStr">
        <is>
          <t>Verificação parede</t>
        </is>
      </c>
      <c r="F609" s="1817" t="n"/>
      <c r="G609" s="1817" t="n"/>
      <c r="H609" s="1819" t="n"/>
      <c r="I609" s="1819" t="n">
        <v>0</v>
      </c>
      <c r="J609" s="2126" t="n"/>
      <c r="K609" s="1817" t="inlineStr"/>
    </row>
    <row r="610">
      <c r="A610" s="1816" t="inlineStr">
        <is>
          <t>20.1.1.1</t>
        </is>
      </c>
      <c r="B610" s="1815" t="n"/>
      <c r="C610" s="1814" t="n"/>
      <c r="D610" s="1814" t="n"/>
      <c r="E610" s="1813" t="inlineStr">
        <is>
          <t>VERIFICAÇÃO   -  ÁREA DE SERVIÇO (Parede padrão)</t>
        </is>
      </c>
      <c r="F610" s="1810" t="inlineStr">
        <is>
          <t>m²</t>
        </is>
      </c>
      <c r="G610" s="1810" t="n">
        <v>647.47</v>
      </c>
      <c r="H610" s="1812" t="n">
        <v>0</v>
      </c>
      <c r="I610" s="1812" t="n">
        <v>0</v>
      </c>
      <c r="J610" s="2127" t="n"/>
      <c r="K610" s="1810" t="inlineStr"/>
    </row>
    <row r="611">
      <c r="A611" s="1809" t="inlineStr">
        <is>
          <t>20.1.1.2</t>
        </is>
      </c>
      <c r="B611" s="1808" t="n"/>
      <c r="C611" s="1807" t="n"/>
      <c r="D611" s="1807" t="n"/>
      <c r="E611" s="1806" t="inlineStr">
        <is>
          <t>VERIFICAÇÃO   -  ÁREA TÉCNICA (Parede padrão)</t>
        </is>
      </c>
      <c r="F611" s="1803" t="inlineStr">
        <is>
          <t>m²</t>
        </is>
      </c>
      <c r="G611" s="1803" t="n">
        <v>101.81</v>
      </c>
      <c r="H611" s="1805" t="n">
        <v>0</v>
      </c>
      <c r="I611" s="1805" t="n">
        <v>0</v>
      </c>
      <c r="J611" s="2128" t="n"/>
      <c r="K611" s="1803" t="inlineStr"/>
    </row>
    <row r="612">
      <c r="A612" s="1816" t="inlineStr">
        <is>
          <t>20.1.1.3</t>
        </is>
      </c>
      <c r="B612" s="1815" t="n"/>
      <c r="C612" s="1814" t="n"/>
      <c r="D612" s="1814" t="n"/>
      <c r="E612" s="1813" t="inlineStr">
        <is>
          <t>VERIFICAÇÃO   -  BANHEIRO (Parede padrão)</t>
        </is>
      </c>
      <c r="F612" s="1810" t="inlineStr">
        <is>
          <t>m²</t>
        </is>
      </c>
      <c r="G612" s="1810" t="n">
        <v>706.87</v>
      </c>
      <c r="H612" s="1812" t="n">
        <v>0</v>
      </c>
      <c r="I612" s="1812" t="n">
        <v>0</v>
      </c>
      <c r="J612" s="2127" t="n"/>
      <c r="K612" s="1810" t="inlineStr"/>
    </row>
    <row r="613">
      <c r="A613" s="1809" t="inlineStr">
        <is>
          <t>20.1.1.4</t>
        </is>
      </c>
      <c r="B613" s="1808" t="n"/>
      <c r="C613" s="1807" t="n"/>
      <c r="D613" s="1807" t="n"/>
      <c r="E613" s="1806" t="inlineStr">
        <is>
          <t>VERIFICAÇÃO   -  BOX BANHEIRO (Parede padrão)</t>
        </is>
      </c>
      <c r="F613" s="1803" t="inlineStr">
        <is>
          <t>m²</t>
        </is>
      </c>
      <c r="G613" s="1803" t="n">
        <v>2667.36</v>
      </c>
      <c r="H613" s="1805" t="n">
        <v>0</v>
      </c>
      <c r="I613" s="1805" t="n">
        <v>0</v>
      </c>
      <c r="J613" s="2128" t="n"/>
      <c r="K613" s="1803" t="inlineStr"/>
    </row>
    <row r="614">
      <c r="A614" s="1816" t="inlineStr">
        <is>
          <t>20.1.1.5</t>
        </is>
      </c>
      <c r="B614" s="1815" t="n"/>
      <c r="C614" s="1814" t="n"/>
      <c r="D614" s="1814" t="n"/>
      <c r="E614" s="1813" t="inlineStr">
        <is>
          <t>VERIFICAÇÃO   -  CALHA E RUFO (Parede padrão)</t>
        </is>
      </c>
      <c r="F614" s="1810" t="inlineStr">
        <is>
          <t>m²</t>
        </is>
      </c>
      <c r="G614" s="1810" t="n">
        <v>5.52</v>
      </c>
      <c r="H614" s="1812" t="n">
        <v>0</v>
      </c>
      <c r="I614" s="1812" t="n">
        <v>0</v>
      </c>
      <c r="J614" s="2127" t="n"/>
      <c r="K614" s="1810" t="inlineStr"/>
    </row>
    <row r="615">
      <c r="A615" s="1809" t="inlineStr">
        <is>
          <t>20.1.1.6</t>
        </is>
      </c>
      <c r="B615" s="1808" t="n"/>
      <c r="C615" s="1807" t="n"/>
      <c r="D615" s="1807" t="n"/>
      <c r="E615" s="1806" t="inlineStr">
        <is>
          <t>VERIFICAÇÃO   -  COZINHA (Parede padrão)</t>
        </is>
      </c>
      <c r="F615" s="1803" t="inlineStr">
        <is>
          <t>m²</t>
        </is>
      </c>
      <c r="G615" s="1803" t="n">
        <v>523.9299999999999</v>
      </c>
      <c r="H615" s="1805" t="n">
        <v>0</v>
      </c>
      <c r="I615" s="1805" t="n">
        <v>0</v>
      </c>
      <c r="J615" s="2128" t="n"/>
      <c r="K615" s="1803" t="inlineStr"/>
    </row>
    <row r="616">
      <c r="A616" s="1816" t="inlineStr">
        <is>
          <t>20.1.1.7</t>
        </is>
      </c>
      <c r="B616" s="1815" t="n"/>
      <c r="C616" s="1814" t="n"/>
      <c r="D616" s="1814" t="n"/>
      <c r="E616" s="1813" t="inlineStr">
        <is>
          <t>VERIFICAÇÃO floreira  -  FLOREIRA (Parede padrão)</t>
        </is>
      </c>
      <c r="F616" s="1810" t="inlineStr">
        <is>
          <t>m²</t>
        </is>
      </c>
      <c r="G616" s="1810" t="n">
        <v>0.5</v>
      </c>
      <c r="H616" s="1812" t="n">
        <v>0</v>
      </c>
      <c r="I616" s="1812" t="n">
        <v>0</v>
      </c>
      <c r="J616" s="2127" t="n"/>
      <c r="K616" s="1810" t="inlineStr"/>
    </row>
    <row r="617">
      <c r="A617" s="1809" t="inlineStr">
        <is>
          <t>20.1.1.8</t>
        </is>
      </c>
      <c r="B617" s="1808" t="n"/>
      <c r="C617" s="1807" t="n"/>
      <c r="D617" s="1807" t="n"/>
      <c r="E617" s="1806" t="inlineStr">
        <is>
          <t>VERIFICAÇÃO   -  FLOREIRA (Parede padrão)</t>
        </is>
      </c>
      <c r="F617" s="1803" t="inlineStr">
        <is>
          <t>m²</t>
        </is>
      </c>
      <c r="G617" s="1803" t="n">
        <v>55.36</v>
      </c>
      <c r="H617" s="1805" t="n">
        <v>0</v>
      </c>
      <c r="I617" s="1805" t="n">
        <v>0</v>
      </c>
      <c r="J617" s="2128" t="n"/>
      <c r="K617" s="1803" t="inlineStr"/>
    </row>
    <row r="618">
      <c r="A618" s="1816" t="inlineStr">
        <is>
          <t>20.1.1.9</t>
        </is>
      </c>
      <c r="B618" s="1815" t="n"/>
      <c r="C618" s="1814" t="n"/>
      <c r="D618" s="1814" t="n"/>
      <c r="E618" s="1813" t="inlineStr">
        <is>
          <t>VERIFICAÇÃO   -  CENTRAL DE GÁS/LIXEIRA (Parede padrão)</t>
        </is>
      </c>
      <c r="F618" s="1810" t="inlineStr">
        <is>
          <t>m²</t>
        </is>
      </c>
      <c r="G618" s="1810" t="n">
        <v>2.25</v>
      </c>
      <c r="H618" s="1812" t="n">
        <v>0</v>
      </c>
      <c r="I618" s="1812" t="n">
        <v>0</v>
      </c>
      <c r="J618" s="2127" t="n"/>
      <c r="K618" s="1810" t="inlineStr"/>
    </row>
    <row r="619">
      <c r="A619" s="1809" t="inlineStr">
        <is>
          <t>20.1.1.10</t>
        </is>
      </c>
      <c r="B619" s="1808" t="n"/>
      <c r="C619" s="1807" t="n"/>
      <c r="D619" s="1807" t="n"/>
      <c r="E619" s="1806" t="inlineStr">
        <is>
          <t>VERIFICAÇÃO   -  FOSSO ELEVADOR (Parede padrão)</t>
        </is>
      </c>
      <c r="F619" s="1803" t="inlineStr">
        <is>
          <t>m²</t>
        </is>
      </c>
      <c r="G619" s="1803" t="n">
        <v>109.49</v>
      </c>
      <c r="H619" s="1805" t="n">
        <v>0</v>
      </c>
      <c r="I619" s="1805" t="n">
        <v>0</v>
      </c>
      <c r="J619" s="2128" t="n"/>
      <c r="K619" s="1803" t="inlineStr"/>
    </row>
    <row r="620">
      <c r="A620" s="1816" t="inlineStr">
        <is>
          <t>20.1.1.11</t>
        </is>
      </c>
      <c r="B620" s="1815" t="n"/>
      <c r="C620" s="1814" t="n"/>
      <c r="D620" s="1814" t="n"/>
      <c r="E620" s="1813" t="inlineStr">
        <is>
          <t>VERIFICAÇÃO   -  LAVA PÉS (Parede padrão)</t>
        </is>
      </c>
      <c r="F620" s="1810" t="inlineStr">
        <is>
          <t>m²</t>
        </is>
      </c>
      <c r="G620" s="1810" t="n">
        <v>9.57</v>
      </c>
      <c r="H620" s="1812" t="n">
        <v>0</v>
      </c>
      <c r="I620" s="1812" t="n">
        <v>0</v>
      </c>
      <c r="J620" s="2127" t="n"/>
      <c r="K620" s="1810" t="inlineStr"/>
    </row>
    <row r="621">
      <c r="A621" s="1809" t="inlineStr">
        <is>
          <t>20.1.1.12</t>
        </is>
      </c>
      <c r="B621" s="1808" t="n"/>
      <c r="C621" s="1807" t="n"/>
      <c r="D621" s="1807" t="n"/>
      <c r="E621" s="1806" t="inlineStr">
        <is>
          <t>VERIFICAÇÃO   -  PISCINA (Parede padrão)</t>
        </is>
      </c>
      <c r="F621" s="1803" t="inlineStr">
        <is>
          <t>m²</t>
        </is>
      </c>
      <c r="G621" s="1803" t="n">
        <v>139.97</v>
      </c>
      <c r="H621" s="1805" t="n">
        <v>0</v>
      </c>
      <c r="I621" s="1805" t="n">
        <v>0</v>
      </c>
      <c r="J621" s="2128" t="n"/>
      <c r="K621" s="1803" t="inlineStr"/>
    </row>
    <row r="622">
      <c r="A622" s="1816" t="inlineStr">
        <is>
          <t>20.1.1.13</t>
        </is>
      </c>
      <c r="B622" s="1815" t="n"/>
      <c r="C622" s="1814" t="n"/>
      <c r="D622" s="1814" t="n"/>
      <c r="E622" s="1813" t="inlineStr">
        <is>
          <t>VERIFICAÇÃO   -  RESERVATÓRIO (Parede padrão)</t>
        </is>
      </c>
      <c r="F622" s="1810" t="inlineStr">
        <is>
          <t>m²</t>
        </is>
      </c>
      <c r="G622" s="1810" t="n">
        <v>194.58</v>
      </c>
      <c r="H622" s="1812" t="n">
        <v>0</v>
      </c>
      <c r="I622" s="1812" t="n">
        <v>0</v>
      </c>
      <c r="J622" s="2127" t="n"/>
      <c r="K622" s="1810" t="inlineStr"/>
    </row>
    <row r="623">
      <c r="A623" s="1809" t="inlineStr">
        <is>
          <t>20.1.1.14</t>
        </is>
      </c>
      <c r="B623" s="1808" t="n"/>
      <c r="C623" s="1807" t="n"/>
      <c r="D623" s="1807" t="n"/>
      <c r="E623" s="1806" t="inlineStr">
        <is>
          <t>VERIFICAÇÃO   -  SACADA (Parede padrão)</t>
        </is>
      </c>
      <c r="F623" s="1803" t="inlineStr">
        <is>
          <t>m²</t>
        </is>
      </c>
      <c r="G623" s="1803" t="n">
        <v>202.76</v>
      </c>
      <c r="H623" s="1805" t="n">
        <v>0</v>
      </c>
      <c r="I623" s="1805" t="n">
        <v>0</v>
      </c>
      <c r="J623" s="2128" t="n"/>
      <c r="K623" s="1803" t="inlineStr"/>
    </row>
    <row r="624">
      <c r="A624" s="1816" t="inlineStr">
        <is>
          <t>20.1.1.15</t>
        </is>
      </c>
      <c r="B624" s="1815" t="n"/>
      <c r="C624" s="1814" t="n"/>
      <c r="D624" s="1814" t="n"/>
      <c r="E624" s="1813" t="inlineStr">
        <is>
          <t>VERIFICAÇÃO   -  SAUNA (Parede padrão)</t>
        </is>
      </c>
      <c r="F624" s="1810" t="inlineStr">
        <is>
          <t>m²</t>
        </is>
      </c>
      <c r="G624" s="1810" t="n">
        <v>20.4</v>
      </c>
      <c r="H624" s="1812" t="n">
        <v>0</v>
      </c>
      <c r="I624" s="1812" t="n">
        <v>0</v>
      </c>
      <c r="J624" s="2127" t="n"/>
      <c r="K624" s="1810" t="inlineStr"/>
    </row>
    <row r="625">
      <c r="A625" s="1809" t="inlineStr">
        <is>
          <t>20.1.1.16</t>
        </is>
      </c>
      <c r="B625" s="1808" t="n"/>
      <c r="C625" s="1807" t="n"/>
      <c r="D625" s="1807" t="n"/>
      <c r="E625" s="1806" t="inlineStr">
        <is>
          <t>VERIFICAÇÃO   -  TERRAÇO (Parede padrão)</t>
        </is>
      </c>
      <c r="F625" s="1803" t="inlineStr">
        <is>
          <t>m²</t>
        </is>
      </c>
      <c r="G625" s="1803" t="n">
        <v>55.75</v>
      </c>
      <c r="H625" s="1805" t="n">
        <v>0</v>
      </c>
      <c r="I625" s="1805" t="n">
        <v>0</v>
      </c>
      <c r="J625" s="2128" t="n"/>
      <c r="K625" s="1803" t="inlineStr"/>
    </row>
    <row r="626">
      <c r="A626" s="1816" t="inlineStr">
        <is>
          <t>20.1.1.17</t>
        </is>
      </c>
      <c r="B626" s="1815" t="n"/>
      <c r="C626" s="1814" t="n"/>
      <c r="D626" s="1814" t="n"/>
      <c r="E626" s="1813" t="inlineStr">
        <is>
          <t>VERIFICAÇÃO   -  SPA (Parede padrão)</t>
        </is>
      </c>
      <c r="F626" s="1810" t="inlineStr">
        <is>
          <t>m²</t>
        </is>
      </c>
      <c r="G626" s="1810" t="n">
        <v>33.25</v>
      </c>
      <c r="H626" s="1812" t="n">
        <v>0</v>
      </c>
      <c r="I626" s="1812" t="n">
        <v>0</v>
      </c>
      <c r="J626" s="2127" t="n"/>
      <c r="K626" s="1810" t="inlineStr"/>
    </row>
    <row r="627">
      <c r="A627" s="1809" t="inlineStr">
        <is>
          <t>20.1.1.18</t>
        </is>
      </c>
      <c r="B627" s="1808" t="n"/>
      <c r="C627" s="1807" t="n"/>
      <c r="D627" s="1807" t="n"/>
      <c r="E627" s="1806" t="inlineStr">
        <is>
          <t>VERIFICAÇÃO   -  VIGA BALDRAME (Parede padrão)</t>
        </is>
      </c>
      <c r="F627" s="1803" t="inlineStr">
        <is>
          <t>m²</t>
        </is>
      </c>
      <c r="G627" s="1803" t="n">
        <v>839.41</v>
      </c>
      <c r="H627" s="1805" t="n">
        <v>0</v>
      </c>
      <c r="I627" s="1805" t="n">
        <v>0</v>
      </c>
      <c r="J627" s="2128" t="n"/>
      <c r="K627" s="1803" t="inlineStr"/>
    </row>
    <row r="628">
      <c r="A628" s="1832" t="inlineStr">
        <is>
          <t>21.</t>
        </is>
      </c>
      <c r="B628" s="1831" t="n"/>
      <c r="C628" s="1830" t="n"/>
      <c r="D628" s="1830" t="n"/>
      <c r="E628" s="1830" t="inlineStr">
        <is>
          <t>99. REVESTIMENTOS ARGAMASSADOS EM PISO E PAVIMENTAÇÕES</t>
        </is>
      </c>
      <c r="F628" s="1827" t="n"/>
      <c r="G628" s="1827" t="n"/>
      <c r="H628" s="1829" t="n"/>
      <c r="I628" s="1829" t="n">
        <v>0</v>
      </c>
      <c r="J628" s="2124" t="n"/>
      <c r="K628" s="1827" t="inlineStr"/>
    </row>
    <row r="629">
      <c r="A629" s="1826" t="inlineStr">
        <is>
          <t>21.1.</t>
        </is>
      </c>
      <c r="B629" s="1825" t="n"/>
      <c r="C629" s="1824" t="n"/>
      <c r="D629" s="1824" t="n"/>
      <c r="E629" s="1824" t="inlineStr">
        <is>
          <t>ARQ_Embasamento</t>
        </is>
      </c>
      <c r="F629" s="1821" t="n"/>
      <c r="G629" s="1821" t="n"/>
      <c r="H629" s="1823" t="n"/>
      <c r="I629" s="1823" t="n">
        <v>0</v>
      </c>
      <c r="J629" s="2125" t="n"/>
      <c r="K629" s="1821" t="inlineStr"/>
    </row>
    <row r="630">
      <c r="A630" s="222" t="inlineStr">
        <is>
          <t>21.1.1.</t>
        </is>
      </c>
      <c r="B630" s="1820" t="n"/>
      <c r="C630" s="1820" t="n"/>
      <c r="D630" s="1820" t="n"/>
      <c r="E630" s="1820" t="inlineStr">
        <is>
          <t>16.001. Contrapiso</t>
        </is>
      </c>
      <c r="F630" s="1817" t="n"/>
      <c r="G630" s="1817" t="n"/>
      <c r="H630" s="1819" t="n"/>
      <c r="I630" s="1819" t="n">
        <v>0</v>
      </c>
      <c r="J630" s="2126" t="n"/>
      <c r="K630" s="1817" t="inlineStr"/>
    </row>
    <row r="631">
      <c r="A631" s="1816" t="inlineStr">
        <is>
          <t>21.1.1.1</t>
        </is>
      </c>
      <c r="B631" s="1815" t="n"/>
      <c r="C631" s="1814" t="n"/>
      <c r="D631" s="1814" t="n"/>
      <c r="E631" s="1813" t="inlineStr">
        <is>
          <t>DÚVIDA - CONTRAPISO, Peitoril</t>
        </is>
      </c>
      <c r="F631" s="1810" t="inlineStr">
        <is>
          <t>m²</t>
        </is>
      </c>
      <c r="G631" s="1810" t="n">
        <v>84.83</v>
      </c>
      <c r="H631" s="1812" t="n">
        <v>0</v>
      </c>
      <c r="I631" s="1812" t="n">
        <v>0</v>
      </c>
      <c r="J631" s="2127" t="n"/>
      <c r="K631" s="1810" t="inlineStr"/>
    </row>
    <row r="632">
      <c r="A632" s="1826" t="inlineStr">
        <is>
          <t>21.2.</t>
        </is>
      </c>
      <c r="B632" s="1825" t="n"/>
      <c r="C632" s="1824" t="n"/>
      <c r="D632" s="1824" t="n"/>
      <c r="E632" s="1824" t="inlineStr">
        <is>
          <t>ARQ_Torre_A</t>
        </is>
      </c>
      <c r="F632" s="1821" t="n"/>
      <c r="G632" s="1821" t="n"/>
      <c r="H632" s="1823" t="n"/>
      <c r="I632" s="1823" t="n">
        <v>0</v>
      </c>
      <c r="J632" s="2125" t="n"/>
      <c r="K632" s="1821" t="inlineStr"/>
    </row>
    <row r="633">
      <c r="A633" s="222" t="inlineStr">
        <is>
          <t>21.2.1.</t>
        </is>
      </c>
      <c r="B633" s="1820" t="n"/>
      <c r="C633" s="1820" t="n"/>
      <c r="D633" s="1820" t="n"/>
      <c r="E633" s="1820" t="inlineStr">
        <is>
          <t>16.001. Contrapiso</t>
        </is>
      </c>
      <c r="F633" s="1817" t="n"/>
      <c r="G633" s="1817" t="n"/>
      <c r="H633" s="1819" t="n"/>
      <c r="I633" s="1819" t="n">
        <v>0</v>
      </c>
      <c r="J633" s="2126" t="n"/>
      <c r="K633" s="1817" t="inlineStr"/>
    </row>
    <row r="634">
      <c r="A634" s="1809" t="inlineStr">
        <is>
          <t>21.2.1.1</t>
        </is>
      </c>
      <c r="B634" s="1808" t="n"/>
      <c r="C634" s="1807" t="n"/>
      <c r="D634" s="1807" t="n"/>
      <c r="E634" s="1806" t="inlineStr">
        <is>
          <t>DÚVIDA - CONTRAPISO, Peitoril</t>
        </is>
      </c>
      <c r="F634" s="1803" t="inlineStr">
        <is>
          <t>m²</t>
        </is>
      </c>
      <c r="G634" s="1803" t="n">
        <v>252.2</v>
      </c>
      <c r="H634" s="1805" t="n">
        <v>0</v>
      </c>
      <c r="I634" s="1805" t="n">
        <v>0</v>
      </c>
      <c r="J634" s="2128" t="n"/>
      <c r="K634" s="1803" t="inlineStr"/>
    </row>
    <row r="635">
      <c r="A635" s="1826" t="inlineStr">
        <is>
          <t>21.3.</t>
        </is>
      </c>
      <c r="B635" s="1825" t="n"/>
      <c r="C635" s="1824" t="n"/>
      <c r="D635" s="1824" t="n"/>
      <c r="E635" s="1824" t="inlineStr">
        <is>
          <t>ARQ_Torre_B</t>
        </is>
      </c>
      <c r="F635" s="1821" t="n"/>
      <c r="G635" s="1821" t="n"/>
      <c r="H635" s="1823" t="n"/>
      <c r="I635" s="1823" t="n">
        <v>0</v>
      </c>
      <c r="J635" s="2125" t="n"/>
      <c r="K635" s="1821" t="inlineStr"/>
    </row>
    <row r="636">
      <c r="A636" s="222" t="inlineStr">
        <is>
          <t>21.3.1.</t>
        </is>
      </c>
      <c r="B636" s="1820" t="n"/>
      <c r="C636" s="1820" t="n"/>
      <c r="D636" s="1820" t="n"/>
      <c r="E636" s="1820" t="inlineStr">
        <is>
          <t>16.001. Contrapiso</t>
        </is>
      </c>
      <c r="F636" s="1817" t="n"/>
      <c r="G636" s="1817" t="n"/>
      <c r="H636" s="1819" t="n"/>
      <c r="I636" s="1819" t="n">
        <v>0</v>
      </c>
      <c r="J636" s="2126" t="n"/>
      <c r="K636" s="1817" t="inlineStr"/>
    </row>
    <row r="637">
      <c r="A637" s="1816" t="inlineStr">
        <is>
          <t>21.3.1.1</t>
        </is>
      </c>
      <c r="B637" s="1815" t="n"/>
      <c r="C637" s="1814" t="n"/>
      <c r="D637" s="1814" t="n"/>
      <c r="E637" s="1813" t="inlineStr">
        <is>
          <t>DÚVIDA - CONTRAPISO, Peitoril</t>
        </is>
      </c>
      <c r="F637" s="1810" t="inlineStr">
        <is>
          <t>m²</t>
        </is>
      </c>
      <c r="G637" s="1810" t="n">
        <v>234.85</v>
      </c>
      <c r="H637" s="1812" t="n">
        <v>0</v>
      </c>
      <c r="I637" s="1812" t="n">
        <v>0</v>
      </c>
      <c r="J637" s="2127" t="n"/>
      <c r="K637" s="1810" t="inlineStr"/>
    </row>
    <row r="638">
      <c r="A638" s="1832" t="inlineStr">
        <is>
          <t>22.</t>
        </is>
      </c>
      <c r="B638" s="1831" t="n"/>
      <c r="C638" s="1830" t="n"/>
      <c r="D638" s="1830" t="n"/>
      <c r="E638" s="1830" t="inlineStr">
        <is>
          <t>MUDAR PARA PAREDE PADRÃO</t>
        </is>
      </c>
      <c r="F638" s="1827" t="n"/>
      <c r="G638" s="1827" t="n"/>
      <c r="H638" s="1829" t="n"/>
      <c r="I638" s="1829" t="n">
        <v>0</v>
      </c>
      <c r="J638" s="2124" t="n"/>
      <c r="K638" s="1827" t="inlineStr"/>
    </row>
    <row r="639">
      <c r="A639" s="1826" t="inlineStr">
        <is>
          <t>22.1.</t>
        </is>
      </c>
      <c r="B639" s="1825" t="n"/>
      <c r="C639" s="1824" t="n"/>
      <c r="D639" s="1824" t="n"/>
      <c r="E639" s="1824" t="inlineStr">
        <is>
          <t>ARQ_Embasamento</t>
        </is>
      </c>
      <c r="F639" s="1821" t="n"/>
      <c r="G639" s="1821" t="n"/>
      <c r="H639" s="1823" t="n"/>
      <c r="I639" s="1823" t="n">
        <v>0</v>
      </c>
      <c r="J639" s="2125" t="n"/>
      <c r="K639" s="1821" t="inlineStr"/>
    </row>
    <row r="640">
      <c r="A640" s="1809" t="inlineStr">
        <is>
          <t>22.1.1</t>
        </is>
      </c>
      <c r="B640" s="1808" t="n"/>
      <c r="C640" s="1807" t="n"/>
      <c r="D640" s="1807" t="n"/>
      <c r="E640" s="1806" t="inlineStr">
        <is>
          <t>MUDAR PARA PAREDE PADRÃO Parede 01_ALV 05 cm OSSO</t>
        </is>
      </c>
      <c r="F640" s="1803" t="inlineStr">
        <is>
          <t>m³</t>
        </is>
      </c>
      <c r="G640" s="1803" t="n">
        <v>0.64</v>
      </c>
      <c r="H640" s="1805" t="n">
        <v>0</v>
      </c>
      <c r="I640" s="1805" t="n">
        <v>0</v>
      </c>
      <c r="J640" s="2128" t="n"/>
      <c r="K640" s="1803" t="inlineStr"/>
    </row>
    <row r="641">
      <c r="A641" s="1816" t="inlineStr">
        <is>
          <t>22.1.2</t>
        </is>
      </c>
      <c r="B641" s="1815" t="n"/>
      <c r="C641" s="1814" t="n"/>
      <c r="D641" s="1814" t="n"/>
      <c r="E641" s="1813" t="inlineStr">
        <is>
          <t>MUDAR PARA PAREDE PADRÃO Parede 01_ALV 09 cm OSSO</t>
        </is>
      </c>
      <c r="F641" s="1810" t="inlineStr">
        <is>
          <t>m³</t>
        </is>
      </c>
      <c r="G641" s="1810" t="n">
        <v>1.28</v>
      </c>
      <c r="H641" s="1812" t="n">
        <v>0</v>
      </c>
      <c r="I641" s="1812" t="n">
        <v>0</v>
      </c>
      <c r="J641" s="2127" t="n"/>
      <c r="K641" s="1810" t="inlineStr"/>
    </row>
    <row r="642">
      <c r="A642" s="1809" t="inlineStr">
        <is>
          <t>22.1.3</t>
        </is>
      </c>
      <c r="B642" s="1808" t="n"/>
      <c r="C642" s="1807" t="n"/>
      <c r="D642" s="1807" t="n"/>
      <c r="E642" s="1806" t="inlineStr">
        <is>
          <t>MUDAR PARA PAREDE PADRÃO Parede 02_ALV 11,5 cm OSSO</t>
        </is>
      </c>
      <c r="F642" s="1803" t="inlineStr">
        <is>
          <t>m³</t>
        </is>
      </c>
      <c r="G642" s="1803" t="n">
        <v>38.59</v>
      </c>
      <c r="H642" s="1805" t="n">
        <v>0</v>
      </c>
      <c r="I642" s="1805" t="n">
        <v>0</v>
      </c>
      <c r="J642" s="2128" t="n"/>
      <c r="K642" s="1803" t="inlineStr"/>
    </row>
    <row r="643">
      <c r="A643" s="1816" t="inlineStr">
        <is>
          <t>22.1.4</t>
        </is>
      </c>
      <c r="B643" s="1815" t="n"/>
      <c r="C643" s="1814" t="n"/>
      <c r="D643" s="1814" t="n"/>
      <c r="E643" s="1813" t="inlineStr">
        <is>
          <t>MUDAR PARA PAREDE PADRÃO Parede 03_ALV 14 cm OSSO</t>
        </is>
      </c>
      <c r="F643" s="1810" t="inlineStr">
        <is>
          <t>m³</t>
        </is>
      </c>
      <c r="G643" s="1810" t="n">
        <v>38.76</v>
      </c>
      <c r="H643" s="1812" t="n">
        <v>0</v>
      </c>
      <c r="I643" s="1812" t="n">
        <v>0</v>
      </c>
      <c r="J643" s="2127" t="n"/>
      <c r="K643" s="1810" t="inlineStr"/>
    </row>
    <row r="644">
      <c r="A644" s="1809" t="inlineStr">
        <is>
          <t>22.1.5</t>
        </is>
      </c>
      <c r="B644" s="1808" t="n"/>
      <c r="C644" s="1807" t="n"/>
      <c r="D644" s="1807" t="n"/>
      <c r="E644" s="1806" t="inlineStr">
        <is>
          <t>MUDAR PARA PAREDE PADRÃO Parede 04_ALV 19 cm OSSO</t>
        </is>
      </c>
      <c r="F644" s="1803" t="inlineStr">
        <is>
          <t>m³</t>
        </is>
      </c>
      <c r="G644" s="1803" t="n">
        <v>17.76</v>
      </c>
      <c r="H644" s="1805" t="n">
        <v>0</v>
      </c>
      <c r="I644" s="1805" t="n">
        <v>0</v>
      </c>
      <c r="J644" s="2128" t="n"/>
      <c r="K644" s="1803" t="inlineStr"/>
    </row>
    <row r="645">
      <c r="A645" s="1816" t="inlineStr">
        <is>
          <t>22.1.6</t>
        </is>
      </c>
      <c r="B645" s="1815" t="n"/>
      <c r="C645" s="1814" t="n"/>
      <c r="D645" s="1814" t="n"/>
      <c r="E645" s="1813" t="inlineStr">
        <is>
          <t>MUDAR PARA PAREDE PADRÃO Parede 08_ALV CONC 05 cm OSSO</t>
        </is>
      </c>
      <c r="F645" s="1810" t="inlineStr">
        <is>
          <t>m³</t>
        </is>
      </c>
      <c r="G645" s="1810" t="n">
        <v>0.06</v>
      </c>
      <c r="H645" s="1812" t="n">
        <v>0</v>
      </c>
      <c r="I645" s="1812" t="n">
        <v>0</v>
      </c>
      <c r="J645" s="2127" t="n"/>
      <c r="K645" s="1810" t="inlineStr"/>
    </row>
    <row r="646" ht="25.5" customHeight="1">
      <c r="A646" s="1809" t="inlineStr">
        <is>
          <t>22.1.7</t>
        </is>
      </c>
      <c r="B646" s="1808" t="n"/>
      <c r="C646" s="1807" t="n"/>
      <c r="D646" s="1807" t="n"/>
      <c r="E646" s="1806" t="inlineStr">
        <is>
          <t>MUDAR PARA PAREDE PADRÃO Parede 101_REVESTIMENTO PAREDE - ABRIGO DE GAS</t>
        </is>
      </c>
      <c r="F646" s="1803" t="inlineStr">
        <is>
          <t>m³</t>
        </is>
      </c>
      <c r="G646" s="1803" t="n">
        <v>0.05</v>
      </c>
      <c r="H646" s="1805" t="n">
        <v>0</v>
      </c>
      <c r="I646" s="1805" t="n">
        <v>0</v>
      </c>
      <c r="J646" s="2128" t="n"/>
      <c r="K646" s="1803" t="inlineStr"/>
    </row>
    <row r="647" ht="25.5" customHeight="1">
      <c r="A647" s="1816" t="inlineStr">
        <is>
          <t>22.1.8</t>
        </is>
      </c>
      <c r="B647" s="1815" t="n"/>
      <c r="C647" s="1814" t="n"/>
      <c r="D647" s="1814" t="n"/>
      <c r="E647" s="1813" t="inlineStr">
        <is>
          <t>MUDAR PARA PAREDE PADRÃO Parede 101_REVESTIMENTO PAREDE - ANTECAMARA</t>
        </is>
      </c>
      <c r="F647" s="1810" t="inlineStr">
        <is>
          <t>m³</t>
        </is>
      </c>
      <c r="G647" s="1810" t="n">
        <v>0.83</v>
      </c>
      <c r="H647" s="1812" t="n">
        <v>0</v>
      </c>
      <c r="I647" s="1812" t="n">
        <v>0</v>
      </c>
      <c r="J647" s="2127" t="n"/>
      <c r="K647" s="1810" t="inlineStr"/>
    </row>
    <row r="648" ht="25.5" customHeight="1">
      <c r="A648" s="1809" t="inlineStr">
        <is>
          <t>22.1.9</t>
        </is>
      </c>
      <c r="B648" s="1808" t="n"/>
      <c r="C648" s="1807" t="n"/>
      <c r="D648" s="1807" t="n"/>
      <c r="E648" s="1806" t="inlineStr">
        <is>
          <t>MUDAR PARA PAREDE PADRÃO Parede 101_REVESTIMENTO PAREDE - AREA SERVICO - LAZER</t>
        </is>
      </c>
      <c r="F648" s="1803" t="inlineStr">
        <is>
          <t>m³</t>
        </is>
      </c>
      <c r="G648" s="1803" t="n">
        <v>0.09</v>
      </c>
      <c r="H648" s="1805" t="n">
        <v>0</v>
      </c>
      <c r="I648" s="1805" t="n">
        <v>0</v>
      </c>
      <c r="J648" s="2128" t="n"/>
      <c r="K648" s="1803" t="inlineStr"/>
    </row>
    <row r="649" ht="25.5" customHeight="1">
      <c r="A649" s="1816" t="inlineStr">
        <is>
          <t>22.1.10</t>
        </is>
      </c>
      <c r="B649" s="1815" t="n"/>
      <c r="C649" s="1814" t="n"/>
      <c r="D649" s="1814" t="n"/>
      <c r="E649" s="1813" t="inlineStr">
        <is>
          <t>MUDAR PARA PAREDE PADRÃO Parede 101_REVESTIMENTO PAREDE - AREA TECNICA - LAZER</t>
        </is>
      </c>
      <c r="F649" s="1810" t="inlineStr">
        <is>
          <t>m³</t>
        </is>
      </c>
      <c r="G649" s="1810" t="n">
        <v>0.02</v>
      </c>
      <c r="H649" s="1812" t="n">
        <v>0</v>
      </c>
      <c r="I649" s="1812" t="n">
        <v>0</v>
      </c>
      <c r="J649" s="2127" t="n"/>
      <c r="K649" s="1810" t="inlineStr"/>
    </row>
    <row r="650" ht="25.5" customHeight="1">
      <c r="A650" s="1809" t="inlineStr">
        <is>
          <t>22.1.11</t>
        </is>
      </c>
      <c r="B650" s="1808" t="n"/>
      <c r="C650" s="1807" t="n"/>
      <c r="D650" s="1807" t="n"/>
      <c r="E650" s="1806" t="inlineStr">
        <is>
          <t>MUDAR PARA PAREDE PADRÃO Parede 101_REVESTIMENTO PAREDE - AREA TECNICA - TERREO</t>
        </is>
      </c>
      <c r="F650" s="1803" t="inlineStr">
        <is>
          <t>m³</t>
        </is>
      </c>
      <c r="G650" s="1803" t="n">
        <v>0.03</v>
      </c>
      <c r="H650" s="1805" t="n">
        <v>0</v>
      </c>
      <c r="I650" s="1805" t="n">
        <v>0</v>
      </c>
      <c r="J650" s="2128" t="n"/>
      <c r="K650" s="1803" t="inlineStr"/>
    </row>
    <row r="651" ht="25.5" customHeight="1">
      <c r="A651" s="1816" t="inlineStr">
        <is>
          <t>22.1.12</t>
        </is>
      </c>
      <c r="B651" s="1815" t="n"/>
      <c r="C651" s="1814" t="n"/>
      <c r="D651" s="1814" t="n"/>
      <c r="E651" s="1813" t="inlineStr">
        <is>
          <t>MUDAR PARA PAREDE PADRÃO Parede 101_REVESTIMENTO PAREDE - BABY E MINI CLUB</t>
        </is>
      </c>
      <c r="F651" s="1810" t="inlineStr">
        <is>
          <t>m³</t>
        </is>
      </c>
      <c r="G651" s="1810" t="n">
        <v>0.08</v>
      </c>
      <c r="H651" s="1812" t="n">
        <v>0</v>
      </c>
      <c r="I651" s="1812" t="n">
        <v>0</v>
      </c>
      <c r="J651" s="2127" t="n"/>
      <c r="K651" s="1810" t="inlineStr"/>
    </row>
    <row r="652" ht="25.5" customHeight="1">
      <c r="A652" s="1809" t="inlineStr">
        <is>
          <t>22.1.13</t>
        </is>
      </c>
      <c r="B652" s="1808" t="n"/>
      <c r="C652" s="1807" t="n"/>
      <c r="D652" s="1807" t="n"/>
      <c r="E652" s="1806" t="inlineStr">
        <is>
          <t>MUDAR PARA PAREDE PADRÃO Parede 101_REVESTIMENTO PAREDE - BBQ E PIZZA BAR</t>
        </is>
      </c>
      <c r="F652" s="1803" t="inlineStr">
        <is>
          <t>m³</t>
        </is>
      </c>
      <c r="G652" s="1803" t="n">
        <v>0.9399999999999999</v>
      </c>
      <c r="H652" s="1805" t="n">
        <v>0</v>
      </c>
      <c r="I652" s="1805" t="n">
        <v>0</v>
      </c>
      <c r="J652" s="2128" t="n"/>
      <c r="K652" s="1803" t="inlineStr"/>
    </row>
    <row r="653" ht="25.5" customHeight="1">
      <c r="A653" s="1816" t="inlineStr">
        <is>
          <t>22.1.14</t>
        </is>
      </c>
      <c r="B653" s="1815" t="n"/>
      <c r="C653" s="1814" t="n"/>
      <c r="D653" s="1814" t="n"/>
      <c r="E653" s="1813" t="inlineStr">
        <is>
          <t>MUDAR PARA PAREDE PADRÃO Parede 101_REVESTIMENTO PAREDE - BICICLETARIO</t>
        </is>
      </c>
      <c r="F653" s="1810" t="inlineStr">
        <is>
          <t>m³</t>
        </is>
      </c>
      <c r="G653" s="1810" t="n">
        <v>0.43</v>
      </c>
      <c r="H653" s="1812" t="n">
        <v>0</v>
      </c>
      <c r="I653" s="1812" t="n">
        <v>0</v>
      </c>
      <c r="J653" s="2127" t="n"/>
      <c r="K653" s="1810" t="inlineStr"/>
    </row>
    <row r="654">
      <c r="A654" s="1809" t="inlineStr">
        <is>
          <t>22.1.15</t>
        </is>
      </c>
      <c r="B654" s="1808" t="n"/>
      <c r="C654" s="1807" t="n"/>
      <c r="D654" s="1807" t="n"/>
      <c r="E654" s="1806" t="inlineStr">
        <is>
          <t>MUDAR PARA PAREDE PADRÃO Parede 101_REVESTIMENTO PAREDE - BOX</t>
        </is>
      </c>
      <c r="F654" s="1803" t="inlineStr">
        <is>
          <t>m³</t>
        </is>
      </c>
      <c r="G654" s="1803" t="n">
        <v>0.18</v>
      </c>
      <c r="H654" s="1805" t="n">
        <v>0</v>
      </c>
      <c r="I654" s="1805" t="n">
        <v>0</v>
      </c>
      <c r="J654" s="2128" t="n"/>
      <c r="K654" s="1803" t="inlineStr"/>
    </row>
    <row r="655" ht="25.5" customHeight="1">
      <c r="A655" s="1816" t="inlineStr">
        <is>
          <t>22.1.16</t>
        </is>
      </c>
      <c r="B655" s="1815" t="n"/>
      <c r="C655" s="1814" t="n"/>
      <c r="D655" s="1814" t="n"/>
      <c r="E655" s="1813" t="inlineStr">
        <is>
          <t>MUDAR PARA PAREDE PADRÃO Parede 101_REVESTIMENTO PAREDE - CASA DE MAQUINAS - PISCINA</t>
        </is>
      </c>
      <c r="F655" s="1810" t="inlineStr">
        <is>
          <t>m³</t>
        </is>
      </c>
      <c r="G655" s="1810" t="n">
        <v>0.06</v>
      </c>
      <c r="H655" s="1812" t="n">
        <v>0</v>
      </c>
      <c r="I655" s="1812" t="n">
        <v>0</v>
      </c>
      <c r="J655" s="2127" t="n"/>
      <c r="K655" s="1810" t="inlineStr"/>
    </row>
    <row r="656" ht="25.5" customHeight="1">
      <c r="A656" s="1809" t="inlineStr">
        <is>
          <t>22.1.17</t>
        </is>
      </c>
      <c r="B656" s="1808" t="n"/>
      <c r="C656" s="1807" t="n"/>
      <c r="D656" s="1807" t="n"/>
      <c r="E656" s="1806" t="inlineStr">
        <is>
          <t>MUDAR PARA PAREDE PADRÃO Parede 101_REVESTIMENTO PAREDE - CIRC. PRINCIPAL - LAZER</t>
        </is>
      </c>
      <c r="F656" s="1803" t="inlineStr">
        <is>
          <t>m³</t>
        </is>
      </c>
      <c r="G656" s="1803" t="n">
        <v>1.23</v>
      </c>
      <c r="H656" s="1805" t="n">
        <v>0</v>
      </c>
      <c r="I656" s="1805" t="n">
        <v>0</v>
      </c>
      <c r="J656" s="2128" t="n"/>
      <c r="K656" s="1803" t="inlineStr"/>
    </row>
    <row r="657" ht="25.5" customHeight="1">
      <c r="A657" s="1816" t="inlineStr">
        <is>
          <t>22.1.18</t>
        </is>
      </c>
      <c r="B657" s="1815" t="n"/>
      <c r="C657" s="1814" t="n"/>
      <c r="D657" s="1814" t="n"/>
      <c r="E657" s="1813" t="inlineStr">
        <is>
          <t>MUDAR PARA PAREDE PADRÃO Parede 101_REVESTIMENTO PAREDE - CIRC. PRINCIPAL - TORRE 01</t>
        </is>
      </c>
      <c r="F657" s="1810" t="inlineStr">
        <is>
          <t>m³</t>
        </is>
      </c>
      <c r="G657" s="1810" t="n">
        <v>0.5</v>
      </c>
      <c r="H657" s="1812" t="n">
        <v>0</v>
      </c>
      <c r="I657" s="1812" t="n">
        <v>0</v>
      </c>
      <c r="J657" s="2127" t="n"/>
      <c r="K657" s="1810" t="inlineStr"/>
    </row>
    <row r="658" ht="25.5" customHeight="1">
      <c r="A658" s="1809" t="inlineStr">
        <is>
          <t>22.1.19</t>
        </is>
      </c>
      <c r="B658" s="1808" t="n"/>
      <c r="C658" s="1807" t="n"/>
      <c r="D658" s="1807" t="n"/>
      <c r="E658" s="1806" t="inlineStr">
        <is>
          <t>MUDAR PARA PAREDE PADRÃO Parede 101_REVESTIMENTO PAREDE - CIRC. SEGUNDARIA - LAZER</t>
        </is>
      </c>
      <c r="F658" s="1803" t="inlineStr">
        <is>
          <t>m³</t>
        </is>
      </c>
      <c r="G658" s="1803" t="n">
        <v>0.58</v>
      </c>
      <c r="H658" s="1805" t="n">
        <v>0</v>
      </c>
      <c r="I658" s="1805" t="n">
        <v>0</v>
      </c>
      <c r="J658" s="2128" t="n"/>
      <c r="K658" s="1803" t="inlineStr"/>
    </row>
    <row r="659" ht="25.5" customHeight="1">
      <c r="A659" s="1816" t="inlineStr">
        <is>
          <t>22.1.20</t>
        </is>
      </c>
      <c r="B659" s="1815" t="n"/>
      <c r="C659" s="1814" t="n"/>
      <c r="D659" s="1814" t="n"/>
      <c r="E659" s="1813" t="inlineStr">
        <is>
          <t>MUDAR PARA PAREDE PADRÃO Parede 101_REVESTIMENTO PAREDE - CIRCULACAO TERREO</t>
        </is>
      </c>
      <c r="F659" s="1810" t="inlineStr">
        <is>
          <t>m³</t>
        </is>
      </c>
      <c r="G659" s="1810" t="n">
        <v>0.36</v>
      </c>
      <c r="H659" s="1812" t="n">
        <v>0</v>
      </c>
      <c r="I659" s="1812" t="n">
        <v>0</v>
      </c>
      <c r="J659" s="2127" t="n"/>
      <c r="K659" s="1810" t="inlineStr"/>
    </row>
    <row r="660" ht="25.5" customHeight="1">
      <c r="A660" s="1809" t="inlineStr">
        <is>
          <t>22.1.21</t>
        </is>
      </c>
      <c r="B660" s="1808" t="n"/>
      <c r="C660" s="1807" t="n"/>
      <c r="D660" s="1807" t="n"/>
      <c r="E660" s="1806" t="inlineStr">
        <is>
          <t>MUDAR PARA PAREDE PADRÃO Parede 101_REVESTIMENTO PAREDE - CIRCULACAO TORRE 02</t>
        </is>
      </c>
      <c r="F660" s="1803" t="inlineStr">
        <is>
          <t>m³</t>
        </is>
      </c>
      <c r="G660" s="1803" t="n">
        <v>0.2</v>
      </c>
      <c r="H660" s="1805" t="n">
        <v>0</v>
      </c>
      <c r="I660" s="1805" t="n">
        <v>0</v>
      </c>
      <c r="J660" s="2128" t="n"/>
      <c r="K660" s="1803" t="inlineStr"/>
    </row>
    <row r="661" ht="25.5" customHeight="1">
      <c r="A661" s="1816" t="inlineStr">
        <is>
          <t>22.1.22</t>
        </is>
      </c>
      <c r="B661" s="1815" t="n"/>
      <c r="C661" s="1814" t="n"/>
      <c r="D661" s="1814" t="n"/>
      <c r="E661" s="1813" t="inlineStr">
        <is>
          <t>MUDAR PARA PAREDE PADRÃO Parede 101_REVESTIMENTO PAREDE - COFFEE</t>
        </is>
      </c>
      <c r="F661" s="1810" t="inlineStr">
        <is>
          <t>m³</t>
        </is>
      </c>
      <c r="G661" s="1810" t="n">
        <v>0.6899999999999999</v>
      </c>
      <c r="H661" s="1812" t="n">
        <v>0</v>
      </c>
      <c r="I661" s="1812" t="n">
        <v>0</v>
      </c>
      <c r="J661" s="2127" t="n"/>
      <c r="K661" s="1810" t="inlineStr"/>
    </row>
    <row r="662" ht="25.5" customHeight="1">
      <c r="A662" s="1809" t="inlineStr">
        <is>
          <t>22.1.23</t>
        </is>
      </c>
      <c r="B662" s="1808" t="n"/>
      <c r="C662" s="1807" t="n"/>
      <c r="D662" s="1807" t="n"/>
      <c r="E662" s="1806" t="inlineStr">
        <is>
          <t>MUDAR PARA PAREDE PADRÃO Parede 101_REVESTIMENTO PAREDE - COZINHA DO CHEF</t>
        </is>
      </c>
      <c r="F662" s="1803" t="inlineStr">
        <is>
          <t>m³</t>
        </is>
      </c>
      <c r="G662" s="1803" t="n">
        <v>0.09</v>
      </c>
      <c r="H662" s="1805" t="n">
        <v>0</v>
      </c>
      <c r="I662" s="1805" t="n">
        <v>0</v>
      </c>
      <c r="J662" s="2128" t="n"/>
      <c r="K662" s="1803" t="inlineStr"/>
    </row>
    <row r="663" ht="25.5" customHeight="1">
      <c r="A663" s="1816" t="inlineStr">
        <is>
          <t>22.1.24</t>
        </is>
      </c>
      <c r="B663" s="1815" t="n"/>
      <c r="C663" s="1814" t="n"/>
      <c r="D663" s="1814" t="n"/>
      <c r="E663" s="1813" t="inlineStr">
        <is>
          <t>MUDAR PARA PAREDE PADRÃO Parede 101_REVESTIMENTO PAREDE - DUCHA</t>
        </is>
      </c>
      <c r="F663" s="1810" t="inlineStr">
        <is>
          <t>m³</t>
        </is>
      </c>
      <c r="G663" s="1810" t="n">
        <v>0.21</v>
      </c>
      <c r="H663" s="1812" t="n">
        <v>0</v>
      </c>
      <c r="I663" s="1812" t="n">
        <v>0</v>
      </c>
      <c r="J663" s="2127" t="n"/>
      <c r="K663" s="1810" t="inlineStr"/>
    </row>
    <row r="664" ht="25.5" customHeight="1">
      <c r="A664" s="1809" t="inlineStr">
        <is>
          <t>22.1.25</t>
        </is>
      </c>
      <c r="B664" s="1808" t="n"/>
      <c r="C664" s="1807" t="n"/>
      <c r="D664" s="1807" t="n"/>
      <c r="E664" s="1806" t="inlineStr">
        <is>
          <t>MUDAR PARA PAREDE PADRÃO Parede 101_REVESTIMENTO PAREDE - DUTO - CAPTACAO</t>
        </is>
      </c>
      <c r="F664" s="1803" t="inlineStr">
        <is>
          <t>m³</t>
        </is>
      </c>
      <c r="G664" s="1803" t="n">
        <v>0.02</v>
      </c>
      <c r="H664" s="1805" t="n">
        <v>0</v>
      </c>
      <c r="I664" s="1805" t="n">
        <v>0</v>
      </c>
      <c r="J664" s="2128" t="n"/>
      <c r="K664" s="1803" t="inlineStr"/>
    </row>
    <row r="665" ht="25.5" customHeight="1">
      <c r="A665" s="1816" t="inlineStr">
        <is>
          <t>22.1.26</t>
        </is>
      </c>
      <c r="B665" s="1815" t="n"/>
      <c r="C665" s="1814" t="n"/>
      <c r="D665" s="1814" t="n"/>
      <c r="E665" s="1813" t="inlineStr">
        <is>
          <t>MUDAR PARA PAREDE PADRÃO Parede 101_REVESTIMENTO PAREDE - DUTO - DEA</t>
        </is>
      </c>
      <c r="F665" s="1810" t="inlineStr">
        <is>
          <t>m³</t>
        </is>
      </c>
      <c r="G665" s="1810" t="n">
        <v>0.24</v>
      </c>
      <c r="H665" s="1812" t="n">
        <v>0</v>
      </c>
      <c r="I665" s="1812" t="n">
        <v>0</v>
      </c>
      <c r="J665" s="2127" t="n"/>
      <c r="K665" s="1810" t="inlineStr"/>
    </row>
    <row r="666" ht="25.5" customHeight="1">
      <c r="A666" s="1809" t="inlineStr">
        <is>
          <t>22.1.27</t>
        </is>
      </c>
      <c r="B666" s="1808" t="n"/>
      <c r="C666" s="1807" t="n"/>
      <c r="D666" s="1807" t="n"/>
      <c r="E666" s="1806" t="inlineStr">
        <is>
          <t>MUDAR PARA PAREDE PADRÃO Parede 101_REVESTIMENTO PAREDE - DUTO - PRESS</t>
        </is>
      </c>
      <c r="F666" s="1803" t="inlineStr">
        <is>
          <t>m³</t>
        </is>
      </c>
      <c r="G666" s="1803" t="n">
        <v>0.15</v>
      </c>
      <c r="H666" s="1805" t="n">
        <v>0</v>
      </c>
      <c r="I666" s="1805" t="n">
        <v>0</v>
      </c>
      <c r="J666" s="2128" t="n"/>
      <c r="K666" s="1803" t="inlineStr"/>
    </row>
    <row r="667" ht="25.5" customHeight="1">
      <c r="A667" s="1816" t="inlineStr">
        <is>
          <t>22.1.28</t>
        </is>
      </c>
      <c r="B667" s="1815" t="n"/>
      <c r="C667" s="1814" t="n"/>
      <c r="D667" s="1814" t="n"/>
      <c r="E667" s="1813" t="inlineStr">
        <is>
          <t>MUDAR PARA PAREDE PADRÃO Parede 101_REVESTIMENTO PAREDE - ELEV.</t>
        </is>
      </c>
      <c r="F667" s="1810" t="inlineStr">
        <is>
          <t>m³</t>
        </is>
      </c>
      <c r="G667" s="1810" t="n">
        <v>0.9399999999999999</v>
      </c>
      <c r="H667" s="1812" t="n">
        <v>0</v>
      </c>
      <c r="I667" s="1812" t="n">
        <v>0</v>
      </c>
      <c r="J667" s="2127" t="n"/>
      <c r="K667" s="1810" t="inlineStr"/>
    </row>
    <row r="668" ht="25.5" customHeight="1">
      <c r="A668" s="1809" t="inlineStr">
        <is>
          <t>22.1.29</t>
        </is>
      </c>
      <c r="B668" s="1808" t="n"/>
      <c r="C668" s="1807" t="n"/>
      <c r="D668" s="1807" t="n"/>
      <c r="E668" s="1806" t="inlineStr">
        <is>
          <t>MUDAR PARA PAREDE PADRÃO Parede 101_REVESTIMENTO PAREDE - ESCADA</t>
        </is>
      </c>
      <c r="F668" s="1803" t="inlineStr">
        <is>
          <t>m³</t>
        </is>
      </c>
      <c r="G668" s="1803" t="n">
        <v>0.19</v>
      </c>
      <c r="H668" s="1805" t="n">
        <v>0</v>
      </c>
      <c r="I668" s="1805" t="n">
        <v>0</v>
      </c>
      <c r="J668" s="2128" t="n"/>
      <c r="K668" s="1803" t="inlineStr"/>
    </row>
    <row r="669" ht="25.5" customHeight="1">
      <c r="A669" s="1816" t="inlineStr">
        <is>
          <t>22.1.30</t>
        </is>
      </c>
      <c r="B669" s="1815" t="n"/>
      <c r="C669" s="1814" t="n"/>
      <c r="D669" s="1814" t="n"/>
      <c r="E669" s="1813" t="inlineStr">
        <is>
          <t>MUDAR PARA PAREDE PADRÃO Parede 101_REVESTIMENTO PAREDE - ESCADA PRESS.</t>
        </is>
      </c>
      <c r="F669" s="1810" t="inlineStr">
        <is>
          <t>m³</t>
        </is>
      </c>
      <c r="G669" s="1810" t="n">
        <v>0.82</v>
      </c>
      <c r="H669" s="1812" t="n">
        <v>0</v>
      </c>
      <c r="I669" s="1812" t="n">
        <v>0</v>
      </c>
      <c r="J669" s="2127" t="n"/>
      <c r="K669" s="1810" t="inlineStr"/>
    </row>
    <row r="670" ht="25.5" customHeight="1">
      <c r="A670" s="1809" t="inlineStr">
        <is>
          <t>22.1.31</t>
        </is>
      </c>
      <c r="B670" s="1808" t="n"/>
      <c r="C670" s="1807" t="n"/>
      <c r="D670" s="1807" t="n"/>
      <c r="E670" s="1806" t="inlineStr">
        <is>
          <t>MUDAR PARA PAREDE PADRÃO Parede 101_REVESTIMENTO PAREDE - GARAGEM</t>
        </is>
      </c>
      <c r="F670" s="1803" t="inlineStr">
        <is>
          <t>m³</t>
        </is>
      </c>
      <c r="G670" s="1803" t="n">
        <v>4.37</v>
      </c>
      <c r="H670" s="1805" t="n">
        <v>0</v>
      </c>
      <c r="I670" s="1805" t="n">
        <v>0</v>
      </c>
      <c r="J670" s="2128" t="n"/>
      <c r="K670" s="1803" t="inlineStr"/>
    </row>
    <row r="671" ht="25.5" customHeight="1">
      <c r="A671" s="1816" t="inlineStr">
        <is>
          <t>22.1.32</t>
        </is>
      </c>
      <c r="B671" s="1815" t="n"/>
      <c r="C671" s="1814" t="n"/>
      <c r="D671" s="1814" t="n"/>
      <c r="E671" s="1813" t="inlineStr">
        <is>
          <t>MUDAR PARA PAREDE PADRÃO Parede 101_REVESTIMENTO PAREDE - GOURMET CLUB</t>
        </is>
      </c>
      <c r="F671" s="1810" t="inlineStr">
        <is>
          <t>m³</t>
        </is>
      </c>
      <c r="G671" s="1810" t="n">
        <v>0.07000000000000001</v>
      </c>
      <c r="H671" s="1812" t="n">
        <v>0</v>
      </c>
      <c r="I671" s="1812" t="n">
        <v>0</v>
      </c>
      <c r="J671" s="2127" t="n"/>
      <c r="K671" s="1810" t="inlineStr"/>
    </row>
    <row r="672" ht="25.5" customHeight="1">
      <c r="A672" s="1809" t="inlineStr">
        <is>
          <t>22.1.33</t>
        </is>
      </c>
      <c r="B672" s="1808" t="n"/>
      <c r="C672" s="1807" t="n"/>
      <c r="D672" s="1807" t="n"/>
      <c r="E672" s="1806" t="inlineStr">
        <is>
          <t>MUDAR PARA PAREDE PADRÃO Parede 101_REVESTIMENTO PAREDE - HALL DO PAVIMENTO</t>
        </is>
      </c>
      <c r="F672" s="1803" t="inlineStr">
        <is>
          <t>m³</t>
        </is>
      </c>
      <c r="G672" s="1803" t="n">
        <v>0.22</v>
      </c>
      <c r="H672" s="1805" t="n">
        <v>0</v>
      </c>
      <c r="I672" s="1805" t="n">
        <v>0</v>
      </c>
      <c r="J672" s="2128" t="n"/>
      <c r="K672" s="1803" t="inlineStr"/>
    </row>
    <row r="673" ht="25.5" customHeight="1">
      <c r="A673" s="1816" t="inlineStr">
        <is>
          <t>22.1.34</t>
        </is>
      </c>
      <c r="B673" s="1815" t="n"/>
      <c r="C673" s="1814" t="n"/>
      <c r="D673" s="1814" t="n"/>
      <c r="E673" s="1813" t="inlineStr">
        <is>
          <t>MUDAR PARA PAREDE PADRÃO Parede 101_REVESTIMENTO PAREDE - HALL DO PAVIMENTO - GARAGEM</t>
        </is>
      </c>
      <c r="F673" s="1810" t="inlineStr">
        <is>
          <t>m³</t>
        </is>
      </c>
      <c r="G673" s="1810" t="n">
        <v>0.78</v>
      </c>
      <c r="H673" s="1812" t="n">
        <v>0</v>
      </c>
      <c r="I673" s="1812" t="n">
        <v>0</v>
      </c>
      <c r="J673" s="2127" t="n"/>
      <c r="K673" s="1810" t="inlineStr"/>
    </row>
    <row r="674" ht="25.5" customHeight="1">
      <c r="A674" s="1809" t="inlineStr">
        <is>
          <t>22.1.35</t>
        </is>
      </c>
      <c r="B674" s="1808" t="n"/>
      <c r="C674" s="1807" t="n"/>
      <c r="D674" s="1807" t="n"/>
      <c r="E674" s="1806" t="inlineStr">
        <is>
          <t>MUDAR PARA PAREDE PADRÃO Parede 101_REVESTIMENTO PAREDE - HALL ENTRADA - TORRE B</t>
        </is>
      </c>
      <c r="F674" s="1803" t="inlineStr">
        <is>
          <t>m³</t>
        </is>
      </c>
      <c r="G674" s="1803" t="n">
        <v>0.04</v>
      </c>
      <c r="H674" s="1805" t="n">
        <v>0</v>
      </c>
      <c r="I674" s="1805" t="n">
        <v>0</v>
      </c>
      <c r="J674" s="2128" t="n"/>
      <c r="K674" s="1803" t="inlineStr"/>
    </row>
    <row r="675" ht="25.5" customHeight="1">
      <c r="A675" s="1816" t="inlineStr">
        <is>
          <t>22.1.36</t>
        </is>
      </c>
      <c r="B675" s="1815" t="n"/>
      <c r="C675" s="1814" t="n"/>
      <c r="D675" s="1814" t="n"/>
      <c r="E675" s="1813" t="inlineStr">
        <is>
          <t>MUDAR PARA PAREDE PADRÃO Parede 101_REVESTIMENTO PAREDE - HEALTHY CLUB</t>
        </is>
      </c>
      <c r="F675" s="1810" t="inlineStr">
        <is>
          <t>m³</t>
        </is>
      </c>
      <c r="G675" s="1810" t="n">
        <v>0.6899999999999999</v>
      </c>
      <c r="H675" s="1812" t="n">
        <v>0</v>
      </c>
      <c r="I675" s="1812" t="n">
        <v>0</v>
      </c>
      <c r="J675" s="2127" t="n"/>
      <c r="K675" s="1810" t="inlineStr"/>
    </row>
    <row r="676" ht="25.5" customHeight="1">
      <c r="A676" s="1809" t="inlineStr">
        <is>
          <t>22.1.37</t>
        </is>
      </c>
      <c r="B676" s="1808" t="n"/>
      <c r="C676" s="1807" t="n"/>
      <c r="D676" s="1807" t="n"/>
      <c r="E676" s="1806" t="inlineStr">
        <is>
          <t>MUDAR PARA PAREDE PADRÃO Parede 101_REVESTIMENTO PAREDE - LAVABO - LAZER</t>
        </is>
      </c>
      <c r="F676" s="1803" t="inlineStr">
        <is>
          <t>m³</t>
        </is>
      </c>
      <c r="G676" s="1803" t="n">
        <v>0.6899999999999999</v>
      </c>
      <c r="H676" s="1805" t="n">
        <v>0</v>
      </c>
      <c r="I676" s="1805" t="n">
        <v>0</v>
      </c>
      <c r="J676" s="2128" t="n"/>
      <c r="K676" s="1803" t="inlineStr"/>
    </row>
    <row r="677" ht="25.5" customHeight="1">
      <c r="A677" s="1816" t="inlineStr">
        <is>
          <t>22.1.38</t>
        </is>
      </c>
      <c r="B677" s="1815" t="n"/>
      <c r="C677" s="1814" t="n"/>
      <c r="D677" s="1814" t="n"/>
      <c r="E677" s="1813" t="inlineStr">
        <is>
          <t>MUDAR PARA PAREDE PADRÃO Parede 101_REVESTIMENTO PAREDE - LAVABO - PISCINA</t>
        </is>
      </c>
      <c r="F677" s="1810" t="inlineStr">
        <is>
          <t>m³</t>
        </is>
      </c>
      <c r="G677" s="1810" t="n">
        <v>0.01</v>
      </c>
      <c r="H677" s="1812" t="n">
        <v>0</v>
      </c>
      <c r="I677" s="1812" t="n">
        <v>0</v>
      </c>
      <c r="J677" s="2127" t="n"/>
      <c r="K677" s="1810" t="inlineStr"/>
    </row>
    <row r="678" ht="25.5" customHeight="1">
      <c r="A678" s="1809" t="inlineStr">
        <is>
          <t>22.1.39</t>
        </is>
      </c>
      <c r="B678" s="1808" t="n"/>
      <c r="C678" s="1807" t="n"/>
      <c r="D678" s="1807" t="n"/>
      <c r="E678" s="1806" t="inlineStr">
        <is>
          <t>MUDAR PARA PAREDE PADRÃO Parede 101_REVESTIMENTO PAREDE - LAVABO PNE - SALA COMERCIAL</t>
        </is>
      </c>
      <c r="F678" s="1803" t="inlineStr">
        <is>
          <t>m³</t>
        </is>
      </c>
      <c r="G678" s="1803" t="n">
        <v>0.04</v>
      </c>
      <c r="H678" s="1805" t="n">
        <v>0</v>
      </c>
      <c r="I678" s="1805" t="n">
        <v>0</v>
      </c>
      <c r="J678" s="2128" t="n"/>
      <c r="K678" s="1803" t="inlineStr"/>
    </row>
    <row r="679" ht="25.5" customHeight="1">
      <c r="A679" s="1816" t="inlineStr">
        <is>
          <t>22.1.40</t>
        </is>
      </c>
      <c r="B679" s="1815" t="n"/>
      <c r="C679" s="1814" t="n"/>
      <c r="D679" s="1814" t="n"/>
      <c r="E679" s="1813" t="inlineStr">
        <is>
          <t>MUDAR PARA PAREDE PADRÃO Parede 101_REVESTIMENTO PAREDE - LAVA-PES</t>
        </is>
      </c>
      <c r="F679" s="1810" t="inlineStr">
        <is>
          <t>m³</t>
        </is>
      </c>
      <c r="G679" s="1810" t="n">
        <v>0.28</v>
      </c>
      <c r="H679" s="1812" t="n">
        <v>0</v>
      </c>
      <c r="I679" s="1812" t="n">
        <v>0</v>
      </c>
      <c r="J679" s="2127" t="n"/>
      <c r="K679" s="1810" t="inlineStr"/>
    </row>
    <row r="680" ht="25.5" customHeight="1">
      <c r="A680" s="1809" t="inlineStr">
        <is>
          <t>22.1.41</t>
        </is>
      </c>
      <c r="B680" s="1808" t="n"/>
      <c r="C680" s="1807" t="n"/>
      <c r="D680" s="1807" t="n"/>
      <c r="E680" s="1806" t="inlineStr">
        <is>
          <t>MUDAR PARA PAREDE PADRÃO Parede 101_REVESTIMENTO PAREDE - LIXEIRA</t>
        </is>
      </c>
      <c r="F680" s="1803" t="inlineStr">
        <is>
          <t>m³</t>
        </is>
      </c>
      <c r="G680" s="1803" t="n">
        <v>0.46</v>
      </c>
      <c r="H680" s="1805" t="n">
        <v>0</v>
      </c>
      <c r="I680" s="1805" t="n">
        <v>0</v>
      </c>
      <c r="J680" s="2128" t="n"/>
      <c r="K680" s="1803" t="inlineStr"/>
    </row>
    <row r="681" ht="25.5" customHeight="1">
      <c r="A681" s="1816" t="inlineStr">
        <is>
          <t>22.1.42</t>
        </is>
      </c>
      <c r="B681" s="1815" t="n"/>
      <c r="C681" s="1814" t="n"/>
      <c r="D681" s="1814" t="n"/>
      <c r="E681" s="1813" t="inlineStr">
        <is>
          <t>MUDAR PARA PAREDE PADRÃO Parede 101_REVESTIMENTO PAREDE - MEETING ROOM</t>
        </is>
      </c>
      <c r="F681" s="1810" t="inlineStr">
        <is>
          <t>m³</t>
        </is>
      </c>
      <c r="G681" s="1810" t="n">
        <v>0.31</v>
      </c>
      <c r="H681" s="1812" t="n">
        <v>0</v>
      </c>
      <c r="I681" s="1812" t="n">
        <v>0</v>
      </c>
      <c r="J681" s="2127" t="n"/>
      <c r="K681" s="1810" t="inlineStr"/>
    </row>
    <row r="682" ht="25.5" customHeight="1">
      <c r="A682" s="1809" t="inlineStr">
        <is>
          <t>22.1.43</t>
        </is>
      </c>
      <c r="B682" s="1808" t="n"/>
      <c r="C682" s="1807" t="n"/>
      <c r="D682" s="1807" t="n"/>
      <c r="E682" s="1806" t="inlineStr">
        <is>
          <t>MUDAR PARA PAREDE PADRÃO Parede 101_REVESTIMENTO PAREDE - PLAY E GOURMET</t>
        </is>
      </c>
      <c r="F682" s="1803" t="inlineStr">
        <is>
          <t>m³</t>
        </is>
      </c>
      <c r="G682" s="1803" t="n">
        <v>1</v>
      </c>
      <c r="H682" s="1805" t="n">
        <v>0</v>
      </c>
      <c r="I682" s="1805" t="n">
        <v>0</v>
      </c>
      <c r="J682" s="2128" t="n"/>
      <c r="K682" s="1803" t="inlineStr"/>
    </row>
    <row r="683" ht="25.5" customHeight="1">
      <c r="A683" s="1816" t="inlineStr">
        <is>
          <t>22.1.44</t>
        </is>
      </c>
      <c r="B683" s="1815" t="n"/>
      <c r="C683" s="1814" t="n"/>
      <c r="D683" s="1814" t="n"/>
      <c r="E683" s="1813" t="inlineStr">
        <is>
          <t>MUDAR PARA PAREDE PADRÃO Parede 101_REVESTIMENTO PAREDE - PLAY ROOM</t>
        </is>
      </c>
      <c r="F683" s="1810" t="inlineStr">
        <is>
          <t>m³</t>
        </is>
      </c>
      <c r="G683" s="1810" t="n">
        <v>0.05</v>
      </c>
      <c r="H683" s="1812" t="n">
        <v>0</v>
      </c>
      <c r="I683" s="1812" t="n">
        <v>0</v>
      </c>
      <c r="J683" s="2127" t="n"/>
      <c r="K683" s="1810" t="inlineStr"/>
    </row>
    <row r="684" ht="25.5" customHeight="1">
      <c r="A684" s="1809" t="inlineStr">
        <is>
          <t>22.1.45</t>
        </is>
      </c>
      <c r="B684" s="1808" t="n"/>
      <c r="C684" s="1807" t="n"/>
      <c r="D684" s="1807" t="n"/>
      <c r="E684" s="1806" t="inlineStr">
        <is>
          <t>MUDAR PARA PAREDE PADRÃO Parede 101_REVESTIMENTO PAREDE - SALA COMERCIAL</t>
        </is>
      </c>
      <c r="F684" s="1803" t="inlineStr">
        <is>
          <t>m³</t>
        </is>
      </c>
      <c r="G684" s="1803" t="n">
        <v>1.41</v>
      </c>
      <c r="H684" s="1805" t="n">
        <v>0</v>
      </c>
      <c r="I684" s="1805" t="n">
        <v>0</v>
      </c>
      <c r="J684" s="2128" t="n"/>
      <c r="K684" s="1803" t="inlineStr"/>
    </row>
    <row r="685" ht="25.5" customHeight="1">
      <c r="A685" s="1816" t="inlineStr">
        <is>
          <t>22.1.46</t>
        </is>
      </c>
      <c r="B685" s="1815" t="n"/>
      <c r="C685" s="1814" t="n"/>
      <c r="D685" s="1814" t="n"/>
      <c r="E685" s="1813" t="inlineStr">
        <is>
          <t>MUDAR PARA PAREDE PADRÃO Parede 101_REVESTIMENTO PAREDE - SALAO DE FESTA KIDS</t>
        </is>
      </c>
      <c r="F685" s="1810" t="inlineStr">
        <is>
          <t>m³</t>
        </is>
      </c>
      <c r="G685" s="1810" t="n">
        <v>0.74</v>
      </c>
      <c r="H685" s="1812" t="n">
        <v>0</v>
      </c>
      <c r="I685" s="1812" t="n">
        <v>0</v>
      </c>
      <c r="J685" s="2127" t="n"/>
      <c r="K685" s="1810" t="inlineStr"/>
    </row>
    <row r="686" ht="25.5" customHeight="1">
      <c r="A686" s="1809" t="inlineStr">
        <is>
          <t>22.1.47</t>
        </is>
      </c>
      <c r="B686" s="1808" t="n"/>
      <c r="C686" s="1807" t="n"/>
      <c r="D686" s="1807" t="n"/>
      <c r="E686" s="1806" t="inlineStr">
        <is>
          <t>MUDAR PARA PAREDE PADRÃO Parede 101_REVESTIMENTO PAREDE - SELF SERVICE</t>
        </is>
      </c>
      <c r="F686" s="1803" t="inlineStr">
        <is>
          <t>m³</t>
        </is>
      </c>
      <c r="G686" s="1803" t="n">
        <v>0.3</v>
      </c>
      <c r="H686" s="1805" t="n">
        <v>0</v>
      </c>
      <c r="I686" s="1805" t="n">
        <v>0</v>
      </c>
      <c r="J686" s="2128" t="n"/>
      <c r="K686" s="1803" t="inlineStr"/>
    </row>
    <row r="687" ht="25.5" customHeight="1">
      <c r="A687" s="1816" t="inlineStr">
        <is>
          <t>22.1.48</t>
        </is>
      </c>
      <c r="B687" s="1815" t="n"/>
      <c r="C687" s="1814" t="n"/>
      <c r="D687" s="1814" t="n"/>
      <c r="E687" s="1813" t="inlineStr">
        <is>
          <t>MUDAR PARA PAREDE PADRÃO Parede 101_REVESTIMENTO PAREDE - SUBESTACAO</t>
        </is>
      </c>
      <c r="F687" s="1810" t="inlineStr">
        <is>
          <t>m³</t>
        </is>
      </c>
      <c r="G687" s="1810" t="n">
        <v>0.59</v>
      </c>
      <c r="H687" s="1812" t="n">
        <v>0</v>
      </c>
      <c r="I687" s="1812" t="n">
        <v>0</v>
      </c>
      <c r="J687" s="2127" t="n"/>
      <c r="K687" s="1810" t="inlineStr"/>
    </row>
    <row r="688" ht="25.5" customHeight="1">
      <c r="A688" s="1809" t="inlineStr">
        <is>
          <t>22.1.49</t>
        </is>
      </c>
      <c r="B688" s="1808" t="n"/>
      <c r="C688" s="1807" t="n"/>
      <c r="D688" s="1807" t="n"/>
      <c r="E688" s="1806" t="inlineStr">
        <is>
          <t>MUDAR PARA PAREDE PADRÃO Parede 101_REVESTIMENTO PAREDE - TELECOM</t>
        </is>
      </c>
      <c r="F688" s="1803" t="inlineStr">
        <is>
          <t>m³</t>
        </is>
      </c>
      <c r="G688" s="1803" t="n"/>
      <c r="H688" s="1805" t="n">
        <v>0</v>
      </c>
      <c r="I688" s="1805" t="n">
        <v>0</v>
      </c>
      <c r="J688" s="2128" t="n"/>
      <c r="K688" s="1803" t="inlineStr"/>
    </row>
    <row r="689" ht="25.5" customHeight="1">
      <c r="A689" s="1816" t="inlineStr">
        <is>
          <t>22.1.50</t>
        </is>
      </c>
      <c r="B689" s="1815" t="n"/>
      <c r="C689" s="1814" t="n"/>
      <c r="D689" s="1814" t="n"/>
      <c r="E689" s="1813" t="inlineStr">
        <is>
          <t>MUDAR PARA PAREDE PADRÃO Parede 102_REVESTIMENTO ESTRUTURA - ANTECAMARA</t>
        </is>
      </c>
      <c r="F689" s="1810" t="inlineStr">
        <is>
          <t>m³</t>
        </is>
      </c>
      <c r="G689" s="1810" t="n">
        <v>0.09</v>
      </c>
      <c r="H689" s="1812" t="n">
        <v>0</v>
      </c>
      <c r="I689" s="1812" t="n">
        <v>0</v>
      </c>
      <c r="J689" s="2127" t="n"/>
      <c r="K689" s="1810" t="inlineStr"/>
    </row>
    <row r="690" ht="25.5" customHeight="1">
      <c r="A690" s="1809" t="inlineStr">
        <is>
          <t>22.1.51</t>
        </is>
      </c>
      <c r="B690" s="1808" t="n"/>
      <c r="C690" s="1807" t="n"/>
      <c r="D690" s="1807" t="n"/>
      <c r="E690" s="1806" t="inlineStr">
        <is>
          <t>MUDAR PARA PAREDE PADRÃO Parede 102_REVESTIMENTO ESTRUTURA - BABY E MINI CLUB</t>
        </is>
      </c>
      <c r="F690" s="1803" t="inlineStr">
        <is>
          <t>m³</t>
        </is>
      </c>
      <c r="G690" s="1803" t="n">
        <v>0.06</v>
      </c>
      <c r="H690" s="1805" t="n">
        <v>0</v>
      </c>
      <c r="I690" s="1805" t="n">
        <v>0</v>
      </c>
      <c r="J690" s="2128" t="n"/>
      <c r="K690" s="1803" t="inlineStr"/>
    </row>
    <row r="691" ht="25.5" customHeight="1">
      <c r="A691" s="1816" t="inlineStr">
        <is>
          <t>22.1.52</t>
        </is>
      </c>
      <c r="B691" s="1815" t="n"/>
      <c r="C691" s="1814" t="n"/>
      <c r="D691" s="1814" t="n"/>
      <c r="E691" s="1813" t="inlineStr">
        <is>
          <t>MUDAR PARA PAREDE PADRÃO Parede 102_REVESTIMENTO ESTRUTURA - BBQ E PIZZA BAR</t>
        </is>
      </c>
      <c r="F691" s="1810" t="inlineStr">
        <is>
          <t>m³</t>
        </is>
      </c>
      <c r="G691" s="1810" t="n">
        <v>0.07000000000000001</v>
      </c>
      <c r="H691" s="1812" t="n">
        <v>0</v>
      </c>
      <c r="I691" s="1812" t="n">
        <v>0</v>
      </c>
      <c r="J691" s="2127" t="n"/>
      <c r="K691" s="1810" t="inlineStr"/>
    </row>
    <row r="692" ht="25.5" customHeight="1">
      <c r="A692" s="1809" t="inlineStr">
        <is>
          <t>22.1.53</t>
        </is>
      </c>
      <c r="B692" s="1808" t="n"/>
      <c r="C692" s="1807" t="n"/>
      <c r="D692" s="1807" t="n"/>
      <c r="E692" s="1806" t="inlineStr">
        <is>
          <t>MUDAR PARA PAREDE PADRÃO Parede 102_REVESTIMENTO ESTRUTURA - BEAUTY SPA</t>
        </is>
      </c>
      <c r="F692" s="1803" t="inlineStr">
        <is>
          <t>m³</t>
        </is>
      </c>
      <c r="G692" s="1803" t="n">
        <v>0.03</v>
      </c>
      <c r="H692" s="1805" t="n">
        <v>0</v>
      </c>
      <c r="I692" s="1805" t="n">
        <v>0</v>
      </c>
      <c r="J692" s="2128" t="n"/>
      <c r="K692" s="1803" t="inlineStr"/>
    </row>
    <row r="693" ht="25.5" customHeight="1">
      <c r="A693" s="1816" t="inlineStr">
        <is>
          <t>22.1.54</t>
        </is>
      </c>
      <c r="B693" s="1815" t="n"/>
      <c r="C693" s="1814" t="n"/>
      <c r="D693" s="1814" t="n"/>
      <c r="E693" s="1813" t="inlineStr">
        <is>
          <t>MUDAR PARA PAREDE PADRÃO Parede 102_REVESTIMENTO ESTRUTURA - BICICLETARIO</t>
        </is>
      </c>
      <c r="F693" s="1810" t="inlineStr">
        <is>
          <t>m³</t>
        </is>
      </c>
      <c r="G693" s="1810" t="n"/>
      <c r="H693" s="1812" t="n">
        <v>0</v>
      </c>
      <c r="I693" s="1812" t="n">
        <v>0</v>
      </c>
      <c r="J693" s="2127" t="n"/>
      <c r="K693" s="1810" t="inlineStr"/>
    </row>
    <row r="694" ht="25.5" customHeight="1">
      <c r="A694" s="1809" t="inlineStr">
        <is>
          <t>22.1.55</t>
        </is>
      </c>
      <c r="B694" s="1808" t="n"/>
      <c r="C694" s="1807" t="n"/>
      <c r="D694" s="1807" t="n"/>
      <c r="E694" s="1806" t="inlineStr">
        <is>
          <t>MUDAR PARA PAREDE PADRÃO Parede 102_REVESTIMENTO ESTRUTURA - BOX</t>
        </is>
      </c>
      <c r="F694" s="1803" t="inlineStr">
        <is>
          <t>m³</t>
        </is>
      </c>
      <c r="G694" s="1803" t="n">
        <v>0.04</v>
      </c>
      <c r="H694" s="1805" t="n">
        <v>0</v>
      </c>
      <c r="I694" s="1805" t="n">
        <v>0</v>
      </c>
      <c r="J694" s="2128" t="n"/>
      <c r="K694" s="1803" t="inlineStr"/>
    </row>
    <row r="695" ht="25.5" customHeight="1">
      <c r="A695" s="1816" t="inlineStr">
        <is>
          <t>22.1.56</t>
        </is>
      </c>
      <c r="B695" s="1815" t="n"/>
      <c r="C695" s="1814" t="n"/>
      <c r="D695" s="1814" t="n"/>
      <c r="E695" s="1813" t="inlineStr">
        <is>
          <t>MUDAR PARA PAREDE PADRÃO Parede 102_REVESTIMENTO ESTRUTURA - CASA DE MAQUINAS - PISCINA</t>
        </is>
      </c>
      <c r="F695" s="1810" t="inlineStr">
        <is>
          <t>m³</t>
        </is>
      </c>
      <c r="G695" s="1810" t="n">
        <v>0.09</v>
      </c>
      <c r="H695" s="1812" t="n">
        <v>0</v>
      </c>
      <c r="I695" s="1812" t="n">
        <v>0</v>
      </c>
      <c r="J695" s="2127" t="n"/>
      <c r="K695" s="1810" t="inlineStr"/>
    </row>
    <row r="696" ht="25.5" customHeight="1">
      <c r="A696" s="1809" t="inlineStr">
        <is>
          <t>22.1.57</t>
        </is>
      </c>
      <c r="B696" s="1808" t="n"/>
      <c r="C696" s="1807" t="n"/>
      <c r="D696" s="1807" t="n"/>
      <c r="E696" s="1806" t="inlineStr">
        <is>
          <t>MUDAR PARA PAREDE PADRÃO Parede 102_REVESTIMENTO ESTRUTURA - CIRC. PRINCIPAL - LAZER</t>
        </is>
      </c>
      <c r="F696" s="1803" t="inlineStr">
        <is>
          <t>m³</t>
        </is>
      </c>
      <c r="G696" s="1803" t="n">
        <v>0.05</v>
      </c>
      <c r="H696" s="1805" t="n">
        <v>0</v>
      </c>
      <c r="I696" s="1805" t="n">
        <v>0</v>
      </c>
      <c r="J696" s="2128" t="n"/>
      <c r="K696" s="1803" t="inlineStr"/>
    </row>
    <row r="697" ht="25.5" customHeight="1">
      <c r="A697" s="1816" t="inlineStr">
        <is>
          <t>22.1.58</t>
        </is>
      </c>
      <c r="B697" s="1815" t="n"/>
      <c r="C697" s="1814" t="n"/>
      <c r="D697" s="1814" t="n"/>
      <c r="E697" s="1813" t="inlineStr">
        <is>
          <t>MUDAR PARA PAREDE PADRÃO Parede 102_REVESTIMENTO ESTRUTURA - CIRC. PRINCIPAL - TORRE 01</t>
        </is>
      </c>
      <c r="F697" s="1810" t="inlineStr">
        <is>
          <t>m³</t>
        </is>
      </c>
      <c r="G697" s="1810" t="n">
        <v>0.63</v>
      </c>
      <c r="H697" s="1812" t="n">
        <v>0</v>
      </c>
      <c r="I697" s="1812" t="n">
        <v>0</v>
      </c>
      <c r="J697" s="2127" t="n"/>
      <c r="K697" s="1810" t="inlineStr"/>
    </row>
    <row r="698" ht="25.5" customHeight="1">
      <c r="A698" s="1809" t="inlineStr">
        <is>
          <t>22.1.59</t>
        </is>
      </c>
      <c r="B698" s="1808" t="n"/>
      <c r="C698" s="1807" t="n"/>
      <c r="D698" s="1807" t="n"/>
      <c r="E698" s="1806" t="inlineStr">
        <is>
          <t>MUDAR PARA PAREDE PADRÃO Parede 102_REVESTIMENTO ESTRUTURA - CIRC. SEGUNDARIA - LAZER</t>
        </is>
      </c>
      <c r="F698" s="1803" t="inlineStr">
        <is>
          <t>m³</t>
        </is>
      </c>
      <c r="G698" s="1803" t="n">
        <v>0.01</v>
      </c>
      <c r="H698" s="1805" t="n">
        <v>0</v>
      </c>
      <c r="I698" s="1805" t="n">
        <v>0</v>
      </c>
      <c r="J698" s="2128" t="n"/>
      <c r="K698" s="1803" t="inlineStr"/>
    </row>
    <row r="699" ht="25.5" customHeight="1">
      <c r="A699" s="1816" t="inlineStr">
        <is>
          <t>22.1.60</t>
        </is>
      </c>
      <c r="B699" s="1815" t="n"/>
      <c r="C699" s="1814" t="n"/>
      <c r="D699" s="1814" t="n"/>
      <c r="E699" s="1813" t="inlineStr">
        <is>
          <t>MUDAR PARA PAREDE PADRÃO Parede 102_REVESTIMENTO ESTRUTURA - CIRCULACAO TERREO</t>
        </is>
      </c>
      <c r="F699" s="1810" t="inlineStr">
        <is>
          <t>m³</t>
        </is>
      </c>
      <c r="G699" s="1810" t="n">
        <v>0.04</v>
      </c>
      <c r="H699" s="1812" t="n">
        <v>0</v>
      </c>
      <c r="I699" s="1812" t="n">
        <v>0</v>
      </c>
      <c r="J699" s="2127" t="n"/>
      <c r="K699" s="1810" t="inlineStr"/>
    </row>
    <row r="700" ht="25.5" customHeight="1">
      <c r="A700" s="1809" t="inlineStr">
        <is>
          <t>22.1.61</t>
        </is>
      </c>
      <c r="B700" s="1808" t="n"/>
      <c r="C700" s="1807" t="n"/>
      <c r="D700" s="1807" t="n"/>
      <c r="E700" s="1806" t="inlineStr">
        <is>
          <t>MUDAR PARA PAREDE PADRÃO Parede 102_REVESTIMENTO ESTRUTURA - CIRCULACAO TORRE 02</t>
        </is>
      </c>
      <c r="F700" s="1803" t="inlineStr">
        <is>
          <t>m³</t>
        </is>
      </c>
      <c r="G700" s="1803" t="n">
        <v>0.01</v>
      </c>
      <c r="H700" s="1805" t="n">
        <v>0</v>
      </c>
      <c r="I700" s="1805" t="n">
        <v>0</v>
      </c>
      <c r="J700" s="2128" t="n"/>
      <c r="K700" s="1803" t="inlineStr"/>
    </row>
    <row r="701" ht="25.5" customHeight="1">
      <c r="A701" s="1816" t="inlineStr">
        <is>
          <t>22.1.62</t>
        </is>
      </c>
      <c r="B701" s="1815" t="n"/>
      <c r="C701" s="1814" t="n"/>
      <c r="D701" s="1814" t="n"/>
      <c r="E701" s="1813" t="inlineStr">
        <is>
          <t>MUDAR PARA PAREDE PADRÃO Parede 102_REVESTIMENTO ESTRUTURA - COFFEE</t>
        </is>
      </c>
      <c r="F701" s="1810" t="inlineStr">
        <is>
          <t>m³</t>
        </is>
      </c>
      <c r="G701" s="1810" t="n">
        <v>0.05</v>
      </c>
      <c r="H701" s="1812" t="n">
        <v>0</v>
      </c>
      <c r="I701" s="1812" t="n">
        <v>0</v>
      </c>
      <c r="J701" s="2127" t="n"/>
      <c r="K701" s="1810" t="inlineStr"/>
    </row>
    <row r="702" ht="25.5" customHeight="1">
      <c r="A702" s="1809" t="inlineStr">
        <is>
          <t>22.1.63</t>
        </is>
      </c>
      <c r="B702" s="1808" t="n"/>
      <c r="C702" s="1807" t="n"/>
      <c r="D702" s="1807" t="n"/>
      <c r="E702" s="1806" t="inlineStr">
        <is>
          <t>MUDAR PARA PAREDE PADRÃO Parede 102_REVESTIMENTO ESTRUTURA - DUCHA</t>
        </is>
      </c>
      <c r="F702" s="1803" t="inlineStr">
        <is>
          <t>m³</t>
        </is>
      </c>
      <c r="G702" s="1803" t="n">
        <v>0.01</v>
      </c>
      <c r="H702" s="1805" t="n">
        <v>0</v>
      </c>
      <c r="I702" s="1805" t="n">
        <v>0</v>
      </c>
      <c r="J702" s="2128" t="n"/>
      <c r="K702" s="1803" t="inlineStr"/>
    </row>
    <row r="703" ht="25.5" customHeight="1">
      <c r="A703" s="1816" t="inlineStr">
        <is>
          <t>22.1.64</t>
        </is>
      </c>
      <c r="B703" s="1815" t="n"/>
      <c r="C703" s="1814" t="n"/>
      <c r="D703" s="1814" t="n"/>
      <c r="E703" s="1813" t="inlineStr">
        <is>
          <t>MUDAR PARA PAREDE PADRÃO Parede 102_REVESTIMENTO ESTRUTURA - DUTO - DEA</t>
        </is>
      </c>
      <c r="F703" s="1810" t="inlineStr">
        <is>
          <t>m³</t>
        </is>
      </c>
      <c r="G703" s="1810" t="n">
        <v>0.01</v>
      </c>
      <c r="H703" s="1812" t="n">
        <v>0</v>
      </c>
      <c r="I703" s="1812" t="n">
        <v>0</v>
      </c>
      <c r="J703" s="2127" t="n"/>
      <c r="K703" s="1810" t="inlineStr"/>
    </row>
    <row r="704" ht="25.5" customHeight="1">
      <c r="A704" s="1809" t="inlineStr">
        <is>
          <t>22.1.65</t>
        </is>
      </c>
      <c r="B704" s="1808" t="n"/>
      <c r="C704" s="1807" t="n"/>
      <c r="D704" s="1807" t="n"/>
      <c r="E704" s="1806" t="inlineStr">
        <is>
          <t>MUDAR PARA PAREDE PADRÃO Parede 102_REVESTIMENTO ESTRUTURA - DUTO - PRESS</t>
        </is>
      </c>
      <c r="F704" s="1803" t="inlineStr">
        <is>
          <t>m³</t>
        </is>
      </c>
      <c r="G704" s="1803" t="n">
        <v>0.07000000000000001</v>
      </c>
      <c r="H704" s="1805" t="n">
        <v>0</v>
      </c>
      <c r="I704" s="1805" t="n">
        <v>0</v>
      </c>
      <c r="J704" s="2128" t="n"/>
      <c r="K704" s="1803" t="inlineStr"/>
    </row>
    <row r="705" ht="25.5" customHeight="1">
      <c r="A705" s="1816" t="inlineStr">
        <is>
          <t>22.1.66</t>
        </is>
      </c>
      <c r="B705" s="1815" t="n"/>
      <c r="C705" s="1814" t="n"/>
      <c r="D705" s="1814" t="n"/>
      <c r="E705" s="1813" t="inlineStr">
        <is>
          <t>MUDAR PARA PAREDE PADRÃO Parede 102_REVESTIMENTO ESTRUTURA - ELEV.</t>
        </is>
      </c>
      <c r="F705" s="1810" t="inlineStr">
        <is>
          <t>m³</t>
        </is>
      </c>
      <c r="G705" s="1810" t="n">
        <v>0.32</v>
      </c>
      <c r="H705" s="1812" t="n">
        <v>0</v>
      </c>
      <c r="I705" s="1812" t="n">
        <v>0</v>
      </c>
      <c r="J705" s="2127" t="n"/>
      <c r="K705" s="1810" t="inlineStr"/>
    </row>
    <row r="706" ht="25.5" customHeight="1">
      <c r="A706" s="1809" t="inlineStr">
        <is>
          <t>22.1.67</t>
        </is>
      </c>
      <c r="B706" s="1808" t="n"/>
      <c r="C706" s="1807" t="n"/>
      <c r="D706" s="1807" t="n"/>
      <c r="E706" s="1806" t="inlineStr">
        <is>
          <t>MUDAR PARA PAREDE PADRÃO Parede 102_REVESTIMENTO ESTRUTURA - ESCADA</t>
        </is>
      </c>
      <c r="F706" s="1803" t="inlineStr">
        <is>
          <t>m³</t>
        </is>
      </c>
      <c r="G706" s="1803" t="n">
        <v>0.26</v>
      </c>
      <c r="H706" s="1805" t="n">
        <v>0</v>
      </c>
      <c r="I706" s="1805" t="n">
        <v>0</v>
      </c>
      <c r="J706" s="2128" t="n"/>
      <c r="K706" s="1803" t="inlineStr"/>
    </row>
    <row r="707" ht="25.5" customHeight="1">
      <c r="A707" s="1816" t="inlineStr">
        <is>
          <t>22.1.68</t>
        </is>
      </c>
      <c r="B707" s="1815" t="n"/>
      <c r="C707" s="1814" t="n"/>
      <c r="D707" s="1814" t="n"/>
      <c r="E707" s="1813" t="inlineStr">
        <is>
          <t>MUDAR PARA PAREDE PADRÃO Parede 102_REVESTIMENTO ESTRUTURA - ESCADA PRESS.</t>
        </is>
      </c>
      <c r="F707" s="1810" t="inlineStr">
        <is>
          <t>m³</t>
        </is>
      </c>
      <c r="G707" s="1810" t="n">
        <v>4.28</v>
      </c>
      <c r="H707" s="1812" t="n">
        <v>0</v>
      </c>
      <c r="I707" s="1812" t="n">
        <v>0</v>
      </c>
      <c r="J707" s="2127" t="n"/>
      <c r="K707" s="1810" t="inlineStr"/>
    </row>
    <row r="708" ht="25.5" customHeight="1">
      <c r="A708" s="1809" t="inlineStr">
        <is>
          <t>22.1.69</t>
        </is>
      </c>
      <c r="B708" s="1808" t="n"/>
      <c r="C708" s="1807" t="n"/>
      <c r="D708" s="1807" t="n"/>
      <c r="E708" s="1806" t="inlineStr">
        <is>
          <t>MUDAR PARA PAREDE PADRÃO Parede 102_REVESTIMENTO ESTRUTURA - ESTUCAMENTO GARAGEM</t>
        </is>
      </c>
      <c r="F708" s="1803" t="inlineStr">
        <is>
          <t>m³</t>
        </is>
      </c>
      <c r="G708" s="1803" t="n">
        <v>2.12</v>
      </c>
      <c r="H708" s="1805" t="n">
        <v>0</v>
      </c>
      <c r="I708" s="1805" t="n">
        <v>0</v>
      </c>
      <c r="J708" s="2128" t="n"/>
      <c r="K708" s="1803" t="inlineStr"/>
    </row>
    <row r="709" ht="25.5" customHeight="1">
      <c r="A709" s="1816" t="inlineStr">
        <is>
          <t>22.1.70</t>
        </is>
      </c>
      <c r="B709" s="1815" t="n"/>
      <c r="C709" s="1814" t="n"/>
      <c r="D709" s="1814" t="n"/>
      <c r="E709" s="1813" t="inlineStr">
        <is>
          <t>MUDAR PARA PAREDE PADRÃO Parede 102_REVESTIMENTO ESTRUTURA - ESTUCAMENTO VIGAS GARAGEM</t>
        </is>
      </c>
      <c r="F709" s="1810" t="inlineStr">
        <is>
          <t>m³</t>
        </is>
      </c>
      <c r="G709" s="1810" t="n">
        <v>0.2</v>
      </c>
      <c r="H709" s="1812" t="n">
        <v>0</v>
      </c>
      <c r="I709" s="1812" t="n">
        <v>0</v>
      </c>
      <c r="J709" s="2127" t="n"/>
      <c r="K709" s="1810" t="inlineStr"/>
    </row>
    <row r="710" ht="25.5" customHeight="1">
      <c r="A710" s="1809" t="inlineStr">
        <is>
          <t>22.1.71</t>
        </is>
      </c>
      <c r="B710" s="1808" t="n"/>
      <c r="C710" s="1807" t="n"/>
      <c r="D710" s="1807" t="n"/>
      <c r="E710" s="1806" t="inlineStr">
        <is>
          <t>MUDAR PARA PAREDE PADRÃO Parede 102_REVESTIMENTO ESTRUTURA - GARAGEM</t>
        </is>
      </c>
      <c r="F710" s="1803" t="inlineStr">
        <is>
          <t>m³</t>
        </is>
      </c>
      <c r="G710" s="1803" t="n">
        <v>3.82</v>
      </c>
      <c r="H710" s="1805" t="n">
        <v>0</v>
      </c>
      <c r="I710" s="1805" t="n">
        <v>0</v>
      </c>
      <c r="J710" s="2128" t="n"/>
      <c r="K710" s="1803" t="inlineStr"/>
    </row>
    <row r="711" ht="25.5" customHeight="1">
      <c r="A711" s="1816" t="inlineStr">
        <is>
          <t>22.1.72</t>
        </is>
      </c>
      <c r="B711" s="1815" t="n"/>
      <c r="C711" s="1814" t="n"/>
      <c r="D711" s="1814" t="n"/>
      <c r="E711" s="1813" t="inlineStr">
        <is>
          <t>MUDAR PARA PAREDE PADRÃO Parede 102_REVESTIMENTO ESTRUTURA - GOURMET CLUB</t>
        </is>
      </c>
      <c r="F711" s="1810" t="inlineStr">
        <is>
          <t>m³</t>
        </is>
      </c>
      <c r="G711" s="1810" t="n">
        <v>0.86</v>
      </c>
      <c r="H711" s="1812" t="n">
        <v>0</v>
      </c>
      <c r="I711" s="1812" t="n">
        <v>0</v>
      </c>
      <c r="J711" s="2127" t="n"/>
      <c r="K711" s="1810" t="inlineStr"/>
    </row>
    <row r="712" ht="25.5" customHeight="1">
      <c r="A712" s="1809" t="inlineStr">
        <is>
          <t>22.1.73</t>
        </is>
      </c>
      <c r="B712" s="1808" t="n"/>
      <c r="C712" s="1807" t="n"/>
      <c r="D712" s="1807" t="n"/>
      <c r="E712" s="1806" t="inlineStr">
        <is>
          <t>MUDAR PARA PAREDE PADRÃO Parede 102_REVESTIMENTO ESTRUTURA - HALL DO PAVIMENTO</t>
        </is>
      </c>
      <c r="F712" s="1803" t="inlineStr">
        <is>
          <t>m³</t>
        </is>
      </c>
      <c r="G712" s="1803" t="n">
        <v>0.05</v>
      </c>
      <c r="H712" s="1805" t="n">
        <v>0</v>
      </c>
      <c r="I712" s="1805" t="n">
        <v>0</v>
      </c>
      <c r="J712" s="2128" t="n"/>
      <c r="K712" s="1803" t="inlineStr"/>
    </row>
    <row r="713" ht="25.5" customHeight="1">
      <c r="A713" s="1816" t="inlineStr">
        <is>
          <t>22.1.74</t>
        </is>
      </c>
      <c r="B713" s="1815" t="n"/>
      <c r="C713" s="1814" t="n"/>
      <c r="D713" s="1814" t="n"/>
      <c r="E713" s="1813" t="inlineStr">
        <is>
          <t>MUDAR PARA PAREDE PADRÃO Parede 102_REVESTIMENTO ESTRUTURA - HALL DO PAVIMENTO - GARAGEM</t>
        </is>
      </c>
      <c r="F713" s="1810" t="inlineStr">
        <is>
          <t>m³</t>
        </is>
      </c>
      <c r="G713" s="1810" t="n">
        <v>0.06</v>
      </c>
      <c r="H713" s="1812" t="n">
        <v>0</v>
      </c>
      <c r="I713" s="1812" t="n">
        <v>0</v>
      </c>
      <c r="J713" s="2127" t="n"/>
      <c r="K713" s="1810" t="inlineStr"/>
    </row>
    <row r="714" ht="25.5" customHeight="1">
      <c r="A714" s="1809" t="inlineStr">
        <is>
          <t>22.1.75</t>
        </is>
      </c>
      <c r="B714" s="1808" t="n"/>
      <c r="C714" s="1807" t="n"/>
      <c r="D714" s="1807" t="n"/>
      <c r="E714" s="1806" t="inlineStr">
        <is>
          <t>MUDAR PARA PAREDE PADRÃO Parede 102_REVESTIMENTO ESTRUTURA - HALL ENTRADA - TORRE A</t>
        </is>
      </c>
      <c r="F714" s="1803" t="inlineStr">
        <is>
          <t>m³</t>
        </is>
      </c>
      <c r="G714" s="1803" t="n"/>
      <c r="H714" s="1805" t="n">
        <v>0</v>
      </c>
      <c r="I714" s="1805" t="n">
        <v>0</v>
      </c>
      <c r="J714" s="2128" t="n"/>
      <c r="K714" s="1803" t="inlineStr"/>
    </row>
    <row r="715" ht="25.5" customHeight="1">
      <c r="A715" s="1816" t="inlineStr">
        <is>
          <t>22.1.76</t>
        </is>
      </c>
      <c r="B715" s="1815" t="n"/>
      <c r="C715" s="1814" t="n"/>
      <c r="D715" s="1814" t="n"/>
      <c r="E715" s="1813" t="inlineStr">
        <is>
          <t>MUDAR PARA PAREDE PADRÃO Parede 102_REVESTIMENTO ESTRUTURA - HALL ENTRADA - TORRE B</t>
        </is>
      </c>
      <c r="F715" s="1810" t="inlineStr">
        <is>
          <t>m³</t>
        </is>
      </c>
      <c r="G715" s="1810" t="n">
        <v>0.08</v>
      </c>
      <c r="H715" s="1812" t="n">
        <v>0</v>
      </c>
      <c r="I715" s="1812" t="n">
        <v>0</v>
      </c>
      <c r="J715" s="2127" t="n"/>
      <c r="K715" s="1810" t="inlineStr"/>
    </row>
    <row r="716" ht="25.5" customHeight="1">
      <c r="A716" s="1809" t="inlineStr">
        <is>
          <t>22.1.77</t>
        </is>
      </c>
      <c r="B716" s="1808" t="n"/>
      <c r="C716" s="1807" t="n"/>
      <c r="D716" s="1807" t="n"/>
      <c r="E716" s="1806" t="inlineStr">
        <is>
          <t>MUDAR PARA PAREDE PADRÃO Parede 102_REVESTIMENTO ESTRUTURA - HEALTHY CLUB</t>
        </is>
      </c>
      <c r="F716" s="1803" t="inlineStr">
        <is>
          <t>m³</t>
        </is>
      </c>
      <c r="G716" s="1803" t="n">
        <v>0.45</v>
      </c>
      <c r="H716" s="1805" t="n">
        <v>0</v>
      </c>
      <c r="I716" s="1805" t="n">
        <v>0</v>
      </c>
      <c r="J716" s="2128" t="n"/>
      <c r="K716" s="1803" t="inlineStr"/>
    </row>
    <row r="717" ht="25.5" customHeight="1">
      <c r="A717" s="1816" t="inlineStr">
        <is>
          <t>22.1.78</t>
        </is>
      </c>
      <c r="B717" s="1815" t="n"/>
      <c r="C717" s="1814" t="n"/>
      <c r="D717" s="1814" t="n"/>
      <c r="E717" s="1813" t="inlineStr">
        <is>
          <t>MUDAR PARA PAREDE PADRÃO Parede 102_REVESTIMENTO ESTRUTURA - LAVABO EXTERNO - LAZER</t>
        </is>
      </c>
      <c r="F717" s="1810" t="inlineStr">
        <is>
          <t>m³</t>
        </is>
      </c>
      <c r="G717" s="1810" t="n">
        <v>0.1</v>
      </c>
      <c r="H717" s="1812" t="n">
        <v>0</v>
      </c>
      <c r="I717" s="1812" t="n">
        <v>0</v>
      </c>
      <c r="J717" s="2127" t="n"/>
      <c r="K717" s="1810" t="inlineStr"/>
    </row>
    <row r="718" ht="25.5" customHeight="1">
      <c r="A718" s="1809" t="inlineStr">
        <is>
          <t>22.1.79</t>
        </is>
      </c>
      <c r="B718" s="1808" t="n"/>
      <c r="C718" s="1807" t="n"/>
      <c r="D718" s="1807" t="n"/>
      <c r="E718" s="1806" t="inlineStr">
        <is>
          <t>MUDAR PARA PAREDE PADRÃO Parede 102_REVESTIMENTO ESTRUTURA - LAVABO - LAZER</t>
        </is>
      </c>
      <c r="F718" s="1803" t="inlineStr">
        <is>
          <t>m³</t>
        </is>
      </c>
      <c r="G718" s="1803" t="n">
        <v>0.01</v>
      </c>
      <c r="H718" s="1805" t="n">
        <v>0</v>
      </c>
      <c r="I718" s="1805" t="n">
        <v>0</v>
      </c>
      <c r="J718" s="2128" t="n"/>
      <c r="K718" s="1803" t="inlineStr"/>
    </row>
    <row r="719" ht="25.5" customHeight="1">
      <c r="A719" s="1816" t="inlineStr">
        <is>
          <t>22.1.80</t>
        </is>
      </c>
      <c r="B719" s="1815" t="n"/>
      <c r="C719" s="1814" t="n"/>
      <c r="D719" s="1814" t="n"/>
      <c r="E719" s="1813" t="inlineStr">
        <is>
          <t>MUDAR PARA PAREDE PADRÃO Parede 102_REVESTIMENTO ESTRUTURA - LIVING ROOM - TORRE 01</t>
        </is>
      </c>
      <c r="F719" s="1810" t="inlineStr">
        <is>
          <t>m³</t>
        </is>
      </c>
      <c r="G719" s="1810" t="n">
        <v>0.18</v>
      </c>
      <c r="H719" s="1812" t="n">
        <v>0</v>
      </c>
      <c r="I719" s="1812" t="n">
        <v>0</v>
      </c>
      <c r="J719" s="2127" t="n"/>
      <c r="K719" s="1810" t="inlineStr"/>
    </row>
    <row r="720" ht="25.5" customHeight="1">
      <c r="A720" s="1809" t="inlineStr">
        <is>
          <t>22.1.81</t>
        </is>
      </c>
      <c r="B720" s="1808" t="n"/>
      <c r="C720" s="1807" t="n"/>
      <c r="D720" s="1807" t="n"/>
      <c r="E720" s="1806" t="inlineStr">
        <is>
          <t>MUDAR PARA PAREDE PADRÃO Parede 102_REVESTIMENTO ESTRUTURA - PLAY ROOM</t>
        </is>
      </c>
      <c r="F720" s="1803" t="inlineStr">
        <is>
          <t>m³</t>
        </is>
      </c>
      <c r="G720" s="1803" t="n">
        <v>0.97</v>
      </c>
      <c r="H720" s="1805" t="n">
        <v>0</v>
      </c>
      <c r="I720" s="1805" t="n">
        <v>0</v>
      </c>
      <c r="J720" s="2128" t="n"/>
      <c r="K720" s="1803" t="inlineStr"/>
    </row>
    <row r="721" ht="25.5" customHeight="1">
      <c r="A721" s="1816" t="inlineStr">
        <is>
          <t>22.1.82</t>
        </is>
      </c>
      <c r="B721" s="1815" t="n"/>
      <c r="C721" s="1814" t="n"/>
      <c r="D721" s="1814" t="n"/>
      <c r="E721" s="1813" t="inlineStr">
        <is>
          <t>MUDAR PARA PAREDE PADRÃO Parede 102_REVESTIMENTO ESTRUTURA - POKER ROOM</t>
        </is>
      </c>
      <c r="F721" s="1810" t="inlineStr">
        <is>
          <t>m³</t>
        </is>
      </c>
      <c r="G721" s="1810" t="n">
        <v>0.04</v>
      </c>
      <c r="H721" s="1812" t="n">
        <v>0</v>
      </c>
      <c r="I721" s="1812" t="n">
        <v>0</v>
      </c>
      <c r="J721" s="2127" t="n"/>
      <c r="K721" s="1810" t="inlineStr"/>
    </row>
    <row r="722" ht="25.5" customHeight="1">
      <c r="A722" s="1809" t="inlineStr">
        <is>
          <t>22.1.83</t>
        </is>
      </c>
      <c r="B722" s="1808" t="n"/>
      <c r="C722" s="1807" t="n"/>
      <c r="D722" s="1807" t="n"/>
      <c r="E722" s="1806" t="inlineStr">
        <is>
          <t>MUDAR PARA PAREDE PADRÃO Parede 102_REVESTIMENTO ESTRUTURA - POOL CLUB</t>
        </is>
      </c>
      <c r="F722" s="1803" t="inlineStr">
        <is>
          <t>m³</t>
        </is>
      </c>
      <c r="G722" s="1803" t="n">
        <v>0.13</v>
      </c>
      <c r="H722" s="1805" t="n">
        <v>0</v>
      </c>
      <c r="I722" s="1805" t="n">
        <v>0</v>
      </c>
      <c r="J722" s="2128" t="n"/>
      <c r="K722" s="1803" t="inlineStr"/>
    </row>
    <row r="723" ht="25.5" customHeight="1">
      <c r="A723" s="1816" t="inlineStr">
        <is>
          <t>22.1.84</t>
        </is>
      </c>
      <c r="B723" s="1815" t="n"/>
      <c r="C723" s="1814" t="n"/>
      <c r="D723" s="1814" t="n"/>
      <c r="E723" s="1813" t="inlineStr">
        <is>
          <t>MUDAR PARA PAREDE PADRÃO Parede 102_REVESTIMENTO ESTRUTURA - RESERVATORIO PLUVIAL</t>
        </is>
      </c>
      <c r="F723" s="1810" t="inlineStr">
        <is>
          <t>m³</t>
        </is>
      </c>
      <c r="G723" s="1810" t="n">
        <v>0.15</v>
      </c>
      <c r="H723" s="1812" t="n">
        <v>0</v>
      </c>
      <c r="I723" s="1812" t="n">
        <v>0</v>
      </c>
      <c r="J723" s="2127" t="n"/>
      <c r="K723" s="1810" t="inlineStr"/>
    </row>
    <row r="724" ht="25.5" customHeight="1">
      <c r="A724" s="1809" t="inlineStr">
        <is>
          <t>22.1.85</t>
        </is>
      </c>
      <c r="B724" s="1808" t="n"/>
      <c r="C724" s="1807" t="n"/>
      <c r="D724" s="1807" t="n"/>
      <c r="E724" s="1806" t="inlineStr">
        <is>
          <t>MUDAR PARA PAREDE PADRÃO Parede 102_REVESTIMENTO ESTRUTURA - SALA COMERCIAL</t>
        </is>
      </c>
      <c r="F724" s="1803" t="inlineStr">
        <is>
          <t>m³</t>
        </is>
      </c>
      <c r="G724" s="1803" t="n">
        <v>0.43</v>
      </c>
      <c r="H724" s="1805" t="n">
        <v>0</v>
      </c>
      <c r="I724" s="1805" t="n">
        <v>0</v>
      </c>
      <c r="J724" s="2128" t="n"/>
      <c r="K724" s="1803" t="inlineStr"/>
    </row>
    <row r="725" ht="25.5" customHeight="1">
      <c r="A725" s="1816" t="inlineStr">
        <is>
          <t>22.1.86</t>
        </is>
      </c>
      <c r="B725" s="1815" t="n"/>
      <c r="C725" s="1814" t="n"/>
      <c r="D725" s="1814" t="n"/>
      <c r="E725" s="1813" t="inlineStr">
        <is>
          <t>MUDAR PARA PAREDE PADRÃO Parede 102_REVESTIMENTO ESTRUTURA - SALAO DE FESTA KIDS</t>
        </is>
      </c>
      <c r="F725" s="1810" t="inlineStr">
        <is>
          <t>m³</t>
        </is>
      </c>
      <c r="G725" s="1810" t="n">
        <v>0.71</v>
      </c>
      <c r="H725" s="1812" t="n">
        <v>0</v>
      </c>
      <c r="I725" s="1812" t="n">
        <v>0</v>
      </c>
      <c r="J725" s="2127" t="n"/>
      <c r="K725" s="1810" t="inlineStr"/>
    </row>
    <row r="726" ht="25.5" customHeight="1">
      <c r="A726" s="1809" t="inlineStr">
        <is>
          <t>22.1.87</t>
        </is>
      </c>
      <c r="B726" s="1808" t="n"/>
      <c r="C726" s="1807" t="n"/>
      <c r="D726" s="1807" t="n"/>
      <c r="E726" s="1806" t="inlineStr">
        <is>
          <t>MUDAR PARA PAREDE PADRÃO Parede 102_REVESTIMENTO ESTRUTURA - SUBESTACAO</t>
        </is>
      </c>
      <c r="F726" s="1803" t="inlineStr">
        <is>
          <t>m³</t>
        </is>
      </c>
      <c r="G726" s="1803" t="n">
        <v>0.31</v>
      </c>
      <c r="H726" s="1805" t="n">
        <v>0</v>
      </c>
      <c r="I726" s="1805" t="n">
        <v>0</v>
      </c>
      <c r="J726" s="2128" t="n"/>
      <c r="K726" s="1803" t="inlineStr"/>
    </row>
    <row r="727" ht="25.5" customHeight="1">
      <c r="A727" s="1816" t="inlineStr">
        <is>
          <t>22.1.88</t>
        </is>
      </c>
      <c r="B727" s="1815" t="n"/>
      <c r="C727" s="1814" t="n"/>
      <c r="D727" s="1814" t="n"/>
      <c r="E727" s="1813" t="inlineStr">
        <is>
          <t>MUDAR PARA PAREDE PADRÃO Parede 102_REVESTIMENTO ESTRUTURA - TELECOM</t>
        </is>
      </c>
      <c r="F727" s="1810" t="inlineStr">
        <is>
          <t>m³</t>
        </is>
      </c>
      <c r="G727" s="1810" t="n">
        <v>0.01</v>
      </c>
      <c r="H727" s="1812" t="n">
        <v>0</v>
      </c>
      <c r="I727" s="1812" t="n">
        <v>0</v>
      </c>
      <c r="J727" s="2127" t="n"/>
      <c r="K727" s="1810" t="inlineStr"/>
    </row>
    <row r="728" ht="25.5" customHeight="1">
      <c r="A728" s="1809" t="inlineStr">
        <is>
          <t>22.1.89</t>
        </is>
      </c>
      <c r="B728" s="1808" t="n"/>
      <c r="C728" s="1807" t="n"/>
      <c r="D728" s="1807" t="n"/>
      <c r="E728" s="1806" t="inlineStr">
        <is>
          <t>MUDAR PARA PAREDE PADRÃO Parede 104_REVESTIMENTO ESPELHO ESCADA - ESCADA PRESSURIZADA</t>
        </is>
      </c>
      <c r="F728" s="1803" t="inlineStr">
        <is>
          <t>m³</t>
        </is>
      </c>
      <c r="G728" s="1803" t="n">
        <v>0.03</v>
      </c>
      <c r="H728" s="1805" t="n">
        <v>0</v>
      </c>
      <c r="I728" s="1805" t="n">
        <v>0</v>
      </c>
      <c r="J728" s="2128" t="n"/>
      <c r="K728" s="1803" t="inlineStr"/>
    </row>
    <row r="729">
      <c r="A729" s="1816" t="inlineStr">
        <is>
          <t>22.1.90</t>
        </is>
      </c>
      <c r="B729" s="1815" t="n"/>
      <c r="C729" s="1814" t="n"/>
      <c r="D729" s="1814" t="n"/>
      <c r="E729" s="1813" t="inlineStr">
        <is>
          <t>MUDAR PARA PAREDE PADRÃO Parede 17_ACF 12,5 cm</t>
        </is>
      </c>
      <c r="F729" s="1810" t="inlineStr">
        <is>
          <t>m³</t>
        </is>
      </c>
      <c r="G729" s="1810" t="n">
        <v>9.69</v>
      </c>
      <c r="H729" s="1812" t="n">
        <v>0</v>
      </c>
      <c r="I729" s="1812" t="n">
        <v>0</v>
      </c>
      <c r="J729" s="2127" t="n"/>
      <c r="K729" s="1810" t="inlineStr"/>
    </row>
    <row r="730">
      <c r="A730" s="1809" t="inlineStr">
        <is>
          <t>22.1.91</t>
        </is>
      </c>
      <c r="B730" s="1808" t="n"/>
      <c r="C730" s="1807" t="n"/>
      <c r="D730" s="1807" t="n"/>
      <c r="E730" s="1806" t="inlineStr">
        <is>
          <t>MUDAR PARA PAREDE PADRÃO Parede 18_ACF 15 cm</t>
        </is>
      </c>
      <c r="F730" s="1803" t="inlineStr">
        <is>
          <t>m³</t>
        </is>
      </c>
      <c r="G730" s="1803" t="n">
        <v>16.01</v>
      </c>
      <c r="H730" s="1805" t="n">
        <v>0</v>
      </c>
      <c r="I730" s="1805" t="n">
        <v>0</v>
      </c>
      <c r="J730" s="2128" t="n"/>
      <c r="K730" s="1803" t="inlineStr"/>
    </row>
    <row r="731">
      <c r="A731" s="1816" t="inlineStr">
        <is>
          <t>22.1.92</t>
        </is>
      </c>
      <c r="B731" s="1815" t="n"/>
      <c r="C731" s="1814" t="n"/>
      <c r="D731" s="1814" t="n"/>
      <c r="E731" s="1813" t="inlineStr">
        <is>
          <t>MUDAR PARA PAREDE PADRÃO Parede 50_PAINEL 7cm</t>
        </is>
      </c>
      <c r="F731" s="1810" t="inlineStr">
        <is>
          <t>m³</t>
        </is>
      </c>
      <c r="G731" s="1810" t="n">
        <v>14.65</v>
      </c>
      <c r="H731" s="1812" t="n">
        <v>0</v>
      </c>
      <c r="I731" s="1812" t="n">
        <v>0</v>
      </c>
      <c r="J731" s="2127" t="n"/>
      <c r="K731" s="1810" t="inlineStr"/>
    </row>
    <row r="732">
      <c r="A732" s="1809" t="inlineStr">
        <is>
          <t>22.1.93</t>
        </is>
      </c>
      <c r="B732" s="1808" t="n"/>
      <c r="C732" s="1807" t="n"/>
      <c r="D732" s="1807" t="n"/>
      <c r="E732" s="1806" t="inlineStr">
        <is>
          <t>MUDAR PARA PAREDE PADRÃO Parede 55_BRISE 10cm</t>
        </is>
      </c>
      <c r="F732" s="1803" t="inlineStr">
        <is>
          <t>m³</t>
        </is>
      </c>
      <c r="G732" s="1803" t="n">
        <v>0.1</v>
      </c>
      <c r="H732" s="1805" t="n">
        <v>0</v>
      </c>
      <c r="I732" s="1805" t="n">
        <v>0</v>
      </c>
      <c r="J732" s="2128" t="n"/>
      <c r="K732" s="1803" t="inlineStr"/>
    </row>
    <row r="733">
      <c r="A733" s="1816" t="inlineStr">
        <is>
          <t>22.1.94</t>
        </is>
      </c>
      <c r="B733" s="1815" t="n"/>
      <c r="C733" s="1814" t="n"/>
      <c r="D733" s="1814" t="n"/>
      <c r="E733" s="1813" t="inlineStr">
        <is>
          <t>MUDAR PARA PAREDE PADRÃO Parede 65_PELE DE VIDRO 7cm</t>
        </is>
      </c>
      <c r="F733" s="1810" t="inlineStr">
        <is>
          <t>m³</t>
        </is>
      </c>
      <c r="G733" s="1810" t="n">
        <v>10.12</v>
      </c>
      <c r="H733" s="1812" t="n">
        <v>0</v>
      </c>
      <c r="I733" s="1812" t="n">
        <v>0</v>
      </c>
      <c r="J733" s="2127" t="n"/>
      <c r="K733" s="1810" t="inlineStr"/>
    </row>
    <row r="734" ht="25.5" customHeight="1">
      <c r="A734" s="1809" t="inlineStr">
        <is>
          <t>22.1.95</t>
        </is>
      </c>
      <c r="B734" s="1808" t="n"/>
      <c r="C734" s="1807" t="n"/>
      <c r="D734" s="1807" t="n"/>
      <c r="E734" s="1806" t="inlineStr">
        <is>
          <t>MUDAR PARA PAREDE PADRÃO Parede REVESTIMENTO FACHADA ESTRUTURA - COR 01 - NOME DA COR</t>
        </is>
      </c>
      <c r="F734" s="1803" t="inlineStr">
        <is>
          <t>m³</t>
        </is>
      </c>
      <c r="G734" s="1803" t="n">
        <v>0.78</v>
      </c>
      <c r="H734" s="1805" t="n">
        <v>0</v>
      </c>
      <c r="I734" s="1805" t="n">
        <v>0</v>
      </c>
      <c r="J734" s="2128" t="n"/>
      <c r="K734" s="1803" t="inlineStr"/>
    </row>
    <row r="735" ht="25.5" customHeight="1">
      <c r="A735" s="1816" t="inlineStr">
        <is>
          <t>22.1.96</t>
        </is>
      </c>
      <c r="B735" s="1815" t="n"/>
      <c r="C735" s="1814" t="n"/>
      <c r="D735" s="1814" t="n"/>
      <c r="E735" s="1813" t="inlineStr">
        <is>
          <t>MUDAR PARA PAREDE PADRÃO Parede REVESTIMENTO FACHADA ESTRUTURA - COR 03 - NOME DA COR</t>
        </is>
      </c>
      <c r="F735" s="1810" t="inlineStr">
        <is>
          <t>m³</t>
        </is>
      </c>
      <c r="G735" s="1810" t="n">
        <v>0.28</v>
      </c>
      <c r="H735" s="1812" t="n">
        <v>0</v>
      </c>
      <c r="I735" s="1812" t="n">
        <v>0</v>
      </c>
      <c r="J735" s="2127" t="n"/>
      <c r="K735" s="1810" t="inlineStr"/>
    </row>
    <row r="736" ht="25.5" customHeight="1">
      <c r="A736" s="1809" t="inlineStr">
        <is>
          <t>22.1.97</t>
        </is>
      </c>
      <c r="B736" s="1808" t="n"/>
      <c r="C736" s="1807" t="n"/>
      <c r="D736" s="1807" t="n"/>
      <c r="E736" s="1806" t="inlineStr">
        <is>
          <t>MUDAR PARA PAREDE PADRÃO Parede REVESTIMENTO FACHADA ESTRUTURA - COR 04 - NOME DA COR</t>
        </is>
      </c>
      <c r="F736" s="1803" t="inlineStr">
        <is>
          <t>m³</t>
        </is>
      </c>
      <c r="G736" s="1803" t="n">
        <v>0.43</v>
      </c>
      <c r="H736" s="1805" t="n">
        <v>0</v>
      </c>
      <c r="I736" s="1805" t="n">
        <v>0</v>
      </c>
      <c r="J736" s="2128" t="n"/>
      <c r="K736" s="1803" t="inlineStr"/>
    </row>
    <row r="737" ht="25.5" customHeight="1">
      <c r="A737" s="1816" t="inlineStr">
        <is>
          <t>22.1.98</t>
        </is>
      </c>
      <c r="B737" s="1815" t="n"/>
      <c r="C737" s="1814" t="n"/>
      <c r="D737" s="1814" t="n"/>
      <c r="E737" s="1813" t="inlineStr">
        <is>
          <t>MUDAR PARA PAREDE PADRÃO Parede REVESTIMENTO FACHADA PAREDE - COR 01 - NOME DA COR</t>
        </is>
      </c>
      <c r="F737" s="1810" t="inlineStr">
        <is>
          <t>m³</t>
        </is>
      </c>
      <c r="G737" s="1810" t="n">
        <v>2.01</v>
      </c>
      <c r="H737" s="1812" t="n">
        <v>0</v>
      </c>
      <c r="I737" s="1812" t="n">
        <v>0</v>
      </c>
      <c r="J737" s="2127" t="n"/>
      <c r="K737" s="1810" t="inlineStr"/>
    </row>
    <row r="738">
      <c r="A738" s="1809" t="inlineStr">
        <is>
          <t>22.1.99</t>
        </is>
      </c>
      <c r="B738" s="1808" t="n"/>
      <c r="C738" s="1807" t="n"/>
      <c r="D738" s="1807" t="n"/>
      <c r="E738" s="1806" t="inlineStr">
        <is>
          <t>MUDAR PARA PAREDE PADRÃO Parede RODAPÉ - BOX</t>
        </is>
      </c>
      <c r="F738" s="1803" t="inlineStr">
        <is>
          <t>m³</t>
        </is>
      </c>
      <c r="G738" s="1803" t="n"/>
      <c r="H738" s="1805" t="n">
        <v>0</v>
      </c>
      <c r="I738" s="1805" t="n">
        <v>0</v>
      </c>
      <c r="J738" s="2128" t="n"/>
      <c r="K738" s="1803" t="inlineStr"/>
    </row>
    <row r="739" ht="25.5" customHeight="1">
      <c r="A739" s="1816" t="inlineStr">
        <is>
          <t>22.1.100</t>
        </is>
      </c>
      <c r="B739" s="1815" t="n"/>
      <c r="C739" s="1814" t="n"/>
      <c r="D739" s="1814" t="n"/>
      <c r="E739" s="1813" t="inlineStr">
        <is>
          <t>MUDAR PARA PAREDE PADRÃO Parede RODAPÉ - ESCADA - ESCADA PRESSURIZADA</t>
        </is>
      </c>
      <c r="F739" s="1810" t="inlineStr">
        <is>
          <t>m³</t>
        </is>
      </c>
      <c r="G739" s="1810" t="n">
        <v>0.04</v>
      </c>
      <c r="H739" s="1812" t="n">
        <v>0</v>
      </c>
      <c r="I739" s="1812" t="n">
        <v>0</v>
      </c>
      <c r="J739" s="2127" t="n"/>
      <c r="K739" s="1810" t="inlineStr"/>
    </row>
    <row r="740">
      <c r="A740" s="1809" t="inlineStr">
        <is>
          <t>22.1.101</t>
        </is>
      </c>
      <c r="B740" s="1808" t="n"/>
      <c r="C740" s="1807" t="n"/>
      <c r="D740" s="1807" t="n"/>
      <c r="E740" s="1806" t="inlineStr">
        <is>
          <t>MUDAR PARA PAREDE PADRÃO Parede RODAPÉ - LIVING ROOM - TORRE 01</t>
        </is>
      </c>
      <c r="F740" s="1803" t="inlineStr">
        <is>
          <t>m³</t>
        </is>
      </c>
      <c r="G740" s="1803" t="n">
        <v>0.01</v>
      </c>
      <c r="H740" s="1805" t="n">
        <v>0</v>
      </c>
      <c r="I740" s="1805" t="n">
        <v>0</v>
      </c>
      <c r="J740" s="2128" t="n"/>
      <c r="K740" s="1803" t="inlineStr"/>
    </row>
    <row r="741">
      <c r="A741" s="1826" t="inlineStr">
        <is>
          <t>22.2.</t>
        </is>
      </c>
      <c r="B741" s="1825" t="n"/>
      <c r="C741" s="1824" t="n"/>
      <c r="D741" s="1824" t="n"/>
      <c r="E741" s="1824" t="inlineStr">
        <is>
          <t>ARQ_Impermeab</t>
        </is>
      </c>
      <c r="F741" s="1821" t="n"/>
      <c r="G741" s="1821" t="n"/>
      <c r="H741" s="1823" t="n"/>
      <c r="I741" s="1823" t="n">
        <v>0</v>
      </c>
      <c r="J741" s="2125" t="n"/>
      <c r="K741" s="1821" t="inlineStr"/>
    </row>
    <row r="742">
      <c r="A742" s="1816" t="inlineStr">
        <is>
          <t>22.2.1</t>
        </is>
      </c>
      <c r="B742" s="1815" t="n"/>
      <c r="C742" s="1814" t="n"/>
      <c r="D742" s="1814" t="n"/>
      <c r="E742" s="1813" t="inlineStr">
        <is>
          <t>MUDAR PARA PAREDE PADRÃO Parede IMPERMEABILIZACAO</t>
        </is>
      </c>
      <c r="F742" s="1810" t="inlineStr">
        <is>
          <t>m³</t>
        </is>
      </c>
      <c r="G742" s="1810" t="n">
        <v>3.33</v>
      </c>
      <c r="H742" s="1812" t="n">
        <v>0</v>
      </c>
      <c r="I742" s="1812" t="n">
        <v>0</v>
      </c>
      <c r="J742" s="2127" t="n"/>
      <c r="K742" s="1810" t="inlineStr"/>
    </row>
    <row r="743" ht="25.5" customHeight="1">
      <c r="A743" s="1809" t="inlineStr">
        <is>
          <t>22.2.2</t>
        </is>
      </c>
      <c r="B743" s="1808" t="n"/>
      <c r="C743" s="1807" t="n"/>
      <c r="D743" s="1807" t="n"/>
      <c r="E743" s="1806" t="inlineStr">
        <is>
          <t>MUDAR PARA PAREDE PADRÃO parede_impermeabilizacao:parede_impermeabilizacao</t>
        </is>
      </c>
      <c r="F743" s="1803" t="inlineStr">
        <is>
          <t>m³</t>
        </is>
      </c>
      <c r="G743" s="1803" t="n">
        <v>20.74</v>
      </c>
      <c r="H743" s="1805" t="n">
        <v>0</v>
      </c>
      <c r="I743" s="1805" t="n">
        <v>0</v>
      </c>
      <c r="J743" s="2128" t="n"/>
      <c r="K743" s="1803" t="inlineStr"/>
    </row>
    <row r="744">
      <c r="A744" s="1826" t="inlineStr">
        <is>
          <t>22.3.</t>
        </is>
      </c>
      <c r="B744" s="1825" t="n"/>
      <c r="C744" s="1824" t="n"/>
      <c r="D744" s="1824" t="n"/>
      <c r="E744" s="1824" t="inlineStr">
        <is>
          <t>ARQ_Torre_A</t>
        </is>
      </c>
      <c r="F744" s="1821" t="n"/>
      <c r="G744" s="1821" t="n"/>
      <c r="H744" s="1823" t="n"/>
      <c r="I744" s="1823" t="n">
        <v>0</v>
      </c>
      <c r="J744" s="2125" t="n"/>
      <c r="K744" s="1821" t="inlineStr"/>
    </row>
    <row r="745">
      <c r="A745" s="1816" t="inlineStr">
        <is>
          <t>22.3.1</t>
        </is>
      </c>
      <c r="B745" s="1815" t="n"/>
      <c r="C745" s="1814" t="n"/>
      <c r="D745" s="1814" t="n"/>
      <c r="E745" s="1813" t="inlineStr">
        <is>
          <t>MUDAR PARA PAREDE PADRÃO Parede 01_ALV 05 cm OSSO</t>
        </is>
      </c>
      <c r="F745" s="1810" t="inlineStr">
        <is>
          <t>m³</t>
        </is>
      </c>
      <c r="G745" s="1810" t="n">
        <v>29.85</v>
      </c>
      <c r="H745" s="1812" t="n">
        <v>0</v>
      </c>
      <c r="I745" s="1812" t="n">
        <v>0</v>
      </c>
      <c r="J745" s="2127" t="n"/>
      <c r="K745" s="1810" t="inlineStr"/>
    </row>
    <row r="746">
      <c r="A746" s="1809" t="inlineStr">
        <is>
          <t>22.3.2</t>
        </is>
      </c>
      <c r="B746" s="1808" t="n"/>
      <c r="C746" s="1807" t="n"/>
      <c r="D746" s="1807" t="n"/>
      <c r="E746" s="1806" t="inlineStr">
        <is>
          <t>MUDAR PARA PAREDE PADRÃO Parede 01_ALV 09 cm OSSO</t>
        </is>
      </c>
      <c r="F746" s="1803" t="inlineStr">
        <is>
          <t>m³</t>
        </is>
      </c>
      <c r="G746" s="1803" t="n">
        <v>61.48</v>
      </c>
      <c r="H746" s="1805" t="n">
        <v>0</v>
      </c>
      <c r="I746" s="1805" t="n">
        <v>0</v>
      </c>
      <c r="J746" s="2128" t="n"/>
      <c r="K746" s="1803" t="inlineStr"/>
    </row>
    <row r="747">
      <c r="A747" s="1816" t="inlineStr">
        <is>
          <t>22.3.3</t>
        </is>
      </c>
      <c r="B747" s="1815" t="n"/>
      <c r="C747" s="1814" t="n"/>
      <c r="D747" s="1814" t="n"/>
      <c r="E747" s="1813" t="inlineStr">
        <is>
          <t>MUDAR PARA PAREDE PADRÃO Parede 02_ALV 11,5 cm OSSO</t>
        </is>
      </c>
      <c r="F747" s="1810" t="inlineStr">
        <is>
          <t>m³</t>
        </is>
      </c>
      <c r="G747" s="1810" t="n">
        <v>293.95</v>
      </c>
      <c r="H747" s="1812" t="n">
        <v>0</v>
      </c>
      <c r="I747" s="1812" t="n">
        <v>0</v>
      </c>
      <c r="J747" s="2127" t="n"/>
      <c r="K747" s="1810" t="inlineStr"/>
    </row>
    <row r="748">
      <c r="A748" s="1809" t="inlineStr">
        <is>
          <t>22.3.4</t>
        </is>
      </c>
      <c r="B748" s="1808" t="n"/>
      <c r="C748" s="1807" t="n"/>
      <c r="D748" s="1807" t="n"/>
      <c r="E748" s="1806" t="inlineStr">
        <is>
          <t>MUDAR PARA PAREDE PADRÃO Parede 03_ALV 14 cm OSSO</t>
        </is>
      </c>
      <c r="F748" s="1803" t="inlineStr">
        <is>
          <t>m³</t>
        </is>
      </c>
      <c r="G748" s="1803" t="n">
        <v>245.86</v>
      </c>
      <c r="H748" s="1805" t="n">
        <v>0</v>
      </c>
      <c r="I748" s="1805" t="n">
        <v>0</v>
      </c>
      <c r="J748" s="2128" t="n"/>
      <c r="K748" s="1803" t="inlineStr"/>
    </row>
    <row r="749">
      <c r="A749" s="1816" t="inlineStr">
        <is>
          <t>22.3.5</t>
        </is>
      </c>
      <c r="B749" s="1815" t="n"/>
      <c r="C749" s="1814" t="n"/>
      <c r="D749" s="1814" t="n"/>
      <c r="E749" s="1813" t="inlineStr">
        <is>
          <t>MUDAR PARA PAREDE PADRÃO Parede 04_ALV 19 cm OSSO</t>
        </is>
      </c>
      <c r="F749" s="1810" t="inlineStr">
        <is>
          <t>m³</t>
        </is>
      </c>
      <c r="G749" s="1810" t="n">
        <v>139.41</v>
      </c>
      <c r="H749" s="1812" t="n">
        <v>0</v>
      </c>
      <c r="I749" s="1812" t="n">
        <v>0</v>
      </c>
      <c r="J749" s="2127" t="n"/>
      <c r="K749" s="1810" t="inlineStr"/>
    </row>
    <row r="750" ht="25.5" customHeight="1">
      <c r="A750" s="1809" t="inlineStr">
        <is>
          <t>22.3.6</t>
        </is>
      </c>
      <c r="B750" s="1808" t="n"/>
      <c r="C750" s="1807" t="n"/>
      <c r="D750" s="1807" t="n"/>
      <c r="E750" s="1806" t="inlineStr">
        <is>
          <t>MUDAR PARA PAREDE PADRÃO Parede 101_REVESTIMENTO PAREDE - ANTECAMARA</t>
        </is>
      </c>
      <c r="F750" s="1803" t="inlineStr">
        <is>
          <t>m³</t>
        </is>
      </c>
      <c r="G750" s="1803" t="n">
        <v>1.83</v>
      </c>
      <c r="H750" s="1805" t="n">
        <v>0</v>
      </c>
      <c r="I750" s="1805" t="n">
        <v>0</v>
      </c>
      <c r="J750" s="2128" t="n"/>
      <c r="K750" s="1803" t="inlineStr"/>
    </row>
    <row r="751" ht="25.5" customHeight="1">
      <c r="A751" s="1816" t="inlineStr">
        <is>
          <t>22.3.7</t>
        </is>
      </c>
      <c r="B751" s="1815" t="n"/>
      <c r="C751" s="1814" t="n"/>
      <c r="D751" s="1814" t="n"/>
      <c r="E751" s="1813" t="inlineStr">
        <is>
          <t>MUDAR PARA PAREDE PADRÃO Parede 101_REVESTIMENTO PAREDE - AREA SERVICO - TIPO</t>
        </is>
      </c>
      <c r="F751" s="1810" t="inlineStr">
        <is>
          <t>m³</t>
        </is>
      </c>
      <c r="G751" s="1810" t="n">
        <v>0.12</v>
      </c>
      <c r="H751" s="1812" t="n">
        <v>0</v>
      </c>
      <c r="I751" s="1812" t="n">
        <v>0</v>
      </c>
      <c r="J751" s="2127" t="n"/>
      <c r="K751" s="1810" t="inlineStr"/>
    </row>
    <row r="752" ht="25.5" customHeight="1">
      <c r="A752" s="1809" t="inlineStr">
        <is>
          <t>22.3.8</t>
        </is>
      </c>
      <c r="B752" s="1808" t="n"/>
      <c r="C752" s="1807" t="n"/>
      <c r="D752" s="1807" t="n"/>
      <c r="E752" s="1806" t="inlineStr">
        <is>
          <t>MUDAR PARA PAREDE PADRÃO Parede 101_REVESTIMENTO PAREDE - BOX BWC - TIPO</t>
        </is>
      </c>
      <c r="F752" s="1803" t="inlineStr">
        <is>
          <t>m³</t>
        </is>
      </c>
      <c r="G752" s="1803" t="n">
        <v>2.62</v>
      </c>
      <c r="H752" s="1805" t="n">
        <v>0</v>
      </c>
      <c r="I752" s="1805" t="n">
        <v>0</v>
      </c>
      <c r="J752" s="2128" t="n"/>
      <c r="K752" s="1803" t="inlineStr"/>
    </row>
    <row r="753" ht="25.5" customHeight="1">
      <c r="A753" s="1816" t="inlineStr">
        <is>
          <t>22.3.9</t>
        </is>
      </c>
      <c r="B753" s="1815" t="n"/>
      <c r="C753" s="1814" t="n"/>
      <c r="D753" s="1814" t="n"/>
      <c r="E753" s="1813" t="inlineStr">
        <is>
          <t>MUDAR PARA PAREDE PADRÃO Parede 101_REVESTIMENTO PAREDE - BWC - TIPO</t>
        </is>
      </c>
      <c r="F753" s="1810" t="inlineStr">
        <is>
          <t>m³</t>
        </is>
      </c>
      <c r="G753" s="1810" t="n">
        <v>2.92</v>
      </c>
      <c r="H753" s="1812" t="n">
        <v>0</v>
      </c>
      <c r="I753" s="1812" t="n">
        <v>0</v>
      </c>
      <c r="J753" s="2127" t="n"/>
      <c r="K753" s="1810" t="inlineStr"/>
    </row>
    <row r="754" ht="25.5" customHeight="1">
      <c r="A754" s="1809" t="inlineStr">
        <is>
          <t>22.3.10</t>
        </is>
      </c>
      <c r="B754" s="1808" t="n"/>
      <c r="C754" s="1807" t="n"/>
      <c r="D754" s="1807" t="n"/>
      <c r="E754" s="1806" t="inlineStr">
        <is>
          <t>MUDAR PARA PAREDE PADRÃO Parede 101_REVESTIMENTO PAREDE - CASA DE BOMBAS</t>
        </is>
      </c>
      <c r="F754" s="1803" t="inlineStr">
        <is>
          <t>m³</t>
        </is>
      </c>
      <c r="G754" s="1803" t="n">
        <v>0.13</v>
      </c>
      <c r="H754" s="1805" t="n">
        <v>0</v>
      </c>
      <c r="I754" s="1805" t="n">
        <v>0</v>
      </c>
      <c r="J754" s="2128" t="n"/>
      <c r="K754" s="1803" t="inlineStr"/>
    </row>
    <row r="755" ht="25.5" customHeight="1">
      <c r="A755" s="1816" t="inlineStr">
        <is>
          <t>22.3.11</t>
        </is>
      </c>
      <c r="B755" s="1815" t="n"/>
      <c r="C755" s="1814" t="n"/>
      <c r="D755" s="1814" t="n"/>
      <c r="E755" s="1813" t="inlineStr">
        <is>
          <t>MUDAR PARA PAREDE PADRÃO Parede 101_REVESTIMENTO PAREDE - CIRC. - CASA DE MAQUINAS</t>
        </is>
      </c>
      <c r="F755" s="1810" t="inlineStr">
        <is>
          <t>m³</t>
        </is>
      </c>
      <c r="G755" s="1810" t="n">
        <v>0.15</v>
      </c>
      <c r="H755" s="1812" t="n">
        <v>0</v>
      </c>
      <c r="I755" s="1812" t="n">
        <v>0</v>
      </c>
      <c r="J755" s="2127" t="n"/>
      <c r="K755" s="1810" t="inlineStr"/>
    </row>
    <row r="756" ht="25.5" customHeight="1">
      <c r="A756" s="1809" t="inlineStr">
        <is>
          <t>22.3.12</t>
        </is>
      </c>
      <c r="B756" s="1808" t="n"/>
      <c r="C756" s="1807" t="n"/>
      <c r="D756" s="1807" t="n"/>
      <c r="E756" s="1806" t="inlineStr">
        <is>
          <t>MUDAR PARA PAREDE PADRÃO Parede 101_REVESTIMENTO PAREDE - CIRC E ROUPARIA</t>
        </is>
      </c>
      <c r="F756" s="1803" t="inlineStr">
        <is>
          <t>m³</t>
        </is>
      </c>
      <c r="G756" s="1803" t="n">
        <v>10.93</v>
      </c>
      <c r="H756" s="1805" t="n">
        <v>0</v>
      </c>
      <c r="I756" s="1805" t="n">
        <v>0</v>
      </c>
      <c r="J756" s="2128" t="n"/>
      <c r="K756" s="1803" t="inlineStr"/>
    </row>
    <row r="757" ht="25.5" customHeight="1">
      <c r="A757" s="1816" t="inlineStr">
        <is>
          <t>22.3.13</t>
        </is>
      </c>
      <c r="B757" s="1815" t="n"/>
      <c r="C757" s="1814" t="n"/>
      <c r="D757" s="1814" t="n"/>
      <c r="E757" s="1813" t="inlineStr">
        <is>
          <t>MUDAR PARA PAREDE PADRÃO Parede 101_REVESTIMENTO PAREDE - CIRC. - TIPO</t>
        </is>
      </c>
      <c r="F757" s="1810" t="inlineStr">
        <is>
          <t>m³</t>
        </is>
      </c>
      <c r="G757" s="1810" t="n">
        <v>7.83</v>
      </c>
      <c r="H757" s="1812" t="n">
        <v>0</v>
      </c>
      <c r="I757" s="1812" t="n">
        <v>0</v>
      </c>
      <c r="J757" s="2127" t="n"/>
      <c r="K757" s="1810" t="inlineStr"/>
    </row>
    <row r="758" ht="25.5" customHeight="1">
      <c r="A758" s="1809" t="inlineStr">
        <is>
          <t>22.3.14</t>
        </is>
      </c>
      <c r="B758" s="1808" t="n"/>
      <c r="C758" s="1807" t="n"/>
      <c r="D758" s="1807" t="n"/>
      <c r="E758" s="1806" t="inlineStr">
        <is>
          <t>MUDAR PARA PAREDE PADRÃO Parede 101_REVESTIMENTO PAREDE - COZINHA - TIPO</t>
        </is>
      </c>
      <c r="F758" s="1803" t="inlineStr">
        <is>
          <t>m³</t>
        </is>
      </c>
      <c r="G758" s="1803" t="n">
        <v>4.05</v>
      </c>
      <c r="H758" s="1805" t="n">
        <v>0</v>
      </c>
      <c r="I758" s="1805" t="n">
        <v>0</v>
      </c>
      <c r="J758" s="2128" t="n"/>
      <c r="K758" s="1803" t="inlineStr"/>
    </row>
    <row r="759" ht="25.5" customHeight="1">
      <c r="A759" s="1816" t="inlineStr">
        <is>
          <t>22.3.15</t>
        </is>
      </c>
      <c r="B759" s="1815" t="n"/>
      <c r="C759" s="1814" t="n"/>
      <c r="D759" s="1814" t="n"/>
      <c r="E759" s="1813" t="inlineStr">
        <is>
          <t>MUDAR PARA PAREDE PADRÃO Parede 101_REVESTIMENTO PAREDE - ESCADA PRESS.</t>
        </is>
      </c>
      <c r="F759" s="1810" t="inlineStr">
        <is>
          <t>m³</t>
        </is>
      </c>
      <c r="G759" s="1810" t="n">
        <v>1.13</v>
      </c>
      <c r="H759" s="1812" t="n">
        <v>0</v>
      </c>
      <c r="I759" s="1812" t="n">
        <v>0</v>
      </c>
      <c r="J759" s="2127" t="n"/>
      <c r="K759" s="1810" t="inlineStr"/>
    </row>
    <row r="760" ht="25.5" customHeight="1">
      <c r="A760" s="1809" t="inlineStr">
        <is>
          <t>22.3.16</t>
        </is>
      </c>
      <c r="B760" s="1808" t="n"/>
      <c r="C760" s="1807" t="n"/>
      <c r="D760" s="1807" t="n"/>
      <c r="E760" s="1806" t="inlineStr">
        <is>
          <t>MUDAR PARA PAREDE PADRÃO Parede 101_REVESTIMENTO PAREDE - HALL DO PAVIMENTO - TIPO</t>
        </is>
      </c>
      <c r="F760" s="1803" t="inlineStr">
        <is>
          <t>m³</t>
        </is>
      </c>
      <c r="G760" s="1803" t="n">
        <v>11.01</v>
      </c>
      <c r="H760" s="1805" t="n">
        <v>0</v>
      </c>
      <c r="I760" s="1805" t="n">
        <v>0</v>
      </c>
      <c r="J760" s="2128" t="n"/>
      <c r="K760" s="1803" t="inlineStr"/>
    </row>
    <row r="761" ht="25.5" customHeight="1">
      <c r="A761" s="1816" t="inlineStr">
        <is>
          <t>22.3.17</t>
        </is>
      </c>
      <c r="B761" s="1815" t="n"/>
      <c r="C761" s="1814" t="n"/>
      <c r="D761" s="1814" t="n"/>
      <c r="E761" s="1813" t="inlineStr">
        <is>
          <t>MUDAR PARA PAREDE PADRÃO Parede 101_REVESTIMENTO PAREDE - LAVABO - TIPO</t>
        </is>
      </c>
      <c r="F761" s="1810" t="inlineStr">
        <is>
          <t>m³</t>
        </is>
      </c>
      <c r="G761" s="1810" t="n">
        <v>2.31</v>
      </c>
      <c r="H761" s="1812" t="n">
        <v>0</v>
      </c>
      <c r="I761" s="1812" t="n">
        <v>0</v>
      </c>
      <c r="J761" s="2127" t="n"/>
      <c r="K761" s="1810" t="inlineStr"/>
    </row>
    <row r="762" ht="25.5" customHeight="1">
      <c r="A762" s="1809" t="inlineStr">
        <is>
          <t>22.3.18</t>
        </is>
      </c>
      <c r="B762" s="1808" t="n"/>
      <c r="C762" s="1807" t="n"/>
      <c r="D762" s="1807" t="n"/>
      <c r="E762" s="1806" t="inlineStr">
        <is>
          <t>MUDAR PARA PAREDE PADRÃO Parede 101_REVESTIMENTO PAREDE - LIVING - TIPO</t>
        </is>
      </c>
      <c r="F762" s="1803" t="inlineStr">
        <is>
          <t>m³</t>
        </is>
      </c>
      <c r="G762" s="1803" t="n">
        <v>13.14</v>
      </c>
      <c r="H762" s="1805" t="n">
        <v>0</v>
      </c>
      <c r="I762" s="1805" t="n">
        <v>0</v>
      </c>
      <c r="J762" s="2128" t="n"/>
      <c r="K762" s="1803" t="inlineStr"/>
    </row>
    <row r="763" ht="25.5" customHeight="1">
      <c r="A763" s="1816" t="inlineStr">
        <is>
          <t>22.3.19</t>
        </is>
      </c>
      <c r="B763" s="1815" t="n"/>
      <c r="C763" s="1814" t="n"/>
      <c r="D763" s="1814" t="n"/>
      <c r="E763" s="1813" t="inlineStr">
        <is>
          <t>MUDAR PARA PAREDE PADRÃO Parede 101_REVESTIMENTO PAREDE - SALA DE EXAUSTOES</t>
        </is>
      </c>
      <c r="F763" s="1810" t="inlineStr">
        <is>
          <t>m³</t>
        </is>
      </c>
      <c r="G763" s="1810" t="n">
        <v>0.11</v>
      </c>
      <c r="H763" s="1812" t="n">
        <v>0</v>
      </c>
      <c r="I763" s="1812" t="n">
        <v>0</v>
      </c>
      <c r="J763" s="2127" t="n"/>
      <c r="K763" s="1810" t="inlineStr"/>
    </row>
    <row r="764" ht="25.5" customHeight="1">
      <c r="A764" s="1809" t="inlineStr">
        <is>
          <t>22.3.20</t>
        </is>
      </c>
      <c r="B764" s="1808" t="n"/>
      <c r="C764" s="1807" t="n"/>
      <c r="D764" s="1807" t="n"/>
      <c r="E764" s="1806" t="inlineStr">
        <is>
          <t>MUDAR PARA PAREDE PADRÃO Parede 101_REVESTIMENTO PAREDE - SUITE</t>
        </is>
      </c>
      <c r="F764" s="1803" t="inlineStr">
        <is>
          <t>m³</t>
        </is>
      </c>
      <c r="G764" s="1803" t="n">
        <v>15.02</v>
      </c>
      <c r="H764" s="1805" t="n">
        <v>0</v>
      </c>
      <c r="I764" s="1805" t="n">
        <v>0</v>
      </c>
      <c r="J764" s="2128" t="n"/>
      <c r="K764" s="1803" t="inlineStr"/>
    </row>
    <row r="765" ht="25.5" customHeight="1">
      <c r="A765" s="1816" t="inlineStr">
        <is>
          <t>22.3.21</t>
        </is>
      </c>
      <c r="B765" s="1815" t="n"/>
      <c r="C765" s="1814" t="n"/>
      <c r="D765" s="1814" t="n"/>
      <c r="E765" s="1813" t="inlineStr">
        <is>
          <t>MUDAR PARA PAREDE PADRÃO Parede 102_REVESTIMENTO ESTRUTURA - ANTECAMARA</t>
        </is>
      </c>
      <c r="F765" s="1810" t="inlineStr">
        <is>
          <t>m³</t>
        </is>
      </c>
      <c r="G765" s="1810" t="n">
        <v>2.44</v>
      </c>
      <c r="H765" s="1812" t="n">
        <v>0</v>
      </c>
      <c r="I765" s="1812" t="n">
        <v>0</v>
      </c>
      <c r="J765" s="2127" t="n"/>
      <c r="K765" s="1810" t="inlineStr"/>
    </row>
    <row r="766" ht="25.5" customHeight="1">
      <c r="A766" s="1809" t="inlineStr">
        <is>
          <t>22.3.22</t>
        </is>
      </c>
      <c r="B766" s="1808" t="n"/>
      <c r="C766" s="1807" t="n"/>
      <c r="D766" s="1807" t="n"/>
      <c r="E766" s="1806" t="inlineStr">
        <is>
          <t>MUDAR PARA PAREDE PADRÃO Parede 102_REVESTIMENTO ESTRUTURA - AREA SERVICO - TIPO</t>
        </is>
      </c>
      <c r="F766" s="1803" t="inlineStr">
        <is>
          <t>m³</t>
        </is>
      </c>
      <c r="G766" s="1803" t="n">
        <v>0.17</v>
      </c>
      <c r="H766" s="1805" t="n">
        <v>0</v>
      </c>
      <c r="I766" s="1805" t="n">
        <v>0</v>
      </c>
      <c r="J766" s="2128" t="n"/>
      <c r="K766" s="1803" t="inlineStr"/>
    </row>
    <row r="767" ht="25.5" customHeight="1">
      <c r="A767" s="1816" t="inlineStr">
        <is>
          <t>22.3.23</t>
        </is>
      </c>
      <c r="B767" s="1815" t="n"/>
      <c r="C767" s="1814" t="n"/>
      <c r="D767" s="1814" t="n"/>
      <c r="E767" s="1813" t="inlineStr">
        <is>
          <t>MUDAR PARA PAREDE PADRÃO Parede 102_REVESTIMENTO ESTRUTURA - BWC - TIPO</t>
        </is>
      </c>
      <c r="F767" s="1810" t="inlineStr">
        <is>
          <t>m³</t>
        </is>
      </c>
      <c r="G767" s="1810" t="n">
        <v>0.45</v>
      </c>
      <c r="H767" s="1812" t="n">
        <v>0</v>
      </c>
      <c r="I767" s="1812" t="n">
        <v>0</v>
      </c>
      <c r="J767" s="2127" t="n"/>
      <c r="K767" s="1810" t="inlineStr"/>
    </row>
    <row r="768" ht="25.5" customHeight="1">
      <c r="A768" s="1809" t="inlineStr">
        <is>
          <t>22.3.24</t>
        </is>
      </c>
      <c r="B768" s="1808" t="n"/>
      <c r="C768" s="1807" t="n"/>
      <c r="D768" s="1807" t="n"/>
      <c r="E768" s="1806" t="inlineStr">
        <is>
          <t>MUDAR PARA PAREDE PADRÃO Parede 102_REVESTIMENTO ESTRUTURA - CASA DE MAQUINAS</t>
        </is>
      </c>
      <c r="F768" s="1803" t="inlineStr">
        <is>
          <t>m³</t>
        </is>
      </c>
      <c r="G768" s="1803" t="n">
        <v>0.03</v>
      </c>
      <c r="H768" s="1805" t="n">
        <v>0</v>
      </c>
      <c r="I768" s="1805" t="n">
        <v>0</v>
      </c>
      <c r="J768" s="2128" t="n"/>
      <c r="K768" s="1803" t="inlineStr"/>
    </row>
    <row r="769" ht="25.5" customHeight="1">
      <c r="A769" s="1816" t="inlineStr">
        <is>
          <t>22.3.25</t>
        </is>
      </c>
      <c r="B769" s="1815" t="n"/>
      <c r="C769" s="1814" t="n"/>
      <c r="D769" s="1814" t="n"/>
      <c r="E769" s="1813" t="inlineStr">
        <is>
          <t>MUDAR PARA PAREDE PADRÃO Parede 102_REVESTIMENTO ESTRUTURA - CIRC. - CASA DE MAQUINAS</t>
        </is>
      </c>
      <c r="F769" s="1810" t="inlineStr">
        <is>
          <t>m³</t>
        </is>
      </c>
      <c r="G769" s="1810" t="n">
        <v>0.05</v>
      </c>
      <c r="H769" s="1812" t="n">
        <v>0</v>
      </c>
      <c r="I769" s="1812" t="n">
        <v>0</v>
      </c>
      <c r="J769" s="2127" t="n"/>
      <c r="K769" s="1810" t="inlineStr"/>
    </row>
    <row r="770" ht="25.5" customHeight="1">
      <c r="A770" s="1809" t="inlineStr">
        <is>
          <t>22.3.26</t>
        </is>
      </c>
      <c r="B770" s="1808" t="n"/>
      <c r="C770" s="1807" t="n"/>
      <c r="D770" s="1807" t="n"/>
      <c r="E770" s="1806" t="inlineStr">
        <is>
          <t>MUDAR PARA PAREDE PADRÃO Parede 102_REVESTIMENTO ESTRUTURA - COZINHA - TIPO</t>
        </is>
      </c>
      <c r="F770" s="1803" t="inlineStr">
        <is>
          <t>m³</t>
        </is>
      </c>
      <c r="G770" s="1803" t="n">
        <v>0.06</v>
      </c>
      <c r="H770" s="1805" t="n">
        <v>0</v>
      </c>
      <c r="I770" s="1805" t="n">
        <v>0</v>
      </c>
      <c r="J770" s="2128" t="n"/>
      <c r="K770" s="1803" t="inlineStr"/>
    </row>
    <row r="771" ht="25.5" customHeight="1">
      <c r="A771" s="1816" t="inlineStr">
        <is>
          <t>22.3.27</t>
        </is>
      </c>
      <c r="B771" s="1815" t="n"/>
      <c r="C771" s="1814" t="n"/>
      <c r="D771" s="1814" t="n"/>
      <c r="E771" s="1813" t="inlineStr">
        <is>
          <t>MUDAR PARA PAREDE PADRÃO Parede 102_REVESTIMENTO ESTRUTURA - DUTO - PRESS</t>
        </is>
      </c>
      <c r="F771" s="1810" t="inlineStr">
        <is>
          <t>m³</t>
        </is>
      </c>
      <c r="G771" s="1810" t="n">
        <v>0.27</v>
      </c>
      <c r="H771" s="1812" t="n">
        <v>0</v>
      </c>
      <c r="I771" s="1812" t="n">
        <v>0</v>
      </c>
      <c r="J771" s="2127" t="n"/>
      <c r="K771" s="1810" t="inlineStr"/>
    </row>
    <row r="772" ht="25.5" customHeight="1">
      <c r="A772" s="1809" t="inlineStr">
        <is>
          <t>22.3.28</t>
        </is>
      </c>
      <c r="B772" s="1808" t="n"/>
      <c r="C772" s="1807" t="n"/>
      <c r="D772" s="1807" t="n"/>
      <c r="E772" s="1806" t="inlineStr">
        <is>
          <t>MUDAR PARA PAREDE PADRÃO Parede 102_REVESTIMENTO ESTRUTURA - ELEV.</t>
        </is>
      </c>
      <c r="F772" s="1803" t="inlineStr">
        <is>
          <t>m³</t>
        </is>
      </c>
      <c r="G772" s="1803" t="n">
        <v>0.03</v>
      </c>
      <c r="H772" s="1805" t="n">
        <v>0</v>
      </c>
      <c r="I772" s="1805" t="n">
        <v>0</v>
      </c>
      <c r="J772" s="2128" t="n"/>
      <c r="K772" s="1803" t="inlineStr"/>
    </row>
    <row r="773" ht="25.5" customHeight="1">
      <c r="A773" s="1816" t="inlineStr">
        <is>
          <t>22.3.29</t>
        </is>
      </c>
      <c r="B773" s="1815" t="n"/>
      <c r="C773" s="1814" t="n"/>
      <c r="D773" s="1814" t="n"/>
      <c r="E773" s="1813" t="inlineStr">
        <is>
          <t>MUDAR PARA PAREDE PADRÃO Parede 102_REVESTIMENTO ESTRUTURA - ESCADA PRESS.</t>
        </is>
      </c>
      <c r="F773" s="1810" t="inlineStr">
        <is>
          <t>m³</t>
        </is>
      </c>
      <c r="G773" s="1810" t="n">
        <v>7.95</v>
      </c>
      <c r="H773" s="1812" t="n">
        <v>0</v>
      </c>
      <c r="I773" s="1812" t="n">
        <v>0</v>
      </c>
      <c r="J773" s="2127" t="n"/>
      <c r="K773" s="1810" t="inlineStr"/>
    </row>
    <row r="774" ht="25.5" customHeight="1">
      <c r="A774" s="1809" t="inlineStr">
        <is>
          <t>22.3.30</t>
        </is>
      </c>
      <c r="B774" s="1808" t="n"/>
      <c r="C774" s="1807" t="n"/>
      <c r="D774" s="1807" t="n"/>
      <c r="E774" s="1806" t="inlineStr">
        <is>
          <t>MUDAR PARA PAREDE PADRÃO Parede 102_REVESTIMENTO ESTRUTURA - HALL DO PAVIMENTO - TIPO</t>
        </is>
      </c>
      <c r="F774" s="1803" t="inlineStr">
        <is>
          <t>m³</t>
        </is>
      </c>
      <c r="G774" s="1803" t="n">
        <v>0.44</v>
      </c>
      <c r="H774" s="1805" t="n">
        <v>0</v>
      </c>
      <c r="I774" s="1805" t="n">
        <v>0</v>
      </c>
      <c r="J774" s="2128" t="n"/>
      <c r="K774" s="1803" t="inlineStr"/>
    </row>
    <row r="775" ht="25.5" customHeight="1">
      <c r="A775" s="1816" t="inlineStr">
        <is>
          <t>22.3.31</t>
        </is>
      </c>
      <c r="B775" s="1815" t="n"/>
      <c r="C775" s="1814" t="n"/>
      <c r="D775" s="1814" t="n"/>
      <c r="E775" s="1813" t="inlineStr">
        <is>
          <t>MUDAR PARA PAREDE PADRÃO Parede 102_REVESTIMENTO ESTRUTURA - LIVING - TIPO</t>
        </is>
      </c>
      <c r="F775" s="1810" t="inlineStr">
        <is>
          <t>m³</t>
        </is>
      </c>
      <c r="G775" s="1810" t="n">
        <v>2.55</v>
      </c>
      <c r="H775" s="1812" t="n">
        <v>0</v>
      </c>
      <c r="I775" s="1812" t="n">
        <v>0</v>
      </c>
      <c r="J775" s="2127" t="n"/>
      <c r="K775" s="1810" t="inlineStr"/>
    </row>
    <row r="776" ht="25.5" customHeight="1">
      <c r="A776" s="1809" t="inlineStr">
        <is>
          <t>22.3.32</t>
        </is>
      </c>
      <c r="B776" s="1808" t="n"/>
      <c r="C776" s="1807" t="n"/>
      <c r="D776" s="1807" t="n"/>
      <c r="E776" s="1806" t="inlineStr">
        <is>
          <t>MUDAR PARA PAREDE PADRÃO Parede 102_REVESTIMENTO ESTRUTURA - SALA DE EXAUSTOES</t>
        </is>
      </c>
      <c r="F776" s="1803" t="inlineStr">
        <is>
          <t>m³</t>
        </is>
      </c>
      <c r="G776" s="1803" t="n">
        <v>0.04</v>
      </c>
      <c r="H776" s="1805" t="n">
        <v>0</v>
      </c>
      <c r="I776" s="1805" t="n">
        <v>0</v>
      </c>
      <c r="J776" s="2128" t="n"/>
      <c r="K776" s="1803" t="inlineStr"/>
    </row>
    <row r="777" ht="25.5" customHeight="1">
      <c r="A777" s="1816" t="inlineStr">
        <is>
          <t>22.3.33</t>
        </is>
      </c>
      <c r="B777" s="1815" t="n"/>
      <c r="C777" s="1814" t="n"/>
      <c r="D777" s="1814" t="n"/>
      <c r="E777" s="1813" t="inlineStr">
        <is>
          <t>MUDAR PARA PAREDE PADRÃO Parede 102_REVESTIMENTO ESTRUTURA - SUITE</t>
        </is>
      </c>
      <c r="F777" s="1810" t="inlineStr">
        <is>
          <t>m³</t>
        </is>
      </c>
      <c r="G777" s="1810" t="n">
        <v>3.86</v>
      </c>
      <c r="H777" s="1812" t="n">
        <v>0</v>
      </c>
      <c r="I777" s="1812" t="n">
        <v>0</v>
      </c>
      <c r="J777" s="2127" t="n"/>
      <c r="K777" s="1810" t="inlineStr"/>
    </row>
    <row r="778">
      <c r="A778" s="1809" t="inlineStr">
        <is>
          <t>22.3.34</t>
        </is>
      </c>
      <c r="B778" s="1808" t="n"/>
      <c r="C778" s="1807" t="n"/>
      <c r="D778" s="1807" t="n"/>
      <c r="E778" s="1806" t="inlineStr">
        <is>
          <t>MUDAR PARA PAREDE PADRÃO Parede 17_ACF 12,5 cm</t>
        </is>
      </c>
      <c r="F778" s="1803" t="inlineStr">
        <is>
          <t>m³</t>
        </is>
      </c>
      <c r="G778" s="1803" t="n">
        <v>0.62</v>
      </c>
      <c r="H778" s="1805" t="n">
        <v>0</v>
      </c>
      <c r="I778" s="1805" t="n">
        <v>0</v>
      </c>
      <c r="J778" s="2128" t="n"/>
      <c r="K778" s="1803" t="inlineStr"/>
    </row>
    <row r="779">
      <c r="A779" s="1816" t="inlineStr">
        <is>
          <t>22.3.35</t>
        </is>
      </c>
      <c r="B779" s="1815" t="n"/>
      <c r="C779" s="1814" t="n"/>
      <c r="D779" s="1814" t="n"/>
      <c r="E779" s="1813" t="inlineStr">
        <is>
          <t>MUDAR PARA PAREDE PADRÃO Parede 18_ACF 15 cm</t>
        </is>
      </c>
      <c r="F779" s="1810" t="inlineStr">
        <is>
          <t>m³</t>
        </is>
      </c>
      <c r="G779" s="1810" t="n">
        <v>136.56</v>
      </c>
      <c r="H779" s="1812" t="n">
        <v>0</v>
      </c>
      <c r="I779" s="1812" t="n">
        <v>0</v>
      </c>
      <c r="J779" s="2127" t="n"/>
      <c r="K779" s="1810" t="inlineStr"/>
    </row>
    <row r="780" ht="25.5" customHeight="1">
      <c r="A780" s="1809" t="inlineStr">
        <is>
          <t>22.3.36</t>
        </is>
      </c>
      <c r="B780" s="1808" t="n"/>
      <c r="C780" s="1807" t="n"/>
      <c r="D780" s="1807" t="n"/>
      <c r="E780" s="1806" t="inlineStr">
        <is>
          <t>MUDAR PARA PAREDE PADRÃO Parede REVESTIMENTO FACHADA ESTRUTURA - COR 01 - NOME DA COR</t>
        </is>
      </c>
      <c r="F780" s="1803" t="inlineStr">
        <is>
          <t>m³</t>
        </is>
      </c>
      <c r="G780" s="1803" t="n">
        <v>1.07</v>
      </c>
      <c r="H780" s="1805" t="n">
        <v>0</v>
      </c>
      <c r="I780" s="1805" t="n">
        <v>0</v>
      </c>
      <c r="J780" s="2128" t="n"/>
      <c r="K780" s="1803" t="inlineStr"/>
    </row>
    <row r="781" ht="25.5" customHeight="1">
      <c r="A781" s="1816" t="inlineStr">
        <is>
          <t>22.3.37</t>
        </is>
      </c>
      <c r="B781" s="1815" t="n"/>
      <c r="C781" s="1814" t="n"/>
      <c r="D781" s="1814" t="n"/>
      <c r="E781" s="1813" t="inlineStr">
        <is>
          <t>MUDAR PARA PAREDE PADRÃO Parede REVESTIMENTO FACHADA PAREDE - COR 01 - NOME DA COR</t>
        </is>
      </c>
      <c r="F781" s="1810" t="inlineStr">
        <is>
          <t>m³</t>
        </is>
      </c>
      <c r="G781" s="1810" t="n">
        <v>12.29</v>
      </c>
      <c r="H781" s="1812" t="n">
        <v>0</v>
      </c>
      <c r="I781" s="1812" t="n">
        <v>0</v>
      </c>
      <c r="J781" s="2127" t="n"/>
      <c r="K781" s="1810" t="inlineStr"/>
    </row>
    <row r="782" ht="25.5" customHeight="1">
      <c r="A782" s="1809" t="inlineStr">
        <is>
          <t>22.3.38</t>
        </is>
      </c>
      <c r="B782" s="1808" t="n"/>
      <c r="C782" s="1807" t="n"/>
      <c r="D782" s="1807" t="n"/>
      <c r="E782" s="1806" t="inlineStr">
        <is>
          <t>MUDAR PARA PAREDE PADRÃO Parede RODAPÉ - CIRC. - CASA DE MAQUINAS</t>
        </is>
      </c>
      <c r="F782" s="1803" t="inlineStr">
        <is>
          <t>m³</t>
        </is>
      </c>
      <c r="G782" s="1803" t="n"/>
      <c r="H782" s="1805" t="n">
        <v>0</v>
      </c>
      <c r="I782" s="1805" t="n">
        <v>0</v>
      </c>
      <c r="J782" s="2128" t="n"/>
      <c r="K782" s="1803" t="inlineStr"/>
    </row>
    <row r="783" ht="25.5" customHeight="1">
      <c r="A783" s="1816" t="inlineStr">
        <is>
          <t>22.3.39</t>
        </is>
      </c>
      <c r="B783" s="1815" t="n"/>
      <c r="C783" s="1814" t="n"/>
      <c r="D783" s="1814" t="n"/>
      <c r="E783" s="1813" t="inlineStr">
        <is>
          <t>MUDAR PARA PAREDE PADRÃO Parede RODAPÉ - ESCADA - ESCADA PRESSURIZADA</t>
        </is>
      </c>
      <c r="F783" s="1810" t="inlineStr">
        <is>
          <t>m³</t>
        </is>
      </c>
      <c r="G783" s="1810" t="n">
        <v>0.07000000000000001</v>
      </c>
      <c r="H783" s="1812" t="n">
        <v>0</v>
      </c>
      <c r="I783" s="1812" t="n">
        <v>0</v>
      </c>
      <c r="J783" s="2127" t="n"/>
      <c r="K783" s="1810" t="inlineStr"/>
    </row>
    <row r="784">
      <c r="A784" s="1809" t="inlineStr">
        <is>
          <t>22.3.40</t>
        </is>
      </c>
      <c r="B784" s="1808" t="n"/>
      <c r="C784" s="1807" t="n"/>
      <c r="D784" s="1807" t="n"/>
      <c r="E784" s="1806" t="inlineStr">
        <is>
          <t>MUDAR PARA PAREDE PADRÃO Parede RODAPÉ - SACADA</t>
        </is>
      </c>
      <c r="F784" s="1803" t="inlineStr">
        <is>
          <t>m³</t>
        </is>
      </c>
      <c r="G784" s="1803" t="n">
        <v>0.08</v>
      </c>
      <c r="H784" s="1805" t="n">
        <v>0</v>
      </c>
      <c r="I784" s="1805" t="n">
        <v>0</v>
      </c>
      <c r="J784" s="2128" t="n"/>
      <c r="K784" s="1803" t="inlineStr"/>
    </row>
    <row r="785">
      <c r="A785" s="1826" t="inlineStr">
        <is>
          <t>22.4.</t>
        </is>
      </c>
      <c r="B785" s="1825" t="n"/>
      <c r="C785" s="1824" t="n"/>
      <c r="D785" s="1824" t="n"/>
      <c r="E785" s="1824" t="inlineStr">
        <is>
          <t>ARQ_Torre_B</t>
        </is>
      </c>
      <c r="F785" s="1821" t="n"/>
      <c r="G785" s="1821" t="n"/>
      <c r="H785" s="1823" t="n"/>
      <c r="I785" s="1823" t="n">
        <v>0</v>
      </c>
      <c r="J785" s="2125" t="n"/>
      <c r="K785" s="1821" t="inlineStr"/>
    </row>
    <row r="786">
      <c r="A786" s="1816" t="inlineStr">
        <is>
          <t>22.4.1</t>
        </is>
      </c>
      <c r="B786" s="1815" t="n"/>
      <c r="C786" s="1814" t="n"/>
      <c r="D786" s="1814" t="n"/>
      <c r="E786" s="1813" t="inlineStr">
        <is>
          <t>MUDAR PARA PAREDE PADRÃO Parede 01_ALV 09 cm OSSO</t>
        </is>
      </c>
      <c r="F786" s="1810" t="inlineStr">
        <is>
          <t>m³</t>
        </is>
      </c>
      <c r="G786" s="1810" t="n">
        <v>62.36</v>
      </c>
      <c r="H786" s="1812" t="n">
        <v>0</v>
      </c>
      <c r="I786" s="1812" t="n">
        <v>0</v>
      </c>
      <c r="J786" s="2127" t="n"/>
      <c r="K786" s="1810" t="inlineStr"/>
    </row>
    <row r="787">
      <c r="A787" s="1809" t="inlineStr">
        <is>
          <t>22.4.2</t>
        </is>
      </c>
      <c r="B787" s="1808" t="n"/>
      <c r="C787" s="1807" t="n"/>
      <c r="D787" s="1807" t="n"/>
      <c r="E787" s="1806" t="inlineStr">
        <is>
          <t>MUDAR PARA PAREDE PADRÃO Parede 02_ALV 11,5 cm OSSO</t>
        </is>
      </c>
      <c r="F787" s="1803" t="inlineStr">
        <is>
          <t>m³</t>
        </is>
      </c>
      <c r="G787" s="1803" t="n">
        <v>170.97</v>
      </c>
      <c r="H787" s="1805" t="n">
        <v>0</v>
      </c>
      <c r="I787" s="1805" t="n">
        <v>0</v>
      </c>
      <c r="J787" s="2128" t="n"/>
      <c r="K787" s="1803" t="inlineStr"/>
    </row>
    <row r="788">
      <c r="A788" s="1816" t="inlineStr">
        <is>
          <t>22.4.3</t>
        </is>
      </c>
      <c r="B788" s="1815" t="n"/>
      <c r="C788" s="1814" t="n"/>
      <c r="D788" s="1814" t="n"/>
      <c r="E788" s="1813" t="inlineStr">
        <is>
          <t>MUDAR PARA PAREDE PADRÃO Parede 03_ALV 14 cm OSSO</t>
        </is>
      </c>
      <c r="F788" s="1810" t="inlineStr">
        <is>
          <t>m³</t>
        </is>
      </c>
      <c r="G788" s="1810" t="n">
        <v>105.98</v>
      </c>
      <c r="H788" s="1812" t="n">
        <v>0</v>
      </c>
      <c r="I788" s="1812" t="n">
        <v>0</v>
      </c>
      <c r="J788" s="2127" t="n"/>
      <c r="K788" s="1810" t="inlineStr"/>
    </row>
    <row r="789">
      <c r="A789" s="1809" t="inlineStr">
        <is>
          <t>22.4.4</t>
        </is>
      </c>
      <c r="B789" s="1808" t="n"/>
      <c r="C789" s="1807" t="n"/>
      <c r="D789" s="1807" t="n"/>
      <c r="E789" s="1806" t="inlineStr">
        <is>
          <t>MUDAR PARA PAREDE PADRÃO Parede 04_ALV 19 cm OSSO</t>
        </is>
      </c>
      <c r="F789" s="1803" t="inlineStr">
        <is>
          <t>m³</t>
        </is>
      </c>
      <c r="G789" s="1803" t="n">
        <v>48.32</v>
      </c>
      <c r="H789" s="1805" t="n">
        <v>0</v>
      </c>
      <c r="I789" s="1805" t="n">
        <v>0</v>
      </c>
      <c r="J789" s="2128" t="n"/>
      <c r="K789" s="1803" t="inlineStr"/>
    </row>
    <row r="790" ht="25.5" customHeight="1">
      <c r="A790" s="1816" t="inlineStr">
        <is>
          <t>22.4.5</t>
        </is>
      </c>
      <c r="B790" s="1815" t="n"/>
      <c r="C790" s="1814" t="n"/>
      <c r="D790" s="1814" t="n"/>
      <c r="E790" s="1813" t="inlineStr">
        <is>
          <t>MUDAR PARA PAREDE PADRÃO Parede 101_REVESTIMENTO PAREDE - AREA SERVICO - TIPO</t>
        </is>
      </c>
      <c r="F790" s="1810" t="inlineStr">
        <is>
          <t>m³</t>
        </is>
      </c>
      <c r="G790" s="1810" t="n">
        <v>1.96</v>
      </c>
      <c r="H790" s="1812" t="n">
        <v>0</v>
      </c>
      <c r="I790" s="1812" t="n">
        <v>0</v>
      </c>
      <c r="J790" s="2127" t="n"/>
      <c r="K790" s="1810" t="inlineStr"/>
    </row>
    <row r="791" ht="25.5" customHeight="1">
      <c r="A791" s="1809" t="inlineStr">
        <is>
          <t>22.4.6</t>
        </is>
      </c>
      <c r="B791" s="1808" t="n"/>
      <c r="C791" s="1807" t="n"/>
      <c r="D791" s="1807" t="n"/>
      <c r="E791" s="1806" t="inlineStr">
        <is>
          <t>MUDAR PARA PAREDE PADRÃO Parede 101_REVESTIMENTO PAREDE - AREA TECNICA - TIPO</t>
        </is>
      </c>
      <c r="F791" s="1803" t="inlineStr">
        <is>
          <t>m³</t>
        </is>
      </c>
      <c r="G791" s="1803" t="n">
        <v>2.06</v>
      </c>
      <c r="H791" s="1805" t="n">
        <v>0</v>
      </c>
      <c r="I791" s="1805" t="n">
        <v>0</v>
      </c>
      <c r="J791" s="2128" t="n"/>
      <c r="K791" s="1803" t="inlineStr"/>
    </row>
    <row r="792" ht="25.5" customHeight="1">
      <c r="A792" s="1816" t="inlineStr">
        <is>
          <t>22.4.7</t>
        </is>
      </c>
      <c r="B792" s="1815" t="n"/>
      <c r="C792" s="1814" t="n"/>
      <c r="D792" s="1814" t="n"/>
      <c r="E792" s="1813" t="inlineStr">
        <is>
          <t>MUDAR PARA PAREDE PADRÃO Parede 101_REVESTIMENTO PAREDE - BOX BWC - TIPO</t>
        </is>
      </c>
      <c r="F792" s="1810" t="inlineStr">
        <is>
          <t>m³</t>
        </is>
      </c>
      <c r="G792" s="1810" t="n">
        <v>1.66</v>
      </c>
      <c r="H792" s="1812" t="n">
        <v>0</v>
      </c>
      <c r="I792" s="1812" t="n">
        <v>0</v>
      </c>
      <c r="J792" s="2127" t="n"/>
      <c r="K792" s="1810" t="inlineStr"/>
    </row>
    <row r="793" ht="25.5" customHeight="1">
      <c r="A793" s="1809" t="inlineStr">
        <is>
          <t>22.4.8</t>
        </is>
      </c>
      <c r="B793" s="1808" t="n"/>
      <c r="C793" s="1807" t="n"/>
      <c r="D793" s="1807" t="n"/>
      <c r="E793" s="1806" t="inlineStr">
        <is>
          <t>MUDAR PARA PAREDE PADRÃO Parede 101_REVESTIMENTO PAREDE - BWC - TIPO</t>
        </is>
      </c>
      <c r="F793" s="1803" t="inlineStr">
        <is>
          <t>m³</t>
        </is>
      </c>
      <c r="G793" s="1803" t="n">
        <v>8.17</v>
      </c>
      <c r="H793" s="1805" t="n">
        <v>0</v>
      </c>
      <c r="I793" s="1805" t="n">
        <v>0</v>
      </c>
      <c r="J793" s="2128" t="n"/>
      <c r="K793" s="1803" t="inlineStr"/>
    </row>
    <row r="794" ht="25.5" customHeight="1">
      <c r="A794" s="1816" t="inlineStr">
        <is>
          <t>22.4.9</t>
        </is>
      </c>
      <c r="B794" s="1815" t="n"/>
      <c r="C794" s="1814" t="n"/>
      <c r="D794" s="1814" t="n"/>
      <c r="E794" s="1813" t="inlineStr">
        <is>
          <t>MUDAR PARA PAREDE PADRÃO Parede 101_REVESTIMENTO PAREDE - CASA DE MAQUINAS</t>
        </is>
      </c>
      <c r="F794" s="1810" t="inlineStr">
        <is>
          <t>m³</t>
        </is>
      </c>
      <c r="G794" s="1810" t="n">
        <v>0.01</v>
      </c>
      <c r="H794" s="1812" t="n">
        <v>0</v>
      </c>
      <c r="I794" s="1812" t="n">
        <v>0</v>
      </c>
      <c r="J794" s="2127" t="n"/>
      <c r="K794" s="1810" t="inlineStr"/>
    </row>
    <row r="795" ht="25.5" customHeight="1">
      <c r="A795" s="1809" t="inlineStr">
        <is>
          <t>22.4.10</t>
        </is>
      </c>
      <c r="B795" s="1808" t="n"/>
      <c r="C795" s="1807" t="n"/>
      <c r="D795" s="1807" t="n"/>
      <c r="E795" s="1806" t="inlineStr">
        <is>
          <t>MUDAR PARA PAREDE PADRÃO Parede 101_REVESTIMENTO PAREDE - CIRC. - CASA DE MAQUINAS</t>
        </is>
      </c>
      <c r="F795" s="1803" t="inlineStr">
        <is>
          <t>m³</t>
        </is>
      </c>
      <c r="G795" s="1803" t="n">
        <v>0.08</v>
      </c>
      <c r="H795" s="1805" t="n">
        <v>0</v>
      </c>
      <c r="I795" s="1805" t="n">
        <v>0</v>
      </c>
      <c r="J795" s="2128" t="n"/>
      <c r="K795" s="1803" t="inlineStr"/>
    </row>
    <row r="796" ht="25.5" customHeight="1">
      <c r="A796" s="1816" t="inlineStr">
        <is>
          <t>22.4.11</t>
        </is>
      </c>
      <c r="B796" s="1815" t="n"/>
      <c r="C796" s="1814" t="n"/>
      <c r="D796" s="1814" t="n"/>
      <c r="E796" s="1813" t="inlineStr">
        <is>
          <t>MUDAR PARA PAREDE PADRÃO Parede 101_REVESTIMENTO PAREDE - CIRC. - TIPO</t>
        </is>
      </c>
      <c r="F796" s="1810" t="inlineStr">
        <is>
          <t>m³</t>
        </is>
      </c>
      <c r="G796" s="1810" t="n">
        <v>5.53</v>
      </c>
      <c r="H796" s="1812" t="n">
        <v>0</v>
      </c>
      <c r="I796" s="1812" t="n">
        <v>0</v>
      </c>
      <c r="J796" s="2127" t="n"/>
      <c r="K796" s="1810" t="inlineStr"/>
    </row>
    <row r="797" ht="25.5" customHeight="1">
      <c r="A797" s="1809" t="inlineStr">
        <is>
          <t>22.4.12</t>
        </is>
      </c>
      <c r="B797" s="1808" t="n"/>
      <c r="C797" s="1807" t="n"/>
      <c r="D797" s="1807" t="n"/>
      <c r="E797" s="1806" t="inlineStr">
        <is>
          <t>MUDAR PARA PAREDE PADRÃO Parede 101_REVESTIMENTO PAREDE - COZINHA - TIPO</t>
        </is>
      </c>
      <c r="F797" s="1803" t="inlineStr">
        <is>
          <t>m³</t>
        </is>
      </c>
      <c r="G797" s="1803" t="n">
        <v>3.01</v>
      </c>
      <c r="H797" s="1805" t="n">
        <v>0</v>
      </c>
      <c r="I797" s="1805" t="n">
        <v>0</v>
      </c>
      <c r="J797" s="2128" t="n"/>
      <c r="K797" s="1803" t="inlineStr"/>
    </row>
    <row r="798" ht="25.5" customHeight="1">
      <c r="A798" s="1816" t="inlineStr">
        <is>
          <t>22.4.13</t>
        </is>
      </c>
      <c r="B798" s="1815" t="n"/>
      <c r="C798" s="1814" t="n"/>
      <c r="D798" s="1814" t="n"/>
      <c r="E798" s="1813" t="inlineStr">
        <is>
          <t>MUDAR PARA PAREDE PADRÃO Parede 101_REVESTIMENTO PAREDE - ESCADA PRESS.</t>
        </is>
      </c>
      <c r="F798" s="1810" t="inlineStr">
        <is>
          <t>m³</t>
        </is>
      </c>
      <c r="G798" s="1810" t="n">
        <v>1.2</v>
      </c>
      <c r="H798" s="1812" t="n">
        <v>0</v>
      </c>
      <c r="I798" s="1812" t="n">
        <v>0</v>
      </c>
      <c r="J798" s="2127" t="n"/>
      <c r="K798" s="1810" t="inlineStr"/>
    </row>
    <row r="799" ht="25.5" customHeight="1">
      <c r="A799" s="1809" t="inlineStr">
        <is>
          <t>22.4.14</t>
        </is>
      </c>
      <c r="B799" s="1808" t="n"/>
      <c r="C799" s="1807" t="n"/>
      <c r="D799" s="1807" t="n"/>
      <c r="E799" s="1806" t="inlineStr">
        <is>
          <t>MUDAR PARA PAREDE PADRÃO Parede 101_REVESTIMENTO PAREDE - HALL DO PAVIMENTO - TIPO</t>
        </is>
      </c>
      <c r="F799" s="1803" t="inlineStr">
        <is>
          <t>m³</t>
        </is>
      </c>
      <c r="G799" s="1803" t="n">
        <v>22.23</v>
      </c>
      <c r="H799" s="1805" t="n">
        <v>0</v>
      </c>
      <c r="I799" s="1805" t="n">
        <v>0</v>
      </c>
      <c r="J799" s="2128" t="n"/>
      <c r="K799" s="1803" t="inlineStr"/>
    </row>
    <row r="800" ht="25.5" customHeight="1">
      <c r="A800" s="1816" t="inlineStr">
        <is>
          <t>22.4.15</t>
        </is>
      </c>
      <c r="B800" s="1815" t="n"/>
      <c r="C800" s="1814" t="n"/>
      <c r="D800" s="1814" t="n"/>
      <c r="E800" s="1813" t="inlineStr">
        <is>
          <t>MUDAR PARA PAREDE PADRÃO Parede 101_REVESTIMENTO PAREDE - LAVABO - TIPO</t>
        </is>
      </c>
      <c r="F800" s="1810" t="inlineStr">
        <is>
          <t>m³</t>
        </is>
      </c>
      <c r="G800" s="1810" t="n">
        <v>2.78</v>
      </c>
      <c r="H800" s="1812" t="n">
        <v>0</v>
      </c>
      <c r="I800" s="1812" t="n">
        <v>0</v>
      </c>
      <c r="J800" s="2127" t="n"/>
      <c r="K800" s="1810" t="inlineStr"/>
    </row>
    <row r="801" ht="25.5" customHeight="1">
      <c r="A801" s="1809" t="inlineStr">
        <is>
          <t>22.4.16</t>
        </is>
      </c>
      <c r="B801" s="1808" t="n"/>
      <c r="C801" s="1807" t="n"/>
      <c r="D801" s="1807" t="n"/>
      <c r="E801" s="1806" t="inlineStr">
        <is>
          <t>MUDAR PARA PAREDE PADRÃO Parede 101_REVESTIMENTO PAREDE - LIVING - TIPO</t>
        </is>
      </c>
      <c r="F801" s="1803" t="inlineStr">
        <is>
          <t>m³</t>
        </is>
      </c>
      <c r="G801" s="1803" t="n">
        <v>4.35</v>
      </c>
      <c r="H801" s="1805" t="n">
        <v>0</v>
      </c>
      <c r="I801" s="1805" t="n">
        <v>0</v>
      </c>
      <c r="J801" s="2128" t="n"/>
      <c r="K801" s="1803" t="inlineStr"/>
    </row>
    <row r="802" ht="25.5" customHeight="1">
      <c r="A802" s="1816" t="inlineStr">
        <is>
          <t>22.4.17</t>
        </is>
      </c>
      <c r="B802" s="1815" t="n"/>
      <c r="C802" s="1814" t="n"/>
      <c r="D802" s="1814" t="n"/>
      <c r="E802" s="1813" t="inlineStr">
        <is>
          <t>MUDAR PARA PAREDE PADRÃO Parede 101_REVESTIMENTO PAREDE - SALA DE EXAUSTOES</t>
        </is>
      </c>
      <c r="F802" s="1810" t="inlineStr">
        <is>
          <t>m³</t>
        </is>
      </c>
      <c r="G802" s="1810" t="n">
        <v>0.2</v>
      </c>
      <c r="H802" s="1812" t="n">
        <v>0</v>
      </c>
      <c r="I802" s="1812" t="n">
        <v>0</v>
      </c>
      <c r="J802" s="2127" t="n"/>
      <c r="K802" s="1810" t="inlineStr"/>
    </row>
    <row r="803" ht="25.5" customHeight="1">
      <c r="A803" s="1809" t="inlineStr">
        <is>
          <t>22.4.18</t>
        </is>
      </c>
      <c r="B803" s="1808" t="n"/>
      <c r="C803" s="1807" t="n"/>
      <c r="D803" s="1807" t="n"/>
      <c r="E803" s="1806" t="inlineStr">
        <is>
          <t>MUDAR PARA PAREDE PADRÃO Parede 101_REVESTIMENTO PAREDE - SUITE</t>
        </is>
      </c>
      <c r="F803" s="1803" t="inlineStr">
        <is>
          <t>m³</t>
        </is>
      </c>
      <c r="G803" s="1803" t="n">
        <v>43.81</v>
      </c>
      <c r="H803" s="1805" t="n">
        <v>0</v>
      </c>
      <c r="I803" s="1805" t="n">
        <v>0</v>
      </c>
      <c r="J803" s="2128" t="n"/>
      <c r="K803" s="1803" t="inlineStr"/>
    </row>
    <row r="804" ht="25.5" customHeight="1">
      <c r="A804" s="1816" t="inlineStr">
        <is>
          <t>22.4.19</t>
        </is>
      </c>
      <c r="B804" s="1815" t="n"/>
      <c r="C804" s="1814" t="n"/>
      <c r="D804" s="1814" t="n"/>
      <c r="E804" s="1813" t="inlineStr">
        <is>
          <t>MUDAR PARA PAREDE PADRÃO Parede 102_REVESTIMENTO ESTRUTURA - AREA SERVICO - TIPO</t>
        </is>
      </c>
      <c r="F804" s="1810" t="inlineStr">
        <is>
          <t>m³</t>
        </is>
      </c>
      <c r="G804" s="1810" t="n">
        <v>0.47</v>
      </c>
      <c r="H804" s="1812" t="n">
        <v>0</v>
      </c>
      <c r="I804" s="1812" t="n">
        <v>0</v>
      </c>
      <c r="J804" s="2127" t="n"/>
      <c r="K804" s="1810" t="inlineStr"/>
    </row>
    <row r="805" ht="25.5" customHeight="1">
      <c r="A805" s="1809" t="inlineStr">
        <is>
          <t>22.4.20</t>
        </is>
      </c>
      <c r="B805" s="1808" t="n"/>
      <c r="C805" s="1807" t="n"/>
      <c r="D805" s="1807" t="n"/>
      <c r="E805" s="1806" t="inlineStr">
        <is>
          <t>MUDAR PARA PAREDE PADRÃO Parede 102_REVESTIMENTO ESTRUTURA - AREA SERVICO - TIPO 2</t>
        </is>
      </c>
      <c r="F805" s="1803" t="inlineStr">
        <is>
          <t>m³</t>
        </is>
      </c>
      <c r="G805" s="1803" t="n">
        <v>0.11</v>
      </c>
      <c r="H805" s="1805" t="n">
        <v>0</v>
      </c>
      <c r="I805" s="1805" t="n">
        <v>0</v>
      </c>
      <c r="J805" s="2128" t="n"/>
      <c r="K805" s="1803" t="inlineStr"/>
    </row>
    <row r="806" ht="25.5" customHeight="1">
      <c r="A806" s="1816" t="inlineStr">
        <is>
          <t>22.4.21</t>
        </is>
      </c>
      <c r="B806" s="1815" t="n"/>
      <c r="C806" s="1814" t="n"/>
      <c r="D806" s="1814" t="n"/>
      <c r="E806" s="1813" t="inlineStr">
        <is>
          <t>MUDAR PARA PAREDE PADRÃO Parede 102_REVESTIMENTO ESTRUTURA - BOX BWC - TIPO</t>
        </is>
      </c>
      <c r="F806" s="1810" t="inlineStr">
        <is>
          <t>m³</t>
        </is>
      </c>
      <c r="G806" s="1810" t="n">
        <v>0.1</v>
      </c>
      <c r="H806" s="1812" t="n">
        <v>0</v>
      </c>
      <c r="I806" s="1812" t="n">
        <v>0</v>
      </c>
      <c r="J806" s="2127" t="n"/>
      <c r="K806" s="1810" t="inlineStr"/>
    </row>
    <row r="807" ht="25.5" customHeight="1">
      <c r="A807" s="1809" t="inlineStr">
        <is>
          <t>22.4.22</t>
        </is>
      </c>
      <c r="B807" s="1808" t="n"/>
      <c r="C807" s="1807" t="n"/>
      <c r="D807" s="1807" t="n"/>
      <c r="E807" s="1806" t="inlineStr">
        <is>
          <t>MUDAR PARA PAREDE PADRÃO Parede 102_REVESTIMENTO ESTRUTURA - BWC - TIPO</t>
        </is>
      </c>
      <c r="F807" s="1803" t="inlineStr">
        <is>
          <t>m³</t>
        </is>
      </c>
      <c r="G807" s="1803" t="n">
        <v>1.5</v>
      </c>
      <c r="H807" s="1805" t="n">
        <v>0</v>
      </c>
      <c r="I807" s="1805" t="n">
        <v>0</v>
      </c>
      <c r="J807" s="2128" t="n"/>
      <c r="K807" s="1803" t="inlineStr"/>
    </row>
    <row r="808" ht="25.5" customHeight="1">
      <c r="A808" s="1816" t="inlineStr">
        <is>
          <t>22.4.23</t>
        </is>
      </c>
      <c r="B808" s="1815" t="n"/>
      <c r="C808" s="1814" t="n"/>
      <c r="D808" s="1814" t="n"/>
      <c r="E808" s="1813" t="inlineStr">
        <is>
          <t>MUDAR PARA PAREDE PADRÃO Parede 102_REVESTIMENTO ESTRUTURA - CASA DE BOMBAS</t>
        </is>
      </c>
      <c r="F808" s="1810" t="inlineStr">
        <is>
          <t>m³</t>
        </is>
      </c>
      <c r="G808" s="1810" t="n">
        <v>0.1</v>
      </c>
      <c r="H808" s="1812" t="n">
        <v>0</v>
      </c>
      <c r="I808" s="1812" t="n">
        <v>0</v>
      </c>
      <c r="J808" s="2127" t="n"/>
      <c r="K808" s="1810" t="inlineStr"/>
    </row>
    <row r="809" ht="25.5" customHeight="1">
      <c r="A809" s="1809" t="inlineStr">
        <is>
          <t>22.4.24</t>
        </is>
      </c>
      <c r="B809" s="1808" t="n"/>
      <c r="C809" s="1807" t="n"/>
      <c r="D809" s="1807" t="n"/>
      <c r="E809" s="1806" t="inlineStr">
        <is>
          <t>MUDAR PARA PAREDE PADRÃO Parede 102_REVESTIMENTO ESTRUTURA - CIRC. - CASA DE MAQUINAS</t>
        </is>
      </c>
      <c r="F809" s="1803" t="inlineStr">
        <is>
          <t>m³</t>
        </is>
      </c>
      <c r="G809" s="1803" t="n">
        <v>0.02</v>
      </c>
      <c r="H809" s="1805" t="n">
        <v>0</v>
      </c>
      <c r="I809" s="1805" t="n">
        <v>0</v>
      </c>
      <c r="J809" s="2128" t="n"/>
      <c r="K809" s="1803" t="inlineStr"/>
    </row>
    <row r="810" ht="25.5" customHeight="1">
      <c r="A810" s="1816" t="inlineStr">
        <is>
          <t>22.4.25</t>
        </is>
      </c>
      <c r="B810" s="1815" t="n"/>
      <c r="C810" s="1814" t="n"/>
      <c r="D810" s="1814" t="n"/>
      <c r="E810" s="1813" t="inlineStr">
        <is>
          <t>MUDAR PARA PAREDE PADRÃO Parede 102_REVESTIMENTO ESTRUTURA - COZINHA - TIPO</t>
        </is>
      </c>
      <c r="F810" s="1810" t="inlineStr">
        <is>
          <t>m³</t>
        </is>
      </c>
      <c r="G810" s="1810" t="n">
        <v>2.66</v>
      </c>
      <c r="H810" s="1812" t="n">
        <v>0</v>
      </c>
      <c r="I810" s="1812" t="n">
        <v>0</v>
      </c>
      <c r="J810" s="2127" t="n"/>
      <c r="K810" s="1810" t="inlineStr"/>
    </row>
    <row r="811" ht="25.5" customHeight="1">
      <c r="A811" s="1809" t="inlineStr">
        <is>
          <t>22.4.26</t>
        </is>
      </c>
      <c r="B811" s="1808" t="n"/>
      <c r="C811" s="1807" t="n"/>
      <c r="D811" s="1807" t="n"/>
      <c r="E811" s="1806" t="inlineStr">
        <is>
          <t>MUDAR PARA PAREDE PADRÃO Parede 102_REVESTIMENTO ESTRUTURA - ELEV.</t>
        </is>
      </c>
      <c r="F811" s="1803" t="inlineStr">
        <is>
          <t>m³</t>
        </is>
      </c>
      <c r="G811" s="1803" t="n">
        <v>0.15</v>
      </c>
      <c r="H811" s="1805" t="n">
        <v>0</v>
      </c>
      <c r="I811" s="1805" t="n">
        <v>0</v>
      </c>
      <c r="J811" s="2128" t="n"/>
      <c r="K811" s="1803" t="inlineStr"/>
    </row>
    <row r="812" ht="25.5" customHeight="1">
      <c r="A812" s="1816" t="inlineStr">
        <is>
          <t>22.4.27</t>
        </is>
      </c>
      <c r="B812" s="1815" t="n"/>
      <c r="C812" s="1814" t="n"/>
      <c r="D812" s="1814" t="n"/>
      <c r="E812" s="1813" t="inlineStr">
        <is>
          <t>MUDAR PARA PAREDE PADRÃO Parede 102_REVESTIMENTO ESTRUTURA - ESCADA PRESS.</t>
        </is>
      </c>
      <c r="F812" s="1810" t="inlineStr">
        <is>
          <t>m³</t>
        </is>
      </c>
      <c r="G812" s="1810" t="n">
        <v>1.58</v>
      </c>
      <c r="H812" s="1812" t="n">
        <v>0</v>
      </c>
      <c r="I812" s="1812" t="n">
        <v>0</v>
      </c>
      <c r="J812" s="2127" t="n"/>
      <c r="K812" s="1810" t="inlineStr"/>
    </row>
    <row r="813" ht="25.5" customHeight="1">
      <c r="A813" s="1809" t="inlineStr">
        <is>
          <t>22.4.28</t>
        </is>
      </c>
      <c r="B813" s="1808" t="n"/>
      <c r="C813" s="1807" t="n"/>
      <c r="D813" s="1807" t="n"/>
      <c r="E813" s="1806" t="inlineStr">
        <is>
          <t>MUDAR PARA PAREDE PADRÃO Parede 102_REVESTIMENTO ESTRUTURA - HALL DO PAVIMENTO - TIPO</t>
        </is>
      </c>
      <c r="F813" s="1803" t="inlineStr">
        <is>
          <t>m³</t>
        </is>
      </c>
      <c r="G813" s="1803" t="n">
        <v>7.95</v>
      </c>
      <c r="H813" s="1805" t="n">
        <v>0</v>
      </c>
      <c r="I813" s="1805" t="n">
        <v>0</v>
      </c>
      <c r="J813" s="2128" t="n"/>
      <c r="K813" s="1803" t="inlineStr"/>
    </row>
    <row r="814" ht="25.5" customHeight="1">
      <c r="A814" s="1816" t="inlineStr">
        <is>
          <t>22.4.29</t>
        </is>
      </c>
      <c r="B814" s="1815" t="n"/>
      <c r="C814" s="1814" t="n"/>
      <c r="D814" s="1814" t="n"/>
      <c r="E814" s="1813" t="inlineStr">
        <is>
          <t>MUDAR PARA PAREDE PADRÃO Parede 102_REVESTIMENTO ESTRUTURA - LIVING - TIPO</t>
        </is>
      </c>
      <c r="F814" s="1810" t="inlineStr">
        <is>
          <t>m³</t>
        </is>
      </c>
      <c r="G814" s="1810" t="n">
        <v>4.83</v>
      </c>
      <c r="H814" s="1812" t="n">
        <v>0</v>
      </c>
      <c r="I814" s="1812" t="n">
        <v>0</v>
      </c>
      <c r="J814" s="2127" t="n"/>
      <c r="K814" s="1810" t="inlineStr"/>
    </row>
    <row r="815" ht="25.5" customHeight="1">
      <c r="A815" s="1809" t="inlineStr">
        <is>
          <t>22.4.30</t>
        </is>
      </c>
      <c r="B815" s="1808" t="n"/>
      <c r="C815" s="1807" t="n"/>
      <c r="D815" s="1807" t="n"/>
      <c r="E815" s="1806" t="inlineStr">
        <is>
          <t>MUDAR PARA PAREDE PADRÃO Parede 102_REVESTIMENTO ESTRUTURA - SALA DE EXAUSTOES</t>
        </is>
      </c>
      <c r="F815" s="1803" t="inlineStr">
        <is>
          <t>m³</t>
        </is>
      </c>
      <c r="G815" s="1803" t="n">
        <v>0.05</v>
      </c>
      <c r="H815" s="1805" t="n">
        <v>0</v>
      </c>
      <c r="I815" s="1805" t="n">
        <v>0</v>
      </c>
      <c r="J815" s="2128" t="n"/>
      <c r="K815" s="1803" t="inlineStr"/>
    </row>
    <row r="816" ht="25.5" customHeight="1">
      <c r="A816" s="1816" t="inlineStr">
        <is>
          <t>22.4.31</t>
        </is>
      </c>
      <c r="B816" s="1815" t="n"/>
      <c r="C816" s="1814" t="n"/>
      <c r="D816" s="1814" t="n"/>
      <c r="E816" s="1813" t="inlineStr">
        <is>
          <t>MUDAR PARA PAREDE PADRÃO Parede 102_REVESTIMENTO ESTRUTURA - SUITE</t>
        </is>
      </c>
      <c r="F816" s="1810" t="inlineStr">
        <is>
          <t>m³</t>
        </is>
      </c>
      <c r="G816" s="1810" t="n">
        <v>4.05</v>
      </c>
      <c r="H816" s="1812" t="n">
        <v>0</v>
      </c>
      <c r="I816" s="1812" t="n">
        <v>0</v>
      </c>
      <c r="J816" s="2127" t="n"/>
      <c r="K816" s="1810" t="inlineStr"/>
    </row>
    <row r="817">
      <c r="A817" s="1809" t="inlineStr">
        <is>
          <t>22.4.32</t>
        </is>
      </c>
      <c r="B817" s="1808" t="n"/>
      <c r="C817" s="1807" t="n"/>
      <c r="D817" s="1807" t="n"/>
      <c r="E817" s="1806" t="inlineStr">
        <is>
          <t>MUDAR PARA PAREDE PADRÃO Parede 17_ACF 12,5 cm</t>
        </is>
      </c>
      <c r="F817" s="1803" t="inlineStr">
        <is>
          <t>m³</t>
        </is>
      </c>
      <c r="G817" s="1803" t="n">
        <v>16.38</v>
      </c>
      <c r="H817" s="1805" t="n">
        <v>0</v>
      </c>
      <c r="I817" s="1805" t="n">
        <v>0</v>
      </c>
      <c r="J817" s="2128" t="n"/>
      <c r="K817" s="1803" t="inlineStr"/>
    </row>
    <row r="818">
      <c r="A818" s="1816" t="inlineStr">
        <is>
          <t>22.4.33</t>
        </is>
      </c>
      <c r="B818" s="1815" t="n"/>
      <c r="C818" s="1814" t="n"/>
      <c r="D818" s="1814" t="n"/>
      <c r="E818" s="1813" t="inlineStr">
        <is>
          <t>MUDAR PARA PAREDE PADRÃO Parede 18_ACF 15 cm</t>
        </is>
      </c>
      <c r="F818" s="1810" t="inlineStr">
        <is>
          <t>m³</t>
        </is>
      </c>
      <c r="G818" s="1810" t="n">
        <v>57.32</v>
      </c>
      <c r="H818" s="1812" t="n">
        <v>0</v>
      </c>
      <c r="I818" s="1812" t="n">
        <v>0</v>
      </c>
      <c r="J818" s="2127" t="n"/>
      <c r="K818" s="1810" t="inlineStr"/>
    </row>
    <row r="819" ht="25.5" customHeight="1">
      <c r="A819" s="1809" t="inlineStr">
        <is>
          <t>22.4.34</t>
        </is>
      </c>
      <c r="B819" s="1808" t="n"/>
      <c r="C819" s="1807" t="n"/>
      <c r="D819" s="1807" t="n"/>
      <c r="E819" s="1806" t="inlineStr">
        <is>
          <t>MUDAR PARA PAREDE PADRÃO Parede REVESTIMENTO FACHADA ESTRUTURA - COR 01 - NOME DA COR</t>
        </is>
      </c>
      <c r="F819" s="1803" t="inlineStr">
        <is>
          <t>m³</t>
        </is>
      </c>
      <c r="G819" s="1803" t="n">
        <v>1.66</v>
      </c>
      <c r="H819" s="1805" t="n">
        <v>0</v>
      </c>
      <c r="I819" s="1805" t="n">
        <v>0</v>
      </c>
      <c r="J819" s="2128" t="n"/>
      <c r="K819" s="1803" t="inlineStr"/>
    </row>
    <row r="820" ht="25.5" customHeight="1">
      <c r="A820" s="1816" t="inlineStr">
        <is>
          <t>22.4.35</t>
        </is>
      </c>
      <c r="B820" s="1815" t="n"/>
      <c r="C820" s="1814" t="n"/>
      <c r="D820" s="1814" t="n"/>
      <c r="E820" s="1813" t="inlineStr">
        <is>
          <t>MUDAR PARA PAREDE PADRÃO Parede REVESTIMENTO FACHADA PAREDE - COR 01 - NOME DA COR</t>
        </is>
      </c>
      <c r="F820" s="1810" t="inlineStr">
        <is>
          <t>m³</t>
        </is>
      </c>
      <c r="G820" s="1810" t="n">
        <v>7.96</v>
      </c>
      <c r="H820" s="1812" t="n">
        <v>0</v>
      </c>
      <c r="I820" s="1812" t="n">
        <v>0</v>
      </c>
      <c r="J820" s="2127" t="n"/>
      <c r="K820" s="1810" t="inlineStr"/>
    </row>
    <row r="821" ht="25.5" customHeight="1">
      <c r="A821" s="1809" t="inlineStr">
        <is>
          <t>22.4.36</t>
        </is>
      </c>
      <c r="B821" s="1808" t="n"/>
      <c r="C821" s="1807" t="n"/>
      <c r="D821" s="1807" t="n"/>
      <c r="E821" s="1806" t="inlineStr">
        <is>
          <t>MUDAR PARA PAREDE PADRÃO Parede RODAPÉ - ESCADA - ESCADA PRESSURIZADA</t>
        </is>
      </c>
      <c r="F821" s="1803" t="inlineStr">
        <is>
          <t>m³</t>
        </is>
      </c>
      <c r="G821" s="1803" t="n">
        <v>0.1</v>
      </c>
      <c r="H821" s="1805" t="n">
        <v>0</v>
      </c>
      <c r="I821" s="1805" t="n">
        <v>0</v>
      </c>
      <c r="J821" s="2128" t="n"/>
      <c r="K821" s="1803" t="inlineStr"/>
    </row>
    <row r="822">
      <c r="A822" s="1832" t="inlineStr">
        <is>
          <t>23.</t>
        </is>
      </c>
      <c r="B822" s="1831" t="n"/>
      <c r="C822" s="1830" t="n"/>
      <c r="D822" s="1830" t="n"/>
      <c r="E822" s="1830" t="inlineStr">
        <is>
          <t>Paisagismo</t>
        </is>
      </c>
      <c r="F822" s="1827" t="n"/>
      <c r="G822" s="1827" t="n"/>
      <c r="H822" s="1829" t="n"/>
      <c r="I822" s="1829" t="n">
        <v>0</v>
      </c>
      <c r="J822" s="2124" t="n"/>
      <c r="K822" s="1827" t="inlineStr"/>
    </row>
    <row r="823">
      <c r="A823" s="1826" t="inlineStr">
        <is>
          <t>23.1.</t>
        </is>
      </c>
      <c r="B823" s="1825" t="n"/>
      <c r="C823" s="1824" t="n"/>
      <c r="D823" s="1824" t="n"/>
      <c r="E823" s="1824" t="inlineStr">
        <is>
          <t>ARQ_Embasamento</t>
        </is>
      </c>
      <c r="F823" s="1821" t="n"/>
      <c r="G823" s="1821" t="n"/>
      <c r="H823" s="1823" t="n"/>
      <c r="I823" s="1823" t="n">
        <v>0</v>
      </c>
      <c r="J823" s="2125" t="n"/>
      <c r="K823" s="1821" t="inlineStr"/>
    </row>
    <row r="824">
      <c r="A824" s="222" t="inlineStr">
        <is>
          <t>23.1.1.</t>
        </is>
      </c>
      <c r="B824" s="1820" t="n"/>
      <c r="C824" s="1820" t="n"/>
      <c r="D824" s="1820" t="n"/>
      <c r="E824" s="1820" t="inlineStr">
        <is>
          <t>Paisagismo</t>
        </is>
      </c>
      <c r="F824" s="1817" t="n"/>
      <c r="G824" s="1817" t="n"/>
      <c r="H824" s="1819" t="n"/>
      <c r="I824" s="1819" t="n">
        <v>0</v>
      </c>
      <c r="J824" s="2126" t="n"/>
      <c r="K824" s="1817" t="inlineStr"/>
    </row>
    <row r="825">
      <c r="A825" s="1816" t="inlineStr">
        <is>
          <t>23.1.1.1</t>
        </is>
      </c>
      <c r="B825" s="1815" t="n"/>
      <c r="C825" s="1814" t="n"/>
      <c r="D825" s="1814" t="n"/>
      <c r="E825" s="1813" t="inlineStr">
        <is>
          <t>PISO - FLOREIRA, GRAMA  (Laje)</t>
        </is>
      </c>
      <c r="F825" s="1810" t="inlineStr">
        <is>
          <t>m²</t>
        </is>
      </c>
      <c r="G825" s="1810" t="n">
        <v>172.89</v>
      </c>
      <c r="H825" s="1812" t="n">
        <v>0</v>
      </c>
      <c r="I825" s="1812" t="n">
        <v>0</v>
      </c>
      <c r="J825" s="2127" t="n"/>
      <c r="K825" s="1810" t="inlineStr"/>
    </row>
    <row r="826">
      <c r="A826" s="1809" t="inlineStr">
        <is>
          <t>23.1.1.2</t>
        </is>
      </c>
      <c r="B826" s="1808" t="n"/>
      <c r="C826" s="1807" t="n"/>
      <c r="D826" s="1807" t="n"/>
      <c r="E826" s="1806" t="inlineStr">
        <is>
          <t>PISO - HORTA, GRAMA  (Laje)</t>
        </is>
      </c>
      <c r="F826" s="1803" t="inlineStr">
        <is>
          <t>m²</t>
        </is>
      </c>
      <c r="G826" s="1803" t="n">
        <v>6.73</v>
      </c>
      <c r="H826" s="1805" t="n">
        <v>0</v>
      </c>
      <c r="I826" s="1805" t="n">
        <v>0</v>
      </c>
      <c r="J826" s="2128" t="n"/>
      <c r="K826" s="1803" t="inlineStr"/>
    </row>
  </sheetData>
  <mergeCells count="29">
    <mergeCell ref="E17:E18"/>
    <mergeCell ref="G17:G18"/>
    <mergeCell ref="A11:B11"/>
    <mergeCell ref="B6:E6"/>
    <mergeCell ref="B17:B18"/>
    <mergeCell ref="D17:D18"/>
    <mergeCell ref="C14:D14"/>
    <mergeCell ref="B5:E5"/>
    <mergeCell ref="B4:E4"/>
    <mergeCell ref="H17:H18"/>
    <mergeCell ref="F17:F18"/>
    <mergeCell ref="A16:K16"/>
    <mergeCell ref="B7:E7"/>
    <mergeCell ref="I17:I18"/>
    <mergeCell ref="B3:E3"/>
    <mergeCell ref="A12:B12"/>
    <mergeCell ref="C12:D12"/>
    <mergeCell ref="A1:G1"/>
    <mergeCell ref="K17:K18"/>
    <mergeCell ref="A17:A18"/>
    <mergeCell ref="C17:C18"/>
    <mergeCell ref="C11:D11"/>
    <mergeCell ref="A14:B14"/>
    <mergeCell ref="B2:E2"/>
    <mergeCell ref="B8:E8"/>
    <mergeCell ref="J17:J18"/>
    <mergeCell ref="A10:E10"/>
    <mergeCell ref="A13:B13"/>
    <mergeCell ref="C13:D13"/>
  </mergeCells>
  <pageMargins left="0.7875" right="0.7875" top="1.05277777777778" bottom="1.05277777777778" header="0.7875" footer="0.7875"/>
  <pageSetup orientation="landscape" paperSize="9" scale="53" useFirstPageNumber="1" horizontalDpi="300" verticalDpi="300"/>
  <headerFooter>
    <oddHeader>&amp;C&amp;"Times New Roman,Normal"&amp;12 &amp;A</oddHeader>
    <oddFooter>&amp;C&amp;"Times New Roman,Normal"&amp;12 Página &amp;P</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O134"/>
  <sheetViews>
    <sheetView zoomScale="85" zoomScaleNormal="85" workbookViewId="0">
      <selection activeCell="G12" sqref="G12:G13"/>
    </sheetView>
  </sheetViews>
  <sheetFormatPr baseColWidth="8" defaultColWidth="11.5703125" defaultRowHeight="12.75"/>
  <cols>
    <col width="12.28515625" customWidth="1" style="218" min="1" max="1"/>
    <col width="11.7109375" bestFit="1" customWidth="1" style="220" min="2" max="2"/>
    <col width="13.42578125" customWidth="1" style="220" min="3" max="4"/>
    <col width="70.140625" customWidth="1" style="218" min="5" max="5"/>
    <col width="8.140625" customWidth="1" style="220" min="6" max="6"/>
    <col width="13.7109375" customWidth="1" style="219" min="7" max="7"/>
    <col width="13" customWidth="1" style="218" min="8" max="8"/>
    <col width="16" customWidth="1" style="218" min="9" max="9"/>
    <col width="11.5703125" customWidth="1" style="218" min="10" max="11"/>
    <col width="38.5703125" customWidth="1" style="218" min="12" max="12"/>
    <col width="21.85546875" customWidth="1" style="218" min="13" max="13"/>
    <col width="20.85546875" customWidth="1" style="218" min="14" max="14"/>
    <col width="11.5703125" customWidth="1" style="218" min="15" max="16384"/>
  </cols>
  <sheetData>
    <row r="1">
      <c r="A1" s="1913" t="inlineStr">
        <is>
          <t>DADOS</t>
        </is>
      </c>
      <c r="H1" s="1833" t="n"/>
      <c r="I1" s="1833" t="n"/>
    </row>
    <row r="2">
      <c r="A2" s="1841" t="inlineStr">
        <is>
          <t>Titulo</t>
        </is>
      </c>
      <c r="B2" s="1905" t="inlineStr">
        <is>
          <t>ORÇAMENTO</t>
        </is>
      </c>
      <c r="C2" s="2121" t="n"/>
      <c r="D2" s="2121" t="n"/>
      <c r="E2" s="2121" t="n"/>
      <c r="F2" s="1850" t="n"/>
      <c r="G2" s="1849" t="n"/>
      <c r="H2" s="1833" t="n"/>
      <c r="I2" s="1833" t="n"/>
    </row>
    <row r="3">
      <c r="A3" s="1844" t="inlineStr">
        <is>
          <t>Obra</t>
        </is>
      </c>
      <c r="B3" s="1907" t="inlineStr">
        <is>
          <t>ELECTRA TOWERS</t>
        </is>
      </c>
      <c r="C3" s="2121" t="n"/>
      <c r="D3" s="2121" t="n"/>
      <c r="E3" s="2121" t="n"/>
      <c r="F3" s="1843" t="n"/>
      <c r="G3" s="1846" t="n"/>
      <c r="H3" s="1833" t="n"/>
      <c r="I3" s="1833" t="n"/>
    </row>
    <row r="4">
      <c r="A4" s="1841" t="inlineStr">
        <is>
          <t>Cliente</t>
        </is>
      </c>
      <c r="B4" s="1905" t="inlineStr">
        <is>
          <t>THOZEN</t>
        </is>
      </c>
      <c r="C4" s="2121" t="n"/>
      <c r="D4" s="2121" t="n"/>
      <c r="E4" s="2121" t="n"/>
      <c r="F4" s="1847" t="n"/>
      <c r="G4" s="1846" t="n"/>
      <c r="H4" s="1833" t="n"/>
      <c r="I4" s="1833" t="n"/>
    </row>
    <row r="5">
      <c r="A5" s="1844" t="inlineStr">
        <is>
          <t>Cidade</t>
        </is>
      </c>
      <c r="B5" s="1907" t="inlineStr">
        <is>
          <t>Porto Belo</t>
        </is>
      </c>
      <c r="C5" s="2121" t="n"/>
      <c r="D5" s="2121" t="n"/>
      <c r="E5" s="2121" t="n"/>
      <c r="F5" s="1847" t="n"/>
      <c r="G5" s="1846" t="n"/>
      <c r="H5" s="1833" t="n"/>
      <c r="I5" s="1833" t="n"/>
    </row>
    <row r="6">
      <c r="A6" s="1841" t="inlineStr">
        <is>
          <t>Endereço</t>
        </is>
      </c>
      <c r="B6" s="1905" t="inlineStr"/>
      <c r="C6" s="2121" t="n"/>
      <c r="D6" s="2121" t="n"/>
      <c r="E6" s="2121" t="n"/>
      <c r="F6" s="1843" t="n"/>
      <c r="G6" s="1842" t="n"/>
      <c r="H6" s="1833" t="n"/>
      <c r="I6" s="1833" t="n"/>
    </row>
    <row r="7">
      <c r="A7" s="1844" t="inlineStr">
        <is>
          <t>Descrição</t>
        </is>
      </c>
      <c r="B7" s="1907" t="inlineStr"/>
      <c r="C7" s="2121" t="n"/>
      <c r="D7" s="2121" t="n"/>
      <c r="E7" s="2121" t="n"/>
      <c r="F7" s="1843" t="n"/>
      <c r="G7" s="1842" t="n"/>
      <c r="H7" s="1833" t="n"/>
      <c r="I7" s="1833" t="n"/>
    </row>
    <row r="8">
      <c r="A8" s="1844" t="inlineStr">
        <is>
          <t>UF</t>
        </is>
      </c>
      <c r="B8" s="1907" t="inlineStr">
        <is>
          <t>SC</t>
        </is>
      </c>
      <c r="C8" s="2121" t="n"/>
      <c r="D8" s="2121" t="n"/>
      <c r="E8" s="2121" t="n"/>
      <c r="F8" s="1840" t="n"/>
      <c r="G8" s="1839" t="n"/>
      <c r="H8" s="1833" t="n"/>
      <c r="I8" s="1833" t="n"/>
    </row>
    <row r="9">
      <c r="A9" s="1838" t="n"/>
      <c r="B9" s="1929" t="n"/>
      <c r="C9" s="1929" t="n"/>
      <c r="D9" s="1929" t="n"/>
      <c r="E9" s="1929" t="n"/>
      <c r="F9" s="2028" t="n"/>
      <c r="G9" s="1836" t="n"/>
      <c r="H9" s="1833" t="n"/>
      <c r="I9" s="1833" t="n"/>
    </row>
    <row r="10">
      <c r="A10" s="1833" t="n"/>
      <c r="B10" s="1833" t="n"/>
      <c r="C10" s="1833" t="n"/>
      <c r="D10" s="1833" t="n"/>
      <c r="E10" s="1833" t="n"/>
      <c r="F10" s="1833" t="n"/>
      <c r="G10" s="1833" t="n"/>
      <c r="H10" s="1833" t="n"/>
      <c r="I10" s="1833" t="n"/>
    </row>
    <row r="11">
      <c r="A11" s="1915" t="inlineStr">
        <is>
          <t>TABELA DE COMPOSIÇÕES UTILIZADAS</t>
        </is>
      </c>
      <c r="B11" s="2129" t="n"/>
      <c r="C11" s="2129" t="n"/>
      <c r="D11" s="2129" t="n"/>
      <c r="E11" s="2129" t="n"/>
      <c r="F11" s="2129" t="n"/>
      <c r="G11" s="2129" t="n"/>
      <c r="H11" s="2129" t="n"/>
      <c r="I11" s="2129" t="n"/>
      <c r="J11" s="2129" t="n"/>
      <c r="K11" s="2129" t="n"/>
      <c r="L11" s="2129" t="n"/>
      <c r="M11" s="2129" t="n"/>
      <c r="N11" s="2129" t="n"/>
    </row>
    <row r="12">
      <c r="A12" s="1903" t="inlineStr">
        <is>
          <t>Código</t>
        </is>
      </c>
      <c r="B12" s="1903" t="inlineStr">
        <is>
          <t>Referência</t>
        </is>
      </c>
      <c r="C12" s="1903" t="inlineStr">
        <is>
          <t>Tipo</t>
        </is>
      </c>
      <c r="D12" s="1903" t="inlineStr">
        <is>
          <t>Tipo</t>
        </is>
      </c>
      <c r="E12" s="1903" t="inlineStr">
        <is>
          <t>Descrição</t>
        </is>
      </c>
      <c r="F12" s="1903" t="inlineStr">
        <is>
          <t>Unid.</t>
        </is>
      </c>
      <c r="G12" s="1903" t="inlineStr">
        <is>
          <t>Multiplicador</t>
        </is>
      </c>
      <c r="H12" s="1903" t="inlineStr">
        <is>
          <t>Preço</t>
        </is>
      </c>
      <c r="I12" s="2130" t="n"/>
      <c r="J12" s="2026" t="inlineStr">
        <is>
          <t>Ref.
Tabela</t>
        </is>
      </c>
      <c r="K12" s="2026" t="inlineStr">
        <is>
          <t>Ref.
Código</t>
        </is>
      </c>
      <c r="L12" s="2026" t="inlineStr">
        <is>
          <t>Justificativa</t>
        </is>
      </c>
      <c r="M12" s="2026" t="inlineStr">
        <is>
          <t xml:space="preserve">Grupo de
Serviço </t>
        </is>
      </c>
      <c r="N12" s="2026" t="inlineStr">
        <is>
          <t>Serviço</t>
        </is>
      </c>
    </row>
    <row r="13">
      <c r="A13" s="2123" t="n"/>
      <c r="B13" s="2123" t="n"/>
      <c r="C13" s="2123" t="n"/>
      <c r="D13" s="2123" t="n"/>
      <c r="E13" s="2123" t="n"/>
      <c r="F13" s="2123" t="n"/>
      <c r="G13" s="2123" t="n"/>
      <c r="H13" s="1903" t="inlineStr">
        <is>
          <t>Unitário</t>
        </is>
      </c>
      <c r="I13" s="1903" t="inlineStr">
        <is>
          <t>Total</t>
        </is>
      </c>
      <c r="J13" s="2123" t="n"/>
      <c r="K13" s="2123" t="n"/>
      <c r="L13" s="2123" t="n"/>
      <c r="M13" s="2123" t="n"/>
      <c r="N13" s="2123" t="n"/>
    </row>
    <row r="14" ht="38.25" customHeight="1">
      <c r="A14" s="1869" t="inlineStr">
        <is>
          <t>4825</t>
        </is>
      </c>
      <c r="B14" s="1868" t="inlineStr">
        <is>
          <t>Thozen - Electra</t>
        </is>
      </c>
      <c r="C14" s="1867" t="inlineStr"/>
      <c r="D14" s="1862" t="inlineStr">
        <is>
          <t>Original</t>
        </is>
      </c>
      <c r="E14" s="1862" t="inlineStr">
        <is>
          <t xml:space="preserve"> Alvenaria de vedação de blocos cerâmicos furados na horizontal de 11,5x19x19cm (espessura 11,5cm) com argamassa industrializada de assentamento</t>
        </is>
      </c>
      <c r="F14" s="1866" t="inlineStr">
        <is>
          <t>m2</t>
        </is>
      </c>
      <c r="G14" s="1865" t="n"/>
      <c r="H14" s="1864" t="n"/>
      <c r="I14" s="1864" t="n">
        <v>25.096</v>
      </c>
      <c r="J14" s="2131" t="n"/>
      <c r="K14" s="2131" t="n"/>
      <c r="L14" s="1862" t="n"/>
      <c r="M14" s="2132" t="n"/>
      <c r="N14" s="2132" t="inlineStr">
        <is>
          <t>BLOCOS</t>
        </is>
      </c>
      <c r="O14" s="218">
        <f>A14&amp;B14&amp;C14</f>
        <v/>
      </c>
    </row>
    <row r="15" ht="25.5" customHeight="1">
      <c r="A15" s="1860" t="inlineStr">
        <is>
          <t>194</t>
        </is>
      </c>
      <c r="B15" s="1859" t="inlineStr">
        <is>
          <t>Thozen - Electra</t>
        </is>
      </c>
      <c r="C15" s="1858" t="inlineStr">
        <is>
          <t>INSUMO</t>
        </is>
      </c>
      <c r="D15" s="1857" t="inlineStr">
        <is>
          <t>Original</t>
        </is>
      </c>
      <c r="E15" s="1857" t="inlineStr">
        <is>
          <t>ARGAMASSA ESTABILIZADA PARA ASSENTAMENTO</t>
        </is>
      </c>
      <c r="F15" s="1803" t="inlineStr">
        <is>
          <t>m3</t>
        </is>
      </c>
      <c r="G15" s="1803" t="n">
        <v>0.0125</v>
      </c>
      <c r="H15" s="1805" t="n">
        <v>480</v>
      </c>
      <c r="I15" s="1805" t="n">
        <v>6</v>
      </c>
      <c r="J15" s="2128" t="n"/>
      <c r="K15" s="2128" t="n"/>
      <c r="L15" s="1857" t="n"/>
      <c r="M15" s="2133" t="n"/>
      <c r="N15" s="2133" t="n"/>
    </row>
    <row r="16" ht="25.5" customHeight="1">
      <c r="A16" s="1855" t="inlineStr">
        <is>
          <t>228</t>
        </is>
      </c>
      <c r="B16" s="1854" t="inlineStr">
        <is>
          <t>Thozen - Electra</t>
        </is>
      </c>
      <c r="C16" s="1853" t="inlineStr">
        <is>
          <t>INSUMO</t>
        </is>
      </c>
      <c r="D16" s="1852" t="inlineStr">
        <is>
          <t>Original</t>
        </is>
      </c>
      <c r="E16" s="1852" t="inlineStr">
        <is>
          <t>BLOCO CERÂMICO 11,5X19X19CM</t>
        </is>
      </c>
      <c r="F16" s="1810" t="inlineStr">
        <is>
          <t>un</t>
        </is>
      </c>
      <c r="G16" s="1810" t="n">
        <v>17.36</v>
      </c>
      <c r="H16" s="1812" t="n">
        <v>1.1</v>
      </c>
      <c r="I16" s="1812" t="n">
        <v>19.096</v>
      </c>
      <c r="J16" s="2127" t="n"/>
      <c r="K16" s="2127" t="n"/>
      <c r="L16" s="1852" t="n"/>
      <c r="M16" s="2134" t="n"/>
      <c r="N16" s="2134" t="n"/>
    </row>
    <row r="17" ht="25.5" customHeight="1">
      <c r="A17" s="1869" t="inlineStr">
        <is>
          <t>4826</t>
        </is>
      </c>
      <c r="B17" s="1868" t="inlineStr">
        <is>
          <t>Thozen - Electra</t>
        </is>
      </c>
      <c r="C17" s="1867" t="inlineStr"/>
      <c r="D17" s="1862" t="inlineStr">
        <is>
          <t>Original</t>
        </is>
      </c>
      <c r="E17" s="1862" t="inlineStr">
        <is>
          <t xml:space="preserve"> Alvenaria de vedação de blocos cerâmicos furados na horizontal de 14x19x19cm (espessura 14cm) com argamassa industrializada de assentamento</t>
        </is>
      </c>
      <c r="F17" s="1866" t="inlineStr">
        <is>
          <t>m2</t>
        </is>
      </c>
      <c r="G17" s="1865" t="n"/>
      <c r="H17" s="1864" t="n"/>
      <c r="I17" s="1864" t="n">
        <v>40.7664</v>
      </c>
      <c r="J17" s="2131" t="n"/>
      <c r="K17" s="2131" t="n"/>
      <c r="L17" s="1862" t="n"/>
      <c r="M17" s="2132" t="n"/>
      <c r="N17" s="2132" t="inlineStr">
        <is>
          <t>BLOCOS</t>
        </is>
      </c>
      <c r="O17" s="218">
        <f>A17&amp;B17&amp;C17</f>
        <v/>
      </c>
    </row>
    <row r="18" ht="25.5" customHeight="1">
      <c r="A18" s="1860" t="inlineStr">
        <is>
          <t>194</t>
        </is>
      </c>
      <c r="B18" s="1859" t="inlineStr">
        <is>
          <t>Thozen - Electra</t>
        </is>
      </c>
      <c r="C18" s="1858" t="inlineStr">
        <is>
          <t>INSUMO</t>
        </is>
      </c>
      <c r="D18" s="1857" t="inlineStr">
        <is>
          <t>Original</t>
        </is>
      </c>
      <c r="E18" s="1857" t="inlineStr">
        <is>
          <t>ARGAMASSA ESTABILIZADA PARA ASSENTAMENTO</t>
        </is>
      </c>
      <c r="F18" s="1803" t="inlineStr">
        <is>
          <t>m3</t>
        </is>
      </c>
      <c r="G18" s="1803" t="n">
        <v>0.022</v>
      </c>
      <c r="H18" s="1805" t="n">
        <v>480</v>
      </c>
      <c r="I18" s="1805" t="n">
        <v>10.56</v>
      </c>
      <c r="J18" s="2128" t="n"/>
      <c r="K18" s="2128" t="n"/>
      <c r="L18" s="1857" t="n"/>
      <c r="M18" s="2133" t="n"/>
      <c r="N18" s="2133" t="n"/>
    </row>
    <row r="19" ht="25.5" customHeight="1">
      <c r="A19" s="1855" t="inlineStr">
        <is>
          <t>232</t>
        </is>
      </c>
      <c r="B19" s="1854" t="inlineStr">
        <is>
          <t>Thozen - Electra</t>
        </is>
      </c>
      <c r="C19" s="1853" t="inlineStr">
        <is>
          <t>INSUMO</t>
        </is>
      </c>
      <c r="D19" s="1852" t="inlineStr">
        <is>
          <t>Original</t>
        </is>
      </c>
      <c r="E19" s="1852" t="inlineStr">
        <is>
          <t>BLOCO CERÂMICO 14X19X19CM</t>
        </is>
      </c>
      <c r="F19" s="1810" t="inlineStr">
        <is>
          <t>un</t>
        </is>
      </c>
      <c r="G19" s="1810" t="n">
        <v>17.36</v>
      </c>
      <c r="H19" s="1812" t="n">
        <v>1.74</v>
      </c>
      <c r="I19" s="1812" t="n">
        <v>30.2064</v>
      </c>
      <c r="J19" s="2127" t="n"/>
      <c r="K19" s="2127" t="n"/>
      <c r="L19" s="1852" t="n"/>
      <c r="M19" s="2134" t="n"/>
      <c r="N19" s="2134" t="n"/>
    </row>
    <row r="20" ht="25.5" customHeight="1">
      <c r="A20" s="1869" t="inlineStr">
        <is>
          <t>90472</t>
        </is>
      </c>
      <c r="B20" s="1868" t="inlineStr">
        <is>
          <t>Thozen - Electra</t>
        </is>
      </c>
      <c r="C20" s="1867" t="inlineStr"/>
      <c r="D20" s="1862" t="inlineStr">
        <is>
          <t>Original</t>
        </is>
      </c>
      <c r="E20" s="1862" t="inlineStr">
        <is>
          <t>Alvenaria de vedação de blocos cerâmicos furados na horizontal de 19x19x19cm (espessura 19cm) com argamassa industrializada de assentamento</t>
        </is>
      </c>
      <c r="F20" s="1866" t="inlineStr">
        <is>
          <t>m2</t>
        </is>
      </c>
      <c r="G20" s="1865" t="n"/>
      <c r="H20" s="1864" t="n"/>
      <c r="I20" s="1864" t="n">
        <v>56.5848</v>
      </c>
      <c r="J20" s="2131" t="n"/>
      <c r="K20" s="2131" t="n"/>
      <c r="L20" s="1862" t="n"/>
      <c r="M20" s="2132" t="n"/>
      <c r="N20" s="2132" t="inlineStr">
        <is>
          <t>BLOCOS</t>
        </is>
      </c>
      <c r="O20" s="218">
        <f>A20&amp;B20&amp;C20</f>
        <v/>
      </c>
    </row>
    <row r="21" ht="25.5" customHeight="1">
      <c r="A21" s="1860" t="inlineStr">
        <is>
          <t>194</t>
        </is>
      </c>
      <c r="B21" s="1859" t="inlineStr">
        <is>
          <t>Thozen - Electra</t>
        </is>
      </c>
      <c r="C21" s="1858" t="inlineStr">
        <is>
          <t>INSUMO</t>
        </is>
      </c>
      <c r="D21" s="1857" t="inlineStr">
        <is>
          <t>Original</t>
        </is>
      </c>
      <c r="E21" s="1857" t="inlineStr">
        <is>
          <t>ARGAMASSA ESTABILIZADA PARA ASSENTAMENTO</t>
        </is>
      </c>
      <c r="F21" s="1803" t="inlineStr">
        <is>
          <t>m3</t>
        </is>
      </c>
      <c r="G21" s="1803" t="n">
        <v>0.03</v>
      </c>
      <c r="H21" s="1805" t="n">
        <v>480</v>
      </c>
      <c r="I21" s="1805" t="n">
        <v>14.4</v>
      </c>
      <c r="J21" s="2128" t="n"/>
      <c r="K21" s="2128" t="n"/>
      <c r="L21" s="1857" t="n"/>
      <c r="M21" s="2133" t="n"/>
      <c r="N21" s="2133" t="n"/>
    </row>
    <row r="22" ht="25.5" customHeight="1">
      <c r="A22" s="1855" t="inlineStr">
        <is>
          <t>48433</t>
        </is>
      </c>
      <c r="B22" s="1854" t="inlineStr">
        <is>
          <t>Thozen - Electra</t>
        </is>
      </c>
      <c r="C22" s="1853" t="inlineStr">
        <is>
          <t>INSUMO</t>
        </is>
      </c>
      <c r="D22" s="1852" t="inlineStr">
        <is>
          <t>Original</t>
        </is>
      </c>
      <c r="E22" s="1852" t="inlineStr">
        <is>
          <t>BLOCO CERÂMICO 19X19X19CM</t>
        </is>
      </c>
      <c r="F22" s="1810" t="inlineStr">
        <is>
          <t>un</t>
        </is>
      </c>
      <c r="G22" s="1810" t="n">
        <v>17.36</v>
      </c>
      <c r="H22" s="1812" t="n">
        <v>2.43</v>
      </c>
      <c r="I22" s="1812" t="n">
        <v>42.1848</v>
      </c>
      <c r="J22" s="2127" t="n"/>
      <c r="K22" s="2127" t="n"/>
      <c r="L22" s="1852" t="n"/>
      <c r="M22" s="2134" t="n"/>
      <c r="N22" s="2134" t="n"/>
    </row>
    <row r="23" ht="25.5" customHeight="1">
      <c r="A23" s="1869" t="inlineStr">
        <is>
          <t>4831</t>
        </is>
      </c>
      <c r="B23" s="1868" t="inlineStr">
        <is>
          <t>Thozen - Electra</t>
        </is>
      </c>
      <c r="C23" s="1867" t="inlineStr"/>
      <c r="D23" s="1862" t="inlineStr">
        <is>
          <t>Original</t>
        </is>
      </c>
      <c r="E23" s="1862" t="inlineStr">
        <is>
          <t xml:space="preserve"> Verga/contraverga de concreto, moldada in loco</t>
        </is>
      </c>
      <c r="F23" s="1866" t="inlineStr">
        <is>
          <t>m</t>
        </is>
      </c>
      <c r="G23" s="1865" t="n"/>
      <c r="H23" s="1864" t="n"/>
      <c r="I23" s="1864" t="n">
        <v>43.712512</v>
      </c>
      <c r="J23" s="2131" t="n"/>
      <c r="K23" s="2131" t="n"/>
      <c r="L23" s="1862" t="n"/>
      <c r="M23" s="2132" t="n"/>
      <c r="N23" s="2132" t="inlineStr"/>
      <c r="O23" s="218">
        <f>A23&amp;B23&amp;C23</f>
        <v/>
      </c>
    </row>
    <row r="24" ht="25.5" customHeight="1">
      <c r="A24" s="1860" t="inlineStr">
        <is>
          <t>759</t>
        </is>
      </c>
      <c r="B24" s="1859" t="inlineStr">
        <is>
          <t>Thozen - Electra</t>
        </is>
      </c>
      <c r="C24" s="1858" t="inlineStr">
        <is>
          <t>INSUMO</t>
        </is>
      </c>
      <c r="D24" s="1857" t="inlineStr">
        <is>
          <t>Original</t>
        </is>
      </c>
      <c r="E24" s="1857" t="inlineStr">
        <is>
          <t>CONCRETO USINADO FCK 20 MPA, SLUMP 14+/-2</t>
        </is>
      </c>
      <c r="F24" s="1803" t="inlineStr">
        <is>
          <t>m3</t>
        </is>
      </c>
      <c r="G24" s="1803" t="n">
        <v>0.0264</v>
      </c>
      <c r="H24" s="1805" t="n">
        <v>450</v>
      </c>
      <c r="I24" s="1805" t="n">
        <v>11.88</v>
      </c>
      <c r="J24" s="2128" t="n"/>
      <c r="K24" s="2128" t="n"/>
      <c r="L24" s="1857" t="n"/>
      <c r="M24" s="2133" t="n"/>
      <c r="N24" s="2133" t="n"/>
    </row>
    <row r="25" ht="25.5" customHeight="1">
      <c r="A25" s="1855" t="inlineStr">
        <is>
          <t>4800</t>
        </is>
      </c>
      <c r="B25" s="1854" t="inlineStr">
        <is>
          <t>Thozen - Electra</t>
        </is>
      </c>
      <c r="C25" s="1853" t="inlineStr">
        <is>
          <t>INSUMO</t>
        </is>
      </c>
      <c r="D25" s="1852" t="inlineStr">
        <is>
          <t>Original</t>
        </is>
      </c>
      <c r="E25" s="1852" t="inlineStr">
        <is>
          <t>DESMOLDANTE DE FORMAS PARA CONCRETO</t>
        </is>
      </c>
      <c r="F25" s="1810" t="inlineStr">
        <is>
          <t>l</t>
        </is>
      </c>
      <c r="G25" s="1810" t="n">
        <v>0.007</v>
      </c>
      <c r="H25" s="1812" t="n">
        <v>6.45</v>
      </c>
      <c r="I25" s="1812" t="n">
        <v>0.04515</v>
      </c>
      <c r="J25" s="2127" t="n"/>
      <c r="K25" s="2127" t="n"/>
      <c r="L25" s="1852" t="n"/>
      <c r="M25" s="2134" t="n"/>
      <c r="N25" s="2134" t="n"/>
    </row>
    <row r="26" ht="25.5" customHeight="1">
      <c r="A26" s="1860" t="inlineStr">
        <is>
          <t>1412</t>
        </is>
      </c>
      <c r="B26" s="1859" t="inlineStr">
        <is>
          <t>Thozen - Electra</t>
        </is>
      </c>
      <c r="C26" s="1858" t="inlineStr">
        <is>
          <t>INSUMO</t>
        </is>
      </c>
      <c r="D26" s="1857" t="inlineStr">
        <is>
          <t>Original</t>
        </is>
      </c>
      <c r="E26" s="1857" t="inlineStr">
        <is>
          <t>ESPAÇADOR PLÁSTICO</t>
        </is>
      </c>
      <c r="F26" s="1803" t="inlineStr">
        <is>
          <t>un</t>
        </is>
      </c>
      <c r="G26" s="1803" t="n">
        <v>6</v>
      </c>
      <c r="H26" s="1805" t="n">
        <v>0.15</v>
      </c>
      <c r="I26" s="1805" t="n">
        <v>0.8999999999999999</v>
      </c>
      <c r="J26" s="2128" t="n"/>
      <c r="K26" s="2128" t="n"/>
      <c r="L26" s="1857" t="n"/>
      <c r="M26" s="2133" t="n"/>
      <c r="N26" s="2133" t="n"/>
    </row>
    <row r="27" ht="25.5" customHeight="1">
      <c r="A27" s="1855" t="inlineStr">
        <is>
          <t>2324</t>
        </is>
      </c>
      <c r="B27" s="1854" t="inlineStr">
        <is>
          <t>Thozen - Electra</t>
        </is>
      </c>
      <c r="C27" s="1853" t="inlineStr">
        <is>
          <t>INSUMO</t>
        </is>
      </c>
      <c r="D27" s="1852" t="inlineStr">
        <is>
          <t>Original</t>
        </is>
      </c>
      <c r="E27" s="1852" t="inlineStr">
        <is>
          <t>PONTALETE 7,5X7,5 CM  PINUS</t>
        </is>
      </c>
      <c r="F27" s="1810" t="inlineStr">
        <is>
          <t>m3</t>
        </is>
      </c>
      <c r="G27" s="1810" t="n">
        <v>0.0012</v>
      </c>
      <c r="H27" s="1812" t="n">
        <v>1310</v>
      </c>
      <c r="I27" s="1812" t="n">
        <v>1.572</v>
      </c>
      <c r="J27" s="2127" t="n"/>
      <c r="K27" s="2127" t="n"/>
      <c r="L27" s="1852" t="n"/>
      <c r="M27" s="2134" t="n"/>
      <c r="N27" s="2134" t="n"/>
    </row>
    <row r="28" ht="25.5" customHeight="1">
      <c r="A28" s="1860" t="inlineStr">
        <is>
          <t>2362</t>
        </is>
      </c>
      <c r="B28" s="1859" t="inlineStr">
        <is>
          <t>Thozen - Electra</t>
        </is>
      </c>
      <c r="C28" s="1858" t="inlineStr">
        <is>
          <t>INSUMO</t>
        </is>
      </c>
      <c r="D28" s="1857" t="inlineStr">
        <is>
          <t>Original</t>
        </is>
      </c>
      <c r="E28" s="1857" t="inlineStr">
        <is>
          <t>PREGO POLIDO COM CABEÇA 17X21</t>
        </is>
      </c>
      <c r="F28" s="1803" t="inlineStr">
        <is>
          <t>kg</t>
        </is>
      </c>
      <c r="G28" s="1803" t="n">
        <v>0.0512</v>
      </c>
      <c r="H28" s="1805" t="n">
        <v>10.91</v>
      </c>
      <c r="I28" s="1805" t="n">
        <v>0.5585920000000001</v>
      </c>
      <c r="J28" s="2128" t="n"/>
      <c r="K28" s="2128" t="n"/>
      <c r="L28" s="1857" t="n"/>
      <c r="M28" s="2133" t="n"/>
      <c r="N28" s="2133" t="n"/>
    </row>
    <row r="29" ht="25.5" customHeight="1">
      <c r="A29" s="1855" t="inlineStr">
        <is>
          <t>2546</t>
        </is>
      </c>
      <c r="B29" s="1854" t="inlineStr">
        <is>
          <t>Thozen - Electra</t>
        </is>
      </c>
      <c r="C29" s="1853" t="inlineStr">
        <is>
          <t>INSUMO</t>
        </is>
      </c>
      <c r="D29" s="1852" t="inlineStr">
        <is>
          <t>Original</t>
        </is>
      </c>
      <c r="E29" s="1852" t="inlineStr">
        <is>
          <t>SARRAFO 2,5X7,5 CM PINUS</t>
        </is>
      </c>
      <c r="F29" s="1810" t="inlineStr">
        <is>
          <t>m3</t>
        </is>
      </c>
      <c r="G29" s="1810" t="n">
        <v>0.003171</v>
      </c>
      <c r="H29" s="1812" t="n">
        <v>1300</v>
      </c>
      <c r="I29" s="1812" t="n">
        <v>4.1223</v>
      </c>
      <c r="J29" s="2127" t="n"/>
      <c r="K29" s="2127" t="n"/>
      <c r="L29" s="1852" t="n"/>
      <c r="M29" s="2134" t="n"/>
      <c r="N29" s="2134" t="n"/>
    </row>
    <row r="30" ht="25.5" customHeight="1">
      <c r="A30" s="1860" t="inlineStr">
        <is>
          <t>2611</t>
        </is>
      </c>
      <c r="B30" s="1859" t="inlineStr">
        <is>
          <t>Thozen - Electra</t>
        </is>
      </c>
      <c r="C30" s="1858" t="inlineStr">
        <is>
          <t>INSUMO</t>
        </is>
      </c>
      <c r="D30" s="1857" t="inlineStr">
        <is>
          <t>Original</t>
        </is>
      </c>
      <c r="E30" s="1857" t="inlineStr">
        <is>
          <t>TÁBUA 1"X12" 2,5X30CM PINUS</t>
        </is>
      </c>
      <c r="F30" s="1803" t="inlineStr">
        <is>
          <t>m3</t>
        </is>
      </c>
      <c r="G30" s="1803" t="n">
        <v>0.011676</v>
      </c>
      <c r="H30" s="1805" t="n">
        <v>1800</v>
      </c>
      <c r="I30" s="1805" t="n">
        <v>21.0168</v>
      </c>
      <c r="J30" s="2128" t="n"/>
      <c r="K30" s="2128" t="n"/>
      <c r="L30" s="1857" t="n"/>
      <c r="M30" s="2133" t="n"/>
      <c r="N30" s="2133" t="n"/>
    </row>
    <row r="31" ht="25.5" customHeight="1">
      <c r="A31" s="1855" t="inlineStr">
        <is>
          <t>32</t>
        </is>
      </c>
      <c r="B31" s="1854" t="inlineStr">
        <is>
          <t>Thozen - Electra</t>
        </is>
      </c>
      <c r="C31" s="1853" t="inlineStr">
        <is>
          <t>INSUMO</t>
        </is>
      </c>
      <c r="D31" s="1852" t="inlineStr">
        <is>
          <t>Original</t>
        </is>
      </c>
      <c r="E31" s="1852" t="inlineStr">
        <is>
          <t xml:space="preserve">AÇO CA-50 DIÂMETRO 6,30 MM </t>
        </is>
      </c>
      <c r="F31" s="1810" t="inlineStr">
        <is>
          <t>kg</t>
        </is>
      </c>
      <c r="G31" s="1810" t="n">
        <v>0.5243</v>
      </c>
      <c r="H31" s="1812" t="n">
        <v>6.9</v>
      </c>
      <c r="I31" s="1812" t="n">
        <v>3.61767</v>
      </c>
      <c r="J31" s="2127" t="n"/>
      <c r="K31" s="2127" t="n"/>
      <c r="L31" s="1852" t="n"/>
      <c r="M31" s="2134" t="n"/>
      <c r="N31" s="2134" t="n"/>
    </row>
    <row r="32" ht="25.5" customHeight="1">
      <c r="A32" s="1869" t="inlineStr">
        <is>
          <t>4828</t>
        </is>
      </c>
      <c r="B32" s="1868" t="inlineStr">
        <is>
          <t>Thozen - Electra</t>
        </is>
      </c>
      <c r="C32" s="1867" t="inlineStr"/>
      <c r="D32" s="1862" t="inlineStr">
        <is>
          <t>Original</t>
        </is>
      </c>
      <c r="E32" s="1862" t="inlineStr">
        <is>
          <t xml:space="preserve"> Encunhamento de alvenaria de vedação com argamassa expansiva</t>
        </is>
      </c>
      <c r="F32" s="1866" t="inlineStr">
        <is>
          <t>m</t>
        </is>
      </c>
      <c r="G32" s="1865" t="n"/>
      <c r="H32" s="1864" t="n"/>
      <c r="I32" s="1864" t="n">
        <v>3.633798000000001</v>
      </c>
      <c r="J32" s="2131" t="n"/>
      <c r="K32" s="2131" t="n"/>
      <c r="L32" s="1862" t="n"/>
      <c r="M32" s="2132" t="n"/>
      <c r="N32" s="2132" t="inlineStr">
        <is>
          <t>ENCUNHAMENTO</t>
        </is>
      </c>
      <c r="O32" s="218">
        <f>A32&amp;B32&amp;C32</f>
        <v/>
      </c>
    </row>
    <row r="33" ht="25.5" customHeight="1">
      <c r="A33" s="1860" t="inlineStr">
        <is>
          <t>48435</t>
        </is>
      </c>
      <c r="B33" s="1859" t="inlineStr">
        <is>
          <t>Thozen - Electra</t>
        </is>
      </c>
      <c r="C33" s="1858" t="inlineStr">
        <is>
          <t>INSUMO</t>
        </is>
      </c>
      <c r="D33" s="1857" t="inlineStr">
        <is>
          <t>Original</t>
        </is>
      </c>
      <c r="E33" s="1857" t="inlineStr">
        <is>
          <t>ARGAMASSA EXPANSIVA PARA ENCUNHAMENTO</t>
        </is>
      </c>
      <c r="F33" s="1803" t="inlineStr">
        <is>
          <t>Kg</t>
        </is>
      </c>
      <c r="G33" s="1803" t="n">
        <v>0.2154</v>
      </c>
      <c r="H33" s="1805" t="n">
        <v>16.87</v>
      </c>
      <c r="I33" s="1805" t="n">
        <v>3.633798000000001</v>
      </c>
      <c r="J33" s="2128" t="n"/>
      <c r="K33" s="2128" t="n"/>
      <c r="L33" s="1857" t="n"/>
      <c r="M33" s="2133" t="n"/>
      <c r="N33" s="2133" t="n"/>
    </row>
    <row r="34" ht="25.5" customHeight="1">
      <c r="A34" s="1869" t="inlineStr">
        <is>
          <t>4829</t>
        </is>
      </c>
      <c r="B34" s="1868" t="inlineStr">
        <is>
          <t>Thozen - Electra</t>
        </is>
      </c>
      <c r="C34" s="1867" t="inlineStr"/>
      <c r="D34" s="1862" t="inlineStr">
        <is>
          <t>Original</t>
        </is>
      </c>
      <c r="E34" s="1862" t="inlineStr">
        <is>
          <t xml:space="preserve"> Tela soldada para ligação alvenaria/estrutura</t>
        </is>
      </c>
      <c r="F34" s="1866" t="inlineStr">
        <is>
          <t>m²</t>
        </is>
      </c>
      <c r="G34" s="1865" t="n"/>
      <c r="H34" s="1864" t="n"/>
      <c r="I34" s="1864" t="n">
        <v>1.85</v>
      </c>
      <c r="J34" s="2131" t="n"/>
      <c r="K34" s="2131" t="n"/>
      <c r="L34" s="1862" t="n"/>
      <c r="M34" s="2132" t="n"/>
      <c r="N34" s="2132" t="inlineStr"/>
      <c r="O34" s="218">
        <f>A34&amp;B34&amp;C34</f>
        <v/>
      </c>
    </row>
    <row r="35" ht="25.5" customHeight="1">
      <c r="A35" s="1860" t="inlineStr">
        <is>
          <t>718</t>
        </is>
      </c>
      <c r="B35" s="1859" t="inlineStr">
        <is>
          <t>Thozen - Electra</t>
        </is>
      </c>
      <c r="C35" s="1858" t="inlineStr">
        <is>
          <t>INSUMO</t>
        </is>
      </c>
      <c r="D35" s="1857" t="inlineStr">
        <is>
          <t>Original</t>
        </is>
      </c>
      <c r="E35" s="1857" t="inlineStr">
        <is>
          <t>CARTUCHO 22 - CARGA LEVE PARA FINCA PINO E POLVORA</t>
        </is>
      </c>
      <c r="F35" s="1803" t="inlineStr">
        <is>
          <t>un</t>
        </is>
      </c>
      <c r="G35" s="1803" t="n">
        <v>1</v>
      </c>
      <c r="H35" s="1805" t="n">
        <v>0.3</v>
      </c>
      <c r="I35" s="1805" t="n">
        <v>0.3</v>
      </c>
      <c r="J35" s="2128" t="n"/>
      <c r="K35" s="2128" t="n"/>
      <c r="L35" s="1857" t="n"/>
      <c r="M35" s="2133" t="n"/>
      <c r="N35" s="2133" t="n"/>
    </row>
    <row r="36" ht="25.5" customHeight="1">
      <c r="A36" s="1855" t="inlineStr">
        <is>
          <t>2260</t>
        </is>
      </c>
      <c r="B36" s="1854" t="inlineStr">
        <is>
          <t>Thozen - Electra</t>
        </is>
      </c>
      <c r="C36" s="1853" t="inlineStr">
        <is>
          <t>INSUMO</t>
        </is>
      </c>
      <c r="D36" s="1852" t="inlineStr">
        <is>
          <t>Original</t>
        </is>
      </c>
      <c r="E36" s="1852" t="inlineStr">
        <is>
          <t>PINO LISO EM AÇO GALVANIZADO 1/2 X 22MM COM ARRUELA</t>
        </is>
      </c>
      <c r="F36" s="1810" t="inlineStr">
        <is>
          <t>un</t>
        </is>
      </c>
      <c r="G36" s="1810" t="n">
        <v>1</v>
      </c>
      <c r="H36" s="1812" t="n">
        <v>0.3</v>
      </c>
      <c r="I36" s="1812" t="n">
        <v>0.3</v>
      </c>
      <c r="J36" s="2127" t="n"/>
      <c r="K36" s="2127" t="n"/>
      <c r="L36" s="1852" t="n"/>
      <c r="M36" s="2134" t="n"/>
      <c r="N36" s="2134" t="n"/>
    </row>
    <row r="37" ht="25.5" customHeight="1">
      <c r="A37" s="1860" t="inlineStr">
        <is>
          <t>2901</t>
        </is>
      </c>
      <c r="B37" s="1859" t="inlineStr">
        <is>
          <t>Thozen - Electra</t>
        </is>
      </c>
      <c r="C37" s="1858" t="inlineStr">
        <is>
          <t>INSUMO</t>
        </is>
      </c>
      <c r="D37" s="1857" t="inlineStr">
        <is>
          <t>Original</t>
        </is>
      </c>
      <c r="E37" s="1857" t="inlineStr">
        <is>
          <t>TELA DE ACO SOLDADA, FIO 1,24MM, MALHA 15X15MM</t>
        </is>
      </c>
      <c r="F37" s="1803" t="inlineStr">
        <is>
          <t>m2</t>
        </is>
      </c>
      <c r="G37" s="1803" t="n">
        <v>0.5</v>
      </c>
      <c r="H37" s="1805" t="n">
        <v>2.5</v>
      </c>
      <c r="I37" s="1805" t="n">
        <v>1.25</v>
      </c>
      <c r="J37" s="2128" t="n"/>
      <c r="K37" s="2128" t="n"/>
      <c r="L37" s="1857" t="n"/>
      <c r="M37" s="2133" t="n"/>
      <c r="N37" s="2133" t="n"/>
    </row>
    <row r="38" ht="25.5" customHeight="1">
      <c r="A38" s="1869" t="inlineStr">
        <is>
          <t>4842</t>
        </is>
      </c>
      <c r="B38" s="1868" t="inlineStr">
        <is>
          <t>Thozen - Electra</t>
        </is>
      </c>
      <c r="C38" s="1867" t="inlineStr"/>
      <c r="D38" s="1862" t="inlineStr">
        <is>
          <t>Original</t>
        </is>
      </c>
      <c r="E38" s="1862" t="inlineStr">
        <is>
          <t xml:space="preserve"> Impermeabilização com argamassa polimérica, 3 demãos</t>
        </is>
      </c>
      <c r="F38" s="1866" t="inlineStr">
        <is>
          <t>m2</t>
        </is>
      </c>
      <c r="G38" s="1865" t="n"/>
      <c r="H38" s="1864" t="n"/>
      <c r="I38" s="1864" t="n">
        <v>36.225</v>
      </c>
      <c r="J38" s="2131" t="n"/>
      <c r="K38" s="2131" t="n"/>
      <c r="L38" s="1862" t="n"/>
      <c r="M38" s="2132" t="n"/>
      <c r="N38" s="2132" t="inlineStr"/>
      <c r="O38" s="218">
        <f>A38&amp;B38&amp;C38</f>
        <v/>
      </c>
    </row>
    <row r="39" ht="25.5" customHeight="1">
      <c r="A39" s="1860" t="inlineStr">
        <is>
          <t>202</t>
        </is>
      </c>
      <c r="B39" s="1859" t="inlineStr">
        <is>
          <t>Thozen - Electra</t>
        </is>
      </c>
      <c r="C39" s="1858" t="inlineStr">
        <is>
          <t>INSUMO</t>
        </is>
      </c>
      <c r="D39" s="1857" t="inlineStr">
        <is>
          <t>Original</t>
        </is>
      </c>
      <c r="E39" s="1857" t="inlineStr">
        <is>
          <t>ARGAMASSA POLIMÉRICA IMPERMEABILIZANTE</t>
        </is>
      </c>
      <c r="F39" s="1803" t="inlineStr">
        <is>
          <t>kg</t>
        </is>
      </c>
      <c r="G39" s="1803" t="n">
        <v>3.15</v>
      </c>
      <c r="H39" s="1805" t="n">
        <v>11.5</v>
      </c>
      <c r="I39" s="1805" t="n">
        <v>36.225</v>
      </c>
      <c r="J39" s="2128" t="n"/>
      <c r="K39" s="2128" t="n"/>
      <c r="L39" s="1857" t="n"/>
      <c r="M39" s="2133" t="n"/>
      <c r="N39" s="2133" t="n"/>
    </row>
    <row r="40" ht="25.5" customHeight="1">
      <c r="A40" s="1869" t="inlineStr">
        <is>
          <t>90541</t>
        </is>
      </c>
      <c r="B40" s="1868" t="inlineStr">
        <is>
          <t>Thozen - Electra</t>
        </is>
      </c>
      <c r="C40" s="1867" t="inlineStr"/>
      <c r="D40" s="1862" t="inlineStr">
        <is>
          <t>Original</t>
        </is>
      </c>
      <c r="E40" s="1862" t="inlineStr">
        <is>
          <t>Chapisco adesivo aplicado em concreto, com desempenadeira dentada</t>
        </is>
      </c>
      <c r="F40" s="1866" t="inlineStr">
        <is>
          <t>m2</t>
        </is>
      </c>
      <c r="G40" s="1865" t="n"/>
      <c r="H40" s="1864" t="n"/>
      <c r="I40" s="1864" t="n">
        <v>6.459</v>
      </c>
      <c r="J40" s="2131" t="n"/>
      <c r="K40" s="2131" t="n"/>
      <c r="L40" s="1862" t="n"/>
      <c r="M40" s="2132" t="n"/>
      <c r="N40" s="2132" t="inlineStr">
        <is>
          <t>CHAPISCO</t>
        </is>
      </c>
      <c r="O40" s="218">
        <f>A40&amp;B40&amp;C40</f>
        <v/>
      </c>
    </row>
    <row r="41" ht="25.5" customHeight="1">
      <c r="A41" s="1860" t="inlineStr">
        <is>
          <t>197</t>
        </is>
      </c>
      <c r="B41" s="1859" t="inlineStr">
        <is>
          <t>Thozen - Electra</t>
        </is>
      </c>
      <c r="C41" s="1858" t="inlineStr">
        <is>
          <t>INSUMO</t>
        </is>
      </c>
      <c r="D41" s="1857" t="inlineStr">
        <is>
          <t>Original</t>
        </is>
      </c>
      <c r="E41" s="1857" t="inlineStr">
        <is>
          <t>ARGAMASSA ESTABILIZADA PARA REBOCO</t>
        </is>
      </c>
      <c r="F41" s="1803" t="inlineStr">
        <is>
          <t>m3</t>
        </is>
      </c>
      <c r="G41" s="1803" t="n">
        <v>0.0033</v>
      </c>
      <c r="H41" s="1805" t="n">
        <v>480</v>
      </c>
      <c r="I41" s="1805" t="n">
        <v>1.584</v>
      </c>
      <c r="J41" s="2128" t="n"/>
      <c r="K41" s="2128" t="n"/>
      <c r="L41" s="1857" t="n"/>
      <c r="M41" s="2133" t="n"/>
      <c r="N41" s="2133" t="n"/>
    </row>
    <row r="42" ht="25.5" customHeight="1">
      <c r="A42" s="1855" t="inlineStr">
        <is>
          <t>48481</t>
        </is>
      </c>
      <c r="B42" s="1854" t="inlineStr">
        <is>
          <t>Thozen - Electra</t>
        </is>
      </c>
      <c r="C42" s="1853" t="inlineStr">
        <is>
          <t>INSUMO</t>
        </is>
      </c>
      <c r="D42" s="1852" t="inlineStr">
        <is>
          <t>Original</t>
        </is>
      </c>
      <c r="E42" s="1852" t="inlineStr">
        <is>
          <t>ADITIVO ADESIVO LÍQUIDO PARA ARGAMASSA</t>
        </is>
      </c>
      <c r="F42" s="1810" t="inlineStr">
        <is>
          <t>L</t>
        </is>
      </c>
      <c r="G42" s="1810" t="n">
        <v>0.625</v>
      </c>
      <c r="H42" s="1812" t="n">
        <v>7.8</v>
      </c>
      <c r="I42" s="1812" t="n">
        <v>4.875</v>
      </c>
      <c r="J42" s="2127" t="n"/>
      <c r="K42" s="2127" t="n"/>
      <c r="L42" s="1852" t="n"/>
      <c r="M42" s="2134" t="n"/>
      <c r="N42" s="2134" t="n"/>
    </row>
    <row r="43" ht="25.5" customHeight="1">
      <c r="A43" s="1869" t="inlineStr">
        <is>
          <t>90507</t>
        </is>
      </c>
      <c r="B43" s="1868" t="inlineStr">
        <is>
          <t>Thozen - Electra</t>
        </is>
      </c>
      <c r="C43" s="1867" t="inlineStr"/>
      <c r="D43" s="1862" t="inlineStr">
        <is>
          <t>Original</t>
        </is>
      </c>
      <c r="E43" s="1862" t="inlineStr">
        <is>
          <t>Chapisco rolado aplicado em alvenaria, com desempenadeira dentada</t>
        </is>
      </c>
      <c r="F43" s="1866" t="inlineStr">
        <is>
          <t>m2</t>
        </is>
      </c>
      <c r="G43" s="1865" t="n"/>
      <c r="H43" s="1864" t="n"/>
      <c r="I43" s="1864" t="n">
        <v>5.502000000000001</v>
      </c>
      <c r="J43" s="2131" t="n"/>
      <c r="K43" s="2131" t="n"/>
      <c r="L43" s="1862" t="n"/>
      <c r="M43" s="2132" t="n"/>
      <c r="N43" s="2132" t="inlineStr">
        <is>
          <t>CHAPISCO</t>
        </is>
      </c>
      <c r="O43" s="218">
        <f>A43&amp;B43&amp;C43</f>
        <v/>
      </c>
    </row>
    <row r="44" ht="25.5" customHeight="1">
      <c r="A44" s="1860" t="inlineStr">
        <is>
          <t>48373</t>
        </is>
      </c>
      <c r="B44" s="1859" t="inlineStr">
        <is>
          <t>Thozen - Electra</t>
        </is>
      </c>
      <c r="C44" s="1858" t="inlineStr">
        <is>
          <t>INSUMO</t>
        </is>
      </c>
      <c r="D44" s="1857" t="inlineStr">
        <is>
          <t>Original</t>
        </is>
      </c>
      <c r="E44" s="1857" t="inlineStr">
        <is>
          <t>CHAPISCO COLANTE 20KG</t>
        </is>
      </c>
      <c r="F44" s="1803" t="inlineStr">
        <is>
          <t>Kg</t>
        </is>
      </c>
      <c r="G44" s="1803" t="n">
        <v>4.2</v>
      </c>
      <c r="H44" s="1805" t="n">
        <v>1.31</v>
      </c>
      <c r="I44" s="1805" t="n">
        <v>5.502000000000001</v>
      </c>
      <c r="J44" s="2128" t="n"/>
      <c r="K44" s="2128" t="n"/>
      <c r="L44" s="1857" t="n"/>
      <c r="M44" s="2133" t="n"/>
      <c r="N44" s="2133" t="n"/>
    </row>
    <row r="45" ht="25.5" customHeight="1">
      <c r="A45" s="1869" t="inlineStr">
        <is>
          <t>4861</t>
        </is>
      </c>
      <c r="B45" s="1868" t="inlineStr">
        <is>
          <t>Thozen - Electra</t>
        </is>
      </c>
      <c r="C45" s="1867" t="inlineStr"/>
      <c r="D45" s="1862" t="inlineStr">
        <is>
          <t>Original</t>
        </is>
      </c>
      <c r="E45" s="1862" t="inlineStr">
        <is>
          <t xml:space="preserve"> Massa única para paredes internas em argamassa estabilizada, aplicação manual, espessura 2cm, com execução de taliscas</t>
        </is>
      </c>
      <c r="F45" s="1866" t="inlineStr">
        <is>
          <t>m2</t>
        </is>
      </c>
      <c r="G45" s="1865" t="n"/>
      <c r="H45" s="1864" t="n"/>
      <c r="I45" s="1864" t="n">
        <v>18.048</v>
      </c>
      <c r="J45" s="2131" t="n"/>
      <c r="K45" s="2131" t="n"/>
      <c r="L45" s="1862" t="n"/>
      <c r="M45" s="2132" t="n"/>
      <c r="N45" s="2132" t="inlineStr">
        <is>
          <t>REBOCO</t>
        </is>
      </c>
      <c r="O45" s="218">
        <f>A45&amp;B45&amp;C45</f>
        <v/>
      </c>
    </row>
    <row r="46" ht="25.5" customHeight="1">
      <c r="A46" s="1860" t="inlineStr">
        <is>
          <t>197</t>
        </is>
      </c>
      <c r="B46" s="1859" t="inlineStr">
        <is>
          <t>Thozen - Electra</t>
        </is>
      </c>
      <c r="C46" s="1858" t="inlineStr">
        <is>
          <t>INSUMO</t>
        </is>
      </c>
      <c r="D46" s="1857" t="inlineStr">
        <is>
          <t>Original</t>
        </is>
      </c>
      <c r="E46" s="1857" t="inlineStr">
        <is>
          <t>ARGAMASSA ESTABILIZADA PARA REBOCO</t>
        </is>
      </c>
      <c r="F46" s="1803" t="inlineStr">
        <is>
          <t>m3</t>
        </is>
      </c>
      <c r="G46" s="1803" t="n">
        <v>0.0376</v>
      </c>
      <c r="H46" s="1805" t="n">
        <v>480</v>
      </c>
      <c r="I46" s="1805" t="n">
        <v>18.048</v>
      </c>
      <c r="J46" s="2128" t="n"/>
      <c r="K46" s="2128" t="n"/>
      <c r="L46" s="1857" t="n"/>
      <c r="M46" s="2133" t="n"/>
      <c r="N46" s="2133" t="n"/>
    </row>
    <row r="47" ht="25.5" customHeight="1">
      <c r="A47" s="1869" t="inlineStr">
        <is>
          <t>4865</t>
        </is>
      </c>
      <c r="B47" s="1868" t="inlineStr">
        <is>
          <t>Thozen - Electra</t>
        </is>
      </c>
      <c r="C47" s="1867" t="inlineStr"/>
      <c r="D47" s="1862" t="inlineStr">
        <is>
          <t>Original</t>
        </is>
      </c>
      <c r="E47" s="1862" t="inlineStr">
        <is>
          <t xml:space="preserve"> Mão de obra para reboco interno, incluso chapisco</t>
        </is>
      </c>
      <c r="F47" s="1866" t="inlineStr">
        <is>
          <t>m2</t>
        </is>
      </c>
      <c r="G47" s="1865" t="n"/>
      <c r="H47" s="1864" t="n"/>
      <c r="I47" s="1864" t="n">
        <v>35</v>
      </c>
      <c r="J47" s="2131" t="n"/>
      <c r="K47" s="2131" t="n"/>
      <c r="L47" s="1862" t="n"/>
      <c r="M47" s="2132" t="n"/>
      <c r="N47" s="2132" t="inlineStr"/>
      <c r="O47" s="218">
        <f>A47&amp;B47&amp;C47</f>
        <v/>
      </c>
    </row>
    <row r="48" ht="25.5" customHeight="1">
      <c r="A48" s="1860" t="inlineStr">
        <is>
          <t>2154</t>
        </is>
      </c>
      <c r="B48" s="1859" t="inlineStr">
        <is>
          <t>Thozen - Electra</t>
        </is>
      </c>
      <c r="C48" s="1858" t="inlineStr">
        <is>
          <t>INSUMO</t>
        </is>
      </c>
      <c r="D48" s="1857" t="inlineStr">
        <is>
          <t>Original</t>
        </is>
      </c>
      <c r="E48" s="1857" t="inlineStr">
        <is>
          <t>MÃO DE OBRA PARA EXECUÇÃO DE CHAPISCO E REBOCO INTERNO EM PAREDES</t>
        </is>
      </c>
      <c r="F48" s="1803" t="inlineStr">
        <is>
          <t>m2</t>
        </is>
      </c>
      <c r="G48" s="1803" t="n">
        <v>1</v>
      </c>
      <c r="H48" s="1805" t="n">
        <v>35</v>
      </c>
      <c r="I48" s="1805" t="n">
        <v>35</v>
      </c>
      <c r="J48" s="2128" t="n"/>
      <c r="K48" s="2128" t="n"/>
      <c r="L48" s="1857" t="n"/>
      <c r="M48" s="2133" t="n"/>
      <c r="N48" s="2133" t="n"/>
    </row>
    <row r="49" ht="25.5" customHeight="1">
      <c r="A49" s="1869" t="inlineStr">
        <is>
          <t>4899</t>
        </is>
      </c>
      <c r="B49" s="1868" t="inlineStr">
        <is>
          <t>Thozen - Electra</t>
        </is>
      </c>
      <c r="C49" s="1867" t="inlineStr"/>
      <c r="D49" s="1862" t="inlineStr">
        <is>
          <t>Original</t>
        </is>
      </c>
      <c r="E49" s="1862" t="inlineStr">
        <is>
          <t xml:space="preserve"> Revestimento interno de parede em porcelanato, placa 30x90cm, aplicação em banheiros e cozinhas</t>
        </is>
      </c>
      <c r="F49" s="1866" t="inlineStr">
        <is>
          <t>m2</t>
        </is>
      </c>
      <c r="G49" s="1865" t="n"/>
      <c r="H49" s="1864" t="n"/>
      <c r="I49" s="1864" t="n">
        <v>97.430075</v>
      </c>
      <c r="J49" s="2131" t="n"/>
      <c r="K49" s="2131" t="n"/>
      <c r="L49" s="1862" t="n"/>
      <c r="M49" s="2132" t="n"/>
      <c r="N49" s="2132" t="inlineStr"/>
      <c r="O49" s="218">
        <f>A49&amp;B49&amp;C49</f>
        <v/>
      </c>
    </row>
    <row r="50" ht="25.5" customHeight="1">
      <c r="A50" s="1860" t="inlineStr">
        <is>
          <t>193</t>
        </is>
      </c>
      <c r="B50" s="1859" t="inlineStr">
        <is>
          <t>Thozen - Electra</t>
        </is>
      </c>
      <c r="C50" s="1858" t="inlineStr">
        <is>
          <t>INSUMO</t>
        </is>
      </c>
      <c r="D50" s="1857" t="inlineStr">
        <is>
          <t>Original</t>
        </is>
      </c>
      <c r="E50" s="1857" t="inlineStr">
        <is>
          <t>ARGAMASSA COLANTE AC III</t>
        </is>
      </c>
      <c r="F50" s="1803" t="inlineStr">
        <is>
          <t>kg</t>
        </is>
      </c>
      <c r="G50" s="1803" t="n">
        <v>9</v>
      </c>
      <c r="H50" s="1805" t="n">
        <v>2.345</v>
      </c>
      <c r="I50" s="1805" t="n">
        <v>21.105</v>
      </c>
      <c r="J50" s="2128" t="n"/>
      <c r="K50" s="2128" t="n"/>
      <c r="L50" s="1857" t="n"/>
      <c r="M50" s="2133" t="n"/>
      <c r="N50" s="2133" t="n"/>
    </row>
    <row r="51" ht="25.5" customHeight="1">
      <c r="A51" s="1855" t="inlineStr">
        <is>
          <t>4881</t>
        </is>
      </c>
      <c r="B51" s="1854" t="inlineStr">
        <is>
          <t>Thozen - Electra</t>
        </is>
      </c>
      <c r="C51" s="1853" t="inlineStr">
        <is>
          <t>INSUMO</t>
        </is>
      </c>
      <c r="D51" s="1852" t="inlineStr">
        <is>
          <t>Original</t>
        </is>
      </c>
      <c r="E51" s="1852" t="inlineStr">
        <is>
          <t>ESPAÇADOR PARA REVESTIMENTO CERÂMICO TIPO CRUZETA 5 MM</t>
        </is>
      </c>
      <c r="F51" s="1810" t="inlineStr">
        <is>
          <t>un</t>
        </is>
      </c>
      <c r="G51" s="1810" t="n">
        <v>4</v>
      </c>
      <c r="H51" s="1812" t="n">
        <v>0.2</v>
      </c>
      <c r="I51" s="1812" t="n">
        <v>0.8</v>
      </c>
      <c r="J51" s="2127" t="n"/>
      <c r="K51" s="2127" t="n"/>
      <c r="L51" s="1852" t="n"/>
      <c r="M51" s="2134" t="n"/>
      <c r="N51" s="2134" t="n"/>
    </row>
    <row r="52" ht="25.5" customHeight="1">
      <c r="A52" s="1860" t="inlineStr">
        <is>
          <t>4880</t>
        </is>
      </c>
      <c r="B52" s="1859" t="inlineStr">
        <is>
          <t>Thozen - Electra</t>
        </is>
      </c>
      <c r="C52" s="1858" t="inlineStr">
        <is>
          <t>INSUMO</t>
        </is>
      </c>
      <c r="D52" s="1857" t="inlineStr">
        <is>
          <t>Original</t>
        </is>
      </c>
      <c r="E52" s="1857" t="inlineStr">
        <is>
          <t>REJUNTE FLEXÍVEL</t>
        </is>
      </c>
      <c r="F52" s="1803" t="inlineStr">
        <is>
          <t>m2</t>
        </is>
      </c>
      <c r="G52" s="1803" t="n">
        <v>0.25</v>
      </c>
      <c r="H52" s="1805" t="n">
        <v>2.0643</v>
      </c>
      <c r="I52" s="1805" t="n">
        <v>0.516075</v>
      </c>
      <c r="J52" s="2128" t="n"/>
      <c r="K52" s="2128" t="n"/>
      <c r="L52" s="1857" t="n"/>
      <c r="M52" s="2133" t="n"/>
      <c r="N52" s="2133" t="n"/>
    </row>
    <row r="53" ht="25.5" customHeight="1">
      <c r="A53" s="1855" t="inlineStr">
        <is>
          <t>48500</t>
        </is>
      </c>
      <c r="B53" s="1854" t="inlineStr">
        <is>
          <t>Thozen - Electra</t>
        </is>
      </c>
      <c r="C53" s="1853" t="inlineStr">
        <is>
          <t>INSUMO</t>
        </is>
      </c>
      <c r="D53" s="1852" t="inlineStr">
        <is>
          <t>Original</t>
        </is>
      </c>
      <c r="E53" s="1852" t="inlineStr">
        <is>
          <t>REVESTIMENTO PORCELANATO INTERNO 30X90CM</t>
        </is>
      </c>
      <c r="F53" s="1810" t="inlineStr">
        <is>
          <t>m2</t>
        </is>
      </c>
      <c r="G53" s="1810" t="n">
        <v>1.1</v>
      </c>
      <c r="H53" s="1812" t="n">
        <v>68.19</v>
      </c>
      <c r="I53" s="1812" t="n">
        <v>75.009</v>
      </c>
      <c r="J53" s="2127" t="n"/>
      <c r="K53" s="2127" t="n"/>
      <c r="L53" s="1852" t="n"/>
      <c r="M53" s="2134" t="n"/>
      <c r="N53" s="2134" t="n"/>
    </row>
    <row r="54" ht="25.5" customHeight="1">
      <c r="A54" s="1869" t="inlineStr">
        <is>
          <t>90511</t>
        </is>
      </c>
      <c r="B54" s="1868" t="inlineStr">
        <is>
          <t>Thozen - Electra</t>
        </is>
      </c>
      <c r="C54" s="1867" t="inlineStr"/>
      <c r="D54" s="1862" t="inlineStr">
        <is>
          <t>Original</t>
        </is>
      </c>
      <c r="E54" s="1862" t="inlineStr">
        <is>
          <t xml:space="preserve">Acabamentos de elevador em granito, acabamento polido, esp. 2cm </t>
        </is>
      </c>
      <c r="F54" s="1866" t="inlineStr">
        <is>
          <t>m²</t>
        </is>
      </c>
      <c r="G54" s="1865" t="n"/>
      <c r="H54" s="1864" t="n"/>
      <c r="I54" s="1864" t="n">
        <v>623.4138999999999</v>
      </c>
      <c r="J54" s="2131" t="n"/>
      <c r="K54" s="2131" t="n"/>
      <c r="L54" s="1862" t="n"/>
      <c r="M54" s="2132" t="n"/>
      <c r="N54" s="2132" t="inlineStr">
        <is>
          <t>PEITORIL</t>
        </is>
      </c>
      <c r="O54" s="218">
        <f>A54&amp;B54&amp;C54</f>
        <v/>
      </c>
    </row>
    <row r="55" ht="25.5" customHeight="1">
      <c r="A55" s="1860" t="inlineStr">
        <is>
          <t>193</t>
        </is>
      </c>
      <c r="B55" s="1859" t="inlineStr">
        <is>
          <t>Thozen - Electra</t>
        </is>
      </c>
      <c r="C55" s="1858" t="inlineStr">
        <is>
          <t>INSUMO</t>
        </is>
      </c>
      <c r="D55" s="1857" t="inlineStr">
        <is>
          <t>Original</t>
        </is>
      </c>
      <c r="E55" s="1857" t="inlineStr">
        <is>
          <t>ARGAMASSA COLANTE AC III</t>
        </is>
      </c>
      <c r="F55" s="1803" t="inlineStr">
        <is>
          <t>kg</t>
        </is>
      </c>
      <c r="G55" s="1803" t="n">
        <v>8.619999999999999</v>
      </c>
      <c r="H55" s="1805" t="n">
        <v>2.345</v>
      </c>
      <c r="I55" s="1805" t="n">
        <v>20.2139</v>
      </c>
      <c r="J55" s="2128" t="n"/>
      <c r="K55" s="2128" t="n"/>
      <c r="L55" s="1857" t="n"/>
      <c r="M55" s="2133" t="n"/>
      <c r="N55" s="2133" t="n"/>
    </row>
    <row r="56" ht="25.5" customHeight="1">
      <c r="A56" s="1855" t="inlineStr">
        <is>
          <t>1526</t>
        </is>
      </c>
      <c r="B56" s="1854" t="inlineStr">
        <is>
          <t>Thozen - Electra</t>
        </is>
      </c>
      <c r="C56" s="1853" t="inlineStr">
        <is>
          <t>INSUMO</t>
        </is>
      </c>
      <c r="D56" s="1852" t="inlineStr">
        <is>
          <t>Original</t>
        </is>
      </c>
      <c r="E56" s="1852" t="inlineStr">
        <is>
          <t>GRANITO POLIDO</t>
        </is>
      </c>
      <c r="F56" s="1810" t="inlineStr">
        <is>
          <t>m2</t>
        </is>
      </c>
      <c r="G56" s="1810" t="n">
        <v>1.16</v>
      </c>
      <c r="H56" s="1812" t="n">
        <v>520</v>
      </c>
      <c r="I56" s="1812" t="n">
        <v>603.1999999999999</v>
      </c>
      <c r="J56" s="2127" t="n"/>
      <c r="K56" s="2127" t="n"/>
      <c r="L56" s="1852" t="n"/>
      <c r="M56" s="2134" t="n"/>
      <c r="N56" s="2134" t="n"/>
    </row>
    <row r="57" ht="25.5" customHeight="1">
      <c r="A57" s="1869" t="inlineStr">
        <is>
          <t>4902</t>
        </is>
      </c>
      <c r="B57" s="1868" t="inlineStr">
        <is>
          <t>Thozen - Electra</t>
        </is>
      </c>
      <c r="C57" s="1867" t="inlineStr"/>
      <c r="D57" s="1862" t="inlineStr">
        <is>
          <t>Original</t>
        </is>
      </c>
      <c r="E57" s="1862" t="inlineStr">
        <is>
          <t xml:space="preserve"> Peitoril em granito, acabamento polido, esp. 2cm </t>
        </is>
      </c>
      <c r="F57" s="1866" t="inlineStr">
        <is>
          <t>m²</t>
        </is>
      </c>
      <c r="G57" s="1865" t="n"/>
      <c r="H57" s="1864" t="n"/>
      <c r="I57" s="1864" t="n">
        <v>623.4138999999999</v>
      </c>
      <c r="J57" s="2131" t="n"/>
      <c r="K57" s="2131" t="n"/>
      <c r="L57" s="1862" t="n"/>
      <c r="M57" s="2132" t="n"/>
      <c r="N57" s="2132" t="inlineStr">
        <is>
          <t>PEITORIL</t>
        </is>
      </c>
      <c r="O57" s="218">
        <f>A57&amp;B57&amp;C57</f>
        <v/>
      </c>
    </row>
    <row r="58" ht="25.5" customHeight="1">
      <c r="A58" s="1860" t="inlineStr">
        <is>
          <t>193</t>
        </is>
      </c>
      <c r="B58" s="1859" t="inlineStr">
        <is>
          <t>Thozen - Electra</t>
        </is>
      </c>
      <c r="C58" s="1858" t="inlineStr">
        <is>
          <t>INSUMO</t>
        </is>
      </c>
      <c r="D58" s="1857" t="inlineStr">
        <is>
          <t>Original</t>
        </is>
      </c>
      <c r="E58" s="1857" t="inlineStr">
        <is>
          <t>ARGAMASSA COLANTE AC III</t>
        </is>
      </c>
      <c r="F58" s="1803" t="inlineStr">
        <is>
          <t>kg</t>
        </is>
      </c>
      <c r="G58" s="1803" t="n">
        <v>8.619999999999999</v>
      </c>
      <c r="H58" s="1805" t="n">
        <v>2.345</v>
      </c>
      <c r="I58" s="1805" t="n">
        <v>20.2139</v>
      </c>
      <c r="J58" s="2128" t="n"/>
      <c r="K58" s="2128" t="n"/>
      <c r="L58" s="1857" t="n"/>
      <c r="M58" s="2133" t="n"/>
      <c r="N58" s="2133" t="n"/>
    </row>
    <row r="59" ht="25.5" customHeight="1">
      <c r="A59" s="1855" t="inlineStr">
        <is>
          <t>1526</t>
        </is>
      </c>
      <c r="B59" s="1854" t="inlineStr">
        <is>
          <t>Thozen - Electra</t>
        </is>
      </c>
      <c r="C59" s="1853" t="inlineStr">
        <is>
          <t>INSUMO</t>
        </is>
      </c>
      <c r="D59" s="1852" t="inlineStr">
        <is>
          <t>Original</t>
        </is>
      </c>
      <c r="E59" s="1852" t="inlineStr">
        <is>
          <t>GRANITO POLIDO</t>
        </is>
      </c>
      <c r="F59" s="1810" t="inlineStr">
        <is>
          <t>m2</t>
        </is>
      </c>
      <c r="G59" s="1810" t="n">
        <v>1.16</v>
      </c>
      <c r="H59" s="1812" t="n">
        <v>520</v>
      </c>
      <c r="I59" s="1812" t="n">
        <v>603.1999999999999</v>
      </c>
      <c r="J59" s="2127" t="n"/>
      <c r="K59" s="2127" t="n"/>
      <c r="L59" s="1852" t="n"/>
      <c r="M59" s="2134" t="n"/>
      <c r="N59" s="2134" t="n"/>
    </row>
    <row r="60" ht="25.5" customHeight="1">
      <c r="A60" s="1869" t="inlineStr">
        <is>
          <t>4872</t>
        </is>
      </c>
      <c r="B60" s="1868" t="inlineStr">
        <is>
          <t>Thozen - Electra</t>
        </is>
      </c>
      <c r="C60" s="1867" t="inlineStr"/>
      <c r="D60" s="1862" t="inlineStr">
        <is>
          <t>Original</t>
        </is>
      </c>
      <c r="E60" s="1862" t="inlineStr">
        <is>
          <t xml:space="preserve"> Forro de gesso acartonado, aplicação em áreas secas - material e mão de obra</t>
        </is>
      </c>
      <c r="F60" s="1866" t="inlineStr">
        <is>
          <t>m2</t>
        </is>
      </c>
      <c r="G60" s="1865" t="n"/>
      <c r="H60" s="1864" t="n"/>
      <c r="I60" s="1864" t="n">
        <v>126.4</v>
      </c>
      <c r="J60" s="2131" t="n"/>
      <c r="K60" s="2131" t="n"/>
      <c r="L60" s="1862" t="n"/>
      <c r="M60" s="2132" t="n"/>
      <c r="N60" s="2132" t="inlineStr">
        <is>
          <t>FORRO EM GESSO</t>
        </is>
      </c>
      <c r="O60" s="218">
        <f>A60&amp;B60&amp;C60</f>
        <v/>
      </c>
    </row>
    <row r="61" ht="25.5" customHeight="1">
      <c r="A61" s="1860" t="inlineStr">
        <is>
          <t>4874</t>
        </is>
      </c>
      <c r="B61" s="1859" t="inlineStr">
        <is>
          <t>Thozen - Electra</t>
        </is>
      </c>
      <c r="C61" s="1858" t="inlineStr">
        <is>
          <t>INSUMO</t>
        </is>
      </c>
      <c r="D61" s="1857" t="inlineStr">
        <is>
          <t>Original</t>
        </is>
      </c>
      <c r="E61" s="1857" t="inlineStr">
        <is>
          <t>FORRO DE GESSO ACARTONADO, APLICAÇÃO EM ÁREAS SECAS - MATERIAL E MÃO DE OBRA</t>
        </is>
      </c>
      <c r="F61" s="1803" t="inlineStr">
        <is>
          <t>m2</t>
        </is>
      </c>
      <c r="G61" s="1803" t="n">
        <v>1</v>
      </c>
      <c r="H61" s="1805" t="n">
        <v>100</v>
      </c>
      <c r="I61" s="1805" t="n">
        <v>100</v>
      </c>
      <c r="J61" s="2128" t="n"/>
      <c r="K61" s="2128" t="n"/>
      <c r="L61" s="1857" t="n"/>
      <c r="M61" s="2133" t="n"/>
      <c r="N61" s="2133" t="n"/>
    </row>
    <row r="62" ht="25.5" customHeight="1">
      <c r="A62" s="1855" t="inlineStr">
        <is>
          <t>1514</t>
        </is>
      </c>
      <c r="B62" s="1854" t="inlineStr">
        <is>
          <t>Thozen - Electra</t>
        </is>
      </c>
      <c r="C62" s="1853" t="inlineStr">
        <is>
          <t>INSUMO</t>
        </is>
      </c>
      <c r="D62" s="1852" t="inlineStr">
        <is>
          <t>Original</t>
        </is>
      </c>
      <c r="E62" s="1852" t="inlineStr">
        <is>
          <t>GESSO NEGATIVO</t>
        </is>
      </c>
      <c r="F62" s="1810" t="inlineStr">
        <is>
          <t>m</t>
        </is>
      </c>
      <c r="G62" s="1810" t="n">
        <v>1.2</v>
      </c>
      <c r="H62" s="1812" t="n">
        <v>22</v>
      </c>
      <c r="I62" s="1812" t="n">
        <v>26.4</v>
      </c>
      <c r="J62" s="2127" t="n"/>
      <c r="K62" s="2127" t="n"/>
      <c r="L62" s="1852" t="n"/>
      <c r="M62" s="2134" t="n"/>
      <c r="N62" s="2134" t="n"/>
    </row>
    <row r="63" ht="25.5" customHeight="1">
      <c r="A63" s="1869" t="inlineStr">
        <is>
          <t>4876</t>
        </is>
      </c>
      <c r="B63" s="1868" t="inlineStr">
        <is>
          <t>Thozen - Electra</t>
        </is>
      </c>
      <c r="C63" s="1867" t="inlineStr"/>
      <c r="D63" s="1862" t="inlineStr">
        <is>
          <t>Original</t>
        </is>
      </c>
      <c r="E63" s="1862" t="inlineStr">
        <is>
          <t xml:space="preserve"> Gesso negativo - material e mão de obra</t>
        </is>
      </c>
      <c r="F63" s="1866" t="inlineStr">
        <is>
          <t>m</t>
        </is>
      </c>
      <c r="G63" s="1865" t="n"/>
      <c r="H63" s="1864" t="n"/>
      <c r="I63" s="1864" t="n">
        <v>22</v>
      </c>
      <c r="J63" s="2131" t="n"/>
      <c r="K63" s="2131" t="n"/>
      <c r="L63" s="1862" t="n"/>
      <c r="M63" s="2132" t="n"/>
      <c r="N63" s="2132" t="inlineStr"/>
      <c r="O63" s="218">
        <f>A63&amp;B63&amp;C63</f>
        <v/>
      </c>
    </row>
    <row r="64" ht="25.5" customHeight="1">
      <c r="A64" s="1860" t="inlineStr">
        <is>
          <t>1514</t>
        </is>
      </c>
      <c r="B64" s="1859" t="inlineStr">
        <is>
          <t>Thozen - Electra</t>
        </is>
      </c>
      <c r="C64" s="1858" t="inlineStr">
        <is>
          <t>INSUMO</t>
        </is>
      </c>
      <c r="D64" s="1857" t="inlineStr">
        <is>
          <t>Original</t>
        </is>
      </c>
      <c r="E64" s="1857" t="inlineStr">
        <is>
          <t>GESSO NEGATIVO</t>
        </is>
      </c>
      <c r="F64" s="1803" t="inlineStr">
        <is>
          <t>m</t>
        </is>
      </c>
      <c r="G64" s="1803" t="n">
        <v>1</v>
      </c>
      <c r="H64" s="1805" t="n">
        <v>22</v>
      </c>
      <c r="I64" s="1805" t="n">
        <v>22</v>
      </c>
      <c r="J64" s="2128" t="n"/>
      <c r="K64" s="2128" t="n"/>
      <c r="L64" s="1857" t="n"/>
      <c r="M64" s="2133" t="n"/>
      <c r="N64" s="2133" t="n"/>
    </row>
    <row r="65" ht="25.5" customHeight="1">
      <c r="A65" s="1869" t="inlineStr">
        <is>
          <t>1481</t>
        </is>
      </c>
      <c r="B65" s="1868" t="inlineStr">
        <is>
          <t>Thozen - Electra</t>
        </is>
      </c>
      <c r="C65" s="1867" t="inlineStr"/>
      <c r="D65" s="1862" t="inlineStr">
        <is>
          <t>Original</t>
        </is>
      </c>
      <c r="E65" s="1862" t="inlineStr">
        <is>
          <t>Textura acrilica aplicacao em teto, 1 demão, incluindo aplicação de uma demão de fundo selador látex pva</t>
        </is>
      </c>
      <c r="F65" s="1866" t="inlineStr">
        <is>
          <t>m2</t>
        </is>
      </c>
      <c r="G65" s="1865" t="n"/>
      <c r="H65" s="1864" t="n"/>
      <c r="I65" s="1864" t="n">
        <v>9.171035999999999</v>
      </c>
      <c r="J65" s="2131" t="n"/>
      <c r="K65" s="2131" t="n"/>
      <c r="L65" s="1862" t="n"/>
      <c r="M65" s="2132" t="n"/>
      <c r="N65" s="2132" t="inlineStr">
        <is>
          <t>PINTURA TETO</t>
        </is>
      </c>
      <c r="O65" s="218">
        <f>A65&amp;B65&amp;C65</f>
        <v/>
      </c>
    </row>
    <row r="66" ht="25.5" customHeight="1">
      <c r="A66" s="1860" t="inlineStr">
        <is>
          <t>2940</t>
        </is>
      </c>
      <c r="B66" s="1859" t="inlineStr">
        <is>
          <t>Thozen - Electra</t>
        </is>
      </c>
      <c r="C66" s="1858" t="inlineStr">
        <is>
          <t>INSUMO</t>
        </is>
      </c>
      <c r="D66" s="1857" t="inlineStr">
        <is>
          <t>Original</t>
        </is>
      </c>
      <c r="E66" s="1857" t="inlineStr">
        <is>
          <t>TEXTURA ACRÍLICA</t>
        </is>
      </c>
      <c r="F66" s="1803" t="inlineStr">
        <is>
          <t>kg</t>
        </is>
      </c>
      <c r="G66" s="1803" t="n">
        <v>1.1074</v>
      </c>
      <c r="H66" s="1805" t="n">
        <v>7.23</v>
      </c>
      <c r="I66" s="1805" t="n">
        <v>8.006501999999999</v>
      </c>
      <c r="J66" s="2128" t="n"/>
      <c r="K66" s="2128" t="n"/>
      <c r="L66" s="1857" t="n"/>
      <c r="M66" s="2133" t="n"/>
      <c r="N66" s="2133" t="n"/>
    </row>
    <row r="67" ht="25.5" customHeight="1">
      <c r="A67" s="1855" t="inlineStr">
        <is>
          <t>2553</t>
        </is>
      </c>
      <c r="B67" s="1854" t="inlineStr">
        <is>
          <t>Thozen - Electra</t>
        </is>
      </c>
      <c r="C67" s="1853" t="inlineStr">
        <is>
          <t>INSUMO</t>
        </is>
      </c>
      <c r="D67" s="1852" t="inlineStr">
        <is>
          <t>Original</t>
        </is>
      </c>
      <c r="E67" s="1852" t="inlineStr">
        <is>
          <t>SELADOR LÁTEX PVA</t>
        </is>
      </c>
      <c r="F67" s="1810" t="inlineStr">
        <is>
          <t>l</t>
        </is>
      </c>
      <c r="G67" s="1810" t="n">
        <v>0.1666</v>
      </c>
      <c r="H67" s="1812" t="n">
        <v>6.99</v>
      </c>
      <c r="I67" s="1812" t="n">
        <v>1.164534</v>
      </c>
      <c r="J67" s="2127" t="n"/>
      <c r="K67" s="2127" t="n"/>
      <c r="L67" s="1852" t="n"/>
      <c r="M67" s="2134" t="n"/>
      <c r="N67" s="2134" t="n"/>
    </row>
    <row r="68" ht="25.5" customHeight="1">
      <c r="A68" s="1869" t="inlineStr">
        <is>
          <t>4873</t>
        </is>
      </c>
      <c r="B68" s="1868" t="inlineStr">
        <is>
          <t>Thozen - Electra</t>
        </is>
      </c>
      <c r="C68" s="1867" t="inlineStr"/>
      <c r="D68" s="1862" t="inlineStr">
        <is>
          <t>Original</t>
        </is>
      </c>
      <c r="E68" s="1862" t="inlineStr">
        <is>
          <t xml:space="preserve"> Forro de gesso acartonado, aplicação em áreas molhadas - material e mão de obra</t>
        </is>
      </c>
      <c r="F68" s="1866" t="inlineStr">
        <is>
          <t>m2</t>
        </is>
      </c>
      <c r="G68" s="1865" t="n"/>
      <c r="H68" s="1864" t="n"/>
      <c r="I68" s="1864" t="n">
        <v>136.4</v>
      </c>
      <c r="J68" s="2131" t="n"/>
      <c r="K68" s="2131" t="n"/>
      <c r="L68" s="1862" t="n"/>
      <c r="M68" s="2132" t="n"/>
      <c r="N68" s="2132" t="inlineStr">
        <is>
          <t>FORRO EM GESSO</t>
        </is>
      </c>
      <c r="O68" s="218">
        <f>A68&amp;B68&amp;C68</f>
        <v/>
      </c>
    </row>
    <row r="69" ht="25.5" customHeight="1">
      <c r="A69" s="1860" t="inlineStr">
        <is>
          <t>4875</t>
        </is>
      </c>
      <c r="B69" s="1859" t="inlineStr">
        <is>
          <t>Thozen - Electra</t>
        </is>
      </c>
      <c r="C69" s="1858" t="inlineStr">
        <is>
          <t>INSUMO</t>
        </is>
      </c>
      <c r="D69" s="1857" t="inlineStr">
        <is>
          <t>Original</t>
        </is>
      </c>
      <c r="E69" s="1857" t="inlineStr">
        <is>
          <t>FORRO DE GESSO ACARTONADO, APLICAÇÃO EM ÁREAS ÚMIDAS - MATERIAL E MÃO DE OBRA</t>
        </is>
      </c>
      <c r="F69" s="1803" t="inlineStr">
        <is>
          <t>m2</t>
        </is>
      </c>
      <c r="G69" s="1803" t="n">
        <v>1</v>
      </c>
      <c r="H69" s="1805" t="n">
        <v>110</v>
      </c>
      <c r="I69" s="1805" t="n">
        <v>110</v>
      </c>
      <c r="J69" s="2128" t="n"/>
      <c r="K69" s="2128" t="n"/>
      <c r="L69" s="1857" t="n"/>
      <c r="M69" s="2133" t="n"/>
      <c r="N69" s="2133" t="n"/>
    </row>
    <row r="70" ht="25.5" customHeight="1">
      <c r="A70" s="1855" t="inlineStr">
        <is>
          <t>1514</t>
        </is>
      </c>
      <c r="B70" s="1854" t="inlineStr">
        <is>
          <t>Thozen - Electra</t>
        </is>
      </c>
      <c r="C70" s="1853" t="inlineStr">
        <is>
          <t>INSUMO</t>
        </is>
      </c>
      <c r="D70" s="1852" t="inlineStr">
        <is>
          <t>Original</t>
        </is>
      </c>
      <c r="E70" s="1852" t="inlineStr">
        <is>
          <t>GESSO NEGATIVO</t>
        </is>
      </c>
      <c r="F70" s="1810" t="inlineStr">
        <is>
          <t>m</t>
        </is>
      </c>
      <c r="G70" s="1810" t="n">
        <v>1.2</v>
      </c>
      <c r="H70" s="1812" t="n">
        <v>22</v>
      </c>
      <c r="I70" s="1812" t="n">
        <v>26.4</v>
      </c>
      <c r="J70" s="2127" t="n"/>
      <c r="K70" s="2127" t="n"/>
      <c r="L70" s="1852" t="n"/>
      <c r="M70" s="2134" t="n"/>
      <c r="N70" s="2134" t="n"/>
    </row>
    <row r="71" ht="25.5" customHeight="1">
      <c r="A71" s="1869" t="inlineStr">
        <is>
          <t>60</t>
        </is>
      </c>
      <c r="B71" s="1868" t="inlineStr">
        <is>
          <t>Thozen - Electra</t>
        </is>
      </c>
      <c r="C71" s="1867" t="inlineStr"/>
      <c r="D71" s="1862" t="inlineStr">
        <is>
          <t>Original</t>
        </is>
      </c>
      <c r="E71" s="1862" t="inlineStr">
        <is>
          <t>Contrapiso comum em argamassa estabilizada, nao aderido, espessura 5cm</t>
        </is>
      </c>
      <c r="F71" s="1866" t="inlineStr">
        <is>
          <t>m2</t>
        </is>
      </c>
      <c r="G71" s="1865" t="n"/>
      <c r="H71" s="1864" t="n"/>
      <c r="I71" s="1864" t="n">
        <v>26.4</v>
      </c>
      <c r="J71" s="2131" t="n"/>
      <c r="K71" s="2131" t="n"/>
      <c r="L71" s="1862" t="n"/>
      <c r="M71" s="2132" t="n"/>
      <c r="N71" s="2132" t="inlineStr">
        <is>
          <t>CONTRAPISO</t>
        </is>
      </c>
      <c r="O71" s="218">
        <f>A71&amp;B71&amp;C71</f>
        <v/>
      </c>
    </row>
    <row r="72" ht="25.5" customHeight="1">
      <c r="A72" s="1860" t="inlineStr">
        <is>
          <t>458</t>
        </is>
      </c>
      <c r="B72" s="1859" t="inlineStr">
        <is>
          <t>Thozen - Electra</t>
        </is>
      </c>
      <c r="C72" s="1858" t="inlineStr">
        <is>
          <t>INSUMO</t>
        </is>
      </c>
      <c r="D72" s="1857" t="inlineStr">
        <is>
          <t>Original</t>
        </is>
      </c>
      <c r="E72" s="1857" t="inlineStr">
        <is>
          <t xml:space="preserve">ARGAMASSA ESTABILIZADA P/ CONTRAPISO  </t>
        </is>
      </c>
      <c r="F72" s="1803" t="inlineStr">
        <is>
          <t>M3</t>
        </is>
      </c>
      <c r="G72" s="1803" t="n">
        <v>0.055</v>
      </c>
      <c r="H72" s="1805" t="n">
        <v>480</v>
      </c>
      <c r="I72" s="1805" t="n">
        <v>26.4</v>
      </c>
      <c r="J72" s="2128" t="n"/>
      <c r="K72" s="2128" t="n"/>
      <c r="L72" s="1857" t="n"/>
      <c r="M72" s="2133" t="n"/>
      <c r="N72" s="2133" t="n"/>
    </row>
    <row r="73" ht="25.5" customHeight="1">
      <c r="A73" s="1869" t="inlineStr">
        <is>
          <t>4863</t>
        </is>
      </c>
      <c r="B73" s="1868" t="inlineStr">
        <is>
          <t>Thozen - Electra</t>
        </is>
      </c>
      <c r="C73" s="1867" t="inlineStr"/>
      <c r="D73" s="1862" t="inlineStr">
        <is>
          <t>Original</t>
        </is>
      </c>
      <c r="E73" s="1862" t="inlineStr">
        <is>
          <t xml:space="preserve"> Mão de obra de execução contrapiso comum</t>
        </is>
      </c>
      <c r="F73" s="1866" t="inlineStr">
        <is>
          <t>m2</t>
        </is>
      </c>
      <c r="G73" s="1865" t="n"/>
      <c r="H73" s="1864" t="n"/>
      <c r="I73" s="1864" t="n">
        <v>32</v>
      </c>
      <c r="J73" s="2131" t="n"/>
      <c r="K73" s="2131" t="n"/>
      <c r="L73" s="1862" t="n"/>
      <c r="M73" s="2132" t="n"/>
      <c r="N73" s="2132" t="inlineStr"/>
      <c r="O73" s="218">
        <f>A73&amp;B73&amp;C73</f>
        <v/>
      </c>
    </row>
    <row r="74" ht="25.5" customHeight="1">
      <c r="A74" s="1860" t="inlineStr">
        <is>
          <t>2156</t>
        </is>
      </c>
      <c r="B74" s="1859" t="inlineStr">
        <is>
          <t>Thozen - Electra</t>
        </is>
      </c>
      <c r="C74" s="1858" t="inlineStr">
        <is>
          <t>INSUMO</t>
        </is>
      </c>
      <c r="D74" s="1857" t="inlineStr">
        <is>
          <t>Original</t>
        </is>
      </c>
      <c r="E74" s="1857" t="inlineStr">
        <is>
          <t>MÃO DE OBRA PARA EXECUÇÃO DE CONTRAPISO</t>
        </is>
      </c>
      <c r="F74" s="1803" t="inlineStr">
        <is>
          <t>m2</t>
        </is>
      </c>
      <c r="G74" s="1803" t="n">
        <v>1</v>
      </c>
      <c r="H74" s="1805" t="n">
        <v>32</v>
      </c>
      <c r="I74" s="1805" t="n">
        <v>32</v>
      </c>
      <c r="J74" s="2128" t="n"/>
      <c r="K74" s="2128" t="n"/>
      <c r="L74" s="1857" t="n"/>
      <c r="M74" s="2133" t="n"/>
      <c r="N74" s="2133" t="n"/>
    </row>
    <row r="75" ht="25.5" customHeight="1">
      <c r="A75" s="1869" t="inlineStr">
        <is>
          <t>4883</t>
        </is>
      </c>
      <c r="B75" s="1868" t="inlineStr">
        <is>
          <t>Thozen - Electra</t>
        </is>
      </c>
      <c r="C75" s="1867" t="inlineStr"/>
      <c r="D75" s="1862" t="inlineStr">
        <is>
          <t>Original</t>
        </is>
      </c>
      <c r="E75" s="1862" t="inlineStr">
        <is>
          <t xml:space="preserve"> Revestimento interno de piso porcelanato, placa 80x80, aplicação em áreas internas</t>
        </is>
      </c>
      <c r="F75" s="1866" t="inlineStr">
        <is>
          <t>m2</t>
        </is>
      </c>
      <c r="G75" s="1865" t="n"/>
      <c r="H75" s="1864" t="n"/>
      <c r="I75" s="1864" t="n">
        <v>93.8717</v>
      </c>
      <c r="J75" s="2131" t="n"/>
      <c r="K75" s="2131" t="n"/>
      <c r="L75" s="1862" t="n"/>
      <c r="M75" s="2132" t="n"/>
      <c r="N75" s="2132" t="inlineStr"/>
      <c r="O75" s="218">
        <f>A75&amp;B75&amp;C75</f>
        <v/>
      </c>
    </row>
    <row r="76" ht="25.5" customHeight="1">
      <c r="A76" s="1860" t="inlineStr">
        <is>
          <t>193</t>
        </is>
      </c>
      <c r="B76" s="1859" t="inlineStr">
        <is>
          <t>Thozen - Electra</t>
        </is>
      </c>
      <c r="C76" s="1858" t="inlineStr">
        <is>
          <t>INSUMO</t>
        </is>
      </c>
      <c r="D76" s="1857" t="inlineStr">
        <is>
          <t>Original</t>
        </is>
      </c>
      <c r="E76" s="1857" t="inlineStr">
        <is>
          <t>ARGAMASSA COLANTE AC III</t>
        </is>
      </c>
      <c r="F76" s="1803" t="inlineStr">
        <is>
          <t>kg</t>
        </is>
      </c>
      <c r="G76" s="1803" t="n">
        <v>9</v>
      </c>
      <c r="H76" s="1805" t="n">
        <v>2.345</v>
      </c>
      <c r="I76" s="1805" t="n">
        <v>21.105</v>
      </c>
      <c r="J76" s="2128" t="n"/>
      <c r="K76" s="2128" t="n"/>
      <c r="L76" s="1857" t="n"/>
      <c r="M76" s="2133" t="n"/>
      <c r="N76" s="2133" t="n"/>
    </row>
    <row r="77" ht="25.5" customHeight="1">
      <c r="A77" s="1855" t="inlineStr">
        <is>
          <t>4881</t>
        </is>
      </c>
      <c r="B77" s="1854" t="inlineStr">
        <is>
          <t>Thozen - Electra</t>
        </is>
      </c>
      <c r="C77" s="1853" t="inlineStr">
        <is>
          <t>INSUMO</t>
        </is>
      </c>
      <c r="D77" s="1852" t="inlineStr">
        <is>
          <t>Original</t>
        </is>
      </c>
      <c r="E77" s="1852" t="inlineStr">
        <is>
          <t>ESPAÇADOR PARA REVESTIMENTO CERÂMICO TIPO CRUZETA 5 MM</t>
        </is>
      </c>
      <c r="F77" s="1810" t="inlineStr">
        <is>
          <t>un</t>
        </is>
      </c>
      <c r="G77" s="1810" t="n">
        <v>4</v>
      </c>
      <c r="H77" s="1812" t="n">
        <v>0.2</v>
      </c>
      <c r="I77" s="1812" t="n">
        <v>0.8</v>
      </c>
      <c r="J77" s="2127" t="n"/>
      <c r="K77" s="2127" t="n"/>
      <c r="L77" s="1852" t="n"/>
      <c r="M77" s="2134" t="n"/>
      <c r="N77" s="2134" t="n"/>
    </row>
    <row r="78" ht="25.5" customHeight="1">
      <c r="A78" s="1860" t="inlineStr">
        <is>
          <t>4884</t>
        </is>
      </c>
      <c r="B78" s="1859" t="inlineStr">
        <is>
          <t>Thozen - Electra</t>
        </is>
      </c>
      <c r="C78" s="1858" t="inlineStr">
        <is>
          <t>INSUMO</t>
        </is>
      </c>
      <c r="D78" s="1857" t="inlineStr">
        <is>
          <t>Original</t>
        </is>
      </c>
      <c r="E78" s="1857" t="inlineStr">
        <is>
          <t>PISO PORCELANATO 80X80CM, ACABAMENTO NATURAL, PADRÃO MÉDIO</t>
        </is>
      </c>
      <c r="F78" s="1803" t="inlineStr">
        <is>
          <t>m2</t>
        </is>
      </c>
      <c r="G78" s="1803" t="n">
        <v>1.1</v>
      </c>
      <c r="H78" s="1805" t="n">
        <v>65</v>
      </c>
      <c r="I78" s="1805" t="n">
        <v>71.5</v>
      </c>
      <c r="J78" s="2128" t="n"/>
      <c r="K78" s="2128" t="n"/>
      <c r="L78" s="1857" t="n"/>
      <c r="M78" s="2133" t="n"/>
      <c r="N78" s="2133" t="n"/>
    </row>
    <row r="79" ht="25.5" customHeight="1">
      <c r="A79" s="1855" t="inlineStr">
        <is>
          <t>2521</t>
        </is>
      </c>
      <c r="B79" s="1854" t="inlineStr">
        <is>
          <t>Thozen - Electra</t>
        </is>
      </c>
      <c r="C79" s="1853" t="inlineStr">
        <is>
          <t>INSUMO</t>
        </is>
      </c>
      <c r="D79" s="1852" t="inlineStr">
        <is>
          <t>Original</t>
        </is>
      </c>
      <c r="E79" s="1852" t="inlineStr">
        <is>
          <t>REJUNTE ACRÍLICO</t>
        </is>
      </c>
      <c r="F79" s="1810" t="inlineStr">
        <is>
          <t>kg</t>
        </is>
      </c>
      <c r="G79" s="1810" t="n">
        <v>0.13</v>
      </c>
      <c r="H79" s="1812" t="n">
        <v>3.59</v>
      </c>
      <c r="I79" s="1812" t="n">
        <v>0.4667</v>
      </c>
      <c r="J79" s="2127" t="n"/>
      <c r="K79" s="2127" t="n"/>
      <c r="L79" s="1852" t="n"/>
      <c r="M79" s="2134" t="n"/>
      <c r="N79" s="2134" t="n"/>
    </row>
    <row r="80" ht="25.5" customHeight="1">
      <c r="A80" s="1869" t="inlineStr">
        <is>
          <t>90521</t>
        </is>
      </c>
      <c r="B80" s="1868" t="inlineStr">
        <is>
          <t>Thozen - Electra</t>
        </is>
      </c>
      <c r="C80" s="1867" t="inlineStr"/>
      <c r="D80" s="1862" t="inlineStr">
        <is>
          <t>Original</t>
        </is>
      </c>
      <c r="E80" s="1862" t="inlineStr">
        <is>
          <t xml:space="preserve">Rodapé em poliestireno, altura 15cm </t>
        </is>
      </c>
      <c r="F80" s="1866" t="inlineStr">
        <is>
          <t>m</t>
        </is>
      </c>
      <c r="G80" s="1865" t="n"/>
      <c r="H80" s="1864" t="n"/>
      <c r="I80" s="1864" t="n">
        <v>82.22579682</v>
      </c>
      <c r="J80" s="2131" t="n"/>
      <c r="K80" s="2131" t="n"/>
      <c r="L80" s="1862" t="n"/>
      <c r="M80" s="2132" t="n"/>
      <c r="N80" s="2132" t="inlineStr"/>
      <c r="O80" s="218">
        <f>A80&amp;B80&amp;C80</f>
        <v/>
      </c>
    </row>
    <row r="81" ht="25.5" customHeight="1">
      <c r="A81" s="1860" t="inlineStr">
        <is>
          <t>417</t>
        </is>
      </c>
      <c r="B81" s="1859" t="inlineStr">
        <is>
          <t>Thozen - Electra</t>
        </is>
      </c>
      <c r="C81" s="1858" t="inlineStr">
        <is>
          <t>INSUMO</t>
        </is>
      </c>
      <c r="D81" s="1857" t="inlineStr">
        <is>
          <t>Original</t>
        </is>
      </c>
      <c r="E81" s="1857" t="inlineStr">
        <is>
          <t>BUCHA T PARA RODAPÉ</t>
        </is>
      </c>
      <c r="F81" s="1803" t="inlineStr">
        <is>
          <t>un</t>
        </is>
      </c>
      <c r="G81" s="1803" t="n">
        <v>2.5</v>
      </c>
      <c r="H81" s="1805" t="n">
        <v>1.99</v>
      </c>
      <c r="I81" s="1805" t="n">
        <v>4.975</v>
      </c>
      <c r="J81" s="2128" t="n"/>
      <c r="K81" s="2128" t="n"/>
      <c r="L81" s="1857" t="n"/>
      <c r="M81" s="2133" t="n"/>
      <c r="N81" s="2133" t="n"/>
    </row>
    <row r="82" ht="25.5" customHeight="1">
      <c r="A82" s="1855" t="inlineStr">
        <is>
          <t>738</t>
        </is>
      </c>
      <c r="B82" s="1854" t="inlineStr">
        <is>
          <t>Thozen - Electra</t>
        </is>
      </c>
      <c r="C82" s="1853" t="inlineStr">
        <is>
          <t>INSUMO</t>
        </is>
      </c>
      <c r="D82" s="1852" t="inlineStr">
        <is>
          <t>Original</t>
        </is>
      </c>
      <c r="E82" s="1852" t="inlineStr">
        <is>
          <t>COLA PARA RODAPÉ DE POLIESTIRENO</t>
        </is>
      </c>
      <c r="F82" s="1810" t="inlineStr">
        <is>
          <t>kg</t>
        </is>
      </c>
      <c r="G82" s="1810" t="n">
        <v>0.0694</v>
      </c>
      <c r="H82" s="1812" t="n">
        <v>5.0403</v>
      </c>
      <c r="I82" s="1812" t="n">
        <v>0.34979682</v>
      </c>
      <c r="J82" s="2127" t="n"/>
      <c r="K82" s="2127" t="n"/>
      <c r="L82" s="1852" t="n"/>
      <c r="M82" s="2134" t="n"/>
      <c r="N82" s="2134" t="n"/>
    </row>
    <row r="83" ht="25.5" customHeight="1">
      <c r="A83" s="1860" t="inlineStr">
        <is>
          <t>48465</t>
        </is>
      </c>
      <c r="B83" s="1859" t="inlineStr">
        <is>
          <t>Thozen - Electra</t>
        </is>
      </c>
      <c r="C83" s="1858" t="inlineStr">
        <is>
          <t>INSUMO</t>
        </is>
      </c>
      <c r="D83" s="1857" t="inlineStr">
        <is>
          <t>Original</t>
        </is>
      </c>
      <c r="E83" s="1857" t="inlineStr">
        <is>
          <t>RODAPÉ POLIESTIRENO H=15CM</t>
        </is>
      </c>
      <c r="F83" s="1803" t="inlineStr">
        <is>
          <t>m</t>
        </is>
      </c>
      <c r="G83" s="1803" t="n">
        <v>1.1</v>
      </c>
      <c r="H83" s="1805" t="n">
        <v>69.91</v>
      </c>
      <c r="I83" s="1805" t="n">
        <v>76.901</v>
      </c>
      <c r="J83" s="2128" t="n"/>
      <c r="K83" s="2128" t="n"/>
      <c r="L83" s="1857" t="n"/>
      <c r="M83" s="2133" t="n"/>
      <c r="N83" s="2133" t="n"/>
    </row>
    <row r="84" ht="25.5" customHeight="1">
      <c r="A84" s="1869" t="inlineStr">
        <is>
          <t>4882</t>
        </is>
      </c>
      <c r="B84" s="1868" t="inlineStr">
        <is>
          <t>Thozen - Electra</t>
        </is>
      </c>
      <c r="C84" s="1867" t="inlineStr"/>
      <c r="D84" s="1862" t="inlineStr">
        <is>
          <t>Original</t>
        </is>
      </c>
      <c r="E84" s="1862" t="inlineStr">
        <is>
          <t xml:space="preserve"> Rodapé em poliestireno, altura 10cm </t>
        </is>
      </c>
      <c r="F84" s="1866" t="inlineStr">
        <is>
          <t>m</t>
        </is>
      </c>
      <c r="G84" s="1865" t="n"/>
      <c r="H84" s="1864" t="n"/>
      <c r="I84" s="1864" t="n">
        <v>17.65579682</v>
      </c>
      <c r="J84" s="2131" t="n"/>
      <c r="K84" s="2131" t="n"/>
      <c r="L84" s="1862" t="n"/>
      <c r="M84" s="2132" t="n"/>
      <c r="N84" s="2132" t="inlineStr"/>
      <c r="O84" s="218">
        <f>A84&amp;B84&amp;C84</f>
        <v/>
      </c>
    </row>
    <row r="85" ht="25.5" customHeight="1">
      <c r="A85" s="1860" t="inlineStr">
        <is>
          <t>417</t>
        </is>
      </c>
      <c r="B85" s="1859" t="inlineStr">
        <is>
          <t>Thozen - Electra</t>
        </is>
      </c>
      <c r="C85" s="1858" t="inlineStr">
        <is>
          <t>INSUMO</t>
        </is>
      </c>
      <c r="D85" s="1857" t="inlineStr">
        <is>
          <t>Original</t>
        </is>
      </c>
      <c r="E85" s="1857" t="inlineStr">
        <is>
          <t>BUCHA T PARA RODAPÉ</t>
        </is>
      </c>
      <c r="F85" s="1803" t="inlineStr">
        <is>
          <t>un</t>
        </is>
      </c>
      <c r="G85" s="1803" t="n">
        <v>2.5</v>
      </c>
      <c r="H85" s="1805" t="n">
        <v>1.99</v>
      </c>
      <c r="I85" s="1805" t="n">
        <v>4.975</v>
      </c>
      <c r="J85" s="2128" t="n"/>
      <c r="K85" s="2128" t="n"/>
      <c r="L85" s="1857" t="n"/>
      <c r="M85" s="2133" t="n"/>
      <c r="N85" s="2133" t="n"/>
    </row>
    <row r="86" ht="25.5" customHeight="1">
      <c r="A86" s="1855" t="inlineStr">
        <is>
          <t>738</t>
        </is>
      </c>
      <c r="B86" s="1854" t="inlineStr">
        <is>
          <t>Thozen - Electra</t>
        </is>
      </c>
      <c r="C86" s="1853" t="inlineStr">
        <is>
          <t>INSUMO</t>
        </is>
      </c>
      <c r="D86" s="1852" t="inlineStr">
        <is>
          <t>Original</t>
        </is>
      </c>
      <c r="E86" s="1852" t="inlineStr">
        <is>
          <t>COLA PARA RODAPÉ DE POLIESTIRENO</t>
        </is>
      </c>
      <c r="F86" s="1810" t="inlineStr">
        <is>
          <t>kg</t>
        </is>
      </c>
      <c r="G86" s="1810" t="n">
        <v>0.0694</v>
      </c>
      <c r="H86" s="1812" t="n">
        <v>5.0403</v>
      </c>
      <c r="I86" s="1812" t="n">
        <v>0.34979682</v>
      </c>
      <c r="J86" s="2127" t="n"/>
      <c r="K86" s="2127" t="n"/>
      <c r="L86" s="1852" t="n"/>
      <c r="M86" s="2134" t="n"/>
      <c r="N86" s="2134" t="n"/>
    </row>
    <row r="87" ht="25.5" customHeight="1">
      <c r="A87" s="1860" t="inlineStr">
        <is>
          <t>2538</t>
        </is>
      </c>
      <c r="B87" s="1859" t="inlineStr">
        <is>
          <t>Thozen - Electra</t>
        </is>
      </c>
      <c r="C87" s="1858" t="inlineStr">
        <is>
          <t>INSUMO</t>
        </is>
      </c>
      <c r="D87" s="1857" t="inlineStr">
        <is>
          <t>Original</t>
        </is>
      </c>
      <c r="E87" s="1857" t="inlineStr">
        <is>
          <t>RODAPÉ POLIESTIRENO H=10CM</t>
        </is>
      </c>
      <c r="F87" s="1803" t="inlineStr">
        <is>
          <t>m</t>
        </is>
      </c>
      <c r="G87" s="1803" t="n">
        <v>1.1</v>
      </c>
      <c r="H87" s="1805" t="n">
        <v>11.21</v>
      </c>
      <c r="I87" s="1805" t="n">
        <v>12.331</v>
      </c>
      <c r="J87" s="2128" t="n"/>
      <c r="K87" s="2128" t="n"/>
      <c r="L87" s="1857" t="n"/>
      <c r="M87" s="2133" t="n"/>
      <c r="N87" s="2133" t="n"/>
    </row>
    <row r="88" ht="25.5" customHeight="1">
      <c r="A88" s="1869" t="inlineStr">
        <is>
          <t>4891</t>
        </is>
      </c>
      <c r="B88" s="1868" t="inlineStr">
        <is>
          <t>Thozen - Electra</t>
        </is>
      </c>
      <c r="C88" s="1867" t="inlineStr"/>
      <c r="D88" s="1862" t="inlineStr">
        <is>
          <t>Original</t>
        </is>
      </c>
      <c r="E88" s="1862" t="inlineStr">
        <is>
          <t xml:space="preserve"> Rodapé em porcelanato, altura 10cm, com placa 80x80</t>
        </is>
      </c>
      <c r="F88" s="1866" t="inlineStr">
        <is>
          <t>m</t>
        </is>
      </c>
      <c r="G88" s="1865" t="n"/>
      <c r="H88" s="1864" t="n"/>
      <c r="I88" s="1864" t="n">
        <v>9.733901200000002</v>
      </c>
      <c r="J88" s="2131" t="n"/>
      <c r="K88" s="2131" t="n"/>
      <c r="L88" s="1862" t="n"/>
      <c r="M88" s="2132" t="n"/>
      <c r="N88" s="2132" t="inlineStr"/>
      <c r="O88" s="218">
        <f>A88&amp;B88&amp;C88</f>
        <v/>
      </c>
    </row>
    <row r="89" ht="25.5" customHeight="1">
      <c r="A89" s="1860" t="inlineStr">
        <is>
          <t>193</t>
        </is>
      </c>
      <c r="B89" s="1859" t="inlineStr">
        <is>
          <t>Thozen - Electra</t>
        </is>
      </c>
      <c r="C89" s="1858" t="inlineStr">
        <is>
          <t>INSUMO</t>
        </is>
      </c>
      <c r="D89" s="1857" t="inlineStr">
        <is>
          <t>Original</t>
        </is>
      </c>
      <c r="E89" s="1857" t="inlineStr">
        <is>
          <t>ARGAMASSA COLANTE AC III</t>
        </is>
      </c>
      <c r="F89" s="1803" t="inlineStr">
        <is>
          <t>kg</t>
        </is>
      </c>
      <c r="G89" s="1803" t="n">
        <v>0.9</v>
      </c>
      <c r="H89" s="1805" t="n">
        <v>2.345</v>
      </c>
      <c r="I89" s="1805" t="n">
        <v>2.1105</v>
      </c>
      <c r="J89" s="2128" t="n"/>
      <c r="K89" s="2128" t="n"/>
      <c r="L89" s="1857" t="n"/>
      <c r="M89" s="2133" t="n"/>
      <c r="N89" s="2133" t="n"/>
    </row>
    <row r="90" ht="25.5" customHeight="1">
      <c r="A90" s="1855" t="inlineStr">
        <is>
          <t>1412</t>
        </is>
      </c>
      <c r="B90" s="1854" t="inlineStr">
        <is>
          <t>Thozen - Electra</t>
        </is>
      </c>
      <c r="C90" s="1853" t="inlineStr">
        <is>
          <t>INSUMO</t>
        </is>
      </c>
      <c r="D90" s="1852" t="inlineStr">
        <is>
          <t>Original</t>
        </is>
      </c>
      <c r="E90" s="1852" t="inlineStr">
        <is>
          <t>ESPAÇADOR PLÁSTICO</t>
        </is>
      </c>
      <c r="F90" s="1810" t="inlineStr">
        <is>
          <t>un</t>
        </is>
      </c>
      <c r="G90" s="1810" t="n">
        <v>2</v>
      </c>
      <c r="H90" s="1812" t="n">
        <v>0.15</v>
      </c>
      <c r="I90" s="1812" t="n">
        <v>0.3</v>
      </c>
      <c r="J90" s="2127" t="n"/>
      <c r="K90" s="2127" t="n"/>
      <c r="L90" s="1852" t="n"/>
      <c r="M90" s="2134" t="n"/>
      <c r="N90" s="2134" t="n"/>
    </row>
    <row r="91" ht="25.5" customHeight="1">
      <c r="A91" s="1860" t="inlineStr">
        <is>
          <t>4884</t>
        </is>
      </c>
      <c r="B91" s="1859" t="inlineStr">
        <is>
          <t>Thozen - Electra</t>
        </is>
      </c>
      <c r="C91" s="1858" t="inlineStr">
        <is>
          <t>INSUMO</t>
        </is>
      </c>
      <c r="D91" s="1857" t="inlineStr">
        <is>
          <t>Original</t>
        </is>
      </c>
      <c r="E91" s="1857" t="inlineStr">
        <is>
          <t>PISO PORCELANATO 80X80CM, ACABAMENTO NATURAL, PADRÃO MÉDIO</t>
        </is>
      </c>
      <c r="F91" s="1803" t="inlineStr">
        <is>
          <t>m2</t>
        </is>
      </c>
      <c r="G91" s="1803" t="n">
        <v>0.11</v>
      </c>
      <c r="H91" s="1805" t="n">
        <v>65</v>
      </c>
      <c r="I91" s="1805" t="n">
        <v>7.15</v>
      </c>
      <c r="J91" s="2128" t="n"/>
      <c r="K91" s="2128" t="n"/>
      <c r="L91" s="1857" t="n"/>
      <c r="M91" s="2133" t="n"/>
      <c r="N91" s="2133" t="n"/>
    </row>
    <row r="92" ht="25.5" customHeight="1">
      <c r="A92" s="1855" t="inlineStr">
        <is>
          <t>4880</t>
        </is>
      </c>
      <c r="B92" s="1854" t="inlineStr">
        <is>
          <t>Thozen - Electra</t>
        </is>
      </c>
      <c r="C92" s="1853" t="inlineStr">
        <is>
          <t>INSUMO</t>
        </is>
      </c>
      <c r="D92" s="1852" t="inlineStr">
        <is>
          <t>Original</t>
        </is>
      </c>
      <c r="E92" s="1852" t="inlineStr">
        <is>
          <t>REJUNTE FLEXÍVEL</t>
        </is>
      </c>
      <c r="F92" s="1810" t="inlineStr">
        <is>
          <t>m2</t>
        </is>
      </c>
      <c r="G92" s="1810" t="n">
        <v>0.08400000000000001</v>
      </c>
      <c r="H92" s="1812" t="n">
        <v>2.0643</v>
      </c>
      <c r="I92" s="1812" t="n">
        <v>0.1734012</v>
      </c>
      <c r="J92" s="2127" t="n"/>
      <c r="K92" s="2127" t="n"/>
      <c r="L92" s="1852" t="n"/>
      <c r="M92" s="2134" t="n"/>
      <c r="N92" s="2134" t="n"/>
    </row>
    <row r="93" ht="25.5" customHeight="1">
      <c r="A93" s="1869" t="inlineStr">
        <is>
          <t>4898</t>
        </is>
      </c>
      <c r="B93" s="1868" t="inlineStr">
        <is>
          <t>Thozen - Electra</t>
        </is>
      </c>
      <c r="C93" s="1867" t="inlineStr"/>
      <c r="D93" s="1862" t="inlineStr">
        <is>
          <t>Original</t>
        </is>
      </c>
      <c r="E93" s="1862" t="inlineStr">
        <is>
          <t xml:space="preserve"> Soleira de granito, acabamento polido, espessura 2cm </t>
        </is>
      </c>
      <c r="F93" s="1866" t="inlineStr">
        <is>
          <t>m2</t>
        </is>
      </c>
      <c r="G93" s="1865" t="n"/>
      <c r="H93" s="1864" t="n"/>
      <c r="I93" s="1864" t="n">
        <v>593.641718</v>
      </c>
      <c r="J93" s="2131" t="n"/>
      <c r="K93" s="2131" t="n"/>
      <c r="L93" s="1862" t="n"/>
      <c r="M93" s="2132" t="n"/>
      <c r="N93" s="2132" t="inlineStr"/>
      <c r="O93" s="218">
        <f>A93&amp;B93&amp;C93</f>
        <v/>
      </c>
    </row>
    <row r="94" ht="25.5" customHeight="1">
      <c r="A94" s="1860" t="inlineStr">
        <is>
          <t>193</t>
        </is>
      </c>
      <c r="B94" s="1859" t="inlineStr">
        <is>
          <t>Thozen - Electra</t>
        </is>
      </c>
      <c r="C94" s="1858" t="inlineStr">
        <is>
          <t>INSUMO</t>
        </is>
      </c>
      <c r="D94" s="1857" t="inlineStr">
        <is>
          <t>Original</t>
        </is>
      </c>
      <c r="E94" s="1857" t="inlineStr">
        <is>
          <t>ARGAMASSA COLANTE AC III</t>
        </is>
      </c>
      <c r="F94" s="1803" t="inlineStr">
        <is>
          <t>kg</t>
        </is>
      </c>
      <c r="G94" s="1803" t="n">
        <v>9</v>
      </c>
      <c r="H94" s="1805" t="n">
        <v>2.345</v>
      </c>
      <c r="I94" s="1805" t="n">
        <v>21.105</v>
      </c>
      <c r="J94" s="2128" t="n"/>
      <c r="K94" s="2128" t="n"/>
      <c r="L94" s="1857" t="n"/>
      <c r="M94" s="2133" t="n"/>
      <c r="N94" s="2133" t="n"/>
    </row>
    <row r="95" ht="25.5" customHeight="1">
      <c r="A95" s="1855" t="inlineStr">
        <is>
          <t>1526</t>
        </is>
      </c>
      <c r="B95" s="1854" t="inlineStr">
        <is>
          <t>Thozen - Electra</t>
        </is>
      </c>
      <c r="C95" s="1853" t="inlineStr">
        <is>
          <t>INSUMO</t>
        </is>
      </c>
      <c r="D95" s="1852" t="inlineStr">
        <is>
          <t>Original</t>
        </is>
      </c>
      <c r="E95" s="1852" t="inlineStr">
        <is>
          <t>GRANITO POLIDO</t>
        </is>
      </c>
      <c r="F95" s="1810" t="inlineStr">
        <is>
          <t>m2</t>
        </is>
      </c>
      <c r="G95" s="1810" t="n">
        <v>1.1</v>
      </c>
      <c r="H95" s="1812" t="n">
        <v>520</v>
      </c>
      <c r="I95" s="1812" t="n">
        <v>572</v>
      </c>
      <c r="J95" s="2127" t="n"/>
      <c r="K95" s="2127" t="n"/>
      <c r="L95" s="1852" t="n"/>
      <c r="M95" s="2134" t="n"/>
      <c r="N95" s="2134" t="n"/>
    </row>
    <row r="96" ht="25.5" customHeight="1">
      <c r="A96" s="1860" t="inlineStr">
        <is>
          <t>4880</t>
        </is>
      </c>
      <c r="B96" s="1859" t="inlineStr">
        <is>
          <t>Thozen - Electra</t>
        </is>
      </c>
      <c r="C96" s="1858" t="inlineStr">
        <is>
          <t>INSUMO</t>
        </is>
      </c>
      <c r="D96" s="1857" t="inlineStr">
        <is>
          <t>Original</t>
        </is>
      </c>
      <c r="E96" s="1857" t="inlineStr">
        <is>
          <t>REJUNTE FLEXÍVEL</t>
        </is>
      </c>
      <c r="F96" s="1803" t="inlineStr">
        <is>
          <t>m2</t>
        </is>
      </c>
      <c r="G96" s="1803" t="n">
        <v>0.26</v>
      </c>
      <c r="H96" s="1805" t="n">
        <v>2.0643</v>
      </c>
      <c r="I96" s="1805" t="n">
        <v>0.5367179999999999</v>
      </c>
      <c r="J96" s="2128" t="n"/>
      <c r="K96" s="2128" t="n"/>
      <c r="L96" s="1857" t="n"/>
      <c r="M96" s="2133" t="n"/>
      <c r="N96" s="2133" t="n"/>
    </row>
    <row r="97" ht="25.5" customHeight="1">
      <c r="A97" s="1869" t="inlineStr">
        <is>
          <t>90559</t>
        </is>
      </c>
      <c r="B97" s="1868" t="inlineStr">
        <is>
          <t>Thozen - Electra</t>
        </is>
      </c>
      <c r="C97" s="1867" t="inlineStr"/>
      <c r="D97" s="1862" t="inlineStr">
        <is>
          <t>Original</t>
        </is>
      </c>
      <c r="E97" s="1862" t="inlineStr">
        <is>
          <t>Massa latex acrílica em paredes internas 2 demaos</t>
        </is>
      </c>
      <c r="F97" s="1866" t="inlineStr">
        <is>
          <t>m2</t>
        </is>
      </c>
      <c r="G97" s="1865" t="n"/>
      <c r="H97" s="1864" t="n"/>
      <c r="I97" s="1864" t="n">
        <v>11.9703</v>
      </c>
      <c r="J97" s="2131" t="n"/>
      <c r="K97" s="2131" t="n"/>
      <c r="L97" s="1862" t="n"/>
      <c r="M97" s="2132" t="n"/>
      <c r="N97" s="2132" t="inlineStr">
        <is>
          <t>MASSA</t>
        </is>
      </c>
      <c r="O97" s="218">
        <f>A97&amp;B97&amp;C97</f>
        <v/>
      </c>
    </row>
    <row r="98" ht="25.5" customHeight="1">
      <c r="A98" s="1860" t="inlineStr">
        <is>
          <t>1400</t>
        </is>
      </c>
      <c r="B98" s="1859" t="inlineStr">
        <is>
          <t>Thozen - Electra</t>
        </is>
      </c>
      <c r="C98" s="1858" t="inlineStr">
        <is>
          <t>INSUMO</t>
        </is>
      </c>
      <c r="D98" s="1857" t="inlineStr">
        <is>
          <t>Original</t>
        </is>
      </c>
      <c r="E98" s="1857" t="inlineStr">
        <is>
          <t xml:space="preserve">LIXA EM FOLHA PARA PAREDE OU MADEIRA N° 120  </t>
        </is>
      </c>
      <c r="F98" s="1803" t="inlineStr">
        <is>
          <t>UN</t>
        </is>
      </c>
      <c r="G98" s="1803" t="n">
        <v>0.1</v>
      </c>
      <c r="H98" s="1805" t="n">
        <v>18.48</v>
      </c>
      <c r="I98" s="1805" t="n">
        <v>1.848</v>
      </c>
      <c r="J98" s="2128" t="n"/>
      <c r="K98" s="2128" t="n"/>
      <c r="L98" s="1857" t="n"/>
      <c r="M98" s="2133" t="n"/>
      <c r="N98" s="2133" t="n"/>
    </row>
    <row r="99" ht="25.5" customHeight="1">
      <c r="A99" s="1855" t="inlineStr">
        <is>
          <t>48483</t>
        </is>
      </c>
      <c r="B99" s="1854" t="inlineStr">
        <is>
          <t>Thozen - Electra</t>
        </is>
      </c>
      <c r="C99" s="1853" t="inlineStr">
        <is>
          <t>INSUMO</t>
        </is>
      </c>
      <c r="D99" s="1852" t="inlineStr">
        <is>
          <t>Original</t>
        </is>
      </c>
      <c r="E99" s="1852" t="inlineStr">
        <is>
          <t>MASSA ACRÍLICA</t>
        </is>
      </c>
      <c r="F99" s="1810" t="inlineStr">
        <is>
          <t>kg</t>
        </is>
      </c>
      <c r="G99" s="1810" t="n">
        <v>0.8802</v>
      </c>
      <c r="H99" s="1812" t="n">
        <v>11.5</v>
      </c>
      <c r="I99" s="1812" t="n">
        <v>10.1223</v>
      </c>
      <c r="J99" s="2127" t="n"/>
      <c r="K99" s="2127" t="n"/>
      <c r="L99" s="1852" t="n"/>
      <c r="M99" s="2134" t="n"/>
      <c r="N99" s="2134" t="n"/>
    </row>
    <row r="100" ht="25.5" customHeight="1">
      <c r="A100" s="1869" t="inlineStr">
        <is>
          <t>4926</t>
        </is>
      </c>
      <c r="B100" s="1868" t="inlineStr">
        <is>
          <t>Thozen - Electra</t>
        </is>
      </c>
      <c r="C100" s="1867" t="inlineStr"/>
      <c r="D100" s="1862" t="inlineStr">
        <is>
          <t>Original</t>
        </is>
      </c>
      <c r="E100" s="1862" t="inlineStr">
        <is>
          <t xml:space="preserve"> Pintura com tinta acrílica em paredes internas, aplicação manual, 3 demãos</t>
        </is>
      </c>
      <c r="F100" s="1866" t="inlineStr">
        <is>
          <t>m2</t>
        </is>
      </c>
      <c r="G100" s="1865" t="n"/>
      <c r="H100" s="1864" t="n"/>
      <c r="I100" s="1864" t="n">
        <v>20.0353125</v>
      </c>
      <c r="J100" s="2131" t="n"/>
      <c r="K100" s="2131" t="n"/>
      <c r="L100" s="1862" t="n"/>
      <c r="M100" s="2132" t="n"/>
      <c r="N100" s="2132" t="inlineStr">
        <is>
          <t>PINTURA ACRÍLICA</t>
        </is>
      </c>
      <c r="O100" s="218">
        <f>A100&amp;B100&amp;C100</f>
        <v/>
      </c>
    </row>
    <row r="101" ht="25.5" customHeight="1">
      <c r="A101" s="1860" t="inlineStr">
        <is>
          <t>2944</t>
        </is>
      </c>
      <c r="B101" s="1859" t="inlineStr">
        <is>
          <t>Thozen - Electra</t>
        </is>
      </c>
      <c r="C101" s="1858" t="inlineStr">
        <is>
          <t>INSUMO</t>
        </is>
      </c>
      <c r="D101" s="1857" t="inlineStr">
        <is>
          <t>Original</t>
        </is>
      </c>
      <c r="E101" s="1857" t="inlineStr">
        <is>
          <t>TINTA LÁTEX ACRÍLICA</t>
        </is>
      </c>
      <c r="F101" s="1803" t="inlineStr">
        <is>
          <t>l</t>
        </is>
      </c>
      <c r="G101" s="1803" t="n">
        <v>0.34275</v>
      </c>
      <c r="H101" s="1805" t="n">
        <v>36.67</v>
      </c>
      <c r="I101" s="1805" t="n">
        <v>12.5686425</v>
      </c>
      <c r="J101" s="2128" t="n"/>
      <c r="K101" s="2128" t="n"/>
      <c r="L101" s="1857" t="n"/>
      <c r="M101" s="2133" t="n"/>
      <c r="N101" s="2133" t="n"/>
    </row>
    <row r="102" ht="25.5" customHeight="1">
      <c r="A102" s="1855" t="inlineStr">
        <is>
          <t>2186</t>
        </is>
      </c>
      <c r="B102" s="1854" t="inlineStr">
        <is>
          <t>Thozen - Electra</t>
        </is>
      </c>
      <c r="C102" s="1853" t="inlineStr">
        <is>
          <t>INSUMO</t>
        </is>
      </c>
      <c r="D102" s="1852" t="inlineStr">
        <is>
          <t>Original</t>
        </is>
      </c>
      <c r="E102" s="1852" t="inlineStr">
        <is>
          <t>MASSA CORRIDA PVA</t>
        </is>
      </c>
      <c r="F102" s="1810" t="inlineStr">
        <is>
          <t>kg</t>
        </is>
      </c>
      <c r="G102" s="1810" t="n">
        <v>1.3389</v>
      </c>
      <c r="H102" s="1812" t="n">
        <v>3.6</v>
      </c>
      <c r="I102" s="1812" t="n">
        <v>4.82004</v>
      </c>
      <c r="J102" s="2127" t="n"/>
      <c r="K102" s="2127" t="n"/>
      <c r="L102" s="1852" t="n"/>
      <c r="M102" s="2134" t="n"/>
      <c r="N102" s="2134" t="n"/>
    </row>
    <row r="103" ht="25.5" customHeight="1">
      <c r="A103" s="1860" t="inlineStr">
        <is>
          <t>2553</t>
        </is>
      </c>
      <c r="B103" s="1859" t="inlineStr">
        <is>
          <t>Thozen - Electra</t>
        </is>
      </c>
      <c r="C103" s="1858" t="inlineStr">
        <is>
          <t>INSUMO</t>
        </is>
      </c>
      <c r="D103" s="1857" t="inlineStr">
        <is>
          <t>Original</t>
        </is>
      </c>
      <c r="E103" s="1857" t="inlineStr">
        <is>
          <t>SELADOR LÁTEX PVA</t>
        </is>
      </c>
      <c r="F103" s="1803" t="inlineStr">
        <is>
          <t>l</t>
        </is>
      </c>
      <c r="G103" s="1803" t="n">
        <v>0.1666</v>
      </c>
      <c r="H103" s="1805" t="n">
        <v>6.99</v>
      </c>
      <c r="I103" s="1805" t="n">
        <v>1.164534</v>
      </c>
      <c r="J103" s="2128" t="n"/>
      <c r="K103" s="2128" t="n"/>
      <c r="L103" s="1857" t="n"/>
      <c r="M103" s="2133" t="n"/>
      <c r="N103" s="2133" t="n"/>
    </row>
    <row r="104" ht="25.5" customHeight="1">
      <c r="A104" s="1855" t="inlineStr">
        <is>
          <t>1400</t>
        </is>
      </c>
      <c r="B104" s="1854" t="inlineStr">
        <is>
          <t>Thozen - Electra</t>
        </is>
      </c>
      <c r="C104" s="1853" t="inlineStr">
        <is>
          <t>INSUMO</t>
        </is>
      </c>
      <c r="D104" s="1852" t="inlineStr">
        <is>
          <t>Original</t>
        </is>
      </c>
      <c r="E104" s="1852" t="inlineStr">
        <is>
          <t xml:space="preserve">LIXA EM FOLHA PARA PAREDE OU MADEIRA N° 120  </t>
        </is>
      </c>
      <c r="F104" s="1810" t="inlineStr">
        <is>
          <t>UN</t>
        </is>
      </c>
      <c r="G104" s="1810" t="n">
        <v>0.08019999999999999</v>
      </c>
      <c r="H104" s="1812" t="n">
        <v>18.48</v>
      </c>
      <c r="I104" s="1812" t="n">
        <v>1.482096</v>
      </c>
      <c r="J104" s="2127" t="n"/>
      <c r="K104" s="2127" t="n"/>
      <c r="L104" s="1852" t="n"/>
      <c r="M104" s="2134" t="n"/>
      <c r="N104" s="2134" t="n"/>
    </row>
    <row r="105" ht="25.5" customHeight="1">
      <c r="A105" s="1869" t="inlineStr">
        <is>
          <t>4924</t>
        </is>
      </c>
      <c r="B105" s="1868" t="inlineStr">
        <is>
          <t>Thozen - Electra</t>
        </is>
      </c>
      <c r="C105" s="1867" t="inlineStr"/>
      <c r="D105" s="1862" t="inlineStr">
        <is>
          <t>Original</t>
        </is>
      </c>
      <c r="E105" s="1862" t="inlineStr">
        <is>
          <t xml:space="preserve"> Selador látex PVA, 1 demão</t>
        </is>
      </c>
      <c r="F105" s="1866" t="inlineStr">
        <is>
          <t>m2</t>
        </is>
      </c>
      <c r="G105" s="1865" t="n"/>
      <c r="H105" s="1864" t="n"/>
      <c r="I105" s="1864" t="n">
        <v>1.398</v>
      </c>
      <c r="J105" s="2131" t="n"/>
      <c r="K105" s="2131" t="n"/>
      <c r="L105" s="1862" t="n"/>
      <c r="M105" s="2132" t="n"/>
      <c r="N105" s="2132" t="inlineStr"/>
      <c r="O105" s="218">
        <f>A105&amp;B105&amp;C105</f>
        <v/>
      </c>
    </row>
    <row r="106" ht="25.5" customHeight="1">
      <c r="A106" s="1860" t="inlineStr">
        <is>
          <t>2553</t>
        </is>
      </c>
      <c r="B106" s="1859" t="inlineStr">
        <is>
          <t>Thozen - Electra</t>
        </is>
      </c>
      <c r="C106" s="1858" t="inlineStr">
        <is>
          <t>INSUMO</t>
        </is>
      </c>
      <c r="D106" s="1857" t="inlineStr">
        <is>
          <t>Original</t>
        </is>
      </c>
      <c r="E106" s="1857" t="inlineStr">
        <is>
          <t>SELADOR LÁTEX PVA</t>
        </is>
      </c>
      <c r="F106" s="1803" t="inlineStr">
        <is>
          <t>l</t>
        </is>
      </c>
      <c r="G106" s="1803" t="n">
        <v>0.2</v>
      </c>
      <c r="H106" s="1805" t="n">
        <v>6.99</v>
      </c>
      <c r="I106" s="1805" t="n">
        <v>1.398</v>
      </c>
      <c r="J106" s="2128" t="n"/>
      <c r="K106" s="2128" t="n"/>
      <c r="L106" s="1857" t="n"/>
      <c r="M106" s="2133" t="n"/>
      <c r="N106" s="2133" t="n"/>
    </row>
    <row r="107" ht="25.5" customHeight="1">
      <c r="A107" s="1869" t="inlineStr">
        <is>
          <t>4927</t>
        </is>
      </c>
      <c r="B107" s="1868" t="inlineStr">
        <is>
          <t>Thozen - Electra</t>
        </is>
      </c>
      <c r="C107" s="1867" t="inlineStr"/>
      <c r="D107" s="1862" t="inlineStr">
        <is>
          <t>Original</t>
        </is>
      </c>
      <c r="E107" s="1862" t="inlineStr">
        <is>
          <t xml:space="preserve"> Textura acrílica branca em paredes internas, acabamento suave, 1 demão</t>
        </is>
      </c>
      <c r="F107" s="1866" t="inlineStr">
        <is>
          <t>m2</t>
        </is>
      </c>
      <c r="G107" s="1865" t="n"/>
      <c r="H107" s="1864" t="n"/>
      <c r="I107" s="1864" t="n">
        <v>9.290700000000001</v>
      </c>
      <c r="J107" s="2131" t="n"/>
      <c r="K107" s="2131" t="n"/>
      <c r="L107" s="1862" t="n"/>
      <c r="M107" s="2132" t="n"/>
      <c r="N107" s="2132" t="inlineStr">
        <is>
          <t>PINTURA PAREDE</t>
        </is>
      </c>
      <c r="O107" s="218">
        <f>A107&amp;B107&amp;C107</f>
        <v/>
      </c>
    </row>
    <row r="108" ht="25.5" customHeight="1">
      <c r="A108" s="1860" t="inlineStr">
        <is>
          <t>2940</t>
        </is>
      </c>
      <c r="B108" s="1859" t="inlineStr">
        <is>
          <t>Thozen - Electra</t>
        </is>
      </c>
      <c r="C108" s="1858" t="inlineStr">
        <is>
          <t>INSUMO</t>
        </is>
      </c>
      <c r="D108" s="1857" t="inlineStr">
        <is>
          <t>Original</t>
        </is>
      </c>
      <c r="E108" s="1857" t="inlineStr">
        <is>
          <t>TEXTURA ACRÍLICA</t>
        </is>
      </c>
      <c r="F108" s="1803" t="inlineStr">
        <is>
          <t>kg</t>
        </is>
      </c>
      <c r="G108" s="1803" t="n">
        <v>1.14</v>
      </c>
      <c r="H108" s="1805" t="n">
        <v>7.23</v>
      </c>
      <c r="I108" s="1805" t="n">
        <v>8.2422</v>
      </c>
      <c r="J108" s="2128" t="n"/>
      <c r="K108" s="2128" t="n"/>
      <c r="L108" s="1857" t="n"/>
      <c r="M108" s="2133" t="n"/>
      <c r="N108" s="2133" t="n"/>
    </row>
    <row r="109" ht="25.5" customHeight="1">
      <c r="A109" s="1855" t="inlineStr">
        <is>
          <t>2553</t>
        </is>
      </c>
      <c r="B109" s="1854" t="inlineStr">
        <is>
          <t>Thozen - Electra</t>
        </is>
      </c>
      <c r="C109" s="1853" t="inlineStr">
        <is>
          <t>INSUMO</t>
        </is>
      </c>
      <c r="D109" s="1852" t="inlineStr">
        <is>
          <t>Original</t>
        </is>
      </c>
      <c r="E109" s="1852" t="inlineStr">
        <is>
          <t>SELADOR LÁTEX PVA</t>
        </is>
      </c>
      <c r="F109" s="1810" t="inlineStr">
        <is>
          <t>l</t>
        </is>
      </c>
      <c r="G109" s="1810" t="n">
        <v>0.15</v>
      </c>
      <c r="H109" s="1812" t="n">
        <v>6.99</v>
      </c>
      <c r="I109" s="1812" t="n">
        <v>1.0485</v>
      </c>
      <c r="J109" s="2127" t="n"/>
      <c r="K109" s="2127" t="n"/>
      <c r="L109" s="1852" t="n"/>
      <c r="M109" s="2134" t="n"/>
      <c r="N109" s="2134" t="n"/>
    </row>
    <row r="110" ht="25.5" customHeight="1">
      <c r="A110" s="1869" t="inlineStr">
        <is>
          <t>4929</t>
        </is>
      </c>
      <c r="B110" s="1868" t="inlineStr">
        <is>
          <t>Thozen - Electra</t>
        </is>
      </c>
      <c r="C110" s="1867" t="inlineStr"/>
      <c r="D110" s="1862" t="inlineStr">
        <is>
          <t>Original</t>
        </is>
      </c>
      <c r="E110" s="1862" t="inlineStr">
        <is>
          <t xml:space="preserve"> Aplicação e lixamento de massa látex PVA em teto, 2 demãos</t>
        </is>
      </c>
      <c r="F110" s="1866" t="inlineStr">
        <is>
          <t>m2</t>
        </is>
      </c>
      <c r="G110" s="1865" t="n"/>
      <c r="H110" s="1864" t="n"/>
      <c r="I110" s="1864" t="n">
        <v>2.8</v>
      </c>
      <c r="J110" s="2131" t="n"/>
      <c r="K110" s="2131" t="n"/>
      <c r="L110" s="1862" t="n"/>
      <c r="M110" s="2132" t="n"/>
      <c r="N110" s="2132" t="inlineStr">
        <is>
          <t>PINTURA TETO</t>
        </is>
      </c>
      <c r="O110" s="218">
        <f>A110&amp;B110&amp;C110</f>
        <v/>
      </c>
    </row>
    <row r="111" ht="25.5" customHeight="1">
      <c r="A111" s="1860" t="inlineStr">
        <is>
          <t>1827</t>
        </is>
      </c>
      <c r="B111" s="1859" t="inlineStr">
        <is>
          <t>Thozen - Electra</t>
        </is>
      </c>
      <c r="C111" s="1858" t="inlineStr">
        <is>
          <t>INSUMO</t>
        </is>
      </c>
      <c r="D111" s="1857" t="inlineStr">
        <is>
          <t>Original</t>
        </is>
      </c>
      <c r="E111" s="1857" t="inlineStr">
        <is>
          <t>LIXA EM FOLHA PARA FERRO, NÚMERO 100</t>
        </is>
      </c>
      <c r="F111" s="1803" t="inlineStr">
        <is>
          <t>un</t>
        </is>
      </c>
      <c r="G111" s="1803" t="n">
        <v>0.1</v>
      </c>
      <c r="H111" s="1805" t="n">
        <v>2.8</v>
      </c>
      <c r="I111" s="1805" t="n">
        <v>0.28</v>
      </c>
      <c r="J111" s="2128" t="n"/>
      <c r="K111" s="2128" t="n"/>
      <c r="L111" s="1857" t="n"/>
      <c r="M111" s="2133" t="n"/>
      <c r="N111" s="2133" t="n"/>
    </row>
    <row r="112" ht="25.5" customHeight="1">
      <c r="A112" s="1855" t="inlineStr">
        <is>
          <t>2186</t>
        </is>
      </c>
      <c r="B112" s="1854" t="inlineStr">
        <is>
          <t>Thozen - Electra</t>
        </is>
      </c>
      <c r="C112" s="1853" t="inlineStr">
        <is>
          <t>INSUMO</t>
        </is>
      </c>
      <c r="D112" s="1852" t="inlineStr">
        <is>
          <t>Original</t>
        </is>
      </c>
      <c r="E112" s="1852" t="inlineStr">
        <is>
          <t>MASSA CORRIDA PVA</t>
        </is>
      </c>
      <c r="F112" s="1810" t="inlineStr">
        <is>
          <t>kg</t>
        </is>
      </c>
      <c r="G112" s="1810" t="n">
        <v>0.7</v>
      </c>
      <c r="H112" s="1812" t="n">
        <v>3.6</v>
      </c>
      <c r="I112" s="1812" t="n">
        <v>2.52</v>
      </c>
      <c r="J112" s="2127" t="n"/>
      <c r="K112" s="2127" t="n"/>
      <c r="L112" s="1852" t="n"/>
      <c r="M112" s="2134" t="n"/>
      <c r="N112" s="2134" t="n"/>
    </row>
    <row r="113" ht="25.5" customHeight="1">
      <c r="A113" s="1869" t="inlineStr">
        <is>
          <t>4930</t>
        </is>
      </c>
      <c r="B113" s="1868" t="inlineStr">
        <is>
          <t>Thozen - Electra</t>
        </is>
      </c>
      <c r="C113" s="1867" t="inlineStr"/>
      <c r="D113" s="1862" t="inlineStr">
        <is>
          <t>Original</t>
        </is>
      </c>
      <c r="E113" s="1862" t="inlineStr">
        <is>
          <t xml:space="preserve"> Pintura com tinta látex em teto, acabamento fosco, aplicação manual, 3 demãos</t>
        </is>
      </c>
      <c r="F113" s="1866" t="inlineStr">
        <is>
          <t>m2</t>
        </is>
      </c>
      <c r="G113" s="1865" t="n"/>
      <c r="H113" s="1864" t="n"/>
      <c r="I113" s="1864" t="n">
        <v>20.033479</v>
      </c>
      <c r="J113" s="2131" t="n"/>
      <c r="K113" s="2131" t="n"/>
      <c r="L113" s="1862" t="n"/>
      <c r="M113" s="2132" t="n"/>
      <c r="N113" s="2132" t="inlineStr">
        <is>
          <t>PINTURA TETO</t>
        </is>
      </c>
      <c r="O113" s="218">
        <f>A113&amp;B113&amp;C113</f>
        <v/>
      </c>
    </row>
    <row r="114" ht="25.5" customHeight="1">
      <c r="A114" s="1860" t="inlineStr">
        <is>
          <t>2944</t>
        </is>
      </c>
      <c r="B114" s="1859" t="inlineStr">
        <is>
          <t>Thozen - Electra</t>
        </is>
      </c>
      <c r="C114" s="1858" t="inlineStr">
        <is>
          <t>INSUMO</t>
        </is>
      </c>
      <c r="D114" s="1857" t="inlineStr">
        <is>
          <t>Original</t>
        </is>
      </c>
      <c r="E114" s="1857" t="inlineStr">
        <is>
          <t>TINTA LÁTEX ACRÍLICA</t>
        </is>
      </c>
      <c r="F114" s="1803" t="inlineStr">
        <is>
          <t>l</t>
        </is>
      </c>
      <c r="G114" s="1803" t="n">
        <v>0.3427</v>
      </c>
      <c r="H114" s="1805" t="n">
        <v>36.67</v>
      </c>
      <c r="I114" s="1805" t="n">
        <v>12.566809</v>
      </c>
      <c r="J114" s="2128" t="n"/>
      <c r="K114" s="2128" t="n"/>
      <c r="L114" s="1857" t="n"/>
      <c r="M114" s="2133" t="n"/>
      <c r="N114" s="2133" t="n"/>
    </row>
    <row r="115" ht="25.5" customHeight="1">
      <c r="A115" s="1855" t="inlineStr">
        <is>
          <t>2186</t>
        </is>
      </c>
      <c r="B115" s="1854" t="inlineStr">
        <is>
          <t>Thozen - Electra</t>
        </is>
      </c>
      <c r="C115" s="1853" t="inlineStr">
        <is>
          <t>INSUMO</t>
        </is>
      </c>
      <c r="D115" s="1852" t="inlineStr">
        <is>
          <t>Original</t>
        </is>
      </c>
      <c r="E115" s="1852" t="inlineStr">
        <is>
          <t>MASSA CORRIDA PVA</t>
        </is>
      </c>
      <c r="F115" s="1810" t="inlineStr">
        <is>
          <t>kg</t>
        </is>
      </c>
      <c r="G115" s="1810" t="n">
        <v>1.3389</v>
      </c>
      <c r="H115" s="1812" t="n">
        <v>3.6</v>
      </c>
      <c r="I115" s="1812" t="n">
        <v>4.82004</v>
      </c>
      <c r="J115" s="2127" t="n"/>
      <c r="K115" s="2127" t="n"/>
      <c r="L115" s="1852" t="n"/>
      <c r="M115" s="2134" t="n"/>
      <c r="N115" s="2134" t="n"/>
    </row>
    <row r="116" ht="25.5" customHeight="1">
      <c r="A116" s="1860" t="inlineStr">
        <is>
          <t>2553</t>
        </is>
      </c>
      <c r="B116" s="1859" t="inlineStr">
        <is>
          <t>Thozen - Electra</t>
        </is>
      </c>
      <c r="C116" s="1858" t="inlineStr">
        <is>
          <t>INSUMO</t>
        </is>
      </c>
      <c r="D116" s="1857" t="inlineStr">
        <is>
          <t>Original</t>
        </is>
      </c>
      <c r="E116" s="1857" t="inlineStr">
        <is>
          <t>SELADOR LÁTEX PVA</t>
        </is>
      </c>
      <c r="F116" s="1803" t="inlineStr">
        <is>
          <t>l</t>
        </is>
      </c>
      <c r="G116" s="1803" t="n">
        <v>0.1666</v>
      </c>
      <c r="H116" s="1805" t="n">
        <v>6.99</v>
      </c>
      <c r="I116" s="1805" t="n">
        <v>1.164534</v>
      </c>
      <c r="J116" s="2128" t="n"/>
      <c r="K116" s="2128" t="n"/>
      <c r="L116" s="1857" t="n"/>
      <c r="M116" s="2133" t="n"/>
      <c r="N116" s="2133" t="n"/>
    </row>
    <row r="117" ht="25.5" customHeight="1">
      <c r="A117" s="1855" t="inlineStr">
        <is>
          <t>1400</t>
        </is>
      </c>
      <c r="B117" s="1854" t="inlineStr">
        <is>
          <t>Thozen - Electra</t>
        </is>
      </c>
      <c r="C117" s="1853" t="inlineStr">
        <is>
          <t>INSUMO</t>
        </is>
      </c>
      <c r="D117" s="1852" t="inlineStr">
        <is>
          <t>Original</t>
        </is>
      </c>
      <c r="E117" s="1852" t="inlineStr">
        <is>
          <t xml:space="preserve">LIXA EM FOLHA PARA PAREDE OU MADEIRA N° 120  </t>
        </is>
      </c>
      <c r="F117" s="1810" t="inlineStr">
        <is>
          <t>UN</t>
        </is>
      </c>
      <c r="G117" s="1810" t="n">
        <v>0.08019999999999999</v>
      </c>
      <c r="H117" s="1812" t="n">
        <v>18.48</v>
      </c>
      <c r="I117" s="1812" t="n">
        <v>1.482096</v>
      </c>
      <c r="J117" s="2127" t="n"/>
      <c r="K117" s="2127" t="n"/>
      <c r="L117" s="1852" t="n"/>
      <c r="M117" s="2134" t="n"/>
      <c r="N117" s="2134" t="n"/>
    </row>
    <row r="118" ht="25.5" customHeight="1">
      <c r="A118" s="1869" t="inlineStr">
        <is>
          <t>245</t>
        </is>
      </c>
      <c r="B118" s="1868" t="inlineStr">
        <is>
          <t>Thozen - Electra</t>
        </is>
      </c>
      <c r="C118" s="1867" t="inlineStr"/>
      <c r="D118" s="1862" t="inlineStr">
        <is>
          <t>Original</t>
        </is>
      </c>
      <c r="E118" s="1862" t="inlineStr">
        <is>
          <t>Fundo selador latex PVA em teto, 1 demao</t>
        </is>
      </c>
      <c r="F118" s="1866" t="inlineStr">
        <is>
          <t>m2</t>
        </is>
      </c>
      <c r="G118" s="1865" t="n"/>
      <c r="H118" s="1864" t="n"/>
      <c r="I118" s="1864" t="n">
        <v>1.1184</v>
      </c>
      <c r="J118" s="2131" t="n"/>
      <c r="K118" s="2131" t="n"/>
      <c r="L118" s="1862" t="n"/>
      <c r="M118" s="2132" t="n"/>
      <c r="N118" s="2132" t="inlineStr">
        <is>
          <t>PINTURA TETO</t>
        </is>
      </c>
      <c r="O118" s="218">
        <f>A118&amp;B118&amp;C118</f>
        <v/>
      </c>
    </row>
    <row r="119" ht="25.5" customHeight="1">
      <c r="A119" s="1860" t="inlineStr">
        <is>
          <t>2553</t>
        </is>
      </c>
      <c r="B119" s="1859" t="inlineStr">
        <is>
          <t>Thozen - Electra</t>
        </is>
      </c>
      <c r="C119" s="1858" t="inlineStr">
        <is>
          <t>INSUMO</t>
        </is>
      </c>
      <c r="D119" s="1857" t="inlineStr">
        <is>
          <t>Original</t>
        </is>
      </c>
      <c r="E119" s="1857" t="inlineStr">
        <is>
          <t>SELADOR LÁTEX PVA</t>
        </is>
      </c>
      <c r="F119" s="1803" t="inlineStr">
        <is>
          <t>l</t>
        </is>
      </c>
      <c r="G119" s="1803" t="n">
        <v>0.16</v>
      </c>
      <c r="H119" s="1805" t="n">
        <v>6.99</v>
      </c>
      <c r="I119" s="1805" t="n">
        <v>1.1184</v>
      </c>
      <c r="J119" s="2128" t="n"/>
      <c r="K119" s="2128" t="n"/>
      <c r="L119" s="1857" t="n"/>
      <c r="M119" s="2133" t="n"/>
      <c r="N119" s="2133" t="n"/>
    </row>
    <row r="120" ht="25.5" customHeight="1">
      <c r="A120" s="1869" t="inlineStr">
        <is>
          <t>4937</t>
        </is>
      </c>
      <c r="B120" s="1868" t="inlineStr">
        <is>
          <t>Thozen - Electra</t>
        </is>
      </c>
      <c r="C120" s="1867" t="inlineStr"/>
      <c r="D120" s="1862" t="inlineStr">
        <is>
          <t>Original</t>
        </is>
      </c>
      <c r="E120" s="1862" t="inlineStr">
        <is>
          <t xml:space="preserve"> Mão de obra para pintura acrílica em paredes internas, 3 demãos</t>
        </is>
      </c>
      <c r="F120" s="1866" t="inlineStr">
        <is>
          <t>m2</t>
        </is>
      </c>
      <c r="G120" s="1865" t="n"/>
      <c r="H120" s="1864" t="n"/>
      <c r="I120" s="1864" t="n">
        <v>34</v>
      </c>
      <c r="J120" s="2131" t="n"/>
      <c r="K120" s="2131" t="n"/>
      <c r="L120" s="1862" t="n"/>
      <c r="M120" s="2132" t="n"/>
      <c r="N120" s="2132" t="inlineStr"/>
      <c r="O120" s="218">
        <f>A120&amp;B120&amp;C120</f>
        <v/>
      </c>
    </row>
    <row r="121" ht="25.5" customHeight="1">
      <c r="A121" s="1860" t="inlineStr">
        <is>
          <t>2134</t>
        </is>
      </c>
      <c r="B121" s="1859" t="inlineStr">
        <is>
          <t>Thozen - Electra</t>
        </is>
      </c>
      <c r="C121" s="1858" t="inlineStr">
        <is>
          <t>INSUMO</t>
        </is>
      </c>
      <c r="D121" s="1857" t="inlineStr">
        <is>
          <t>Original</t>
        </is>
      </c>
      <c r="E121" s="1857" t="inlineStr">
        <is>
          <t>MÃO DE OBRA PARA APLICAÇÃO DE PINTURA LÁTEX ACRÍLICA EM PAREDES, 3 DEMÃOS</t>
        </is>
      </c>
      <c r="F121" s="1803" t="inlineStr">
        <is>
          <t>m2</t>
        </is>
      </c>
      <c r="G121" s="1803" t="n">
        <v>1</v>
      </c>
      <c r="H121" s="1805" t="n">
        <v>34</v>
      </c>
      <c r="I121" s="1805" t="n">
        <v>34</v>
      </c>
      <c r="J121" s="2128" t="n"/>
      <c r="K121" s="2128" t="n"/>
      <c r="L121" s="1857" t="n"/>
      <c r="M121" s="2133" t="n"/>
      <c r="N121" s="2133" t="n"/>
    </row>
    <row r="122" ht="25.5" customHeight="1">
      <c r="A122" s="1869" t="inlineStr">
        <is>
          <t>80040</t>
        </is>
      </c>
      <c r="B122" s="1868" t="inlineStr">
        <is>
          <t>Thozen - Electra</t>
        </is>
      </c>
      <c r="C122" s="1867" t="inlineStr"/>
      <c r="D122" s="1862" t="inlineStr">
        <is>
          <t>Original</t>
        </is>
      </c>
      <c r="E122" s="1862" t="inlineStr">
        <is>
          <t xml:space="preserve"> Mão de obra para aplicação de textura acrílica em paredes internas, 2 demãos</t>
        </is>
      </c>
      <c r="F122" s="1866" t="inlineStr">
        <is>
          <t>m2</t>
        </is>
      </c>
      <c r="G122" s="1865" t="n"/>
      <c r="H122" s="1864" t="n"/>
      <c r="I122" s="1864" t="n">
        <v>41</v>
      </c>
      <c r="J122" s="2131" t="n"/>
      <c r="K122" s="2131" t="n"/>
      <c r="L122" s="1862" t="n"/>
      <c r="M122" s="2132" t="n"/>
      <c r="N122" s="2132" t="inlineStr">
        <is>
          <t>PINTURA PAREDE</t>
        </is>
      </c>
      <c r="O122" s="218">
        <f>A122&amp;B122&amp;C122</f>
        <v/>
      </c>
    </row>
    <row r="123" ht="25.5" customHeight="1">
      <c r="A123" s="1860" t="inlineStr">
        <is>
          <t>48466</t>
        </is>
      </c>
      <c r="B123" s="1859" t="inlineStr">
        <is>
          <t>Thozen - Electra</t>
        </is>
      </c>
      <c r="C123" s="1858" t="inlineStr">
        <is>
          <t>INSUMO</t>
        </is>
      </c>
      <c r="D123" s="1857" t="inlineStr">
        <is>
          <t>Original</t>
        </is>
      </c>
      <c r="E123" s="1857" t="inlineStr">
        <is>
          <t>MÃO DE OBRA PARA APLICAÇÃO DE TEXTURA ACRÍLICA EM PAREDES INTERNAS, 2 DEMÃOS</t>
        </is>
      </c>
      <c r="F123" s="1803" t="inlineStr">
        <is>
          <t>m2</t>
        </is>
      </c>
      <c r="G123" s="1803" t="n">
        <v>1</v>
      </c>
      <c r="H123" s="1805" t="n">
        <v>41</v>
      </c>
      <c r="I123" s="1805" t="n">
        <v>41</v>
      </c>
      <c r="J123" s="2128" t="n"/>
      <c r="K123" s="2128" t="n"/>
      <c r="L123" s="1857" t="n"/>
      <c r="M123" s="2133" t="n"/>
      <c r="N123" s="2133" t="n"/>
    </row>
    <row r="124" ht="25.5" customHeight="1">
      <c r="A124" s="1869" t="inlineStr">
        <is>
          <t>42</t>
        </is>
      </c>
      <c r="B124" s="1868" t="inlineStr">
        <is>
          <t>Thozen - Electra</t>
        </is>
      </c>
      <c r="C124" s="1867" t="inlineStr"/>
      <c r="D124" s="1862" t="inlineStr">
        <is>
          <t>Original</t>
        </is>
      </c>
      <c r="E124" s="1862" t="inlineStr">
        <is>
          <t>Chapisco aplicado em alvenarias externas, com colher de pedreiro, de argamassa estabilizada</t>
        </is>
      </c>
      <c r="F124" s="1866" t="inlineStr">
        <is>
          <t>m2</t>
        </is>
      </c>
      <c r="G124" s="1865" t="n"/>
      <c r="H124" s="1864" t="n"/>
      <c r="I124" s="1864" t="n">
        <v>1.3365</v>
      </c>
      <c r="J124" s="2131" t="n"/>
      <c r="K124" s="2131" t="n"/>
      <c r="L124" s="1862" t="n"/>
      <c r="M124" s="2132" t="n"/>
      <c r="N124" s="2132" t="inlineStr">
        <is>
          <t>CHAPISCO EXTERNO</t>
        </is>
      </c>
      <c r="O124" s="218">
        <f>A124&amp;B124&amp;C124</f>
        <v/>
      </c>
    </row>
    <row r="125" ht="25.5" customHeight="1">
      <c r="A125" s="1860" t="inlineStr">
        <is>
          <t>457</t>
        </is>
      </c>
      <c r="B125" s="1859" t="inlineStr">
        <is>
          <t>Thozen - Electra</t>
        </is>
      </c>
      <c r="C125" s="1858" t="inlineStr">
        <is>
          <t>INSUMO</t>
        </is>
      </c>
      <c r="D125" s="1857" t="inlineStr">
        <is>
          <t>Original</t>
        </is>
      </c>
      <c r="E125" s="1857" t="inlineStr">
        <is>
          <t xml:space="preserve">ARGAMASSA ESTABILIZADA PARA CHAPISCO  </t>
        </is>
      </c>
      <c r="F125" s="1803" t="inlineStr">
        <is>
          <t>m3</t>
        </is>
      </c>
      <c r="G125" s="1803" t="n">
        <v>0.0033</v>
      </c>
      <c r="H125" s="1805" t="n">
        <v>405</v>
      </c>
      <c r="I125" s="1805" t="n">
        <v>1.3365</v>
      </c>
      <c r="J125" s="2128" t="n"/>
      <c r="K125" s="2128" t="n"/>
      <c r="L125" s="1857" t="n"/>
      <c r="M125" s="2133" t="n"/>
      <c r="N125" s="2133" t="n"/>
    </row>
    <row r="126" ht="25.5" customHeight="1">
      <c r="A126" s="1869" t="inlineStr">
        <is>
          <t>90546</t>
        </is>
      </c>
      <c r="B126" s="1868" t="inlineStr">
        <is>
          <t>Thozen - Electra</t>
        </is>
      </c>
      <c r="C126" s="1867" t="inlineStr"/>
      <c r="D126" s="1862" t="inlineStr">
        <is>
          <t>Original</t>
        </is>
      </c>
      <c r="E126" s="1862" t="inlineStr">
        <is>
          <t>Chapisco rolado aplicado em alvenaria externa, com desempenadeira dentada</t>
        </is>
      </c>
      <c r="F126" s="1866" t="inlineStr">
        <is>
          <t>m2</t>
        </is>
      </c>
      <c r="G126" s="1865" t="n"/>
      <c r="H126" s="1864" t="n"/>
      <c r="I126" s="1864" t="n">
        <v>5.502000000000001</v>
      </c>
      <c r="J126" s="2131" t="n"/>
      <c r="K126" s="2131" t="n"/>
      <c r="L126" s="1862" t="n"/>
      <c r="M126" s="2132" t="n"/>
      <c r="N126" s="2132" t="inlineStr">
        <is>
          <t>CHAPISCO EXTERNO</t>
        </is>
      </c>
      <c r="O126" s="218">
        <f>A126&amp;B126&amp;C126</f>
        <v/>
      </c>
    </row>
    <row r="127" ht="25.5" customHeight="1">
      <c r="A127" s="1860" t="inlineStr">
        <is>
          <t>48373</t>
        </is>
      </c>
      <c r="B127" s="1859" t="inlineStr">
        <is>
          <t>Thozen - Electra</t>
        </is>
      </c>
      <c r="C127" s="1858" t="inlineStr">
        <is>
          <t>INSUMO</t>
        </is>
      </c>
      <c r="D127" s="1857" t="inlineStr">
        <is>
          <t>Original</t>
        </is>
      </c>
      <c r="E127" s="1857" t="inlineStr">
        <is>
          <t>CHAPISCO COLANTE 20KG</t>
        </is>
      </c>
      <c r="F127" s="1803" t="inlineStr">
        <is>
          <t>Kg</t>
        </is>
      </c>
      <c r="G127" s="1803" t="n">
        <v>4.2</v>
      </c>
      <c r="H127" s="1805" t="n">
        <v>1.31</v>
      </c>
      <c r="I127" s="1805" t="n">
        <v>5.502000000000001</v>
      </c>
      <c r="J127" s="2128" t="n"/>
      <c r="K127" s="2128" t="n"/>
      <c r="L127" s="1857" t="n"/>
      <c r="M127" s="2133" t="n"/>
      <c r="N127" s="2133" t="n"/>
    </row>
    <row r="128" ht="25.5" customHeight="1">
      <c r="A128" s="1869" t="inlineStr">
        <is>
          <t>4979</t>
        </is>
      </c>
      <c r="B128" s="1868" t="inlineStr">
        <is>
          <t>Thozen - Electra</t>
        </is>
      </c>
      <c r="C128" s="1867" t="inlineStr"/>
      <c r="D128" s="1862" t="inlineStr">
        <is>
          <t>Original</t>
        </is>
      </c>
      <c r="E128" s="1862" t="inlineStr">
        <is>
          <t xml:space="preserve"> Pintura com tinta acrílica em paredes externas, aplicação manual, acabamento fosco, 3 demãos</t>
        </is>
      </c>
      <c r="F128" s="1866" t="inlineStr">
        <is>
          <t>m2</t>
        </is>
      </c>
      <c r="G128" s="1865" t="n"/>
      <c r="H128" s="1864" t="n"/>
      <c r="I128" s="1864" t="n">
        <v>17.20959</v>
      </c>
      <c r="J128" s="2131" t="n"/>
      <c r="K128" s="2131" t="n"/>
      <c r="L128" s="1862" t="n"/>
      <c r="M128" s="2132" t="n"/>
      <c r="N128" s="2132" t="inlineStr">
        <is>
          <t>PINTURA EXTERNA</t>
        </is>
      </c>
      <c r="O128" s="218">
        <f>A128&amp;B128&amp;C128</f>
        <v/>
      </c>
    </row>
    <row r="129" ht="25.5" customHeight="1">
      <c r="A129" s="1860" t="inlineStr">
        <is>
          <t>2944</t>
        </is>
      </c>
      <c r="B129" s="1859" t="inlineStr">
        <is>
          <t>Thozen - Electra</t>
        </is>
      </c>
      <c r="C129" s="1858" t="inlineStr">
        <is>
          <t>INSUMO</t>
        </is>
      </c>
      <c r="D129" s="1857" t="inlineStr">
        <is>
          <t>Original</t>
        </is>
      </c>
      <c r="E129" s="1857" t="inlineStr">
        <is>
          <t>TINTA LÁTEX ACRÍLICA</t>
        </is>
      </c>
      <c r="F129" s="1803" t="inlineStr">
        <is>
          <t>l</t>
        </is>
      </c>
      <c r="G129" s="1803" t="n">
        <v>0.3</v>
      </c>
      <c r="H129" s="1805" t="n">
        <v>36.67</v>
      </c>
      <c r="I129" s="1805" t="n">
        <v>11.001</v>
      </c>
      <c r="J129" s="2128" t="n"/>
      <c r="K129" s="2128" t="n"/>
      <c r="L129" s="1857" t="n"/>
      <c r="M129" s="2133" t="n"/>
      <c r="N129" s="2133" t="n"/>
    </row>
    <row r="130" ht="25.5" customHeight="1">
      <c r="A130" s="1855" t="inlineStr">
        <is>
          <t>2553</t>
        </is>
      </c>
      <c r="B130" s="1854" t="inlineStr">
        <is>
          <t>Thozen - Electra</t>
        </is>
      </c>
      <c r="C130" s="1853" t="inlineStr">
        <is>
          <t>INSUMO</t>
        </is>
      </c>
      <c r="D130" s="1852" t="inlineStr">
        <is>
          <t>Original</t>
        </is>
      </c>
      <c r="E130" s="1852" t="inlineStr">
        <is>
          <t>SELADOR LÁTEX PVA</t>
        </is>
      </c>
      <c r="F130" s="1810" t="inlineStr">
        <is>
          <t>l</t>
        </is>
      </c>
      <c r="G130" s="1810" t="n">
        <v>0.089</v>
      </c>
      <c r="H130" s="1812" t="n">
        <v>6.99</v>
      </c>
      <c r="I130" s="1812" t="n">
        <v>0.6221099999999999</v>
      </c>
      <c r="J130" s="2127" t="n"/>
      <c r="K130" s="2127" t="n"/>
      <c r="L130" s="1852" t="n"/>
      <c r="M130" s="2134" t="n"/>
      <c r="N130" s="2134" t="n"/>
    </row>
    <row r="131" ht="25.5" customHeight="1">
      <c r="A131" s="1860" t="inlineStr">
        <is>
          <t>2186</t>
        </is>
      </c>
      <c r="B131" s="1859" t="inlineStr">
        <is>
          <t>Thozen - Electra</t>
        </is>
      </c>
      <c r="C131" s="1858" t="inlineStr">
        <is>
          <t>INSUMO</t>
        </is>
      </c>
      <c r="D131" s="1857" t="inlineStr">
        <is>
          <t>Original</t>
        </is>
      </c>
      <c r="E131" s="1857" t="inlineStr">
        <is>
          <t>MASSA CORRIDA PVA</t>
        </is>
      </c>
      <c r="F131" s="1803" t="inlineStr">
        <is>
          <t>kg</t>
        </is>
      </c>
      <c r="G131" s="1803" t="n">
        <v>1.5518</v>
      </c>
      <c r="H131" s="1805" t="n">
        <v>3.6</v>
      </c>
      <c r="I131" s="1805" t="n">
        <v>5.586480000000001</v>
      </c>
      <c r="J131" s="2128" t="n"/>
      <c r="K131" s="2128" t="n"/>
      <c r="L131" s="1857" t="n"/>
      <c r="M131" s="2133" t="n"/>
      <c r="N131" s="2133" t="n"/>
    </row>
    <row r="132" ht="25.5" customHeight="1">
      <c r="A132" s="1869" t="inlineStr">
        <is>
          <t>1497</t>
        </is>
      </c>
      <c r="B132" s="1868" t="inlineStr">
        <is>
          <t>Thozen - Electra</t>
        </is>
      </c>
      <c r="C132" s="1867" t="inlineStr"/>
      <c r="D132" s="1862" t="inlineStr">
        <is>
          <t>Original</t>
        </is>
      </c>
      <c r="E132" s="1862" t="inlineStr">
        <is>
          <t>Textura acrilica em paredes externas, 2 demaos, incluindo aplicação de uma demão de fundo selador acrílico</t>
        </is>
      </c>
      <c r="F132" s="1866" t="inlineStr">
        <is>
          <t>m2</t>
        </is>
      </c>
      <c r="G132" s="1865" t="n"/>
      <c r="H132" s="1864" t="n"/>
      <c r="I132" s="1864" t="n">
        <v>17.585708</v>
      </c>
      <c r="J132" s="2131" t="n"/>
      <c r="K132" s="2131" t="n"/>
      <c r="L132" s="1862" t="n"/>
      <c r="M132" s="2132" t="n"/>
      <c r="N132" s="2132" t="inlineStr">
        <is>
          <t>PINTURA EXTERNA</t>
        </is>
      </c>
      <c r="O132" s="218">
        <f>A132&amp;B132&amp;C132</f>
        <v/>
      </c>
    </row>
    <row r="133" ht="25.5" customHeight="1">
      <c r="A133" s="1860" t="inlineStr">
        <is>
          <t>2940</t>
        </is>
      </c>
      <c r="B133" s="1859" t="inlineStr">
        <is>
          <t>Thozen - Electra</t>
        </is>
      </c>
      <c r="C133" s="1858" t="inlineStr">
        <is>
          <t>INSUMO</t>
        </is>
      </c>
      <c r="D133" s="1857" t="inlineStr">
        <is>
          <t>Original</t>
        </is>
      </c>
      <c r="E133" s="1857" t="inlineStr">
        <is>
          <t>TEXTURA ACRÍLICA</t>
        </is>
      </c>
      <c r="F133" s="1803" t="inlineStr">
        <is>
          <t>kg</t>
        </is>
      </c>
      <c r="G133" s="1803" t="n">
        <v>2.2148</v>
      </c>
      <c r="H133" s="1805" t="n">
        <v>7.23</v>
      </c>
      <c r="I133" s="1805" t="n">
        <v>16.013004</v>
      </c>
      <c r="J133" s="2128" t="n"/>
      <c r="K133" s="2128" t="n"/>
      <c r="L133" s="1857" t="n"/>
      <c r="M133" s="2133" t="n"/>
      <c r="N133" s="2133" t="n"/>
    </row>
    <row r="134" ht="25.5" customHeight="1">
      <c r="A134" s="1855" t="inlineStr">
        <is>
          <t>2552</t>
        </is>
      </c>
      <c r="B134" s="1854" t="inlineStr">
        <is>
          <t>Thozen - Electra</t>
        </is>
      </c>
      <c r="C134" s="1853" t="inlineStr">
        <is>
          <t>INSUMO</t>
        </is>
      </c>
      <c r="D134" s="1852" t="inlineStr">
        <is>
          <t>Original</t>
        </is>
      </c>
      <c r="E134" s="1852" t="inlineStr">
        <is>
          <t>SELADOR ACRÍLICO</t>
        </is>
      </c>
      <c r="F134" s="1810" t="inlineStr">
        <is>
          <t>l</t>
        </is>
      </c>
      <c r="G134" s="1810" t="n">
        <v>0.1666</v>
      </c>
      <c r="H134" s="1812" t="n">
        <v>9.44</v>
      </c>
      <c r="I134" s="1812" t="n">
        <v>1.572704</v>
      </c>
      <c r="J134" s="2127" t="n"/>
      <c r="K134" s="2127" t="n"/>
      <c r="L134" s="1852" t="n"/>
      <c r="M134" s="2134" t="n"/>
      <c r="N134" s="2134" t="n"/>
    </row>
  </sheetData>
  <mergeCells count="22">
    <mergeCell ref="B12:B13"/>
    <mergeCell ref="B6:E6"/>
    <mergeCell ref="F12:F13"/>
    <mergeCell ref="L12:L13"/>
    <mergeCell ref="N12:N13"/>
    <mergeCell ref="A11:N11"/>
    <mergeCell ref="B5:E5"/>
    <mergeCell ref="B4:E4"/>
    <mergeCell ref="A12:A13"/>
    <mergeCell ref="C12:C13"/>
    <mergeCell ref="K12:K13"/>
    <mergeCell ref="B7:E7"/>
    <mergeCell ref="M12:M13"/>
    <mergeCell ref="B3:E3"/>
    <mergeCell ref="D12:D13"/>
    <mergeCell ref="A1:G1"/>
    <mergeCell ref="J12:J13"/>
    <mergeCell ref="B2:E2"/>
    <mergeCell ref="H12:I12"/>
    <mergeCell ref="B8:E8"/>
    <mergeCell ref="E12:E13"/>
    <mergeCell ref="G12:G13"/>
  </mergeCells>
  <pageMargins left="0.511811024" right="0.511811024" top="0.787401575" bottom="0.787401575" header="0.31496062" footer="0.31496062"/>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61"/>
  <sheetViews>
    <sheetView zoomScale="85" zoomScaleNormal="85" workbookViewId="0">
      <selection activeCell="G12" sqref="G12:G13"/>
    </sheetView>
  </sheetViews>
  <sheetFormatPr baseColWidth="8" defaultColWidth="11.5703125" defaultRowHeight="12.75"/>
  <cols>
    <col width="12.28515625" customWidth="1" style="218" min="1" max="1"/>
    <col width="12.28515625" customWidth="1" style="220" min="2" max="2"/>
    <col width="14.28515625" customWidth="1" style="220" min="3" max="3"/>
    <col width="77.7109375" customWidth="1" style="218" min="4" max="4"/>
    <col width="9.42578125" customWidth="1" style="220" min="5" max="5"/>
    <col width="13.140625" customWidth="1" style="219" min="6" max="6"/>
    <col width="12.85546875" customWidth="1" style="219" min="7" max="7"/>
    <col width="44" customWidth="1" style="219" min="8" max="8"/>
    <col width="11.5703125" customWidth="1" style="218" min="9" max="16384"/>
  </cols>
  <sheetData>
    <row r="1">
      <c r="A1" s="2135" t="inlineStr">
        <is>
          <t>DADOS</t>
        </is>
      </c>
      <c r="B1" s="2136" t="n"/>
      <c r="C1" s="2136" t="n"/>
      <c r="D1" s="2136" t="n"/>
      <c r="E1" s="2136" t="n"/>
      <c r="F1" s="2136" t="n"/>
      <c r="G1" s="2137" t="n"/>
      <c r="H1" s="1848" t="n"/>
    </row>
    <row r="2">
      <c r="A2" s="1875" t="inlineStr">
        <is>
          <t>Titulo</t>
        </is>
      </c>
      <c r="B2" s="1920" t="inlineStr">
        <is>
          <t>Tabela de insumos utilizados no projeto</t>
        </is>
      </c>
      <c r="F2" s="2138" t="n"/>
      <c r="G2" s="2137" t="n"/>
      <c r="H2" s="1848" t="n"/>
    </row>
    <row r="3">
      <c r="A3" s="1874" t="inlineStr">
        <is>
          <t>Obra</t>
        </is>
      </c>
      <c r="B3" s="1928" t="inlineStr">
        <is>
          <t>ELECTRA TOWERS</t>
        </is>
      </c>
      <c r="F3" s="2139" t="n"/>
      <c r="G3" s="2140" t="n"/>
      <c r="H3" s="1848" t="n"/>
    </row>
    <row r="4">
      <c r="A4" s="1875" t="inlineStr">
        <is>
          <t>Cliente</t>
        </is>
      </c>
      <c r="B4" s="1920" t="inlineStr">
        <is>
          <t>THOZEN</t>
        </is>
      </c>
      <c r="F4" s="2139" t="n"/>
      <c r="G4" s="2140" t="n"/>
      <c r="H4" s="1848" t="n"/>
    </row>
    <row r="5">
      <c r="A5" s="1874" t="inlineStr">
        <is>
          <t>Cidade</t>
        </is>
      </c>
      <c r="B5" s="1928" t="inlineStr">
        <is>
          <t>Porto Belo</t>
        </is>
      </c>
      <c r="F5" s="2139" t="n"/>
      <c r="G5" s="2140" t="n"/>
      <c r="H5" s="1848" t="n"/>
    </row>
    <row r="6">
      <c r="A6" s="1875" t="inlineStr">
        <is>
          <t>Endereço</t>
        </is>
      </c>
      <c r="B6" s="1920" t="inlineStr"/>
      <c r="F6" s="2139" t="n"/>
      <c r="G6" s="2140" t="n"/>
      <c r="H6" s="1848" t="n"/>
    </row>
    <row r="7">
      <c r="A7" s="1874" t="inlineStr">
        <is>
          <t>Descrição</t>
        </is>
      </c>
      <c r="B7" s="1928" t="inlineStr"/>
      <c r="F7" s="2139" t="n"/>
      <c r="G7" s="2140" t="n"/>
      <c r="H7" s="1848" t="n"/>
    </row>
    <row r="8">
      <c r="A8" s="1873" t="inlineStr">
        <is>
          <t>UF</t>
        </is>
      </c>
      <c r="B8" s="1930" t="inlineStr">
        <is>
          <t>SC</t>
        </is>
      </c>
      <c r="C8" s="2141" t="n"/>
      <c r="D8" s="2141" t="n"/>
      <c r="E8" s="2141" t="n"/>
      <c r="F8" s="2142" t="n"/>
      <c r="G8" s="2143" t="n"/>
      <c r="H8" s="1848" t="n"/>
    </row>
    <row r="9">
      <c r="A9" s="1838" t="n"/>
      <c r="B9" s="1929" t="n"/>
      <c r="C9" s="1929" t="n"/>
      <c r="D9" s="1929" t="n"/>
      <c r="E9" s="2028" t="n"/>
      <c r="F9" s="1836" t="n"/>
      <c r="G9" s="1833" t="n"/>
      <c r="H9" s="1833" t="n"/>
    </row>
    <row r="10">
      <c r="A10" s="1833" t="n"/>
      <c r="B10" s="1833" t="n"/>
      <c r="C10" s="1833" t="n"/>
      <c r="D10" s="1833" t="n"/>
      <c r="E10" s="1833" t="n"/>
      <c r="F10" s="1833" t="n"/>
      <c r="G10" s="1833" t="n"/>
      <c r="H10" s="1833" t="n"/>
    </row>
    <row r="11">
      <c r="A11" s="1915" t="inlineStr">
        <is>
          <t>INSUMOS UTILIZADOS</t>
        </is>
      </c>
      <c r="B11" s="2129" t="n"/>
      <c r="C11" s="2129" t="n"/>
      <c r="D11" s="2129" t="n"/>
      <c r="E11" s="2129" t="n"/>
      <c r="F11" s="2129" t="n"/>
      <c r="G11" s="2129" t="n"/>
      <c r="H11" s="1914" t="n"/>
    </row>
    <row r="12" ht="21.75" customHeight="1">
      <c r="A12" s="1903" t="inlineStr">
        <is>
          <t>Código</t>
        </is>
      </c>
      <c r="B12" s="1903" t="inlineStr">
        <is>
          <t>Tabela</t>
        </is>
      </c>
      <c r="C12" s="1903" t="inlineStr">
        <is>
          <t>Tipo</t>
        </is>
      </c>
      <c r="D12" s="1903" t="inlineStr">
        <is>
          <t>Descrição</t>
        </is>
      </c>
      <c r="E12" s="1903" t="inlineStr">
        <is>
          <t>Unid.</t>
        </is>
      </c>
      <c r="F12" s="1903" t="inlineStr">
        <is>
          <t>Preço</t>
        </is>
      </c>
      <c r="G12" s="2026" t="inlineStr">
        <is>
          <t>Origem custo</t>
        </is>
      </c>
      <c r="H12" s="2026" t="inlineStr">
        <is>
          <t>Justificativa</t>
        </is>
      </c>
    </row>
    <row r="13" ht="17.25" customHeight="1">
      <c r="A13" s="2123" t="n"/>
      <c r="B13" s="2123" t="n"/>
      <c r="C13" s="2123" t="n"/>
      <c r="D13" s="2123" t="n"/>
      <c r="E13" s="2123" t="n"/>
      <c r="F13" s="2123" t="n"/>
      <c r="G13" s="2123" t="n"/>
      <c r="H13" s="2123" t="n"/>
    </row>
    <row r="14" ht="25.5" customHeight="1">
      <c r="A14" s="1860" t="inlineStr">
        <is>
          <t>194</t>
        </is>
      </c>
      <c r="B14" s="1859" t="inlineStr">
        <is>
          <t>Thozen - Electra</t>
        </is>
      </c>
      <c r="C14" s="1859" t="inlineStr">
        <is>
          <t>Material</t>
        </is>
      </c>
      <c r="D14" s="1857" t="inlineStr">
        <is>
          <t>ARGAMASSA ESTABILIZADA PARA ASSENTAMENTO</t>
        </is>
      </c>
      <c r="E14" s="1803" t="inlineStr">
        <is>
          <t>m3</t>
        </is>
      </c>
      <c r="F14" s="1805" t="n">
        <v>480</v>
      </c>
      <c r="G14" s="2128" t="inlineStr"/>
      <c r="H14" s="1872" t="n"/>
      <c r="I14" s="218">
        <f>A14&amp;B14</f>
        <v/>
      </c>
    </row>
    <row r="15" ht="25.5" customHeight="1">
      <c r="A15" s="1855" t="inlineStr">
        <is>
          <t>228</t>
        </is>
      </c>
      <c r="B15" s="1854" t="inlineStr">
        <is>
          <t>Thozen - Electra</t>
        </is>
      </c>
      <c r="C15" s="1871" t="inlineStr">
        <is>
          <t>Material</t>
        </is>
      </c>
      <c r="D15" s="1852" t="inlineStr">
        <is>
          <t>BLOCO CERÂMICO 11,5X19X19CM</t>
        </is>
      </c>
      <c r="E15" s="1810" t="inlineStr">
        <is>
          <t>un</t>
        </is>
      </c>
      <c r="F15" s="1812" t="n">
        <v>1.1</v>
      </c>
      <c r="G15" s="2127" t="inlineStr"/>
      <c r="H15" s="1870" t="n"/>
      <c r="I15" s="218">
        <f>A15&amp;B15</f>
        <v/>
      </c>
    </row>
    <row r="16" ht="25.5" customHeight="1">
      <c r="A16" s="1860" t="inlineStr">
        <is>
          <t>232</t>
        </is>
      </c>
      <c r="B16" s="1859" t="inlineStr">
        <is>
          <t>Thozen - Electra</t>
        </is>
      </c>
      <c r="C16" s="1859" t="inlineStr">
        <is>
          <t>Material</t>
        </is>
      </c>
      <c r="D16" s="1857" t="inlineStr">
        <is>
          <t>BLOCO CERÂMICO 14X19X19CM</t>
        </is>
      </c>
      <c r="E16" s="1803" t="inlineStr">
        <is>
          <t>un</t>
        </is>
      </c>
      <c r="F16" s="1805" t="n">
        <v>1.74</v>
      </c>
      <c r="G16" s="2128" t="inlineStr"/>
      <c r="H16" s="1872" t="n"/>
      <c r="I16" s="218">
        <f>A16&amp;B16</f>
        <v/>
      </c>
    </row>
    <row r="17" ht="25.5" customHeight="1">
      <c r="A17" s="1855" t="inlineStr">
        <is>
          <t>48433</t>
        </is>
      </c>
      <c r="B17" s="1854" t="inlineStr">
        <is>
          <t>Thozen - Electra</t>
        </is>
      </c>
      <c r="C17" s="1871" t="inlineStr">
        <is>
          <t>Material</t>
        </is>
      </c>
      <c r="D17" s="1852" t="inlineStr">
        <is>
          <t>BLOCO CERÂMICO 19X19X19CM</t>
        </is>
      </c>
      <c r="E17" s="1810" t="inlineStr">
        <is>
          <t>un</t>
        </is>
      </c>
      <c r="F17" s="1812" t="n">
        <v>2.43</v>
      </c>
      <c r="G17" s="2127" t="inlineStr"/>
      <c r="H17" s="1870" t="n"/>
      <c r="I17" s="218">
        <f>A17&amp;B17</f>
        <v/>
      </c>
    </row>
    <row r="18" ht="25.5" customHeight="1">
      <c r="A18" s="1860" t="inlineStr">
        <is>
          <t>759</t>
        </is>
      </c>
      <c r="B18" s="1859" t="inlineStr">
        <is>
          <t>Thozen - Electra</t>
        </is>
      </c>
      <c r="C18" s="1859" t="inlineStr">
        <is>
          <t>Material</t>
        </is>
      </c>
      <c r="D18" s="1857" t="inlineStr">
        <is>
          <t>CONCRETO USINADO FCK 20 MPA, SLUMP 14+/-2</t>
        </is>
      </c>
      <c r="E18" s="1803" t="inlineStr">
        <is>
          <t>m3</t>
        </is>
      </c>
      <c r="F18" s="1805" t="n">
        <v>450</v>
      </c>
      <c r="G18" s="2128" t="inlineStr"/>
      <c r="H18" s="1872" t="n"/>
      <c r="I18" s="218">
        <f>A18&amp;B18</f>
        <v/>
      </c>
    </row>
    <row r="19" ht="25.5" customHeight="1">
      <c r="A19" s="1855" t="inlineStr">
        <is>
          <t>4800</t>
        </is>
      </c>
      <c r="B19" s="1854" t="inlineStr">
        <is>
          <t>Thozen - Electra</t>
        </is>
      </c>
      <c r="C19" s="1871" t="inlineStr">
        <is>
          <t>Material</t>
        </is>
      </c>
      <c r="D19" s="1852" t="inlineStr">
        <is>
          <t>DESMOLDANTE DE FORMAS PARA CONCRETO</t>
        </is>
      </c>
      <c r="E19" s="1810" t="inlineStr">
        <is>
          <t>l</t>
        </is>
      </c>
      <c r="F19" s="1812" t="n">
        <v>6.45</v>
      </c>
      <c r="G19" s="2127" t="inlineStr"/>
      <c r="H19" s="1870" t="n"/>
      <c r="I19" s="218">
        <f>A19&amp;B19</f>
        <v/>
      </c>
    </row>
    <row r="20" ht="25.5" customHeight="1">
      <c r="A20" s="1860" t="inlineStr">
        <is>
          <t>1412</t>
        </is>
      </c>
      <c r="B20" s="1859" t="inlineStr">
        <is>
          <t>Thozen - Electra</t>
        </is>
      </c>
      <c r="C20" s="1859" t="inlineStr">
        <is>
          <t>Material</t>
        </is>
      </c>
      <c r="D20" s="1857" t="inlineStr">
        <is>
          <t>ESPAÇADOR PLÁSTICO</t>
        </is>
      </c>
      <c r="E20" s="1803" t="inlineStr">
        <is>
          <t>un</t>
        </is>
      </c>
      <c r="F20" s="1805" t="n">
        <v>0.15</v>
      </c>
      <c r="G20" s="2128" t="inlineStr"/>
      <c r="H20" s="1872" t="n"/>
      <c r="I20" s="218">
        <f>A20&amp;B20</f>
        <v/>
      </c>
    </row>
    <row r="21" ht="25.5" customHeight="1">
      <c r="A21" s="1855" t="inlineStr">
        <is>
          <t>2324</t>
        </is>
      </c>
      <c r="B21" s="1854" t="inlineStr">
        <is>
          <t>Thozen - Electra</t>
        </is>
      </c>
      <c r="C21" s="1871" t="inlineStr">
        <is>
          <t>Material</t>
        </is>
      </c>
      <c r="D21" s="1852" t="inlineStr">
        <is>
          <t>PONTALETE 7,5X7,5 CM  PINUS</t>
        </is>
      </c>
      <c r="E21" s="1810" t="inlineStr">
        <is>
          <t>m3</t>
        </is>
      </c>
      <c r="F21" s="1812" t="n">
        <v>1310</v>
      </c>
      <c r="G21" s="2127" t="inlineStr"/>
      <c r="H21" s="1870" t="n"/>
      <c r="I21" s="218">
        <f>A21&amp;B21</f>
        <v/>
      </c>
    </row>
    <row r="22" ht="25.5" customHeight="1">
      <c r="A22" s="1860" t="inlineStr">
        <is>
          <t>2362</t>
        </is>
      </c>
      <c r="B22" s="1859" t="inlineStr">
        <is>
          <t>Thozen - Electra</t>
        </is>
      </c>
      <c r="C22" s="1859" t="inlineStr">
        <is>
          <t>Material</t>
        </is>
      </c>
      <c r="D22" s="1857" t="inlineStr">
        <is>
          <t>PREGO POLIDO COM CABEÇA 17X21</t>
        </is>
      </c>
      <c r="E22" s="1803" t="inlineStr">
        <is>
          <t>kg</t>
        </is>
      </c>
      <c r="F22" s="1805" t="n">
        <v>10.91</v>
      </c>
      <c r="G22" s="2128" t="inlineStr"/>
      <c r="H22" s="1872" t="n"/>
      <c r="I22" s="218">
        <f>A22&amp;B22</f>
        <v/>
      </c>
    </row>
    <row r="23" ht="25.5" customHeight="1">
      <c r="A23" s="1855" t="inlineStr">
        <is>
          <t>2546</t>
        </is>
      </c>
      <c r="B23" s="1854" t="inlineStr">
        <is>
          <t>Thozen - Electra</t>
        </is>
      </c>
      <c r="C23" s="1871" t="inlineStr">
        <is>
          <t>Material</t>
        </is>
      </c>
      <c r="D23" s="1852" t="inlineStr">
        <is>
          <t>SARRAFO 2,5X7,5 CM PINUS</t>
        </is>
      </c>
      <c r="E23" s="1810" t="inlineStr">
        <is>
          <t>m3</t>
        </is>
      </c>
      <c r="F23" s="1812" t="n">
        <v>1300</v>
      </c>
      <c r="G23" s="2127" t="inlineStr"/>
      <c r="H23" s="1870" t="n"/>
      <c r="I23" s="218">
        <f>A23&amp;B23</f>
        <v/>
      </c>
    </row>
    <row r="24" ht="25.5" customHeight="1">
      <c r="A24" s="1860" t="inlineStr">
        <is>
          <t>2611</t>
        </is>
      </c>
      <c r="B24" s="1859" t="inlineStr">
        <is>
          <t>Thozen - Electra</t>
        </is>
      </c>
      <c r="C24" s="1859" t="inlineStr">
        <is>
          <t>Material</t>
        </is>
      </c>
      <c r="D24" s="1857" t="inlineStr">
        <is>
          <t>TÁBUA 1"X12" 2,5X30CM PINUS</t>
        </is>
      </c>
      <c r="E24" s="1803" t="inlineStr">
        <is>
          <t>m3</t>
        </is>
      </c>
      <c r="F24" s="1805" t="n">
        <v>1800</v>
      </c>
      <c r="G24" s="2128" t="inlineStr"/>
      <c r="H24" s="1872" t="n"/>
      <c r="I24" s="218">
        <f>A24&amp;B24</f>
        <v/>
      </c>
    </row>
    <row r="25" ht="25.5" customHeight="1">
      <c r="A25" s="1855" t="inlineStr">
        <is>
          <t>32</t>
        </is>
      </c>
      <c r="B25" s="1854" t="inlineStr">
        <is>
          <t>Thozen - Electra</t>
        </is>
      </c>
      <c r="C25" s="1871" t="inlineStr">
        <is>
          <t>Material</t>
        </is>
      </c>
      <c r="D25" s="1852" t="inlineStr">
        <is>
          <t xml:space="preserve">AÇO CA-50 DIÂMETRO 6,30 MM </t>
        </is>
      </c>
      <c r="E25" s="1810" t="inlineStr">
        <is>
          <t>kg</t>
        </is>
      </c>
      <c r="F25" s="1812" t="n">
        <v>6.9</v>
      </c>
      <c r="G25" s="2127" t="inlineStr">
        <is>
          <t>GERDAU</t>
        </is>
      </c>
      <c r="H25" s="1870" t="n"/>
      <c r="I25" s="218">
        <f>A25&amp;B25</f>
        <v/>
      </c>
    </row>
    <row r="26" ht="25.5" customHeight="1">
      <c r="A26" s="1860" t="inlineStr">
        <is>
          <t>48435</t>
        </is>
      </c>
      <c r="B26" s="1859" t="inlineStr">
        <is>
          <t>Thozen - Electra</t>
        </is>
      </c>
      <c r="C26" s="1859" t="inlineStr">
        <is>
          <t>Material</t>
        </is>
      </c>
      <c r="D26" s="1857" t="inlineStr">
        <is>
          <t>ARGAMASSA EXPANSIVA PARA ENCUNHAMENTO</t>
        </is>
      </c>
      <c r="E26" s="1803" t="inlineStr">
        <is>
          <t>Kg</t>
        </is>
      </c>
      <c r="F26" s="1805" t="n">
        <v>16.87</v>
      </c>
      <c r="G26" s="2128" t="inlineStr"/>
      <c r="H26" s="1872" t="n"/>
      <c r="I26" s="218">
        <f>A26&amp;B26</f>
        <v/>
      </c>
    </row>
    <row r="27" ht="25.5" customHeight="1">
      <c r="A27" s="1855" t="inlineStr">
        <is>
          <t>718</t>
        </is>
      </c>
      <c r="B27" s="1854" t="inlineStr">
        <is>
          <t>Thozen - Electra</t>
        </is>
      </c>
      <c r="C27" s="1871" t="inlineStr">
        <is>
          <t>Material</t>
        </is>
      </c>
      <c r="D27" s="1852" t="inlineStr">
        <is>
          <t>CARTUCHO 22 - CARGA LEVE PARA FINCA PINO E POLVORA</t>
        </is>
      </c>
      <c r="E27" s="1810" t="inlineStr">
        <is>
          <t>un</t>
        </is>
      </c>
      <c r="F27" s="1812" t="n">
        <v>0.3</v>
      </c>
      <c r="G27" s="2127" t="inlineStr"/>
      <c r="H27" s="1870" t="n"/>
      <c r="I27" s="218">
        <f>A27&amp;B27</f>
        <v/>
      </c>
    </row>
    <row r="28" ht="25.5" customHeight="1">
      <c r="A28" s="1860" t="inlineStr">
        <is>
          <t>2260</t>
        </is>
      </c>
      <c r="B28" s="1859" t="inlineStr">
        <is>
          <t>Thozen - Electra</t>
        </is>
      </c>
      <c r="C28" s="1859" t="inlineStr">
        <is>
          <t>Material</t>
        </is>
      </c>
      <c r="D28" s="1857" t="inlineStr">
        <is>
          <t>PINO LISO EM AÇO GALVANIZADO 1/2 X 22MM COM ARRUELA</t>
        </is>
      </c>
      <c r="E28" s="1803" t="inlineStr">
        <is>
          <t>un</t>
        </is>
      </c>
      <c r="F28" s="1805" t="n">
        <v>0.3</v>
      </c>
      <c r="G28" s="2128" t="inlineStr"/>
      <c r="H28" s="1872" t="n"/>
      <c r="I28" s="218">
        <f>A28&amp;B28</f>
        <v/>
      </c>
    </row>
    <row r="29" ht="25.5" customHeight="1">
      <c r="A29" s="1855" t="inlineStr">
        <is>
          <t>2901</t>
        </is>
      </c>
      <c r="B29" s="1854" t="inlineStr">
        <is>
          <t>Thozen - Electra</t>
        </is>
      </c>
      <c r="C29" s="1871" t="inlineStr">
        <is>
          <t>Material</t>
        </is>
      </c>
      <c r="D29" s="1852" t="inlineStr">
        <is>
          <t>TELA DE ACO SOLDADA, FIO 1,24MM, MALHA 15X15MM</t>
        </is>
      </c>
      <c r="E29" s="1810" t="inlineStr">
        <is>
          <t>m2</t>
        </is>
      </c>
      <c r="F29" s="1812" t="n">
        <v>2.5</v>
      </c>
      <c r="G29" s="2127" t="inlineStr"/>
      <c r="H29" s="1870" t="n"/>
      <c r="I29" s="218">
        <f>A29&amp;B29</f>
        <v/>
      </c>
    </row>
    <row r="30" ht="25.5" customHeight="1">
      <c r="A30" s="1860" t="inlineStr">
        <is>
          <t>202</t>
        </is>
      </c>
      <c r="B30" s="1859" t="inlineStr">
        <is>
          <t>Thozen - Electra</t>
        </is>
      </c>
      <c r="C30" s="1859" t="inlineStr">
        <is>
          <t>Material</t>
        </is>
      </c>
      <c r="D30" s="1857" t="inlineStr">
        <is>
          <t>ARGAMASSA POLIMÉRICA IMPERMEABILIZANTE</t>
        </is>
      </c>
      <c r="E30" s="1803" t="inlineStr">
        <is>
          <t>kg</t>
        </is>
      </c>
      <c r="F30" s="1805" t="n">
        <v>11.5</v>
      </c>
      <c r="G30" s="2128" t="inlineStr"/>
      <c r="H30" s="1872" t="n"/>
      <c r="I30" s="218">
        <f>A30&amp;B30</f>
        <v/>
      </c>
    </row>
    <row r="31" ht="25.5" customHeight="1">
      <c r="A31" s="1855" t="inlineStr">
        <is>
          <t>197</t>
        </is>
      </c>
      <c r="B31" s="1854" t="inlineStr">
        <is>
          <t>Thozen - Electra</t>
        </is>
      </c>
      <c r="C31" s="1871" t="inlineStr">
        <is>
          <t>Material</t>
        </is>
      </c>
      <c r="D31" s="1852" t="inlineStr">
        <is>
          <t>ARGAMASSA ESTABILIZADA PARA REBOCO</t>
        </is>
      </c>
      <c r="E31" s="1810" t="inlineStr">
        <is>
          <t>m3</t>
        </is>
      </c>
      <c r="F31" s="1812" t="n">
        <v>480</v>
      </c>
      <c r="G31" s="2127" t="inlineStr"/>
      <c r="H31" s="1870" t="n"/>
      <c r="I31" s="218">
        <f>A31&amp;B31</f>
        <v/>
      </c>
    </row>
    <row r="32" ht="25.5" customHeight="1">
      <c r="A32" s="1860" t="inlineStr">
        <is>
          <t>48481</t>
        </is>
      </c>
      <c r="B32" s="1859" t="inlineStr">
        <is>
          <t>Thozen - Electra</t>
        </is>
      </c>
      <c r="C32" s="1859" t="inlineStr">
        <is>
          <t>Material</t>
        </is>
      </c>
      <c r="D32" s="1857" t="inlineStr">
        <is>
          <t>ADITIVO ADESIVO LÍQUIDO PARA ARGAMASSA</t>
        </is>
      </c>
      <c r="E32" s="1803" t="inlineStr">
        <is>
          <t>L</t>
        </is>
      </c>
      <c r="F32" s="1805" t="n">
        <v>7.8</v>
      </c>
      <c r="G32" s="2128" t="inlineStr"/>
      <c r="H32" s="1872" t="n"/>
      <c r="I32" s="218">
        <f>A32&amp;B32</f>
        <v/>
      </c>
    </row>
    <row r="33" ht="25.5" customHeight="1">
      <c r="A33" s="1855" t="inlineStr">
        <is>
          <t>48373</t>
        </is>
      </c>
      <c r="B33" s="1854" t="inlineStr">
        <is>
          <t>Thozen - Electra</t>
        </is>
      </c>
      <c r="C33" s="1871" t="inlineStr">
        <is>
          <t>Material</t>
        </is>
      </c>
      <c r="D33" s="1852" t="inlineStr">
        <is>
          <t>CHAPISCO COLANTE 20KG</t>
        </is>
      </c>
      <c r="E33" s="1810" t="inlineStr">
        <is>
          <t>Kg</t>
        </is>
      </c>
      <c r="F33" s="1812" t="n">
        <v>1.31</v>
      </c>
      <c r="G33" s="2127" t="inlineStr"/>
      <c r="H33" s="1870" t="n"/>
      <c r="I33" s="218">
        <f>A33&amp;B33</f>
        <v/>
      </c>
    </row>
    <row r="34" ht="25.5" customHeight="1">
      <c r="A34" s="1860" t="inlineStr">
        <is>
          <t>2154</t>
        </is>
      </c>
      <c r="B34" s="1859" t="inlineStr">
        <is>
          <t>Thozen - Electra</t>
        </is>
      </c>
      <c r="C34" s="1859" t="inlineStr">
        <is>
          <t>Mao_obra</t>
        </is>
      </c>
      <c r="D34" s="1857" t="inlineStr">
        <is>
          <t>MÃO DE OBRA PARA EXECUÇÃO DE CHAPISCO E REBOCO INTERNO EM PAREDES</t>
        </is>
      </c>
      <c r="E34" s="1803" t="inlineStr">
        <is>
          <t>m2</t>
        </is>
      </c>
      <c r="F34" s="1805" t="n">
        <v>35</v>
      </c>
      <c r="G34" s="2128" t="inlineStr"/>
      <c r="H34" s="1872" t="n"/>
      <c r="I34" s="218">
        <f>A34&amp;B34</f>
        <v/>
      </c>
    </row>
    <row r="35" ht="25.5" customHeight="1">
      <c r="A35" s="1855" t="inlineStr">
        <is>
          <t>193</t>
        </is>
      </c>
      <c r="B35" s="1854" t="inlineStr">
        <is>
          <t>Thozen - Electra</t>
        </is>
      </c>
      <c r="C35" s="1871" t="inlineStr">
        <is>
          <t>Material</t>
        </is>
      </c>
      <c r="D35" s="1852" t="inlineStr">
        <is>
          <t>ARGAMASSA COLANTE AC III</t>
        </is>
      </c>
      <c r="E35" s="1810" t="inlineStr">
        <is>
          <t>kg</t>
        </is>
      </c>
      <c r="F35" s="1812" t="n">
        <v>2.345</v>
      </c>
      <c r="G35" s="2127" t="inlineStr"/>
      <c r="H35" s="1870" t="n"/>
      <c r="I35" s="218">
        <f>A35&amp;B35</f>
        <v/>
      </c>
    </row>
    <row r="36" ht="25.5" customHeight="1">
      <c r="A36" s="1860" t="inlineStr">
        <is>
          <t>4881</t>
        </is>
      </c>
      <c r="B36" s="1859" t="inlineStr">
        <is>
          <t>Thozen - Electra</t>
        </is>
      </c>
      <c r="C36" s="1859" t="inlineStr">
        <is>
          <t>Material</t>
        </is>
      </c>
      <c r="D36" s="1857" t="inlineStr">
        <is>
          <t>ESPAÇADOR PARA REVESTIMENTO CERÂMICO TIPO CRUZETA 5 MM</t>
        </is>
      </c>
      <c r="E36" s="1803" t="inlineStr">
        <is>
          <t>un</t>
        </is>
      </c>
      <c r="F36" s="1805" t="n">
        <v>0.2</v>
      </c>
      <c r="G36" s="2128" t="inlineStr"/>
      <c r="H36" s="1872" t="n"/>
      <c r="I36" s="218">
        <f>A36&amp;B36</f>
        <v/>
      </c>
    </row>
    <row r="37" ht="25.5" customHeight="1">
      <c r="A37" s="1855" t="inlineStr">
        <is>
          <t>4880</t>
        </is>
      </c>
      <c r="B37" s="1854" t="inlineStr">
        <is>
          <t>Thozen - Electra</t>
        </is>
      </c>
      <c r="C37" s="1871" t="inlineStr">
        <is>
          <t>Material</t>
        </is>
      </c>
      <c r="D37" s="1852" t="inlineStr">
        <is>
          <t>REJUNTE FLEXÍVEL</t>
        </is>
      </c>
      <c r="E37" s="1810" t="inlineStr">
        <is>
          <t>m2</t>
        </is>
      </c>
      <c r="F37" s="1812" t="n">
        <v>2.0643</v>
      </c>
      <c r="G37" s="2127" t="inlineStr"/>
      <c r="H37" s="1870" t="n"/>
      <c r="I37" s="218">
        <f>A37&amp;B37</f>
        <v/>
      </c>
    </row>
    <row r="38" ht="25.5" customHeight="1">
      <c r="A38" s="1860" t="inlineStr">
        <is>
          <t>48500</t>
        </is>
      </c>
      <c r="B38" s="1859" t="inlineStr">
        <is>
          <t>Thozen - Electra</t>
        </is>
      </c>
      <c r="C38" s="1859" t="inlineStr">
        <is>
          <t>Material</t>
        </is>
      </c>
      <c r="D38" s="1857" t="inlineStr">
        <is>
          <t>REVESTIMENTO PORCELANATO INTERNO 30X90CM</t>
        </is>
      </c>
      <c r="E38" s="1803" t="inlineStr">
        <is>
          <t>m2</t>
        </is>
      </c>
      <c r="F38" s="1805" t="n">
        <v>68.19</v>
      </c>
      <c r="G38" s="2128" t="inlineStr"/>
      <c r="H38" s="1872" t="n"/>
      <c r="I38" s="218">
        <f>A38&amp;B38</f>
        <v/>
      </c>
    </row>
    <row r="39" ht="25.5" customHeight="1">
      <c r="A39" s="1855" t="inlineStr">
        <is>
          <t>1526</t>
        </is>
      </c>
      <c r="B39" s="1854" t="inlineStr">
        <is>
          <t>Thozen - Electra</t>
        </is>
      </c>
      <c r="C39" s="1871" t="inlineStr">
        <is>
          <t>Material</t>
        </is>
      </c>
      <c r="D39" s="1852" t="inlineStr">
        <is>
          <t>GRANITO POLIDO</t>
        </is>
      </c>
      <c r="E39" s="1810" t="inlineStr">
        <is>
          <t>m2</t>
        </is>
      </c>
      <c r="F39" s="1812" t="n">
        <v>520</v>
      </c>
      <c r="G39" s="2127" t="inlineStr"/>
      <c r="H39" s="1870" t="n"/>
      <c r="I39" s="218">
        <f>A39&amp;B39</f>
        <v/>
      </c>
    </row>
    <row r="40" ht="25.5" customHeight="1">
      <c r="A40" s="1860" t="inlineStr">
        <is>
          <t>4874</t>
        </is>
      </c>
      <c r="B40" s="1859" t="inlineStr">
        <is>
          <t>Thozen - Electra</t>
        </is>
      </c>
      <c r="C40" s="1859" t="inlineStr">
        <is>
          <t>Material</t>
        </is>
      </c>
      <c r="D40" s="1857" t="inlineStr">
        <is>
          <t>FORRO DE GESSO ACARTONADO, APLICAÇÃO EM ÁREAS SECAS - MATERIAL E MÃO DE OBRA</t>
        </is>
      </c>
      <c r="E40" s="1803" t="inlineStr">
        <is>
          <t>m2</t>
        </is>
      </c>
      <c r="F40" s="1805" t="n">
        <v>100</v>
      </c>
      <c r="G40" s="2128" t="inlineStr"/>
      <c r="H40" s="1872" t="n"/>
      <c r="I40" s="218">
        <f>A40&amp;B40</f>
        <v/>
      </c>
    </row>
    <row r="41" ht="25.5" customHeight="1">
      <c r="A41" s="1855" t="inlineStr">
        <is>
          <t>1514</t>
        </is>
      </c>
      <c r="B41" s="1854" t="inlineStr">
        <is>
          <t>Thozen - Electra</t>
        </is>
      </c>
      <c r="C41" s="1871" t="inlineStr">
        <is>
          <t>Material</t>
        </is>
      </c>
      <c r="D41" s="1852" t="inlineStr">
        <is>
          <t>GESSO NEGATIVO</t>
        </is>
      </c>
      <c r="E41" s="1810" t="inlineStr">
        <is>
          <t>m</t>
        </is>
      </c>
      <c r="F41" s="1812" t="n">
        <v>22</v>
      </c>
      <c r="G41" s="2127" t="inlineStr"/>
      <c r="H41" s="1870" t="n"/>
      <c r="I41" s="218">
        <f>A41&amp;B41</f>
        <v/>
      </c>
    </row>
    <row r="42" ht="25.5" customHeight="1">
      <c r="A42" s="1860" t="inlineStr">
        <is>
          <t>2940</t>
        </is>
      </c>
      <c r="B42" s="1859" t="inlineStr">
        <is>
          <t>Thozen - Electra</t>
        </is>
      </c>
      <c r="C42" s="1859" t="inlineStr">
        <is>
          <t>Material</t>
        </is>
      </c>
      <c r="D42" s="1857" t="inlineStr">
        <is>
          <t>TEXTURA ACRÍLICA</t>
        </is>
      </c>
      <c r="E42" s="1803" t="inlineStr">
        <is>
          <t>kg</t>
        </is>
      </c>
      <c r="F42" s="1805" t="n">
        <v>7.23</v>
      </c>
      <c r="G42" s="2128" t="inlineStr"/>
      <c r="H42" s="1872" t="n"/>
      <c r="I42" s="218">
        <f>A42&amp;B42</f>
        <v/>
      </c>
    </row>
    <row r="43" ht="25.5" customHeight="1">
      <c r="A43" s="1855" t="inlineStr">
        <is>
          <t>2553</t>
        </is>
      </c>
      <c r="B43" s="1854" t="inlineStr">
        <is>
          <t>Thozen - Electra</t>
        </is>
      </c>
      <c r="C43" s="1871" t="inlineStr">
        <is>
          <t>Material</t>
        </is>
      </c>
      <c r="D43" s="1852" t="inlineStr">
        <is>
          <t>SELADOR LÁTEX PVA</t>
        </is>
      </c>
      <c r="E43" s="1810" t="inlineStr">
        <is>
          <t>l</t>
        </is>
      </c>
      <c r="F43" s="1812" t="n">
        <v>6.99</v>
      </c>
      <c r="G43" s="2127" t="inlineStr"/>
      <c r="H43" s="1870" t="n"/>
      <c r="I43" s="218">
        <f>A43&amp;B43</f>
        <v/>
      </c>
    </row>
    <row r="44" ht="25.5" customHeight="1">
      <c r="A44" s="1860" t="inlineStr">
        <is>
          <t>4875</t>
        </is>
      </c>
      <c r="B44" s="1859" t="inlineStr">
        <is>
          <t>Thozen - Electra</t>
        </is>
      </c>
      <c r="C44" s="1859" t="inlineStr">
        <is>
          <t>Material</t>
        </is>
      </c>
      <c r="D44" s="1857" t="inlineStr">
        <is>
          <t>FORRO DE GESSO ACARTONADO, APLICAÇÃO EM ÁREAS ÚMIDAS - MATERIAL E MÃO DE OBRA</t>
        </is>
      </c>
      <c r="E44" s="1803" t="inlineStr">
        <is>
          <t>m2</t>
        </is>
      </c>
      <c r="F44" s="1805" t="n">
        <v>110</v>
      </c>
      <c r="G44" s="2128" t="inlineStr"/>
      <c r="H44" s="1872" t="n"/>
      <c r="I44" s="218">
        <f>A44&amp;B44</f>
        <v/>
      </c>
    </row>
    <row r="45" ht="25.5" customHeight="1">
      <c r="A45" s="1855" t="inlineStr">
        <is>
          <t>458</t>
        </is>
      </c>
      <c r="B45" s="1854" t="inlineStr">
        <is>
          <t>Thozen - Electra</t>
        </is>
      </c>
      <c r="C45" s="1871" t="inlineStr">
        <is>
          <t>Material</t>
        </is>
      </c>
      <c r="D45" s="1852" t="inlineStr">
        <is>
          <t xml:space="preserve">ARGAMASSA ESTABILIZADA P/ CONTRAPISO  </t>
        </is>
      </c>
      <c r="E45" s="1810" t="inlineStr">
        <is>
          <t>M3</t>
        </is>
      </c>
      <c r="F45" s="1812" t="n">
        <v>480</v>
      </c>
      <c r="G45" s="2127" t="inlineStr"/>
      <c r="H45" s="1870" t="n"/>
      <c r="I45" s="218">
        <f>A45&amp;B45</f>
        <v/>
      </c>
    </row>
    <row r="46" ht="25.5" customHeight="1">
      <c r="A46" s="1860" t="inlineStr">
        <is>
          <t>2156</t>
        </is>
      </c>
      <c r="B46" s="1859" t="inlineStr">
        <is>
          <t>Thozen - Electra</t>
        </is>
      </c>
      <c r="C46" s="1859" t="inlineStr">
        <is>
          <t>Mao_obra</t>
        </is>
      </c>
      <c r="D46" s="1857" t="inlineStr">
        <is>
          <t>MÃO DE OBRA PARA EXECUÇÃO DE CONTRAPISO</t>
        </is>
      </c>
      <c r="E46" s="1803" t="inlineStr">
        <is>
          <t>m2</t>
        </is>
      </c>
      <c r="F46" s="1805" t="n">
        <v>32</v>
      </c>
      <c r="G46" s="2128" t="inlineStr"/>
      <c r="H46" s="1872" t="n"/>
      <c r="I46" s="218">
        <f>A46&amp;B46</f>
        <v/>
      </c>
    </row>
    <row r="47" ht="25.5" customHeight="1">
      <c r="A47" s="1855" t="inlineStr">
        <is>
          <t>4884</t>
        </is>
      </c>
      <c r="B47" s="1854" t="inlineStr">
        <is>
          <t>Thozen - Electra</t>
        </is>
      </c>
      <c r="C47" s="1871" t="inlineStr">
        <is>
          <t>Material</t>
        </is>
      </c>
      <c r="D47" s="1852" t="inlineStr">
        <is>
          <t>PISO PORCELANATO 80X80CM, ACABAMENTO NATURAL, PADRÃO MÉDIO</t>
        </is>
      </c>
      <c r="E47" s="1810" t="inlineStr">
        <is>
          <t>m2</t>
        </is>
      </c>
      <c r="F47" s="1812" t="n">
        <v>65</v>
      </c>
      <c r="G47" s="2127" t="inlineStr"/>
      <c r="H47" s="1870" t="n"/>
      <c r="I47" s="218">
        <f>A47&amp;B47</f>
        <v/>
      </c>
    </row>
    <row r="48" ht="25.5" customHeight="1">
      <c r="A48" s="1860" t="inlineStr">
        <is>
          <t>2521</t>
        </is>
      </c>
      <c r="B48" s="1859" t="inlineStr">
        <is>
          <t>Thozen - Electra</t>
        </is>
      </c>
      <c r="C48" s="1859" t="inlineStr">
        <is>
          <t>Material</t>
        </is>
      </c>
      <c r="D48" s="1857" t="inlineStr">
        <is>
          <t>REJUNTE ACRÍLICO</t>
        </is>
      </c>
      <c r="E48" s="1803" t="inlineStr">
        <is>
          <t>kg</t>
        </is>
      </c>
      <c r="F48" s="1805" t="n">
        <v>3.59</v>
      </c>
      <c r="G48" s="2128" t="inlineStr"/>
      <c r="H48" s="1872" t="n"/>
      <c r="I48" s="218">
        <f>A48&amp;B48</f>
        <v/>
      </c>
    </row>
    <row r="49" ht="25.5" customHeight="1">
      <c r="A49" s="1855" t="inlineStr">
        <is>
          <t>417</t>
        </is>
      </c>
      <c r="B49" s="1854" t="inlineStr">
        <is>
          <t>Thozen - Electra</t>
        </is>
      </c>
      <c r="C49" s="1871" t="inlineStr">
        <is>
          <t>Material</t>
        </is>
      </c>
      <c r="D49" s="1852" t="inlineStr">
        <is>
          <t>BUCHA T PARA RODAPÉ</t>
        </is>
      </c>
      <c r="E49" s="1810" t="inlineStr">
        <is>
          <t>un</t>
        </is>
      </c>
      <c r="F49" s="1812" t="n">
        <v>1.99</v>
      </c>
      <c r="G49" s="2127" t="inlineStr"/>
      <c r="H49" s="1870" t="n"/>
      <c r="I49" s="218">
        <f>A49&amp;B49</f>
        <v/>
      </c>
    </row>
    <row r="50" ht="25.5" customHeight="1">
      <c r="A50" s="1860" t="inlineStr">
        <is>
          <t>738</t>
        </is>
      </c>
      <c r="B50" s="1859" t="inlineStr">
        <is>
          <t>Thozen - Electra</t>
        </is>
      </c>
      <c r="C50" s="1859" t="inlineStr">
        <is>
          <t>Material</t>
        </is>
      </c>
      <c r="D50" s="1857" t="inlineStr">
        <is>
          <t>COLA PARA RODAPÉ DE POLIESTIRENO</t>
        </is>
      </c>
      <c r="E50" s="1803" t="inlineStr">
        <is>
          <t>kg</t>
        </is>
      </c>
      <c r="F50" s="1805" t="n">
        <v>5.0403</v>
      </c>
      <c r="G50" s="2128" t="inlineStr"/>
      <c r="H50" s="1872" t="n"/>
      <c r="I50" s="218">
        <f>A50&amp;B50</f>
        <v/>
      </c>
    </row>
    <row r="51" ht="25.5" customHeight="1">
      <c r="A51" s="1855" t="inlineStr">
        <is>
          <t>48465</t>
        </is>
      </c>
      <c r="B51" s="1854" t="inlineStr">
        <is>
          <t>Thozen - Electra</t>
        </is>
      </c>
      <c r="C51" s="1871" t="inlineStr">
        <is>
          <t>Material</t>
        </is>
      </c>
      <c r="D51" s="1852" t="inlineStr">
        <is>
          <t>RODAPÉ POLIESTIRENO H=15CM</t>
        </is>
      </c>
      <c r="E51" s="1810" t="inlineStr">
        <is>
          <t>m</t>
        </is>
      </c>
      <c r="F51" s="1812" t="n">
        <v>69.91</v>
      </c>
      <c r="G51" s="2127" t="inlineStr"/>
      <c r="H51" s="1870" t="n"/>
      <c r="I51" s="218">
        <f>A51&amp;B51</f>
        <v/>
      </c>
    </row>
    <row r="52" ht="25.5" customHeight="1">
      <c r="A52" s="1860" t="inlineStr">
        <is>
          <t>2538</t>
        </is>
      </c>
      <c r="B52" s="1859" t="inlineStr">
        <is>
          <t>Thozen - Electra</t>
        </is>
      </c>
      <c r="C52" s="1859" t="inlineStr">
        <is>
          <t>Material</t>
        </is>
      </c>
      <c r="D52" s="1857" t="inlineStr">
        <is>
          <t>RODAPÉ POLIESTIRENO H=10CM</t>
        </is>
      </c>
      <c r="E52" s="1803" t="inlineStr">
        <is>
          <t>m</t>
        </is>
      </c>
      <c r="F52" s="1805" t="n">
        <v>11.21</v>
      </c>
      <c r="G52" s="2128" t="inlineStr"/>
      <c r="H52" s="1872" t="n"/>
      <c r="I52" s="218">
        <f>A52&amp;B52</f>
        <v/>
      </c>
    </row>
    <row r="53" ht="25.5" customHeight="1">
      <c r="A53" s="1855" t="inlineStr">
        <is>
          <t>1400</t>
        </is>
      </c>
      <c r="B53" s="1854" t="inlineStr">
        <is>
          <t>Thozen - Electra</t>
        </is>
      </c>
      <c r="C53" s="1871" t="inlineStr">
        <is>
          <t>Material</t>
        </is>
      </c>
      <c r="D53" s="1852" t="inlineStr">
        <is>
          <t xml:space="preserve">LIXA EM FOLHA PARA PAREDE OU MADEIRA N° 120  </t>
        </is>
      </c>
      <c r="E53" s="1810" t="inlineStr">
        <is>
          <t>UN</t>
        </is>
      </c>
      <c r="F53" s="1812" t="n">
        <v>18.48</v>
      </c>
      <c r="G53" s="2127" t="inlineStr"/>
      <c r="H53" s="1870" t="n"/>
      <c r="I53" s="218">
        <f>A53&amp;B53</f>
        <v/>
      </c>
    </row>
    <row r="54" ht="25.5" customHeight="1">
      <c r="A54" s="1860" t="inlineStr">
        <is>
          <t>48483</t>
        </is>
      </c>
      <c r="B54" s="1859" t="inlineStr">
        <is>
          <t>Thozen - Electra</t>
        </is>
      </c>
      <c r="C54" s="1859" t="inlineStr">
        <is>
          <t>Material</t>
        </is>
      </c>
      <c r="D54" s="1857" t="inlineStr">
        <is>
          <t>MASSA ACRÍLICA</t>
        </is>
      </c>
      <c r="E54" s="1803" t="inlineStr">
        <is>
          <t>kg</t>
        </is>
      </c>
      <c r="F54" s="1805" t="n">
        <v>11.5</v>
      </c>
      <c r="G54" s="2128" t="inlineStr"/>
      <c r="H54" s="1872" t="n"/>
      <c r="I54" s="218">
        <f>A54&amp;B54</f>
        <v/>
      </c>
    </row>
    <row r="55" ht="25.5" customHeight="1">
      <c r="A55" s="1855" t="inlineStr">
        <is>
          <t>2944</t>
        </is>
      </c>
      <c r="B55" s="1854" t="inlineStr">
        <is>
          <t>Thozen - Electra</t>
        </is>
      </c>
      <c r="C55" s="1871" t="inlineStr">
        <is>
          <t>Material</t>
        </is>
      </c>
      <c r="D55" s="1852" t="inlineStr">
        <is>
          <t>TINTA LÁTEX ACRÍLICA</t>
        </is>
      </c>
      <c r="E55" s="1810" t="inlineStr">
        <is>
          <t>l</t>
        </is>
      </c>
      <c r="F55" s="1812" t="n">
        <v>36.67</v>
      </c>
      <c r="G55" s="2127" t="inlineStr"/>
      <c r="H55" s="1870" t="n"/>
      <c r="I55" s="218">
        <f>A55&amp;B55</f>
        <v/>
      </c>
    </row>
    <row r="56" ht="25.5" customHeight="1">
      <c r="A56" s="1860" t="inlineStr">
        <is>
          <t>2186</t>
        </is>
      </c>
      <c r="B56" s="1859" t="inlineStr">
        <is>
          <t>Thozen - Electra</t>
        </is>
      </c>
      <c r="C56" s="1859" t="inlineStr">
        <is>
          <t>Material</t>
        </is>
      </c>
      <c r="D56" s="1857" t="inlineStr">
        <is>
          <t>MASSA CORRIDA PVA</t>
        </is>
      </c>
      <c r="E56" s="1803" t="inlineStr">
        <is>
          <t>kg</t>
        </is>
      </c>
      <c r="F56" s="1805" t="n">
        <v>3.6</v>
      </c>
      <c r="G56" s="2128" t="inlineStr"/>
      <c r="H56" s="1872" t="n"/>
      <c r="I56" s="218">
        <f>A56&amp;B56</f>
        <v/>
      </c>
    </row>
    <row r="57" ht="25.5" customHeight="1">
      <c r="A57" s="1855" t="inlineStr">
        <is>
          <t>1827</t>
        </is>
      </c>
      <c r="B57" s="1854" t="inlineStr">
        <is>
          <t>Thozen - Electra</t>
        </is>
      </c>
      <c r="C57" s="1871" t="inlineStr">
        <is>
          <t>Material</t>
        </is>
      </c>
      <c r="D57" s="1852" t="inlineStr">
        <is>
          <t>LIXA EM FOLHA PARA FERRO, NÚMERO 100</t>
        </is>
      </c>
      <c r="E57" s="1810" t="inlineStr">
        <is>
          <t>un</t>
        </is>
      </c>
      <c r="F57" s="1812" t="n">
        <v>2.8</v>
      </c>
      <c r="G57" s="2127" t="inlineStr"/>
      <c r="H57" s="1870" t="n"/>
      <c r="I57" s="218">
        <f>A57&amp;B57</f>
        <v/>
      </c>
    </row>
    <row r="58" ht="25.5" customHeight="1">
      <c r="A58" s="1860" t="inlineStr">
        <is>
          <t>2134</t>
        </is>
      </c>
      <c r="B58" s="1859" t="inlineStr">
        <is>
          <t>Thozen - Electra</t>
        </is>
      </c>
      <c r="C58" s="1859" t="inlineStr">
        <is>
          <t>Mao_obra</t>
        </is>
      </c>
      <c r="D58" s="1857" t="inlineStr">
        <is>
          <t>MÃO DE OBRA PARA APLICAÇÃO DE PINTURA LÁTEX ACRÍLICA EM PAREDES, 3 DEMÃOS</t>
        </is>
      </c>
      <c r="E58" s="1803" t="inlineStr">
        <is>
          <t>m2</t>
        </is>
      </c>
      <c r="F58" s="1805" t="n">
        <v>34</v>
      </c>
      <c r="G58" s="2128" t="inlineStr"/>
      <c r="H58" s="1872" t="n"/>
      <c r="I58" s="218">
        <f>A58&amp;B58</f>
        <v/>
      </c>
    </row>
    <row r="59" ht="25.5" customHeight="1">
      <c r="A59" s="1855" t="inlineStr">
        <is>
          <t>48466</t>
        </is>
      </c>
      <c r="B59" s="1854" t="inlineStr">
        <is>
          <t>Thozen - Electra</t>
        </is>
      </c>
      <c r="C59" s="1871" t="inlineStr">
        <is>
          <t>Mao_obra</t>
        </is>
      </c>
      <c r="D59" s="1852" t="inlineStr">
        <is>
          <t>MÃO DE OBRA PARA APLICAÇÃO DE TEXTURA ACRÍLICA EM PAREDES INTERNAS, 2 DEMÃOS</t>
        </is>
      </c>
      <c r="E59" s="1810" t="inlineStr">
        <is>
          <t>m2</t>
        </is>
      </c>
      <c r="F59" s="1812" t="n">
        <v>41</v>
      </c>
      <c r="G59" s="2127" t="inlineStr"/>
      <c r="H59" s="1870" t="n"/>
      <c r="I59" s="218">
        <f>A59&amp;B59</f>
        <v/>
      </c>
    </row>
    <row r="60" ht="25.5" customHeight="1">
      <c r="A60" s="1860" t="inlineStr">
        <is>
          <t>457</t>
        </is>
      </c>
      <c r="B60" s="1859" t="inlineStr">
        <is>
          <t>Thozen - Electra</t>
        </is>
      </c>
      <c r="C60" s="1859" t="inlineStr">
        <is>
          <t>Material</t>
        </is>
      </c>
      <c r="D60" s="1857" t="inlineStr">
        <is>
          <t xml:space="preserve">ARGAMASSA ESTABILIZADA PARA CHAPISCO  </t>
        </is>
      </c>
      <c r="E60" s="1803" t="inlineStr">
        <is>
          <t>m3</t>
        </is>
      </c>
      <c r="F60" s="1805" t="n">
        <v>405</v>
      </c>
      <c r="G60" s="2128" t="inlineStr"/>
      <c r="H60" s="1872" t="n"/>
      <c r="I60" s="218">
        <f>A60&amp;B60</f>
        <v/>
      </c>
    </row>
    <row r="61" ht="25.5" customHeight="1">
      <c r="A61" s="1855" t="inlineStr">
        <is>
          <t>2552</t>
        </is>
      </c>
      <c r="B61" s="1854" t="inlineStr">
        <is>
          <t>Thozen - Electra</t>
        </is>
      </c>
      <c r="C61" s="1871" t="inlineStr">
        <is>
          <t>Material</t>
        </is>
      </c>
      <c r="D61" s="1852" t="inlineStr">
        <is>
          <t>SELADOR ACRÍLICO</t>
        </is>
      </c>
      <c r="E61" s="1810" t="inlineStr">
        <is>
          <t>l</t>
        </is>
      </c>
      <c r="F61" s="1812" t="n">
        <v>9.44</v>
      </c>
      <c r="G61" s="2127" t="inlineStr"/>
      <c r="H61" s="1870" t="n"/>
      <c r="I61" s="218">
        <f>A61&amp;B61</f>
        <v/>
      </c>
    </row>
  </sheetData>
  <mergeCells count="18">
    <mergeCell ref="B8:E8"/>
    <mergeCell ref="A1:G1"/>
    <mergeCell ref="B4:E4"/>
    <mergeCell ref="B12:B13"/>
    <mergeCell ref="A12:A13"/>
    <mergeCell ref="F2:G8"/>
    <mergeCell ref="C12:C13"/>
    <mergeCell ref="B6:E6"/>
    <mergeCell ref="H12:H13"/>
    <mergeCell ref="E12:E13"/>
    <mergeCell ref="F12:F13"/>
    <mergeCell ref="G12:G13"/>
    <mergeCell ref="B7:E7"/>
    <mergeCell ref="B3:E3"/>
    <mergeCell ref="B2:E2"/>
    <mergeCell ref="B5:E5"/>
    <mergeCell ref="D12:D13"/>
    <mergeCell ref="A11:G11"/>
  </mergeCells>
  <pageMargins left="0.511811024" right="0.511811024" top="0.787401575" bottom="0.787401575" header="0.31496062" footer="0.31496062"/>
  <drawing xmlns:r="http://schemas.openxmlformats.org/officeDocument/2006/relationships" r:id="rId1"/>
</worksheet>
</file>

<file path=xl/worksheets/sheet8.xml><?xml version="1.0" encoding="utf-8"?>
<worksheet xmlns="http://schemas.openxmlformats.org/spreadsheetml/2006/main">
  <sheetPr>
    <tabColor theme="1"/>
    <outlinePr summaryBelow="1" summaryRight="1"/>
    <pageSetUpPr/>
  </sheetPr>
  <dimension ref="A1:AL64"/>
  <sheetViews>
    <sheetView showGridLines="0" workbookViewId="0">
      <pane ySplit="6" topLeftCell="A7" activePane="bottomLeft" state="frozen"/>
      <selection activeCell="L5" sqref="L5:N48"/>
      <selection pane="bottomLeft" activeCell="G15" sqref="G15"/>
    </sheetView>
  </sheetViews>
  <sheetFormatPr baseColWidth="8" defaultRowHeight="12.75"/>
  <cols>
    <col width="10.28515625" customWidth="1" style="1435" min="1" max="1"/>
    <col width="33.42578125" customWidth="1" style="1435" min="2" max="2"/>
    <col width="34" bestFit="1" customWidth="1" style="1435" min="3" max="3"/>
    <col width="28.7109375" customWidth="1" style="1435" min="4" max="4"/>
    <col width="25.5703125" customWidth="1" style="1435" min="5" max="6"/>
    <col width="38.140625" customWidth="1" style="1435" min="7" max="7"/>
    <col width="10.28515625" customWidth="1" style="1435" min="8" max="8"/>
    <col width="9.140625" customWidth="1" style="1435" min="9" max="9"/>
    <col width="17" customWidth="1" style="1435" min="10" max="10"/>
    <col width="9.140625" customWidth="1" style="1435" min="11" max="38"/>
  </cols>
  <sheetData>
    <row r="1" ht="27" customHeight="1" thickBot="1">
      <c r="A1" s="304" t="n"/>
      <c r="B1" s="303" t="inlineStr">
        <is>
          <t>GESTÃO DOS PROJETOS</t>
        </is>
      </c>
      <c r="C1" s="301" t="n"/>
      <c r="D1" s="301" t="n"/>
      <c r="E1" s="301" t="n"/>
      <c r="F1" s="301" t="n"/>
      <c r="G1" s="301" t="n"/>
      <c r="H1" s="302" t="n"/>
      <c r="I1" s="171" t="n"/>
      <c r="J1" s="1466" t="inlineStr">
        <is>
          <t>LEGENDA</t>
        </is>
      </c>
    </row>
    <row r="2" ht="19.5" customHeight="1">
      <c r="A2" s="1465" t="inlineStr">
        <is>
          <t>Obra</t>
        </is>
      </c>
      <c r="B2" s="2144" t="inlineStr">
        <is>
          <t>Electra Towers (Rubens Alves)</t>
        </is>
      </c>
      <c r="C2" s="1463" t="n"/>
      <c r="D2" s="2145" t="n"/>
      <c r="E2" s="2145" t="n"/>
      <c r="F2" s="1461" t="n"/>
      <c r="G2" s="1461" t="n"/>
      <c r="H2" s="1460" t="n"/>
      <c r="J2" s="1459" t="inlineStr">
        <is>
          <t>NÃO SE APLICA</t>
        </is>
      </c>
    </row>
    <row r="3" ht="39" customHeight="1">
      <c r="A3" s="1458" t="inlineStr">
        <is>
          <t>Empresa</t>
        </is>
      </c>
      <c r="B3" s="1457" t="inlineStr">
        <is>
          <t>Thozen Empreendimentos</t>
        </is>
      </c>
      <c r="C3" s="1456" t="n"/>
      <c r="D3" s="2146" t="n"/>
      <c r="E3" s="2146" t="n"/>
      <c r="F3" s="1454" t="n"/>
      <c r="G3" s="1454" t="n"/>
      <c r="H3" s="1453" t="n"/>
      <c r="J3" s="1452" t="inlineStr">
        <is>
          <t>PENDENTE</t>
        </is>
      </c>
    </row>
    <row r="4" ht="20.25" customHeight="1" thickBot="1">
      <c r="A4" s="1451" t="inlineStr">
        <is>
          <t>Revisão</t>
        </is>
      </c>
      <c r="B4" s="1450" t="inlineStr">
        <is>
          <t>R01</t>
        </is>
      </c>
      <c r="C4" s="1449" t="n"/>
      <c r="D4" s="2147" t="n"/>
      <c r="E4" s="2147" t="n"/>
      <c r="F4" s="1447" t="n"/>
      <c r="G4" s="1447" t="n"/>
      <c r="H4" s="1446" t="n"/>
      <c r="J4" s="1445" t="inlineStr">
        <is>
          <t>RECEBIDO</t>
        </is>
      </c>
    </row>
    <row r="5" ht="13.5" customHeight="1" thickBot="1">
      <c r="B5" s="1934" t="inlineStr">
        <is>
          <t>PAVIMENTO</t>
        </is>
      </c>
      <c r="C5" s="1934" t="inlineStr">
        <is>
          <t>DISCIPLINA</t>
        </is>
      </c>
      <c r="D5" s="1932" t="inlineStr">
        <is>
          <t>PROJETOS</t>
        </is>
      </c>
      <c r="E5" s="1932" t="inlineStr">
        <is>
          <t>CAMINHO</t>
        </is>
      </c>
      <c r="F5" s="1932" t="inlineStr">
        <is>
          <t>STATUS</t>
        </is>
      </c>
      <c r="G5" s="1932" t="inlineStr">
        <is>
          <t>OBSERVAÇÕES</t>
        </is>
      </c>
      <c r="J5" s="1444" t="inlineStr">
        <is>
          <t>REVISADO</t>
        </is>
      </c>
    </row>
    <row r="6" ht="13.5" customHeight="1" thickBot="1">
      <c r="B6" s="2148" t="n"/>
      <c r="C6" s="2148" t="n"/>
      <c r="D6" s="2148" t="n"/>
      <c r="E6" s="2148" t="n"/>
      <c r="F6" s="2148" t="n"/>
      <c r="G6" s="2148" t="n"/>
    </row>
    <row r="7" ht="13.5" customHeight="1" thickBot="1">
      <c r="A7" s="248" t="n"/>
      <c r="B7" s="310" t="inlineStr">
        <is>
          <t>ESTRUTURA</t>
        </is>
      </c>
      <c r="C7" s="311" t="n"/>
      <c r="D7" s="1440" t="n"/>
      <c r="E7" s="1440" t="n"/>
      <c r="F7" s="308" t="n"/>
      <c r="G7" s="309" t="n"/>
      <c r="H7" s="248" t="n"/>
      <c r="I7" s="248" t="n"/>
      <c r="J7" s="248" t="n"/>
    </row>
    <row r="8">
      <c r="B8" s="1436" t="inlineStr">
        <is>
          <t>TERRAPLENAGEM</t>
        </is>
      </c>
      <c r="C8" s="1443" t="inlineStr">
        <is>
          <t>INFRAESTRUTURA</t>
        </is>
      </c>
      <c r="D8" s="1438" t="n"/>
      <c r="E8" s="1438" t="n"/>
      <c r="F8" s="307" t="inlineStr">
        <is>
          <t>NÃO SE APLICA</t>
        </is>
      </c>
      <c r="G8" s="1438" t="n"/>
    </row>
    <row r="9">
      <c r="B9" s="1436" t="inlineStr">
        <is>
          <t>MOVIMENTAÇÃO DE TERRA</t>
        </is>
      </c>
      <c r="C9" s="1437" t="inlineStr">
        <is>
          <t>INFRAESTRUTURA</t>
        </is>
      </c>
      <c r="D9" s="1436" t="n"/>
      <c r="E9" s="1436" t="n"/>
      <c r="F9" s="305" t="inlineStr">
        <is>
          <t>PENDENTE</t>
        </is>
      </c>
      <c r="G9" s="1436" t="n"/>
    </row>
    <row r="10">
      <c r="B10" s="1436" t="inlineStr">
        <is>
          <t>FUNDAÇÃO PROFUNDA</t>
        </is>
      </c>
      <c r="C10" s="1437" t="inlineStr">
        <is>
          <t>INFRAESTRUTURA</t>
        </is>
      </c>
      <c r="D10" s="1436" t="inlineStr">
        <is>
          <t>1203 - PREFORMAS - R20.DWG</t>
        </is>
      </c>
      <c r="E10" s="1436" t="inlineStr">
        <is>
          <t>01 ESTRUTURA/DWG</t>
        </is>
      </c>
      <c r="F10" s="305" t="inlineStr">
        <is>
          <t>RECEBIDO</t>
        </is>
      </c>
      <c r="G10" s="1436" t="inlineStr">
        <is>
          <t>DWG Pré-formas Rev.20</t>
        </is>
      </c>
    </row>
    <row r="11">
      <c r="B11" s="1436" t="inlineStr">
        <is>
          <t>FUNDAÇÃO RASA</t>
        </is>
      </c>
      <c r="C11" s="1437" t="inlineStr">
        <is>
          <t>INFRAESTRUTURA</t>
        </is>
      </c>
      <c r="D11" s="1436" t="inlineStr">
        <is>
          <t>1203 - THOZEN - RUBENS ALVES - BLOCOS+RAMPAS DE ACESSO - R26.ifc</t>
        </is>
      </c>
      <c r="E11" s="1436" t="inlineStr">
        <is>
          <t>01 ESTRUTURA/IFC</t>
        </is>
      </c>
      <c r="F11" s="305" t="inlineStr">
        <is>
          <t>RECEBIDO</t>
        </is>
      </c>
      <c r="G11" s="1436" t="inlineStr">
        <is>
          <t>IFC Blocos + Rampas de Acesso Rev.26</t>
        </is>
      </c>
    </row>
    <row r="12">
      <c r="B12" s="1436" t="inlineStr">
        <is>
          <t>CONTENÇÃO</t>
        </is>
      </c>
      <c r="C12" s="1437" t="inlineStr">
        <is>
          <t>INFRAESTRUTURA</t>
        </is>
      </c>
      <c r="D12" s="1436" t="n"/>
      <c r="E12" s="1436" t="n"/>
      <c r="F12" s="305" t="inlineStr">
        <is>
          <t>NÃO SE APLICA</t>
        </is>
      </c>
      <c r="G12" s="1436" t="n"/>
    </row>
    <row r="13">
      <c r="A13" s="248" t="n"/>
      <c r="B13" s="1436" t="inlineStr">
        <is>
          <t>ÁREA – 1º PAVTO. (TÉRREO)</t>
        </is>
      </c>
      <c r="C13" s="1437" t="inlineStr">
        <is>
          <t>SUPRAESTRUTURA</t>
        </is>
      </c>
      <c r="D13" s="1436" t="n"/>
      <c r="E13" s="1436" t="n"/>
      <c r="F13" s="305" t="inlineStr">
        <is>
          <t>RECEBIDO</t>
        </is>
      </c>
      <c r="G13" s="1436" t="inlineStr">
        <is>
          <t>Coberto pelo IFC estrutural completo</t>
        </is>
      </c>
      <c r="H13" s="248" t="n"/>
      <c r="I13" s="248" t="n"/>
      <c r="J13" s="248" t="n"/>
    </row>
    <row r="14">
      <c r="B14" s="1436" t="inlineStr">
        <is>
          <t>ÁREA – MEZANINO DO 1º PAVTO.</t>
        </is>
      </c>
      <c r="C14" s="1437" t="inlineStr">
        <is>
          <t>SUPRAESTRUTURA</t>
        </is>
      </c>
      <c r="D14" s="1436" t="n"/>
      <c r="E14" s="1436" t="n"/>
      <c r="F14" s="305" t="inlineStr">
        <is>
          <t>RECEBIDO</t>
        </is>
      </c>
      <c r="G14" s="1436" t="inlineStr">
        <is>
          <t>Coberto pelo IFC estrutural completo</t>
        </is>
      </c>
    </row>
    <row r="15">
      <c r="B15" s="1436" t="inlineStr">
        <is>
          <t>ÁREA – 2º PAVIMENTO</t>
        </is>
      </c>
      <c r="C15" s="1437" t="inlineStr">
        <is>
          <t>SUPRAESTRUTURA</t>
        </is>
      </c>
      <c r="D15" s="1436" t="n"/>
      <c r="E15" s="1436" t="n"/>
      <c r="F15" s="305" t="inlineStr">
        <is>
          <t>RECEBIDO</t>
        </is>
      </c>
      <c r="G15" s="1436" t="inlineStr">
        <is>
          <t>Coberto pelo IFC estrutural completo</t>
        </is>
      </c>
    </row>
    <row r="16">
      <c r="B16" s="1436" t="inlineStr">
        <is>
          <t>ÁREA – MEZANINO DO 2º PAVTO.</t>
        </is>
      </c>
      <c r="C16" s="1437" t="inlineStr">
        <is>
          <t>SUPRAESTRUTURA</t>
        </is>
      </c>
      <c r="D16" s="1436" t="n"/>
      <c r="E16" s="1436" t="n"/>
      <c r="F16" s="305" t="inlineStr">
        <is>
          <t>RECEBIDO</t>
        </is>
      </c>
      <c r="G16" s="1436" t="inlineStr">
        <is>
          <t>Coberto pelo IFC estrutural completo</t>
        </is>
      </c>
    </row>
    <row r="17">
      <c r="B17" s="1436" t="inlineStr">
        <is>
          <t>ÁREA – 3º PAVIMENTO</t>
        </is>
      </c>
      <c r="C17" s="1437" t="inlineStr">
        <is>
          <t>SUPRAESTRUTURA</t>
        </is>
      </c>
      <c r="D17" s="1436" t="n"/>
      <c r="E17" s="1436" t="n"/>
      <c r="F17" s="305" t="inlineStr">
        <is>
          <t>RECEBIDO</t>
        </is>
      </c>
      <c r="G17" s="1436" t="inlineStr">
        <is>
          <t>Coberto pelo IFC estrutural completo</t>
        </is>
      </c>
    </row>
    <row r="18">
      <c r="B18" s="1436" t="inlineStr">
        <is>
          <t>ÁREA – MEZANINO DO 3º PAVTO.</t>
        </is>
      </c>
      <c r="C18" s="1437" t="inlineStr">
        <is>
          <t>SUPRAESTRUTURA</t>
        </is>
      </c>
      <c r="D18" s="1436" t="n"/>
      <c r="E18" s="1436" t="n"/>
      <c r="F18" s="305" t="inlineStr">
        <is>
          <t>RECEBIDO</t>
        </is>
      </c>
      <c r="G18" s="1436" t="inlineStr">
        <is>
          <t>Coberto pelo IFC estrutural completo</t>
        </is>
      </c>
    </row>
    <row r="19">
      <c r="B19" s="1436" t="inlineStr">
        <is>
          <t>ÁREA – 4º PAVIMENTO GARAGEM/LAZER</t>
        </is>
      </c>
      <c r="C19" s="1437" t="inlineStr">
        <is>
          <t>SUPRAESTRUTURA</t>
        </is>
      </c>
      <c r="D19" s="1436" t="n"/>
      <c r="E19" s="1436" t="n"/>
      <c r="F19" s="305" t="inlineStr">
        <is>
          <t>RECEBIDO</t>
        </is>
      </c>
      <c r="G19" s="1436" t="inlineStr">
        <is>
          <t>Coberto pelo IFC estrutural completo</t>
        </is>
      </c>
    </row>
    <row r="20">
      <c r="B20" s="1436" t="inlineStr">
        <is>
          <t>ÁREA – 5º PAVIMENTO LAZER</t>
        </is>
      </c>
      <c r="C20" s="1437" t="inlineStr">
        <is>
          <t>SUPRAESTRUTURA</t>
        </is>
      </c>
      <c r="D20" s="1436" t="n"/>
      <c r="E20" s="1436" t="n"/>
      <c r="F20" s="305" t="inlineStr">
        <is>
          <t>RECEBIDO</t>
        </is>
      </c>
      <c r="G20" s="1436" t="inlineStr">
        <is>
          <t>Coberto pelo IFC estrutural completo</t>
        </is>
      </c>
    </row>
    <row r="21">
      <c r="B21" s="1436" t="inlineStr">
        <is>
          <t>ÁREA – 6º PAVIMENTO TIPO - DIFERENCIADO</t>
        </is>
      </c>
      <c r="C21" s="1437" t="inlineStr">
        <is>
          <t>SUPRAESTRUTURA</t>
        </is>
      </c>
      <c r="D21" s="1436" t="n"/>
      <c r="E21" s="1436" t="n"/>
      <c r="F21" s="305" t="inlineStr">
        <is>
          <t>RECEBIDO</t>
        </is>
      </c>
      <c r="G21" s="1436" t="inlineStr">
        <is>
          <t>Coberto pelo IFC estrutural completo</t>
        </is>
      </c>
    </row>
    <row r="22">
      <c r="B22" s="1436" t="inlineStr">
        <is>
          <t>ÁREA – 7º AO 14° PAVIMENTO TIPO - X8</t>
        </is>
      </c>
      <c r="C22" s="1437" t="inlineStr">
        <is>
          <t>SUPRAESTRUTURA</t>
        </is>
      </c>
      <c r="D22" s="1436" t="n"/>
      <c r="E22" s="1436" t="n"/>
      <c r="F22" s="305" t="inlineStr">
        <is>
          <t>RECEBIDO</t>
        </is>
      </c>
      <c r="G22" s="1436" t="inlineStr">
        <is>
          <t>Coberto pelo IFC estrutural completo</t>
        </is>
      </c>
    </row>
    <row r="23" ht="13.5" customHeight="1" thickBot="1">
      <c r="B23" s="1436" t="inlineStr">
        <is>
          <t>ÁREA – 15º AO 35° PAVIMENTO TIPO - X21</t>
        </is>
      </c>
      <c r="C23" s="1437" t="inlineStr">
        <is>
          <t>SUPRAESTRUTURA</t>
        </is>
      </c>
      <c r="D23" s="1436" t="n"/>
      <c r="E23" s="1436" t="n"/>
      <c r="F23" s="305" t="inlineStr">
        <is>
          <t>RECEBIDO</t>
        </is>
      </c>
      <c r="G23" s="1436" t="inlineStr">
        <is>
          <t>Coberto pelo IFC estrutural completo</t>
        </is>
      </c>
    </row>
    <row r="24" ht="13.5" customHeight="1" thickBot="1">
      <c r="B24" s="310" t="inlineStr">
        <is>
          <t>ARQUITETURA</t>
        </is>
      </c>
      <c r="C24" s="311" t="n"/>
      <c r="D24" s="1440" t="n"/>
      <c r="E24" s="1440" t="n"/>
      <c r="F24" s="308" t="n"/>
      <c r="G24" s="309" t="n"/>
    </row>
    <row r="25">
      <c r="B25" s="1436" t="inlineStr">
        <is>
          <t>TERRAPLENAGEM</t>
        </is>
      </c>
      <c r="C25" s="1439" t="inlineStr">
        <is>
          <t>ARQUITETURA</t>
        </is>
      </c>
      <c r="D25" s="1438" t="n"/>
      <c r="E25" s="1438" t="n"/>
      <c r="F25" s="307" t="inlineStr">
        <is>
          <t>NÃO SE APLICA</t>
        </is>
      </c>
      <c r="G25" s="1438" t="n"/>
    </row>
    <row r="26">
      <c r="B26" s="1436" t="inlineStr">
        <is>
          <t>MOVIMENTAÇÃO DE TERRA</t>
        </is>
      </c>
      <c r="C26" s="1437" t="inlineStr">
        <is>
          <t>ARQUITETURA</t>
        </is>
      </c>
      <c r="D26" s="1436" t="n"/>
      <c r="E26" s="1436" t="n"/>
      <c r="F26" s="305" t="inlineStr">
        <is>
          <t>NÃO SE APLICA</t>
        </is>
      </c>
      <c r="G26" s="1436" t="n"/>
    </row>
    <row r="27">
      <c r="B27" s="1436" t="inlineStr">
        <is>
          <t>FUNDAÇÃO PROFUNDA</t>
        </is>
      </c>
      <c r="C27" s="1437" t="inlineStr">
        <is>
          <t>ARQUITETURA</t>
        </is>
      </c>
      <c r="D27" s="1436" t="n"/>
      <c r="E27" s="1436" t="n"/>
      <c r="F27" s="305" t="inlineStr">
        <is>
          <t>NÃO SE APLICA</t>
        </is>
      </c>
      <c r="G27" s="1436" t="n"/>
    </row>
    <row r="28">
      <c r="B28" s="1436" t="inlineStr">
        <is>
          <t>FUNDAÇÃO RASA</t>
        </is>
      </c>
      <c r="C28" s="1437" t="inlineStr">
        <is>
          <t>ARQUITETURA</t>
        </is>
      </c>
      <c r="D28" s="1436" t="n"/>
      <c r="E28" s="1436" t="n"/>
      <c r="F28" s="305" t="inlineStr">
        <is>
          <t>NÃO SE APLICA</t>
        </is>
      </c>
      <c r="G28" s="1436" t="n"/>
    </row>
    <row r="29">
      <c r="B29" s="1436" t="inlineStr">
        <is>
          <t>CONTENÇÃO</t>
        </is>
      </c>
      <c r="C29" s="1437" t="inlineStr">
        <is>
          <t>ARQUITETURA</t>
        </is>
      </c>
      <c r="D29" s="1436" t="n"/>
      <c r="E29" s="1436" t="n"/>
      <c r="F29" s="305" t="inlineStr">
        <is>
          <t>NÃO SE APLICA</t>
        </is>
      </c>
      <c r="G29" s="1436" t="n"/>
    </row>
    <row r="30">
      <c r="B30" s="1436" t="inlineStr">
        <is>
          <t>TÉRREO 01</t>
        </is>
      </c>
      <c r="C30" s="1437" t="inlineStr">
        <is>
          <t>ARQUITETURA</t>
        </is>
      </c>
      <c r="D30" s="1436" t="inlineStr">
        <is>
          <t>RA_ARQ_EXE_01_TÉRREO_R02.dwg</t>
        </is>
      </c>
      <c r="E30" s="1436" t="inlineStr">
        <is>
          <t>02 ARQUITETURA/DWG</t>
        </is>
      </c>
      <c r="F30" s="305" t="inlineStr">
        <is>
          <t>RECEBIDO</t>
        </is>
      </c>
      <c r="G30" s="1436" t="inlineStr">
        <is>
          <t>DWG Executivo Rev.02</t>
        </is>
      </c>
    </row>
    <row r="31">
      <c r="B31" s="1436" t="inlineStr">
        <is>
          <t>TÉRREO 02</t>
        </is>
      </c>
      <c r="C31" s="1437" t="inlineStr">
        <is>
          <t>ARQUITETURA</t>
        </is>
      </c>
      <c r="D31" s="1436" t="inlineStr">
        <is>
          <t>RA_ARQ_EXE_10_CORTE1_R02.dwg + RA_ARQ_EXE_11_CORTE2_R02.dwg</t>
        </is>
      </c>
      <c r="E31" s="1436" t="inlineStr">
        <is>
          <t>02 ARQUITETURA/DWG</t>
        </is>
      </c>
      <c r="F31" s="305" t="inlineStr">
        <is>
          <t>RECEBIDO</t>
        </is>
      </c>
      <c r="G31" s="1436" t="inlineStr">
        <is>
          <t>Cortes 1 e 2, Rev.02</t>
        </is>
      </c>
    </row>
    <row r="32">
      <c r="B32" s="1436" t="inlineStr">
        <is>
          <t>GARAGEM 01</t>
        </is>
      </c>
      <c r="C32" s="1437" t="inlineStr">
        <is>
          <t>ARQUITETURA</t>
        </is>
      </c>
      <c r="D32" s="1436" t="inlineStr">
        <is>
          <t>RA_ARQ_EXE_02_G1_R02.dwg</t>
        </is>
      </c>
      <c r="E32" s="1436" t="inlineStr">
        <is>
          <t>02 ARQUITETURA/DWG</t>
        </is>
      </c>
      <c r="F32" s="305" t="inlineStr">
        <is>
          <t>RECEBIDO</t>
        </is>
      </c>
      <c r="G32" s="1436" t="inlineStr">
        <is>
          <t>DWG Executivo Rev.02</t>
        </is>
      </c>
    </row>
    <row r="33">
      <c r="B33" s="1436" t="inlineStr">
        <is>
          <t>GARAGEM 02</t>
        </is>
      </c>
      <c r="C33" s="1437" t="inlineStr">
        <is>
          <t>ARQUITETURA</t>
        </is>
      </c>
      <c r="D33" s="1436" t="inlineStr">
        <is>
          <t>RA_ARQ_EXE_03_G2_R02.dwg</t>
        </is>
      </c>
      <c r="E33" s="1436" t="inlineStr">
        <is>
          <t>02 ARQUITETURA/DWG</t>
        </is>
      </c>
      <c r="F33" s="305" t="inlineStr">
        <is>
          <t>RECEBIDO</t>
        </is>
      </c>
      <c r="G33" s="1436" t="inlineStr">
        <is>
          <t>DWG Executivo Rev.02</t>
        </is>
      </c>
    </row>
    <row r="34">
      <c r="B34" s="1436" t="inlineStr">
        <is>
          <t>GARAGEM 03</t>
        </is>
      </c>
      <c r="C34" s="1437" t="inlineStr">
        <is>
          <t>ARQUITETURA</t>
        </is>
      </c>
      <c r="D34" s="1436" t="inlineStr">
        <is>
          <t>RA_ARQ_EXE_04_G3_R02.dwg</t>
        </is>
      </c>
      <c r="E34" s="1436" t="inlineStr">
        <is>
          <t>02 ARQUITETURA/DWG</t>
        </is>
      </c>
      <c r="F34" s="305" t="inlineStr">
        <is>
          <t>RECEBIDO</t>
        </is>
      </c>
      <c r="G34" s="1436" t="inlineStr">
        <is>
          <t>DWG Executivo Rev.02</t>
        </is>
      </c>
    </row>
    <row r="35">
      <c r="B35" s="1436" t="inlineStr">
        <is>
          <t>GARAGEM 04</t>
        </is>
      </c>
      <c r="C35" s="1437" t="inlineStr">
        <is>
          <t>ARQUITETURA</t>
        </is>
      </c>
      <c r="D35" s="1436" t="inlineStr">
        <is>
          <t>RA_ARQ_EXE_05_G4_R02.dwg</t>
        </is>
      </c>
      <c r="E35" s="1436" t="inlineStr">
        <is>
          <t>02 ARQUITETURA/DWG</t>
        </is>
      </c>
      <c r="F35" s="305" t="inlineStr">
        <is>
          <t>RECEBIDO</t>
        </is>
      </c>
      <c r="G35" s="1436" t="inlineStr">
        <is>
          <t>DWG Executivo Rev.02</t>
        </is>
      </c>
    </row>
    <row r="36">
      <c r="B36" s="1436" t="inlineStr">
        <is>
          <t>LAZER 01</t>
        </is>
      </c>
      <c r="C36" s="1437" t="inlineStr">
        <is>
          <t>ARQUITETURA</t>
        </is>
      </c>
      <c r="D36" s="1436" t="inlineStr">
        <is>
          <t>RA_ARQ_EXE_06_G5_R02.dwg</t>
        </is>
      </c>
      <c r="E36" s="1436" t="inlineStr">
        <is>
          <t>02 ARQUITETURA/DWG</t>
        </is>
      </c>
      <c r="F36" s="305" t="inlineStr">
        <is>
          <t>RECEBIDO</t>
        </is>
      </c>
      <c r="G36" s="1436" t="inlineStr">
        <is>
          <t>DWG Executivo Rev.02</t>
        </is>
      </c>
    </row>
    <row r="37">
      <c r="B37" s="1436" t="inlineStr">
        <is>
          <t>LAZER 02</t>
        </is>
      </c>
      <c r="C37" s="1437" t="inlineStr">
        <is>
          <t>ARQUITETURA</t>
        </is>
      </c>
      <c r="D37" s="1436" t="inlineStr">
        <is>
          <t>RA_ARQ_EXE_07_LAZER_R02.dwg</t>
        </is>
      </c>
      <c r="E37" s="1436" t="inlineStr">
        <is>
          <t>02 ARQUITETURA/DWG</t>
        </is>
      </c>
      <c r="F37" s="305" t="inlineStr">
        <is>
          <t>RECEBIDO</t>
        </is>
      </c>
      <c r="G37" s="1436" t="inlineStr">
        <is>
          <t>DWG Executivo Rev.02</t>
        </is>
      </c>
    </row>
    <row r="38">
      <c r="B38" s="1436" t="inlineStr">
        <is>
          <t>TIPO DIFERENCIADO 01</t>
        </is>
      </c>
      <c r="C38" s="1437" t="inlineStr">
        <is>
          <t>ARQUITETURA</t>
        </is>
      </c>
      <c r="D38" s="1436" t="inlineStr">
        <is>
          <t>RA_ARQ_EXE_MODELAGEM EMBASAMENTO + COBERTURA_R08.ifc</t>
        </is>
      </c>
      <c r="E38" s="1436" t="inlineStr">
        <is>
          <t>02 ARQUITETURA/IFC</t>
        </is>
      </c>
      <c r="F38" s="305" t="inlineStr">
        <is>
          <t>RECEBIDO</t>
        </is>
      </c>
      <c r="G38" s="1436" t="inlineStr">
        <is>
          <t>IFC Embasamento + Cobertura Rev.08</t>
        </is>
      </c>
    </row>
    <row r="39">
      <c r="B39" s="1436" t="inlineStr">
        <is>
          <t>TIPO DIFERENCIADO 02</t>
        </is>
      </c>
      <c r="C39" s="1437" t="inlineStr">
        <is>
          <t>ARQUITETURA</t>
        </is>
      </c>
      <c r="D39" s="1436" t="inlineStr">
        <is>
          <t>RA_ARQ_EXE_MODELAGEM TIPO_R07.ifc</t>
        </is>
      </c>
      <c r="E39" s="1436" t="inlineStr">
        <is>
          <t>02 ARQUITETURA/IFC</t>
        </is>
      </c>
      <c r="F39" s="305" t="inlineStr">
        <is>
          <t>RECEBIDO</t>
        </is>
      </c>
      <c r="G39" s="1436" t="inlineStr">
        <is>
          <t>IFC Tipo Rev.07</t>
        </is>
      </c>
    </row>
    <row r="40">
      <c r="B40" s="1436" t="inlineStr">
        <is>
          <t>TIPO (30x)</t>
        </is>
      </c>
      <c r="C40" s="1437" t="inlineStr">
        <is>
          <t>ARQUITETURA</t>
        </is>
      </c>
      <c r="D40" s="1436" t="inlineStr">
        <is>
          <t>RA_ARQ_EXE_08_TIPOS_R02.dwg</t>
        </is>
      </c>
      <c r="E40" s="1436" t="inlineStr">
        <is>
          <t>02 ARQUITETURA/DWG</t>
        </is>
      </c>
      <c r="F40" s="305" t="inlineStr">
        <is>
          <t>RECEBIDO</t>
        </is>
      </c>
      <c r="G40" s="1436" t="inlineStr">
        <is>
          <t>DWG Executivo Rev.02</t>
        </is>
      </c>
    </row>
    <row r="41">
      <c r="B41" s="1436" t="inlineStr">
        <is>
          <t>DUPLEX INFERIOR (3x)</t>
        </is>
      </c>
      <c r="C41" s="1437" t="inlineStr">
        <is>
          <t>ARQUITETURA</t>
        </is>
      </c>
      <c r="D41" s="1436" t="n"/>
      <c r="E41" s="1436" t="n"/>
      <c r="F41" s="305" t="inlineStr">
        <is>
          <t>NÃO SE APLICA</t>
        </is>
      </c>
      <c r="G41" s="1436" t="n"/>
    </row>
    <row r="42">
      <c r="B42" s="1436" t="inlineStr">
        <is>
          <t>DUPLEX SUPERIOR (3x)</t>
        </is>
      </c>
      <c r="C42" s="1437" t="inlineStr">
        <is>
          <t>ARQUITETURA</t>
        </is>
      </c>
      <c r="D42" s="1436" t="n"/>
      <c r="E42" s="1436" t="n"/>
      <c r="F42" s="305" t="inlineStr">
        <is>
          <t>NÃO SE APLICA</t>
        </is>
      </c>
      <c r="G42" s="1436" t="n"/>
    </row>
    <row r="43">
      <c r="B43" s="1436" t="inlineStr">
        <is>
          <t>LAZER 3</t>
        </is>
      </c>
      <c r="C43" s="1437" t="inlineStr">
        <is>
          <t>ARQUITETURA</t>
        </is>
      </c>
      <c r="D43" s="1436" t="n"/>
      <c r="E43" s="1436" t="n"/>
      <c r="F43" s="305" t="inlineStr">
        <is>
          <t>NÃO SE APLICA</t>
        </is>
      </c>
      <c r="G43" s="1436" t="n"/>
    </row>
    <row r="44">
      <c r="B44" s="1436" t="inlineStr">
        <is>
          <t>CASA DE MÁQUINAS</t>
        </is>
      </c>
      <c r="C44" s="1437" t="inlineStr">
        <is>
          <t>ARQUITETURA</t>
        </is>
      </c>
      <c r="D44" s="1436" t="n"/>
      <c r="E44" s="1436" t="n"/>
      <c r="F44" s="305" t="inlineStr">
        <is>
          <t>NÃO SE APLICA</t>
        </is>
      </c>
      <c r="G44" s="1436" t="n"/>
    </row>
    <row r="45" ht="13.5" customHeight="1" thickBot="1">
      <c r="B45" s="1441" t="inlineStr">
        <is>
          <t>BARRILETE | RESERVATÓRIOS</t>
        </is>
      </c>
      <c r="C45" s="1442" t="inlineStr">
        <is>
          <t>ARQUITETURA</t>
        </is>
      </c>
      <c r="D45" s="1441" t="inlineStr">
        <is>
          <t>RA_ARQ_EXE_09_RES E COB_R02.dwg</t>
        </is>
      </c>
      <c r="E45" s="1441" t="inlineStr">
        <is>
          <t>02 ARQUITETURA/DWG</t>
        </is>
      </c>
      <c r="F45" s="306" t="inlineStr">
        <is>
          <t>RECEBIDO</t>
        </is>
      </c>
      <c r="G45" s="1441" t="inlineStr">
        <is>
          <t>DWG Executivo Rev.02</t>
        </is>
      </c>
    </row>
    <row r="46" ht="13.5" customHeight="1" thickBot="1">
      <c r="B46" s="310" t="inlineStr">
        <is>
          <t>COMPLEMENTARES</t>
        </is>
      </c>
      <c r="C46" s="311" t="n"/>
      <c r="D46" s="1440" t="n"/>
      <c r="E46" s="1440" t="n"/>
      <c r="F46" s="308" t="n"/>
      <c r="G46" s="309" t="n"/>
    </row>
    <row r="47">
      <c r="B47" s="1436" t="inlineStr">
        <is>
          <t>GERAL</t>
        </is>
      </c>
      <c r="C47" s="1439" t="inlineStr">
        <is>
          <t>INSTALAÇÕES PLUVIAL</t>
        </is>
      </c>
      <c r="D47" s="1438" t="n"/>
      <c r="E47" s="1438" t="n"/>
      <c r="F47" s="307" t="inlineStr">
        <is>
          <t>NÃO SE APLICA</t>
        </is>
      </c>
      <c r="G47" s="1438" t="n"/>
    </row>
    <row r="48">
      <c r="B48" s="1436" t="inlineStr">
        <is>
          <t>GERAL</t>
        </is>
      </c>
      <c r="C48" s="1437" t="inlineStr">
        <is>
          <t>INSTALAÇÕES ELÉTRICA</t>
        </is>
      </c>
      <c r="D48" s="1438" t="inlineStr">
        <is>
          <t>348 - E01 [28] rev.01 - EL_R.Rubens Alves - 01° PAVTO. TÉRREO [T. A].dwg; 348 - E02 [28] rev.01 - EL_R.Rubens Alves - 01° PAVTO. TÉRREO [T. B].dwg; 348 - E03 [28] rev.01 - EL_R.Rubens Alves - 02° PAVTO. G1 [T. A].dwg (+24 mais)</t>
        </is>
      </c>
      <c r="E48" s="1438" t="inlineStr">
        <is>
          <t>09 ELÉTRICO</t>
        </is>
      </c>
      <c r="F48" s="305" t="inlineStr">
        <is>
          <t>RECEBIDO</t>
        </is>
      </c>
      <c r="G48" s="1436" t="inlineStr">
        <is>
          <t>DWG 18 pranchas + IFC 9 modelos, Rev.01</t>
        </is>
      </c>
    </row>
    <row r="49">
      <c r="B49" s="1436" t="inlineStr">
        <is>
          <t>GERAL</t>
        </is>
      </c>
      <c r="C49" s="1437" t="inlineStr">
        <is>
          <t>INSTALAÇÕES TELEFONIA</t>
        </is>
      </c>
      <c r="D49" s="1438" t="inlineStr">
        <is>
          <t>348 - T02 [24] rev.01 - EL_R.Rubens Alves - 01° PAVTO. TÉRREO [T. A].dwg; 348 - T03 [24] rev.01 - EL_R.Rubens Alves - 01° PAVTO. TÉRREO [T. B].dwg; 348 - T04 [24] rev.01 - EL_R.Rubens Alves - 02° PAVTO. G1 [T. A].dwg (+24 mais)</t>
        </is>
      </c>
      <c r="E49" s="1438" t="inlineStr">
        <is>
          <t>10 TELEFONICO</t>
        </is>
      </c>
      <c r="F49" s="305" t="inlineStr">
        <is>
          <t>RECEBIDO</t>
        </is>
      </c>
      <c r="G49" s="1436" t="inlineStr">
        <is>
          <t>DWG 18 pranchas + IFC 9 modelos, Rev.01</t>
        </is>
      </c>
    </row>
    <row r="50">
      <c r="B50" s="1436" t="inlineStr">
        <is>
          <t>GERAL</t>
        </is>
      </c>
      <c r="C50" s="1437" t="inlineStr">
        <is>
          <t>INSTALAÇÕES POTÁVEL</t>
        </is>
      </c>
      <c r="D50" s="1438" t="inlineStr">
        <is>
          <t>348 - H01 [30] rev.01 - EL_R.Rubens Alves - 01° PAVTO. TÉRREO - PISO [T.A].dwg; 348 - H02 [30] rev.01 - EL_R.Rubens Alves - 01° PAVTO. TÉRREO - PISO [T.B].dwg; 348 - H03 [30] rev.01 - EL_R.Rubens Alves - 01° PAVTO. TÉRREO - TETO [T.A].dwg (+18 mais)</t>
        </is>
      </c>
      <c r="E50" s="1438" t="inlineStr">
        <is>
          <t>05 HIDRÁULICO</t>
        </is>
      </c>
      <c r="F50" s="305" t="inlineStr">
        <is>
          <t>RECEBIDO</t>
        </is>
      </c>
      <c r="G50" s="1436" t="inlineStr">
        <is>
          <t>DWG 20 pranchas + IFC completo, Rev.01</t>
        </is>
      </c>
    </row>
    <row r="51">
      <c r="B51" s="1436" t="inlineStr">
        <is>
          <t>GERAL</t>
        </is>
      </c>
      <c r="C51" s="1437" t="inlineStr">
        <is>
          <t>INSTALAÇÕES ESGOTO</t>
        </is>
      </c>
      <c r="D51" s="1438" t="inlineStr">
        <is>
          <t>348 - S01 [22] rev.01 - EL_R.Rubens Alves - 01° PAVTO. TÉRREO [T.A].dwg; 348 - S02 [22] rev.01 - EL_R.Rubens Alves - 01° PAVTO. TÉRREO [T.B].dwg; 348 - S03 [22] rev.01 - EL_R.Rubens Alves - 02° PAVTO. G1 [T.A].dwg (+27 mais)</t>
        </is>
      </c>
      <c r="E51" s="1438" t="inlineStr">
        <is>
          <t>06 SANITÁRIO</t>
        </is>
      </c>
      <c r="F51" s="305" t="inlineStr">
        <is>
          <t>RECEBIDO</t>
        </is>
      </c>
      <c r="G51" s="1436" t="inlineStr">
        <is>
          <t>DWG 20 pranchas + IFC 10 modelos, Rev.01</t>
        </is>
      </c>
    </row>
    <row r="52">
      <c r="B52" s="1436" t="inlineStr">
        <is>
          <t>GERAL</t>
        </is>
      </c>
      <c r="C52" s="1437" t="inlineStr">
        <is>
          <t>INSTALAÇÕES PCI</t>
        </is>
      </c>
      <c r="D52" s="1438" t="inlineStr">
        <is>
          <t>348 - IGC 01 [08] rev-00 - 01° PAVTO- TÉRREO (T-A).dwg; 348 - IGC 01 [08] rev.00 - 01° PAVTO. TÉRREO (T.A).dwg; 348 - IGC 02 [08] rev.00 - 01° PAVTO. TÉRREO (T.B).dwg (+13 mais)</t>
        </is>
      </c>
      <c r="E52" s="1438" t="inlineStr">
        <is>
          <t>07 PREVENTIVO INCENDIO CIVIL</t>
        </is>
      </c>
      <c r="F52" s="305" t="inlineStr">
        <is>
          <t>RECEBIDO</t>
        </is>
      </c>
      <c r="G52" s="1436" t="inlineStr">
        <is>
          <t>DWG 11 pranchas + IFC 5 modelos (IGC+PCI+Dutos), Rev.00-01</t>
        </is>
      </c>
    </row>
    <row r="53">
      <c r="B53" s="1436" t="inlineStr">
        <is>
          <t>GERAL</t>
        </is>
      </c>
      <c r="C53" s="1437" t="inlineStr">
        <is>
          <t>INST. PREV. INCÊNDIO ELÉTRICO</t>
        </is>
      </c>
      <c r="D53" s="1438" t="inlineStr">
        <is>
          <t>27 arquivos (DWG 18 + IFC 9)</t>
        </is>
      </c>
      <c r="E53" s="1438" t="inlineStr">
        <is>
          <t>08 PREVENTIVO INCENDIO ELÉTRICO</t>
        </is>
      </c>
      <c r="F53" s="305" t="inlineStr">
        <is>
          <t>RECEBIDO</t>
        </is>
      </c>
      <c r="G53" s="1436" t="inlineStr">
        <is>
          <t>Prev. Incêndio Elétrico, DWG+IFC, Rev.01</t>
        </is>
      </c>
    </row>
    <row r="54">
      <c r="B54" s="1436" t="inlineStr">
        <is>
          <t>GERAL</t>
        </is>
      </c>
      <c r="C54" s="1437" t="inlineStr">
        <is>
          <t>SPDA</t>
        </is>
      </c>
      <c r="D54" s="1438" t="inlineStr">
        <is>
          <t>10 pranchas DWG (SPDA Rev.00)</t>
        </is>
      </c>
      <c r="E54" s="1438" t="inlineStr">
        <is>
          <t>11 SPDA</t>
        </is>
      </c>
      <c r="F54" s="305" t="inlineStr">
        <is>
          <t>RECEBIDO</t>
        </is>
      </c>
      <c r="G54" s="1436" t="inlineStr">
        <is>
          <t>SPDA completo, Rev.00</t>
        </is>
      </c>
    </row>
    <row r="55">
      <c r="B55" s="1436" t="inlineStr">
        <is>
          <t>GERAL</t>
        </is>
      </c>
      <c r="C55" s="1437" t="inlineStr">
        <is>
          <t>VENTILAÇÃO MECÂNICA ESCADA</t>
        </is>
      </c>
      <c r="D55" s="1436" t="inlineStr">
        <is>
          <t>RA_EVM_LEGAL_PROJETO_R05.dwg</t>
        </is>
      </c>
      <c r="E55" s="1436" t="inlineStr">
        <is>
          <t>12 ESCADA VENTILACAO MECANICA</t>
        </is>
      </c>
      <c r="F55" s="305" t="inlineStr">
        <is>
          <t>RECEBIDO</t>
        </is>
      </c>
      <c r="G55" s="1436" t="inlineStr">
        <is>
          <t>Projeto Legal Rev.05</t>
        </is>
      </c>
    </row>
    <row r="56">
      <c r="B56" s="1436" t="inlineStr">
        <is>
          <t>GERAL</t>
        </is>
      </c>
      <c r="C56" s="1437" t="inlineStr">
        <is>
          <t>EXAUSTÃO CHURRASQUEIRA</t>
        </is>
      </c>
      <c r="D56" s="1436" t="inlineStr">
        <is>
          <t>RA_CHU_EXE_PROJETO_R00.dwg</t>
        </is>
      </c>
      <c r="E56" s="1436" t="inlineStr">
        <is>
          <t>13 CHURRASQUEIRA EXAUSTAO</t>
        </is>
      </c>
      <c r="F56" s="305" t="inlineStr">
        <is>
          <t>RECEBIDO</t>
        </is>
      </c>
      <c r="G56" s="1436" t="inlineStr">
        <is>
          <t>Exaustão Churrasqueiras Rev.00</t>
        </is>
      </c>
    </row>
    <row r="57">
      <c r="B57" s="1436" t="inlineStr">
        <is>
          <t>GERAL</t>
        </is>
      </c>
      <c r="C57" s="1437" t="inlineStr">
        <is>
          <t>AR-CONDICIONADO</t>
        </is>
      </c>
      <c r="D57" s="1436" t="inlineStr">
        <is>
          <t>RA_ARC_EXE_00_TODAS CAD_R05.dwg</t>
        </is>
      </c>
      <c r="E57" s="1436" t="inlineStr">
        <is>
          <t>14 AR-CONDICIONADO</t>
        </is>
      </c>
      <c r="F57" s="305" t="inlineStr">
        <is>
          <t>RECEBIDO</t>
        </is>
      </c>
      <c r="G57" s="1436" t="inlineStr">
        <is>
          <t>Ar-condicionado completo Rev.05</t>
        </is>
      </c>
    </row>
    <row r="58">
      <c r="B58" s="1436" t="inlineStr">
        <is>
          <t>GERAL</t>
        </is>
      </c>
      <c r="C58" s="1437" t="inlineStr">
        <is>
          <t>ALVENARIA</t>
        </is>
      </c>
      <c r="D58" s="1436" t="inlineStr">
        <is>
          <t>18 pranchas DWG (Alvenaria + Locação, Pré-Executivo Rev.01)</t>
        </is>
      </c>
      <c r="E58" s="1436" t="inlineStr">
        <is>
          <t>03 ALVENARIA</t>
        </is>
      </c>
      <c r="F58" s="305" t="inlineStr">
        <is>
          <t>RECEBIDO</t>
        </is>
      </c>
      <c r="G58" s="1436" t="inlineStr">
        <is>
          <t>Alvenaria 9 pavimentos + 9 locações, Rev.01</t>
        </is>
      </c>
    </row>
    <row r="59">
      <c r="B59" s="1436" t="inlineStr">
        <is>
          <t>GERAL</t>
        </is>
      </c>
      <c r="C59" s="1437" t="inlineStr">
        <is>
          <t>ESQUADRIAS</t>
        </is>
      </c>
      <c r="D59" s="1436" t="inlineStr">
        <is>
          <t>4 pranchas DWG (Portas, Janelas, Peles Vidro, Vidro Fixo)</t>
        </is>
      </c>
      <c r="E59" s="1436" t="inlineStr">
        <is>
          <t>04 ESQUADRIA</t>
        </is>
      </c>
      <c r="F59" s="305" t="inlineStr">
        <is>
          <t>RECEBIDO</t>
        </is>
      </c>
      <c r="G59" s="1436" t="inlineStr">
        <is>
          <t>Esquadrias Pré-Executivo Rev.01</t>
        </is>
      </c>
    </row>
    <row r="60">
      <c r="B60" s="1436" t="inlineStr">
        <is>
          <t>GERAL</t>
        </is>
      </c>
      <c r="C60" s="1437" t="inlineStr">
        <is>
          <t>EQUIPAMENTOS HIDROMASSAGEM</t>
        </is>
      </c>
      <c r="D60" s="1436" t="n"/>
      <c r="E60" s="1436" t="n"/>
      <c r="F60" s="305" t="inlineStr">
        <is>
          <t>NÃO SE APLICA</t>
        </is>
      </c>
      <c r="G60" s="1436" t="n"/>
    </row>
    <row r="61">
      <c r="B61" s="1436" t="inlineStr">
        <is>
          <t>GERAL</t>
        </is>
      </c>
      <c r="C61" s="1437" t="inlineStr">
        <is>
          <t>EQUIPAMENTOS PISCINA</t>
        </is>
      </c>
      <c r="D61" s="1436" t="n"/>
      <c r="E61" s="1436" t="n"/>
      <c r="F61" s="305" t="inlineStr">
        <is>
          <t>NÃO SE APLICA</t>
        </is>
      </c>
      <c r="G61" s="1436" t="n"/>
    </row>
    <row r="62">
      <c r="B62" s="1436" t="inlineStr">
        <is>
          <t>GERAL</t>
        </is>
      </c>
      <c r="C62" s="1437" t="inlineStr">
        <is>
          <t>LOUÇAS/ METAIS/ BANCADAS</t>
        </is>
      </c>
      <c r="D62" s="1436" t="n"/>
      <c r="E62" s="1436" t="n"/>
      <c r="F62" s="305" t="inlineStr">
        <is>
          <t>NÃO SE APLICA</t>
        </is>
      </c>
      <c r="G62" s="1436" t="n"/>
    </row>
    <row r="63">
      <c r="B63" s="1436" t="inlineStr">
        <is>
          <t>GERAL</t>
        </is>
      </c>
      <c r="C63" s="1437" t="inlineStr">
        <is>
          <t>MOBILIÁRIO</t>
        </is>
      </c>
      <c r="D63" s="1436" t="n"/>
      <c r="E63" s="1436" t="n"/>
      <c r="F63" s="305" t="inlineStr">
        <is>
          <t>NÃO SE APLICA</t>
        </is>
      </c>
      <c r="G63" s="1436" t="n"/>
    </row>
    <row r="64">
      <c r="B64" s="1436" t="inlineStr">
        <is>
          <t>GERAL</t>
        </is>
      </c>
      <c r="C64" s="1437" t="inlineStr">
        <is>
          <t>INTERIORES</t>
        </is>
      </c>
      <c r="D64" s="1436" t="n"/>
      <c r="E64" s="1436" t="n"/>
      <c r="F64" s="305" t="inlineStr">
        <is>
          <t>NÃO SE APLICA</t>
        </is>
      </c>
      <c r="G64" s="1436" t="n"/>
    </row>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sheetData>
  <mergeCells count="6">
    <mergeCell ref="G5:G6"/>
    <mergeCell ref="E5:E6"/>
    <mergeCell ref="F5:F6"/>
    <mergeCell ref="D5:D6"/>
    <mergeCell ref="B5:B6"/>
    <mergeCell ref="C5:C6"/>
  </mergeCells>
  <conditionalFormatting sqref="F7:F64">
    <cfRule type="expression" priority="1" dxfId="20291">
      <formula>$F7=$J$5</formula>
    </cfRule>
    <cfRule type="expression" priority="2" dxfId="20290">
      <formula>$F7=$J$4</formula>
    </cfRule>
    <cfRule type="expression" priority="3" dxfId="20289">
      <formula>$F7=$J$3</formula>
    </cfRule>
    <cfRule type="expression" priority="4" dxfId="20288">
      <formula>$F7=$J$2</formula>
    </cfRule>
  </conditionalFormatting>
  <dataValidations count="1">
    <dataValidation sqref="F7:F64" showDropDown="0" showInputMessage="1" showErrorMessage="1" allowBlank="1" type="list">
      <formula1>$J$2:$J$5</formula1>
    </dataValidation>
  </dataValidations>
  <pageMargins left="0.511811024" right="0.511811024" top="0.787401575" bottom="0.787401575" header="0.31496062" footer="0.31496062"/>
  <pageSetup orientation="portrait" paperSize="9" horizontalDpi="360" verticalDpi="360"/>
  <drawing xmlns:r="http://schemas.openxmlformats.org/officeDocument/2006/relationships" r:id="rId1"/>
</worksheet>
</file>

<file path=xl/worksheets/sheet9.xml><?xml version="1.0" encoding="utf-8"?>
<worksheet xmlns="http://schemas.openxmlformats.org/spreadsheetml/2006/main">
  <sheetPr>
    <tabColor theme="1"/>
    <outlinePr summaryBelow="0"/>
    <pageSetUpPr fitToPage="1"/>
  </sheetPr>
  <dimension ref="A1:AF832"/>
  <sheetViews>
    <sheetView showGridLines="0" zoomScale="115" zoomScaleNormal="115" zoomScaleSheetLayoutView="100" workbookViewId="0">
      <pane ySplit="7" topLeftCell="A8" activePane="bottomLeft" state="frozen"/>
      <selection activeCell="J123" sqref="J123"/>
      <selection pane="bottomLeft" activeCell="C5" sqref="C5"/>
    </sheetView>
  </sheetViews>
  <sheetFormatPr baseColWidth="8" defaultColWidth="9.140625" defaultRowHeight="14.1" customHeight="1" outlineLevelRow="2"/>
  <cols>
    <col width="7.28515625" customWidth="1" style="158" min="1" max="1"/>
    <col outlineLevel="1" width="8.5703125" customWidth="1" style="158" min="2" max="2"/>
    <col width="12.28515625" customWidth="1" style="158" min="3" max="3"/>
    <col width="40.7109375" customWidth="1" style="159" min="4" max="4"/>
    <col width="6.85546875" customWidth="1" style="160" min="5" max="5"/>
    <col width="11.140625" customWidth="1" style="161" min="6" max="6"/>
    <col width="13.5703125" bestFit="1" customWidth="1" style="161" min="7" max="7"/>
    <col width="18.85546875" bestFit="1" customWidth="1" style="170" min="8" max="8"/>
    <col outlineLevel="1" width="61" customWidth="1" style="164" min="9" max="9"/>
    <col width="17.5703125" customWidth="1" style="165" min="10" max="10"/>
    <col outlineLevel="1" width="9.140625" customWidth="1" style="166" min="11" max="11"/>
    <col width="9.140625" customWidth="1" style="166" min="12" max="32"/>
  </cols>
  <sheetData>
    <row r="1" ht="6.75" customHeight="1">
      <c r="A1" s="95" t="n"/>
      <c r="B1" s="95" t="n"/>
      <c r="C1" s="95" t="n"/>
      <c r="D1" s="96" t="n"/>
      <c r="E1" s="97" t="n"/>
      <c r="F1" s="98" t="n"/>
      <c r="G1" s="98" t="n"/>
      <c r="H1" s="99" t="n"/>
      <c r="I1" s="98" t="n"/>
      <c r="J1" s="100" t="n"/>
      <c r="K1" s="94" t="n"/>
      <c r="L1" s="94" t="n"/>
    </row>
    <row r="2" ht="17.45" customHeight="1">
      <c r="A2" s="102" t="n"/>
      <c r="B2" s="103" t="n"/>
      <c r="C2" s="103" t="n"/>
      <c r="D2" s="104" t="n"/>
      <c r="E2" s="105" t="n"/>
      <c r="F2" s="105" t="n"/>
      <c r="G2" s="105" t="n"/>
      <c r="H2" s="106" t="n"/>
      <c r="I2" s="107" t="n"/>
      <c r="J2" s="108" t="n"/>
      <c r="K2" s="101" t="n"/>
      <c r="L2" s="101" t="n"/>
    </row>
    <row r="3" ht="18" customHeight="1">
      <c r="A3" s="109" t="n"/>
      <c r="B3" s="110" t="n"/>
      <c r="C3" s="110" t="n"/>
      <c r="D3" s="111" t="n"/>
      <c r="E3" s="112" t="n"/>
      <c r="F3" s="112" t="n"/>
      <c r="G3" s="112" t="n"/>
      <c r="H3" s="113" t="n"/>
      <c r="I3" s="114" t="n"/>
      <c r="J3" s="115" t="n"/>
      <c r="K3" s="101" t="n"/>
      <c r="L3" s="101" t="n"/>
    </row>
    <row r="4" ht="15" customHeight="1">
      <c r="A4" s="117" t="inlineStr">
        <is>
          <t>PROJETO:</t>
        </is>
      </c>
      <c r="B4" s="118" t="n"/>
      <c r="C4" s="67" t="inlineStr">
        <is>
          <t>Electra Towers</t>
        </is>
      </c>
      <c r="D4" s="119" t="n"/>
      <c r="E4" s="116" t="n"/>
      <c r="F4" s="116" t="n"/>
      <c r="G4" s="116" t="n"/>
      <c r="H4" s="120" t="n"/>
      <c r="I4" s="118" t="inlineStr">
        <is>
          <t>REVISÃO:</t>
        </is>
      </c>
      <c r="J4" s="2149" t="inlineStr">
        <is>
          <t>DATA</t>
        </is>
      </c>
      <c r="K4" s="116" t="n"/>
      <c r="L4" s="116" t="n"/>
    </row>
    <row r="5" ht="15" customHeight="1">
      <c r="A5" s="2150" t="inlineStr">
        <is>
          <t>EMPRESA:</t>
        </is>
      </c>
      <c r="B5" s="2151" t="n"/>
      <c r="C5" s="125" t="inlineStr">
        <is>
          <t>Thozen</t>
        </is>
      </c>
      <c r="D5" s="126" t="n"/>
      <c r="E5" s="122" t="n"/>
      <c r="F5" s="122" t="n"/>
      <c r="G5" s="122" t="n"/>
      <c r="H5" s="127" t="n"/>
      <c r="I5" s="128" t="inlineStr">
        <is>
          <t>R00</t>
        </is>
      </c>
      <c r="J5" s="2152" t="n"/>
      <c r="K5" s="122" t="n"/>
      <c r="L5" s="122" t="n"/>
    </row>
    <row r="6" ht="18" customHeight="1">
      <c r="A6" s="1935" t="inlineStr">
        <is>
          <t>GERENCIAMENTO EXECUTIVO</t>
        </is>
      </c>
      <c r="B6" s="2153" t="n"/>
      <c r="C6" s="2153" t="n"/>
      <c r="D6" s="2153" t="n"/>
      <c r="E6" s="2153" t="n"/>
      <c r="F6" s="2153" t="n"/>
      <c r="G6" s="2153" t="n"/>
      <c r="H6" s="2153" t="n"/>
      <c r="I6" s="2153" t="n"/>
      <c r="J6" s="2130" t="n"/>
      <c r="K6" s="130" t="n"/>
      <c r="L6" s="130" t="n"/>
    </row>
    <row r="7" ht="24" customHeight="1">
      <c r="A7" s="132" t="inlineStr">
        <is>
          <t>Atalho</t>
        </is>
      </c>
      <c r="B7" s="133" t="inlineStr">
        <is>
          <t>NIVEL</t>
        </is>
      </c>
      <c r="C7" s="134" t="inlineStr">
        <is>
          <t>Item</t>
        </is>
      </c>
      <c r="D7" s="135" t="inlineStr">
        <is>
          <t>Descrição</t>
        </is>
      </c>
      <c r="E7" s="136" t="inlineStr">
        <is>
          <t>Unidade</t>
        </is>
      </c>
      <c r="F7" s="137" t="inlineStr">
        <is>
          <t xml:space="preserve">Quant. </t>
        </is>
      </c>
      <c r="G7" s="137" t="inlineStr">
        <is>
          <t>Preço un</t>
        </is>
      </c>
      <c r="H7" s="137" t="inlineStr">
        <is>
          <t>Total</t>
        </is>
      </c>
      <c r="I7" s="138" t="inlineStr">
        <is>
          <t>Considerações</t>
        </is>
      </c>
      <c r="J7" s="139" t="inlineStr">
        <is>
          <t>Situação</t>
        </is>
      </c>
      <c r="K7" s="1716" t="n"/>
      <c r="L7" s="131" t="n"/>
    </row>
    <row r="8" ht="13.9" customHeight="1">
      <c r="A8" s="140" t="n"/>
      <c r="B8" s="141" t="inlineStr">
        <is>
          <t>CÉLULA CONSTRUTIVA</t>
        </is>
      </c>
      <c r="C8" s="142" t="inlineStr">
        <is>
          <t>01</t>
        </is>
      </c>
      <c r="D8" s="143" t="inlineStr">
        <is>
          <t xml:space="preserve">SERVIÇOS TÉCNICOS </t>
        </is>
      </c>
      <c r="E8" s="68" t="n"/>
      <c r="F8" s="144" t="n"/>
      <c r="G8" s="144" t="n"/>
      <c r="H8" s="145">
        <f>H9+H57</f>
        <v/>
      </c>
      <c r="I8" s="146" t="n"/>
      <c r="J8" s="147" t="n"/>
      <c r="K8" s="130" t="n"/>
    </row>
    <row r="9" outlineLevel="1" ht="13.9" customHeight="1">
      <c r="A9" s="140" t="n"/>
      <c r="B9" s="141" t="inlineStr">
        <is>
          <t>ETAPA</t>
        </is>
      </c>
      <c r="C9" s="142" t="inlineStr">
        <is>
          <t>01.001</t>
        </is>
      </c>
      <c r="D9" s="143" t="inlineStr">
        <is>
          <t>ESTUDOS, PROJETOS E CONSULTORIAS</t>
        </is>
      </c>
      <c r="E9" s="68" t="n"/>
      <c r="F9" s="144" t="n"/>
      <c r="G9" s="144" t="n"/>
      <c r="H9" s="145">
        <f>H10+H20+H41+H46</f>
        <v/>
      </c>
      <c r="I9" s="146" t="n"/>
      <c r="J9" s="147" t="inlineStr">
        <is>
          <t>-</t>
        </is>
      </c>
      <c r="K9" s="130" t="n"/>
      <c r="L9" s="130" t="n"/>
    </row>
    <row r="10" outlineLevel="1" ht="13.9" customHeight="1">
      <c r="A10" s="140" t="n"/>
      <c r="B10" s="141" t="inlineStr">
        <is>
          <t>SUBETAPA</t>
        </is>
      </c>
      <c r="C10" s="142" t="inlineStr">
        <is>
          <t>01.001.001</t>
        </is>
      </c>
      <c r="D10" s="143" t="inlineStr">
        <is>
          <t>Estudos</t>
        </is>
      </c>
      <c r="E10" s="68" t="n"/>
      <c r="F10" s="144" t="n"/>
      <c r="G10" s="144" t="n"/>
      <c r="H10" s="145">
        <f>H11+H12+H13+H14+H15+H16+H17+H18+H19</f>
        <v/>
      </c>
      <c r="I10" s="146" t="n"/>
      <c r="J10" s="147" t="n"/>
      <c r="K10" s="130" t="n"/>
      <c r="L10" s="130" t="n"/>
    </row>
    <row r="11" outlineLevel="2" ht="13.9" customHeight="1">
      <c r="A11" s="140" t="n"/>
      <c r="B11" s="141" t="inlineStr">
        <is>
          <t>SERVIÇO</t>
        </is>
      </c>
      <c r="C11" s="142" t="inlineStr">
        <is>
          <t>01.001.001.001</t>
        </is>
      </c>
      <c r="D11" s="143" t="inlineStr">
        <is>
          <t>Memorial descritivo</t>
        </is>
      </c>
      <c r="E11" s="68" t="inlineStr">
        <is>
          <t>vb</t>
        </is>
      </c>
      <c r="F11" s="144" t="n">
        <v>1</v>
      </c>
      <c r="G11" s="144" t="n">
        <v>18386.35007427883</v>
      </c>
      <c r="H11" s="145">
        <f>G11*F11</f>
        <v/>
      </c>
      <c r="I11" s="144" t="inlineStr">
        <is>
          <t>Estimado</t>
        </is>
      </c>
      <c r="J11" s="147" t="inlineStr">
        <is>
          <t>Lançado ERP</t>
        </is>
      </c>
      <c r="K11" s="130" t="n"/>
      <c r="L11" s="130" t="n"/>
    </row>
    <row r="12" outlineLevel="2" ht="13.9" customHeight="1">
      <c r="A12" s="140" t="n"/>
      <c r="B12" s="141" t="inlineStr">
        <is>
          <t>SERVIÇO</t>
        </is>
      </c>
      <c r="C12" s="142" t="inlineStr">
        <is>
          <t>01.001.001.002</t>
        </is>
      </c>
      <c r="D12" s="143" t="inlineStr">
        <is>
          <t>Levantamento topográfico</t>
        </is>
      </c>
      <c r="E12" s="68" t="inlineStr">
        <is>
          <t>vb</t>
        </is>
      </c>
      <c r="F12" s="144" t="n">
        <v>1</v>
      </c>
      <c r="G12" s="144" t="n">
        <v>3000</v>
      </c>
      <c r="H12" s="145">
        <f>G12*F12</f>
        <v/>
      </c>
      <c r="I12" s="144" t="inlineStr">
        <is>
          <t>Recebido</t>
        </is>
      </c>
      <c r="J12" s="147" t="inlineStr">
        <is>
          <t>Lançado ERP</t>
        </is>
      </c>
      <c r="K12" s="130" t="n"/>
      <c r="L12" s="130" t="n"/>
    </row>
    <row r="13" outlineLevel="2" ht="13.9" customHeight="1">
      <c r="A13" s="140" t="n"/>
      <c r="B13" s="141" t="inlineStr">
        <is>
          <t>SERVIÇO</t>
        </is>
      </c>
      <c r="C13" s="142" t="inlineStr">
        <is>
          <t>01.001.001.003</t>
        </is>
      </c>
      <c r="D13" s="143" t="inlineStr">
        <is>
          <t>Estudo geológico</t>
        </is>
      </c>
      <c r="E13" s="68" t="inlineStr">
        <is>
          <t>vb</t>
        </is>
      </c>
      <c r="F13" s="144" t="n">
        <v>1</v>
      </c>
      <c r="G13" s="144" t="n">
        <v>26930.40778394005</v>
      </c>
      <c r="H13" s="145">
        <f>G13*F13</f>
        <v/>
      </c>
      <c r="I13" s="144" t="inlineStr">
        <is>
          <t>Estimado</t>
        </is>
      </c>
      <c r="J13" s="147" t="inlineStr">
        <is>
          <t>Lançado ERP</t>
        </is>
      </c>
      <c r="K13" s="130" t="n"/>
      <c r="L13" s="130" t="n"/>
    </row>
    <row r="14" outlineLevel="2" ht="13.9" customHeight="1">
      <c r="A14" s="140" t="n"/>
      <c r="B14" s="141" t="inlineStr">
        <is>
          <t>SERVIÇO</t>
        </is>
      </c>
      <c r="C14" s="142" t="inlineStr">
        <is>
          <t>01.001.001.004</t>
        </is>
      </c>
      <c r="D14" s="143" t="inlineStr">
        <is>
          <t>Estudo ambiental</t>
        </is>
      </c>
      <c r="E14" s="68" t="inlineStr">
        <is>
          <t>vb</t>
        </is>
      </c>
      <c r="F14" s="144" t="n">
        <v>1</v>
      </c>
      <c r="G14" s="144" t="n">
        <v>4500</v>
      </c>
      <c r="H14" s="145">
        <f>G14*F14</f>
        <v/>
      </c>
      <c r="I14" s="144" t="inlineStr">
        <is>
          <t>Recebido</t>
        </is>
      </c>
      <c r="J14" s="147" t="inlineStr">
        <is>
          <t>Lançado ERP</t>
        </is>
      </c>
      <c r="K14" s="130" t="n"/>
      <c r="L14" s="130" t="n"/>
    </row>
    <row r="15" outlineLevel="2" ht="13.9" customHeight="1">
      <c r="A15" s="140" t="n"/>
      <c r="B15" s="141" t="inlineStr">
        <is>
          <t>SERVIÇO</t>
        </is>
      </c>
      <c r="C15" s="142" t="inlineStr">
        <is>
          <t>01.001.001.005</t>
        </is>
      </c>
      <c r="D15" s="143" t="inlineStr">
        <is>
          <t>Sondagem do terreno</t>
        </is>
      </c>
      <c r="E15" s="68" t="inlineStr">
        <is>
          <t>vb</t>
        </is>
      </c>
      <c r="F15" s="144" t="n">
        <v>1</v>
      </c>
      <c r="G15" s="144" t="n">
        <v>7947.99</v>
      </c>
      <c r="H15" s="145">
        <f>G15*F15</f>
        <v/>
      </c>
      <c r="I15" s="144" t="inlineStr">
        <is>
          <t>Recebido</t>
        </is>
      </c>
      <c r="J15" s="147" t="inlineStr">
        <is>
          <t>Lançado ERP</t>
        </is>
      </c>
      <c r="K15" s="130" t="n"/>
      <c r="L15" s="130" t="n"/>
    </row>
    <row r="16" outlineLevel="2" ht="13.9" customHeight="1">
      <c r="A16" s="140" t="n"/>
      <c r="B16" s="141" t="inlineStr">
        <is>
          <t>SERVIÇO</t>
        </is>
      </c>
      <c r="C16" s="142" t="inlineStr">
        <is>
          <t>01.001.001.006</t>
        </is>
      </c>
      <c r="D16" s="143" t="inlineStr">
        <is>
          <t>Projeto de canteiro</t>
        </is>
      </c>
      <c r="E16" s="68" t="inlineStr">
        <is>
          <t>vb</t>
        </is>
      </c>
      <c r="F16" s="144" t="n">
        <v>1</v>
      </c>
      <c r="G16" s="144" t="n">
        <v>11160.56311044519</v>
      </c>
      <c r="H16" s="145">
        <f>G16*F16</f>
        <v/>
      </c>
      <c r="I16" s="144" t="inlineStr">
        <is>
          <t>Estimado</t>
        </is>
      </c>
      <c r="J16" s="147" t="inlineStr">
        <is>
          <t>Lançado ERP</t>
        </is>
      </c>
      <c r="K16" s="130" t="n"/>
      <c r="L16" s="130" t="n"/>
    </row>
    <row r="17" outlineLevel="2" ht="13.9" customHeight="1">
      <c r="A17" s="140" t="n"/>
      <c r="B17" s="141" t="inlineStr">
        <is>
          <t>SERVIÇO</t>
        </is>
      </c>
      <c r="C17" s="142" t="inlineStr">
        <is>
          <t>01.001.001.007</t>
        </is>
      </c>
      <c r="D17" s="143" t="inlineStr">
        <is>
          <t>EFEG - Teste de Carga</t>
        </is>
      </c>
      <c r="E17" s="68" t="inlineStr">
        <is>
          <t>vb</t>
        </is>
      </c>
      <c r="F17" s="144" t="n">
        <v>1</v>
      </c>
      <c r="G17" s="144" t="n">
        <v>29000</v>
      </c>
      <c r="H17" s="145">
        <f>G17*F17</f>
        <v/>
      </c>
      <c r="I17" s="144" t="inlineStr">
        <is>
          <t>Recebido</t>
        </is>
      </c>
      <c r="J17" s="147" t="inlineStr">
        <is>
          <t>Lançado ERP</t>
        </is>
      </c>
      <c r="K17" s="130" t="n"/>
      <c r="L17" s="130" t="n"/>
    </row>
    <row r="18" outlineLevel="2" ht="13.9" customHeight="1">
      <c r="A18" s="140" t="n"/>
      <c r="B18" s="141" t="inlineStr">
        <is>
          <t>SERVIÇO</t>
        </is>
      </c>
      <c r="C18" s="142" t="inlineStr">
        <is>
          <t>01.001.001.008</t>
        </is>
      </c>
      <c r="D18" s="143" t="inlineStr">
        <is>
          <t>Solugeot - Teste de Carga</t>
        </is>
      </c>
      <c r="E18" s="68" t="inlineStr">
        <is>
          <t>vb</t>
        </is>
      </c>
      <c r="F18" s="144" t="n">
        <v>1</v>
      </c>
      <c r="G18" s="144" t="n">
        <v>140000</v>
      </c>
      <c r="H18" s="145">
        <f>G18*F18</f>
        <v/>
      </c>
      <c r="I18" s="144" t="inlineStr">
        <is>
          <t>Recebido</t>
        </is>
      </c>
      <c r="J18" s="147" t="inlineStr">
        <is>
          <t>Lançado ERP</t>
        </is>
      </c>
      <c r="K18" s="130" t="n"/>
      <c r="L18" s="130" t="n"/>
    </row>
    <row r="19" outlineLevel="2" ht="13.9" customHeight="1">
      <c r="A19" s="140" t="n"/>
      <c r="B19" s="141" t="inlineStr">
        <is>
          <t>SERVIÇO</t>
        </is>
      </c>
      <c r="C19" s="142" t="inlineStr">
        <is>
          <t>01.001.001.009</t>
        </is>
      </c>
      <c r="D19" s="143" t="inlineStr">
        <is>
          <t>Concreto  - Teste de Carga</t>
        </is>
      </c>
      <c r="E19" s="68" t="inlineStr">
        <is>
          <t>vb</t>
        </is>
      </c>
      <c r="F19" s="144" t="n">
        <v>1</v>
      </c>
      <c r="G19" s="144" t="n">
        <v>20000</v>
      </c>
      <c r="H19" s="145">
        <f>G19*F19</f>
        <v/>
      </c>
      <c r="I19" s="144" t="inlineStr">
        <is>
          <t>Recebido</t>
        </is>
      </c>
      <c r="J19" s="147" t="inlineStr">
        <is>
          <t>Lançado ERP</t>
        </is>
      </c>
      <c r="K19" s="130" t="n"/>
      <c r="L19" s="130" t="n"/>
    </row>
    <row r="20" outlineLevel="1" ht="13.9" customHeight="1">
      <c r="A20" s="140" t="n"/>
      <c r="B20" s="141" t="inlineStr">
        <is>
          <t>SUBETAPA</t>
        </is>
      </c>
      <c r="C20" s="142" t="inlineStr">
        <is>
          <t>01.001.002</t>
        </is>
      </c>
      <c r="D20" s="143" t="inlineStr">
        <is>
          <t>Projetos</t>
        </is>
      </c>
      <c r="E20" s="68" t="n"/>
      <c r="F20" s="144" t="n"/>
      <c r="G20" s="144" t="n"/>
      <c r="H20" s="145">
        <f>H21+H22+H23+H24+H25+H26+H27+H28+H29+H30+H31+H32+H33+H34+H35+H36+H37+H38+H39+H40</f>
        <v/>
      </c>
      <c r="I20" s="144" t="n"/>
      <c r="J20" s="147" t="n"/>
      <c r="K20" s="130" t="n"/>
      <c r="L20" s="130" t="n"/>
    </row>
    <row r="21" outlineLevel="2" ht="13.9" customHeight="1">
      <c r="A21" s="140" t="n"/>
      <c r="B21" s="141" t="inlineStr">
        <is>
          <t>SERVIÇO</t>
        </is>
      </c>
      <c r="C21" s="142" t="inlineStr">
        <is>
          <t>01.001.002.001</t>
        </is>
      </c>
      <c r="D21" s="143" t="inlineStr">
        <is>
          <t>Legalização de incorporação</t>
        </is>
      </c>
      <c r="E21" s="68" t="inlineStr">
        <is>
          <t>vb</t>
        </is>
      </c>
      <c r="F21" s="144" t="n">
        <v>1</v>
      </c>
      <c r="G21" s="144" t="n">
        <v>67351.99290991822</v>
      </c>
      <c r="H21" s="145">
        <f>G21*F21</f>
        <v/>
      </c>
      <c r="I21" s="144" t="inlineStr">
        <is>
          <t>Estimado</t>
        </is>
      </c>
      <c r="J21" s="147" t="inlineStr">
        <is>
          <t>Lançado ERP</t>
        </is>
      </c>
      <c r="K21" s="130" t="n"/>
      <c r="L21" s="130" t="n"/>
    </row>
    <row r="22" outlineLevel="2" ht="25.5" customHeight="1">
      <c r="A22" s="140" t="n"/>
      <c r="B22" s="141" t="inlineStr">
        <is>
          <t>SERVIÇO</t>
        </is>
      </c>
      <c r="C22" s="142" t="inlineStr">
        <is>
          <t>01.001.002.002</t>
        </is>
      </c>
      <c r="D22" s="143" t="inlineStr">
        <is>
          <t>Projeto arquitetônico legal</t>
        </is>
      </c>
      <c r="E22" s="68" t="inlineStr">
        <is>
          <t>vb</t>
        </is>
      </c>
      <c r="F22" s="144" t="n">
        <v>1</v>
      </c>
      <c r="G22" s="144" t="n">
        <v>237000</v>
      </c>
      <c r="H22" s="145">
        <f>G22*F22</f>
        <v/>
      </c>
      <c r="I22" s="144" t="inlineStr">
        <is>
          <t>Recebido - Considerado junto desse projeto os valores de projeto arquitetônico legal + hidráulico + preventivo + elétrico + arquitetônico</t>
        </is>
      </c>
      <c r="J22" s="147" t="inlineStr">
        <is>
          <t>Lançado ERP</t>
        </is>
      </c>
      <c r="K22" s="130" t="n"/>
      <c r="L22" s="130" t="n"/>
    </row>
    <row r="23" outlineLevel="2" ht="18.75" customHeight="1">
      <c r="A23" s="140" t="n"/>
      <c r="B23" s="141" t="inlineStr">
        <is>
          <t>SERVIÇO</t>
        </is>
      </c>
      <c r="C23" s="142" t="inlineStr">
        <is>
          <t>01.001.002.003</t>
        </is>
      </c>
      <c r="D23" s="143" t="inlineStr">
        <is>
          <t xml:space="preserve">Projeto Arquitetônico interiores </t>
        </is>
      </c>
      <c r="E23" s="68" t="inlineStr">
        <is>
          <t>vb</t>
        </is>
      </c>
      <c r="F23" s="144" t="n">
        <v>1</v>
      </c>
      <c r="G23" s="144" t="n">
        <v>86773.37818371135</v>
      </c>
      <c r="H23" s="145">
        <f>G23*F23</f>
        <v/>
      </c>
      <c r="I23" s="144" t="inlineStr">
        <is>
          <t>Estimado</t>
        </is>
      </c>
      <c r="J23" s="147" t="inlineStr">
        <is>
          <t>Lançado ERP</t>
        </is>
      </c>
      <c r="K23" s="130" t="n"/>
      <c r="L23" s="130" t="n"/>
    </row>
    <row r="24" outlineLevel="2" ht="18.75" customHeight="1">
      <c r="A24" s="140" t="n"/>
      <c r="B24" s="141" t="inlineStr">
        <is>
          <t>SERVIÇO</t>
        </is>
      </c>
      <c r="C24" s="142" t="inlineStr">
        <is>
          <t>01.001.002.004</t>
        </is>
      </c>
      <c r="D24" s="143" t="inlineStr">
        <is>
          <t>Projeto arquitetônico de fachada</t>
        </is>
      </c>
      <c r="E24" s="68" t="inlineStr">
        <is>
          <t>vb</t>
        </is>
      </c>
      <c r="F24" s="144" t="n">
        <v>1</v>
      </c>
      <c r="G24" s="144" t="n">
        <v>58250</v>
      </c>
      <c r="H24" s="145">
        <f>G24*F24</f>
        <v/>
      </c>
      <c r="I24" s="144" t="inlineStr">
        <is>
          <t>Recebido</t>
        </is>
      </c>
      <c r="J24" s="147" t="inlineStr">
        <is>
          <t>Lançado ERP</t>
        </is>
      </c>
      <c r="K24" s="130" t="n"/>
      <c r="L24" s="130" t="n"/>
    </row>
    <row r="25" outlineLevel="2" ht="18.75" customHeight="1">
      <c r="A25" s="140" t="n"/>
      <c r="B25" s="141" t="inlineStr">
        <is>
          <t>SERVIÇO</t>
        </is>
      </c>
      <c r="C25" s="142" t="inlineStr">
        <is>
          <t>01.001.002.005</t>
        </is>
      </c>
      <c r="D25" s="143" t="inlineStr">
        <is>
          <t>Projeto técnico de fachada</t>
        </is>
      </c>
      <c r="E25" s="68" t="inlineStr">
        <is>
          <t>vb</t>
        </is>
      </c>
      <c r="F25" s="144" t="n">
        <v>1</v>
      </c>
      <c r="G25" s="144" t="n">
        <v>75145.11986632372</v>
      </c>
      <c r="H25" s="145">
        <f>G25*F25</f>
        <v/>
      </c>
      <c r="I25" s="144" t="inlineStr">
        <is>
          <t>Estimado</t>
        </is>
      </c>
      <c r="J25" s="147" t="inlineStr">
        <is>
          <t>Lançado ERP</t>
        </is>
      </c>
      <c r="K25" s="130" t="n"/>
      <c r="L25" s="130" t="n"/>
    </row>
    <row r="26" outlineLevel="2" ht="13.9" customHeight="1">
      <c r="A26" s="140" t="n"/>
      <c r="B26" s="141" t="inlineStr">
        <is>
          <t>SERVIÇO</t>
        </is>
      </c>
      <c r="C26" s="142" t="inlineStr">
        <is>
          <t>01.001.002.006</t>
        </is>
      </c>
      <c r="D26" s="143" t="inlineStr">
        <is>
          <t>Projeto de terraplanagem</t>
        </is>
      </c>
      <c r="E26" s="68" t="inlineStr">
        <is>
          <t>vb</t>
        </is>
      </c>
      <c r="F26" s="144" t="n">
        <v>1</v>
      </c>
      <c r="G26" s="144" t="n">
        <v>6962.435842087266</v>
      </c>
      <c r="H26" s="145">
        <f>G26*F26</f>
        <v/>
      </c>
      <c r="I26" s="144" t="inlineStr">
        <is>
          <t>Estimado</t>
        </is>
      </c>
      <c r="J26" s="147" t="inlineStr">
        <is>
          <t>Lançado ERP</t>
        </is>
      </c>
      <c r="K26" s="130" t="n"/>
      <c r="L26" s="130" t="n"/>
    </row>
    <row r="27" outlineLevel="2" ht="22.5" customHeight="1">
      <c r="A27" s="140" t="n"/>
      <c r="B27" s="141" t="inlineStr">
        <is>
          <t>SERVIÇO</t>
        </is>
      </c>
      <c r="C27" s="142" t="inlineStr">
        <is>
          <t>01.001.002.007</t>
        </is>
      </c>
      <c r="D27" s="143" t="inlineStr">
        <is>
          <t>Projeto estrutural</t>
        </is>
      </c>
      <c r="E27" s="68" t="inlineStr">
        <is>
          <t>vb</t>
        </is>
      </c>
      <c r="F27" s="144" t="n">
        <v>1</v>
      </c>
      <c r="G27" s="144" t="n">
        <v>70000</v>
      </c>
      <c r="H27" s="145">
        <f>G27*F27</f>
        <v/>
      </c>
      <c r="I27" s="144" t="inlineStr">
        <is>
          <t>Recebido - Considerado junto desse projeto os valores de projeto estrutural e fundação</t>
        </is>
      </c>
      <c r="J27" s="147" t="inlineStr">
        <is>
          <t>Lançado ERP</t>
        </is>
      </c>
      <c r="K27" s="130" t="n"/>
      <c r="L27" s="130" t="n"/>
    </row>
    <row r="28" outlineLevel="2" ht="13.9" customHeight="1">
      <c r="A28" s="140" t="n"/>
      <c r="B28" s="141" t="inlineStr">
        <is>
          <t>SERVIÇO</t>
        </is>
      </c>
      <c r="C28" s="142" t="inlineStr">
        <is>
          <t>01.001.002.008</t>
        </is>
      </c>
      <c r="D28" s="143" t="inlineStr">
        <is>
          <t>Projeto de automação</t>
        </is>
      </c>
      <c r="E28" s="68" t="inlineStr">
        <is>
          <t>vb</t>
        </is>
      </c>
      <c r="F28" s="144" t="n">
        <v>1</v>
      </c>
      <c r="G28" s="144" t="n">
        <v>96720.28125819581</v>
      </c>
      <c r="H28" s="145">
        <f>G28*F28</f>
        <v/>
      </c>
      <c r="I28" s="144" t="inlineStr">
        <is>
          <t>Estimado</t>
        </is>
      </c>
      <c r="J28" s="147" t="inlineStr">
        <is>
          <t>Lançado ERP</t>
        </is>
      </c>
      <c r="K28" s="130" t="n"/>
      <c r="L28" s="130" t="n"/>
    </row>
    <row r="29" outlineLevel="2" ht="13.9" customHeight="1">
      <c r="A29" s="140" t="n"/>
      <c r="B29" s="141" t="inlineStr">
        <is>
          <t>SERVIÇO</t>
        </is>
      </c>
      <c r="C29" s="142" t="inlineStr">
        <is>
          <t>01.001.002.009</t>
        </is>
      </c>
      <c r="D29" s="143" t="inlineStr">
        <is>
          <t>Projeto de irrigação</t>
        </is>
      </c>
      <c r="E29" s="68" t="inlineStr">
        <is>
          <t>vb</t>
        </is>
      </c>
      <c r="F29" s="144" t="n">
        <v>1</v>
      </c>
      <c r="G29" s="144" t="n">
        <v>39550.22017706998</v>
      </c>
      <c r="H29" s="145">
        <f>G29*F29</f>
        <v/>
      </c>
      <c r="I29" s="144" t="inlineStr">
        <is>
          <t>Estimado</t>
        </is>
      </c>
      <c r="J29" s="147" t="inlineStr">
        <is>
          <t>Lançado ERP</t>
        </is>
      </c>
      <c r="K29" s="130" t="n"/>
      <c r="L29" s="130" t="n"/>
    </row>
    <row r="30" outlineLevel="2" ht="22.5" customHeight="1">
      <c r="A30" s="140" t="n"/>
      <c r="B30" s="141" t="inlineStr">
        <is>
          <t>SERVIÇO</t>
        </is>
      </c>
      <c r="C30" s="142" t="inlineStr">
        <is>
          <t>01.001.002.010</t>
        </is>
      </c>
      <c r="D30" s="143" t="inlineStr">
        <is>
          <t>Projeto preventivo (PPCI - Plano de Prevenção e Proteção Contra Incêndios) e Gás</t>
        </is>
      </c>
      <c r="E30" s="68" t="inlineStr">
        <is>
          <t>vb</t>
        </is>
      </c>
      <c r="F30" s="144" t="n">
        <v>1</v>
      </c>
      <c r="G30" s="144" t="n">
        <v>27354.01804021794</v>
      </c>
      <c r="H30" s="145">
        <f>G30*F30</f>
        <v/>
      </c>
      <c r="I30" s="144" t="inlineStr">
        <is>
          <t>Estimado - Considerado somente o projeto de gás, pois o ppci, conforme informado no formulario, esta nicluso no arquitetônico</t>
        </is>
      </c>
      <c r="J30" s="147" t="inlineStr">
        <is>
          <t>Lançado ERP</t>
        </is>
      </c>
      <c r="K30" s="130" t="n"/>
      <c r="L30" s="130" t="n"/>
    </row>
    <row r="31" outlineLevel="2" ht="13.9" customHeight="1">
      <c r="A31" s="140" t="n"/>
      <c r="B31" s="141" t="inlineStr">
        <is>
          <t>SERVIÇO</t>
        </is>
      </c>
      <c r="C31" s="142" t="inlineStr">
        <is>
          <t>01.001.002.011</t>
        </is>
      </c>
      <c r="D31" s="143" t="inlineStr">
        <is>
          <t>Projeto de climatização/exaustão</t>
        </is>
      </c>
      <c r="E31" s="68" t="inlineStr">
        <is>
          <t>vb</t>
        </is>
      </c>
      <c r="F31" s="144" t="n">
        <v>1</v>
      </c>
      <c r="G31" s="144" t="n">
        <v>91124.89308623406</v>
      </c>
      <c r="H31" s="145">
        <f>G31*F31</f>
        <v/>
      </c>
      <c r="I31" s="144" t="inlineStr">
        <is>
          <t>Estimado</t>
        </is>
      </c>
      <c r="J31" s="147" t="inlineStr">
        <is>
          <t>Lançado ERP</t>
        </is>
      </c>
      <c r="K31" s="130" t="n"/>
      <c r="L31" s="130" t="n"/>
    </row>
    <row r="32" outlineLevel="2" ht="13.9" customHeight="1">
      <c r="A32" s="140" t="n"/>
      <c r="B32" s="141" t="inlineStr">
        <is>
          <t>SERVIÇO</t>
        </is>
      </c>
      <c r="C32" s="142" t="inlineStr">
        <is>
          <t>01.001.002.012</t>
        </is>
      </c>
      <c r="D32" s="143" t="inlineStr">
        <is>
          <t>Projeto de Segurança</t>
        </is>
      </c>
      <c r="E32" s="68" t="inlineStr">
        <is>
          <t>vb</t>
        </is>
      </c>
      <c r="F32" s="144" t="n">
        <v>1</v>
      </c>
      <c r="G32" s="144" t="n">
        <v>24827.00068568244</v>
      </c>
      <c r="H32" s="145">
        <f>G32*F32</f>
        <v/>
      </c>
      <c r="I32" s="144" t="inlineStr">
        <is>
          <t>Estimado</t>
        </is>
      </c>
      <c r="J32" s="147" t="inlineStr">
        <is>
          <t>Lançado ERP</t>
        </is>
      </c>
      <c r="K32" s="130" t="n"/>
      <c r="L32" s="130" t="n"/>
    </row>
    <row r="33" outlineLevel="2" ht="13.9" customHeight="1">
      <c r="A33" s="140" t="n"/>
      <c r="B33" s="141" t="inlineStr">
        <is>
          <t>SERVIÇO</t>
        </is>
      </c>
      <c r="C33" s="142" t="inlineStr">
        <is>
          <t>01.001.002.013</t>
        </is>
      </c>
      <c r="D33" s="143" t="inlineStr">
        <is>
          <t>Projeto de Impremeabilização</t>
        </is>
      </c>
      <c r="E33" s="68" t="inlineStr">
        <is>
          <t>vb</t>
        </is>
      </c>
      <c r="F33" s="144" t="n">
        <v>1</v>
      </c>
      <c r="G33" s="144" t="n">
        <v>85263.0578584646</v>
      </c>
      <c r="H33" s="145">
        <f>G33*F33</f>
        <v/>
      </c>
      <c r="I33" s="144" t="inlineStr">
        <is>
          <t>Estimado</t>
        </is>
      </c>
      <c r="J33" s="147" t="inlineStr">
        <is>
          <t>Lançado ERP</t>
        </is>
      </c>
      <c r="K33" s="130" t="n"/>
      <c r="L33" s="130" t="n"/>
    </row>
    <row r="34" outlineLevel="2" ht="13.9" customHeight="1">
      <c r="A34" s="140" t="n"/>
      <c r="B34" s="141" t="inlineStr">
        <is>
          <t>SERVIÇO</t>
        </is>
      </c>
      <c r="C34" s="142" t="inlineStr">
        <is>
          <t>01.001.002.014</t>
        </is>
      </c>
      <c r="D34" s="143" t="inlineStr">
        <is>
          <t>Projeto de esquadrias</t>
        </is>
      </c>
      <c r="E34" s="68" t="inlineStr">
        <is>
          <t>vb</t>
        </is>
      </c>
      <c r="F34" s="144" t="n">
        <v>1</v>
      </c>
      <c r="G34" s="144" t="n">
        <v>40000</v>
      </c>
      <c r="H34" s="145">
        <f>G34*F34</f>
        <v/>
      </c>
      <c r="I34" s="144" t="inlineStr">
        <is>
          <t>Recebido</t>
        </is>
      </c>
      <c r="J34" s="147" t="inlineStr">
        <is>
          <t>Lançado ERP</t>
        </is>
      </c>
      <c r="K34" s="130" t="n"/>
      <c r="L34" s="130" t="n"/>
    </row>
    <row r="35" outlineLevel="2" ht="12.75" customHeight="1">
      <c r="A35" s="140" t="n"/>
      <c r="B35" s="141" t="inlineStr">
        <is>
          <t>SERVIÇO</t>
        </is>
      </c>
      <c r="C35" s="142" t="inlineStr">
        <is>
          <t>01.001.002.015</t>
        </is>
      </c>
      <c r="D35" s="143" t="inlineStr">
        <is>
          <t>Projeto de forro</t>
        </is>
      </c>
      <c r="E35" s="68" t="inlineStr">
        <is>
          <t>vb</t>
        </is>
      </c>
      <c r="F35" s="144" t="n">
        <v>1</v>
      </c>
      <c r="G35" s="144" t="n">
        <v>64959.92999999999</v>
      </c>
      <c r="H35" s="145">
        <f>G35*F35</f>
        <v/>
      </c>
      <c r="I35" s="144" t="inlineStr">
        <is>
          <t>Estimado</t>
        </is>
      </c>
      <c r="J35" s="147" t="inlineStr">
        <is>
          <t>Lançado ERP</t>
        </is>
      </c>
      <c r="K35" s="130" t="n"/>
      <c r="L35" s="130" t="n"/>
    </row>
    <row r="36" outlineLevel="2" ht="13.9" customHeight="1">
      <c r="A36" s="140" t="n"/>
      <c r="B36" s="141" t="inlineStr">
        <is>
          <t>SERVIÇO</t>
        </is>
      </c>
      <c r="C36" s="142" t="inlineStr">
        <is>
          <t>01.001.002.016</t>
        </is>
      </c>
      <c r="D36" s="143" t="inlineStr">
        <is>
          <t>Projeto acústico</t>
        </is>
      </c>
      <c r="E36" s="68" t="inlineStr">
        <is>
          <t>vb</t>
        </is>
      </c>
      <c r="F36" s="144" t="n">
        <v>1</v>
      </c>
      <c r="G36" s="144" t="n">
        <v>8000</v>
      </c>
      <c r="H36" s="145">
        <f>G36*F36</f>
        <v/>
      </c>
      <c r="I36" s="144" t="inlineStr">
        <is>
          <t>Recebido</t>
        </is>
      </c>
      <c r="J36" s="147" t="inlineStr">
        <is>
          <t>Lançado ERP</t>
        </is>
      </c>
      <c r="K36" s="130" t="n"/>
      <c r="L36" s="130" t="n"/>
    </row>
    <row r="37" outlineLevel="2" ht="13.9" customHeight="1">
      <c r="A37" s="140" t="n"/>
      <c r="B37" s="141" t="inlineStr">
        <is>
          <t>SERVIÇO</t>
        </is>
      </c>
      <c r="C37" s="142" t="inlineStr">
        <is>
          <t>01.001.002.017</t>
        </is>
      </c>
      <c r="D37" s="143" t="inlineStr">
        <is>
          <t>Protjeto de Sonorização</t>
        </is>
      </c>
      <c r="E37" s="68" t="inlineStr">
        <is>
          <t>vb</t>
        </is>
      </c>
      <c r="F37" s="144" t="n">
        <v>1</v>
      </c>
      <c r="G37" s="144" t="n">
        <v>43306.61999999999</v>
      </c>
      <c r="H37" s="145">
        <f>G37*F37</f>
        <v/>
      </c>
      <c r="I37" s="144" t="inlineStr">
        <is>
          <t>Estimado</t>
        </is>
      </c>
      <c r="J37" s="147" t="inlineStr">
        <is>
          <t>Lançado ERP</t>
        </is>
      </c>
      <c r="K37" s="130" t="n"/>
      <c r="L37" s="130" t="n"/>
    </row>
    <row r="38" outlineLevel="2" ht="12.75" customHeight="1">
      <c r="A38" s="140" t="n"/>
      <c r="B38" s="141" t="inlineStr">
        <is>
          <t>SERVIÇO</t>
        </is>
      </c>
      <c r="C38" s="142" t="inlineStr">
        <is>
          <t>01.001.002.018</t>
        </is>
      </c>
      <c r="D38" s="143" t="inlineStr">
        <is>
          <t>Projeto de Piscina</t>
        </is>
      </c>
      <c r="E38" s="68" t="inlineStr">
        <is>
          <t>vb</t>
        </is>
      </c>
      <c r="F38" s="144" t="n">
        <v>1</v>
      </c>
      <c r="G38" s="144" t="n">
        <v>22859.79886884976</v>
      </c>
      <c r="H38" s="145">
        <f>G38*F38</f>
        <v/>
      </c>
      <c r="I38" s="144" t="inlineStr">
        <is>
          <t>Estimado</t>
        </is>
      </c>
      <c r="J38" s="147" t="inlineStr">
        <is>
          <t>Lançado ERP</t>
        </is>
      </c>
      <c r="K38" s="130" t="n"/>
      <c r="L38" s="130" t="n"/>
    </row>
    <row r="39" outlineLevel="2" ht="13.9" customHeight="1">
      <c r="A39" s="140" t="n"/>
      <c r="B39" s="141" t="inlineStr">
        <is>
          <t>SERVIÇO</t>
        </is>
      </c>
      <c r="C39" s="142" t="inlineStr">
        <is>
          <t>01.001.002.019</t>
        </is>
      </c>
      <c r="D39" s="143" t="inlineStr">
        <is>
          <t>Projeto de comunicação visual</t>
        </is>
      </c>
      <c r="E39" s="68" t="inlineStr">
        <is>
          <t>vb</t>
        </is>
      </c>
      <c r="F39" s="144" t="n">
        <v>1</v>
      </c>
      <c r="G39" s="144" t="n">
        <v>22859.79886884976</v>
      </c>
      <c r="H39" s="145">
        <f>G39*F39</f>
        <v/>
      </c>
      <c r="I39" s="144" t="inlineStr">
        <is>
          <t>Estimado</t>
        </is>
      </c>
      <c r="J39" s="147" t="inlineStr">
        <is>
          <t>Lançado ERP</t>
        </is>
      </c>
      <c r="K39" s="130" t="n"/>
      <c r="L39" s="130" t="n"/>
    </row>
    <row r="40" outlineLevel="2" ht="13.9" customHeight="1">
      <c r="A40" s="140" t="n"/>
      <c r="B40" s="141" t="inlineStr">
        <is>
          <t>SERVIÇO</t>
        </is>
      </c>
      <c r="C40" s="142" t="inlineStr">
        <is>
          <t>01.001.002.020</t>
        </is>
      </c>
      <c r="D40" s="143" t="inlineStr">
        <is>
          <t>Projeto de Paisagismo</t>
        </is>
      </c>
      <c r="E40" s="68" t="inlineStr">
        <is>
          <t>vb</t>
        </is>
      </c>
      <c r="F40" s="144" t="n">
        <v>1</v>
      </c>
      <c r="G40" s="144" t="n">
        <v>36770.65206348162</v>
      </c>
      <c r="H40" s="145">
        <f>G40*F40</f>
        <v/>
      </c>
      <c r="I40" s="144" t="inlineStr">
        <is>
          <t>Estimado</t>
        </is>
      </c>
      <c r="J40" s="147" t="inlineStr">
        <is>
          <t>Lançado ERP</t>
        </is>
      </c>
      <c r="K40" s="130" t="n"/>
      <c r="L40" s="130" t="n"/>
    </row>
    <row r="41" outlineLevel="1" ht="13.9" customHeight="1">
      <c r="A41" s="140" t="n"/>
      <c r="B41" s="141" t="inlineStr">
        <is>
          <t>SUBETAPA</t>
        </is>
      </c>
      <c r="C41" s="142" t="inlineStr">
        <is>
          <t>01.001.003</t>
        </is>
      </c>
      <c r="D41" s="143" t="inlineStr">
        <is>
          <t>Consultorias</t>
        </is>
      </c>
      <c r="E41" s="68" t="n"/>
      <c r="F41" s="144" t="n"/>
      <c r="G41" s="144" t="n"/>
      <c r="H41" s="145">
        <f>H42+H43+H44+H45</f>
        <v/>
      </c>
      <c r="I41" s="144" t="n"/>
      <c r="J41" s="147" t="n"/>
      <c r="K41" s="130" t="n"/>
      <c r="L41" s="130" t="n"/>
    </row>
    <row r="42" outlineLevel="2" ht="13.9" customHeight="1">
      <c r="A42" s="140" t="n"/>
      <c r="B42" s="141" t="inlineStr">
        <is>
          <t>SERVIÇO</t>
        </is>
      </c>
      <c r="C42" s="142" t="inlineStr">
        <is>
          <t>01.001.003.001</t>
        </is>
      </c>
      <c r="D42" s="143" t="inlineStr">
        <is>
          <t>Compatibilização de Projetos BIM</t>
        </is>
      </c>
      <c r="E42" s="68" t="inlineStr">
        <is>
          <t>vb</t>
        </is>
      </c>
      <c r="F42" s="144" t="n">
        <v>1</v>
      </c>
      <c r="G42" s="144" t="n">
        <v>144789.8703379467</v>
      </c>
      <c r="H42" s="145">
        <f>G42*F42</f>
        <v/>
      </c>
      <c r="I42" s="144" t="inlineStr">
        <is>
          <t>Estimado</t>
        </is>
      </c>
      <c r="J42" s="147" t="inlineStr">
        <is>
          <t>Lançado ERP</t>
        </is>
      </c>
      <c r="K42" s="130" t="n"/>
      <c r="L42" s="130" t="n"/>
    </row>
    <row r="43" outlineLevel="2" ht="13.9" customHeight="1">
      <c r="A43" s="140" t="n"/>
      <c r="B43" s="141" t="inlineStr">
        <is>
          <t>SERVIÇO</t>
        </is>
      </c>
      <c r="C43" s="142" t="inlineStr">
        <is>
          <t>01.001.003.002</t>
        </is>
      </c>
      <c r="D43" s="143" t="inlineStr">
        <is>
          <t>Tour Virtual</t>
        </is>
      </c>
      <c r="E43" s="68" t="inlineStr">
        <is>
          <t>vb</t>
        </is>
      </c>
      <c r="F43" s="144" t="n">
        <v>1</v>
      </c>
      <c r="G43" s="144" t="n">
        <v>11300</v>
      </c>
      <c r="H43" s="145">
        <f>G43*F43</f>
        <v/>
      </c>
      <c r="I43" s="144" t="inlineStr">
        <is>
          <t>Recebido</t>
        </is>
      </c>
      <c r="J43" s="147" t="inlineStr">
        <is>
          <t>Lançado ERP</t>
        </is>
      </c>
      <c r="K43" s="130" t="n"/>
      <c r="L43" s="130" t="n"/>
    </row>
    <row r="44" outlineLevel="2" ht="13.9" customHeight="1">
      <c r="A44" s="140" t="n"/>
      <c r="B44" s="141" t="inlineStr">
        <is>
          <t>SERVIÇO</t>
        </is>
      </c>
      <c r="C44" s="142" t="inlineStr">
        <is>
          <t>01.001.003.003</t>
        </is>
      </c>
      <c r="D44" s="143" t="inlineStr">
        <is>
          <t>Consultoria técnica de legalização</t>
        </is>
      </c>
      <c r="E44" s="68" t="inlineStr">
        <is>
          <t>vb</t>
        </is>
      </c>
      <c r="F44" s="144" t="n">
        <v>1</v>
      </c>
      <c r="G44" s="144" t="n">
        <v>16000</v>
      </c>
      <c r="H44" s="145">
        <f>G44*F44</f>
        <v/>
      </c>
      <c r="I44" s="144" t="inlineStr">
        <is>
          <t>Recebido</t>
        </is>
      </c>
      <c r="J44" s="147" t="inlineStr">
        <is>
          <t>Lançado ERP</t>
        </is>
      </c>
      <c r="K44" s="130" t="n"/>
      <c r="L44" s="130" t="n"/>
    </row>
    <row r="45" outlineLevel="2" ht="13.9" customHeight="1">
      <c r="A45" s="140" t="n"/>
      <c r="B45" s="141" t="inlineStr">
        <is>
          <t>SERVIÇO</t>
        </is>
      </c>
      <c r="C45" s="142" t="inlineStr">
        <is>
          <t>01.001.003.004</t>
        </is>
      </c>
      <c r="D45" s="143" t="inlineStr">
        <is>
          <t>Orçamento e planejamento</t>
        </is>
      </c>
      <c r="E45" s="68" t="inlineStr">
        <is>
          <t>vb</t>
        </is>
      </c>
      <c r="F45" s="144" t="n">
        <v>1</v>
      </c>
      <c r="G45" s="144" t="n">
        <v>34500</v>
      </c>
      <c r="H45" s="145">
        <f>G45*F45</f>
        <v/>
      </c>
      <c r="I45" s="144" t="inlineStr">
        <is>
          <t>Recebido</t>
        </is>
      </c>
      <c r="J45" s="147" t="inlineStr">
        <is>
          <t>Lançado ERP</t>
        </is>
      </c>
      <c r="K45" s="130" t="n"/>
      <c r="L45" s="130" t="n"/>
    </row>
    <row r="46" outlineLevel="1" ht="13.9" customHeight="1">
      <c r="A46" s="140" t="n"/>
      <c r="B46" s="141" t="inlineStr">
        <is>
          <t>SUBETAPA</t>
        </is>
      </c>
      <c r="C46" s="142" t="inlineStr">
        <is>
          <t>01.001.004</t>
        </is>
      </c>
      <c r="D46" s="143" t="inlineStr">
        <is>
          <t>Ensaios</t>
        </is>
      </c>
      <c r="E46" s="68" t="n"/>
      <c r="F46" s="144" t="n"/>
      <c r="G46" s="144" t="n"/>
      <c r="H46" s="145">
        <f>H47+H48+H49+H50+H51+H52+H53+H54+H55+H56</f>
        <v/>
      </c>
      <c r="I46" s="144" t="n"/>
      <c r="J46" s="147" t="n"/>
      <c r="K46" s="130" t="n"/>
      <c r="L46" s="130" t="n"/>
    </row>
    <row r="47" outlineLevel="2" ht="13.9" customHeight="1">
      <c r="A47" s="140" t="n"/>
      <c r="B47" s="141" t="inlineStr">
        <is>
          <t>SERVIÇO</t>
        </is>
      </c>
      <c r="C47" s="142" t="inlineStr">
        <is>
          <t>01.001.004.001</t>
        </is>
      </c>
      <c r="D47" s="143" t="inlineStr">
        <is>
          <t>Controle tecnológico do concreto</t>
        </is>
      </c>
      <c r="E47" s="68" t="inlineStr">
        <is>
          <t>vb</t>
        </is>
      </c>
      <c r="F47" s="144" t="n">
        <v>1</v>
      </c>
      <c r="G47" s="144" t="n">
        <v>238185</v>
      </c>
      <c r="H47" s="145">
        <f>G47*F47</f>
        <v/>
      </c>
      <c r="I47" s="144" t="inlineStr">
        <is>
          <t>Estimado</t>
        </is>
      </c>
      <c r="J47" s="147" t="inlineStr">
        <is>
          <t>Lançado ERP</t>
        </is>
      </c>
      <c r="K47" s="130" t="n"/>
      <c r="L47" s="130" t="n"/>
    </row>
    <row r="48" outlineLevel="2" ht="13.9" customHeight="1">
      <c r="A48" s="140" t="n"/>
      <c r="B48" s="141" t="inlineStr">
        <is>
          <t>SERVIÇO</t>
        </is>
      </c>
      <c r="C48" s="142" t="inlineStr">
        <is>
          <t>01.001.004.002</t>
        </is>
      </c>
      <c r="D48" s="143" t="inlineStr">
        <is>
          <t>Ensaio de argamassa</t>
        </is>
      </c>
      <c r="E48" s="68" t="inlineStr">
        <is>
          <t>vb</t>
        </is>
      </c>
      <c r="F48" s="144" t="n">
        <v>1</v>
      </c>
      <c r="G48" s="144" t="n">
        <v>11200</v>
      </c>
      <c r="H48" s="145">
        <f>G48*F48</f>
        <v/>
      </c>
      <c r="I48" s="144" t="inlineStr">
        <is>
          <t>Estimado</t>
        </is>
      </c>
      <c r="J48" s="147" t="inlineStr">
        <is>
          <t>Lançado ERP</t>
        </is>
      </c>
      <c r="K48" s="130" t="n"/>
      <c r="L48" s="130" t="n"/>
    </row>
    <row r="49" outlineLevel="2" ht="12.75" customHeight="1">
      <c r="A49" s="140" t="n"/>
      <c r="B49" s="141" t="inlineStr">
        <is>
          <t>SERVIÇO</t>
        </is>
      </c>
      <c r="C49" s="142" t="inlineStr">
        <is>
          <t>01.001.004.003</t>
        </is>
      </c>
      <c r="D49" s="143" t="inlineStr">
        <is>
          <t>Prova de carga</t>
        </is>
      </c>
      <c r="E49" s="68" t="inlineStr">
        <is>
          <t>vb</t>
        </is>
      </c>
      <c r="F49" s="144" t="n">
        <v>1</v>
      </c>
      <c r="G49" s="144" t="n">
        <v>5500</v>
      </c>
      <c r="H49" s="145">
        <f>G49*F49</f>
        <v/>
      </c>
      <c r="I49" s="144" t="inlineStr">
        <is>
          <t>Estimado</t>
        </is>
      </c>
      <c r="J49" s="147" t="inlineStr">
        <is>
          <t>Lançado ERP</t>
        </is>
      </c>
      <c r="K49" s="130" t="n"/>
      <c r="L49" s="130" t="n"/>
    </row>
    <row r="50" outlineLevel="2" ht="13.9" customHeight="1">
      <c r="A50" s="140" t="n"/>
      <c r="B50" s="141" t="inlineStr">
        <is>
          <t>SERVIÇO</t>
        </is>
      </c>
      <c r="C50" s="142" t="inlineStr">
        <is>
          <t>01.001.004.004</t>
        </is>
      </c>
      <c r="D50" s="143" t="inlineStr">
        <is>
          <t>Ensaio de arrancamento de reboco</t>
        </is>
      </c>
      <c r="E50" s="68" t="inlineStr">
        <is>
          <t>vb</t>
        </is>
      </c>
      <c r="F50" s="144" t="n">
        <v>1</v>
      </c>
      <c r="G50" s="144" t="n">
        <v>6300</v>
      </c>
      <c r="H50" s="145">
        <f>G50*F50</f>
        <v/>
      </c>
      <c r="I50" s="144" t="inlineStr">
        <is>
          <t>Estimado</t>
        </is>
      </c>
      <c r="J50" s="147" t="inlineStr">
        <is>
          <t>Lançado ERP</t>
        </is>
      </c>
      <c r="K50" s="130" t="n"/>
      <c r="L50" s="130" t="n"/>
    </row>
    <row r="51" outlineLevel="2" ht="13.9" customHeight="1">
      <c r="A51" s="140" t="n"/>
      <c r="B51" s="141" t="inlineStr">
        <is>
          <t>SERVIÇO</t>
        </is>
      </c>
      <c r="C51" s="142" t="inlineStr">
        <is>
          <t>01.001.004.005</t>
        </is>
      </c>
      <c r="D51" s="143" t="inlineStr">
        <is>
          <t>Ensaio de arrancamento revestimento cerâmico</t>
        </is>
      </c>
      <c r="E51" s="68" t="inlineStr">
        <is>
          <t>vb</t>
        </is>
      </c>
      <c r="F51" s="144" t="n">
        <v>1</v>
      </c>
      <c r="G51" s="144" t="n">
        <v>5360</v>
      </c>
      <c r="H51" s="145">
        <f>G51*F51</f>
        <v/>
      </c>
      <c r="I51" s="144" t="inlineStr">
        <is>
          <t>Estimado</t>
        </is>
      </c>
      <c r="J51" s="147" t="inlineStr">
        <is>
          <t>Lançado ERP</t>
        </is>
      </c>
      <c r="K51" s="130" t="n"/>
      <c r="L51" s="130" t="n"/>
    </row>
    <row r="52" outlineLevel="2" ht="12.75" customHeight="1">
      <c r="A52" s="140" t="n"/>
      <c r="B52" s="141" t="inlineStr">
        <is>
          <t>SERVIÇO</t>
        </is>
      </c>
      <c r="C52" s="142" t="inlineStr">
        <is>
          <t>01.001.004.006</t>
        </is>
      </c>
      <c r="D52" s="143" t="inlineStr">
        <is>
          <t>Ensaio de arrancamento fachada</t>
        </is>
      </c>
      <c r="E52" s="68" t="inlineStr">
        <is>
          <t>vb</t>
        </is>
      </c>
      <c r="F52" s="144" t="n">
        <v>1</v>
      </c>
      <c r="G52" s="144" t="n">
        <v>5360</v>
      </c>
      <c r="H52" s="145">
        <f>G52*F52</f>
        <v/>
      </c>
      <c r="I52" s="144" t="inlineStr">
        <is>
          <t>Estimado</t>
        </is>
      </c>
      <c r="J52" s="147" t="inlineStr">
        <is>
          <t>Lançado ERP</t>
        </is>
      </c>
      <c r="K52" s="130" t="n"/>
      <c r="L52" s="130" t="n"/>
    </row>
    <row r="53" outlineLevel="2" ht="13.9" customHeight="1">
      <c r="A53" s="140" t="n"/>
      <c r="B53" s="141" t="inlineStr">
        <is>
          <t>SERVIÇO</t>
        </is>
      </c>
      <c r="C53" s="142" t="inlineStr">
        <is>
          <t>01.001.004.007</t>
        </is>
      </c>
      <c r="D53" s="143" t="inlineStr">
        <is>
          <t>Ensaio de arrancamento de gancho da cobertura</t>
        </is>
      </c>
      <c r="E53" s="68" t="inlineStr">
        <is>
          <t>vb</t>
        </is>
      </c>
      <c r="F53" s="144" t="n">
        <v>1</v>
      </c>
      <c r="G53" s="144" t="n">
        <v>3840</v>
      </c>
      <c r="H53" s="145">
        <f>G53*F53</f>
        <v/>
      </c>
      <c r="I53" s="144" t="inlineStr">
        <is>
          <t>Estimado</t>
        </is>
      </c>
      <c r="J53" s="147" t="inlineStr">
        <is>
          <t>Lançado ERP</t>
        </is>
      </c>
      <c r="K53" s="130" t="n"/>
      <c r="L53" s="130" t="n"/>
    </row>
    <row r="54" outlineLevel="2" ht="13.9" customHeight="1">
      <c r="A54" s="140" t="n"/>
      <c r="B54" s="141" t="inlineStr">
        <is>
          <t>SERVIÇO</t>
        </is>
      </c>
      <c r="C54" s="142" t="inlineStr">
        <is>
          <t>01.001.004.008</t>
        </is>
      </c>
      <c r="D54" s="143" t="inlineStr">
        <is>
          <t>Laudo de Vizinhança</t>
        </is>
      </c>
      <c r="E54" s="68" t="inlineStr">
        <is>
          <t>vb</t>
        </is>
      </c>
      <c r="F54" s="144" t="n">
        <v>1</v>
      </c>
      <c r="G54" s="144" t="n">
        <v>7500</v>
      </c>
      <c r="H54" s="145">
        <f>G54*F54</f>
        <v/>
      </c>
      <c r="I54" s="144" t="inlineStr">
        <is>
          <t>Recebido</t>
        </is>
      </c>
      <c r="J54" s="147" t="inlineStr">
        <is>
          <t>Lançado ERP</t>
        </is>
      </c>
      <c r="K54" s="130" t="n"/>
      <c r="L54" s="130" t="n"/>
    </row>
    <row r="55" outlineLevel="2" ht="13.9" customHeight="1">
      <c r="A55" s="140" t="n"/>
      <c r="B55" s="141" t="inlineStr">
        <is>
          <t>SERVIÇO</t>
        </is>
      </c>
      <c r="C55" s="142" t="inlineStr">
        <is>
          <t>01.001.004.009</t>
        </is>
      </c>
      <c r="D55" s="143" t="inlineStr">
        <is>
          <t>Laudo Spda</t>
        </is>
      </c>
      <c r="E55" s="68" t="inlineStr">
        <is>
          <t>vb</t>
        </is>
      </c>
      <c r="F55" s="144" t="n">
        <v>1</v>
      </c>
      <c r="G55" s="144" t="n">
        <v>4200</v>
      </c>
      <c r="H55" s="145">
        <f>G55*F55</f>
        <v/>
      </c>
      <c r="I55" s="144" t="inlineStr">
        <is>
          <t>Estimado</t>
        </is>
      </c>
      <c r="J55" s="147" t="inlineStr">
        <is>
          <t>Lançado ERP</t>
        </is>
      </c>
      <c r="K55" s="130" t="n"/>
      <c r="L55" s="130" t="n"/>
    </row>
    <row r="56" outlineLevel="2" ht="13.9" customHeight="1">
      <c r="A56" s="140" t="n"/>
      <c r="B56" s="141" t="inlineStr">
        <is>
          <t>SERVIÇO</t>
        </is>
      </c>
      <c r="C56" s="142" t="inlineStr">
        <is>
          <t>01.001.004.010</t>
        </is>
      </c>
      <c r="D56" s="143" t="inlineStr">
        <is>
          <t>Softwares</t>
        </is>
      </c>
      <c r="E56" s="68" t="inlineStr">
        <is>
          <t>vb</t>
        </is>
      </c>
      <c r="F56" s="144" t="n">
        <v>1</v>
      </c>
      <c r="G56" s="144" t="n">
        <v>313008</v>
      </c>
      <c r="H56" s="145">
        <f>G56*F56</f>
        <v/>
      </c>
      <c r="I56" s="144" t="inlineStr">
        <is>
          <t>Estimado</t>
        </is>
      </c>
      <c r="J56" s="147" t="inlineStr">
        <is>
          <t>Lançado ERP</t>
        </is>
      </c>
      <c r="K56" s="130" t="n"/>
      <c r="L56" s="130" t="n"/>
    </row>
    <row r="57" outlineLevel="1" ht="17.25" customHeight="1">
      <c r="A57" s="140" t="n"/>
      <c r="B57" s="141" t="inlineStr">
        <is>
          <t>ETAPA</t>
        </is>
      </c>
      <c r="C57" s="142" t="inlineStr">
        <is>
          <t>01.002</t>
        </is>
      </c>
      <c r="D57" s="143" t="inlineStr">
        <is>
          <t xml:space="preserve">TAXAS E DOCUMENTOS </t>
        </is>
      </c>
      <c r="E57" s="68" t="n"/>
      <c r="F57" s="144" t="n"/>
      <c r="G57" s="144" t="n"/>
      <c r="H57" s="145">
        <f>H58+H75</f>
        <v/>
      </c>
      <c r="I57" s="146" t="n"/>
      <c r="J57" s="147" t="n"/>
      <c r="K57" s="130" t="n"/>
      <c r="L57" s="130" t="n"/>
    </row>
    <row r="58" outlineLevel="1" ht="12" customHeight="1">
      <c r="A58" s="140" t="n"/>
      <c r="B58" s="141" t="inlineStr">
        <is>
          <t>SUBETAPA</t>
        </is>
      </c>
      <c r="C58" s="142" t="inlineStr">
        <is>
          <t>01.002.001</t>
        </is>
      </c>
      <c r="D58" s="148" t="inlineStr">
        <is>
          <t>Licenciamentos, Taxas, Impostos, Aprovações e Seguros</t>
        </is>
      </c>
      <c r="E58" s="68" t="n"/>
      <c r="F58" s="144" t="n"/>
      <c r="G58" s="144" t="n"/>
      <c r="H58" s="145">
        <f>H59+H60+H61+H62+H63+H64+H65+H66+H67+H68+H69+H70+H71+H72+H73+H74</f>
        <v/>
      </c>
      <c r="I58" s="146" t="n"/>
      <c r="J58" s="147" t="n"/>
      <c r="K58" s="130" t="n"/>
      <c r="L58" s="149" t="n"/>
    </row>
    <row r="59" outlineLevel="2" ht="12" customHeight="1">
      <c r="A59" s="140" t="n"/>
      <c r="B59" s="141" t="inlineStr">
        <is>
          <t>SERVIÇO</t>
        </is>
      </c>
      <c r="C59" s="142" t="inlineStr">
        <is>
          <t>01.002.001.001</t>
        </is>
      </c>
      <c r="D59" s="148" t="inlineStr">
        <is>
          <t>Despesas de Seguros</t>
        </is>
      </c>
      <c r="E59" s="144" t="inlineStr">
        <is>
          <t>vb</t>
        </is>
      </c>
      <c r="F59" s="144" t="n">
        <v>1</v>
      </c>
      <c r="G59" s="144" t="n">
        <v>71960.85141571923</v>
      </c>
      <c r="H59" s="145">
        <f>G59*F59</f>
        <v/>
      </c>
      <c r="I59" s="144" t="inlineStr">
        <is>
          <t>Estimado</t>
        </is>
      </c>
      <c r="J59" s="147" t="inlineStr">
        <is>
          <t>Finalizado</t>
        </is>
      </c>
      <c r="K59" s="130" t="n"/>
      <c r="L59" s="149" t="n"/>
    </row>
    <row r="60" outlineLevel="2" ht="12" customHeight="1">
      <c r="A60" s="140" t="n"/>
      <c r="B60" s="141" t="inlineStr">
        <is>
          <t>SERVIÇO</t>
        </is>
      </c>
      <c r="C60" s="142" t="inlineStr">
        <is>
          <t>01.002.001.002</t>
        </is>
      </c>
      <c r="D60" s="148" t="inlineStr">
        <is>
          <t>Taxas de consulta de viabilidade</t>
        </is>
      </c>
      <c r="E60" s="144" t="inlineStr">
        <is>
          <t>vb</t>
        </is>
      </c>
      <c r="F60" s="144" t="n">
        <v>1</v>
      </c>
      <c r="G60" s="144" t="n">
        <v>412.37</v>
      </c>
      <c r="H60" s="145">
        <f>G60*F60</f>
        <v/>
      </c>
      <c r="I60" s="144" t="inlineStr">
        <is>
          <t>Estimado</t>
        </is>
      </c>
      <c r="J60" s="147" t="inlineStr">
        <is>
          <t>Finalizado</t>
        </is>
      </c>
      <c r="K60" s="130" t="n"/>
      <c r="L60" s="149" t="n"/>
    </row>
    <row r="61" outlineLevel="2" ht="12" customHeight="1">
      <c r="A61" s="140" t="n"/>
      <c r="B61" s="141" t="inlineStr">
        <is>
          <t>SERVIÇO</t>
        </is>
      </c>
      <c r="C61" s="142" t="inlineStr">
        <is>
          <t>01.002.001.003</t>
        </is>
      </c>
      <c r="D61" s="148" t="inlineStr">
        <is>
          <t>Avaliação e Legalização ambiental</t>
        </is>
      </c>
      <c r="E61" s="144" t="inlineStr">
        <is>
          <t>vb</t>
        </is>
      </c>
      <c r="F61" s="144" t="n">
        <v>1</v>
      </c>
      <c r="G61" s="144" t="n">
        <v>11955.03166957692</v>
      </c>
      <c r="H61" s="145">
        <f>G61*F61</f>
        <v/>
      </c>
      <c r="I61" s="144" t="inlineStr">
        <is>
          <t>Estimado</t>
        </is>
      </c>
      <c r="J61" s="147" t="inlineStr">
        <is>
          <t>Finalizado</t>
        </is>
      </c>
      <c r="K61" s="130" t="n"/>
      <c r="L61" s="149" t="n"/>
    </row>
    <row r="62" outlineLevel="2" ht="12" customHeight="1">
      <c r="A62" s="140" t="n"/>
      <c r="B62" s="141" t="inlineStr">
        <is>
          <t>SERVIÇO</t>
        </is>
      </c>
      <c r="C62" s="142" t="inlineStr">
        <is>
          <t>01.002.001.004</t>
        </is>
      </c>
      <c r="D62" s="148" t="inlineStr">
        <is>
          <t>Aprovação e legalização prefeitura</t>
        </is>
      </c>
      <c r="E62" s="144" t="inlineStr">
        <is>
          <t>vb</t>
        </is>
      </c>
      <c r="F62" s="144" t="n">
        <v>1</v>
      </c>
      <c r="G62" s="144" t="n">
        <v>30000</v>
      </c>
      <c r="H62" s="145">
        <f>G62*F62</f>
        <v/>
      </c>
      <c r="I62" s="144" t="inlineStr">
        <is>
          <t>Recebido</t>
        </is>
      </c>
      <c r="J62" s="147" t="inlineStr">
        <is>
          <t>Finalizado</t>
        </is>
      </c>
      <c r="K62" s="130" t="n"/>
      <c r="L62" s="149" t="n"/>
    </row>
    <row r="63" outlineLevel="2" ht="12" customHeight="1">
      <c r="A63" s="140" t="n"/>
      <c r="B63" s="141" t="inlineStr">
        <is>
          <t>SERVIÇO</t>
        </is>
      </c>
      <c r="C63" s="142" t="inlineStr">
        <is>
          <t>01.002.001.005</t>
        </is>
      </c>
      <c r="D63" s="148" t="inlineStr">
        <is>
          <t>Aprovação e legalização água e esgoto</t>
        </is>
      </c>
      <c r="E63" s="144" t="inlineStr">
        <is>
          <t>vb</t>
        </is>
      </c>
      <c r="F63" s="144" t="n">
        <v>1</v>
      </c>
      <c r="G63" s="144" t="n">
        <v>16643.34934009207</v>
      </c>
      <c r="H63" s="145">
        <f>G63*F63</f>
        <v/>
      </c>
      <c r="I63" s="144" t="inlineStr">
        <is>
          <t>Estimado</t>
        </is>
      </c>
      <c r="J63" s="147" t="inlineStr">
        <is>
          <t>Finalizado</t>
        </is>
      </c>
      <c r="K63" s="130" t="n"/>
      <c r="L63" s="149" t="n"/>
    </row>
    <row r="64" outlineLevel="2" ht="12" customHeight="1">
      <c r="A64" s="140" t="n"/>
      <c r="B64" s="141" t="inlineStr">
        <is>
          <t>SERVIÇO</t>
        </is>
      </c>
      <c r="C64" s="142" t="inlineStr">
        <is>
          <t>01.002.001.006</t>
        </is>
      </c>
      <c r="D64" s="148" t="inlineStr">
        <is>
          <t>Aprovação e legalização elétrico</t>
        </is>
      </c>
      <c r="E64" s="144" t="inlineStr">
        <is>
          <t>vb</t>
        </is>
      </c>
      <c r="F64" s="144" t="n">
        <v>1</v>
      </c>
      <c r="G64" s="144" t="n">
        <v>33097.80497987273</v>
      </c>
      <c r="H64" s="145">
        <f>G64*F64</f>
        <v/>
      </c>
      <c r="I64" s="144" t="inlineStr">
        <is>
          <t>Estimado</t>
        </is>
      </c>
      <c r="J64" s="147" t="inlineStr">
        <is>
          <t>Finalizado</t>
        </is>
      </c>
      <c r="K64" s="130" t="n"/>
      <c r="L64" s="149" t="n"/>
    </row>
    <row r="65" outlineLevel="2" ht="12" customHeight="1">
      <c r="A65" s="140" t="n"/>
      <c r="B65" s="141" t="inlineStr">
        <is>
          <t>SERVIÇO</t>
        </is>
      </c>
      <c r="C65" s="142" t="inlineStr">
        <is>
          <t>01.002.001.007</t>
        </is>
      </c>
      <c r="D65" s="148" t="inlineStr">
        <is>
          <t>Taxas ART</t>
        </is>
      </c>
      <c r="E65" s="144" t="inlineStr">
        <is>
          <t>vb</t>
        </is>
      </c>
      <c r="F65" s="144" t="n">
        <v>1</v>
      </c>
      <c r="G65" s="144" t="n">
        <v>12228.68609731125</v>
      </c>
      <c r="H65" s="145">
        <f>G65*F65</f>
        <v/>
      </c>
      <c r="I65" s="144" t="inlineStr">
        <is>
          <t>Estimado</t>
        </is>
      </c>
      <c r="J65" s="147" t="inlineStr">
        <is>
          <t>Finalizado</t>
        </is>
      </c>
      <c r="K65" s="130" t="n"/>
      <c r="L65" s="149" t="n"/>
    </row>
    <row r="66" outlineLevel="2" ht="12" customHeight="1">
      <c r="A66" s="140" t="n"/>
      <c r="B66" s="141" t="inlineStr">
        <is>
          <t>SERVIÇO</t>
        </is>
      </c>
      <c r="C66" s="142" t="inlineStr">
        <is>
          <t>01.002.001.008</t>
        </is>
      </c>
      <c r="D66" s="148" t="inlineStr">
        <is>
          <t>Taxas alvará</t>
        </is>
      </c>
      <c r="E66" s="144" t="inlineStr">
        <is>
          <t>vb</t>
        </is>
      </c>
      <c r="F66" s="144" t="n">
        <v>1</v>
      </c>
      <c r="G66" s="144" t="n">
        <v>146127.5088809453</v>
      </c>
      <c r="H66" s="145">
        <f>G66*F66</f>
        <v/>
      </c>
      <c r="I66" s="144" t="inlineStr">
        <is>
          <t>Estimado</t>
        </is>
      </c>
      <c r="J66" s="147" t="inlineStr">
        <is>
          <t>Finalizado</t>
        </is>
      </c>
      <c r="K66" s="130" t="n"/>
      <c r="L66" s="149" t="n"/>
    </row>
    <row r="67" outlineLevel="2" ht="12" customHeight="1">
      <c r="A67" s="140" t="n"/>
      <c r="B67" s="141" t="inlineStr">
        <is>
          <t>SERVIÇO</t>
        </is>
      </c>
      <c r="C67" s="142" t="inlineStr">
        <is>
          <t>01.002.001.009</t>
        </is>
      </c>
      <c r="D67" s="148" t="inlineStr">
        <is>
          <t>Taxa Renovação Alvará de Construção</t>
        </is>
      </c>
      <c r="E67" s="144" t="inlineStr">
        <is>
          <t>vb</t>
        </is>
      </c>
      <c r="F67" s="144" t="n">
        <v>1</v>
      </c>
      <c r="G67" s="144" t="n">
        <v>3600</v>
      </c>
      <c r="H67" s="145">
        <f>G67*F67</f>
        <v/>
      </c>
      <c r="I67" s="144" t="inlineStr">
        <is>
          <t>Estimado</t>
        </is>
      </c>
      <c r="J67" s="147" t="inlineStr">
        <is>
          <t>Finalizado</t>
        </is>
      </c>
      <c r="K67" s="130" t="n"/>
      <c r="L67" s="149" t="n"/>
    </row>
    <row r="68" outlineLevel="2" ht="12" customHeight="1">
      <c r="A68" s="140" t="n"/>
      <c r="B68" s="141" t="inlineStr">
        <is>
          <t>SERVIÇO</t>
        </is>
      </c>
      <c r="C68" s="142" t="inlineStr">
        <is>
          <t>01.002.001.010</t>
        </is>
      </c>
      <c r="D68" s="148" t="inlineStr">
        <is>
          <t>Taxas de Alvará de Demolição</t>
        </is>
      </c>
      <c r="E68" s="144" t="inlineStr">
        <is>
          <t>vb</t>
        </is>
      </c>
      <c r="F68" s="144" t="n">
        <v>1</v>
      </c>
      <c r="G68" s="144" t="n">
        <v>1000</v>
      </c>
      <c r="H68" s="145">
        <f>G68*F68</f>
        <v/>
      </c>
      <c r="I68" s="144" t="inlineStr">
        <is>
          <t>Recebido</t>
        </is>
      </c>
      <c r="J68" s="147" t="inlineStr">
        <is>
          <t>Finalizado</t>
        </is>
      </c>
      <c r="K68" s="130" t="n"/>
      <c r="L68" s="149" t="n"/>
    </row>
    <row r="69" outlineLevel="2" ht="12" customHeight="1">
      <c r="A69" s="140" t="n"/>
      <c r="B69" s="141" t="inlineStr">
        <is>
          <t>SERVIÇO</t>
        </is>
      </c>
      <c r="C69" s="142" t="inlineStr">
        <is>
          <t>01.002.001.011</t>
        </is>
      </c>
      <c r="D69" s="148" t="inlineStr">
        <is>
          <t>Taxa LAP, AUC, LAI e LAO</t>
        </is>
      </c>
      <c r="E69" s="144" t="inlineStr">
        <is>
          <t>vb</t>
        </is>
      </c>
      <c r="F69" s="144" t="n">
        <v>1</v>
      </c>
      <c r="G69" s="144" t="n">
        <v>8800</v>
      </c>
      <c r="H69" s="145">
        <f>G69*F69</f>
        <v/>
      </c>
      <c r="I69" s="144" t="inlineStr">
        <is>
          <t>Estimado</t>
        </is>
      </c>
      <c r="J69" s="147" t="inlineStr">
        <is>
          <t>Finalizado</t>
        </is>
      </c>
      <c r="K69" s="130" t="n"/>
      <c r="L69" s="149" t="n"/>
    </row>
    <row r="70" outlineLevel="2" ht="12" customHeight="1">
      <c r="A70" s="140" t="n"/>
      <c r="B70" s="141" t="inlineStr">
        <is>
          <t>SERVIÇO</t>
        </is>
      </c>
      <c r="C70" s="142" t="inlineStr">
        <is>
          <t>01.002.001.012</t>
        </is>
      </c>
      <c r="D70" s="148" t="inlineStr">
        <is>
          <t>Outorga onerosa, compra de índice e obra de arte</t>
        </is>
      </c>
      <c r="E70" s="144" t="inlineStr">
        <is>
          <t>vb</t>
        </is>
      </c>
      <c r="F70" s="144" t="n">
        <v>1</v>
      </c>
      <c r="G70" s="144" t="n">
        <v>453148.83</v>
      </c>
      <c r="H70" s="145">
        <f>G70*F70</f>
        <v/>
      </c>
      <c r="I70" s="144" t="inlineStr">
        <is>
          <t>Recebido</t>
        </is>
      </c>
      <c r="J70" s="147" t="inlineStr">
        <is>
          <t>Finalizado</t>
        </is>
      </c>
      <c r="K70" s="130" t="n"/>
      <c r="L70" s="149" t="n"/>
    </row>
    <row r="71" outlineLevel="2" ht="12" customHeight="1">
      <c r="A71" s="140" t="n"/>
      <c r="B71" s="141" t="inlineStr">
        <is>
          <t>SERVIÇO</t>
        </is>
      </c>
      <c r="C71" s="142" t="inlineStr">
        <is>
          <t>01.002.001.013</t>
        </is>
      </c>
      <c r="D71" s="148" t="inlineStr">
        <is>
          <t>Despesas cartório, licenças, certidões e jurídicas</t>
        </is>
      </c>
      <c r="E71" s="144" t="inlineStr">
        <is>
          <t>vb</t>
        </is>
      </c>
      <c r="F71" s="144" t="n">
        <v>1</v>
      </c>
      <c r="G71" s="144" t="n">
        <v>124279.4178404196</v>
      </c>
      <c r="H71" s="145">
        <f>G71*F71</f>
        <v/>
      </c>
      <c r="I71" s="144" t="inlineStr">
        <is>
          <t>Estimado</t>
        </is>
      </c>
      <c r="J71" s="147" t="inlineStr">
        <is>
          <t>Finalizado</t>
        </is>
      </c>
      <c r="K71" s="130" t="n"/>
      <c r="L71" s="149" t="n"/>
    </row>
    <row r="72" outlineLevel="2" ht="12" customHeight="1">
      <c r="A72" s="140" t="n"/>
      <c r="B72" s="141" t="inlineStr">
        <is>
          <t>SERVIÇO</t>
        </is>
      </c>
      <c r="C72" s="142" t="inlineStr">
        <is>
          <t>01.002.001.014</t>
        </is>
      </c>
      <c r="D72" s="148" t="inlineStr">
        <is>
          <t>Incorporação</t>
        </is>
      </c>
      <c r="E72" s="144" t="inlineStr">
        <is>
          <t>vb</t>
        </is>
      </c>
      <c r="F72" s="144" t="n">
        <v>1</v>
      </c>
      <c r="G72" s="144" t="n">
        <v>73162.25370551753</v>
      </c>
      <c r="H72" s="145">
        <f>G72*F72</f>
        <v/>
      </c>
      <c r="I72" s="144" t="inlineStr">
        <is>
          <t>Estimado</t>
        </is>
      </c>
      <c r="J72" s="147" t="inlineStr">
        <is>
          <t>Finalizado</t>
        </is>
      </c>
      <c r="K72" s="130" t="n"/>
      <c r="L72" s="149" t="n"/>
    </row>
    <row r="73" outlineLevel="2" ht="12" customHeight="1">
      <c r="A73" s="140" t="n"/>
      <c r="B73" s="141" t="inlineStr">
        <is>
          <t>SERVIÇO</t>
        </is>
      </c>
      <c r="C73" s="142" t="inlineStr">
        <is>
          <t>01.002.001.015</t>
        </is>
      </c>
      <c r="D73" s="148" t="inlineStr">
        <is>
          <t>IPTU</t>
        </is>
      </c>
      <c r="E73" s="144" t="inlineStr">
        <is>
          <t>vb</t>
        </is>
      </c>
      <c r="F73" s="144" t="n">
        <v>1</v>
      </c>
      <c r="G73" s="144" t="n">
        <v>27215.76000000001</v>
      </c>
      <c r="H73" s="145">
        <f>G73*F73</f>
        <v/>
      </c>
      <c r="I73" s="144" t="inlineStr">
        <is>
          <t>Estimado</t>
        </is>
      </c>
      <c r="J73" s="147" t="inlineStr">
        <is>
          <t>Finalizado</t>
        </is>
      </c>
      <c r="K73" s="130" t="n"/>
      <c r="L73" s="149" t="n"/>
    </row>
    <row r="74" outlineLevel="2" ht="12" customHeight="1">
      <c r="A74" s="140" t="n"/>
      <c r="B74" s="141" t="inlineStr">
        <is>
          <t>SERVIÇO</t>
        </is>
      </c>
      <c r="C74" s="142" t="inlineStr">
        <is>
          <t>01.002.001.016</t>
        </is>
      </c>
      <c r="D74" s="148" t="inlineStr">
        <is>
          <t>Taxa Habite-se</t>
        </is>
      </c>
      <c r="E74" s="144" t="inlineStr">
        <is>
          <t>vb</t>
        </is>
      </c>
      <c r="F74" s="144" t="n">
        <v>1</v>
      </c>
      <c r="G74" s="144" t="n">
        <v>31036.41099999999</v>
      </c>
      <c r="H74" s="145">
        <f>G74*F74</f>
        <v/>
      </c>
      <c r="I74" s="144" t="inlineStr">
        <is>
          <t>Estimado</t>
        </is>
      </c>
      <c r="J74" s="147" t="inlineStr">
        <is>
          <t>Finalizado</t>
        </is>
      </c>
      <c r="K74" s="130" t="n"/>
      <c r="L74" s="149" t="n"/>
    </row>
    <row r="75" outlineLevel="1" ht="12" customHeight="1">
      <c r="A75" s="140" t="n"/>
      <c r="B75" s="141" t="inlineStr">
        <is>
          <t>SUBETAPA</t>
        </is>
      </c>
      <c r="C75" s="142" t="inlineStr">
        <is>
          <t>01.002.002</t>
        </is>
      </c>
      <c r="D75" s="148" t="inlineStr">
        <is>
          <t>Documentos</t>
        </is>
      </c>
      <c r="E75" s="68" t="n"/>
      <c r="F75" s="144" t="n"/>
      <c r="G75" s="144" t="n"/>
      <c r="H75" s="145">
        <f>H76+H77+H78+H79</f>
        <v/>
      </c>
      <c r="I75" s="146" t="n"/>
      <c r="J75" s="147" t="n"/>
      <c r="K75" s="130" t="n"/>
      <c r="L75" s="149" t="n"/>
    </row>
    <row r="76" outlineLevel="2" ht="12" customHeight="1">
      <c r="A76" s="140" t="n"/>
      <c r="B76" s="141" t="inlineStr">
        <is>
          <t>SERVIÇO</t>
        </is>
      </c>
      <c r="C76" s="142" t="inlineStr">
        <is>
          <t>01.002.002.001</t>
        </is>
      </c>
      <c r="D76" s="148" t="inlineStr">
        <is>
          <t>As Built</t>
        </is>
      </c>
      <c r="E76" s="144" t="inlineStr">
        <is>
          <t>vb</t>
        </is>
      </c>
      <c r="F76" s="144" t="n">
        <v>1</v>
      </c>
      <c r="G76" s="144" t="n">
        <v>41370.44831699991</v>
      </c>
      <c r="H76" s="145">
        <f>G76*F76</f>
        <v/>
      </c>
      <c r="I76" s="144" t="inlineStr">
        <is>
          <t>Estimado</t>
        </is>
      </c>
      <c r="J76" s="147" t="inlineStr">
        <is>
          <t>Finalizado</t>
        </is>
      </c>
      <c r="K76" s="130" t="n"/>
      <c r="L76" s="149" t="n"/>
    </row>
    <row r="77" outlineLevel="2" ht="12" customHeight="1">
      <c r="A77" s="140" t="n"/>
      <c r="B77" s="141" t="inlineStr">
        <is>
          <t>SERVIÇO</t>
        </is>
      </c>
      <c r="C77" s="142" t="inlineStr">
        <is>
          <t>01.002.002.002</t>
        </is>
      </c>
      <c r="D77" s="148" t="inlineStr">
        <is>
          <t>Laudo técnico de vistoria de entrega</t>
        </is>
      </c>
      <c r="E77" s="144" t="inlineStr">
        <is>
          <t>vb</t>
        </is>
      </c>
      <c r="F77" s="144" t="n">
        <v>1</v>
      </c>
      <c r="G77" s="144" t="n">
        <v>162829.5653967377</v>
      </c>
      <c r="H77" s="145">
        <f>G77*F77</f>
        <v/>
      </c>
      <c r="I77" s="144" t="inlineStr">
        <is>
          <t>Estimado</t>
        </is>
      </c>
      <c r="J77" s="147" t="inlineStr">
        <is>
          <t>Finalizado</t>
        </is>
      </c>
      <c r="K77" s="130" t="n"/>
      <c r="L77" s="149" t="n"/>
    </row>
    <row r="78" outlineLevel="2" ht="12" customHeight="1">
      <c r="A78" s="140" t="n"/>
      <c r="B78" s="141" t="inlineStr">
        <is>
          <t>SERVIÇO</t>
        </is>
      </c>
      <c r="C78" s="142" t="inlineStr">
        <is>
          <t>01.002.002.003</t>
        </is>
      </c>
      <c r="D78" s="148" t="inlineStr">
        <is>
          <t>Manuais técnicos condomínio/proprietários</t>
        </is>
      </c>
      <c r="E78" s="144" t="inlineStr">
        <is>
          <t>vb</t>
        </is>
      </c>
      <c r="F78" s="144" t="n">
        <v>1</v>
      </c>
      <c r="G78" s="144" t="n">
        <v>105185.051453959</v>
      </c>
      <c r="H78" s="145">
        <f>G78*F78</f>
        <v/>
      </c>
      <c r="I78" s="144" t="inlineStr">
        <is>
          <t>Estimado</t>
        </is>
      </c>
      <c r="J78" s="147" t="inlineStr">
        <is>
          <t>Finalizado</t>
        </is>
      </c>
      <c r="K78" s="130" t="n"/>
      <c r="L78" s="149" t="n"/>
    </row>
    <row r="79" outlineLevel="2" ht="12" customHeight="1">
      <c r="A79" s="140" t="n"/>
      <c r="B79" s="141" t="inlineStr">
        <is>
          <t>SERVIÇO</t>
        </is>
      </c>
      <c r="C79" s="142" t="inlineStr">
        <is>
          <t>01.002.002.004</t>
        </is>
      </c>
      <c r="D79" s="148" t="inlineStr">
        <is>
          <t>Certidão INSS</t>
        </is>
      </c>
      <c r="E79" s="144" t="inlineStr">
        <is>
          <t>vb</t>
        </is>
      </c>
      <c r="F79" s="144" t="n">
        <v>1</v>
      </c>
      <c r="G79" s="144" t="n">
        <v>41881.80626032124</v>
      </c>
      <c r="H79" s="145">
        <f>G79*F79</f>
        <v/>
      </c>
      <c r="I79" s="144" t="inlineStr">
        <is>
          <t>Estimado</t>
        </is>
      </c>
      <c r="J79" s="147" t="inlineStr">
        <is>
          <t>Finalizado</t>
        </is>
      </c>
      <c r="K79" s="130" t="n"/>
      <c r="L79" s="149" t="n"/>
    </row>
    <row r="80" ht="13.9" customHeight="1">
      <c r="A80" s="140" t="n"/>
      <c r="B80" s="141" t="inlineStr">
        <is>
          <t>CÉLULA CONSTRUTIVA</t>
        </is>
      </c>
      <c r="C80" s="150" t="inlineStr">
        <is>
          <t>02</t>
        </is>
      </c>
      <c r="D80" s="143" t="inlineStr">
        <is>
          <t>SERVIÇOS INICIAIS</t>
        </is>
      </c>
      <c r="E80" s="68" t="n"/>
      <c r="F80" s="144" t="n"/>
      <c r="G80" s="144" t="n"/>
      <c r="H80" s="145">
        <f>H81+H106+H148</f>
        <v/>
      </c>
      <c r="I80" s="146" t="n"/>
      <c r="J80" s="147" t="n"/>
      <c r="K80" s="130" t="n"/>
      <c r="L80" s="130" t="n"/>
    </row>
    <row r="81" outlineLevel="1" ht="13.9" customHeight="1">
      <c r="A81" s="140" t="n"/>
      <c r="B81" s="141" t="inlineStr">
        <is>
          <t>ETAPA</t>
        </is>
      </c>
      <c r="C81" s="142" t="inlineStr">
        <is>
          <t>02.001</t>
        </is>
      </c>
      <c r="D81" s="143" t="inlineStr">
        <is>
          <t>SEGURANÇA, MEIO AMBIENTE E SAÚDE</t>
        </is>
      </c>
      <c r="E81" s="68" t="n"/>
      <c r="F81" s="144" t="n"/>
      <c r="G81" s="144" t="n"/>
      <c r="H81" s="145">
        <f>H82+H86+H98+H102</f>
        <v/>
      </c>
      <c r="I81" s="146" t="n"/>
      <c r="J81" s="147" t="inlineStr">
        <is>
          <t>-</t>
        </is>
      </c>
      <c r="K81" s="130" t="n"/>
      <c r="L81" s="130" t="n"/>
    </row>
    <row r="82" outlineLevel="1" ht="12" customHeight="1">
      <c r="A82" s="140" t="n"/>
      <c r="B82" s="141" t="inlineStr">
        <is>
          <t>SUBETAPA</t>
        </is>
      </c>
      <c r="C82" s="142" t="inlineStr">
        <is>
          <t>02.001.001</t>
        </is>
      </c>
      <c r="D82" s="148" t="inlineStr">
        <is>
          <t>Segurança do Trabalho</t>
        </is>
      </c>
      <c r="E82" s="68" t="n"/>
      <c r="F82" s="144" t="n"/>
      <c r="G82" s="144" t="n"/>
      <c r="H82" s="145">
        <f>H83+H84+H85</f>
        <v/>
      </c>
      <c r="I82" s="146" t="n"/>
      <c r="J82" s="147" t="n"/>
      <c r="K82" s="130" t="n"/>
      <c r="L82" s="149" t="n"/>
    </row>
    <row r="83" outlineLevel="2" ht="12" customHeight="1">
      <c r="A83" s="140" t="n"/>
      <c r="B83" s="141" t="inlineStr">
        <is>
          <t>SERVIÇO</t>
        </is>
      </c>
      <c r="C83" s="142" t="inlineStr">
        <is>
          <t>02.001.001.001</t>
        </is>
      </c>
      <c r="D83" s="148" t="inlineStr">
        <is>
          <t>Serviço terceirizado de segurança do trabalho - Valor/mês (R$)</t>
        </is>
      </c>
      <c r="E83" s="144" t="inlineStr">
        <is>
          <t>mês</t>
        </is>
      </c>
      <c r="F83" s="144" t="n">
        <v>36</v>
      </c>
      <c r="G83" s="144" t="n">
        <v>2500</v>
      </c>
      <c r="H83" s="145">
        <f>G83*F83</f>
        <v/>
      </c>
      <c r="I83" s="144" t="inlineStr">
        <is>
          <t>Recebido</t>
        </is>
      </c>
      <c r="J83" s="147" t="inlineStr">
        <is>
          <t>Finalizado</t>
        </is>
      </c>
      <c r="K83" s="130" t="n"/>
      <c r="L83" s="149" t="n"/>
    </row>
    <row r="84" outlineLevel="2" ht="12" customHeight="1">
      <c r="A84" s="140" t="n"/>
      <c r="B84" s="141" t="inlineStr">
        <is>
          <t>SERVIÇO</t>
        </is>
      </c>
      <c r="C84" s="142" t="inlineStr">
        <is>
          <t>02.001.001.002</t>
        </is>
      </c>
      <c r="D84" s="148" t="inlineStr">
        <is>
          <t>Equipamentos de proteção individual - EPI</t>
        </is>
      </c>
      <c r="E84" s="144" t="inlineStr">
        <is>
          <t>vb</t>
        </is>
      </c>
      <c r="F84" s="144" t="n">
        <v>1</v>
      </c>
      <c r="G84" s="144" t="n">
        <v>204750</v>
      </c>
      <c r="H84" s="145">
        <f>G84*F84</f>
        <v/>
      </c>
      <c r="I84" s="144" t="inlineStr">
        <is>
          <t>Estimado</t>
        </is>
      </c>
      <c r="J84" s="147" t="inlineStr">
        <is>
          <t>Finalizado</t>
        </is>
      </c>
      <c r="K84" s="130" t="n"/>
      <c r="L84" s="149" t="n"/>
    </row>
    <row r="85" outlineLevel="2" ht="12" customHeight="1">
      <c r="A85" s="140" t="n"/>
      <c r="B85" s="141" t="inlineStr">
        <is>
          <t>SERVIÇO</t>
        </is>
      </c>
      <c r="C85" s="142" t="inlineStr">
        <is>
          <t>02.001.001.003</t>
        </is>
      </c>
      <c r="D85" s="148" t="inlineStr">
        <is>
          <t>Projetos de segurança do trabalho</t>
        </is>
      </c>
      <c r="E85" s="144" t="inlineStr">
        <is>
          <t>vb</t>
        </is>
      </c>
      <c r="F85" s="144" t="n">
        <v>1</v>
      </c>
      <c r="G85" s="144" t="n">
        <v>6000</v>
      </c>
      <c r="H85" s="145">
        <f>G85*F85</f>
        <v/>
      </c>
      <c r="I85" s="144" t="inlineStr">
        <is>
          <t>Recebido</t>
        </is>
      </c>
      <c r="J85" s="147" t="inlineStr">
        <is>
          <t>Finalizado</t>
        </is>
      </c>
      <c r="K85" s="130" t="n"/>
      <c r="L85" s="130" t="n"/>
    </row>
    <row r="86" outlineLevel="1" ht="13.9" customHeight="1">
      <c r="A86" s="140" t="n"/>
      <c r="B86" s="141" t="inlineStr">
        <is>
          <t>SUBETAPA</t>
        </is>
      </c>
      <c r="C86" s="142" t="inlineStr">
        <is>
          <t>02.001.002</t>
        </is>
      </c>
      <c r="D86" s="143" t="inlineStr">
        <is>
          <t>Equipamentos de proteção</t>
        </is>
      </c>
      <c r="E86" s="68" t="n"/>
      <c r="F86" s="144" t="n"/>
      <c r="G86" s="144" t="n"/>
      <c r="H86" s="145">
        <f>H87+H88+H89+H90+H91+H92+H93+H94+H95+H96+H97</f>
        <v/>
      </c>
      <c r="I86" s="146" t="n"/>
      <c r="J86" s="147" t="n"/>
      <c r="K86" s="130" t="n"/>
      <c r="L86" s="130" t="n"/>
    </row>
    <row r="87" outlineLevel="2" ht="13.9" customHeight="1">
      <c r="A87" s="140" t="n"/>
      <c r="B87" s="141" t="inlineStr">
        <is>
          <t>SERVIÇO</t>
        </is>
      </c>
      <c r="C87" s="142" t="inlineStr">
        <is>
          <t>02.001.002.001</t>
        </is>
      </c>
      <c r="D87" s="143" t="inlineStr">
        <is>
          <t>Bandeja de proteção primária</t>
        </is>
      </c>
      <c r="E87" s="144" t="inlineStr">
        <is>
          <t>m</t>
        </is>
      </c>
      <c r="F87" s="144" t="n">
        <v>0</v>
      </c>
      <c r="G87" s="144" t="n">
        <v>243.9561463728191</v>
      </c>
      <c r="H87" s="145">
        <f>G87*F87</f>
        <v/>
      </c>
      <c r="I87" s="205" t="inlineStr">
        <is>
          <t>EPC'S</t>
        </is>
      </c>
      <c r="J87" s="147" t="inlineStr">
        <is>
          <t>Lançado ERP</t>
        </is>
      </c>
      <c r="K87" s="130" t="n"/>
      <c r="L87" s="130" t="n"/>
    </row>
    <row r="88" outlineLevel="2" ht="13.9" customHeight="1">
      <c r="A88" s="140" t="n"/>
      <c r="B88" s="141" t="inlineStr">
        <is>
          <t>SERVIÇO</t>
        </is>
      </c>
      <c r="C88" s="142" t="inlineStr">
        <is>
          <t>02.001.002.002</t>
        </is>
      </c>
      <c r="D88" s="143" t="inlineStr">
        <is>
          <t>Bandeja de proteção secundária</t>
        </is>
      </c>
      <c r="E88" s="144" t="inlineStr">
        <is>
          <t>m</t>
        </is>
      </c>
      <c r="F88" s="144" t="n">
        <v>0</v>
      </c>
      <c r="G88" s="144" t="n">
        <v>230.0961463728191</v>
      </c>
      <c r="H88" s="145">
        <f>G88*F88</f>
        <v/>
      </c>
      <c r="I88" s="205" t="inlineStr">
        <is>
          <t>EPC'S</t>
        </is>
      </c>
      <c r="J88" s="147" t="inlineStr">
        <is>
          <t>Lançado ERP</t>
        </is>
      </c>
      <c r="K88" s="130" t="n"/>
      <c r="L88" s="130" t="n"/>
    </row>
    <row r="89" outlineLevel="2" ht="13.9" customHeight="1">
      <c r="A89" s="140" t="n"/>
      <c r="B89" s="141" t="inlineStr">
        <is>
          <t>SERVIÇO</t>
        </is>
      </c>
      <c r="C89" s="142" t="inlineStr">
        <is>
          <t>02.001.002.003</t>
        </is>
      </c>
      <c r="D89" s="143" t="inlineStr">
        <is>
          <t>Guarda-corpo de vãos, fixado em fôrma de madeira, em trama de madeira com tela de polipropileno</t>
        </is>
      </c>
      <c r="E89" s="144" t="inlineStr">
        <is>
          <t>m2</t>
        </is>
      </c>
      <c r="F89" s="144" t="n">
        <v>649.3720000000001</v>
      </c>
      <c r="G89" s="144" t="n">
        <v>38.622647</v>
      </c>
      <c r="H89" s="145">
        <f>G89*F89</f>
        <v/>
      </c>
      <c r="I89" s="205" t="inlineStr">
        <is>
          <t>EPC'S</t>
        </is>
      </c>
      <c r="J89" s="147" t="inlineStr">
        <is>
          <t>Lançado ERP</t>
        </is>
      </c>
      <c r="K89" s="130" t="n"/>
      <c r="L89" s="130" t="n"/>
    </row>
    <row r="90" outlineLevel="2" ht="13.9" customHeight="1">
      <c r="A90" s="140" t="n"/>
      <c r="B90" s="141" t="inlineStr">
        <is>
          <t>SERVIÇO</t>
        </is>
      </c>
      <c r="C90" s="142" t="inlineStr">
        <is>
          <t>02.001.002.004</t>
        </is>
      </c>
      <c r="D90" s="143" t="inlineStr">
        <is>
          <t>Guarda-corpo em laje pós-desforma com Escora metálica, travessões e tela</t>
        </is>
      </c>
      <c r="E90" s="144" t="inlineStr">
        <is>
          <t>m</t>
        </is>
      </c>
      <c r="F90" s="144" t="n">
        <v>0</v>
      </c>
      <c r="G90" s="144" t="n">
        <v>42.431057</v>
      </c>
      <c r="H90" s="145">
        <f>G90*F90</f>
        <v/>
      </c>
      <c r="I90" s="205" t="inlineStr">
        <is>
          <t>EPC'S</t>
        </is>
      </c>
      <c r="J90" s="147" t="inlineStr">
        <is>
          <t>Lançado ERP</t>
        </is>
      </c>
      <c r="K90" s="130" t="n"/>
      <c r="L90" s="130" t="n"/>
    </row>
    <row r="91" outlineLevel="2" ht="13.9" customHeight="1">
      <c r="A91" s="140" t="n"/>
      <c r="B91" s="141" t="inlineStr">
        <is>
          <t>SERVIÇO</t>
        </is>
      </c>
      <c r="C91" s="142" t="inlineStr">
        <is>
          <t>02.001.002.005</t>
        </is>
      </c>
      <c r="D91" s="143" t="inlineStr">
        <is>
          <t>Tela fachadeira</t>
        </is>
      </c>
      <c r="E91" s="144" t="inlineStr">
        <is>
          <t>m2</t>
        </is>
      </c>
      <c r="F91" s="144" t="n">
        <v>0</v>
      </c>
      <c r="G91" s="144" t="n">
        <v>8.5113</v>
      </c>
      <c r="H91" s="145">
        <f>G91*F91</f>
        <v/>
      </c>
      <c r="I91" s="205" t="inlineStr">
        <is>
          <t>EPC'S</t>
        </is>
      </c>
      <c r="J91" s="147" t="inlineStr">
        <is>
          <t>Lançado ERP</t>
        </is>
      </c>
      <c r="K91" s="130" t="n"/>
      <c r="L91" s="130" t="n"/>
    </row>
    <row r="92" outlineLevel="2" ht="13.9" customHeight="1">
      <c r="A92" s="140" t="n"/>
      <c r="B92" s="141" t="inlineStr">
        <is>
          <t>SERVIÇO</t>
        </is>
      </c>
      <c r="C92" s="142" t="inlineStr">
        <is>
          <t>02.001.002.006</t>
        </is>
      </c>
      <c r="D92" s="143" t="inlineStr">
        <is>
          <t>Fechamento removível de vãos de porta de elevador em madeira</t>
        </is>
      </c>
      <c r="E92" s="144" t="inlineStr">
        <is>
          <t>m2</t>
        </is>
      </c>
      <c r="F92" s="144" t="n">
        <v>211.68</v>
      </c>
      <c r="G92" s="144" t="n">
        <v>49.519651</v>
      </c>
      <c r="H92" s="145">
        <f>G92*F92</f>
        <v/>
      </c>
      <c r="I92" s="205" t="inlineStr">
        <is>
          <t>EPC'S</t>
        </is>
      </c>
      <c r="J92" s="147" t="inlineStr">
        <is>
          <t>Lançado ERP</t>
        </is>
      </c>
      <c r="K92" s="130" t="n"/>
      <c r="L92" s="130" t="n"/>
    </row>
    <row r="93" outlineLevel="2" ht="13.9" customHeight="1">
      <c r="A93" s="140" t="n"/>
      <c r="B93" s="141" t="inlineStr">
        <is>
          <t>SERVIÇO</t>
        </is>
      </c>
      <c r="C93" s="142" t="inlineStr">
        <is>
          <t>02.001.002.007</t>
        </is>
      </c>
      <c r="D93" s="143" t="inlineStr">
        <is>
          <t>Fechamento removível de vãos de porta de entrada dos aptos. em madeira</t>
        </is>
      </c>
      <c r="E93" s="144" t="inlineStr">
        <is>
          <t>m2</t>
        </is>
      </c>
      <c r="F93" s="144" t="n">
        <v>861.84</v>
      </c>
      <c r="G93" s="144" t="n">
        <v>49.519651</v>
      </c>
      <c r="H93" s="145">
        <f>G93*F93</f>
        <v/>
      </c>
      <c r="I93" s="205" t="inlineStr">
        <is>
          <t>EPC'S</t>
        </is>
      </c>
      <c r="J93" s="147" t="inlineStr">
        <is>
          <t>Lançado ERP</t>
        </is>
      </c>
      <c r="K93" s="130" t="n"/>
      <c r="L93" s="130" t="n"/>
    </row>
    <row r="94" outlineLevel="2" ht="13.9" customHeight="1">
      <c r="A94" s="140" t="n"/>
      <c r="B94" s="141" t="inlineStr">
        <is>
          <t>SERVIÇO</t>
        </is>
      </c>
      <c r="C94" s="142" t="inlineStr">
        <is>
          <t>02.001.002.008</t>
        </is>
      </c>
      <c r="D94" s="143" t="inlineStr">
        <is>
          <t>Fechamento removível de abertura no piso do elevador em madeira</t>
        </is>
      </c>
      <c r="E94" s="144" t="inlineStr">
        <is>
          <t>m2</t>
        </is>
      </c>
      <c r="F94" s="144" t="n">
        <v>304.08</v>
      </c>
      <c r="G94" s="144" t="n">
        <v>49.519651</v>
      </c>
      <c r="H94" s="145">
        <f>G94*F94</f>
        <v/>
      </c>
      <c r="I94" s="205" t="inlineStr">
        <is>
          <t>EPC'S</t>
        </is>
      </c>
      <c r="J94" s="147" t="inlineStr">
        <is>
          <t>Lançado ERP</t>
        </is>
      </c>
      <c r="K94" s="130" t="n"/>
      <c r="L94" s="130" t="n"/>
    </row>
    <row r="95" outlineLevel="2" ht="13.9" customHeight="1">
      <c r="A95" s="140" t="n"/>
      <c r="B95" s="141" t="inlineStr">
        <is>
          <t>SERVIÇO</t>
        </is>
      </c>
      <c r="C95" s="142" t="inlineStr">
        <is>
          <t>02.001.002.009</t>
        </is>
      </c>
      <c r="D95" s="143" t="inlineStr">
        <is>
          <t>Cobertura para Proteção de Pedestres</t>
        </is>
      </c>
      <c r="E95" s="144" t="inlineStr">
        <is>
          <t>m2</t>
        </is>
      </c>
      <c r="F95" s="144" t="n">
        <v>137.13</v>
      </c>
      <c r="G95" s="144" t="n">
        <v>880</v>
      </c>
      <c r="H95" s="145">
        <f>G95*F95</f>
        <v/>
      </c>
      <c r="I95" s="205" t="inlineStr">
        <is>
          <t>EPC'S</t>
        </is>
      </c>
      <c r="J95" s="147" t="inlineStr">
        <is>
          <t>Lançado ERP</t>
        </is>
      </c>
      <c r="K95" s="130" t="n"/>
      <c r="L95" s="130" t="n"/>
    </row>
    <row r="96" outlineLevel="2" ht="13.9" customHeight="1">
      <c r="A96" s="140" t="n"/>
      <c r="B96" s="141" t="inlineStr">
        <is>
          <t>SERVIÇO</t>
        </is>
      </c>
      <c r="C96" s="142" t="inlineStr">
        <is>
          <t>02.001.002.010</t>
        </is>
      </c>
      <c r="D96" s="143" t="inlineStr">
        <is>
          <t>Varal de segurança com cabo de aço (linha de vida)</t>
        </is>
      </c>
      <c r="E96" s="144" t="inlineStr">
        <is>
          <t>m</t>
        </is>
      </c>
      <c r="F96" s="144" t="n">
        <v>0</v>
      </c>
      <c r="G96" s="144" t="n">
        <v>87.214</v>
      </c>
      <c r="H96" s="145">
        <f>G96*F96</f>
        <v/>
      </c>
      <c r="I96" s="205" t="inlineStr">
        <is>
          <t>EPC'S</t>
        </is>
      </c>
      <c r="J96" s="147" t="inlineStr">
        <is>
          <t>Lançado ERP</t>
        </is>
      </c>
      <c r="K96" s="130" t="n"/>
      <c r="L96" s="130" t="n"/>
    </row>
    <row r="97" outlineLevel="2" ht="13.9" customHeight="1">
      <c r="A97" s="140" t="n"/>
      <c r="B97" s="141" t="inlineStr">
        <is>
          <t>SERVIÇO</t>
        </is>
      </c>
      <c r="C97" s="142" t="inlineStr">
        <is>
          <t>02.001.002.011</t>
        </is>
      </c>
      <c r="D97" s="143" t="inlineStr">
        <is>
          <t>Tela SLQA</t>
        </is>
      </c>
      <c r="E97" s="144" t="inlineStr">
        <is>
          <t>m</t>
        </is>
      </c>
      <c r="F97" s="144" t="n">
        <v>0</v>
      </c>
      <c r="G97" s="144" t="n">
        <v>88</v>
      </c>
      <c r="H97" s="145">
        <f>G97*F97</f>
        <v/>
      </c>
      <c r="I97" s="205" t="inlineStr">
        <is>
          <t>EPC'S</t>
        </is>
      </c>
      <c r="J97" s="147" t="inlineStr">
        <is>
          <t>Lançado ERP</t>
        </is>
      </c>
      <c r="K97" s="130" t="n"/>
      <c r="L97" s="130" t="n"/>
    </row>
    <row r="98" outlineLevel="1" ht="12" customHeight="1">
      <c r="A98" s="140" t="n"/>
      <c r="B98" s="141" t="inlineStr">
        <is>
          <t>SUBETAPA</t>
        </is>
      </c>
      <c r="C98" s="142" t="inlineStr">
        <is>
          <t>02.001.003</t>
        </is>
      </c>
      <c r="D98" s="148" t="inlineStr">
        <is>
          <t>Meio Ambiente</t>
        </is>
      </c>
      <c r="E98" s="68" t="n"/>
      <c r="F98" s="144" t="n"/>
      <c r="G98" s="151" t="n"/>
      <c r="H98" s="145">
        <f>H99+H100+H101</f>
        <v/>
      </c>
      <c r="I98" s="146" t="n"/>
      <c r="J98" s="147" t="n"/>
      <c r="K98" s="130" t="n"/>
      <c r="L98" s="130" t="n"/>
    </row>
    <row r="99" outlineLevel="2" ht="12" customHeight="1">
      <c r="A99" s="140" t="n"/>
      <c r="B99" s="141" t="inlineStr">
        <is>
          <t>SERVIÇO</t>
        </is>
      </c>
      <c r="C99" s="142" t="inlineStr">
        <is>
          <t>02.001.003.001</t>
        </is>
      </c>
      <c r="D99" s="148" t="inlineStr">
        <is>
          <t>Elaboração do Programa de Controle Médico de Saúde Ocupacional (PCMSO)</t>
        </is>
      </c>
      <c r="E99" s="144" t="inlineStr">
        <is>
          <t>vb</t>
        </is>
      </c>
      <c r="F99" s="144" t="n">
        <v>1</v>
      </c>
      <c r="G99" s="144" t="n">
        <v>8059.856158796283</v>
      </c>
      <c r="H99" s="145">
        <f>G99*F99</f>
        <v/>
      </c>
      <c r="I99" s="144" t="inlineStr">
        <is>
          <t>Estimado</t>
        </is>
      </c>
      <c r="J99" s="147" t="inlineStr">
        <is>
          <t>Finalizado</t>
        </is>
      </c>
      <c r="K99" s="130" t="n"/>
      <c r="L99" s="130" t="n"/>
    </row>
    <row r="100" outlineLevel="2" ht="12" customHeight="1">
      <c r="A100" s="140" t="n"/>
      <c r="B100" s="141" t="inlineStr">
        <is>
          <t>SERVIÇO</t>
        </is>
      </c>
      <c r="C100" s="142" t="inlineStr">
        <is>
          <t>02.001.003.002</t>
        </is>
      </c>
      <c r="D100" s="148" t="inlineStr">
        <is>
          <t>Elaboração do programa de gerenciamento de riscos (PGR)</t>
        </is>
      </c>
      <c r="E100" s="144" t="inlineStr">
        <is>
          <t>vb</t>
        </is>
      </c>
      <c r="F100" s="144" t="n">
        <v>1</v>
      </c>
      <c r="G100" s="144" t="n">
        <v>5200</v>
      </c>
      <c r="H100" s="145">
        <f>G100*F100</f>
        <v/>
      </c>
      <c r="I100" s="144" t="inlineStr">
        <is>
          <t>Recebido</t>
        </is>
      </c>
      <c r="J100" s="147" t="inlineStr">
        <is>
          <t>Finalizado</t>
        </is>
      </c>
      <c r="K100" s="130" t="n"/>
      <c r="L100" s="130" t="n"/>
    </row>
    <row r="101" outlineLevel="2" ht="12" customHeight="1">
      <c r="A101" s="140" t="n"/>
      <c r="B101" s="141" t="inlineStr">
        <is>
          <t>SERVIÇO</t>
        </is>
      </c>
      <c r="C101" s="142" t="inlineStr">
        <is>
          <t>02.001.003.003</t>
        </is>
      </c>
      <c r="D101" s="148" t="inlineStr">
        <is>
          <t>Remoção de entulhos e resíduos</t>
        </is>
      </c>
      <c r="E101" s="144" t="inlineStr">
        <is>
          <t>mês</t>
        </is>
      </c>
      <c r="F101" s="144" t="n">
        <v>36</v>
      </c>
      <c r="G101" s="144" t="n">
        <v>2000</v>
      </c>
      <c r="H101" s="145">
        <f>G101*F101</f>
        <v/>
      </c>
      <c r="I101" s="144" t="inlineStr">
        <is>
          <t>Estimado</t>
        </is>
      </c>
      <c r="J101" s="147" t="inlineStr">
        <is>
          <t>Finalizado</t>
        </is>
      </c>
      <c r="K101" s="130" t="n"/>
      <c r="L101" s="130" t="n"/>
    </row>
    <row r="102" outlineLevel="1" ht="12" customHeight="1">
      <c r="A102" s="140" t="n"/>
      <c r="B102" s="141" t="inlineStr">
        <is>
          <t>SUBETAPA</t>
        </is>
      </c>
      <c r="C102" s="142" t="inlineStr">
        <is>
          <t>02.001.004</t>
        </is>
      </c>
      <c r="D102" s="148" t="inlineStr">
        <is>
          <t>Saúde Ocupacional</t>
        </is>
      </c>
      <c r="E102" s="68" t="n"/>
      <c r="F102" s="144" t="n"/>
      <c r="G102" s="151" t="n"/>
      <c r="H102" s="145">
        <f>H103+H104+H105</f>
        <v/>
      </c>
      <c r="I102" s="146" t="n"/>
      <c r="J102" s="147" t="n"/>
      <c r="K102" s="130" t="n"/>
      <c r="L102" s="130" t="n"/>
    </row>
    <row r="103" outlineLevel="2" ht="12" customHeight="1">
      <c r="A103" s="140" t="n"/>
      <c r="B103" s="141" t="inlineStr">
        <is>
          <t>SERVIÇO</t>
        </is>
      </c>
      <c r="C103" s="142" t="inlineStr">
        <is>
          <t>02.001.004.001</t>
        </is>
      </c>
      <c r="D103" s="148" t="inlineStr">
        <is>
          <t>Medicamentos preventivos e de emergência</t>
        </is>
      </c>
      <c r="E103" s="144" t="inlineStr">
        <is>
          <t>vb</t>
        </is>
      </c>
      <c r="F103" s="144" t="n">
        <v>1</v>
      </c>
      <c r="G103" s="144" t="n">
        <v>3789.056301791758</v>
      </c>
      <c r="H103" s="145">
        <f>G103*F103</f>
        <v/>
      </c>
      <c r="I103" s="144" t="inlineStr">
        <is>
          <t>Estimado</t>
        </is>
      </c>
      <c r="J103" s="147" t="inlineStr">
        <is>
          <t>Finalizado</t>
        </is>
      </c>
      <c r="K103" s="130" t="n"/>
      <c r="L103" s="130" t="n"/>
    </row>
    <row r="104" outlineLevel="2" ht="12" customHeight="1">
      <c r="A104" s="140" t="n"/>
      <c r="B104" s="141" t="inlineStr">
        <is>
          <t>SERVIÇO</t>
        </is>
      </c>
      <c r="C104" s="142" t="inlineStr">
        <is>
          <t>02.001.004.002</t>
        </is>
      </c>
      <c r="D104" s="148" t="inlineStr">
        <is>
          <t>Kit socorrista</t>
        </is>
      </c>
      <c r="E104" s="144" t="inlineStr">
        <is>
          <t>vb</t>
        </is>
      </c>
      <c r="F104" s="144" t="n">
        <v>1</v>
      </c>
      <c r="G104" s="144" t="n">
        <v>1232.130198965173</v>
      </c>
      <c r="H104" s="145">
        <f>G104*F104</f>
        <v/>
      </c>
      <c r="I104" s="144" t="inlineStr">
        <is>
          <t>Estimado</t>
        </is>
      </c>
      <c r="J104" s="147" t="inlineStr">
        <is>
          <t>Finalizado</t>
        </is>
      </c>
      <c r="K104" s="130" t="n"/>
      <c r="L104" s="130" t="n"/>
    </row>
    <row r="105" outlineLevel="2" ht="12" customHeight="1">
      <c r="A105" s="140" t="n"/>
      <c r="B105" s="141" t="inlineStr">
        <is>
          <t>SERVIÇO</t>
        </is>
      </c>
      <c r="C105" s="142" t="inlineStr">
        <is>
          <t>02.001.004.003</t>
        </is>
      </c>
      <c r="D105" s="148" t="inlineStr">
        <is>
          <t>Dedetização, desratização e sanitização dos ambientes</t>
        </is>
      </c>
      <c r="E105" s="144" t="inlineStr">
        <is>
          <t>mês</t>
        </is>
      </c>
      <c r="F105" s="144" t="n">
        <v>18</v>
      </c>
      <c r="G105" s="144" t="n">
        <v>250</v>
      </c>
      <c r="H105" s="145">
        <f>G105*F105</f>
        <v/>
      </c>
      <c r="I105" s="144" t="inlineStr">
        <is>
          <t>Estimado</t>
        </is>
      </c>
      <c r="J105" s="147" t="inlineStr">
        <is>
          <t>Finalizado</t>
        </is>
      </c>
      <c r="K105" s="130" t="n"/>
      <c r="L105" s="130" t="n"/>
    </row>
    <row r="106" outlineLevel="1" ht="12" customHeight="1">
      <c r="A106" s="140" t="n"/>
      <c r="B106" s="141" t="inlineStr">
        <is>
          <t>ETAPA</t>
        </is>
      </c>
      <c r="C106" s="142" t="inlineStr">
        <is>
          <t>02.002</t>
        </is>
      </c>
      <c r="D106" s="148" t="inlineStr">
        <is>
          <t>ADMINISTRAÇÃO E CANTEIRO DE OBRA</t>
        </is>
      </c>
      <c r="E106" s="68" t="n"/>
      <c r="F106" s="144" t="n"/>
      <c r="G106" s="144" t="n"/>
      <c r="H106" s="145">
        <f>H107+H114+H133+H138</f>
        <v/>
      </c>
      <c r="I106" s="146" t="n"/>
      <c r="J106" s="147" t="n"/>
      <c r="K106" s="130" t="n"/>
      <c r="L106" s="149" t="n"/>
    </row>
    <row r="107" outlineLevel="1" ht="12" customHeight="1">
      <c r="A107" s="140" t="n"/>
      <c r="B107" s="141" t="inlineStr">
        <is>
          <t>SUBETAPA</t>
        </is>
      </c>
      <c r="C107" s="142" t="inlineStr">
        <is>
          <t>02.002.001</t>
        </is>
      </c>
      <c r="D107" s="148" t="inlineStr">
        <is>
          <t>Equipe de Gestão e Apoio</t>
        </is>
      </c>
      <c r="E107" s="68" t="n"/>
      <c r="F107" s="144" t="n"/>
      <c r="G107" s="144" t="n"/>
      <c r="H107" s="145">
        <f>H108+H109+H110+H111+H112+H113</f>
        <v/>
      </c>
      <c r="I107" s="146" t="n"/>
      <c r="J107" s="147" t="n"/>
      <c r="K107" s="130" t="n"/>
      <c r="L107" s="149" t="n"/>
    </row>
    <row r="108" outlineLevel="2" ht="12" customHeight="1">
      <c r="A108" s="140" t="n"/>
      <c r="B108" s="141" t="inlineStr">
        <is>
          <t>SERVIÇO</t>
        </is>
      </c>
      <c r="C108" s="142" t="inlineStr">
        <is>
          <t>02.002.001.001</t>
        </is>
      </c>
      <c r="D108" s="148" t="inlineStr">
        <is>
          <t>Engenheiro Civil</t>
        </is>
      </c>
      <c r="E108" s="144" t="inlineStr">
        <is>
          <t>mês</t>
        </is>
      </c>
      <c r="F108" s="144" t="n">
        <v>48</v>
      </c>
      <c r="G108" s="144" t="n">
        <v>21000</v>
      </c>
      <c r="H108" s="145">
        <f>G108*F108</f>
        <v/>
      </c>
      <c r="I108" s="144" t="inlineStr">
        <is>
          <t>Recebido</t>
        </is>
      </c>
      <c r="J108" s="147" t="inlineStr">
        <is>
          <t>Finalizado</t>
        </is>
      </c>
      <c r="K108" s="130" t="n"/>
      <c r="L108" s="149" t="n"/>
    </row>
    <row r="109" outlineLevel="2" ht="12" customHeight="1">
      <c r="A109" s="140" t="n"/>
      <c r="B109" s="141" t="inlineStr">
        <is>
          <t>SERVIÇO</t>
        </is>
      </c>
      <c r="C109" s="142" t="inlineStr">
        <is>
          <t>02.002.001.002</t>
        </is>
      </c>
      <c r="D109" s="148" t="inlineStr">
        <is>
          <t>Almoxarife</t>
        </is>
      </c>
      <c r="E109" s="144" t="inlineStr">
        <is>
          <t>mês</t>
        </is>
      </c>
      <c r="F109" s="144" t="n">
        <v>24</v>
      </c>
      <c r="G109" s="144" t="n">
        <v>5000</v>
      </c>
      <c r="H109" s="145">
        <f>G109*F109</f>
        <v/>
      </c>
      <c r="I109" s="144" t="inlineStr">
        <is>
          <t>Recebido</t>
        </is>
      </c>
      <c r="J109" s="147" t="inlineStr">
        <is>
          <t>Finalizado</t>
        </is>
      </c>
      <c r="K109" s="130" t="n"/>
      <c r="L109" s="149" t="n"/>
    </row>
    <row r="110" outlineLevel="2" ht="12" customHeight="1">
      <c r="A110" s="140" t="n"/>
      <c r="B110" s="141" t="inlineStr">
        <is>
          <t>SERVIÇO</t>
        </is>
      </c>
      <c r="C110" s="142" t="inlineStr">
        <is>
          <t>02.002.001.003</t>
        </is>
      </c>
      <c r="D110" s="148" t="inlineStr">
        <is>
          <t>Auxiliar de engenharia</t>
        </is>
      </c>
      <c r="E110" s="144" t="inlineStr">
        <is>
          <t>mês</t>
        </is>
      </c>
      <c r="F110" s="144" t="n">
        <v>12</v>
      </c>
      <c r="G110" s="144" t="n">
        <v>6800</v>
      </c>
      <c r="H110" s="145">
        <f>G110*F110</f>
        <v/>
      </c>
      <c r="I110" s="144" t="inlineStr">
        <is>
          <t>Recebido</t>
        </is>
      </c>
      <c r="J110" s="147" t="inlineStr">
        <is>
          <t>Finalizado</t>
        </is>
      </c>
      <c r="K110" s="130" t="n"/>
      <c r="L110" s="149" t="n"/>
    </row>
    <row r="111" outlineLevel="2" ht="12" customHeight="1">
      <c r="A111" s="140" t="n"/>
      <c r="B111" s="141" t="inlineStr">
        <is>
          <t>SERVIÇO</t>
        </is>
      </c>
      <c r="C111" s="142" t="inlineStr">
        <is>
          <t>02.002.001.004</t>
        </is>
      </c>
      <c r="D111" s="148" t="inlineStr">
        <is>
          <t>Assistente administrativo</t>
        </is>
      </c>
      <c r="E111" s="144" t="inlineStr">
        <is>
          <t>mês</t>
        </is>
      </c>
      <c r="F111" s="144" t="n">
        <v>48</v>
      </c>
      <c r="G111" s="144" t="n">
        <v>4500</v>
      </c>
      <c r="H111" s="145">
        <f>G111*F111</f>
        <v/>
      </c>
      <c r="I111" s="144" t="inlineStr">
        <is>
          <t>Recebido</t>
        </is>
      </c>
      <c r="J111" s="147" t="inlineStr">
        <is>
          <t>Finalizado</t>
        </is>
      </c>
      <c r="K111" s="130" t="n"/>
      <c r="L111" s="149" t="n"/>
    </row>
    <row r="112" outlineLevel="2" ht="12" customHeight="1">
      <c r="A112" s="140" t="n"/>
      <c r="B112" s="141" t="inlineStr">
        <is>
          <t>SERVIÇO</t>
        </is>
      </c>
      <c r="C112" s="142" t="inlineStr">
        <is>
          <t>02.002.001.005</t>
        </is>
      </c>
      <c r="D112" s="148" t="inlineStr">
        <is>
          <t>Estagiário</t>
        </is>
      </c>
      <c r="E112" s="144" t="inlineStr">
        <is>
          <t>mês</t>
        </is>
      </c>
      <c r="F112" s="144" t="n">
        <v>36</v>
      </c>
      <c r="G112" s="144" t="n">
        <v>2000</v>
      </c>
      <c r="H112" s="145">
        <f>G112*F112</f>
        <v/>
      </c>
      <c r="I112" s="144" t="inlineStr">
        <is>
          <t>Recebido</t>
        </is>
      </c>
      <c r="J112" s="147" t="inlineStr">
        <is>
          <t>Finalizado</t>
        </is>
      </c>
      <c r="K112" s="130" t="n"/>
      <c r="L112" s="149" t="n"/>
    </row>
    <row r="113" outlineLevel="2" ht="12" customHeight="1">
      <c r="A113" s="140" t="n"/>
      <c r="B113" s="141" t="inlineStr">
        <is>
          <t>SERVIÇO</t>
        </is>
      </c>
      <c r="C113" s="142" t="inlineStr">
        <is>
          <t>02.002.001.006</t>
        </is>
      </c>
      <c r="D113" s="148" t="inlineStr">
        <is>
          <t>Vigilância / portaria</t>
        </is>
      </c>
      <c r="E113" s="144" t="inlineStr">
        <is>
          <t>mês</t>
        </is>
      </c>
      <c r="F113" s="144" t="n">
        <v>48</v>
      </c>
      <c r="G113" s="144" t="n">
        <v>11600</v>
      </c>
      <c r="H113" s="145">
        <f>G113*F113</f>
        <v/>
      </c>
      <c r="I113" s="144" t="inlineStr">
        <is>
          <t>Estimado - Vamos contratar o controle da Inmeta (Sistema) e instalar catraca e facial (prever custo)</t>
        </is>
      </c>
      <c r="J113" s="147" t="inlineStr">
        <is>
          <t>Finalizado</t>
        </is>
      </c>
      <c r="K113" s="130" t="n"/>
      <c r="L113" s="149" t="n"/>
    </row>
    <row r="114" outlineLevel="1" ht="12" customHeight="1">
      <c r="A114" s="140" t="n"/>
      <c r="B114" s="141" t="inlineStr">
        <is>
          <t>SUBETAPA</t>
        </is>
      </c>
      <c r="C114" s="142" t="inlineStr">
        <is>
          <t>02.002.002</t>
        </is>
      </c>
      <c r="D114" s="148" t="inlineStr">
        <is>
          <t>Despesas de Consumo e Manutenção</t>
        </is>
      </c>
      <c r="E114" s="68" t="n"/>
      <c r="F114" s="144" t="n"/>
      <c r="G114" s="144" t="n"/>
      <c r="H114" s="145">
        <f>H115+H116+H117+H118+H119+H120+H121+H122+H123+H124+H125+H126+H127+H128+H129+H130+H131+H132</f>
        <v/>
      </c>
      <c r="I114" s="146" t="n"/>
      <c r="J114" s="147" t="n"/>
      <c r="K114" s="130" t="n"/>
      <c r="L114" s="149" t="n"/>
    </row>
    <row r="115" outlineLevel="2" ht="12" customHeight="1">
      <c r="A115" s="140" t="n"/>
      <c r="B115" s="141" t="inlineStr">
        <is>
          <t>SERVIÇO</t>
        </is>
      </c>
      <c r="C115" s="142" t="inlineStr">
        <is>
          <t>02.002.002.001</t>
        </is>
      </c>
      <c r="D115" s="148" t="inlineStr">
        <is>
          <t>Consumos Mensais: Água e Esgoto</t>
        </is>
      </c>
      <c r="E115" s="144" t="inlineStr">
        <is>
          <t>mês</t>
        </is>
      </c>
      <c r="F115" s="144" t="n">
        <v>36</v>
      </c>
      <c r="G115" s="144" t="n">
        <v>4959.277235856038</v>
      </c>
      <c r="H115" s="145">
        <f>G115*F115</f>
        <v/>
      </c>
      <c r="I115" s="144" t="inlineStr">
        <is>
          <t>Estimado</t>
        </is>
      </c>
      <c r="J115" s="147" t="inlineStr">
        <is>
          <t>Finalizado</t>
        </is>
      </c>
      <c r="K115" s="130" t="n"/>
      <c r="L115" s="149" t="n"/>
    </row>
    <row r="116" outlineLevel="2" ht="12" customHeight="1">
      <c r="A116" s="140" t="n"/>
      <c r="B116" s="141" t="inlineStr">
        <is>
          <t>SERVIÇO</t>
        </is>
      </c>
      <c r="C116" s="142" t="inlineStr">
        <is>
          <t>02.002.002.002</t>
        </is>
      </c>
      <c r="D116" s="148" t="inlineStr">
        <is>
          <t>Consumos Mensais: Luz/energia</t>
        </is>
      </c>
      <c r="E116" s="144" t="inlineStr">
        <is>
          <t>mês</t>
        </is>
      </c>
      <c r="F116" s="144" t="n">
        <v>36</v>
      </c>
      <c r="G116" s="144" t="n">
        <v>8975.889727949138</v>
      </c>
      <c r="H116" s="145">
        <f>G116*F116</f>
        <v/>
      </c>
      <c r="I116" s="144" t="inlineStr">
        <is>
          <t>Estimado</t>
        </is>
      </c>
      <c r="J116" s="147" t="inlineStr">
        <is>
          <t>Finalizado</t>
        </is>
      </c>
      <c r="K116" s="130" t="n"/>
      <c r="L116" s="149" t="n"/>
    </row>
    <row r="117" outlineLevel="2" ht="12" customHeight="1">
      <c r="A117" s="140" t="n"/>
      <c r="B117" s="141" t="inlineStr">
        <is>
          <t>SERVIÇO</t>
        </is>
      </c>
      <c r="C117" s="142" t="inlineStr">
        <is>
          <t>02.002.002.003</t>
        </is>
      </c>
      <c r="D117" s="148" t="inlineStr">
        <is>
          <t>Consumos Mensais: Internet</t>
        </is>
      </c>
      <c r="E117" s="144" t="inlineStr">
        <is>
          <t>mês</t>
        </is>
      </c>
      <c r="F117" s="144" t="n">
        <v>36</v>
      </c>
      <c r="G117" s="144" t="n">
        <v>400</v>
      </c>
      <c r="H117" s="145">
        <f>G117*F117</f>
        <v/>
      </c>
      <c r="I117" s="144" t="inlineStr">
        <is>
          <t>Recebido</t>
        </is>
      </c>
      <c r="J117" s="147" t="inlineStr">
        <is>
          <t>Finalizado</t>
        </is>
      </c>
      <c r="K117" s="130" t="n"/>
      <c r="L117" s="149" t="n"/>
    </row>
    <row r="118" outlineLevel="2" ht="12" customHeight="1">
      <c r="A118" s="140" t="n"/>
      <c r="B118" s="141" t="inlineStr">
        <is>
          <t>SERVIÇO</t>
        </is>
      </c>
      <c r="C118" s="142" t="inlineStr">
        <is>
          <t>02.002.002.004</t>
        </is>
      </c>
      <c r="D118" s="148" t="inlineStr">
        <is>
          <t>Consumos Mensais: Telefone</t>
        </is>
      </c>
      <c r="E118" s="144" t="inlineStr">
        <is>
          <t>mês</t>
        </is>
      </c>
      <c r="F118" s="144" t="n">
        <v>36</v>
      </c>
      <c r="G118" s="144" t="n">
        <v>400</v>
      </c>
      <c r="H118" s="145">
        <f>G118*F118</f>
        <v/>
      </c>
      <c r="I118" s="144" t="inlineStr">
        <is>
          <t>Recebido</t>
        </is>
      </c>
      <c r="J118" s="147" t="inlineStr">
        <is>
          <t>Finalizado</t>
        </is>
      </c>
      <c r="K118" s="130" t="n"/>
      <c r="L118" s="149" t="n"/>
    </row>
    <row r="119" outlineLevel="2" ht="12" customHeight="1">
      <c r="A119" s="140" t="n"/>
      <c r="B119" s="141" t="inlineStr">
        <is>
          <t>SERVIÇO</t>
        </is>
      </c>
      <c r="C119" s="142" t="inlineStr">
        <is>
          <t>02.002.002.005</t>
        </is>
      </c>
      <c r="D119" s="148" t="inlineStr">
        <is>
          <t>Consumos Mensais: Coleta de Lixo</t>
        </is>
      </c>
      <c r="E119" s="144" t="inlineStr">
        <is>
          <t>mês</t>
        </is>
      </c>
      <c r="F119" s="144" t="n">
        <v>36</v>
      </c>
      <c r="G119" s="144" t="n">
        <v>70</v>
      </c>
      <c r="H119" s="145">
        <f>G119*F119</f>
        <v/>
      </c>
      <c r="I119" s="144" t="inlineStr">
        <is>
          <t>Estimado</t>
        </is>
      </c>
      <c r="J119" s="147" t="inlineStr">
        <is>
          <t>Finalizado</t>
        </is>
      </c>
      <c r="K119" s="130" t="n"/>
      <c r="L119" s="149" t="n"/>
    </row>
    <row r="120" outlineLevel="2" ht="12" customHeight="1">
      <c r="A120" s="140" t="n"/>
      <c r="B120" s="141" t="inlineStr">
        <is>
          <t>SERVIÇO</t>
        </is>
      </c>
      <c r="C120" s="142" t="inlineStr">
        <is>
          <t>02.002.002.006</t>
        </is>
      </c>
      <c r="D120" s="148" t="inlineStr">
        <is>
          <t>Consumos Mensais: Alimentação</t>
        </is>
      </c>
      <c r="E120" s="144" t="inlineStr">
        <is>
          <t>mês</t>
        </is>
      </c>
      <c r="F120" s="144" t="n">
        <v>36</v>
      </c>
      <c r="G120" s="144" t="n">
        <v>576.1630265410016</v>
      </c>
      <c r="H120" s="145">
        <f>G120*F120</f>
        <v/>
      </c>
      <c r="I120" s="144" t="inlineStr">
        <is>
          <t>Estimado</t>
        </is>
      </c>
      <c r="J120" s="147" t="inlineStr">
        <is>
          <t>Finalizado</t>
        </is>
      </c>
      <c r="K120" s="130" t="n"/>
      <c r="L120" s="149" t="n"/>
    </row>
    <row r="121" outlineLevel="2" ht="12" customHeight="1">
      <c r="A121" s="140" t="n"/>
      <c r="B121" s="141" t="inlineStr">
        <is>
          <t>SERVIÇO</t>
        </is>
      </c>
      <c r="C121" s="142" t="inlineStr">
        <is>
          <t>02.002.002.007</t>
        </is>
      </c>
      <c r="D121" s="148" t="inlineStr">
        <is>
          <t>Consumos Mensais: Mateirial de expediênte/escritório</t>
        </is>
      </c>
      <c r="E121" s="144" t="inlineStr">
        <is>
          <t>mês</t>
        </is>
      </c>
      <c r="F121" s="144" t="n">
        <v>36</v>
      </c>
      <c r="G121" s="144" t="n">
        <v>300</v>
      </c>
      <c r="H121" s="145">
        <f>G121*F121</f>
        <v/>
      </c>
      <c r="I121" s="144" t="inlineStr">
        <is>
          <t>Recebido</t>
        </is>
      </c>
      <c r="J121" s="147" t="inlineStr">
        <is>
          <t>Finalizado</t>
        </is>
      </c>
      <c r="K121" s="130" t="n"/>
      <c r="L121" s="149" t="n"/>
    </row>
    <row r="122" outlineLevel="2" ht="13.5" customHeight="1">
      <c r="A122" s="140" t="n"/>
      <c r="B122" s="141" t="inlineStr">
        <is>
          <t>SERVIÇO</t>
        </is>
      </c>
      <c r="C122" s="142" t="inlineStr">
        <is>
          <t>02.002.002.008</t>
        </is>
      </c>
      <c r="D122" s="148" t="inlineStr">
        <is>
          <t>Consumos Mensais: Material de higiêne e limpeza</t>
        </is>
      </c>
      <c r="E122" s="144" t="inlineStr">
        <is>
          <t>mês</t>
        </is>
      </c>
      <c r="F122" s="144" t="n">
        <v>36</v>
      </c>
      <c r="G122" s="144" t="n">
        <v>500</v>
      </c>
      <c r="H122" s="145">
        <f>G122*F122</f>
        <v/>
      </c>
      <c r="I122" s="144" t="inlineStr">
        <is>
          <t>Recebido</t>
        </is>
      </c>
      <c r="J122" s="147" t="inlineStr">
        <is>
          <t>Finalizado</t>
        </is>
      </c>
      <c r="K122" s="130" t="n"/>
      <c r="L122" s="149" t="n"/>
    </row>
    <row r="123" outlineLevel="2" ht="12" customHeight="1">
      <c r="A123" s="140" t="n"/>
      <c r="B123" s="141" t="inlineStr">
        <is>
          <t>SERVIÇO</t>
        </is>
      </c>
      <c r="C123" s="142" t="inlineStr">
        <is>
          <t>02.002.002.009</t>
        </is>
      </c>
      <c r="D123" s="148" t="inlineStr">
        <is>
          <t>Catraca</t>
        </is>
      </c>
      <c r="E123" s="144" t="inlineStr">
        <is>
          <t>mês</t>
        </is>
      </c>
      <c r="F123" s="144" t="n">
        <v>36</v>
      </c>
      <c r="G123" s="144" t="n">
        <v>1570</v>
      </c>
      <c r="H123" s="145">
        <f>G123*F123</f>
        <v/>
      </c>
      <c r="I123" s="144" t="inlineStr">
        <is>
          <t>Estimado</t>
        </is>
      </c>
      <c r="J123" s="147" t="inlineStr">
        <is>
          <t>Finalizado</t>
        </is>
      </c>
      <c r="K123" s="130" t="n"/>
      <c r="L123" s="149" t="n"/>
    </row>
    <row r="124" outlineLevel="2" ht="12" customHeight="1">
      <c r="A124" s="140" t="n"/>
      <c r="B124" s="141" t="inlineStr">
        <is>
          <t>SERVIÇO</t>
        </is>
      </c>
      <c r="C124" s="142" t="inlineStr">
        <is>
          <t>02.002.002.010</t>
        </is>
      </c>
      <c r="D124" s="148" t="inlineStr">
        <is>
          <t>Consumos gerais: Fretes</t>
        </is>
      </c>
      <c r="E124" s="144" t="inlineStr">
        <is>
          <t>mês</t>
        </is>
      </c>
      <c r="F124" s="144" t="n">
        <v>36</v>
      </c>
      <c r="G124" s="144" t="n">
        <v>3437.616242140465</v>
      </c>
      <c r="H124" s="145">
        <f>G124*F124</f>
        <v/>
      </c>
      <c r="I124" s="144" t="inlineStr">
        <is>
          <t>Estimado</t>
        </is>
      </c>
      <c r="J124" s="147" t="inlineStr">
        <is>
          <t>Finalizado</t>
        </is>
      </c>
      <c r="K124" s="130" t="n"/>
      <c r="L124" s="149" t="n"/>
    </row>
    <row r="125" outlineLevel="2" ht="12" customHeight="1">
      <c r="A125" s="140" t="n"/>
      <c r="B125" s="141" t="inlineStr">
        <is>
          <t>SERVIÇO</t>
        </is>
      </c>
      <c r="C125" s="142" t="inlineStr">
        <is>
          <t>02.002.002.011</t>
        </is>
      </c>
      <c r="D125" s="148" t="inlineStr">
        <is>
          <t>Consumos gerais: Consumo de cópias</t>
        </is>
      </c>
      <c r="E125" s="144" t="inlineStr">
        <is>
          <t>mês</t>
        </is>
      </c>
      <c r="F125" s="144" t="n">
        <v>36</v>
      </c>
      <c r="G125" s="144" t="n">
        <v>8639.482316426369</v>
      </c>
      <c r="H125" s="145">
        <f>G125*F125</f>
        <v/>
      </c>
      <c r="I125" s="144" t="inlineStr">
        <is>
          <t>Estimado</t>
        </is>
      </c>
      <c r="J125" s="147" t="inlineStr">
        <is>
          <t>Finalizado</t>
        </is>
      </c>
      <c r="K125" s="130" t="n"/>
      <c r="L125" s="149" t="n"/>
    </row>
    <row r="126" outlineLevel="2" ht="13.5" customHeight="1">
      <c r="A126" s="140" t="n"/>
      <c r="B126" s="141" t="inlineStr">
        <is>
          <t>SERVIÇO</t>
        </is>
      </c>
      <c r="C126" s="142" t="inlineStr">
        <is>
          <t>02.002.002.012</t>
        </is>
      </c>
      <c r="D126" s="148" t="inlineStr">
        <is>
          <t>Consumos gerais: Despesas com vizinhos</t>
        </is>
      </c>
      <c r="E126" s="144" t="inlineStr">
        <is>
          <t>vb</t>
        </is>
      </c>
      <c r="F126" s="144" t="n">
        <v>1</v>
      </c>
      <c r="G126" s="144" t="n">
        <v>87151.90912238396</v>
      </c>
      <c r="H126" s="145">
        <f>G126*F126</f>
        <v/>
      </c>
      <c r="I126" s="144" t="inlineStr">
        <is>
          <t>Estimado</t>
        </is>
      </c>
      <c r="J126" s="147" t="inlineStr">
        <is>
          <t>Finalizado</t>
        </is>
      </c>
      <c r="K126" s="130" t="n"/>
      <c r="L126" s="149" t="n"/>
    </row>
    <row r="127" outlineLevel="2" ht="13.5" customHeight="1">
      <c r="A127" s="140" t="n"/>
      <c r="B127" s="141" t="inlineStr">
        <is>
          <t>SERVIÇO</t>
        </is>
      </c>
      <c r="C127" s="142" t="inlineStr">
        <is>
          <t>02.002.002.013</t>
        </is>
      </c>
      <c r="D127" s="148" t="inlineStr">
        <is>
          <t>Consumos gerais: Esgotamento de sistema sanitário temporário</t>
        </is>
      </c>
      <c r="E127" s="144" t="inlineStr">
        <is>
          <t>mês</t>
        </is>
      </c>
      <c r="F127" s="144" t="n">
        <v>36</v>
      </c>
      <c r="G127" s="144" t="n">
        <v>552.0810496634545</v>
      </c>
      <c r="H127" s="145">
        <f>G127*F127</f>
        <v/>
      </c>
      <c r="I127" s="144" t="inlineStr">
        <is>
          <t>Estimado</t>
        </is>
      </c>
      <c r="J127" s="147" t="inlineStr">
        <is>
          <t>Finalizado</t>
        </is>
      </c>
      <c r="K127" s="130" t="n"/>
      <c r="L127" s="149" t="n"/>
    </row>
    <row r="128" outlineLevel="2" ht="12.75" customHeight="1">
      <c r="A128" s="140" t="n"/>
      <c r="B128" s="141" t="inlineStr">
        <is>
          <t>SERVIÇO</t>
        </is>
      </c>
      <c r="C128" s="142" t="inlineStr">
        <is>
          <t>02.002.002.014</t>
        </is>
      </c>
      <c r="D128" s="148" t="inlineStr">
        <is>
          <t>Consumos gerais: Gerador autônomo de energia</t>
        </is>
      </c>
      <c r="E128" s="144" t="inlineStr">
        <is>
          <t>mês</t>
        </is>
      </c>
      <c r="F128" s="144" t="n">
        <v>36</v>
      </c>
      <c r="G128" s="144" t="n">
        <v>432.2250485996483</v>
      </c>
      <c r="H128" s="145">
        <f>G128*F128</f>
        <v/>
      </c>
      <c r="I128" s="144" t="inlineStr">
        <is>
          <t>Estimado</t>
        </is>
      </c>
      <c r="J128" s="147" t="inlineStr">
        <is>
          <t>Finalizado</t>
        </is>
      </c>
      <c r="K128" s="130" t="n"/>
      <c r="L128" s="149" t="n"/>
    </row>
    <row r="129" outlineLevel="2" ht="12.75" customHeight="1">
      <c r="A129" s="140" t="n"/>
      <c r="B129" s="141" t="inlineStr">
        <is>
          <t>SERVIÇO</t>
        </is>
      </c>
      <c r="C129" s="142" t="inlineStr">
        <is>
          <t>02.002.002.015</t>
        </is>
      </c>
      <c r="D129" s="148" t="inlineStr">
        <is>
          <t>Implantação de vigilância e acesso</t>
        </is>
      </c>
      <c r="E129" s="144" t="inlineStr">
        <is>
          <t>vb</t>
        </is>
      </c>
      <c r="F129" s="144" t="n">
        <v>1</v>
      </c>
      <c r="G129" s="144" t="n">
        <v>20000</v>
      </c>
      <c r="H129" s="145">
        <f>G129*F129</f>
        <v/>
      </c>
      <c r="I129" s="144" t="inlineStr">
        <is>
          <t>Recebido</t>
        </is>
      </c>
      <c r="J129" s="147" t="inlineStr">
        <is>
          <t>Finalizado</t>
        </is>
      </c>
      <c r="K129" s="130" t="n"/>
      <c r="L129" s="149" t="n"/>
    </row>
    <row r="130" outlineLevel="2" ht="12.75" customHeight="1">
      <c r="A130" s="140" t="n"/>
      <c r="B130" s="141" t="inlineStr">
        <is>
          <t>SERVIÇO</t>
        </is>
      </c>
      <c r="C130" s="142" t="inlineStr">
        <is>
          <t>02.002.002.016</t>
        </is>
      </c>
      <c r="D130" s="148" t="inlineStr">
        <is>
          <t>Mobiliario de apoio a obra</t>
        </is>
      </c>
      <c r="E130" s="144" t="inlineStr">
        <is>
          <t>vb</t>
        </is>
      </c>
      <c r="F130" s="144" t="n">
        <v>1</v>
      </c>
      <c r="G130" s="144" t="n">
        <v>17450</v>
      </c>
      <c r="H130" s="145">
        <f>G130*F130</f>
        <v/>
      </c>
      <c r="I130" s="144" t="inlineStr">
        <is>
          <t>Não Solicitado</t>
        </is>
      </c>
      <c r="J130" s="147" t="inlineStr">
        <is>
          <t>Finalizado</t>
        </is>
      </c>
      <c r="K130" s="130" t="n"/>
      <c r="L130" s="149" t="n"/>
    </row>
    <row r="131" outlineLevel="2" ht="12.75" customHeight="1">
      <c r="A131" s="140" t="n"/>
      <c r="B131" s="141" t="inlineStr">
        <is>
          <t>SERVIÇO</t>
        </is>
      </c>
      <c r="C131" s="142" t="inlineStr">
        <is>
          <t>02.002.002.017</t>
        </is>
      </c>
      <c r="D131" s="148" t="inlineStr">
        <is>
          <t>Equipamentos de escritorio</t>
        </is>
      </c>
      <c r="E131" s="144" t="inlineStr">
        <is>
          <t>vb</t>
        </is>
      </c>
      <c r="F131" s="144" t="n">
        <v>1</v>
      </c>
      <c r="G131" s="144" t="n">
        <v>33400</v>
      </c>
      <c r="H131" s="145">
        <f>G131*F131</f>
        <v/>
      </c>
      <c r="I131" s="144" t="inlineStr">
        <is>
          <t>Não Solicitado</t>
        </is>
      </c>
      <c r="J131" s="147" t="inlineStr">
        <is>
          <t>Finalizado</t>
        </is>
      </c>
      <c r="K131" s="130" t="n"/>
      <c r="L131" s="149" t="n"/>
    </row>
    <row r="132" outlineLevel="2" ht="12.75" customHeight="1">
      <c r="A132" s="140" t="n"/>
      <c r="B132" s="141" t="inlineStr">
        <is>
          <t>SERVIÇO</t>
        </is>
      </c>
      <c r="C132" s="142" t="inlineStr">
        <is>
          <t>02.002.002.018</t>
        </is>
      </c>
      <c r="D132" s="148" t="inlineStr">
        <is>
          <t>Sinalizacao geral da obra</t>
        </is>
      </c>
      <c r="E132" s="144" t="inlineStr">
        <is>
          <t>vb</t>
        </is>
      </c>
      <c r="F132" s="144" t="n">
        <v>1</v>
      </c>
      <c r="G132" s="144" t="n">
        <v>0</v>
      </c>
      <c r="H132" s="145">
        <f>G132*F132</f>
        <v/>
      </c>
      <c r="I132" s="144" t="inlineStr">
        <is>
          <t>Estimado</t>
        </is>
      </c>
      <c r="J132" s="147" t="inlineStr">
        <is>
          <t>Finalizado</t>
        </is>
      </c>
      <c r="K132" s="130" t="n"/>
      <c r="L132" s="149" t="n"/>
    </row>
    <row r="133" outlineLevel="1" ht="12" customHeight="1">
      <c r="A133" s="140" t="n"/>
      <c r="B133" s="141" t="inlineStr">
        <is>
          <t>SUBETAPA</t>
        </is>
      </c>
      <c r="C133" s="142" t="inlineStr">
        <is>
          <t>02.002.003</t>
        </is>
      </c>
      <c r="D133" s="148" t="inlineStr">
        <is>
          <t>Manutenção de Canteiro de Obra</t>
        </is>
      </c>
      <c r="E133" s="68" t="n"/>
      <c r="F133" s="144" t="n"/>
      <c r="G133" s="144" t="n"/>
      <c r="H133" s="145">
        <f>H134+H135+H136+H137</f>
        <v/>
      </c>
      <c r="I133" s="146" t="n"/>
      <c r="J133" s="147" t="n"/>
      <c r="K133" s="130" t="n"/>
      <c r="L133" s="149" t="n"/>
    </row>
    <row r="134" outlineLevel="2" ht="12.75" customHeight="1">
      <c r="A134" s="140" t="n"/>
      <c r="B134" s="141" t="inlineStr">
        <is>
          <t>SERVIÇO</t>
        </is>
      </c>
      <c r="C134" s="142" t="inlineStr">
        <is>
          <t>02.002.003.001</t>
        </is>
      </c>
      <c r="D134" s="148" t="inlineStr">
        <is>
          <t>Despesas de manutenção: Manutenção provisória do canteiro</t>
        </is>
      </c>
      <c r="E134" s="144" t="inlineStr">
        <is>
          <t>mês</t>
        </is>
      </c>
      <c r="F134" s="144" t="n">
        <v>36</v>
      </c>
      <c r="G134" s="144" t="n">
        <v>1500</v>
      </c>
      <c r="H134" s="145">
        <f>G134*F134</f>
        <v/>
      </c>
      <c r="I134" s="144" t="inlineStr">
        <is>
          <t>Recebido</t>
        </is>
      </c>
      <c r="J134" s="147" t="inlineStr">
        <is>
          <t>Finalizado</t>
        </is>
      </c>
      <c r="K134" s="130" t="n"/>
      <c r="L134" s="149" t="n"/>
    </row>
    <row r="135" outlineLevel="2" ht="12.75" customHeight="1">
      <c r="A135" s="140" t="n"/>
      <c r="B135" s="141" t="inlineStr">
        <is>
          <t>SERVIÇO</t>
        </is>
      </c>
      <c r="C135" s="142" t="inlineStr">
        <is>
          <t>02.002.003.002</t>
        </is>
      </c>
      <c r="D135" s="148" t="inlineStr">
        <is>
          <t>Despesas de manutenção: Manutenção provisória elétrica</t>
        </is>
      </c>
      <c r="E135" s="144" t="inlineStr">
        <is>
          <t>mês</t>
        </is>
      </c>
      <c r="F135" s="144" t="n">
        <v>36</v>
      </c>
      <c r="G135" s="144" t="n">
        <v>3000</v>
      </c>
      <c r="H135" s="145">
        <f>G135*F135</f>
        <v/>
      </c>
      <c r="I135" s="144" t="inlineStr">
        <is>
          <t>Recebido</t>
        </is>
      </c>
      <c r="J135" s="147" t="inlineStr">
        <is>
          <t>Finalizado</t>
        </is>
      </c>
      <c r="K135" s="130" t="n"/>
      <c r="L135" s="149" t="n"/>
    </row>
    <row r="136" outlineLevel="2" ht="13.5" customHeight="1">
      <c r="A136" s="140" t="n"/>
      <c r="B136" s="141" t="inlineStr">
        <is>
          <t>SERVIÇO</t>
        </is>
      </c>
      <c r="C136" s="142" t="inlineStr">
        <is>
          <t>02.002.003.003</t>
        </is>
      </c>
      <c r="D136" s="148" t="inlineStr">
        <is>
          <t>Despesas de manutenção: Manutenção provisória hidrossanitária</t>
        </is>
      </c>
      <c r="E136" s="144" t="inlineStr">
        <is>
          <t>mês</t>
        </is>
      </c>
      <c r="F136" s="144" t="n">
        <v>36</v>
      </c>
      <c r="G136" s="144" t="n">
        <v>2000</v>
      </c>
      <c r="H136" s="145">
        <f>G136*F136</f>
        <v/>
      </c>
      <c r="I136" s="144" t="inlineStr">
        <is>
          <t>Recebido</t>
        </is>
      </c>
      <c r="J136" s="147" t="inlineStr">
        <is>
          <t>Finalizado</t>
        </is>
      </c>
      <c r="K136" s="130" t="n"/>
      <c r="L136" s="149" t="n"/>
    </row>
    <row r="137" outlineLevel="2" ht="13.5" customHeight="1">
      <c r="A137" s="140" t="n"/>
      <c r="B137" s="141" t="inlineStr">
        <is>
          <t>SERVIÇO</t>
        </is>
      </c>
      <c r="C137" s="142" t="inlineStr">
        <is>
          <t>02.002.003.004</t>
        </is>
      </c>
      <c r="D137" s="148" t="inlineStr">
        <is>
          <t>Despesas de manutenção: Manutenção provisória vigilância e acessos</t>
        </is>
      </c>
      <c r="E137" s="144" t="inlineStr">
        <is>
          <t>mês</t>
        </is>
      </c>
      <c r="F137" s="144" t="n">
        <v>36</v>
      </c>
      <c r="G137" s="144" t="n">
        <v>300</v>
      </c>
      <c r="H137" s="145">
        <f>G137*F137</f>
        <v/>
      </c>
      <c r="I137" s="144" t="inlineStr">
        <is>
          <t>Recebido</t>
        </is>
      </c>
      <c r="J137" s="147" t="inlineStr">
        <is>
          <t>Finalizado</t>
        </is>
      </c>
      <c r="K137" s="130" t="n"/>
      <c r="L137" s="149" t="n"/>
    </row>
    <row r="138" outlineLevel="1" ht="12" customHeight="1">
      <c r="A138" s="140" t="n"/>
      <c r="B138" s="141" t="inlineStr">
        <is>
          <t>SUBETAPA</t>
        </is>
      </c>
      <c r="C138" s="142" t="inlineStr">
        <is>
          <t>02.002.004</t>
        </is>
      </c>
      <c r="D138" s="148" t="inlineStr">
        <is>
          <t>Instalações e Ligações Provisórias</t>
        </is>
      </c>
      <c r="E138" s="68" t="n"/>
      <c r="F138" s="144" t="n"/>
      <c r="G138" s="144" t="n"/>
      <c r="H138" s="145">
        <f>H139+H140+H141+H142+H143+H144+H145+H146+H147</f>
        <v/>
      </c>
      <c r="I138" s="146" t="n"/>
      <c r="J138" s="147" t="n"/>
      <c r="K138" s="130" t="n"/>
      <c r="L138" s="149" t="n"/>
    </row>
    <row r="139" outlineLevel="2" ht="12" customHeight="1">
      <c r="A139" s="140" t="n"/>
      <c r="B139" s="141" t="inlineStr">
        <is>
          <t>SERVIÇO</t>
        </is>
      </c>
      <c r="C139" s="142" t="inlineStr">
        <is>
          <t>02.002.004.001</t>
        </is>
      </c>
      <c r="D139" s="148" t="inlineStr">
        <is>
          <t>Locação de banheiro químico</t>
        </is>
      </c>
      <c r="E139" s="144" t="inlineStr">
        <is>
          <t>mês</t>
        </is>
      </c>
      <c r="F139" s="144" t="n">
        <v>6</v>
      </c>
      <c r="G139" s="144" t="n">
        <v>16155.36773237363</v>
      </c>
      <c r="H139" s="145">
        <f>G139*F139</f>
        <v/>
      </c>
      <c r="I139" s="144" t="inlineStr">
        <is>
          <t>Estimado - 2 conteiners</t>
        </is>
      </c>
      <c r="J139" s="147" t="inlineStr">
        <is>
          <t>Finalizado</t>
        </is>
      </c>
      <c r="K139" s="130" t="n"/>
      <c r="L139" s="149" t="n"/>
    </row>
    <row r="140" outlineLevel="2" ht="12" customHeight="1">
      <c r="A140" s="140" t="n"/>
      <c r="B140" s="141" t="inlineStr">
        <is>
          <t>SERVIÇO</t>
        </is>
      </c>
      <c r="C140" s="142" t="inlineStr">
        <is>
          <t>02.002.004.002</t>
        </is>
      </c>
      <c r="D140" s="148" t="inlineStr">
        <is>
          <t>Instalações Provisórias (central de aço, formas, argamassa, almoxarifado geral, construções temporárias)</t>
        </is>
      </c>
      <c r="E140" s="144" t="inlineStr">
        <is>
          <t>vb</t>
        </is>
      </c>
      <c r="F140" s="144" t="n">
        <v>1</v>
      </c>
      <c r="G140" s="144" t="n">
        <v>312816.8399673334</v>
      </c>
      <c r="H140" s="145">
        <f>G140*F140</f>
        <v/>
      </c>
      <c r="I140" s="144" t="inlineStr">
        <is>
          <t>Estimado</t>
        </is>
      </c>
      <c r="J140" s="147" t="inlineStr">
        <is>
          <t>Finalizado</t>
        </is>
      </c>
      <c r="K140" s="130" t="n"/>
      <c r="L140" s="149" t="n"/>
    </row>
    <row r="141" outlineLevel="2" ht="12" customHeight="1">
      <c r="A141" s="140" t="n"/>
      <c r="B141" s="141" t="inlineStr">
        <is>
          <t>SERVIÇO</t>
        </is>
      </c>
      <c r="C141" s="142" t="inlineStr">
        <is>
          <t>02.002.004.003</t>
        </is>
      </c>
      <c r="D141" s="148" t="inlineStr">
        <is>
          <t>Alugueis Terrenos Apoio</t>
        </is>
      </c>
      <c r="E141" s="144" t="inlineStr">
        <is>
          <t>vb</t>
        </is>
      </c>
      <c r="F141" s="144" t="n">
        <v>1</v>
      </c>
      <c r="G141" s="144" t="n">
        <v>24000</v>
      </c>
      <c r="H141" s="145">
        <f>G141*F141</f>
        <v/>
      </c>
      <c r="I141" s="144" t="inlineStr">
        <is>
          <t>Recebido</t>
        </is>
      </c>
      <c r="J141" s="147" t="inlineStr">
        <is>
          <t>Finalizado</t>
        </is>
      </c>
      <c r="K141" s="130" t="n"/>
      <c r="L141" s="149" t="n"/>
    </row>
    <row r="142" outlineLevel="2" ht="12" customHeight="1">
      <c r="A142" s="140" t="n"/>
      <c r="B142" s="141" t="inlineStr">
        <is>
          <t>SERVIÇO</t>
        </is>
      </c>
      <c r="C142" s="142" t="inlineStr">
        <is>
          <t>02.002.004.004</t>
        </is>
      </c>
      <c r="D142" s="148" t="inlineStr">
        <is>
          <t>Gerador autonomo de energia</t>
        </is>
      </c>
      <c r="E142" s="144" t="inlineStr">
        <is>
          <t>vb</t>
        </is>
      </c>
      <c r="F142" s="144" t="n">
        <v>1</v>
      </c>
      <c r="G142" s="144" t="n">
        <v>170000</v>
      </c>
      <c r="H142" s="145">
        <f>G142*F142</f>
        <v/>
      </c>
      <c r="I142" s="144" t="inlineStr">
        <is>
          <t>Estimado</t>
        </is>
      </c>
      <c r="J142" s="147" t="inlineStr">
        <is>
          <t>Finalizado</t>
        </is>
      </c>
      <c r="K142" s="130" t="n"/>
      <c r="L142" s="149" t="n"/>
    </row>
    <row r="143" outlineLevel="2" ht="22.5" customHeight="1">
      <c r="A143" s="140" t="n"/>
      <c r="B143" s="141" t="inlineStr">
        <is>
          <t>SERVIÇO</t>
        </is>
      </c>
      <c r="C143" s="142" t="inlineStr">
        <is>
          <t>02.002.004.005</t>
        </is>
      </c>
      <c r="D143" s="148" t="inlineStr">
        <is>
          <t>Bomba e pressurizador</t>
        </is>
      </c>
      <c r="E143" s="144" t="inlineStr">
        <is>
          <t>vb</t>
        </is>
      </c>
      <c r="F143" s="144" t="n">
        <v>1</v>
      </c>
      <c r="G143" s="144" t="n">
        <v>40000</v>
      </c>
      <c r="H143" s="145">
        <f>G143*F143</f>
        <v/>
      </c>
      <c r="I143" s="144" t="inlineStr">
        <is>
          <t>Estimado - Considerar bombeamento (compra de bomba e pressurizadora) provisório para alimentar a rede hidráulica da obra.</t>
        </is>
      </c>
      <c r="J143" s="147" t="inlineStr">
        <is>
          <t>Finalizado</t>
        </is>
      </c>
      <c r="K143" s="130" t="n"/>
      <c r="L143" s="149" t="n"/>
    </row>
    <row r="144" outlineLevel="2" ht="12" customHeight="1">
      <c r="A144" s="140" t="n"/>
      <c r="B144" s="141" t="inlineStr">
        <is>
          <t>SERVIÇO</t>
        </is>
      </c>
      <c r="C144" s="142" t="inlineStr">
        <is>
          <t>02.002.004.006</t>
        </is>
      </c>
      <c r="D144" s="148" t="inlineStr">
        <is>
          <t>Tapume em telha metálica trapezoidal</t>
        </is>
      </c>
      <c r="E144" s="144" t="inlineStr">
        <is>
          <t>m2</t>
        </is>
      </c>
      <c r="F144" s="144" t="n">
        <v>219.408</v>
      </c>
      <c r="G144" s="144" t="n">
        <v>164.0766</v>
      </c>
      <c r="H144" s="145">
        <f>G144*F144</f>
        <v/>
      </c>
      <c r="I144" s="144" t="inlineStr">
        <is>
          <t>Estimado</t>
        </is>
      </c>
      <c r="J144" s="147" t="inlineStr">
        <is>
          <t>Finalizado</t>
        </is>
      </c>
      <c r="K144" s="130" t="n"/>
      <c r="L144" s="149" t="n"/>
    </row>
    <row r="145" outlineLevel="2" ht="12" customHeight="1">
      <c r="A145" s="140" t="n"/>
      <c r="B145" s="141" t="inlineStr">
        <is>
          <t>SERVIÇO</t>
        </is>
      </c>
      <c r="C145" s="142" t="inlineStr">
        <is>
          <t>02.002.004.007</t>
        </is>
      </c>
      <c r="D145" s="148" t="inlineStr">
        <is>
          <t>Redes Provisórias: Rede de água fria, esgoto e drenagem</t>
        </is>
      </c>
      <c r="E145" s="144" t="inlineStr">
        <is>
          <t>vb</t>
        </is>
      </c>
      <c r="F145" s="144" t="n">
        <v>1</v>
      </c>
      <c r="G145" s="144" t="n">
        <v>5000</v>
      </c>
      <c r="H145" s="145">
        <f>G145*F145</f>
        <v/>
      </c>
      <c r="I145" s="144" t="inlineStr">
        <is>
          <t>Recebido</t>
        </is>
      </c>
      <c r="J145" s="147" t="inlineStr">
        <is>
          <t>Finalizado</t>
        </is>
      </c>
      <c r="K145" s="130" t="n"/>
      <c r="L145" s="149" t="n"/>
    </row>
    <row r="146" outlineLevel="2" ht="22.5" customHeight="1">
      <c r="A146" s="140" t="n"/>
      <c r="B146" s="141" t="inlineStr">
        <is>
          <t>SERVIÇO</t>
        </is>
      </c>
      <c r="C146" s="142" t="inlineStr">
        <is>
          <t>02.002.004.008</t>
        </is>
      </c>
      <c r="D146" s="148" t="inlineStr">
        <is>
          <t>Redes Provisórias: Redes elétricas, comunicação e dados</t>
        </is>
      </c>
      <c r="E146" s="144" t="inlineStr">
        <is>
          <t>vb</t>
        </is>
      </c>
      <c r="F146" s="144" t="n">
        <v>1</v>
      </c>
      <c r="G146" s="144" t="n">
        <v>8000</v>
      </c>
      <c r="H146" s="145">
        <f>G146*F146</f>
        <v/>
      </c>
      <c r="I146" s="144" t="inlineStr">
        <is>
          <t>Estimado - Considerar bombeamento (compra de bomba e pressurizadora) provisório para alimentar a rede hidráulica da obra.</t>
        </is>
      </c>
      <c r="J146" s="147" t="inlineStr">
        <is>
          <t>Finalizado</t>
        </is>
      </c>
      <c r="K146" s="130" t="n"/>
      <c r="L146" s="149" t="n"/>
    </row>
    <row r="147" outlineLevel="2" ht="12" customHeight="1">
      <c r="A147" s="140" t="n"/>
      <c r="B147" s="141" t="inlineStr">
        <is>
          <t>SERVIÇO</t>
        </is>
      </c>
      <c r="C147" s="142" t="inlineStr">
        <is>
          <t>02.002.004.009</t>
        </is>
      </c>
      <c r="D147" s="148" t="inlineStr">
        <is>
          <t>Custo extra</t>
        </is>
      </c>
      <c r="E147" s="144" t="inlineStr">
        <is>
          <t>vb</t>
        </is>
      </c>
      <c r="F147" s="144" t="n">
        <v>1</v>
      </c>
      <c r="G147" s="144" t="n">
        <v>12000</v>
      </c>
      <c r="H147" s="145">
        <f>G147*F147</f>
        <v/>
      </c>
      <c r="I147" s="144" t="inlineStr">
        <is>
          <t>Recebido</t>
        </is>
      </c>
      <c r="J147" s="147" t="inlineStr">
        <is>
          <t>Finalizado</t>
        </is>
      </c>
      <c r="K147" s="130" t="n"/>
      <c r="L147" s="149" t="n"/>
    </row>
    <row r="148" outlineLevel="1" ht="12" customHeight="1">
      <c r="A148" s="140" t="n"/>
      <c r="B148" s="141" t="inlineStr">
        <is>
          <t>ETAPA</t>
        </is>
      </c>
      <c r="C148" s="142" t="inlineStr">
        <is>
          <t>02.003</t>
        </is>
      </c>
      <c r="D148" s="148" t="inlineStr">
        <is>
          <t>SERVIÇOS PRELIMINARES</t>
        </is>
      </c>
      <c r="E148" s="68" t="n"/>
      <c r="F148" s="144" t="n"/>
      <c r="G148" s="144" t="n"/>
      <c r="H148" s="145">
        <f>H149</f>
        <v/>
      </c>
      <c r="I148" s="146" t="n"/>
      <c r="J148" s="147" t="n"/>
      <c r="K148" s="130" t="n"/>
      <c r="L148" s="149" t="n"/>
    </row>
    <row r="149" outlineLevel="1" ht="12" customHeight="1">
      <c r="A149" s="140" t="n"/>
      <c r="B149" s="141" t="inlineStr">
        <is>
          <t>SUBETAPA</t>
        </is>
      </c>
      <c r="C149" s="142" t="inlineStr">
        <is>
          <t>02.003.001</t>
        </is>
      </c>
      <c r="D149" s="148" t="inlineStr">
        <is>
          <t xml:space="preserve">Demolições </t>
        </is>
      </c>
      <c r="E149" s="68" t="n"/>
      <c r="F149" s="144" t="n"/>
      <c r="G149" s="144" t="n"/>
      <c r="H149" s="145">
        <f>H150</f>
        <v/>
      </c>
      <c r="I149" s="146" t="n"/>
      <c r="J149" s="147" t="n"/>
      <c r="K149" s="130" t="n"/>
      <c r="L149" s="149" t="n"/>
    </row>
    <row r="150" outlineLevel="2" ht="12" customHeight="1">
      <c r="A150" s="140" t="n"/>
      <c r="B150" s="141" t="inlineStr">
        <is>
          <t>SERVIÇO</t>
        </is>
      </c>
      <c r="C150" s="142" t="inlineStr">
        <is>
          <t>02.003.001.001</t>
        </is>
      </c>
      <c r="D150" s="148" t="inlineStr">
        <is>
          <t>Demolições</t>
        </is>
      </c>
      <c r="E150" s="144" t="inlineStr">
        <is>
          <t>m2</t>
        </is>
      </c>
      <c r="F150" s="144" t="n">
        <v>1</v>
      </c>
      <c r="G150" s="144" t="n">
        <v>45000</v>
      </c>
      <c r="H150" s="145">
        <f>G150*F150</f>
        <v/>
      </c>
      <c r="I150" s="144" t="inlineStr">
        <is>
          <t>Estimado - R$45.000 ( foi o custo de demolição das 4 casas)</t>
        </is>
      </c>
      <c r="J150" s="147" t="inlineStr">
        <is>
          <t>Finalizado</t>
        </is>
      </c>
      <c r="K150" s="130" t="n"/>
      <c r="L150" s="149" t="n"/>
    </row>
    <row r="151" ht="13.9" customHeight="1">
      <c r="A151" s="140" t="n"/>
      <c r="B151" s="141" t="inlineStr">
        <is>
          <t>CÉLULA CONSTRUTIVA</t>
        </is>
      </c>
      <c r="C151" s="142" t="inlineStr">
        <is>
          <t>03</t>
        </is>
      </c>
      <c r="D151" s="143" t="inlineStr">
        <is>
          <t>EQUIPAMENTOS</t>
        </is>
      </c>
      <c r="E151" s="68" t="n"/>
      <c r="F151" s="144" t="n"/>
      <c r="G151" s="144" t="n"/>
      <c r="H151" s="145">
        <f>H152</f>
        <v/>
      </c>
      <c r="I151" s="146" t="n"/>
      <c r="J151" s="147" t="n"/>
      <c r="K151" s="130" t="n"/>
      <c r="L151" s="130" t="n"/>
    </row>
    <row r="152" outlineLevel="1" ht="13.9" customHeight="1">
      <c r="A152" s="140" t="n"/>
      <c r="B152" s="141" t="inlineStr">
        <is>
          <t>ETAPA</t>
        </is>
      </c>
      <c r="C152" s="142" t="inlineStr">
        <is>
          <t>03.001</t>
        </is>
      </c>
      <c r="D152" s="143" t="inlineStr">
        <is>
          <t>EQUIPAMENTOS</t>
        </is>
      </c>
      <c r="E152" s="68" t="n"/>
      <c r="F152" s="144" t="n"/>
      <c r="G152" s="144" t="n"/>
      <c r="H152" s="145">
        <f>H153+H162+H171</f>
        <v/>
      </c>
      <c r="I152" s="146" t="n"/>
      <c r="J152" s="147" t="n"/>
      <c r="K152" s="130" t="n"/>
      <c r="L152" s="130" t="n"/>
    </row>
    <row r="153" outlineLevel="1" ht="13.9" customHeight="1">
      <c r="A153" s="140" t="n"/>
      <c r="B153" s="141" t="inlineStr">
        <is>
          <t>SUBETAPA</t>
        </is>
      </c>
      <c r="C153" s="142" t="inlineStr">
        <is>
          <t>03.001.001</t>
        </is>
      </c>
      <c r="D153" s="143" t="inlineStr">
        <is>
          <t>Equipamentos de carga e transporte</t>
        </is>
      </c>
      <c r="E153" s="68" t="n"/>
      <c r="F153" s="144" t="n"/>
      <c r="G153" s="144" t="n"/>
      <c r="H153" s="145">
        <f>H154+H155+H156+H157+H158+H159+H160+H161</f>
        <v/>
      </c>
      <c r="I153" s="146" t="n"/>
      <c r="J153" s="147" t="n"/>
      <c r="K153" s="130" t="n"/>
      <c r="L153" s="130" t="n"/>
    </row>
    <row r="154" outlineLevel="2" ht="13.9" customHeight="1">
      <c r="A154" s="140" t="n"/>
      <c r="B154" s="141" t="inlineStr">
        <is>
          <t>SERVIÇO</t>
        </is>
      </c>
      <c r="C154" s="142" t="inlineStr">
        <is>
          <t>03.001.001.001</t>
        </is>
      </c>
      <c r="D154" s="143" t="inlineStr">
        <is>
          <t>Locação Elevador cremalheira</t>
        </is>
      </c>
      <c r="E154" s="144" t="inlineStr">
        <is>
          <t>mês</t>
        </is>
      </c>
      <c r="F154" s="144" t="n">
        <v>21</v>
      </c>
      <c r="G154" s="144" t="n">
        <v>12000</v>
      </c>
      <c r="H154" s="145">
        <f>G154*F154</f>
        <v/>
      </c>
      <c r="I154" s="144" t="inlineStr">
        <is>
          <t>Estimado</t>
        </is>
      </c>
      <c r="J154" s="147" t="inlineStr">
        <is>
          <t>Lançado ERP</t>
        </is>
      </c>
      <c r="K154" s="130" t="n"/>
      <c r="L154" s="130" t="n"/>
    </row>
    <row r="155" outlineLevel="2" ht="13.9" customHeight="1">
      <c r="A155" s="140" t="n"/>
      <c r="B155" s="141" t="inlineStr">
        <is>
          <t>SERVIÇO</t>
        </is>
      </c>
      <c r="C155" s="142" t="inlineStr">
        <is>
          <t>03.001.001.002</t>
        </is>
      </c>
      <c r="D155" s="143" t="inlineStr">
        <is>
          <t>Manutenção Periódica Elevador cremalheira</t>
        </is>
      </c>
      <c r="E155" s="144" t="inlineStr">
        <is>
          <t>mês</t>
        </is>
      </c>
      <c r="F155" s="144" t="n">
        <v>21</v>
      </c>
      <c r="G155" s="144" t="n">
        <v>1500</v>
      </c>
      <c r="H155" s="145">
        <f>G155*F155</f>
        <v/>
      </c>
      <c r="I155" s="144" t="inlineStr">
        <is>
          <t>Estimado</t>
        </is>
      </c>
      <c r="J155" s="147" t="inlineStr">
        <is>
          <t>Lançado ERP</t>
        </is>
      </c>
      <c r="K155" s="130" t="n"/>
      <c r="L155" s="130" t="n"/>
    </row>
    <row r="156" outlineLevel="2" ht="13.9" customHeight="1">
      <c r="A156" s="140" t="n"/>
      <c r="B156" s="141" t="inlineStr">
        <is>
          <t>SERVIÇO</t>
        </is>
      </c>
      <c r="C156" s="142" t="inlineStr">
        <is>
          <t>03.001.001.003</t>
        </is>
      </c>
      <c r="D156" s="143" t="inlineStr">
        <is>
          <t>Montagem e Desmontagem Elevador cremalheira</t>
        </is>
      </c>
      <c r="E156" s="144" t="inlineStr">
        <is>
          <t>UN</t>
        </is>
      </c>
      <c r="F156" s="144" t="n">
        <v>1</v>
      </c>
      <c r="G156" s="144" t="n">
        <v>10000</v>
      </c>
      <c r="H156" s="145">
        <f>G156*F156</f>
        <v/>
      </c>
      <c r="I156" s="144" t="inlineStr">
        <is>
          <t>Estimado</t>
        </is>
      </c>
      <c r="J156" s="147" t="inlineStr">
        <is>
          <t>Lançado ERP</t>
        </is>
      </c>
      <c r="K156" s="130" t="n"/>
      <c r="L156" s="130" t="n"/>
    </row>
    <row r="157" outlineLevel="2" ht="13.9" customHeight="1">
      <c r="A157" s="140" t="n"/>
      <c r="B157" s="141" t="inlineStr">
        <is>
          <t>SERVIÇO</t>
        </is>
      </c>
      <c r="C157" s="142" t="inlineStr">
        <is>
          <t>03.001.001.004</t>
        </is>
      </c>
      <c r="D157" s="143" t="inlineStr">
        <is>
          <t>Mobilização e Desmobilização Elevador cremalheira</t>
        </is>
      </c>
      <c r="E157" s="144" t="inlineStr">
        <is>
          <t>UN</t>
        </is>
      </c>
      <c r="F157" s="144" t="n">
        <v>1</v>
      </c>
      <c r="G157" s="144" t="n">
        <v>3500</v>
      </c>
      <c r="H157" s="145">
        <f>G157*F157</f>
        <v/>
      </c>
      <c r="I157" s="144" t="inlineStr">
        <is>
          <t>Não Solicitado</t>
        </is>
      </c>
      <c r="J157" s="147" t="inlineStr">
        <is>
          <t>Lançado ERP</t>
        </is>
      </c>
      <c r="K157" s="130" t="n"/>
      <c r="L157" s="130" t="n"/>
    </row>
    <row r="158" outlineLevel="2" ht="13.9" customHeight="1">
      <c r="A158" s="140" t="n"/>
      <c r="B158" s="141" t="inlineStr">
        <is>
          <t>SERVIÇO</t>
        </is>
      </c>
      <c r="C158" s="142" t="inlineStr">
        <is>
          <t>03.001.001.005</t>
        </is>
      </c>
      <c r="D158" s="143" t="inlineStr">
        <is>
          <t>Locação Grua com torre movel</t>
        </is>
      </c>
      <c r="E158" s="144" t="inlineStr">
        <is>
          <t>mês</t>
        </is>
      </c>
      <c r="F158" s="144" t="n">
        <v>19</v>
      </c>
      <c r="G158" s="144" t="n">
        <v>22000</v>
      </c>
      <c r="H158" s="145">
        <f>G158*F158</f>
        <v/>
      </c>
      <c r="I158" s="144" t="inlineStr">
        <is>
          <t>Estimado</t>
        </is>
      </c>
      <c r="J158" s="147" t="inlineStr">
        <is>
          <t>Lançado ERP</t>
        </is>
      </c>
      <c r="K158" s="130" t="n"/>
      <c r="L158" s="130" t="n"/>
    </row>
    <row r="159" outlineLevel="2" ht="13.9" customHeight="1">
      <c r="A159" s="140" t="n"/>
      <c r="B159" s="141" t="inlineStr">
        <is>
          <t>SERVIÇO</t>
        </is>
      </c>
      <c r="C159" s="142" t="inlineStr">
        <is>
          <t>03.001.001.006</t>
        </is>
      </c>
      <c r="D159" s="143" t="inlineStr">
        <is>
          <t>Manutenção Inicial Grua com torre movel</t>
        </is>
      </c>
      <c r="E159" s="144" t="inlineStr">
        <is>
          <t>UN</t>
        </is>
      </c>
      <c r="F159" s="144" t="n">
        <v>1</v>
      </c>
      <c r="G159" s="144" t="n">
        <v>1440</v>
      </c>
      <c r="H159" s="145">
        <f>G159*F159</f>
        <v/>
      </c>
      <c r="I159" s="144" t="inlineStr">
        <is>
          <t>Estimado</t>
        </is>
      </c>
      <c r="J159" s="147" t="inlineStr">
        <is>
          <t>Lançado ERP</t>
        </is>
      </c>
      <c r="K159" s="130" t="n"/>
      <c r="L159" s="130" t="n"/>
    </row>
    <row r="160" outlineLevel="2" ht="13.9" customHeight="1">
      <c r="A160" s="140" t="n"/>
      <c r="B160" s="141" t="inlineStr">
        <is>
          <t>SERVIÇO</t>
        </is>
      </c>
      <c r="C160" s="142" t="inlineStr">
        <is>
          <t>03.001.001.007</t>
        </is>
      </c>
      <c r="D160" s="143" t="inlineStr">
        <is>
          <t>Manutenção Periódica Grua com torre movel</t>
        </is>
      </c>
      <c r="E160" s="144" t="inlineStr">
        <is>
          <t>UN</t>
        </is>
      </c>
      <c r="F160" s="144" t="n">
        <v>19</v>
      </c>
      <c r="G160" s="144" t="n">
        <v>1800</v>
      </c>
      <c r="H160" s="145">
        <f>G160*F160</f>
        <v/>
      </c>
      <c r="I160" s="144" t="inlineStr">
        <is>
          <t>Estimado</t>
        </is>
      </c>
      <c r="J160" s="147" t="inlineStr">
        <is>
          <t>Lançado ERP</t>
        </is>
      </c>
      <c r="K160" s="130" t="n"/>
      <c r="L160" s="130" t="n"/>
    </row>
    <row r="161" outlineLevel="2" ht="13.9" customHeight="1">
      <c r="A161" s="140" t="n"/>
      <c r="B161" s="141" t="inlineStr">
        <is>
          <t>SERVIÇO</t>
        </is>
      </c>
      <c r="C161" s="142" t="inlineStr">
        <is>
          <t>03.001.001.008</t>
        </is>
      </c>
      <c r="D161" s="143" t="inlineStr">
        <is>
          <t>Montagem e Desmontagem Grua com torre movel</t>
        </is>
      </c>
      <c r="E161" s="144" t="inlineStr">
        <is>
          <t>UN</t>
        </is>
      </c>
      <c r="F161" s="144" t="n">
        <v>1</v>
      </c>
      <c r="G161" s="144" t="n">
        <v>10000</v>
      </c>
      <c r="H161" s="145">
        <f>G161*F161</f>
        <v/>
      </c>
      <c r="I161" s="144" t="inlineStr">
        <is>
          <t>Não Solicitado</t>
        </is>
      </c>
      <c r="J161" s="147" t="inlineStr">
        <is>
          <t>Lançado ERP</t>
        </is>
      </c>
      <c r="K161" s="130" t="n"/>
      <c r="L161" s="130" t="n"/>
    </row>
    <row r="162" outlineLevel="1" ht="13.9" customHeight="1">
      <c r="A162" s="140" t="n"/>
      <c r="B162" s="141" t="inlineStr">
        <is>
          <t>SUBETAPA</t>
        </is>
      </c>
      <c r="C162" s="142" t="inlineStr">
        <is>
          <t>03.001.002</t>
        </is>
      </c>
      <c r="D162" s="143" t="inlineStr">
        <is>
          <t>Equipamentos de obra</t>
        </is>
      </c>
      <c r="E162" s="68" t="n"/>
      <c r="F162" s="144" t="n"/>
      <c r="G162" s="144" t="n"/>
      <c r="H162" s="145">
        <f>H163+H164+H165+H166+H167+H168+H169+H170</f>
        <v/>
      </c>
      <c r="I162" s="144" t="n"/>
      <c r="J162" s="147" t="n"/>
      <c r="K162" s="130" t="n"/>
      <c r="L162" s="130" t="n"/>
    </row>
    <row r="163" outlineLevel="2" ht="13.9" customHeight="1">
      <c r="A163" s="140" t="n"/>
      <c r="B163" s="141" t="inlineStr">
        <is>
          <t>SERVIÇO</t>
        </is>
      </c>
      <c r="C163" s="142" t="inlineStr">
        <is>
          <t>03.001.002.001</t>
        </is>
      </c>
      <c r="D163" s="143" t="inlineStr">
        <is>
          <t>Ferramentas/equipamentos</t>
        </is>
      </c>
      <c r="E163" s="68" t="inlineStr">
        <is>
          <t>vb</t>
        </is>
      </c>
      <c r="F163" s="144" t="n">
        <v>1</v>
      </c>
      <c r="G163" s="144" t="n">
        <v>136500</v>
      </c>
      <c r="H163" s="145">
        <f>G163*F163</f>
        <v/>
      </c>
      <c r="I163" s="144" t="inlineStr">
        <is>
          <t>Não Solicitado</t>
        </is>
      </c>
      <c r="J163" s="147" t="inlineStr">
        <is>
          <t>Lançado ERP</t>
        </is>
      </c>
      <c r="K163" s="130" t="n"/>
      <c r="L163" s="130" t="n"/>
    </row>
    <row r="164" outlineLevel="2" ht="13.9" customHeight="1">
      <c r="A164" s="140" t="n"/>
      <c r="B164" s="141" t="inlineStr">
        <is>
          <t>SERVIÇO</t>
        </is>
      </c>
      <c r="C164" s="142" t="inlineStr">
        <is>
          <t>03.001.002.002</t>
        </is>
      </c>
      <c r="D164" s="143" t="inlineStr">
        <is>
          <t>Aquisição Carrinho plataforma</t>
        </is>
      </c>
      <c r="E164" s="144" t="inlineStr">
        <is>
          <t>UN</t>
        </is>
      </c>
      <c r="F164" s="144" t="n">
        <v>1</v>
      </c>
      <c r="G164" s="144" t="n">
        <v>6204.206654918918</v>
      </c>
      <c r="H164" s="145">
        <f>G164*F164</f>
        <v/>
      </c>
      <c r="I164" s="144" t="inlineStr">
        <is>
          <t>Estimado</t>
        </is>
      </c>
      <c r="J164" s="147" t="inlineStr">
        <is>
          <t>Lançado ERP</t>
        </is>
      </c>
      <c r="K164" s="130" t="n"/>
      <c r="L164" s="130" t="n"/>
    </row>
    <row r="165" outlineLevel="2" ht="13.9" customHeight="1">
      <c r="A165" s="140" t="n"/>
      <c r="B165" s="141" t="inlineStr">
        <is>
          <t>SERVIÇO</t>
        </is>
      </c>
      <c r="C165" s="142" t="inlineStr">
        <is>
          <t>03.001.002.003</t>
        </is>
      </c>
      <c r="D165" s="143" t="inlineStr">
        <is>
          <t>Locação Manipulador telescópico</t>
        </is>
      </c>
      <c r="E165" s="144" t="inlineStr">
        <is>
          <t>mês</t>
        </is>
      </c>
      <c r="F165" s="144" t="n">
        <v>9</v>
      </c>
      <c r="G165" s="144" t="n">
        <v>1250</v>
      </c>
      <c r="H165" s="145">
        <f>G165*F165</f>
        <v/>
      </c>
      <c r="I165" s="144" t="inlineStr">
        <is>
          <t>Estimado</t>
        </is>
      </c>
      <c r="J165" s="147" t="inlineStr">
        <is>
          <t>Lançado ERP</t>
        </is>
      </c>
      <c r="K165" s="130" t="n"/>
      <c r="L165" s="130" t="n"/>
    </row>
    <row r="166" outlineLevel="2" ht="13.9" customHeight="1">
      <c r="A166" s="140" t="n"/>
      <c r="B166" s="141" t="inlineStr">
        <is>
          <t>SERVIÇO</t>
        </is>
      </c>
      <c r="C166" s="142" t="inlineStr">
        <is>
          <t>03.001.002.004</t>
        </is>
      </c>
      <c r="D166" s="143" t="inlineStr">
        <is>
          <t>Aquisição Carrinho mini paletes</t>
        </is>
      </c>
      <c r="E166" s="144" t="inlineStr">
        <is>
          <t>UN</t>
        </is>
      </c>
      <c r="F166" s="144" t="n">
        <v>1</v>
      </c>
      <c r="G166" s="144" t="n">
        <v>990</v>
      </c>
      <c r="H166" s="145">
        <f>G166*F166</f>
        <v/>
      </c>
      <c r="I166" s="144" t="inlineStr">
        <is>
          <t>Estimado</t>
        </is>
      </c>
      <c r="J166" s="147" t="inlineStr">
        <is>
          <t>Lançado ERP</t>
        </is>
      </c>
      <c r="K166" s="130" t="n"/>
      <c r="L166" s="130" t="n"/>
    </row>
    <row r="167" outlineLevel="2" ht="13.9" customHeight="1">
      <c r="A167" s="140" t="n"/>
      <c r="B167" s="141" t="inlineStr">
        <is>
          <t>SERVIÇO</t>
        </is>
      </c>
      <c r="C167" s="142" t="inlineStr">
        <is>
          <t>03.001.002.005</t>
        </is>
      </c>
      <c r="D167" s="143" t="inlineStr">
        <is>
          <t>Locação Minicarregadeira</t>
        </is>
      </c>
      <c r="E167" s="144" t="inlineStr">
        <is>
          <t>mês</t>
        </is>
      </c>
      <c r="F167" s="144" t="n">
        <v>9</v>
      </c>
      <c r="G167" s="144" t="n">
        <v>1250</v>
      </c>
      <c r="H167" s="145">
        <f>G167*F167</f>
        <v/>
      </c>
      <c r="I167" s="144" t="inlineStr">
        <is>
          <t>Estimado</t>
        </is>
      </c>
      <c r="J167" s="147" t="inlineStr">
        <is>
          <t>Lançado ERP</t>
        </is>
      </c>
      <c r="K167" s="130" t="n"/>
      <c r="L167" s="130" t="n"/>
    </row>
    <row r="168" outlineLevel="2" ht="13.9" customHeight="1">
      <c r="A168" s="140" t="n"/>
      <c r="B168" s="141" t="inlineStr">
        <is>
          <t>SERVIÇO</t>
        </is>
      </c>
      <c r="C168" s="142" t="inlineStr">
        <is>
          <t>03.001.002.006</t>
        </is>
      </c>
      <c r="D168" s="143" t="inlineStr">
        <is>
          <t>Locação Condutor de entulho vertical</t>
        </is>
      </c>
      <c r="E168" s="144" t="inlineStr">
        <is>
          <t>mês</t>
        </is>
      </c>
      <c r="F168" s="144" t="n">
        <v>36</v>
      </c>
      <c r="G168" s="144" t="n">
        <v>1465.110959766262</v>
      </c>
      <c r="H168" s="145">
        <f>G168*F168</f>
        <v/>
      </c>
      <c r="I168" s="144" t="inlineStr">
        <is>
          <t>Estimado</t>
        </is>
      </c>
      <c r="J168" s="147" t="inlineStr">
        <is>
          <t>Lançado ERP</t>
        </is>
      </c>
      <c r="K168" s="130" t="n"/>
      <c r="L168" s="130" t="n"/>
    </row>
    <row r="169" outlineLevel="2" ht="13.9" customHeight="1">
      <c r="A169" s="140" t="n"/>
      <c r="B169" s="141" t="inlineStr">
        <is>
          <t>SERVIÇO</t>
        </is>
      </c>
      <c r="C169" s="142" t="inlineStr">
        <is>
          <t>03.001.002.007</t>
        </is>
      </c>
      <c r="D169" s="143" t="inlineStr">
        <is>
          <t>Sistema para limpeza dos caminhões, e máquinas (lava rodas)</t>
        </is>
      </c>
      <c r="E169" s="144" t="inlineStr">
        <is>
          <t>vb</t>
        </is>
      </c>
      <c r="F169" s="144" t="n">
        <v>1</v>
      </c>
      <c r="G169" s="144" t="n">
        <v>8000</v>
      </c>
      <c r="H169" s="145">
        <f>G169*F169</f>
        <v/>
      </c>
      <c r="I169" s="144" t="inlineStr">
        <is>
          <t>Estimado</t>
        </is>
      </c>
      <c r="J169" s="147" t="inlineStr">
        <is>
          <t>Lançado ERP</t>
        </is>
      </c>
      <c r="K169" s="130" t="n"/>
      <c r="L169" s="130" t="n"/>
    </row>
    <row r="170" outlineLevel="2" ht="22.5" customHeight="1">
      <c r="A170" s="140" t="n"/>
      <c r="B170" s="141" t="inlineStr">
        <is>
          <t>SERVIÇO</t>
        </is>
      </c>
      <c r="C170" s="142" t="inlineStr">
        <is>
          <t>03.001.002.008</t>
        </is>
      </c>
      <c r="D170" s="143" t="inlineStr">
        <is>
          <t>Caçambas</t>
        </is>
      </c>
      <c r="E170" s="68" t="inlineStr">
        <is>
          <t>mês</t>
        </is>
      </c>
      <c r="F170" s="144" t="n">
        <v>36</v>
      </c>
      <c r="G170" s="144" t="n">
        <v>2020</v>
      </c>
      <c r="H170" s="145">
        <f>G170*F170</f>
        <v/>
      </c>
      <c r="I170" s="144" t="inlineStr">
        <is>
          <t>Estimado - Caçambas de lixo, Caçambas de entulho de madeira, e caçambas de gesso.</t>
        </is>
      </c>
      <c r="J170" s="147" t="inlineStr">
        <is>
          <t>Lançado ERP</t>
        </is>
      </c>
      <c r="K170" s="130" t="n"/>
      <c r="L170" s="130" t="n"/>
    </row>
    <row r="171" outlineLevel="1" ht="13.9" customHeight="1">
      <c r="A171" s="140" t="n"/>
      <c r="B171" s="141" t="inlineStr">
        <is>
          <t>SUBETAPA</t>
        </is>
      </c>
      <c r="C171" s="142" t="inlineStr">
        <is>
          <t>03.001.003</t>
        </is>
      </c>
      <c r="D171" s="143" t="inlineStr">
        <is>
          <t>Balancins e Andaimes</t>
        </is>
      </c>
      <c r="E171" s="68" t="n"/>
      <c r="F171" s="144" t="n"/>
      <c r="G171" s="144" t="n"/>
      <c r="H171" s="145">
        <f>H172+H173+H174+H175+H176+H177+H178+H179+H180+H181</f>
        <v/>
      </c>
      <c r="I171" s="144" t="n"/>
      <c r="J171" s="147" t="n"/>
      <c r="K171" s="130" t="n"/>
      <c r="L171" s="130" t="n"/>
    </row>
    <row r="172" outlineLevel="2" ht="13.9" customHeight="1">
      <c r="A172" s="140" t="n"/>
      <c r="B172" s="141" t="inlineStr">
        <is>
          <t>SERVIÇO</t>
        </is>
      </c>
      <c r="C172" s="142" t="inlineStr">
        <is>
          <t>03.001.003.001</t>
        </is>
      </c>
      <c r="D172" s="143" t="inlineStr">
        <is>
          <t>Locação Andaime multidirecional</t>
        </is>
      </c>
      <c r="E172" s="144" t="inlineStr">
        <is>
          <t>mês</t>
        </is>
      </c>
      <c r="F172" s="144" t="n">
        <v>6</v>
      </c>
      <c r="G172" s="144" t="n">
        <v>56255.21187786251</v>
      </c>
      <c r="H172" s="145">
        <f>G172*F172</f>
        <v/>
      </c>
      <c r="I172" s="144" t="inlineStr">
        <is>
          <t>Estimado</t>
        </is>
      </c>
      <c r="J172" s="147" t="inlineStr">
        <is>
          <t>Lançado ERP</t>
        </is>
      </c>
      <c r="K172" s="130" t="n"/>
      <c r="L172" s="130" t="n"/>
    </row>
    <row r="173" outlineLevel="2" ht="13.9" customHeight="1">
      <c r="A173" s="140" t="n"/>
      <c r="B173" s="141" t="inlineStr">
        <is>
          <t>SERVIÇO</t>
        </is>
      </c>
      <c r="C173" s="142" t="inlineStr">
        <is>
          <t>03.001.003.002</t>
        </is>
      </c>
      <c r="D173" s="143" t="inlineStr">
        <is>
          <t>Manutenção inicial Andaime multidirecional</t>
        </is>
      </c>
      <c r="E173" s="144" t="inlineStr">
        <is>
          <t>UN</t>
        </is>
      </c>
      <c r="F173" s="144" t="n">
        <v>1</v>
      </c>
      <c r="G173" s="144" t="n">
        <v>16876.56356335875</v>
      </c>
      <c r="H173" s="145">
        <f>G173*F173</f>
        <v/>
      </c>
      <c r="I173" s="144" t="inlineStr">
        <is>
          <t>Estimado</t>
        </is>
      </c>
      <c r="J173" s="147" t="inlineStr">
        <is>
          <t>Lançado ERP</t>
        </is>
      </c>
      <c r="K173" s="130" t="n"/>
      <c r="L173" s="130" t="n"/>
    </row>
    <row r="174" outlineLevel="2" ht="13.9" customHeight="1">
      <c r="A174" s="140" t="n"/>
      <c r="B174" s="141" t="inlineStr">
        <is>
          <t>SERVIÇO</t>
        </is>
      </c>
      <c r="C174" s="142" t="inlineStr">
        <is>
          <t>03.001.003.003</t>
        </is>
      </c>
      <c r="D174" s="143" t="inlineStr">
        <is>
          <t>Manutenção periódica Andaime multidirecional</t>
        </is>
      </c>
      <c r="E174" s="144" t="inlineStr">
        <is>
          <t>mês</t>
        </is>
      </c>
      <c r="F174" s="144" t="n">
        <v>6</v>
      </c>
      <c r="G174" s="144" t="n">
        <v>20251.8762760305</v>
      </c>
      <c r="H174" s="145">
        <f>G174*F174</f>
        <v/>
      </c>
      <c r="I174" s="144" t="inlineStr">
        <is>
          <t>Estimado</t>
        </is>
      </c>
      <c r="J174" s="147" t="inlineStr">
        <is>
          <t>Lançado ERP</t>
        </is>
      </c>
      <c r="K174" s="130" t="n"/>
      <c r="L174" s="130" t="n"/>
    </row>
    <row r="175" outlineLevel="2" ht="13.9" customHeight="1">
      <c r="A175" s="140" t="n"/>
      <c r="B175" s="141" t="inlineStr">
        <is>
          <t>SERVIÇO</t>
        </is>
      </c>
      <c r="C175" s="142" t="inlineStr">
        <is>
          <t>03.001.003.004</t>
        </is>
      </c>
      <c r="D175" s="143" t="inlineStr">
        <is>
          <t>Locação Andaime tubular tipo torre</t>
        </is>
      </c>
      <c r="E175" s="144" t="inlineStr">
        <is>
          <t>mês</t>
        </is>
      </c>
      <c r="F175" s="144" t="n">
        <v>6</v>
      </c>
      <c r="G175" s="144" t="n">
        <v>20251.8762760305</v>
      </c>
      <c r="H175" s="145">
        <f>G175*F175</f>
        <v/>
      </c>
      <c r="I175" s="144" t="inlineStr">
        <is>
          <t>Estimado</t>
        </is>
      </c>
      <c r="J175" s="147" t="inlineStr">
        <is>
          <t>Lançado ERP</t>
        </is>
      </c>
      <c r="K175" s="130" t="n"/>
      <c r="L175" s="130" t="n"/>
    </row>
    <row r="176" outlineLevel="2" ht="13.9" customHeight="1">
      <c r="A176" s="140" t="n"/>
      <c r="B176" s="141" t="inlineStr">
        <is>
          <t>SERVIÇO</t>
        </is>
      </c>
      <c r="C176" s="142" t="inlineStr">
        <is>
          <t>03.001.003.005</t>
        </is>
      </c>
      <c r="D176" s="143" t="inlineStr">
        <is>
          <t>Manutenção inicial Aquisição Andaime tubular tipo torre</t>
        </is>
      </c>
      <c r="E176" s="144" t="inlineStr">
        <is>
          <t>UN</t>
        </is>
      </c>
      <c r="F176" s="144" t="n">
        <v>1</v>
      </c>
      <c r="G176" s="144" t="n">
        <v>6075.562882809151</v>
      </c>
      <c r="H176" s="145">
        <f>G176*F176</f>
        <v/>
      </c>
      <c r="I176" s="144" t="inlineStr">
        <is>
          <t>Estimado</t>
        </is>
      </c>
      <c r="J176" s="147" t="inlineStr">
        <is>
          <t>Lançado ERP</t>
        </is>
      </c>
      <c r="K176" s="130" t="n"/>
      <c r="L176" s="130" t="n"/>
    </row>
    <row r="177" outlineLevel="2" ht="13.9" customHeight="1">
      <c r="A177" s="140" t="n"/>
      <c r="B177" s="141" t="inlineStr">
        <is>
          <t>SERVIÇO</t>
        </is>
      </c>
      <c r="C177" s="142" t="inlineStr">
        <is>
          <t>03.001.003.006</t>
        </is>
      </c>
      <c r="D177" s="143" t="inlineStr">
        <is>
          <t>Manutenção periódica Aquisição Andaime tubular tipo torre</t>
        </is>
      </c>
      <c r="E177" s="144" t="inlineStr">
        <is>
          <t>mês</t>
        </is>
      </c>
      <c r="F177" s="144" t="n">
        <v>6</v>
      </c>
      <c r="G177" s="144" t="n">
        <v>7290.675459370981</v>
      </c>
      <c r="H177" s="145">
        <f>G177*F177</f>
        <v/>
      </c>
      <c r="I177" s="144" t="inlineStr">
        <is>
          <t>Estimado</t>
        </is>
      </c>
      <c r="J177" s="147" t="inlineStr">
        <is>
          <t>Lançado ERP</t>
        </is>
      </c>
      <c r="K177" s="130" t="n"/>
      <c r="L177" s="130" t="n"/>
    </row>
    <row r="178" outlineLevel="2" ht="13.9" customHeight="1">
      <c r="A178" s="140" t="n"/>
      <c r="B178" s="141" t="inlineStr">
        <is>
          <t>SERVIÇO</t>
        </is>
      </c>
      <c r="C178" s="142" t="inlineStr">
        <is>
          <t>03.001.003.007</t>
        </is>
      </c>
      <c r="D178" s="143" t="inlineStr">
        <is>
          <t>Locação Andaime suspenso motorizado</t>
        </is>
      </c>
      <c r="E178" s="68" t="inlineStr">
        <is>
          <t>mês</t>
        </is>
      </c>
      <c r="F178" s="144" t="n">
        <v>3</v>
      </c>
      <c r="G178" s="144" t="n">
        <v>5550</v>
      </c>
      <c r="H178" s="145">
        <f>G178*F178</f>
        <v/>
      </c>
      <c r="I178" s="144" t="inlineStr">
        <is>
          <t>Estimado</t>
        </is>
      </c>
      <c r="J178" s="147" t="inlineStr">
        <is>
          <t>Lançado ERP</t>
        </is>
      </c>
      <c r="K178" s="130" t="n"/>
      <c r="L178" s="130" t="n"/>
    </row>
    <row r="179" outlineLevel="2" ht="13.9" customHeight="1">
      <c r="A179" s="140" t="n"/>
      <c r="B179" s="141" t="inlineStr">
        <is>
          <t>SERVIÇO</t>
        </is>
      </c>
      <c r="C179" s="142" t="inlineStr">
        <is>
          <t>03.001.003.008</t>
        </is>
      </c>
      <c r="D179" s="143" t="inlineStr">
        <is>
          <t>Manutenção periódica Andaime suspenso motorizado</t>
        </is>
      </c>
      <c r="E179" s="68" t="inlineStr">
        <is>
          <t>mês</t>
        </is>
      </c>
      <c r="F179" s="144" t="n">
        <v>3</v>
      </c>
      <c r="G179" s="144" t="n">
        <v>300</v>
      </c>
      <c r="H179" s="145">
        <f>G179*F179</f>
        <v/>
      </c>
      <c r="I179" s="144" t="inlineStr">
        <is>
          <t>Estimado</t>
        </is>
      </c>
      <c r="J179" s="147" t="inlineStr">
        <is>
          <t>Lançado ERP</t>
        </is>
      </c>
      <c r="K179" s="130" t="n"/>
      <c r="L179" s="130" t="n"/>
    </row>
    <row r="180" outlineLevel="2" ht="13.9" customHeight="1">
      <c r="A180" s="140" t="n"/>
      <c r="B180" s="141" t="inlineStr">
        <is>
          <t>SERVIÇO</t>
        </is>
      </c>
      <c r="C180" s="142" t="inlineStr">
        <is>
          <t>03.001.003.009</t>
        </is>
      </c>
      <c r="D180" s="143" t="inlineStr">
        <is>
          <t>Montagem e Desmontagem Andaime suspenso motorizado</t>
        </is>
      </c>
      <c r="E180" s="68" t="inlineStr">
        <is>
          <t>und.</t>
        </is>
      </c>
      <c r="F180" s="144" t="n">
        <v>0</v>
      </c>
      <c r="G180" s="144" t="n">
        <v>450</v>
      </c>
      <c r="H180" s="145">
        <f>G180*F180</f>
        <v/>
      </c>
      <c r="I180" s="144" t="inlineStr">
        <is>
          <t>Não Solicitado</t>
        </is>
      </c>
      <c r="J180" s="147" t="inlineStr">
        <is>
          <t>Lançado ERP</t>
        </is>
      </c>
      <c r="K180" s="130" t="n"/>
      <c r="L180" s="130" t="n"/>
    </row>
    <row r="181" outlineLevel="2" ht="13.9" customHeight="1">
      <c r="A181" s="140" t="n"/>
      <c r="B181" s="141" t="inlineStr">
        <is>
          <t>SERVIÇO</t>
        </is>
      </c>
      <c r="C181" s="142" t="inlineStr">
        <is>
          <t>03.001.003.010</t>
        </is>
      </c>
      <c r="D181" s="143" t="inlineStr">
        <is>
          <t>Mobilização e Desmobilização Andaime suspenso motorizado</t>
        </is>
      </c>
      <c r="E181" s="68" t="inlineStr">
        <is>
          <t>und.</t>
        </is>
      </c>
      <c r="F181" s="144" t="n">
        <v>1</v>
      </c>
      <c r="G181" s="144" t="n">
        <v>300</v>
      </c>
      <c r="H181" s="145">
        <f>G181*F181</f>
        <v/>
      </c>
      <c r="I181" s="144" t="inlineStr">
        <is>
          <t>Não Solicitado</t>
        </is>
      </c>
      <c r="J181" s="147" t="inlineStr">
        <is>
          <t>Lançado ERP</t>
        </is>
      </c>
      <c r="K181" s="130" t="n"/>
      <c r="L181" s="130" t="n"/>
    </row>
    <row r="182" ht="12.75" customHeight="1">
      <c r="A182" s="152" t="n"/>
      <c r="B182" s="152" t="n"/>
      <c r="C182" s="152" t="n"/>
      <c r="D182" s="153" t="inlineStr">
        <is>
          <t>TOTAL</t>
        </is>
      </c>
      <c r="E182" s="154" t="n"/>
      <c r="F182" s="155" t="n"/>
      <c r="G182" s="155" t="n"/>
      <c r="H182" s="2154" t="n"/>
      <c r="I182" s="2154" t="n">
        <v>285.9635037747545</v>
      </c>
      <c r="J182" s="154" t="n"/>
      <c r="K182" s="130" t="n"/>
      <c r="L182" s="157" t="n"/>
    </row>
    <row r="183" ht="14.1" customHeight="1">
      <c r="G183" s="2155">
        <f>SUMIFS($H$7:$H$474,$B$7:$B$474,H183)</f>
        <v/>
      </c>
      <c r="H183" s="163" t="n"/>
      <c r="K183" s="130" t="n"/>
      <c r="L183" s="158" t="n"/>
    </row>
    <row r="184" ht="14.1" customHeight="1">
      <c r="G184" s="2155">
        <f>SUMIFS($H$7:$H$474,$B$7:$B$474,H184)</f>
        <v/>
      </c>
      <c r="H184" s="163" t="n"/>
      <c r="K184" s="130" t="n"/>
      <c r="L184" s="158" t="n"/>
    </row>
    <row r="185" ht="14.1" customHeight="1">
      <c r="G185" s="2155">
        <f>SUMIFS($H$7:$H$474,$B$7:$B$474,H185)</f>
        <v/>
      </c>
      <c r="H185" s="163" t="n"/>
      <c r="K185" s="130" t="n"/>
      <c r="L185" s="158" t="n"/>
    </row>
    <row r="186" ht="14.1" customHeight="1">
      <c r="D186" s="2156" t="n"/>
      <c r="G186" s="2155">
        <f>SUMIFS($H$7:$H$474,$B$7:$B$474,H186)</f>
        <v/>
      </c>
      <c r="H186" s="163" t="n"/>
      <c r="K186" s="130" t="n"/>
      <c r="L186" s="158" t="n"/>
    </row>
    <row r="187" ht="14.1" customHeight="1">
      <c r="D187" s="2156" t="n"/>
      <c r="E187" s="2156" t="n"/>
      <c r="F187" s="158" t="n"/>
      <c r="G187" s="2155" t="n"/>
      <c r="H187" s="163" t="n"/>
      <c r="I187" s="168" t="n"/>
      <c r="K187" s="130" t="n"/>
      <c r="L187" s="158" t="n"/>
    </row>
    <row r="188" ht="14.1" customHeight="1">
      <c r="G188" s="2157" t="n"/>
      <c r="H188" s="163" t="n"/>
      <c r="K188" s="130" t="n"/>
      <c r="L188" s="158" t="n"/>
    </row>
    <row r="189" ht="14.1" customHeight="1">
      <c r="K189" s="130" t="n"/>
      <c r="L189" s="158" t="n"/>
    </row>
    <row r="190" ht="14.1" customHeight="1">
      <c r="K190" s="130" t="n"/>
      <c r="L190" s="158" t="n"/>
    </row>
    <row r="191" ht="14.1" customHeight="1">
      <c r="K191" s="130" t="n"/>
      <c r="L191" s="158" t="n"/>
    </row>
    <row r="192" ht="14.1" customHeight="1">
      <c r="K192" s="130" t="n"/>
      <c r="L192" s="158" t="n"/>
    </row>
    <row r="193" ht="14.1" customHeight="1">
      <c r="K193" s="130" t="n"/>
      <c r="L193" s="158" t="n"/>
    </row>
    <row r="194" ht="14.1" customHeight="1">
      <c r="K194" s="130" t="n"/>
      <c r="L194" s="158" t="n"/>
    </row>
    <row r="195" ht="14.1" customHeight="1">
      <c r="K195" s="130" t="n"/>
      <c r="L195" s="158" t="n"/>
    </row>
    <row r="196" ht="14.1" customHeight="1">
      <c r="K196" s="130" t="n"/>
      <c r="L196" s="158" t="n"/>
    </row>
    <row r="197" ht="14.1" customHeight="1">
      <c r="K197" s="130" t="n"/>
      <c r="L197" s="158" t="n"/>
    </row>
    <row r="198" ht="14.1" customHeight="1">
      <c r="K198" s="130" t="n"/>
      <c r="L198" s="158" t="n"/>
    </row>
    <row r="199" ht="14.1" customHeight="1">
      <c r="K199" s="130" t="n"/>
      <c r="L199" s="158" t="n"/>
    </row>
    <row r="200" ht="14.1" customHeight="1">
      <c r="K200" s="130" t="n"/>
      <c r="L200" s="158" t="n"/>
    </row>
    <row r="201" ht="14.1" customHeight="1">
      <c r="K201" s="130" t="n"/>
      <c r="L201" s="158" t="n"/>
    </row>
    <row r="202" ht="14.1" customHeight="1">
      <c r="K202" s="130" t="n"/>
      <c r="L202" s="158" t="n"/>
    </row>
    <row r="203" ht="14.1" customHeight="1">
      <c r="K203" s="130" t="n"/>
      <c r="L203" s="158" t="n"/>
    </row>
    <row r="204" ht="14.1" customHeight="1">
      <c r="K204" s="130" t="n"/>
      <c r="L204" s="158" t="n"/>
    </row>
    <row r="205" ht="14.1" customHeight="1">
      <c r="K205" s="130" t="n"/>
      <c r="L205" s="158" t="n"/>
    </row>
    <row r="206" ht="14.1" customHeight="1">
      <c r="K206" s="130" t="n"/>
      <c r="L206" s="158" t="n"/>
    </row>
    <row r="207" ht="14.1" customHeight="1">
      <c r="K207" s="130" t="n"/>
      <c r="L207" s="158" t="n"/>
    </row>
    <row r="208" ht="14.1" customHeight="1">
      <c r="K208" s="130" t="n"/>
      <c r="L208" s="158" t="n"/>
    </row>
    <row r="209" ht="14.1" customHeight="1">
      <c r="K209" s="130" t="n"/>
      <c r="L209" s="158" t="n"/>
    </row>
    <row r="210" ht="14.1" customHeight="1">
      <c r="K210" s="130" t="n"/>
      <c r="L210" s="158" t="n"/>
    </row>
    <row r="211" ht="14.1" customHeight="1">
      <c r="K211" s="130" t="n"/>
      <c r="L211" s="158" t="n"/>
    </row>
    <row r="212" ht="14.1" customHeight="1">
      <c r="K212" s="130" t="n"/>
      <c r="L212" s="158" t="n"/>
    </row>
    <row r="213" ht="14.1" customHeight="1">
      <c r="K213" s="130" t="n"/>
      <c r="L213" s="158" t="n"/>
    </row>
    <row r="214" ht="14.1" customHeight="1">
      <c r="K214" s="130" t="n"/>
      <c r="L214" s="158" t="n"/>
    </row>
    <row r="215" ht="14.1" customHeight="1">
      <c r="K215" s="130" t="n"/>
      <c r="L215" s="158" t="n"/>
    </row>
    <row r="216" ht="14.1" customHeight="1">
      <c r="K216" s="130" t="n"/>
      <c r="L216" s="158" t="n"/>
    </row>
    <row r="217" ht="14.1" customHeight="1">
      <c r="K217" s="130" t="n"/>
      <c r="L217" s="158" t="n"/>
    </row>
    <row r="218" ht="14.1" customHeight="1">
      <c r="K218" s="130" t="n"/>
      <c r="L218" s="158" t="n"/>
    </row>
    <row r="219" ht="14.1" customHeight="1">
      <c r="K219" s="130" t="n"/>
      <c r="L219" s="158" t="n"/>
    </row>
    <row r="220" ht="14.1" customHeight="1">
      <c r="K220" s="130" t="n"/>
      <c r="L220" s="158" t="n"/>
    </row>
    <row r="221" ht="14.1" customHeight="1">
      <c r="K221" s="130" t="n"/>
      <c r="L221" s="158" t="n"/>
    </row>
    <row r="222" ht="14.1" customHeight="1">
      <c r="K222" s="130" t="n"/>
      <c r="L222" s="158" t="n"/>
    </row>
    <row r="223" ht="14.1" customHeight="1">
      <c r="K223" s="130" t="n"/>
      <c r="L223" s="158" t="n"/>
    </row>
    <row r="224" ht="14.1" customHeight="1">
      <c r="K224" s="130" t="n"/>
      <c r="L224" s="158" t="n"/>
    </row>
    <row r="225" ht="14.1" customHeight="1">
      <c r="K225" s="130" t="n"/>
      <c r="L225" s="158" t="n"/>
    </row>
    <row r="226" ht="14.1" customHeight="1">
      <c r="K226" s="130" t="n"/>
      <c r="L226" s="158" t="n"/>
    </row>
    <row r="227" ht="14.1" customHeight="1">
      <c r="K227" s="130" t="n"/>
      <c r="L227" s="158" t="n"/>
    </row>
    <row r="228" ht="14.1" customHeight="1">
      <c r="K228" s="130" t="n"/>
      <c r="L228" s="158" t="n"/>
    </row>
    <row r="229" ht="14.1" customHeight="1">
      <c r="K229" s="130" t="n"/>
      <c r="L229" s="158" t="n"/>
    </row>
    <row r="230" ht="14.1" customHeight="1">
      <c r="K230" s="130" t="n"/>
      <c r="L230" s="158" t="n"/>
    </row>
    <row r="231" ht="14.1" customHeight="1">
      <c r="K231" s="130" t="n"/>
      <c r="L231" s="158" t="n"/>
    </row>
    <row r="232" ht="14.1" customHeight="1">
      <c r="K232" s="130" t="n"/>
      <c r="L232" s="158" t="n"/>
    </row>
    <row r="233" ht="14.1" customHeight="1">
      <c r="K233" s="130" t="n"/>
      <c r="L233" s="158" t="n"/>
    </row>
    <row r="234" ht="14.1" customHeight="1">
      <c r="K234" s="130" t="n"/>
      <c r="L234" s="158" t="n"/>
    </row>
    <row r="235" ht="14.1" customHeight="1">
      <c r="K235" s="130" t="n"/>
      <c r="L235" s="158" t="n"/>
    </row>
    <row r="236" ht="14.1" customHeight="1">
      <c r="K236" s="130" t="n"/>
      <c r="L236" s="158" t="n"/>
    </row>
    <row r="237" ht="14.1" customHeight="1">
      <c r="K237" s="130" t="n"/>
      <c r="L237" s="158" t="n"/>
    </row>
    <row r="238" ht="14.1" customHeight="1">
      <c r="K238" s="130" t="n"/>
      <c r="L238" s="158" t="n"/>
    </row>
    <row r="239" ht="14.1" customHeight="1">
      <c r="K239" s="130" t="n"/>
      <c r="L239" s="158" t="n"/>
    </row>
    <row r="240" ht="14.1" customHeight="1">
      <c r="K240" s="130" t="n"/>
      <c r="L240" s="158" t="n"/>
    </row>
    <row r="241" ht="14.1" customHeight="1">
      <c r="K241" s="130" t="n"/>
      <c r="L241" s="158" t="n"/>
    </row>
    <row r="242" ht="14.1" customHeight="1">
      <c r="K242" s="130" t="n"/>
      <c r="L242" s="158" t="n"/>
    </row>
    <row r="243" ht="14.1" customHeight="1">
      <c r="K243" s="130" t="n"/>
      <c r="L243" s="158" t="n"/>
    </row>
    <row r="244" ht="14.1" customHeight="1">
      <c r="K244" s="130" t="n"/>
      <c r="L244" s="158" t="n"/>
    </row>
    <row r="245" ht="14.1" customHeight="1">
      <c r="K245" s="130" t="n"/>
      <c r="L245" s="158" t="n"/>
    </row>
    <row r="246" ht="14.1" customHeight="1">
      <c r="K246" s="130" t="n"/>
      <c r="L246" s="158" t="n"/>
    </row>
    <row r="247" ht="14.1" customHeight="1">
      <c r="K247" s="130" t="n"/>
      <c r="L247" s="158" t="n"/>
    </row>
    <row r="248" ht="14.1" customHeight="1">
      <c r="K248" s="130" t="n"/>
      <c r="L248" s="158" t="n"/>
    </row>
    <row r="249" ht="14.1" customHeight="1">
      <c r="K249" s="130" t="n"/>
      <c r="L249" s="158" t="n"/>
    </row>
    <row r="250" ht="14.1" customHeight="1">
      <c r="K250" s="130" t="n"/>
      <c r="L250" s="158" t="n"/>
    </row>
    <row r="251" ht="14.1" customHeight="1">
      <c r="K251" s="130" t="n"/>
      <c r="L251" s="158" t="n"/>
    </row>
    <row r="252" ht="14.1" customHeight="1">
      <c r="K252" s="130" t="n"/>
      <c r="L252" s="158" t="n"/>
    </row>
    <row r="253" ht="14.1" customHeight="1">
      <c r="K253" s="130" t="n"/>
      <c r="L253" s="158" t="n"/>
    </row>
    <row r="254" ht="14.1" customHeight="1">
      <c r="K254" s="130" t="n"/>
      <c r="L254" s="158" t="n"/>
    </row>
    <row r="255" ht="14.1" customHeight="1">
      <c r="K255" s="130" t="n"/>
      <c r="L255" s="158" t="n"/>
    </row>
    <row r="256" ht="14.1" customHeight="1">
      <c r="K256" s="130" t="n"/>
      <c r="L256" s="158" t="n"/>
    </row>
    <row r="257" ht="14.1" customHeight="1">
      <c r="K257" s="130" t="n"/>
      <c r="L257" s="158" t="n"/>
    </row>
    <row r="258" ht="14.1" customHeight="1">
      <c r="K258" s="130" t="n"/>
      <c r="L258" s="158" t="n"/>
    </row>
    <row r="259" ht="14.1" customHeight="1">
      <c r="K259" s="130" t="n"/>
      <c r="L259" s="158" t="n"/>
    </row>
    <row r="260" ht="14.1" customHeight="1">
      <c r="K260" s="130" t="n"/>
      <c r="L260" s="158" t="n"/>
    </row>
    <row r="261" ht="14.1" customHeight="1">
      <c r="K261" s="130" t="n"/>
      <c r="L261" s="158" t="n"/>
    </row>
    <row r="262" ht="14.1" customHeight="1">
      <c r="K262" s="130" t="n"/>
      <c r="L262" s="158" t="n"/>
    </row>
    <row r="263" ht="14.1" customHeight="1">
      <c r="K263" s="130" t="n"/>
      <c r="L263" s="158" t="n"/>
    </row>
    <row r="264" ht="14.1" customHeight="1">
      <c r="K264" s="130" t="n"/>
      <c r="L264" s="158" t="n"/>
    </row>
    <row r="265" ht="14.1" customHeight="1">
      <c r="K265" s="130" t="n"/>
      <c r="L265" s="158" t="n"/>
    </row>
    <row r="266" ht="14.1" customHeight="1">
      <c r="K266" s="130" t="n"/>
      <c r="L266" s="158" t="n"/>
    </row>
    <row r="267" ht="14.1" customHeight="1">
      <c r="K267" s="130" t="n"/>
      <c r="L267" s="158" t="n"/>
    </row>
    <row r="268" ht="14.1" customHeight="1">
      <c r="K268" s="130" t="n"/>
      <c r="L268" s="158" t="n"/>
    </row>
    <row r="269" ht="14.1" customHeight="1">
      <c r="K269" s="130" t="n"/>
      <c r="L269" s="158" t="n"/>
    </row>
    <row r="270" ht="14.1" customHeight="1">
      <c r="K270" s="130" t="n"/>
      <c r="L270" s="158" t="n"/>
    </row>
    <row r="271" ht="14.1" customHeight="1">
      <c r="K271" s="130" t="n"/>
      <c r="L271" s="158" t="n"/>
    </row>
    <row r="272" ht="14.1" customHeight="1">
      <c r="K272" s="130" t="n"/>
      <c r="L272" s="158" t="n"/>
    </row>
    <row r="273" ht="14.1" customHeight="1">
      <c r="K273" s="130" t="n"/>
      <c r="L273" s="158" t="n"/>
    </row>
    <row r="274" ht="14.1" customHeight="1">
      <c r="K274" s="130" t="n"/>
      <c r="L274" s="158" t="n"/>
    </row>
    <row r="275" ht="14.1" customHeight="1">
      <c r="K275" s="130" t="n"/>
      <c r="L275" s="158" t="n"/>
    </row>
    <row r="276" ht="14.1" customHeight="1">
      <c r="K276" s="130" t="n"/>
      <c r="L276" s="158" t="n"/>
    </row>
    <row r="277" ht="14.1" customHeight="1">
      <c r="K277" s="130" t="n"/>
      <c r="L277" s="158" t="n"/>
    </row>
    <row r="278" ht="14.1" customHeight="1">
      <c r="K278" s="130" t="n"/>
      <c r="L278" s="158" t="n"/>
    </row>
    <row r="279" ht="14.1" customHeight="1">
      <c r="K279" s="130" t="n"/>
      <c r="L279" s="158" t="n"/>
    </row>
    <row r="280" ht="14.1" customHeight="1">
      <c r="K280" s="130" t="n"/>
      <c r="L280" s="158" t="n"/>
    </row>
    <row r="281" ht="14.1" customHeight="1">
      <c r="K281" s="130" t="n"/>
      <c r="L281" s="158" t="n"/>
    </row>
    <row r="282" ht="14.1" customHeight="1">
      <c r="K282" s="130" t="n"/>
      <c r="L282" s="158" t="n"/>
    </row>
    <row r="283" ht="14.1" customHeight="1">
      <c r="K283" s="130" t="n"/>
      <c r="L283" s="158" t="n"/>
    </row>
    <row r="284" ht="14.1" customHeight="1">
      <c r="K284" s="130" t="n"/>
      <c r="L284" s="158" t="n"/>
    </row>
    <row r="285" ht="14.1" customHeight="1">
      <c r="K285" s="130" t="n"/>
      <c r="L285" s="158" t="n"/>
    </row>
    <row r="286" ht="14.1" customHeight="1">
      <c r="K286" s="130" t="n"/>
      <c r="L286" s="158" t="n"/>
    </row>
    <row r="287" ht="14.1" customHeight="1">
      <c r="K287" s="130" t="n"/>
      <c r="L287" s="158" t="n"/>
    </row>
    <row r="288" ht="14.1" customHeight="1">
      <c r="K288" s="130" t="n"/>
      <c r="L288" s="158" t="n"/>
    </row>
    <row r="289" ht="14.1" customHeight="1">
      <c r="K289" s="130" t="n"/>
      <c r="L289" s="158" t="n"/>
    </row>
    <row r="290" ht="14.1" customHeight="1">
      <c r="K290" s="130" t="n"/>
      <c r="L290" s="158" t="n"/>
    </row>
    <row r="291" ht="14.1" customHeight="1">
      <c r="K291" s="130" t="n"/>
      <c r="L291" s="158" t="n"/>
    </row>
    <row r="292" ht="14.1" customHeight="1">
      <c r="K292" s="130" t="n"/>
      <c r="L292" s="158" t="n"/>
    </row>
    <row r="293" ht="14.1" customHeight="1">
      <c r="K293" s="130" t="n"/>
      <c r="L293" s="158" t="n"/>
    </row>
    <row r="294" ht="14.1" customHeight="1">
      <c r="K294" s="130" t="n"/>
      <c r="L294" s="158" t="n"/>
    </row>
    <row r="295" ht="14.1" customHeight="1">
      <c r="K295" s="130" t="n"/>
      <c r="L295" s="158" t="n"/>
    </row>
    <row r="296" ht="14.1" customHeight="1">
      <c r="K296" s="130" t="n"/>
      <c r="L296" s="158" t="n"/>
    </row>
    <row r="297" ht="14.1" customHeight="1">
      <c r="K297" s="130" t="n"/>
      <c r="L297" s="158" t="n"/>
    </row>
    <row r="298" ht="14.1" customHeight="1">
      <c r="K298" s="130" t="n"/>
      <c r="L298" s="158" t="n"/>
    </row>
    <row r="299" ht="14.1" customHeight="1">
      <c r="K299" s="130" t="n"/>
      <c r="L299" s="158" t="n"/>
    </row>
    <row r="300" ht="14.1" customHeight="1">
      <c r="K300" s="130" t="n"/>
      <c r="L300" s="158" t="n"/>
    </row>
    <row r="301" ht="14.1" customHeight="1">
      <c r="K301" s="130" t="n"/>
      <c r="L301" s="158" t="n"/>
    </row>
    <row r="302" ht="14.1" customHeight="1">
      <c r="K302" s="130" t="n"/>
      <c r="L302" s="158" t="n"/>
    </row>
    <row r="303" ht="14.1" customHeight="1">
      <c r="K303" s="130" t="n"/>
      <c r="L303" s="158" t="n"/>
    </row>
    <row r="304" ht="14.1" customHeight="1">
      <c r="K304" s="130" t="n"/>
      <c r="L304" s="158" t="n"/>
    </row>
    <row r="305" ht="14.1" customHeight="1">
      <c r="K305" s="130" t="n"/>
      <c r="L305" s="158" t="n"/>
    </row>
    <row r="306" ht="14.1" customHeight="1">
      <c r="K306" s="130" t="n"/>
      <c r="L306" s="158" t="n"/>
    </row>
    <row r="307" ht="14.1" customHeight="1">
      <c r="K307" s="130" t="n"/>
      <c r="L307" s="158" t="n"/>
    </row>
    <row r="308" ht="14.1" customHeight="1">
      <c r="K308" s="130" t="n"/>
      <c r="L308" s="158" t="n"/>
    </row>
    <row r="309" ht="14.1" customHeight="1">
      <c r="K309" s="130" t="n"/>
      <c r="L309" s="158" t="n"/>
    </row>
    <row r="310" ht="14.1" customHeight="1">
      <c r="K310" s="130" t="n"/>
      <c r="L310" s="158" t="n"/>
    </row>
    <row r="311" ht="14.1" customHeight="1">
      <c r="K311" s="130" t="n"/>
      <c r="L311" s="158" t="n"/>
    </row>
    <row r="312" ht="14.1" customHeight="1">
      <c r="K312" s="130" t="n"/>
      <c r="L312" s="158" t="n"/>
    </row>
    <row r="313" ht="14.1" customHeight="1">
      <c r="K313" s="130" t="n"/>
      <c r="L313" s="158" t="n"/>
    </row>
    <row r="314" ht="14.1" customHeight="1">
      <c r="K314" s="130" t="n"/>
      <c r="L314" s="158" t="n"/>
    </row>
    <row r="315" ht="14.1" customHeight="1">
      <c r="K315" s="130" t="n"/>
      <c r="L315" s="158" t="n"/>
    </row>
    <row r="316" ht="14.1" customHeight="1">
      <c r="K316" s="130" t="n"/>
      <c r="L316" s="158" t="n"/>
    </row>
    <row r="317" ht="14.1" customHeight="1">
      <c r="K317" s="130" t="n"/>
      <c r="L317" s="158" t="n"/>
    </row>
    <row r="318" ht="14.1" customHeight="1">
      <c r="K318" s="130" t="n"/>
      <c r="L318" s="158" t="n"/>
    </row>
    <row r="319" ht="14.1" customHeight="1">
      <c r="K319" s="130" t="n"/>
      <c r="L319" s="158" t="n"/>
    </row>
    <row r="320" ht="14.1" customHeight="1">
      <c r="K320" s="130" t="n"/>
      <c r="L320" s="158" t="n"/>
    </row>
    <row r="321" ht="14.1" customHeight="1">
      <c r="K321" s="130" t="n"/>
      <c r="L321" s="158" t="n"/>
    </row>
    <row r="322" ht="14.1" customHeight="1">
      <c r="K322" s="130" t="n"/>
      <c r="L322" s="158" t="n"/>
    </row>
    <row r="323" ht="14.1" customHeight="1">
      <c r="K323" s="130" t="n"/>
      <c r="L323" s="158" t="n"/>
    </row>
    <row r="324" ht="14.1" customHeight="1">
      <c r="K324" s="130" t="n"/>
      <c r="L324" s="158" t="n"/>
    </row>
    <row r="325" ht="14.1" customHeight="1">
      <c r="K325" s="130" t="n"/>
      <c r="L325" s="158" t="n"/>
    </row>
    <row r="326" ht="14.1" customHeight="1">
      <c r="K326" s="130" t="n"/>
      <c r="L326" s="158" t="n"/>
    </row>
    <row r="327" ht="14.1" customHeight="1">
      <c r="K327" s="130" t="n"/>
      <c r="L327" s="158" t="n"/>
    </row>
    <row r="328" ht="14.1" customHeight="1">
      <c r="K328" s="130" t="n"/>
      <c r="L328" s="158" t="n"/>
    </row>
    <row r="329" ht="14.1" customHeight="1">
      <c r="K329" s="130" t="n"/>
      <c r="L329" s="158" t="n"/>
    </row>
    <row r="330" ht="14.1" customHeight="1">
      <c r="K330" s="130" t="n"/>
      <c r="L330" s="158" t="n"/>
    </row>
    <row r="331" ht="14.1" customHeight="1">
      <c r="K331" s="130" t="n"/>
      <c r="L331" s="158" t="n"/>
    </row>
    <row r="332" ht="14.1" customHeight="1">
      <c r="K332" s="130" t="n"/>
      <c r="L332" s="158" t="n"/>
    </row>
    <row r="333" ht="14.1" customHeight="1">
      <c r="K333" s="130" t="n"/>
      <c r="L333" s="158" t="n"/>
    </row>
    <row r="334" ht="14.1" customHeight="1">
      <c r="K334" s="130" t="n"/>
      <c r="L334" s="158" t="n"/>
    </row>
    <row r="335" ht="14.1" customHeight="1">
      <c r="K335" s="130" t="n"/>
      <c r="L335" s="158" t="n"/>
    </row>
    <row r="336" ht="14.1" customHeight="1">
      <c r="K336" s="130" t="n"/>
      <c r="L336" s="158" t="n"/>
    </row>
    <row r="337" ht="14.1" customHeight="1">
      <c r="K337" s="130" t="n"/>
      <c r="L337" s="158" t="n"/>
    </row>
    <row r="338" ht="14.1" customHeight="1">
      <c r="K338" s="130" t="n"/>
      <c r="L338" s="158" t="n"/>
    </row>
    <row r="339" ht="14.1" customHeight="1">
      <c r="K339" s="130" t="n"/>
      <c r="L339" s="158" t="n"/>
    </row>
    <row r="340" ht="14.1" customHeight="1">
      <c r="K340" s="130" t="n"/>
      <c r="L340" s="158" t="n"/>
    </row>
    <row r="341" ht="14.1" customHeight="1">
      <c r="K341" s="130" t="n"/>
      <c r="L341" s="158" t="n"/>
    </row>
    <row r="342" ht="14.1" customHeight="1">
      <c r="K342" s="130" t="n"/>
      <c r="L342" s="158" t="n"/>
    </row>
    <row r="343" ht="14.1" customHeight="1">
      <c r="K343" s="130" t="n"/>
      <c r="L343" s="158" t="n"/>
    </row>
    <row r="344" ht="14.1" customHeight="1">
      <c r="K344" s="130" t="n"/>
      <c r="L344" s="158" t="n"/>
    </row>
    <row r="345" ht="14.1" customHeight="1">
      <c r="K345" s="130" t="n"/>
      <c r="L345" s="158" t="n"/>
    </row>
    <row r="346" ht="14.1" customHeight="1">
      <c r="K346" s="130" t="n"/>
      <c r="L346" s="158" t="n"/>
    </row>
    <row r="347" ht="14.1" customHeight="1">
      <c r="K347" s="130" t="n"/>
      <c r="L347" s="158" t="n"/>
    </row>
    <row r="348" ht="14.1" customHeight="1">
      <c r="K348" s="130" t="n"/>
      <c r="L348" s="158" t="n"/>
    </row>
    <row r="349" ht="14.1" customHeight="1">
      <c r="K349" s="130" t="n"/>
      <c r="L349" s="158" t="n"/>
    </row>
    <row r="350" ht="14.1" customHeight="1">
      <c r="K350" s="130" t="n"/>
      <c r="L350" s="158" t="n"/>
    </row>
    <row r="351" ht="14.1" customHeight="1">
      <c r="K351" s="130" t="n"/>
      <c r="L351" s="158" t="n"/>
    </row>
    <row r="352" ht="14.1" customHeight="1">
      <c r="K352" s="130" t="n"/>
      <c r="L352" s="158" t="n"/>
    </row>
    <row r="353" ht="14.1" customHeight="1">
      <c r="K353" s="130" t="n"/>
      <c r="L353" s="158" t="n"/>
    </row>
    <row r="354" ht="14.1" customHeight="1">
      <c r="K354" s="130" t="n"/>
      <c r="L354" s="158" t="n"/>
    </row>
    <row r="355" ht="14.1" customHeight="1">
      <c r="K355" s="130" t="n"/>
      <c r="L355" s="158" t="n"/>
    </row>
    <row r="356" ht="14.1" customHeight="1">
      <c r="K356" s="130" t="n"/>
      <c r="L356" s="158" t="n"/>
    </row>
    <row r="357" ht="14.1" customHeight="1">
      <c r="K357" s="130" t="n"/>
      <c r="L357" s="158" t="n"/>
    </row>
    <row r="358" ht="14.1" customHeight="1">
      <c r="K358" s="130" t="n"/>
      <c r="L358" s="158" t="n"/>
    </row>
    <row r="359" ht="14.1" customHeight="1">
      <c r="K359" s="130" t="n"/>
      <c r="L359" s="158" t="n"/>
    </row>
    <row r="360" ht="14.1" customHeight="1">
      <c r="K360" s="130" t="n"/>
      <c r="L360" s="158" t="n"/>
    </row>
    <row r="361" ht="14.1" customHeight="1">
      <c r="K361" s="130" t="n"/>
      <c r="L361" s="158" t="n"/>
    </row>
    <row r="362" ht="14.1" customHeight="1">
      <c r="K362" s="130" t="n"/>
      <c r="L362" s="158" t="n"/>
    </row>
    <row r="363" ht="14.1" customHeight="1">
      <c r="K363" s="130" t="n"/>
      <c r="L363" s="158" t="n"/>
    </row>
    <row r="364" ht="14.1" customHeight="1">
      <c r="K364" s="130" t="n"/>
      <c r="L364" s="158" t="n"/>
    </row>
    <row r="365" ht="14.1" customHeight="1">
      <c r="K365" s="130" t="n"/>
      <c r="L365" s="158" t="n"/>
    </row>
    <row r="366" ht="14.1" customHeight="1">
      <c r="K366" s="130" t="n"/>
      <c r="L366" s="158" t="n"/>
    </row>
    <row r="367" ht="14.1" customHeight="1">
      <c r="K367" s="130" t="n"/>
      <c r="L367" s="158" t="n"/>
    </row>
    <row r="368" ht="14.1" customHeight="1">
      <c r="K368" s="130" t="n"/>
      <c r="L368" s="158" t="n"/>
    </row>
    <row r="369" ht="14.1" customHeight="1">
      <c r="K369" s="130" t="n"/>
      <c r="L369" s="158" t="n"/>
    </row>
    <row r="370" ht="14.1" customHeight="1">
      <c r="K370" s="130" t="n"/>
      <c r="L370" s="158" t="n"/>
    </row>
    <row r="371" ht="14.1" customHeight="1">
      <c r="K371" s="130" t="n"/>
      <c r="L371" s="158" t="n"/>
    </row>
    <row r="372" ht="14.1" customHeight="1">
      <c r="K372" s="130" t="n"/>
      <c r="L372" s="158" t="n"/>
    </row>
    <row r="373" ht="14.1" customHeight="1">
      <c r="K373" s="130" t="n"/>
      <c r="L373" s="158" t="n"/>
    </row>
    <row r="374" ht="14.1" customHeight="1">
      <c r="K374" s="130" t="n"/>
      <c r="L374" s="158" t="n"/>
    </row>
    <row r="375" ht="14.1" customHeight="1">
      <c r="K375" s="130" t="n"/>
      <c r="L375" s="158" t="n"/>
    </row>
    <row r="376" ht="14.1" customHeight="1">
      <c r="K376" s="130" t="n"/>
      <c r="L376" s="158" t="n"/>
    </row>
    <row r="377" ht="14.1" customHeight="1">
      <c r="K377" s="130" t="n"/>
      <c r="L377" s="158" t="n"/>
    </row>
    <row r="378" ht="14.1" customHeight="1">
      <c r="K378" s="130" t="n"/>
      <c r="L378" s="158" t="n"/>
    </row>
    <row r="379" ht="14.1" customHeight="1">
      <c r="K379" s="130" t="n"/>
      <c r="L379" s="158" t="n"/>
    </row>
    <row r="380" ht="14.1" customHeight="1">
      <c r="K380" s="130" t="n"/>
      <c r="L380" s="158" t="n"/>
    </row>
    <row r="381" ht="14.1" customHeight="1">
      <c r="K381" s="130" t="n"/>
      <c r="L381" s="158" t="n"/>
    </row>
    <row r="382" ht="14.1" customHeight="1">
      <c r="K382" s="130" t="n"/>
      <c r="L382" s="158" t="n"/>
    </row>
    <row r="383" ht="14.1" customHeight="1">
      <c r="K383" s="130" t="n"/>
      <c r="L383" s="158" t="n"/>
    </row>
    <row r="384" ht="14.1" customHeight="1">
      <c r="K384" s="130" t="n"/>
      <c r="L384" s="158" t="n"/>
    </row>
    <row r="385" ht="14.1" customHeight="1">
      <c r="K385" s="130" t="n"/>
      <c r="L385" s="158" t="n"/>
    </row>
    <row r="386" ht="14.1" customHeight="1">
      <c r="K386" s="130" t="n"/>
      <c r="L386" s="158" t="n"/>
    </row>
    <row r="387" ht="14.1" customHeight="1">
      <c r="K387" s="130" t="n"/>
      <c r="L387" s="158" t="n"/>
    </row>
    <row r="388" ht="14.1" customHeight="1">
      <c r="K388" s="130" t="n"/>
      <c r="L388" s="158" t="n"/>
    </row>
    <row r="389" ht="14.1" customHeight="1">
      <c r="K389" s="130" t="n"/>
      <c r="L389" s="158" t="n"/>
    </row>
    <row r="390" ht="14.1" customHeight="1">
      <c r="K390" s="130" t="n"/>
      <c r="L390" s="158" t="n"/>
    </row>
    <row r="391" ht="14.1" customHeight="1">
      <c r="K391" s="130" t="n"/>
      <c r="L391" s="158" t="n"/>
    </row>
    <row r="392" ht="14.1" customHeight="1">
      <c r="K392" s="130" t="n"/>
      <c r="L392" s="158" t="n"/>
    </row>
    <row r="393" ht="14.1" customHeight="1">
      <c r="K393" s="130" t="n"/>
      <c r="L393" s="158" t="n"/>
    </row>
    <row r="394" ht="14.1" customHeight="1">
      <c r="K394" s="130" t="n"/>
      <c r="L394" s="158" t="n"/>
    </row>
    <row r="395" ht="14.1" customHeight="1">
      <c r="K395" s="130" t="n"/>
      <c r="L395" s="158" t="n"/>
    </row>
    <row r="396" ht="14.1" customHeight="1">
      <c r="K396" s="130" t="n"/>
      <c r="L396" s="158" t="n"/>
    </row>
    <row r="397" ht="14.1" customHeight="1">
      <c r="K397" s="130" t="n"/>
      <c r="L397" s="158" t="n"/>
    </row>
    <row r="398" ht="14.1" customHeight="1">
      <c r="K398" s="130" t="n"/>
      <c r="L398" s="158" t="n"/>
    </row>
    <row r="399" ht="14.1" customHeight="1">
      <c r="K399" s="130" t="n"/>
      <c r="L399" s="158" t="n"/>
    </row>
    <row r="400" ht="14.1" customHeight="1">
      <c r="K400" s="130" t="n"/>
      <c r="L400" s="158" t="n"/>
    </row>
    <row r="401" ht="14.1" customHeight="1">
      <c r="K401" s="130" t="n"/>
      <c r="L401" s="158" t="n"/>
    </row>
    <row r="402" ht="14.1" customHeight="1">
      <c r="K402" s="130" t="n"/>
      <c r="L402" s="158" t="n"/>
    </row>
    <row r="403" ht="14.1" customHeight="1">
      <c r="K403" s="130" t="n"/>
      <c r="L403" s="158" t="n"/>
    </row>
    <row r="404" ht="14.1" customHeight="1">
      <c r="K404" s="130" t="n"/>
      <c r="L404" s="158" t="n"/>
    </row>
    <row r="405" ht="14.1" customHeight="1">
      <c r="K405" s="130" t="n"/>
      <c r="L405" s="158" t="n"/>
    </row>
    <row r="406" ht="14.1" customHeight="1">
      <c r="K406" s="130" t="n"/>
      <c r="L406" s="158" t="n"/>
    </row>
    <row r="407" ht="14.1" customHeight="1">
      <c r="K407" s="130" t="n"/>
      <c r="L407" s="158" t="n"/>
    </row>
    <row r="408" ht="14.1" customHeight="1">
      <c r="K408" s="130" t="n"/>
      <c r="L408" s="158" t="n"/>
    </row>
    <row r="409" ht="14.1" customHeight="1">
      <c r="K409" s="130" t="n"/>
      <c r="L409" s="158" t="n"/>
    </row>
    <row r="410" ht="14.1" customHeight="1">
      <c r="K410" s="130" t="n"/>
      <c r="L410" s="158" t="n"/>
    </row>
    <row r="411" ht="14.1" customHeight="1">
      <c r="K411" s="130" t="n"/>
      <c r="L411" s="158" t="n"/>
    </row>
    <row r="412" ht="14.1" customHeight="1">
      <c r="K412" s="130" t="n"/>
      <c r="L412" s="158" t="n"/>
    </row>
    <row r="413" ht="14.1" customHeight="1">
      <c r="K413" s="130" t="n"/>
      <c r="L413" s="158" t="n"/>
    </row>
    <row r="414" ht="14.1" customHeight="1">
      <c r="K414" s="130" t="n"/>
      <c r="L414" s="158" t="n"/>
    </row>
    <row r="415" ht="14.1" customHeight="1">
      <c r="K415" s="130" t="n"/>
      <c r="L415" s="158" t="n"/>
    </row>
    <row r="416" ht="14.1" customHeight="1">
      <c r="K416" s="130" t="n"/>
      <c r="L416" s="158" t="n"/>
    </row>
    <row r="417" ht="14.1" customHeight="1">
      <c r="K417" s="130" t="n"/>
      <c r="L417" s="158" t="n"/>
    </row>
    <row r="418" ht="14.1" customHeight="1">
      <c r="K418" s="130" t="n"/>
      <c r="L418" s="158" t="n"/>
    </row>
    <row r="419" ht="14.1" customHeight="1">
      <c r="K419" s="130" t="n"/>
      <c r="L419" s="158" t="n"/>
    </row>
    <row r="420" ht="14.1" customHeight="1">
      <c r="K420" s="130" t="n"/>
      <c r="L420" s="158" t="n"/>
    </row>
    <row r="421" ht="14.1" customHeight="1">
      <c r="K421" s="130" t="n"/>
      <c r="L421" s="158" t="n"/>
    </row>
    <row r="422" ht="14.1" customHeight="1">
      <c r="K422" s="130" t="n"/>
      <c r="L422" s="158" t="n"/>
    </row>
    <row r="423" ht="14.1" customHeight="1">
      <c r="K423" s="130" t="n"/>
      <c r="L423" s="158" t="n"/>
    </row>
    <row r="424" ht="14.1" customHeight="1">
      <c r="K424" s="130" t="n"/>
      <c r="L424" s="158" t="n"/>
    </row>
    <row r="425" ht="14.1" customHeight="1">
      <c r="K425" s="130" t="n"/>
      <c r="L425" s="158" t="n"/>
    </row>
    <row r="426" ht="14.1" customHeight="1">
      <c r="K426" s="130" t="n"/>
      <c r="L426" s="158" t="n"/>
    </row>
    <row r="427" ht="14.1" customHeight="1">
      <c r="K427" s="130" t="n"/>
      <c r="L427" s="158" t="n"/>
    </row>
    <row r="428" ht="14.1" customHeight="1">
      <c r="K428" s="130" t="n"/>
      <c r="L428" s="158" t="n"/>
    </row>
    <row r="429" ht="14.1" customHeight="1">
      <c r="K429" s="130" t="n"/>
      <c r="L429" s="158" t="n"/>
    </row>
    <row r="430" ht="14.1" customHeight="1">
      <c r="K430" s="130" t="n"/>
      <c r="L430" s="158" t="n"/>
    </row>
    <row r="431" ht="14.1" customHeight="1">
      <c r="K431" s="130" t="n"/>
      <c r="L431" s="158" t="n"/>
    </row>
    <row r="432" ht="14.1" customHeight="1">
      <c r="K432" s="130" t="n"/>
      <c r="L432" s="158" t="n"/>
    </row>
    <row r="433" ht="14.1" customHeight="1">
      <c r="K433" s="130" t="n"/>
      <c r="L433" s="158" t="n"/>
    </row>
    <row r="434" ht="14.1" customHeight="1">
      <c r="K434" s="130" t="n"/>
      <c r="L434" s="158" t="n"/>
    </row>
    <row r="435" ht="14.1" customHeight="1">
      <c r="K435" s="130" t="n"/>
      <c r="L435" s="158" t="n"/>
    </row>
    <row r="436" ht="14.1" customHeight="1">
      <c r="K436" s="130" t="n"/>
      <c r="L436" s="158" t="n"/>
    </row>
    <row r="437" ht="14.1" customHeight="1">
      <c r="K437" s="130" t="n"/>
      <c r="L437" s="158" t="n"/>
    </row>
    <row r="438" ht="14.1" customHeight="1">
      <c r="K438" s="130" t="n"/>
      <c r="L438" s="158" t="n"/>
    </row>
    <row r="439" ht="14.1" customHeight="1">
      <c r="K439" s="130" t="n"/>
      <c r="L439" s="158" t="n"/>
    </row>
    <row r="440" ht="14.1" customHeight="1">
      <c r="K440" s="130" t="n"/>
      <c r="L440" s="158" t="n"/>
    </row>
    <row r="441" ht="14.1" customHeight="1">
      <c r="K441" s="130" t="n"/>
      <c r="L441" s="158" t="n"/>
    </row>
    <row r="442" ht="14.1" customHeight="1">
      <c r="K442" s="130" t="n"/>
      <c r="L442" s="158" t="n"/>
    </row>
    <row r="443" ht="14.1" customHeight="1">
      <c r="K443" s="130" t="n"/>
      <c r="L443" s="158" t="n"/>
    </row>
    <row r="444" ht="14.1" customHeight="1">
      <c r="K444" s="130" t="n"/>
      <c r="L444" s="158" t="n"/>
    </row>
    <row r="445" ht="14.1" customHeight="1">
      <c r="K445" s="130" t="n"/>
      <c r="L445" s="158" t="n"/>
    </row>
    <row r="446" ht="14.1" customHeight="1">
      <c r="K446" s="130" t="n"/>
      <c r="L446" s="158" t="n"/>
    </row>
    <row r="447" ht="14.1" customHeight="1">
      <c r="K447" s="130" t="n"/>
      <c r="L447" s="158" t="n"/>
    </row>
    <row r="448" ht="14.1" customHeight="1">
      <c r="K448" s="130" t="n"/>
      <c r="L448" s="158" t="n"/>
    </row>
    <row r="449" ht="14.1" customHeight="1">
      <c r="K449" s="130" t="n"/>
      <c r="L449" s="158" t="n"/>
    </row>
    <row r="450" ht="14.1" customHeight="1">
      <c r="K450" s="130" t="n"/>
      <c r="L450" s="158" t="n"/>
    </row>
    <row r="451" ht="14.1" customHeight="1">
      <c r="K451" s="130" t="n"/>
      <c r="L451" s="158" t="n"/>
    </row>
    <row r="452" ht="14.1" customHeight="1">
      <c r="K452" s="130" t="n"/>
      <c r="L452" s="158" t="n"/>
    </row>
    <row r="453" ht="14.1" customHeight="1">
      <c r="K453" s="130" t="n"/>
      <c r="L453" s="158" t="n"/>
    </row>
    <row r="454" ht="14.1" customHeight="1">
      <c r="K454" s="130" t="n"/>
      <c r="L454" s="158" t="n"/>
    </row>
    <row r="455" ht="14.1" customHeight="1">
      <c r="K455" s="130" t="n"/>
      <c r="L455" s="158" t="n"/>
    </row>
    <row r="456" ht="14.1" customHeight="1">
      <c r="K456" s="130" t="n"/>
      <c r="L456" s="158" t="n"/>
    </row>
    <row r="457" ht="14.1" customHeight="1">
      <c r="K457" s="130" t="n"/>
      <c r="L457" s="158" t="n"/>
    </row>
    <row r="458" ht="14.1" customHeight="1">
      <c r="K458" s="130" t="n"/>
      <c r="L458" s="158" t="n"/>
    </row>
    <row r="459" ht="14.1" customHeight="1">
      <c r="K459" s="130" t="n"/>
      <c r="L459" s="158" t="n"/>
    </row>
    <row r="460" ht="14.1" customHeight="1">
      <c r="K460" s="130" t="n"/>
      <c r="L460" s="158" t="n"/>
    </row>
    <row r="461" ht="14.1" customHeight="1">
      <c r="K461" s="130" t="n"/>
      <c r="L461" s="158" t="n"/>
    </row>
    <row r="462" ht="14.1" customHeight="1">
      <c r="K462" s="130" t="n"/>
      <c r="L462" s="158" t="n"/>
    </row>
    <row r="463" ht="14.1" customHeight="1">
      <c r="K463" s="130" t="n"/>
      <c r="L463" s="158" t="n"/>
    </row>
    <row r="464" ht="14.1" customHeight="1">
      <c r="K464" s="130" t="n"/>
      <c r="L464" s="158" t="n"/>
    </row>
    <row r="465" ht="14.1" customHeight="1">
      <c r="K465" s="130" t="n"/>
      <c r="L465" s="158" t="n"/>
    </row>
    <row r="466" ht="14.1" customHeight="1">
      <c r="K466" s="130" t="n"/>
      <c r="L466" s="158" t="n"/>
    </row>
    <row r="467" ht="14.1" customHeight="1">
      <c r="K467" s="130" t="n"/>
      <c r="L467" s="158" t="n"/>
    </row>
    <row r="468" ht="14.1" customHeight="1">
      <c r="K468" s="130" t="n"/>
      <c r="L468" s="158" t="n"/>
    </row>
    <row r="469" ht="14.1" customHeight="1">
      <c r="K469" s="130" t="n"/>
      <c r="L469" s="158" t="n"/>
    </row>
    <row r="470" ht="14.1" customHeight="1">
      <c r="K470" s="130" t="n"/>
      <c r="L470" s="158" t="n"/>
    </row>
    <row r="471" ht="14.1" customHeight="1">
      <c r="K471" s="130" t="n"/>
      <c r="L471" s="158" t="n"/>
    </row>
    <row r="472" ht="14.1" customHeight="1">
      <c r="K472" s="130" t="n"/>
      <c r="L472" s="158" t="n"/>
    </row>
    <row r="473" ht="14.1" customHeight="1">
      <c r="K473" s="130" t="n"/>
      <c r="L473" s="158" t="n"/>
    </row>
    <row r="474" ht="14.1" customHeight="1">
      <c r="K474" s="130" t="n"/>
      <c r="L474" s="158" t="n"/>
    </row>
    <row r="475" ht="14.1" customHeight="1">
      <c r="K475" s="130" t="n"/>
      <c r="L475" s="158" t="n"/>
    </row>
    <row r="476" ht="14.1" customHeight="1">
      <c r="K476" s="130" t="n"/>
      <c r="L476" s="158" t="n"/>
    </row>
    <row r="477" ht="14.1" customHeight="1">
      <c r="K477" s="130" t="n"/>
      <c r="L477" s="158" t="n"/>
    </row>
    <row r="478" ht="14.1" customHeight="1">
      <c r="K478" s="130" t="n"/>
      <c r="L478" s="158" t="n"/>
    </row>
    <row r="479" ht="14.1" customHeight="1">
      <c r="K479" s="130" t="n"/>
      <c r="L479" s="158" t="n"/>
    </row>
    <row r="480" ht="14.1" customHeight="1">
      <c r="K480" s="158" t="n"/>
      <c r="L480" s="158" t="n"/>
    </row>
    <row r="481" ht="14.1" customHeight="1">
      <c r="K481" s="158" t="n"/>
      <c r="L481" s="158" t="n"/>
    </row>
    <row r="482" ht="14.1" customHeight="1">
      <c r="K482" s="158" t="n"/>
      <c r="L482" s="158" t="n"/>
    </row>
    <row r="483" ht="14.1" customHeight="1">
      <c r="K483" s="158" t="n"/>
      <c r="L483" s="158" t="n"/>
    </row>
    <row r="484" ht="14.1" customHeight="1">
      <c r="K484" s="158" t="n"/>
      <c r="L484" s="158" t="n"/>
    </row>
    <row r="485" ht="14.1" customHeight="1">
      <c r="K485" s="158" t="n"/>
      <c r="L485" s="158" t="n"/>
    </row>
    <row r="486" ht="14.1" customHeight="1">
      <c r="K486" s="158" t="n"/>
      <c r="L486" s="158" t="n"/>
    </row>
    <row r="487" ht="14.1" customHeight="1">
      <c r="K487" s="158" t="n"/>
      <c r="L487" s="158" t="n"/>
    </row>
    <row r="488" ht="14.1" customHeight="1">
      <c r="K488" s="158" t="n"/>
      <c r="L488" s="158" t="n"/>
    </row>
    <row r="489" ht="14.1" customHeight="1">
      <c r="K489" s="158" t="n"/>
      <c r="L489" s="158" t="n"/>
    </row>
    <row r="490" ht="14.1" customHeight="1">
      <c r="K490" s="158" t="n"/>
      <c r="L490" s="158" t="n"/>
    </row>
    <row r="491" ht="14.1" customHeight="1">
      <c r="K491" s="158" t="n"/>
      <c r="L491" s="158" t="n"/>
    </row>
    <row r="492" ht="14.1" customHeight="1">
      <c r="K492" s="158" t="n"/>
      <c r="L492" s="158" t="n"/>
    </row>
    <row r="493" ht="14.1" customHeight="1">
      <c r="K493" s="158" t="n"/>
      <c r="L493" s="158" t="n"/>
    </row>
    <row r="494" ht="14.1" customHeight="1">
      <c r="K494" s="158" t="n"/>
      <c r="L494" s="158" t="n"/>
    </row>
    <row r="495" ht="14.1" customHeight="1">
      <c r="K495" s="158" t="n"/>
      <c r="L495" s="158" t="n"/>
    </row>
    <row r="496" ht="14.1" customHeight="1">
      <c r="K496" s="158" t="n"/>
      <c r="L496" s="158" t="n"/>
    </row>
    <row r="497" ht="14.1" customHeight="1">
      <c r="K497" s="158" t="n"/>
      <c r="L497" s="158" t="n"/>
    </row>
    <row r="498" ht="14.1" customHeight="1">
      <c r="K498" s="158" t="n"/>
      <c r="L498" s="158" t="n"/>
    </row>
    <row r="499" ht="14.1" customHeight="1">
      <c r="K499" s="158" t="n"/>
      <c r="L499" s="158" t="n"/>
    </row>
    <row r="500" ht="14.1" customHeight="1">
      <c r="K500" s="158" t="n"/>
      <c r="L500" s="158" t="n"/>
    </row>
    <row r="501" ht="14.1" customHeight="1">
      <c r="K501" s="158" t="n"/>
      <c r="L501" s="158" t="n"/>
    </row>
    <row r="502" ht="14.1" customHeight="1">
      <c r="K502" s="158" t="n"/>
      <c r="L502" s="158" t="n"/>
    </row>
    <row r="503" ht="14.1" customHeight="1">
      <c r="K503" s="158" t="n"/>
      <c r="L503" s="158" t="n"/>
    </row>
    <row r="504" ht="14.1" customHeight="1">
      <c r="K504" s="158" t="n"/>
      <c r="L504" s="158" t="n"/>
    </row>
    <row r="505" ht="14.1" customHeight="1">
      <c r="K505" s="158" t="n"/>
      <c r="L505" s="158" t="n"/>
    </row>
    <row r="506" ht="14.1" customHeight="1">
      <c r="K506" s="158" t="n"/>
      <c r="L506" s="158" t="n"/>
    </row>
    <row r="507" ht="14.1" customHeight="1">
      <c r="K507" s="158" t="n"/>
      <c r="L507" s="158" t="n"/>
    </row>
    <row r="508" ht="14.1" customHeight="1">
      <c r="K508" s="158" t="n"/>
      <c r="L508" s="158" t="n"/>
    </row>
    <row r="509" ht="14.1" customHeight="1">
      <c r="K509" s="158" t="n"/>
      <c r="L509" s="158" t="n"/>
    </row>
    <row r="510" ht="14.1" customHeight="1">
      <c r="K510" s="158" t="n"/>
      <c r="L510" s="158" t="n"/>
    </row>
    <row r="511" ht="14.1" customHeight="1">
      <c r="K511" s="158" t="n"/>
      <c r="L511" s="158" t="n"/>
    </row>
    <row r="512" ht="14.1" customHeight="1">
      <c r="K512" s="158" t="n"/>
      <c r="L512" s="158" t="n"/>
    </row>
    <row r="513" ht="14.1" customHeight="1">
      <c r="K513" s="158" t="n"/>
      <c r="L513" s="158" t="n"/>
    </row>
    <row r="514" ht="14.1" customHeight="1">
      <c r="K514" s="158" t="n"/>
      <c r="L514" s="158" t="n"/>
    </row>
    <row r="515" ht="14.1" customHeight="1">
      <c r="K515" s="158" t="n"/>
      <c r="L515" s="158" t="n"/>
    </row>
    <row r="516" ht="14.1" customHeight="1">
      <c r="K516" s="158" t="n"/>
      <c r="L516" s="158" t="n"/>
    </row>
    <row r="517" ht="14.1" customHeight="1">
      <c r="K517" s="158" t="n"/>
      <c r="L517" s="158" t="n"/>
    </row>
    <row r="518" ht="14.1" customHeight="1">
      <c r="K518" s="158" t="n"/>
      <c r="L518" s="158" t="n"/>
    </row>
    <row r="519" ht="14.1" customHeight="1">
      <c r="K519" s="158" t="n"/>
      <c r="L519" s="158" t="n"/>
    </row>
    <row r="520" ht="14.1" customHeight="1">
      <c r="K520" s="158" t="n"/>
      <c r="L520" s="158" t="n"/>
    </row>
    <row r="521" ht="14.1" customHeight="1">
      <c r="K521" s="158" t="n"/>
      <c r="L521" s="158" t="n"/>
    </row>
    <row r="522" ht="14.1" customHeight="1">
      <c r="K522" s="158" t="n"/>
      <c r="L522" s="158" t="n"/>
    </row>
    <row r="523" ht="14.1" customHeight="1">
      <c r="K523" s="158" t="n"/>
      <c r="L523" s="158" t="n"/>
    </row>
    <row r="524" ht="14.1" customHeight="1">
      <c r="K524" s="158" t="n"/>
      <c r="L524" s="158" t="n"/>
    </row>
    <row r="525" ht="14.1" customHeight="1">
      <c r="K525" s="158" t="n"/>
      <c r="L525" s="158" t="n"/>
    </row>
    <row r="526" ht="14.1" customHeight="1">
      <c r="K526" s="158" t="n"/>
      <c r="L526" s="158" t="n"/>
    </row>
    <row r="527" ht="14.1" customHeight="1">
      <c r="K527" s="158" t="n"/>
      <c r="L527" s="158" t="n"/>
    </row>
    <row r="528" ht="14.1" customHeight="1">
      <c r="K528" s="158" t="n"/>
      <c r="L528" s="158" t="n"/>
    </row>
    <row r="529" ht="14.1" customHeight="1">
      <c r="K529" s="158" t="n"/>
      <c r="L529" s="158" t="n"/>
    </row>
    <row r="530" ht="14.1" customHeight="1">
      <c r="K530" s="158" t="n"/>
      <c r="L530" s="158" t="n"/>
    </row>
    <row r="531" ht="14.1" customHeight="1">
      <c r="K531" s="158" t="n"/>
      <c r="L531" s="158" t="n"/>
    </row>
    <row r="532" ht="14.1" customHeight="1">
      <c r="K532" s="158" t="n"/>
      <c r="L532" s="158" t="n"/>
    </row>
    <row r="533" ht="14.1" customHeight="1">
      <c r="K533" s="158" t="n"/>
      <c r="L533" s="158" t="n"/>
    </row>
    <row r="534" ht="14.1" customHeight="1">
      <c r="K534" s="158" t="n"/>
      <c r="L534" s="158" t="n"/>
    </row>
    <row r="535" ht="14.1" customHeight="1">
      <c r="K535" s="158" t="n"/>
      <c r="L535" s="158" t="n"/>
    </row>
    <row r="536" ht="14.1" customHeight="1">
      <c r="K536" s="158" t="n"/>
      <c r="L536" s="158" t="n"/>
    </row>
    <row r="537" ht="14.1" customHeight="1">
      <c r="K537" s="158" t="n"/>
      <c r="L537" s="158" t="n"/>
    </row>
    <row r="538" ht="14.1" customHeight="1">
      <c r="K538" s="158" t="n"/>
      <c r="L538" s="158" t="n"/>
    </row>
    <row r="539" ht="14.1" customHeight="1">
      <c r="K539" s="158" t="n"/>
      <c r="L539" s="158" t="n"/>
    </row>
    <row r="540" ht="14.1" customHeight="1">
      <c r="K540" s="158" t="n"/>
      <c r="L540" s="158" t="n"/>
    </row>
    <row r="541" ht="14.1" customHeight="1">
      <c r="K541" s="158" t="n"/>
      <c r="L541" s="158" t="n"/>
    </row>
    <row r="542" ht="14.1" customHeight="1">
      <c r="K542" s="158" t="n"/>
      <c r="L542" s="158" t="n"/>
    </row>
    <row r="543" ht="14.1" customHeight="1">
      <c r="K543" s="158" t="n"/>
      <c r="L543" s="158" t="n"/>
    </row>
    <row r="544" ht="14.1" customHeight="1">
      <c r="K544" s="158" t="n"/>
      <c r="L544" s="158" t="n"/>
    </row>
    <row r="545" ht="14.1" customHeight="1">
      <c r="K545" s="158" t="n"/>
      <c r="L545" s="158" t="n"/>
    </row>
    <row r="546" ht="14.1" customHeight="1">
      <c r="K546" s="158" t="n"/>
      <c r="L546" s="158" t="n"/>
    </row>
    <row r="547" ht="14.1" customHeight="1">
      <c r="K547" s="158" t="n"/>
      <c r="L547" s="158" t="n"/>
    </row>
    <row r="548" ht="14.1" customHeight="1">
      <c r="K548" s="158" t="n"/>
      <c r="L548" s="158" t="n"/>
    </row>
    <row r="549" ht="14.1" customHeight="1">
      <c r="K549" s="158" t="n"/>
      <c r="L549" s="158" t="n"/>
    </row>
    <row r="550" ht="14.1" customHeight="1">
      <c r="K550" s="158" t="n"/>
      <c r="L550" s="158" t="n"/>
    </row>
    <row r="551" ht="14.1" customHeight="1">
      <c r="K551" s="158" t="n"/>
      <c r="L551" s="158" t="n"/>
    </row>
    <row r="552" ht="14.1" customHeight="1">
      <c r="K552" s="158" t="n"/>
      <c r="L552" s="158" t="n"/>
    </row>
    <row r="553" ht="14.1" customHeight="1">
      <c r="K553" s="158" t="n"/>
      <c r="L553" s="158" t="n"/>
    </row>
    <row r="554" ht="14.1" customHeight="1">
      <c r="K554" s="158" t="n"/>
      <c r="L554" s="158" t="n"/>
    </row>
    <row r="555" ht="14.1" customHeight="1">
      <c r="K555" s="158" t="n"/>
      <c r="L555" s="158" t="n"/>
    </row>
    <row r="556" ht="14.1" customHeight="1">
      <c r="K556" s="158" t="n"/>
      <c r="L556" s="158" t="n"/>
    </row>
    <row r="557" ht="14.1" customHeight="1">
      <c r="K557" s="158" t="n"/>
      <c r="L557" s="158" t="n"/>
    </row>
    <row r="558" ht="14.1" customHeight="1">
      <c r="K558" s="158" t="n"/>
      <c r="L558" s="158" t="n"/>
    </row>
    <row r="559" ht="14.1" customHeight="1">
      <c r="K559" s="158" t="n"/>
      <c r="L559" s="158" t="n"/>
    </row>
    <row r="560" ht="14.1" customHeight="1">
      <c r="K560" s="158" t="n"/>
      <c r="L560" s="158" t="n"/>
    </row>
    <row r="561" ht="14.1" customHeight="1">
      <c r="K561" s="158" t="n"/>
      <c r="L561" s="158" t="n"/>
    </row>
    <row r="562" ht="14.1" customHeight="1">
      <c r="K562" s="158" t="n"/>
      <c r="L562" s="158" t="n"/>
    </row>
    <row r="563" ht="14.1" customHeight="1">
      <c r="K563" s="158" t="n"/>
      <c r="L563" s="158" t="n"/>
    </row>
    <row r="564" ht="14.1" customHeight="1">
      <c r="K564" s="158" t="n"/>
      <c r="L564" s="158" t="n"/>
    </row>
    <row r="565" ht="14.1" customHeight="1">
      <c r="K565" s="158" t="n"/>
      <c r="L565" s="158" t="n"/>
    </row>
    <row r="566" ht="14.1" customHeight="1">
      <c r="K566" s="158" t="n"/>
      <c r="L566" s="158" t="n"/>
    </row>
    <row r="567" ht="14.1" customHeight="1">
      <c r="K567" s="158" t="n"/>
      <c r="L567" s="158" t="n"/>
    </row>
    <row r="568" ht="14.1" customHeight="1">
      <c r="K568" s="158" t="n"/>
      <c r="L568" s="158" t="n"/>
    </row>
    <row r="569" ht="14.1" customHeight="1">
      <c r="K569" s="158" t="n"/>
      <c r="L569" s="158" t="n"/>
    </row>
    <row r="570" ht="14.1" customHeight="1">
      <c r="K570" s="158" t="n"/>
      <c r="L570" s="158" t="n"/>
    </row>
    <row r="571" ht="14.1" customHeight="1">
      <c r="K571" s="158" t="n"/>
      <c r="L571" s="158" t="n"/>
    </row>
    <row r="572" ht="14.1" customHeight="1">
      <c r="K572" s="158" t="n"/>
      <c r="L572" s="158" t="n"/>
    </row>
    <row r="573" ht="14.1" customHeight="1">
      <c r="K573" s="158" t="n"/>
      <c r="L573" s="158" t="n"/>
    </row>
    <row r="574" ht="14.1" customHeight="1">
      <c r="K574" s="158" t="n"/>
      <c r="L574" s="158" t="n"/>
    </row>
    <row r="575" ht="14.1" customHeight="1">
      <c r="K575" s="158" t="n"/>
      <c r="L575" s="158" t="n"/>
    </row>
    <row r="576" ht="14.1" customHeight="1">
      <c r="K576" s="158" t="n"/>
      <c r="L576" s="158" t="n"/>
    </row>
    <row r="577" ht="14.1" customHeight="1">
      <c r="K577" s="158" t="n"/>
      <c r="L577" s="158" t="n"/>
    </row>
    <row r="578" ht="14.1" customHeight="1">
      <c r="K578" s="158" t="n"/>
      <c r="L578" s="158" t="n"/>
    </row>
    <row r="579" ht="14.1" customHeight="1">
      <c r="K579" s="158" t="n"/>
      <c r="L579" s="158" t="n"/>
    </row>
    <row r="580" ht="14.1" customHeight="1">
      <c r="K580" s="158" t="n"/>
      <c r="L580" s="158" t="n"/>
    </row>
    <row r="581" ht="14.1" customHeight="1">
      <c r="K581" s="158" t="n"/>
      <c r="L581" s="158" t="n"/>
    </row>
    <row r="582" ht="14.1" customHeight="1">
      <c r="K582" s="158" t="n"/>
      <c r="L582" s="158" t="n"/>
    </row>
    <row r="583" ht="14.1" customHeight="1">
      <c r="K583" s="158" t="n"/>
      <c r="L583" s="158" t="n"/>
    </row>
    <row r="584" ht="14.1" customHeight="1">
      <c r="K584" s="158" t="n"/>
      <c r="L584" s="158" t="n"/>
    </row>
    <row r="585" ht="14.1" customHeight="1">
      <c r="K585" s="158" t="n"/>
      <c r="L585" s="158" t="n"/>
    </row>
    <row r="586" ht="14.1" customHeight="1">
      <c r="K586" s="158" t="n"/>
      <c r="L586" s="158" t="n"/>
    </row>
    <row r="587" ht="14.1" customHeight="1">
      <c r="K587" s="158" t="n"/>
      <c r="L587" s="158" t="n"/>
    </row>
    <row r="588" ht="14.1" customHeight="1">
      <c r="K588" s="158" t="n"/>
      <c r="L588" s="158" t="n"/>
    </row>
    <row r="589" ht="14.1" customHeight="1">
      <c r="K589" s="158" t="n"/>
      <c r="L589" s="158" t="n"/>
    </row>
    <row r="590" ht="14.1" customHeight="1">
      <c r="K590" s="158" t="n"/>
      <c r="L590" s="158" t="n"/>
    </row>
    <row r="591" ht="14.1" customHeight="1">
      <c r="K591" s="158" t="n"/>
      <c r="L591" s="158" t="n"/>
    </row>
    <row r="592" ht="14.1" customHeight="1">
      <c r="K592" s="158" t="n"/>
      <c r="L592" s="158" t="n"/>
    </row>
    <row r="593" ht="14.1" customHeight="1">
      <c r="K593" s="158" t="n"/>
      <c r="L593" s="158" t="n"/>
    </row>
    <row r="594" ht="14.1" customHeight="1">
      <c r="K594" s="158" t="n"/>
      <c r="L594" s="158" t="n"/>
    </row>
    <row r="595" ht="14.1" customHeight="1">
      <c r="K595" s="158" t="n"/>
      <c r="L595" s="158" t="n"/>
    </row>
    <row r="596" ht="14.1" customHeight="1">
      <c r="K596" s="158" t="n"/>
      <c r="L596" s="158" t="n"/>
    </row>
    <row r="597" ht="14.1" customHeight="1">
      <c r="K597" s="158" t="n"/>
      <c r="L597" s="158" t="n"/>
    </row>
    <row r="598" ht="14.1" customHeight="1">
      <c r="K598" s="158" t="n"/>
      <c r="L598" s="158" t="n"/>
    </row>
    <row r="599" ht="14.1" customHeight="1">
      <c r="K599" s="158" t="n"/>
      <c r="L599" s="158" t="n"/>
    </row>
    <row r="600" ht="14.1" customHeight="1">
      <c r="K600" s="158" t="n"/>
      <c r="L600" s="158" t="n"/>
    </row>
    <row r="601" ht="14.1" customHeight="1">
      <c r="K601" s="158" t="n"/>
      <c r="L601" s="158" t="n"/>
    </row>
    <row r="602" ht="14.1" customHeight="1">
      <c r="K602" s="158" t="n"/>
      <c r="L602" s="158" t="n"/>
    </row>
    <row r="603" ht="14.1" customHeight="1">
      <c r="K603" s="158" t="n"/>
      <c r="L603" s="158" t="n"/>
    </row>
    <row r="604" ht="14.1" customHeight="1">
      <c r="K604" s="158" t="n"/>
      <c r="L604" s="158" t="n"/>
    </row>
    <row r="605" ht="14.1" customHeight="1">
      <c r="K605" s="158" t="n"/>
      <c r="L605" s="158" t="n"/>
    </row>
    <row r="606" ht="14.1" customHeight="1">
      <c r="K606" s="158" t="n"/>
      <c r="L606" s="158" t="n"/>
    </row>
    <row r="607" ht="14.1" customHeight="1">
      <c r="K607" s="158" t="n"/>
      <c r="L607" s="158" t="n"/>
    </row>
    <row r="608" ht="14.1" customHeight="1">
      <c r="K608" s="158" t="n"/>
      <c r="L608" s="158" t="n"/>
    </row>
    <row r="609" ht="14.1" customHeight="1">
      <c r="K609" s="158" t="n"/>
      <c r="L609" s="158" t="n"/>
    </row>
    <row r="610" ht="14.1" customHeight="1">
      <c r="K610" s="158" t="n"/>
      <c r="L610" s="158" t="n"/>
    </row>
    <row r="611" ht="14.1" customHeight="1">
      <c r="K611" s="158" t="n"/>
      <c r="L611" s="158" t="n"/>
    </row>
    <row r="612" ht="14.1" customHeight="1">
      <c r="K612" s="158" t="n"/>
      <c r="L612" s="158" t="n"/>
    </row>
    <row r="613" ht="14.1" customHeight="1">
      <c r="K613" s="158" t="n"/>
      <c r="L613" s="158" t="n"/>
    </row>
    <row r="614" ht="14.1" customHeight="1">
      <c r="K614" s="158" t="n"/>
      <c r="L614" s="158" t="n"/>
    </row>
    <row r="615" ht="14.1" customHeight="1">
      <c r="K615" s="158" t="n"/>
      <c r="L615" s="158" t="n"/>
    </row>
    <row r="616" ht="14.1" customHeight="1">
      <c r="K616" s="158" t="n"/>
      <c r="L616" s="158" t="n"/>
    </row>
    <row r="617" ht="14.1" customHeight="1">
      <c r="K617" s="158" t="n"/>
      <c r="L617" s="158" t="n"/>
    </row>
    <row r="618" ht="14.1" customHeight="1">
      <c r="K618" s="158" t="n"/>
      <c r="L618" s="158" t="n"/>
    </row>
    <row r="619" ht="14.1" customHeight="1">
      <c r="K619" s="158" t="n"/>
      <c r="L619" s="158" t="n"/>
    </row>
    <row r="620" ht="14.1" customHeight="1">
      <c r="K620" s="158" t="n"/>
      <c r="L620" s="158" t="n"/>
    </row>
    <row r="621" ht="14.1" customHeight="1">
      <c r="K621" s="158" t="n"/>
      <c r="L621" s="158" t="n"/>
    </row>
    <row r="622" ht="14.1" customHeight="1">
      <c r="K622" s="158" t="n"/>
      <c r="L622" s="158" t="n"/>
    </row>
    <row r="623" ht="14.1" customHeight="1">
      <c r="K623" s="158" t="n"/>
      <c r="L623" s="158" t="n"/>
    </row>
    <row r="624" ht="14.1" customHeight="1">
      <c r="K624" s="158" t="n"/>
      <c r="L624" s="158" t="n"/>
    </row>
    <row r="625" ht="14.1" customHeight="1">
      <c r="K625" s="158" t="n"/>
      <c r="L625" s="158" t="n"/>
    </row>
    <row r="626" ht="14.1" customHeight="1">
      <c r="K626" s="158" t="n"/>
      <c r="L626" s="158" t="n"/>
    </row>
    <row r="627" ht="14.1" customHeight="1">
      <c r="K627" s="158" t="n"/>
      <c r="L627" s="158" t="n"/>
    </row>
    <row r="628" ht="14.1" customHeight="1">
      <c r="K628" s="158" t="n"/>
      <c r="L628" s="158" t="n"/>
    </row>
    <row r="629" ht="14.1" customHeight="1">
      <c r="K629" s="158" t="n"/>
      <c r="L629" s="158" t="n"/>
    </row>
    <row r="630" ht="14.1" customHeight="1">
      <c r="K630" s="158" t="n"/>
      <c r="L630" s="158" t="n"/>
    </row>
    <row r="631" ht="14.1" customHeight="1">
      <c r="K631" s="158" t="n"/>
      <c r="L631" s="158" t="n"/>
    </row>
    <row r="632" ht="14.1" customHeight="1">
      <c r="K632" s="158" t="n"/>
      <c r="L632" s="158" t="n"/>
    </row>
    <row r="633" ht="14.1" customHeight="1">
      <c r="K633" s="158" t="n"/>
      <c r="L633" s="158" t="n"/>
    </row>
    <row r="634" ht="14.1" customHeight="1">
      <c r="K634" s="158" t="n"/>
      <c r="L634" s="158" t="n"/>
    </row>
    <row r="635" ht="14.1" customHeight="1">
      <c r="K635" s="158" t="n"/>
      <c r="L635" s="158" t="n"/>
    </row>
    <row r="636" ht="14.1" customHeight="1">
      <c r="K636" s="158" t="n"/>
      <c r="L636" s="158" t="n"/>
    </row>
    <row r="637" ht="14.1" customHeight="1">
      <c r="K637" s="158" t="n"/>
      <c r="L637" s="158" t="n"/>
    </row>
    <row r="638" ht="14.1" customHeight="1">
      <c r="K638" s="158" t="n"/>
      <c r="L638" s="158" t="n"/>
    </row>
    <row r="639" ht="14.1" customHeight="1">
      <c r="K639" s="158" t="n"/>
      <c r="L639" s="158" t="n"/>
    </row>
    <row r="640" ht="14.1" customHeight="1">
      <c r="K640" s="158" t="n"/>
      <c r="L640" s="158" t="n"/>
    </row>
    <row r="641" ht="14.1" customHeight="1">
      <c r="K641" s="158" t="n"/>
      <c r="L641" s="158" t="n"/>
    </row>
    <row r="642" ht="14.1" customHeight="1">
      <c r="K642" s="158" t="n"/>
      <c r="L642" s="158" t="n"/>
    </row>
    <row r="643" ht="14.1" customHeight="1">
      <c r="K643" s="158" t="n"/>
      <c r="L643" s="158" t="n"/>
    </row>
    <row r="644" ht="14.1" customHeight="1">
      <c r="K644" s="158" t="n"/>
      <c r="L644" s="158" t="n"/>
    </row>
    <row r="645" ht="14.1" customHeight="1">
      <c r="K645" s="158" t="n"/>
      <c r="L645" s="158" t="n"/>
    </row>
    <row r="646" ht="14.1" customHeight="1">
      <c r="K646" s="158" t="n"/>
      <c r="L646" s="158" t="n"/>
    </row>
    <row r="647" ht="14.1" customHeight="1">
      <c r="K647" s="158" t="n"/>
      <c r="L647" s="158" t="n"/>
    </row>
    <row r="648" ht="14.1" customHeight="1">
      <c r="K648" s="158" t="n"/>
      <c r="L648" s="158" t="n"/>
    </row>
    <row r="649" ht="14.1" customHeight="1">
      <c r="K649" s="158" t="n"/>
      <c r="L649" s="158" t="n"/>
    </row>
    <row r="650" ht="14.1" customHeight="1">
      <c r="K650" s="158" t="n"/>
      <c r="L650" s="158" t="n"/>
    </row>
    <row r="651" ht="14.1" customHeight="1">
      <c r="K651" s="158" t="n"/>
      <c r="L651" s="158" t="n"/>
    </row>
    <row r="652" ht="14.1" customHeight="1">
      <c r="K652" s="158" t="n"/>
      <c r="L652" s="158" t="n"/>
    </row>
    <row r="653" ht="14.1" customHeight="1">
      <c r="K653" s="158" t="n"/>
      <c r="L653" s="158" t="n"/>
    </row>
    <row r="654" ht="14.1" customHeight="1">
      <c r="K654" s="158" t="n"/>
      <c r="L654" s="158" t="n"/>
    </row>
    <row r="655" ht="14.1" customHeight="1">
      <c r="K655" s="158" t="n"/>
      <c r="L655" s="158" t="n"/>
    </row>
    <row r="656" ht="14.1" customHeight="1">
      <c r="K656" s="158" t="n"/>
      <c r="L656" s="158" t="n"/>
    </row>
    <row r="657" ht="14.1" customHeight="1">
      <c r="K657" s="158" t="n"/>
      <c r="L657" s="158" t="n"/>
    </row>
    <row r="658" ht="14.1" customHeight="1">
      <c r="K658" s="158" t="n"/>
      <c r="L658" s="158" t="n"/>
    </row>
    <row r="659" ht="14.1" customHeight="1">
      <c r="K659" s="158" t="n"/>
      <c r="L659" s="158" t="n"/>
    </row>
    <row r="660" ht="14.1" customHeight="1">
      <c r="K660" s="158" t="n"/>
      <c r="L660" s="158" t="n"/>
    </row>
    <row r="661" ht="14.1" customHeight="1">
      <c r="K661" s="158" t="n"/>
      <c r="L661" s="158" t="n"/>
    </row>
    <row r="662" ht="14.1" customHeight="1">
      <c r="K662" s="158" t="n"/>
      <c r="L662" s="158" t="n"/>
    </row>
    <row r="663" ht="14.1" customHeight="1">
      <c r="K663" s="158" t="n"/>
      <c r="L663" s="158" t="n"/>
    </row>
    <row r="664" ht="14.1" customHeight="1">
      <c r="K664" s="158" t="n"/>
      <c r="L664" s="158" t="n"/>
    </row>
    <row r="665" ht="14.1" customHeight="1">
      <c r="K665" s="158" t="n"/>
      <c r="L665" s="158" t="n"/>
    </row>
    <row r="666" ht="14.1" customHeight="1">
      <c r="K666" s="158" t="n"/>
      <c r="L666" s="158" t="n"/>
    </row>
    <row r="667" ht="14.1" customHeight="1">
      <c r="K667" s="158" t="n"/>
      <c r="L667" s="158" t="n"/>
    </row>
    <row r="668" ht="14.1" customHeight="1">
      <c r="K668" s="158" t="n"/>
      <c r="L668" s="158" t="n"/>
    </row>
    <row r="669" ht="14.1" customHeight="1">
      <c r="K669" s="158" t="n"/>
      <c r="L669" s="158" t="n"/>
    </row>
    <row r="670" ht="14.1" customHeight="1">
      <c r="K670" s="158" t="n"/>
      <c r="L670" s="158" t="n"/>
    </row>
    <row r="671" ht="14.1" customHeight="1">
      <c r="K671" s="158" t="n"/>
      <c r="L671" s="158" t="n"/>
    </row>
    <row r="672" ht="14.1" customHeight="1">
      <c r="K672" s="158" t="n"/>
      <c r="L672" s="158" t="n"/>
    </row>
    <row r="673" ht="14.1" customHeight="1">
      <c r="K673" s="158" t="n"/>
      <c r="L673" s="158" t="n"/>
    </row>
    <row r="674" ht="14.1" customHeight="1">
      <c r="K674" s="158" t="n"/>
      <c r="L674" s="158" t="n"/>
    </row>
    <row r="675" ht="14.1" customHeight="1">
      <c r="K675" s="158" t="n"/>
      <c r="L675" s="158" t="n"/>
    </row>
    <row r="676" ht="14.1" customHeight="1">
      <c r="K676" s="158" t="n"/>
      <c r="L676" s="158" t="n"/>
    </row>
    <row r="677" ht="14.1" customHeight="1">
      <c r="K677" s="158" t="n"/>
      <c r="L677" s="158" t="n"/>
    </row>
    <row r="678" ht="14.1" customHeight="1">
      <c r="K678" s="158" t="n"/>
      <c r="L678" s="158" t="n"/>
    </row>
    <row r="679" ht="14.1" customHeight="1">
      <c r="K679" s="158" t="n"/>
      <c r="L679" s="158" t="n"/>
    </row>
    <row r="680" ht="14.1" customHeight="1">
      <c r="K680" s="158" t="n"/>
      <c r="L680" s="158" t="n"/>
    </row>
    <row r="681" ht="14.1" customHeight="1">
      <c r="K681" s="158" t="n"/>
      <c r="L681" s="158" t="n"/>
    </row>
    <row r="682" ht="14.1" customHeight="1">
      <c r="K682" s="158" t="n"/>
      <c r="L682" s="158" t="n"/>
    </row>
    <row r="683" ht="14.1" customHeight="1">
      <c r="K683" s="158" t="n"/>
      <c r="L683" s="158" t="n"/>
    </row>
    <row r="684" ht="14.1" customHeight="1">
      <c r="K684" s="158" t="n"/>
      <c r="L684" s="158" t="n"/>
    </row>
    <row r="685" ht="14.1" customHeight="1">
      <c r="K685" s="158" t="n"/>
      <c r="L685" s="158" t="n"/>
    </row>
    <row r="686" ht="14.1" customHeight="1">
      <c r="K686" s="158" t="n"/>
      <c r="L686" s="158" t="n"/>
    </row>
    <row r="687" ht="14.1" customHeight="1">
      <c r="K687" s="158" t="n"/>
      <c r="L687" s="158" t="n"/>
    </row>
    <row r="688" ht="14.1" customHeight="1">
      <c r="K688" s="158" t="n"/>
      <c r="L688" s="158" t="n"/>
    </row>
    <row r="689" ht="14.1" customHeight="1">
      <c r="K689" s="158" t="n"/>
      <c r="L689" s="158" t="n"/>
    </row>
    <row r="690" ht="14.1" customHeight="1">
      <c r="K690" s="158" t="n"/>
      <c r="L690" s="158" t="n"/>
    </row>
    <row r="691" ht="14.1" customHeight="1">
      <c r="K691" s="158" t="n"/>
      <c r="L691" s="158" t="n"/>
    </row>
    <row r="692" ht="14.1" customHeight="1">
      <c r="K692" s="158" t="n"/>
      <c r="L692" s="158" t="n"/>
    </row>
    <row r="693" ht="14.1" customHeight="1">
      <c r="K693" s="158" t="n"/>
      <c r="L693" s="158" t="n"/>
    </row>
    <row r="694" ht="14.1" customHeight="1">
      <c r="K694" s="158" t="n"/>
      <c r="L694" s="158" t="n"/>
    </row>
    <row r="695" ht="14.1" customHeight="1">
      <c r="K695" s="158" t="n"/>
      <c r="L695" s="158" t="n"/>
    </row>
    <row r="696" ht="14.1" customHeight="1">
      <c r="K696" s="158" t="n"/>
      <c r="L696" s="158" t="n"/>
    </row>
    <row r="697" ht="14.1" customHeight="1">
      <c r="K697" s="158" t="n"/>
      <c r="L697" s="158" t="n"/>
    </row>
    <row r="698" ht="14.1" customHeight="1">
      <c r="K698" s="158" t="n"/>
      <c r="L698" s="158" t="n"/>
    </row>
    <row r="699" ht="14.1" customHeight="1">
      <c r="K699" s="158" t="n"/>
      <c r="L699" s="158" t="n"/>
    </row>
    <row r="700" ht="14.1" customHeight="1">
      <c r="K700" s="158" t="n"/>
      <c r="L700" s="158" t="n"/>
    </row>
    <row r="701" ht="14.1" customHeight="1">
      <c r="K701" s="158" t="n"/>
      <c r="L701" s="158" t="n"/>
    </row>
    <row r="702" ht="14.1" customHeight="1">
      <c r="K702" s="158" t="n"/>
      <c r="L702" s="158" t="n"/>
    </row>
    <row r="703" ht="14.1" customHeight="1">
      <c r="K703" s="158" t="n"/>
      <c r="L703" s="158" t="n"/>
    </row>
    <row r="704" ht="14.1" customHeight="1">
      <c r="K704" s="158" t="n"/>
      <c r="L704" s="158" t="n"/>
    </row>
    <row r="705" ht="14.1" customHeight="1">
      <c r="K705" s="158" t="n"/>
      <c r="L705" s="158" t="n"/>
    </row>
    <row r="706" ht="14.1" customHeight="1">
      <c r="K706" s="158" t="n"/>
      <c r="L706" s="158" t="n"/>
    </row>
    <row r="707" ht="14.1" customHeight="1">
      <c r="K707" s="158" t="n"/>
      <c r="L707" s="158" t="n"/>
    </row>
    <row r="708" ht="14.1" customHeight="1">
      <c r="K708" s="158" t="n"/>
      <c r="L708" s="158" t="n"/>
    </row>
    <row r="709" ht="14.1" customHeight="1">
      <c r="K709" s="158" t="n"/>
      <c r="L709" s="158" t="n"/>
    </row>
    <row r="710" ht="14.1" customHeight="1">
      <c r="K710" s="158" t="n"/>
      <c r="L710" s="158" t="n"/>
    </row>
    <row r="711" ht="14.1" customHeight="1">
      <c r="K711" s="158" t="n"/>
      <c r="L711" s="158" t="n"/>
    </row>
    <row r="712" ht="14.1" customHeight="1">
      <c r="K712" s="158" t="n"/>
      <c r="L712" s="158" t="n"/>
    </row>
    <row r="713" ht="14.1" customHeight="1">
      <c r="K713" s="158" t="n"/>
      <c r="L713" s="158" t="n"/>
    </row>
    <row r="714" ht="14.1" customHeight="1">
      <c r="K714" s="158" t="n"/>
      <c r="L714" s="158" t="n"/>
    </row>
    <row r="715" ht="14.1" customHeight="1">
      <c r="K715" s="158" t="n"/>
      <c r="L715" s="158" t="n"/>
    </row>
    <row r="716" ht="14.1" customHeight="1">
      <c r="K716" s="158" t="n"/>
      <c r="L716" s="158" t="n"/>
    </row>
    <row r="717" ht="14.1" customHeight="1">
      <c r="K717" s="158" t="n"/>
      <c r="L717" s="158" t="n"/>
    </row>
    <row r="718" ht="14.1" customHeight="1">
      <c r="K718" s="158" t="n"/>
      <c r="L718" s="158" t="n"/>
    </row>
    <row r="719" ht="14.1" customHeight="1">
      <c r="K719" s="158" t="n"/>
      <c r="L719" s="158" t="n"/>
    </row>
    <row r="720" ht="14.1" customHeight="1">
      <c r="K720" s="158" t="n"/>
      <c r="L720" s="158" t="n"/>
    </row>
    <row r="721" ht="14.1" customHeight="1">
      <c r="K721" s="158" t="n"/>
      <c r="L721" s="158" t="n"/>
    </row>
    <row r="722" ht="14.1" customHeight="1">
      <c r="K722" s="158" t="n"/>
      <c r="L722" s="158" t="n"/>
    </row>
    <row r="723" ht="14.1" customHeight="1">
      <c r="K723" s="158" t="n"/>
      <c r="L723" s="158" t="n"/>
    </row>
    <row r="724" ht="14.1" customHeight="1">
      <c r="K724" s="158" t="n"/>
      <c r="L724" s="158" t="n"/>
    </row>
    <row r="725" ht="14.1" customHeight="1">
      <c r="K725" s="158" t="n"/>
      <c r="L725" s="158" t="n"/>
    </row>
    <row r="726" ht="14.1" customHeight="1">
      <c r="K726" s="158" t="n"/>
      <c r="L726" s="158" t="n"/>
    </row>
    <row r="727" ht="14.1" customHeight="1">
      <c r="K727" s="158" t="n"/>
      <c r="L727" s="158" t="n"/>
    </row>
    <row r="728" ht="14.1" customHeight="1">
      <c r="K728" s="158" t="n"/>
      <c r="L728" s="158" t="n"/>
    </row>
    <row r="729" ht="14.1" customHeight="1">
      <c r="K729" s="158" t="n"/>
      <c r="L729" s="158" t="n"/>
    </row>
    <row r="730" ht="14.1" customHeight="1">
      <c r="K730" s="158" t="n"/>
      <c r="L730" s="158" t="n"/>
    </row>
    <row r="731" ht="14.1" customHeight="1">
      <c r="K731" s="158" t="n"/>
      <c r="L731" s="158" t="n"/>
    </row>
    <row r="732" ht="14.1" customHeight="1">
      <c r="K732" s="158" t="n"/>
      <c r="L732" s="158" t="n"/>
    </row>
    <row r="733" ht="14.1" customHeight="1">
      <c r="K733" s="158" t="n"/>
      <c r="L733" s="158" t="n"/>
    </row>
    <row r="734" ht="14.1" customHeight="1">
      <c r="K734" s="158" t="n"/>
      <c r="L734" s="158" t="n"/>
    </row>
    <row r="735" ht="14.1" customHeight="1">
      <c r="K735" s="158" t="n"/>
      <c r="L735" s="158" t="n"/>
    </row>
    <row r="736" ht="14.1" customHeight="1">
      <c r="K736" s="158" t="n"/>
      <c r="L736" s="158" t="n"/>
    </row>
    <row r="737" ht="14.1" customHeight="1">
      <c r="K737" s="158" t="n"/>
      <c r="L737" s="158" t="n"/>
    </row>
    <row r="738" ht="14.1" customHeight="1">
      <c r="K738" s="158" t="n"/>
      <c r="L738" s="158" t="n"/>
    </row>
    <row r="739" ht="14.1" customHeight="1">
      <c r="K739" s="158" t="n"/>
      <c r="L739" s="158" t="n"/>
    </row>
    <row r="740" ht="14.1" customHeight="1">
      <c r="K740" s="158" t="n"/>
      <c r="L740" s="158" t="n"/>
    </row>
    <row r="741" ht="14.1" customHeight="1">
      <c r="K741" s="158" t="n"/>
      <c r="L741" s="158" t="n"/>
    </row>
    <row r="742" ht="14.1" customHeight="1">
      <c r="K742" s="158" t="n"/>
      <c r="L742" s="158" t="n"/>
    </row>
    <row r="743" ht="14.1" customHeight="1">
      <c r="K743" s="158" t="n"/>
      <c r="L743" s="158" t="n"/>
    </row>
    <row r="744" ht="14.1" customHeight="1">
      <c r="K744" s="158" t="n"/>
      <c r="L744" s="158" t="n"/>
    </row>
    <row r="745" ht="14.1" customHeight="1">
      <c r="K745" s="158" t="n"/>
      <c r="L745" s="158" t="n"/>
    </row>
    <row r="746" ht="14.1" customHeight="1">
      <c r="K746" s="158" t="n"/>
      <c r="L746" s="158" t="n"/>
    </row>
    <row r="747" ht="14.1" customHeight="1">
      <c r="K747" s="158" t="n"/>
      <c r="L747" s="158" t="n"/>
    </row>
    <row r="748" ht="14.1" customHeight="1">
      <c r="K748" s="158" t="n"/>
      <c r="L748" s="158" t="n"/>
    </row>
    <row r="749" ht="14.1" customHeight="1">
      <c r="K749" s="158" t="n"/>
      <c r="L749" s="158" t="n"/>
    </row>
    <row r="750" ht="14.1" customHeight="1">
      <c r="K750" s="158" t="n"/>
      <c r="L750" s="158" t="n"/>
    </row>
    <row r="751" ht="14.1" customHeight="1">
      <c r="K751" s="158" t="n"/>
      <c r="L751" s="158" t="n"/>
    </row>
    <row r="752" ht="14.1" customHeight="1">
      <c r="K752" s="158" t="n"/>
      <c r="L752" s="158" t="n"/>
    </row>
    <row r="753" ht="14.1" customHeight="1">
      <c r="K753" s="158" t="n"/>
      <c r="L753" s="158" t="n"/>
    </row>
    <row r="754" ht="14.1" customHeight="1">
      <c r="K754" s="158" t="n"/>
      <c r="L754" s="158" t="n"/>
    </row>
    <row r="755" ht="14.1" customHeight="1">
      <c r="K755" s="158" t="n"/>
      <c r="L755" s="158" t="n"/>
    </row>
    <row r="756" ht="14.1" customHeight="1">
      <c r="K756" s="158" t="n"/>
      <c r="L756" s="158" t="n"/>
    </row>
    <row r="757" ht="14.1" customHeight="1">
      <c r="K757" s="158" t="n"/>
      <c r="L757" s="158" t="n"/>
    </row>
    <row r="758" ht="14.1" customHeight="1">
      <c r="K758" s="158" t="n"/>
      <c r="L758" s="158" t="n"/>
    </row>
    <row r="759" ht="14.1" customHeight="1">
      <c r="K759" s="158" t="n"/>
      <c r="L759" s="158" t="n"/>
    </row>
    <row r="760" ht="14.1" customHeight="1">
      <c r="K760" s="158" t="n"/>
      <c r="L760" s="158" t="n"/>
    </row>
    <row r="761" ht="14.1" customHeight="1">
      <c r="K761" s="158" t="n"/>
      <c r="L761" s="158" t="n"/>
    </row>
    <row r="762" ht="14.1" customHeight="1">
      <c r="K762" s="158" t="n"/>
      <c r="L762" s="158" t="n"/>
    </row>
    <row r="763" ht="14.1" customHeight="1">
      <c r="K763" s="158" t="n"/>
      <c r="L763" s="158" t="n"/>
    </row>
    <row r="764" ht="14.1" customHeight="1">
      <c r="K764" s="158" t="n"/>
      <c r="L764" s="158" t="n"/>
    </row>
    <row r="765" ht="14.1" customHeight="1">
      <c r="K765" s="158" t="n"/>
      <c r="L765" s="158" t="n"/>
    </row>
    <row r="766" ht="14.1" customHeight="1">
      <c r="K766" s="158" t="n"/>
      <c r="L766" s="158" t="n"/>
    </row>
    <row r="767" ht="14.1" customHeight="1">
      <c r="K767" s="158" t="n"/>
      <c r="L767" s="158" t="n"/>
    </row>
    <row r="768" ht="14.1" customHeight="1">
      <c r="K768" s="158" t="n"/>
      <c r="L768" s="158" t="n"/>
    </row>
    <row r="769" ht="14.1" customHeight="1">
      <c r="K769" s="158" t="n"/>
      <c r="L769" s="158" t="n"/>
    </row>
    <row r="770" ht="14.1" customHeight="1">
      <c r="K770" s="158" t="n"/>
      <c r="L770" s="158" t="n"/>
    </row>
    <row r="771" ht="14.1" customHeight="1">
      <c r="K771" s="158" t="n"/>
      <c r="L771" s="158" t="n"/>
    </row>
    <row r="772" ht="14.1" customHeight="1">
      <c r="K772" s="158" t="n"/>
      <c r="L772" s="158" t="n"/>
    </row>
    <row r="773" ht="14.1" customHeight="1">
      <c r="K773" s="158" t="n"/>
      <c r="L773" s="158" t="n"/>
    </row>
    <row r="774" ht="14.1" customHeight="1"/>
    <row r="775" ht="14.1" customHeight="1"/>
    <row r="776" ht="14.1" customHeight="1"/>
    <row r="777" ht="14.1" customHeight="1"/>
    <row r="778" ht="14.1" customHeight="1"/>
    <row r="779" ht="14.1" customHeight="1"/>
    <row r="780" ht="14.1" customHeight="1"/>
    <row r="781" ht="14.1" customHeight="1"/>
    <row r="782" ht="14.1" customHeight="1"/>
    <row r="783" ht="14.1" customHeight="1"/>
    <row r="784" ht="14.1" customHeight="1"/>
    <row r="785" ht="14.1" customHeight="1"/>
    <row r="786" ht="14.1" customHeight="1"/>
    <row r="787" ht="14.1" customHeight="1"/>
    <row r="788" ht="14.1" customHeight="1"/>
    <row r="789" ht="14.1" customHeight="1"/>
    <row r="790" ht="14.1" customHeight="1"/>
    <row r="791" ht="14.1" customHeight="1"/>
    <row r="792" ht="14.1" customHeight="1"/>
    <row r="793" ht="14.1" customHeight="1"/>
    <row r="794" ht="14.1" customHeight="1"/>
    <row r="795" ht="14.1" customHeight="1"/>
    <row r="796" ht="14.1" customHeight="1"/>
    <row r="797" ht="14.1" customHeight="1"/>
    <row r="798" ht="14.1" customHeight="1"/>
    <row r="799" ht="14.1" customHeight="1"/>
    <row r="800" ht="14.1" customHeight="1"/>
    <row r="801" ht="14.1" customHeight="1"/>
    <row r="802" ht="14.1" customHeight="1"/>
    <row r="803" ht="14.1" customHeight="1"/>
    <row r="804" ht="14.1" customHeight="1"/>
    <row r="805" ht="14.1" customHeight="1"/>
    <row r="806" ht="14.1" customHeight="1"/>
    <row r="807" ht="14.1" customHeight="1"/>
    <row r="808" ht="14.1" customHeight="1"/>
    <row r="809" ht="14.1" customHeight="1"/>
    <row r="810" ht="14.1" customHeight="1"/>
    <row r="811" ht="14.1" customHeight="1"/>
    <row r="812" ht="14.1" customHeight="1"/>
    <row r="813" ht="14.1" customHeight="1"/>
    <row r="814" ht="14.1" customHeight="1"/>
    <row r="815" ht="14.1" customHeight="1"/>
    <row r="816" ht="14.1" customHeight="1"/>
    <row r="817" ht="14.1" customHeight="1"/>
    <row r="818" ht="14.1" customHeight="1"/>
    <row r="819" ht="14.1" customHeight="1"/>
    <row r="820" ht="14.1" customHeight="1"/>
    <row r="821" ht="14.1" customHeight="1"/>
    <row r="822" ht="14.1" customHeight="1"/>
    <row r="823" ht="14.1" customHeight="1"/>
    <row r="824" ht="14.1" customHeight="1"/>
    <row r="825" ht="14.1" customHeight="1"/>
    <row r="826" ht="14.1" customHeight="1"/>
    <row r="827" ht="14.1" customHeight="1"/>
    <row r="828" ht="14.1" customHeight="1"/>
    <row r="829" ht="14.1" customHeight="1"/>
    <row r="830" ht="14.1" customHeight="1"/>
    <row r="831" ht="14.1" customHeight="1"/>
    <row r="832" ht="14.1" customHeight="1"/>
    <row r="833" ht="14.1" customHeight="1"/>
    <row r="834" ht="14.1" customHeight="1"/>
    <row r="835" ht="14.1" customHeight="1"/>
    <row r="836" ht="14.1" customHeight="1"/>
    <row r="837" ht="14.1" customHeight="1"/>
    <row r="838" ht="14.1" customHeight="1"/>
    <row r="839" ht="14.1" customHeight="1"/>
    <row r="840" ht="14.1" customHeight="1"/>
    <row r="841" ht="14.1" customHeight="1"/>
    <row r="842" ht="14.1" customHeight="1"/>
    <row r="843" ht="14.1" customHeight="1"/>
    <row r="844" ht="14.1" customHeight="1"/>
    <row r="845" ht="14.1" customHeight="1"/>
    <row r="846" ht="14.1" customHeight="1"/>
    <row r="847" ht="14.1" customHeight="1"/>
    <row r="848" ht="14.1" customHeight="1"/>
    <row r="849" ht="14.1" customHeight="1"/>
    <row r="850" ht="14.1" customHeight="1"/>
    <row r="851" ht="14.1" customHeight="1"/>
    <row r="852" ht="14.1" customHeight="1"/>
    <row r="853" ht="14.1" customHeight="1"/>
    <row r="854" ht="14.1" customHeight="1"/>
    <row r="855" ht="14.1" customHeight="1"/>
    <row r="856" ht="14.1" customHeight="1"/>
    <row r="857" ht="14.1" customHeight="1"/>
    <row r="858" ht="14.1" customHeight="1"/>
    <row r="859" ht="14.1" customHeight="1"/>
    <row r="860" ht="14.1" customHeight="1"/>
    <row r="861" ht="14.1" customHeight="1"/>
    <row r="862" ht="14.1" customHeight="1"/>
    <row r="863" ht="14.1" customHeight="1"/>
    <row r="864" ht="14.1" customHeight="1"/>
    <row r="865" ht="14.1" customHeight="1"/>
    <row r="866" ht="14.1" customHeight="1"/>
    <row r="867" ht="14.1" customHeight="1"/>
    <row r="868" ht="14.1" customHeight="1"/>
    <row r="869" ht="14.1" customHeight="1"/>
    <row r="870" ht="14.1" customHeight="1"/>
    <row r="871" ht="14.1" customHeight="1"/>
    <row r="872" ht="14.1" customHeight="1"/>
    <row r="873" ht="14.1" customHeight="1"/>
    <row r="874" ht="14.1" customHeight="1"/>
    <row r="875" ht="14.1" customHeight="1"/>
    <row r="876" ht="14.1" customHeight="1"/>
    <row r="877" ht="14.1" customHeight="1"/>
    <row r="878" ht="14.1" customHeight="1"/>
    <row r="879" ht="14.1" customHeight="1"/>
    <row r="880" ht="14.1" customHeight="1"/>
    <row r="881" ht="14.1" customHeight="1"/>
    <row r="882" ht="14.1" customHeight="1"/>
    <row r="883" ht="14.1" customHeight="1"/>
    <row r="884" ht="14.1" customHeight="1"/>
    <row r="885" ht="14.1" customHeight="1"/>
    <row r="886" ht="14.1" customHeight="1"/>
    <row r="887" ht="14.1" customHeight="1"/>
    <row r="888" ht="14.1" customHeight="1"/>
    <row r="889" ht="14.1" customHeight="1"/>
    <row r="890" ht="14.1" customHeight="1"/>
    <row r="891" ht="14.1" customHeight="1"/>
    <row r="892" ht="14.1" customHeight="1"/>
    <row r="893" ht="14.1" customHeight="1"/>
    <row r="894" ht="14.1" customHeight="1"/>
    <row r="895" ht="14.1" customHeight="1"/>
    <row r="896" ht="14.1" customHeight="1"/>
    <row r="897" ht="14.1" customHeight="1"/>
    <row r="898" ht="14.1" customHeight="1"/>
    <row r="899" ht="14.1" customHeight="1"/>
    <row r="900" ht="14.1" customHeight="1"/>
    <row r="901" ht="14.1" customHeight="1"/>
    <row r="902" ht="14.1" customHeight="1"/>
    <row r="903" ht="14.1" customHeight="1"/>
    <row r="904" ht="14.1" customHeight="1"/>
    <row r="905" ht="14.1" customHeight="1"/>
    <row r="906" ht="14.1" customHeight="1"/>
    <row r="907" ht="14.1" customHeight="1"/>
    <row r="908" ht="14.1" customHeight="1"/>
    <row r="909" ht="14.1" customHeight="1"/>
    <row r="910" ht="14.1" customHeight="1"/>
    <row r="911" ht="14.1" customHeight="1"/>
    <row r="912" ht="14.1" customHeight="1"/>
    <row r="913" ht="14.1" customHeight="1"/>
    <row r="914" ht="14.1" customHeight="1"/>
    <row r="915" ht="14.1" customHeight="1"/>
    <row r="916" ht="14.1" customHeight="1"/>
    <row r="917" ht="14.1" customHeight="1"/>
    <row r="918" ht="14.1" customHeight="1"/>
    <row r="919" ht="14.1" customHeight="1"/>
    <row r="920" ht="14.1" customHeight="1"/>
    <row r="921" ht="14.1" customHeight="1"/>
    <row r="922" ht="14.1" customHeight="1"/>
    <row r="923" ht="14.1" customHeight="1"/>
    <row r="924" ht="14.1" customHeight="1"/>
    <row r="925" ht="14.1" customHeight="1"/>
    <row r="926" ht="14.1" customHeight="1"/>
    <row r="927" ht="14.1" customHeight="1"/>
    <row r="928" ht="14.1" customHeight="1"/>
    <row r="929" ht="14.1" customHeight="1"/>
    <row r="930" ht="14.1" customHeight="1"/>
    <row r="931" ht="14.1" customHeight="1"/>
    <row r="932" ht="14.1" customHeight="1"/>
    <row r="933" ht="14.1" customHeight="1"/>
    <row r="934" ht="14.1" customHeight="1"/>
    <row r="935" ht="14.1" customHeight="1"/>
    <row r="936" ht="14.1" customHeight="1"/>
    <row r="937" ht="14.1" customHeight="1"/>
    <row r="938" ht="14.1" customHeight="1"/>
    <row r="939" ht="14.1" customHeight="1"/>
    <row r="940" ht="14.1" customHeight="1"/>
    <row r="941" ht="14.1" customHeight="1"/>
    <row r="942" ht="14.1" customHeight="1"/>
    <row r="943" ht="14.1" customHeight="1"/>
    <row r="944" ht="14.1" customHeight="1"/>
    <row r="945" ht="14.1" customHeight="1"/>
    <row r="946" ht="14.1" customHeight="1"/>
    <row r="947" ht="14.1" customHeight="1"/>
    <row r="948" ht="14.1" customHeight="1"/>
    <row r="949" ht="14.1" customHeight="1"/>
    <row r="950" ht="14.1" customHeight="1"/>
    <row r="951" ht="14.1" customHeight="1"/>
    <row r="952" ht="14.1" customHeight="1"/>
    <row r="953" ht="14.1" customHeight="1"/>
    <row r="954" ht="14.1" customHeight="1"/>
    <row r="955" ht="14.1" customHeight="1"/>
    <row r="956" ht="14.1" customHeight="1"/>
    <row r="957" ht="14.1" customHeight="1"/>
    <row r="958" ht="14.1" customHeight="1"/>
    <row r="959" ht="14.1" customHeight="1"/>
    <row r="960" ht="14.1" customHeight="1"/>
    <row r="961" ht="14.1" customHeight="1"/>
    <row r="962" ht="14.1" customHeight="1"/>
    <row r="963" ht="14.1" customHeight="1"/>
    <row r="964" ht="14.1" customHeight="1"/>
    <row r="965" ht="14.1" customHeight="1"/>
    <row r="966" ht="14.1" customHeight="1"/>
    <row r="967" ht="14.1" customHeight="1"/>
    <row r="968" ht="14.1" customHeight="1"/>
    <row r="969" ht="14.1" customHeight="1"/>
    <row r="970" ht="14.1" customHeight="1"/>
    <row r="971" ht="14.1" customHeight="1"/>
    <row r="972" ht="14.1" customHeight="1"/>
    <row r="973" ht="14.1" customHeight="1"/>
    <row r="974" ht="14.1" customHeight="1"/>
    <row r="975" ht="14.1" customHeight="1"/>
    <row r="976" ht="14.1" customHeight="1"/>
    <row r="977" ht="14.1" customHeight="1"/>
    <row r="978" ht="14.1" customHeight="1"/>
    <row r="979" ht="14.1" customHeight="1"/>
    <row r="980" ht="14.1" customHeight="1"/>
    <row r="981" ht="14.1" customHeight="1"/>
    <row r="982" ht="14.1" customHeight="1"/>
    <row r="983" ht="14.1" customHeight="1"/>
    <row r="984" ht="14.1" customHeight="1"/>
    <row r="985" ht="14.1" customHeight="1"/>
    <row r="986" ht="14.1" customHeight="1"/>
    <row r="987" ht="14.1" customHeight="1"/>
    <row r="988" ht="14.1" customHeight="1"/>
    <row r="989" ht="14.1" customHeight="1"/>
    <row r="990" ht="14.1" customHeight="1"/>
    <row r="991" ht="14.1" customHeight="1"/>
    <row r="992" ht="14.1" customHeight="1"/>
    <row r="993" ht="14.1" customHeight="1"/>
    <row r="994" ht="14.1" customHeight="1"/>
    <row r="995" ht="14.1" customHeight="1"/>
    <row r="996" ht="14.1" customHeight="1"/>
    <row r="997" ht="14.1" customHeight="1"/>
    <row r="998" ht="14.1" customHeight="1"/>
    <row r="999" ht="14.1" customHeight="1"/>
    <row r="1000" ht="14.1" customHeight="1"/>
    <row r="1001" ht="14.1" customHeight="1"/>
    <row r="1002" ht="14.1" customHeight="1"/>
    <row r="1003" ht="14.1" customHeight="1"/>
    <row r="1004" ht="14.1" customHeight="1"/>
    <row r="1005" ht="14.1" customHeight="1"/>
    <row r="1006" ht="14.1" customHeight="1"/>
    <row r="1007" ht="14.1" customHeight="1"/>
    <row r="1008" ht="14.1" customHeight="1"/>
    <row r="1009" ht="14.1" customHeight="1"/>
    <row r="1010" ht="14.1" customHeight="1"/>
    <row r="1011" ht="14.1" customHeight="1"/>
    <row r="1012" ht="14.1" customHeight="1"/>
    <row r="1013" ht="14.1" customHeight="1"/>
    <row r="1014" ht="14.1" customHeight="1"/>
    <row r="1015" ht="14.1" customHeight="1"/>
    <row r="1016" ht="14.1" customHeight="1"/>
    <row r="1017" ht="14.1" customHeight="1"/>
    <row r="1018" ht="14.1" customHeight="1"/>
    <row r="1019" ht="14.1" customHeight="1"/>
    <row r="1020" ht="14.1" customHeight="1"/>
    <row r="1021" ht="14.1" customHeight="1"/>
    <row r="1022" ht="14.1" customHeight="1"/>
    <row r="1023" ht="14.1" customHeight="1"/>
    <row r="1024" ht="14.1" customHeight="1"/>
    <row r="1025" ht="14.1" customHeight="1"/>
    <row r="1026" ht="14.1" customHeight="1"/>
    <row r="1027" ht="14.1" customHeight="1"/>
    <row r="1028" ht="14.1" customHeight="1"/>
    <row r="1029" ht="14.1" customHeight="1"/>
    <row r="1030" ht="14.1" customHeight="1"/>
    <row r="1031" ht="14.1" customHeight="1"/>
    <row r="1032" ht="14.1" customHeight="1"/>
    <row r="1033" ht="14.1" customHeight="1"/>
    <row r="1034" ht="14.1" customHeight="1"/>
    <row r="1035" ht="14.1" customHeight="1"/>
    <row r="1036" ht="14.1" customHeight="1"/>
    <row r="1037" ht="14.1" customHeight="1"/>
    <row r="1038" ht="14.1" customHeight="1"/>
    <row r="1039" ht="14.1" customHeight="1"/>
    <row r="1040" ht="14.1" customHeight="1"/>
    <row r="1041" ht="14.1" customHeight="1"/>
    <row r="1042" ht="14.1" customHeight="1"/>
    <row r="1043" ht="14.1" customHeight="1"/>
    <row r="1044" ht="14.1" customHeight="1"/>
    <row r="1045" ht="14.1" customHeight="1"/>
    <row r="1046" ht="14.1" customHeight="1"/>
    <row r="1047" ht="14.1" customHeight="1"/>
    <row r="1048" ht="14.1" customHeight="1"/>
    <row r="1049" ht="14.1" customHeight="1"/>
    <row r="1050" ht="14.1" customHeight="1"/>
    <row r="1051" ht="14.1" customHeight="1"/>
    <row r="1052" ht="14.1" customHeight="1"/>
    <row r="1053" ht="14.1" customHeight="1"/>
    <row r="1054" ht="14.1" customHeight="1"/>
    <row r="1055" ht="14.1" customHeight="1"/>
    <row r="1056" ht="14.1" customHeight="1"/>
    <row r="1057" ht="14.1" customHeight="1"/>
    <row r="1058" ht="14.1" customHeight="1"/>
    <row r="1059" ht="14.1" customHeight="1"/>
    <row r="1060" ht="14.1" customHeight="1"/>
    <row r="1061" ht="14.1" customHeight="1"/>
    <row r="1062" ht="14.1" customHeight="1"/>
    <row r="1063" ht="14.1" customHeight="1"/>
    <row r="1064" ht="14.1" customHeight="1"/>
    <row r="1065" ht="14.1" customHeight="1"/>
    <row r="1066" ht="14.1" customHeight="1"/>
    <row r="1067" ht="14.1" customHeight="1"/>
    <row r="1068" ht="14.1" customHeight="1"/>
    <row r="1069" ht="14.1" customHeight="1"/>
    <row r="1070" ht="14.1" customHeight="1"/>
    <row r="1071" ht="14.1" customHeight="1"/>
    <row r="1072" ht="14.1" customHeight="1"/>
    <row r="1073" ht="14.1" customHeight="1"/>
    <row r="1074" ht="14.1" customHeight="1"/>
    <row r="1075" ht="14.1" customHeight="1"/>
    <row r="1076" ht="14.1" customHeight="1"/>
    <row r="1077" ht="14.1" customHeight="1"/>
    <row r="1078" ht="14.1" customHeight="1"/>
    <row r="1079" ht="14.1" customHeight="1"/>
    <row r="1080" ht="14.1" customHeight="1"/>
    <row r="1081" ht="14.1" customHeight="1"/>
    <row r="1082" ht="14.1" customHeight="1"/>
    <row r="1083" ht="14.1" customHeight="1"/>
    <row r="1084" ht="14.1" customHeight="1"/>
    <row r="1085" ht="14.1" customHeight="1"/>
    <row r="1086" ht="14.1" customHeight="1"/>
    <row r="1087" ht="14.1" customHeight="1"/>
    <row r="1088" ht="14.1" customHeight="1"/>
    <row r="1089" ht="14.1" customHeight="1"/>
    <row r="1090" ht="14.1" customHeight="1"/>
    <row r="1091" ht="14.1" customHeight="1"/>
    <row r="1092" ht="14.1" customHeight="1"/>
    <row r="1093" ht="14.1" customHeight="1"/>
    <row r="1094" ht="14.1" customHeight="1"/>
    <row r="1095" ht="14.1" customHeight="1"/>
    <row r="1096" ht="14.1" customHeight="1"/>
    <row r="1097" ht="14.1" customHeight="1"/>
    <row r="1098" ht="14.1" customHeight="1"/>
    <row r="1099" ht="14.1" customHeight="1"/>
    <row r="1100" ht="14.1" customHeight="1"/>
    <row r="1101" ht="14.1" customHeight="1"/>
    <row r="1102" ht="14.1" customHeight="1"/>
    <row r="1103" ht="14.1" customHeight="1"/>
    <row r="1104" ht="14.1" customHeight="1"/>
    <row r="1105" ht="14.1" customHeight="1"/>
    <row r="1106" ht="14.1" customHeight="1"/>
    <row r="1107" ht="14.1" customHeight="1"/>
    <row r="1108" ht="14.1" customHeight="1"/>
    <row r="1109" ht="14.1" customHeight="1"/>
    <row r="1110" ht="14.1" customHeight="1"/>
    <row r="1111" ht="14.1" customHeight="1"/>
    <row r="1112" ht="14.1" customHeight="1"/>
    <row r="1113" ht="14.1" customHeight="1"/>
    <row r="1114" ht="14.1" customHeight="1"/>
    <row r="1115" ht="14.1" customHeight="1"/>
    <row r="1116" ht="14.1" customHeight="1"/>
    <row r="1117" ht="14.1" customHeight="1"/>
    <row r="1118" ht="14.1" customHeight="1"/>
    <row r="1119" ht="14.1" customHeight="1"/>
    <row r="1120" ht="14.1" customHeight="1"/>
    <row r="1121" ht="14.1" customHeight="1"/>
    <row r="1122" ht="14.1" customHeight="1"/>
    <row r="1123" ht="14.1" customHeight="1"/>
    <row r="1124" ht="14.1" customHeight="1"/>
    <row r="1125" ht="14.1" customHeight="1"/>
    <row r="1126" ht="14.1" customHeight="1"/>
    <row r="1127" ht="14.1" customHeight="1"/>
    <row r="1128" ht="14.1" customHeight="1"/>
    <row r="1129" ht="14.1" customHeight="1"/>
    <row r="1130" ht="14.1" customHeight="1"/>
    <row r="1131" ht="14.1" customHeight="1"/>
    <row r="1132" ht="14.1" customHeight="1"/>
    <row r="1133" ht="14.1" customHeight="1"/>
    <row r="1134" ht="14.1" customHeight="1"/>
    <row r="1135" ht="14.1" customHeight="1"/>
    <row r="1136" ht="14.1" customHeight="1"/>
    <row r="1137" ht="14.1" customHeight="1"/>
    <row r="1138" ht="14.1" customHeight="1"/>
    <row r="1139" ht="14.1" customHeight="1"/>
    <row r="1140" ht="14.1" customHeight="1"/>
    <row r="1141" ht="14.1" customHeight="1"/>
    <row r="1142" ht="14.1" customHeight="1"/>
    <row r="1143" ht="14.1" customHeight="1"/>
    <row r="1144" ht="14.1" customHeight="1"/>
    <row r="1145" ht="14.1" customHeight="1"/>
    <row r="1146" ht="14.1" customHeight="1"/>
    <row r="1147" ht="14.1" customHeight="1"/>
    <row r="1148" ht="14.1" customHeight="1"/>
    <row r="1149" ht="14.1" customHeight="1"/>
    <row r="1150" ht="14.1" customHeight="1"/>
    <row r="1151" ht="14.1" customHeight="1"/>
    <row r="1152" ht="14.1" customHeight="1"/>
    <row r="1153" ht="14.1" customHeight="1"/>
    <row r="1154" ht="14.1" customHeight="1"/>
    <row r="1155" ht="14.1" customHeight="1"/>
    <row r="1156" ht="14.1" customHeight="1"/>
    <row r="1157" ht="14.1" customHeight="1"/>
    <row r="1158" ht="14.1" customHeight="1"/>
    <row r="1159" ht="14.1" customHeight="1"/>
    <row r="1160" ht="14.1" customHeight="1"/>
    <row r="1161" ht="14.1" customHeight="1"/>
    <row r="1162" ht="14.1" customHeight="1"/>
    <row r="1163" ht="14.1" customHeight="1"/>
    <row r="1164" ht="14.1" customHeight="1"/>
    <row r="1165" ht="14.1" customHeight="1"/>
    <row r="1166" ht="14.1" customHeight="1"/>
    <row r="1167" ht="14.1" customHeight="1"/>
    <row r="1168" ht="14.1" customHeight="1"/>
    <row r="1169" ht="14.1" customHeight="1"/>
    <row r="1170" ht="14.1" customHeight="1"/>
    <row r="1171" ht="14.1" customHeight="1"/>
    <row r="1172" ht="14.1" customHeight="1"/>
    <row r="1173" ht="14.1" customHeight="1"/>
    <row r="1174" ht="14.1" customHeight="1"/>
    <row r="1175" ht="14.1" customHeight="1"/>
    <row r="1176" ht="14.1" customHeight="1"/>
    <row r="1177" ht="14.1" customHeight="1"/>
    <row r="1178" ht="14.1" customHeight="1"/>
    <row r="1179" ht="14.1" customHeight="1"/>
    <row r="1180" ht="14.1" customHeight="1"/>
    <row r="1181" ht="14.1" customHeight="1"/>
    <row r="1182" ht="14.1" customHeight="1"/>
    <row r="1183" ht="14.1" customHeight="1"/>
    <row r="1184" ht="14.1" customHeight="1"/>
    <row r="1185" ht="14.1" customHeight="1"/>
    <row r="1186" ht="14.1" customHeight="1"/>
    <row r="1187" ht="14.1" customHeight="1"/>
    <row r="1188" ht="14.1" customHeight="1"/>
    <row r="1189" ht="14.1" customHeight="1"/>
    <row r="1190" ht="14.1" customHeight="1"/>
    <row r="1191" ht="14.1" customHeight="1"/>
    <row r="1192" ht="14.1" customHeight="1"/>
    <row r="1193" ht="14.1" customHeight="1"/>
    <row r="1194" ht="14.1" customHeight="1"/>
    <row r="1195" ht="14.1" customHeight="1"/>
    <row r="1196" ht="14.1" customHeight="1"/>
    <row r="1197" ht="14.1" customHeight="1"/>
    <row r="1198" ht="14.1" customHeight="1"/>
    <row r="1199" ht="14.1" customHeight="1"/>
    <row r="1200" ht="14.1" customHeight="1"/>
    <row r="1201" ht="14.1" customHeight="1"/>
    <row r="1202" ht="14.1" customHeight="1"/>
    <row r="1203" ht="14.1" customHeight="1"/>
    <row r="1204" ht="14.1" customHeight="1"/>
    <row r="1205" ht="14.1" customHeight="1"/>
    <row r="1206" ht="14.1" customHeight="1"/>
    <row r="1207" ht="14.1" customHeight="1"/>
    <row r="1208" ht="14.1" customHeight="1"/>
    <row r="1209" ht="14.1" customHeight="1"/>
    <row r="1210" ht="14.1" customHeight="1"/>
    <row r="1211" ht="14.1" customHeight="1"/>
    <row r="1212" ht="14.1" customHeight="1"/>
    <row r="1213" ht="14.1" customHeight="1"/>
    <row r="1214" ht="14.1" customHeight="1"/>
    <row r="1215" ht="14.1" customHeight="1"/>
    <row r="1216" ht="14.1" customHeight="1"/>
    <row r="1217" ht="14.1" customHeight="1"/>
    <row r="1218" ht="14.1" customHeight="1"/>
    <row r="1219" ht="14.1" customHeight="1"/>
    <row r="1220" ht="14.1" customHeight="1"/>
    <row r="1221" ht="14.1" customHeight="1"/>
    <row r="1222" ht="14.1" customHeight="1"/>
    <row r="1223" ht="14.1" customHeight="1"/>
    <row r="1224" ht="14.1" customHeight="1"/>
    <row r="1225" ht="14.1" customHeight="1"/>
    <row r="1226" ht="14.1" customHeight="1"/>
    <row r="1227" ht="14.1" customHeight="1"/>
    <row r="1228" ht="14.1" customHeight="1"/>
    <row r="1229" ht="14.1" customHeight="1"/>
    <row r="1230" ht="14.1" customHeight="1"/>
    <row r="1231" ht="14.1" customHeight="1"/>
    <row r="1232" ht="14.1" customHeight="1"/>
    <row r="1233" ht="14.1" customHeight="1"/>
    <row r="1234" ht="14.1" customHeight="1"/>
    <row r="1235" ht="14.1" customHeight="1"/>
    <row r="1236" ht="14.1" customHeight="1"/>
    <row r="1237" ht="14.1" customHeight="1"/>
    <row r="1238" ht="14.1" customHeight="1"/>
    <row r="1239" ht="14.1" customHeight="1"/>
    <row r="1240" ht="14.1" customHeight="1"/>
    <row r="1241" ht="14.1" customHeight="1"/>
    <row r="1242" ht="14.1" customHeight="1"/>
    <row r="1243" ht="14.1" customHeight="1"/>
    <row r="1244" ht="14.1" customHeight="1"/>
    <row r="1245" ht="14.1" customHeight="1"/>
    <row r="1246" ht="14.1" customHeight="1"/>
    <row r="1247" ht="14.1" customHeight="1"/>
    <row r="1248" ht="14.1" customHeight="1"/>
    <row r="1249" ht="14.1" customHeight="1"/>
    <row r="1250" ht="14.1" customHeight="1"/>
    <row r="1251" ht="14.1" customHeight="1"/>
    <row r="1252" ht="14.1" customHeight="1"/>
    <row r="1253" ht="14.1" customHeight="1"/>
    <row r="1254" ht="14.1" customHeight="1"/>
    <row r="1255" ht="14.1" customHeight="1"/>
    <row r="1256" ht="14.1" customHeight="1"/>
    <row r="1257" ht="14.1" customHeight="1"/>
    <row r="1258" ht="14.1" customHeight="1"/>
    <row r="1259" ht="14.1" customHeight="1"/>
    <row r="1260" ht="14.1" customHeight="1"/>
    <row r="1261" ht="14.1" customHeight="1"/>
    <row r="1262" ht="14.1" customHeight="1"/>
    <row r="1263" ht="14.1" customHeight="1"/>
    <row r="1264" ht="14.1" customHeight="1"/>
    <row r="1265" ht="14.1" customHeight="1"/>
    <row r="1266" ht="14.1" customHeight="1"/>
    <row r="1267" ht="14.1" customHeight="1"/>
    <row r="1268" ht="14.1" customHeight="1"/>
    <row r="1269" ht="14.1" customHeight="1"/>
    <row r="1270" ht="14.1" customHeight="1"/>
    <row r="1271" ht="14.1" customHeight="1"/>
    <row r="1272" ht="14.1" customHeight="1"/>
    <row r="1273" ht="14.1" customHeight="1"/>
    <row r="1274" ht="14.1" customHeight="1"/>
    <row r="1275" ht="14.1" customHeight="1"/>
    <row r="1276" ht="14.1" customHeight="1"/>
    <row r="1277" ht="14.1" customHeight="1"/>
    <row r="1278" ht="14.1" customHeight="1"/>
    <row r="1279" ht="14.1" customHeight="1"/>
    <row r="1280" ht="14.1" customHeight="1"/>
    <row r="1281" ht="14.1" customHeight="1"/>
    <row r="1282" ht="14.1" customHeight="1"/>
    <row r="1283" ht="14.1" customHeight="1"/>
    <row r="1284" ht="14.1" customHeight="1"/>
    <row r="1285" ht="14.1" customHeight="1"/>
    <row r="1286" ht="14.1" customHeight="1"/>
    <row r="1287" ht="14.1" customHeight="1"/>
    <row r="1288" ht="14.1" customHeight="1"/>
    <row r="1289" ht="14.1" customHeight="1"/>
    <row r="1290" ht="14.1" customHeight="1"/>
    <row r="1291" ht="14.1" customHeight="1"/>
    <row r="1292" ht="14.1" customHeight="1"/>
    <row r="1293" ht="14.1" customHeight="1"/>
    <row r="1294" ht="14.1" customHeight="1"/>
    <row r="1295" ht="14.1" customHeight="1"/>
    <row r="1296" ht="14.1" customHeight="1"/>
    <row r="1297" ht="14.1" customHeight="1"/>
    <row r="1298" ht="14.1" customHeight="1"/>
    <row r="1299" ht="14.1" customHeight="1"/>
    <row r="1300" ht="14.1" customHeight="1"/>
    <row r="1301" ht="14.1" customHeight="1"/>
    <row r="1302" ht="14.1" customHeight="1"/>
    <row r="1303" ht="14.1" customHeight="1"/>
    <row r="1304" ht="14.1" customHeight="1"/>
    <row r="1305" ht="14.1" customHeight="1"/>
    <row r="1306" ht="14.1" customHeight="1"/>
    <row r="1307" ht="14.1" customHeight="1"/>
    <row r="1308" ht="14.1" customHeight="1"/>
    <row r="1309" ht="14.1" customHeight="1"/>
    <row r="1310" ht="14.1" customHeight="1"/>
    <row r="1311" ht="14.1" customHeight="1"/>
    <row r="1312" ht="14.1" customHeight="1"/>
    <row r="1313" ht="14.1" customHeight="1"/>
    <row r="1314" ht="14.1" customHeight="1"/>
    <row r="1315" ht="14.1" customHeight="1"/>
    <row r="1316" ht="14.1" customHeight="1"/>
    <row r="1317" ht="14.1" customHeight="1"/>
    <row r="1318" ht="14.1" customHeight="1"/>
    <row r="1319" ht="14.1" customHeight="1"/>
    <row r="1320" ht="14.1" customHeight="1"/>
    <row r="1321" ht="14.1" customHeight="1"/>
    <row r="1322" ht="14.1" customHeight="1"/>
    <row r="1323" ht="14.1" customHeight="1"/>
    <row r="1324" ht="14.1" customHeight="1"/>
    <row r="1325" ht="14.1" customHeight="1"/>
    <row r="1326" ht="14.1" customHeight="1"/>
    <row r="1327" ht="14.1" customHeight="1"/>
    <row r="1328" ht="14.1" customHeight="1"/>
    <row r="1329" ht="14.1" customHeight="1"/>
    <row r="1330" ht="14.1" customHeight="1"/>
    <row r="1331" ht="14.1" customHeight="1"/>
    <row r="1332" ht="14.1" customHeight="1"/>
    <row r="1333" ht="14.1" customHeight="1"/>
    <row r="1334" ht="14.1" customHeight="1"/>
    <row r="1335" ht="14.1" customHeight="1"/>
    <row r="1336" ht="14.1" customHeight="1"/>
    <row r="1337" ht="14.1" customHeight="1"/>
    <row r="1338" ht="14.1" customHeight="1"/>
    <row r="1339" ht="14.1" customHeight="1"/>
    <row r="1340" ht="14.1" customHeight="1"/>
    <row r="1341" ht="14.1" customHeight="1"/>
    <row r="1342" ht="14.1" customHeight="1"/>
    <row r="1343" ht="14.1" customHeight="1"/>
    <row r="1344" ht="14.1" customHeight="1"/>
    <row r="1345" ht="14.1" customHeight="1"/>
    <row r="1346" ht="14.1" customHeight="1"/>
    <row r="1347" ht="14.1" customHeight="1"/>
    <row r="1348" ht="14.1" customHeight="1"/>
    <row r="1349" ht="14.1" customHeight="1"/>
    <row r="1350" ht="14.1" customHeight="1"/>
    <row r="1351" ht="14.1" customHeight="1"/>
    <row r="1352" ht="14.1" customHeight="1"/>
    <row r="1353" ht="14.1" customHeight="1"/>
    <row r="1354" ht="14.1" customHeight="1"/>
    <row r="1355" ht="14.1" customHeight="1"/>
    <row r="1356" ht="14.1" customHeight="1"/>
    <row r="1357" ht="14.1" customHeight="1"/>
    <row r="1358" ht="14.1" customHeight="1"/>
    <row r="1359" ht="14.1" customHeight="1"/>
    <row r="1360" ht="14.1" customHeight="1"/>
    <row r="1361" ht="14.1" customHeight="1"/>
    <row r="1362" ht="14.1" customHeight="1"/>
    <row r="1363" ht="14.1" customHeight="1"/>
    <row r="1364" ht="14.1" customHeight="1"/>
    <row r="1365" ht="14.1" customHeight="1"/>
    <row r="1366" ht="14.1" customHeight="1"/>
    <row r="1367" ht="14.1" customHeight="1"/>
    <row r="1368" ht="14.1" customHeight="1"/>
    <row r="1369" ht="14.1" customHeight="1"/>
    <row r="1370" ht="14.1" customHeight="1"/>
    <row r="1371" ht="14.1" customHeight="1"/>
    <row r="1372" ht="14.1" customHeight="1"/>
    <row r="1373" ht="14.1" customHeight="1"/>
    <row r="1374" ht="14.1" customHeight="1"/>
    <row r="1375" ht="14.1" customHeight="1"/>
    <row r="1376" ht="14.1" customHeight="1"/>
    <row r="1377" ht="14.1" customHeight="1"/>
    <row r="1378" ht="14.1" customHeight="1"/>
    <row r="1379" ht="14.1" customHeight="1"/>
    <row r="1380" ht="14.1" customHeight="1"/>
    <row r="1381" ht="14.1" customHeight="1"/>
    <row r="1382" ht="14.1" customHeight="1"/>
    <row r="1383" ht="14.1" customHeight="1"/>
    <row r="1384" ht="14.1" customHeight="1"/>
    <row r="1385" ht="14.1" customHeight="1"/>
    <row r="1386" ht="14.1" customHeight="1"/>
    <row r="1387" ht="14.1" customHeight="1"/>
    <row r="1388" ht="14.1" customHeight="1"/>
    <row r="1389" ht="14.1" customHeight="1"/>
    <row r="1390" ht="14.1" customHeight="1"/>
    <row r="1391" ht="14.1" customHeight="1"/>
    <row r="1392" ht="14.1" customHeight="1"/>
    <row r="1393" ht="14.1" customHeight="1"/>
    <row r="1394" ht="14.1" customHeight="1"/>
    <row r="1395" ht="14.1" customHeight="1"/>
    <row r="1396" ht="14.1" customHeight="1"/>
    <row r="1397" ht="14.1" customHeight="1"/>
    <row r="1398" ht="14.1" customHeight="1"/>
    <row r="1399" ht="14.1" customHeight="1"/>
    <row r="1400" ht="14.1" customHeight="1"/>
    <row r="1401" ht="14.1" customHeight="1"/>
    <row r="1402" ht="14.1" customHeight="1"/>
    <row r="1403" ht="14.1" customHeight="1"/>
    <row r="1404" ht="14.1" customHeight="1"/>
    <row r="1405" ht="14.1" customHeight="1"/>
    <row r="1406" ht="14.1" customHeight="1"/>
    <row r="1407" ht="14.1" customHeight="1"/>
    <row r="1408" ht="14.1" customHeight="1"/>
    <row r="1409" ht="14.1" customHeight="1"/>
    <row r="1410" ht="14.1" customHeight="1"/>
    <row r="1411" ht="14.1" customHeight="1"/>
    <row r="1412" ht="14.1" customHeight="1"/>
    <row r="1413" ht="14.1" customHeight="1"/>
    <row r="1414" ht="14.1" customHeight="1"/>
    <row r="1415" ht="14.1" customHeight="1"/>
    <row r="1416" ht="14.1" customHeight="1"/>
    <row r="1417" ht="14.1" customHeight="1"/>
    <row r="1418" ht="14.1" customHeight="1"/>
    <row r="1419" ht="14.1" customHeight="1"/>
    <row r="1420" ht="14.1" customHeight="1"/>
    <row r="1421" ht="14.1" customHeight="1"/>
    <row r="1422" ht="14.1" customHeight="1"/>
    <row r="1423" ht="14.1" customHeight="1"/>
    <row r="1424" ht="14.1" customHeight="1"/>
    <row r="1425" ht="14.1" customHeight="1"/>
    <row r="1426" ht="14.1" customHeight="1"/>
    <row r="1427" ht="14.1" customHeight="1"/>
    <row r="1428" ht="14.1" customHeight="1"/>
    <row r="1429" ht="14.1" customHeight="1"/>
    <row r="1430" ht="14.1" customHeight="1"/>
    <row r="1431" ht="14.1" customHeight="1"/>
    <row r="1432" ht="14.1" customHeight="1"/>
    <row r="1433" ht="14.1" customHeight="1"/>
    <row r="1434" ht="14.1" customHeight="1"/>
    <row r="1435" ht="14.1" customHeight="1"/>
    <row r="1436" ht="14.1" customHeight="1"/>
    <row r="1437" ht="14.1" customHeight="1"/>
    <row r="1438" ht="14.1" customHeight="1"/>
    <row r="1439" ht="14.1" customHeight="1"/>
    <row r="1440" ht="14.1" customHeight="1"/>
    <row r="1441" ht="14.1" customHeight="1"/>
    <row r="1442" ht="14.1" customHeight="1"/>
    <row r="1443" ht="14.1" customHeight="1"/>
    <row r="1444" ht="14.1" customHeight="1"/>
    <row r="1445" ht="14.1" customHeight="1"/>
    <row r="1446" ht="14.1" customHeight="1"/>
    <row r="1447" ht="14.1" customHeight="1"/>
    <row r="1448" ht="14.1" customHeight="1"/>
    <row r="1449" ht="14.1" customHeight="1"/>
    <row r="1450" ht="14.1" customHeight="1"/>
    <row r="1451" ht="14.1" customHeight="1"/>
    <row r="1452" ht="14.1" customHeight="1"/>
    <row r="1453" ht="14.1" customHeight="1"/>
    <row r="1454" ht="14.1" customHeight="1"/>
    <row r="1455" ht="14.1" customHeight="1"/>
    <row r="1456" ht="14.1" customHeight="1"/>
    <row r="1457" ht="14.1" customHeight="1"/>
    <row r="1458" ht="14.1" customHeight="1"/>
    <row r="1459" ht="14.1" customHeight="1"/>
    <row r="1460" ht="14.1" customHeight="1"/>
    <row r="1461" ht="14.1" customHeight="1"/>
    <row r="1462" ht="14.1" customHeight="1"/>
    <row r="1463" ht="14.1" customHeight="1"/>
    <row r="1464" ht="14.1" customHeight="1"/>
    <row r="1465" ht="14.1" customHeight="1"/>
    <row r="1466" ht="14.1" customHeight="1"/>
    <row r="1467" ht="14.1" customHeight="1"/>
    <row r="1468" ht="14.1" customHeight="1"/>
    <row r="1469" ht="14.1" customHeight="1"/>
    <row r="1470" ht="14.1" customHeight="1"/>
    <row r="1471" ht="14.1" customHeight="1"/>
    <row r="1472" ht="14.1" customHeight="1"/>
    <row r="1473" ht="14.1" customHeight="1"/>
    <row r="1474" ht="14.1" customHeight="1"/>
    <row r="1475" ht="14.1" customHeight="1"/>
    <row r="1476" ht="14.1" customHeight="1"/>
    <row r="1477" ht="14.1" customHeight="1"/>
    <row r="1478" ht="14.1" customHeight="1"/>
    <row r="1479" ht="14.1" customHeight="1"/>
    <row r="1480" ht="14.1" customHeight="1"/>
    <row r="1481" ht="14.1" customHeight="1"/>
    <row r="1482" ht="14.1" customHeight="1"/>
    <row r="1483" ht="14.1" customHeight="1"/>
    <row r="1484" ht="14.1" customHeight="1"/>
    <row r="1485" ht="14.1" customHeight="1"/>
    <row r="1486" ht="14.1" customHeight="1"/>
    <row r="1487" ht="14.1" customHeight="1"/>
    <row r="1488" ht="14.1" customHeight="1"/>
    <row r="1489" ht="14.1" customHeight="1"/>
    <row r="1490" ht="14.1" customHeight="1"/>
    <row r="1491" ht="14.1" customHeight="1"/>
    <row r="1492" ht="14.1" customHeight="1"/>
    <row r="1493" ht="14.1" customHeight="1"/>
    <row r="1494" ht="14.1" customHeight="1"/>
    <row r="1495" ht="14.1" customHeight="1"/>
    <row r="1496" ht="14.1" customHeight="1"/>
    <row r="1497" ht="14.1" customHeight="1"/>
    <row r="1498" ht="14.1" customHeight="1"/>
    <row r="1499" ht="14.1" customHeight="1"/>
    <row r="1500" ht="14.1" customHeight="1"/>
    <row r="1501" ht="14.1" customHeight="1"/>
    <row r="1502" ht="14.1" customHeight="1"/>
    <row r="1503" ht="14.1" customHeight="1"/>
    <row r="1504" ht="14.1" customHeight="1"/>
    <row r="1505" ht="14.1" customHeight="1"/>
    <row r="1506" ht="14.1" customHeight="1"/>
    <row r="1507" ht="14.1" customHeight="1"/>
    <row r="1508" ht="14.1" customHeight="1"/>
    <row r="1509" ht="14.1" customHeight="1"/>
    <row r="1510" ht="14.1" customHeight="1"/>
    <row r="1511" ht="14.1" customHeight="1"/>
    <row r="1512" ht="14.1" customHeight="1"/>
    <row r="1513" ht="14.1" customHeight="1"/>
    <row r="1514" ht="14.1" customHeight="1"/>
    <row r="1515" ht="14.1" customHeight="1"/>
    <row r="1516" ht="14.1" customHeight="1"/>
    <row r="1517" ht="14.1" customHeight="1"/>
    <row r="1518" ht="14.1" customHeight="1"/>
    <row r="1519" ht="14.1" customHeight="1"/>
    <row r="1520" ht="14.1" customHeight="1"/>
    <row r="1521" ht="14.1" customHeight="1"/>
    <row r="1522" ht="14.1" customHeight="1"/>
    <row r="1523" ht="14.1" customHeight="1"/>
    <row r="1524" ht="14.1" customHeight="1"/>
    <row r="1525" ht="14.1" customHeight="1"/>
    <row r="1526" ht="14.1" customHeight="1"/>
    <row r="1527" ht="14.1" customHeight="1"/>
    <row r="1528" ht="14.1" customHeight="1"/>
    <row r="1529" ht="14.1" customHeight="1"/>
    <row r="1530" ht="14.1" customHeight="1"/>
    <row r="1531" ht="14.1" customHeight="1"/>
    <row r="1532" ht="14.1" customHeight="1"/>
    <row r="1533" ht="14.1" customHeight="1"/>
    <row r="1534" ht="14.1" customHeight="1"/>
    <row r="1535" ht="14.1" customHeight="1"/>
    <row r="1536" ht="14.1" customHeight="1"/>
    <row r="1537" ht="14.1" customHeight="1"/>
    <row r="1538" ht="14.1" customHeight="1"/>
    <row r="1539" ht="14.1" customHeight="1"/>
    <row r="1540" ht="14.1" customHeight="1"/>
    <row r="1541" ht="14.1" customHeight="1"/>
    <row r="1542" ht="14.1" customHeight="1"/>
    <row r="1543" ht="14.1" customHeight="1"/>
    <row r="1544" ht="14.1" customHeight="1"/>
    <row r="1545" ht="14.1" customHeight="1"/>
    <row r="1546" ht="14.1" customHeight="1"/>
    <row r="1547" ht="14.1" customHeight="1"/>
    <row r="1548" ht="14.1" customHeight="1"/>
    <row r="1549" ht="14.1" customHeight="1"/>
    <row r="1550" ht="14.1" customHeight="1"/>
    <row r="1551" ht="14.1" customHeight="1"/>
    <row r="1552" ht="14.1" customHeight="1"/>
    <row r="1553" ht="14.1" customHeight="1"/>
    <row r="1554" ht="14.1" customHeight="1"/>
    <row r="1555" ht="14.1" customHeight="1"/>
    <row r="1556" ht="14.1" customHeight="1"/>
    <row r="1557" ht="14.1" customHeight="1"/>
    <row r="1558" ht="14.1" customHeight="1"/>
    <row r="1559" ht="14.1" customHeight="1"/>
    <row r="1560" ht="14.1" customHeight="1"/>
    <row r="1561" ht="14.1" customHeight="1"/>
    <row r="1562" ht="14.1" customHeight="1"/>
    <row r="1563" ht="14.1" customHeight="1"/>
    <row r="1564" ht="14.1" customHeight="1"/>
    <row r="1565" ht="14.1" customHeight="1"/>
    <row r="1566" ht="14.1" customHeight="1"/>
    <row r="1567" ht="14.1" customHeight="1"/>
    <row r="1568" ht="14.1" customHeight="1"/>
    <row r="1569" ht="14.1" customHeight="1"/>
    <row r="1570" ht="14.1" customHeight="1"/>
    <row r="1571" ht="14.1" customHeight="1"/>
    <row r="1572" ht="14.1" customHeight="1"/>
    <row r="1573" ht="14.1" customHeight="1"/>
    <row r="1574" ht="14.1" customHeight="1"/>
    <row r="1575" ht="14.1" customHeight="1"/>
    <row r="1576" ht="14.1" customHeight="1"/>
    <row r="1577" ht="14.1" customHeight="1"/>
    <row r="1578" ht="14.1" customHeight="1"/>
    <row r="1579" ht="14.1" customHeight="1"/>
    <row r="1580" ht="14.1" customHeight="1"/>
    <row r="1581" ht="14.1" customHeight="1"/>
    <row r="1582" ht="14.1" customHeight="1"/>
    <row r="1583" ht="14.1" customHeight="1"/>
    <row r="1584" ht="14.1" customHeight="1"/>
    <row r="1585" ht="14.1" customHeight="1"/>
    <row r="1586" ht="14.1" customHeight="1"/>
    <row r="1587" ht="14.1" customHeight="1"/>
    <row r="1588" ht="14.1" customHeight="1"/>
    <row r="1589" ht="14.1" customHeight="1"/>
    <row r="1590" ht="14.1" customHeight="1"/>
    <row r="1591" ht="14.1" customHeight="1"/>
    <row r="1592" ht="14.1" customHeight="1"/>
    <row r="1593" ht="14.1" customHeight="1"/>
    <row r="1594" ht="14.1" customHeight="1"/>
    <row r="1595" ht="14.1" customHeight="1"/>
    <row r="1596" ht="14.1" customHeight="1"/>
    <row r="1597" ht="14.1" customHeight="1"/>
    <row r="1598" ht="14.1" customHeight="1"/>
    <row r="1599" ht="14.1" customHeight="1"/>
    <row r="1600" ht="14.1" customHeight="1"/>
    <row r="1601" ht="14.1" customHeight="1"/>
    <row r="1602" ht="14.1" customHeight="1"/>
    <row r="1603" ht="14.1" customHeight="1"/>
    <row r="1604" ht="14.1" customHeight="1"/>
    <row r="1605" ht="14.1" customHeight="1"/>
    <row r="1606" ht="14.1" customHeight="1"/>
    <row r="1607" ht="14.1" customHeight="1"/>
    <row r="1608" ht="14.1" customHeight="1"/>
    <row r="1609" ht="14.1" customHeight="1"/>
    <row r="1610" ht="14.1" customHeight="1"/>
    <row r="1611" ht="14.1" customHeight="1"/>
    <row r="1612" ht="14.1" customHeight="1"/>
    <row r="1613" ht="14.1" customHeight="1"/>
    <row r="1614" ht="14.1" customHeight="1"/>
    <row r="1615" ht="14.1" customHeight="1"/>
    <row r="1616" ht="14.1" customHeight="1"/>
    <row r="1617" ht="14.1" customHeight="1"/>
    <row r="1618" ht="14.1" customHeight="1"/>
    <row r="1619" ht="14.1" customHeight="1"/>
    <row r="1620" ht="14.1" customHeight="1"/>
    <row r="1621" ht="14.1" customHeight="1"/>
    <row r="1622" ht="14.1" customHeight="1"/>
    <row r="1623" ht="14.1" customHeight="1"/>
    <row r="1624" ht="14.1" customHeight="1"/>
    <row r="1625" ht="14.1" customHeight="1"/>
    <row r="1626" ht="14.1" customHeight="1"/>
    <row r="1627" ht="14.1" customHeight="1"/>
    <row r="1628" ht="14.1" customHeight="1"/>
    <row r="1629" ht="14.1" customHeight="1"/>
    <row r="1630" ht="14.1" customHeight="1"/>
    <row r="1631" ht="14.1" customHeight="1"/>
    <row r="1632" ht="14.1" customHeight="1"/>
    <row r="1633" ht="14.1" customHeight="1"/>
    <row r="1634" ht="14.1" customHeight="1"/>
    <row r="1635" ht="14.1" customHeight="1"/>
    <row r="1636" ht="14.1" customHeight="1"/>
    <row r="1637" ht="14.1" customHeight="1"/>
    <row r="1638" ht="14.1" customHeight="1"/>
    <row r="1639" ht="14.1" customHeight="1"/>
    <row r="1640" ht="14.1" customHeight="1"/>
    <row r="1641" ht="14.1" customHeight="1"/>
    <row r="1642" ht="14.1" customHeight="1"/>
    <row r="1643" ht="14.1" customHeight="1"/>
    <row r="1644" ht="14.1" customHeight="1"/>
    <row r="1645" ht="14.1" customHeight="1"/>
    <row r="1646" ht="14.1" customHeight="1"/>
    <row r="1647" ht="14.1" customHeight="1"/>
    <row r="1648" ht="14.1" customHeight="1"/>
    <row r="1649" ht="14.1" customHeight="1"/>
    <row r="1650" ht="14.1" customHeight="1"/>
    <row r="1651" ht="14.1" customHeight="1"/>
    <row r="1652" ht="14.1" customHeight="1"/>
    <row r="1653" ht="14.1" customHeight="1"/>
    <row r="1654" ht="14.1" customHeight="1"/>
    <row r="1655" ht="14.1" customHeight="1"/>
    <row r="1656" ht="14.1" customHeight="1"/>
    <row r="1657" ht="14.1" customHeight="1"/>
    <row r="1658" ht="14.1" customHeight="1"/>
    <row r="1659" ht="14.1" customHeight="1"/>
    <row r="1660" ht="14.1" customHeight="1"/>
    <row r="1661" ht="14.1" customHeight="1"/>
    <row r="1662" ht="14.1" customHeight="1"/>
    <row r="1663" ht="14.1" customHeight="1"/>
    <row r="1664" ht="14.1" customHeight="1"/>
    <row r="1665" ht="14.1" customHeight="1"/>
    <row r="1666" ht="14.1" customHeight="1"/>
    <row r="1667" ht="14.1" customHeight="1"/>
    <row r="1668" ht="14.1" customHeight="1"/>
    <row r="1669" ht="14.1" customHeight="1"/>
    <row r="1670" ht="14.1" customHeight="1"/>
    <row r="1671" ht="14.1" customHeight="1"/>
    <row r="1672" ht="14.1" customHeight="1"/>
    <row r="1673" ht="14.1" customHeight="1"/>
    <row r="1674" ht="14.1" customHeight="1"/>
    <row r="1675" ht="14.1" customHeight="1"/>
    <row r="1676" ht="14.1" customHeight="1"/>
    <row r="1677" ht="14.1" customHeight="1"/>
    <row r="1678" ht="14.1" customHeight="1"/>
    <row r="1679" ht="14.1" customHeight="1"/>
    <row r="1680" ht="14.1" customHeight="1"/>
    <row r="1681" ht="14.1" customHeight="1"/>
    <row r="1682" ht="14.1" customHeight="1"/>
    <row r="1683" ht="14.1" customHeight="1"/>
    <row r="1684" ht="14.1" customHeight="1"/>
    <row r="1685" ht="14.1" customHeight="1"/>
    <row r="1686" ht="14.1" customHeight="1"/>
    <row r="1687" ht="14.1" customHeight="1"/>
    <row r="1688" ht="14.1" customHeight="1"/>
    <row r="1689" ht="14.1" customHeight="1"/>
    <row r="1690" ht="14.1" customHeight="1"/>
    <row r="1691" ht="14.1" customHeight="1"/>
    <row r="1692" ht="14.1" customHeight="1"/>
    <row r="1693" ht="14.1" customHeight="1"/>
    <row r="1694" ht="14.1" customHeight="1"/>
    <row r="1695" ht="14.1" customHeight="1"/>
    <row r="1696" ht="14.1" customHeight="1"/>
    <row r="1697" ht="14.1" customHeight="1"/>
    <row r="1698" ht="14.1" customHeight="1"/>
    <row r="1699" ht="14.1" customHeight="1"/>
    <row r="1700" ht="14.1" customHeight="1"/>
    <row r="1701" ht="14.1" customHeight="1"/>
    <row r="1702" ht="14.1" customHeight="1"/>
    <row r="1703" ht="14.1" customHeight="1"/>
    <row r="1704" ht="14.1" customHeight="1"/>
    <row r="1705" ht="14.1" customHeight="1"/>
    <row r="1706" ht="14.1" customHeight="1"/>
    <row r="1707" ht="14.1" customHeight="1"/>
    <row r="1708" ht="14.1" customHeight="1"/>
    <row r="1709" ht="14.1" customHeight="1"/>
    <row r="1710" ht="14.1" customHeight="1"/>
    <row r="1711" ht="14.1" customHeight="1"/>
    <row r="1712" ht="14.1" customHeight="1"/>
    <row r="1713" ht="14.1" customHeight="1"/>
    <row r="1714" ht="14.1" customHeight="1"/>
    <row r="1715" ht="14.1" customHeight="1"/>
    <row r="1716" ht="14.1" customHeight="1"/>
    <row r="1717" ht="14.1" customHeight="1"/>
    <row r="1718" ht="14.1" customHeight="1"/>
    <row r="1719" ht="14.1" customHeight="1"/>
    <row r="1720" ht="14.1" customHeight="1"/>
    <row r="1721" ht="14.1" customHeight="1"/>
    <row r="1722" ht="14.1" customHeight="1"/>
    <row r="1723" ht="14.1" customHeight="1"/>
    <row r="1724" ht="14.1" customHeight="1"/>
    <row r="1725" ht="14.1" customHeight="1"/>
    <row r="1726" ht="14.1" customHeight="1"/>
    <row r="1727" ht="14.1" customHeight="1"/>
    <row r="1728" ht="14.1" customHeight="1"/>
    <row r="1729" ht="14.1" customHeight="1"/>
    <row r="1730" ht="14.1" customHeight="1"/>
    <row r="1731" ht="14.1" customHeight="1"/>
    <row r="1732" ht="14.1" customHeight="1"/>
    <row r="1733" ht="14.1" customHeight="1"/>
    <row r="1734" ht="14.1" customHeight="1"/>
    <row r="1735" ht="14.1" customHeight="1"/>
    <row r="1736" ht="14.1" customHeight="1"/>
    <row r="1737" ht="14.1" customHeight="1"/>
    <row r="1738" ht="14.1" customHeight="1"/>
    <row r="1739" ht="14.1" customHeight="1"/>
    <row r="1740" ht="14.1" customHeight="1"/>
    <row r="1741" ht="14.1" customHeight="1"/>
    <row r="1742" ht="14.1" customHeight="1"/>
    <row r="1743" ht="14.1" customHeight="1"/>
    <row r="1744" ht="14.1" customHeight="1"/>
    <row r="1745" ht="14.1" customHeight="1"/>
    <row r="1746" ht="14.1" customHeight="1"/>
    <row r="1747" ht="14.1" customHeight="1"/>
    <row r="1748" ht="14.1" customHeight="1"/>
    <row r="1749" ht="14.1" customHeight="1"/>
    <row r="1750" ht="14.1" customHeight="1"/>
    <row r="1751" ht="14.1" customHeight="1"/>
    <row r="1752" ht="14.1" customHeight="1"/>
    <row r="1753" ht="14.1" customHeight="1"/>
    <row r="1754" ht="14.1" customHeight="1"/>
    <row r="1755" ht="14.1" customHeight="1"/>
    <row r="1756" ht="14.1" customHeight="1"/>
    <row r="1757" ht="14.1" customHeight="1"/>
    <row r="1758" ht="14.1" customHeight="1"/>
    <row r="1759" ht="14.1" customHeight="1"/>
    <row r="1760" ht="14.1" customHeight="1"/>
    <row r="1761" ht="14.1" customHeight="1"/>
    <row r="1762" ht="14.1" customHeight="1"/>
    <row r="1763" ht="14.1" customHeight="1"/>
    <row r="1764" ht="14.1" customHeight="1"/>
    <row r="1765" ht="14.1" customHeight="1"/>
    <row r="1766" ht="14.1" customHeight="1"/>
    <row r="1767" ht="14.1" customHeight="1"/>
    <row r="1768" ht="14.1" customHeight="1"/>
    <row r="1769" ht="14.1" customHeight="1"/>
    <row r="1770" ht="14.1" customHeight="1"/>
    <row r="1771" ht="14.1" customHeight="1"/>
    <row r="1772" ht="14.1" customHeight="1"/>
    <row r="1773" ht="14.1" customHeight="1"/>
    <row r="1774" ht="14.1" customHeight="1"/>
    <row r="1775" ht="14.1" customHeight="1"/>
    <row r="1776" ht="14.1" customHeight="1"/>
    <row r="1777" ht="14.1" customHeight="1"/>
    <row r="1778" ht="14.1" customHeight="1"/>
    <row r="1779" ht="14.1" customHeight="1"/>
    <row r="1780" ht="14.1" customHeight="1"/>
    <row r="1781" ht="14.1" customHeight="1"/>
    <row r="1782" ht="14.1" customHeight="1"/>
    <row r="1783" ht="14.1" customHeight="1"/>
    <row r="1784" ht="14.1" customHeight="1"/>
    <row r="1785" ht="14.1" customHeight="1"/>
    <row r="1786" ht="14.1" customHeight="1"/>
    <row r="1787" ht="14.1" customHeight="1"/>
    <row r="1788" ht="14.1" customHeight="1"/>
    <row r="1789" ht="14.1" customHeight="1"/>
    <row r="1790" ht="14.1" customHeight="1"/>
    <row r="1791" ht="14.1" customHeight="1"/>
    <row r="1792" ht="14.1" customHeight="1"/>
    <row r="1793" ht="14.1" customHeight="1"/>
    <row r="1794" ht="14.1" customHeight="1"/>
    <row r="1795" ht="14.1" customHeight="1"/>
    <row r="1796" ht="14.1" customHeight="1"/>
    <row r="1797" ht="14.1" customHeight="1"/>
    <row r="1798" ht="14.1" customHeight="1"/>
    <row r="1799" ht="14.1" customHeight="1"/>
    <row r="1800" ht="14.1" customHeight="1"/>
    <row r="1801" ht="14.1" customHeight="1"/>
    <row r="1802" ht="14.1" customHeight="1"/>
    <row r="1803" ht="14.1" customHeight="1"/>
    <row r="1804" ht="14.1" customHeight="1"/>
    <row r="1805" ht="14.1" customHeight="1"/>
    <row r="1806" ht="14.1" customHeight="1"/>
    <row r="1807" ht="14.1" customHeight="1"/>
    <row r="1808" ht="14.1" customHeight="1"/>
    <row r="1809" ht="14.1" customHeight="1"/>
    <row r="1810" ht="14.1" customHeight="1"/>
    <row r="1811" ht="14.1" customHeight="1"/>
    <row r="1812" ht="14.1" customHeight="1"/>
    <row r="1813" ht="14.1" customHeight="1"/>
    <row r="1814" ht="14.1" customHeight="1"/>
    <row r="1815" ht="14.1" customHeight="1"/>
    <row r="1816" ht="14.1" customHeight="1"/>
    <row r="1817" ht="14.1" customHeight="1"/>
    <row r="1818" ht="14.1" customHeight="1"/>
    <row r="1819" ht="14.1" customHeight="1"/>
    <row r="1820" ht="14.1" customHeight="1"/>
    <row r="1821" ht="14.1" customHeight="1"/>
    <row r="1822" ht="14.1" customHeight="1"/>
    <row r="1823" ht="14.1" customHeight="1"/>
    <row r="1824" ht="14.1" customHeight="1"/>
    <row r="1825" ht="14.1" customHeight="1"/>
    <row r="1826" ht="14.1" customHeight="1"/>
    <row r="1827" ht="14.1" customHeight="1"/>
    <row r="1828" ht="14.1" customHeight="1"/>
    <row r="1829" ht="14.1" customHeight="1"/>
    <row r="1830" ht="14.1" customHeight="1"/>
    <row r="1831" ht="14.1" customHeight="1"/>
    <row r="1832" ht="14.1" customHeight="1"/>
    <row r="1833" ht="14.1" customHeight="1"/>
    <row r="1834" ht="14.1" customHeight="1"/>
    <row r="1835" ht="14.1" customHeight="1"/>
    <row r="1836" ht="14.1" customHeight="1"/>
    <row r="1837" ht="14.1" customHeight="1"/>
    <row r="1838" ht="14.1" customHeight="1"/>
    <row r="1839" ht="14.1" customHeight="1"/>
    <row r="1840" ht="14.1" customHeight="1"/>
    <row r="1841" ht="14.1" customHeight="1"/>
    <row r="1842" ht="14.1" customHeight="1"/>
    <row r="1843" ht="14.1" customHeight="1"/>
    <row r="1844" ht="14.1" customHeight="1"/>
    <row r="1845" ht="14.1" customHeight="1"/>
    <row r="1846" ht="14.1" customHeight="1"/>
    <row r="1847" ht="14.1" customHeight="1"/>
    <row r="1848" ht="14.1" customHeight="1"/>
    <row r="1849" ht="14.1" customHeight="1"/>
    <row r="1850" ht="14.1" customHeight="1"/>
    <row r="1851" ht="14.1" customHeight="1"/>
    <row r="1852" ht="14.1" customHeight="1"/>
    <row r="1853" ht="14.1" customHeight="1"/>
    <row r="1854" ht="14.1" customHeight="1"/>
    <row r="1855" ht="14.1" customHeight="1"/>
    <row r="1856" ht="14.1" customHeight="1"/>
    <row r="1857" ht="14.1" customHeight="1"/>
    <row r="1858" ht="14.1" customHeight="1"/>
    <row r="1859" ht="14.1" customHeight="1"/>
    <row r="1860" ht="14.1" customHeight="1"/>
    <row r="1861" ht="14.1" customHeight="1"/>
    <row r="1862" ht="14.1" customHeight="1"/>
    <row r="1863" ht="14.1" customHeight="1"/>
    <row r="1864" ht="14.1" customHeight="1"/>
    <row r="1865" ht="14.1" customHeight="1"/>
    <row r="1866" ht="14.1" customHeight="1"/>
    <row r="1867" ht="14.1" customHeight="1"/>
    <row r="1868" ht="14.1" customHeight="1"/>
    <row r="1869" ht="14.1" customHeight="1"/>
    <row r="1870" ht="14.1" customHeight="1"/>
    <row r="1871" ht="14.1" customHeight="1"/>
    <row r="1872" ht="14.1" customHeight="1"/>
    <row r="1873" ht="14.1" customHeight="1"/>
    <row r="1874" ht="14.1" customHeight="1"/>
    <row r="1875" ht="14.1" customHeight="1"/>
    <row r="1876" ht="14.1" customHeight="1"/>
    <row r="1877" ht="14.1" customHeight="1"/>
    <row r="1878" ht="14.1" customHeight="1"/>
    <row r="1879" ht="14.1" customHeight="1"/>
    <row r="1880" ht="14.1" customHeight="1"/>
    <row r="1881" ht="14.1" customHeight="1"/>
    <row r="1882" ht="14.1" customHeight="1"/>
    <row r="1883" ht="14.1" customHeight="1"/>
    <row r="1884" ht="14.1" customHeight="1"/>
    <row r="1885" ht="14.1" customHeight="1"/>
    <row r="1886" ht="14.1" customHeight="1"/>
    <row r="1887" ht="14.1" customHeight="1"/>
    <row r="1888" ht="14.1" customHeight="1"/>
    <row r="1889" ht="14.1" customHeight="1"/>
    <row r="1890" ht="14.1" customHeight="1"/>
    <row r="1891" ht="14.1" customHeight="1"/>
    <row r="1892" ht="14.1" customHeight="1"/>
    <row r="1893" ht="14.1" customHeight="1"/>
    <row r="1894" ht="14.1" customHeight="1"/>
    <row r="1895" ht="14.1" customHeight="1"/>
    <row r="1896" ht="14.1" customHeight="1"/>
    <row r="1897" ht="14.1" customHeight="1"/>
    <row r="1898" ht="14.1" customHeight="1"/>
    <row r="1899" ht="14.1" customHeight="1"/>
    <row r="1900" ht="14.1" customHeight="1"/>
    <row r="1901" ht="14.1" customHeight="1"/>
    <row r="1902" ht="14.1" customHeight="1"/>
    <row r="1903" ht="14.1" customHeight="1"/>
    <row r="1904" ht="14.1" customHeight="1"/>
    <row r="1905" ht="14.1" customHeight="1"/>
    <row r="1906" ht="14.1" customHeight="1"/>
    <row r="1907" ht="14.1" customHeight="1"/>
    <row r="1908" ht="14.1" customHeight="1"/>
    <row r="1909" ht="14.1" customHeight="1"/>
    <row r="1910" ht="14.1" customHeight="1"/>
    <row r="1911" ht="14.1" customHeight="1"/>
    <row r="1912" ht="14.1" customHeight="1"/>
    <row r="1913" ht="14.1" customHeight="1"/>
    <row r="1914" ht="14.1" customHeight="1"/>
    <row r="1915" ht="14.1" customHeight="1"/>
    <row r="1916" ht="14.1" customHeight="1"/>
    <row r="1917" ht="14.1" customHeight="1"/>
    <row r="1918" ht="14.1" customHeight="1"/>
    <row r="1919" ht="14.1" customHeight="1"/>
    <row r="1920" ht="14.1" customHeight="1"/>
    <row r="1921" ht="14.1" customHeight="1"/>
    <row r="1922" ht="14.1" customHeight="1"/>
    <row r="1923" ht="14.1" customHeight="1"/>
    <row r="1924" ht="14.1" customHeight="1"/>
    <row r="1925" ht="14.1" customHeight="1"/>
    <row r="1926" ht="14.1" customHeight="1"/>
    <row r="1927" ht="14.1" customHeight="1"/>
    <row r="1928" ht="14.1" customHeight="1"/>
    <row r="1929" ht="14.1" customHeight="1"/>
    <row r="1930" ht="14.1" customHeight="1"/>
    <row r="1931" ht="14.1" customHeight="1"/>
    <row r="1932" ht="14.1" customHeight="1"/>
    <row r="1933" ht="14.1" customHeight="1"/>
    <row r="1934" ht="14.1" customHeight="1"/>
    <row r="1935" ht="14.1" customHeight="1"/>
    <row r="1936" ht="14.1" customHeight="1"/>
    <row r="1937" ht="14.1" customHeight="1"/>
    <row r="1938" ht="14.1" customHeight="1"/>
    <row r="1939" ht="14.1" customHeight="1"/>
    <row r="1940" ht="14.1" customHeight="1"/>
    <row r="1941" ht="14.1" customHeight="1"/>
    <row r="1942" ht="14.1" customHeight="1"/>
    <row r="1943" ht="14.1" customHeight="1"/>
    <row r="1944" ht="14.1" customHeight="1"/>
    <row r="1945" ht="14.1" customHeight="1"/>
    <row r="1946" ht="14.1" customHeight="1"/>
    <row r="1947" ht="14.1" customHeight="1"/>
    <row r="1948" ht="14.1" customHeight="1"/>
    <row r="1949" ht="14.1" customHeight="1"/>
    <row r="1950" ht="14.1" customHeight="1"/>
    <row r="1951" ht="14.1" customHeight="1"/>
    <row r="1952" ht="14.1" customHeight="1"/>
    <row r="1953" ht="14.1" customHeight="1"/>
    <row r="1954" ht="14.1" customHeight="1"/>
    <row r="1955" ht="14.1" customHeight="1"/>
    <row r="1956" ht="14.1" customHeight="1"/>
    <row r="1957" ht="14.1" customHeight="1"/>
    <row r="1958" ht="14.1" customHeight="1"/>
    <row r="1959" ht="14.1" customHeight="1"/>
    <row r="1960" ht="14.1" customHeight="1"/>
    <row r="1961" ht="14.1" customHeight="1"/>
    <row r="1962" ht="14.1" customHeight="1"/>
    <row r="1963" ht="14.1" customHeight="1"/>
    <row r="1964" ht="14.1" customHeight="1"/>
    <row r="1965" ht="14.1" customHeight="1"/>
    <row r="1966" ht="14.1" customHeight="1"/>
    <row r="1967" ht="14.1" customHeight="1"/>
    <row r="1968" ht="14.1" customHeight="1"/>
    <row r="1969" ht="14.1" customHeight="1"/>
    <row r="1970" ht="14.1" customHeight="1"/>
    <row r="1971" ht="14.1" customHeight="1"/>
    <row r="1972" ht="14.1" customHeight="1"/>
    <row r="1973" ht="14.1" customHeight="1"/>
    <row r="1974" ht="14.1" customHeight="1"/>
    <row r="1975" ht="14.1" customHeight="1"/>
    <row r="1976" ht="14.1" customHeight="1"/>
    <row r="1977" ht="14.1" customHeight="1"/>
    <row r="1978" ht="14.1" customHeight="1"/>
    <row r="1979" ht="14.1" customHeight="1"/>
    <row r="1980" ht="14.1" customHeight="1"/>
    <row r="1981" ht="14.1" customHeight="1"/>
    <row r="1982" ht="14.1" customHeight="1"/>
    <row r="1983" ht="14.1" customHeight="1"/>
    <row r="1984" ht="14.1" customHeight="1"/>
    <row r="1985" ht="14.1" customHeight="1"/>
    <row r="1986" ht="14.1" customHeight="1"/>
    <row r="1987" ht="14.1" customHeight="1"/>
    <row r="1988" ht="14.1" customHeight="1"/>
    <row r="1989" ht="14.1" customHeight="1"/>
    <row r="1990" ht="14.1" customHeight="1"/>
    <row r="1991" ht="14.1" customHeight="1"/>
    <row r="1992" ht="14.1" customHeight="1"/>
    <row r="1993" ht="14.1" customHeight="1"/>
    <row r="1994" ht="14.1" customHeight="1"/>
    <row r="1995" ht="14.1" customHeight="1"/>
    <row r="1996" ht="14.1" customHeight="1"/>
    <row r="1997" ht="14.1" customHeight="1"/>
    <row r="1998" ht="14.1" customHeight="1"/>
    <row r="1999" ht="14.1" customHeight="1"/>
    <row r="2000" ht="14.1" customHeight="1"/>
    <row r="2001" ht="14.1" customHeight="1"/>
    <row r="2002" ht="14.1" customHeight="1"/>
    <row r="2003" ht="14.1" customHeight="1"/>
    <row r="2004" ht="14.1" customHeight="1"/>
    <row r="2005" ht="14.1" customHeight="1"/>
    <row r="2006" ht="14.1" customHeight="1"/>
    <row r="2007" ht="14.1" customHeight="1"/>
    <row r="2008" ht="14.1" customHeight="1"/>
    <row r="2009" ht="14.1" customHeight="1"/>
    <row r="2010" ht="14.1" customHeight="1"/>
    <row r="2011" ht="14.1" customHeight="1"/>
    <row r="2012" ht="14.1" customHeight="1"/>
    <row r="2013" ht="14.1" customHeight="1"/>
    <row r="2014" ht="14.1" customHeight="1"/>
    <row r="2015" ht="14.1" customHeight="1"/>
    <row r="2016" ht="14.1" customHeight="1"/>
    <row r="2017" ht="14.1" customHeight="1"/>
    <row r="2018" ht="14.1" customHeight="1"/>
    <row r="2019" ht="14.1" customHeight="1"/>
    <row r="2020" ht="14.1" customHeight="1"/>
    <row r="2021" ht="14.1" customHeight="1"/>
    <row r="2022" ht="14.1" customHeight="1"/>
    <row r="2023" ht="14.1" customHeight="1"/>
    <row r="2024" ht="14.1" customHeight="1"/>
    <row r="2025" ht="14.1" customHeight="1"/>
    <row r="2026" ht="14.1" customHeight="1"/>
    <row r="2027" ht="14.1" customHeight="1"/>
    <row r="2028" ht="14.1" customHeight="1"/>
    <row r="2029" ht="14.1" customHeight="1"/>
    <row r="2030" ht="14.1" customHeight="1"/>
    <row r="2031" ht="14.1" customHeight="1"/>
    <row r="2032" ht="14.1" customHeight="1"/>
    <row r="2033" ht="14.1" customHeight="1"/>
    <row r="2034" ht="14.1" customHeight="1"/>
    <row r="2035" ht="14.1" customHeight="1"/>
    <row r="2036" ht="14.1" customHeight="1"/>
    <row r="2037" ht="14.1" customHeight="1"/>
    <row r="2038" ht="14.1" customHeight="1"/>
    <row r="2039" ht="14.1" customHeight="1"/>
    <row r="2040" ht="14.1" customHeight="1"/>
    <row r="2041" ht="14.1" customHeight="1"/>
    <row r="2042" ht="14.1" customHeight="1"/>
    <row r="2043" ht="14.1" customHeight="1"/>
    <row r="2044" ht="14.1" customHeight="1"/>
    <row r="2045" ht="14.1" customHeight="1"/>
    <row r="2046" ht="14.1" customHeight="1"/>
    <row r="2047" ht="14.1" customHeight="1"/>
    <row r="2048" ht="14.1" customHeight="1"/>
    <row r="2049" ht="14.1" customHeight="1"/>
    <row r="2050" ht="14.1" customHeight="1"/>
    <row r="2051" ht="14.1" customHeight="1"/>
    <row r="2052" ht="14.1" customHeight="1"/>
    <row r="2053" ht="14.1" customHeight="1"/>
    <row r="2054" ht="14.1" customHeight="1"/>
    <row r="2055" ht="14.1" customHeight="1"/>
    <row r="2056" ht="14.1" customHeight="1"/>
    <row r="2057" ht="14.1" customHeight="1"/>
    <row r="2058" ht="14.1" customHeight="1"/>
    <row r="2059" ht="14.1" customHeight="1"/>
    <row r="2060" ht="14.1" customHeight="1"/>
    <row r="2061" ht="14.1" customHeight="1"/>
    <row r="2062" ht="14.1" customHeight="1"/>
    <row r="2063" ht="14.1" customHeight="1"/>
    <row r="2064" ht="14.1" customHeight="1"/>
    <row r="2065" ht="14.1" customHeight="1"/>
    <row r="2066" ht="14.1" customHeight="1"/>
    <row r="2067" ht="14.1" customHeight="1"/>
    <row r="2068" ht="14.1" customHeight="1"/>
    <row r="2069" ht="14.1" customHeight="1"/>
    <row r="2070" ht="14.1" customHeight="1"/>
    <row r="2071" ht="14.1" customHeight="1"/>
    <row r="2072" ht="14.1" customHeight="1"/>
    <row r="2073" ht="14.1" customHeight="1"/>
    <row r="2074" ht="14.1" customHeight="1"/>
    <row r="2075" ht="14.1" customHeight="1"/>
    <row r="2076" ht="14.1" customHeight="1"/>
    <row r="2077" ht="14.1" customHeight="1"/>
    <row r="2078" ht="14.1" customHeight="1"/>
    <row r="2079" ht="14.1" customHeight="1"/>
    <row r="2080" ht="14.1" customHeight="1"/>
    <row r="2081" ht="14.1" customHeight="1"/>
    <row r="2082" ht="14.1" customHeight="1"/>
    <row r="2083" ht="14.1" customHeight="1"/>
    <row r="2084" ht="14.1" customHeight="1"/>
    <row r="2085" ht="14.1" customHeight="1"/>
    <row r="2086" ht="14.1" customHeight="1"/>
    <row r="2087" ht="14.1" customHeight="1"/>
    <row r="2088" ht="14.1" customHeight="1"/>
    <row r="2089" ht="14.1" customHeight="1"/>
    <row r="2090" ht="14.1" customHeight="1"/>
    <row r="2091" ht="14.1" customHeight="1"/>
    <row r="2092" ht="14.1" customHeight="1"/>
    <row r="2093" ht="14.1" customHeight="1"/>
    <row r="2094" ht="14.1" customHeight="1"/>
    <row r="2095" ht="14.1" customHeight="1"/>
    <row r="2096" ht="14.1" customHeight="1"/>
    <row r="2097" ht="14.1" customHeight="1"/>
    <row r="2098" ht="14.1" customHeight="1"/>
    <row r="2099" ht="14.1" customHeight="1"/>
    <row r="2100" ht="14.1" customHeight="1"/>
    <row r="2101" ht="14.1" customHeight="1"/>
    <row r="2102" ht="14.1" customHeight="1"/>
    <row r="2103" ht="14.1" customHeight="1"/>
    <row r="2104" ht="14.1" customHeight="1"/>
    <row r="2105" ht="14.1" customHeight="1"/>
    <row r="2106" ht="14.1" customHeight="1"/>
    <row r="2107" ht="14.1" customHeight="1"/>
    <row r="2108" ht="14.1" customHeight="1"/>
    <row r="2109" ht="14.1" customHeight="1"/>
    <row r="2110" ht="14.1" customHeight="1"/>
    <row r="2111" ht="14.1" customHeight="1"/>
    <row r="2112" ht="14.1" customHeight="1"/>
    <row r="2113" ht="14.1" customHeight="1"/>
    <row r="2114" ht="14.1" customHeight="1"/>
    <row r="2115" ht="14.1" customHeight="1"/>
    <row r="2116" ht="14.1" customHeight="1"/>
    <row r="2117" ht="14.1" customHeight="1"/>
    <row r="2118" ht="14.1" customHeight="1"/>
    <row r="2119" ht="14.1" customHeight="1"/>
    <row r="2120" ht="14.1" customHeight="1"/>
    <row r="2121" ht="14.1" customHeight="1"/>
    <row r="2122" ht="14.1" customHeight="1"/>
    <row r="2123" ht="14.1" customHeight="1"/>
    <row r="2124" ht="14.1" customHeight="1"/>
    <row r="2125" ht="14.1" customHeight="1"/>
    <row r="2126" ht="14.1" customHeight="1"/>
    <row r="2127" ht="14.1" customHeight="1"/>
    <row r="2128" ht="14.1" customHeight="1"/>
    <row r="2129" ht="14.1" customHeight="1"/>
    <row r="2130" ht="14.1" customHeight="1"/>
    <row r="2131" ht="14.1" customHeight="1"/>
    <row r="2132" ht="14.1" customHeight="1"/>
    <row r="2133" ht="14.1" customHeight="1"/>
    <row r="2134" ht="14.1" customHeight="1"/>
    <row r="2135" ht="14.1" customHeight="1"/>
    <row r="2136" ht="14.1" customHeight="1"/>
    <row r="2137" ht="14.1" customHeight="1"/>
    <row r="2138" ht="14.1" customHeight="1"/>
    <row r="2139" ht="14.1" customHeight="1"/>
    <row r="2140" ht="14.1" customHeight="1"/>
    <row r="2141" ht="14.1" customHeight="1"/>
    <row r="2142" ht="14.1" customHeight="1"/>
    <row r="2143" ht="14.1" customHeight="1"/>
    <row r="2144" ht="14.1" customHeight="1"/>
    <row r="2145" ht="14.1" customHeight="1"/>
    <row r="2146" ht="14.1" customHeight="1"/>
    <row r="2147" ht="14.1" customHeight="1"/>
    <row r="2148" ht="14.1" customHeight="1"/>
    <row r="2149" ht="14.1" customHeight="1"/>
    <row r="2150" ht="14.1" customHeight="1"/>
    <row r="2151" ht="14.1" customHeight="1"/>
    <row r="2152" ht="14.1" customHeight="1"/>
    <row r="2153" ht="14.1" customHeight="1"/>
    <row r="2154" ht="14.1" customHeight="1"/>
    <row r="2155" ht="14.1" customHeight="1"/>
    <row r="2156" ht="14.1" customHeight="1"/>
    <row r="2157" ht="14.1" customHeight="1"/>
    <row r="2158" ht="14.1" customHeight="1"/>
    <row r="2159" ht="14.1" customHeight="1"/>
    <row r="2160" ht="14.1" customHeight="1"/>
    <row r="2161" ht="14.1" customHeight="1"/>
    <row r="2162" ht="14.1" customHeight="1"/>
    <row r="2163" ht="14.1" customHeight="1"/>
    <row r="2164" ht="14.1" customHeight="1"/>
    <row r="2165" ht="14.1" customHeight="1"/>
    <row r="2166" ht="14.1" customHeight="1"/>
    <row r="2167" ht="14.1" customHeight="1"/>
    <row r="2168" ht="14.1" customHeight="1"/>
    <row r="2169" ht="14.1" customHeight="1"/>
    <row r="2170" ht="14.1" customHeight="1"/>
    <row r="2171" ht="14.1" customHeight="1"/>
    <row r="2172" ht="14.1" customHeight="1"/>
    <row r="2173" ht="14.1" customHeight="1"/>
    <row r="2174" ht="14.1" customHeight="1"/>
    <row r="2175" ht="14.1" customHeight="1"/>
    <row r="2176" ht="14.1" customHeight="1"/>
    <row r="2177" ht="14.1" customHeight="1"/>
    <row r="2178" ht="14.1" customHeight="1"/>
    <row r="2179" ht="14.1" customHeight="1"/>
    <row r="2180" ht="14.1" customHeight="1"/>
    <row r="2181" ht="14.1" customHeight="1"/>
    <row r="2182" ht="14.1" customHeight="1"/>
    <row r="2183" ht="14.1" customHeight="1"/>
    <row r="2184" ht="14.1" customHeight="1"/>
    <row r="2185" ht="14.1" customHeight="1"/>
    <row r="2186" ht="14.1" customHeight="1"/>
    <row r="2187" ht="14.1" customHeight="1"/>
    <row r="2188" ht="14.1" customHeight="1"/>
    <row r="2189" ht="14.1" customHeight="1"/>
    <row r="2190" ht="14.1" customHeight="1"/>
    <row r="2191" ht="14.1" customHeight="1"/>
    <row r="2192" ht="14.1" customHeight="1"/>
    <row r="2193" ht="14.1" customHeight="1"/>
    <row r="2194" ht="14.1" customHeight="1"/>
    <row r="2195" ht="14.1" customHeight="1"/>
    <row r="2196" ht="14.1" customHeight="1"/>
    <row r="2197" ht="14.1" customHeight="1"/>
    <row r="2198" ht="14.1" customHeight="1"/>
    <row r="2199" ht="14.1" customHeight="1"/>
    <row r="2200" ht="14.1" customHeight="1"/>
    <row r="2201" ht="14.1" customHeight="1"/>
    <row r="2202" ht="14.1" customHeight="1"/>
    <row r="2203" ht="14.1" customHeight="1"/>
    <row r="2204" ht="14.1" customHeight="1"/>
    <row r="2205" ht="14.1" customHeight="1"/>
    <row r="2206" ht="14.1" customHeight="1"/>
    <row r="2207" ht="14.1" customHeight="1"/>
    <row r="2208" ht="14.1" customHeight="1"/>
    <row r="2209" ht="14.1" customHeight="1"/>
    <row r="2210" ht="14.1" customHeight="1"/>
    <row r="2211" ht="14.1" customHeight="1"/>
    <row r="2212" ht="14.1" customHeight="1"/>
    <row r="2213" ht="14.1" customHeight="1"/>
    <row r="2214" ht="14.1" customHeight="1"/>
    <row r="2215" ht="14.1" customHeight="1"/>
    <row r="2216" ht="14.1" customHeight="1"/>
    <row r="2217" ht="14.1" customHeight="1"/>
    <row r="2218" ht="14.1" customHeight="1"/>
    <row r="2219" ht="14.1" customHeight="1"/>
    <row r="2220" ht="14.1" customHeight="1"/>
    <row r="2221" ht="14.1" customHeight="1"/>
    <row r="2222" ht="14.1" customHeight="1"/>
    <row r="2223" ht="14.1" customHeight="1"/>
    <row r="2224" ht="14.1" customHeight="1"/>
    <row r="2225" ht="14.1" customHeight="1"/>
    <row r="2226" ht="14.1" customHeight="1"/>
    <row r="2227" ht="14.1" customHeight="1"/>
    <row r="2228" ht="14.1" customHeight="1"/>
    <row r="2229" ht="14.1" customHeight="1"/>
    <row r="2230" ht="14.1" customHeight="1"/>
    <row r="2231" ht="14.1" customHeight="1"/>
    <row r="2232" ht="14.1" customHeight="1"/>
    <row r="2233" ht="14.1" customHeight="1"/>
    <row r="2234" ht="14.1" customHeight="1"/>
    <row r="2235" ht="14.1" customHeight="1"/>
    <row r="2236" ht="14.1" customHeight="1"/>
    <row r="2237" ht="14.1" customHeight="1"/>
    <row r="2238" ht="14.1" customHeight="1"/>
    <row r="2239" ht="14.1" customHeight="1"/>
    <row r="2240" ht="14.1" customHeight="1"/>
    <row r="2241" ht="14.1" customHeight="1"/>
    <row r="2242" ht="14.1" customHeight="1"/>
    <row r="2243" ht="14.1" customHeight="1"/>
    <row r="2244" ht="14.1" customHeight="1"/>
    <row r="2245" ht="14.1" customHeight="1"/>
    <row r="2246" ht="14.1" customHeight="1"/>
    <row r="2247" ht="14.1" customHeight="1"/>
    <row r="2248" ht="14.1" customHeight="1"/>
    <row r="2249" ht="14.1" customHeight="1"/>
    <row r="2250" ht="14.1" customHeight="1"/>
    <row r="2251" ht="14.1" customHeight="1"/>
    <row r="2252" ht="14.1" customHeight="1"/>
    <row r="2253" ht="14.1" customHeight="1"/>
    <row r="2254" ht="14.1" customHeight="1"/>
    <row r="2255" ht="14.1" customHeight="1"/>
    <row r="2256" ht="14.1" customHeight="1"/>
    <row r="2257" ht="14.1" customHeight="1"/>
    <row r="2258" ht="14.1" customHeight="1"/>
    <row r="2259" ht="14.1" customHeight="1"/>
    <row r="2260" ht="14.1" customHeight="1"/>
    <row r="2261" ht="14.1" customHeight="1"/>
    <row r="2262" ht="14.1" customHeight="1"/>
    <row r="2263" ht="14.1" customHeight="1"/>
    <row r="2264" ht="14.1" customHeight="1"/>
    <row r="2265" ht="14.1" customHeight="1"/>
    <row r="2266" ht="14.1" customHeight="1"/>
    <row r="2267" ht="14.1" customHeight="1"/>
    <row r="2268" ht="14.1" customHeight="1"/>
    <row r="2269" ht="14.1" customHeight="1"/>
    <row r="2270" ht="14.1" customHeight="1"/>
    <row r="2271" ht="14.1" customHeight="1"/>
    <row r="2272" ht="14.1" customHeight="1"/>
    <row r="2273" ht="14.1" customHeight="1"/>
    <row r="2274" ht="14.1" customHeight="1"/>
    <row r="2275" ht="14.1" customHeight="1"/>
    <row r="2276" ht="14.1" customHeight="1"/>
    <row r="2277" ht="14.1" customHeight="1"/>
    <row r="2278" ht="14.1" customHeight="1"/>
    <row r="2279" ht="14.1" customHeight="1"/>
    <row r="2280" ht="14.1" customHeight="1"/>
    <row r="2281" ht="14.1" customHeight="1"/>
    <row r="2282" ht="14.1" customHeight="1"/>
    <row r="2283" ht="14.1" customHeight="1"/>
    <row r="2284" ht="14.1" customHeight="1"/>
    <row r="2285" ht="14.1" customHeight="1"/>
    <row r="2286" ht="14.1" customHeight="1"/>
    <row r="2287" ht="14.1" customHeight="1"/>
    <row r="2288" ht="14.1" customHeight="1"/>
    <row r="2289" ht="14.1" customHeight="1"/>
    <row r="2290" ht="14.1" customHeight="1"/>
    <row r="2291" ht="14.1" customHeight="1"/>
    <row r="2292" ht="14.1" customHeight="1"/>
    <row r="2293" ht="14.1" customHeight="1"/>
    <row r="2294" ht="14.1" customHeight="1"/>
    <row r="2295" ht="14.1" customHeight="1"/>
    <row r="2296" ht="14.1" customHeight="1"/>
    <row r="2297" ht="14.1" customHeight="1"/>
    <row r="2298" ht="14.1" customHeight="1"/>
    <row r="2299" ht="14.1" customHeight="1"/>
    <row r="2300" ht="14.1" customHeight="1"/>
    <row r="2301" ht="14.1" customHeight="1"/>
    <row r="2302" ht="14.1" customHeight="1"/>
    <row r="2303" ht="14.1" customHeight="1"/>
    <row r="2304" ht="14.1" customHeight="1"/>
    <row r="2305" ht="14.1" customHeight="1"/>
    <row r="2306" ht="14.1" customHeight="1"/>
    <row r="2307" ht="14.1" customHeight="1"/>
    <row r="2308" ht="14.1" customHeight="1"/>
    <row r="2309" ht="14.1" customHeight="1"/>
    <row r="2310" ht="14.1" customHeight="1"/>
    <row r="2311" ht="14.1" customHeight="1"/>
    <row r="2312" ht="14.1" customHeight="1"/>
    <row r="2313" ht="14.1" customHeight="1"/>
    <row r="2314" ht="14.1" customHeight="1"/>
    <row r="2315" ht="14.1" customHeight="1"/>
    <row r="2316" ht="14.1" customHeight="1"/>
    <row r="2317" ht="14.1" customHeight="1"/>
    <row r="2318" ht="14.1" customHeight="1"/>
    <row r="2319" ht="14.1" customHeight="1"/>
    <row r="2320" ht="14.1" customHeight="1"/>
    <row r="2321" ht="14.1" customHeight="1"/>
    <row r="2322" ht="14.1" customHeight="1"/>
    <row r="2323" ht="14.1" customHeight="1"/>
    <row r="2324" ht="14.1" customHeight="1"/>
    <row r="2325" ht="14.1" customHeight="1"/>
    <row r="2326" ht="14.1" customHeight="1"/>
    <row r="2327" ht="14.1" customHeight="1"/>
    <row r="2328" ht="14.1" customHeight="1"/>
    <row r="2329" ht="14.1" customHeight="1"/>
    <row r="2330" ht="14.1" customHeight="1"/>
    <row r="2331" ht="14.1" customHeight="1"/>
    <row r="2332" ht="14.1" customHeight="1"/>
    <row r="2333" ht="14.1" customHeight="1"/>
    <row r="2334" ht="14.1" customHeight="1"/>
    <row r="2335" ht="14.1" customHeight="1"/>
    <row r="2336" ht="14.1" customHeight="1"/>
    <row r="2337" ht="14.1" customHeight="1"/>
    <row r="2338" ht="14.1" customHeight="1"/>
    <row r="2339" ht="14.1" customHeight="1"/>
    <row r="2340" ht="14.1" customHeight="1"/>
    <row r="2341" ht="14.1" customHeight="1"/>
    <row r="2342" ht="14.1" customHeight="1"/>
    <row r="2343" ht="14.1" customHeight="1"/>
    <row r="2344" ht="14.1" customHeight="1"/>
    <row r="2345" ht="14.1" customHeight="1"/>
    <row r="2346" ht="14.1" customHeight="1"/>
    <row r="2347" ht="14.1" customHeight="1"/>
    <row r="2348" ht="14.1" customHeight="1"/>
    <row r="2349" ht="14.1" customHeight="1"/>
    <row r="2350" ht="14.1" customHeight="1"/>
    <row r="2351" ht="14.1" customHeight="1"/>
    <row r="2352" ht="14.1" customHeight="1"/>
    <row r="2353" ht="14.1" customHeight="1"/>
    <row r="2354" ht="14.1" customHeight="1"/>
    <row r="2355" ht="14.1" customHeight="1"/>
    <row r="2356" ht="14.1" customHeight="1"/>
    <row r="2357" ht="14.1" customHeight="1"/>
    <row r="2358" ht="14.1" customHeight="1"/>
    <row r="2359" ht="14.1" customHeight="1"/>
    <row r="2360" ht="14.1" customHeight="1"/>
    <row r="2361" ht="14.1" customHeight="1"/>
    <row r="2362" ht="14.1" customHeight="1"/>
    <row r="2363" ht="14.1" customHeight="1"/>
    <row r="2364" ht="14.1" customHeight="1"/>
    <row r="2365" ht="14.1" customHeight="1"/>
    <row r="2366" ht="14.1" customHeight="1"/>
    <row r="2367" ht="14.1" customHeight="1"/>
    <row r="2368" ht="14.1" customHeight="1"/>
    <row r="2369" ht="14.1" customHeight="1"/>
    <row r="2370" ht="14.1" customHeight="1"/>
    <row r="2371" ht="14.1" customHeight="1"/>
    <row r="2372" ht="14.1" customHeight="1"/>
    <row r="2373" ht="14.1" customHeight="1"/>
    <row r="2374" ht="14.1" customHeight="1"/>
    <row r="2375" ht="14.1" customHeight="1"/>
    <row r="2376" ht="14.1" customHeight="1"/>
    <row r="2377" ht="14.1" customHeight="1"/>
    <row r="2378" ht="14.1" customHeight="1"/>
    <row r="2379" ht="14.1" customHeight="1"/>
    <row r="2380" ht="14.1" customHeight="1"/>
    <row r="2381" ht="14.1" customHeight="1"/>
    <row r="2382" ht="14.1" customHeight="1"/>
    <row r="2383" ht="14.1" customHeight="1"/>
    <row r="2384" ht="14.1" customHeight="1"/>
    <row r="2385" ht="14.1" customHeight="1"/>
    <row r="2386" ht="14.1" customHeight="1"/>
    <row r="2387" ht="14.1" customHeight="1"/>
    <row r="2388" ht="14.1" customHeight="1"/>
    <row r="2389" ht="14.1" customHeight="1"/>
    <row r="2390" ht="14.1" customHeight="1"/>
    <row r="2391" ht="14.1" customHeight="1"/>
    <row r="2392" ht="14.1" customHeight="1"/>
    <row r="2393" ht="14.1" customHeight="1"/>
    <row r="2394" ht="14.1" customHeight="1"/>
    <row r="2395" ht="14.1" customHeight="1"/>
    <row r="2396" ht="14.1" customHeight="1"/>
    <row r="2397" ht="14.1" customHeight="1"/>
    <row r="2398" ht="14.1" customHeight="1"/>
    <row r="2399" ht="14.1" customHeight="1"/>
    <row r="2400" ht="14.1" customHeight="1"/>
    <row r="2401" ht="14.1" customHeight="1"/>
    <row r="2402" ht="14.1" customHeight="1"/>
    <row r="2403" ht="14.1" customHeight="1"/>
    <row r="2404" ht="14.1" customHeight="1"/>
    <row r="2405" ht="14.1" customHeight="1"/>
    <row r="2406" ht="14.1" customHeight="1"/>
    <row r="2407" ht="14.1" customHeight="1"/>
    <row r="2408" ht="14.1" customHeight="1"/>
    <row r="2409" ht="14.1" customHeight="1"/>
    <row r="2410" ht="14.1" customHeight="1"/>
    <row r="2411" ht="14.1" customHeight="1"/>
    <row r="2412" ht="14.1" customHeight="1"/>
    <row r="2413" ht="14.1" customHeight="1"/>
    <row r="2414" ht="14.1" customHeight="1"/>
    <row r="2415" ht="14.1" customHeight="1"/>
    <row r="2416" ht="14.1" customHeight="1"/>
    <row r="2417" ht="14.1" customHeight="1"/>
    <row r="2418" ht="14.1" customHeight="1"/>
    <row r="2419" ht="14.1" customHeight="1"/>
    <row r="2420" ht="14.1" customHeight="1"/>
    <row r="2421" ht="14.1" customHeight="1"/>
    <row r="2422" ht="14.1" customHeight="1"/>
    <row r="2423" ht="14.1" customHeight="1"/>
    <row r="2424" ht="14.1" customHeight="1"/>
    <row r="2425" ht="14.1" customHeight="1"/>
    <row r="2426" ht="14.1" customHeight="1"/>
    <row r="2427" ht="14.1" customHeight="1"/>
    <row r="2428" ht="14.1" customHeight="1"/>
    <row r="2429" ht="14.1" customHeight="1"/>
    <row r="2430" ht="14.1" customHeight="1"/>
    <row r="2431" ht="14.1" customHeight="1"/>
    <row r="2432" ht="14.1" customHeight="1"/>
    <row r="2433" ht="14.1" customHeight="1"/>
    <row r="2434" ht="14.1" customHeight="1"/>
    <row r="2435" ht="14.1" customHeight="1"/>
    <row r="2436" ht="14.1" customHeight="1"/>
    <row r="2437" ht="14.1" customHeight="1"/>
    <row r="2438" ht="14.1" customHeight="1"/>
    <row r="2439" ht="14.1" customHeight="1"/>
    <row r="2440" ht="14.1" customHeight="1"/>
    <row r="2441" ht="14.1" customHeight="1"/>
    <row r="2442" ht="14.1" customHeight="1"/>
    <row r="2443" ht="14.1" customHeight="1"/>
    <row r="2444" ht="14.1" customHeight="1"/>
    <row r="2445" ht="14.1" customHeight="1"/>
    <row r="2446" ht="14.1" customHeight="1"/>
    <row r="2447" ht="14.1" customHeight="1"/>
    <row r="2448" ht="14.1" customHeight="1"/>
    <row r="2449" ht="14.1" customHeight="1"/>
    <row r="2450" ht="14.1" customHeight="1"/>
    <row r="2451" ht="14.1" customHeight="1"/>
    <row r="2452" ht="14.1" customHeight="1"/>
    <row r="2453" ht="14.1" customHeight="1"/>
    <row r="2454" ht="14.1" customHeight="1"/>
    <row r="2455" ht="14.1" customHeight="1"/>
    <row r="2456" ht="14.1" customHeight="1"/>
    <row r="2457" ht="14.1" customHeight="1"/>
    <row r="2458" ht="14.1" customHeight="1"/>
    <row r="2459" ht="14.1" customHeight="1"/>
    <row r="2460" ht="14.1" customHeight="1"/>
    <row r="2461" ht="14.1" customHeight="1"/>
    <row r="2462" ht="14.1" customHeight="1"/>
    <row r="2463" ht="14.1" customHeight="1"/>
    <row r="2464" ht="14.1" customHeight="1"/>
    <row r="2465" ht="14.1" customHeight="1"/>
    <row r="2466" ht="14.1" customHeight="1"/>
    <row r="2467" ht="14.1" customHeight="1"/>
    <row r="2468" ht="14.1" customHeight="1"/>
    <row r="2469" ht="14.1" customHeight="1"/>
    <row r="2470" ht="14.1" customHeight="1"/>
    <row r="2471" ht="14.1" customHeight="1"/>
    <row r="2472" ht="14.1" customHeight="1"/>
    <row r="2473" ht="14.1" customHeight="1"/>
    <row r="2474" ht="14.1" customHeight="1"/>
    <row r="2475" ht="14.1" customHeight="1"/>
    <row r="2476" ht="14.1" customHeight="1"/>
    <row r="2477" ht="14.1" customHeight="1"/>
    <row r="2478" ht="14.1" customHeight="1"/>
    <row r="2479" ht="14.1" customHeight="1"/>
    <row r="2480" ht="14.1" customHeight="1"/>
    <row r="2481" ht="14.1" customHeight="1"/>
    <row r="2482" ht="14.1" customHeight="1"/>
    <row r="2483" ht="14.1" customHeight="1"/>
    <row r="2484" ht="14.1" customHeight="1"/>
    <row r="2485" ht="14.1" customHeight="1"/>
    <row r="2486" ht="14.1" customHeight="1"/>
    <row r="2487" ht="14.1" customHeight="1"/>
    <row r="2488" ht="14.1" customHeight="1"/>
    <row r="2489" ht="14.1" customHeight="1"/>
    <row r="2490" ht="14.1" customHeight="1"/>
    <row r="2491" ht="14.1" customHeight="1"/>
    <row r="2492" ht="14.1" customHeight="1"/>
    <row r="2493" ht="14.1" customHeight="1"/>
    <row r="2494" ht="14.1" customHeight="1"/>
    <row r="2495" ht="14.1" customHeight="1"/>
    <row r="2496" ht="14.1" customHeight="1"/>
    <row r="2497" ht="14.1" customHeight="1"/>
    <row r="2498" ht="14.1" customHeight="1"/>
    <row r="2499" ht="14.1" customHeight="1"/>
    <row r="2500" ht="14.1" customHeight="1"/>
    <row r="2501" ht="14.1" customHeight="1"/>
    <row r="2502" ht="14.1" customHeight="1"/>
    <row r="2503" ht="14.1" customHeight="1"/>
    <row r="2504" ht="14.1" customHeight="1"/>
    <row r="2505" ht="14.1" customHeight="1"/>
    <row r="2506" ht="14.1" customHeight="1"/>
    <row r="2507" ht="14.1" customHeight="1"/>
    <row r="2508" ht="14.1" customHeight="1"/>
    <row r="2509" ht="14.1" customHeight="1"/>
    <row r="2510" ht="14.1" customHeight="1"/>
    <row r="2511" ht="14.1" customHeight="1"/>
    <row r="2512" ht="14.1" customHeight="1"/>
    <row r="2513" ht="14.1" customHeight="1"/>
    <row r="2514" ht="14.1" customHeight="1"/>
    <row r="2515" ht="14.1" customHeight="1"/>
    <row r="2516" ht="14.1" customHeight="1"/>
    <row r="2517" ht="14.1" customHeight="1"/>
    <row r="2518" ht="14.1" customHeight="1"/>
    <row r="2519" ht="14.1" customHeight="1"/>
    <row r="2520" ht="14.1" customHeight="1"/>
    <row r="2521" ht="14.1" customHeight="1"/>
    <row r="2522" ht="14.1" customHeight="1"/>
    <row r="2523" ht="14.1" customHeight="1"/>
    <row r="2524" ht="14.1" customHeight="1"/>
    <row r="2525" ht="14.1" customHeight="1"/>
    <row r="2526" ht="14.1" customHeight="1"/>
    <row r="2527" ht="14.1" customHeight="1"/>
    <row r="2528" ht="14.1" customHeight="1"/>
    <row r="2529" ht="14.1" customHeight="1"/>
    <row r="2530" ht="14.1" customHeight="1"/>
    <row r="2531" ht="14.1" customHeight="1"/>
    <row r="2532" ht="14.1" customHeight="1"/>
    <row r="2533" ht="14.1" customHeight="1"/>
    <row r="2534" ht="14.1" customHeight="1"/>
    <row r="2535" ht="14.1" customHeight="1"/>
    <row r="2536" ht="14.1" customHeight="1"/>
    <row r="2537" ht="14.1" customHeight="1"/>
    <row r="2538" ht="14.1" customHeight="1"/>
    <row r="2539" ht="14.1" customHeight="1"/>
    <row r="2540" ht="14.1" customHeight="1"/>
    <row r="2541" ht="14.1" customHeight="1"/>
    <row r="2542" ht="14.1" customHeight="1"/>
    <row r="2543" ht="14.1" customHeight="1"/>
    <row r="2544" ht="14.1" customHeight="1"/>
    <row r="2545" ht="14.1" customHeight="1"/>
    <row r="2546" ht="14.1" customHeight="1"/>
    <row r="2547" ht="14.1" customHeight="1"/>
    <row r="2548" ht="14.1" customHeight="1"/>
    <row r="2549" ht="14.1" customHeight="1"/>
    <row r="2550" ht="14.1" customHeight="1"/>
    <row r="2551" ht="14.1" customHeight="1"/>
    <row r="2552" ht="14.1" customHeight="1"/>
    <row r="2553" ht="14.1" customHeight="1"/>
    <row r="2554" ht="14.1" customHeight="1"/>
    <row r="2555" ht="14.1" customHeight="1"/>
    <row r="2556" ht="14.1" customHeight="1"/>
    <row r="2557" ht="14.1" customHeight="1"/>
    <row r="2558" ht="14.1" customHeight="1"/>
    <row r="2559" ht="14.1" customHeight="1"/>
    <row r="2560" ht="14.1" customHeight="1"/>
    <row r="2561" ht="14.1" customHeight="1"/>
    <row r="2562" ht="14.1" customHeight="1"/>
    <row r="2563" ht="14.1" customHeight="1"/>
    <row r="2564" ht="14.1" customHeight="1"/>
    <row r="2565" ht="14.1" customHeight="1"/>
    <row r="2566" ht="14.1" customHeight="1"/>
    <row r="2567" ht="14.1" customHeight="1"/>
    <row r="2568" ht="14.1" customHeight="1"/>
    <row r="2569" ht="14.1" customHeight="1"/>
    <row r="2570" ht="14.1" customHeight="1"/>
    <row r="2571" ht="14.1" customHeight="1"/>
    <row r="2572" ht="14.1" customHeight="1"/>
    <row r="2573" ht="14.1" customHeight="1"/>
    <row r="2574" ht="14.1" customHeight="1"/>
    <row r="2575" ht="14.1" customHeight="1"/>
    <row r="2576" ht="14.1" customHeight="1"/>
    <row r="2577" ht="14.1" customHeight="1"/>
    <row r="2578" ht="14.1" customHeight="1"/>
    <row r="2579" ht="14.1" customHeight="1"/>
    <row r="2580" ht="14.1" customHeight="1"/>
    <row r="2581" ht="14.1" customHeight="1"/>
    <row r="2582" ht="14.1" customHeight="1"/>
    <row r="2583" ht="14.1" customHeight="1"/>
    <row r="2584" ht="14.1" customHeight="1"/>
    <row r="2585" ht="14.1" customHeight="1"/>
    <row r="2586" ht="14.1" customHeight="1"/>
    <row r="2587" ht="14.1" customHeight="1"/>
    <row r="2588" ht="14.1" customHeight="1"/>
    <row r="2589" ht="14.1" customHeight="1"/>
    <row r="2590" ht="14.1" customHeight="1"/>
    <row r="2591" ht="14.1" customHeight="1"/>
    <row r="2592" ht="14.1" customHeight="1"/>
    <row r="2593" ht="14.1" customHeight="1"/>
    <row r="2594" ht="14.1" customHeight="1"/>
    <row r="2595" ht="14.1" customHeight="1"/>
    <row r="2596" ht="14.1" customHeight="1"/>
    <row r="2597" ht="14.1" customHeight="1"/>
    <row r="2598" ht="14.1" customHeight="1"/>
    <row r="2599" ht="14.1" customHeight="1"/>
    <row r="2600" ht="14.1" customHeight="1"/>
    <row r="2601" ht="14.1" customHeight="1"/>
    <row r="2602" ht="14.1" customHeight="1"/>
    <row r="2603" ht="14.1" customHeight="1"/>
    <row r="2604" ht="14.1" customHeight="1"/>
    <row r="2605" ht="14.1" customHeight="1"/>
    <row r="2606" ht="14.1" customHeight="1"/>
    <row r="2607" ht="14.1" customHeight="1"/>
    <row r="2608" ht="14.1" customHeight="1"/>
    <row r="2609" ht="14.1" customHeight="1"/>
    <row r="2610" ht="14.1" customHeight="1"/>
    <row r="2611" ht="14.1" customHeight="1"/>
    <row r="2612" ht="14.1" customHeight="1"/>
    <row r="2613" ht="14.1" customHeight="1"/>
    <row r="2614" ht="14.1" customHeight="1"/>
    <row r="2615" ht="14.1" customHeight="1"/>
    <row r="2616" ht="14.1" customHeight="1"/>
    <row r="2617" ht="14.1" customHeight="1"/>
    <row r="2618" ht="14.1" customHeight="1"/>
    <row r="2619" ht="14.1" customHeight="1"/>
    <row r="2620" ht="14.1" customHeight="1"/>
    <row r="2621" ht="14.1" customHeight="1"/>
    <row r="2622" ht="14.1" customHeight="1"/>
    <row r="2623" ht="14.1" customHeight="1"/>
    <row r="2624" ht="14.1" customHeight="1"/>
    <row r="2625" ht="14.1" customHeight="1"/>
    <row r="2626" ht="14.1" customHeight="1"/>
    <row r="2627" ht="14.1" customHeight="1"/>
    <row r="2628" ht="14.1" customHeight="1"/>
    <row r="2629" ht="14.1" customHeight="1"/>
    <row r="2630" ht="14.1" customHeight="1"/>
    <row r="2631" ht="14.1" customHeight="1"/>
    <row r="2632" ht="14.1" customHeight="1"/>
    <row r="2633" ht="14.1" customHeight="1"/>
    <row r="2634" ht="14.1" customHeight="1"/>
    <row r="2635" ht="14.1" customHeight="1"/>
    <row r="2636" ht="14.1" customHeight="1"/>
    <row r="2637" ht="14.1" customHeight="1"/>
    <row r="2638" ht="14.1" customHeight="1"/>
    <row r="2639" ht="14.1" customHeight="1"/>
    <row r="2640" ht="14.1" customHeight="1"/>
    <row r="2641" ht="14.1" customHeight="1"/>
    <row r="2642" ht="14.1" customHeight="1"/>
    <row r="2643" ht="14.1" customHeight="1"/>
    <row r="2644" ht="14.1" customHeight="1"/>
    <row r="2645" ht="14.1" customHeight="1"/>
    <row r="2646" ht="14.1" customHeight="1"/>
    <row r="2647" ht="14.1" customHeight="1"/>
    <row r="2648" ht="14.1" customHeight="1"/>
    <row r="2649" ht="14.1" customHeight="1"/>
    <row r="2650" ht="14.1" customHeight="1"/>
    <row r="2651" ht="14.1" customHeight="1"/>
    <row r="2652" ht="14.1" customHeight="1"/>
    <row r="2653" ht="14.1" customHeight="1"/>
    <row r="2654" ht="14.1" customHeight="1"/>
    <row r="2655" ht="14.1" customHeight="1"/>
    <row r="2656" ht="14.1" customHeight="1"/>
    <row r="2657" ht="14.1" customHeight="1"/>
    <row r="2658" ht="14.1" customHeight="1"/>
    <row r="2659" ht="14.1" customHeight="1"/>
    <row r="2660" ht="14.1" customHeight="1"/>
    <row r="2661" ht="14.1" customHeight="1"/>
    <row r="2662" ht="14.1" customHeight="1"/>
    <row r="2663" ht="14.1" customHeight="1"/>
    <row r="2664" ht="14.1" customHeight="1"/>
    <row r="2665" ht="14.1" customHeight="1"/>
    <row r="2666" ht="14.1" customHeight="1"/>
    <row r="2667" ht="14.1" customHeight="1"/>
    <row r="2668" ht="14.1" customHeight="1"/>
    <row r="2669" ht="14.1" customHeight="1"/>
    <row r="2670" ht="14.1" customHeight="1"/>
    <row r="2671" ht="14.1" customHeight="1"/>
    <row r="2672" ht="14.1" customHeight="1"/>
    <row r="2673" ht="14.1" customHeight="1"/>
    <row r="2674" ht="14.1" customHeight="1"/>
    <row r="2675" ht="14.1" customHeight="1"/>
    <row r="2676" ht="14.1" customHeight="1"/>
    <row r="2677" ht="14.1" customHeight="1"/>
    <row r="2678" ht="14.1" customHeight="1"/>
    <row r="2679" ht="14.1" customHeight="1"/>
    <row r="2680" ht="14.1" customHeight="1"/>
    <row r="2681" ht="14.1" customHeight="1"/>
    <row r="2682" ht="14.1" customHeight="1"/>
    <row r="2683" ht="14.1" customHeight="1"/>
    <row r="2684" ht="14.1" customHeight="1"/>
    <row r="2685" ht="14.1" customHeight="1"/>
    <row r="2686" ht="14.1" customHeight="1"/>
    <row r="2687" ht="14.1" customHeight="1"/>
    <row r="2688" ht="14.1" customHeight="1"/>
    <row r="2689" ht="14.1" customHeight="1"/>
    <row r="2690" ht="14.1" customHeight="1"/>
    <row r="2691" ht="14.1" customHeight="1"/>
    <row r="2692" ht="14.1" customHeight="1"/>
    <row r="2693" ht="14.1" customHeight="1"/>
    <row r="2694" ht="14.1" customHeight="1"/>
    <row r="2695" ht="14.1" customHeight="1"/>
    <row r="2696" ht="14.1" customHeight="1"/>
    <row r="2697" ht="14.1" customHeight="1"/>
    <row r="2698" ht="14.1" customHeight="1"/>
    <row r="2699" ht="14.1" customHeight="1"/>
    <row r="2700" ht="14.1" customHeight="1"/>
    <row r="2701" ht="14.1" customHeight="1"/>
    <row r="2702" ht="14.1" customHeight="1"/>
    <row r="2703" ht="14.1" customHeight="1"/>
    <row r="2704" ht="14.1" customHeight="1"/>
    <row r="2705" ht="14.1" customHeight="1"/>
    <row r="2706" ht="14.1" customHeight="1"/>
    <row r="2707" ht="14.1" customHeight="1"/>
    <row r="2708" ht="14.1" customHeight="1"/>
    <row r="2709" ht="14.1" customHeight="1"/>
    <row r="2710" ht="14.1" customHeight="1"/>
    <row r="2711" ht="14.1" customHeight="1"/>
    <row r="2712" ht="14.1" customHeight="1"/>
    <row r="2713" ht="14.1" customHeight="1"/>
    <row r="2714" ht="14.1" customHeight="1"/>
    <row r="2715" ht="14.1" customHeight="1"/>
    <row r="2716" ht="14.1" customHeight="1"/>
    <row r="2717" ht="14.1" customHeight="1"/>
    <row r="2718" ht="14.1" customHeight="1"/>
    <row r="2719" ht="14.1" customHeight="1"/>
    <row r="2720" ht="14.1" customHeight="1"/>
    <row r="2721" ht="14.1" customHeight="1"/>
    <row r="2722" ht="14.1" customHeight="1"/>
    <row r="2723" ht="14.1" customHeight="1"/>
    <row r="2724" ht="14.1" customHeight="1"/>
    <row r="2725" ht="14.1" customHeight="1"/>
    <row r="2726" ht="14.1" customHeight="1"/>
    <row r="2727" ht="14.1" customHeight="1"/>
    <row r="2728" ht="14.1" customHeight="1"/>
    <row r="2729" ht="14.1" customHeight="1"/>
    <row r="2730" ht="14.1" customHeight="1"/>
    <row r="2731" ht="14.1" customHeight="1"/>
    <row r="2732" ht="14.1" customHeight="1"/>
    <row r="2733" ht="14.1" customHeight="1"/>
    <row r="2734" ht="14.1" customHeight="1"/>
    <row r="2735" ht="14.1" customHeight="1"/>
    <row r="2736" ht="14.1" customHeight="1"/>
    <row r="2737" ht="14.1" customHeight="1"/>
    <row r="2738" ht="14.1" customHeight="1"/>
    <row r="2739" ht="14.1" customHeight="1"/>
    <row r="2740" ht="14.1" customHeight="1"/>
    <row r="2741" ht="14.1" customHeight="1"/>
    <row r="2742" ht="14.1" customHeight="1"/>
    <row r="2743" ht="14.1" customHeight="1"/>
    <row r="2744" ht="14.1" customHeight="1"/>
    <row r="2745" ht="14.1" customHeight="1"/>
    <row r="2746" ht="14.1" customHeight="1"/>
    <row r="2747" ht="14.1" customHeight="1"/>
    <row r="2748" ht="14.1" customHeight="1"/>
    <row r="2749" ht="14.1" customHeight="1"/>
    <row r="2750" ht="14.1" customHeight="1"/>
    <row r="2751" ht="14.1" customHeight="1"/>
    <row r="2752" ht="14.1" customHeight="1"/>
    <row r="2753" ht="14.1" customHeight="1"/>
    <row r="2754" ht="14.1" customHeight="1"/>
    <row r="2755" ht="14.1" customHeight="1"/>
    <row r="2756" ht="14.1" customHeight="1"/>
    <row r="2757" ht="14.1" customHeight="1"/>
    <row r="2758" ht="14.1" customHeight="1"/>
    <row r="2759" ht="14.1" customHeight="1"/>
    <row r="2760" ht="14.1" customHeight="1"/>
    <row r="2761" ht="14.1" customHeight="1"/>
    <row r="2762" ht="14.1" customHeight="1"/>
    <row r="2763" ht="14.1" customHeight="1"/>
    <row r="2764" ht="14.1" customHeight="1"/>
    <row r="2765" ht="14.1" customHeight="1"/>
    <row r="2766" ht="14.1" customHeight="1"/>
    <row r="2767" ht="14.1" customHeight="1"/>
    <row r="2768" ht="14.1" customHeight="1"/>
    <row r="2769" ht="14.1" customHeight="1"/>
    <row r="2770" ht="14.1" customHeight="1"/>
    <row r="2771" ht="14.1" customHeight="1"/>
    <row r="2772" ht="14.1" customHeight="1"/>
    <row r="2773" ht="14.1" customHeight="1"/>
    <row r="2774" ht="14.1" customHeight="1"/>
    <row r="2775" ht="14.1" customHeight="1"/>
    <row r="2776" ht="14.1" customHeight="1"/>
    <row r="2777" ht="14.1" customHeight="1"/>
    <row r="2778" ht="14.1" customHeight="1"/>
    <row r="2779" ht="14.1" customHeight="1"/>
    <row r="2780" ht="14.1" customHeight="1"/>
    <row r="2781" ht="14.1" customHeight="1"/>
    <row r="2782" ht="14.1" customHeight="1"/>
    <row r="2783" ht="14.1" customHeight="1"/>
    <row r="2784" ht="14.1" customHeight="1"/>
    <row r="2785" ht="14.1" customHeight="1"/>
    <row r="2786" ht="14.1" customHeight="1"/>
    <row r="2787" ht="14.1" customHeight="1"/>
    <row r="2788" ht="14.1" customHeight="1"/>
    <row r="2789" ht="14.1" customHeight="1"/>
    <row r="2790" ht="14.1" customHeight="1"/>
    <row r="2791" ht="14.1" customHeight="1"/>
    <row r="2792" ht="14.1" customHeight="1"/>
    <row r="2793" ht="14.1" customHeight="1"/>
    <row r="2794" ht="14.1" customHeight="1"/>
    <row r="2795" ht="14.1" customHeight="1"/>
    <row r="2796" ht="14.1" customHeight="1"/>
    <row r="2797" ht="14.1" customHeight="1"/>
    <row r="2798" ht="14.1" customHeight="1"/>
    <row r="2799" ht="14.1" customHeight="1"/>
    <row r="2800" ht="14.1" customHeight="1"/>
    <row r="2801" ht="14.1" customHeight="1"/>
    <row r="2802" ht="14.1" customHeight="1"/>
    <row r="2803" ht="14.1" customHeight="1"/>
    <row r="2804" ht="14.1" customHeight="1"/>
    <row r="2805" ht="14.1" customHeight="1"/>
    <row r="2806" ht="14.1" customHeight="1"/>
    <row r="2807" ht="14.1" customHeight="1"/>
    <row r="2808" ht="14.1" customHeight="1"/>
    <row r="2809" ht="14.1" customHeight="1"/>
    <row r="2810" ht="14.1" customHeight="1"/>
    <row r="2811" ht="14.1" customHeight="1"/>
    <row r="2812" ht="14.1" customHeight="1"/>
    <row r="2813" ht="14.1" customHeight="1"/>
    <row r="2814" ht="14.1" customHeight="1"/>
    <row r="2815" ht="14.1" customHeight="1"/>
    <row r="2816" ht="14.1" customHeight="1"/>
    <row r="2817" ht="14.1" customHeight="1"/>
    <row r="2818" ht="14.1" customHeight="1"/>
    <row r="2819" ht="14.1" customHeight="1"/>
    <row r="2820" ht="14.1" customHeight="1"/>
    <row r="2821" ht="14.1" customHeight="1"/>
    <row r="2822" ht="14.1" customHeight="1"/>
    <row r="2823" ht="14.1" customHeight="1"/>
    <row r="2824" ht="14.1" customHeight="1"/>
    <row r="2825" ht="14.1" customHeight="1"/>
    <row r="2826" ht="14.1" customHeight="1"/>
    <row r="2827" ht="14.1" customHeight="1"/>
    <row r="2828" ht="14.1" customHeight="1"/>
    <row r="2829" ht="14.1" customHeight="1"/>
    <row r="2830" ht="14.1" customHeight="1"/>
    <row r="2831" ht="14.1" customHeight="1"/>
    <row r="2832" ht="14.1" customHeight="1"/>
    <row r="2833" ht="14.1" customHeight="1"/>
    <row r="2834" ht="14.1" customHeight="1"/>
    <row r="2835" ht="14.1" customHeight="1"/>
    <row r="2836" ht="14.1" customHeight="1"/>
    <row r="2837" ht="14.1" customHeight="1"/>
    <row r="2838" ht="14.1" customHeight="1"/>
    <row r="2839" ht="14.1" customHeight="1"/>
    <row r="2840" ht="14.1" customHeight="1"/>
    <row r="2841" ht="14.1" customHeight="1"/>
    <row r="2842" ht="14.1" customHeight="1"/>
    <row r="2843" ht="14.1" customHeight="1"/>
    <row r="2844" ht="14.1" customHeight="1"/>
    <row r="2845" ht="14.1" customHeight="1"/>
    <row r="2846" ht="14.1" customHeight="1"/>
    <row r="2847" ht="14.1" customHeight="1"/>
    <row r="2848" ht="14.1" customHeight="1"/>
    <row r="2849" ht="14.1" customHeight="1"/>
    <row r="2850" ht="14.1" customHeight="1"/>
    <row r="2851" ht="14.1" customHeight="1"/>
    <row r="2852" ht="14.1" customHeight="1"/>
    <row r="2853" ht="14.1" customHeight="1"/>
    <row r="2854" ht="14.1" customHeight="1"/>
    <row r="2855" ht="14.1" customHeight="1"/>
    <row r="2856" ht="14.1" customHeight="1"/>
    <row r="2857" ht="14.1" customHeight="1"/>
    <row r="2858" ht="14.1" customHeight="1"/>
    <row r="2859" ht="14.1" customHeight="1"/>
    <row r="2860" ht="14.1" customHeight="1"/>
    <row r="2861" ht="14.1" customHeight="1"/>
    <row r="2862" ht="14.1" customHeight="1"/>
    <row r="2863" ht="14.1" customHeight="1"/>
    <row r="2864" ht="14.1" customHeight="1"/>
    <row r="2865" ht="14.1" customHeight="1"/>
    <row r="2866" ht="14.1" customHeight="1"/>
    <row r="2867" ht="14.1" customHeight="1"/>
    <row r="2868" ht="14.1" customHeight="1"/>
    <row r="2869" ht="14.1" customHeight="1"/>
    <row r="2870" ht="14.1" customHeight="1"/>
    <row r="2871" ht="14.1" customHeight="1"/>
    <row r="2872" ht="14.1" customHeight="1"/>
    <row r="2873" ht="14.1" customHeight="1"/>
    <row r="2874" ht="14.1" customHeight="1"/>
    <row r="2875" ht="14.1" customHeight="1"/>
    <row r="2876" ht="14.1" customHeight="1"/>
    <row r="2877" ht="14.1" customHeight="1"/>
    <row r="2878" ht="14.1" customHeight="1"/>
    <row r="2879" ht="14.1" customHeight="1"/>
    <row r="2880" ht="14.1" customHeight="1"/>
    <row r="2881" ht="14.1" customHeight="1"/>
    <row r="2882" ht="14.1" customHeight="1"/>
    <row r="2883" ht="14.1" customHeight="1"/>
    <row r="2884" ht="14.1" customHeight="1"/>
    <row r="2885" ht="14.1" customHeight="1"/>
    <row r="2886" ht="14.1" customHeight="1"/>
    <row r="2887" ht="14.1" customHeight="1"/>
    <row r="2888" ht="14.1" customHeight="1"/>
    <row r="2889" ht="14.1" customHeight="1"/>
    <row r="2890" ht="14.1" customHeight="1"/>
    <row r="2891" ht="14.1" customHeight="1"/>
    <row r="2892" ht="14.1" customHeight="1"/>
    <row r="2893" ht="14.1" customHeight="1"/>
    <row r="2894" ht="14.1" customHeight="1"/>
    <row r="2895" ht="14.1" customHeight="1"/>
    <row r="2896" ht="14.1" customHeight="1"/>
    <row r="2897" ht="14.1" customHeight="1"/>
    <row r="2898" ht="14.1" customHeight="1"/>
    <row r="2899" ht="14.1" customHeight="1"/>
    <row r="2900" ht="14.1" customHeight="1"/>
    <row r="2901" ht="14.1" customHeight="1"/>
    <row r="2902" ht="14.1" customHeight="1"/>
    <row r="2903" ht="14.1" customHeight="1"/>
    <row r="2904" ht="14.1" customHeight="1"/>
    <row r="2905" ht="14.1" customHeight="1"/>
    <row r="2906" ht="14.1" customHeight="1"/>
    <row r="2907" ht="14.1" customHeight="1"/>
    <row r="2908" ht="14.1" customHeight="1"/>
    <row r="2909" ht="14.1" customHeight="1"/>
    <row r="2910" ht="14.1" customHeight="1"/>
    <row r="2911" ht="14.1" customHeight="1"/>
    <row r="2912" ht="14.1" customHeight="1"/>
    <row r="2913" ht="14.1" customHeight="1"/>
    <row r="2914" ht="14.1" customHeight="1"/>
    <row r="2915" ht="14.1" customHeight="1"/>
    <row r="2916" ht="14.1" customHeight="1"/>
    <row r="2917" ht="14.1" customHeight="1"/>
    <row r="2918" ht="14.1" customHeight="1"/>
    <row r="2919" ht="14.1" customHeight="1"/>
    <row r="2920" ht="14.1" customHeight="1"/>
    <row r="2921" ht="14.1" customHeight="1"/>
    <row r="2922" ht="14.1" customHeight="1"/>
    <row r="2923" ht="14.1" customHeight="1"/>
    <row r="2924" ht="14.1" customHeight="1"/>
    <row r="2925" ht="14.1" customHeight="1"/>
    <row r="2926" ht="14.1" customHeight="1"/>
    <row r="2927" ht="14.1" customHeight="1"/>
    <row r="2928" ht="14.1" customHeight="1"/>
    <row r="2929" ht="14.1" customHeight="1"/>
    <row r="2930" ht="14.1" customHeight="1"/>
    <row r="2931" ht="14.1" customHeight="1"/>
    <row r="2932" ht="14.1" customHeight="1"/>
    <row r="2933" ht="14.1" customHeight="1"/>
    <row r="2934" ht="14.1" customHeight="1"/>
    <row r="2935" ht="14.1" customHeight="1"/>
    <row r="2936" ht="14.1" customHeight="1"/>
    <row r="2937" ht="14.1" customHeight="1"/>
    <row r="2938" ht="14.1" customHeight="1"/>
    <row r="2939" ht="14.1" customHeight="1"/>
    <row r="2940" ht="14.1" customHeight="1"/>
    <row r="2941" ht="14.1" customHeight="1"/>
    <row r="2942" ht="14.1" customHeight="1"/>
    <row r="2943" ht="14.1" customHeight="1"/>
    <row r="2944" ht="14.1" customHeight="1"/>
    <row r="2945" ht="14.1" customHeight="1"/>
    <row r="2946" ht="14.1" customHeight="1"/>
    <row r="2947" ht="14.1" customHeight="1"/>
    <row r="2948" ht="14.1" customHeight="1"/>
    <row r="2949" ht="14.1" customHeight="1"/>
    <row r="2950" ht="14.1" customHeight="1"/>
    <row r="2951" ht="14.1" customHeight="1"/>
    <row r="2952" ht="14.1" customHeight="1"/>
    <row r="2953" ht="14.1" customHeight="1"/>
    <row r="2954" ht="14.1" customHeight="1"/>
    <row r="2955" ht="14.1" customHeight="1"/>
    <row r="2956" ht="14.1" customHeight="1"/>
    <row r="2957" ht="14.1" customHeight="1"/>
    <row r="2958" ht="14.1" customHeight="1"/>
    <row r="2959" ht="14.1" customHeight="1"/>
    <row r="2960" ht="14.1" customHeight="1"/>
    <row r="2961" ht="14.1" customHeight="1"/>
    <row r="2962" ht="14.1" customHeight="1"/>
    <row r="2963" ht="14.1" customHeight="1"/>
    <row r="2964" ht="14.1" customHeight="1"/>
    <row r="2965" ht="14.1" customHeight="1"/>
    <row r="2966" ht="14.1" customHeight="1"/>
    <row r="2967" ht="14.1" customHeight="1"/>
    <row r="2968" ht="14.1" customHeight="1"/>
    <row r="2969" ht="14.1" customHeight="1"/>
    <row r="2970" ht="14.1" customHeight="1"/>
    <row r="2971" ht="14.1" customHeight="1"/>
    <row r="2972" ht="14.1" customHeight="1"/>
    <row r="2973" ht="14.1" customHeight="1"/>
    <row r="2974" ht="14.1" customHeight="1"/>
    <row r="2975" ht="14.1" customHeight="1"/>
    <row r="2976" ht="14.1" customHeight="1"/>
    <row r="2977" ht="14.1" customHeight="1"/>
    <row r="2978" ht="14.1" customHeight="1"/>
    <row r="2979" ht="14.1" customHeight="1"/>
    <row r="2980" ht="14.1" customHeight="1"/>
    <row r="2981" ht="14.1" customHeight="1"/>
    <row r="2982" ht="14.1" customHeight="1"/>
    <row r="2983" ht="14.1" customHeight="1"/>
    <row r="2984" ht="14.1" customHeight="1"/>
    <row r="2985" ht="14.1" customHeight="1"/>
    <row r="2986" ht="14.1" customHeight="1"/>
    <row r="2987" ht="14.1" customHeight="1"/>
    <row r="2988" ht="14.1" customHeight="1"/>
    <row r="2989" ht="14.1" customHeight="1"/>
    <row r="2990" ht="14.1" customHeight="1"/>
    <row r="2991" ht="14.1" customHeight="1"/>
    <row r="2992" ht="14.1" customHeight="1"/>
    <row r="2993" ht="14.1" customHeight="1"/>
    <row r="2994" ht="14.1" customHeight="1"/>
    <row r="2995" ht="14.1" customHeight="1"/>
    <row r="2996" ht="14.1" customHeight="1"/>
    <row r="2997" ht="14.1" customHeight="1"/>
    <row r="2998" ht="14.1" customHeight="1"/>
    <row r="2999" ht="14.1" customHeight="1"/>
    <row r="3000" ht="14.1" customHeight="1"/>
    <row r="3001" ht="14.1" customHeight="1"/>
    <row r="3002" ht="14.1" customHeight="1"/>
    <row r="3003" ht="14.1" customHeight="1"/>
    <row r="3004" ht="14.1" customHeight="1"/>
    <row r="3005" ht="14.1" customHeight="1"/>
    <row r="3006" ht="14.1" customHeight="1"/>
    <row r="3007" ht="14.1" customHeight="1"/>
    <row r="3008" ht="14.1" customHeight="1"/>
    <row r="3009" ht="14.1" customHeight="1"/>
    <row r="3010" ht="14.1" customHeight="1"/>
    <row r="3011" ht="14.1" customHeight="1"/>
    <row r="3012" ht="14.1" customHeight="1"/>
    <row r="3013" ht="14.1" customHeight="1"/>
    <row r="3014" ht="14.1" customHeight="1"/>
    <row r="3015" ht="14.1" customHeight="1"/>
    <row r="3016" ht="14.1" customHeight="1"/>
    <row r="3017" ht="14.1" customHeight="1"/>
    <row r="3018" ht="14.1" customHeight="1"/>
    <row r="3019" ht="14.1" customHeight="1"/>
    <row r="3020" ht="14.1" customHeight="1"/>
    <row r="3021" ht="14.1" customHeight="1"/>
    <row r="3022" ht="14.1" customHeight="1"/>
    <row r="3023" ht="14.1" customHeight="1"/>
    <row r="3024" ht="14.1" customHeight="1"/>
    <row r="3025" ht="14.1" customHeight="1"/>
    <row r="3026" ht="14.1" customHeight="1"/>
    <row r="3027" ht="14.1" customHeight="1"/>
    <row r="3028" ht="14.1" customHeight="1"/>
    <row r="3029" ht="14.1" customHeight="1"/>
    <row r="3030" ht="14.1" customHeight="1"/>
    <row r="3031" ht="14.1" customHeight="1"/>
    <row r="3032" ht="14.1" customHeight="1"/>
    <row r="3033" ht="14.1" customHeight="1"/>
    <row r="3034" ht="14.1" customHeight="1"/>
    <row r="3035" ht="14.1" customHeight="1"/>
    <row r="3036" ht="14.1" customHeight="1"/>
    <row r="3037" ht="14.1" customHeight="1"/>
    <row r="3038" ht="14.1" customHeight="1"/>
    <row r="3039" ht="14.1" customHeight="1"/>
    <row r="3040" ht="14.1" customHeight="1"/>
    <row r="3041" ht="14.1" customHeight="1"/>
    <row r="3042" ht="14.1" customHeight="1"/>
    <row r="3043" ht="14.1" customHeight="1"/>
    <row r="3044" ht="14.1" customHeight="1"/>
    <row r="3045" ht="14.1" customHeight="1"/>
    <row r="3046" ht="14.1" customHeight="1"/>
    <row r="3047" ht="14.1" customHeight="1"/>
    <row r="3048" ht="14.1" customHeight="1"/>
    <row r="3049" ht="14.1" customHeight="1"/>
    <row r="3050" ht="14.1" customHeight="1"/>
    <row r="3051" ht="14.1" customHeight="1"/>
    <row r="3052" ht="14.1" customHeight="1"/>
    <row r="3053" ht="14.1" customHeight="1"/>
    <row r="3054" ht="14.1" customHeight="1"/>
    <row r="3055" ht="14.1" customHeight="1"/>
    <row r="3056" ht="14.1" customHeight="1"/>
    <row r="3057" ht="14.1" customHeight="1"/>
    <row r="3058" ht="14.1" customHeight="1"/>
    <row r="3059" ht="14.1" customHeight="1"/>
    <row r="3060" ht="14.1" customHeight="1"/>
    <row r="3061" ht="14.1" customHeight="1"/>
    <row r="3062" ht="14.1" customHeight="1"/>
    <row r="3063" ht="14.1" customHeight="1"/>
    <row r="3064" ht="14.1" customHeight="1"/>
    <row r="3065" ht="14.1" customHeight="1"/>
    <row r="3066" ht="14.1" customHeight="1"/>
    <row r="3067" ht="14.1" customHeight="1"/>
    <row r="3068" ht="14.1" customHeight="1"/>
    <row r="3069" ht="14.1" customHeight="1"/>
    <row r="3070" ht="14.1" customHeight="1"/>
    <row r="3071" ht="14.1" customHeight="1"/>
    <row r="3072" ht="14.1" customHeight="1"/>
    <row r="3073" ht="14.1" customHeight="1"/>
    <row r="3074" ht="14.1" customHeight="1"/>
    <row r="3075" ht="14.1" customHeight="1"/>
    <row r="3076" ht="14.1" customHeight="1"/>
    <row r="3077" ht="14.1" customHeight="1"/>
    <row r="3078" ht="14.1" customHeight="1"/>
    <row r="3079" ht="14.1" customHeight="1"/>
    <row r="3080" ht="14.1" customHeight="1"/>
    <row r="3081" ht="14.1" customHeight="1"/>
    <row r="3082" ht="14.1" customHeight="1"/>
    <row r="3083" ht="14.1" customHeight="1"/>
    <row r="3084" ht="14.1" customHeight="1"/>
    <row r="3085" ht="14.1" customHeight="1"/>
    <row r="3086" ht="14.1" customHeight="1"/>
    <row r="3087" ht="14.1" customHeight="1"/>
    <row r="3088" ht="14.1" customHeight="1"/>
    <row r="3089" ht="14.1" customHeight="1"/>
    <row r="3090" ht="14.1" customHeight="1"/>
    <row r="3091" ht="14.1" customHeight="1"/>
    <row r="3092" ht="14.1" customHeight="1"/>
    <row r="3093" ht="14.1" customHeight="1"/>
    <row r="3094" ht="14.1" customHeight="1"/>
    <row r="3095" ht="14.1" customHeight="1"/>
    <row r="3096" ht="14.1" customHeight="1"/>
    <row r="3097" ht="14.1" customHeight="1"/>
    <row r="3098" ht="14.1" customHeight="1"/>
    <row r="3099" ht="14.1" customHeight="1"/>
    <row r="3100" ht="14.1" customHeight="1"/>
    <row r="3101" ht="14.1" customHeight="1"/>
    <row r="3102" ht="14.1" customHeight="1"/>
    <row r="3103" ht="14.1" customHeight="1"/>
    <row r="3104" ht="14.1" customHeight="1"/>
    <row r="3105" ht="14.1" customHeight="1"/>
    <row r="3106" ht="14.1" customHeight="1"/>
    <row r="3107" ht="14.1" customHeight="1"/>
    <row r="3108" ht="14.1" customHeight="1"/>
    <row r="3109" ht="14.1" customHeight="1"/>
    <row r="3110" ht="14.1" customHeight="1"/>
    <row r="3111" ht="14.1" customHeight="1"/>
    <row r="3112" ht="14.1" customHeight="1"/>
    <row r="3113" ht="14.1" customHeight="1"/>
    <row r="3114" ht="14.1" customHeight="1"/>
    <row r="3115" ht="14.1" customHeight="1"/>
    <row r="3116" ht="14.1" customHeight="1"/>
    <row r="3117" ht="14.1" customHeight="1"/>
    <row r="3118" ht="14.1" customHeight="1"/>
    <row r="3119" ht="14.1" customHeight="1"/>
    <row r="3120" ht="14.1" customHeight="1"/>
    <row r="3121" ht="14.1" customHeight="1"/>
    <row r="3122" ht="14.1" customHeight="1"/>
    <row r="3123" ht="14.1" customHeight="1"/>
    <row r="3124" ht="14.1" customHeight="1"/>
    <row r="3125" ht="14.1" customHeight="1"/>
    <row r="3126" ht="14.1" customHeight="1"/>
    <row r="3127" ht="14.1" customHeight="1"/>
    <row r="3128" ht="14.1" customHeight="1"/>
    <row r="3129" ht="14.1" customHeight="1"/>
    <row r="3130" ht="14.1" customHeight="1"/>
    <row r="3131" ht="14.1" customHeight="1"/>
    <row r="3132" ht="14.1" customHeight="1"/>
    <row r="3133" ht="14.1" customHeight="1"/>
    <row r="3134" ht="14.1" customHeight="1"/>
    <row r="3135" ht="14.1" customHeight="1"/>
    <row r="3136" ht="14.1" customHeight="1"/>
    <row r="3137" ht="14.1" customHeight="1"/>
    <row r="3138" ht="14.1" customHeight="1"/>
    <row r="3139" ht="14.1" customHeight="1"/>
    <row r="3140" ht="14.1" customHeight="1"/>
    <row r="3141" ht="14.1" customHeight="1"/>
    <row r="3142" ht="14.1" customHeight="1"/>
    <row r="3143" ht="14.1" customHeight="1"/>
    <row r="3144" ht="14.1" customHeight="1"/>
    <row r="3145" ht="14.1" customHeight="1"/>
    <row r="3146" ht="14.1" customHeight="1"/>
    <row r="3147" ht="14.1" customHeight="1"/>
    <row r="3148" ht="14.1" customHeight="1"/>
    <row r="3149" ht="14.1" customHeight="1"/>
    <row r="3150" ht="14.1" customHeight="1"/>
    <row r="3151" ht="14.1" customHeight="1"/>
    <row r="3152" ht="14.1" customHeight="1"/>
    <row r="3153" ht="14.1" customHeight="1"/>
    <row r="3154" ht="14.1" customHeight="1"/>
    <row r="3155" ht="14.1" customHeight="1"/>
    <row r="3156" ht="14.1" customHeight="1"/>
    <row r="3157" ht="14.1" customHeight="1"/>
    <row r="3158" ht="14.1" customHeight="1"/>
    <row r="3159" ht="14.1" customHeight="1"/>
    <row r="3160" ht="14.1" customHeight="1"/>
    <row r="3161" ht="14.1" customHeight="1"/>
    <row r="3162" ht="14.1" customHeight="1"/>
    <row r="3163" ht="14.1" customHeight="1"/>
    <row r="3164" ht="14.1" customHeight="1"/>
    <row r="3165" ht="14.1" customHeight="1"/>
    <row r="3166" ht="14.1" customHeight="1"/>
    <row r="3167" ht="14.1" customHeight="1"/>
    <row r="3168" ht="14.1" customHeight="1"/>
    <row r="3169" ht="14.1" customHeight="1"/>
    <row r="3170" ht="14.1" customHeight="1"/>
    <row r="3171" ht="14.1" customHeight="1"/>
    <row r="3172" ht="14.1" customHeight="1"/>
    <row r="3173" ht="14.1" customHeight="1"/>
    <row r="3174" ht="14.1" customHeight="1"/>
    <row r="3175" ht="14.1" customHeight="1"/>
    <row r="3176" ht="14.1" customHeight="1"/>
    <row r="3177" ht="14.1" customHeight="1"/>
    <row r="3178" ht="14.1" customHeight="1"/>
    <row r="3179" ht="14.1" customHeight="1"/>
    <row r="3180" ht="14.1" customHeight="1"/>
    <row r="3181" ht="14.1" customHeight="1"/>
    <row r="3182" ht="14.1" customHeight="1"/>
    <row r="3183" ht="14.1" customHeight="1"/>
    <row r="3184" ht="14.1" customHeight="1"/>
    <row r="3185" ht="14.1" customHeight="1"/>
    <row r="3186" ht="14.1" customHeight="1"/>
    <row r="3187" ht="14.1" customHeight="1"/>
    <row r="3188" ht="14.1" customHeight="1"/>
    <row r="3189" ht="14.1" customHeight="1"/>
    <row r="3190" ht="14.1" customHeight="1"/>
    <row r="3191" ht="14.1" customHeight="1"/>
    <row r="3192" ht="14.1" customHeight="1"/>
    <row r="3193" ht="14.1" customHeight="1"/>
    <row r="3194" ht="14.1" customHeight="1"/>
    <row r="3195" ht="14.1" customHeight="1"/>
    <row r="3196" ht="14.1" customHeight="1"/>
    <row r="3197" ht="14.1" customHeight="1"/>
    <row r="3198" ht="14.1" customHeight="1"/>
    <row r="3199" ht="14.1" customHeight="1"/>
    <row r="3200" ht="14.1" customHeight="1"/>
    <row r="3201" ht="14.1" customHeight="1"/>
    <row r="3202" ht="14.1" customHeight="1"/>
    <row r="3203" ht="14.1" customHeight="1"/>
    <row r="3204" ht="14.1" customHeight="1"/>
    <row r="3205" ht="14.1" customHeight="1"/>
    <row r="3206" ht="14.1" customHeight="1"/>
    <row r="3207" ht="14.1" customHeight="1"/>
    <row r="3208" ht="14.1" customHeight="1"/>
    <row r="3209" ht="14.1" customHeight="1"/>
    <row r="3210" ht="14.1" customHeight="1"/>
    <row r="3211" ht="14.1" customHeight="1"/>
    <row r="3212" ht="14.1" customHeight="1"/>
    <row r="3213" ht="14.1" customHeight="1"/>
    <row r="3214" ht="14.1" customHeight="1"/>
    <row r="3215" ht="14.1" customHeight="1"/>
    <row r="3216" ht="14.1" customHeight="1"/>
    <row r="3217" ht="14.1" customHeight="1"/>
    <row r="3218" ht="14.1" customHeight="1"/>
    <row r="3219" ht="14.1" customHeight="1"/>
    <row r="3220" ht="14.1" customHeight="1"/>
    <row r="3221" ht="14.1" customHeight="1"/>
    <row r="3222" ht="14.1" customHeight="1"/>
    <row r="3223" ht="14.1" customHeight="1"/>
    <row r="3224" ht="14.1" customHeight="1"/>
    <row r="3225" ht="14.1" customHeight="1"/>
    <row r="3226" ht="14.1" customHeight="1"/>
    <row r="3227" ht="14.1" customHeight="1"/>
    <row r="3228" ht="14.1" customHeight="1"/>
    <row r="3229" ht="14.1" customHeight="1"/>
    <row r="3230" ht="14.1" customHeight="1"/>
    <row r="3231" ht="14.1" customHeight="1"/>
    <row r="3232" ht="14.1" customHeight="1"/>
    <row r="3233" ht="14.1" customHeight="1"/>
    <row r="3234" ht="14.1" customHeight="1"/>
    <row r="3235" ht="14.1" customHeight="1"/>
    <row r="3236" ht="14.1" customHeight="1"/>
    <row r="3237" ht="14.1" customHeight="1"/>
    <row r="3238" ht="14.1" customHeight="1"/>
    <row r="3239" ht="14.1" customHeight="1"/>
    <row r="3240" ht="14.1" customHeight="1"/>
    <row r="3241" ht="14.1" customHeight="1"/>
    <row r="3242" ht="14.1" customHeight="1"/>
    <row r="3243" ht="14.1" customHeight="1"/>
    <row r="3244" ht="14.1" customHeight="1"/>
    <row r="3245" ht="14.1" customHeight="1"/>
    <row r="3246" ht="14.1" customHeight="1"/>
    <row r="3247" ht="14.1" customHeight="1"/>
    <row r="3248" ht="14.1" customHeight="1"/>
    <row r="3249" ht="14.1" customHeight="1"/>
    <row r="3250" ht="14.1" customHeight="1"/>
    <row r="3251" ht="14.1" customHeight="1"/>
    <row r="3252" ht="14.1" customHeight="1"/>
    <row r="3253" ht="14.1" customHeight="1"/>
    <row r="3254" ht="14.1" customHeight="1"/>
    <row r="3255" ht="14.1" customHeight="1"/>
    <row r="3256" ht="14.1" customHeight="1"/>
    <row r="3257" ht="14.1" customHeight="1"/>
    <row r="3258" ht="14.1" customHeight="1"/>
    <row r="3259" ht="14.1" customHeight="1"/>
    <row r="3260" ht="14.1" customHeight="1"/>
    <row r="3261" ht="14.1" customHeight="1"/>
    <row r="3262" ht="14.1" customHeight="1"/>
    <row r="3263" ht="14.1" customHeight="1"/>
    <row r="3264" ht="14.1" customHeight="1"/>
    <row r="3265" ht="14.1" customHeight="1"/>
    <row r="3266" ht="14.1" customHeight="1"/>
    <row r="3267" ht="14.1" customHeight="1"/>
    <row r="3268" ht="14.1" customHeight="1"/>
    <row r="3269" ht="14.1" customHeight="1"/>
    <row r="3270" ht="14.1" customHeight="1"/>
    <row r="3271" ht="14.1" customHeight="1"/>
    <row r="3272" ht="14.1" customHeight="1"/>
    <row r="3273" ht="14.1" customHeight="1"/>
    <row r="3274" ht="14.1" customHeight="1"/>
    <row r="3275" ht="14.1" customHeight="1"/>
    <row r="3276" ht="14.1" customHeight="1"/>
    <row r="3277" ht="14.1" customHeight="1"/>
    <row r="3278" ht="14.1" customHeight="1"/>
    <row r="3279" ht="14.1" customHeight="1"/>
    <row r="3280" ht="14.1" customHeight="1"/>
    <row r="3281" ht="14.1" customHeight="1"/>
    <row r="3282" ht="14.1" customHeight="1"/>
    <row r="3283" ht="14.1" customHeight="1"/>
    <row r="3284" ht="14.1" customHeight="1"/>
    <row r="3285" ht="14.1" customHeight="1"/>
    <row r="3286" ht="14.1" customHeight="1"/>
    <row r="3287" ht="14.1" customHeight="1"/>
    <row r="3288" ht="14.1" customHeight="1"/>
    <row r="3289" ht="14.1" customHeight="1"/>
    <row r="3290" ht="14.1" customHeight="1"/>
    <row r="3291" ht="14.1" customHeight="1"/>
    <row r="3292" ht="14.1" customHeight="1"/>
    <row r="3293" ht="14.1" customHeight="1"/>
    <row r="3294" ht="14.1" customHeight="1"/>
    <row r="3295" ht="14.1" customHeight="1"/>
    <row r="3296" ht="14.1" customHeight="1"/>
    <row r="3297" ht="14.1" customHeight="1"/>
    <row r="3298" ht="14.1" customHeight="1"/>
    <row r="3299" ht="14.1" customHeight="1"/>
    <row r="3300" ht="14.1" customHeight="1"/>
    <row r="3301" ht="14.1" customHeight="1"/>
    <row r="3302" ht="14.1" customHeight="1"/>
    <row r="3303" ht="14.1" customHeight="1"/>
    <row r="3304" ht="14.1" customHeight="1"/>
    <row r="3305" ht="14.1" customHeight="1"/>
    <row r="3306" ht="14.1" customHeight="1"/>
    <row r="3307" ht="14.1" customHeight="1"/>
    <row r="3308" ht="14.1" customHeight="1"/>
    <row r="3309" ht="14.1" customHeight="1"/>
    <row r="3310" ht="14.1" customHeight="1"/>
    <row r="3311" ht="14.1" customHeight="1"/>
    <row r="3312" ht="14.1" customHeight="1"/>
    <row r="3313" ht="14.1" customHeight="1"/>
    <row r="3314" ht="14.1" customHeight="1"/>
    <row r="3315" ht="14.1" customHeight="1"/>
    <row r="3316" ht="14.1" customHeight="1"/>
    <row r="3317" ht="14.1" customHeight="1"/>
    <row r="3318" ht="14.1" customHeight="1"/>
    <row r="3319" ht="14.1" customHeight="1"/>
    <row r="3320" ht="14.1" customHeight="1"/>
    <row r="3321" ht="14.1" customHeight="1"/>
    <row r="3322" ht="14.1" customHeight="1"/>
    <row r="3323" ht="14.1" customHeight="1"/>
    <row r="3324" ht="14.1" customHeight="1"/>
    <row r="3325" ht="14.1" customHeight="1"/>
    <row r="3326" ht="14.1" customHeight="1"/>
    <row r="3327" ht="14.1" customHeight="1"/>
    <row r="3328" ht="14.1" customHeight="1"/>
    <row r="3329" ht="14.1" customHeight="1"/>
    <row r="3330" ht="14.1" customHeight="1"/>
    <row r="3331" ht="14.1" customHeight="1"/>
    <row r="3332" ht="14.1" customHeight="1"/>
    <row r="3333" ht="14.1" customHeight="1"/>
    <row r="3334" ht="14.1" customHeight="1"/>
    <row r="3335" ht="14.1" customHeight="1"/>
    <row r="3336" ht="14.1" customHeight="1"/>
    <row r="3337" ht="14.1" customHeight="1"/>
    <row r="3338" ht="14.1" customHeight="1"/>
    <row r="3339" ht="14.1" customHeight="1"/>
    <row r="3340" ht="14.1" customHeight="1"/>
    <row r="3341" ht="14.1" customHeight="1"/>
    <row r="3342" ht="14.1" customHeight="1"/>
    <row r="3343" ht="14.1" customHeight="1"/>
    <row r="3344" ht="14.1" customHeight="1"/>
    <row r="3345" ht="14.1" customHeight="1"/>
    <row r="3346" ht="14.1" customHeight="1"/>
    <row r="3347" ht="14.1" customHeight="1"/>
    <row r="3348" ht="14.1" customHeight="1"/>
    <row r="3349" ht="14.1" customHeight="1"/>
    <row r="3350" ht="14.1" customHeight="1"/>
    <row r="3351" ht="14.1" customHeight="1"/>
    <row r="3352" ht="14.1" customHeight="1"/>
    <row r="3353" ht="14.1" customHeight="1"/>
    <row r="3354" ht="14.1" customHeight="1"/>
    <row r="3355" ht="14.1" customHeight="1"/>
    <row r="3356" ht="14.1" customHeight="1"/>
    <row r="3357" ht="14.1" customHeight="1"/>
    <row r="3358" ht="14.1" customHeight="1"/>
    <row r="3359" ht="14.1" customHeight="1"/>
    <row r="3360" ht="14.1" customHeight="1"/>
    <row r="3361" ht="14.1" customHeight="1"/>
    <row r="3362" ht="14.1" customHeight="1"/>
    <row r="3363" ht="14.1" customHeight="1"/>
    <row r="3364" ht="14.1" customHeight="1"/>
    <row r="3365" ht="14.1" customHeight="1"/>
    <row r="3366" ht="14.1" customHeight="1"/>
    <row r="3367" ht="14.1" customHeight="1"/>
    <row r="3368" ht="14.1" customHeight="1"/>
    <row r="3369" ht="14.1" customHeight="1"/>
    <row r="3370" ht="14.1" customHeight="1"/>
    <row r="3371" ht="14.1" customHeight="1"/>
    <row r="3372" ht="14.1" customHeight="1"/>
    <row r="3373" ht="14.1" customHeight="1"/>
    <row r="3374" ht="14.1" customHeight="1"/>
    <row r="3375" ht="14.1" customHeight="1"/>
    <row r="3376" ht="14.1" customHeight="1"/>
    <row r="3377" ht="14.1" customHeight="1"/>
    <row r="3378" ht="14.1" customHeight="1"/>
    <row r="3379" ht="14.1" customHeight="1"/>
    <row r="3380" ht="14.1" customHeight="1"/>
    <row r="3381" ht="14.1" customHeight="1"/>
    <row r="3382" ht="14.1" customHeight="1"/>
    <row r="3383" ht="14.1" customHeight="1"/>
    <row r="3384" ht="14.1" customHeight="1"/>
    <row r="3385" ht="14.1" customHeight="1"/>
    <row r="3386" ht="14.1" customHeight="1"/>
    <row r="3387" ht="14.1" customHeight="1"/>
    <row r="3388" ht="14.1" customHeight="1"/>
    <row r="3389" ht="14.1" customHeight="1"/>
    <row r="3390" ht="14.1" customHeight="1"/>
    <row r="3391" ht="14.1" customHeight="1"/>
    <row r="3392" ht="14.1" customHeight="1"/>
    <row r="3393" ht="14.1" customHeight="1"/>
    <row r="3394" ht="14.1" customHeight="1"/>
    <row r="3395" ht="14.1" customHeight="1"/>
    <row r="3396" ht="14.1" customHeight="1"/>
    <row r="3397" ht="14.1" customHeight="1"/>
    <row r="3398" ht="14.1" customHeight="1"/>
    <row r="3399" ht="14.1" customHeight="1"/>
    <row r="3400" ht="14.1" customHeight="1"/>
    <row r="3401" ht="14.1" customHeight="1"/>
    <row r="3402" ht="14.1" customHeight="1"/>
    <row r="3403" ht="14.1" customHeight="1"/>
    <row r="3404" ht="14.1" customHeight="1"/>
    <row r="3405" ht="14.1" customHeight="1"/>
    <row r="3406" ht="14.1" customHeight="1"/>
    <row r="3407" ht="14.1" customHeight="1"/>
    <row r="3408" ht="14.1" customHeight="1"/>
    <row r="3409" ht="14.1" customHeight="1"/>
    <row r="3410" ht="14.1" customHeight="1"/>
    <row r="3411" ht="14.1" customHeight="1"/>
    <row r="3412" ht="14.1" customHeight="1"/>
    <row r="3413" ht="14.1" customHeight="1"/>
    <row r="3414" ht="14.1" customHeight="1"/>
    <row r="3415" ht="14.1" customHeight="1"/>
    <row r="3416" ht="14.1" customHeight="1"/>
    <row r="3417" ht="14.1" customHeight="1"/>
    <row r="3418" ht="14.1" customHeight="1"/>
    <row r="3419" ht="14.1" customHeight="1"/>
    <row r="3420" ht="14.1" customHeight="1"/>
    <row r="3421" ht="14.1" customHeight="1"/>
    <row r="3422" ht="14.1" customHeight="1"/>
    <row r="3423" ht="14.1" customHeight="1"/>
    <row r="3424" ht="14.1" customHeight="1"/>
    <row r="3425" ht="14.1" customHeight="1"/>
    <row r="3426" ht="14.1" customHeight="1"/>
    <row r="3427" ht="14.1" customHeight="1"/>
    <row r="3428" ht="14.1" customHeight="1"/>
    <row r="3429" ht="14.1" customHeight="1"/>
    <row r="3430" ht="14.1" customHeight="1"/>
    <row r="3431" ht="14.1" customHeight="1"/>
    <row r="3432" ht="14.1" customHeight="1"/>
    <row r="3433" ht="14.1" customHeight="1"/>
    <row r="3434" ht="14.1" customHeight="1"/>
    <row r="3435" ht="14.1" customHeight="1"/>
    <row r="3436" ht="14.1" customHeight="1"/>
    <row r="3437" ht="14.1" customHeight="1"/>
    <row r="3438" ht="14.1" customHeight="1"/>
    <row r="3439" ht="14.1" customHeight="1"/>
    <row r="3440" ht="14.1" customHeight="1"/>
    <row r="3441" ht="14.1" customHeight="1"/>
    <row r="3442" ht="14.1" customHeight="1"/>
    <row r="3443" ht="14.1" customHeight="1"/>
    <row r="3444" ht="14.1" customHeight="1"/>
    <row r="3445" ht="14.1" customHeight="1"/>
    <row r="3446" ht="14.1" customHeight="1"/>
    <row r="3447" ht="14.1" customHeight="1"/>
    <row r="3448" ht="14.1" customHeight="1"/>
    <row r="3449" ht="14.1" customHeight="1"/>
    <row r="3450" ht="14.1" customHeight="1"/>
    <row r="3451" ht="14.1" customHeight="1"/>
    <row r="3452" ht="14.1" customHeight="1"/>
    <row r="3453" ht="14.1" customHeight="1"/>
    <row r="3454" ht="14.1" customHeight="1"/>
    <row r="3455" ht="14.1" customHeight="1"/>
    <row r="3456" ht="14.1" customHeight="1"/>
    <row r="3457" ht="14.1" customHeight="1"/>
    <row r="3458" ht="14.1" customHeight="1"/>
    <row r="3459" ht="14.1" customHeight="1"/>
    <row r="3460" ht="14.1" customHeight="1"/>
    <row r="3461" ht="14.1" customHeight="1"/>
    <row r="3462" ht="14.1" customHeight="1"/>
    <row r="3463" ht="14.1" customHeight="1"/>
    <row r="3464" ht="14.1" customHeight="1"/>
    <row r="3465" ht="14.1" customHeight="1"/>
    <row r="3466" ht="14.1" customHeight="1"/>
    <row r="3467" ht="14.1" customHeight="1"/>
    <row r="3468" ht="14.1" customHeight="1"/>
    <row r="3469" ht="14.1" customHeight="1"/>
    <row r="3470" ht="14.1" customHeight="1"/>
    <row r="3471" ht="14.1" customHeight="1"/>
    <row r="3472" ht="14.1" customHeight="1"/>
    <row r="3473" ht="14.1" customHeight="1"/>
    <row r="3474" ht="14.1" customHeight="1"/>
    <row r="3475" ht="14.1" customHeight="1"/>
    <row r="3476" ht="14.1" customHeight="1"/>
    <row r="3477" ht="14.1" customHeight="1"/>
    <row r="3478" ht="14.1" customHeight="1"/>
    <row r="3479" ht="14.1" customHeight="1"/>
    <row r="3480" ht="14.1" customHeight="1"/>
    <row r="3481" ht="14.1" customHeight="1"/>
    <row r="3482" ht="14.1" customHeight="1"/>
    <row r="3483" ht="14.1" customHeight="1"/>
    <row r="3484" ht="14.1" customHeight="1"/>
    <row r="3485" ht="14.1" customHeight="1"/>
    <row r="3486" ht="14.1" customHeight="1"/>
    <row r="3487" ht="14.1" customHeight="1"/>
    <row r="3488" ht="14.1" customHeight="1"/>
    <row r="3489" ht="14.1" customHeight="1"/>
    <row r="3490" ht="14.1" customHeight="1"/>
    <row r="3491" ht="14.1" customHeight="1"/>
    <row r="3492" ht="14.1" customHeight="1"/>
    <row r="3493" ht="14.1" customHeight="1"/>
    <row r="3494" ht="14.1" customHeight="1"/>
    <row r="3495" ht="14.1" customHeight="1"/>
    <row r="3496" ht="14.1" customHeight="1"/>
    <row r="3497" ht="14.1" customHeight="1"/>
    <row r="3498" ht="14.1" customHeight="1"/>
    <row r="3499" ht="14.1" customHeight="1"/>
    <row r="3500" ht="14.1" customHeight="1"/>
    <row r="3501" ht="14.1" customHeight="1"/>
    <row r="3502" ht="14.1" customHeight="1"/>
    <row r="3503" ht="14.1" customHeight="1"/>
    <row r="3504" ht="14.1" customHeight="1"/>
    <row r="3505" ht="14.1" customHeight="1"/>
    <row r="3506" ht="14.1" customHeight="1"/>
    <row r="3507" ht="14.1" customHeight="1"/>
    <row r="3508" ht="14.1" customHeight="1"/>
    <row r="3509" ht="14.1" customHeight="1"/>
    <row r="3510" ht="14.1" customHeight="1"/>
    <row r="3511" ht="14.1" customHeight="1"/>
    <row r="3512" ht="14.1" customHeight="1"/>
    <row r="3513" ht="14.1" customHeight="1"/>
    <row r="3514" ht="14.1" customHeight="1"/>
    <row r="3515" ht="14.1" customHeight="1"/>
    <row r="3516" ht="14.1" customHeight="1"/>
    <row r="3517" ht="14.1" customHeight="1"/>
    <row r="3518" ht="14.1" customHeight="1"/>
    <row r="3519" ht="14.1" customHeight="1"/>
    <row r="3520" ht="14.1" customHeight="1"/>
    <row r="3521" ht="14.1" customHeight="1"/>
    <row r="3522" ht="14.1" customHeight="1"/>
    <row r="3523" ht="14.1" customHeight="1"/>
    <row r="3524" ht="14.1" customHeight="1"/>
    <row r="3525" ht="14.1" customHeight="1"/>
    <row r="3526" ht="14.1" customHeight="1"/>
    <row r="3527" ht="14.1" customHeight="1"/>
    <row r="3528" ht="14.1" customHeight="1"/>
    <row r="3529" ht="14.1" customHeight="1"/>
    <row r="3530" ht="14.1" customHeight="1"/>
    <row r="3531" ht="14.1" customHeight="1"/>
    <row r="3532" ht="14.1" customHeight="1"/>
    <row r="3533" ht="14.1" customHeight="1"/>
    <row r="3534" ht="14.1" customHeight="1"/>
    <row r="3535" ht="14.1" customHeight="1"/>
    <row r="3536" ht="14.1" customHeight="1"/>
    <row r="3537" ht="14.1" customHeight="1"/>
    <row r="3538" ht="14.1" customHeight="1"/>
    <row r="3539" ht="14.1" customHeight="1"/>
    <row r="3540" ht="14.1" customHeight="1"/>
    <row r="3541" ht="14.1" customHeight="1"/>
    <row r="3542" ht="14.1" customHeight="1"/>
    <row r="3543" ht="14.1" customHeight="1"/>
    <row r="3544" ht="14.1" customHeight="1"/>
    <row r="3545" ht="14.1" customHeight="1"/>
    <row r="3546" ht="14.1" customHeight="1"/>
    <row r="3547" ht="14.1" customHeight="1"/>
    <row r="3548" ht="14.1" customHeight="1"/>
    <row r="3549" ht="14.1" customHeight="1"/>
    <row r="3550" ht="14.1" customHeight="1"/>
    <row r="3551" ht="14.1" customHeight="1"/>
    <row r="3552" ht="14.1" customHeight="1"/>
    <row r="3553" ht="14.1" customHeight="1"/>
    <row r="3554" ht="14.1" customHeight="1"/>
    <row r="3555" ht="14.1" customHeight="1"/>
    <row r="3556" ht="14.1" customHeight="1"/>
    <row r="3557" ht="14.1" customHeight="1"/>
    <row r="3558" ht="14.1" customHeight="1"/>
    <row r="3559" ht="14.1" customHeight="1"/>
    <row r="3560" ht="14.1" customHeight="1"/>
    <row r="3561" ht="14.1" customHeight="1"/>
    <row r="3562" ht="14.1" customHeight="1"/>
    <row r="3563" ht="14.1" customHeight="1"/>
    <row r="3564" ht="14.1" customHeight="1"/>
    <row r="3565" ht="14.1" customHeight="1"/>
    <row r="3566" ht="14.1" customHeight="1"/>
    <row r="3567" ht="14.1" customHeight="1"/>
    <row r="3568" ht="14.1" customHeight="1"/>
    <row r="3569" ht="14.1" customHeight="1"/>
    <row r="3570" ht="14.1" customHeight="1"/>
    <row r="3571" ht="14.1" customHeight="1"/>
    <row r="3572" ht="14.1" customHeight="1"/>
    <row r="3573" ht="14.1" customHeight="1"/>
    <row r="3574" ht="14.1" customHeight="1"/>
    <row r="3575" ht="14.1" customHeight="1"/>
    <row r="3576" ht="14.1" customHeight="1"/>
    <row r="3577" ht="14.1" customHeight="1"/>
    <row r="3578" ht="14.1" customHeight="1"/>
    <row r="3579" ht="14.1" customHeight="1"/>
    <row r="3580" ht="14.1" customHeight="1"/>
    <row r="3581" ht="14.1" customHeight="1"/>
    <row r="3582" ht="14.1" customHeight="1"/>
    <row r="3583" ht="14.1" customHeight="1"/>
    <row r="3584" ht="14.1" customHeight="1"/>
    <row r="3585" ht="14.1" customHeight="1"/>
    <row r="3586" ht="14.1" customHeight="1"/>
    <row r="3587" ht="14.1" customHeight="1"/>
    <row r="3588" ht="14.1" customHeight="1"/>
    <row r="3589" ht="14.1" customHeight="1"/>
    <row r="3590" ht="14.1" customHeight="1"/>
    <row r="3591" ht="14.1" customHeight="1"/>
    <row r="3592" ht="14.1" customHeight="1"/>
    <row r="3593" ht="14.1" customHeight="1"/>
    <row r="3594" ht="14.1" customHeight="1"/>
    <row r="3595" ht="14.1" customHeight="1"/>
    <row r="3596" ht="14.1" customHeight="1"/>
    <row r="3597" ht="14.1" customHeight="1"/>
    <row r="3598" ht="14.1" customHeight="1"/>
    <row r="3599" ht="14.1" customHeight="1"/>
    <row r="3600" ht="14.1" customHeight="1"/>
    <row r="3601" ht="14.1" customHeight="1"/>
    <row r="3602" ht="14.1" customHeight="1"/>
    <row r="3603" ht="14.1" customHeight="1"/>
    <row r="3604" ht="14.1" customHeight="1"/>
    <row r="3605" ht="14.1" customHeight="1"/>
    <row r="3606" ht="14.1" customHeight="1"/>
    <row r="3607" ht="14.1" customHeight="1"/>
    <row r="3608" ht="14.1" customHeight="1"/>
    <row r="3609" ht="14.1" customHeight="1"/>
    <row r="3610" ht="14.1" customHeight="1"/>
    <row r="3611" ht="14.1" customHeight="1"/>
    <row r="3612" ht="14.1" customHeight="1"/>
    <row r="3613" ht="14.1" customHeight="1"/>
    <row r="3614" ht="14.1" customHeight="1"/>
    <row r="3615" ht="14.1" customHeight="1"/>
    <row r="3616" ht="14.1" customHeight="1"/>
    <row r="3617" ht="14.1" customHeight="1"/>
    <row r="3618" ht="14.1" customHeight="1"/>
    <row r="3619" ht="14.1" customHeight="1"/>
    <row r="3620" ht="14.1" customHeight="1"/>
    <row r="3621" ht="14.1" customHeight="1"/>
    <row r="3622" ht="14.1" customHeight="1"/>
    <row r="3623" ht="14.1" customHeight="1"/>
    <row r="3624" ht="14.1" customHeight="1"/>
    <row r="3625" ht="14.1" customHeight="1"/>
    <row r="3626" ht="14.1" customHeight="1"/>
    <row r="3627" ht="14.1" customHeight="1"/>
    <row r="3628" ht="14.1" customHeight="1"/>
    <row r="3629" ht="14.1" customHeight="1"/>
    <row r="3630" ht="14.1" customHeight="1"/>
    <row r="3631" ht="14.1" customHeight="1"/>
    <row r="3632" ht="14.1" customHeight="1"/>
    <row r="3633" ht="14.1" customHeight="1"/>
    <row r="3634" ht="14.1" customHeight="1"/>
    <row r="3635" ht="14.1" customHeight="1"/>
    <row r="3636" ht="14.1" customHeight="1"/>
    <row r="3637" ht="14.1" customHeight="1"/>
    <row r="3638" ht="14.1" customHeight="1"/>
    <row r="3639" ht="14.1" customHeight="1"/>
    <row r="3640" ht="14.1" customHeight="1"/>
    <row r="3641" ht="14.1" customHeight="1"/>
    <row r="3642" ht="14.1" customHeight="1"/>
    <row r="3643" ht="14.1" customHeight="1"/>
    <row r="3644" ht="14.1" customHeight="1"/>
    <row r="3645" ht="14.1" customHeight="1"/>
    <row r="3646" ht="14.1" customHeight="1"/>
    <row r="3647" ht="14.1" customHeight="1"/>
    <row r="3648" ht="14.1" customHeight="1"/>
    <row r="3649" ht="14.1" customHeight="1"/>
    <row r="3650" ht="14.1" customHeight="1"/>
    <row r="3651" ht="14.1" customHeight="1"/>
    <row r="3652" ht="14.1" customHeight="1"/>
    <row r="3653" ht="14.1" customHeight="1"/>
    <row r="3654" ht="14.1" customHeight="1"/>
    <row r="3655" ht="14.1" customHeight="1"/>
    <row r="3656" ht="14.1" customHeight="1"/>
    <row r="3657" ht="14.1" customHeight="1"/>
    <row r="3658" ht="14.1" customHeight="1"/>
    <row r="3659" ht="14.1" customHeight="1"/>
    <row r="3660" ht="14.1" customHeight="1"/>
    <row r="3661" ht="14.1" customHeight="1"/>
    <row r="3662" ht="14.1" customHeight="1"/>
    <row r="3663" ht="14.1" customHeight="1"/>
    <row r="3664" ht="14.1" customHeight="1"/>
    <row r="3665" ht="14.1" customHeight="1"/>
    <row r="3666" ht="14.1" customHeight="1"/>
    <row r="3667" ht="14.1" customHeight="1"/>
    <row r="3668" ht="14.1" customHeight="1"/>
    <row r="3669" ht="14.1" customHeight="1"/>
    <row r="3670" ht="14.1" customHeight="1"/>
    <row r="3671" ht="14.1" customHeight="1"/>
    <row r="3672" ht="14.1" customHeight="1"/>
    <row r="3673" ht="14.1" customHeight="1"/>
    <row r="3674" ht="14.1" customHeight="1"/>
    <row r="3675" ht="14.1" customHeight="1"/>
    <row r="3676" ht="14.1" customHeight="1"/>
    <row r="3677" ht="14.1" customHeight="1"/>
    <row r="3678" ht="14.1" customHeight="1"/>
    <row r="3679" ht="14.1" customHeight="1"/>
    <row r="3680" ht="14.1" customHeight="1"/>
    <row r="3681" ht="14.1" customHeight="1"/>
    <row r="3682" ht="14.1" customHeight="1"/>
    <row r="3683" ht="14.1" customHeight="1"/>
    <row r="3684" ht="14.1" customHeight="1"/>
    <row r="3685" ht="14.1" customHeight="1"/>
    <row r="3686" ht="14.1" customHeight="1"/>
    <row r="3687" ht="14.1" customHeight="1"/>
    <row r="3688" ht="14.1" customHeight="1"/>
    <row r="3689" ht="14.1" customHeight="1"/>
    <row r="3690" ht="14.1" customHeight="1"/>
    <row r="3691" ht="14.1" customHeight="1"/>
    <row r="3692" ht="14.1" customHeight="1"/>
    <row r="3693" ht="14.1" customHeight="1"/>
    <row r="3694" ht="14.1" customHeight="1"/>
    <row r="3695" ht="14.1" customHeight="1"/>
    <row r="3696" ht="14.1" customHeight="1"/>
    <row r="3697" ht="14.1" customHeight="1"/>
    <row r="3698" ht="14.1" customHeight="1"/>
    <row r="3699" ht="14.1" customHeight="1"/>
    <row r="3700" ht="14.1" customHeight="1"/>
    <row r="3701" ht="14.1" customHeight="1"/>
    <row r="3702" ht="14.1" customHeight="1"/>
    <row r="3703" ht="14.1" customHeight="1"/>
    <row r="3704" ht="14.1" customHeight="1"/>
    <row r="3705" ht="14.1" customHeight="1"/>
    <row r="3706" ht="14.1" customHeight="1"/>
    <row r="3707" ht="14.1" customHeight="1"/>
    <row r="3708" ht="14.1" customHeight="1"/>
    <row r="3709" ht="14.1" customHeight="1"/>
    <row r="3710" ht="14.1" customHeight="1"/>
    <row r="3711" ht="14.1" customHeight="1"/>
    <row r="3712" ht="14.1" customHeight="1"/>
    <row r="3713" ht="14.1" customHeight="1"/>
    <row r="3714" ht="14.1" customHeight="1"/>
    <row r="3715" ht="14.1" customHeight="1"/>
    <row r="3716" ht="14.1" customHeight="1"/>
    <row r="3717" ht="14.1" customHeight="1"/>
    <row r="3718" ht="14.1" customHeight="1"/>
    <row r="3719" ht="14.1" customHeight="1"/>
    <row r="3720" ht="14.1" customHeight="1"/>
    <row r="3721" ht="14.1" customHeight="1"/>
    <row r="3722" ht="14.1" customHeight="1"/>
    <row r="3723" ht="14.1" customHeight="1"/>
    <row r="3724" ht="14.1" customHeight="1"/>
    <row r="3725" ht="14.1" customHeight="1"/>
    <row r="3726" ht="14.1" customHeight="1"/>
    <row r="3727" ht="14.1" customHeight="1"/>
    <row r="3728" ht="14.1" customHeight="1"/>
    <row r="3729" ht="14.1" customHeight="1"/>
    <row r="3730" ht="14.1" customHeight="1"/>
    <row r="3731" ht="14.1" customHeight="1"/>
    <row r="3732" ht="14.1" customHeight="1"/>
    <row r="3733" ht="14.1" customHeight="1"/>
    <row r="3734" ht="14.1" customHeight="1"/>
    <row r="3735" ht="14.1" customHeight="1"/>
    <row r="3736" ht="14.1" customHeight="1"/>
    <row r="3737" ht="14.1" customHeight="1"/>
    <row r="3738" ht="14.1" customHeight="1"/>
    <row r="3739" ht="14.1" customHeight="1"/>
    <row r="3740" ht="14.1" customHeight="1"/>
    <row r="3741" ht="14.1" customHeight="1"/>
    <row r="3742" ht="14.1" customHeight="1"/>
    <row r="3743" ht="14.1" customHeight="1"/>
    <row r="3744" ht="14.1" customHeight="1"/>
    <row r="3745" ht="14.1" customHeight="1"/>
    <row r="3746" ht="14.1" customHeight="1"/>
    <row r="3747" ht="14.1" customHeight="1"/>
    <row r="3748" ht="14.1" customHeight="1"/>
    <row r="3749" ht="14.1" customHeight="1"/>
    <row r="3750" ht="14.1" customHeight="1"/>
    <row r="3751" ht="14.1" customHeight="1"/>
    <row r="3752" ht="14.1" customHeight="1"/>
    <row r="3753" ht="14.1" customHeight="1"/>
    <row r="3754" ht="14.1" customHeight="1"/>
    <row r="3755" ht="14.1" customHeight="1"/>
    <row r="3756" ht="14.1" customHeight="1"/>
    <row r="3757" ht="14.1" customHeight="1"/>
    <row r="3758" ht="14.1" customHeight="1"/>
    <row r="3759" ht="14.1" customHeight="1"/>
    <row r="3760" ht="14.1" customHeight="1"/>
    <row r="3761" ht="14.1" customHeight="1"/>
    <row r="3762" ht="14.1" customHeight="1"/>
    <row r="3763" ht="14.1" customHeight="1"/>
    <row r="3764" ht="14.1" customHeight="1"/>
    <row r="3765" ht="14.1" customHeight="1"/>
    <row r="3766" ht="14.1" customHeight="1"/>
    <row r="3767" ht="14.1" customHeight="1"/>
    <row r="3768" ht="14.1" customHeight="1"/>
    <row r="3769" ht="14.1" customHeight="1"/>
    <row r="3770" ht="14.1" customHeight="1"/>
    <row r="3771" ht="14.1" customHeight="1"/>
    <row r="3772" ht="14.1" customHeight="1"/>
    <row r="3773" ht="14.1" customHeight="1"/>
    <row r="3774" ht="14.1" customHeight="1"/>
    <row r="3775" ht="14.1" customHeight="1"/>
    <row r="3776" ht="14.1" customHeight="1"/>
    <row r="3777" ht="14.1" customHeight="1"/>
    <row r="3778" ht="14.1" customHeight="1"/>
    <row r="3779" ht="14.1" customHeight="1"/>
    <row r="3780" ht="14.1" customHeight="1"/>
    <row r="3781" ht="14.1" customHeight="1"/>
    <row r="3782" ht="14.1" customHeight="1"/>
    <row r="3783" ht="14.1" customHeight="1"/>
    <row r="3784" ht="14.1" customHeight="1"/>
    <row r="3785" ht="14.1" customHeight="1"/>
    <row r="3786" ht="14.1" customHeight="1"/>
    <row r="3787" ht="14.1" customHeight="1"/>
    <row r="3788" ht="14.1" customHeight="1"/>
    <row r="3789" ht="14.1" customHeight="1"/>
    <row r="3790" ht="14.1" customHeight="1"/>
    <row r="3791" ht="14.1" customHeight="1"/>
    <row r="3792" ht="14.1" customHeight="1"/>
    <row r="3793" ht="14.1" customHeight="1"/>
    <row r="3794" ht="14.1" customHeight="1"/>
    <row r="3795" ht="14.1" customHeight="1"/>
    <row r="3796" ht="14.1" customHeight="1"/>
    <row r="3797" ht="14.1" customHeight="1"/>
    <row r="3798" ht="14.1" customHeight="1"/>
    <row r="3799" ht="14.1" customHeight="1"/>
    <row r="3800" ht="14.1" customHeight="1"/>
    <row r="3801" ht="14.1" customHeight="1"/>
    <row r="3802" ht="14.1" customHeight="1"/>
    <row r="3803" ht="14.1" customHeight="1"/>
    <row r="3804" ht="14.1" customHeight="1"/>
    <row r="3805" ht="14.1" customHeight="1"/>
    <row r="3806" ht="14.1" customHeight="1"/>
    <row r="3807" ht="14.1" customHeight="1"/>
    <row r="3808" ht="14.1" customHeight="1"/>
    <row r="3809" ht="14.1" customHeight="1"/>
    <row r="3810" ht="14.1" customHeight="1"/>
    <row r="3811" ht="14.1" customHeight="1"/>
    <row r="3812" ht="14.1" customHeight="1"/>
    <row r="3813" ht="14.1" customHeight="1"/>
    <row r="3814" ht="14.1" customHeight="1"/>
    <row r="3815" ht="14.1" customHeight="1"/>
    <row r="3816" ht="14.1" customHeight="1"/>
    <row r="3817" ht="14.1" customHeight="1"/>
    <row r="3818" ht="14.1" customHeight="1"/>
    <row r="3819" ht="14.1" customHeight="1"/>
    <row r="3820" ht="14.1" customHeight="1"/>
    <row r="3821" ht="14.1" customHeight="1"/>
    <row r="3822" ht="14.1" customHeight="1"/>
    <row r="3823" ht="14.1" customHeight="1"/>
    <row r="3824" ht="14.1" customHeight="1"/>
    <row r="3825" ht="14.1" customHeight="1"/>
    <row r="3826" ht="14.1" customHeight="1"/>
    <row r="3827" ht="14.1" customHeight="1"/>
    <row r="3828" ht="14.1" customHeight="1"/>
    <row r="3829" ht="14.1" customHeight="1"/>
    <row r="3830" ht="14.1" customHeight="1"/>
    <row r="3831" ht="14.1" customHeight="1"/>
    <row r="3832" ht="14.1" customHeight="1"/>
    <row r="3833" ht="14.1" customHeight="1"/>
    <row r="3834" ht="14.1" customHeight="1"/>
    <row r="3835" ht="14.1" customHeight="1"/>
    <row r="3836" ht="14.1" customHeight="1"/>
    <row r="3837" ht="14.1" customHeight="1"/>
    <row r="3838" ht="14.1" customHeight="1"/>
    <row r="3839" ht="14.1" customHeight="1"/>
    <row r="3840" ht="14.1" customHeight="1"/>
    <row r="3841" ht="14.1" customHeight="1"/>
    <row r="3842" ht="14.1" customHeight="1"/>
    <row r="3843" ht="14.1" customHeight="1"/>
    <row r="3844" ht="14.1" customHeight="1"/>
    <row r="3845" ht="14.1" customHeight="1"/>
    <row r="3846" ht="14.1" customHeight="1"/>
    <row r="3847" ht="14.1" customHeight="1"/>
    <row r="3848" ht="14.1" customHeight="1"/>
    <row r="3849" ht="14.1" customHeight="1"/>
    <row r="3850" ht="14.1" customHeight="1"/>
    <row r="3851" ht="14.1" customHeight="1"/>
    <row r="3852" ht="14.1" customHeight="1"/>
    <row r="3853" ht="14.1" customHeight="1"/>
    <row r="3854" ht="14.1" customHeight="1"/>
    <row r="3855" ht="14.1" customHeight="1"/>
    <row r="3856" ht="14.1" customHeight="1"/>
    <row r="3857" ht="14.1" customHeight="1"/>
    <row r="3858" ht="14.1" customHeight="1"/>
    <row r="3859" ht="14.1" customHeight="1"/>
    <row r="3860" ht="14.1" customHeight="1"/>
    <row r="3861" ht="14.1" customHeight="1"/>
    <row r="3862" ht="14.1" customHeight="1"/>
    <row r="3863" ht="14.1" customHeight="1"/>
    <row r="3864" ht="14.1" customHeight="1"/>
    <row r="3865" ht="14.1" customHeight="1"/>
    <row r="3866" ht="14.1" customHeight="1"/>
    <row r="3867" ht="14.1" customHeight="1"/>
    <row r="3868" ht="14.1" customHeight="1"/>
    <row r="3869" ht="14.1" customHeight="1"/>
    <row r="3870" ht="14.1" customHeight="1"/>
    <row r="3871" ht="14.1" customHeight="1"/>
    <row r="3872" ht="14.1" customHeight="1"/>
    <row r="3873" ht="14.1" customHeight="1"/>
    <row r="3874" ht="14.1" customHeight="1"/>
    <row r="3875" ht="14.1" customHeight="1"/>
    <row r="3876" ht="14.1" customHeight="1"/>
    <row r="3877" ht="14.1" customHeight="1"/>
    <row r="3878" ht="14.1" customHeight="1"/>
    <row r="3879" ht="14.1" customHeight="1"/>
    <row r="3880" ht="14.1" customHeight="1"/>
    <row r="3881" ht="14.1" customHeight="1"/>
    <row r="3882" ht="14.1" customHeight="1"/>
    <row r="3883" ht="14.1" customHeight="1"/>
    <row r="3884" ht="14.1" customHeight="1"/>
    <row r="3885" ht="14.1" customHeight="1"/>
    <row r="3886" ht="14.1" customHeight="1"/>
    <row r="3887" ht="14.1" customHeight="1"/>
    <row r="3888" ht="14.1" customHeight="1"/>
    <row r="3889" ht="14.1" customHeight="1"/>
    <row r="3890" ht="14.1" customHeight="1"/>
    <row r="3891" ht="14.1" customHeight="1"/>
    <row r="3892" ht="14.1" customHeight="1"/>
    <row r="3893" ht="14.1" customHeight="1"/>
    <row r="3894" ht="14.1" customHeight="1"/>
    <row r="3895" ht="14.1" customHeight="1"/>
    <row r="3896" ht="14.1" customHeight="1"/>
    <row r="3897" ht="14.1" customHeight="1"/>
    <row r="3898" ht="14.1" customHeight="1"/>
    <row r="3899" ht="14.1" customHeight="1"/>
    <row r="3900" ht="14.1" customHeight="1"/>
    <row r="3901" ht="14.1" customHeight="1"/>
    <row r="3902" ht="14.1" customHeight="1"/>
    <row r="3903" ht="14.1" customHeight="1"/>
    <row r="3904" ht="14.1" customHeight="1"/>
    <row r="3905" ht="14.1" customHeight="1"/>
    <row r="3906" ht="14.1" customHeight="1"/>
    <row r="3907" ht="14.1" customHeight="1"/>
    <row r="3908" ht="14.1" customHeight="1"/>
    <row r="3909" ht="14.1" customHeight="1"/>
    <row r="3910" ht="14.1" customHeight="1"/>
    <row r="3911" ht="14.1" customHeight="1"/>
    <row r="3912" ht="14.1" customHeight="1"/>
    <row r="3913" ht="14.1" customHeight="1"/>
    <row r="3914" ht="14.1" customHeight="1"/>
    <row r="3915" ht="14.1" customHeight="1"/>
    <row r="3916" ht="14.1" customHeight="1"/>
    <row r="3917" ht="14.1" customHeight="1"/>
    <row r="3918" ht="14.1" customHeight="1"/>
    <row r="3919" ht="14.1" customHeight="1"/>
    <row r="3920" ht="14.1" customHeight="1"/>
    <row r="3921" ht="14.1" customHeight="1"/>
    <row r="3922" ht="14.1" customHeight="1"/>
    <row r="3923" ht="14.1" customHeight="1"/>
    <row r="3924" ht="14.1" customHeight="1"/>
    <row r="3925" ht="14.1" customHeight="1"/>
    <row r="3926" ht="14.1" customHeight="1"/>
    <row r="3927" ht="14.1" customHeight="1"/>
    <row r="3928" ht="14.1" customHeight="1"/>
    <row r="3929" ht="14.1" customHeight="1"/>
    <row r="3930" ht="14.1" customHeight="1"/>
    <row r="3931" ht="14.1" customHeight="1"/>
    <row r="3932" ht="14.1" customHeight="1"/>
    <row r="3933" ht="14.1" customHeight="1"/>
    <row r="3934" ht="14.1" customHeight="1"/>
    <row r="3935" ht="14.1" customHeight="1"/>
    <row r="3936" ht="14.1" customHeight="1"/>
    <row r="3937" ht="14.1" customHeight="1"/>
    <row r="3938" ht="14.1" customHeight="1"/>
    <row r="3939" ht="14.1" customHeight="1"/>
    <row r="3940" ht="14.1" customHeight="1"/>
    <row r="3941" ht="14.1" customHeight="1"/>
    <row r="3942" ht="14.1" customHeight="1"/>
    <row r="3943" ht="14.1" customHeight="1"/>
    <row r="3944" ht="14.1" customHeight="1"/>
    <row r="3945" ht="14.1" customHeight="1"/>
    <row r="3946" ht="14.1" customHeight="1"/>
    <row r="3947" ht="14.1" customHeight="1"/>
    <row r="3948" ht="14.1" customHeight="1"/>
    <row r="3949" ht="14.1" customHeight="1"/>
    <row r="3950" ht="14.1" customHeight="1"/>
    <row r="3951" ht="14.1" customHeight="1"/>
    <row r="3952" ht="14.1" customHeight="1"/>
    <row r="3953" ht="14.1" customHeight="1"/>
    <row r="3954" ht="14.1" customHeight="1"/>
    <row r="3955" ht="14.1" customHeight="1"/>
    <row r="3956" ht="14.1" customHeight="1"/>
    <row r="3957" ht="14.1" customHeight="1"/>
    <row r="3958" ht="14.1" customHeight="1"/>
    <row r="3959" ht="14.1" customHeight="1"/>
    <row r="3960" ht="14.1" customHeight="1"/>
    <row r="3961" ht="14.1" customHeight="1"/>
    <row r="3962" ht="14.1" customHeight="1"/>
    <row r="3963" ht="14.1" customHeight="1"/>
    <row r="3964" ht="14.1" customHeight="1"/>
    <row r="3965" ht="14.1" customHeight="1"/>
    <row r="3966" ht="14.1" customHeight="1"/>
    <row r="3967" ht="14.1" customHeight="1"/>
    <row r="3968" ht="14.1" customHeight="1"/>
    <row r="3969" ht="14.1" customHeight="1"/>
    <row r="3970" ht="14.1" customHeight="1"/>
    <row r="3971" ht="14.1" customHeight="1"/>
    <row r="3972" ht="14.1" customHeight="1"/>
    <row r="3973" ht="14.1" customHeight="1"/>
    <row r="3974" ht="14.1" customHeight="1"/>
    <row r="3975" ht="14.1" customHeight="1"/>
    <row r="3976" ht="14.1" customHeight="1"/>
    <row r="3977" ht="14.1" customHeight="1"/>
    <row r="3978" ht="14.1" customHeight="1"/>
    <row r="3979" ht="14.1" customHeight="1"/>
    <row r="3980" ht="14.1" customHeight="1"/>
    <row r="3981" ht="14.1" customHeight="1"/>
    <row r="3982" ht="14.1" customHeight="1"/>
    <row r="3983" ht="14.1" customHeight="1"/>
    <row r="3984" ht="14.1" customHeight="1"/>
    <row r="3985" ht="14.1" customHeight="1"/>
    <row r="3986" ht="14.1" customHeight="1"/>
    <row r="3987" ht="14.1" customHeight="1"/>
    <row r="3988" ht="14.1" customHeight="1"/>
    <row r="3989" ht="14.1" customHeight="1"/>
    <row r="3990" ht="14.1" customHeight="1"/>
    <row r="3991" ht="14.1" customHeight="1"/>
    <row r="3992" ht="14.1" customHeight="1"/>
    <row r="3993" ht="14.1" customHeight="1"/>
    <row r="3994" ht="14.1" customHeight="1"/>
    <row r="3995" ht="14.1" customHeight="1"/>
    <row r="3996" ht="14.1" customHeight="1"/>
    <row r="3997" ht="14.1" customHeight="1"/>
    <row r="3998" ht="14.1" customHeight="1"/>
    <row r="3999" ht="14.1" customHeight="1"/>
    <row r="4000" ht="14.1" customHeight="1"/>
    <row r="4001" ht="14.1" customHeight="1"/>
    <row r="4002" ht="14.1" customHeight="1"/>
    <row r="4003" ht="14.1" customHeight="1"/>
    <row r="4004" ht="14.1" customHeight="1"/>
    <row r="4005" ht="14.1" customHeight="1"/>
    <row r="4006" ht="14.1" customHeight="1"/>
    <row r="4007" ht="14.1" customHeight="1"/>
    <row r="4008" ht="14.1" customHeight="1"/>
    <row r="4009" ht="14.1" customHeight="1"/>
    <row r="4010" ht="14.1" customHeight="1"/>
    <row r="4011" ht="14.1" customHeight="1"/>
    <row r="4012" ht="14.1" customHeight="1"/>
    <row r="4013" ht="14.1" customHeight="1"/>
    <row r="4014" ht="14.1" customHeight="1"/>
    <row r="4015" ht="14.1" customHeight="1"/>
    <row r="4016" ht="14.1" customHeight="1"/>
    <row r="4017" ht="14.1" customHeight="1"/>
    <row r="4018" ht="14.1" customHeight="1"/>
    <row r="4019" ht="14.1" customHeight="1"/>
    <row r="4020" ht="14.1" customHeight="1"/>
    <row r="4021" ht="14.1" customHeight="1"/>
    <row r="4022" ht="14.1" customHeight="1"/>
    <row r="4023" ht="14.1" customHeight="1"/>
    <row r="4024" ht="14.1" customHeight="1"/>
    <row r="4025" ht="14.1" customHeight="1"/>
    <row r="4026" ht="14.1" customHeight="1"/>
    <row r="4027" ht="14.1" customHeight="1"/>
    <row r="4028" ht="14.1" customHeight="1"/>
    <row r="4029" ht="14.1" customHeight="1"/>
    <row r="4030" ht="14.1" customHeight="1"/>
    <row r="4031" ht="14.1" customHeight="1"/>
    <row r="4032" ht="14.1" customHeight="1"/>
    <row r="4033" ht="14.1" customHeight="1"/>
    <row r="4034" ht="14.1" customHeight="1"/>
    <row r="4035" ht="14.1" customHeight="1"/>
    <row r="4036" ht="14.1" customHeight="1"/>
    <row r="4037" ht="14.1" customHeight="1"/>
    <row r="4038" ht="14.1" customHeight="1"/>
    <row r="4039" ht="14.1" customHeight="1"/>
    <row r="4040" ht="14.1" customHeight="1"/>
    <row r="4041" ht="14.1" customHeight="1"/>
    <row r="4042" ht="14.1" customHeight="1"/>
    <row r="4043" ht="14.1" customHeight="1"/>
    <row r="4044" ht="14.1" customHeight="1"/>
    <row r="4045" ht="14.1" customHeight="1"/>
    <row r="4046" ht="14.1" customHeight="1"/>
    <row r="4047" ht="14.1" customHeight="1"/>
    <row r="4048" ht="14.1" customHeight="1"/>
    <row r="4049" ht="14.1" customHeight="1"/>
    <row r="4050" ht="14.1" customHeight="1"/>
    <row r="4051" ht="14.1" customHeight="1"/>
    <row r="4052" ht="14.1" customHeight="1"/>
    <row r="4053" ht="14.1" customHeight="1"/>
    <row r="4054" ht="14.1" customHeight="1"/>
    <row r="4055" ht="14.1" customHeight="1"/>
    <row r="4056" ht="14.1" customHeight="1"/>
    <row r="4057" ht="14.1" customHeight="1"/>
    <row r="4058" ht="14.1" customHeight="1"/>
    <row r="4059" ht="14.1" customHeight="1"/>
    <row r="4060" ht="14.1" customHeight="1"/>
    <row r="4061" ht="14.1" customHeight="1"/>
    <row r="4062" ht="14.1" customHeight="1"/>
    <row r="4063" ht="14.1" customHeight="1"/>
    <row r="4064" ht="14.1" customHeight="1"/>
    <row r="4065" ht="14.1" customHeight="1"/>
    <row r="4066" ht="14.1" customHeight="1"/>
    <row r="4067" ht="14.1" customHeight="1"/>
    <row r="4068" ht="14.1" customHeight="1"/>
    <row r="4069" ht="14.1" customHeight="1"/>
    <row r="4070" ht="14.1" customHeight="1"/>
    <row r="4071" ht="14.1" customHeight="1"/>
    <row r="4072" ht="14.1" customHeight="1"/>
    <row r="4073" ht="14.1" customHeight="1"/>
    <row r="4074" ht="14.1" customHeight="1"/>
    <row r="4075" ht="14.1" customHeight="1"/>
    <row r="4076" ht="14.1" customHeight="1"/>
    <row r="4077" ht="14.1" customHeight="1"/>
    <row r="4078" ht="14.1" customHeight="1"/>
    <row r="4079" ht="14.1" customHeight="1"/>
    <row r="4080" ht="14.1" customHeight="1"/>
    <row r="4081" ht="14.1" customHeight="1"/>
    <row r="4082" ht="14.1" customHeight="1"/>
    <row r="4083" ht="14.1" customHeight="1"/>
    <row r="4084" ht="14.1" customHeight="1"/>
    <row r="4085" ht="14.1" customHeight="1"/>
    <row r="4086" ht="14.1" customHeight="1"/>
    <row r="4087" ht="14.1" customHeight="1"/>
    <row r="4088" ht="14.1" customHeight="1"/>
    <row r="4089" ht="14.1" customHeight="1"/>
    <row r="4090" ht="14.1" customHeight="1"/>
    <row r="4091" ht="14.1" customHeight="1"/>
    <row r="4092" ht="14.1" customHeight="1"/>
    <row r="4093" ht="14.1" customHeight="1"/>
    <row r="4094" ht="14.1" customHeight="1"/>
    <row r="4095" ht="14.1" customHeight="1"/>
    <row r="4096" ht="14.1" customHeight="1"/>
    <row r="4097" ht="14.1" customHeight="1"/>
    <row r="4098" ht="14.1" customHeight="1"/>
    <row r="4099" ht="14.1" customHeight="1"/>
    <row r="4100" ht="14.1" customHeight="1"/>
    <row r="4101" ht="14.1" customHeight="1"/>
    <row r="4102" ht="14.1" customHeight="1"/>
    <row r="4103" ht="14.1" customHeight="1"/>
    <row r="4104" ht="14.1" customHeight="1"/>
    <row r="4105" ht="14.1" customHeight="1"/>
    <row r="4106" ht="14.1" customHeight="1"/>
    <row r="4107" ht="14.1" customHeight="1"/>
    <row r="4108" ht="14.1" customHeight="1"/>
    <row r="4109" ht="14.1" customHeight="1"/>
    <row r="4110" ht="14.1" customHeight="1"/>
    <row r="4111" ht="14.1" customHeight="1"/>
    <row r="4112" ht="14.1" customHeight="1"/>
    <row r="4113" ht="14.1" customHeight="1"/>
    <row r="4114" ht="14.1" customHeight="1"/>
    <row r="4115" ht="14.1" customHeight="1"/>
    <row r="4116" ht="14.1" customHeight="1"/>
    <row r="4117" ht="14.1" customHeight="1"/>
    <row r="4118" ht="14.1" customHeight="1"/>
    <row r="4119" ht="14.1" customHeight="1"/>
    <row r="4120" ht="14.1" customHeight="1"/>
    <row r="4121" ht="14.1" customHeight="1"/>
    <row r="4122" ht="14.1" customHeight="1"/>
    <row r="4123" ht="14.1" customHeight="1"/>
    <row r="4124" ht="14.1" customHeight="1"/>
    <row r="4125" ht="14.1" customHeight="1"/>
    <row r="4126" ht="14.1" customHeight="1"/>
    <row r="4127" ht="14.1" customHeight="1"/>
    <row r="4128" ht="14.1" customHeight="1"/>
    <row r="4129" ht="14.1" customHeight="1"/>
    <row r="4130" ht="14.1" customHeight="1"/>
    <row r="4131" ht="14.1" customHeight="1"/>
    <row r="4132" ht="14.1" customHeight="1"/>
    <row r="4133" ht="14.1" customHeight="1"/>
    <row r="4134" ht="14.1" customHeight="1"/>
    <row r="4135" ht="14.1" customHeight="1"/>
    <row r="4136" ht="14.1" customHeight="1"/>
    <row r="4137" ht="14.1" customHeight="1"/>
    <row r="4138" ht="14.1" customHeight="1"/>
    <row r="4139" ht="14.1" customHeight="1"/>
    <row r="4140" ht="14.1" customHeight="1"/>
    <row r="4141" ht="14.1" customHeight="1"/>
    <row r="4142" ht="14.1" customHeight="1"/>
    <row r="4143" ht="14.1" customHeight="1"/>
    <row r="4144" ht="14.1" customHeight="1"/>
    <row r="4145" ht="14.1" customHeight="1"/>
    <row r="4146" ht="14.1" customHeight="1"/>
    <row r="4147" ht="14.1" customHeight="1"/>
    <row r="4148" ht="14.1" customHeight="1"/>
    <row r="4149" ht="14.1" customHeight="1"/>
    <row r="4150" ht="14.1" customHeight="1"/>
    <row r="4151" ht="14.1" customHeight="1"/>
    <row r="4152" ht="14.1" customHeight="1"/>
    <row r="4153" ht="14.1" customHeight="1"/>
    <row r="4154" ht="14.1" customHeight="1"/>
    <row r="4155" ht="14.1" customHeight="1"/>
    <row r="4156" ht="14.1" customHeight="1"/>
    <row r="4157" ht="14.1" customHeight="1"/>
    <row r="4158" ht="14.1" customHeight="1"/>
    <row r="4159" ht="14.1" customHeight="1"/>
    <row r="4160" ht="14.1" customHeight="1"/>
    <row r="4161" ht="14.1" customHeight="1"/>
    <row r="4162" ht="14.1" customHeight="1"/>
    <row r="4163" ht="14.1" customHeight="1"/>
    <row r="4164" ht="14.1" customHeight="1"/>
    <row r="4165" ht="14.1" customHeight="1"/>
    <row r="4166" ht="14.1" customHeight="1"/>
    <row r="4167" ht="14.1" customHeight="1"/>
    <row r="4168" ht="14.1" customHeight="1"/>
    <row r="4169" ht="14.1" customHeight="1"/>
    <row r="4170" ht="14.1" customHeight="1"/>
    <row r="4171" ht="14.1" customHeight="1"/>
    <row r="4172" ht="14.1" customHeight="1"/>
    <row r="4173" ht="14.1" customHeight="1"/>
    <row r="4174" ht="14.1" customHeight="1"/>
    <row r="4175" ht="14.1" customHeight="1"/>
    <row r="4176" ht="14.1" customHeight="1"/>
    <row r="4177" ht="14.1" customHeight="1"/>
    <row r="4178" ht="14.1" customHeight="1"/>
    <row r="4179" ht="14.1" customHeight="1"/>
    <row r="4180" ht="14.1" customHeight="1"/>
    <row r="4181" ht="14.1" customHeight="1"/>
    <row r="4182" ht="14.1" customHeight="1"/>
    <row r="4183" ht="14.1" customHeight="1"/>
    <row r="4184" ht="14.1" customHeight="1"/>
    <row r="4185" ht="14.1" customHeight="1"/>
    <row r="4186" ht="14.1" customHeight="1"/>
    <row r="4187" ht="14.1" customHeight="1"/>
    <row r="4188" ht="14.1" customHeight="1"/>
    <row r="4189" ht="14.1" customHeight="1"/>
    <row r="4190" ht="14.1" customHeight="1"/>
    <row r="4191" ht="14.1" customHeight="1"/>
    <row r="4192" ht="14.1" customHeight="1"/>
    <row r="4193" ht="14.1" customHeight="1"/>
    <row r="4194" ht="14.1" customHeight="1"/>
    <row r="4195" ht="14.1" customHeight="1"/>
    <row r="4196" ht="14.1" customHeight="1"/>
    <row r="4197" ht="14.1" customHeight="1"/>
    <row r="4198" ht="14.1" customHeight="1"/>
    <row r="4199" ht="14.1" customHeight="1"/>
    <row r="4200" ht="14.1" customHeight="1"/>
    <row r="4201" ht="14.1" customHeight="1"/>
    <row r="4202" ht="14.1" customHeight="1"/>
    <row r="4203" ht="14.1" customHeight="1"/>
    <row r="4204" ht="14.1" customHeight="1"/>
    <row r="4205" ht="14.1" customHeight="1"/>
    <row r="4206" ht="14.1" customHeight="1"/>
    <row r="4207" ht="14.1" customHeight="1"/>
    <row r="4208" ht="14.1" customHeight="1"/>
    <row r="4209" ht="14.1" customHeight="1"/>
    <row r="4210" ht="14.1" customHeight="1"/>
    <row r="4211" ht="14.1" customHeight="1"/>
    <row r="4212" ht="14.1" customHeight="1"/>
    <row r="4213" ht="14.1" customHeight="1"/>
    <row r="4214" ht="14.1" customHeight="1"/>
    <row r="4215" ht="14.1" customHeight="1"/>
    <row r="4216" ht="14.1" customHeight="1"/>
    <row r="4217" ht="14.1" customHeight="1"/>
    <row r="4218" ht="14.1" customHeight="1"/>
    <row r="4219" ht="14.1" customHeight="1"/>
    <row r="4220" ht="14.1" customHeight="1"/>
    <row r="4221" ht="14.1" customHeight="1"/>
    <row r="4222" ht="14.1" customHeight="1"/>
    <row r="4223" ht="14.1" customHeight="1"/>
    <row r="4224" ht="14.1" customHeight="1"/>
    <row r="4225" ht="14.1" customHeight="1"/>
    <row r="4226" ht="14.1" customHeight="1"/>
    <row r="4227" ht="14.1" customHeight="1"/>
    <row r="4228" ht="14.1" customHeight="1"/>
    <row r="4229" ht="14.1" customHeight="1"/>
    <row r="4230" ht="14.1" customHeight="1"/>
    <row r="4231" ht="14.1" customHeight="1"/>
    <row r="4232" ht="14.1" customHeight="1"/>
    <row r="4233" ht="14.1" customHeight="1"/>
    <row r="4234" ht="14.1" customHeight="1"/>
    <row r="4235" ht="14.1" customHeight="1"/>
    <row r="4236" ht="14.1" customHeight="1"/>
    <row r="4237" ht="14.1" customHeight="1"/>
    <row r="4238" ht="14.1" customHeight="1"/>
    <row r="4239" ht="14.1" customHeight="1"/>
    <row r="4240" ht="14.1" customHeight="1"/>
    <row r="4241" ht="14.1" customHeight="1"/>
    <row r="4242" ht="14.1" customHeight="1"/>
    <row r="4243" ht="14.1" customHeight="1"/>
    <row r="4244" ht="14.1" customHeight="1"/>
    <row r="4245" ht="14.1" customHeight="1"/>
    <row r="4246" ht="14.1" customHeight="1"/>
    <row r="4247" ht="14.1" customHeight="1"/>
    <row r="4248" ht="14.1" customHeight="1"/>
    <row r="4249" ht="14.1" customHeight="1"/>
    <row r="4250" ht="14.1" customHeight="1"/>
    <row r="4251" ht="14.1" customHeight="1"/>
    <row r="4252" ht="14.1" customHeight="1"/>
    <row r="4253" ht="14.1" customHeight="1"/>
    <row r="4254" ht="14.1" customHeight="1"/>
    <row r="4255" ht="14.1" customHeight="1"/>
    <row r="4256" ht="14.1" customHeight="1"/>
    <row r="4257" ht="14.1" customHeight="1"/>
    <row r="4258" ht="14.1" customHeight="1"/>
    <row r="4259" ht="14.1" customHeight="1"/>
    <row r="4260" ht="14.1" customHeight="1"/>
    <row r="4261" ht="14.1" customHeight="1"/>
    <row r="4262" ht="14.1" customHeight="1"/>
    <row r="4263" ht="14.1" customHeight="1"/>
    <row r="4264" ht="14.1" customHeight="1"/>
    <row r="4265" ht="14.1" customHeight="1"/>
    <row r="4266" ht="14.1" customHeight="1"/>
    <row r="4267" ht="14.1" customHeight="1"/>
    <row r="4268" ht="14.1" customHeight="1"/>
    <row r="4269" ht="14.1" customHeight="1"/>
    <row r="4270" ht="14.1" customHeight="1"/>
    <row r="4271" ht="14.1" customHeight="1"/>
    <row r="4272" ht="14.1" customHeight="1"/>
    <row r="4273" ht="14.1" customHeight="1"/>
    <row r="4274" ht="14.1" customHeight="1"/>
    <row r="4275" ht="14.1" customHeight="1"/>
    <row r="4276" ht="14.1" customHeight="1"/>
    <row r="4277" ht="14.1" customHeight="1"/>
    <row r="4278" ht="14.1" customHeight="1"/>
    <row r="4279" ht="14.1" customHeight="1"/>
    <row r="4280" ht="14.1" customHeight="1"/>
    <row r="4281" ht="14.1" customHeight="1"/>
    <row r="4282" ht="14.1" customHeight="1"/>
    <row r="4283" ht="14.1" customHeight="1"/>
    <row r="4284" ht="14.1" customHeight="1"/>
    <row r="4285" ht="14.1" customHeight="1"/>
    <row r="4286" ht="14.1" customHeight="1"/>
    <row r="4287" ht="14.1" customHeight="1"/>
    <row r="4288" ht="14.1" customHeight="1"/>
    <row r="4289" ht="14.1" customHeight="1"/>
    <row r="4290" ht="14.1" customHeight="1"/>
    <row r="4291" ht="14.1" customHeight="1"/>
    <row r="4292" ht="14.1" customHeight="1"/>
    <row r="4293" ht="14.1" customHeight="1"/>
    <row r="4294" ht="14.1" customHeight="1"/>
    <row r="4295" ht="14.1" customHeight="1"/>
    <row r="4296" ht="14.1" customHeight="1"/>
    <row r="4297" ht="14.1" customHeight="1"/>
    <row r="4298" ht="14.1" customHeight="1"/>
    <row r="4299" ht="14.1" customHeight="1"/>
    <row r="4300" ht="14.1" customHeight="1"/>
    <row r="4301" ht="14.1" customHeight="1"/>
    <row r="4302" ht="14.1" customHeight="1"/>
    <row r="4303" ht="14.1" customHeight="1"/>
    <row r="4304" ht="14.1" customHeight="1"/>
    <row r="4305" ht="14.1" customHeight="1"/>
    <row r="4306" ht="14.1" customHeight="1"/>
    <row r="4307" ht="14.1" customHeight="1"/>
    <row r="4308" ht="14.1" customHeight="1"/>
    <row r="4309" ht="14.1" customHeight="1"/>
    <row r="4310" ht="14.1" customHeight="1"/>
    <row r="4311" ht="14.1" customHeight="1"/>
    <row r="4312" ht="14.1" customHeight="1"/>
    <row r="4313" ht="14.1" customHeight="1"/>
    <row r="4314" ht="14.1" customHeight="1"/>
    <row r="4315" ht="14.1" customHeight="1"/>
    <row r="4316" ht="14.1" customHeight="1"/>
    <row r="4317" ht="14.1" customHeight="1"/>
    <row r="4318" ht="14.1" customHeight="1"/>
    <row r="4319" ht="14.1" customHeight="1"/>
    <row r="4320" ht="14.1" customHeight="1"/>
    <row r="4321" ht="14.1" customHeight="1"/>
    <row r="4322" ht="14.1" customHeight="1"/>
    <row r="4323" ht="14.1" customHeight="1"/>
    <row r="4324" ht="14.1" customHeight="1"/>
    <row r="4325" ht="14.1" customHeight="1"/>
    <row r="4326" ht="14.1" customHeight="1"/>
    <row r="4327" ht="14.1" customHeight="1"/>
    <row r="4328" ht="14.1" customHeight="1"/>
    <row r="4329" ht="14.1" customHeight="1"/>
    <row r="4330" ht="14.1" customHeight="1"/>
    <row r="4331" ht="14.1" customHeight="1"/>
    <row r="4332" ht="14.1" customHeight="1"/>
    <row r="4333" ht="14.1" customHeight="1"/>
    <row r="4334" ht="14.1" customHeight="1"/>
    <row r="4335" ht="14.1" customHeight="1"/>
    <row r="4336" ht="14.1" customHeight="1"/>
    <row r="4337" ht="14.1" customHeight="1"/>
    <row r="4338" ht="14.1" customHeight="1"/>
    <row r="4339" ht="14.1" customHeight="1"/>
    <row r="4340" ht="14.1" customHeight="1"/>
    <row r="4341" ht="14.1" customHeight="1"/>
    <row r="4342" ht="14.1" customHeight="1"/>
    <row r="4343" ht="14.1" customHeight="1"/>
    <row r="4344" ht="14.1" customHeight="1"/>
    <row r="4345" ht="14.1" customHeight="1"/>
    <row r="4346" ht="14.1" customHeight="1"/>
    <row r="4347" ht="14.1" customHeight="1"/>
    <row r="4348" ht="14.1" customHeight="1"/>
    <row r="4349" ht="14.1" customHeight="1"/>
    <row r="4350" ht="14.1" customHeight="1"/>
    <row r="4351" ht="14.1" customHeight="1"/>
    <row r="4352" ht="14.1" customHeight="1"/>
    <row r="4353" ht="14.1" customHeight="1"/>
    <row r="4354" ht="14.1" customHeight="1"/>
    <row r="4355" ht="14.1" customHeight="1"/>
    <row r="4356" ht="14.1" customHeight="1"/>
    <row r="4357" ht="14.1" customHeight="1"/>
    <row r="4358" ht="14.1" customHeight="1"/>
    <row r="4359" ht="14.1" customHeight="1"/>
    <row r="4360" ht="14.1" customHeight="1"/>
    <row r="4361" ht="14.1" customHeight="1"/>
    <row r="4362" ht="14.1" customHeight="1"/>
    <row r="4363" ht="14.1" customHeight="1"/>
    <row r="4364" ht="14.1" customHeight="1"/>
    <row r="4365" ht="14.1" customHeight="1"/>
    <row r="4366" ht="14.1" customHeight="1"/>
    <row r="4367" ht="14.1" customHeight="1"/>
    <row r="4368" ht="14.1" customHeight="1"/>
    <row r="4369" ht="14.1" customHeight="1"/>
    <row r="4370" ht="14.1" customHeight="1"/>
    <row r="4371" ht="14.1" customHeight="1"/>
    <row r="4372" ht="14.1" customHeight="1"/>
    <row r="4373" ht="14.1" customHeight="1"/>
    <row r="4374" ht="14.1" customHeight="1"/>
    <row r="4375" ht="14.1" customHeight="1"/>
    <row r="4376" ht="14.1" customHeight="1"/>
    <row r="4377" ht="14.1" customHeight="1"/>
    <row r="4378" ht="14.1" customHeight="1"/>
    <row r="4379" ht="14.1" customHeight="1"/>
    <row r="4380" ht="14.1" customHeight="1"/>
    <row r="4381" ht="14.1" customHeight="1"/>
    <row r="4382" ht="14.1" customHeight="1"/>
    <row r="4383" ht="14.1" customHeight="1"/>
    <row r="4384" ht="14.1" customHeight="1"/>
    <row r="4385" ht="14.1" customHeight="1"/>
    <row r="4386" ht="14.1" customHeight="1"/>
    <row r="4387" ht="14.1" customHeight="1"/>
    <row r="4388" ht="14.1" customHeight="1"/>
    <row r="4389" ht="14.1" customHeight="1"/>
    <row r="4390" ht="14.1" customHeight="1"/>
    <row r="4391" ht="14.1" customHeight="1"/>
    <row r="4392" ht="14.1" customHeight="1"/>
    <row r="4393" ht="14.1" customHeight="1"/>
    <row r="4394" ht="14.1" customHeight="1"/>
    <row r="4395" ht="14.1" customHeight="1"/>
    <row r="4396" ht="14.1" customHeight="1"/>
    <row r="4397" ht="14.1" customHeight="1"/>
    <row r="4398" ht="14.1" customHeight="1"/>
    <row r="4399" ht="14.1" customHeight="1"/>
    <row r="4400" ht="14.1" customHeight="1"/>
    <row r="4401" ht="14.1" customHeight="1"/>
    <row r="4402" ht="14.1" customHeight="1"/>
    <row r="4403" ht="14.1" customHeight="1"/>
    <row r="4404" ht="14.1" customHeight="1"/>
    <row r="4405" ht="14.1" customHeight="1"/>
    <row r="4406" ht="14.1" customHeight="1"/>
    <row r="4407" ht="14.1" customHeight="1"/>
    <row r="4408" ht="14.1" customHeight="1"/>
    <row r="4409" ht="14.1" customHeight="1"/>
    <row r="4410" ht="14.1" customHeight="1"/>
    <row r="4411" ht="14.1" customHeight="1"/>
    <row r="4412" ht="14.1" customHeight="1"/>
    <row r="4413" ht="14.1" customHeight="1"/>
    <row r="4414" ht="14.1" customHeight="1"/>
    <row r="4415" ht="14.1" customHeight="1"/>
    <row r="4416" ht="14.1" customHeight="1"/>
    <row r="4417" ht="14.1" customHeight="1"/>
    <row r="4418" ht="14.1" customHeight="1"/>
    <row r="4419" ht="14.1" customHeight="1"/>
    <row r="4420" ht="14.1" customHeight="1"/>
    <row r="4421" ht="14.1" customHeight="1"/>
    <row r="4422" ht="14.1" customHeight="1"/>
    <row r="4423" ht="14.1" customHeight="1"/>
    <row r="4424" ht="14.1" customHeight="1"/>
    <row r="4425" ht="14.1" customHeight="1"/>
    <row r="4426" ht="14.1" customHeight="1"/>
    <row r="4427" ht="14.1" customHeight="1"/>
    <row r="4428" ht="14.1" customHeight="1"/>
    <row r="4429" ht="14.1" customHeight="1"/>
    <row r="4430" ht="14.1" customHeight="1"/>
    <row r="4431" ht="14.1" customHeight="1"/>
    <row r="4432" ht="14.1" customHeight="1"/>
    <row r="4433" ht="14.1" customHeight="1"/>
    <row r="4434" ht="14.1" customHeight="1"/>
    <row r="4435" ht="14.1" customHeight="1"/>
    <row r="4436" ht="14.1" customHeight="1"/>
    <row r="4437" ht="14.1" customHeight="1"/>
    <row r="4438" ht="14.1" customHeight="1"/>
    <row r="4439" ht="14.1" customHeight="1"/>
    <row r="4440" ht="14.1" customHeight="1"/>
    <row r="4441" ht="14.1" customHeight="1"/>
    <row r="4442" ht="14.1" customHeight="1"/>
    <row r="4443" ht="14.1" customHeight="1"/>
    <row r="4444" ht="14.1" customHeight="1"/>
    <row r="4445" ht="14.1" customHeight="1"/>
    <row r="4446" ht="14.1" customHeight="1"/>
    <row r="4447" ht="14.1" customHeight="1"/>
    <row r="4448" ht="14.1" customHeight="1"/>
    <row r="4449" ht="14.1" customHeight="1"/>
    <row r="4450" ht="14.1" customHeight="1"/>
    <row r="4451" ht="14.1" customHeight="1"/>
    <row r="4452" ht="14.1" customHeight="1"/>
    <row r="4453" ht="14.1" customHeight="1"/>
    <row r="4454" ht="14.1" customHeight="1"/>
    <row r="4455" ht="14.1" customHeight="1"/>
    <row r="4456" ht="14.1" customHeight="1"/>
    <row r="4457" ht="14.1" customHeight="1"/>
    <row r="4458" ht="14.1" customHeight="1"/>
    <row r="4459" ht="14.1" customHeight="1"/>
    <row r="4460" ht="14.1" customHeight="1"/>
    <row r="4461" ht="14.1" customHeight="1"/>
    <row r="4462" ht="14.1" customHeight="1"/>
    <row r="4463" ht="14.1" customHeight="1"/>
    <row r="4464" ht="14.1" customHeight="1"/>
    <row r="4465" ht="14.1" customHeight="1"/>
    <row r="4466" ht="14.1" customHeight="1"/>
    <row r="4467" ht="14.1" customHeight="1"/>
    <row r="4468" ht="14.1" customHeight="1"/>
    <row r="4469" ht="14.1" customHeight="1"/>
    <row r="4470" ht="14.1" customHeight="1"/>
    <row r="4471" ht="14.1" customHeight="1"/>
    <row r="4472" ht="14.1" customHeight="1"/>
    <row r="4473" ht="14.1" customHeight="1"/>
    <row r="4474" ht="14.1" customHeight="1"/>
    <row r="4475" ht="14.1" customHeight="1"/>
    <row r="4476" ht="14.1" customHeight="1"/>
    <row r="4477" ht="14.1" customHeight="1"/>
    <row r="4478" ht="14.1" customHeight="1"/>
    <row r="4479" ht="14.1" customHeight="1"/>
    <row r="4480" ht="14.1" customHeight="1"/>
    <row r="4481" ht="14.1" customHeight="1"/>
    <row r="4482" ht="14.1" customHeight="1"/>
    <row r="4483" ht="14.1" customHeight="1"/>
    <row r="4484" ht="14.1" customHeight="1"/>
    <row r="4485" ht="14.1" customHeight="1"/>
    <row r="4486" ht="14.1" customHeight="1"/>
    <row r="4487" ht="14.1" customHeight="1"/>
    <row r="4488" ht="14.1" customHeight="1"/>
    <row r="4489" ht="14.1" customHeight="1"/>
    <row r="4490" ht="14.1" customHeight="1"/>
    <row r="4491" ht="14.1" customHeight="1"/>
    <row r="4492" ht="14.1" customHeight="1"/>
    <row r="4493" ht="14.1" customHeight="1"/>
    <row r="4494" ht="14.1" customHeight="1"/>
    <row r="4495" ht="14.1" customHeight="1"/>
    <row r="4496" ht="14.1" customHeight="1"/>
    <row r="4497" ht="14.1" customHeight="1"/>
    <row r="4498" ht="14.1" customHeight="1"/>
    <row r="4499" ht="14.1" customHeight="1"/>
    <row r="4500" ht="14.1" customHeight="1"/>
    <row r="4501" ht="14.1" customHeight="1"/>
    <row r="4502" ht="14.1" customHeight="1"/>
    <row r="4503" ht="14.1" customHeight="1"/>
    <row r="4504" ht="14.1" customHeight="1"/>
    <row r="4505" ht="14.1" customHeight="1"/>
    <row r="4506" ht="14.1" customHeight="1"/>
    <row r="4507" ht="14.1" customHeight="1"/>
    <row r="4508" ht="14.1" customHeight="1"/>
    <row r="4509" ht="14.1" customHeight="1"/>
    <row r="4510" ht="14.1" customHeight="1"/>
    <row r="4511" ht="14.1" customHeight="1"/>
    <row r="4512" ht="14.1" customHeight="1"/>
    <row r="4513" ht="14.1" customHeight="1"/>
    <row r="4514" ht="14.1" customHeight="1"/>
    <row r="4515" ht="14.1" customHeight="1"/>
    <row r="4516" ht="14.1" customHeight="1"/>
    <row r="4517" ht="14.1" customHeight="1"/>
    <row r="4518" ht="14.1" customHeight="1"/>
    <row r="4519" ht="14.1" customHeight="1"/>
    <row r="4520" ht="14.1" customHeight="1"/>
    <row r="4521" ht="14.1" customHeight="1"/>
    <row r="4522" ht="14.1" customHeight="1"/>
    <row r="4523" ht="14.1" customHeight="1"/>
    <row r="4524" ht="14.1" customHeight="1"/>
    <row r="4525" ht="14.1" customHeight="1"/>
    <row r="4526" ht="14.1" customHeight="1"/>
    <row r="4527" ht="14.1" customHeight="1"/>
    <row r="4528" ht="14.1" customHeight="1"/>
    <row r="4529" ht="14.1" customHeight="1"/>
    <row r="4530" ht="14.1" customHeight="1"/>
    <row r="4531" ht="14.1" customHeight="1"/>
    <row r="4532" ht="14.1" customHeight="1"/>
    <row r="4533" ht="14.1" customHeight="1"/>
    <row r="4534" ht="14.1" customHeight="1"/>
    <row r="4535" ht="14.1" customHeight="1"/>
    <row r="4536" ht="14.1" customHeight="1"/>
    <row r="4537" ht="14.1" customHeight="1"/>
    <row r="4538" ht="14.1" customHeight="1"/>
    <row r="4539" ht="14.1" customHeight="1"/>
    <row r="4540" ht="14.1" customHeight="1"/>
    <row r="4541" ht="14.1" customHeight="1"/>
    <row r="4542" ht="14.1" customHeight="1"/>
    <row r="4543" ht="14.1" customHeight="1"/>
    <row r="4544" ht="14.1" customHeight="1"/>
    <row r="4545" ht="14.1" customHeight="1"/>
    <row r="4546" ht="14.1" customHeight="1"/>
    <row r="4547" ht="14.1" customHeight="1"/>
    <row r="4548" ht="14.1" customHeight="1"/>
    <row r="4549" ht="14.1" customHeight="1"/>
    <row r="4550" ht="14.1" customHeight="1"/>
    <row r="4551" ht="14.1" customHeight="1"/>
    <row r="4552" ht="14.1" customHeight="1"/>
    <row r="4553" ht="14.1" customHeight="1"/>
    <row r="4554" ht="14.1" customHeight="1"/>
    <row r="4555" ht="14.1" customHeight="1"/>
    <row r="4556" ht="14.1" customHeight="1"/>
    <row r="4557" ht="14.1" customHeight="1"/>
    <row r="4558" ht="14.1" customHeight="1"/>
    <row r="4559" ht="14.1" customHeight="1"/>
    <row r="4560" ht="14.1" customHeight="1"/>
    <row r="4561" ht="14.1" customHeight="1"/>
    <row r="4562" ht="14.1" customHeight="1"/>
    <row r="4563" ht="14.1" customHeight="1"/>
    <row r="4564" ht="14.1" customHeight="1"/>
    <row r="4565" ht="14.1" customHeight="1"/>
    <row r="4566" ht="14.1" customHeight="1"/>
    <row r="4567" ht="14.1" customHeight="1"/>
    <row r="4568" ht="14.1" customHeight="1"/>
    <row r="4569" ht="14.1" customHeight="1"/>
    <row r="4570" ht="14.1" customHeight="1"/>
    <row r="4571" ht="14.1" customHeight="1"/>
    <row r="4572" ht="14.1" customHeight="1"/>
    <row r="4573" ht="14.1" customHeight="1"/>
    <row r="4574" ht="14.1" customHeight="1"/>
    <row r="4575" ht="14.1" customHeight="1"/>
    <row r="4576" ht="14.1" customHeight="1"/>
    <row r="4577" ht="14.1" customHeight="1"/>
    <row r="4578" ht="14.1" customHeight="1"/>
    <row r="4579" ht="14.1" customHeight="1"/>
    <row r="4580" ht="14.1" customHeight="1"/>
    <row r="4581" ht="14.1" customHeight="1"/>
    <row r="4582" ht="14.1" customHeight="1"/>
    <row r="4583" ht="14.1" customHeight="1"/>
    <row r="4584" ht="14.1" customHeight="1"/>
    <row r="4585" ht="14.1" customHeight="1"/>
    <row r="4586" ht="14.1" customHeight="1"/>
    <row r="4587" ht="14.1" customHeight="1"/>
    <row r="4588" ht="14.1" customHeight="1"/>
    <row r="4589" ht="14.1" customHeight="1"/>
    <row r="4590" ht="14.1" customHeight="1"/>
    <row r="4591" ht="14.1" customHeight="1"/>
    <row r="4592" ht="14.1" customHeight="1"/>
    <row r="4593" ht="14.1" customHeight="1"/>
    <row r="4594" ht="14.1" customHeight="1"/>
    <row r="4595" ht="14.1" customHeight="1"/>
    <row r="4596" ht="14.1" customHeight="1"/>
    <row r="4597" ht="14.1" customHeight="1"/>
    <row r="4598" ht="14.1" customHeight="1"/>
    <row r="4599" ht="14.1" customHeight="1"/>
    <row r="4600" ht="14.1" customHeight="1"/>
    <row r="4601" ht="14.1" customHeight="1"/>
    <row r="4602" ht="14.1" customHeight="1"/>
    <row r="4603" ht="14.1" customHeight="1"/>
    <row r="4604" ht="14.1" customHeight="1"/>
    <row r="4605" ht="14.1" customHeight="1"/>
    <row r="4606" ht="14.1" customHeight="1"/>
    <row r="4607" ht="14.1" customHeight="1"/>
    <row r="4608" ht="14.1" customHeight="1"/>
    <row r="4609" ht="14.1" customHeight="1"/>
    <row r="4610" ht="14.1" customHeight="1"/>
    <row r="4611" ht="14.1" customHeight="1"/>
    <row r="4612" ht="14.1" customHeight="1"/>
    <row r="4613" ht="14.1" customHeight="1"/>
    <row r="4614" ht="14.1" customHeight="1"/>
    <row r="4615" ht="14.1" customHeight="1"/>
    <row r="4616" ht="14.1" customHeight="1"/>
    <row r="4617" ht="14.1" customHeight="1"/>
    <row r="4618" ht="14.1" customHeight="1"/>
    <row r="4619" ht="14.1" customHeight="1"/>
    <row r="4620" ht="14.1" customHeight="1"/>
    <row r="4621" ht="14.1" customHeight="1"/>
    <row r="4622" ht="14.1" customHeight="1"/>
    <row r="4623" ht="14.1" customHeight="1"/>
    <row r="4624" ht="14.1" customHeight="1"/>
    <row r="4625" ht="14.1" customHeight="1"/>
    <row r="4626" ht="14.1" customHeight="1"/>
    <row r="4627" ht="14.1" customHeight="1"/>
    <row r="4628" ht="14.1" customHeight="1"/>
    <row r="4629" ht="14.1" customHeight="1"/>
    <row r="4630" ht="14.1" customHeight="1"/>
    <row r="4631" ht="14.1" customHeight="1"/>
    <row r="4632" ht="14.1" customHeight="1"/>
    <row r="4633" ht="14.1" customHeight="1"/>
    <row r="4634" ht="14.1" customHeight="1"/>
    <row r="4635" ht="14.1" customHeight="1"/>
    <row r="4636" ht="14.1" customHeight="1"/>
    <row r="4637" ht="14.1" customHeight="1"/>
    <row r="4638" ht="14.1" customHeight="1"/>
    <row r="4639" ht="14.1" customHeight="1"/>
    <row r="4640" ht="14.1" customHeight="1"/>
    <row r="4641" ht="14.1" customHeight="1"/>
    <row r="4642" ht="14.1" customHeight="1"/>
    <row r="4643" ht="14.1" customHeight="1"/>
    <row r="4644" ht="14.1" customHeight="1"/>
    <row r="4645" ht="14.1" customHeight="1"/>
    <row r="4646" ht="14.1" customHeight="1"/>
    <row r="4647" ht="14.1" customHeight="1"/>
    <row r="4648" ht="14.1" customHeight="1"/>
    <row r="4649" ht="14.1" customHeight="1"/>
    <row r="4650" ht="14.1" customHeight="1"/>
    <row r="4651" ht="14.1" customHeight="1"/>
    <row r="4652" ht="14.1" customHeight="1"/>
    <row r="4653" ht="14.1" customHeight="1"/>
    <row r="4654" ht="14.1" customHeight="1"/>
    <row r="4655" ht="14.1" customHeight="1"/>
    <row r="4656" ht="14.1" customHeight="1"/>
    <row r="4657" ht="14.1" customHeight="1"/>
    <row r="4658" ht="14.1" customHeight="1"/>
    <row r="4659" ht="14.1" customHeight="1"/>
    <row r="4660" ht="14.1" customHeight="1"/>
    <row r="4661" ht="14.1" customHeight="1"/>
    <row r="4662" ht="14.1" customHeight="1"/>
    <row r="4663" ht="14.1" customHeight="1"/>
    <row r="4664" ht="14.1" customHeight="1"/>
    <row r="4665" ht="14.1" customHeight="1"/>
    <row r="4666" ht="14.1" customHeight="1"/>
    <row r="4667" ht="14.1" customHeight="1"/>
    <row r="4668" ht="14.1" customHeight="1"/>
    <row r="4669" ht="14.1" customHeight="1"/>
    <row r="4670" ht="14.1" customHeight="1"/>
    <row r="4671" ht="14.1" customHeight="1"/>
    <row r="4672" ht="14.1" customHeight="1"/>
    <row r="4673" ht="14.1" customHeight="1"/>
    <row r="4674" ht="14.1" customHeight="1"/>
    <row r="4675" ht="14.1" customHeight="1"/>
    <row r="4676" ht="14.1" customHeight="1"/>
    <row r="4677" ht="14.1" customHeight="1"/>
    <row r="4678" ht="14.1" customHeight="1"/>
    <row r="4679" ht="14.1" customHeight="1"/>
    <row r="4680" ht="14.1" customHeight="1"/>
    <row r="4681" ht="14.1" customHeight="1"/>
    <row r="4682" ht="14.1" customHeight="1"/>
    <row r="4683" ht="14.1" customHeight="1"/>
    <row r="4684" ht="14.1" customHeight="1"/>
    <row r="4685" ht="14.1" customHeight="1"/>
    <row r="4686" ht="14.1" customHeight="1"/>
    <row r="4687" ht="14.1" customHeight="1"/>
    <row r="4688" ht="14.1" customHeight="1"/>
    <row r="4689" ht="14.1" customHeight="1"/>
    <row r="4690" ht="14.1" customHeight="1"/>
    <row r="4691" ht="14.1" customHeight="1"/>
    <row r="4692" ht="14.1" customHeight="1"/>
    <row r="4693" ht="14.1" customHeight="1"/>
    <row r="4694" ht="14.1" customHeight="1"/>
    <row r="4695" ht="14.1" customHeight="1"/>
    <row r="4696" ht="14.1" customHeight="1"/>
    <row r="4697" ht="14.1" customHeight="1"/>
    <row r="4698" ht="14.1" customHeight="1"/>
    <row r="4699" ht="14.1" customHeight="1"/>
    <row r="4700" ht="14.1" customHeight="1"/>
    <row r="4701" ht="14.1" customHeight="1"/>
    <row r="4702" ht="14.1" customHeight="1"/>
    <row r="4703" ht="14.1" customHeight="1"/>
    <row r="4704" ht="14.1" customHeight="1"/>
    <row r="4705" ht="14.1" customHeight="1"/>
    <row r="4706" ht="14.1" customHeight="1"/>
    <row r="4707" ht="14.1" customHeight="1"/>
    <row r="4708" ht="14.1" customHeight="1"/>
    <row r="4709" ht="14.1" customHeight="1"/>
    <row r="4710" ht="14.1" customHeight="1"/>
    <row r="4711" ht="14.1" customHeight="1"/>
    <row r="4712" ht="14.1" customHeight="1"/>
    <row r="4713" ht="14.1" customHeight="1"/>
    <row r="4714" ht="14.1" customHeight="1"/>
    <row r="4715" ht="14.1" customHeight="1"/>
    <row r="4716" ht="14.1" customHeight="1"/>
    <row r="4717" ht="14.1" customHeight="1"/>
    <row r="4718" ht="14.1" customHeight="1"/>
    <row r="4719" ht="14.1" customHeight="1"/>
    <row r="4720" ht="14.1" customHeight="1"/>
    <row r="4721" ht="14.1" customHeight="1"/>
    <row r="4722" ht="14.1" customHeight="1"/>
    <row r="4723" ht="14.1" customHeight="1"/>
    <row r="4724" ht="14.1" customHeight="1"/>
    <row r="4725" ht="14.1" customHeight="1"/>
    <row r="4726" ht="14.1" customHeight="1"/>
    <row r="4727" ht="14.1" customHeight="1"/>
    <row r="4728" ht="14.1" customHeight="1"/>
    <row r="4729" ht="14.1" customHeight="1"/>
    <row r="4730" ht="14.1" customHeight="1"/>
    <row r="4731" ht="14.1" customHeight="1"/>
    <row r="4732" ht="14.1" customHeight="1"/>
    <row r="4733" ht="14.1" customHeight="1"/>
    <row r="4734" ht="14.1" customHeight="1"/>
    <row r="4735" ht="14.1" customHeight="1"/>
    <row r="4736" ht="14.1" customHeight="1"/>
    <row r="4737" ht="14.1" customHeight="1"/>
    <row r="4738" ht="14.1" customHeight="1"/>
    <row r="4739" ht="14.1" customHeight="1"/>
    <row r="4740" ht="14.1" customHeight="1"/>
    <row r="4741" ht="14.1" customHeight="1"/>
    <row r="4742" ht="14.1" customHeight="1"/>
    <row r="4743" ht="14.1" customHeight="1"/>
    <row r="4744" ht="14.1" customHeight="1"/>
    <row r="4745" ht="14.1" customHeight="1"/>
    <row r="4746" ht="14.1" customHeight="1"/>
    <row r="4747" ht="14.1" customHeight="1"/>
    <row r="4748" ht="14.1" customHeight="1"/>
    <row r="4749" ht="14.1" customHeight="1"/>
    <row r="4750" ht="14.1" customHeight="1"/>
    <row r="4751" ht="14.1" customHeight="1"/>
    <row r="4752" ht="14.1" customHeight="1"/>
    <row r="4753" ht="14.1" customHeight="1"/>
    <row r="4754" ht="14.1" customHeight="1"/>
    <row r="4755" ht="14.1" customHeight="1"/>
    <row r="4756" ht="14.1" customHeight="1"/>
    <row r="4757" ht="14.1" customHeight="1"/>
    <row r="4758" ht="14.1" customHeight="1"/>
    <row r="4759" ht="14.1" customHeight="1"/>
    <row r="4760" ht="14.1" customHeight="1"/>
    <row r="4761" ht="14.1" customHeight="1"/>
    <row r="4762" ht="14.1" customHeight="1"/>
    <row r="4763" ht="14.1" customHeight="1"/>
    <row r="4764" ht="14.1" customHeight="1"/>
    <row r="4765" ht="14.1" customHeight="1"/>
    <row r="4766" ht="14.1" customHeight="1"/>
    <row r="4767" ht="14.1" customHeight="1"/>
    <row r="4768" ht="14.1" customHeight="1"/>
    <row r="4769" ht="14.1" customHeight="1"/>
    <row r="4770" ht="14.1" customHeight="1"/>
    <row r="4771" ht="14.1" customHeight="1"/>
    <row r="4772" ht="14.1" customHeight="1"/>
    <row r="4773" ht="14.1" customHeight="1"/>
    <row r="4774" ht="14.1" customHeight="1"/>
    <row r="4775" ht="14.1" customHeight="1"/>
    <row r="4776" ht="14.1" customHeight="1"/>
    <row r="4777" ht="14.1" customHeight="1"/>
    <row r="4778" ht="14.1" customHeight="1"/>
    <row r="4779" ht="14.1" customHeight="1"/>
    <row r="4780" ht="14.1" customHeight="1"/>
    <row r="4781" ht="14.1" customHeight="1"/>
    <row r="4782" ht="14.1" customHeight="1"/>
    <row r="4783" ht="14.1" customHeight="1"/>
    <row r="4784" ht="14.1" customHeight="1"/>
    <row r="4785" ht="14.1" customHeight="1"/>
    <row r="4786" ht="14.1" customHeight="1"/>
    <row r="4787" ht="14.1" customHeight="1"/>
    <row r="4788" ht="14.1" customHeight="1"/>
    <row r="4789" ht="14.1" customHeight="1"/>
    <row r="4790" ht="14.1" customHeight="1"/>
    <row r="4791" ht="14.1" customHeight="1"/>
    <row r="4792" ht="14.1" customHeight="1"/>
    <row r="4793" ht="14.1" customHeight="1"/>
    <row r="4794" ht="14.1" customHeight="1"/>
    <row r="4795" ht="14.1" customHeight="1"/>
    <row r="4796" ht="14.1" customHeight="1"/>
    <row r="4797" ht="14.1" customHeight="1"/>
    <row r="4798" ht="14.1" customHeight="1"/>
    <row r="4799" ht="14.1" customHeight="1"/>
    <row r="4800" ht="14.1" customHeight="1"/>
    <row r="4801" ht="14.1" customHeight="1"/>
    <row r="4802" ht="14.1" customHeight="1"/>
    <row r="4803" ht="14.1" customHeight="1"/>
    <row r="4804" ht="14.1" customHeight="1"/>
    <row r="4805" ht="14.1" customHeight="1"/>
    <row r="4806" ht="14.1" customHeight="1"/>
    <row r="4807" ht="14.1" customHeight="1"/>
    <row r="4808" ht="14.1" customHeight="1"/>
    <row r="4809" ht="14.1" customHeight="1"/>
    <row r="4810" ht="14.1" customHeight="1"/>
    <row r="4811" ht="14.1" customHeight="1"/>
    <row r="4812" ht="14.1" customHeight="1"/>
    <row r="4813" ht="14.1" customHeight="1"/>
    <row r="4814" ht="14.1" customHeight="1"/>
    <row r="4815" ht="14.1" customHeight="1"/>
    <row r="4816" ht="14.1" customHeight="1"/>
    <row r="4817" ht="14.1" customHeight="1"/>
    <row r="4818" ht="14.1" customHeight="1"/>
    <row r="4819" ht="14.1" customHeight="1"/>
    <row r="4820" ht="14.1" customHeight="1"/>
    <row r="4821" ht="14.1" customHeight="1"/>
    <row r="4822" ht="14.1" customHeight="1"/>
    <row r="4823" ht="14.1" customHeight="1"/>
    <row r="4824" ht="14.1" customHeight="1"/>
    <row r="4825" ht="14.1" customHeight="1"/>
    <row r="4826" ht="14.1" customHeight="1"/>
    <row r="4827" ht="14.1" customHeight="1"/>
    <row r="4828" ht="14.1" customHeight="1"/>
    <row r="4829" ht="14.1" customHeight="1"/>
    <row r="4830" ht="14.1" customHeight="1"/>
    <row r="4831" ht="14.1" customHeight="1"/>
    <row r="4832" ht="14.1" customHeight="1"/>
    <row r="4833" ht="14.1" customHeight="1"/>
    <row r="4834" ht="14.1" customHeight="1"/>
    <row r="4835" ht="14.1" customHeight="1"/>
    <row r="4836" ht="14.1" customHeight="1"/>
    <row r="4837" ht="14.1" customHeight="1"/>
    <row r="4838" ht="14.1" customHeight="1"/>
    <row r="4839" ht="14.1" customHeight="1"/>
    <row r="4840" ht="14.1" customHeight="1"/>
    <row r="4841" ht="14.1" customHeight="1"/>
    <row r="4842" ht="14.1" customHeight="1"/>
    <row r="4843" ht="14.1" customHeight="1"/>
    <row r="4844" ht="14.1" customHeight="1"/>
    <row r="4845" ht="14.1" customHeight="1"/>
    <row r="4846" ht="14.1" customHeight="1"/>
    <row r="4847" ht="14.1" customHeight="1"/>
    <row r="4848" ht="14.1" customHeight="1"/>
    <row r="4849" ht="14.1" customHeight="1"/>
    <row r="4850" ht="14.1" customHeight="1"/>
    <row r="4851" ht="14.1" customHeight="1"/>
    <row r="4852" ht="14.1" customHeight="1"/>
    <row r="4853" ht="14.1" customHeight="1"/>
    <row r="4854" ht="14.1" customHeight="1"/>
    <row r="4855" ht="14.1" customHeight="1"/>
    <row r="4856" ht="14.1" customHeight="1"/>
    <row r="4857" ht="14.1" customHeight="1"/>
    <row r="4858" ht="14.1" customHeight="1"/>
    <row r="4859" ht="14.1" customHeight="1"/>
    <row r="4860" ht="14.1" customHeight="1"/>
    <row r="4861" ht="14.1" customHeight="1"/>
    <row r="4862" ht="14.1" customHeight="1"/>
    <row r="4863" ht="14.1" customHeight="1"/>
    <row r="4864" ht="14.1" customHeight="1"/>
    <row r="4865" ht="14.1" customHeight="1"/>
    <row r="4866" ht="14.1" customHeight="1"/>
    <row r="4867" ht="14.1" customHeight="1"/>
    <row r="4868" ht="14.1" customHeight="1"/>
    <row r="4869" ht="14.1" customHeight="1"/>
    <row r="4870" ht="14.1" customHeight="1"/>
    <row r="4871" ht="14.1" customHeight="1"/>
    <row r="4872" ht="14.1" customHeight="1"/>
    <row r="4873" ht="14.1" customHeight="1"/>
    <row r="4874" ht="14.1" customHeight="1"/>
    <row r="4875" ht="14.1" customHeight="1"/>
    <row r="4876" ht="14.1" customHeight="1"/>
    <row r="4877" ht="14.1" customHeight="1"/>
    <row r="4878" ht="14.1" customHeight="1"/>
    <row r="4879" ht="14.1" customHeight="1"/>
    <row r="4880" ht="14.1" customHeight="1"/>
    <row r="4881" ht="14.1" customHeight="1"/>
    <row r="4882" ht="14.1" customHeight="1"/>
    <row r="4883" ht="14.1" customHeight="1"/>
    <row r="4884" ht="14.1" customHeight="1"/>
    <row r="4885" ht="14.1" customHeight="1"/>
    <row r="4886" ht="14.1" customHeight="1"/>
    <row r="4887" ht="14.1" customHeight="1"/>
    <row r="4888" ht="14.1" customHeight="1"/>
    <row r="4889" ht="14.1" customHeight="1"/>
    <row r="4890" ht="14.1" customHeight="1"/>
    <row r="4891" ht="14.1" customHeight="1"/>
    <row r="4892" ht="14.1" customHeight="1"/>
    <row r="4893" ht="14.1" customHeight="1"/>
    <row r="4894" ht="14.1" customHeight="1"/>
    <row r="4895" ht="14.1" customHeight="1"/>
    <row r="4896" ht="14.1" customHeight="1"/>
    <row r="4897" ht="14.1" customHeight="1"/>
    <row r="4898" ht="14.1" customHeight="1"/>
    <row r="4899" ht="14.1" customHeight="1"/>
    <row r="4900" ht="14.1" customHeight="1"/>
    <row r="4901" ht="14.1" customHeight="1"/>
    <row r="4902" ht="14.1" customHeight="1"/>
    <row r="4903" ht="14.1" customHeight="1"/>
    <row r="4904" ht="14.1" customHeight="1"/>
    <row r="4905" ht="14.1" customHeight="1"/>
    <row r="4906" ht="14.1" customHeight="1"/>
    <row r="4907" ht="14.1" customHeight="1"/>
    <row r="4908" ht="14.1" customHeight="1"/>
    <row r="4909" ht="14.1" customHeight="1"/>
    <row r="4910" ht="14.1" customHeight="1"/>
    <row r="4911" ht="14.1" customHeight="1"/>
    <row r="4912" ht="14.1" customHeight="1"/>
    <row r="4913" ht="14.1" customHeight="1"/>
    <row r="4914" ht="14.1" customHeight="1"/>
    <row r="4915" ht="14.1" customHeight="1"/>
    <row r="4916" ht="14.1" customHeight="1"/>
    <row r="4917" ht="14.1" customHeight="1"/>
    <row r="4918" ht="14.1" customHeight="1"/>
    <row r="4919" ht="14.1" customHeight="1"/>
    <row r="4920" ht="14.1" customHeight="1"/>
    <row r="4921" ht="14.1" customHeight="1"/>
    <row r="4922" ht="14.1" customHeight="1"/>
    <row r="4923" ht="14.1" customHeight="1"/>
    <row r="4924" ht="14.1" customHeight="1"/>
    <row r="4925" ht="14.1" customHeight="1"/>
    <row r="4926" ht="14.1" customHeight="1"/>
    <row r="4927" ht="14.1" customHeight="1"/>
    <row r="4928" ht="14.1" customHeight="1"/>
    <row r="4929" ht="14.1" customHeight="1"/>
    <row r="4930" ht="14.1" customHeight="1"/>
    <row r="4931" ht="14.1" customHeight="1"/>
    <row r="4932" ht="14.1" customHeight="1"/>
    <row r="4933" ht="14.1" customHeight="1"/>
    <row r="4934" ht="14.1" customHeight="1"/>
    <row r="4935" ht="14.1" customHeight="1"/>
    <row r="4936" ht="14.1" customHeight="1"/>
    <row r="4937" ht="14.1" customHeight="1"/>
    <row r="4938" ht="14.1" customHeight="1"/>
    <row r="4939" ht="14.1" customHeight="1"/>
    <row r="4940" ht="14.1" customHeight="1"/>
    <row r="4941" ht="14.1" customHeight="1"/>
    <row r="4942" ht="14.1" customHeight="1"/>
    <row r="4943" ht="14.1" customHeight="1"/>
    <row r="4944" ht="14.1" customHeight="1"/>
    <row r="4945" ht="14.1" customHeight="1"/>
    <row r="4946" ht="14.1" customHeight="1"/>
    <row r="4947" ht="14.1" customHeight="1"/>
    <row r="4948" ht="14.1" customHeight="1"/>
    <row r="4949" ht="14.1" customHeight="1"/>
    <row r="4950" ht="14.1" customHeight="1"/>
    <row r="4951" ht="14.1" customHeight="1"/>
    <row r="4952" ht="14.1" customHeight="1"/>
    <row r="4953" ht="14.1" customHeight="1"/>
    <row r="4954" ht="14.1" customHeight="1"/>
    <row r="4955" ht="14.1" customHeight="1"/>
    <row r="4956" ht="14.1" customHeight="1"/>
    <row r="4957" ht="14.1" customHeight="1"/>
    <row r="4958" ht="14.1" customHeight="1"/>
    <row r="4959" ht="14.1" customHeight="1"/>
    <row r="4960" ht="14.1" customHeight="1"/>
    <row r="4961" ht="14.1" customHeight="1"/>
    <row r="4962" ht="14.1" customHeight="1"/>
    <row r="4963" ht="14.1" customHeight="1"/>
    <row r="4964" ht="14.1" customHeight="1"/>
    <row r="4965" ht="14.1" customHeight="1"/>
    <row r="4966" ht="14.1" customHeight="1"/>
    <row r="4967" ht="14.1" customHeight="1"/>
    <row r="4968" ht="14.1" customHeight="1"/>
    <row r="4969" ht="14.1" customHeight="1"/>
    <row r="4970" ht="14.1" customHeight="1"/>
    <row r="4971" ht="14.1" customHeight="1"/>
    <row r="4972" ht="14.1" customHeight="1"/>
    <row r="4973" ht="14.1" customHeight="1"/>
    <row r="4974" ht="14.1" customHeight="1"/>
    <row r="4975" ht="14.1" customHeight="1"/>
    <row r="4976" ht="14.1" customHeight="1"/>
    <row r="4977" ht="14.1" customHeight="1"/>
    <row r="4978" ht="14.1" customHeight="1"/>
    <row r="4979" ht="14.1" customHeight="1"/>
    <row r="4980" ht="14.1" customHeight="1"/>
    <row r="4981" ht="14.1" customHeight="1"/>
    <row r="4982" ht="14.1" customHeight="1"/>
    <row r="4983" ht="14.1" customHeight="1"/>
    <row r="4984" ht="14.1" customHeight="1"/>
    <row r="4985" ht="14.1" customHeight="1"/>
    <row r="4986" ht="14.1" customHeight="1"/>
    <row r="4987" ht="14.1" customHeight="1"/>
    <row r="4988" ht="14.1" customHeight="1"/>
    <row r="4989" ht="14.1" customHeight="1"/>
    <row r="4990" ht="14.1" customHeight="1"/>
    <row r="4991" ht="14.1" customHeight="1"/>
    <row r="4992" ht="14.1" customHeight="1"/>
    <row r="4993" ht="14.1" customHeight="1"/>
    <row r="4994" ht="14.1" customHeight="1"/>
    <row r="4995" ht="14.1" customHeight="1"/>
    <row r="4996" ht="14.1" customHeight="1"/>
    <row r="4997" ht="14.1" customHeight="1"/>
    <row r="4998" ht="14.1" customHeight="1"/>
    <row r="4999" ht="14.1" customHeight="1"/>
    <row r="5000" ht="14.1" customHeight="1"/>
    <row r="5001" ht="14.1" customHeight="1"/>
    <row r="5002" ht="14.1" customHeight="1"/>
    <row r="5003" ht="14.1" customHeight="1"/>
    <row r="5004" ht="14.1" customHeight="1"/>
    <row r="5005" ht="14.1" customHeight="1"/>
    <row r="5006" ht="14.1" customHeight="1"/>
    <row r="5007" ht="14.1" customHeight="1"/>
    <row r="5008" ht="14.1" customHeight="1"/>
    <row r="5009" ht="14.1" customHeight="1"/>
    <row r="5010" ht="14.1" customHeight="1"/>
    <row r="5011" ht="14.1" customHeight="1"/>
    <row r="5012" ht="14.1" customHeight="1"/>
    <row r="5013" ht="14.1" customHeight="1"/>
    <row r="5014" ht="14.1" customHeight="1"/>
    <row r="5015" ht="14.1" customHeight="1"/>
    <row r="5016" ht="14.1" customHeight="1"/>
    <row r="5017" ht="14.1" customHeight="1"/>
    <row r="5018" ht="14.1" customHeight="1"/>
    <row r="5019" ht="14.1" customHeight="1"/>
    <row r="5020" ht="14.1" customHeight="1"/>
    <row r="5021" ht="14.1" customHeight="1"/>
    <row r="5022" ht="14.1" customHeight="1"/>
    <row r="5023" ht="14.1" customHeight="1"/>
    <row r="5024" ht="14.1" customHeight="1"/>
    <row r="5025" ht="14.1" customHeight="1"/>
    <row r="5026" ht="14.1" customHeight="1"/>
    <row r="5027" ht="14.1" customHeight="1"/>
    <row r="5028" ht="14.1" customHeight="1"/>
    <row r="5029" ht="14.1" customHeight="1"/>
    <row r="5030" ht="14.1" customHeight="1"/>
    <row r="5031" ht="14.1" customHeight="1"/>
    <row r="5032" ht="14.1" customHeight="1"/>
    <row r="5033" ht="14.1" customHeight="1"/>
    <row r="5034" ht="14.1" customHeight="1"/>
    <row r="5035" ht="14.1" customHeight="1"/>
    <row r="5036" ht="14.1" customHeight="1"/>
    <row r="5037" ht="14.1" customHeight="1"/>
    <row r="5038" ht="14.1" customHeight="1"/>
    <row r="5039" ht="14.1" customHeight="1"/>
    <row r="5040" ht="14.1" customHeight="1"/>
    <row r="5041" ht="14.1" customHeight="1"/>
    <row r="5042" ht="14.1" customHeight="1"/>
    <row r="5043" ht="14.1" customHeight="1"/>
    <row r="5044" ht="14.1" customHeight="1"/>
    <row r="5045" ht="14.1" customHeight="1"/>
    <row r="5046" ht="14.1" customHeight="1"/>
    <row r="5047" ht="14.1" customHeight="1"/>
    <row r="5048" ht="14.1" customHeight="1"/>
    <row r="5049" ht="14.1" customHeight="1"/>
    <row r="5050" ht="14.1" customHeight="1"/>
    <row r="5051" ht="14.1" customHeight="1"/>
    <row r="5052" ht="14.1" customHeight="1"/>
    <row r="5053" ht="14.1" customHeight="1"/>
    <row r="5054" ht="14.1" customHeight="1"/>
    <row r="5055" ht="14.1" customHeight="1"/>
    <row r="5056" ht="14.1" customHeight="1"/>
    <row r="5057" ht="14.1" customHeight="1"/>
    <row r="5058" ht="14.1" customHeight="1"/>
    <row r="5059" ht="14.1" customHeight="1"/>
    <row r="5060" ht="14.1" customHeight="1"/>
    <row r="5061" ht="14.1" customHeight="1"/>
    <row r="5062" ht="14.1" customHeight="1"/>
    <row r="5063" ht="14.1" customHeight="1"/>
    <row r="5064" ht="14.1" customHeight="1"/>
    <row r="5065" ht="14.1" customHeight="1"/>
    <row r="5066" ht="14.1" customHeight="1"/>
    <row r="5067" ht="14.1" customHeight="1"/>
    <row r="5068" ht="14.1" customHeight="1"/>
    <row r="5069" ht="14.1" customHeight="1"/>
    <row r="5070" ht="14.1" customHeight="1"/>
    <row r="5071" ht="14.1" customHeight="1"/>
    <row r="5072" ht="14.1" customHeight="1"/>
    <row r="5073" ht="14.1" customHeight="1"/>
    <row r="5074" ht="14.1" customHeight="1"/>
    <row r="5075" ht="14.1" customHeight="1"/>
    <row r="5076" ht="14.1" customHeight="1"/>
    <row r="5077" ht="14.1" customHeight="1"/>
    <row r="5078" ht="14.1" customHeight="1"/>
    <row r="5079" ht="14.1" customHeight="1"/>
    <row r="5080" ht="14.1" customHeight="1"/>
    <row r="5081" ht="14.1" customHeight="1"/>
    <row r="5082" ht="14.1" customHeight="1"/>
    <row r="5083" ht="14.1" customHeight="1"/>
    <row r="5084" ht="14.1" customHeight="1"/>
    <row r="5085" ht="14.1" customHeight="1"/>
    <row r="5086" ht="14.1" customHeight="1"/>
    <row r="5087" ht="14.1" customHeight="1"/>
    <row r="5088" ht="14.1" customHeight="1"/>
    <row r="5089" ht="14.1" customHeight="1"/>
    <row r="5090" ht="14.1" customHeight="1"/>
    <row r="5091" ht="14.1" customHeight="1"/>
    <row r="5092" ht="14.1" customHeight="1"/>
    <row r="5093" ht="14.1" customHeight="1"/>
    <row r="5094" ht="14.1" customHeight="1"/>
    <row r="5095" ht="14.1" customHeight="1"/>
    <row r="5096" ht="14.1" customHeight="1"/>
    <row r="5097" ht="14.1" customHeight="1"/>
    <row r="5098" ht="14.1" customHeight="1"/>
    <row r="5099" ht="14.1" customHeight="1"/>
    <row r="5100" ht="14.1" customHeight="1"/>
    <row r="5101" ht="14.1" customHeight="1"/>
    <row r="5102" ht="14.1" customHeight="1"/>
    <row r="5103" ht="14.1" customHeight="1"/>
    <row r="5104" ht="14.1" customHeight="1"/>
    <row r="5105" ht="14.1" customHeight="1"/>
    <row r="5106" ht="14.1" customHeight="1"/>
    <row r="5107" ht="14.1" customHeight="1"/>
    <row r="5108" ht="14.1" customHeight="1"/>
    <row r="5109" ht="14.1" customHeight="1"/>
    <row r="5110" ht="14.1" customHeight="1"/>
    <row r="5111" ht="14.1" customHeight="1"/>
    <row r="5112" ht="14.1" customHeight="1"/>
    <row r="5113" ht="14.1" customHeight="1"/>
    <row r="5114" ht="14.1" customHeight="1"/>
    <row r="5115" ht="14.1" customHeight="1"/>
    <row r="5116" ht="14.1" customHeight="1"/>
    <row r="5117" ht="14.1" customHeight="1"/>
    <row r="5118" ht="14.1" customHeight="1"/>
    <row r="5119" ht="14.1" customHeight="1"/>
    <row r="5120" ht="14.1" customHeight="1"/>
    <row r="5121" ht="14.1" customHeight="1"/>
    <row r="5122" ht="14.1" customHeight="1"/>
    <row r="5123" ht="14.1" customHeight="1"/>
    <row r="5124" ht="14.1" customHeight="1"/>
    <row r="5125" ht="14.1" customHeight="1"/>
    <row r="5126" ht="14.1" customHeight="1"/>
    <row r="5127" ht="14.1" customHeight="1"/>
    <row r="5128" ht="14.1" customHeight="1"/>
    <row r="5129" ht="14.1" customHeight="1"/>
    <row r="5130" ht="14.1" customHeight="1"/>
    <row r="5131" ht="14.1" customHeight="1"/>
    <row r="5132" ht="14.1" customHeight="1"/>
    <row r="5133" ht="14.1" customHeight="1"/>
    <row r="5134" ht="14.1" customHeight="1"/>
    <row r="5135" ht="14.1" customHeight="1"/>
    <row r="5136" ht="14.1" customHeight="1"/>
    <row r="5137" ht="14.1" customHeight="1"/>
    <row r="5138" ht="14.1" customHeight="1"/>
    <row r="5139" ht="14.1" customHeight="1"/>
    <row r="5140" ht="14.1" customHeight="1"/>
    <row r="5141" ht="14.1" customHeight="1"/>
    <row r="5142" ht="14.1" customHeight="1"/>
    <row r="5143" ht="14.1" customHeight="1"/>
    <row r="5144" ht="14.1" customHeight="1"/>
    <row r="5145" ht="14.1" customHeight="1"/>
    <row r="5146" ht="14.1" customHeight="1"/>
    <row r="5147" ht="14.1" customHeight="1"/>
    <row r="5148" ht="14.1" customHeight="1"/>
    <row r="5149" ht="14.1" customHeight="1"/>
    <row r="5150" ht="14.1" customHeight="1"/>
    <row r="5151" ht="14.1" customHeight="1"/>
    <row r="5152" ht="14.1" customHeight="1"/>
    <row r="5153" ht="14.1" customHeight="1"/>
    <row r="5154" ht="14.1" customHeight="1"/>
    <row r="5155" ht="14.1" customHeight="1"/>
    <row r="5156" ht="14.1" customHeight="1"/>
    <row r="5157" ht="14.1" customHeight="1"/>
    <row r="5158" ht="14.1" customHeight="1"/>
    <row r="5159" ht="14.1" customHeight="1"/>
    <row r="5160" ht="14.1" customHeight="1"/>
    <row r="5161" ht="14.1" customHeight="1"/>
    <row r="5162" ht="14.1" customHeight="1"/>
    <row r="5163" ht="14.1" customHeight="1"/>
    <row r="5164" ht="14.1" customHeight="1"/>
    <row r="5165" ht="14.1" customHeight="1"/>
    <row r="5166" ht="14.1" customHeight="1"/>
    <row r="5167" ht="14.1" customHeight="1"/>
    <row r="5168" ht="14.1" customHeight="1"/>
    <row r="5169" ht="14.1" customHeight="1"/>
    <row r="5170" ht="14.1" customHeight="1"/>
    <row r="5171" ht="14.1" customHeight="1"/>
    <row r="5172" ht="14.1" customHeight="1"/>
    <row r="5173" ht="14.1" customHeight="1"/>
    <row r="5174" ht="14.1" customHeight="1"/>
    <row r="5175" ht="14.1" customHeight="1"/>
    <row r="5176" ht="14.1" customHeight="1"/>
    <row r="5177" ht="14.1" customHeight="1"/>
    <row r="5178" ht="14.1" customHeight="1"/>
    <row r="5179" ht="14.1" customHeight="1"/>
    <row r="5180" ht="14.1" customHeight="1"/>
    <row r="5181" ht="14.1" customHeight="1"/>
    <row r="5182" ht="14.1" customHeight="1"/>
    <row r="5183" ht="14.1" customHeight="1"/>
    <row r="5184" ht="14.1" customHeight="1"/>
    <row r="5185" ht="14.1" customHeight="1"/>
    <row r="5186" ht="14.1" customHeight="1"/>
    <row r="5187" ht="14.1" customHeight="1"/>
    <row r="5188" ht="14.1" customHeight="1"/>
    <row r="5189" ht="14.1" customHeight="1"/>
    <row r="5190" ht="14.1" customHeight="1"/>
    <row r="5191" ht="14.1" customHeight="1"/>
    <row r="5192" ht="14.1" customHeight="1"/>
    <row r="5193" ht="14.1" customHeight="1"/>
    <row r="5194" ht="14.1" customHeight="1"/>
    <row r="5195" ht="14.1" customHeight="1"/>
    <row r="5196" ht="14.1" customHeight="1"/>
    <row r="5197" ht="14.1" customHeight="1"/>
    <row r="5198" ht="14.1" customHeight="1"/>
    <row r="5199" ht="14.1" customHeight="1"/>
    <row r="5200" ht="14.1" customHeight="1"/>
    <row r="5201" ht="14.1" customHeight="1"/>
    <row r="5202" ht="14.1" customHeight="1"/>
    <row r="5203" ht="14.1" customHeight="1"/>
    <row r="5204" ht="14.1" customHeight="1"/>
    <row r="5205" ht="14.1" customHeight="1"/>
    <row r="5206" ht="14.1" customHeight="1"/>
    <row r="5207" ht="14.1" customHeight="1"/>
    <row r="5208" ht="14.1" customHeight="1"/>
    <row r="5209" ht="14.1" customHeight="1"/>
    <row r="5210" ht="14.1" customHeight="1"/>
    <row r="5211" ht="14.1" customHeight="1"/>
    <row r="5212" ht="14.1" customHeight="1"/>
    <row r="5213" ht="14.1" customHeight="1"/>
    <row r="5214" ht="14.1" customHeight="1"/>
    <row r="5215" ht="14.1" customHeight="1"/>
    <row r="5216" ht="14.1" customHeight="1"/>
    <row r="5217" ht="14.1" customHeight="1"/>
    <row r="5218" ht="14.1" customHeight="1"/>
    <row r="5219" ht="14.1" customHeight="1"/>
    <row r="5220" ht="14.1" customHeight="1"/>
    <row r="5221" ht="14.1" customHeight="1"/>
    <row r="5222" ht="14.1" customHeight="1"/>
    <row r="5223" ht="14.1" customHeight="1"/>
    <row r="5224" ht="14.1" customHeight="1"/>
    <row r="5225" ht="14.1" customHeight="1"/>
    <row r="5226" ht="14.1" customHeight="1"/>
    <row r="5227" ht="14.1" customHeight="1"/>
    <row r="5228" ht="14.1" customHeight="1"/>
    <row r="5229" ht="14.1" customHeight="1"/>
    <row r="5230" ht="14.1" customHeight="1"/>
    <row r="5231" ht="14.1" customHeight="1"/>
    <row r="5232" ht="14.1" customHeight="1"/>
    <row r="5233" ht="14.1" customHeight="1"/>
    <row r="5234" ht="14.1" customHeight="1"/>
    <row r="5235" ht="14.1" customHeight="1"/>
    <row r="5236" ht="14.1" customHeight="1"/>
    <row r="5237" ht="14.1" customHeight="1"/>
    <row r="5238" ht="14.1" customHeight="1"/>
    <row r="5239" ht="14.1" customHeight="1"/>
    <row r="5240" ht="14.1" customHeight="1"/>
    <row r="5241" ht="14.1" customHeight="1"/>
    <row r="5242" ht="14.1" customHeight="1"/>
    <row r="5243" ht="14.1" customHeight="1"/>
    <row r="5244" ht="14.1" customHeight="1"/>
    <row r="5245" ht="14.1" customHeight="1"/>
    <row r="5246" ht="14.1" customHeight="1"/>
    <row r="5247" ht="14.1" customHeight="1"/>
    <row r="5248" ht="14.1" customHeight="1"/>
    <row r="5249" ht="14.1" customHeight="1"/>
    <row r="5250" ht="14.1" customHeight="1"/>
    <row r="5251" ht="14.1" customHeight="1"/>
    <row r="5252" ht="14.1" customHeight="1"/>
    <row r="5253" ht="14.1" customHeight="1"/>
    <row r="5254" ht="14.1" customHeight="1"/>
    <row r="5255" ht="14.1" customHeight="1"/>
    <row r="5256" ht="14.1" customHeight="1"/>
    <row r="5257" ht="14.1" customHeight="1"/>
    <row r="5258" ht="14.1" customHeight="1"/>
    <row r="5259" ht="14.1" customHeight="1"/>
    <row r="5260" ht="14.1" customHeight="1"/>
    <row r="5261" ht="14.1" customHeight="1"/>
    <row r="5262" ht="14.1" customHeight="1"/>
    <row r="5263" ht="14.1" customHeight="1"/>
    <row r="5264" ht="14.1" customHeight="1"/>
    <row r="5265" ht="14.1" customHeight="1"/>
    <row r="5266" ht="14.1" customHeight="1"/>
    <row r="5267" ht="14.1" customHeight="1"/>
    <row r="5268" ht="14.1" customHeight="1"/>
    <row r="5269" ht="14.1" customHeight="1"/>
    <row r="5270" ht="14.1" customHeight="1"/>
    <row r="5271" ht="14.1" customHeight="1"/>
    <row r="5272" ht="14.1" customHeight="1"/>
    <row r="5273" ht="14.1" customHeight="1"/>
    <row r="5274" ht="14.1" customHeight="1"/>
    <row r="5275" ht="14.1" customHeight="1"/>
    <row r="5276" ht="14.1" customHeight="1"/>
    <row r="5277" ht="14.1" customHeight="1"/>
    <row r="5278" ht="14.1" customHeight="1"/>
    <row r="5279" ht="14.1" customHeight="1"/>
    <row r="5280" ht="14.1" customHeight="1"/>
    <row r="5281" ht="14.1" customHeight="1"/>
    <row r="5282" ht="14.1" customHeight="1"/>
    <row r="5283" ht="14.1" customHeight="1"/>
    <row r="5284" ht="14.1" customHeight="1"/>
    <row r="5285" ht="14.1" customHeight="1"/>
    <row r="5286" ht="14.1" customHeight="1"/>
    <row r="5287" ht="14.1" customHeight="1"/>
    <row r="5288" ht="14.1" customHeight="1"/>
    <row r="5289" ht="14.1" customHeight="1"/>
    <row r="5290" ht="14.1" customHeight="1"/>
    <row r="5291" ht="14.1" customHeight="1"/>
    <row r="5292" ht="14.1" customHeight="1"/>
    <row r="5293" ht="14.1" customHeight="1"/>
    <row r="5294" ht="14.1" customHeight="1"/>
    <row r="5295" ht="14.1" customHeight="1"/>
    <row r="5296" ht="14.1" customHeight="1"/>
    <row r="5297" ht="14.1" customHeight="1"/>
    <row r="5298" ht="14.1" customHeight="1"/>
    <row r="5299" ht="14.1" customHeight="1"/>
    <row r="5300" ht="14.1" customHeight="1"/>
    <row r="5301" ht="14.1" customHeight="1"/>
    <row r="5302" ht="14.1" customHeight="1"/>
    <row r="5303" ht="14.1" customHeight="1"/>
    <row r="5304" ht="14.1" customHeight="1"/>
    <row r="5305" ht="14.1" customHeight="1"/>
    <row r="5306" ht="14.1" customHeight="1"/>
    <row r="5307" ht="14.1" customHeight="1"/>
    <row r="5308" ht="14.1" customHeight="1"/>
    <row r="5309" ht="14.1" customHeight="1"/>
    <row r="5310" ht="14.1" customHeight="1"/>
    <row r="5311" ht="14.1" customHeight="1"/>
    <row r="5312" ht="14.1" customHeight="1"/>
    <row r="5313" ht="14.1" customHeight="1"/>
    <row r="5314" ht="14.1" customHeight="1"/>
    <row r="5315" ht="14.1" customHeight="1"/>
    <row r="5316" ht="14.1" customHeight="1"/>
    <row r="5317" ht="14.1" customHeight="1"/>
    <row r="5318" ht="14.1" customHeight="1"/>
    <row r="5319" ht="14.1" customHeight="1"/>
    <row r="5320" ht="14.1" customHeight="1"/>
    <row r="5321" ht="14.1" customHeight="1"/>
    <row r="5322" ht="14.1" customHeight="1"/>
    <row r="5323" ht="14.1" customHeight="1"/>
    <row r="5324" ht="14.1" customHeight="1"/>
    <row r="5325" ht="14.1" customHeight="1"/>
    <row r="5326" ht="14.1" customHeight="1"/>
    <row r="5327" ht="14.1" customHeight="1"/>
    <row r="5328" ht="14.1" customHeight="1"/>
    <row r="5329" ht="14.1" customHeight="1"/>
    <row r="5330" ht="14.1" customHeight="1"/>
    <row r="5331" ht="14.1" customHeight="1"/>
    <row r="5332" ht="14.1" customHeight="1"/>
    <row r="5333" ht="14.1" customHeight="1"/>
    <row r="5334" ht="14.1" customHeight="1"/>
    <row r="5335" ht="14.1" customHeight="1"/>
    <row r="5336" ht="14.1" customHeight="1"/>
    <row r="5337" ht="14.1" customHeight="1"/>
    <row r="5338" ht="14.1" customHeight="1"/>
    <row r="5339" ht="14.1" customHeight="1"/>
    <row r="5340" ht="14.1" customHeight="1"/>
    <row r="5341" ht="14.1" customHeight="1"/>
    <row r="5342" ht="14.1" customHeight="1"/>
    <row r="5343" ht="14.1" customHeight="1"/>
    <row r="5344" ht="14.1" customHeight="1"/>
    <row r="5345" ht="14.1" customHeight="1"/>
    <row r="5346" ht="14.1" customHeight="1"/>
    <row r="5347" ht="14.1" customHeight="1"/>
    <row r="5348" ht="14.1" customHeight="1"/>
    <row r="5349" ht="14.1" customHeight="1"/>
    <row r="5350" ht="14.1" customHeight="1"/>
    <row r="5351" ht="14.1" customHeight="1"/>
    <row r="5352" ht="14.1" customHeight="1"/>
    <row r="5353" ht="14.1" customHeight="1"/>
    <row r="5354" ht="14.1" customHeight="1"/>
    <row r="5355" ht="14.1" customHeight="1"/>
    <row r="5356" ht="14.1" customHeight="1"/>
    <row r="5357" ht="14.1" customHeight="1"/>
    <row r="5358" ht="14.1" customHeight="1"/>
    <row r="5359" ht="14.1" customHeight="1"/>
    <row r="5360" ht="14.1" customHeight="1"/>
    <row r="5361" ht="14.1" customHeight="1"/>
    <row r="5362" ht="14.1" customHeight="1"/>
    <row r="5363" ht="14.1" customHeight="1"/>
    <row r="5364" ht="14.1" customHeight="1"/>
    <row r="5365" ht="14.1" customHeight="1"/>
    <row r="5366" ht="14.1" customHeight="1"/>
    <row r="5367" ht="14.1" customHeight="1"/>
    <row r="5368" ht="14.1" customHeight="1"/>
    <row r="5369" ht="14.1" customHeight="1"/>
    <row r="5370" ht="14.1" customHeight="1"/>
    <row r="5371" ht="14.1" customHeight="1"/>
    <row r="5372" ht="14.1" customHeight="1"/>
    <row r="5373" ht="14.1" customHeight="1"/>
    <row r="5374" ht="14.1" customHeight="1"/>
    <row r="5375" ht="14.1" customHeight="1"/>
    <row r="5376" ht="14.1" customHeight="1"/>
    <row r="5377" ht="14.1" customHeight="1"/>
    <row r="5378" ht="14.1" customHeight="1"/>
    <row r="5379" ht="14.1" customHeight="1"/>
    <row r="5380" ht="14.1" customHeight="1"/>
    <row r="5381" ht="14.1" customHeight="1"/>
    <row r="5382" ht="14.1" customHeight="1"/>
    <row r="5383" ht="14.1" customHeight="1"/>
    <row r="5384" ht="14.1" customHeight="1"/>
    <row r="5385" ht="14.1" customHeight="1"/>
    <row r="5386" ht="14.1" customHeight="1"/>
    <row r="5387" ht="14.1" customHeight="1"/>
    <row r="5388" ht="14.1" customHeight="1"/>
    <row r="5389" ht="14.1" customHeight="1"/>
    <row r="5390" ht="14.1" customHeight="1"/>
    <row r="5391" ht="14.1" customHeight="1"/>
    <row r="5392" ht="14.1" customHeight="1"/>
    <row r="5393" ht="14.1" customHeight="1"/>
    <row r="5394" ht="14.1" customHeight="1"/>
    <row r="5395" ht="14.1" customHeight="1"/>
    <row r="5396" ht="14.1" customHeight="1"/>
    <row r="5397" ht="14.1" customHeight="1"/>
    <row r="5398" ht="14.1" customHeight="1"/>
    <row r="5399" ht="14.1" customHeight="1"/>
    <row r="5400" ht="14.1" customHeight="1"/>
    <row r="5401" ht="14.1" customHeight="1"/>
    <row r="5402" ht="14.1" customHeight="1"/>
    <row r="5403" ht="14.1" customHeight="1"/>
    <row r="5404" ht="14.1" customHeight="1"/>
    <row r="5405" ht="14.1" customHeight="1"/>
    <row r="5406" ht="14.1" customHeight="1"/>
    <row r="5407" ht="14.1" customHeight="1"/>
    <row r="5408" ht="14.1" customHeight="1"/>
    <row r="5409" ht="14.1" customHeight="1"/>
    <row r="5410" ht="14.1" customHeight="1"/>
    <row r="5411" ht="14.1" customHeight="1"/>
    <row r="5412" ht="14.1" customHeight="1"/>
    <row r="5413" ht="14.1" customHeight="1"/>
    <row r="5414" ht="14.1" customHeight="1"/>
    <row r="5415" ht="14.1" customHeight="1"/>
    <row r="5416" ht="14.1" customHeight="1"/>
    <row r="5417" ht="14.1" customHeight="1"/>
    <row r="5418" ht="14.1" customHeight="1"/>
    <row r="5419" ht="14.1" customHeight="1"/>
    <row r="5420" ht="14.1" customHeight="1"/>
    <row r="5421" ht="14.1" customHeight="1"/>
    <row r="5422" ht="14.1" customHeight="1"/>
    <row r="5423" ht="14.1" customHeight="1"/>
    <row r="5424" ht="14.1" customHeight="1"/>
    <row r="5425" ht="14.1" customHeight="1"/>
    <row r="5426" ht="14.1" customHeight="1"/>
    <row r="5427" ht="14.1" customHeight="1"/>
    <row r="5428" ht="14.1" customHeight="1"/>
    <row r="5429" ht="14.1" customHeight="1"/>
    <row r="5430" ht="14.1" customHeight="1"/>
    <row r="5431" ht="14.1" customHeight="1"/>
    <row r="5432" ht="14.1" customHeight="1"/>
    <row r="5433" ht="14.1" customHeight="1"/>
    <row r="5434" ht="14.1" customHeight="1"/>
    <row r="5435" ht="14.1" customHeight="1"/>
    <row r="5436" ht="14.1" customHeight="1"/>
    <row r="5437" ht="14.1" customHeight="1"/>
    <row r="5438" ht="14.1" customHeight="1"/>
    <row r="5439" ht="14.1" customHeight="1"/>
    <row r="5440" ht="14.1" customHeight="1"/>
    <row r="5441" ht="14.1" customHeight="1"/>
    <row r="5442" ht="14.1" customHeight="1"/>
    <row r="5443" ht="14.1" customHeight="1"/>
    <row r="5444" ht="14.1" customHeight="1"/>
    <row r="5445" ht="14.1" customHeight="1"/>
    <row r="5446" ht="14.1" customHeight="1"/>
    <row r="5447" ht="14.1" customHeight="1"/>
    <row r="5448" ht="14.1" customHeight="1"/>
    <row r="5449" ht="14.1" customHeight="1"/>
    <row r="5450" ht="14.1" customHeight="1"/>
    <row r="5451" ht="14.1" customHeight="1"/>
    <row r="5452" ht="14.1" customHeight="1"/>
    <row r="5453" ht="14.1" customHeight="1"/>
    <row r="5454" ht="14.1" customHeight="1"/>
    <row r="5455" ht="14.1" customHeight="1"/>
    <row r="5456" ht="14.1" customHeight="1"/>
    <row r="5457" ht="14.1" customHeight="1"/>
    <row r="5458" ht="14.1" customHeight="1"/>
    <row r="5459" ht="14.1" customHeight="1"/>
    <row r="5460" ht="14.1" customHeight="1"/>
    <row r="5461" ht="14.1" customHeight="1"/>
    <row r="5462" ht="14.1" customHeight="1"/>
    <row r="5463" ht="14.1" customHeight="1"/>
    <row r="5464" ht="14.1" customHeight="1"/>
    <row r="5465" ht="14.1" customHeight="1"/>
    <row r="5466" ht="14.1" customHeight="1"/>
    <row r="5467" ht="14.1" customHeight="1"/>
    <row r="5468" ht="14.1" customHeight="1"/>
    <row r="5469" ht="14.1" customHeight="1"/>
    <row r="5470" ht="14.1" customHeight="1"/>
    <row r="5471" ht="14.1" customHeight="1"/>
    <row r="5472" ht="14.1" customHeight="1"/>
    <row r="5473" ht="14.1" customHeight="1"/>
    <row r="5474" ht="14.1" customHeight="1"/>
    <row r="5475" ht="14.1" customHeight="1"/>
    <row r="5476" ht="14.1" customHeight="1"/>
    <row r="5477" ht="14.1" customHeight="1"/>
    <row r="5478" ht="14.1" customHeight="1"/>
    <row r="5479" ht="14.1" customHeight="1"/>
    <row r="5480" ht="14.1" customHeight="1"/>
    <row r="5481" ht="14.1" customHeight="1"/>
    <row r="5482" ht="14.1" customHeight="1"/>
    <row r="5483" ht="14.1" customHeight="1"/>
    <row r="5484" ht="14.1" customHeight="1"/>
    <row r="5485" ht="14.1" customHeight="1"/>
    <row r="5486" ht="14.1" customHeight="1"/>
    <row r="5487" ht="14.1" customHeight="1"/>
    <row r="5488" ht="14.1" customHeight="1"/>
    <row r="5489" ht="14.1" customHeight="1"/>
    <row r="5490" ht="14.1" customHeight="1"/>
    <row r="5491" ht="14.1" customHeight="1"/>
    <row r="5492" ht="14.1" customHeight="1"/>
    <row r="5493" ht="14.1" customHeight="1"/>
    <row r="5494" ht="14.1" customHeight="1"/>
    <row r="5495" ht="14.1" customHeight="1"/>
    <row r="5496" ht="14.1" customHeight="1"/>
    <row r="5497" ht="14.1" customHeight="1"/>
    <row r="5498" ht="14.1" customHeight="1"/>
    <row r="5499" ht="14.1" customHeight="1"/>
    <row r="5500" ht="14.1" customHeight="1"/>
    <row r="5501" ht="14.1" customHeight="1"/>
    <row r="5502" ht="14.1" customHeight="1"/>
    <row r="5503" ht="14.1" customHeight="1"/>
    <row r="5504" ht="14.1" customHeight="1"/>
    <row r="5505" ht="14.1" customHeight="1"/>
    <row r="5506" ht="14.1" customHeight="1"/>
    <row r="5507" ht="14.1" customHeight="1"/>
    <row r="5508" ht="14.1" customHeight="1"/>
    <row r="5509" ht="14.1" customHeight="1"/>
    <row r="5510" ht="14.1" customHeight="1"/>
    <row r="5511" ht="14.1" customHeight="1"/>
    <row r="5512" ht="14.1" customHeight="1"/>
    <row r="5513" ht="14.1" customHeight="1"/>
    <row r="5514" ht="14.1" customHeight="1"/>
    <row r="5515" ht="14.1" customHeight="1"/>
    <row r="5516" ht="14.1" customHeight="1"/>
    <row r="5517" ht="14.1" customHeight="1"/>
    <row r="5518" ht="14.1" customHeight="1"/>
    <row r="5519" ht="14.1" customHeight="1"/>
    <row r="5520" ht="14.1" customHeight="1"/>
    <row r="5521" ht="14.1" customHeight="1"/>
    <row r="5522" ht="14.1" customHeight="1"/>
    <row r="5523" ht="14.1" customHeight="1"/>
    <row r="5524" ht="14.1" customHeight="1"/>
    <row r="5525" ht="14.1" customHeight="1"/>
    <row r="5526" ht="14.1" customHeight="1"/>
    <row r="5527" ht="14.1" customHeight="1"/>
    <row r="5528" ht="14.1" customHeight="1"/>
    <row r="5529" ht="14.1" customHeight="1"/>
    <row r="5530" ht="14.1" customHeight="1"/>
    <row r="5531" ht="14.1" customHeight="1"/>
    <row r="5532" ht="14.1" customHeight="1"/>
    <row r="5533" ht="14.1" customHeight="1"/>
    <row r="5534" ht="14.1" customHeight="1"/>
    <row r="5535" ht="14.1" customHeight="1"/>
    <row r="5536" ht="14.1" customHeight="1"/>
    <row r="5537" ht="14.1" customHeight="1"/>
    <row r="5538" ht="14.1" customHeight="1"/>
    <row r="5539" ht="14.1" customHeight="1"/>
    <row r="5540" ht="14.1" customHeight="1"/>
    <row r="5541" ht="14.1" customHeight="1"/>
    <row r="5542" ht="14.1" customHeight="1"/>
    <row r="5543" ht="14.1" customHeight="1"/>
    <row r="5544" ht="14.1" customHeight="1"/>
    <row r="5545" ht="14.1" customHeight="1"/>
    <row r="5546" ht="14.1" customHeight="1"/>
    <row r="5547" ht="14.1" customHeight="1"/>
    <row r="5548" ht="14.1" customHeight="1"/>
    <row r="5549" ht="14.1" customHeight="1"/>
    <row r="5550" ht="14.1" customHeight="1"/>
    <row r="5551" ht="14.1" customHeight="1"/>
    <row r="5552" ht="14.1" customHeight="1"/>
    <row r="5553" ht="14.1" customHeight="1"/>
    <row r="5554" ht="14.1" customHeight="1"/>
    <row r="5555" ht="14.1" customHeight="1"/>
    <row r="5556" ht="14.1" customHeight="1"/>
    <row r="5557" ht="14.1" customHeight="1"/>
    <row r="5558" ht="14.1" customHeight="1"/>
    <row r="5559" ht="14.1" customHeight="1"/>
    <row r="5560" ht="14.1" customHeight="1"/>
    <row r="5561" ht="14.1" customHeight="1"/>
    <row r="5562" ht="14.1" customHeight="1"/>
    <row r="5563" ht="14.1" customHeight="1"/>
    <row r="5564" ht="14.1" customHeight="1"/>
    <row r="5565" ht="14.1" customHeight="1"/>
    <row r="5566" ht="14.1" customHeight="1"/>
    <row r="5567" ht="14.1" customHeight="1"/>
    <row r="5568" ht="14.1" customHeight="1"/>
    <row r="5569" ht="14.1" customHeight="1"/>
    <row r="5570" ht="14.1" customHeight="1"/>
    <row r="5571" ht="14.1" customHeight="1"/>
    <row r="5572" ht="14.1" customHeight="1"/>
    <row r="5573" ht="14.1" customHeight="1"/>
    <row r="5574" ht="14.1" customHeight="1"/>
    <row r="5575" ht="14.1" customHeight="1"/>
    <row r="5576" ht="14.1" customHeight="1"/>
    <row r="5577" ht="14.1" customHeight="1"/>
    <row r="5578" ht="14.1" customHeight="1"/>
    <row r="5579" ht="14.1" customHeight="1"/>
    <row r="5580" ht="14.1" customHeight="1"/>
    <row r="5581" ht="14.1" customHeight="1"/>
    <row r="5582" ht="14.1" customHeight="1"/>
    <row r="5583" ht="14.1" customHeight="1"/>
    <row r="5584" ht="14.1" customHeight="1"/>
    <row r="5585" ht="14.1" customHeight="1"/>
    <row r="5586" ht="14.1" customHeight="1"/>
    <row r="5587" ht="14.1" customHeight="1"/>
    <row r="5588" ht="14.1" customHeight="1"/>
    <row r="5589" ht="14.1" customHeight="1"/>
    <row r="5590" ht="14.1" customHeight="1"/>
    <row r="5591" ht="14.1" customHeight="1"/>
    <row r="5592" ht="14.1" customHeight="1"/>
    <row r="5593" ht="14.1" customHeight="1"/>
    <row r="5594" ht="14.1" customHeight="1"/>
    <row r="5595" ht="14.1" customHeight="1"/>
    <row r="5596" ht="14.1" customHeight="1"/>
    <row r="5597" ht="14.1" customHeight="1"/>
    <row r="5598" ht="14.1" customHeight="1"/>
    <row r="5599" ht="14.1" customHeight="1"/>
    <row r="5600" ht="14.1" customHeight="1"/>
    <row r="5601" ht="14.1" customHeight="1"/>
    <row r="5602" ht="14.1" customHeight="1"/>
    <row r="5603" ht="14.1" customHeight="1"/>
    <row r="5604" ht="14.1" customHeight="1"/>
    <row r="5605" ht="14.1" customHeight="1"/>
    <row r="5606" ht="14.1" customHeight="1"/>
    <row r="5607" ht="14.1" customHeight="1"/>
    <row r="5608" ht="14.1" customHeight="1"/>
    <row r="5609" ht="14.1" customHeight="1"/>
    <row r="5610" ht="14.1" customHeight="1"/>
    <row r="5611" ht="14.1" customHeight="1"/>
    <row r="5612" ht="14.1" customHeight="1"/>
    <row r="5613" ht="14.1" customHeight="1"/>
    <row r="5614" ht="14.1" customHeight="1"/>
    <row r="5615" ht="14.1" customHeight="1"/>
    <row r="5616" ht="14.1" customHeight="1"/>
    <row r="5617" ht="14.1" customHeight="1"/>
    <row r="5618" ht="14.1" customHeight="1"/>
    <row r="5619" ht="14.1" customHeight="1"/>
    <row r="5620" ht="14.1" customHeight="1"/>
    <row r="5621" ht="14.1" customHeight="1"/>
    <row r="5622" ht="14.1" customHeight="1"/>
    <row r="5623" ht="14.1" customHeight="1"/>
    <row r="5624" ht="14.1" customHeight="1"/>
    <row r="5625" ht="14.1" customHeight="1"/>
    <row r="5626" ht="14.1" customHeight="1"/>
    <row r="5627" ht="14.1" customHeight="1"/>
    <row r="5628" ht="14.1" customHeight="1"/>
    <row r="5629" ht="14.1" customHeight="1"/>
    <row r="5630" ht="14.1" customHeight="1"/>
    <row r="5631" ht="14.1" customHeight="1"/>
    <row r="5632" ht="14.1" customHeight="1"/>
    <row r="5633" ht="14.1" customHeight="1"/>
    <row r="5634" ht="14.1" customHeight="1"/>
    <row r="5635" ht="14.1" customHeight="1"/>
    <row r="5636" ht="14.1" customHeight="1"/>
    <row r="5637" ht="14.1" customHeight="1"/>
    <row r="5638" ht="14.1" customHeight="1"/>
    <row r="5639" ht="14.1" customHeight="1"/>
    <row r="5640" ht="14.1" customHeight="1"/>
    <row r="5641" ht="14.1" customHeight="1"/>
    <row r="5642" ht="14.1" customHeight="1"/>
    <row r="5643" ht="14.1" customHeight="1"/>
    <row r="5644" ht="14.1" customHeight="1"/>
    <row r="5645" ht="14.1" customHeight="1"/>
    <row r="5646" ht="14.1" customHeight="1"/>
    <row r="5647" ht="14.1" customHeight="1"/>
    <row r="5648" ht="14.1" customHeight="1"/>
    <row r="5649" ht="14.1" customHeight="1"/>
    <row r="5650" ht="14.1" customHeight="1"/>
    <row r="5651" ht="14.1" customHeight="1"/>
    <row r="5652" ht="14.1" customHeight="1"/>
    <row r="5653" ht="14.1" customHeight="1"/>
    <row r="5654" ht="14.1" customHeight="1"/>
    <row r="5655" ht="14.1" customHeight="1"/>
    <row r="5656" ht="14.1" customHeight="1"/>
    <row r="5657" ht="14.1" customHeight="1"/>
    <row r="5658" ht="14.1" customHeight="1"/>
    <row r="5659" ht="14.1" customHeight="1"/>
    <row r="5660" ht="14.1" customHeight="1"/>
    <row r="5661" ht="14.1" customHeight="1"/>
    <row r="5662" ht="14.1" customHeight="1"/>
    <row r="5663" ht="14.1" customHeight="1"/>
    <row r="5664" ht="14.1" customHeight="1"/>
    <row r="5665" ht="14.1" customHeight="1"/>
    <row r="5666" ht="14.1" customHeight="1"/>
    <row r="5667" ht="14.1" customHeight="1"/>
    <row r="5668" ht="14.1" customHeight="1"/>
    <row r="5669" ht="14.1" customHeight="1"/>
    <row r="5670" ht="14.1" customHeight="1"/>
    <row r="5671" ht="14.1" customHeight="1"/>
    <row r="5672" ht="14.1" customHeight="1"/>
    <row r="5673" ht="14.1" customHeight="1"/>
    <row r="5674" ht="14.1" customHeight="1"/>
    <row r="5675" ht="14.1" customHeight="1"/>
    <row r="5676" ht="14.1" customHeight="1"/>
    <row r="5677" ht="14.1" customHeight="1"/>
    <row r="5678" ht="14.1" customHeight="1"/>
    <row r="5679" ht="14.1" customHeight="1"/>
    <row r="5680" ht="14.1" customHeight="1"/>
    <row r="5681" ht="14.1" customHeight="1"/>
    <row r="5682" ht="14.1" customHeight="1"/>
    <row r="5683" ht="14.1" customHeight="1"/>
    <row r="5684" ht="14.1" customHeight="1"/>
    <row r="5685" ht="14.1" customHeight="1"/>
    <row r="5686" ht="14.1" customHeight="1"/>
    <row r="5687" ht="14.1" customHeight="1"/>
    <row r="5688" ht="14.1" customHeight="1"/>
    <row r="5689" ht="14.1" customHeight="1"/>
    <row r="5690" ht="14.1" customHeight="1"/>
    <row r="5691" ht="14.1" customHeight="1"/>
    <row r="5692" ht="14.1" customHeight="1"/>
    <row r="5693" ht="14.1" customHeight="1"/>
    <row r="5694" ht="14.1" customHeight="1"/>
    <row r="5695" ht="14.1" customHeight="1"/>
    <row r="5696" ht="14.1" customHeight="1"/>
    <row r="5697" ht="14.1" customHeight="1"/>
    <row r="5698" ht="14.1" customHeight="1"/>
    <row r="5699" ht="14.1" customHeight="1"/>
    <row r="5700" ht="14.1" customHeight="1"/>
    <row r="5701" ht="14.1" customHeight="1"/>
    <row r="5702" ht="14.1" customHeight="1"/>
    <row r="5703" ht="14.1" customHeight="1"/>
    <row r="5704" ht="14.1" customHeight="1"/>
    <row r="5705" ht="14.1" customHeight="1"/>
    <row r="5706" ht="14.1" customHeight="1"/>
    <row r="5707" ht="14.1" customHeight="1"/>
    <row r="5708" ht="14.1" customHeight="1"/>
    <row r="5709" ht="14.1" customHeight="1"/>
    <row r="5710" ht="14.1" customHeight="1"/>
    <row r="5711" ht="14.1" customHeight="1"/>
    <row r="5712" ht="14.1" customHeight="1"/>
    <row r="5713" ht="14.1" customHeight="1"/>
    <row r="5714" ht="14.1" customHeight="1"/>
    <row r="5715" ht="14.1" customHeight="1"/>
    <row r="5716" ht="14.1" customHeight="1"/>
    <row r="5717" ht="14.1" customHeight="1"/>
    <row r="5718" ht="14.1" customHeight="1"/>
    <row r="5719" ht="14.1" customHeight="1"/>
    <row r="5720" ht="14.1" customHeight="1"/>
    <row r="5721" ht="14.1" customHeight="1"/>
    <row r="5722" ht="14.1" customHeight="1"/>
    <row r="5723" ht="14.1" customHeight="1"/>
    <row r="5724" ht="14.1" customHeight="1"/>
    <row r="5725" ht="14.1" customHeight="1"/>
    <row r="5726" ht="14.1" customHeight="1"/>
    <row r="5727" ht="14.1" customHeight="1"/>
    <row r="5728" ht="14.1" customHeight="1"/>
    <row r="5729" ht="14.1" customHeight="1"/>
    <row r="5730" ht="14.1" customHeight="1"/>
    <row r="5731" ht="14.1" customHeight="1"/>
    <row r="5732" ht="14.1" customHeight="1"/>
    <row r="5733" ht="14.1" customHeight="1"/>
    <row r="5734" ht="14.1" customHeight="1"/>
    <row r="5735" ht="14.1" customHeight="1"/>
    <row r="5736" ht="14.1" customHeight="1"/>
    <row r="5737" ht="14.1" customHeight="1"/>
    <row r="5738" ht="14.1" customHeight="1"/>
    <row r="5739" ht="14.1" customHeight="1"/>
    <row r="5740" ht="14.1" customHeight="1"/>
    <row r="5741" ht="14.1" customHeight="1"/>
    <row r="5742" ht="14.1" customHeight="1"/>
    <row r="5743" ht="14.1" customHeight="1"/>
    <row r="5744" ht="14.1" customHeight="1"/>
    <row r="5745" ht="14.1" customHeight="1"/>
    <row r="5746" ht="14.1" customHeight="1"/>
    <row r="5747" ht="14.1" customHeight="1"/>
    <row r="5748" ht="14.1" customHeight="1"/>
    <row r="5749" ht="14.1" customHeight="1"/>
    <row r="5750" ht="14.1" customHeight="1"/>
    <row r="5751" ht="14.1" customHeight="1"/>
    <row r="5752" ht="14.1" customHeight="1"/>
    <row r="5753" ht="14.1" customHeight="1"/>
    <row r="5754" ht="14.1" customHeight="1"/>
    <row r="5755" ht="14.1" customHeight="1"/>
    <row r="5756" ht="14.1" customHeight="1"/>
    <row r="5757" ht="14.1" customHeight="1"/>
    <row r="5758" ht="14.1" customHeight="1"/>
    <row r="5759" ht="14.1" customHeight="1"/>
    <row r="5760" ht="14.1" customHeight="1"/>
    <row r="5761" ht="14.1" customHeight="1"/>
    <row r="5762" ht="14.1" customHeight="1"/>
    <row r="5763" ht="14.1" customHeight="1"/>
    <row r="5764" ht="14.1" customHeight="1"/>
    <row r="5765" ht="14.1" customHeight="1"/>
    <row r="5766" ht="14.1" customHeight="1"/>
    <row r="5767" ht="14.1" customHeight="1"/>
    <row r="5768" ht="14.1" customHeight="1"/>
    <row r="5769" ht="14.1" customHeight="1"/>
    <row r="5770" ht="14.1" customHeight="1"/>
    <row r="5771" ht="14.1" customHeight="1"/>
    <row r="5772" ht="14.1" customHeight="1"/>
    <row r="5773" ht="14.1" customHeight="1"/>
    <row r="5774" ht="14.1" customHeight="1"/>
    <row r="5775" ht="14.1" customHeight="1"/>
    <row r="5776" ht="14.1" customHeight="1"/>
    <row r="5777" ht="14.1" customHeight="1"/>
    <row r="5778" ht="14.1" customHeight="1"/>
    <row r="5779" ht="14.1" customHeight="1"/>
    <row r="5780" ht="14.1" customHeight="1"/>
    <row r="5781" ht="14.1" customHeight="1"/>
    <row r="5782" ht="14.1" customHeight="1"/>
    <row r="5783" ht="14.1" customHeight="1"/>
    <row r="5784" ht="14.1" customHeight="1"/>
    <row r="5785" ht="14.1" customHeight="1"/>
    <row r="5786" ht="14.1" customHeight="1"/>
    <row r="5787" ht="14.1" customHeight="1"/>
    <row r="5788" ht="14.1" customHeight="1"/>
    <row r="5789" ht="14.1" customHeight="1"/>
    <row r="5790" ht="14.1" customHeight="1"/>
    <row r="5791" ht="14.1" customHeight="1"/>
    <row r="5792" ht="14.1" customHeight="1"/>
    <row r="5793" ht="14.1" customHeight="1"/>
    <row r="5794" ht="14.1" customHeight="1"/>
    <row r="5795" ht="14.1" customHeight="1"/>
    <row r="5796" ht="14.1" customHeight="1"/>
    <row r="5797" ht="14.1" customHeight="1"/>
    <row r="5798" ht="14.1" customHeight="1"/>
    <row r="5799" ht="14.1" customHeight="1"/>
    <row r="5800" ht="14.1" customHeight="1"/>
    <row r="5801" ht="14.1" customHeight="1"/>
    <row r="5802" ht="14.1" customHeight="1"/>
    <row r="5803" ht="14.1" customHeight="1"/>
    <row r="5804" ht="14.1" customHeight="1"/>
    <row r="5805" ht="14.1" customHeight="1"/>
    <row r="5806" ht="14.1" customHeight="1"/>
    <row r="5807" ht="14.1" customHeight="1"/>
    <row r="5808" ht="14.1" customHeight="1"/>
    <row r="5809" ht="14.1" customHeight="1"/>
    <row r="5810" ht="14.1" customHeight="1"/>
    <row r="5811" ht="14.1" customHeight="1"/>
    <row r="5812" ht="14.1" customHeight="1"/>
    <row r="5813" ht="14.1" customHeight="1"/>
    <row r="5814" ht="14.1" customHeight="1"/>
    <row r="5815" ht="14.1" customHeight="1"/>
    <row r="5816" ht="14.1" customHeight="1"/>
    <row r="5817" ht="14.1" customHeight="1"/>
    <row r="5818" ht="14.1" customHeight="1"/>
    <row r="5819" ht="14.1" customHeight="1"/>
  </sheetData>
  <autoFilter ref="A7:L819"/>
  <mergeCells count="1">
    <mergeCell ref="A6:J6"/>
  </mergeCells>
  <conditionalFormatting sqref="A78:F79 A85:B85 A86:J86 A87:G97 A98:B101 A115:J132 A134:J138 A139:D147 A151:J181 C106:F109 C110:G113 G59:G79 G85 G99:G101 G103:G109 H58:J79 H87:H113 I83:J84 J11:J56 J95:J97">
    <cfRule type="expression" priority="39" dxfId="6">
      <formula>$B11="SUBETAPA"</formula>
    </cfRule>
  </conditionalFormatting>
  <conditionalFormatting sqref="A102:B113">
    <cfRule type="expression" priority="54" dxfId="6">
      <formula>$B102="SUBETAPA"</formula>
    </cfRule>
  </conditionalFormatting>
  <conditionalFormatting sqref="A98:C101">
    <cfRule type="expression" priority="118" dxfId="8">
      <formula>$B98="ETAPA"</formula>
    </cfRule>
  </conditionalFormatting>
  <conditionalFormatting sqref="A102:C105">
    <cfRule type="expression" priority="52" dxfId="8">
      <formula>$B102="ETAPA"</formula>
    </cfRule>
  </conditionalFormatting>
  <conditionalFormatting sqref="A77:D79">
    <cfRule type="expression" priority="160" dxfId="8">
      <formula>$B77="ETAPA"</formula>
    </cfRule>
  </conditionalFormatting>
  <conditionalFormatting sqref="A85:D85">
    <cfRule type="expression" priority="38" dxfId="8">
      <formula>$B85="ETAPA"</formula>
    </cfRule>
  </conditionalFormatting>
  <conditionalFormatting sqref="A139:D147">
    <cfRule type="expression" priority="108" dxfId="8">
      <formula>$B139="ETAPA"</formula>
    </cfRule>
  </conditionalFormatting>
  <conditionalFormatting sqref="A144:D147">
    <cfRule type="expression" priority="16" dxfId="7">
      <formula>$B144="CÉLULA CONSTRUTIVA"</formula>
    </cfRule>
  </conditionalFormatting>
  <conditionalFormatting sqref="A150:D150 F108:F109 F110:G113 G59:G79 I87:J97">
    <cfRule type="expression" priority="94" dxfId="7">
      <formula>$B59="CÉLULA CONSTRUTIVA"</formula>
    </cfRule>
    <cfRule type="expression" priority="95" dxfId="8">
      <formula>$B59="ETAPA"</formula>
    </cfRule>
  </conditionalFormatting>
  <conditionalFormatting sqref="A83:E84">
    <cfRule type="expression" priority="146" dxfId="6">
      <formula>$B83="SUBETAPA"</formula>
    </cfRule>
  </conditionalFormatting>
  <conditionalFormatting sqref="A85:E85">
    <cfRule type="expression" priority="32" dxfId="7">
      <formula>$B85="CÉLULA CONSTRUTIVA"</formula>
    </cfRule>
  </conditionalFormatting>
  <conditionalFormatting sqref="A150:E150">
    <cfRule type="expression" priority="57" dxfId="6">
      <formula>$B150="SUBETAPA"</formula>
    </cfRule>
  </conditionalFormatting>
  <conditionalFormatting sqref="A59:F77">
    <cfRule type="expression" priority="191" dxfId="6">
      <formula>$B59="SUBETAPA"</formula>
    </cfRule>
    <cfRule type="expression" priority="192" dxfId="7">
      <formula>$B59="CÉLULA CONSTRUTIVA"</formula>
    </cfRule>
  </conditionalFormatting>
  <conditionalFormatting sqref="A58:G58">
    <cfRule type="expression" priority="166" dxfId="6">
      <formula>$B58="SUBETAPA"</formula>
    </cfRule>
    <cfRule type="expression" priority="167" dxfId="7">
      <formula>$B58="CÉLULA CONSTRUTIVA"</formula>
    </cfRule>
    <cfRule type="expression" priority="170" dxfId="8">
      <formula>$B58="ETAPA"</formula>
    </cfRule>
  </conditionalFormatting>
  <conditionalFormatting sqref="A83:G84">
    <cfRule type="expression" priority="78" dxfId="7">
      <formula>$B83="CÉLULA CONSTRUTIVA"</formula>
    </cfRule>
  </conditionalFormatting>
  <conditionalFormatting sqref="A87:G98">
    <cfRule type="expression" priority="106" dxfId="7">
      <formula>$B87="CÉLULA CONSTRUTIVA"</formula>
    </cfRule>
  </conditionalFormatting>
  <conditionalFormatting sqref="A102:G102">
    <cfRule type="expression" priority="51" dxfId="7">
      <formula>$B102="CÉLULA CONSTRUTIVA"</formula>
    </cfRule>
  </conditionalFormatting>
  <conditionalFormatting sqref="A114:G114">
    <cfRule type="expression" priority="122" dxfId="7">
      <formula>$B114="CÉLULA CONSTRUTIVA"</formula>
    </cfRule>
    <cfRule type="expression" priority="123" dxfId="8">
      <formula>$B114="ETAPA"</formula>
    </cfRule>
  </conditionalFormatting>
  <conditionalFormatting sqref="A148:G148">
    <cfRule type="expression" priority="92" dxfId="7">
      <formula>$B148="CÉLULA CONSTRUTIVA"</formula>
    </cfRule>
    <cfRule type="expression" priority="93" dxfId="8">
      <formula>$B148="ETAPA"</formula>
    </cfRule>
  </conditionalFormatting>
  <conditionalFormatting sqref="A8:H56">
    <cfRule type="expression" priority="133" dxfId="6">
      <formula>$B8="SUBETAPA"</formula>
    </cfRule>
  </conditionalFormatting>
  <conditionalFormatting sqref="A11:H19">
    <cfRule type="expression" priority="48" dxfId="7">
      <formula>$B11="CÉLULA CONSTRUTIVA"</formula>
    </cfRule>
    <cfRule type="expression" priority="49" dxfId="8">
      <formula>$B11="ETAPA"</formula>
    </cfRule>
  </conditionalFormatting>
  <conditionalFormatting sqref="A114:H114">
    <cfRule type="expression" priority="124" dxfId="6">
      <formula>$B114="SUBETAPA"</formula>
    </cfRule>
  </conditionalFormatting>
  <conditionalFormatting sqref="A133:H133">
    <cfRule type="expression" priority="120" dxfId="7">
      <formula>$B133="CÉLULA CONSTRUTIVA"</formula>
    </cfRule>
  </conditionalFormatting>
  <conditionalFormatting sqref="A8:J10">
    <cfRule type="expression" priority="215" dxfId="8">
      <formula>$B8="ETAPA"</formula>
    </cfRule>
  </conditionalFormatting>
  <conditionalFormatting sqref="A57:J57">
    <cfRule type="expression" priority="188" dxfId="6">
      <formula>$B57="SUBETAPA"</formula>
    </cfRule>
    <cfRule type="expression" priority="189" dxfId="7">
      <formula>$B57="CÉLULA CONSTRUTIVA"</formula>
    </cfRule>
    <cfRule type="expression" priority="190" dxfId="8">
      <formula>$B57="ETAPA"</formula>
    </cfRule>
  </conditionalFormatting>
  <conditionalFormatting sqref="A80:J82">
    <cfRule type="expression" priority="148" dxfId="6">
      <formula>$B80="SUBETAPA"</formula>
    </cfRule>
    <cfRule type="expression" priority="149" dxfId="7">
      <formula>$B80="CÉLULA CONSTRUTIVA"</formula>
    </cfRule>
    <cfRule type="expression" priority="150" dxfId="8">
      <formula>$B80="ETAPA"</formula>
    </cfRule>
  </conditionalFormatting>
  <conditionalFormatting sqref="A115:J132">
    <cfRule type="expression" priority="112" dxfId="8">
      <formula>$B115="ETAPA"</formula>
    </cfRule>
  </conditionalFormatting>
  <conditionalFormatting sqref="A133:J133">
    <cfRule type="expression" priority="119" dxfId="6">
      <formula>$B133="SUBETAPA"</formula>
    </cfRule>
  </conditionalFormatting>
  <conditionalFormatting sqref="A133:J138">
    <cfRule type="expression" priority="132" dxfId="8">
      <formula>$B133="ETAPA"</formula>
    </cfRule>
  </conditionalFormatting>
  <conditionalFormatting sqref="A148:J149">
    <cfRule type="expression" priority="81" dxfId="6">
      <formula>$B148="SUBETAPA"</formula>
    </cfRule>
  </conditionalFormatting>
  <conditionalFormatting sqref="A149:J149">
    <cfRule type="expression" priority="103" dxfId="7">
      <formula>$B149="CÉLULA CONSTRUTIVA"</formula>
    </cfRule>
    <cfRule type="expression" priority="104" dxfId="8">
      <formula>$B149="ETAPA"</formula>
    </cfRule>
  </conditionalFormatting>
  <conditionalFormatting sqref="C106:C108">
    <cfRule type="expression" priority="129" dxfId="8">
      <formula>$B106="ETAPA"</formula>
    </cfRule>
  </conditionalFormatting>
  <conditionalFormatting sqref="C85:E85">
    <cfRule type="expression" priority="23" dxfId="6">
      <formula>$B85="SUBETAPA"</formula>
    </cfRule>
  </conditionalFormatting>
  <conditionalFormatting sqref="C99:E101">
    <cfRule type="expression" priority="8" dxfId="6">
      <formula>$B99="SUBETAPA"</formula>
    </cfRule>
  </conditionalFormatting>
  <conditionalFormatting sqref="C103:E105">
    <cfRule type="expression" priority="5" dxfId="6">
      <formula>$B103="SUBETAPA"</formula>
    </cfRule>
  </conditionalFormatting>
  <conditionalFormatting sqref="C98:G98">
    <cfRule type="expression" priority="105" dxfId="6">
      <formula>$B98="SUBETAPA"</formula>
    </cfRule>
  </conditionalFormatting>
  <conditionalFormatting sqref="C102:G102">
    <cfRule type="expression" priority="50" dxfId="6">
      <formula>$B102="SUBETAPA"</formula>
    </cfRule>
  </conditionalFormatting>
  <conditionalFormatting sqref="D85">
    <cfRule type="expression" priority="31" dxfId="8">
      <formula>$B85="ETAPA"</formula>
    </cfRule>
  </conditionalFormatting>
  <conditionalFormatting sqref="D108:E108">
    <cfRule type="expression" priority="128" dxfId="8">
      <formula>$B108="ETAPA"</formula>
    </cfRule>
  </conditionalFormatting>
  <conditionalFormatting sqref="D99:F101">
    <cfRule type="expression" priority="10" dxfId="8">
      <formula>$B99="ETAPA"</formula>
    </cfRule>
  </conditionalFormatting>
  <conditionalFormatting sqref="D103:F105">
    <cfRule type="expression" priority="7" dxfId="8">
      <formula>$B103="ETAPA"</formula>
    </cfRule>
  </conditionalFormatting>
  <conditionalFormatting sqref="D106:F107">
    <cfRule type="expression" priority="127" dxfId="8">
      <formula>$B106="ETAPA"</formula>
    </cfRule>
  </conditionalFormatting>
  <conditionalFormatting sqref="D102:G102">
    <cfRule type="expression" priority="53" dxfId="8">
      <formula>$B102="ETAPA"</formula>
    </cfRule>
  </conditionalFormatting>
  <conditionalFormatting sqref="E83">
    <cfRule type="expression" priority="139" dxfId="8">
      <formula>$B83="ETAPA"</formula>
    </cfRule>
  </conditionalFormatting>
  <conditionalFormatting sqref="E99:E101">
    <cfRule type="expression" priority="9" dxfId="7">
      <formula>$B99="CÉLULA CONSTRUTIVA"</formula>
    </cfRule>
  </conditionalFormatting>
  <conditionalFormatting sqref="E103:F105">
    <cfRule type="expression" priority="6" dxfId="7">
      <formula>$B103="CÉLULA CONSTRUTIVA"</formula>
    </cfRule>
  </conditionalFormatting>
  <conditionalFormatting sqref="E139:G147">
    <cfRule type="expression" priority="2" dxfId="8">
      <formula>$B139="ETAPA"</formula>
    </cfRule>
    <cfRule type="expression" priority="4" dxfId="7">
      <formula>$B139="CÉLULA CONSTRUTIVA"</formula>
    </cfRule>
  </conditionalFormatting>
  <conditionalFormatting sqref="E150:G150">
    <cfRule type="expression" priority="55" dxfId="7">
      <formula>$B150="CÉLULA CONSTRUTIVA"</formula>
    </cfRule>
    <cfRule type="expression" priority="56" dxfId="8">
      <formula>$B150="ETAPA"</formula>
    </cfRule>
  </conditionalFormatting>
  <conditionalFormatting sqref="E139:J147">
    <cfRule type="expression" priority="3" dxfId="6">
      <formula>$B139="SUBETAPA"</formula>
    </cfRule>
  </conditionalFormatting>
  <conditionalFormatting sqref="F83:F84 F103:F105">
    <cfRule type="expression" priority="76" dxfId="8">
      <formula>$B83="ETAPA"</formula>
    </cfRule>
    <cfRule type="expression" priority="77" dxfId="6">
      <formula>$B83="SUBETAPA"</formula>
    </cfRule>
    <cfRule type="expression" priority="75" dxfId="7">
      <formula>$B83="CÉLULA CONSTRUTIVA"</formula>
    </cfRule>
  </conditionalFormatting>
  <conditionalFormatting sqref="F83:F85">
    <cfRule type="expression" priority="26" dxfId="7">
      <formula>$B83="CÉLULA CONSTRUTIVA"</formula>
    </cfRule>
    <cfRule type="expression" priority="27" dxfId="8">
      <formula>$B83="ETAPA"</formula>
    </cfRule>
  </conditionalFormatting>
  <conditionalFormatting sqref="F85">
    <cfRule type="expression" priority="24" dxfId="7">
      <formula>$B85="CÉLULA CONSTRUTIVA"</formula>
    </cfRule>
    <cfRule type="expression" priority="25" dxfId="8">
      <formula>$B85="ETAPA"</formula>
    </cfRule>
    <cfRule type="expression" priority="28" dxfId="6">
      <formula>$B85="SUBETAPA"</formula>
    </cfRule>
  </conditionalFormatting>
  <conditionalFormatting sqref="F99:F101">
    <cfRule type="expression" priority="67" dxfId="7">
      <formula>$B99="CÉLULA CONSTRUTIVA"</formula>
    </cfRule>
    <cfRule type="expression" priority="68" dxfId="8">
      <formula>$B99="ETAPA"</formula>
    </cfRule>
    <cfRule type="expression" priority="69" dxfId="6">
      <formula>$B99="SUBETAPA"</formula>
    </cfRule>
  </conditionalFormatting>
  <conditionalFormatting sqref="F103:F105">
    <cfRule type="expression" priority="70" dxfId="7">
      <formula>$B103="CÉLULA CONSTRUTIVA"</formula>
    </cfRule>
    <cfRule type="expression" priority="71" dxfId="8">
      <formula>$B103="ETAPA"</formula>
    </cfRule>
  </conditionalFormatting>
  <conditionalFormatting sqref="F83:G84">
    <cfRule type="expression" priority="79" dxfId="8">
      <formula>$B83="ETAPA"</formula>
    </cfRule>
  </conditionalFormatting>
  <conditionalFormatting sqref="F85:G85">
    <cfRule type="expression" priority="30" dxfId="8">
      <formula>$B85="ETAPA"</formula>
    </cfRule>
  </conditionalFormatting>
  <conditionalFormatting sqref="F139:G147">
    <cfRule type="expression" priority="1" dxfId="7">
      <formula>$B139="CÉLULA CONSTRUTIVA"</formula>
    </cfRule>
  </conditionalFormatting>
  <conditionalFormatting sqref="F150:G150">
    <cfRule type="expression" priority="58" dxfId="7">
      <formula>$B150="CÉLULA CONSTRUTIVA"</formula>
    </cfRule>
    <cfRule type="expression" priority="59" dxfId="8">
      <formula>$B150="ETAPA"</formula>
    </cfRule>
  </conditionalFormatting>
  <conditionalFormatting sqref="F85:H85">
    <cfRule type="expression" priority="29" dxfId="7">
      <formula>$B85="CÉLULA CONSTRUTIVA"</formula>
    </cfRule>
  </conditionalFormatting>
  <conditionalFormatting sqref="F150:H150">
    <cfRule type="expression" priority="60" dxfId="6">
      <formula>$B150="SUBETAPA"</formula>
    </cfRule>
    <cfRule type="expression" priority="61" dxfId="7">
      <formula>$B150="CÉLULA CONSTRUTIVA"</formula>
    </cfRule>
    <cfRule type="expression" priority="62" dxfId="8">
      <formula>$B150="ETAPA"</formula>
    </cfRule>
  </conditionalFormatting>
  <conditionalFormatting sqref="G11:G19">
    <cfRule type="expression" priority="63" dxfId="7">
      <formula>$B11="CÉLULA CONSTRUTIVA"</formula>
    </cfRule>
    <cfRule type="expression" priority="64" dxfId="8">
      <formula>$B11="ETAPA"</formula>
    </cfRule>
    <cfRule type="expression" priority="65" dxfId="7">
      <formula>$B11="CÉLULA CONSTRUTIVA"</formula>
    </cfRule>
    <cfRule type="expression" priority="66" dxfId="8">
      <formula>$B11="ETAPA"</formula>
    </cfRule>
  </conditionalFormatting>
  <conditionalFormatting sqref="G42:G45">
    <cfRule type="expression" priority="89" dxfId="7">
      <formula>$B42="CÉLULA CONSTRUTIVA"</formula>
    </cfRule>
    <cfRule type="expression" priority="90" dxfId="8">
      <formula>$B42="ETAPA"</formula>
    </cfRule>
  </conditionalFormatting>
  <conditionalFormatting sqref="G47:G56">
    <cfRule type="expression" priority="46" dxfId="7">
      <formula>$B47="CÉLULA CONSTRUTIVA"</formula>
    </cfRule>
    <cfRule type="expression" priority="47" dxfId="8">
      <formula>$B47="ETAPA"</formula>
    </cfRule>
  </conditionalFormatting>
  <conditionalFormatting sqref="A8:J10 A20:H56 A78:F79 A86:J86 A99:D101 A103:D105 A106:B113 A115:J132 A134:J138 A139:D143 A151:J181 C106:F109 C110:G113 F99:G101 G59:G79 G83:G85 G103:G109 H87:H114 J95:J97">
    <cfRule type="expression" priority="107" dxfId="7">
      <formula>$B8="CÉLULA CONSTRUTIVA"</formula>
    </cfRule>
  </conditionalFormatting>
  <conditionalFormatting sqref="G83:G85">
    <cfRule type="expression" priority="187" dxfId="8">
      <formula>$B83="ETAPA"</formula>
    </cfRule>
  </conditionalFormatting>
  <conditionalFormatting sqref="F108:F109 F110:G113 G83:G85 G103:G109">
    <cfRule type="expression" priority="184" dxfId="8">
      <formula>$B83="ETAPA"</formula>
    </cfRule>
  </conditionalFormatting>
  <conditionalFormatting sqref="G103:G109">
    <cfRule type="expression" priority="182" dxfId="8">
      <formula>$B103="ETAPA"</formula>
    </cfRule>
    <cfRule type="expression" priority="183" dxfId="7">
      <formula>$B103="CÉLULA CONSTRUTIVA"</formula>
    </cfRule>
  </conditionalFormatting>
  <conditionalFormatting sqref="G187">
    <cfRule type="expression" priority="203" dxfId="6">
      <formula>$B184="SUBETAPA"</formula>
    </cfRule>
    <cfRule type="expression" priority="204" dxfId="7">
      <formula>$B184="CÉLULA CONSTRUTIVA"</formula>
    </cfRule>
    <cfRule type="expression" priority="205" dxfId="8">
      <formula>$B184="ETAPA"</formula>
    </cfRule>
  </conditionalFormatting>
  <conditionalFormatting sqref="G83:H84">
    <cfRule type="expression" priority="185" dxfId="6">
      <formula>$B83="SUBETAPA"</formula>
    </cfRule>
    <cfRule type="expression" priority="186" dxfId="7">
      <formula>$B83="CÉLULA CONSTRUTIVA"</formula>
    </cfRule>
  </conditionalFormatting>
  <conditionalFormatting sqref="G183:H187">
    <cfRule type="expression" priority="200" dxfId="6">
      <formula>$B183="SUBETAPA"</formula>
    </cfRule>
    <cfRule type="expression" priority="201" dxfId="7">
      <formula>$B183="CÉLULA CONSTRUTIVA"</formula>
    </cfRule>
    <cfRule type="expression" priority="202" dxfId="8">
      <formula>$B183="ETAPA"</formula>
    </cfRule>
  </conditionalFormatting>
  <conditionalFormatting sqref="H77:H79">
    <cfRule type="expression" priority="159" dxfId="8">
      <formula>$B77="ETAPA"</formula>
    </cfRule>
  </conditionalFormatting>
  <conditionalFormatting sqref="H84:H85">
    <cfRule type="expression" priority="40" dxfId="8">
      <formula>$B84="ETAPA"</formula>
    </cfRule>
  </conditionalFormatting>
  <conditionalFormatting sqref="H58:J79">
    <cfRule type="expression" priority="147" dxfId="7">
      <formula>$B58="CÉLULA CONSTRUTIVA"</formula>
    </cfRule>
  </conditionalFormatting>
  <conditionalFormatting sqref="H85:J85">
    <cfRule type="expression" priority="20" dxfId="6">
      <formula>$B85="SUBETAPA"</formula>
    </cfRule>
  </conditionalFormatting>
  <conditionalFormatting sqref="H139:J148">
    <cfRule type="expression" priority="82" dxfId="7">
      <formula>$B139="CÉLULA CONSTRUTIVA"</formula>
    </cfRule>
    <cfRule type="expression" priority="83" dxfId="8">
      <formula>$B139="ETAPA"</formula>
    </cfRule>
  </conditionalFormatting>
  <conditionalFormatting sqref="I11:I56">
    <cfRule type="expression" priority="156" dxfId="8">
      <formula>$B11="ETAPA"</formula>
    </cfRule>
    <cfRule type="expression" priority="157" dxfId="6">
      <formula>$B11="SUBETAPA"</formula>
    </cfRule>
    <cfRule type="expression" priority="158" dxfId="7">
      <formula>$B11="CÉLULA CONSTRUTIVA"</formula>
    </cfRule>
  </conditionalFormatting>
  <conditionalFormatting sqref="I150">
    <cfRule type="expression" priority="17" dxfId="6">
      <formula>$B150="SUBETAPA"</formula>
    </cfRule>
  </conditionalFormatting>
  <conditionalFormatting sqref="I8:J10">
    <cfRule type="expression" priority="232" dxfId="6">
      <formula>$B8="SUBETAPA"</formula>
    </cfRule>
  </conditionalFormatting>
  <conditionalFormatting sqref="I77:J79">
    <cfRule type="expression" priority="80" dxfId="8">
      <formula>$B77="ETAPA"</formula>
    </cfRule>
  </conditionalFormatting>
  <conditionalFormatting sqref="I83:J84">
    <cfRule type="expression" priority="73" dxfId="7">
      <formula>$B83="CÉLULA CONSTRUTIVA"</formula>
    </cfRule>
    <cfRule type="expression" priority="74" dxfId="8">
      <formula>$B83="ETAPA"</formula>
    </cfRule>
  </conditionalFormatting>
  <conditionalFormatting sqref="I85:J85">
    <cfRule type="expression" priority="21" dxfId="7">
      <formula>$B85="CÉLULA CONSTRUTIVA"</formula>
    </cfRule>
    <cfRule type="expression" priority="22" dxfId="8">
      <formula>$B85="ETAPA"</formula>
    </cfRule>
  </conditionalFormatting>
  <conditionalFormatting sqref="I87:J114">
    <cfRule type="expression" priority="109" dxfId="6">
      <formula>$B87="SUBETAPA"</formula>
    </cfRule>
  </conditionalFormatting>
  <conditionalFormatting sqref="I98:J114">
    <cfRule type="expression" priority="110" dxfId="7">
      <formula>$B98="CÉLULA CONSTRUTIVA"</formula>
    </cfRule>
    <cfRule type="expression" priority="121" dxfId="8">
      <formula>$B98="ETAPA"</formula>
    </cfRule>
  </conditionalFormatting>
  <conditionalFormatting sqref="I133:J133">
    <cfRule type="expression" priority="111" dxfId="7">
      <formula>$B133="CÉLULA CONSTRUTIVA"</formula>
    </cfRule>
  </conditionalFormatting>
  <conditionalFormatting sqref="I150:J150">
    <cfRule type="expression" priority="18" dxfId="7">
      <formula>$B150="CÉLULA CONSTRUTIVA"</formula>
    </cfRule>
    <cfRule type="expression" priority="19" dxfId="8">
      <formula>$B150="ETAPA"</formula>
    </cfRule>
  </conditionalFormatting>
  <conditionalFormatting sqref="A20:H56 A59:F75 A76:D76 A83:D84 A86:J86 A87:G97 A106:B113 A151:J181 C109:E113 D98:G98 D103:D105 E76:F79 E84:E85 F99:G101 G59:G79 H58:J76 H83 H87:H114 J11:J40 J42:J45 J47:J56 J95:J97">
    <cfRule type="expression" priority="226" dxfId="8">
      <formula>$B11="ETAPA"</formula>
    </cfRule>
  </conditionalFormatting>
  <conditionalFormatting sqref="J11:J56">
    <cfRule type="expression" priority="214" dxfId="7">
      <formula>$B11="CÉLULA CONSTRUTIVA"</formula>
    </cfRule>
  </conditionalFormatting>
  <conditionalFormatting sqref="J41">
    <cfRule type="expression" priority="199" dxfId="8">
      <formula>$B41="ETAPA"</formula>
    </cfRule>
  </conditionalFormatting>
  <conditionalFormatting sqref="J46">
    <cfRule type="expression" priority="198" dxfId="8">
      <formula>$B46="ETAPA"</formula>
    </cfRule>
  </conditionalFormatting>
  <conditionalFormatting sqref="J150">
    <cfRule type="expression" priority="96" dxfId="6">
      <formula>$B150="SUBETAPA"</formula>
    </cfRule>
  </conditionalFormatting>
  <dataValidations count="4">
    <dataValidation sqref="B8:B181" showDropDown="0" showInputMessage="1" showErrorMessage="1" allowBlank="1" type="list">
      <formula1>"UNIDADE CONSTRUTIVA,CÉLULA CONSTRUTIVA,ETAPA,SUBETAPA,SERVIÇO"</formula1>
    </dataValidation>
    <dataValidation sqref="J11:J19 J21:J57 J59:J74 J76:J80 J82:J150 J154:J161 J163:J170 J172:J181" showDropDown="0" showInputMessage="1" showErrorMessage="1" allowBlank="1" type="list">
      <formula1>"Finalizado, Em Andamento, Pendente, N/A,Lançado ERP"</formula1>
    </dataValidation>
    <dataValidation sqref="J10 J20" showDropDown="0" showInputMessage="1" showErrorMessage="1" allowBlank="1" type="list">
      <formula1>#REF!</formula1>
    </dataValidation>
    <dataValidation sqref="J58 J75:J76" showDropDown="0" showInputMessage="1" showErrorMessage="1" allowBlank="1" type="list">
      <formula1>$K$2:$K$5</formula1>
    </dataValidation>
  </dataValidations>
  <hyperlinks>
    <hyperlink ref="I87" location="'EPC''s'!A1" display="EPC'S"/>
    <hyperlink ref="I88" location="'EPC''s'!A1" display="EPC'S"/>
    <hyperlink ref="I89" location="'EPC''s'!A1" display="EPC'S"/>
    <hyperlink ref="I90" location="'EPC''s'!A1" display="EPC'S"/>
    <hyperlink ref="I91" location="'EPC''s'!A1" display="EPC'S"/>
    <hyperlink ref="I92" location="'EPC''s'!A1" display="EPC'S"/>
    <hyperlink ref="I93" location="'EPC''s'!A1" display="EPC'S"/>
    <hyperlink ref="I94" location="'EPC''s'!A1" display="EPC'S"/>
    <hyperlink ref="I95" location="'EPC''s'!A1" display="EPC'S"/>
    <hyperlink ref="I96" location="'EPC''s'!A1" display="EPC'S"/>
    <hyperlink ref="I97" location="'EPC''s'!A1" display="EPC'S"/>
  </hyperlinks>
  <printOptions horizontalCentered="1"/>
  <pageMargins left="0.5118110236220472" right="0.5118110236220472" top="0.7874015748031497" bottom="0.7874015748031497" header="0.3149606299212598" footer="0.3149606299212598"/>
  <pageSetup orientation="portrait" paperSize="9" scale="11"/>
  <drawing xmlns:r="http://schemas.openxmlformats.org/officeDocument/2006/relationships" r:id="rId1"/>
</worksheet>
</file>

<file path=xl/worksheets/sheet10.xml><?xml version="1.0" encoding="utf-8"?>
<worksheet xmlns="http://schemas.openxmlformats.org/spreadsheetml/2006/main">
  <sheetPr codeName="Planilha6">
    <tabColor theme="1"/>
    <outlinePr summaryBelow="0"/>
    <pageSetUpPr fitToPage="1"/>
  </sheetPr>
  <dimension ref="A1:P8173"/>
  <sheetViews>
    <sheetView showGridLines="0" topLeftCell="F1" zoomScaleNormal="100" workbookViewId="0">
      <pane ySplit="7" topLeftCell="A8" activePane="bottomLeft" state="frozen"/>
      <selection pane="bottomLeft" activeCell="J11" sqref="J11"/>
    </sheetView>
  </sheetViews>
  <sheetFormatPr baseColWidth="8" defaultColWidth="12.5703125" defaultRowHeight="15" customHeight="1" outlineLevelRow="3"/>
  <cols>
    <col hidden="1" width="4" customWidth="1" min="1" max="5"/>
    <col collapsed="1" width="3.140625" customWidth="1" style="1" min="6" max="6"/>
    <col width="6.7109375" customWidth="1" min="7" max="7"/>
    <col width="8.5703125" customWidth="1" min="8" max="8"/>
    <col width="12.28515625" customWidth="1" min="9" max="9"/>
    <col width="75.5703125" customWidth="1" min="10" max="10"/>
    <col width="6.85546875" customWidth="1" min="11" max="11"/>
    <col width="10.28515625" bestFit="1" customWidth="1" min="12" max="12"/>
    <col width="15.140625" bestFit="1" customWidth="1" min="13" max="13"/>
    <col width="15" customWidth="1" min="14" max="14"/>
    <col width="76.7109375" customWidth="1" min="15" max="15"/>
    <col width="17.5703125" customWidth="1" min="16" max="16"/>
    <col width="14.28515625" bestFit="1" customWidth="1" min="17" max="17"/>
    <col width="19.42578125" bestFit="1" customWidth="1" min="18" max="18"/>
    <col width="15.85546875" customWidth="1" min="19" max="19"/>
    <col width="17.7109375" customWidth="1" min="20" max="20"/>
    <col width="16.85546875" bestFit="1" customWidth="1" min="21" max="21"/>
  </cols>
  <sheetData>
    <row r="1" ht="6.75" customHeight="1">
      <c r="A1" s="19" t="n"/>
      <c r="B1" s="19" t="n"/>
      <c r="C1" s="19" t="n"/>
      <c r="D1" s="19" t="n"/>
      <c r="E1" s="19" t="n"/>
      <c r="F1" s="19" t="n"/>
      <c r="G1" s="20" t="n"/>
      <c r="H1" s="20" t="n"/>
      <c r="I1" s="20" t="n"/>
      <c r="J1" s="22" t="n"/>
      <c r="K1" s="21" t="n"/>
      <c r="L1" s="22" t="n"/>
      <c r="M1" s="22" t="n"/>
      <c r="N1" s="23" t="n"/>
      <c r="O1" s="22" t="n"/>
      <c r="P1" s="24" t="n"/>
    </row>
    <row r="2" ht="17.25" customHeight="1">
      <c r="A2" s="25" t="n"/>
      <c r="B2" s="25" t="n"/>
      <c r="C2" s="25" t="n"/>
      <c r="D2" s="25" t="n"/>
      <c r="E2" s="25" t="n"/>
      <c r="F2" s="25" t="n"/>
      <c r="G2" s="26" t="n"/>
      <c r="H2" s="27" t="n"/>
      <c r="I2" s="27" t="n"/>
      <c r="J2" s="27" t="n"/>
      <c r="K2" s="28" t="n"/>
      <c r="L2" s="28" t="n"/>
      <c r="M2" s="28" t="n"/>
      <c r="N2" s="29" t="n"/>
      <c r="O2" s="30" t="n"/>
      <c r="P2" s="31" t="n"/>
    </row>
    <row r="3" ht="18" customHeight="1">
      <c r="A3" s="25" t="n"/>
      <c r="B3" s="25" t="n"/>
      <c r="C3" s="25" t="n"/>
      <c r="D3" s="25" t="n"/>
      <c r="E3" s="25" t="n"/>
      <c r="F3" s="25" t="n"/>
      <c r="G3" s="32" t="n"/>
      <c r="H3" s="33" t="n"/>
      <c r="I3" s="33" t="n"/>
      <c r="J3" s="33" t="n"/>
      <c r="K3" s="34" t="n"/>
      <c r="L3" s="34" t="n"/>
      <c r="M3" s="34" t="n"/>
      <c r="N3" s="35" t="n"/>
      <c r="O3" s="36" t="n"/>
      <c r="P3" s="37" t="n"/>
    </row>
    <row r="4" ht="15" customHeight="1">
      <c r="A4" s="3" t="n"/>
      <c r="B4" s="3" t="n"/>
      <c r="C4" s="3" t="n"/>
      <c r="D4" s="3" t="n"/>
      <c r="E4" s="3" t="n"/>
      <c r="F4" s="3" t="n"/>
      <c r="G4" s="38" t="n"/>
      <c r="H4" s="39" t="inlineStr">
        <is>
          <t>PROJETO:</t>
        </is>
      </c>
      <c r="I4" s="2" t="inlineStr">
        <is>
          <t>Electra Towers</t>
        </is>
      </c>
      <c r="J4" s="2" t="n"/>
      <c r="K4" s="3" t="n"/>
      <c r="L4" s="3" t="n"/>
      <c r="M4" s="3" t="n"/>
      <c r="N4" s="40" t="n"/>
      <c r="O4" s="39" t="inlineStr">
        <is>
          <t>REVISÃO:</t>
        </is>
      </c>
      <c r="P4" s="2108" t="inlineStr">
        <is>
          <t>DATA</t>
        </is>
      </c>
    </row>
    <row r="5" ht="15" customHeight="1">
      <c r="A5" s="2" t="n"/>
      <c r="B5" s="2" t="n"/>
      <c r="C5" s="2" t="n"/>
      <c r="D5" s="2" t="n"/>
      <c r="E5" s="2" t="n"/>
      <c r="F5" s="2" t="n"/>
      <c r="G5" s="2109" t="n"/>
      <c r="H5" s="2110" t="inlineStr">
        <is>
          <t>EMPRESA:</t>
        </is>
      </c>
      <c r="I5" s="2" t="inlineStr">
        <is>
          <t>Thozen</t>
        </is>
      </c>
      <c r="J5" s="2" t="n"/>
      <c r="K5" s="2" t="n"/>
      <c r="L5" s="2" t="n"/>
      <c r="M5" s="2" t="n"/>
      <c r="N5" s="44" t="n"/>
      <c r="O5" s="45" t="inlineStr">
        <is>
          <t>R00</t>
        </is>
      </c>
      <c r="P5" s="2111" t="n"/>
    </row>
    <row r="6" ht="18" customHeight="1">
      <c r="A6" s="47" t="inlineStr">
        <is>
          <t>Unidade Construtiva</t>
        </is>
      </c>
      <c r="B6" s="47" t="inlineStr">
        <is>
          <t>Célula Construtiva</t>
        </is>
      </c>
      <c r="C6" s="47" t="inlineStr">
        <is>
          <t>Etapa</t>
        </is>
      </c>
      <c r="D6" s="47" t="inlineStr">
        <is>
          <t>Subetapa</t>
        </is>
      </c>
      <c r="E6" s="47" t="inlineStr">
        <is>
          <t>Serviço</t>
        </is>
      </c>
      <c r="F6" s="2" t="n"/>
      <c r="G6" s="2112" t="inlineStr">
        <is>
          <t>GERENCIAMENTO EXECUTIVO</t>
        </is>
      </c>
      <c r="H6" s="2113" t="n"/>
      <c r="I6" s="2113" t="n"/>
      <c r="J6" s="2113" t="n"/>
      <c r="K6" s="2113" t="n"/>
      <c r="L6" s="2113" t="n"/>
      <c r="M6" s="2113" t="n"/>
      <c r="N6" s="2113" t="n"/>
      <c r="O6" s="2113" t="n"/>
      <c r="P6" s="2114" t="n"/>
    </row>
    <row r="7" ht="24" customHeight="1">
      <c r="A7" s="2115" t="n">
        <v>0</v>
      </c>
      <c r="B7" s="2115" t="n">
        <v>0</v>
      </c>
      <c r="C7" s="2115" t="n">
        <v>0</v>
      </c>
      <c r="D7" s="2116" t="n">
        <v>0</v>
      </c>
      <c r="E7" s="2116" t="n">
        <v>0</v>
      </c>
      <c r="G7" s="50" t="inlineStr">
        <is>
          <t>EAP</t>
        </is>
      </c>
      <c r="H7" s="51" t="inlineStr">
        <is>
          <t>NIVEL</t>
        </is>
      </c>
      <c r="I7" s="52" t="inlineStr">
        <is>
          <t>Item</t>
        </is>
      </c>
      <c r="J7" s="53" t="inlineStr">
        <is>
          <t>Descrição</t>
        </is>
      </c>
      <c r="K7" s="54" t="inlineStr">
        <is>
          <t>Unidade</t>
        </is>
      </c>
      <c r="L7" s="55" t="inlineStr">
        <is>
          <t xml:space="preserve">Quant. </t>
        </is>
      </c>
      <c r="M7" s="55" t="inlineStr">
        <is>
          <t>Preço un</t>
        </is>
      </c>
      <c r="N7" s="55" t="inlineStr">
        <is>
          <t>Total</t>
        </is>
      </c>
      <c r="O7" s="56" t="inlineStr">
        <is>
          <t>Considerações</t>
        </is>
      </c>
      <c r="P7" s="57" t="inlineStr">
        <is>
          <t>Situação</t>
        </is>
      </c>
    </row>
    <row r="8" ht="13.5" customHeight="1">
      <c r="A8" s="2117" t="n">
        <v>0</v>
      </c>
      <c r="B8" s="2117" t="n">
        <v>1</v>
      </c>
      <c r="C8" s="2117" t="n">
        <v>0</v>
      </c>
      <c r="D8" s="2118" t="n">
        <v>0</v>
      </c>
      <c r="E8" s="2118" t="n">
        <v>0</v>
      </c>
      <c r="F8" s="474" t="n"/>
      <c r="G8" s="1726" t="n"/>
      <c r="H8" s="1727" t="inlineStr">
        <is>
          <t>CÉLULA CONSTRUTIVA</t>
        </is>
      </c>
      <c r="I8" s="1728" t="inlineStr">
        <is>
          <t>01</t>
        </is>
      </c>
      <c r="J8" s="1729" t="inlineStr">
        <is>
          <t>MOVIMENTAÇÃO DE TERRA</t>
        </is>
      </c>
      <c r="K8" s="1730" t="n"/>
      <c r="L8" s="1731" t="n"/>
      <c r="M8" s="1731" t="n"/>
      <c r="N8" s="1732" t="n"/>
      <c r="O8" s="1723" t="n"/>
      <c r="P8" s="1718" t="n"/>
    </row>
    <row r="9" outlineLevel="1" ht="13.5" customHeight="1">
      <c r="A9" s="2117" t="n">
        <v>0</v>
      </c>
      <c r="B9" s="2117" t="n">
        <v>1</v>
      </c>
      <c r="C9" s="2117" t="n">
        <v>1</v>
      </c>
      <c r="D9" s="2118" t="n">
        <v>0</v>
      </c>
      <c r="E9" s="2118" t="n">
        <v>0</v>
      </c>
      <c r="G9" s="1733" t="n"/>
      <c r="H9" s="1734" t="inlineStr">
        <is>
          <t>ETAPA</t>
        </is>
      </c>
      <c r="I9" s="1735" t="inlineStr">
        <is>
          <t>01.001</t>
        </is>
      </c>
      <c r="J9" s="1736" t="inlineStr">
        <is>
          <t>DEMOLIÇÕES, LIMPEZA DE TERRENO E LOCAÇÃO DE OBRA</t>
        </is>
      </c>
      <c r="K9" s="1737" t="n"/>
      <c r="L9" s="1738" t="n"/>
      <c r="M9" s="1738" t="n"/>
      <c r="N9" s="1739" t="n">
        <v>26235.3138666667</v>
      </c>
      <c r="O9" s="1722" t="n">
        <v>1.56631825383226</v>
      </c>
      <c r="P9" s="1719" t="n"/>
    </row>
    <row r="10" outlineLevel="2" ht="13.5" customHeight="1">
      <c r="A10" s="2117" t="n">
        <v>0</v>
      </c>
      <c r="B10" s="2117" t="n">
        <v>1</v>
      </c>
      <c r="C10" s="2117" t="n">
        <v>1</v>
      </c>
      <c r="D10" s="2118" t="n">
        <v>1</v>
      </c>
      <c r="E10" s="2118" t="n">
        <v>0</v>
      </c>
      <c r="G10" s="1740" t="n"/>
      <c r="H10" s="1741" t="inlineStr">
        <is>
          <t>SUBETAPA</t>
        </is>
      </c>
      <c r="I10" s="1742" t="inlineStr">
        <is>
          <t>01.001.001</t>
        </is>
      </c>
      <c r="J10" s="1743" t="inlineStr">
        <is>
          <t>Locação e gabarito de obra</t>
        </is>
      </c>
      <c r="K10" s="1744" t="n"/>
      <c r="L10" s="1745" t="n"/>
      <c r="M10" s="1745" t="n"/>
      <c r="N10" s="1746" t="n">
        <v>26235.3138666667</v>
      </c>
      <c r="O10" s="1747" t="n">
        <v>1.56631825383226</v>
      </c>
      <c r="P10" s="1720" t="n"/>
    </row>
    <row r="11" outlineLevel="3" ht="13.5" customHeight="1">
      <c r="A11" s="2117" t="n">
        <v>0</v>
      </c>
      <c r="B11" s="2117" t="n">
        <v>1</v>
      </c>
      <c r="C11" s="2117" t="n">
        <v>1</v>
      </c>
      <c r="D11" s="2118" t="n">
        <v>1</v>
      </c>
      <c r="E11" s="2118" t="n">
        <v>1</v>
      </c>
      <c r="G11" s="1748" t="inlineStr">
        <is>
          <t>MOVIMENTAÇÃO DE TERRA</t>
        </is>
      </c>
      <c r="H11" s="1749" t="inlineStr">
        <is>
          <t>SERVIÇO</t>
        </is>
      </c>
      <c r="I11" s="1750" t="inlineStr">
        <is>
          <t>01.001.001.001</t>
        </is>
      </c>
      <c r="J11" s="1751" t="inlineStr">
        <is>
          <t>Locação da obra</t>
        </is>
      </c>
      <c r="K11" s="1752" t="inlineStr">
        <is>
          <t>m2</t>
        </is>
      </c>
      <c r="L11" s="1753" t="n"/>
      <c r="M11" s="1753" t="n"/>
      <c r="N11" s="1754" t="n">
        <v>26235.3138666667</v>
      </c>
      <c r="O11" s="1755" t="n"/>
      <c r="P11" s="1721" t="inlineStr">
        <is>
          <t>Pendente</t>
        </is>
      </c>
    </row>
    <row r="12" outlineLevel="1" ht="13.5" customHeight="1">
      <c r="A12" s="2117" t="n">
        <v>0</v>
      </c>
      <c r="B12" s="2117" t="n">
        <v>1</v>
      </c>
      <c r="C12" s="2117" t="n">
        <v>2</v>
      </c>
      <c r="D12" s="2118" t="n">
        <v>0</v>
      </c>
      <c r="E12" s="2118" t="n">
        <v>1</v>
      </c>
      <c r="G12" s="1733" t="n"/>
      <c r="H12" s="1734" t="inlineStr">
        <is>
          <t>ETAPA</t>
        </is>
      </c>
      <c r="I12" s="1735" t="inlineStr">
        <is>
          <t>01.002</t>
        </is>
      </c>
      <c r="J12" s="1756" t="inlineStr">
        <is>
          <t>SERVIÇOS PRELIMINARES</t>
        </is>
      </c>
      <c r="K12" s="1757" t="n"/>
      <c r="L12" s="1738" t="n"/>
      <c r="M12" s="1738" t="n"/>
      <c r="N12" s="1739" t="n"/>
      <c r="O12" s="1722" t="n"/>
      <c r="P12" s="1719" t="n"/>
    </row>
    <row r="13" outlineLevel="2" ht="13.5" customHeight="1">
      <c r="A13" s="2117" t="n">
        <v>0</v>
      </c>
      <c r="B13" s="2117" t="n">
        <v>1</v>
      </c>
      <c r="C13" s="2117" t="n">
        <v>2</v>
      </c>
      <c r="D13" s="2118" t="n">
        <v>1</v>
      </c>
      <c r="E13" s="2118" t="n">
        <v>0</v>
      </c>
      <c r="G13" s="1740" t="n"/>
      <c r="H13" s="1741" t="inlineStr">
        <is>
          <t>SUBETAPA</t>
        </is>
      </c>
      <c r="I13" s="1742" t="inlineStr">
        <is>
          <t>01.002.001</t>
        </is>
      </c>
      <c r="J13" s="1758" t="inlineStr">
        <is>
          <t>Limpeza Permanente e Remoção entulho</t>
        </is>
      </c>
      <c r="K13" s="1759" t="n"/>
      <c r="L13" s="1745" t="n"/>
      <c r="M13" s="1745" t="n"/>
      <c r="N13" s="1746" t="n"/>
      <c r="O13" s="1747" t="n"/>
      <c r="P13" s="1720" t="n"/>
    </row>
    <row r="14" outlineLevel="3" ht="13.5" customHeight="1">
      <c r="A14" s="2117" t="n">
        <v>0</v>
      </c>
      <c r="B14" s="2117" t="n">
        <v>1</v>
      </c>
      <c r="C14" s="2117" t="n">
        <v>2</v>
      </c>
      <c r="D14" s="2118" t="n">
        <v>1</v>
      </c>
      <c r="E14" s="2118" t="n">
        <v>1</v>
      </c>
      <c r="G14" s="1748" t="inlineStr">
        <is>
          <t>MOVIMENTAÇÃO DE TERRA</t>
        </is>
      </c>
      <c r="H14" s="1749" t="inlineStr">
        <is>
          <t>SERVIÇO</t>
        </is>
      </c>
      <c r="I14" s="1750" t="inlineStr">
        <is>
          <t>01.002.001.001</t>
        </is>
      </c>
      <c r="J14" s="1760" t="inlineStr">
        <is>
          <t>Limpeza da camada vegetal</t>
        </is>
      </c>
      <c r="K14" s="1761" t="inlineStr">
        <is>
          <t>m2</t>
        </is>
      </c>
      <c r="L14" s="1753" t="n"/>
      <c r="M14" s="1753" t="n"/>
      <c r="N14" s="1754" t="n"/>
      <c r="O14" s="1761" t="n"/>
      <c r="P14" s="1721" t="inlineStr">
        <is>
          <t>Pendente</t>
        </is>
      </c>
    </row>
    <row r="15" outlineLevel="3" ht="13.5" customHeight="1">
      <c r="A15" s="2117" t="n">
        <v>0</v>
      </c>
      <c r="B15" s="2117" t="n">
        <v>1</v>
      </c>
      <c r="C15" s="2117" t="n">
        <v>2</v>
      </c>
      <c r="D15" s="2118" t="n">
        <v>1</v>
      </c>
      <c r="E15" s="2118" t="n">
        <v>2</v>
      </c>
      <c r="G15" s="1748" t="inlineStr">
        <is>
          <t>MOVIMENTAÇÃO DE TERRA</t>
        </is>
      </c>
      <c r="H15" s="1749" t="inlineStr">
        <is>
          <t>SERVIÇO</t>
        </is>
      </c>
      <c r="I15" s="1750" t="inlineStr">
        <is>
          <t>01.002.001.002</t>
        </is>
      </c>
      <c r="J15" s="1760" t="inlineStr">
        <is>
          <t>Remoção de entulhos e resíduos</t>
        </is>
      </c>
      <c r="K15" s="1761" t="n"/>
      <c r="L15" s="1753" t="n"/>
      <c r="M15" s="1753" t="n"/>
      <c r="N15" s="1754" t="n"/>
      <c r="O15" s="1761" t="n"/>
      <c r="P15" s="1721" t="inlineStr">
        <is>
          <t>Pendente</t>
        </is>
      </c>
    </row>
    <row r="16" outlineLevel="2" ht="13.5" customHeight="1">
      <c r="A16" s="2117" t="n">
        <v>0</v>
      </c>
      <c r="B16" s="2117" t="n">
        <v>1</v>
      </c>
      <c r="C16" s="2117" t="n">
        <v>2</v>
      </c>
      <c r="D16" s="2118" t="n">
        <v>2</v>
      </c>
      <c r="E16" s="2118" t="n">
        <v>0</v>
      </c>
      <c r="G16" s="1740" t="n"/>
      <c r="H16" s="1741" t="inlineStr">
        <is>
          <t>SUBETAPA</t>
        </is>
      </c>
      <c r="I16" s="1742" t="inlineStr">
        <is>
          <t>01.002.002</t>
        </is>
      </c>
      <c r="J16" s="1758" t="inlineStr">
        <is>
          <t>Mão de Obra de Canteiro</t>
        </is>
      </c>
      <c r="K16" s="1759" t="n"/>
      <c r="L16" s="1762" t="n"/>
      <c r="M16" s="1762" t="n"/>
      <c r="N16" s="1746" t="n"/>
      <c r="O16" s="1747" t="n"/>
      <c r="P16" s="1720" t="n"/>
    </row>
    <row r="17" outlineLevel="3" ht="13.5" customHeight="1">
      <c r="A17" s="2117" t="n">
        <v>0</v>
      </c>
      <c r="B17" s="2117" t="n">
        <v>1</v>
      </c>
      <c r="C17" s="2117" t="n">
        <v>2</v>
      </c>
      <c r="D17" s="2118" t="n">
        <v>2</v>
      </c>
      <c r="E17" s="2118" t="n">
        <v>1</v>
      </c>
      <c r="G17" s="1748" t="inlineStr">
        <is>
          <t>MOVIMENTAÇÃO DE TERRA</t>
        </is>
      </c>
      <c r="H17" s="1749" t="inlineStr">
        <is>
          <t>SERVIÇO</t>
        </is>
      </c>
      <c r="I17" s="1750" t="inlineStr">
        <is>
          <t>01.002.002.001</t>
        </is>
      </c>
      <c r="J17" s="1760" t="inlineStr">
        <is>
          <t>Mão de Obra de Canteiro</t>
        </is>
      </c>
      <c r="K17" s="1761" t="inlineStr">
        <is>
          <t>vb</t>
        </is>
      </c>
      <c r="L17" s="1761" t="n"/>
      <c r="M17" s="1761" t="n"/>
      <c r="N17" s="1754" t="n"/>
      <c r="O17" s="1761" t="n"/>
      <c r="P17" s="1721" t="inlineStr">
        <is>
          <t>Pendente</t>
        </is>
      </c>
    </row>
    <row r="18" outlineLevel="1" ht="13.5" customHeight="1">
      <c r="A18" s="2117" t="n">
        <v>0</v>
      </c>
      <c r="B18" s="2117" t="n">
        <v>1</v>
      </c>
      <c r="C18" s="2117" t="n">
        <v>3</v>
      </c>
      <c r="D18" s="2118" t="n">
        <v>0</v>
      </c>
      <c r="E18" s="2118" t="n">
        <v>1</v>
      </c>
      <c r="G18" s="1763" t="n"/>
      <c r="H18" s="1734" t="inlineStr">
        <is>
          <t>ETAPA</t>
        </is>
      </c>
      <c r="I18" s="1735" t="inlineStr">
        <is>
          <t>01.003</t>
        </is>
      </c>
      <c r="J18" s="1736" t="inlineStr">
        <is>
          <t>SERVIÇOS DE TERRAPLANAGEM</t>
        </is>
      </c>
      <c r="K18" s="1737" t="n"/>
      <c r="L18" s="1738" t="n"/>
      <c r="M18" s="1738" t="n"/>
      <c r="N18" s="1739" t="n">
        <v>271126.189867594</v>
      </c>
      <c r="O18" s="1722" t="n">
        <v>16.186957108265</v>
      </c>
      <c r="P18" s="1719" t="n"/>
    </row>
    <row r="19" outlineLevel="2" ht="13.5" customHeight="1">
      <c r="A19" s="2117" t="n">
        <v>0</v>
      </c>
      <c r="B19" s="2117" t="n">
        <v>1</v>
      </c>
      <c r="C19" s="2117" t="n">
        <v>3</v>
      </c>
      <c r="D19" s="2118" t="n">
        <v>1</v>
      </c>
      <c r="E19" s="2118" t="n">
        <v>0</v>
      </c>
      <c r="G19" s="1764" t="n"/>
      <c r="H19" s="1741" t="inlineStr">
        <is>
          <t>SUBETAPA</t>
        </is>
      </c>
      <c r="I19" s="1742" t="inlineStr">
        <is>
          <t>01.003.001</t>
        </is>
      </c>
      <c r="J19" s="1743" t="inlineStr">
        <is>
          <t>Mao de obra - movimentações de terra</t>
        </is>
      </c>
      <c r="K19" s="1744" t="n"/>
      <c r="L19" s="1745" t="n"/>
      <c r="M19" s="1745" t="n"/>
      <c r="N19" s="1746" t="n">
        <v>271126.189867594</v>
      </c>
      <c r="O19" s="1747" t="n">
        <v>16.186957108265</v>
      </c>
      <c r="P19" s="1720" t="n"/>
    </row>
    <row r="20" outlineLevel="3" ht="13.5" customHeight="1">
      <c r="A20" s="2117" t="n">
        <v>0</v>
      </c>
      <c r="B20" s="2117" t="n">
        <v>1</v>
      </c>
      <c r="C20" s="2117" t="n">
        <v>3</v>
      </c>
      <c r="D20" s="2118" t="n">
        <v>1</v>
      </c>
      <c r="E20" s="2118" t="n">
        <v>1</v>
      </c>
      <c r="G20" s="1748" t="inlineStr">
        <is>
          <t>MOVIMENTAÇÃO DE TERRA</t>
        </is>
      </c>
      <c r="H20" s="1749" t="inlineStr">
        <is>
          <t>SERVIÇO</t>
        </is>
      </c>
      <c r="I20" s="1750" t="inlineStr">
        <is>
          <t>01.003.001.001</t>
        </is>
      </c>
      <c r="J20" s="1751" t="inlineStr">
        <is>
          <t>Mão de obra movimentação de terra</t>
        </is>
      </c>
      <c r="K20" s="1752" t="inlineStr">
        <is>
          <t>vb</t>
        </is>
      </c>
      <c r="L20" s="1753" t="n"/>
      <c r="M20" s="1753" t="n"/>
      <c r="N20" s="1754" t="n">
        <v>233000</v>
      </c>
      <c r="O20" s="1761" t="n"/>
      <c r="P20" s="1721" t="inlineStr">
        <is>
          <t>Pendente</t>
        </is>
      </c>
    </row>
    <row r="21" outlineLevel="1" ht="13.5" customHeight="1">
      <c r="A21" s="2117" t="n">
        <v>0</v>
      </c>
      <c r="B21" s="2117" t="n">
        <v>1</v>
      </c>
      <c r="C21" s="2117" t="n">
        <v>4</v>
      </c>
      <c r="D21" s="2118" t="n">
        <v>0</v>
      </c>
      <c r="E21" s="2118" t="n">
        <v>2</v>
      </c>
      <c r="G21" s="1733" t="n"/>
      <c r="H21" s="1734" t="inlineStr">
        <is>
          <t>ETAPA</t>
        </is>
      </c>
      <c r="I21" s="1735" t="inlineStr">
        <is>
          <t>01.004</t>
        </is>
      </c>
      <c r="J21" s="1736" t="inlineStr">
        <is>
          <t>SERVIÇO DE DRENAGEM</t>
        </is>
      </c>
      <c r="K21" s="1737" t="n"/>
      <c r="L21" s="1738" t="n"/>
      <c r="M21" s="1738" t="n"/>
      <c r="N21" s="1739" t="n">
        <v>80000</v>
      </c>
      <c r="O21" s="1722" t="n">
        <v>4.77621350151973</v>
      </c>
      <c r="P21" s="1722" t="n"/>
    </row>
    <row r="22" outlineLevel="2" ht="13.5" customHeight="1">
      <c r="A22" s="2117" t="n">
        <v>0</v>
      </c>
      <c r="B22" s="2117" t="n">
        <v>1</v>
      </c>
      <c r="C22" s="2117" t="n">
        <v>4</v>
      </c>
      <c r="D22" s="2118" t="n">
        <v>1</v>
      </c>
      <c r="E22" s="2118" t="n">
        <v>0</v>
      </c>
      <c r="G22" s="1764" t="n"/>
      <c r="H22" s="1741" t="inlineStr">
        <is>
          <t>SUBETAPA</t>
        </is>
      </c>
      <c r="I22" s="1742" t="inlineStr">
        <is>
          <t>01.004.001</t>
        </is>
      </c>
      <c r="J22" s="1743" t="inlineStr">
        <is>
          <t>Drenagem</t>
        </is>
      </c>
      <c r="K22" s="1744" t="n"/>
      <c r="L22" s="1745" t="n"/>
      <c r="M22" s="1745" t="n"/>
      <c r="N22" s="1746" t="n">
        <v>80000</v>
      </c>
      <c r="O22" s="1747" t="n">
        <v>4.77621350151973</v>
      </c>
      <c r="P22" s="1720" t="n"/>
    </row>
    <row r="23" outlineLevel="3" ht="13.5" customHeight="1">
      <c r="A23" s="2117" t="n">
        <v>0</v>
      </c>
      <c r="B23" s="2117" t="n">
        <v>1</v>
      </c>
      <c r="C23" s="2117" t="n">
        <v>4</v>
      </c>
      <c r="D23" s="2118" t="n">
        <v>1</v>
      </c>
      <c r="E23" s="2118" t="n">
        <v>1</v>
      </c>
      <c r="G23" s="1748" t="inlineStr">
        <is>
          <t>MOVIMENTAÇÃO DE TERRA</t>
        </is>
      </c>
      <c r="H23" s="1749" t="inlineStr">
        <is>
          <t>SERVIÇO</t>
        </is>
      </c>
      <c r="I23" s="1750" t="inlineStr">
        <is>
          <t>01.004.001.001</t>
        </is>
      </c>
      <c r="J23" s="1751" t="inlineStr">
        <is>
          <t>Rebaixamento de Lençol freático</t>
        </is>
      </c>
      <c r="K23" s="1752" t="inlineStr">
        <is>
          <t>vb</t>
        </is>
      </c>
      <c r="L23" s="1753" t="n"/>
      <c r="M23" s="1753" t="n"/>
      <c r="N23" s="1754" t="n">
        <v>80000</v>
      </c>
      <c r="O23" s="1761" t="n"/>
      <c r="P23" s="1721" t="inlineStr">
        <is>
          <t>Pendente</t>
        </is>
      </c>
    </row>
    <row r="24" collapsed="1" ht="13.5" customHeight="1">
      <c r="A24" s="2117" t="n">
        <v>0</v>
      </c>
      <c r="B24" s="2117" t="n">
        <v>2</v>
      </c>
      <c r="C24" s="2117" t="n">
        <v>0</v>
      </c>
      <c r="D24" s="2118" t="n">
        <v>1</v>
      </c>
      <c r="E24" s="2118" t="n">
        <v>1</v>
      </c>
      <c r="F24" s="474" t="n"/>
      <c r="G24" s="1726" t="n"/>
      <c r="H24" s="1727" t="inlineStr">
        <is>
          <t>CÉLULA CONSTRUTIVA</t>
        </is>
      </c>
      <c r="I24" s="1728" t="inlineStr">
        <is>
          <t>02</t>
        </is>
      </c>
      <c r="J24" s="1729" t="inlineStr">
        <is>
          <t>CONTENÇÃO</t>
        </is>
      </c>
      <c r="K24" s="1730" t="n"/>
      <c r="L24" s="1731" t="n"/>
      <c r="M24" s="1731" t="n"/>
      <c r="N24" s="1732" t="n">
        <v>772006.626312227</v>
      </c>
      <c r="O24" s="1723" t="n">
        <v>46.0908558981895</v>
      </c>
      <c r="P24" s="1723" t="n"/>
    </row>
    <row r="25" hidden="1" outlineLevel="1" ht="13.5" customHeight="1">
      <c r="A25" s="2117" t="n">
        <v>0</v>
      </c>
      <c r="B25" s="2117" t="n">
        <v>2</v>
      </c>
      <c r="C25" s="2117" t="n">
        <v>1</v>
      </c>
      <c r="D25" s="2118" t="n">
        <v>0</v>
      </c>
      <c r="E25" s="2118" t="n">
        <v>1</v>
      </c>
      <c r="G25" s="1733" t="n"/>
      <c r="H25" s="1734" t="inlineStr">
        <is>
          <t>ETAPA</t>
        </is>
      </c>
      <c r="I25" s="1735" t="inlineStr">
        <is>
          <t>02.001</t>
        </is>
      </c>
      <c r="J25" s="1736" t="inlineStr">
        <is>
          <t>MURETA GUIA</t>
        </is>
      </c>
      <c r="K25" s="1737" t="n"/>
      <c r="L25" s="1738" t="n"/>
      <c r="M25" s="1738" t="n"/>
      <c r="N25" s="1739" t="n">
        <v>18739.3889980061</v>
      </c>
      <c r="O25" s="1722" t="n">
        <v>1.11879153428134</v>
      </c>
      <c r="P25" s="1719" t="n"/>
    </row>
    <row r="26" hidden="1" outlineLevel="2" ht="13.5" customHeight="1">
      <c r="A26" s="2117" t="n">
        <v>0</v>
      </c>
      <c r="B26" s="2117" t="n">
        <v>2</v>
      </c>
      <c r="C26" s="2117" t="n">
        <v>1</v>
      </c>
      <c r="D26" s="2118" t="n">
        <v>1</v>
      </c>
      <c r="E26" s="2118" t="n">
        <v>0</v>
      </c>
      <c r="G26" s="1740" t="n"/>
      <c r="H26" s="1741" t="inlineStr">
        <is>
          <t>SUBETAPA</t>
        </is>
      </c>
      <c r="I26" s="1742" t="inlineStr">
        <is>
          <t>02.001.001</t>
        </is>
      </c>
      <c r="J26" s="1743" t="inlineStr">
        <is>
          <t>Forma</t>
        </is>
      </c>
      <c r="K26" s="1744" t="n"/>
      <c r="L26" s="1745" t="n"/>
      <c r="M26" s="1745" t="n"/>
      <c r="N26" s="1746" t="n">
        <v>6673.94364470857</v>
      </c>
      <c r="O26" s="1747" t="n">
        <v>0.398452246802986</v>
      </c>
      <c r="P26" s="1720" t="n"/>
    </row>
    <row r="27" hidden="1" outlineLevel="3" ht="13.5" customHeight="1">
      <c r="A27" s="2117" t="n">
        <v>0</v>
      </c>
      <c r="B27" s="2117" t="n">
        <v>2</v>
      </c>
      <c r="C27" s="2117" t="n">
        <v>1</v>
      </c>
      <c r="D27" s="2118" t="n">
        <v>1</v>
      </c>
      <c r="E27" s="2118" t="n">
        <v>1</v>
      </c>
      <c r="G27" s="1748" t="inlineStr">
        <is>
          <t>CONTENÇÃO</t>
        </is>
      </c>
      <c r="H27" s="1749" t="inlineStr">
        <is>
          <t>SERVIÇO</t>
        </is>
      </c>
      <c r="I27" s="1750" t="inlineStr">
        <is>
          <t>02.001.001.001</t>
        </is>
      </c>
      <c r="J27" s="1751" t="inlineStr">
        <is>
          <t>Forma para infraestrutura em Tábuas de Madeira Serrada 2x reaproveitamento</t>
        </is>
      </c>
      <c r="K27" s="1752" t="inlineStr">
        <is>
          <t>m2</t>
        </is>
      </c>
      <c r="L27" s="1753" t="n">
        <v>111.3136</v>
      </c>
      <c r="M27" s="1753" t="n">
        <v>59.95622857142857</v>
      </c>
      <c r="N27" s="1754" t="n">
        <v>6673.94364470857</v>
      </c>
      <c r="O27" s="1755" t="n"/>
      <c r="P27" s="1721" t="inlineStr">
        <is>
          <t>Pendente</t>
        </is>
      </c>
    </row>
    <row r="28" hidden="1" outlineLevel="2" ht="13.5" customHeight="1">
      <c r="A28" s="2117" t="n">
        <v>0</v>
      </c>
      <c r="B28" s="2117" t="n">
        <v>2</v>
      </c>
      <c r="C28" s="2117" t="n">
        <v>1</v>
      </c>
      <c r="D28" s="2118" t="n">
        <v>2</v>
      </c>
      <c r="E28" s="2118" t="n">
        <v>0</v>
      </c>
      <c r="G28" s="1740" t="n"/>
      <c r="H28" s="1741" t="inlineStr">
        <is>
          <t>SUBETAPA</t>
        </is>
      </c>
      <c r="I28" s="1742" t="inlineStr">
        <is>
          <t>02.001.002</t>
        </is>
      </c>
      <c r="J28" s="1743" t="inlineStr">
        <is>
          <t>Armadura</t>
        </is>
      </c>
      <c r="K28" s="1744" t="n"/>
      <c r="L28" s="1745" t="n"/>
      <c r="M28" s="1745" t="n"/>
      <c r="N28" s="1746" t="n">
        <v>4318.73060538557</v>
      </c>
      <c r="O28" s="1747" t="n">
        <v>0.257839742835863</v>
      </c>
      <c r="P28" s="1720" t="n"/>
    </row>
    <row r="29" hidden="1" outlineLevel="3" ht="13.5" customHeight="1">
      <c r="A29" s="2117" t="n">
        <v>0</v>
      </c>
      <c r="B29" s="2117" t="n">
        <v>2</v>
      </c>
      <c r="C29" s="2117" t="n">
        <v>1</v>
      </c>
      <c r="D29" s="2118" t="n">
        <v>2</v>
      </c>
      <c r="E29" s="2118" t="n">
        <v>1</v>
      </c>
      <c r="G29" s="1748" t="inlineStr">
        <is>
          <t>CONTENÇÃO</t>
        </is>
      </c>
      <c r="H29" s="1749" t="inlineStr">
        <is>
          <t>SERVIÇO</t>
        </is>
      </c>
      <c r="I29" s="1750" t="inlineStr">
        <is>
          <t>02.001.002.001</t>
        </is>
      </c>
      <c r="J29" s="1751" t="inlineStr">
        <is>
          <t>Armação aço CA-50 ø 6,3mm para Contenções (corte e dobra em obra)</t>
        </is>
      </c>
      <c r="K29" s="1752" t="inlineStr">
        <is>
          <t>un</t>
        </is>
      </c>
      <c r="L29" s="1753" t="n">
        <v>670.3199999999998</v>
      </c>
      <c r="M29" s="1753" t="n">
        <v>6.079567393795697</v>
      </c>
      <c r="N29" s="1754" t="n">
        <v>4075.25561540913</v>
      </c>
      <c r="O29" s="1755" t="n"/>
      <c r="P29" s="1721" t="inlineStr">
        <is>
          <t>Pendente</t>
        </is>
      </c>
    </row>
    <row r="30" hidden="1" outlineLevel="3" ht="13.15" customHeight="1">
      <c r="A30" s="2117" t="n">
        <v>0</v>
      </c>
      <c r="B30" s="2117" t="n">
        <v>2</v>
      </c>
      <c r="C30" s="2117" t="n">
        <v>1</v>
      </c>
      <c r="D30" s="2118" t="n">
        <v>2</v>
      </c>
      <c r="E30" s="2118" t="n">
        <v>2</v>
      </c>
      <c r="G30" s="1748" t="inlineStr">
        <is>
          <t>CONTENÇÃO</t>
        </is>
      </c>
      <c r="H30" s="1749" t="inlineStr">
        <is>
          <t>SERVIÇO</t>
        </is>
      </c>
      <c r="I30" s="1750" t="inlineStr">
        <is>
          <t>02.001.002.002</t>
        </is>
      </c>
      <c r="J30" s="1751" t="inlineStr">
        <is>
          <t xml:space="preserve">Armação aço CA-50 ø 12,5mm para Contenções (corte e dobra em obra) </t>
        </is>
      </c>
      <c r="K30" s="1752" t="inlineStr">
        <is>
          <t>un</t>
        </is>
      </c>
      <c r="L30" s="1753" t="n">
        <v>41.6016</v>
      </c>
      <c r="M30" s="1753" t="n">
        <v>5.852539084468731</v>
      </c>
      <c r="N30" s="1754" t="n">
        <v>243.474989976434</v>
      </c>
      <c r="O30" s="1755" t="n"/>
      <c r="P30" s="1721" t="inlineStr">
        <is>
          <t>Pendente</t>
        </is>
      </c>
    </row>
    <row r="31" hidden="1" outlineLevel="2" ht="13.5" customHeight="1">
      <c r="A31" s="2117" t="n">
        <v>0</v>
      </c>
      <c r="B31" s="2117" t="n">
        <v>2</v>
      </c>
      <c r="C31" s="2117" t="n">
        <v>1</v>
      </c>
      <c r="D31" s="2118" t="n">
        <v>3</v>
      </c>
      <c r="E31" s="2118" t="n">
        <v>0</v>
      </c>
      <c r="G31" s="1740" t="n"/>
      <c r="H31" s="1741" t="inlineStr">
        <is>
          <t>SUBETAPA</t>
        </is>
      </c>
      <c r="I31" s="1742" t="inlineStr">
        <is>
          <t>02.001.003</t>
        </is>
      </c>
      <c r="J31" s="1743" t="inlineStr">
        <is>
          <t>Concreto</t>
        </is>
      </c>
      <c r="K31" s="1744" t="n"/>
      <c r="L31" s="1745" t="n"/>
      <c r="M31" s="1745" t="n"/>
      <c r="N31" s="1746" t="n">
        <v>7746.714747912</v>
      </c>
      <c r="O31" s="1747" t="n">
        <v>0.462499544642491</v>
      </c>
      <c r="P31" s="1720" t="n"/>
    </row>
    <row r="32" hidden="1" outlineLevel="3" ht="13.5" customHeight="1">
      <c r="A32" s="2117" t="n">
        <v>0</v>
      </c>
      <c r="B32" s="2117" t="n">
        <v>2</v>
      </c>
      <c r="C32" s="2117" t="n">
        <v>1</v>
      </c>
      <c r="D32" s="2118" t="n">
        <v>3</v>
      </c>
      <c r="E32" s="2118" t="n">
        <v>1</v>
      </c>
      <c r="G32" s="1748" t="inlineStr">
        <is>
          <t>CONTENÇÃO</t>
        </is>
      </c>
      <c r="H32" s="1749" t="inlineStr">
        <is>
          <t>SERVIÇO</t>
        </is>
      </c>
      <c r="I32" s="1750" t="inlineStr">
        <is>
          <t>02.001.003.001</t>
        </is>
      </c>
      <c r="J32" s="1751" t="inlineStr">
        <is>
          <t>Concreto Usinado bombeável 50MPa para infraestrutura- incluindo serviço de bombeamento</t>
        </is>
      </c>
      <c r="K32" s="1752" t="inlineStr">
        <is>
          <t>m3</t>
        </is>
      </c>
      <c r="L32" s="1753" t="n">
        <v>11.390452</v>
      </c>
      <c r="M32" s="1753" t="n">
        <v>680.1060000000001</v>
      </c>
      <c r="N32" s="1754" t="n">
        <v>7746.714747912</v>
      </c>
      <c r="O32" s="1755" t="n"/>
      <c r="P32" s="1721" t="inlineStr">
        <is>
          <t>Pendente</t>
        </is>
      </c>
    </row>
    <row r="33" hidden="1" outlineLevel="1" ht="13.5" customHeight="1">
      <c r="A33" s="2117" t="n">
        <v>0</v>
      </c>
      <c r="B33" s="2117" t="n">
        <v>2</v>
      </c>
      <c r="C33" s="2117" t="n">
        <v>2</v>
      </c>
      <c r="D33" s="2118" t="n">
        <v>0</v>
      </c>
      <c r="E33" s="2118" t="n">
        <v>1</v>
      </c>
      <c r="G33" s="1733" t="n"/>
      <c r="H33" s="1734" t="inlineStr">
        <is>
          <t>ETAPA</t>
        </is>
      </c>
      <c r="I33" s="1735" t="inlineStr">
        <is>
          <t>02.002</t>
        </is>
      </c>
      <c r="J33" s="1736" t="inlineStr">
        <is>
          <t>LAMELAS | PAREDE DIAFRAGMA</t>
        </is>
      </c>
      <c r="K33" s="1737" t="n"/>
      <c r="L33" s="1738" t="n"/>
      <c r="M33" s="1738" t="n"/>
      <c r="N33" s="1739" t="n">
        <v>331865.22625</v>
      </c>
      <c r="O33" s="1722" t="n">
        <v>19.8132396787519</v>
      </c>
      <c r="P33" s="1719" t="n"/>
    </row>
    <row r="34" hidden="1" outlineLevel="2" ht="13.5" customHeight="1">
      <c r="A34" s="2117" t="n">
        <v>0</v>
      </c>
      <c r="B34" s="2117" t="n">
        <v>2</v>
      </c>
      <c r="C34" s="2117" t="n">
        <v>2</v>
      </c>
      <c r="D34" s="2118" t="n">
        <v>1</v>
      </c>
      <c r="E34" s="2118" t="n">
        <v>0</v>
      </c>
      <c r="G34" s="1740" t="n"/>
      <c r="H34" s="1741" t="inlineStr">
        <is>
          <t>SUBETAPA</t>
        </is>
      </c>
      <c r="I34" s="1742" t="inlineStr">
        <is>
          <t>02.002.001</t>
        </is>
      </c>
      <c r="J34" s="1743" t="inlineStr">
        <is>
          <t>Armadura</t>
        </is>
      </c>
      <c r="K34" s="1744" t="n"/>
      <c r="L34" s="1745" t="n"/>
      <c r="M34" s="1745" t="n"/>
      <c r="N34" s="1746" t="n">
        <v>155967.96625</v>
      </c>
      <c r="O34" s="1747" t="n">
        <v>9.3117038275978</v>
      </c>
      <c r="P34" s="1720" t="n"/>
    </row>
    <row r="35" hidden="1" outlineLevel="3" ht="13.5" customHeight="1">
      <c r="A35" s="2117" t="n">
        <v>0</v>
      </c>
      <c r="B35" s="2117" t="n">
        <v>2</v>
      </c>
      <c r="C35" s="2117" t="n">
        <v>2</v>
      </c>
      <c r="D35" s="2118" t="n">
        <v>1</v>
      </c>
      <c r="E35" s="2118" t="n">
        <v>1</v>
      </c>
      <c r="G35" s="1748" t="inlineStr">
        <is>
          <t>CONTENÇÃO</t>
        </is>
      </c>
      <c r="H35" s="1749" t="inlineStr">
        <is>
          <t>SERVIÇO</t>
        </is>
      </c>
      <c r="I35" s="1750" t="inlineStr">
        <is>
          <t>02.002.001.001</t>
        </is>
      </c>
      <c r="J35" s="1751" t="inlineStr">
        <is>
          <t>Armação aço CA-50 ø 6,3mm para Contenções (corte e dobra em Indústria)</t>
        </is>
      </c>
      <c r="K35" s="1752" t="inlineStr">
        <is>
          <t>un</t>
        </is>
      </c>
      <c r="L35" s="1753" t="n">
        <v>2282</v>
      </c>
      <c r="M35" s="1753" t="n">
        <v>8.964145</v>
      </c>
      <c r="N35" s="1754" t="n">
        <v>20456.17889</v>
      </c>
      <c r="O35" s="1755" t="n"/>
      <c r="P35" s="1721" t="inlineStr">
        <is>
          <t>Pendente</t>
        </is>
      </c>
    </row>
    <row r="36" hidden="1" outlineLevel="3" ht="12.75" customHeight="1">
      <c r="A36" s="2117" t="n">
        <v>0</v>
      </c>
      <c r="B36" s="2117" t="n">
        <v>2</v>
      </c>
      <c r="C36" s="2117" t="n">
        <v>2</v>
      </c>
      <c r="D36" s="2118" t="n">
        <v>1</v>
      </c>
      <c r="E36" s="2118" t="n">
        <v>2</v>
      </c>
      <c r="G36" s="1748" t="inlineStr">
        <is>
          <t>CONTENÇÃO</t>
        </is>
      </c>
      <c r="H36" s="1749" t="inlineStr">
        <is>
          <t>SERVIÇO</t>
        </is>
      </c>
      <c r="I36" s="1750" t="inlineStr">
        <is>
          <t>02.002.001.002</t>
        </is>
      </c>
      <c r="J36" s="1751" t="inlineStr">
        <is>
          <t>Armação aço CA-50 ø 8,0mm para Contenções (corte e dobra em Indústria)</t>
        </is>
      </c>
      <c r="K36" s="1752" t="inlineStr">
        <is>
          <t>un</t>
        </is>
      </c>
      <c r="L36" s="1753" t="n">
        <v>77</v>
      </c>
      <c r="M36" s="1753" t="n">
        <v>8.964145</v>
      </c>
      <c r="N36" s="1754" t="n">
        <v>690.239165</v>
      </c>
      <c r="O36" s="1755" t="n"/>
      <c r="P36" s="1721" t="inlineStr">
        <is>
          <t>Pendente</t>
        </is>
      </c>
    </row>
    <row r="37" hidden="1" outlineLevel="3" ht="13.5" customHeight="1">
      <c r="A37" s="2117" t="n">
        <v>0</v>
      </c>
      <c r="B37" s="2117" t="n">
        <v>2</v>
      </c>
      <c r="C37" s="2117" t="n">
        <v>2</v>
      </c>
      <c r="D37" s="2118" t="n">
        <v>1</v>
      </c>
      <c r="E37" s="2118" t="n">
        <v>3</v>
      </c>
      <c r="G37" s="1748" t="inlineStr">
        <is>
          <t>CONTENÇÃO</t>
        </is>
      </c>
      <c r="H37" s="1749" t="inlineStr">
        <is>
          <t>SERVIÇO</t>
        </is>
      </c>
      <c r="I37" s="1750" t="inlineStr">
        <is>
          <t>02.002.001.003</t>
        </is>
      </c>
      <c r="J37" s="1751" t="inlineStr">
        <is>
          <t>Armação aço CA-50 ø 12,5mm para Contenções (corte e dobra em Indústria)</t>
        </is>
      </c>
      <c r="K37" s="1752" t="inlineStr">
        <is>
          <t>un</t>
        </is>
      </c>
      <c r="L37" s="1753" t="n">
        <v>3884</v>
      </c>
      <c r="M37" s="1753" t="n">
        <v>8.484145</v>
      </c>
      <c r="N37" s="1754" t="n">
        <v>32952.41918</v>
      </c>
      <c r="O37" s="1755" t="n"/>
      <c r="P37" s="1721" t="inlineStr">
        <is>
          <t>Pendente</t>
        </is>
      </c>
    </row>
    <row r="38" hidden="1" outlineLevel="3" ht="13.5" customHeight="1">
      <c r="A38" s="2117" t="n">
        <v>0</v>
      </c>
      <c r="B38" s="2117" t="n">
        <v>2</v>
      </c>
      <c r="C38" s="2117" t="n">
        <v>2</v>
      </c>
      <c r="D38" s="2118" t="n">
        <v>1</v>
      </c>
      <c r="E38" s="2118" t="n">
        <v>4</v>
      </c>
      <c r="G38" s="1748" t="inlineStr">
        <is>
          <t>CONTENÇÃO</t>
        </is>
      </c>
      <c r="H38" s="1749" t="inlineStr">
        <is>
          <t>SERVIÇO</t>
        </is>
      </c>
      <c r="I38" s="1750" t="inlineStr">
        <is>
          <t>02.002.001.004</t>
        </is>
      </c>
      <c r="J38" s="1751" t="inlineStr">
        <is>
          <t>Armação aço CA-50 ø 25,0mm para Contenções (corte e dobra em Indústria)</t>
        </is>
      </c>
      <c r="K38" s="1752" t="inlineStr">
        <is>
          <t>un</t>
        </is>
      </c>
      <c r="L38" s="1753" t="n">
        <v>12007</v>
      </c>
      <c r="M38" s="1753" t="n">
        <v>8.484145</v>
      </c>
      <c r="N38" s="1754" t="n">
        <v>101869.129015</v>
      </c>
      <c r="O38" s="1755" t="n"/>
      <c r="P38" s="1721" t="inlineStr">
        <is>
          <t>Pendente</t>
        </is>
      </c>
    </row>
    <row r="39" hidden="1" outlineLevel="2" ht="13.5" customHeight="1">
      <c r="A39" s="2117" t="n">
        <v>0</v>
      </c>
      <c r="B39" s="2117" t="n">
        <v>2</v>
      </c>
      <c r="C39" s="2117" t="n">
        <v>2</v>
      </c>
      <c r="D39" s="2118" t="n">
        <v>2</v>
      </c>
      <c r="E39" s="2118" t="n">
        <v>0</v>
      </c>
      <c r="G39" s="1740" t="n"/>
      <c r="H39" s="1741" t="inlineStr">
        <is>
          <t>SUBETAPA</t>
        </is>
      </c>
      <c r="I39" s="1742" t="inlineStr">
        <is>
          <t>02.002.002</t>
        </is>
      </c>
      <c r="J39" s="1743" t="inlineStr">
        <is>
          <t>Concreto</t>
        </is>
      </c>
      <c r="K39" s="1744" t="n"/>
      <c r="L39" s="1745" t="n"/>
      <c r="M39" s="1745" t="n"/>
      <c r="N39" s="1746" t="n">
        <v>175897.26</v>
      </c>
      <c r="O39" s="1747" t="n">
        <v>10.5015358511541</v>
      </c>
      <c r="P39" s="1720" t="n"/>
    </row>
    <row r="40" hidden="1" outlineLevel="3" ht="13.5" customHeight="1">
      <c r="A40" s="2117" t="n">
        <v>0</v>
      </c>
      <c r="B40" s="2117" t="n">
        <v>2</v>
      </c>
      <c r="C40" s="2117" t="n">
        <v>2</v>
      </c>
      <c r="D40" s="2118" t="n">
        <v>2</v>
      </c>
      <c r="E40" s="2118" t="n">
        <v>1</v>
      </c>
      <c r="G40" s="1748" t="inlineStr">
        <is>
          <t>CONTENÇÃO</t>
        </is>
      </c>
      <c r="H40" s="1749" t="inlineStr">
        <is>
          <t>SERVIÇO</t>
        </is>
      </c>
      <c r="I40" s="1750" t="inlineStr">
        <is>
          <t>02.002.002.001</t>
        </is>
      </c>
      <c r="J40" s="1751" t="inlineStr">
        <is>
          <t>Concreto Usinado bombeável 50MPa com Penetron para infraestrutura- incluindo serviço de bombeamento</t>
        </is>
      </c>
      <c r="K40" s="1752" t="inlineStr">
        <is>
          <t>m3</t>
        </is>
      </c>
      <c r="L40" s="1753" t="n">
        <v>210</v>
      </c>
      <c r="M40" s="1753" t="n">
        <v>837.6060000000001</v>
      </c>
      <c r="N40" s="1754" t="n">
        <v>175897.26</v>
      </c>
      <c r="O40" s="1755" t="n"/>
      <c r="P40" s="1721" t="inlineStr">
        <is>
          <t>Pendente</t>
        </is>
      </c>
    </row>
    <row r="41" hidden="1" outlineLevel="1" ht="13.5" customHeight="1">
      <c r="A41" s="2117" t="n">
        <v>0</v>
      </c>
      <c r="B41" s="2117" t="n">
        <v>2</v>
      </c>
      <c r="C41" s="2117" t="n">
        <v>3</v>
      </c>
      <c r="D41" s="2118" t="n">
        <v>0</v>
      </c>
      <c r="E41" s="2118" t="n">
        <v>1</v>
      </c>
      <c r="G41" s="1733" t="n"/>
      <c r="H41" s="1734" t="inlineStr">
        <is>
          <t>ETAPA</t>
        </is>
      </c>
      <c r="I41" s="1735" t="inlineStr">
        <is>
          <t>02.003</t>
        </is>
      </c>
      <c r="J41" s="1736" t="inlineStr">
        <is>
          <t>VIGAS COROAMENTO</t>
        </is>
      </c>
      <c r="K41" s="1737" t="n"/>
      <c r="L41" s="1738" t="n"/>
      <c r="M41" s="1738" t="n"/>
      <c r="N41" s="1739" t="n">
        <v>37645.9910642208</v>
      </c>
      <c r="O41" s="1722" t="n">
        <v>2.24756613498778</v>
      </c>
      <c r="P41" s="1719" t="n"/>
    </row>
    <row r="42" hidden="1" outlineLevel="2" ht="13.5" customHeight="1">
      <c r="A42" s="2117" t="n">
        <v>0</v>
      </c>
      <c r="B42" s="2117" t="n">
        <v>2</v>
      </c>
      <c r="C42" s="2117" t="n">
        <v>3</v>
      </c>
      <c r="D42" s="2118" t="n">
        <v>1</v>
      </c>
      <c r="E42" s="2118" t="n">
        <v>0</v>
      </c>
      <c r="G42" s="1740" t="n"/>
      <c r="H42" s="1741" t="inlineStr">
        <is>
          <t>SUBETAPA</t>
        </is>
      </c>
      <c r="I42" s="1742" t="inlineStr">
        <is>
          <t>02.003.001</t>
        </is>
      </c>
      <c r="J42" s="1743" t="inlineStr">
        <is>
          <t>Forma</t>
        </is>
      </c>
      <c r="K42" s="1744" t="n"/>
      <c r="L42" s="1745" t="n"/>
      <c r="M42" s="1745" t="n"/>
      <c r="N42" s="1746" t="n">
        <v>2482.18786285714</v>
      </c>
      <c r="O42" s="1747" t="n">
        <v>0.148193239798584</v>
      </c>
      <c r="P42" s="1720" t="n"/>
    </row>
    <row r="43" hidden="1" outlineLevel="3" ht="13.5" customHeight="1">
      <c r="A43" s="2117" t="n">
        <v>0</v>
      </c>
      <c r="B43" s="2117" t="n">
        <v>2</v>
      </c>
      <c r="C43" s="2117" t="n">
        <v>3</v>
      </c>
      <c r="D43" s="2118" t="n">
        <v>1</v>
      </c>
      <c r="E43" s="2118" t="n">
        <v>1</v>
      </c>
      <c r="G43" s="1748" t="inlineStr">
        <is>
          <t>CONTENÇÃO</t>
        </is>
      </c>
      <c r="H43" s="1749" t="inlineStr">
        <is>
          <t>SERVIÇO</t>
        </is>
      </c>
      <c r="I43" s="1750" t="inlineStr">
        <is>
          <t>02.003.001.001</t>
        </is>
      </c>
      <c r="J43" s="1751" t="inlineStr">
        <is>
          <t>Forma para infraestrutura em Tábuas de Madeira Serrada 2x reaproveitamento</t>
        </is>
      </c>
      <c r="K43" s="1752" t="inlineStr">
        <is>
          <t>m2</t>
        </is>
      </c>
      <c r="L43" s="1753" t="n">
        <v>41.40000000000001</v>
      </c>
      <c r="M43" s="1753" t="n">
        <v>59.95622857142857</v>
      </c>
      <c r="N43" s="1754" t="n">
        <v>2482.18786285714</v>
      </c>
      <c r="O43" s="1755" t="n"/>
      <c r="P43" s="1721" t="inlineStr">
        <is>
          <t>Pendente</t>
        </is>
      </c>
    </row>
    <row r="44" hidden="1" outlineLevel="2" ht="13.5" customHeight="1">
      <c r="A44" s="2117" t="n">
        <v>0</v>
      </c>
      <c r="B44" s="2117" t="n">
        <v>2</v>
      </c>
      <c r="C44" s="2117" t="n">
        <v>3</v>
      </c>
      <c r="D44" s="2118" t="n">
        <v>2</v>
      </c>
      <c r="E44" s="2118" t="n">
        <v>0</v>
      </c>
      <c r="G44" s="1740" t="n"/>
      <c r="H44" s="1741" t="inlineStr">
        <is>
          <t>SUBETAPA</t>
        </is>
      </c>
      <c r="I44" s="1742" t="inlineStr">
        <is>
          <t>02.003.002</t>
        </is>
      </c>
      <c r="J44" s="1743" t="inlineStr">
        <is>
          <t>Armadura</t>
        </is>
      </c>
      <c r="K44" s="1744" t="n"/>
      <c r="L44" s="1745" t="n"/>
      <c r="M44" s="1745" t="n"/>
      <c r="N44" s="1746" t="n">
        <v>23057.9164013636</v>
      </c>
      <c r="O44" s="1747" t="n">
        <v>1.37661914541383</v>
      </c>
      <c r="P44" s="1720" t="n"/>
    </row>
    <row r="45" hidden="1" outlineLevel="3" ht="13.5" customHeight="1">
      <c r="A45" s="2117" t="n">
        <v>0</v>
      </c>
      <c r="B45" s="2117" t="n">
        <v>2</v>
      </c>
      <c r="C45" s="2117" t="n">
        <v>3</v>
      </c>
      <c r="D45" s="2118" t="n">
        <v>2</v>
      </c>
      <c r="E45" s="2118" t="n">
        <v>1</v>
      </c>
      <c r="G45" s="1748" t="inlineStr">
        <is>
          <t>CONTENÇÃO</t>
        </is>
      </c>
      <c r="H45" s="1749" t="inlineStr">
        <is>
          <t>SERVIÇO</t>
        </is>
      </c>
      <c r="I45" s="1750" t="inlineStr">
        <is>
          <t>02.003.002.001</t>
        </is>
      </c>
      <c r="J45" s="1751" t="inlineStr">
        <is>
          <t>Armação aço CA-50 ø 8,0mm para Contenções (corte e dobra em Indústria)</t>
        </is>
      </c>
      <c r="K45" s="1752" t="inlineStr">
        <is>
          <t>kg</t>
        </is>
      </c>
      <c r="L45" s="1753" t="n">
        <v>913.3636363636363</v>
      </c>
      <c r="M45" s="1753" t="n">
        <v>8.964145</v>
      </c>
      <c r="N45" s="1754" t="n">
        <v>8187.52407409091</v>
      </c>
      <c r="O45" s="1755" t="n"/>
      <c r="P45" s="1721" t="inlineStr">
        <is>
          <t>Pendente</t>
        </is>
      </c>
    </row>
    <row r="46" hidden="1" outlineLevel="3" ht="13.5" customHeight="1">
      <c r="A46" s="2117" t="n">
        <v>0</v>
      </c>
      <c r="B46" s="2117" t="n">
        <v>2</v>
      </c>
      <c r="C46" s="2117" t="n">
        <v>3</v>
      </c>
      <c r="D46" s="2118" t="n">
        <v>2</v>
      </c>
      <c r="E46" s="2118" t="n">
        <v>2</v>
      </c>
      <c r="G46" s="1748" t="inlineStr">
        <is>
          <t>CONTENÇÃO</t>
        </is>
      </c>
      <c r="H46" s="1749" t="inlineStr">
        <is>
          <t>SERVIÇO</t>
        </is>
      </c>
      <c r="I46" s="1750" t="inlineStr">
        <is>
          <t>02.003.002.002</t>
        </is>
      </c>
      <c r="J46" s="1751" t="inlineStr">
        <is>
          <t>Armação aço CA-50 ø 12,5mm para Contenções (corte e dobra em Indústria)</t>
        </is>
      </c>
      <c r="K46" s="1752" t="inlineStr">
        <is>
          <t>kg</t>
        </is>
      </c>
      <c r="L46" s="1753" t="n">
        <v>45.36363636363636</v>
      </c>
      <c r="M46" s="1753" t="n">
        <v>8.484145</v>
      </c>
      <c r="N46" s="1754" t="n">
        <v>384.871668636364</v>
      </c>
      <c r="O46" s="1755" t="n"/>
      <c r="P46" s="1721" t="inlineStr">
        <is>
          <t>Pendente</t>
        </is>
      </c>
    </row>
    <row r="47" hidden="1" outlineLevel="3" ht="13.5" customHeight="1">
      <c r="A47" s="2117" t="n">
        <v>0</v>
      </c>
      <c r="B47" s="2117" t="n">
        <v>2</v>
      </c>
      <c r="C47" s="2117" t="n">
        <v>3</v>
      </c>
      <c r="D47" s="2118" t="n">
        <v>2</v>
      </c>
      <c r="E47" s="2118" t="n">
        <v>3</v>
      </c>
      <c r="G47" s="1748" t="inlineStr">
        <is>
          <t>CONTENÇÃO</t>
        </is>
      </c>
      <c r="H47" s="1749" t="inlineStr">
        <is>
          <t>SERVIÇO</t>
        </is>
      </c>
      <c r="I47" s="1750" t="inlineStr">
        <is>
          <t>02.003.002.003</t>
        </is>
      </c>
      <c r="J47" s="1751" t="inlineStr">
        <is>
          <t>Armação aço CA-50 ø 16,0mm para Contenções (corte e dobra em Indústria)</t>
        </is>
      </c>
      <c r="K47" s="1752" t="inlineStr">
        <is>
          <t>kg</t>
        </is>
      </c>
      <c r="L47" s="1753" t="n">
        <v>1277.272727272727</v>
      </c>
      <c r="M47" s="1753" t="n">
        <v>8.484145</v>
      </c>
      <c r="N47" s="1754" t="n">
        <v>10836.5670227273</v>
      </c>
      <c r="O47" s="1755" t="n"/>
      <c r="P47" s="1721" t="inlineStr">
        <is>
          <t>Pendente</t>
        </is>
      </c>
    </row>
    <row r="48" hidden="1" outlineLevel="3" ht="13.5" customHeight="1">
      <c r="A48" s="2117" t="n">
        <v>0</v>
      </c>
      <c r="B48" s="2117" t="n">
        <v>2</v>
      </c>
      <c r="C48" s="2117" t="n">
        <v>3</v>
      </c>
      <c r="D48" s="2118" t="n">
        <v>2</v>
      </c>
      <c r="E48" s="2118" t="n">
        <v>4</v>
      </c>
      <c r="G48" s="1748" t="inlineStr">
        <is>
          <t>CONTENÇÃO</t>
        </is>
      </c>
      <c r="H48" s="1749" t="inlineStr">
        <is>
          <t>SERVIÇO</t>
        </is>
      </c>
      <c r="I48" s="1750" t="inlineStr">
        <is>
          <t>02.003.002.004</t>
        </is>
      </c>
      <c r="J48" s="1751" t="inlineStr">
        <is>
          <t>Armação aço CA-50 ø 20,0mm para Contenções (corte e dobra em Indústria)</t>
        </is>
      </c>
      <c r="K48" s="1752" t="inlineStr">
        <is>
          <t>kg</t>
        </is>
      </c>
      <c r="L48" s="1753" t="n">
        <v>430.0909090909091</v>
      </c>
      <c r="M48" s="1753" t="n">
        <v>8.484145</v>
      </c>
      <c r="N48" s="1754" t="n">
        <v>3648.95363590909</v>
      </c>
      <c r="O48" s="1755" t="n"/>
      <c r="P48" s="1721" t="inlineStr">
        <is>
          <t>Pendente</t>
        </is>
      </c>
    </row>
    <row r="49" hidden="1" outlineLevel="2" ht="13.5" customHeight="1">
      <c r="A49" s="2117" t="n">
        <v>0</v>
      </c>
      <c r="B49" s="2117" t="n">
        <v>2</v>
      </c>
      <c r="C49" s="2117" t="n">
        <v>3</v>
      </c>
      <c r="D49" s="2118" t="n">
        <v>3</v>
      </c>
      <c r="E49" s="2118" t="n">
        <v>0</v>
      </c>
      <c r="G49" s="1740" t="n"/>
      <c r="H49" s="1741" t="inlineStr">
        <is>
          <t>SUBETAPA</t>
        </is>
      </c>
      <c r="I49" s="1742" t="inlineStr">
        <is>
          <t>02.003.003</t>
        </is>
      </c>
      <c r="J49" s="1743" t="inlineStr">
        <is>
          <t>Concreto</t>
        </is>
      </c>
      <c r="K49" s="1744" t="n"/>
      <c r="L49" s="1745" t="n"/>
      <c r="M49" s="1745" t="n"/>
      <c r="N49" s="1746" t="n">
        <v>12105.8868</v>
      </c>
      <c r="O49" s="1747" t="n"/>
      <c r="P49" s="1720" t="n"/>
    </row>
    <row r="50" hidden="1" outlineLevel="3" ht="13.5" customHeight="1">
      <c r="A50" s="2117" t="n">
        <v>0</v>
      </c>
      <c r="B50" s="2117" t="n">
        <v>2</v>
      </c>
      <c r="C50" s="2117" t="n">
        <v>3</v>
      </c>
      <c r="D50" s="2118" t="n">
        <v>3</v>
      </c>
      <c r="E50" s="2118" t="n">
        <v>1</v>
      </c>
      <c r="G50" s="1748" t="inlineStr">
        <is>
          <t>CONTENÇÃO</t>
        </is>
      </c>
      <c r="H50" s="1749" t="inlineStr">
        <is>
          <t>SERVIÇO</t>
        </is>
      </c>
      <c r="I50" s="1750" t="inlineStr">
        <is>
          <t>02.003.003.001</t>
        </is>
      </c>
      <c r="J50" s="1751" t="inlineStr">
        <is>
          <t>Concreto Usinado bombeável 50MPa para infraestrutura- incluindo serviço de bombeamento</t>
        </is>
      </c>
      <c r="K50" s="1752" t="inlineStr">
        <is>
          <t>m3</t>
        </is>
      </c>
      <c r="L50" s="1753" t="n">
        <v>17.8</v>
      </c>
      <c r="M50" s="1753" t="n">
        <v>680.1060000000001</v>
      </c>
      <c r="N50" s="1754" t="n">
        <v>12105.8868</v>
      </c>
      <c r="O50" s="1755" t="n"/>
      <c r="P50" s="1721" t="inlineStr">
        <is>
          <t>Pendente</t>
        </is>
      </c>
    </row>
    <row r="51" hidden="1" outlineLevel="1" ht="13.5" customHeight="1">
      <c r="A51" s="2117" t="n">
        <v>0</v>
      </c>
      <c r="B51" s="2117" t="n">
        <v>2</v>
      </c>
      <c r="C51" s="2117" t="n">
        <v>4</v>
      </c>
      <c r="D51" s="2118" t="n">
        <v>0</v>
      </c>
      <c r="E51" s="2118" t="n">
        <v>1</v>
      </c>
      <c r="G51" s="1733" t="n"/>
      <c r="H51" s="1734" t="inlineStr">
        <is>
          <t>ETAPA</t>
        </is>
      </c>
      <c r="I51" s="1735" t="inlineStr">
        <is>
          <t>02.004</t>
        </is>
      </c>
      <c r="J51" s="1736" t="inlineStr">
        <is>
          <t>ESTACAS PRANCHA METÁLICA</t>
        </is>
      </c>
      <c r="K51" s="1737" t="n"/>
      <c r="L51" s="1738" t="n"/>
      <c r="M51" s="1738" t="n"/>
      <c r="N51" s="1739" t="n">
        <v>243756</v>
      </c>
      <c r="O51" s="1722" t="n">
        <v>14.5528837284555</v>
      </c>
      <c r="P51" s="1719" t="n"/>
    </row>
    <row r="52" hidden="1" outlineLevel="2" ht="13.5" customHeight="1">
      <c r="A52" s="2117" t="n">
        <v>0</v>
      </c>
      <c r="B52" s="2117" t="n">
        <v>2</v>
      </c>
      <c r="C52" s="2117" t="n">
        <v>4</v>
      </c>
      <c r="D52" s="2118" t="n">
        <v>1</v>
      </c>
      <c r="E52" s="2118" t="n">
        <v>0</v>
      </c>
      <c r="G52" s="1740" t="n"/>
      <c r="H52" s="1741" t="inlineStr">
        <is>
          <t>SUBETAPA</t>
        </is>
      </c>
      <c r="I52" s="1742" t="inlineStr">
        <is>
          <t>02.004.001</t>
        </is>
      </c>
      <c r="J52" s="1743" t="inlineStr">
        <is>
          <t>Estacas prancha metálica</t>
        </is>
      </c>
      <c r="K52" s="1744" t="n"/>
      <c r="L52" s="1745" t="n"/>
      <c r="M52" s="1745" t="n"/>
      <c r="N52" s="1746" t="n">
        <v>243756</v>
      </c>
      <c r="O52" s="1747" t="n">
        <v>14.5528837284555</v>
      </c>
      <c r="P52" s="1720" t="n"/>
    </row>
    <row r="53" hidden="1" outlineLevel="3" ht="13.5" customHeight="1">
      <c r="A53" s="2117" t="n">
        <v>0</v>
      </c>
      <c r="B53" s="2117" t="n">
        <v>2</v>
      </c>
      <c r="C53" s="2117" t="n">
        <v>4</v>
      </c>
      <c r="D53" s="2118" t="n">
        <v>1</v>
      </c>
      <c r="E53" s="2118" t="n">
        <v>1</v>
      </c>
      <c r="G53" s="1748" t="inlineStr">
        <is>
          <t>CONTENÇÃO</t>
        </is>
      </c>
      <c r="H53" s="1749" t="inlineStr">
        <is>
          <t>SERVIÇO</t>
        </is>
      </c>
      <c r="I53" s="1750" t="inlineStr">
        <is>
          <t>02.004.001.001</t>
        </is>
      </c>
      <c r="J53" s="1751" t="inlineStr">
        <is>
          <t>Locação e cravação de estacas prancha EP400 para contenção</t>
        </is>
      </c>
      <c r="K53" s="1752" t="inlineStr">
        <is>
          <t>m2</t>
        </is>
      </c>
      <c r="L53" s="1753" t="n">
        <v>492.8</v>
      </c>
      <c r="M53" s="1753" t="n">
        <v>470.2840909090909</v>
      </c>
      <c r="N53" s="1754" t="n">
        <v>231756</v>
      </c>
      <c r="O53" s="1755" t="inlineStr">
        <is>
          <t>Cotação, considerado 6 meses de locação</t>
        </is>
      </c>
      <c r="P53" s="1721" t="inlineStr">
        <is>
          <t>Pendente</t>
        </is>
      </c>
    </row>
    <row r="54" hidden="1" outlineLevel="3" ht="13.5" customHeight="1">
      <c r="A54" s="2117" t="n">
        <v>0</v>
      </c>
      <c r="B54" s="2117" t="n">
        <v>2</v>
      </c>
      <c r="C54" s="2117" t="n">
        <v>4</v>
      </c>
      <c r="D54" s="2118" t="n">
        <v>1</v>
      </c>
      <c r="E54" s="2118" t="n">
        <v>2</v>
      </c>
      <c r="G54" s="1748" t="inlineStr">
        <is>
          <t>CONTENÇÃO</t>
        </is>
      </c>
      <c r="H54" s="1749" t="inlineStr">
        <is>
          <t>SERVIÇO</t>
        </is>
      </c>
      <c r="I54" s="1750" t="inlineStr">
        <is>
          <t>02.004.001.002</t>
        </is>
      </c>
      <c r="J54" s="1751" t="inlineStr">
        <is>
          <t>Mobilização e Desmobilização de equipamento e máquinas considerando serviço de carga e descarga</t>
        </is>
      </c>
      <c r="K54" s="1752" t="inlineStr">
        <is>
          <t>vb</t>
        </is>
      </c>
      <c r="L54" s="1753" t="n">
        <v>1</v>
      </c>
      <c r="M54" s="1753" t="n">
        <v>12000</v>
      </c>
      <c r="N54" s="1754" t="n">
        <v>12000</v>
      </c>
      <c r="O54" s="1755" t="n"/>
      <c r="P54" s="1721" t="inlineStr">
        <is>
          <t>Pendente</t>
        </is>
      </c>
    </row>
    <row r="55" hidden="1" outlineLevel="1" ht="13.5" customHeight="1">
      <c r="A55" s="2117" t="n">
        <v>0</v>
      </c>
      <c r="B55" s="2117" t="n">
        <v>2</v>
      </c>
      <c r="C55" s="2117" t="n">
        <v>5</v>
      </c>
      <c r="D55" s="2118" t="n">
        <v>0</v>
      </c>
      <c r="E55" s="2118" t="n">
        <v>2</v>
      </c>
      <c r="G55" s="1733" t="n"/>
      <c r="H55" s="1734" t="inlineStr">
        <is>
          <t>ETAPA</t>
        </is>
      </c>
      <c r="I55" s="1735" t="inlineStr">
        <is>
          <t>02.005</t>
        </is>
      </c>
      <c r="J55" s="1736" t="inlineStr">
        <is>
          <t>MÃO DE OBRA CONTENÇÕES</t>
        </is>
      </c>
      <c r="K55" s="1737" t="n"/>
      <c r="L55" s="1738" t="n"/>
      <c r="M55" s="1738" t="n"/>
      <c r="N55" s="1739" t="n">
        <v>140000.02</v>
      </c>
      <c r="O55" s="1722" t="n">
        <v>8.3583748217129</v>
      </c>
      <c r="P55" s="1719" t="n"/>
    </row>
    <row r="56" hidden="1" outlineLevel="2" ht="13.5" customHeight="1">
      <c r="A56" s="2117" t="n">
        <v>0</v>
      </c>
      <c r="B56" s="2117" t="n">
        <v>2</v>
      </c>
      <c r="C56" s="2117" t="n">
        <v>5</v>
      </c>
      <c r="D56" s="2118" t="n">
        <v>1</v>
      </c>
      <c r="E56" s="2118" t="n">
        <v>0</v>
      </c>
      <c r="G56" s="1740" t="n"/>
      <c r="H56" s="1741" t="inlineStr">
        <is>
          <t>SUBETAPA</t>
        </is>
      </c>
      <c r="I56" s="1742" t="inlineStr">
        <is>
          <t>02.005.001</t>
        </is>
      </c>
      <c r="J56" s="1743" t="inlineStr">
        <is>
          <t>Mão de Obra</t>
        </is>
      </c>
      <c r="K56" s="1744" t="n"/>
      <c r="L56" s="1745" t="n"/>
      <c r="M56" s="1745" t="n"/>
      <c r="N56" s="1746" t="n">
        <v>140000.02</v>
      </c>
      <c r="O56" s="1747" t="n">
        <v>8.3583748217129</v>
      </c>
      <c r="P56" s="1720" t="n"/>
    </row>
    <row r="57" hidden="1" outlineLevel="3" ht="13.5" customHeight="1">
      <c r="A57" s="2117" t="n">
        <v>0</v>
      </c>
      <c r="B57" s="2117" t="n">
        <v>2</v>
      </c>
      <c r="C57" s="2117" t="n">
        <v>5</v>
      </c>
      <c r="D57" s="2118" t="n">
        <v>1</v>
      </c>
      <c r="E57" s="2118" t="n">
        <v>1</v>
      </c>
      <c r="G57" s="1748" t="inlineStr">
        <is>
          <t>CONTENÇÃO</t>
        </is>
      </c>
      <c r="H57" s="1749" t="inlineStr">
        <is>
          <t>SERVIÇO</t>
        </is>
      </c>
      <c r="I57" s="1750" t="inlineStr">
        <is>
          <t>02.005.001.001</t>
        </is>
      </c>
      <c r="J57" s="1751" t="inlineStr">
        <is>
          <t>Mão de obra para execução de contenção</t>
        </is>
      </c>
      <c r="K57" s="1752" t="inlineStr">
        <is>
          <t>m2</t>
        </is>
      </c>
      <c r="L57" s="1753" t="n">
        <v>525</v>
      </c>
      <c r="M57" s="1753" t="n">
        <v>266.6667047619047</v>
      </c>
      <c r="N57" s="1754" t="n">
        <v>140000.02</v>
      </c>
      <c r="O57" s="1755" t="inlineStr">
        <is>
          <t>Prosposta Gessele</t>
        </is>
      </c>
      <c r="P57" s="1721" t="inlineStr">
        <is>
          <t>Pendente</t>
        </is>
      </c>
    </row>
    <row r="58" collapsed="1" ht="13.5" customHeight="1">
      <c r="A58" s="2117" t="n">
        <v>0</v>
      </c>
      <c r="B58" s="2117" t="n">
        <v>3</v>
      </c>
      <c r="C58" s="2117" t="n">
        <v>0</v>
      </c>
      <c r="D58" s="2118" t="n">
        <v>1</v>
      </c>
      <c r="E58" s="2118" t="n">
        <v>1</v>
      </c>
      <c r="F58" s="474" t="n"/>
      <c r="G58" s="1726" t="n"/>
      <c r="H58" s="1727" t="inlineStr">
        <is>
          <t>CÉLULA CONSTRUTIVA</t>
        </is>
      </c>
      <c r="I58" s="1728" t="inlineStr">
        <is>
          <t>03</t>
        </is>
      </c>
      <c r="J58" s="1729" t="inlineStr">
        <is>
          <t>INFRAESTRUTURA</t>
        </is>
      </c>
      <c r="K58" s="1730" t="n"/>
      <c r="L58" s="1731" t="n"/>
      <c r="M58" s="1731" t="n"/>
      <c r="N58" s="1732" t="n">
        <v>4572490.02757546</v>
      </c>
      <c r="O58" s="1723" t="n">
        <v>272.989857565878</v>
      </c>
      <c r="P58" s="1723" t="n"/>
    </row>
    <row r="59" hidden="1" outlineLevel="1" ht="13.5" customHeight="1">
      <c r="A59" s="2117" t="n">
        <v>0</v>
      </c>
      <c r="B59" s="2117" t="n">
        <v>3</v>
      </c>
      <c r="C59" s="2117" t="n">
        <v>1</v>
      </c>
      <c r="D59" s="2118" t="n">
        <v>0</v>
      </c>
      <c r="E59" s="2118" t="n">
        <v>1</v>
      </c>
      <c r="G59" s="1733" t="n"/>
      <c r="H59" s="1734" t="inlineStr">
        <is>
          <t>ETAPA</t>
        </is>
      </c>
      <c r="I59" s="1735" t="inlineStr">
        <is>
          <t>03.001</t>
        </is>
      </c>
      <c r="J59" s="1736" t="inlineStr">
        <is>
          <t>ESTACA HÉLICE CONTÍNUA</t>
        </is>
      </c>
      <c r="K59" s="1737" t="n"/>
      <c r="L59" s="1738" t="n"/>
      <c r="M59" s="1738" t="n"/>
      <c r="N59" s="1739" t="n">
        <v>3041540.5196918</v>
      </c>
      <c r="O59" s="1722" t="n">
        <v>181.588086194641</v>
      </c>
      <c r="P59" s="1719" t="n"/>
    </row>
    <row r="60" hidden="1" outlineLevel="2" ht="13.5" customHeight="1">
      <c r="A60" s="2117" t="n">
        <v>0</v>
      </c>
      <c r="B60" s="2117" t="n">
        <v>3</v>
      </c>
      <c r="C60" s="2117" t="n">
        <v>1</v>
      </c>
      <c r="D60" s="2118" t="n">
        <v>1</v>
      </c>
      <c r="E60" s="2118" t="n">
        <v>0</v>
      </c>
      <c r="G60" s="1740" t="n"/>
      <c r="H60" s="1741" t="inlineStr">
        <is>
          <t>SUBETAPA</t>
        </is>
      </c>
      <c r="I60" s="1742" t="inlineStr">
        <is>
          <t>03.001.001</t>
        </is>
      </c>
      <c r="J60" s="1743" t="inlineStr">
        <is>
          <t>Perfuração</t>
        </is>
      </c>
      <c r="K60" s="1744" t="n"/>
      <c r="L60" s="1745" t="n"/>
      <c r="M60" s="1745" t="n"/>
      <c r="N60" s="1746" t="n">
        <v>950000</v>
      </c>
      <c r="O60" s="1747" t="n">
        <v>56.7175353305468</v>
      </c>
      <c r="P60" s="1720" t="n"/>
    </row>
    <row r="61" hidden="1" outlineLevel="3" ht="13.5" customHeight="1">
      <c r="A61" s="2117" t="n">
        <v>0</v>
      </c>
      <c r="B61" s="2117" t="n">
        <v>3</v>
      </c>
      <c r="C61" s="2117" t="n">
        <v>1</v>
      </c>
      <c r="D61" s="2118" t="n">
        <v>1</v>
      </c>
      <c r="E61" s="2118" t="n">
        <v>1</v>
      </c>
      <c r="G61" s="1748" t="inlineStr">
        <is>
          <t>INFRAESTRUTURA</t>
        </is>
      </c>
      <c r="H61" s="1749" t="inlineStr">
        <is>
          <t>SERVIÇO</t>
        </is>
      </c>
      <c r="I61" s="1750" t="inlineStr">
        <is>
          <t>03.001.001.001</t>
        </is>
      </c>
      <c r="J61" s="1751" t="inlineStr">
        <is>
          <t xml:space="preserve">Perfuração de estaca hélice contínua Ø 60cm	</t>
        </is>
      </c>
      <c r="K61" s="1752" t="inlineStr">
        <is>
          <t>m</t>
        </is>
      </c>
      <c r="L61" s="1753" t="n">
        <v>6732</v>
      </c>
      <c r="M61" s="1753" t="n">
        <v>137.4863317681867</v>
      </c>
      <c r="N61" s="1754" t="n">
        <v>925557.985463433</v>
      </c>
      <c r="O61" s="1761" t="inlineStr">
        <is>
          <t>Repessado pela Gessele na reunião do dia 05/03/2026 - 950k efeg</t>
        </is>
      </c>
      <c r="P61" s="1721" t="inlineStr">
        <is>
          <t>Pendente</t>
        </is>
      </c>
    </row>
    <row r="62" hidden="1" outlineLevel="3" ht="13.5" customHeight="1">
      <c r="A62" s="2117" t="n">
        <v>0</v>
      </c>
      <c r="B62" s="2117" t="n">
        <v>3</v>
      </c>
      <c r="C62" s="2117" t="n">
        <v>1</v>
      </c>
      <c r="D62" s="2118" t="n">
        <v>1</v>
      </c>
      <c r="E62" s="2118" t="n">
        <v>2</v>
      </c>
      <c r="G62" s="1748" t="inlineStr">
        <is>
          <t>INFRAESTRUTURA</t>
        </is>
      </c>
      <c r="H62" s="1749" t="inlineStr">
        <is>
          <t>SERVIÇO</t>
        </is>
      </c>
      <c r="I62" s="1750" t="inlineStr">
        <is>
          <t>03.001.001.002</t>
        </is>
      </c>
      <c r="J62" s="1751" t="inlineStr">
        <is>
          <t xml:space="preserve">	Mobilização e desmobilização de equipamentos - Para execução de estaca hélice monitorada</t>
        </is>
      </c>
      <c r="K62" s="1752" t="inlineStr">
        <is>
          <t>vb</t>
        </is>
      </c>
      <c r="L62" s="1753" t="n">
        <v>1</v>
      </c>
      <c r="M62" s="1753" t="n">
        <v>24442.01453656657</v>
      </c>
      <c r="N62" s="1754" t="n">
        <v>24442.0145365666</v>
      </c>
      <c r="O62" s="1761" t="inlineStr">
        <is>
          <t>Repessado pela Gessele na reunião do dia 05/03/2026 - 950k efeg</t>
        </is>
      </c>
      <c r="P62" s="1721" t="inlineStr">
        <is>
          <t>Pendente</t>
        </is>
      </c>
    </row>
    <row r="63" hidden="1" outlineLevel="2" ht="13.5" customHeight="1">
      <c r="A63" s="2117" t="n">
        <v>0</v>
      </c>
      <c r="B63" s="2117" t="n">
        <v>3</v>
      </c>
      <c r="C63" s="2117" t="n">
        <v>1</v>
      </c>
      <c r="D63" s="2118" t="n">
        <v>2</v>
      </c>
      <c r="E63" s="2118" t="n">
        <v>0</v>
      </c>
      <c r="G63" s="1740" t="n"/>
      <c r="H63" s="1741" t="inlineStr">
        <is>
          <t>SUBETAPA</t>
        </is>
      </c>
      <c r="I63" s="1742" t="inlineStr">
        <is>
          <t>03.001.002</t>
        </is>
      </c>
      <c r="J63" s="1743" t="inlineStr">
        <is>
          <t>Armadura</t>
        </is>
      </c>
      <c r="K63" s="1744" t="n"/>
      <c r="L63" s="1745" t="n"/>
      <c r="M63" s="1745" t="n"/>
      <c r="N63" s="1746" t="n">
        <v>298834.778625</v>
      </c>
      <c r="O63" s="1747" t="n">
        <v>17.8412338049048</v>
      </c>
      <c r="P63" s="1720" t="n"/>
    </row>
    <row r="64" hidden="1" outlineLevel="3" ht="13.5" customHeight="1">
      <c r="A64" s="2117" t="n">
        <v>0</v>
      </c>
      <c r="B64" s="2117" t="n">
        <v>3</v>
      </c>
      <c r="C64" s="2117" t="n">
        <v>1</v>
      </c>
      <c r="D64" s="2118" t="n">
        <v>2</v>
      </c>
      <c r="E64" s="2118" t="n">
        <v>1</v>
      </c>
      <c r="G64" s="1748" t="inlineStr">
        <is>
          <t>INFRAESTRUTURA</t>
        </is>
      </c>
      <c r="H64" s="1749" t="inlineStr">
        <is>
          <t>SERVIÇO</t>
        </is>
      </c>
      <c r="I64" s="1750" t="inlineStr">
        <is>
          <t>03.001.002.001</t>
        </is>
      </c>
      <c r="J64" s="1751" t="inlineStr">
        <is>
          <t>Armação aço CA-50 ø 6,3mm para estaca (corte e dobra em indústria)</t>
        </is>
      </c>
      <c r="K64" s="1752" t="inlineStr">
        <is>
          <t>un</t>
        </is>
      </c>
      <c r="L64" s="1753" t="n">
        <v>3495</v>
      </c>
      <c r="M64" s="1753" t="n">
        <v>8.964145</v>
      </c>
      <c r="N64" s="1754" t="n">
        <v>31329.686775</v>
      </c>
      <c r="O64" s="1755" t="n"/>
      <c r="P64" s="1721" t="inlineStr">
        <is>
          <t>Pendente</t>
        </is>
      </c>
    </row>
    <row r="65" hidden="1" outlineLevel="3" ht="13.5" customHeight="1">
      <c r="A65" s="2117" t="n">
        <v>0</v>
      </c>
      <c r="B65" s="2117" t="n">
        <v>3</v>
      </c>
      <c r="C65" s="2117" t="n">
        <v>1</v>
      </c>
      <c r="D65" s="2118" t="n">
        <v>2</v>
      </c>
      <c r="E65" s="2118" t="n">
        <v>2</v>
      </c>
      <c r="G65" s="1748" t="inlineStr">
        <is>
          <t>INFRAESTRUTURA</t>
        </is>
      </c>
      <c r="H65" s="1749" t="inlineStr">
        <is>
          <t>SERVIÇO</t>
        </is>
      </c>
      <c r="I65" s="1750" t="inlineStr">
        <is>
          <t>03.001.002.002</t>
        </is>
      </c>
      <c r="J65" s="1751" t="inlineStr">
        <is>
          <t>Armação aço CA-50 ø 20,0mm para estaca (corte e dobra em indústria)</t>
        </is>
      </c>
      <c r="K65" s="1752" t="inlineStr">
        <is>
          <t>un</t>
        </is>
      </c>
      <c r="L65" s="1753" t="n">
        <v>31530</v>
      </c>
      <c r="M65" s="1753" t="n">
        <v>8.484145</v>
      </c>
      <c r="N65" s="1754" t="n">
        <v>267505.09185</v>
      </c>
      <c r="O65" s="1755" t="n"/>
      <c r="P65" s="1721" t="inlineStr">
        <is>
          <t>Pendente</t>
        </is>
      </c>
    </row>
    <row r="66" hidden="1" outlineLevel="2" ht="13.5" customHeight="1">
      <c r="A66" s="2117" t="n">
        <v>0</v>
      </c>
      <c r="B66" s="2117" t="n">
        <v>3</v>
      </c>
      <c r="C66" s="2117" t="n">
        <v>1</v>
      </c>
      <c r="D66" s="2118" t="n">
        <v>3</v>
      </c>
      <c r="E66" s="2118" t="n">
        <v>0</v>
      </c>
      <c r="G66" s="1740" t="n"/>
      <c r="H66" s="1741" t="inlineStr">
        <is>
          <t>SUBETAPA</t>
        </is>
      </c>
      <c r="I66" s="1742" t="inlineStr">
        <is>
          <t>03.001.003</t>
        </is>
      </c>
      <c r="J66" s="1743" t="inlineStr">
        <is>
          <t>Concreto</t>
        </is>
      </c>
      <c r="K66" s="1744" t="n"/>
      <c r="L66" s="1745" t="n"/>
      <c r="M66" s="1745" t="n"/>
      <c r="N66" s="1746" t="n">
        <v>1792705.7410668</v>
      </c>
      <c r="O66" s="1747" t="n">
        <v>107.02931705919</v>
      </c>
      <c r="P66" s="1720" t="n"/>
    </row>
    <row r="67" hidden="1" outlineLevel="3" ht="13.5" customHeight="1">
      <c r="A67" s="2117" t="n">
        <v>0</v>
      </c>
      <c r="B67" s="2117" t="n">
        <v>3</v>
      </c>
      <c r="C67" s="2117" t="n">
        <v>1</v>
      </c>
      <c r="D67" s="2118" t="n">
        <v>3</v>
      </c>
      <c r="E67" s="2118" t="n">
        <v>1</v>
      </c>
      <c r="G67" s="1748" t="inlineStr">
        <is>
          <t>INFRAESTRUTURA</t>
        </is>
      </c>
      <c r="H67" s="1749" t="inlineStr">
        <is>
          <t>SERVIÇO</t>
        </is>
      </c>
      <c r="I67" s="1750" t="inlineStr">
        <is>
          <t>03.001.003.001</t>
        </is>
      </c>
      <c r="J67" s="1751" t="inlineStr">
        <is>
          <t>Concreto Usinado bombeável para estacas 50MPa  - incluindo serviço de bombeamento</t>
        </is>
      </c>
      <c r="K67" s="1752" t="inlineStr">
        <is>
          <t>m3</t>
        </is>
      </c>
      <c r="L67" s="1753" t="n">
        <v>1903.428156956984</v>
      </c>
      <c r="M67" s="1753" t="n">
        <v>941.83</v>
      </c>
      <c r="N67" s="1754" t="n">
        <v>1792705.7410668</v>
      </c>
      <c r="O67" s="1755" t="n"/>
      <c r="P67" s="1721" t="inlineStr">
        <is>
          <t>Pendente</t>
        </is>
      </c>
    </row>
    <row r="68" hidden="1" outlineLevel="2" collapsed="1" ht="13.5" customHeight="1">
      <c r="A68" s="2117" t="n">
        <v>0</v>
      </c>
      <c r="B68" s="2117" t="n">
        <v>3</v>
      </c>
      <c r="C68" s="2117" t="n">
        <v>1</v>
      </c>
      <c r="D68" s="2118" t="n">
        <v>4</v>
      </c>
      <c r="E68" s="2118" t="n">
        <v>0</v>
      </c>
      <c r="G68" s="1740" t="n"/>
      <c r="H68" s="1741" t="inlineStr">
        <is>
          <t>SUBETAPA</t>
        </is>
      </c>
      <c r="I68" s="1742" t="inlineStr">
        <is>
          <t>03.001.004</t>
        </is>
      </c>
      <c r="J68" s="1743" t="inlineStr">
        <is>
          <t>Mão de Obra</t>
        </is>
      </c>
      <c r="K68" s="1744" t="n"/>
      <c r="L68" s="1745" t="n"/>
      <c r="M68" s="1745" t="n"/>
      <c r="N68" s="1746" t="n">
        <v>0</v>
      </c>
      <c r="O68" s="1747" t="n">
        <v>0</v>
      </c>
      <c r="P68" s="1720" t="n"/>
    </row>
    <row r="69" hidden="1" outlineLevel="1" ht="13.5" customHeight="1">
      <c r="A69" s="2117" t="n">
        <v>0</v>
      </c>
      <c r="B69" s="2117" t="n">
        <v>3</v>
      </c>
      <c r="C69" s="2117" t="n">
        <v>2</v>
      </c>
      <c r="D69" s="2118" t="n">
        <v>0</v>
      </c>
      <c r="E69" s="2118" t="n">
        <v>0</v>
      </c>
      <c r="G69" s="1733" t="n"/>
      <c r="H69" s="1734" t="inlineStr">
        <is>
          <t>ETAPA</t>
        </is>
      </c>
      <c r="I69" s="1735" t="inlineStr">
        <is>
          <t>03.002</t>
        </is>
      </c>
      <c r="J69" s="1736" t="inlineStr">
        <is>
          <t>BLOCOS</t>
        </is>
      </c>
      <c r="K69" s="1737" t="n"/>
      <c r="L69" s="1738" t="n"/>
      <c r="M69" s="1738" t="n"/>
      <c r="N69" s="1739" t="n">
        <v>1056067.4444474</v>
      </c>
      <c r="O69" s="1722" t="n">
        <v>63.050044833564</v>
      </c>
      <c r="P69" s="1719" t="n"/>
    </row>
    <row r="70" hidden="1" outlineLevel="2" ht="13.5" customHeight="1">
      <c r="A70" s="2117" t="n">
        <v>0</v>
      </c>
      <c r="B70" s="2117" t="n">
        <v>3</v>
      </c>
      <c r="C70" s="2117" t="n">
        <v>2</v>
      </c>
      <c r="D70" s="2118" t="n">
        <v>1</v>
      </c>
      <c r="E70" s="2118" t="n">
        <v>0</v>
      </c>
      <c r="G70" s="1740" t="n"/>
      <c r="H70" s="1741" t="inlineStr">
        <is>
          <t>SUBETAPA</t>
        </is>
      </c>
      <c r="I70" s="1742" t="inlineStr">
        <is>
          <t>03.002.001</t>
        </is>
      </c>
      <c r="J70" s="1743" t="inlineStr">
        <is>
          <t>Forma</t>
        </is>
      </c>
      <c r="K70" s="1744" t="n"/>
      <c r="L70" s="1745" t="n"/>
      <c r="M70" s="1745" t="n"/>
      <c r="N70" s="1746" t="n">
        <v>15723.5209428571</v>
      </c>
      <c r="O70" s="1747" t="n">
        <v>0.938736162733782</v>
      </c>
      <c r="P70" s="1720" t="n"/>
    </row>
    <row r="71" hidden="1" outlineLevel="3" ht="13.5" customHeight="1">
      <c r="A71" s="2117" t="n">
        <v>0</v>
      </c>
      <c r="B71" s="2117" t="n">
        <v>3</v>
      </c>
      <c r="C71" s="2117" t="n">
        <v>2</v>
      </c>
      <c r="D71" s="2118" t="n">
        <v>1</v>
      </c>
      <c r="E71" s="2118" t="n">
        <v>1</v>
      </c>
      <c r="G71" s="1748" t="inlineStr">
        <is>
          <t>INFRAESTRUTURA</t>
        </is>
      </c>
      <c r="H71" s="1749" t="inlineStr">
        <is>
          <t>SERVIÇO</t>
        </is>
      </c>
      <c r="I71" s="1750" t="inlineStr">
        <is>
          <t>03.002.001.001</t>
        </is>
      </c>
      <c r="J71" s="1751" t="inlineStr">
        <is>
          <t>Forma para infraestrutura em Tábuas de Madeira Serrada 2x reaproveitamento</t>
        </is>
      </c>
      <c r="K71" s="1752" t="inlineStr">
        <is>
          <t>m2</t>
        </is>
      </c>
      <c r="L71" s="1753" t="n">
        <v>262.25</v>
      </c>
      <c r="M71" s="1753" t="n">
        <v>59.95622857142857</v>
      </c>
      <c r="N71" s="1754" t="n">
        <v>15723.5209428571</v>
      </c>
      <c r="O71" s="1755" t="inlineStr">
        <is>
          <t>Apenas blocos, 2x reaproveitamento</t>
        </is>
      </c>
      <c r="P71" s="1721" t="inlineStr">
        <is>
          <t>Pendente</t>
        </is>
      </c>
    </row>
    <row r="72" hidden="1" outlineLevel="2" ht="13.5" customHeight="1">
      <c r="A72" s="2117" t="n">
        <v>0</v>
      </c>
      <c r="B72" s="2117" t="n">
        <v>3</v>
      </c>
      <c r="C72" s="2117" t="n">
        <v>2</v>
      </c>
      <c r="D72" s="2118" t="n">
        <v>2</v>
      </c>
      <c r="E72" s="2118" t="n">
        <v>0</v>
      </c>
      <c r="G72" s="1740" t="n"/>
      <c r="H72" s="1741" t="inlineStr">
        <is>
          <t>SUBETAPA</t>
        </is>
      </c>
      <c r="I72" s="1742" t="inlineStr">
        <is>
          <t>03.002.002</t>
        </is>
      </c>
      <c r="J72" s="1743" t="inlineStr">
        <is>
          <t>Armadura</t>
        </is>
      </c>
      <c r="K72" s="1744" t="n"/>
      <c r="L72" s="1745" t="n"/>
      <c r="M72" s="1745" t="n"/>
      <c r="N72" s="1746" t="n">
        <v>592494.122504545</v>
      </c>
      <c r="O72" s="1747" t="n">
        <v>35.3734803434662</v>
      </c>
      <c r="P72" s="1720" t="n"/>
    </row>
    <row r="73" hidden="1" outlineLevel="3" ht="13.5" customHeight="1">
      <c r="A73" s="2117" t="n">
        <v>0</v>
      </c>
      <c r="B73" s="2117" t="n">
        <v>3</v>
      </c>
      <c r="C73" s="2117" t="n">
        <v>2</v>
      </c>
      <c r="D73" s="2118" t="n">
        <v>2</v>
      </c>
      <c r="E73" s="2118" t="n">
        <v>1</v>
      </c>
      <c r="G73" s="1748" t="inlineStr">
        <is>
          <t>INFRAESTRUTURA</t>
        </is>
      </c>
      <c r="H73" s="1749" t="inlineStr">
        <is>
          <t>SERVIÇO</t>
        </is>
      </c>
      <c r="I73" s="1750" t="inlineStr">
        <is>
          <t>03.002.002.001</t>
        </is>
      </c>
      <c r="J73" s="1751" t="inlineStr">
        <is>
          <t xml:space="preserve">Armação aço CA-50 ø 12,5mm para infraestrutura (corte e dobra em Indústria) </t>
        </is>
      </c>
      <c r="K73" s="1752" t="inlineStr">
        <is>
          <t>kg</t>
        </is>
      </c>
      <c r="L73" s="1753" t="n">
        <v>528.1818181818181</v>
      </c>
      <c r="M73" s="1753" t="n">
        <v>8.484145</v>
      </c>
      <c r="N73" s="1754" t="n">
        <v>4481.17113181818</v>
      </c>
      <c r="O73" s="1755" t="n"/>
      <c r="P73" s="1721" t="inlineStr">
        <is>
          <t>Pendente</t>
        </is>
      </c>
    </row>
    <row r="74" hidden="1" outlineLevel="3" ht="13.5" customHeight="1">
      <c r="A74" s="2117" t="n">
        <v>0</v>
      </c>
      <c r="B74" s="2117" t="n">
        <v>3</v>
      </c>
      <c r="C74" s="2117" t="n">
        <v>2</v>
      </c>
      <c r="D74" s="2118" t="n">
        <v>2</v>
      </c>
      <c r="E74" s="2118" t="n">
        <v>2</v>
      </c>
      <c r="G74" s="1748" t="inlineStr">
        <is>
          <t>INFRAESTRUTURA</t>
        </is>
      </c>
      <c r="H74" s="1749" t="inlineStr">
        <is>
          <t>SERVIÇO</t>
        </is>
      </c>
      <c r="I74" s="1750" t="inlineStr">
        <is>
          <t>03.002.002.002</t>
        </is>
      </c>
      <c r="J74" s="1751" t="inlineStr">
        <is>
          <t>Armação aço CA-50 ø 16,0mm para infraestrutura (corte e dobra em Indústria)</t>
        </is>
      </c>
      <c r="K74" s="1752" t="inlineStr">
        <is>
          <t>kg</t>
        </is>
      </c>
      <c r="L74" s="1753" t="n">
        <v>7331.818181818181</v>
      </c>
      <c r="M74" s="1753" t="n">
        <v>8.484145</v>
      </c>
      <c r="N74" s="1754" t="n">
        <v>62204.2085681818</v>
      </c>
      <c r="O74" s="1755" t="n"/>
      <c r="P74" s="1721" t="inlineStr">
        <is>
          <t>Pendente</t>
        </is>
      </c>
    </row>
    <row r="75" hidden="1" outlineLevel="3" ht="13.5" customHeight="1">
      <c r="A75" s="2117" t="n">
        <v>0</v>
      </c>
      <c r="B75" s="2117" t="n">
        <v>3</v>
      </c>
      <c r="C75" s="2117" t="n">
        <v>2</v>
      </c>
      <c r="D75" s="2118" t="n">
        <v>2</v>
      </c>
      <c r="E75" s="2118" t="n">
        <v>3</v>
      </c>
      <c r="G75" s="1748" t="inlineStr">
        <is>
          <t>INFRAESTRUTURA</t>
        </is>
      </c>
      <c r="H75" s="1749" t="inlineStr">
        <is>
          <t>SERVIÇO</t>
        </is>
      </c>
      <c r="I75" s="1750" t="inlineStr">
        <is>
          <t>03.002.002.003</t>
        </is>
      </c>
      <c r="J75" s="1751" t="inlineStr">
        <is>
          <t xml:space="preserve">Armação aço CA-50 ø 20,0mm para infraestrutura (corte e dobra em Indústria) </t>
        </is>
      </c>
      <c r="K75" s="1752" t="inlineStr">
        <is>
          <t>kg</t>
        </is>
      </c>
      <c r="L75" s="1753" t="n">
        <v>1318.181818181818</v>
      </c>
      <c r="M75" s="1753" t="n">
        <v>8.484145</v>
      </c>
      <c r="N75" s="1754" t="n">
        <v>11183.6456818182</v>
      </c>
      <c r="O75" s="1755" t="n"/>
      <c r="P75" s="1721" t="inlineStr">
        <is>
          <t>Pendente</t>
        </is>
      </c>
    </row>
    <row r="76" hidden="1" outlineLevel="3" ht="13.5" customHeight="1">
      <c r="A76" s="2117" t="n">
        <v>0</v>
      </c>
      <c r="B76" s="2117" t="n">
        <v>3</v>
      </c>
      <c r="C76" s="2117" t="n">
        <v>2</v>
      </c>
      <c r="D76" s="2118" t="n">
        <v>2</v>
      </c>
      <c r="E76" s="2118" t="n">
        <v>4</v>
      </c>
      <c r="G76" s="1748" t="inlineStr">
        <is>
          <t>INFRAESTRUTURA</t>
        </is>
      </c>
      <c r="H76" s="1749" t="inlineStr">
        <is>
          <t>SERVIÇO</t>
        </is>
      </c>
      <c r="I76" s="1750" t="inlineStr">
        <is>
          <t>03.002.002.004</t>
        </is>
      </c>
      <c r="J76" s="1751" t="inlineStr">
        <is>
          <t xml:space="preserve">Armação aço CA-50 ø 25,0mm para infraestrutura (corte e dobra em Indústria) </t>
        </is>
      </c>
      <c r="K76" s="1752" t="inlineStr">
        <is>
          <t>kg</t>
        </is>
      </c>
      <c r="L76" s="1753" t="n">
        <v>60657.27272727272</v>
      </c>
      <c r="M76" s="1753" t="n">
        <v>8.484145</v>
      </c>
      <c r="N76" s="1754" t="n">
        <v>514625.097122727</v>
      </c>
      <c r="O76" s="1755" t="n"/>
      <c r="P76" s="1721" t="inlineStr">
        <is>
          <t>Pendente</t>
        </is>
      </c>
    </row>
    <row r="77" hidden="1" outlineLevel="2" ht="13.5" customHeight="1">
      <c r="A77" s="2117" t="n">
        <v>0</v>
      </c>
      <c r="B77" s="2117" t="n">
        <v>3</v>
      </c>
      <c r="C77" s="2117" t="n">
        <v>2</v>
      </c>
      <c r="D77" s="2118" t="n">
        <v>3</v>
      </c>
      <c r="E77" s="2118" t="n">
        <v>0</v>
      </c>
      <c r="G77" s="1740" t="n"/>
      <c r="H77" s="1741" t="inlineStr">
        <is>
          <t>SUBETAPA</t>
        </is>
      </c>
      <c r="I77" s="1742" t="inlineStr">
        <is>
          <t>03.002.003</t>
        </is>
      </c>
      <c r="J77" s="1743" t="inlineStr">
        <is>
          <t>Concreto</t>
        </is>
      </c>
      <c r="K77" s="1744" t="n"/>
      <c r="L77" s="1745" t="n"/>
      <c r="M77" s="1745" t="n"/>
      <c r="N77" s="1746" t="n">
        <v>447849.801</v>
      </c>
      <c r="O77" s="1747" t="n">
        <v>26.7378283273641</v>
      </c>
      <c r="P77" s="1720" t="n"/>
    </row>
    <row r="78" hidden="1" outlineLevel="3" ht="13.5" customHeight="1">
      <c r="A78" s="2117" t="n">
        <v>0</v>
      </c>
      <c r="B78" s="2117" t="n">
        <v>3</v>
      </c>
      <c r="C78" s="2117" t="n">
        <v>2</v>
      </c>
      <c r="D78" s="2118" t="n">
        <v>3</v>
      </c>
      <c r="E78" s="2118" t="n">
        <v>1</v>
      </c>
      <c r="G78" s="1748" t="inlineStr">
        <is>
          <t>INFRAESTRUTURA</t>
        </is>
      </c>
      <c r="H78" s="1749" t="inlineStr">
        <is>
          <t>SERVIÇO</t>
        </is>
      </c>
      <c r="I78" s="1750" t="inlineStr">
        <is>
          <t>03.002.003.001</t>
        </is>
      </c>
      <c r="J78" s="1751" t="inlineStr">
        <is>
          <t>Concreto Usinado bombeável 50MPa para infraestrutura- incluindo serviço de bombeamento</t>
        </is>
      </c>
      <c r="K78" s="1752" t="inlineStr">
        <is>
          <t>m3</t>
        </is>
      </c>
      <c r="L78" s="1753" t="n">
        <v>658.5</v>
      </c>
      <c r="M78" s="1753" t="n">
        <v>680.1060000000001</v>
      </c>
      <c r="N78" s="1754" t="n">
        <v>447849.801</v>
      </c>
      <c r="O78" s="1755" t="inlineStr">
        <is>
          <t>5% de perda, fck = 50Mpa</t>
        </is>
      </c>
      <c r="P78" s="1721" t="inlineStr">
        <is>
          <t>Pendente</t>
        </is>
      </c>
    </row>
    <row r="79" hidden="1" outlineLevel="2" collapsed="1" ht="13.5" customHeight="1">
      <c r="A79" s="2117" t="n">
        <v>0</v>
      </c>
      <c r="B79" s="2117" t="n">
        <v>3</v>
      </c>
      <c r="C79" s="2117" t="n">
        <v>2</v>
      </c>
      <c r="D79" s="2118" t="n">
        <v>4</v>
      </c>
      <c r="E79" s="2118" t="n">
        <v>0</v>
      </c>
      <c r="G79" s="1740" t="n"/>
      <c r="H79" s="1741" t="inlineStr">
        <is>
          <t>SUBETAPA</t>
        </is>
      </c>
      <c r="I79" s="1742" t="inlineStr">
        <is>
          <t>03.002.004</t>
        </is>
      </c>
      <c r="J79" s="1743" t="inlineStr">
        <is>
          <t>Mão de Obra</t>
        </is>
      </c>
      <c r="K79" s="1744" t="n"/>
      <c r="L79" s="1745" t="n"/>
      <c r="M79" s="1745" t="n"/>
      <c r="N79" s="1746" t="n">
        <v>0</v>
      </c>
      <c r="O79" s="1747" t="n">
        <v>0</v>
      </c>
      <c r="P79" s="1720" t="n"/>
    </row>
    <row r="80" hidden="1" outlineLevel="1" ht="13.5" customHeight="1">
      <c r="A80" s="2117" t="n">
        <v>0</v>
      </c>
      <c r="B80" s="2117" t="n">
        <v>3</v>
      </c>
      <c r="C80" s="2117" t="n">
        <v>3</v>
      </c>
      <c r="D80" s="2118" t="n">
        <v>0</v>
      </c>
      <c r="E80" s="2118" t="n">
        <v>0</v>
      </c>
      <c r="G80" s="1733" t="n"/>
      <c r="H80" s="1734" t="inlineStr">
        <is>
          <t>ETAPA</t>
        </is>
      </c>
      <c r="I80" s="1735" t="inlineStr">
        <is>
          <t>03.003</t>
        </is>
      </c>
      <c r="J80" s="1736" t="inlineStr">
        <is>
          <t>VIGAS BALDRAMES | PILARES DE ARRANQUE | CISTERNAS E DUTOS</t>
        </is>
      </c>
      <c r="K80" s="1737" t="n"/>
      <c r="L80" s="1738" t="n"/>
      <c r="M80" s="1738" t="n"/>
      <c r="N80" s="1739" t="n">
        <v>474882.063436262</v>
      </c>
      <c r="O80" s="1722" t="n">
        <v>28.3517265376728</v>
      </c>
      <c r="P80" s="1719" t="n"/>
    </row>
    <row r="81" hidden="1" outlineLevel="2" ht="13.5" customHeight="1">
      <c r="A81" s="2117" t="n">
        <v>0</v>
      </c>
      <c r="B81" s="2117" t="n">
        <v>3</v>
      </c>
      <c r="C81" s="2117" t="n">
        <v>3</v>
      </c>
      <c r="D81" s="2118" t="n">
        <v>1</v>
      </c>
      <c r="E81" s="2118" t="n">
        <v>0</v>
      </c>
      <c r="G81" s="1740" t="n"/>
      <c r="H81" s="1741" t="inlineStr">
        <is>
          <t>SUBETAPA</t>
        </is>
      </c>
      <c r="I81" s="1742" t="inlineStr">
        <is>
          <t>03.003.001</t>
        </is>
      </c>
      <c r="J81" s="1743" t="inlineStr">
        <is>
          <t>Forma</t>
        </is>
      </c>
      <c r="K81" s="1744" t="n"/>
      <c r="L81" s="1745" t="n"/>
      <c r="M81" s="1745" t="n"/>
      <c r="N81" s="1746" t="n">
        <v>9996.62190217143</v>
      </c>
      <c r="O81" s="1747" t="n">
        <v>0.596825006234238</v>
      </c>
      <c r="P81" s="1720" t="n"/>
    </row>
    <row r="82" hidden="1" outlineLevel="3" ht="13.5" customHeight="1">
      <c r="A82" s="2117" t="n">
        <v>0</v>
      </c>
      <c r="B82" s="2117" t="n">
        <v>3</v>
      </c>
      <c r="C82" s="2117" t="n">
        <v>3</v>
      </c>
      <c r="D82" s="2118" t="n">
        <v>1</v>
      </c>
      <c r="E82" s="2118" t="n">
        <v>1</v>
      </c>
      <c r="G82" s="1748" t="inlineStr">
        <is>
          <t>INFRAESTRUTURA</t>
        </is>
      </c>
      <c r="H82" s="1749" t="inlineStr">
        <is>
          <t>SERVIÇO</t>
        </is>
      </c>
      <c r="I82" s="1750" t="inlineStr">
        <is>
          <t>03.003.001.001</t>
        </is>
      </c>
      <c r="J82" s="1751" t="inlineStr">
        <is>
          <t>Forma para infraestrutura em Tábuas de Madeira Serrada 2x reaproveitamento</t>
        </is>
      </c>
      <c r="K82" s="1752" t="inlineStr">
        <is>
          <t>m2</t>
        </is>
      </c>
      <c r="L82" s="1753" t="n">
        <v>166.732</v>
      </c>
      <c r="M82" s="1753" t="n">
        <v>59.95622857142857</v>
      </c>
      <c r="N82" s="1754" t="n">
        <v>9996.62190217143</v>
      </c>
      <c r="O82" s="1755" t="inlineStr">
        <is>
          <t>Considerado blocos, vigas de fundação, duto, cisterna, lajes e pilares de arranque</t>
        </is>
      </c>
      <c r="P82" s="1721" t="inlineStr">
        <is>
          <t>Pendente</t>
        </is>
      </c>
    </row>
    <row r="83" hidden="1" outlineLevel="2" ht="13.5" customHeight="1">
      <c r="A83" s="2117" t="n">
        <v>0</v>
      </c>
      <c r="B83" s="2117" t="n">
        <v>3</v>
      </c>
      <c r="C83" s="2117" t="n">
        <v>3</v>
      </c>
      <c r="D83" s="2118" t="n">
        <v>2</v>
      </c>
      <c r="E83" s="2118" t="n">
        <v>0</v>
      </c>
      <c r="G83" s="1740" t="n"/>
      <c r="H83" s="1741" t="inlineStr">
        <is>
          <t>SUBETAPA</t>
        </is>
      </c>
      <c r="I83" s="1742" t="inlineStr">
        <is>
          <t>03.003.002</t>
        </is>
      </c>
      <c r="J83" s="1743" t="inlineStr">
        <is>
          <t>Armadura</t>
        </is>
      </c>
      <c r="K83" s="1744" t="n"/>
      <c r="L83" s="1745" t="n"/>
      <c r="M83" s="1745" t="n"/>
      <c r="N83" s="1746" t="n">
        <v>430167.927729831</v>
      </c>
      <c r="O83" s="1747" t="n">
        <v>25.6821733042998</v>
      </c>
      <c r="P83" s="1720" t="n"/>
    </row>
    <row r="84" hidden="1" outlineLevel="3" ht="13.5" customHeight="1">
      <c r="A84" s="2117" t="n">
        <v>0</v>
      </c>
      <c r="B84" s="2117" t="n">
        <v>3</v>
      </c>
      <c r="C84" s="2117" t="n">
        <v>3</v>
      </c>
      <c r="D84" s="2118" t="n">
        <v>2</v>
      </c>
      <c r="E84" s="2118" t="n">
        <v>1</v>
      </c>
      <c r="G84" s="1748" t="inlineStr">
        <is>
          <t>INFRAESTRUTURA</t>
        </is>
      </c>
      <c r="H84" s="1749" t="inlineStr">
        <is>
          <t>SERVIÇO</t>
        </is>
      </c>
      <c r="I84" s="1750" t="inlineStr">
        <is>
          <t>03.003.002.001</t>
        </is>
      </c>
      <c r="J84" s="1751" t="inlineStr">
        <is>
          <t>Armação aço CA-50 ø 5,0mm para infraestrutura (corte e dobra em Indústria)</t>
        </is>
      </c>
      <c r="K84" s="1752" t="inlineStr">
        <is>
          <t>kg</t>
        </is>
      </c>
      <c r="L84" s="1753" t="n">
        <v>52</v>
      </c>
      <c r="M84" s="1753" t="n">
        <v>8.964145</v>
      </c>
      <c r="N84" s="1754" t="n">
        <v>466.13554</v>
      </c>
      <c r="O84" s="1755" t="inlineStr">
        <is>
          <t>Considerado vigas de fundação, duto, cisterna, lajes e pilares de arranque - 10% de perda</t>
        </is>
      </c>
      <c r="P84" s="1721" t="inlineStr">
        <is>
          <t>Pendente</t>
        </is>
      </c>
    </row>
    <row r="85" hidden="1" outlineLevel="3" ht="13.5" customHeight="1">
      <c r="A85" s="2117" t="n">
        <v>0</v>
      </c>
      <c r="B85" s="2117" t="n">
        <v>3</v>
      </c>
      <c r="C85" s="2117" t="n">
        <v>3</v>
      </c>
      <c r="D85" s="2118" t="n">
        <v>2</v>
      </c>
      <c r="E85" s="2118" t="n">
        <v>2</v>
      </c>
      <c r="G85" s="1748" t="inlineStr">
        <is>
          <t>INFRAESTRUTURA</t>
        </is>
      </c>
      <c r="H85" s="1749" t="inlineStr">
        <is>
          <t>SERVIÇO</t>
        </is>
      </c>
      <c r="I85" s="1750" t="inlineStr">
        <is>
          <t>03.003.002.002</t>
        </is>
      </c>
      <c r="J85" s="1751" t="inlineStr">
        <is>
          <t>Armação aço CA-50 ø 6,3mm para infraestrutura (corte e dobra em Indústria)</t>
        </is>
      </c>
      <c r="K85" s="1752" t="inlineStr">
        <is>
          <t>kg</t>
        </is>
      </c>
      <c r="L85" s="1753" t="n">
        <v>130.2727272727273</v>
      </c>
      <c r="M85" s="1753" t="n">
        <v>8.964145</v>
      </c>
      <c r="N85" s="1754" t="n">
        <v>1167.78361681818</v>
      </c>
      <c r="O85" s="1755" t="inlineStr">
        <is>
          <t>Considerado vigas de fundação, duto, cisterna, lajes e pilares de arranque - 10% de perda</t>
        </is>
      </c>
      <c r="P85" s="1721" t="inlineStr">
        <is>
          <t>Pendente</t>
        </is>
      </c>
    </row>
    <row r="86" hidden="1" outlineLevel="3" ht="13.5" customHeight="1">
      <c r="A86" s="2117" t="n">
        <v>0</v>
      </c>
      <c r="B86" s="2117" t="n">
        <v>3</v>
      </c>
      <c r="C86" s="2117" t="n">
        <v>3</v>
      </c>
      <c r="D86" s="2118" t="n">
        <v>2</v>
      </c>
      <c r="E86" s="2118" t="n">
        <v>3</v>
      </c>
      <c r="G86" s="1748" t="inlineStr">
        <is>
          <t>INFRAESTRUTURA</t>
        </is>
      </c>
      <c r="H86" s="1749" t="inlineStr">
        <is>
          <t>SERVIÇO</t>
        </is>
      </c>
      <c r="I86" s="1750" t="inlineStr">
        <is>
          <t>03.003.002.003</t>
        </is>
      </c>
      <c r="J86" s="1751" t="inlineStr">
        <is>
          <t>Armação aço CA-50 ø 8,0mm para infraestrutura (corte e dobra em Indústria)</t>
        </is>
      </c>
      <c r="K86" s="1752" t="inlineStr">
        <is>
          <t>kg</t>
        </is>
      </c>
      <c r="L86" s="1753" t="n">
        <v>982.6363636363636</v>
      </c>
      <c r="M86" s="1753" t="n">
        <v>8.964145</v>
      </c>
      <c r="N86" s="1754" t="n">
        <v>8808.49484590909</v>
      </c>
      <c r="O86" s="1755" t="inlineStr">
        <is>
          <t>Considerado vigas de fundação, duto, cisterna, lajes e pilares de arranque - 10% de perda</t>
        </is>
      </c>
      <c r="P86" s="1721" t="inlineStr">
        <is>
          <t>Pendente</t>
        </is>
      </c>
    </row>
    <row r="87" hidden="1" outlineLevel="3" ht="13.5" customHeight="1">
      <c r="A87" s="2117" t="n">
        <v>0</v>
      </c>
      <c r="B87" s="2117" t="n">
        <v>3</v>
      </c>
      <c r="C87" s="2117" t="n">
        <v>3</v>
      </c>
      <c r="D87" s="2118" t="n">
        <v>2</v>
      </c>
      <c r="E87" s="2118" t="n">
        <v>4</v>
      </c>
      <c r="G87" s="1748" t="inlineStr">
        <is>
          <t>INFRAESTRUTURA</t>
        </is>
      </c>
      <c r="H87" s="1749" t="inlineStr">
        <is>
          <t>SERVIÇO</t>
        </is>
      </c>
      <c r="I87" s="1750" t="inlineStr">
        <is>
          <t>03.003.002.004</t>
        </is>
      </c>
      <c r="J87" s="1751" t="inlineStr">
        <is>
          <t>Armação aço CA-50 ø 10,0mm para infraestrutura (corte e dobra em Indústria)</t>
        </is>
      </c>
      <c r="K87" s="1752" t="inlineStr">
        <is>
          <t>kg</t>
        </is>
      </c>
      <c r="L87" s="1753" t="n">
        <v>7011.636363636364</v>
      </c>
      <c r="M87" s="1753" t="n">
        <v>8.964145</v>
      </c>
      <c r="N87" s="1754" t="n">
        <v>62853.3250509091</v>
      </c>
      <c r="O87" s="1755" t="inlineStr">
        <is>
          <t>Considerado vigas de fundação, duto, cisterna, lajes e pilares de arranque - 10% de perda</t>
        </is>
      </c>
      <c r="P87" s="1721" t="inlineStr">
        <is>
          <t>Pendente</t>
        </is>
      </c>
    </row>
    <row r="88" hidden="1" outlineLevel="3" ht="13.5" customHeight="1">
      <c r="A88" s="2117" t="n">
        <v>0</v>
      </c>
      <c r="B88" s="2117" t="n">
        <v>3</v>
      </c>
      <c r="C88" s="2117" t="n">
        <v>3</v>
      </c>
      <c r="D88" s="2118" t="n">
        <v>2</v>
      </c>
      <c r="E88" s="2118" t="n">
        <v>5</v>
      </c>
      <c r="G88" s="1748" t="inlineStr">
        <is>
          <t>INFRAESTRUTURA</t>
        </is>
      </c>
      <c r="H88" s="1749" t="inlineStr">
        <is>
          <t>SERVIÇO</t>
        </is>
      </c>
      <c r="I88" s="1750" t="inlineStr">
        <is>
          <t>03.003.002.005</t>
        </is>
      </c>
      <c r="J88" s="1751" t="inlineStr">
        <is>
          <t xml:space="preserve">Armação aço CA-50 ø 12,5mm para infraestrutura (corte e dobra em Indústria) </t>
        </is>
      </c>
      <c r="K88" s="1752" t="inlineStr">
        <is>
          <t>kg</t>
        </is>
      </c>
      <c r="L88" s="1753" t="n">
        <v>6007.818181818182</v>
      </c>
      <c r="M88" s="1753" t="n">
        <v>8.484145</v>
      </c>
      <c r="N88" s="1754" t="n">
        <v>50971.2005881818</v>
      </c>
      <c r="O88" s="1755" t="inlineStr">
        <is>
          <t>Considerado vigas de fundação, duto, cisterna, lajes e pilares de arranque - 10% de perda</t>
        </is>
      </c>
      <c r="P88" s="1721" t="inlineStr">
        <is>
          <t>Pendente</t>
        </is>
      </c>
    </row>
    <row r="89" hidden="1" outlineLevel="3" ht="13.5" customHeight="1">
      <c r="A89" s="2117" t="n">
        <v>0</v>
      </c>
      <c r="B89" s="2117" t="n">
        <v>3</v>
      </c>
      <c r="C89" s="2117" t="n">
        <v>3</v>
      </c>
      <c r="D89" s="2118" t="n">
        <v>2</v>
      </c>
      <c r="E89" s="2118" t="n">
        <v>6</v>
      </c>
      <c r="G89" s="1748" t="inlineStr">
        <is>
          <t>INFRAESTRUTURA</t>
        </is>
      </c>
      <c r="H89" s="1749" t="inlineStr">
        <is>
          <t>SERVIÇO</t>
        </is>
      </c>
      <c r="I89" s="1750" t="inlineStr">
        <is>
          <t>03.003.002.006</t>
        </is>
      </c>
      <c r="J89" s="1751" t="inlineStr">
        <is>
          <t>Armação aço CA-50 ø 16,0mm para infraestrutura (corte e dobra em Indústria)</t>
        </is>
      </c>
      <c r="K89" s="1752" t="inlineStr">
        <is>
          <t>kg</t>
        </is>
      </c>
      <c r="L89" s="1753" t="n">
        <v>1269.727272727273</v>
      </c>
      <c r="M89" s="1753" t="n">
        <v>8.484145</v>
      </c>
      <c r="N89" s="1754" t="n">
        <v>10772.5502922727</v>
      </c>
      <c r="O89" s="1755" t="inlineStr">
        <is>
          <t>Considerado vigas de fundação, duto, cisterna, lajes e pilares de arranque - 10% de perda</t>
        </is>
      </c>
      <c r="P89" s="1721" t="inlineStr">
        <is>
          <t>Pendente</t>
        </is>
      </c>
    </row>
    <row r="90" hidden="1" outlineLevel="3" ht="13.5" customHeight="1">
      <c r="A90" s="2117" t="n">
        <v>0</v>
      </c>
      <c r="B90" s="2117" t="n">
        <v>3</v>
      </c>
      <c r="C90" s="2117" t="n">
        <v>3</v>
      </c>
      <c r="D90" s="2118" t="n">
        <v>2</v>
      </c>
      <c r="E90" s="2118" t="n">
        <v>7</v>
      </c>
      <c r="G90" s="1748" t="inlineStr">
        <is>
          <t>INFRAESTRUTURA</t>
        </is>
      </c>
      <c r="H90" s="1749" t="inlineStr">
        <is>
          <t>SERVIÇO</t>
        </is>
      </c>
      <c r="I90" s="1750" t="inlineStr">
        <is>
          <t>03.003.002.007</t>
        </is>
      </c>
      <c r="J90" s="1751" t="inlineStr">
        <is>
          <t xml:space="preserve">Armação aço CA-50 ø 20,0mm para infraestrutura (corte e dobra em Indústria) </t>
        </is>
      </c>
      <c r="K90" s="1752" t="inlineStr">
        <is>
          <t>kg</t>
        </is>
      </c>
      <c r="L90" s="1753" t="n">
        <v>902</v>
      </c>
      <c r="M90" s="1753" t="n">
        <v>8.484145</v>
      </c>
      <c r="N90" s="1754" t="n">
        <v>7652.69879</v>
      </c>
      <c r="O90" s="1755" t="inlineStr">
        <is>
          <t>Considerado vigas de fundação, duto, cisterna, lajes e pilares de arranque - 10% de perda</t>
        </is>
      </c>
      <c r="P90" s="1721" t="inlineStr">
        <is>
          <t>Pendente</t>
        </is>
      </c>
    </row>
    <row r="91" hidden="1" outlineLevel="3" ht="13.5" customHeight="1">
      <c r="A91" s="2117" t="n">
        <v>0</v>
      </c>
      <c r="B91" s="2117" t="n">
        <v>3</v>
      </c>
      <c r="C91" s="2117" t="n">
        <v>3</v>
      </c>
      <c r="D91" s="2118" t="n">
        <v>2</v>
      </c>
      <c r="E91" s="2118" t="n">
        <v>8</v>
      </c>
      <c r="G91" s="1748" t="inlineStr">
        <is>
          <t>INFRAESTRUTURA</t>
        </is>
      </c>
      <c r="H91" s="1749" t="inlineStr">
        <is>
          <t>SERVIÇO</t>
        </is>
      </c>
      <c r="I91" s="1750" t="inlineStr">
        <is>
          <t>03.003.002.008</t>
        </is>
      </c>
      <c r="J91" s="1751" t="inlineStr">
        <is>
          <t xml:space="preserve">Armação aço CA-50 ø 25,0mm para infraestrutura (corte e dobra em Indústria) </t>
        </is>
      </c>
      <c r="K91" s="1752" t="inlineStr">
        <is>
          <t>kg</t>
        </is>
      </c>
      <c r="L91" s="1753" t="n">
        <v>4680</v>
      </c>
      <c r="M91" s="1753" t="n">
        <v>8.484145</v>
      </c>
      <c r="N91" s="1754" t="n">
        <v>39705.7986</v>
      </c>
      <c r="O91" s="1755" t="inlineStr">
        <is>
          <t>Considerado vigas de fundação, duto, cisterna, lajes e pilares de arranque - 10% de perda</t>
        </is>
      </c>
      <c r="P91" s="1721" t="inlineStr">
        <is>
          <t>Pendente</t>
        </is>
      </c>
    </row>
    <row r="92" hidden="1" outlineLevel="3" ht="13.5" customHeight="1">
      <c r="A92" s="2117" t="n">
        <v>0</v>
      </c>
      <c r="B92" s="2117" t="n">
        <v>3</v>
      </c>
      <c r="C92" s="2117" t="n">
        <v>3</v>
      </c>
      <c r="D92" s="2118" t="n">
        <v>2</v>
      </c>
      <c r="E92" s="2118" t="n">
        <v>9</v>
      </c>
      <c r="G92" s="1748" t="inlineStr">
        <is>
          <t>INFRAESTRUTURA</t>
        </is>
      </c>
      <c r="H92" s="1749" t="inlineStr">
        <is>
          <t>SERVIÇO</t>
        </is>
      </c>
      <c r="I92" s="1750" t="inlineStr">
        <is>
          <t>03.003.002.009</t>
        </is>
      </c>
      <c r="J92" s="1751" t="inlineStr">
        <is>
          <t xml:space="preserve">Armação aço CA-50 ø 32,00mm para infraestrutura (corte e dobra em Indústria) </t>
        </is>
      </c>
      <c r="K92" s="1752" t="inlineStr">
        <is>
          <t>kg</t>
        </is>
      </c>
      <c r="L92" s="1753" t="n">
        <v>27316</v>
      </c>
      <c r="M92" s="1753" t="n">
        <v>9.070505945443699</v>
      </c>
      <c r="N92" s="1754" t="n">
        <v>247769.94040574</v>
      </c>
      <c r="O92" s="1755" t="inlineStr">
        <is>
          <t>Considerado vigas de fundação, duto, cisterna, lajes e pilares de arranque - 10% de perda</t>
        </is>
      </c>
      <c r="P92" s="1721" t="inlineStr">
        <is>
          <t>Pendente</t>
        </is>
      </c>
    </row>
    <row r="93" hidden="1" outlineLevel="2" ht="13.5" customHeight="1">
      <c r="A93" s="2117" t="n">
        <v>0</v>
      </c>
      <c r="B93" s="2117" t="n">
        <v>3</v>
      </c>
      <c r="C93" s="2117" t="n">
        <v>3</v>
      </c>
      <c r="D93" s="2118" t="n">
        <v>3</v>
      </c>
      <c r="E93" s="2118" t="n">
        <v>0</v>
      </c>
      <c r="G93" s="1740" t="n"/>
      <c r="H93" s="1741" t="inlineStr">
        <is>
          <t>SUBETAPA</t>
        </is>
      </c>
      <c r="I93" s="1742" t="inlineStr">
        <is>
          <t>03.003.003</t>
        </is>
      </c>
      <c r="J93" s="1743" t="inlineStr">
        <is>
          <t>Concreto</t>
        </is>
      </c>
      <c r="K93" s="1744" t="n"/>
      <c r="L93" s="1745" t="n"/>
      <c r="M93" s="1745" t="n"/>
      <c r="N93" s="1746" t="n">
        <v>34717.51380426</v>
      </c>
      <c r="O93" s="1747" t="n">
        <v>2.0727282271388</v>
      </c>
      <c r="P93" s="1720" t="n"/>
    </row>
    <row r="94" hidden="1" outlineLevel="3" ht="13.5" customHeight="1">
      <c r="A94" s="2117" t="n">
        <v>0</v>
      </c>
      <c r="B94" s="2117" t="n">
        <v>3</v>
      </c>
      <c r="C94" s="2117" t="n">
        <v>3</v>
      </c>
      <c r="D94" s="2118" t="n">
        <v>3</v>
      </c>
      <c r="E94" s="2118" t="n">
        <v>1</v>
      </c>
      <c r="G94" s="1748" t="inlineStr">
        <is>
          <t>INFRAESTRUTURA</t>
        </is>
      </c>
      <c r="H94" s="1749" t="inlineStr">
        <is>
          <t>SERVIÇO</t>
        </is>
      </c>
      <c r="I94" s="1750" t="inlineStr">
        <is>
          <t>03.003.003.001</t>
        </is>
      </c>
      <c r="J94" s="1751" t="inlineStr">
        <is>
          <t>Concreto Usinado bombeável 50MPa para infraestrutura- incluindo serviço de bombeamento</t>
        </is>
      </c>
      <c r="K94" s="1752" t="inlineStr">
        <is>
          <t>m3</t>
        </is>
      </c>
      <c r="L94" s="1753" t="n">
        <v>51.04720999999999</v>
      </c>
      <c r="M94" s="1753" t="n">
        <v>680.1060000000001</v>
      </c>
      <c r="N94" s="1754" t="n">
        <v>34717.51380426</v>
      </c>
      <c r="O94" s="1755" t="inlineStr">
        <is>
          <t>Cotações recentes do concreto. Considerado vigas de fundação, duto, cisterna, lajes e pilares de arranque - 5% de perda, fck = 50Mpa</t>
        </is>
      </c>
      <c r="P94" s="1721" t="inlineStr">
        <is>
          <t>Pendente</t>
        </is>
      </c>
    </row>
    <row r="95" hidden="1" outlineLevel="2" ht="13.5" customHeight="1">
      <c r="A95" s="2117" t="n">
        <v>0</v>
      </c>
      <c r="B95" s="2117" t="n">
        <v>3</v>
      </c>
      <c r="C95" s="2117" t="n">
        <v>3</v>
      </c>
      <c r="D95" s="2118" t="n">
        <v>4</v>
      </c>
      <c r="E95" s="2118" t="n">
        <v>0</v>
      </c>
      <c r="G95" s="1740" t="n"/>
      <c r="H95" s="1741" t="inlineStr">
        <is>
          <t>SUBETAPA</t>
        </is>
      </c>
      <c r="I95" s="1742" t="inlineStr">
        <is>
          <t>03.003.004</t>
        </is>
      </c>
      <c r="J95" s="1743" t="inlineStr">
        <is>
          <t>Mão de Obra</t>
        </is>
      </c>
      <c r="K95" s="1744" t="n"/>
      <c r="L95" s="1745" t="n"/>
      <c r="M95" s="1745" t="n"/>
      <c r="N95" s="1746" t="n">
        <v>0</v>
      </c>
      <c r="O95" s="1747" t="n">
        <v>0</v>
      </c>
      <c r="P95" s="1720" t="n"/>
    </row>
    <row r="96" collapsed="1" ht="13.5" customHeight="1">
      <c r="A96" s="2117" t="n">
        <v>0</v>
      </c>
      <c r="B96" s="2117" t="n">
        <v>4</v>
      </c>
      <c r="C96" s="2117" t="n">
        <v>0</v>
      </c>
      <c r="D96" s="2118" t="n">
        <v>4</v>
      </c>
      <c r="E96" s="2118" t="n">
        <v>0</v>
      </c>
      <c r="F96" s="474" t="n"/>
      <c r="G96" s="1726" t="n"/>
      <c r="H96" s="1727" t="inlineStr">
        <is>
          <t>CÉLULA CONSTRUTIVA</t>
        </is>
      </c>
      <c r="I96" s="1728" t="inlineStr">
        <is>
          <t>04</t>
        </is>
      </c>
      <c r="J96" s="1729" t="inlineStr">
        <is>
          <t>SUPRAESTRUTURA</t>
        </is>
      </c>
      <c r="K96" s="1730" t="n"/>
      <c r="L96" s="1731" t="n"/>
      <c r="M96" s="1731" t="n"/>
      <c r="N96" s="1732" t="n">
        <v>20793270.7983197</v>
      </c>
      <c r="O96" s="1723" t="n">
        <v>1241.41375909613</v>
      </c>
      <c r="P96" s="1718" t="n"/>
    </row>
    <row r="97" hidden="1" outlineLevel="1" ht="13.5" customHeight="1">
      <c r="A97" s="2117" t="n">
        <v>0</v>
      </c>
      <c r="B97" s="2117" t="n">
        <v>4</v>
      </c>
      <c r="C97" s="2117" t="n">
        <v>1</v>
      </c>
      <c r="D97" s="2118" t="n">
        <v>0</v>
      </c>
      <c r="E97" s="2118" t="n">
        <v>0</v>
      </c>
      <c r="G97" s="1733" t="n"/>
      <c r="H97" s="1734" t="inlineStr">
        <is>
          <t>ETAPA</t>
        </is>
      </c>
      <c r="I97" s="1735" t="inlineStr">
        <is>
          <t>04.001</t>
        </is>
      </c>
      <c r="J97" s="1736" t="inlineStr">
        <is>
          <t>PISO SOBRE O SOLO - GERAL</t>
        </is>
      </c>
      <c r="K97" s="1737" t="n"/>
      <c r="L97" s="1738" t="n"/>
      <c r="M97" s="1738" t="n"/>
      <c r="N97" s="1739" t="n">
        <v>19428.044563</v>
      </c>
      <c r="O97" s="1722" t="n">
        <v>1.1599061093741</v>
      </c>
      <c r="P97" s="1719" t="n"/>
    </row>
    <row r="98" hidden="1" outlineLevel="2" ht="13.5" customHeight="1">
      <c r="A98" s="2117" t="n">
        <v>0</v>
      </c>
      <c r="B98" s="2117" t="n">
        <v>4</v>
      </c>
      <c r="C98" s="2117" t="n">
        <v>1</v>
      </c>
      <c r="D98" s="2118" t="n">
        <v>1</v>
      </c>
      <c r="E98" s="2118" t="n">
        <v>0</v>
      </c>
      <c r="G98" s="1740" t="n"/>
      <c r="H98" s="1741" t="inlineStr">
        <is>
          <t>SUBETAPA</t>
        </is>
      </c>
      <c r="I98" s="1742" t="inlineStr">
        <is>
          <t>04.001.001</t>
        </is>
      </c>
      <c r="J98" s="1743" t="inlineStr">
        <is>
          <t>Piso sobre o solo - Geral</t>
        </is>
      </c>
      <c r="K98" s="1744" t="n"/>
      <c r="L98" s="1745" t="n"/>
      <c r="M98" s="1745" t="n"/>
      <c r="N98" s="1746" t="n">
        <v>19428.044563</v>
      </c>
      <c r="O98" s="1747" t="n">
        <v>1.1599061093741</v>
      </c>
      <c r="P98" s="1720" t="n"/>
    </row>
    <row r="99" hidden="1" outlineLevel="3" ht="13.5" customHeight="1">
      <c r="A99" s="2117" t="n">
        <v>0</v>
      </c>
      <c r="B99" s="2117" t="n">
        <v>4</v>
      </c>
      <c r="C99" s="2117" t="n">
        <v>1</v>
      </c>
      <c r="D99" s="2118" t="n">
        <v>1</v>
      </c>
      <c r="E99" s="2118" t="n">
        <v>1</v>
      </c>
      <c r="G99" s="1748" t="inlineStr">
        <is>
          <t>SUPRAESTRUTURA</t>
        </is>
      </c>
      <c r="H99" s="1749" t="inlineStr">
        <is>
          <t>SERVIÇO</t>
        </is>
      </c>
      <c r="I99" s="1750" t="inlineStr">
        <is>
          <t>04.001.001.001</t>
        </is>
      </c>
      <c r="J99" s="1751" t="inlineStr">
        <is>
          <t>Lastro de Concreto Magro, Aplicado em piso sobre solo</t>
        </is>
      </c>
      <c r="K99" s="1752" t="inlineStr">
        <is>
          <t>m3</t>
        </is>
      </c>
      <c r="L99" s="1753" t="n">
        <v>39.22900000000001</v>
      </c>
      <c r="M99" s="1753" t="n">
        <v>495.247</v>
      </c>
      <c r="N99" s="1754" t="n">
        <v>19428.044563</v>
      </c>
      <c r="O99" s="1755" t="inlineStr">
        <is>
          <t>O concreto e a armadura entraram nos itens referentes ao terreo, conforme lista de materiais do projetista</t>
        </is>
      </c>
      <c r="P99" s="1721" t="inlineStr">
        <is>
          <t>Pendente</t>
        </is>
      </c>
    </row>
    <row r="100" hidden="1" outlineLevel="1" ht="13.5" customHeight="1">
      <c r="A100" s="2117" t="n">
        <v>0</v>
      </c>
      <c r="B100" s="2117" t="n">
        <v>4</v>
      </c>
      <c r="C100" s="2117" t="n">
        <v>2</v>
      </c>
      <c r="D100" s="2118" t="n">
        <v>0</v>
      </c>
      <c r="E100" s="2118" t="n">
        <v>1</v>
      </c>
      <c r="G100" s="1733" t="n"/>
      <c r="H100" s="1734" t="inlineStr">
        <is>
          <t>ETAPA</t>
        </is>
      </c>
      <c r="I100" s="1735" t="inlineStr">
        <is>
          <t>04.002</t>
        </is>
      </c>
      <c r="J100" s="1736" t="inlineStr">
        <is>
          <t>FORMA</t>
        </is>
      </c>
      <c r="K100" s="1737" t="n"/>
      <c r="L100" s="1738" t="n"/>
      <c r="M100" s="1738" t="n"/>
      <c r="N100" s="1739" t="n">
        <v>1435614.98774366</v>
      </c>
      <c r="O100" s="1722" t="n">
        <v>85.71004609306679</v>
      </c>
      <c r="P100" s="1719" t="n"/>
    </row>
    <row r="101" hidden="1" outlineLevel="2" ht="13.5" customHeight="1">
      <c r="A101" s="2117" t="n">
        <v>0</v>
      </c>
      <c r="B101" s="2117" t="n">
        <v>4</v>
      </c>
      <c r="C101" s="2117" t="n">
        <v>2</v>
      </c>
      <c r="D101" s="2118" t="n">
        <v>1</v>
      </c>
      <c r="E101" s="2118" t="n">
        <v>0</v>
      </c>
      <c r="G101" s="1740" t="n"/>
      <c r="H101" s="1741" t="inlineStr">
        <is>
          <t>SUBETAPA</t>
        </is>
      </c>
      <c r="I101" s="1742" t="inlineStr">
        <is>
          <t>04.002.001</t>
        </is>
      </c>
      <c r="J101" s="1743" t="inlineStr">
        <is>
          <t>Forma - Térreo</t>
        </is>
      </c>
      <c r="K101" s="1744" t="n"/>
      <c r="L101" s="1745" t="n"/>
      <c r="M101" s="1745" t="n"/>
      <c r="N101" s="1746" t="n">
        <v>529090.667475431</v>
      </c>
      <c r="O101" s="1747" t="n">
        <v>31.588124869053</v>
      </c>
      <c r="P101" s="1720" t="n"/>
    </row>
    <row r="102" hidden="1" outlineLevel="3" ht="13.5" customHeight="1">
      <c r="A102" s="2117" t="n">
        <v>0</v>
      </c>
      <c r="B102" s="2117" t="n">
        <v>4</v>
      </c>
      <c r="C102" s="2117" t="n">
        <v>2</v>
      </c>
      <c r="D102" s="2118" t="n">
        <v>1</v>
      </c>
      <c r="E102" s="2118" t="n">
        <v>1</v>
      </c>
      <c r="G102" s="1748" t="inlineStr">
        <is>
          <t>SUPRAESTRUTURA</t>
        </is>
      </c>
      <c r="H102" s="1749" t="inlineStr">
        <is>
          <t>SERVIÇO</t>
        </is>
      </c>
      <c r="I102" s="1750" t="inlineStr">
        <is>
          <t>04.002.001.001</t>
        </is>
      </c>
      <c r="J102" s="1751" t="inlineStr">
        <is>
          <t>Fabricação de Fôrma para Supraestrutura, em Chapa de Madeira Compensada Resinada, E=20mm</t>
        </is>
      </c>
      <c r="K102" s="1752" t="inlineStr">
        <is>
          <t>m2</t>
        </is>
      </c>
      <c r="L102" s="1753" t="n">
        <v>4874.3226</v>
      </c>
      <c r="M102" s="1753" t="n">
        <v>108.0352259504132</v>
      </c>
      <c r="N102" s="1754" t="n">
        <v>526598.543446206</v>
      </c>
      <c r="O102" s="1755" t="inlineStr">
        <is>
          <t>8x reaproveitamento - 3 jogos</t>
        </is>
      </c>
      <c r="P102" s="1721" t="inlineStr">
        <is>
          <t>Pendente</t>
        </is>
      </c>
    </row>
    <row r="103" hidden="1" outlineLevel="3" ht="13.5" customHeight="1">
      <c r="A103" s="2117" t="n">
        <v>0</v>
      </c>
      <c r="B103" s="2117" t="n">
        <v>4</v>
      </c>
      <c r="C103" s="2117" t="n">
        <v>2</v>
      </c>
      <c r="D103" s="2118" t="n">
        <v>1</v>
      </c>
      <c r="E103" s="2118" t="n">
        <v>2</v>
      </c>
      <c r="G103" s="1748" t="inlineStr">
        <is>
          <t>SUPRAESTRUTURA</t>
        </is>
      </c>
      <c r="H103" s="1749" t="inlineStr">
        <is>
          <t>SERVIÇO</t>
        </is>
      </c>
      <c r="I103" s="1750" t="inlineStr">
        <is>
          <t>04.002.001.002</t>
        </is>
      </c>
      <c r="J103" s="1751" t="inlineStr">
        <is>
          <t>Montagem e Desmontagem de Fôrma de Supraestrutura</t>
        </is>
      </c>
      <c r="K103" s="1752" t="inlineStr">
        <is>
          <t>m2</t>
        </is>
      </c>
      <c r="L103" s="1753" t="n">
        <v>626.5792</v>
      </c>
      <c r="M103" s="1753" t="n">
        <v>3.9773488</v>
      </c>
      <c r="N103" s="1754" t="n">
        <v>2492.12402922496</v>
      </c>
      <c r="O103" s="1755" t="n"/>
      <c r="P103" s="1721" t="inlineStr">
        <is>
          <t>Pendente</t>
        </is>
      </c>
    </row>
    <row r="104" hidden="1" outlineLevel="2" ht="13.5" customHeight="1">
      <c r="A104" s="2117" t="n">
        <v>0</v>
      </c>
      <c r="B104" s="2117" t="n">
        <v>4</v>
      </c>
      <c r="C104" s="2117" t="n">
        <v>2</v>
      </c>
      <c r="D104" s="2118" t="n">
        <v>2</v>
      </c>
      <c r="E104" s="2118" t="n">
        <v>0</v>
      </c>
      <c r="G104" s="1740" t="n"/>
      <c r="H104" s="1741" t="inlineStr">
        <is>
          <t>SUBETAPA</t>
        </is>
      </c>
      <c r="I104" s="1742" t="inlineStr">
        <is>
          <t>04.002.002</t>
        </is>
      </c>
      <c r="J104" s="1743" t="inlineStr">
        <is>
          <t>Forma - G1</t>
        </is>
      </c>
      <c r="K104" s="1744" t="n"/>
      <c r="L104" s="1745" t="n"/>
      <c r="M104" s="1745" t="n"/>
      <c r="N104" s="1746" t="n">
        <v>5458.01314264096</v>
      </c>
      <c r="O104" s="1747" t="n">
        <v>0.325857950791924</v>
      </c>
      <c r="P104" s="1720" t="n"/>
    </row>
    <row r="105" hidden="1" outlineLevel="3" ht="13.5" customHeight="1">
      <c r="A105" s="2117" t="n">
        <v>0</v>
      </c>
      <c r="B105" s="2117" t="n">
        <v>4</v>
      </c>
      <c r="C105" s="2117" t="n">
        <v>2</v>
      </c>
      <c r="D105" s="2118" t="n">
        <v>2</v>
      </c>
      <c r="E105" s="2118" t="n">
        <v>1</v>
      </c>
      <c r="G105" s="1748" t="inlineStr">
        <is>
          <t>SUPRAESTRUTURA</t>
        </is>
      </c>
      <c r="H105" s="1749" t="inlineStr">
        <is>
          <t>SERVIÇO</t>
        </is>
      </c>
      <c r="I105" s="1750" t="inlineStr">
        <is>
          <t>04.002.002.001</t>
        </is>
      </c>
      <c r="J105" s="1751" t="inlineStr">
        <is>
          <t>Montagem e Desmontagem de Fôrma de Supraestrutura</t>
        </is>
      </c>
      <c r="K105" s="1752" t="inlineStr">
        <is>
          <t>m2</t>
        </is>
      </c>
      <c r="L105" s="1753" t="n">
        <v>1372.2742</v>
      </c>
      <c r="M105" s="1753" t="n">
        <v>3.9773488</v>
      </c>
      <c r="N105" s="1754" t="n">
        <v>5458.01314264096</v>
      </c>
      <c r="O105" s="1755" t="n"/>
      <c r="P105" s="1721" t="inlineStr">
        <is>
          <t>Pendente</t>
        </is>
      </c>
    </row>
    <row r="106" hidden="1" outlineLevel="2" ht="13.5" customHeight="1">
      <c r="A106" s="2117" t="n">
        <v>0</v>
      </c>
      <c r="B106" s="2117" t="n">
        <v>4</v>
      </c>
      <c r="C106" s="2117" t="n">
        <v>2</v>
      </c>
      <c r="D106" s="2118" t="n">
        <v>3</v>
      </c>
      <c r="E106" s="2118" t="n">
        <v>0</v>
      </c>
      <c r="G106" s="1740" t="n"/>
      <c r="H106" s="1741" t="inlineStr">
        <is>
          <t>SUBETAPA</t>
        </is>
      </c>
      <c r="I106" s="1742" t="inlineStr">
        <is>
          <t>04.002.003</t>
        </is>
      </c>
      <c r="J106" s="1743" t="inlineStr">
        <is>
          <t>Forma - G2</t>
        </is>
      </c>
      <c r="K106" s="1744" t="n"/>
      <c r="L106" s="1745" t="n"/>
      <c r="M106" s="1745" t="n"/>
      <c r="N106" s="1746" t="n">
        <v>6043.18933500832</v>
      </c>
      <c r="O106" s="1747" t="n">
        <v>0.360794531176335</v>
      </c>
      <c r="P106" s="1720" t="n"/>
    </row>
    <row r="107" hidden="1" outlineLevel="3" ht="13.5" customHeight="1">
      <c r="A107" s="2117" t="n">
        <v>0</v>
      </c>
      <c r="B107" s="2117" t="n">
        <v>4</v>
      </c>
      <c r="C107" s="2117" t="n">
        <v>2</v>
      </c>
      <c r="D107" s="2118" t="n">
        <v>3</v>
      </c>
      <c r="E107" s="2118" t="n">
        <v>1</v>
      </c>
      <c r="G107" s="1748" t="inlineStr">
        <is>
          <t>SUPRAESTRUTURA</t>
        </is>
      </c>
      <c r="H107" s="1749" t="inlineStr">
        <is>
          <t>SERVIÇO</t>
        </is>
      </c>
      <c r="I107" s="1750" t="inlineStr">
        <is>
          <t>04.002.003.001</t>
        </is>
      </c>
      <c r="J107" s="1751" t="inlineStr">
        <is>
          <t>Montagem e Desmontagem de Fôrma de Supraestrutura</t>
        </is>
      </c>
      <c r="K107" s="1752" t="inlineStr">
        <is>
          <t>m2</t>
        </is>
      </c>
      <c r="L107" s="1753" t="n">
        <v>1519.4014</v>
      </c>
      <c r="M107" s="1753" t="n">
        <v>3.9773488</v>
      </c>
      <c r="N107" s="1754" t="n">
        <v>6043.18933500832</v>
      </c>
      <c r="O107" s="1755" t="n"/>
      <c r="P107" s="1721" t="inlineStr">
        <is>
          <t>Pendente</t>
        </is>
      </c>
    </row>
    <row r="108" hidden="1" outlineLevel="2" ht="13.5" customHeight="1">
      <c r="A108" s="2117" t="n">
        <v>0</v>
      </c>
      <c r="B108" s="2117" t="n">
        <v>4</v>
      </c>
      <c r="C108" s="2117" t="n">
        <v>2</v>
      </c>
      <c r="D108" s="2118" t="n">
        <v>4</v>
      </c>
      <c r="E108" s="2118" t="n">
        <v>0</v>
      </c>
      <c r="G108" s="1740" t="n"/>
      <c r="H108" s="1741" t="inlineStr">
        <is>
          <t>SUBETAPA</t>
        </is>
      </c>
      <c r="I108" s="1742" t="inlineStr">
        <is>
          <t>04.002.004</t>
        </is>
      </c>
      <c r="J108" s="1743" t="inlineStr">
        <is>
          <t>Forma - G3</t>
        </is>
      </c>
      <c r="K108" s="1744" t="n"/>
      <c r="L108" s="1745" t="n"/>
      <c r="M108" s="1745" t="n"/>
      <c r="N108" s="1746" t="n">
        <v>6025.39069912832</v>
      </c>
      <c r="O108" s="1747" t="n">
        <v>0.359731905113851</v>
      </c>
      <c r="P108" s="1720" t="n"/>
    </row>
    <row r="109" hidden="1" outlineLevel="3" ht="13.5" customHeight="1">
      <c r="A109" s="2117" t="n">
        <v>0</v>
      </c>
      <c r="B109" s="2117" t="n">
        <v>4</v>
      </c>
      <c r="C109" s="2117" t="n">
        <v>2</v>
      </c>
      <c r="D109" s="2118" t="n">
        <v>4</v>
      </c>
      <c r="E109" s="2118" t="n">
        <v>1</v>
      </c>
      <c r="G109" s="1748" t="inlineStr">
        <is>
          <t>SUPRAESTRUTURA</t>
        </is>
      </c>
      <c r="H109" s="1749" t="inlineStr">
        <is>
          <t>SERVIÇO</t>
        </is>
      </c>
      <c r="I109" s="1750" t="inlineStr">
        <is>
          <t>04.002.004.001</t>
        </is>
      </c>
      <c r="J109" s="1751" t="inlineStr">
        <is>
          <t>Montagem e Desmontagem de Fôrma de Supraestrutura</t>
        </is>
      </c>
      <c r="K109" s="1752" t="inlineStr">
        <is>
          <t>m2</t>
        </is>
      </c>
      <c r="L109" s="1753" t="n">
        <v>1514.9264</v>
      </c>
      <c r="M109" s="1753" t="n">
        <v>3.9773488</v>
      </c>
      <c r="N109" s="1754" t="n">
        <v>6025.39069912832</v>
      </c>
      <c r="O109" s="1755" t="n"/>
      <c r="P109" s="1721" t="inlineStr">
        <is>
          <t>Pendente</t>
        </is>
      </c>
    </row>
    <row r="110" hidden="1" outlineLevel="2" ht="13.5" customHeight="1">
      <c r="A110" s="2117" t="n">
        <v>0</v>
      </c>
      <c r="B110" s="2117" t="n">
        <v>4</v>
      </c>
      <c r="C110" s="2117" t="n">
        <v>2</v>
      </c>
      <c r="D110" s="2118" t="n">
        <v>5</v>
      </c>
      <c r="E110" s="2118" t="n">
        <v>0</v>
      </c>
      <c r="G110" s="1740" t="n"/>
      <c r="H110" s="1741" t="inlineStr">
        <is>
          <t>SUBETAPA</t>
        </is>
      </c>
      <c r="I110" s="1742" t="inlineStr">
        <is>
          <t>04.002.005</t>
        </is>
      </c>
      <c r="J110" s="1743" t="inlineStr">
        <is>
          <t>Forma - G4</t>
        </is>
      </c>
      <c r="K110" s="1744" t="n"/>
      <c r="L110" s="1745" t="n"/>
      <c r="M110" s="1745" t="n"/>
      <c r="N110" s="1746" t="n">
        <v>6027.77710840832</v>
      </c>
      <c r="O110" s="1747" t="n">
        <v>0.359874380116642</v>
      </c>
      <c r="P110" s="1720" t="n"/>
    </row>
    <row r="111" hidden="1" outlineLevel="3" ht="13.5" customHeight="1">
      <c r="A111" s="2117" t="n">
        <v>0</v>
      </c>
      <c r="B111" s="2117" t="n">
        <v>4</v>
      </c>
      <c r="C111" s="2117" t="n">
        <v>2</v>
      </c>
      <c r="D111" s="2118" t="n">
        <v>5</v>
      </c>
      <c r="E111" s="2118" t="n">
        <v>1</v>
      </c>
      <c r="G111" s="1748" t="inlineStr">
        <is>
          <t>SUPRAESTRUTURA</t>
        </is>
      </c>
      <c r="H111" s="1749" t="inlineStr">
        <is>
          <t>SERVIÇO</t>
        </is>
      </c>
      <c r="I111" s="1750" t="inlineStr">
        <is>
          <t>04.002.005.001</t>
        </is>
      </c>
      <c r="J111" s="1751" t="inlineStr">
        <is>
          <t>Montagem e Desmontagem de Fôrma de Supraestrutura</t>
        </is>
      </c>
      <c r="K111" s="1752" t="inlineStr">
        <is>
          <t>m2</t>
        </is>
      </c>
      <c r="L111" s="1753" t="n">
        <v>1515.5264</v>
      </c>
      <c r="M111" s="1753" t="n">
        <v>3.9773488</v>
      </c>
      <c r="N111" s="1754" t="n">
        <v>6027.77710840832</v>
      </c>
      <c r="O111" s="1755" t="n"/>
      <c r="P111" s="1721" t="inlineStr">
        <is>
          <t>Pendente</t>
        </is>
      </c>
    </row>
    <row r="112" hidden="1" outlineLevel="2" ht="13.5" customHeight="1">
      <c r="A112" s="2117" t="n">
        <v>0</v>
      </c>
      <c r="B112" s="2117" t="n">
        <v>4</v>
      </c>
      <c r="C112" s="2117" t="n">
        <v>2</v>
      </c>
      <c r="D112" s="2118" t="n">
        <v>6</v>
      </c>
      <c r="E112" s="2118" t="n">
        <v>0</v>
      </c>
      <c r="G112" s="1740" t="n"/>
      <c r="H112" s="1741" t="inlineStr">
        <is>
          <t>SUBETAPA</t>
        </is>
      </c>
      <c r="I112" s="1742" t="inlineStr">
        <is>
          <t>04.002.006</t>
        </is>
      </c>
      <c r="J112" s="1743" t="inlineStr">
        <is>
          <t>Forma - G5</t>
        </is>
      </c>
      <c r="K112" s="1744" t="n"/>
      <c r="L112" s="1745" t="n"/>
      <c r="M112" s="1745" t="n"/>
      <c r="N112" s="1746" t="n">
        <v>6126.01762376832</v>
      </c>
      <c r="O112" s="1747" t="n">
        <v>0.365739601064876</v>
      </c>
      <c r="P112" s="1720" t="n"/>
    </row>
    <row r="113" hidden="1" outlineLevel="3" ht="13.5" customHeight="1">
      <c r="A113" s="2117" t="n">
        <v>0</v>
      </c>
      <c r="B113" s="2117" t="n">
        <v>4</v>
      </c>
      <c r="C113" s="2117" t="n">
        <v>2</v>
      </c>
      <c r="D113" s="2118" t="n">
        <v>6</v>
      </c>
      <c r="E113" s="2118" t="n">
        <v>1</v>
      </c>
      <c r="G113" s="1748" t="inlineStr">
        <is>
          <t>SUPRAESTRUTURA</t>
        </is>
      </c>
      <c r="H113" s="1749" t="inlineStr">
        <is>
          <t>SERVIÇO</t>
        </is>
      </c>
      <c r="I113" s="1750" t="inlineStr">
        <is>
          <t>04.002.006.001</t>
        </is>
      </c>
      <c r="J113" s="1751" t="inlineStr">
        <is>
          <t>Montagem e Desmontagem de Fôrma de Supraestrutura</t>
        </is>
      </c>
      <c r="K113" s="1752" t="inlineStr">
        <is>
          <t>m2</t>
        </is>
      </c>
      <c r="L113" s="1753" t="n">
        <v>1540.2264</v>
      </c>
      <c r="M113" s="1753" t="n">
        <v>3.9773488</v>
      </c>
      <c r="N113" s="1754" t="n">
        <v>6126.01762376832</v>
      </c>
      <c r="O113" s="1755" t="n"/>
      <c r="P113" s="1721" t="inlineStr">
        <is>
          <t>Pendente</t>
        </is>
      </c>
    </row>
    <row r="114" hidden="1" outlineLevel="2" ht="13.5" customHeight="1">
      <c r="A114" s="2117" t="n">
        <v>0</v>
      </c>
      <c r="B114" s="2117" t="n">
        <v>4</v>
      </c>
      <c r="C114" s="2117" t="n">
        <v>2</v>
      </c>
      <c r="D114" s="2118" t="n">
        <v>7</v>
      </c>
      <c r="E114" s="2118" t="n">
        <v>0</v>
      </c>
      <c r="G114" s="1740" t="n"/>
      <c r="H114" s="1741" t="inlineStr">
        <is>
          <t>SUBETAPA</t>
        </is>
      </c>
      <c r="I114" s="1742" t="inlineStr">
        <is>
          <t>04.002.007</t>
        </is>
      </c>
      <c r="J114" s="1743" t="inlineStr">
        <is>
          <t>Forma - Lazer | Garagem</t>
        </is>
      </c>
      <c r="K114" s="1744" t="n"/>
      <c r="L114" s="1745" t="n"/>
      <c r="M114" s="1745" t="n"/>
      <c r="N114" s="1746" t="n">
        <v>7083.76321480832</v>
      </c>
      <c r="O114" s="1747" t="n">
        <v>0.422919568851704</v>
      </c>
      <c r="P114" s="1720" t="n"/>
    </row>
    <row r="115" hidden="1" outlineLevel="3" ht="13.5" customHeight="1">
      <c r="A115" s="2117" t="n">
        <v>0</v>
      </c>
      <c r="B115" s="2117" t="n">
        <v>4</v>
      </c>
      <c r="C115" s="2117" t="n">
        <v>2</v>
      </c>
      <c r="D115" s="2118" t="n">
        <v>7</v>
      </c>
      <c r="E115" s="2118" t="n">
        <v>1</v>
      </c>
      <c r="G115" s="1748" t="inlineStr">
        <is>
          <t>SUPRAESTRUTURA</t>
        </is>
      </c>
      <c r="H115" s="1749" t="inlineStr">
        <is>
          <t>SERVIÇO</t>
        </is>
      </c>
      <c r="I115" s="1750" t="inlineStr">
        <is>
          <t>04.002.007.001</t>
        </is>
      </c>
      <c r="J115" s="1751" t="inlineStr">
        <is>
          <t>Montagem e Desmontagem de Fôrma de Supraestrutura</t>
        </is>
      </c>
      <c r="K115" s="1752" t="inlineStr">
        <is>
          <t>m2</t>
        </is>
      </c>
      <c r="L115" s="1753" t="n">
        <v>1781.0264</v>
      </c>
      <c r="M115" s="1753" t="n">
        <v>3.9773488</v>
      </c>
      <c r="N115" s="1754" t="n">
        <v>7083.76321480832</v>
      </c>
      <c r="O115" s="1755" t="n"/>
      <c r="P115" s="1721" t="inlineStr">
        <is>
          <t>Pendente</t>
        </is>
      </c>
    </row>
    <row r="116" hidden="1" outlineLevel="2" ht="13.5" customHeight="1">
      <c r="A116" s="2117" t="n">
        <v>0</v>
      </c>
      <c r="B116" s="2117" t="n">
        <v>4</v>
      </c>
      <c r="C116" s="2117" t="n">
        <v>2</v>
      </c>
      <c r="D116" s="2118" t="n">
        <v>8</v>
      </c>
      <c r="E116" s="2118" t="n">
        <v>0</v>
      </c>
      <c r="G116" s="1740" t="n"/>
      <c r="H116" s="1741" t="inlineStr">
        <is>
          <t>SUBETAPA</t>
        </is>
      </c>
      <c r="I116" s="1742" t="inlineStr">
        <is>
          <t>04.002.008</t>
        </is>
      </c>
      <c r="J116" s="1743" t="inlineStr">
        <is>
          <t>Forma - Patamar Intermediário</t>
        </is>
      </c>
      <c r="K116" s="1744" t="n"/>
      <c r="L116" s="1745" t="n"/>
      <c r="M116" s="1745" t="n"/>
      <c r="N116" s="1746" t="n">
        <v>2257.64818088832</v>
      </c>
      <c r="O116" s="1747" t="n">
        <v>0.134787621540503</v>
      </c>
      <c r="P116" s="1720" t="n"/>
    </row>
    <row r="117" hidden="1" outlineLevel="3" ht="13.5" customHeight="1">
      <c r="A117" s="2117" t="n">
        <v>0</v>
      </c>
      <c r="B117" s="2117" t="n">
        <v>4</v>
      </c>
      <c r="C117" s="2117" t="n">
        <v>2</v>
      </c>
      <c r="D117" s="2118" t="n">
        <v>8</v>
      </c>
      <c r="E117" s="2118" t="n">
        <v>1</v>
      </c>
      <c r="G117" s="1748" t="inlineStr">
        <is>
          <t>SUPRAESTRUTURA</t>
        </is>
      </c>
      <c r="H117" s="1749" t="inlineStr">
        <is>
          <t>SERVIÇO</t>
        </is>
      </c>
      <c r="I117" s="1750" t="inlineStr">
        <is>
          <t>04.002.008.001</t>
        </is>
      </c>
      <c r="J117" s="1751" t="inlineStr">
        <is>
          <t>Montagem e Desmontagem de Fôrma de Supraestrutura</t>
        </is>
      </c>
      <c r="K117" s="1752" t="inlineStr">
        <is>
          <t>m2</t>
        </is>
      </c>
      <c r="L117" s="1753" t="n">
        <v>567.6264</v>
      </c>
      <c r="M117" s="1753" t="n">
        <v>3.9773488</v>
      </c>
      <c r="N117" s="1754" t="n">
        <v>2257.64818088832</v>
      </c>
      <c r="O117" s="1755" t="n"/>
      <c r="P117" s="1721" t="inlineStr">
        <is>
          <t>Pendente</t>
        </is>
      </c>
    </row>
    <row r="118" hidden="1" outlineLevel="2" ht="13.5" customHeight="1">
      <c r="A118" s="2117" t="n">
        <v>0</v>
      </c>
      <c r="B118" s="2117" t="n">
        <v>4</v>
      </c>
      <c r="C118" s="2117" t="n">
        <v>2</v>
      </c>
      <c r="D118" s="2118" t="n">
        <v>9</v>
      </c>
      <c r="E118" s="2118" t="n">
        <v>0</v>
      </c>
      <c r="G118" s="1740" t="n"/>
      <c r="H118" s="1741" t="inlineStr">
        <is>
          <t>SUBETAPA</t>
        </is>
      </c>
      <c r="I118" s="1742" t="inlineStr">
        <is>
          <t>04.002.009</t>
        </is>
      </c>
      <c r="J118" s="1743" t="inlineStr">
        <is>
          <t>Forma - Lazer</t>
        </is>
      </c>
      <c r="K118" s="1744" t="n"/>
      <c r="L118" s="1745" t="n"/>
      <c r="M118" s="1745" t="n"/>
      <c r="N118" s="1746" t="n">
        <v>5314.63846856832</v>
      </c>
      <c r="O118" s="1747" t="n">
        <v>0.317298100115902</v>
      </c>
      <c r="P118" s="1720" t="n"/>
    </row>
    <row r="119" hidden="1" outlineLevel="3" ht="13.5" customHeight="1">
      <c r="A119" s="2117" t="n">
        <v>0</v>
      </c>
      <c r="B119" s="2117" t="n">
        <v>4</v>
      </c>
      <c r="C119" s="2117" t="n">
        <v>2</v>
      </c>
      <c r="D119" s="2118" t="n">
        <v>9</v>
      </c>
      <c r="E119" s="2118" t="n">
        <v>1</v>
      </c>
      <c r="G119" s="1748" t="inlineStr">
        <is>
          <t>SUPRAESTRUTURA</t>
        </is>
      </c>
      <c r="H119" s="1749" t="inlineStr">
        <is>
          <t>SERVIÇO</t>
        </is>
      </c>
      <c r="I119" s="1750" t="inlineStr">
        <is>
          <t>04.002.009.001</t>
        </is>
      </c>
      <c r="J119" s="1751" t="inlineStr">
        <is>
          <t>Montagem e Desmontagem de Fôrma de Supraestrutura</t>
        </is>
      </c>
      <c r="K119" s="1752" t="inlineStr">
        <is>
          <t>m2</t>
        </is>
      </c>
      <c r="L119" s="1753" t="n">
        <v>1336.2264</v>
      </c>
      <c r="M119" s="1753" t="n">
        <v>3.9773488</v>
      </c>
      <c r="N119" s="1754" t="n">
        <v>5314.63846856832</v>
      </c>
      <c r="O119" s="1755" t="n"/>
      <c r="P119" s="1721" t="inlineStr">
        <is>
          <t>Pendente</t>
        </is>
      </c>
    </row>
    <row r="120" hidden="1" outlineLevel="2" ht="13.5" customHeight="1">
      <c r="A120" s="2117" t="n">
        <v>0</v>
      </c>
      <c r="B120" s="2117" t="n">
        <v>4</v>
      </c>
      <c r="C120" s="2117" t="n">
        <v>2</v>
      </c>
      <c r="D120" s="2118" t="n">
        <v>10</v>
      </c>
      <c r="E120" s="2118" t="n">
        <v>0</v>
      </c>
      <c r="G120" s="1740" t="n"/>
      <c r="H120" s="1741" t="inlineStr">
        <is>
          <t>SUBETAPA</t>
        </is>
      </c>
      <c r="I120" s="1742" t="inlineStr">
        <is>
          <t>04.002.010</t>
        </is>
      </c>
      <c r="J120" s="1743" t="inlineStr">
        <is>
          <t>Forma - Tipo diferenciado</t>
        </is>
      </c>
      <c r="K120" s="1744" t="n"/>
      <c r="L120" s="1745" t="n"/>
      <c r="M120" s="1745" t="n"/>
      <c r="N120" s="1746" t="n">
        <v>3960.51029612032</v>
      </c>
      <c r="O120" s="1747" t="n">
        <v>0.236453034365472</v>
      </c>
      <c r="P120" s="1720" t="n"/>
    </row>
    <row r="121" hidden="1" outlineLevel="3" ht="13.5" customHeight="1">
      <c r="A121" s="2117" t="n">
        <v>0</v>
      </c>
      <c r="B121" s="2117" t="n">
        <v>4</v>
      </c>
      <c r="C121" s="2117" t="n">
        <v>2</v>
      </c>
      <c r="D121" s="2118" t="n">
        <v>10</v>
      </c>
      <c r="E121" s="2118" t="n">
        <v>1</v>
      </c>
      <c r="G121" s="1748" t="inlineStr">
        <is>
          <t>SUPRAESTRUTURA</t>
        </is>
      </c>
      <c r="H121" s="1749" t="inlineStr">
        <is>
          <t>SERVIÇO</t>
        </is>
      </c>
      <c r="I121" s="1750" t="inlineStr">
        <is>
          <t>04.002.010.001</t>
        </is>
      </c>
      <c r="J121" s="1751" t="inlineStr">
        <is>
          <t>Montagem e Desmontagem de Fôrma de Supraestrutura</t>
        </is>
      </c>
      <c r="K121" s="1752" t="inlineStr">
        <is>
          <t>m2</t>
        </is>
      </c>
      <c r="L121" s="1753" t="n">
        <v>995.7664</v>
      </c>
      <c r="M121" s="1753" t="n">
        <v>3.9773488</v>
      </c>
      <c r="N121" s="1754" t="n">
        <v>3960.51029612032</v>
      </c>
      <c r="O121" s="1755" t="n"/>
      <c r="P121" s="1721" t="inlineStr">
        <is>
          <t>Pendente</t>
        </is>
      </c>
    </row>
    <row r="122" hidden="1" outlineLevel="2" ht="13.5" customHeight="1">
      <c r="A122" s="2117" t="n">
        <v>0</v>
      </c>
      <c r="B122" s="2117" t="n">
        <v>4</v>
      </c>
      <c r="C122" s="2117" t="n">
        <v>2</v>
      </c>
      <c r="D122" s="2118" t="n">
        <v>11</v>
      </c>
      <c r="E122" s="2118" t="n">
        <v>0</v>
      </c>
      <c r="G122" s="1740" t="n"/>
      <c r="H122" s="1741" t="inlineStr">
        <is>
          <t>SUBETAPA</t>
        </is>
      </c>
      <c r="I122" s="1742" t="inlineStr">
        <is>
          <t>04.002.011</t>
        </is>
      </c>
      <c r="J122" s="1743" t="inlineStr">
        <is>
          <t>Forma - Tipo x8</t>
        </is>
      </c>
      <c r="K122" s="1744" t="n"/>
      <c r="L122" s="1745" t="n"/>
      <c r="M122" s="1745" t="n"/>
      <c r="N122" s="1746" t="n">
        <v>220303.086282773</v>
      </c>
      <c r="O122" s="1747" t="n">
        <v>13.1526821891281</v>
      </c>
      <c r="P122" s="1720" t="n"/>
    </row>
    <row r="123" hidden="1" outlineLevel="3" ht="13.5" customHeight="1">
      <c r="A123" s="2117" t="n">
        <v>0</v>
      </c>
      <c r="B123" s="2117" t="n">
        <v>4</v>
      </c>
      <c r="C123" s="2117" t="n">
        <v>2</v>
      </c>
      <c r="D123" s="2118" t="n">
        <v>11</v>
      </c>
      <c r="E123" s="2118" t="n">
        <v>1</v>
      </c>
      <c r="G123" s="1748" t="inlineStr">
        <is>
          <t>SUPRAESTRUTURA</t>
        </is>
      </c>
      <c r="H123" s="1749" t="inlineStr">
        <is>
          <t>SERVIÇO</t>
        </is>
      </c>
      <c r="I123" s="1750" t="inlineStr">
        <is>
          <t>04.002.011.001</t>
        </is>
      </c>
      <c r="J123" s="1751" t="inlineStr">
        <is>
          <t>Fabricação de Fôrma para Supraestrutura, em Chapa de Madeira Compensada Resinada, E=20mm</t>
        </is>
      </c>
      <c r="K123" s="1752" t="inlineStr">
        <is>
          <t>m2</t>
        </is>
      </c>
      <c r="L123" s="1753" t="n">
        <v>1777.4316</v>
      </c>
      <c r="M123" s="1753" t="n">
        <v>108.0352259504132</v>
      </c>
      <c r="N123" s="1754" t="n">
        <v>192025.224517404</v>
      </c>
      <c r="O123" s="1755" t="inlineStr">
        <is>
          <t>4x reaproveitamento - 2 jogos</t>
        </is>
      </c>
      <c r="P123" s="1721" t="inlineStr">
        <is>
          <t>Pendente</t>
        </is>
      </c>
    </row>
    <row r="124" hidden="1" outlineLevel="3" ht="13.5" customHeight="1">
      <c r="A124" s="2117" t="n">
        <v>0</v>
      </c>
      <c r="B124" s="2117" t="n">
        <v>4</v>
      </c>
      <c r="C124" s="2117" t="n">
        <v>2</v>
      </c>
      <c r="D124" s="2118" t="n">
        <v>11</v>
      </c>
      <c r="E124" s="2118" t="n">
        <v>2</v>
      </c>
      <c r="G124" s="1748" t="inlineStr">
        <is>
          <t>SUPRAESTRUTURA</t>
        </is>
      </c>
      <c r="H124" s="1749" t="inlineStr">
        <is>
          <t>SERVIÇO</t>
        </is>
      </c>
      <c r="I124" s="1750" t="inlineStr">
        <is>
          <t>04.002.011.002</t>
        </is>
      </c>
      <c r="J124" s="1751" t="inlineStr">
        <is>
          <t>Montagem e Desmontagem de Fôrma de Supraestrutura</t>
        </is>
      </c>
      <c r="K124" s="1752" t="inlineStr">
        <is>
          <t>m2</t>
        </is>
      </c>
      <c r="L124" s="1753" t="n">
        <v>7109.7264</v>
      </c>
      <c r="M124" s="1753" t="n">
        <v>3.9773488</v>
      </c>
      <c r="N124" s="1754" t="n">
        <v>28277.8617653683</v>
      </c>
      <c r="O124" s="1755" t="n"/>
      <c r="P124" s="1721" t="inlineStr">
        <is>
          <t>Pendente</t>
        </is>
      </c>
    </row>
    <row r="125" hidden="1" outlineLevel="2" ht="13.5" customHeight="1">
      <c r="A125" s="2117" t="n">
        <v>0</v>
      </c>
      <c r="B125" s="2117" t="n">
        <v>4</v>
      </c>
      <c r="C125" s="2117" t="n">
        <v>2</v>
      </c>
      <c r="D125" s="2118" t="n">
        <v>12</v>
      </c>
      <c r="E125" s="2118" t="n">
        <v>0</v>
      </c>
      <c r="G125" s="1740" t="n"/>
      <c r="H125" s="1741" t="inlineStr">
        <is>
          <t>SUBETAPA</t>
        </is>
      </c>
      <c r="I125" s="1742" t="inlineStr">
        <is>
          <t>04.002.012</t>
        </is>
      </c>
      <c r="J125" s="1743" t="inlineStr">
        <is>
          <t>Forma - Penthouse x22</t>
        </is>
      </c>
      <c r="K125" s="1744" t="n"/>
      <c r="L125" s="1745" t="n"/>
      <c r="M125" s="1745" t="n"/>
      <c r="N125" s="1746" t="n">
        <v>367376.964117422</v>
      </c>
      <c r="O125" s="1747" t="n">
        <v>21.933385202062</v>
      </c>
      <c r="P125" s="1720" t="n"/>
    </row>
    <row r="126" hidden="1" outlineLevel="3" ht="13.5" customHeight="1">
      <c r="A126" s="2117" t="n">
        <v>0</v>
      </c>
      <c r="B126" s="2117" t="n">
        <v>4</v>
      </c>
      <c r="C126" s="2117" t="n">
        <v>2</v>
      </c>
      <c r="D126" s="2118" t="n">
        <v>12</v>
      </c>
      <c r="E126" s="2118" t="n">
        <v>1</v>
      </c>
      <c r="G126" s="1748" t="inlineStr">
        <is>
          <t>SUPRAESTRUTURA</t>
        </is>
      </c>
      <c r="H126" s="1749" t="inlineStr">
        <is>
          <t>SERVIÇO</t>
        </is>
      </c>
      <c r="I126" s="1750" t="inlineStr">
        <is>
          <t>04.002.012.001</t>
        </is>
      </c>
      <c r="J126" s="1751" t="inlineStr">
        <is>
          <t>Fabricação de Fôrma para Supraestrutura, em Chapa de Madeira Compensada Resinada, E=20mm</t>
        </is>
      </c>
      <c r="K126" s="1752" t="inlineStr">
        <is>
          <t>m2</t>
        </is>
      </c>
      <c r="L126" s="1753" t="n">
        <v>2677.626818181818</v>
      </c>
      <c r="M126" s="1753" t="n">
        <v>108.0352259504132</v>
      </c>
      <c r="N126" s="1754" t="n">
        <v>289278.018313159</v>
      </c>
      <c r="O126" s="1755" t="inlineStr">
        <is>
          <t>8x reaproveitamento - 3 jogos</t>
        </is>
      </c>
      <c r="P126" s="1721" t="inlineStr">
        <is>
          <t>Pendente</t>
        </is>
      </c>
    </row>
    <row r="127" hidden="1" outlineLevel="3" ht="13.5" customHeight="1">
      <c r="A127" s="2117" t="n">
        <v>0</v>
      </c>
      <c r="B127" s="2117" t="n">
        <v>4</v>
      </c>
      <c r="C127" s="2117" t="n">
        <v>2</v>
      </c>
      <c r="D127" s="2118" t="n">
        <v>12</v>
      </c>
      <c r="E127" s="2118" t="n">
        <v>2</v>
      </c>
      <c r="G127" s="1748" t="inlineStr">
        <is>
          <t>SUPRAESTRUTURA</t>
        </is>
      </c>
      <c r="H127" s="1749" t="inlineStr">
        <is>
          <t>SERVIÇO</t>
        </is>
      </c>
      <c r="I127" s="1750" t="inlineStr">
        <is>
          <t>04.002.012.002</t>
        </is>
      </c>
      <c r="J127" s="1751" t="inlineStr">
        <is>
          <t>Montagem e Desmontagem de Fôrma de Supraestrutura</t>
        </is>
      </c>
      <c r="K127" s="1752" t="inlineStr">
        <is>
          <t>m2</t>
        </is>
      </c>
      <c r="L127" s="1753" t="n">
        <v>19635.93080000001</v>
      </c>
      <c r="M127" s="1753" t="n">
        <v>3.9773488</v>
      </c>
      <c r="N127" s="1754" t="n">
        <v>78098.9458042631</v>
      </c>
      <c r="O127" s="1755" t="n"/>
      <c r="P127" s="1721" t="inlineStr">
        <is>
          <t>Pendente</t>
        </is>
      </c>
    </row>
    <row r="128" hidden="1" outlineLevel="2" ht="13.5" customHeight="1">
      <c r="A128" s="2117" t="n">
        <v>0</v>
      </c>
      <c r="B128" s="2117" t="n">
        <v>4</v>
      </c>
      <c r="C128" s="2117" t="n">
        <v>2</v>
      </c>
      <c r="D128" s="2118" t="n">
        <v>13</v>
      </c>
      <c r="E128" s="2118" t="n">
        <v>0</v>
      </c>
      <c r="G128" s="1740" t="n"/>
      <c r="H128" s="1741" t="inlineStr">
        <is>
          <t>SUBETAPA</t>
        </is>
      </c>
      <c r="I128" s="1742" t="inlineStr">
        <is>
          <t>04.002.013</t>
        </is>
      </c>
      <c r="J128" s="1743" t="inlineStr">
        <is>
          <t>Forma - Duplex inferior</t>
        </is>
      </c>
      <c r="K128" s="1744" t="n"/>
      <c r="L128" s="1745" t="n"/>
      <c r="M128" s="1745" t="n"/>
      <c r="N128" s="1746" t="n">
        <v>102875.305782753</v>
      </c>
      <c r="O128" s="1747" t="n">
        <v>6.14193030565694</v>
      </c>
      <c r="P128" s="1720" t="n"/>
    </row>
    <row r="129" hidden="1" outlineLevel="3" ht="13.5" customHeight="1">
      <c r="A129" s="2117" t="n">
        <v>0</v>
      </c>
      <c r="B129" s="2117" t="n">
        <v>4</v>
      </c>
      <c r="C129" s="2117" t="n">
        <v>2</v>
      </c>
      <c r="D129" s="2118" t="n">
        <v>13</v>
      </c>
      <c r="E129" s="2118" t="n">
        <v>1</v>
      </c>
      <c r="G129" s="1748" t="inlineStr">
        <is>
          <t>SUPRAESTRUTURA</t>
        </is>
      </c>
      <c r="H129" s="1749" t="inlineStr">
        <is>
          <t>SERVIÇO</t>
        </is>
      </c>
      <c r="I129" s="1750" t="inlineStr">
        <is>
          <t>04.002.013.001</t>
        </is>
      </c>
      <c r="J129" s="1751" t="inlineStr">
        <is>
          <t>Fabricação de Fôrma para Supraestrutura, em Chapa de Madeira Compensada Resinada, E=20mm</t>
        </is>
      </c>
      <c r="K129" s="1752" t="inlineStr">
        <is>
          <t>m2</t>
        </is>
      </c>
      <c r="L129" s="1753" t="n">
        <v>918.4263999999999</v>
      </c>
      <c r="M129" s="1753" t="n">
        <v>108.0352259504132</v>
      </c>
      <c r="N129" s="1754" t="n">
        <v>99222.4036428246</v>
      </c>
      <c r="O129" s="1755" t="inlineStr">
        <is>
          <t>2x reaproveitamento - 1 jogos</t>
        </is>
      </c>
      <c r="P129" s="1721" t="inlineStr">
        <is>
          <t>Pendente</t>
        </is>
      </c>
    </row>
    <row r="130" hidden="1" outlineLevel="3" ht="13.5" customHeight="1">
      <c r="A130" s="2117" t="n">
        <v>0</v>
      </c>
      <c r="B130" s="2117" t="n">
        <v>4</v>
      </c>
      <c r="C130" s="2117" t="n">
        <v>2</v>
      </c>
      <c r="D130" s="2118" t="n">
        <v>13</v>
      </c>
      <c r="E130" s="2118" t="n">
        <v>2</v>
      </c>
      <c r="G130" s="1748" t="inlineStr">
        <is>
          <t>SUPRAESTRUTURA</t>
        </is>
      </c>
      <c r="H130" s="1749" t="inlineStr">
        <is>
          <t>SERVIÇO</t>
        </is>
      </c>
      <c r="I130" s="1750" t="inlineStr">
        <is>
          <t>04.002.013.002</t>
        </is>
      </c>
      <c r="J130" s="1751" t="inlineStr">
        <is>
          <t>Montagem e Desmontagem de Fôrma de Supraestrutura</t>
        </is>
      </c>
      <c r="K130" s="1752" t="inlineStr">
        <is>
          <t>m2</t>
        </is>
      </c>
      <c r="L130" s="1753" t="n">
        <v>918.4263999999999</v>
      </c>
      <c r="M130" s="1753" t="n">
        <v>3.9773488</v>
      </c>
      <c r="N130" s="1754" t="n">
        <v>3652.90213992832</v>
      </c>
      <c r="O130" s="1755" t="n"/>
      <c r="P130" s="1721" t="inlineStr">
        <is>
          <t>Pendente</t>
        </is>
      </c>
    </row>
    <row r="131" hidden="1" outlineLevel="2" ht="13.5" customHeight="1">
      <c r="A131" s="2117" t="n">
        <v>0</v>
      </c>
      <c r="B131" s="2117" t="n">
        <v>4</v>
      </c>
      <c r="C131" s="2117" t="n">
        <v>2</v>
      </c>
      <c r="D131" s="2118" t="n">
        <v>14</v>
      </c>
      <c r="E131" s="2118" t="n">
        <v>0</v>
      </c>
      <c r="G131" s="1740" t="n"/>
      <c r="H131" s="1741" t="inlineStr">
        <is>
          <t>SUBETAPA</t>
        </is>
      </c>
      <c r="I131" s="1742" t="inlineStr">
        <is>
          <t>04.002.014</t>
        </is>
      </c>
      <c r="J131" s="1743" t="inlineStr">
        <is>
          <t>Forma - Duplex superior</t>
        </is>
      </c>
      <c r="K131" s="1744" t="n"/>
      <c r="L131" s="1745" t="n"/>
      <c r="M131" s="1745" t="n"/>
      <c r="N131" s="1746" t="n">
        <v>3290.60543773632</v>
      </c>
      <c r="O131" s="1747" t="n">
        <v>0.196457926498631</v>
      </c>
      <c r="P131" s="1720" t="n"/>
    </row>
    <row r="132" hidden="1" outlineLevel="3" ht="13.5" customHeight="1">
      <c r="A132" s="2117" t="n">
        <v>0</v>
      </c>
      <c r="B132" s="2117" t="n">
        <v>4</v>
      </c>
      <c r="C132" s="2117" t="n">
        <v>2</v>
      </c>
      <c r="D132" s="2118" t="n">
        <v>14</v>
      </c>
      <c r="E132" s="2118" t="n">
        <v>1</v>
      </c>
      <c r="G132" s="1748" t="inlineStr">
        <is>
          <t>SUPRAESTRUTURA</t>
        </is>
      </c>
      <c r="H132" s="1749" t="inlineStr">
        <is>
          <t>SERVIÇO</t>
        </is>
      </c>
      <c r="I132" s="1750" t="inlineStr">
        <is>
          <t>04.002.014.001</t>
        </is>
      </c>
      <c r="J132" s="1751" t="inlineStr">
        <is>
          <t>Montagem e Desmontagem de Fôrma de Supraestrutura</t>
        </is>
      </c>
      <c r="K132" s="1752" t="inlineStr">
        <is>
          <t>m2</t>
        </is>
      </c>
      <c r="L132" s="1753" t="n">
        <v>827.3364</v>
      </c>
      <c r="M132" s="1753" t="n">
        <v>3.9773488</v>
      </c>
      <c r="N132" s="1754" t="n">
        <v>3290.60543773632</v>
      </c>
      <c r="O132" s="1755" t="n"/>
      <c r="P132" s="1721" t="inlineStr">
        <is>
          <t>Pendente</t>
        </is>
      </c>
    </row>
    <row r="133" hidden="1" outlineLevel="2" ht="13.5" customHeight="1">
      <c r="A133" s="2117" t="n">
        <v>0</v>
      </c>
      <c r="B133" s="2117" t="n">
        <v>4</v>
      </c>
      <c r="C133" s="2117" t="n">
        <v>2</v>
      </c>
      <c r="D133" s="2118" t="n">
        <v>15</v>
      </c>
      <c r="E133" s="2118" t="n">
        <v>0</v>
      </c>
      <c r="G133" s="1740" t="n"/>
      <c r="H133" s="1741" t="inlineStr">
        <is>
          <t>SUBETAPA</t>
        </is>
      </c>
      <c r="I133" s="1742" t="inlineStr">
        <is>
          <t>04.002.015</t>
        </is>
      </c>
      <c r="J133" s="1743" t="inlineStr">
        <is>
          <t>Forma - Cobertura | Barrilete</t>
        </is>
      </c>
      <c r="K133" s="1744" t="n"/>
      <c r="L133" s="1745" t="n"/>
      <c r="M133" s="1745" t="n"/>
      <c r="N133" s="1746" t="n">
        <v>105163.722684904</v>
      </c>
      <c r="O133" s="1747" t="n">
        <v>6.27855490197143</v>
      </c>
      <c r="P133" s="1720" t="n"/>
    </row>
    <row r="134" hidden="1" outlineLevel="3" ht="13.5" customHeight="1">
      <c r="A134" s="2117" t="n">
        <v>0</v>
      </c>
      <c r="B134" s="2117" t="n">
        <v>4</v>
      </c>
      <c r="C134" s="2117" t="n">
        <v>2</v>
      </c>
      <c r="D134" s="2118" t="n">
        <v>15</v>
      </c>
      <c r="E134" s="2118" t="n">
        <v>1</v>
      </c>
      <c r="G134" s="1748" t="inlineStr">
        <is>
          <t>SUPRAESTRUTURA</t>
        </is>
      </c>
      <c r="H134" s="1749" t="inlineStr">
        <is>
          <t>SERVIÇO</t>
        </is>
      </c>
      <c r="I134" s="1750" t="inlineStr">
        <is>
          <t>04.002.015.001</t>
        </is>
      </c>
      <c r="J134" s="1751" t="inlineStr">
        <is>
          <t>Fabricação de Fôrma para Supraestrutura, em Chapa de Madeira Compensada Resinada, E=20mm</t>
        </is>
      </c>
      <c r="K134" s="1752" t="inlineStr">
        <is>
          <t>m2</t>
        </is>
      </c>
      <c r="L134" s="1753" t="n">
        <v>938.8563999999999</v>
      </c>
      <c r="M134" s="1753" t="n">
        <v>108.0352259504132</v>
      </c>
      <c r="N134" s="1754" t="n">
        <v>101429.563308992</v>
      </c>
      <c r="O134" s="1755" t="inlineStr">
        <is>
          <t>1 jogos</t>
        </is>
      </c>
      <c r="P134" s="1721" t="inlineStr">
        <is>
          <t>Pendente</t>
        </is>
      </c>
    </row>
    <row r="135" hidden="1" outlineLevel="3" ht="13.5" customHeight="1">
      <c r="A135" s="2117" t="n">
        <v>0</v>
      </c>
      <c r="B135" s="2117" t="n">
        <v>4</v>
      </c>
      <c r="C135" s="2117" t="n">
        <v>2</v>
      </c>
      <c r="D135" s="2118" t="n">
        <v>15</v>
      </c>
      <c r="E135" s="2118" t="n">
        <v>2</v>
      </c>
      <c r="G135" s="1748" t="inlineStr">
        <is>
          <t>SUPRAESTRUTURA</t>
        </is>
      </c>
      <c r="H135" s="1749" t="inlineStr">
        <is>
          <t>SERVIÇO</t>
        </is>
      </c>
      <c r="I135" s="1750" t="inlineStr">
        <is>
          <t>04.002.015.002</t>
        </is>
      </c>
      <c r="J135" s="1751" t="inlineStr">
        <is>
          <t>Montagem e Desmontagem de Fôrma de Supraestrutura</t>
        </is>
      </c>
      <c r="K135" s="1752" t="inlineStr">
        <is>
          <t>m2</t>
        </is>
      </c>
      <c r="L135" s="1753" t="n">
        <v>938.8563999999999</v>
      </c>
      <c r="M135" s="1753" t="n">
        <v>3.9773488</v>
      </c>
      <c r="N135" s="1754" t="n">
        <v>3734.15937591232</v>
      </c>
      <c r="O135" s="1755" t="n"/>
      <c r="P135" s="1721" t="inlineStr">
        <is>
          <t>Pendente</t>
        </is>
      </c>
    </row>
    <row r="136" hidden="1" outlineLevel="2" ht="13.5" customHeight="1">
      <c r="A136" s="2117" t="n">
        <v>0</v>
      </c>
      <c r="B136" s="2117" t="n">
        <v>4</v>
      </c>
      <c r="C136" s="2117" t="n">
        <v>2</v>
      </c>
      <c r="D136" s="2118" t="n">
        <v>16</v>
      </c>
      <c r="E136" s="2118" t="n">
        <v>0</v>
      </c>
      <c r="G136" s="1740" t="n"/>
      <c r="H136" s="1741" t="inlineStr">
        <is>
          <t>SUBETAPA</t>
        </is>
      </c>
      <c r="I136" s="1742" t="inlineStr">
        <is>
          <t>04.002.016</t>
        </is>
      </c>
      <c r="J136" s="1743" t="inlineStr">
        <is>
          <t>Forma - Reservatório</t>
        </is>
      </c>
      <c r="K136" s="1744" t="n"/>
      <c r="L136" s="1745" t="n"/>
      <c r="M136" s="1745" t="n"/>
      <c r="N136" s="1746" t="n">
        <v>59217.687893301</v>
      </c>
      <c r="O136" s="1747" t="n">
        <v>3.53545400555957</v>
      </c>
      <c r="P136" s="1720" t="n"/>
    </row>
    <row r="137" hidden="1" outlineLevel="3" ht="13.5" customHeight="1">
      <c r="A137" s="2117" t="n">
        <v>0</v>
      </c>
      <c r="B137" s="2117" t="n">
        <v>4</v>
      </c>
      <c r="C137" s="2117" t="n">
        <v>2</v>
      </c>
      <c r="D137" s="2118" t="n">
        <v>16</v>
      </c>
      <c r="E137" s="2118" t="n">
        <v>1</v>
      </c>
      <c r="G137" s="1748" t="inlineStr">
        <is>
          <t>SUPRAESTRUTURA</t>
        </is>
      </c>
      <c r="H137" s="1749" t="inlineStr">
        <is>
          <t>SERVIÇO</t>
        </is>
      </c>
      <c r="I137" s="1750" t="inlineStr">
        <is>
          <t>04.002.016.001</t>
        </is>
      </c>
      <c r="J137" s="1751" t="inlineStr">
        <is>
          <t>Fabricação de Fôrma para Supraestrutura, em Chapa de Madeira Compensada Resinada, E=20mm</t>
        </is>
      </c>
      <c r="K137" s="1752" t="inlineStr">
        <is>
          <t>m2</t>
        </is>
      </c>
      <c r="L137" s="1753" t="n">
        <v>528.6700000000001</v>
      </c>
      <c r="M137" s="1753" t="n">
        <v>108.0352259504132</v>
      </c>
      <c r="N137" s="1754" t="n">
        <v>57114.982903205</v>
      </c>
      <c r="O137" s="1755" t="inlineStr">
        <is>
          <t>1 jogos</t>
        </is>
      </c>
      <c r="P137" s="1721" t="inlineStr">
        <is>
          <t>Pendente</t>
        </is>
      </c>
    </row>
    <row r="138" hidden="1" outlineLevel="3" ht="13.5" customHeight="1">
      <c r="A138" s="2117" t="n">
        <v>0</v>
      </c>
      <c r="B138" s="2117" t="n">
        <v>4</v>
      </c>
      <c r="C138" s="2117" t="n">
        <v>2</v>
      </c>
      <c r="D138" s="2118" t="n">
        <v>16</v>
      </c>
      <c r="E138" s="2118" t="n">
        <v>2</v>
      </c>
      <c r="G138" s="1748" t="inlineStr">
        <is>
          <t>SUPRAESTRUTURA</t>
        </is>
      </c>
      <c r="H138" s="1749" t="inlineStr">
        <is>
          <t>SERVIÇO</t>
        </is>
      </c>
      <c r="I138" s="1750" t="inlineStr">
        <is>
          <t>04.002.016.002</t>
        </is>
      </c>
      <c r="J138" s="1751" t="inlineStr">
        <is>
          <t>Montagem e Desmontagem de Fôrma de Supraestrutura</t>
        </is>
      </c>
      <c r="K138" s="1752" t="inlineStr">
        <is>
          <t>m2</t>
        </is>
      </c>
      <c r="L138" s="1753" t="n">
        <v>528.6700000000001</v>
      </c>
      <c r="M138" s="1753" t="n">
        <v>3.9773488</v>
      </c>
      <c r="N138" s="1754" t="n">
        <v>2102.704990096</v>
      </c>
      <c r="O138" s="1755" t="n"/>
      <c r="P138" s="1721" t="inlineStr">
        <is>
          <t>Pendente</t>
        </is>
      </c>
    </row>
    <row r="139" hidden="1" outlineLevel="1" ht="13.5" customHeight="1">
      <c r="A139" s="2117" t="n">
        <v>0</v>
      </c>
      <c r="B139" s="2117" t="n">
        <v>4</v>
      </c>
      <c r="C139" s="2117" t="n">
        <v>3</v>
      </c>
      <c r="D139" s="2118" t="n">
        <v>0</v>
      </c>
      <c r="E139" s="2118" t="n">
        <v>2</v>
      </c>
      <c r="G139" s="1733" t="n"/>
      <c r="H139" s="1734" t="inlineStr">
        <is>
          <t>ETAPA</t>
        </is>
      </c>
      <c r="I139" s="1735" t="inlineStr">
        <is>
          <t>04.003</t>
        </is>
      </c>
      <c r="J139" s="1736" t="inlineStr">
        <is>
          <t>ARMADURA</t>
        </is>
      </c>
      <c r="K139" s="1737" t="n"/>
      <c r="L139" s="1738" t="n"/>
      <c r="M139" s="1738" t="n"/>
      <c r="N139" s="1739" t="n">
        <v>7497705.1095954</v>
      </c>
      <c r="O139" s="1722" t="n">
        <v>447.633004685788</v>
      </c>
      <c r="P139" s="1719" t="n"/>
    </row>
    <row r="140" hidden="1" outlineLevel="2" ht="13.5" customHeight="1">
      <c r="A140" s="2117" t="n">
        <v>0</v>
      </c>
      <c r="B140" s="2117" t="n">
        <v>4</v>
      </c>
      <c r="C140" s="2117" t="n">
        <v>3</v>
      </c>
      <c r="D140" s="2118" t="n">
        <v>1</v>
      </c>
      <c r="E140" s="2118" t="n">
        <v>0</v>
      </c>
      <c r="G140" s="1740" t="n"/>
      <c r="H140" s="1741" t="inlineStr">
        <is>
          <t>SUBETAPA</t>
        </is>
      </c>
      <c r="I140" s="1742" t="inlineStr">
        <is>
          <t>04.003.001</t>
        </is>
      </c>
      <c r="J140" s="1743" t="inlineStr">
        <is>
          <t>Armadura - Térreo</t>
        </is>
      </c>
      <c r="K140" s="1744" t="n"/>
      <c r="L140" s="1745" t="n"/>
      <c r="M140" s="1745" t="n"/>
      <c r="N140" s="1746" t="n">
        <v>197948.802458182</v>
      </c>
      <c r="O140" s="1747" t="n">
        <v>11.8180717863804</v>
      </c>
      <c r="P140" s="1720" t="n"/>
    </row>
    <row r="141" hidden="1" outlineLevel="3" ht="13.5" customHeight="1">
      <c r="A141" s="2117" t="n">
        <v>0</v>
      </c>
      <c r="B141" s="2117" t="n">
        <v>4</v>
      </c>
      <c r="C141" s="2117" t="n">
        <v>3</v>
      </c>
      <c r="D141" s="2118" t="n">
        <v>1</v>
      </c>
      <c r="E141" s="2118" t="n">
        <v>1</v>
      </c>
      <c r="G141" s="1748" t="inlineStr">
        <is>
          <t>SUPRAESTRUTURA</t>
        </is>
      </c>
      <c r="H141" s="1749" t="inlineStr">
        <is>
          <t>SERVIÇO</t>
        </is>
      </c>
      <c r="I141" s="1750" t="inlineStr">
        <is>
          <t>04.003.001.001</t>
        </is>
      </c>
      <c r="J141" s="1751" t="inlineStr">
        <is>
          <t>Armação Aço CA-50, Diâmetro de 6,3mm para Supraestrutura, Corte e dobra em Indústria</t>
        </is>
      </c>
      <c r="K141" s="1752" t="inlineStr">
        <is>
          <t>kg</t>
        </is>
      </c>
      <c r="L141" s="1753" t="n">
        <v>5080.181818181818</v>
      </c>
      <c r="M141" s="1753" t="n">
        <v>8.964965000000001</v>
      </c>
      <c r="N141" s="1754" t="n">
        <v>45543.6521936364</v>
      </c>
      <c r="O141" s="1755" t="inlineStr">
        <is>
          <t>Quantidades resumo de projetos</t>
        </is>
      </c>
      <c r="P141" s="1721" t="inlineStr">
        <is>
          <t>Pendente</t>
        </is>
      </c>
    </row>
    <row r="142" hidden="1" outlineLevel="3" ht="13.5" customHeight="1">
      <c r="A142" s="2117" t="n">
        <v>0</v>
      </c>
      <c r="B142" s="2117" t="n">
        <v>4</v>
      </c>
      <c r="C142" s="2117" t="n">
        <v>3</v>
      </c>
      <c r="D142" s="2118" t="n">
        <v>1</v>
      </c>
      <c r="E142" s="2118" t="n">
        <v>2</v>
      </c>
      <c r="G142" s="1748" t="inlineStr">
        <is>
          <t>SUPRAESTRUTURA</t>
        </is>
      </c>
      <c r="H142" s="1749" t="inlineStr">
        <is>
          <t>SERVIÇO</t>
        </is>
      </c>
      <c r="I142" s="1750" t="inlineStr">
        <is>
          <t>04.003.001.002</t>
        </is>
      </c>
      <c r="J142" s="1751" t="inlineStr">
        <is>
          <t>Armação Aço CA-50, Diâmetro de 8,0mm para Supraestrutura, Corte e dobra em Indústria</t>
        </is>
      </c>
      <c r="K142" s="1752" t="inlineStr">
        <is>
          <t>kg</t>
        </is>
      </c>
      <c r="L142" s="1753" t="n">
        <v>2357.272727272727</v>
      </c>
      <c r="M142" s="1753" t="n">
        <v>8.964965000000001</v>
      </c>
      <c r="N142" s="1754" t="n">
        <v>21132.8674954545</v>
      </c>
      <c r="O142" s="1755" t="inlineStr">
        <is>
          <t>Quantidades resumo de projetos</t>
        </is>
      </c>
      <c r="P142" s="1721" t="inlineStr">
        <is>
          <t>Pendente</t>
        </is>
      </c>
    </row>
    <row r="143" hidden="1" outlineLevel="3" ht="13.5" customHeight="1">
      <c r="A143" s="2117" t="n">
        <v>0</v>
      </c>
      <c r="B143" s="2117" t="n">
        <v>4</v>
      </c>
      <c r="C143" s="2117" t="n">
        <v>3</v>
      </c>
      <c r="D143" s="2118" t="n">
        <v>1</v>
      </c>
      <c r="E143" s="2118" t="n">
        <v>3</v>
      </c>
      <c r="G143" s="1748" t="inlineStr">
        <is>
          <t>SUPRAESTRUTURA</t>
        </is>
      </c>
      <c r="H143" s="1749" t="inlineStr">
        <is>
          <t>SERVIÇO</t>
        </is>
      </c>
      <c r="I143" s="1750" t="inlineStr">
        <is>
          <t>04.003.001.003</t>
        </is>
      </c>
      <c r="J143" s="1751" t="inlineStr">
        <is>
          <t>Armação Aço CA-50, Diâmetro de 10,0mm para Supraestrutura, Corte e dobra em Indústria</t>
        </is>
      </c>
      <c r="K143" s="1752" t="inlineStr">
        <is>
          <t>kg</t>
        </is>
      </c>
      <c r="L143" s="1753" t="n">
        <v>2151.454545454545</v>
      </c>
      <c r="M143" s="1753" t="n">
        <v>8.964965000000001</v>
      </c>
      <c r="N143" s="1754" t="n">
        <v>19287.7146990909</v>
      </c>
      <c r="O143" s="1755" t="inlineStr">
        <is>
          <t>Quantidades resumo de projetos</t>
        </is>
      </c>
      <c r="P143" s="1721" t="inlineStr">
        <is>
          <t>Pendente</t>
        </is>
      </c>
    </row>
    <row r="144" hidden="1" outlineLevel="3" ht="13.5" customHeight="1">
      <c r="A144" s="2117" t="n">
        <v>0</v>
      </c>
      <c r="B144" s="2117" t="n">
        <v>4</v>
      </c>
      <c r="C144" s="2117" t="n">
        <v>3</v>
      </c>
      <c r="D144" s="2118" t="n">
        <v>1</v>
      </c>
      <c r="E144" s="2118" t="n">
        <v>4</v>
      </c>
      <c r="G144" s="1748" t="inlineStr">
        <is>
          <t>SUPRAESTRUTURA</t>
        </is>
      </c>
      <c r="H144" s="1749" t="inlineStr">
        <is>
          <t>SERVIÇO</t>
        </is>
      </c>
      <c r="I144" s="1750" t="inlineStr">
        <is>
          <t>04.003.001.004</t>
        </is>
      </c>
      <c r="J144" s="1751" t="inlineStr">
        <is>
          <t>Armação Aço CA-50, Diâmetro de 12,5mm para Supraestrutura, Corte e dobra em Indústria</t>
        </is>
      </c>
      <c r="K144" s="1752" t="inlineStr">
        <is>
          <t>kg</t>
        </is>
      </c>
      <c r="L144" s="1753" t="n">
        <v>1370</v>
      </c>
      <c r="M144" s="1753" t="n">
        <v>8.484965000000001</v>
      </c>
      <c r="N144" s="1754" t="n">
        <v>11624.40205</v>
      </c>
      <c r="O144" s="1755" t="inlineStr">
        <is>
          <t>Quantidades resumo de projetos</t>
        </is>
      </c>
      <c r="P144" s="1721" t="inlineStr">
        <is>
          <t>Pendente</t>
        </is>
      </c>
    </row>
    <row r="145" hidden="1" outlineLevel="3" ht="13.5" customHeight="1">
      <c r="A145" s="2117" t="n">
        <v>0</v>
      </c>
      <c r="B145" s="2117" t="n">
        <v>4</v>
      </c>
      <c r="C145" s="2117" t="n">
        <v>3</v>
      </c>
      <c r="D145" s="2118" t="n">
        <v>1</v>
      </c>
      <c r="E145" s="2118" t="n">
        <v>5</v>
      </c>
      <c r="G145" s="1748" t="inlineStr">
        <is>
          <t>SUPRAESTRUTURA</t>
        </is>
      </c>
      <c r="H145" s="1749" t="inlineStr">
        <is>
          <t>SERVIÇO</t>
        </is>
      </c>
      <c r="I145" s="1750" t="inlineStr">
        <is>
          <t>04.003.001.005</t>
        </is>
      </c>
      <c r="J145" s="1751" t="inlineStr">
        <is>
          <t>Armação Aço CA-50, Diâmetro de 16,0mm para Supraestrutura, Corte e dobra em Indústria</t>
        </is>
      </c>
      <c r="K145" s="1752" t="inlineStr">
        <is>
          <t>kg</t>
        </is>
      </c>
      <c r="L145" s="1753" t="n">
        <v>1274</v>
      </c>
      <c r="M145" s="1753" t="n">
        <v>8.484965000000001</v>
      </c>
      <c r="N145" s="1754" t="n">
        <v>10809.84541</v>
      </c>
      <c r="O145" s="1755" t="inlineStr">
        <is>
          <t>Quantidades resumo de projetos</t>
        </is>
      </c>
      <c r="P145" s="1721" t="inlineStr">
        <is>
          <t>Pendente</t>
        </is>
      </c>
    </row>
    <row r="146" hidden="1" outlineLevel="3" ht="13.5" customHeight="1">
      <c r="A146" s="2117" t="n">
        <v>0</v>
      </c>
      <c r="B146" s="2117" t="n">
        <v>4</v>
      </c>
      <c r="C146" s="2117" t="n">
        <v>3</v>
      </c>
      <c r="D146" s="2118" t="n">
        <v>1</v>
      </c>
      <c r="E146" s="2118" t="n">
        <v>6</v>
      </c>
      <c r="G146" s="1748" t="inlineStr">
        <is>
          <t>SUPRAESTRUTURA</t>
        </is>
      </c>
      <c r="H146" s="1749" t="inlineStr">
        <is>
          <t>SERVIÇO</t>
        </is>
      </c>
      <c r="I146" s="1750" t="inlineStr">
        <is>
          <t>04.003.001.006</t>
        </is>
      </c>
      <c r="J146" s="1751" t="inlineStr">
        <is>
          <t>Armação Aço CA-50, Diâmetro de 20,0mm para Supraestrutura, Corte e dobra em Indústria</t>
        </is>
      </c>
      <c r="K146" s="1752" t="inlineStr">
        <is>
          <t>kg</t>
        </is>
      </c>
      <c r="L146" s="1753" t="n">
        <v>3719</v>
      </c>
      <c r="M146" s="1753" t="n">
        <v>8.484965000000001</v>
      </c>
      <c r="N146" s="1754" t="n">
        <v>31555.584835</v>
      </c>
      <c r="O146" s="1755" t="inlineStr">
        <is>
          <t>Quantidades resumo de projetos</t>
        </is>
      </c>
      <c r="P146" s="1721" t="inlineStr">
        <is>
          <t>Pendente</t>
        </is>
      </c>
    </row>
    <row r="147" hidden="1" outlineLevel="3" ht="13.5" customHeight="1">
      <c r="A147" s="2117" t="n">
        <v>0</v>
      </c>
      <c r="B147" s="2117" t="n">
        <v>4</v>
      </c>
      <c r="C147" s="2117" t="n">
        <v>3</v>
      </c>
      <c r="D147" s="2118" t="n">
        <v>1</v>
      </c>
      <c r="E147" s="2118" t="n">
        <v>7</v>
      </c>
      <c r="G147" s="1748" t="inlineStr">
        <is>
          <t>SUPRAESTRUTURA</t>
        </is>
      </c>
      <c r="H147" s="1749" t="inlineStr">
        <is>
          <t>SERVIÇO</t>
        </is>
      </c>
      <c r="I147" s="1750" t="inlineStr">
        <is>
          <t>04.003.001.007</t>
        </is>
      </c>
      <c r="J147" s="1751" t="inlineStr">
        <is>
          <t>Armação Aço CA-50, Diâmetro de 25,0mm para Supraestrutura, Corte e dobra em Indústria</t>
        </is>
      </c>
      <c r="K147" s="1752" t="inlineStr">
        <is>
          <t>kg</t>
        </is>
      </c>
      <c r="L147" s="1753" t="n">
        <v>6835</v>
      </c>
      <c r="M147" s="1753" t="n">
        <v>8.484965000000001</v>
      </c>
      <c r="N147" s="1754" t="n">
        <v>57994.735775</v>
      </c>
      <c r="O147" s="1755" t="inlineStr">
        <is>
          <t>Quantidades resumo de projetos</t>
        </is>
      </c>
      <c r="P147" s="1721" t="inlineStr">
        <is>
          <t>Pendente</t>
        </is>
      </c>
    </row>
    <row r="148" hidden="1" outlineLevel="2" ht="13.5" customHeight="1">
      <c r="A148" s="2117" t="n">
        <v>0</v>
      </c>
      <c r="B148" s="2117" t="n">
        <v>4</v>
      </c>
      <c r="C148" s="2117" t="n">
        <v>3</v>
      </c>
      <c r="D148" s="2118" t="n">
        <v>2</v>
      </c>
      <c r="E148" s="2118" t="n">
        <v>0</v>
      </c>
      <c r="G148" s="1740" t="n"/>
      <c r="H148" s="1741" t="inlineStr">
        <is>
          <t>SUBETAPA</t>
        </is>
      </c>
      <c r="I148" s="1742" t="inlineStr">
        <is>
          <t>04.003.002</t>
        </is>
      </c>
      <c r="J148" s="1743" t="inlineStr">
        <is>
          <t>Armadura - G1</t>
        </is>
      </c>
      <c r="K148" s="1744" t="n"/>
      <c r="L148" s="1745" t="n"/>
      <c r="M148" s="1745" t="n"/>
      <c r="N148" s="1746" t="n">
        <v>541257.6637715159</v>
      </c>
      <c r="O148" s="1747" t="n">
        <v>32.3145270188318</v>
      </c>
      <c r="P148" s="1720" t="n"/>
    </row>
    <row r="149" hidden="1" outlineLevel="3" ht="13.5" customHeight="1">
      <c r="A149" s="2117" t="n">
        <v>0</v>
      </c>
      <c r="B149" s="2117" t="n">
        <v>4</v>
      </c>
      <c r="C149" s="2117" t="n">
        <v>3</v>
      </c>
      <c r="D149" s="2118" t="n">
        <v>2</v>
      </c>
      <c r="E149" s="2118" t="n">
        <v>1</v>
      </c>
      <c r="G149" s="1748" t="inlineStr">
        <is>
          <t>SUPRAESTRUTURA</t>
        </is>
      </c>
      <c r="H149" s="1749" t="inlineStr">
        <is>
          <t>SERVIÇO</t>
        </is>
      </c>
      <c r="I149" s="1750" t="inlineStr">
        <is>
          <t>04.003.002.001</t>
        </is>
      </c>
      <c r="J149" s="1751" t="inlineStr">
        <is>
          <t>Armação Aço CA-60, Diâmetro de 5,0mm para Supraestrutura, Corte e dobra em Indústria</t>
        </is>
      </c>
      <c r="K149" s="1752" t="inlineStr">
        <is>
          <t>kg</t>
        </is>
      </c>
      <c r="L149" s="1753" t="n">
        <v>5</v>
      </c>
      <c r="M149" s="1753" t="n">
        <v>8.964965000000001</v>
      </c>
      <c r="N149" s="1754" t="n">
        <v>44.824825</v>
      </c>
      <c r="O149" s="1755" t="inlineStr">
        <is>
          <t>Quantidades resumo de projetos</t>
        </is>
      </c>
      <c r="P149" s="1721" t="inlineStr">
        <is>
          <t>Pendente</t>
        </is>
      </c>
    </row>
    <row r="150" hidden="1" outlineLevel="3" ht="13.5" customHeight="1">
      <c r="A150" s="2117" t="n">
        <v>0</v>
      </c>
      <c r="B150" s="2117" t="n">
        <v>4</v>
      </c>
      <c r="C150" s="2117" t="n">
        <v>3</v>
      </c>
      <c r="D150" s="2118" t="n">
        <v>2</v>
      </c>
      <c r="E150" s="2118" t="n">
        <v>2</v>
      </c>
      <c r="G150" s="1748" t="inlineStr">
        <is>
          <t>SUPRAESTRUTURA</t>
        </is>
      </c>
      <c r="H150" s="1749" t="inlineStr">
        <is>
          <t>SERVIÇO</t>
        </is>
      </c>
      <c r="I150" s="1750" t="inlineStr">
        <is>
          <t>04.003.002.002</t>
        </is>
      </c>
      <c r="J150" s="1751" t="inlineStr">
        <is>
          <t>Armação Aço CA-50, Diâmetro de 6,3mm para Supraestrutura, Corte e dobra em Indústria</t>
        </is>
      </c>
      <c r="K150" s="1752" t="inlineStr">
        <is>
          <t>kg</t>
        </is>
      </c>
      <c r="L150" s="1753" t="n">
        <v>1050.454545454545</v>
      </c>
      <c r="M150" s="1753" t="n">
        <v>8.964965000000001</v>
      </c>
      <c r="N150" s="1754" t="n">
        <v>9417.288234090909</v>
      </c>
      <c r="O150" s="1755" t="inlineStr">
        <is>
          <t>Quantidades resumo de projetos</t>
        </is>
      </c>
      <c r="P150" s="1721" t="inlineStr">
        <is>
          <t>Pendente</t>
        </is>
      </c>
    </row>
    <row r="151" hidden="1" outlineLevel="3" ht="13.5" customHeight="1">
      <c r="A151" s="2117" t="n">
        <v>0</v>
      </c>
      <c r="B151" s="2117" t="n">
        <v>4</v>
      </c>
      <c r="C151" s="2117" t="n">
        <v>3</v>
      </c>
      <c r="D151" s="2118" t="n">
        <v>2</v>
      </c>
      <c r="E151" s="2118" t="n">
        <v>3</v>
      </c>
      <c r="G151" s="1748" t="inlineStr">
        <is>
          <t>SUPRAESTRUTURA</t>
        </is>
      </c>
      <c r="H151" s="1749" t="inlineStr">
        <is>
          <t>SERVIÇO</t>
        </is>
      </c>
      <c r="I151" s="1750" t="inlineStr">
        <is>
          <t>04.003.002.003</t>
        </is>
      </c>
      <c r="J151" s="1751" t="inlineStr">
        <is>
          <t>Armação Aço CA-50, Diâmetro de 8,0mm para Supraestrutura, Corte e dobra em Indústria</t>
        </is>
      </c>
      <c r="K151" s="1752" t="inlineStr">
        <is>
          <t>kg</t>
        </is>
      </c>
      <c r="L151" s="1753" t="n">
        <v>5136.272727272727</v>
      </c>
      <c r="M151" s="1753" t="n">
        <v>8.964965000000001</v>
      </c>
      <c r="N151" s="1754" t="n">
        <v>46046.5052304545</v>
      </c>
      <c r="O151" s="1755" t="inlineStr">
        <is>
          <t>Quantidades resumo de projetos</t>
        </is>
      </c>
      <c r="P151" s="1721" t="inlineStr">
        <is>
          <t>Pendente</t>
        </is>
      </c>
    </row>
    <row r="152" hidden="1" outlineLevel="3" ht="13.5" customHeight="1">
      <c r="A152" s="2117" t="n">
        <v>0</v>
      </c>
      <c r="B152" s="2117" t="n">
        <v>4</v>
      </c>
      <c r="C152" s="2117" t="n">
        <v>3</v>
      </c>
      <c r="D152" s="2118" t="n">
        <v>2</v>
      </c>
      <c r="E152" s="2118" t="n">
        <v>4</v>
      </c>
      <c r="G152" s="1748" t="inlineStr">
        <is>
          <t>SUPRAESTRUTURA</t>
        </is>
      </c>
      <c r="H152" s="1749" t="inlineStr">
        <is>
          <t>SERVIÇO</t>
        </is>
      </c>
      <c r="I152" s="1750" t="inlineStr">
        <is>
          <t>04.003.002.004</t>
        </is>
      </c>
      <c r="J152" s="1751" t="inlineStr">
        <is>
          <t>Armação Aço CA-50, Diâmetro de 10,0mm para Supraestrutura, Corte e dobra em Indústria</t>
        </is>
      </c>
      <c r="K152" s="1752" t="inlineStr">
        <is>
          <t>kg</t>
        </is>
      </c>
      <c r="L152" s="1753" t="n">
        <v>8109.454545454545</v>
      </c>
      <c r="M152" s="1753" t="n">
        <v>8.964965000000001</v>
      </c>
      <c r="N152" s="1754" t="n">
        <v>72700.97616909091</v>
      </c>
      <c r="O152" s="1755" t="inlineStr">
        <is>
          <t>Quantidades resumo de projetos</t>
        </is>
      </c>
      <c r="P152" s="1721" t="inlineStr">
        <is>
          <t>Pendente</t>
        </is>
      </c>
    </row>
    <row r="153" hidden="1" outlineLevel="3" ht="13.5" customHeight="1">
      <c r="A153" s="2117" t="n">
        <v>0</v>
      </c>
      <c r="B153" s="2117" t="n">
        <v>4</v>
      </c>
      <c r="C153" s="2117" t="n">
        <v>3</v>
      </c>
      <c r="D153" s="2118" t="n">
        <v>2</v>
      </c>
      <c r="E153" s="2118" t="n">
        <v>5</v>
      </c>
      <c r="G153" s="1748" t="inlineStr">
        <is>
          <t>SUPRAESTRUTURA</t>
        </is>
      </c>
      <c r="H153" s="1749" t="inlineStr">
        <is>
          <t>SERVIÇO</t>
        </is>
      </c>
      <c r="I153" s="1750" t="inlineStr">
        <is>
          <t>04.003.002.005</t>
        </is>
      </c>
      <c r="J153" s="1751" t="inlineStr">
        <is>
          <t>Armação Aço CA-50, Diâmetro de 12,5mm para Supraestrutura, Corte e dobra em Indústria</t>
        </is>
      </c>
      <c r="K153" s="1752" t="inlineStr">
        <is>
          <t>kg</t>
        </is>
      </c>
      <c r="L153" s="1753" t="n">
        <v>9698.09090909091</v>
      </c>
      <c r="M153" s="1753" t="n">
        <v>8.484965000000001</v>
      </c>
      <c r="N153" s="1754" t="n">
        <v>82287.96193045461</v>
      </c>
      <c r="O153" s="1755" t="inlineStr">
        <is>
          <t>Quantidades resumo de projetos</t>
        </is>
      </c>
      <c r="P153" s="1721" t="inlineStr">
        <is>
          <t>Pendente</t>
        </is>
      </c>
    </row>
    <row r="154" hidden="1" outlineLevel="3" ht="13.5" customHeight="1">
      <c r="A154" s="2117" t="n">
        <v>0</v>
      </c>
      <c r="B154" s="2117" t="n">
        <v>4</v>
      </c>
      <c r="C154" s="2117" t="n">
        <v>3</v>
      </c>
      <c r="D154" s="2118" t="n">
        <v>2</v>
      </c>
      <c r="E154" s="2118" t="n">
        <v>6</v>
      </c>
      <c r="G154" s="1748" t="inlineStr">
        <is>
          <t>SUPRAESTRUTURA</t>
        </is>
      </c>
      <c r="H154" s="1749" t="inlineStr">
        <is>
          <t>SERVIÇO</t>
        </is>
      </c>
      <c r="I154" s="1750" t="inlineStr">
        <is>
          <t>04.003.002.006</t>
        </is>
      </c>
      <c r="J154" s="1751" t="inlineStr">
        <is>
          <t>Armação Aço CA-50, Diâmetro de 16,0mm para Supraestrutura, Corte e dobra em Indústria</t>
        </is>
      </c>
      <c r="K154" s="1752" t="inlineStr">
        <is>
          <t>kg</t>
        </is>
      </c>
      <c r="L154" s="1753" t="n">
        <v>2976.181818181818</v>
      </c>
      <c r="M154" s="1753" t="n">
        <v>8.484965000000001</v>
      </c>
      <c r="N154" s="1754" t="n">
        <v>25252.7985609091</v>
      </c>
      <c r="O154" s="1755" t="inlineStr">
        <is>
          <t>Quantidades resumo de projetos</t>
        </is>
      </c>
      <c r="P154" s="1721" t="inlineStr">
        <is>
          <t>Pendente</t>
        </is>
      </c>
    </row>
    <row r="155" hidden="1" outlineLevel="3" ht="13.5" customHeight="1">
      <c r="A155" s="2117" t="n">
        <v>0</v>
      </c>
      <c r="B155" s="2117" t="n">
        <v>4</v>
      </c>
      <c r="C155" s="2117" t="n">
        <v>3</v>
      </c>
      <c r="D155" s="2118" t="n">
        <v>2</v>
      </c>
      <c r="E155" s="2118" t="n">
        <v>7</v>
      </c>
      <c r="G155" s="1748" t="inlineStr">
        <is>
          <t>SUPRAESTRUTURA</t>
        </is>
      </c>
      <c r="H155" s="1749" t="inlineStr">
        <is>
          <t>SERVIÇO</t>
        </is>
      </c>
      <c r="I155" s="1750" t="inlineStr">
        <is>
          <t>04.003.002.007</t>
        </is>
      </c>
      <c r="J155" s="1751" t="inlineStr">
        <is>
          <t>Armação Aço CA-50, Diâmetro de 20,0mm para Supraestrutura, Corte e dobra em Indústria</t>
        </is>
      </c>
      <c r="K155" s="1752" t="inlineStr">
        <is>
          <t>kg</t>
        </is>
      </c>
      <c r="L155" s="1753" t="n">
        <v>2261</v>
      </c>
      <c r="M155" s="1753" t="n">
        <v>8.484965000000001</v>
      </c>
      <c r="N155" s="1754" t="n">
        <v>19184.505865</v>
      </c>
      <c r="O155" s="1755" t="inlineStr">
        <is>
          <t>Quantidades resumo de projetos</t>
        </is>
      </c>
      <c r="P155" s="1721" t="inlineStr">
        <is>
          <t>Pendente</t>
        </is>
      </c>
    </row>
    <row r="156" hidden="1" outlineLevel="3" ht="13.5" customHeight="1">
      <c r="A156" s="2117" t="n">
        <v>0</v>
      </c>
      <c r="B156" s="2117" t="n">
        <v>4</v>
      </c>
      <c r="C156" s="2117" t="n">
        <v>3</v>
      </c>
      <c r="D156" s="2118" t="n">
        <v>2</v>
      </c>
      <c r="E156" s="2118" t="n">
        <v>8</v>
      </c>
      <c r="G156" s="1748" t="inlineStr">
        <is>
          <t>SUPRAESTRUTURA</t>
        </is>
      </c>
      <c r="H156" s="1749" t="inlineStr">
        <is>
          <t>SERVIÇO</t>
        </is>
      </c>
      <c r="I156" s="1750" t="inlineStr">
        <is>
          <t>04.003.002.008</t>
        </is>
      </c>
      <c r="J156" s="1751" t="inlineStr">
        <is>
          <t>Armação Aço CA-50, Diâmetro de 25,0mm para Supraestrutura, Corte e dobra em Indústria</t>
        </is>
      </c>
      <c r="K156" s="1752" t="inlineStr">
        <is>
          <t>kg</t>
        </is>
      </c>
      <c r="L156" s="1753" t="n">
        <v>9744</v>
      </c>
      <c r="M156" s="1753" t="n">
        <v>8.484965000000001</v>
      </c>
      <c r="N156" s="1754" t="n">
        <v>82677.49896</v>
      </c>
      <c r="O156" s="1755" t="inlineStr">
        <is>
          <t>Quantidades resumo de projetos</t>
        </is>
      </c>
      <c r="P156" s="1721" t="inlineStr">
        <is>
          <t>Pendente</t>
        </is>
      </c>
    </row>
    <row r="157" hidden="1" outlineLevel="3" ht="13.5" customHeight="1">
      <c r="A157" s="2117" t="n">
        <v>0</v>
      </c>
      <c r="B157" s="2117" t="n">
        <v>4</v>
      </c>
      <c r="C157" s="2117" t="n">
        <v>3</v>
      </c>
      <c r="D157" s="2118" t="n">
        <v>2</v>
      </c>
      <c r="E157" s="2118" t="n">
        <v>9</v>
      </c>
      <c r="G157" s="1748" t="inlineStr">
        <is>
          <t>SUPRAESTRUTURA</t>
        </is>
      </c>
      <c r="H157" s="1749" t="inlineStr">
        <is>
          <t>SERVIÇO</t>
        </is>
      </c>
      <c r="I157" s="1750" t="inlineStr">
        <is>
          <t>04.003.002.009</t>
        </is>
      </c>
      <c r="J157" s="1751" t="inlineStr">
        <is>
          <t>Armação Aço CA-50, Diâmetro de 32,0mm para Supraestrutura, Corte e dobra em Indústria</t>
        </is>
      </c>
      <c r="K157" s="1752" t="inlineStr">
        <is>
          <t>kg</t>
        </is>
      </c>
      <c r="L157" s="1753" t="n">
        <v>20469</v>
      </c>
      <c r="M157" s="1753" t="n">
        <v>9.948962039988071</v>
      </c>
      <c r="N157" s="1754" t="n">
        <v>203645.303996516</v>
      </c>
      <c r="O157" s="1755" t="inlineStr">
        <is>
          <t>Quantidades resumo de projetos</t>
        </is>
      </c>
      <c r="P157" s="1721" t="inlineStr">
        <is>
          <t>Pendente</t>
        </is>
      </c>
    </row>
    <row r="158" hidden="1" outlineLevel="2" ht="13.5" customHeight="1">
      <c r="A158" s="2117" t="n">
        <v>0</v>
      </c>
      <c r="B158" s="2117" t="n">
        <v>4</v>
      </c>
      <c r="C158" s="2117" t="n">
        <v>3</v>
      </c>
      <c r="D158" s="2118" t="n">
        <v>3</v>
      </c>
      <c r="E158" s="2118" t="n">
        <v>0</v>
      </c>
      <c r="G158" s="1740" t="n"/>
      <c r="H158" s="1741" t="inlineStr">
        <is>
          <t>SUBETAPA</t>
        </is>
      </c>
      <c r="I158" s="1742" t="inlineStr">
        <is>
          <t>04.003.003</t>
        </is>
      </c>
      <c r="J158" s="1743" t="inlineStr">
        <is>
          <t>Armadura - G2</t>
        </is>
      </c>
      <c r="K158" s="1744" t="n"/>
      <c r="L158" s="1745" t="n"/>
      <c r="M158" s="1745" t="n"/>
      <c r="N158" s="1746" t="n">
        <v>441888.159052384</v>
      </c>
      <c r="O158" s="1747" t="n">
        <v>26.3819023928462</v>
      </c>
      <c r="P158" s="1720" t="n"/>
    </row>
    <row r="159" hidden="1" outlineLevel="3" ht="13.5" customHeight="1">
      <c r="A159" s="2117" t="n">
        <v>0</v>
      </c>
      <c r="B159" s="2117" t="n">
        <v>4</v>
      </c>
      <c r="C159" s="2117" t="n">
        <v>3</v>
      </c>
      <c r="D159" s="2118" t="n">
        <v>3</v>
      </c>
      <c r="E159" s="2118" t="n">
        <v>1</v>
      </c>
      <c r="G159" s="1748" t="inlineStr">
        <is>
          <t>SUPRAESTRUTURA</t>
        </is>
      </c>
      <c r="H159" s="1749" t="inlineStr">
        <is>
          <t>SERVIÇO</t>
        </is>
      </c>
      <c r="I159" s="1750" t="inlineStr">
        <is>
          <t>04.003.003.001</t>
        </is>
      </c>
      <c r="J159" s="1751" t="inlineStr">
        <is>
          <t>Armação Aço CA-60, Diâmetro de 5,0mm para Supraestrutura, Corte e dobra em Indústria</t>
        </is>
      </c>
      <c r="K159" s="1752" t="inlineStr">
        <is>
          <t>kg</t>
        </is>
      </c>
      <c r="L159" s="1753" t="n">
        <v>1</v>
      </c>
      <c r="M159" s="1753" t="n">
        <v>8.964965000000001</v>
      </c>
      <c r="N159" s="1754" t="n">
        <v>8.964964999999999</v>
      </c>
      <c r="O159" s="1755" t="inlineStr">
        <is>
          <t>Quantidades resumo de projetos</t>
        </is>
      </c>
      <c r="P159" s="1721" t="inlineStr">
        <is>
          <t>Pendente</t>
        </is>
      </c>
    </row>
    <row r="160" hidden="1" outlineLevel="3" ht="13.5" customHeight="1">
      <c r="A160" s="2117" t="n">
        <v>0</v>
      </c>
      <c r="B160" s="2117" t="n">
        <v>4</v>
      </c>
      <c r="C160" s="2117" t="n">
        <v>3</v>
      </c>
      <c r="D160" s="2118" t="n">
        <v>3</v>
      </c>
      <c r="E160" s="2118" t="n">
        <v>2</v>
      </c>
      <c r="G160" s="1748" t="inlineStr">
        <is>
          <t>SUPRAESTRUTURA</t>
        </is>
      </c>
      <c r="H160" s="1749" t="inlineStr">
        <is>
          <t>SERVIÇO</t>
        </is>
      </c>
      <c r="I160" s="1750" t="inlineStr">
        <is>
          <t>04.003.003.002</t>
        </is>
      </c>
      <c r="J160" s="1751" t="inlineStr">
        <is>
          <t>Armação Aço CA-50, Diâmetro de 6,3mm para Supraestrutura, Corte e dobra em Indústria</t>
        </is>
      </c>
      <c r="K160" s="1752" t="inlineStr">
        <is>
          <t>kg</t>
        </is>
      </c>
      <c r="L160" s="1753" t="n">
        <v>1571.181818181818</v>
      </c>
      <c r="M160" s="1753" t="n">
        <v>8.964965000000001</v>
      </c>
      <c r="N160" s="1754" t="n">
        <v>14085.5900086364</v>
      </c>
      <c r="O160" s="1755" t="inlineStr">
        <is>
          <t>Quantidades resumo de projetos</t>
        </is>
      </c>
      <c r="P160" s="1721" t="inlineStr">
        <is>
          <t>Pendente</t>
        </is>
      </c>
    </row>
    <row r="161" hidden="1" outlineLevel="3" ht="13.5" customHeight="1">
      <c r="A161" s="2117" t="n">
        <v>0</v>
      </c>
      <c r="B161" s="2117" t="n">
        <v>4</v>
      </c>
      <c r="C161" s="2117" t="n">
        <v>3</v>
      </c>
      <c r="D161" s="2118" t="n">
        <v>3</v>
      </c>
      <c r="E161" s="2118" t="n">
        <v>3</v>
      </c>
      <c r="G161" s="1748" t="inlineStr">
        <is>
          <t>SUPRAESTRUTURA</t>
        </is>
      </c>
      <c r="H161" s="1749" t="inlineStr">
        <is>
          <t>SERVIÇO</t>
        </is>
      </c>
      <c r="I161" s="1750" t="inlineStr">
        <is>
          <t>04.003.003.003</t>
        </is>
      </c>
      <c r="J161" s="1751" t="inlineStr">
        <is>
          <t>Armação Aço CA-50, Diâmetro de 8,0mm para Supraestrutura, Corte e dobra em Indústria</t>
        </is>
      </c>
      <c r="K161" s="1752" t="inlineStr">
        <is>
          <t>kg</t>
        </is>
      </c>
      <c r="L161" s="1753" t="n">
        <v>8053.363636363636</v>
      </c>
      <c r="M161" s="1753" t="n">
        <v>8.964965000000001</v>
      </c>
      <c r="N161" s="1754" t="n">
        <v>72198.1231322727</v>
      </c>
      <c r="O161" s="1755" t="inlineStr">
        <is>
          <t>Quantidades resumo de projetos</t>
        </is>
      </c>
      <c r="P161" s="1721" t="inlineStr">
        <is>
          <t>Pendente</t>
        </is>
      </c>
    </row>
    <row r="162" hidden="1" outlineLevel="3" ht="13.5" customHeight="1">
      <c r="A162" s="2117" t="n">
        <v>0</v>
      </c>
      <c r="B162" s="2117" t="n">
        <v>4</v>
      </c>
      <c r="C162" s="2117" t="n">
        <v>3</v>
      </c>
      <c r="D162" s="2118" t="n">
        <v>3</v>
      </c>
      <c r="E162" s="2118" t="n">
        <v>4</v>
      </c>
      <c r="G162" s="1748" t="inlineStr">
        <is>
          <t>SUPRAESTRUTURA</t>
        </is>
      </c>
      <c r="H162" s="1749" t="inlineStr">
        <is>
          <t>SERVIÇO</t>
        </is>
      </c>
      <c r="I162" s="1750" t="inlineStr">
        <is>
          <t>04.003.003.004</t>
        </is>
      </c>
      <c r="J162" s="1751" t="inlineStr">
        <is>
          <t>Armação Aço CA-50, Diâmetro de 10,0mm para Supraestrutura, Corte e dobra em Indústria</t>
        </is>
      </c>
      <c r="K162" s="1752" t="inlineStr">
        <is>
          <t>kg</t>
        </is>
      </c>
      <c r="L162" s="1753" t="n">
        <v>6913.727272727273</v>
      </c>
      <c r="M162" s="1753" t="n">
        <v>8.964965000000001</v>
      </c>
      <c r="N162" s="1754" t="n">
        <v>61981.3230195455</v>
      </c>
      <c r="O162" s="1755" t="inlineStr">
        <is>
          <t>Quantidades resumo de projetos</t>
        </is>
      </c>
      <c r="P162" s="1721" t="inlineStr">
        <is>
          <t>Pendente</t>
        </is>
      </c>
    </row>
    <row r="163" hidden="1" outlineLevel="3" ht="13.5" customHeight="1">
      <c r="A163" s="2117" t="n">
        <v>0</v>
      </c>
      <c r="B163" s="2117" t="n">
        <v>4</v>
      </c>
      <c r="C163" s="2117" t="n">
        <v>3</v>
      </c>
      <c r="D163" s="2118" t="n">
        <v>3</v>
      </c>
      <c r="E163" s="2118" t="n">
        <v>5</v>
      </c>
      <c r="G163" s="1748" t="inlineStr">
        <is>
          <t>SUPRAESTRUTURA</t>
        </is>
      </c>
      <c r="H163" s="1749" t="inlineStr">
        <is>
          <t>SERVIÇO</t>
        </is>
      </c>
      <c r="I163" s="1750" t="inlineStr">
        <is>
          <t>04.003.003.005</t>
        </is>
      </c>
      <c r="J163" s="1751" t="inlineStr">
        <is>
          <t>Armação Aço CA-50, Diâmetro de 12,5mm para Supraestrutura, Corte e dobra em Indústria</t>
        </is>
      </c>
      <c r="K163" s="1752" t="inlineStr">
        <is>
          <t>kg</t>
        </is>
      </c>
      <c r="L163" s="1753" t="n">
        <v>5969.545454545455</v>
      </c>
      <c r="M163" s="1753" t="n">
        <v>8.484965000000001</v>
      </c>
      <c r="N163" s="1754" t="n">
        <v>50651.3842477273</v>
      </c>
      <c r="O163" s="1755" t="inlineStr">
        <is>
          <t>Quantidades resumo de projetos</t>
        </is>
      </c>
      <c r="P163" s="1721" t="inlineStr">
        <is>
          <t>Pendente</t>
        </is>
      </c>
    </row>
    <row r="164" hidden="1" outlineLevel="3" ht="13.5" customHeight="1">
      <c r="A164" s="2117" t="n">
        <v>0</v>
      </c>
      <c r="B164" s="2117" t="n">
        <v>4</v>
      </c>
      <c r="C164" s="2117" t="n">
        <v>3</v>
      </c>
      <c r="D164" s="2118" t="n">
        <v>3</v>
      </c>
      <c r="E164" s="2118" t="n">
        <v>6</v>
      </c>
      <c r="G164" s="1748" t="inlineStr">
        <is>
          <t>SUPRAESTRUTURA</t>
        </is>
      </c>
      <c r="H164" s="1749" t="inlineStr">
        <is>
          <t>SERVIÇO</t>
        </is>
      </c>
      <c r="I164" s="1750" t="inlineStr">
        <is>
          <t>04.003.003.006</t>
        </is>
      </c>
      <c r="J164" s="1751" t="inlineStr">
        <is>
          <t>Armação Aço CA-50, Diâmetro de 16,0mm para Supraestrutura, Corte e dobra em Indústria</t>
        </is>
      </c>
      <c r="K164" s="1752" t="inlineStr">
        <is>
          <t>kg</t>
        </is>
      </c>
      <c r="L164" s="1753" t="n">
        <v>4418.272727272727</v>
      </c>
      <c r="M164" s="1753" t="n">
        <v>8.484965000000001</v>
      </c>
      <c r="N164" s="1754" t="n">
        <v>37488.8894513636</v>
      </c>
      <c r="O164" s="1755" t="inlineStr">
        <is>
          <t>Quantidades resumo de projetos</t>
        </is>
      </c>
      <c r="P164" s="1721" t="inlineStr">
        <is>
          <t>Pendente</t>
        </is>
      </c>
    </row>
    <row r="165" hidden="1" outlineLevel="3" ht="13.5" customHeight="1">
      <c r="A165" s="2117" t="n">
        <v>0</v>
      </c>
      <c r="B165" s="2117" t="n">
        <v>4</v>
      </c>
      <c r="C165" s="2117" t="n">
        <v>3</v>
      </c>
      <c r="D165" s="2118" t="n">
        <v>3</v>
      </c>
      <c r="E165" s="2118" t="n">
        <v>7</v>
      </c>
      <c r="G165" s="1748" t="inlineStr">
        <is>
          <t>SUPRAESTRUTURA</t>
        </is>
      </c>
      <c r="H165" s="1749" t="inlineStr">
        <is>
          <t>SERVIÇO</t>
        </is>
      </c>
      <c r="I165" s="1750" t="inlineStr">
        <is>
          <t>04.003.003.007</t>
        </is>
      </c>
      <c r="J165" s="1751" t="inlineStr">
        <is>
          <t>Armação Aço CA-50, Diâmetro de 20,0mm para Supraestrutura, Corte e dobra em Indústria</t>
        </is>
      </c>
      <c r="K165" s="1752" t="inlineStr">
        <is>
          <t>kg</t>
        </is>
      </c>
      <c r="L165" s="1753" t="n">
        <v>1396</v>
      </c>
      <c r="M165" s="1753" t="n">
        <v>8.484965000000001</v>
      </c>
      <c r="N165" s="1754" t="n">
        <v>11845.01114</v>
      </c>
      <c r="O165" s="1755" t="inlineStr">
        <is>
          <t>Quantidades resumo de projetos</t>
        </is>
      </c>
      <c r="P165" s="1721" t="inlineStr">
        <is>
          <t>Pendente</t>
        </is>
      </c>
    </row>
    <row r="166" hidden="1" outlineLevel="3" ht="13.5" customHeight="1">
      <c r="A166" s="2117" t="n">
        <v>0</v>
      </c>
      <c r="B166" s="2117" t="n">
        <v>4</v>
      </c>
      <c r="C166" s="2117" t="n">
        <v>3</v>
      </c>
      <c r="D166" s="2118" t="n">
        <v>3</v>
      </c>
      <c r="E166" s="2118" t="n">
        <v>8</v>
      </c>
      <c r="G166" s="1748" t="inlineStr">
        <is>
          <t>SUPRAESTRUTURA</t>
        </is>
      </c>
      <c r="H166" s="1749" t="inlineStr">
        <is>
          <t>SERVIÇO</t>
        </is>
      </c>
      <c r="I166" s="1750" t="inlineStr">
        <is>
          <t>04.003.003.008</t>
        </is>
      </c>
      <c r="J166" s="1751" t="inlineStr">
        <is>
          <t>Armação Aço CA-50, Diâmetro de 25,0mm para Supraestrutura, Corte e dobra em Indústria</t>
        </is>
      </c>
      <c r="K166" s="1752" t="inlineStr">
        <is>
          <t>kg</t>
        </is>
      </c>
      <c r="L166" s="1753" t="n">
        <v>6903</v>
      </c>
      <c r="M166" s="1753" t="n">
        <v>8.484965000000001</v>
      </c>
      <c r="N166" s="1754" t="n">
        <v>58571.713395</v>
      </c>
      <c r="O166" s="1755" t="inlineStr">
        <is>
          <t>Quantidades resumo de projetos</t>
        </is>
      </c>
      <c r="P166" s="1721" t="inlineStr">
        <is>
          <t>Pendente</t>
        </is>
      </c>
    </row>
    <row r="167" hidden="1" outlineLevel="3" ht="13.5" customHeight="1">
      <c r="A167" s="2117" t="n">
        <v>0</v>
      </c>
      <c r="B167" s="2117" t="n">
        <v>4</v>
      </c>
      <c r="C167" s="2117" t="n">
        <v>3</v>
      </c>
      <c r="D167" s="2118" t="n">
        <v>3</v>
      </c>
      <c r="E167" s="2118" t="n">
        <v>9</v>
      </c>
      <c r="G167" s="1748" t="inlineStr">
        <is>
          <t>SUPRAESTRUTURA</t>
        </is>
      </c>
      <c r="H167" s="1749" t="inlineStr">
        <is>
          <t>SERVIÇO</t>
        </is>
      </c>
      <c r="I167" s="1750" t="inlineStr">
        <is>
          <t>04.003.003.009</t>
        </is>
      </c>
      <c r="J167" s="1751" t="inlineStr">
        <is>
          <t>Armação Aço CA-50, Diâmetro de 32,0mm para Supraestrutura, Corte e dobra em Indústria</t>
        </is>
      </c>
      <c r="K167" s="1752" t="inlineStr">
        <is>
          <t>kg</t>
        </is>
      </c>
      <c r="L167" s="1753" t="n">
        <v>13575</v>
      </c>
      <c r="M167" s="1753" t="n">
        <v>9.948962039988071</v>
      </c>
      <c r="N167" s="1754" t="n">
        <v>135057.159692838</v>
      </c>
      <c r="O167" s="1755" t="inlineStr">
        <is>
          <t>Quantidades resumo de projetos</t>
        </is>
      </c>
      <c r="P167" s="1721" t="inlineStr">
        <is>
          <t>Pendente</t>
        </is>
      </c>
    </row>
    <row r="168" hidden="1" outlineLevel="2" ht="13.5" customHeight="1">
      <c r="A168" s="2117" t="n">
        <v>0</v>
      </c>
      <c r="B168" s="2117" t="n">
        <v>4</v>
      </c>
      <c r="C168" s="2117" t="n">
        <v>3</v>
      </c>
      <c r="D168" s="2118" t="n">
        <v>4</v>
      </c>
      <c r="E168" s="2118" t="n">
        <v>0</v>
      </c>
      <c r="G168" s="1740" t="n"/>
      <c r="H168" s="1741" t="inlineStr">
        <is>
          <t>SUBETAPA</t>
        </is>
      </c>
      <c r="I168" s="1742" t="inlineStr">
        <is>
          <t>04.003.004</t>
        </is>
      </c>
      <c r="J168" s="1743" t="inlineStr">
        <is>
          <t>Armadura - G3</t>
        </is>
      </c>
      <c r="K168" s="1744" t="n"/>
      <c r="L168" s="1745" t="n"/>
      <c r="M168" s="1745" t="n"/>
      <c r="N168" s="1746" t="n">
        <v>315085.527446319</v>
      </c>
      <c r="O168" s="1747" t="n">
        <v>18.8114468790322</v>
      </c>
      <c r="P168" s="1720" t="n"/>
    </row>
    <row r="169" hidden="1" outlineLevel="3" ht="13.5" customHeight="1">
      <c r="A169" s="2117" t="n">
        <v>0</v>
      </c>
      <c r="B169" s="2117" t="n">
        <v>4</v>
      </c>
      <c r="C169" s="2117" t="n">
        <v>3</v>
      </c>
      <c r="D169" s="2118" t="n">
        <v>4</v>
      </c>
      <c r="E169" s="2118" t="n">
        <v>1</v>
      </c>
      <c r="G169" s="1748" t="inlineStr">
        <is>
          <t>SUPRAESTRUTURA</t>
        </is>
      </c>
      <c r="H169" s="1749" t="inlineStr">
        <is>
          <t>SERVIÇO</t>
        </is>
      </c>
      <c r="I169" s="1750" t="inlineStr">
        <is>
          <t>04.003.004.001</t>
        </is>
      </c>
      <c r="J169" s="1751" t="inlineStr">
        <is>
          <t>Armação Aço CA-60, Diâmetro de 5,0mm para Supraestrutura, Corte e dobra em Indústria</t>
        </is>
      </c>
      <c r="K169" s="1752" t="inlineStr">
        <is>
          <t>kg</t>
        </is>
      </c>
      <c r="L169" s="1753" t="n">
        <v>206.4653182701653</v>
      </c>
      <c r="M169" s="1753" t="n">
        <v>8.964965000000001</v>
      </c>
      <c r="N169" s="1754" t="n">
        <v>1850.95435200589</v>
      </c>
      <c r="O169" s="1755" t="inlineStr">
        <is>
          <t>Quantidades resumo de projetos</t>
        </is>
      </c>
      <c r="P169" s="1721" t="inlineStr">
        <is>
          <t>Pendente</t>
        </is>
      </c>
    </row>
    <row r="170" hidden="1" outlineLevel="3" ht="13.5" customHeight="1">
      <c r="A170" s="2117" t="n">
        <v>0</v>
      </c>
      <c r="B170" s="2117" t="n">
        <v>4</v>
      </c>
      <c r="C170" s="2117" t="n">
        <v>3</v>
      </c>
      <c r="D170" s="2118" t="n">
        <v>4</v>
      </c>
      <c r="E170" s="2118" t="n">
        <v>2</v>
      </c>
      <c r="G170" s="1748" t="inlineStr">
        <is>
          <t>SUPRAESTRUTURA</t>
        </is>
      </c>
      <c r="H170" s="1749" t="inlineStr">
        <is>
          <t>SERVIÇO</t>
        </is>
      </c>
      <c r="I170" s="1750" t="inlineStr">
        <is>
          <t>04.003.004.002</t>
        </is>
      </c>
      <c r="J170" s="1751" t="inlineStr">
        <is>
          <t>Armação Aço CA-50, Diâmetro de 6,3mm para Supraestrutura, Corte e dobra em Indústria</t>
        </is>
      </c>
      <c r="K170" s="1752" t="inlineStr">
        <is>
          <t>kg</t>
        </is>
      </c>
      <c r="L170" s="1753" t="n">
        <v>2315.679361030126</v>
      </c>
      <c r="M170" s="1753" t="n">
        <v>8.964965000000001</v>
      </c>
      <c r="N170" s="1754" t="n">
        <v>20759.9844228574</v>
      </c>
      <c r="O170" s="1755" t="inlineStr">
        <is>
          <t>Quantidades resumo de projetos</t>
        </is>
      </c>
      <c r="P170" s="1721" t="inlineStr">
        <is>
          <t>Pendente</t>
        </is>
      </c>
    </row>
    <row r="171" hidden="1" outlineLevel="3" ht="13.5" customHeight="1">
      <c r="A171" s="2117" t="n">
        <v>0</v>
      </c>
      <c r="B171" s="2117" t="n">
        <v>4</v>
      </c>
      <c r="C171" s="2117" t="n">
        <v>3</v>
      </c>
      <c r="D171" s="2118" t="n">
        <v>4</v>
      </c>
      <c r="E171" s="2118" t="n">
        <v>3</v>
      </c>
      <c r="G171" s="1748" t="inlineStr">
        <is>
          <t>SUPRAESTRUTURA</t>
        </is>
      </c>
      <c r="H171" s="1749" t="inlineStr">
        <is>
          <t>SERVIÇO</t>
        </is>
      </c>
      <c r="I171" s="1750" t="inlineStr">
        <is>
          <t>04.003.004.003</t>
        </is>
      </c>
      <c r="J171" s="1751" t="inlineStr">
        <is>
          <t>Armação Aço CA-50, Diâmetro de 8,0mm para Supraestrutura, Corte e dobra em Indústria</t>
        </is>
      </c>
      <c r="K171" s="1752" t="inlineStr">
        <is>
          <t>kg</t>
        </is>
      </c>
      <c r="L171" s="1753" t="n">
        <v>2559.278729348882</v>
      </c>
      <c r="M171" s="1753" t="n">
        <v>8.964965000000001</v>
      </c>
      <c r="N171" s="1754" t="n">
        <v>22943.8442338572</v>
      </c>
      <c r="O171" s="1755" t="inlineStr">
        <is>
          <t>Quantidades resumo de projetos</t>
        </is>
      </c>
      <c r="P171" s="1721" t="inlineStr">
        <is>
          <t>Pendente</t>
        </is>
      </c>
    </row>
    <row r="172" hidden="1" outlineLevel="3" ht="13.5" customHeight="1">
      <c r="A172" s="2117" t="n">
        <v>0</v>
      </c>
      <c r="B172" s="2117" t="n">
        <v>4</v>
      </c>
      <c r="C172" s="2117" t="n">
        <v>3</v>
      </c>
      <c r="D172" s="2118" t="n">
        <v>4</v>
      </c>
      <c r="E172" s="2118" t="n">
        <v>4</v>
      </c>
      <c r="G172" s="1748" t="inlineStr">
        <is>
          <t>SUPRAESTRUTURA</t>
        </is>
      </c>
      <c r="H172" s="1749" t="inlineStr">
        <is>
          <t>SERVIÇO</t>
        </is>
      </c>
      <c r="I172" s="1750" t="inlineStr">
        <is>
          <t>04.003.004.004</t>
        </is>
      </c>
      <c r="J172" s="1751" t="inlineStr">
        <is>
          <t>Armação Aço CA-50, Diâmetro de 10,0mm para Supraestrutura, Corte e dobra em Indústria</t>
        </is>
      </c>
      <c r="K172" s="1752" t="inlineStr">
        <is>
          <t>kg</t>
        </is>
      </c>
      <c r="L172" s="1753" t="n">
        <v>2909.824161807579</v>
      </c>
      <c r="M172" s="1753" t="n">
        <v>8.964965000000001</v>
      </c>
      <c r="N172" s="1754" t="n">
        <v>26086.4717667593</v>
      </c>
      <c r="O172" s="1755" t="inlineStr">
        <is>
          <t>Quantidades resumo de projetos</t>
        </is>
      </c>
      <c r="P172" s="1721" t="inlineStr">
        <is>
          <t>Pendente</t>
        </is>
      </c>
    </row>
    <row r="173" hidden="1" outlineLevel="3" ht="13.5" customHeight="1">
      <c r="A173" s="2117" t="n">
        <v>0</v>
      </c>
      <c r="B173" s="2117" t="n">
        <v>4</v>
      </c>
      <c r="C173" s="2117" t="n">
        <v>3</v>
      </c>
      <c r="D173" s="2118" t="n">
        <v>4</v>
      </c>
      <c r="E173" s="2118" t="n">
        <v>5</v>
      </c>
      <c r="G173" s="1748" t="inlineStr">
        <is>
          <t>SUPRAESTRUTURA</t>
        </is>
      </c>
      <c r="H173" s="1749" t="inlineStr">
        <is>
          <t>SERVIÇO</t>
        </is>
      </c>
      <c r="I173" s="1750" t="inlineStr">
        <is>
          <t>04.003.004.005</t>
        </is>
      </c>
      <c r="J173" s="1751" t="inlineStr">
        <is>
          <t>Armação Aço CA-50, Diâmetro de 12,5mm para Supraestrutura, Corte e dobra em Indústria</t>
        </is>
      </c>
      <c r="K173" s="1752" t="inlineStr">
        <is>
          <t>kg</t>
        </is>
      </c>
      <c r="L173" s="1753" t="n">
        <v>3293.047558309038</v>
      </c>
      <c r="M173" s="1753" t="n">
        <v>8.484965000000001</v>
      </c>
      <c r="N173" s="1754" t="n">
        <v>27941.3932755876</v>
      </c>
      <c r="O173" s="1755" t="inlineStr">
        <is>
          <t>Quantidades resumo de projetos</t>
        </is>
      </c>
      <c r="P173" s="1721" t="inlineStr">
        <is>
          <t>Pendente</t>
        </is>
      </c>
    </row>
    <row r="174" hidden="1" outlineLevel="3" ht="13.5" customHeight="1">
      <c r="A174" s="2117" t="n">
        <v>0</v>
      </c>
      <c r="B174" s="2117" t="n">
        <v>4</v>
      </c>
      <c r="C174" s="2117" t="n">
        <v>3</v>
      </c>
      <c r="D174" s="2118" t="n">
        <v>4</v>
      </c>
      <c r="E174" s="2118" t="n">
        <v>6</v>
      </c>
      <c r="G174" s="1748" t="inlineStr">
        <is>
          <t>SUPRAESTRUTURA</t>
        </is>
      </c>
      <c r="H174" s="1749" t="inlineStr">
        <is>
          <t>SERVIÇO</t>
        </is>
      </c>
      <c r="I174" s="1750" t="inlineStr">
        <is>
          <t>04.003.004.006</t>
        </is>
      </c>
      <c r="J174" s="1751" t="inlineStr">
        <is>
          <t>Armação Aço CA-50, Diâmetro de 16,0mm para Supraestrutura, Corte e dobra em Indústria</t>
        </is>
      </c>
      <c r="K174" s="1752" t="inlineStr">
        <is>
          <t>kg</t>
        </is>
      </c>
      <c r="L174" s="1753" t="n">
        <v>1103.62396744412</v>
      </c>
      <c r="M174" s="1753" t="n">
        <v>8.484965000000001</v>
      </c>
      <c r="N174" s="1754" t="n">
        <v>9364.2107369245</v>
      </c>
      <c r="O174" s="1755" t="inlineStr">
        <is>
          <t>Quantidades resumo de projetos</t>
        </is>
      </c>
      <c r="P174" s="1721" t="inlineStr">
        <is>
          <t>Pendente</t>
        </is>
      </c>
    </row>
    <row r="175" hidden="1" outlineLevel="3" ht="13.5" customHeight="1">
      <c r="A175" s="2117" t="n">
        <v>0</v>
      </c>
      <c r="B175" s="2117" t="n">
        <v>4</v>
      </c>
      <c r="C175" s="2117" t="n">
        <v>3</v>
      </c>
      <c r="D175" s="2118" t="n">
        <v>4</v>
      </c>
      <c r="E175" s="2118" t="n">
        <v>7</v>
      </c>
      <c r="G175" s="1748" t="inlineStr">
        <is>
          <t>SUPRAESTRUTURA</t>
        </is>
      </c>
      <c r="H175" s="1749" t="inlineStr">
        <is>
          <t>SERVIÇO</t>
        </is>
      </c>
      <c r="I175" s="1750" t="inlineStr">
        <is>
          <t>04.003.004.007</t>
        </is>
      </c>
      <c r="J175" s="1751" t="inlineStr">
        <is>
          <t>Armação Aço CA-50, Diâmetro de 20,0mm para Supraestrutura, Corte e dobra em Indústria</t>
        </is>
      </c>
      <c r="K175" s="1752" t="inlineStr">
        <is>
          <t>kg</t>
        </is>
      </c>
      <c r="L175" s="1753" t="n">
        <v>4219.913447521865</v>
      </c>
      <c r="M175" s="1753" t="n">
        <v>8.484965000000001</v>
      </c>
      <c r="N175" s="1754" t="n">
        <v>35805.8179052524</v>
      </c>
      <c r="O175" s="1755" t="inlineStr">
        <is>
          <t>Quantidades resumo de projetos</t>
        </is>
      </c>
      <c r="P175" s="1721" t="inlineStr">
        <is>
          <t>Pendente</t>
        </is>
      </c>
    </row>
    <row r="176" hidden="1" outlineLevel="3" ht="13.5" customHeight="1">
      <c r="A176" s="2117" t="n">
        <v>0</v>
      </c>
      <c r="B176" s="2117" t="n">
        <v>4</v>
      </c>
      <c r="C176" s="2117" t="n">
        <v>3</v>
      </c>
      <c r="D176" s="2118" t="n">
        <v>4</v>
      </c>
      <c r="E176" s="2118" t="n">
        <v>8</v>
      </c>
      <c r="G176" s="1748" t="inlineStr">
        <is>
          <t>SUPRAESTRUTURA</t>
        </is>
      </c>
      <c r="H176" s="1749" t="inlineStr">
        <is>
          <t>SERVIÇO</t>
        </is>
      </c>
      <c r="I176" s="1750" t="inlineStr">
        <is>
          <t>04.003.004.008</t>
        </is>
      </c>
      <c r="J176" s="1751" t="inlineStr">
        <is>
          <t>Armação Aço CA-50, Diâmetro de 25,0mm para Supraestrutura, Corte e dobra em Indústria</t>
        </is>
      </c>
      <c r="K176" s="1752" t="inlineStr">
        <is>
          <t>kg</t>
        </is>
      </c>
      <c r="L176" s="1753" t="n">
        <v>20074.66745626822</v>
      </c>
      <c r="M176" s="1753" t="n">
        <v>8.484965000000001</v>
      </c>
      <c r="N176" s="1754" t="n">
        <v>170332.850753075</v>
      </c>
      <c r="O176" s="1755" t="inlineStr">
        <is>
          <t>Quantidades resumo de projetos</t>
        </is>
      </c>
      <c r="P176" s="1721" t="inlineStr">
        <is>
          <t>Pendente</t>
        </is>
      </c>
    </row>
    <row r="177" hidden="1" outlineLevel="2" ht="13.5" customHeight="1">
      <c r="A177" s="2117" t="n">
        <v>0</v>
      </c>
      <c r="B177" s="2117" t="n">
        <v>4</v>
      </c>
      <c r="C177" s="2117" t="n">
        <v>3</v>
      </c>
      <c r="D177" s="2118" t="n">
        <v>5</v>
      </c>
      <c r="E177" s="2118" t="n">
        <v>0</v>
      </c>
      <c r="G177" s="1740" t="n"/>
      <c r="H177" s="1741" t="inlineStr">
        <is>
          <t>SUBETAPA</t>
        </is>
      </c>
      <c r="I177" s="1742" t="inlineStr">
        <is>
          <t>04.003.005</t>
        </is>
      </c>
      <c r="J177" s="1743" t="inlineStr">
        <is>
          <t>Armadura - G4</t>
        </is>
      </c>
      <c r="K177" s="1744" t="n"/>
      <c r="L177" s="1745" t="n"/>
      <c r="M177" s="1745" t="n"/>
      <c r="N177" s="1746" t="n">
        <v>315085.527446319</v>
      </c>
      <c r="O177" s="1747" t="n">
        <v>18.8114468790322</v>
      </c>
      <c r="P177" s="1720" t="n"/>
    </row>
    <row r="178" hidden="1" outlineLevel="3" ht="13.5" customHeight="1">
      <c r="A178" s="2117" t="n">
        <v>0</v>
      </c>
      <c r="B178" s="2117" t="n">
        <v>4</v>
      </c>
      <c r="C178" s="2117" t="n">
        <v>3</v>
      </c>
      <c r="D178" s="2118" t="n">
        <v>5</v>
      </c>
      <c r="E178" s="2118" t="n">
        <v>1</v>
      </c>
      <c r="G178" s="1748" t="inlineStr">
        <is>
          <t>SUPRAESTRUTURA</t>
        </is>
      </c>
      <c r="H178" s="1749" t="inlineStr">
        <is>
          <t>SERVIÇO</t>
        </is>
      </c>
      <c r="I178" s="1750" t="inlineStr">
        <is>
          <t>04.003.005.001</t>
        </is>
      </c>
      <c r="J178" s="1751" t="inlineStr">
        <is>
          <t>Armação Aço CA-60, Diâmetro de 5,0mm para Supraestrutura, Corte e dobra em Indústria</t>
        </is>
      </c>
      <c r="K178" s="1752" t="inlineStr">
        <is>
          <t>kg</t>
        </is>
      </c>
      <c r="L178" s="1753" t="n">
        <v>206.4653182701653</v>
      </c>
      <c r="M178" s="1753" t="n">
        <v>8.964965000000001</v>
      </c>
      <c r="N178" s="1754" t="n">
        <v>1850.95435200589</v>
      </c>
      <c r="O178" s="1755" t="inlineStr">
        <is>
          <t>Quantidades resumo de projetos</t>
        </is>
      </c>
      <c r="P178" s="1721" t="inlineStr">
        <is>
          <t>Pendente</t>
        </is>
      </c>
    </row>
    <row r="179" hidden="1" outlineLevel="3" ht="13.5" customHeight="1">
      <c r="A179" s="2117" t="n">
        <v>0</v>
      </c>
      <c r="B179" s="2117" t="n">
        <v>4</v>
      </c>
      <c r="C179" s="2117" t="n">
        <v>3</v>
      </c>
      <c r="D179" s="2118" t="n">
        <v>5</v>
      </c>
      <c r="E179" s="2118" t="n">
        <v>2</v>
      </c>
      <c r="G179" s="1748" t="inlineStr">
        <is>
          <t>SUPRAESTRUTURA</t>
        </is>
      </c>
      <c r="H179" s="1749" t="inlineStr">
        <is>
          <t>SERVIÇO</t>
        </is>
      </c>
      <c r="I179" s="1750" t="inlineStr">
        <is>
          <t>04.003.005.002</t>
        </is>
      </c>
      <c r="J179" s="1751" t="inlineStr">
        <is>
          <t>Armação Aço CA-50, Diâmetro de 6,3mm para Supraestrutura, Corte e dobra em Indústria</t>
        </is>
      </c>
      <c r="K179" s="1752" t="inlineStr">
        <is>
          <t>kg</t>
        </is>
      </c>
      <c r="L179" s="1753" t="n">
        <v>2315.679361030126</v>
      </c>
      <c r="M179" s="1753" t="n">
        <v>8.964965000000001</v>
      </c>
      <c r="N179" s="1754" t="n">
        <v>20759.9844228574</v>
      </c>
      <c r="O179" s="1755" t="inlineStr">
        <is>
          <t>Quantidades resumo de projetos</t>
        </is>
      </c>
      <c r="P179" s="1721" t="inlineStr">
        <is>
          <t>Pendente</t>
        </is>
      </c>
    </row>
    <row r="180" hidden="1" outlineLevel="3" ht="13.5" customHeight="1">
      <c r="A180" s="2117" t="n">
        <v>0</v>
      </c>
      <c r="B180" s="2117" t="n">
        <v>4</v>
      </c>
      <c r="C180" s="2117" t="n">
        <v>3</v>
      </c>
      <c r="D180" s="2118" t="n">
        <v>5</v>
      </c>
      <c r="E180" s="2118" t="n">
        <v>3</v>
      </c>
      <c r="G180" s="1748" t="inlineStr">
        <is>
          <t>SUPRAESTRUTURA</t>
        </is>
      </c>
      <c r="H180" s="1749" t="inlineStr">
        <is>
          <t>SERVIÇO</t>
        </is>
      </c>
      <c r="I180" s="1750" t="inlineStr">
        <is>
          <t>04.003.005.003</t>
        </is>
      </c>
      <c r="J180" s="1751" t="inlineStr">
        <is>
          <t>Armação Aço CA-50, Diâmetro de 8,0mm para Supraestrutura, Corte e dobra em Indústria</t>
        </is>
      </c>
      <c r="K180" s="1752" t="inlineStr">
        <is>
          <t>kg</t>
        </is>
      </c>
      <c r="L180" s="1753" t="n">
        <v>2559.278729348882</v>
      </c>
      <c r="M180" s="1753" t="n">
        <v>8.964965000000001</v>
      </c>
      <c r="N180" s="1754" t="n">
        <v>22943.8442338572</v>
      </c>
      <c r="O180" s="1755" t="inlineStr">
        <is>
          <t>Quantidades resumo de projetos</t>
        </is>
      </c>
      <c r="P180" s="1721" t="inlineStr">
        <is>
          <t>Pendente</t>
        </is>
      </c>
    </row>
    <row r="181" hidden="1" outlineLevel="3" ht="13.5" customHeight="1">
      <c r="A181" s="2117" t="n">
        <v>0</v>
      </c>
      <c r="B181" s="2117" t="n">
        <v>4</v>
      </c>
      <c r="C181" s="2117" t="n">
        <v>3</v>
      </c>
      <c r="D181" s="2118" t="n">
        <v>5</v>
      </c>
      <c r="E181" s="2118" t="n">
        <v>4</v>
      </c>
      <c r="G181" s="1748" t="inlineStr">
        <is>
          <t>SUPRAESTRUTURA</t>
        </is>
      </c>
      <c r="H181" s="1749" t="inlineStr">
        <is>
          <t>SERVIÇO</t>
        </is>
      </c>
      <c r="I181" s="1750" t="inlineStr">
        <is>
          <t>04.003.005.004</t>
        </is>
      </c>
      <c r="J181" s="1751" t="inlineStr">
        <is>
          <t>Armação Aço CA-50, Diâmetro de 10,0mm para Supraestrutura, Corte e dobra em Indústria</t>
        </is>
      </c>
      <c r="K181" s="1752" t="inlineStr">
        <is>
          <t>kg</t>
        </is>
      </c>
      <c r="L181" s="1753" t="n">
        <v>2909.824161807579</v>
      </c>
      <c r="M181" s="1753" t="n">
        <v>8.964965000000001</v>
      </c>
      <c r="N181" s="1754" t="n">
        <v>26086.4717667593</v>
      </c>
      <c r="O181" s="1755" t="inlineStr">
        <is>
          <t>Quantidades resumo de projetos</t>
        </is>
      </c>
      <c r="P181" s="1721" t="inlineStr">
        <is>
          <t>Pendente</t>
        </is>
      </c>
    </row>
    <row r="182" hidden="1" outlineLevel="3" ht="13.5" customHeight="1">
      <c r="A182" s="2117" t="n">
        <v>0</v>
      </c>
      <c r="B182" s="2117" t="n">
        <v>4</v>
      </c>
      <c r="C182" s="2117" t="n">
        <v>3</v>
      </c>
      <c r="D182" s="2118" t="n">
        <v>5</v>
      </c>
      <c r="E182" s="2118" t="n">
        <v>5</v>
      </c>
      <c r="G182" s="1748" t="inlineStr">
        <is>
          <t>SUPRAESTRUTURA</t>
        </is>
      </c>
      <c r="H182" s="1749" t="inlineStr">
        <is>
          <t>SERVIÇO</t>
        </is>
      </c>
      <c r="I182" s="1750" t="inlineStr">
        <is>
          <t>04.003.005.005</t>
        </is>
      </c>
      <c r="J182" s="1751" t="inlineStr">
        <is>
          <t>Armação Aço CA-50, Diâmetro de 12,5mm para Supraestrutura, Corte e dobra em Indústria</t>
        </is>
      </c>
      <c r="K182" s="1752" t="inlineStr">
        <is>
          <t>kg</t>
        </is>
      </c>
      <c r="L182" s="1753" t="n">
        <v>3293.047558309038</v>
      </c>
      <c r="M182" s="1753" t="n">
        <v>8.484965000000001</v>
      </c>
      <c r="N182" s="1754" t="n">
        <v>27941.3932755876</v>
      </c>
      <c r="O182" s="1755" t="inlineStr">
        <is>
          <t>Quantidades resumo de projetos</t>
        </is>
      </c>
      <c r="P182" s="1721" t="inlineStr">
        <is>
          <t>Pendente</t>
        </is>
      </c>
    </row>
    <row r="183" hidden="1" outlineLevel="3" ht="13.5" customHeight="1">
      <c r="A183" s="2117" t="n">
        <v>0</v>
      </c>
      <c r="B183" s="2117" t="n">
        <v>4</v>
      </c>
      <c r="C183" s="2117" t="n">
        <v>3</v>
      </c>
      <c r="D183" s="2118" t="n">
        <v>5</v>
      </c>
      <c r="E183" s="2118" t="n">
        <v>6</v>
      </c>
      <c r="G183" s="1748" t="inlineStr">
        <is>
          <t>SUPRAESTRUTURA</t>
        </is>
      </c>
      <c r="H183" s="1749" t="inlineStr">
        <is>
          <t>SERVIÇO</t>
        </is>
      </c>
      <c r="I183" s="1750" t="inlineStr">
        <is>
          <t>04.003.005.006</t>
        </is>
      </c>
      <c r="J183" s="1751" t="inlineStr">
        <is>
          <t>Armação Aço CA-50, Diâmetro de 16,0mm para Supraestrutura, Corte e dobra em Indústria</t>
        </is>
      </c>
      <c r="K183" s="1752" t="inlineStr">
        <is>
          <t>kg</t>
        </is>
      </c>
      <c r="L183" s="1753" t="n">
        <v>1103.62396744412</v>
      </c>
      <c r="M183" s="1753" t="n">
        <v>8.484965000000001</v>
      </c>
      <c r="N183" s="1754" t="n">
        <v>9364.2107369245</v>
      </c>
      <c r="O183" s="1755" t="inlineStr">
        <is>
          <t>Quantidades resumo de projetos</t>
        </is>
      </c>
      <c r="P183" s="1721" t="inlineStr">
        <is>
          <t>Pendente</t>
        </is>
      </c>
    </row>
    <row r="184" hidden="1" outlineLevel="3" ht="13.5" customHeight="1">
      <c r="A184" s="2117" t="n">
        <v>0</v>
      </c>
      <c r="B184" s="2117" t="n">
        <v>4</v>
      </c>
      <c r="C184" s="2117" t="n">
        <v>3</v>
      </c>
      <c r="D184" s="2118" t="n">
        <v>5</v>
      </c>
      <c r="E184" s="2118" t="n">
        <v>7</v>
      </c>
      <c r="G184" s="1748" t="inlineStr">
        <is>
          <t>SUPRAESTRUTURA</t>
        </is>
      </c>
      <c r="H184" s="1749" t="inlineStr">
        <is>
          <t>SERVIÇO</t>
        </is>
      </c>
      <c r="I184" s="1750" t="inlineStr">
        <is>
          <t>04.003.005.007</t>
        </is>
      </c>
      <c r="J184" s="1751" t="inlineStr">
        <is>
          <t>Armação Aço CA-50, Diâmetro de 20,0mm para Supraestrutura, Corte e dobra em Indústria</t>
        </is>
      </c>
      <c r="K184" s="1752" t="inlineStr">
        <is>
          <t>kg</t>
        </is>
      </c>
      <c r="L184" s="1753" t="n">
        <v>4219.913447521865</v>
      </c>
      <c r="M184" s="1753" t="n">
        <v>8.484965000000001</v>
      </c>
      <c r="N184" s="1754" t="n">
        <v>35805.8179052524</v>
      </c>
      <c r="O184" s="1755" t="inlineStr">
        <is>
          <t>Quantidades resumo de projetos</t>
        </is>
      </c>
      <c r="P184" s="1721" t="inlineStr">
        <is>
          <t>Pendente</t>
        </is>
      </c>
    </row>
    <row r="185" hidden="1" outlineLevel="3" ht="13.5" customHeight="1">
      <c r="A185" s="2117" t="n">
        <v>0</v>
      </c>
      <c r="B185" s="2117" t="n">
        <v>4</v>
      </c>
      <c r="C185" s="2117" t="n">
        <v>3</v>
      </c>
      <c r="D185" s="2118" t="n">
        <v>5</v>
      </c>
      <c r="E185" s="2118" t="n">
        <v>8</v>
      </c>
      <c r="G185" s="1748" t="inlineStr">
        <is>
          <t>SUPRAESTRUTURA</t>
        </is>
      </c>
      <c r="H185" s="1749" t="inlineStr">
        <is>
          <t>SERVIÇO</t>
        </is>
      </c>
      <c r="I185" s="1750" t="inlineStr">
        <is>
          <t>04.003.005.008</t>
        </is>
      </c>
      <c r="J185" s="1751" t="inlineStr">
        <is>
          <t>Armação Aço CA-50, Diâmetro de 25,0mm para Supraestrutura, Corte e dobra em Indústria</t>
        </is>
      </c>
      <c r="K185" s="1752" t="inlineStr">
        <is>
          <t>kg</t>
        </is>
      </c>
      <c r="L185" s="1753" t="n">
        <v>20074.66745626822</v>
      </c>
      <c r="M185" s="1753" t="n">
        <v>8.484965000000001</v>
      </c>
      <c r="N185" s="1754" t="n">
        <v>170332.850753075</v>
      </c>
      <c r="O185" s="1755" t="inlineStr">
        <is>
          <t>Quantidades resumo de projetos</t>
        </is>
      </c>
      <c r="P185" s="1721" t="inlineStr">
        <is>
          <t>Pendente</t>
        </is>
      </c>
    </row>
    <row r="186" hidden="1" outlineLevel="2" ht="13.5" customHeight="1">
      <c r="A186" s="2117" t="n">
        <v>0</v>
      </c>
      <c r="B186" s="2117" t="n">
        <v>4</v>
      </c>
      <c r="C186" s="2117" t="n">
        <v>3</v>
      </c>
      <c r="D186" s="2118" t="n">
        <v>6</v>
      </c>
      <c r="E186" s="2118" t="n">
        <v>0</v>
      </c>
      <c r="G186" s="1740" t="n"/>
      <c r="H186" s="1741" t="inlineStr">
        <is>
          <t>SUBETAPA</t>
        </is>
      </c>
      <c r="I186" s="1742" t="inlineStr">
        <is>
          <t>04.003.006</t>
        </is>
      </c>
      <c r="J186" s="1743" t="inlineStr">
        <is>
          <t>Armadura - G5</t>
        </is>
      </c>
      <c r="K186" s="1744" t="n"/>
      <c r="L186" s="1745" t="n"/>
      <c r="M186" s="1745" t="n"/>
      <c r="N186" s="1746" t="n">
        <v>377458.417994985</v>
      </c>
      <c r="O186" s="1747" t="n">
        <v>22.5352749036241</v>
      </c>
      <c r="P186" s="1720" t="n"/>
    </row>
    <row r="187" hidden="1" outlineLevel="3" ht="13.5" customHeight="1">
      <c r="A187" s="2117" t="n">
        <v>0</v>
      </c>
      <c r="B187" s="2117" t="n">
        <v>4</v>
      </c>
      <c r="C187" s="2117" t="n">
        <v>3</v>
      </c>
      <c r="D187" s="2118" t="n">
        <v>6</v>
      </c>
      <c r="E187" s="2118" t="n">
        <v>1</v>
      </c>
      <c r="G187" s="1748" t="inlineStr">
        <is>
          <t>SUPRAESTRUTURA</t>
        </is>
      </c>
      <c r="H187" s="1749" t="inlineStr">
        <is>
          <t>SERVIÇO</t>
        </is>
      </c>
      <c r="I187" s="1750" t="inlineStr">
        <is>
          <t>04.003.006.001</t>
        </is>
      </c>
      <c r="J187" s="1751" t="inlineStr">
        <is>
          <t>Armação Aço CA-60, Diâmetro de 5,0mm para Supraestrutura, Corte e dobra em Indústria</t>
        </is>
      </c>
      <c r="K187" s="1752" t="inlineStr">
        <is>
          <t>kg</t>
        </is>
      </c>
      <c r="L187" s="1753" t="n">
        <v>247.3362487852286</v>
      </c>
      <c r="M187" s="1753" t="n">
        <v>8.964965000000001</v>
      </c>
      <c r="N187" s="1754" t="n">
        <v>2217.36081359087</v>
      </c>
      <c r="O187" s="1755" t="inlineStr">
        <is>
          <t>Quantidades resumo de projetos</t>
        </is>
      </c>
      <c r="P187" s="1721" t="inlineStr">
        <is>
          <t>Pendente</t>
        </is>
      </c>
    </row>
    <row r="188" hidden="1" outlineLevel="3" ht="13.5" customHeight="1">
      <c r="A188" s="2117" t="n">
        <v>0</v>
      </c>
      <c r="B188" s="2117" t="n">
        <v>4</v>
      </c>
      <c r="C188" s="2117" t="n">
        <v>3</v>
      </c>
      <c r="D188" s="2118" t="n">
        <v>6</v>
      </c>
      <c r="E188" s="2118" t="n">
        <v>2</v>
      </c>
      <c r="G188" s="1748" t="inlineStr">
        <is>
          <t>SUPRAESTRUTURA</t>
        </is>
      </c>
      <c r="H188" s="1749" t="inlineStr">
        <is>
          <t>SERVIÇO</t>
        </is>
      </c>
      <c r="I188" s="1750" t="inlineStr">
        <is>
          <t>04.003.006.002</t>
        </is>
      </c>
      <c r="J188" s="1751" t="inlineStr">
        <is>
          <t>Armação Aço CA-50, Diâmetro de 6,3mm para Supraestrutura, Corte e dobra em Indústria</t>
        </is>
      </c>
      <c r="K188" s="1752" t="inlineStr">
        <is>
          <t>kg</t>
        </is>
      </c>
      <c r="L188" s="1753" t="n">
        <v>2774.080660835763</v>
      </c>
      <c r="M188" s="1753" t="n">
        <v>8.964965000000001</v>
      </c>
      <c r="N188" s="1754" t="n">
        <v>24869.5360315695</v>
      </c>
      <c r="O188" s="1755" t="inlineStr">
        <is>
          <t>Quantidades resumo de projetos</t>
        </is>
      </c>
      <c r="P188" s="1721" t="inlineStr">
        <is>
          <t>Pendente</t>
        </is>
      </c>
    </row>
    <row r="189" hidden="1" outlineLevel="3" ht="13.5" customHeight="1">
      <c r="A189" s="2117" t="n">
        <v>0</v>
      </c>
      <c r="B189" s="2117" t="n">
        <v>4</v>
      </c>
      <c r="C189" s="2117" t="n">
        <v>3</v>
      </c>
      <c r="D189" s="2118" t="n">
        <v>6</v>
      </c>
      <c r="E189" s="2118" t="n">
        <v>3</v>
      </c>
      <c r="G189" s="1748" t="inlineStr">
        <is>
          <t>SUPRAESTRUTURA</t>
        </is>
      </c>
      <c r="H189" s="1749" t="inlineStr">
        <is>
          <t>SERVIÇO</t>
        </is>
      </c>
      <c r="I189" s="1750" t="inlineStr">
        <is>
          <t>04.003.006.003</t>
        </is>
      </c>
      <c r="J189" s="1751" t="inlineStr">
        <is>
          <t>Armação Aço CA-50, Diâmetro de 8,0mm para Supraestrutura, Corte e dobra em Indústria</t>
        </is>
      </c>
      <c r="K189" s="1752" t="inlineStr">
        <is>
          <t>kg</t>
        </is>
      </c>
      <c r="L189" s="1753" t="n">
        <v>3065.901846452867</v>
      </c>
      <c r="M189" s="1753" t="n">
        <v>8.964965000000001</v>
      </c>
      <c r="N189" s="1754" t="n">
        <v>27485.7027468853</v>
      </c>
      <c r="O189" s="1755" t="inlineStr">
        <is>
          <t>Quantidades resumo de projetos</t>
        </is>
      </c>
      <c r="P189" s="1721" t="inlineStr">
        <is>
          <t>Pendente</t>
        </is>
      </c>
    </row>
    <row r="190" hidden="1" outlineLevel="3" ht="13.5" customHeight="1">
      <c r="A190" s="2117" t="n">
        <v>0</v>
      </c>
      <c r="B190" s="2117" t="n">
        <v>4</v>
      </c>
      <c r="C190" s="2117" t="n">
        <v>3</v>
      </c>
      <c r="D190" s="2118" t="n">
        <v>6</v>
      </c>
      <c r="E190" s="2118" t="n">
        <v>4</v>
      </c>
      <c r="G190" s="1748" t="inlineStr">
        <is>
          <t>SUPRAESTRUTURA</t>
        </is>
      </c>
      <c r="H190" s="1749" t="inlineStr">
        <is>
          <t>SERVIÇO</t>
        </is>
      </c>
      <c r="I190" s="1750" t="inlineStr">
        <is>
          <t>04.003.006.004</t>
        </is>
      </c>
      <c r="J190" s="1751" t="inlineStr">
        <is>
          <t>Armação Aço CA-50, Diâmetro de 10,0mm para Supraestrutura, Corte e dobra em Indústria</t>
        </is>
      </c>
      <c r="K190" s="1752" t="inlineStr">
        <is>
          <t>kg</t>
        </is>
      </c>
      <c r="L190" s="1753" t="n">
        <v>3485.839650145772</v>
      </c>
      <c r="M190" s="1753" t="n">
        <v>8.964965000000001</v>
      </c>
      <c r="N190" s="1754" t="n">
        <v>31250.4304591691</v>
      </c>
      <c r="O190" s="1755" t="inlineStr">
        <is>
          <t>Quantidades resumo de projetos</t>
        </is>
      </c>
      <c r="P190" s="1721" t="inlineStr">
        <is>
          <t>Pendente</t>
        </is>
      </c>
    </row>
    <row r="191" hidden="1" outlineLevel="3" ht="13.5" customHeight="1">
      <c r="A191" s="2117" t="n">
        <v>0</v>
      </c>
      <c r="B191" s="2117" t="n">
        <v>4</v>
      </c>
      <c r="C191" s="2117" t="n">
        <v>3</v>
      </c>
      <c r="D191" s="2118" t="n">
        <v>6</v>
      </c>
      <c r="E191" s="2118" t="n">
        <v>5</v>
      </c>
      <c r="G191" s="1748" t="inlineStr">
        <is>
          <t>SUPRAESTRUTURA</t>
        </is>
      </c>
      <c r="H191" s="1749" t="inlineStr">
        <is>
          <t>SERVIÇO</t>
        </is>
      </c>
      <c r="I191" s="1750" t="inlineStr">
        <is>
          <t>04.003.006.005</t>
        </is>
      </c>
      <c r="J191" s="1751" t="inlineStr">
        <is>
          <t>Armação Aço CA-50, Diâmetro de 12,5mm para Supraestrutura, Corte e dobra em Indústria</t>
        </is>
      </c>
      <c r="K191" s="1752" t="inlineStr">
        <is>
          <t>kg</t>
        </is>
      </c>
      <c r="L191" s="1753" t="n">
        <v>3944.92419825073</v>
      </c>
      <c r="M191" s="1753" t="n">
        <v>8.484965000000001</v>
      </c>
      <c r="N191" s="1754" t="n">
        <v>33472.5437498105</v>
      </c>
      <c r="O191" s="1755" t="inlineStr">
        <is>
          <t>Quantidades resumo de projetos</t>
        </is>
      </c>
      <c r="P191" s="1721" t="inlineStr">
        <is>
          <t>Pendente</t>
        </is>
      </c>
    </row>
    <row r="192" hidden="1" outlineLevel="3" ht="13.5" customHeight="1">
      <c r="A192" s="2117" t="n">
        <v>0</v>
      </c>
      <c r="B192" s="2117" t="n">
        <v>4</v>
      </c>
      <c r="C192" s="2117" t="n">
        <v>3</v>
      </c>
      <c r="D192" s="2118" t="n">
        <v>6</v>
      </c>
      <c r="E192" s="2118" t="n">
        <v>6</v>
      </c>
      <c r="G192" s="1748" t="inlineStr">
        <is>
          <t>SUPRAESTRUTURA</t>
        </is>
      </c>
      <c r="H192" s="1749" t="inlineStr">
        <is>
          <t>SERVIÇO</t>
        </is>
      </c>
      <c r="I192" s="1750" t="inlineStr">
        <is>
          <t>04.003.006.006</t>
        </is>
      </c>
      <c r="J192" s="1751" t="inlineStr">
        <is>
          <t>Armação Aço CA-50, Diâmetro de 16,0mm para Supraestrutura, Corte e dobra em Indústria</t>
        </is>
      </c>
      <c r="K192" s="1752" t="inlineStr">
        <is>
          <t>kg</t>
        </is>
      </c>
      <c r="L192" s="1753" t="n">
        <v>1322.092322643343</v>
      </c>
      <c r="M192" s="1753" t="n">
        <v>8.484965000000001</v>
      </c>
      <c r="N192" s="1754" t="n">
        <v>11217.9070843975</v>
      </c>
      <c r="O192" s="1755" t="inlineStr">
        <is>
          <t>Quantidades resumo de projetos</t>
        </is>
      </c>
      <c r="P192" s="1721" t="inlineStr">
        <is>
          <t>Pendente</t>
        </is>
      </c>
    </row>
    <row r="193" hidden="1" outlineLevel="3" ht="13.5" customHeight="1">
      <c r="A193" s="2117" t="n">
        <v>0</v>
      </c>
      <c r="B193" s="2117" t="n">
        <v>4</v>
      </c>
      <c r="C193" s="2117" t="n">
        <v>3</v>
      </c>
      <c r="D193" s="2118" t="n">
        <v>6</v>
      </c>
      <c r="E193" s="2118" t="n">
        <v>7</v>
      </c>
      <c r="G193" s="1748" t="inlineStr">
        <is>
          <t>SUPRAESTRUTURA</t>
        </is>
      </c>
      <c r="H193" s="1749" t="inlineStr">
        <is>
          <t>SERVIÇO</t>
        </is>
      </c>
      <c r="I193" s="1750" t="inlineStr">
        <is>
          <t>04.003.006.007</t>
        </is>
      </c>
      <c r="J193" s="1751" t="inlineStr">
        <is>
          <t>Armação Aço CA-50, Diâmetro de 20,0mm para Supraestrutura, Corte e dobra em Indústria</t>
        </is>
      </c>
      <c r="K193" s="1752" t="inlineStr">
        <is>
          <t>kg</t>
        </is>
      </c>
      <c r="L193" s="1753" t="n">
        <v>5055.268221574343</v>
      </c>
      <c r="M193" s="1753" t="n">
        <v>8.484965000000001</v>
      </c>
      <c r="N193" s="1754" t="n">
        <v>42893.7739256706</v>
      </c>
      <c r="O193" s="1755" t="inlineStr">
        <is>
          <t>Quantidades resumo de projetos</t>
        </is>
      </c>
      <c r="P193" s="1721" t="inlineStr">
        <is>
          <t>Pendente</t>
        </is>
      </c>
    </row>
    <row r="194" hidden="1" outlineLevel="3" ht="13.5" customHeight="1">
      <c r="A194" s="2117" t="n">
        <v>0</v>
      </c>
      <c r="B194" s="2117" t="n">
        <v>4</v>
      </c>
      <c r="C194" s="2117" t="n">
        <v>3</v>
      </c>
      <c r="D194" s="2118" t="n">
        <v>6</v>
      </c>
      <c r="E194" s="2118" t="n">
        <v>8</v>
      </c>
      <c r="G194" s="1748" t="inlineStr">
        <is>
          <t>SUPRAESTRUTURA</t>
        </is>
      </c>
      <c r="H194" s="1749" t="inlineStr">
        <is>
          <t>SERVIÇO</t>
        </is>
      </c>
      <c r="I194" s="1750" t="inlineStr">
        <is>
          <t>04.003.006.008</t>
        </is>
      </c>
      <c r="J194" s="1751" t="inlineStr">
        <is>
          <t>Armação Aço CA-50, Diâmetro de 25,0mm para Supraestrutura, Corte e dobra em Indústria</t>
        </is>
      </c>
      <c r="K194" s="1752" t="inlineStr">
        <is>
          <t>kg</t>
        </is>
      </c>
      <c r="L194" s="1753" t="n">
        <v>24048.55685131195</v>
      </c>
      <c r="M194" s="1753" t="n">
        <v>8.484965000000001</v>
      </c>
      <c r="N194" s="1754" t="n">
        <v>204051.163183892</v>
      </c>
      <c r="O194" s="1755" t="inlineStr">
        <is>
          <t>Quantidades resumo de projetos</t>
        </is>
      </c>
      <c r="P194" s="1721" t="inlineStr">
        <is>
          <t>Pendente</t>
        </is>
      </c>
    </row>
    <row r="195" hidden="1" outlineLevel="2" ht="13.5" customHeight="1">
      <c r="A195" s="2117" t="n">
        <v>0</v>
      </c>
      <c r="B195" s="2117" t="n">
        <v>4</v>
      </c>
      <c r="C195" s="2117" t="n">
        <v>3</v>
      </c>
      <c r="D195" s="2118" t="n">
        <v>7</v>
      </c>
      <c r="E195" s="2118" t="n">
        <v>0</v>
      </c>
      <c r="G195" s="1740" t="n"/>
      <c r="H195" s="1741" t="inlineStr">
        <is>
          <t>SUBETAPA</t>
        </is>
      </c>
      <c r="I195" s="1742" t="inlineStr">
        <is>
          <t>04.003.007</t>
        </is>
      </c>
      <c r="J195" s="1743" t="inlineStr">
        <is>
          <t>Armadura - Lazer | Garagem</t>
        </is>
      </c>
      <c r="K195" s="1744" t="n"/>
      <c r="L195" s="1745" t="n"/>
      <c r="M195" s="1745" t="n"/>
      <c r="N195" s="1746" t="n">
        <v>377458.417994985</v>
      </c>
      <c r="O195" s="1747" t="n">
        <v>22.5352749036241</v>
      </c>
      <c r="P195" s="1720" t="n"/>
    </row>
    <row r="196" hidden="1" outlineLevel="3" ht="13.5" customHeight="1">
      <c r="A196" s="2117" t="n">
        <v>0</v>
      </c>
      <c r="B196" s="2117" t="n">
        <v>4</v>
      </c>
      <c r="C196" s="2117" t="n">
        <v>3</v>
      </c>
      <c r="D196" s="2118" t="n">
        <v>7</v>
      </c>
      <c r="E196" s="2118" t="n">
        <v>1</v>
      </c>
      <c r="G196" s="1748" t="inlineStr">
        <is>
          <t>SUPRAESTRUTURA</t>
        </is>
      </c>
      <c r="H196" s="1749" t="inlineStr">
        <is>
          <t>SERVIÇO</t>
        </is>
      </c>
      <c r="I196" s="1750" t="inlineStr">
        <is>
          <t>04.003.007.001</t>
        </is>
      </c>
      <c r="J196" s="1751" t="inlineStr">
        <is>
          <t>Armação Aço CA-60, Diâmetro de 5,0mm para Supraestrutura, Corte e dobra em Indústria</t>
        </is>
      </c>
      <c r="K196" s="1752" t="inlineStr">
        <is>
          <t>kg</t>
        </is>
      </c>
      <c r="L196" s="1753" t="n">
        <v>247.3362487852286</v>
      </c>
      <c r="M196" s="1753" t="n">
        <v>8.964965000000001</v>
      </c>
      <c r="N196" s="1754" t="n">
        <v>2217.36081359087</v>
      </c>
      <c r="O196" s="1755" t="inlineStr">
        <is>
          <t>Quantidades resumo de projetos</t>
        </is>
      </c>
      <c r="P196" s="1721" t="inlineStr">
        <is>
          <t>Pendente</t>
        </is>
      </c>
    </row>
    <row r="197" hidden="1" outlineLevel="3" ht="13.5" customHeight="1">
      <c r="A197" s="2117" t="n">
        <v>0</v>
      </c>
      <c r="B197" s="2117" t="n">
        <v>4</v>
      </c>
      <c r="C197" s="2117" t="n">
        <v>3</v>
      </c>
      <c r="D197" s="2118" t="n">
        <v>7</v>
      </c>
      <c r="E197" s="2118" t="n">
        <v>2</v>
      </c>
      <c r="G197" s="1748" t="inlineStr">
        <is>
          <t>SUPRAESTRUTURA</t>
        </is>
      </c>
      <c r="H197" s="1749" t="inlineStr">
        <is>
          <t>SERVIÇO</t>
        </is>
      </c>
      <c r="I197" s="1750" t="inlineStr">
        <is>
          <t>04.003.007.002</t>
        </is>
      </c>
      <c r="J197" s="1751" t="inlineStr">
        <is>
          <t>Armação Aço CA-50, Diâmetro de 6,3mm para Supraestrutura, Corte e dobra em Indústria</t>
        </is>
      </c>
      <c r="K197" s="1752" t="inlineStr">
        <is>
          <t>kg</t>
        </is>
      </c>
      <c r="L197" s="1753" t="n">
        <v>2774.080660835763</v>
      </c>
      <c r="M197" s="1753" t="n">
        <v>8.964965000000001</v>
      </c>
      <c r="N197" s="1754" t="n">
        <v>24869.5360315695</v>
      </c>
      <c r="O197" s="1755" t="inlineStr">
        <is>
          <t>Quantidades resumo de projetos</t>
        </is>
      </c>
      <c r="P197" s="1721" t="inlineStr">
        <is>
          <t>Pendente</t>
        </is>
      </c>
    </row>
    <row r="198" hidden="1" outlineLevel="3" ht="13.5" customHeight="1">
      <c r="A198" s="2117" t="n">
        <v>0</v>
      </c>
      <c r="B198" s="2117" t="n">
        <v>4</v>
      </c>
      <c r="C198" s="2117" t="n">
        <v>3</v>
      </c>
      <c r="D198" s="2118" t="n">
        <v>7</v>
      </c>
      <c r="E198" s="2118" t="n">
        <v>3</v>
      </c>
      <c r="G198" s="1748" t="inlineStr">
        <is>
          <t>SUPRAESTRUTURA</t>
        </is>
      </c>
      <c r="H198" s="1749" t="inlineStr">
        <is>
          <t>SERVIÇO</t>
        </is>
      </c>
      <c r="I198" s="1750" t="inlineStr">
        <is>
          <t>04.003.007.003</t>
        </is>
      </c>
      <c r="J198" s="1751" t="inlineStr">
        <is>
          <t>Armação Aço CA-50, Diâmetro de 8,0mm para Supraestrutura, Corte e dobra em Indústria</t>
        </is>
      </c>
      <c r="K198" s="1752" t="inlineStr">
        <is>
          <t>kg</t>
        </is>
      </c>
      <c r="L198" s="1753" t="n">
        <v>3065.901846452867</v>
      </c>
      <c r="M198" s="1753" t="n">
        <v>8.964965000000001</v>
      </c>
      <c r="N198" s="1754" t="n">
        <v>27485.7027468853</v>
      </c>
      <c r="O198" s="1755" t="inlineStr">
        <is>
          <t>Quantidades resumo de projetos</t>
        </is>
      </c>
      <c r="P198" s="1721" t="inlineStr">
        <is>
          <t>Pendente</t>
        </is>
      </c>
    </row>
    <row r="199" hidden="1" outlineLevel="3" ht="13.5" customHeight="1">
      <c r="A199" s="2117" t="n">
        <v>0</v>
      </c>
      <c r="B199" s="2117" t="n">
        <v>4</v>
      </c>
      <c r="C199" s="2117" t="n">
        <v>3</v>
      </c>
      <c r="D199" s="2118" t="n">
        <v>7</v>
      </c>
      <c r="E199" s="2118" t="n">
        <v>4</v>
      </c>
      <c r="G199" s="1748" t="inlineStr">
        <is>
          <t>SUPRAESTRUTURA</t>
        </is>
      </c>
      <c r="H199" s="1749" t="inlineStr">
        <is>
          <t>SERVIÇO</t>
        </is>
      </c>
      <c r="I199" s="1750" t="inlineStr">
        <is>
          <t>04.003.007.004</t>
        </is>
      </c>
      <c r="J199" s="1751" t="inlineStr">
        <is>
          <t>Armação Aço CA-50, Diâmetro de 10,0mm para Supraestrutura, Corte e dobra em Indústria</t>
        </is>
      </c>
      <c r="K199" s="1752" t="inlineStr">
        <is>
          <t>kg</t>
        </is>
      </c>
      <c r="L199" s="1753" t="n">
        <v>3485.839650145772</v>
      </c>
      <c r="M199" s="1753" t="n">
        <v>8.964965000000001</v>
      </c>
      <c r="N199" s="1754" t="n">
        <v>31250.4304591691</v>
      </c>
      <c r="O199" s="1755" t="inlineStr">
        <is>
          <t>Quantidades resumo de projetos</t>
        </is>
      </c>
      <c r="P199" s="1721" t="inlineStr">
        <is>
          <t>Pendente</t>
        </is>
      </c>
    </row>
    <row r="200" hidden="1" outlineLevel="3" ht="13.5" customHeight="1">
      <c r="A200" s="2117" t="n">
        <v>0</v>
      </c>
      <c r="B200" s="2117" t="n">
        <v>4</v>
      </c>
      <c r="C200" s="2117" t="n">
        <v>3</v>
      </c>
      <c r="D200" s="2118" t="n">
        <v>7</v>
      </c>
      <c r="E200" s="2118" t="n">
        <v>5</v>
      </c>
      <c r="G200" s="1748" t="inlineStr">
        <is>
          <t>SUPRAESTRUTURA</t>
        </is>
      </c>
      <c r="H200" s="1749" t="inlineStr">
        <is>
          <t>SERVIÇO</t>
        </is>
      </c>
      <c r="I200" s="1750" t="inlineStr">
        <is>
          <t>04.003.007.005</t>
        </is>
      </c>
      <c r="J200" s="1751" t="inlineStr">
        <is>
          <t>Armação Aço CA-50, Diâmetro de 12,5mm para Supraestrutura, Corte e dobra em Indústria</t>
        </is>
      </c>
      <c r="K200" s="1752" t="inlineStr">
        <is>
          <t>kg</t>
        </is>
      </c>
      <c r="L200" s="1753" t="n">
        <v>3944.92419825073</v>
      </c>
      <c r="M200" s="1753" t="n">
        <v>8.484965000000001</v>
      </c>
      <c r="N200" s="1754" t="n">
        <v>33472.5437498105</v>
      </c>
      <c r="O200" s="1755" t="inlineStr">
        <is>
          <t>Quantidades resumo de projetos</t>
        </is>
      </c>
      <c r="P200" s="1721" t="inlineStr">
        <is>
          <t>Pendente</t>
        </is>
      </c>
    </row>
    <row r="201" hidden="1" outlineLevel="3" ht="13.5" customHeight="1">
      <c r="A201" s="2117" t="n">
        <v>0</v>
      </c>
      <c r="B201" s="2117" t="n">
        <v>4</v>
      </c>
      <c r="C201" s="2117" t="n">
        <v>3</v>
      </c>
      <c r="D201" s="2118" t="n">
        <v>7</v>
      </c>
      <c r="E201" s="2118" t="n">
        <v>6</v>
      </c>
      <c r="G201" s="1748" t="inlineStr">
        <is>
          <t>SUPRAESTRUTURA</t>
        </is>
      </c>
      <c r="H201" s="1749" t="inlineStr">
        <is>
          <t>SERVIÇO</t>
        </is>
      </c>
      <c r="I201" s="1750" t="inlineStr">
        <is>
          <t>04.003.007.006</t>
        </is>
      </c>
      <c r="J201" s="1751" t="inlineStr">
        <is>
          <t>Armação Aço CA-50, Diâmetro de 16,0mm para Supraestrutura, Corte e dobra em Indústria</t>
        </is>
      </c>
      <c r="K201" s="1752" t="inlineStr">
        <is>
          <t>kg</t>
        </is>
      </c>
      <c r="L201" s="1753" t="n">
        <v>1322.092322643343</v>
      </c>
      <c r="M201" s="1753" t="n">
        <v>8.484965000000001</v>
      </c>
      <c r="N201" s="1754" t="n">
        <v>11217.9070843975</v>
      </c>
      <c r="O201" s="1755" t="inlineStr">
        <is>
          <t>Quantidades resumo de projetos</t>
        </is>
      </c>
      <c r="P201" s="1721" t="inlineStr">
        <is>
          <t>Pendente</t>
        </is>
      </c>
    </row>
    <row r="202" hidden="1" outlineLevel="3" ht="13.5" customHeight="1">
      <c r="A202" s="2117" t="n">
        <v>0</v>
      </c>
      <c r="B202" s="2117" t="n">
        <v>4</v>
      </c>
      <c r="C202" s="2117" t="n">
        <v>3</v>
      </c>
      <c r="D202" s="2118" t="n">
        <v>7</v>
      </c>
      <c r="E202" s="2118" t="n">
        <v>7</v>
      </c>
      <c r="G202" s="1748" t="inlineStr">
        <is>
          <t>SUPRAESTRUTURA</t>
        </is>
      </c>
      <c r="H202" s="1749" t="inlineStr">
        <is>
          <t>SERVIÇO</t>
        </is>
      </c>
      <c r="I202" s="1750" t="inlineStr">
        <is>
          <t>04.003.007.007</t>
        </is>
      </c>
      <c r="J202" s="1751" t="inlineStr">
        <is>
          <t>Armação Aço CA-50, Diâmetro de 20,0mm para Supraestrutura, Corte e dobra em Indústria</t>
        </is>
      </c>
      <c r="K202" s="1752" t="inlineStr">
        <is>
          <t>kg</t>
        </is>
      </c>
      <c r="L202" s="1753" t="n">
        <v>5055.268221574343</v>
      </c>
      <c r="M202" s="1753" t="n">
        <v>8.484965000000001</v>
      </c>
      <c r="N202" s="1754" t="n">
        <v>42893.7739256706</v>
      </c>
      <c r="O202" s="1755" t="inlineStr">
        <is>
          <t>Quantidades resumo de projetos</t>
        </is>
      </c>
      <c r="P202" s="1721" t="inlineStr">
        <is>
          <t>Pendente</t>
        </is>
      </c>
    </row>
    <row r="203" hidden="1" outlineLevel="3" ht="13.5" customHeight="1">
      <c r="A203" s="2117" t="n">
        <v>0</v>
      </c>
      <c r="B203" s="2117" t="n">
        <v>4</v>
      </c>
      <c r="C203" s="2117" t="n">
        <v>3</v>
      </c>
      <c r="D203" s="2118" t="n">
        <v>7</v>
      </c>
      <c r="E203" s="2118" t="n">
        <v>8</v>
      </c>
      <c r="G203" s="1748" t="inlineStr">
        <is>
          <t>SUPRAESTRUTURA</t>
        </is>
      </c>
      <c r="H203" s="1749" t="inlineStr">
        <is>
          <t>SERVIÇO</t>
        </is>
      </c>
      <c r="I203" s="1750" t="inlineStr">
        <is>
          <t>04.003.007.008</t>
        </is>
      </c>
      <c r="J203" s="1751" t="inlineStr">
        <is>
          <t>Armação Aço CA-50, Diâmetro de 25,0mm para Supraestrutura, Corte e dobra em Indústria</t>
        </is>
      </c>
      <c r="K203" s="1752" t="inlineStr">
        <is>
          <t>kg</t>
        </is>
      </c>
      <c r="L203" s="1753" t="n">
        <v>24048.55685131195</v>
      </c>
      <c r="M203" s="1753" t="n">
        <v>8.484965000000001</v>
      </c>
      <c r="N203" s="1754" t="n">
        <v>204051.163183892</v>
      </c>
      <c r="O203" s="1755" t="inlineStr">
        <is>
          <t>Quantidades resumo de projetos</t>
        </is>
      </c>
      <c r="P203" s="1721" t="inlineStr">
        <is>
          <t>Pendente</t>
        </is>
      </c>
    </row>
    <row r="204" hidden="1" outlineLevel="2" ht="13.5" customHeight="1">
      <c r="A204" s="2117" t="n">
        <v>0</v>
      </c>
      <c r="B204" s="2117" t="n">
        <v>4</v>
      </c>
      <c r="C204" s="2117" t="n">
        <v>3</v>
      </c>
      <c r="D204" s="2118" t="n">
        <v>8</v>
      </c>
      <c r="E204" s="2118" t="n">
        <v>0</v>
      </c>
      <c r="G204" s="1740" t="n"/>
      <c r="H204" s="1741" t="inlineStr">
        <is>
          <t>SUBETAPA</t>
        </is>
      </c>
      <c r="I204" s="1742" t="inlineStr">
        <is>
          <t>04.003.008</t>
        </is>
      </c>
      <c r="J204" s="1743" t="inlineStr">
        <is>
          <t>Armadura - Patamar Intermediário</t>
        </is>
      </c>
      <c r="K204" s="1744" t="n"/>
      <c r="L204" s="1745" t="n"/>
      <c r="M204" s="1745" t="n"/>
      <c r="N204" s="1746" t="n">
        <v>217499.848244585</v>
      </c>
      <c r="O204" s="1747" t="n">
        <v>12.9853213970535</v>
      </c>
      <c r="P204" s="1720" t="n"/>
    </row>
    <row r="205" hidden="1" outlineLevel="3" ht="13.5" customHeight="1">
      <c r="A205" s="2117" t="n">
        <v>0</v>
      </c>
      <c r="B205" s="2117" t="n">
        <v>4</v>
      </c>
      <c r="C205" s="2117" t="n">
        <v>3</v>
      </c>
      <c r="D205" s="2118" t="n">
        <v>8</v>
      </c>
      <c r="E205" s="2118" t="n">
        <v>1</v>
      </c>
      <c r="G205" s="1748" t="inlineStr">
        <is>
          <t>SUPRAESTRUTURA</t>
        </is>
      </c>
      <c r="H205" s="1749" t="inlineStr">
        <is>
          <t>SERVIÇO</t>
        </is>
      </c>
      <c r="I205" s="1750" t="inlineStr">
        <is>
          <t>04.003.008.001</t>
        </is>
      </c>
      <c r="J205" s="1751" t="inlineStr">
        <is>
          <t>Armação Aço CA-60, Diâmetro de 5,0mm para Supraestrutura, Corte e dobra em Indústria</t>
        </is>
      </c>
      <c r="K205" s="1752" t="inlineStr">
        <is>
          <t>kg</t>
        </is>
      </c>
      <c r="L205" s="1753" t="n">
        <v>142.5205903790088</v>
      </c>
      <c r="M205" s="1753" t="n">
        <v>8.964965000000001</v>
      </c>
      <c r="N205" s="1754" t="n">
        <v>1277.69210452715</v>
      </c>
      <c r="O205" s="1755" t="inlineStr">
        <is>
          <t>Quantidades resumo de projetos</t>
        </is>
      </c>
      <c r="P205" s="1721" t="inlineStr">
        <is>
          <t>Pendente</t>
        </is>
      </c>
    </row>
    <row r="206" hidden="1" outlineLevel="3" ht="13.5" customHeight="1">
      <c r="A206" s="2117" t="n">
        <v>0</v>
      </c>
      <c r="B206" s="2117" t="n">
        <v>4</v>
      </c>
      <c r="C206" s="2117" t="n">
        <v>3</v>
      </c>
      <c r="D206" s="2118" t="n">
        <v>8</v>
      </c>
      <c r="E206" s="2118" t="n">
        <v>2</v>
      </c>
      <c r="G206" s="1748" t="inlineStr">
        <is>
          <t>SUPRAESTRUTURA</t>
        </is>
      </c>
      <c r="H206" s="1749" t="inlineStr">
        <is>
          <t>SERVIÇO</t>
        </is>
      </c>
      <c r="I206" s="1750" t="inlineStr">
        <is>
          <t>04.003.008.002</t>
        </is>
      </c>
      <c r="J206" s="1751" t="inlineStr">
        <is>
          <t>Armação Aço CA-50, Diâmetro de 6,3mm para Supraestrutura, Corte e dobra em Indústria</t>
        </is>
      </c>
      <c r="K206" s="1752" t="inlineStr">
        <is>
          <t>kg</t>
        </is>
      </c>
      <c r="L206" s="1753" t="n">
        <v>1598.486333819242</v>
      </c>
      <c r="M206" s="1753" t="n">
        <v>8.964965000000001</v>
      </c>
      <c r="N206" s="1754" t="n">
        <v>14330.3740356678</v>
      </c>
      <c r="O206" s="1755" t="inlineStr">
        <is>
          <t>Quantidades resumo de projetos</t>
        </is>
      </c>
      <c r="P206" s="1721" t="inlineStr">
        <is>
          <t>Pendente</t>
        </is>
      </c>
    </row>
    <row r="207" hidden="1" outlineLevel="3" ht="13.5" customHeight="1">
      <c r="A207" s="2117" t="n">
        <v>0</v>
      </c>
      <c r="B207" s="2117" t="n">
        <v>4</v>
      </c>
      <c r="C207" s="2117" t="n">
        <v>3</v>
      </c>
      <c r="D207" s="2118" t="n">
        <v>8</v>
      </c>
      <c r="E207" s="2118" t="n">
        <v>3</v>
      </c>
      <c r="G207" s="1748" t="inlineStr">
        <is>
          <t>SUPRAESTRUTURA</t>
        </is>
      </c>
      <c r="H207" s="1749" t="inlineStr">
        <is>
          <t>SERVIÇO</t>
        </is>
      </c>
      <c r="I207" s="1750" t="inlineStr">
        <is>
          <t>04.003.008.003</t>
        </is>
      </c>
      <c r="J207" s="1751" t="inlineStr">
        <is>
          <t>Armação Aço CA-50, Diâmetro de 8,0mm para Supraestrutura, Corte e dobra em Indústria</t>
        </is>
      </c>
      <c r="K207" s="1752" t="inlineStr">
        <is>
          <t>kg</t>
        </is>
      </c>
      <c r="L207" s="1753" t="n">
        <v>1766.640123906706</v>
      </c>
      <c r="M207" s="1753" t="n">
        <v>8.964965000000001</v>
      </c>
      <c r="N207" s="1754" t="n">
        <v>15837.8668784193</v>
      </c>
      <c r="O207" s="1755" t="inlineStr">
        <is>
          <t>Quantidades resumo de projetos</t>
        </is>
      </c>
      <c r="P207" s="1721" t="inlineStr">
        <is>
          <t>Pendente</t>
        </is>
      </c>
    </row>
    <row r="208" hidden="1" outlineLevel="3" ht="13.5" customHeight="1">
      <c r="A208" s="2117" t="n">
        <v>0</v>
      </c>
      <c r="B208" s="2117" t="n">
        <v>4</v>
      </c>
      <c r="C208" s="2117" t="n">
        <v>3</v>
      </c>
      <c r="D208" s="2118" t="n">
        <v>8</v>
      </c>
      <c r="E208" s="2118" t="n">
        <v>4</v>
      </c>
      <c r="G208" s="1748" t="inlineStr">
        <is>
          <t>SUPRAESTRUTURA</t>
        </is>
      </c>
      <c r="H208" s="1749" t="inlineStr">
        <is>
          <t>SERVIÇO</t>
        </is>
      </c>
      <c r="I208" s="1750" t="inlineStr">
        <is>
          <t>04.003.008.004</t>
        </is>
      </c>
      <c r="J208" s="1751" t="inlineStr">
        <is>
          <t>Armação Aço CA-50, Diâmetro de 10,0mm para Supraestrutura, Corte e dobra em Indústria</t>
        </is>
      </c>
      <c r="K208" s="1752" t="inlineStr">
        <is>
          <t>kg</t>
        </is>
      </c>
      <c r="L208" s="1753" t="n">
        <v>2008.617529154519</v>
      </c>
      <c r="M208" s="1753" t="n">
        <v>8.964965000000001</v>
      </c>
      <c r="N208" s="1754" t="n">
        <v>18007.1858472567</v>
      </c>
      <c r="O208" s="1755" t="inlineStr">
        <is>
          <t>Quantidades resumo de projetos</t>
        </is>
      </c>
      <c r="P208" s="1721" t="inlineStr">
        <is>
          <t>Pendente</t>
        </is>
      </c>
    </row>
    <row r="209" hidden="1" outlineLevel="3" ht="13.5" customHeight="1">
      <c r="A209" s="2117" t="n">
        <v>0</v>
      </c>
      <c r="B209" s="2117" t="n">
        <v>4</v>
      </c>
      <c r="C209" s="2117" t="n">
        <v>3</v>
      </c>
      <c r="D209" s="2118" t="n">
        <v>8</v>
      </c>
      <c r="E209" s="2118" t="n">
        <v>5</v>
      </c>
      <c r="G209" s="1748" t="inlineStr">
        <is>
          <t>SUPRAESTRUTURA</t>
        </is>
      </c>
      <c r="H209" s="1749" t="inlineStr">
        <is>
          <t>SERVIÇO</t>
        </is>
      </c>
      <c r="I209" s="1750" t="inlineStr">
        <is>
          <t>04.003.008.005</t>
        </is>
      </c>
      <c r="J209" s="1751" t="inlineStr">
        <is>
          <t>Armação Aço CA-50, Diâmetro de 12,5mm para Supraestrutura, Corte e dobra em Indústria</t>
        </is>
      </c>
      <c r="K209" s="1752" t="inlineStr">
        <is>
          <t>kg</t>
        </is>
      </c>
      <c r="L209" s="1753" t="n">
        <v>2273.152150145773</v>
      </c>
      <c r="M209" s="1753" t="n">
        <v>8.484965000000001</v>
      </c>
      <c r="N209" s="1754" t="n">
        <v>19287.6164336616</v>
      </c>
      <c r="O209" s="1755" t="inlineStr">
        <is>
          <t>Quantidades resumo de projetos</t>
        </is>
      </c>
      <c r="P209" s="1721" t="inlineStr">
        <is>
          <t>Pendente</t>
        </is>
      </c>
    </row>
    <row r="210" hidden="1" outlineLevel="3" ht="13.5" customHeight="1">
      <c r="A210" s="2117" t="n">
        <v>0</v>
      </c>
      <c r="B210" s="2117" t="n">
        <v>4</v>
      </c>
      <c r="C210" s="2117" t="n">
        <v>3</v>
      </c>
      <c r="D210" s="2118" t="n">
        <v>8</v>
      </c>
      <c r="E210" s="2118" t="n">
        <v>6</v>
      </c>
      <c r="G210" s="1748" t="inlineStr">
        <is>
          <t>SUPRAESTRUTURA</t>
        </is>
      </c>
      <c r="H210" s="1749" t="inlineStr">
        <is>
          <t>SERVIÇO</t>
        </is>
      </c>
      <c r="I210" s="1750" t="inlineStr">
        <is>
          <t>04.003.008.006</t>
        </is>
      </c>
      <c r="J210" s="1751" t="inlineStr">
        <is>
          <t>Armação Aço CA-50, Diâmetro de 16,0mm para Supraestrutura, Corte e dobra em Indústria</t>
        </is>
      </c>
      <c r="K210" s="1752" t="inlineStr">
        <is>
          <t>kg</t>
        </is>
      </c>
      <c r="L210" s="1753" t="n">
        <v>761.8186953352772</v>
      </c>
      <c r="M210" s="1753" t="n">
        <v>8.484965000000001</v>
      </c>
      <c r="N210" s="1754" t="n">
        <v>6464.00496626549</v>
      </c>
      <c r="O210" s="1755" t="inlineStr">
        <is>
          <t>Quantidades resumo de projetos</t>
        </is>
      </c>
      <c r="P210" s="1721" t="inlineStr">
        <is>
          <t>Pendente</t>
        </is>
      </c>
    </row>
    <row r="211" hidden="1" outlineLevel="3" ht="13.5" customHeight="1">
      <c r="A211" s="2117" t="n">
        <v>0</v>
      </c>
      <c r="B211" s="2117" t="n">
        <v>4</v>
      </c>
      <c r="C211" s="2117" t="n">
        <v>3</v>
      </c>
      <c r="D211" s="2118" t="n">
        <v>8</v>
      </c>
      <c r="E211" s="2118" t="n">
        <v>7</v>
      </c>
      <c r="G211" s="1748" t="inlineStr">
        <is>
          <t>SUPRAESTRUTURA</t>
        </is>
      </c>
      <c r="H211" s="1749" t="inlineStr">
        <is>
          <t>SERVIÇO</t>
        </is>
      </c>
      <c r="I211" s="1750" t="inlineStr">
        <is>
          <t>04.003.008.007</t>
        </is>
      </c>
      <c r="J211" s="1751" t="inlineStr">
        <is>
          <t>Armação Aço CA-50, Diâmetro de 20,0mm para Supraestrutura, Corte e dobra em Indústria</t>
        </is>
      </c>
      <c r="K211" s="1752" t="inlineStr">
        <is>
          <t>kg</t>
        </is>
      </c>
      <c r="L211" s="1753" t="n">
        <v>2912.956814868805</v>
      </c>
      <c r="M211" s="1753" t="n">
        <v>8.484965000000001</v>
      </c>
      <c r="N211" s="1754" t="n">
        <v>24716.3366206733</v>
      </c>
      <c r="O211" s="1755" t="inlineStr">
        <is>
          <t>Quantidades resumo de projetos</t>
        </is>
      </c>
      <c r="P211" s="1721" t="inlineStr">
        <is>
          <t>Pendente</t>
        </is>
      </c>
    </row>
    <row r="212" hidden="1" outlineLevel="3" ht="13.5" customHeight="1">
      <c r="A212" s="2117" t="n">
        <v>0</v>
      </c>
      <c r="B212" s="2117" t="n">
        <v>4</v>
      </c>
      <c r="C212" s="2117" t="n">
        <v>3</v>
      </c>
      <c r="D212" s="2118" t="n">
        <v>8</v>
      </c>
      <c r="E212" s="2118" t="n">
        <v>8</v>
      </c>
      <c r="G212" s="1748" t="inlineStr">
        <is>
          <t>SUPRAESTRUTURA</t>
        </is>
      </c>
      <c r="H212" s="1749" t="inlineStr">
        <is>
          <t>SERVIÇO</t>
        </is>
      </c>
      <c r="I212" s="1750" t="inlineStr">
        <is>
          <t>04.003.008.008</t>
        </is>
      </c>
      <c r="J212" s="1751" t="inlineStr">
        <is>
          <t>Armação Aço CA-50, Diâmetro de 25,0mm para Supraestrutura, Corte e dobra em Indústria</t>
        </is>
      </c>
      <c r="K212" s="1752" t="inlineStr">
        <is>
          <t>kg</t>
        </is>
      </c>
      <c r="L212" s="1753" t="n">
        <v>13857.30776239067</v>
      </c>
      <c r="M212" s="1753" t="n">
        <v>8.484965000000001</v>
      </c>
      <c r="N212" s="1754" t="n">
        <v>117578.771358113</v>
      </c>
      <c r="O212" s="1755" t="inlineStr">
        <is>
          <t>Quantidades resumo de projetos</t>
        </is>
      </c>
      <c r="P212" s="1721" t="inlineStr">
        <is>
          <t>Pendente</t>
        </is>
      </c>
    </row>
    <row r="213" hidden="1" outlineLevel="2" ht="13.5" customHeight="1">
      <c r="A213" s="2117" t="n">
        <v>0</v>
      </c>
      <c r="B213" s="2117" t="n">
        <v>4</v>
      </c>
      <c r="C213" s="2117" t="n">
        <v>3</v>
      </c>
      <c r="D213" s="2118" t="n">
        <v>9</v>
      </c>
      <c r="E213" s="2118" t="n">
        <v>0</v>
      </c>
      <c r="G213" s="1740" t="n"/>
      <c r="H213" s="1741" t="inlineStr">
        <is>
          <t>SUBETAPA</t>
        </is>
      </c>
      <c r="I213" s="1742" t="inlineStr">
        <is>
          <t>04.003.009</t>
        </is>
      </c>
      <c r="J213" s="1743" t="inlineStr">
        <is>
          <t>Armadura - Lazer</t>
        </is>
      </c>
      <c r="K213" s="1744" t="n"/>
      <c r="L213" s="1745" t="n"/>
      <c r="M213" s="1745" t="n"/>
      <c r="N213" s="1746" t="n">
        <v>217499.848244585</v>
      </c>
      <c r="O213" s="1747" t="n">
        <v>12.9853213970535</v>
      </c>
      <c r="P213" s="1720" t="n"/>
    </row>
    <row r="214" hidden="1" outlineLevel="3" ht="13.5" customHeight="1">
      <c r="A214" s="2117" t="n">
        <v>0</v>
      </c>
      <c r="B214" s="2117" t="n">
        <v>4</v>
      </c>
      <c r="C214" s="2117" t="n">
        <v>3</v>
      </c>
      <c r="D214" s="2118" t="n">
        <v>9</v>
      </c>
      <c r="E214" s="2118" t="n">
        <v>1</v>
      </c>
      <c r="G214" s="1748" t="inlineStr">
        <is>
          <t>SUPRAESTRUTURA</t>
        </is>
      </c>
      <c r="H214" s="1749" t="inlineStr">
        <is>
          <t>SERVIÇO</t>
        </is>
      </c>
      <c r="I214" s="1750" t="inlineStr">
        <is>
          <t>04.003.009.001</t>
        </is>
      </c>
      <c r="J214" s="1751" t="inlineStr">
        <is>
          <t>Armação Aço CA-60, Diâmetro de 5,0mm para Supraestrutura, Corte e dobra em Indústria</t>
        </is>
      </c>
      <c r="K214" s="1752" t="inlineStr">
        <is>
          <t>kg</t>
        </is>
      </c>
      <c r="L214" s="1753" t="n">
        <v>142.5205903790088</v>
      </c>
      <c r="M214" s="1753" t="n">
        <v>8.964965000000001</v>
      </c>
      <c r="N214" s="1754" t="n">
        <v>1277.69210452715</v>
      </c>
      <c r="O214" s="1755" t="inlineStr">
        <is>
          <t>Quantidades resumo de projetos</t>
        </is>
      </c>
      <c r="P214" s="1721" t="inlineStr">
        <is>
          <t>Pendente</t>
        </is>
      </c>
    </row>
    <row r="215" hidden="1" outlineLevel="3" ht="13.5" customHeight="1">
      <c r="A215" s="2117" t="n">
        <v>0</v>
      </c>
      <c r="B215" s="2117" t="n">
        <v>4</v>
      </c>
      <c r="C215" s="2117" t="n">
        <v>3</v>
      </c>
      <c r="D215" s="2118" t="n">
        <v>9</v>
      </c>
      <c r="E215" s="2118" t="n">
        <v>2</v>
      </c>
      <c r="G215" s="1748" t="inlineStr">
        <is>
          <t>SUPRAESTRUTURA</t>
        </is>
      </c>
      <c r="H215" s="1749" t="inlineStr">
        <is>
          <t>SERVIÇO</t>
        </is>
      </c>
      <c r="I215" s="1750" t="inlineStr">
        <is>
          <t>04.003.009.002</t>
        </is>
      </c>
      <c r="J215" s="1751" t="inlineStr">
        <is>
          <t>Armação Aço CA-50, Diâmetro de 6,3mm para Supraestrutura, Corte e dobra em Indústria</t>
        </is>
      </c>
      <c r="K215" s="1752" t="inlineStr">
        <is>
          <t>kg</t>
        </is>
      </c>
      <c r="L215" s="1753" t="n">
        <v>1598.486333819242</v>
      </c>
      <c r="M215" s="1753" t="n">
        <v>8.964965000000001</v>
      </c>
      <c r="N215" s="1754" t="n">
        <v>14330.3740356678</v>
      </c>
      <c r="O215" s="1755" t="inlineStr">
        <is>
          <t>Quantidades resumo de projetos</t>
        </is>
      </c>
      <c r="P215" s="1721" t="inlineStr">
        <is>
          <t>Pendente</t>
        </is>
      </c>
    </row>
    <row r="216" hidden="1" outlineLevel="3" ht="13.5" customHeight="1">
      <c r="A216" s="2117" t="n">
        <v>0</v>
      </c>
      <c r="B216" s="2117" t="n">
        <v>4</v>
      </c>
      <c r="C216" s="2117" t="n">
        <v>3</v>
      </c>
      <c r="D216" s="2118" t="n">
        <v>9</v>
      </c>
      <c r="E216" s="2118" t="n">
        <v>3</v>
      </c>
      <c r="G216" s="1748" t="inlineStr">
        <is>
          <t>SUPRAESTRUTURA</t>
        </is>
      </c>
      <c r="H216" s="1749" t="inlineStr">
        <is>
          <t>SERVIÇO</t>
        </is>
      </c>
      <c r="I216" s="1750" t="inlineStr">
        <is>
          <t>04.003.009.003</t>
        </is>
      </c>
      <c r="J216" s="1751" t="inlineStr">
        <is>
          <t>Armação Aço CA-50, Diâmetro de 8,0mm para Supraestrutura, Corte e dobra em Indústria</t>
        </is>
      </c>
      <c r="K216" s="1752" t="inlineStr">
        <is>
          <t>kg</t>
        </is>
      </c>
      <c r="L216" s="1753" t="n">
        <v>1766.640123906706</v>
      </c>
      <c r="M216" s="1753" t="n">
        <v>8.964965000000001</v>
      </c>
      <c r="N216" s="1754" t="n">
        <v>15837.8668784193</v>
      </c>
      <c r="O216" s="1755" t="inlineStr">
        <is>
          <t>Quantidades resumo de projetos</t>
        </is>
      </c>
      <c r="P216" s="1721" t="inlineStr">
        <is>
          <t>Pendente</t>
        </is>
      </c>
    </row>
    <row r="217" hidden="1" outlineLevel="3" ht="13.5" customHeight="1">
      <c r="A217" s="2117" t="n">
        <v>0</v>
      </c>
      <c r="B217" s="2117" t="n">
        <v>4</v>
      </c>
      <c r="C217" s="2117" t="n">
        <v>3</v>
      </c>
      <c r="D217" s="2118" t="n">
        <v>9</v>
      </c>
      <c r="E217" s="2118" t="n">
        <v>4</v>
      </c>
      <c r="G217" s="1748" t="inlineStr">
        <is>
          <t>SUPRAESTRUTURA</t>
        </is>
      </c>
      <c r="H217" s="1749" t="inlineStr">
        <is>
          <t>SERVIÇO</t>
        </is>
      </c>
      <c r="I217" s="1750" t="inlineStr">
        <is>
          <t>04.003.009.004</t>
        </is>
      </c>
      <c r="J217" s="1751" t="inlineStr">
        <is>
          <t>Armação Aço CA-50, Diâmetro de 10,0mm para Supraestrutura, Corte e dobra em Indústria</t>
        </is>
      </c>
      <c r="K217" s="1752" t="inlineStr">
        <is>
          <t>kg</t>
        </is>
      </c>
      <c r="L217" s="1753" t="n">
        <v>2008.617529154519</v>
      </c>
      <c r="M217" s="1753" t="n">
        <v>8.964965000000001</v>
      </c>
      <c r="N217" s="1754" t="n">
        <v>18007.1858472567</v>
      </c>
      <c r="O217" s="1755" t="inlineStr">
        <is>
          <t>Quantidades resumo de projetos</t>
        </is>
      </c>
      <c r="P217" s="1721" t="inlineStr">
        <is>
          <t>Pendente</t>
        </is>
      </c>
    </row>
    <row r="218" hidden="1" outlineLevel="3" ht="13.5" customHeight="1">
      <c r="A218" s="2117" t="n">
        <v>0</v>
      </c>
      <c r="B218" s="2117" t="n">
        <v>4</v>
      </c>
      <c r="C218" s="2117" t="n">
        <v>3</v>
      </c>
      <c r="D218" s="2118" t="n">
        <v>9</v>
      </c>
      <c r="E218" s="2118" t="n">
        <v>5</v>
      </c>
      <c r="G218" s="1748" t="inlineStr">
        <is>
          <t>SUPRAESTRUTURA</t>
        </is>
      </c>
      <c r="H218" s="1749" t="inlineStr">
        <is>
          <t>SERVIÇO</t>
        </is>
      </c>
      <c r="I218" s="1750" t="inlineStr">
        <is>
          <t>04.003.009.005</t>
        </is>
      </c>
      <c r="J218" s="1751" t="inlineStr">
        <is>
          <t>Armação Aço CA-50, Diâmetro de 12,5mm para Supraestrutura, Corte e dobra em Indústria</t>
        </is>
      </c>
      <c r="K218" s="1752" t="inlineStr">
        <is>
          <t>kg</t>
        </is>
      </c>
      <c r="L218" s="1753" t="n">
        <v>2273.152150145773</v>
      </c>
      <c r="M218" s="1753" t="n">
        <v>8.484965000000001</v>
      </c>
      <c r="N218" s="1754" t="n">
        <v>19287.6164336616</v>
      </c>
      <c r="O218" s="1755" t="inlineStr">
        <is>
          <t>Quantidades resumo de projetos</t>
        </is>
      </c>
      <c r="P218" s="1721" t="inlineStr">
        <is>
          <t>Pendente</t>
        </is>
      </c>
    </row>
    <row r="219" hidden="1" outlineLevel="3" ht="13.5" customHeight="1">
      <c r="A219" s="2117" t="n">
        <v>0</v>
      </c>
      <c r="B219" s="2117" t="n">
        <v>4</v>
      </c>
      <c r="C219" s="2117" t="n">
        <v>3</v>
      </c>
      <c r="D219" s="2118" t="n">
        <v>9</v>
      </c>
      <c r="E219" s="2118" t="n">
        <v>6</v>
      </c>
      <c r="G219" s="1748" t="inlineStr">
        <is>
          <t>SUPRAESTRUTURA</t>
        </is>
      </c>
      <c r="H219" s="1749" t="inlineStr">
        <is>
          <t>SERVIÇO</t>
        </is>
      </c>
      <c r="I219" s="1750" t="inlineStr">
        <is>
          <t>04.003.009.006</t>
        </is>
      </c>
      <c r="J219" s="1751" t="inlineStr">
        <is>
          <t>Armação Aço CA-50, Diâmetro de 16,0mm para Supraestrutura, Corte e dobra em Indústria</t>
        </is>
      </c>
      <c r="K219" s="1752" t="inlineStr">
        <is>
          <t>kg</t>
        </is>
      </c>
      <c r="L219" s="1753" t="n">
        <v>761.8186953352772</v>
      </c>
      <c r="M219" s="1753" t="n">
        <v>8.484965000000001</v>
      </c>
      <c r="N219" s="1754" t="n">
        <v>6464.00496626549</v>
      </c>
      <c r="O219" s="1755" t="inlineStr">
        <is>
          <t>Quantidades resumo de projetos</t>
        </is>
      </c>
      <c r="P219" s="1721" t="inlineStr">
        <is>
          <t>Pendente</t>
        </is>
      </c>
    </row>
    <row r="220" hidden="1" outlineLevel="3" ht="13.5" customHeight="1">
      <c r="A220" s="2117" t="n">
        <v>0</v>
      </c>
      <c r="B220" s="2117" t="n">
        <v>4</v>
      </c>
      <c r="C220" s="2117" t="n">
        <v>3</v>
      </c>
      <c r="D220" s="2118" t="n">
        <v>9</v>
      </c>
      <c r="E220" s="2118" t="n">
        <v>7</v>
      </c>
      <c r="G220" s="1748" t="inlineStr">
        <is>
          <t>SUPRAESTRUTURA</t>
        </is>
      </c>
      <c r="H220" s="1749" t="inlineStr">
        <is>
          <t>SERVIÇO</t>
        </is>
      </c>
      <c r="I220" s="1750" t="inlineStr">
        <is>
          <t>04.003.009.007</t>
        </is>
      </c>
      <c r="J220" s="1751" t="inlineStr">
        <is>
          <t>Armação Aço CA-50, Diâmetro de 20,0mm para Supraestrutura, Corte e dobra em Indústria</t>
        </is>
      </c>
      <c r="K220" s="1752" t="inlineStr">
        <is>
          <t>kg</t>
        </is>
      </c>
      <c r="L220" s="1753" t="n">
        <v>2912.956814868805</v>
      </c>
      <c r="M220" s="1753" t="n">
        <v>8.484965000000001</v>
      </c>
      <c r="N220" s="1754" t="n">
        <v>24716.3366206733</v>
      </c>
      <c r="O220" s="1755" t="inlineStr">
        <is>
          <t>Quantidades resumo de projetos</t>
        </is>
      </c>
      <c r="P220" s="1721" t="inlineStr">
        <is>
          <t>Pendente</t>
        </is>
      </c>
    </row>
    <row r="221" hidden="1" outlineLevel="3" ht="13.5" customHeight="1">
      <c r="A221" s="2117" t="n">
        <v>0</v>
      </c>
      <c r="B221" s="2117" t="n">
        <v>4</v>
      </c>
      <c r="C221" s="2117" t="n">
        <v>3</v>
      </c>
      <c r="D221" s="2118" t="n">
        <v>9</v>
      </c>
      <c r="E221" s="2118" t="n">
        <v>8</v>
      </c>
      <c r="G221" s="1748" t="inlineStr">
        <is>
          <t>SUPRAESTRUTURA</t>
        </is>
      </c>
      <c r="H221" s="1749" t="inlineStr">
        <is>
          <t>SERVIÇO</t>
        </is>
      </c>
      <c r="I221" s="1750" t="inlineStr">
        <is>
          <t>04.003.009.008</t>
        </is>
      </c>
      <c r="J221" s="1751" t="inlineStr">
        <is>
          <t>Armação Aço CA-50, Diâmetro de 25,0mm para Supraestrutura, Corte e dobra em Indústria</t>
        </is>
      </c>
      <c r="K221" s="1752" t="inlineStr">
        <is>
          <t>kg</t>
        </is>
      </c>
      <c r="L221" s="1753" t="n">
        <v>13857.30776239067</v>
      </c>
      <c r="M221" s="1753" t="n">
        <v>8.484965000000001</v>
      </c>
      <c r="N221" s="1754" t="n">
        <v>117578.771358113</v>
      </c>
      <c r="O221" s="1755" t="inlineStr">
        <is>
          <t>Quantidades resumo de projetos</t>
        </is>
      </c>
      <c r="P221" s="1721" t="inlineStr">
        <is>
          <t>Pendente</t>
        </is>
      </c>
    </row>
    <row r="222" hidden="1" outlineLevel="2" ht="13.5" customHeight="1">
      <c r="A222" s="2117" t="n">
        <v>0</v>
      </c>
      <c r="B222" s="2117" t="n">
        <v>4</v>
      </c>
      <c r="C222" s="2117" t="n">
        <v>3</v>
      </c>
      <c r="D222" s="2118" t="n">
        <v>10</v>
      </c>
      <c r="E222" s="2118" t="n">
        <v>0</v>
      </c>
      <c r="G222" s="1740" t="n"/>
      <c r="H222" s="1741" t="inlineStr">
        <is>
          <t>SUBETAPA</t>
        </is>
      </c>
      <c r="I222" s="1742" t="inlineStr">
        <is>
          <t>04.003.010</t>
        </is>
      </c>
      <c r="J222" s="1743" t="inlineStr">
        <is>
          <t>Armadura - Tipo diferenciado</t>
        </is>
      </c>
      <c r="K222" s="1744" t="n"/>
      <c r="L222" s="1745" t="n"/>
      <c r="M222" s="1745" t="n"/>
      <c r="N222" s="1746" t="n">
        <v>231024.067230865</v>
      </c>
      <c r="O222" s="1747" t="n">
        <v>13.7927533635507</v>
      </c>
      <c r="P222" s="1720" t="n"/>
    </row>
    <row r="223" hidden="1" outlineLevel="3" ht="13.5" customHeight="1">
      <c r="A223" s="2117" t="n">
        <v>0</v>
      </c>
      <c r="B223" s="2117" t="n">
        <v>4</v>
      </c>
      <c r="C223" s="2117" t="n">
        <v>3</v>
      </c>
      <c r="D223" s="2118" t="n">
        <v>10</v>
      </c>
      <c r="E223" s="2118" t="n">
        <v>1</v>
      </c>
      <c r="G223" s="1748" t="inlineStr">
        <is>
          <t>SUPRAESTRUTURA</t>
        </is>
      </c>
      <c r="H223" s="1749" t="inlineStr">
        <is>
          <t>SERVIÇO</t>
        </is>
      </c>
      <c r="I223" s="1750" t="inlineStr">
        <is>
          <t>04.003.010.001</t>
        </is>
      </c>
      <c r="J223" s="1751" t="inlineStr">
        <is>
          <t>Armação Aço CA-60, Diâmetro de 5,0mm para Supraestrutura, Corte e dobra em Indústria</t>
        </is>
      </c>
      <c r="K223" s="1752" t="inlineStr">
        <is>
          <t>kg</t>
        </is>
      </c>
      <c r="L223" s="1753" t="n">
        <v>151.3825720764497</v>
      </c>
      <c r="M223" s="1753" t="n">
        <v>8.964965000000001</v>
      </c>
      <c r="N223" s="1754" t="n">
        <v>1357.13946027535</v>
      </c>
      <c r="O223" s="1755" t="inlineStr">
        <is>
          <t>Quantidades resumo de projetos</t>
        </is>
      </c>
      <c r="P223" s="1721" t="inlineStr">
        <is>
          <t>Pendente</t>
        </is>
      </c>
    </row>
    <row r="224" hidden="1" outlineLevel="3" ht="13.5" customHeight="1">
      <c r="A224" s="2117" t="n">
        <v>0</v>
      </c>
      <c r="B224" s="2117" t="n">
        <v>4</v>
      </c>
      <c r="C224" s="2117" t="n">
        <v>3</v>
      </c>
      <c r="D224" s="2118" t="n">
        <v>10</v>
      </c>
      <c r="E224" s="2118" t="n">
        <v>2</v>
      </c>
      <c r="G224" s="1748" t="inlineStr">
        <is>
          <t>SUPRAESTRUTURA</t>
        </is>
      </c>
      <c r="H224" s="1749" t="inlineStr">
        <is>
          <t>SERVIÇO</t>
        </is>
      </c>
      <c r="I224" s="1750" t="inlineStr">
        <is>
          <t>04.003.010.002</t>
        </is>
      </c>
      <c r="J224" s="1751" t="inlineStr">
        <is>
          <t>Armação Aço CA-50, Diâmetro de 6,3mm para Supraestrutura, Corte e dobra em Indústria</t>
        </is>
      </c>
      <c r="K224" s="1752" t="inlineStr">
        <is>
          <t>kg</t>
        </is>
      </c>
      <c r="L224" s="1753" t="n">
        <v>1697.880790411403</v>
      </c>
      <c r="M224" s="1753" t="n">
        <v>8.964965000000001</v>
      </c>
      <c r="N224" s="1754" t="n">
        <v>15221.4418602106</v>
      </c>
      <c r="O224" s="1755" t="inlineStr">
        <is>
          <t>Quantidades resumo de projetos</t>
        </is>
      </c>
      <c r="P224" s="1721" t="inlineStr">
        <is>
          <t>Pendente</t>
        </is>
      </c>
    </row>
    <row r="225" hidden="1" outlineLevel="3" ht="13.5" customHeight="1">
      <c r="A225" s="2117" t="n">
        <v>0</v>
      </c>
      <c r="B225" s="2117" t="n">
        <v>4</v>
      </c>
      <c r="C225" s="2117" t="n">
        <v>3</v>
      </c>
      <c r="D225" s="2118" t="n">
        <v>10</v>
      </c>
      <c r="E225" s="2118" t="n">
        <v>3</v>
      </c>
      <c r="G225" s="1748" t="inlineStr">
        <is>
          <t>SUPRAESTRUTURA</t>
        </is>
      </c>
      <c r="H225" s="1749" t="inlineStr">
        <is>
          <t>SERVIÇO</t>
        </is>
      </c>
      <c r="I225" s="1750" t="inlineStr">
        <is>
          <t>04.003.010.003</t>
        </is>
      </c>
      <c r="J225" s="1751" t="inlineStr">
        <is>
          <t>Armação Aço CA-50, Diâmetro de 8,0mm para Supraestrutura, Corte e dobra em Indústria</t>
        </is>
      </c>
      <c r="K225" s="1752" t="inlineStr">
        <is>
          <t>kg</t>
        </is>
      </c>
      <c r="L225" s="1753" t="n">
        <v>1876.490443796567</v>
      </c>
      <c r="M225" s="1753" t="n">
        <v>8.964965000000001</v>
      </c>
      <c r="N225" s="1754" t="n">
        <v>16822.6711514707</v>
      </c>
      <c r="O225" s="1755" t="inlineStr">
        <is>
          <t>Quantidades resumo de projetos</t>
        </is>
      </c>
      <c r="P225" s="1721" t="inlineStr">
        <is>
          <t>Pendente</t>
        </is>
      </c>
    </row>
    <row r="226" hidden="1" outlineLevel="3" ht="13.5" customHeight="1">
      <c r="A226" s="2117" t="n">
        <v>0</v>
      </c>
      <c r="B226" s="2117" t="n">
        <v>4</v>
      </c>
      <c r="C226" s="2117" t="n">
        <v>3</v>
      </c>
      <c r="D226" s="2118" t="n">
        <v>10</v>
      </c>
      <c r="E226" s="2118" t="n">
        <v>4</v>
      </c>
      <c r="G226" s="1748" t="inlineStr">
        <is>
          <t>SUPRAESTRUTURA</t>
        </is>
      </c>
      <c r="H226" s="1749" t="inlineStr">
        <is>
          <t>SERVIÇO</t>
        </is>
      </c>
      <c r="I226" s="1750" t="inlineStr">
        <is>
          <t>04.003.010.004</t>
        </is>
      </c>
      <c r="J226" s="1751" t="inlineStr">
        <is>
          <t>Armação Aço CA-50, Diâmetro de 10,0mm para Supraestrutura, Corte e dobra em Indústria</t>
        </is>
      </c>
      <c r="K226" s="1752" t="inlineStr">
        <is>
          <t>kg</t>
        </is>
      </c>
      <c r="L226" s="1753" t="n">
        <v>2133.514091350826</v>
      </c>
      <c r="M226" s="1753" t="n">
        <v>8.964965000000001</v>
      </c>
      <c r="N226" s="1754" t="n">
        <v>19126.879155967</v>
      </c>
      <c r="O226" s="1755" t="inlineStr">
        <is>
          <t>Quantidades resumo de projetos</t>
        </is>
      </c>
      <c r="P226" s="1721" t="inlineStr">
        <is>
          <t>Pendente</t>
        </is>
      </c>
    </row>
    <row r="227" hidden="1" outlineLevel="3" ht="13.5" customHeight="1">
      <c r="A227" s="2117" t="n">
        <v>0</v>
      </c>
      <c r="B227" s="2117" t="n">
        <v>4</v>
      </c>
      <c r="C227" s="2117" t="n">
        <v>3</v>
      </c>
      <c r="D227" s="2118" t="n">
        <v>10</v>
      </c>
      <c r="E227" s="2118" t="n">
        <v>5</v>
      </c>
      <c r="G227" s="1748" t="inlineStr">
        <is>
          <t>SUPRAESTRUTURA</t>
        </is>
      </c>
      <c r="H227" s="1749" t="inlineStr">
        <is>
          <t>SERVIÇO</t>
        </is>
      </c>
      <c r="I227" s="1750" t="inlineStr">
        <is>
          <t>04.003.010.005</t>
        </is>
      </c>
      <c r="J227" s="1751" t="inlineStr">
        <is>
          <t>Armação Aço CA-50, Diâmetro de 12,5mm para Supraestrutura, Corte e dobra em Indústria</t>
        </is>
      </c>
      <c r="K227" s="1752" t="inlineStr">
        <is>
          <t>kg</t>
        </is>
      </c>
      <c r="L227" s="1753" t="n">
        <v>2414.497570456754</v>
      </c>
      <c r="M227" s="1753" t="n">
        <v>8.484965000000001</v>
      </c>
      <c r="N227" s="1754" t="n">
        <v>20486.9273779106</v>
      </c>
      <c r="O227" s="1755" t="inlineStr">
        <is>
          <t>Quantidades resumo de projetos</t>
        </is>
      </c>
      <c r="P227" s="1721" t="inlineStr">
        <is>
          <t>Pendente</t>
        </is>
      </c>
    </row>
    <row r="228" hidden="1" outlineLevel="3" ht="13.5" customHeight="1">
      <c r="A228" s="2117" t="n">
        <v>0</v>
      </c>
      <c r="B228" s="2117" t="n">
        <v>4</v>
      </c>
      <c r="C228" s="2117" t="n">
        <v>3</v>
      </c>
      <c r="D228" s="2118" t="n">
        <v>10</v>
      </c>
      <c r="E228" s="2118" t="n">
        <v>6</v>
      </c>
      <c r="G228" s="1748" t="inlineStr">
        <is>
          <t>SUPRAESTRUTURA</t>
        </is>
      </c>
      <c r="H228" s="1749" t="inlineStr">
        <is>
          <t>SERVIÇO</t>
        </is>
      </c>
      <c r="I228" s="1750" t="inlineStr">
        <is>
          <t>04.003.010.006</t>
        </is>
      </c>
      <c r="J228" s="1751" t="inlineStr">
        <is>
          <t>Armação Aço CA-50, Diâmetro de 16,0mm para Supraestrutura, Corte e dobra em Indústria</t>
        </is>
      </c>
      <c r="K228" s="1752" t="inlineStr">
        <is>
          <t>kg</t>
        </is>
      </c>
      <c r="L228" s="1753" t="n">
        <v>809.1888564949791</v>
      </c>
      <c r="M228" s="1753" t="n">
        <v>8.484965000000001</v>
      </c>
      <c r="N228" s="1754" t="n">
        <v>6865.93912574992</v>
      </c>
      <c r="O228" s="1755" t="inlineStr">
        <is>
          <t>Quantidades resumo de projetos</t>
        </is>
      </c>
      <c r="P228" s="1721" t="inlineStr">
        <is>
          <t>Pendente</t>
        </is>
      </c>
    </row>
    <row r="229" hidden="1" outlineLevel="3" ht="13.5" customHeight="1">
      <c r="A229" s="2117" t="n">
        <v>0</v>
      </c>
      <c r="B229" s="2117" t="n">
        <v>4</v>
      </c>
      <c r="C229" s="2117" t="n">
        <v>3</v>
      </c>
      <c r="D229" s="2118" t="n">
        <v>10</v>
      </c>
      <c r="E229" s="2118" t="n">
        <v>7</v>
      </c>
      <c r="G229" s="1748" t="inlineStr">
        <is>
          <t>SUPRAESTRUTURA</t>
        </is>
      </c>
      <c r="H229" s="1749" t="inlineStr">
        <is>
          <t>SERVIÇO</t>
        </is>
      </c>
      <c r="I229" s="1750" t="inlineStr">
        <is>
          <t>04.003.010.007</t>
        </is>
      </c>
      <c r="J229" s="1751" t="inlineStr">
        <is>
          <t>Armação Aço CA-50, Diâmetro de 20,0mm para Supraestrutura, Corte e dobra em Indústria</t>
        </is>
      </c>
      <c r="K229" s="1752" t="inlineStr">
        <is>
          <t>kg</t>
        </is>
      </c>
      <c r="L229" s="1753" t="n">
        <v>3094.085519922255</v>
      </c>
      <c r="M229" s="1753" t="n">
        <v>8.484965000000001</v>
      </c>
      <c r="N229" s="1754" t="n">
        <v>26253.2073435471</v>
      </c>
      <c r="O229" s="1755" t="inlineStr">
        <is>
          <t>Quantidades resumo de projetos</t>
        </is>
      </c>
      <c r="P229" s="1721" t="inlineStr">
        <is>
          <t>Pendente</t>
        </is>
      </c>
    </row>
    <row r="230" hidden="1" outlineLevel="3" ht="13.5" customHeight="1">
      <c r="A230" s="2117" t="n">
        <v>0</v>
      </c>
      <c r="B230" s="2117" t="n">
        <v>4</v>
      </c>
      <c r="C230" s="2117" t="n">
        <v>3</v>
      </c>
      <c r="D230" s="2118" t="n">
        <v>10</v>
      </c>
      <c r="E230" s="2118" t="n">
        <v>8</v>
      </c>
      <c r="G230" s="1748" t="inlineStr">
        <is>
          <t>SUPRAESTRUTURA</t>
        </is>
      </c>
      <c r="H230" s="1749" t="inlineStr">
        <is>
          <t>SERVIÇO</t>
        </is>
      </c>
      <c r="I230" s="1750" t="inlineStr">
        <is>
          <t>04.003.010.008</t>
        </is>
      </c>
      <c r="J230" s="1751" t="inlineStr">
        <is>
          <t>Armação Aço CA-50, Diâmetro de 25,0mm para Supraestrutura, Corte e dobra em Indústria</t>
        </is>
      </c>
      <c r="K230" s="1752" t="inlineStr">
        <is>
          <t>kg</t>
        </is>
      </c>
      <c r="L230" s="1753" t="n">
        <v>14718.96015549077</v>
      </c>
      <c r="M230" s="1753" t="n">
        <v>8.484965000000001</v>
      </c>
      <c r="N230" s="1754" t="n">
        <v>124889.861755734</v>
      </c>
      <c r="O230" s="1755" t="inlineStr">
        <is>
          <t>Quantidades resumo de projetos</t>
        </is>
      </c>
      <c r="P230" s="1721" t="inlineStr">
        <is>
          <t>Pendente</t>
        </is>
      </c>
    </row>
    <row r="231" hidden="1" outlineLevel="2" ht="13.5" customHeight="1">
      <c r="A231" s="2117" t="n">
        <v>0</v>
      </c>
      <c r="B231" s="2117" t="n">
        <v>4</v>
      </c>
      <c r="C231" s="2117" t="n">
        <v>3</v>
      </c>
      <c r="D231" s="2118" t="n">
        <v>11</v>
      </c>
      <c r="E231" s="2118" t="n">
        <v>0</v>
      </c>
      <c r="G231" s="1740" t="n"/>
      <c r="H231" s="1741" t="inlineStr">
        <is>
          <t>SUBETAPA</t>
        </is>
      </c>
      <c r="I231" s="1742" t="inlineStr">
        <is>
          <t>04.003.011</t>
        </is>
      </c>
      <c r="J231" s="1743" t="inlineStr">
        <is>
          <t>Armadura - Tipo x8</t>
        </is>
      </c>
      <c r="K231" s="1744" t="n"/>
      <c r="L231" s="1745" t="n"/>
      <c r="M231" s="1745" t="n"/>
      <c r="N231" s="1746" t="n">
        <v>1409224.47732367</v>
      </c>
      <c r="O231" s="1747" t="n">
        <v>84.1344621908174</v>
      </c>
      <c r="P231" s="1720" t="n"/>
    </row>
    <row r="232" hidden="1" outlineLevel="3" ht="13.5" customHeight="1">
      <c r="A232" s="2117" t="n">
        <v>0</v>
      </c>
      <c r="B232" s="2117" t="n">
        <v>4</v>
      </c>
      <c r="C232" s="2117" t="n">
        <v>3</v>
      </c>
      <c r="D232" s="2118" t="n">
        <v>11</v>
      </c>
      <c r="E232" s="2118" t="n">
        <v>1</v>
      </c>
      <c r="G232" s="1748" t="inlineStr">
        <is>
          <t>SUPRAESTRUTURA</t>
        </is>
      </c>
      <c r="H232" s="1749" t="inlineStr">
        <is>
          <t>SERVIÇO</t>
        </is>
      </c>
      <c r="I232" s="1750" t="inlineStr">
        <is>
          <t>04.003.011.001</t>
        </is>
      </c>
      <c r="J232" s="1751" t="inlineStr">
        <is>
          <t>Armação Aço CA-60, Diâmetro de 5,0mm para Supraestrutura, Corte e dobra em Indústria</t>
        </is>
      </c>
      <c r="K232" s="1752" t="inlineStr">
        <is>
          <t>kg</t>
        </is>
      </c>
      <c r="L232" s="1753" t="n">
        <v>923.4190557175257</v>
      </c>
      <c r="M232" s="1753" t="n">
        <v>8.964965000000001</v>
      </c>
      <c r="N232" s="1754" t="n">
        <v>8278.419514840671</v>
      </c>
      <c r="O232" s="1755" t="inlineStr">
        <is>
          <t>Quantidades resumo de projetos</t>
        </is>
      </c>
      <c r="P232" s="1721" t="inlineStr">
        <is>
          <t>Pendente</t>
        </is>
      </c>
    </row>
    <row r="233" hidden="1" outlineLevel="3" ht="13.5" customHeight="1">
      <c r="A233" s="2117" t="n">
        <v>0</v>
      </c>
      <c r="B233" s="2117" t="n">
        <v>4</v>
      </c>
      <c r="C233" s="2117" t="n">
        <v>3</v>
      </c>
      <c r="D233" s="2118" t="n">
        <v>11</v>
      </c>
      <c r="E233" s="2118" t="n">
        <v>2</v>
      </c>
      <c r="G233" s="1748" t="inlineStr">
        <is>
          <t>SUPRAESTRUTURA</t>
        </is>
      </c>
      <c r="H233" s="1749" t="inlineStr">
        <is>
          <t>SERVIÇO</t>
        </is>
      </c>
      <c r="I233" s="1750" t="inlineStr">
        <is>
          <t>04.003.011.002</t>
        </is>
      </c>
      <c r="J233" s="1751" t="inlineStr">
        <is>
          <t>Armação Aço CA-50, Diâmetro de 6,3mm para Supraestrutura, Corte e dobra em Indústria</t>
        </is>
      </c>
      <c r="K233" s="1752" t="inlineStr">
        <is>
          <t>kg</t>
        </is>
      </c>
      <c r="L233" s="1753" t="n">
        <v>10356.90868966634</v>
      </c>
      <c r="M233" s="1753" t="n">
        <v>8.964965000000001</v>
      </c>
      <c r="N233" s="1754" t="n">
        <v>92849.3239110546</v>
      </c>
      <c r="O233" s="1755" t="inlineStr">
        <is>
          <t>Quantidades resumo de projetos</t>
        </is>
      </c>
      <c r="P233" s="1721" t="inlineStr">
        <is>
          <t>Pendente</t>
        </is>
      </c>
    </row>
    <row r="234" hidden="1" outlineLevel="3" ht="13.5" customHeight="1">
      <c r="A234" s="2117" t="n">
        <v>0</v>
      </c>
      <c r="B234" s="2117" t="n">
        <v>4</v>
      </c>
      <c r="C234" s="2117" t="n">
        <v>3</v>
      </c>
      <c r="D234" s="2118" t="n">
        <v>11</v>
      </c>
      <c r="E234" s="2118" t="n">
        <v>3</v>
      </c>
      <c r="G234" s="1748" t="inlineStr">
        <is>
          <t>SUPRAESTRUTURA</t>
        </is>
      </c>
      <c r="H234" s="1749" t="inlineStr">
        <is>
          <t>SERVIÇO</t>
        </is>
      </c>
      <c r="I234" s="1750" t="inlineStr">
        <is>
          <t>04.003.011.003</t>
        </is>
      </c>
      <c r="J234" s="1751" t="inlineStr">
        <is>
          <t>Armação Aço CA-50, Diâmetro de 8,0mm para Supraestrutura, Corte e dobra em Indústria</t>
        </is>
      </c>
      <c r="K234" s="1752" t="inlineStr">
        <is>
          <t>kg</t>
        </is>
      </c>
      <c r="L234" s="1753" t="n">
        <v>11446.41030936184</v>
      </c>
      <c r="M234" s="1753" t="n">
        <v>8.964965000000001</v>
      </c>
      <c r="N234" s="1754" t="n">
        <v>102616.667799068</v>
      </c>
      <c r="O234" s="1755" t="inlineStr">
        <is>
          <t>Quantidades resumo de projetos</t>
        </is>
      </c>
      <c r="P234" s="1721" t="inlineStr">
        <is>
          <t>Pendente</t>
        </is>
      </c>
    </row>
    <row r="235" hidden="1" outlineLevel="3" ht="13.5" customHeight="1">
      <c r="A235" s="2117" t="n">
        <v>0</v>
      </c>
      <c r="B235" s="2117" t="n">
        <v>4</v>
      </c>
      <c r="C235" s="2117" t="n">
        <v>3</v>
      </c>
      <c r="D235" s="2118" t="n">
        <v>11</v>
      </c>
      <c r="E235" s="2118" t="n">
        <v>4</v>
      </c>
      <c r="G235" s="1748" t="inlineStr">
        <is>
          <t>SUPRAESTRUTURA</t>
        </is>
      </c>
      <c r="H235" s="1749" t="inlineStr">
        <is>
          <t>SERVIÇO</t>
        </is>
      </c>
      <c r="I235" s="1750" t="inlineStr">
        <is>
          <t>04.003.011.004</t>
        </is>
      </c>
      <c r="J235" s="1751" t="inlineStr">
        <is>
          <t>Armação Aço CA-50, Diâmetro de 10,0mm para Supraestrutura, Corte e dobra em Indústria</t>
        </is>
      </c>
      <c r="K235" s="1752" t="inlineStr">
        <is>
          <t>kg</t>
        </is>
      </c>
      <c r="L235" s="1753" t="n">
        <v>13014.2297133139</v>
      </c>
      <c r="M235" s="1753" t="n">
        <v>8.964965000000001</v>
      </c>
      <c r="N235" s="1754" t="n">
        <v>116672.113881819</v>
      </c>
      <c r="O235" s="1755" t="inlineStr">
        <is>
          <t>Quantidades resumo de projetos</t>
        </is>
      </c>
      <c r="P235" s="1721" t="inlineStr">
        <is>
          <t>Pendente</t>
        </is>
      </c>
    </row>
    <row r="236" hidden="1" outlineLevel="3" ht="13.5" customHeight="1">
      <c r="A236" s="2117" t="n">
        <v>0</v>
      </c>
      <c r="B236" s="2117" t="n">
        <v>4</v>
      </c>
      <c r="C236" s="2117" t="n">
        <v>3</v>
      </c>
      <c r="D236" s="2118" t="n">
        <v>11</v>
      </c>
      <c r="E236" s="2118" t="n">
        <v>5</v>
      </c>
      <c r="G236" s="1748" t="inlineStr">
        <is>
          <t>SUPRAESTRUTURA</t>
        </is>
      </c>
      <c r="H236" s="1749" t="inlineStr">
        <is>
          <t>SERVIÇO</t>
        </is>
      </c>
      <c r="I236" s="1750" t="inlineStr">
        <is>
          <t>04.003.011.005</t>
        </is>
      </c>
      <c r="J236" s="1751" t="inlineStr">
        <is>
          <t>Armação Aço CA-50, Diâmetro de 12,5mm para Supraestrutura, Corte e dobra em Indústria</t>
        </is>
      </c>
      <c r="K236" s="1752" t="inlineStr">
        <is>
          <t>kg</t>
        </is>
      </c>
      <c r="L236" s="1753" t="n">
        <v>14728.20177356656</v>
      </c>
      <c r="M236" s="1753" t="n">
        <v>8.484965000000001</v>
      </c>
      <c r="N236" s="1754" t="n">
        <v>124968.27656165</v>
      </c>
      <c r="O236" s="1755" t="inlineStr">
        <is>
          <t>Quantidades resumo de projetos</t>
        </is>
      </c>
      <c r="P236" s="1721" t="inlineStr">
        <is>
          <t>Pendente</t>
        </is>
      </c>
    </row>
    <row r="237" hidden="1" outlineLevel="3" ht="13.5" customHeight="1">
      <c r="A237" s="2117" t="n">
        <v>0</v>
      </c>
      <c r="B237" s="2117" t="n">
        <v>4</v>
      </c>
      <c r="C237" s="2117" t="n">
        <v>3</v>
      </c>
      <c r="D237" s="2118" t="n">
        <v>11</v>
      </c>
      <c r="E237" s="2118" t="n">
        <v>6</v>
      </c>
      <c r="G237" s="1748" t="inlineStr">
        <is>
          <t>SUPRAESTRUTURA</t>
        </is>
      </c>
      <c r="H237" s="1749" t="inlineStr">
        <is>
          <t>SERVIÇO</t>
        </is>
      </c>
      <c r="I237" s="1750" t="inlineStr">
        <is>
          <t>04.003.011.006</t>
        </is>
      </c>
      <c r="J237" s="1751" t="inlineStr">
        <is>
          <t>Armação Aço CA-50, Diâmetro de 16,0mm para Supraestrutura, Corte e dobra em Indústria</t>
        </is>
      </c>
      <c r="K237" s="1752" t="inlineStr">
        <is>
          <t>kg</t>
        </is>
      </c>
      <c r="L237" s="1753" t="n">
        <v>4935.973801425333</v>
      </c>
      <c r="M237" s="1753" t="n">
        <v>8.484965000000001</v>
      </c>
      <c r="N237" s="1754" t="n">
        <v>41881.5649460109</v>
      </c>
      <c r="O237" s="1755" t="inlineStr">
        <is>
          <t>Quantidades resumo de projetos</t>
        </is>
      </c>
      <c r="P237" s="1721" t="inlineStr">
        <is>
          <t>Pendente</t>
        </is>
      </c>
    </row>
    <row r="238" hidden="1" outlineLevel="3" ht="13.5" customHeight="1">
      <c r="A238" s="2117" t="n">
        <v>0</v>
      </c>
      <c r="B238" s="2117" t="n">
        <v>4</v>
      </c>
      <c r="C238" s="2117" t="n">
        <v>3</v>
      </c>
      <c r="D238" s="2118" t="n">
        <v>11</v>
      </c>
      <c r="E238" s="2118" t="n">
        <v>7</v>
      </c>
      <c r="G238" s="1748" t="inlineStr">
        <is>
          <t>SUPRAESTRUTURA</t>
        </is>
      </c>
      <c r="H238" s="1749" t="inlineStr">
        <is>
          <t>SERVIÇO</t>
        </is>
      </c>
      <c r="I238" s="1750" t="inlineStr">
        <is>
          <t>04.003.011.007</t>
        </is>
      </c>
      <c r="J238" s="1751" t="inlineStr">
        <is>
          <t>Armação Aço CA-50, Diâmetro de 20,0mm para Supraestrutura, Corte e dobra em Indústria</t>
        </is>
      </c>
      <c r="K238" s="1752" t="inlineStr">
        <is>
          <t>kg</t>
        </is>
      </c>
      <c r="L238" s="1753" t="n">
        <v>18873.62257045675</v>
      </c>
      <c r="M238" s="1753" t="n">
        <v>8.484965000000001</v>
      </c>
      <c r="N238" s="1754" t="n">
        <v>160142.026933536</v>
      </c>
      <c r="O238" s="1755" t="inlineStr">
        <is>
          <t>Quantidades resumo de projetos</t>
        </is>
      </c>
      <c r="P238" s="1721" t="inlineStr">
        <is>
          <t>Pendente</t>
        </is>
      </c>
    </row>
    <row r="239" hidden="1" outlineLevel="3" ht="13.5" customHeight="1">
      <c r="A239" s="2117" t="n">
        <v>0</v>
      </c>
      <c r="B239" s="2117" t="n">
        <v>4</v>
      </c>
      <c r="C239" s="2117" t="n">
        <v>3</v>
      </c>
      <c r="D239" s="2118" t="n">
        <v>11</v>
      </c>
      <c r="E239" s="2118" t="n">
        <v>8</v>
      </c>
      <c r="G239" s="1748" t="inlineStr">
        <is>
          <t>SUPRAESTRUTURA</t>
        </is>
      </c>
      <c r="H239" s="1749" t="inlineStr">
        <is>
          <t>SERVIÇO</t>
        </is>
      </c>
      <c r="I239" s="1750" t="inlineStr">
        <is>
          <t>04.003.011.008</t>
        </is>
      </c>
      <c r="J239" s="1751" t="inlineStr">
        <is>
          <t>Armação Aço CA-50, Diâmetro de 25,0mm para Supraestrutura, Corte e dobra em Indústria</t>
        </is>
      </c>
      <c r="K239" s="1752" t="inlineStr">
        <is>
          <t>kg</t>
        </is>
      </c>
      <c r="L239" s="1753" t="n">
        <v>89784.23408649171</v>
      </c>
      <c r="M239" s="1753" t="n">
        <v>8.484965000000001</v>
      </c>
      <c r="N239" s="1754" t="n">
        <v>761816.083775689</v>
      </c>
      <c r="O239" s="1755" t="inlineStr">
        <is>
          <t>Quantidades resumo de projetos</t>
        </is>
      </c>
      <c r="P239" s="1721" t="inlineStr">
        <is>
          <t>Pendente</t>
        </is>
      </c>
    </row>
    <row r="240" hidden="1" outlineLevel="2" ht="13.5" customHeight="1">
      <c r="A240" s="2117" t="n">
        <v>0</v>
      </c>
      <c r="B240" s="2117" t="n">
        <v>4</v>
      </c>
      <c r="C240" s="2117" t="n">
        <v>3</v>
      </c>
      <c r="D240" s="2118" t="n">
        <v>12</v>
      </c>
      <c r="E240" s="2118" t="n">
        <v>0</v>
      </c>
      <c r="G240" s="1740" t="n"/>
      <c r="H240" s="1741" t="inlineStr">
        <is>
          <t>SUBETAPA</t>
        </is>
      </c>
      <c r="I240" s="1742" t="inlineStr">
        <is>
          <t>04.003.012</t>
        </is>
      </c>
      <c r="J240" s="1743" t="inlineStr">
        <is>
          <t>Armadura - Penthouse x22</t>
        </is>
      </c>
      <c r="K240" s="1744" t="n"/>
      <c r="L240" s="1745" t="n"/>
      <c r="M240" s="1745" t="n"/>
      <c r="N240" s="1746" t="n">
        <v>2546701.91363816</v>
      </c>
      <c r="O240" s="1747" t="n">
        <v>152.044900803309</v>
      </c>
      <c r="P240" s="1720" t="n"/>
    </row>
    <row r="241" hidden="1" outlineLevel="3" ht="13.5" customHeight="1">
      <c r="A241" s="2117" t="n">
        <v>0</v>
      </c>
      <c r="B241" s="2117" t="n">
        <v>4</v>
      </c>
      <c r="C241" s="2117" t="n">
        <v>3</v>
      </c>
      <c r="D241" s="2118" t="n">
        <v>12</v>
      </c>
      <c r="E241" s="2118" t="n">
        <v>1</v>
      </c>
      <c r="G241" s="1748" t="inlineStr">
        <is>
          <t>SUPRAESTRUTURA</t>
        </is>
      </c>
      <c r="H241" s="1749" t="inlineStr">
        <is>
          <t>SERVIÇO</t>
        </is>
      </c>
      <c r="I241" s="1750" t="inlineStr">
        <is>
          <t>04.003.012.001</t>
        </is>
      </c>
      <c r="J241" s="1751" t="inlineStr">
        <is>
          <t>Armação Aço CA-60, Diâmetro de 5,0mm para Supraestrutura, Corte e dobra em Indústria</t>
        </is>
      </c>
      <c r="K241" s="1752" t="inlineStr">
        <is>
          <t>kg</t>
        </is>
      </c>
      <c r="L241" s="1753" t="n">
        <v>1668.771096533853</v>
      </c>
      <c r="M241" s="1753" t="n">
        <v>8.964965000000001</v>
      </c>
      <c r="N241" s="1754" t="n">
        <v>14960.4744734376</v>
      </c>
      <c r="O241" s="1755" t="inlineStr">
        <is>
          <t>Quantidades resumo de projetos</t>
        </is>
      </c>
      <c r="P241" s="1721" t="inlineStr">
        <is>
          <t>Pendente</t>
        </is>
      </c>
    </row>
    <row r="242" hidden="1" outlineLevel="3" ht="13.5" customHeight="1">
      <c r="A242" s="2117" t="n">
        <v>0</v>
      </c>
      <c r="B242" s="2117" t="n">
        <v>4</v>
      </c>
      <c r="C242" s="2117" t="n">
        <v>3</v>
      </c>
      <c r="D242" s="2118" t="n">
        <v>12</v>
      </c>
      <c r="E242" s="2118" t="n">
        <v>2</v>
      </c>
      <c r="G242" s="1748" t="inlineStr">
        <is>
          <t>SUPRAESTRUTURA</t>
        </is>
      </c>
      <c r="H242" s="1749" t="inlineStr">
        <is>
          <t>SERVIÇO</t>
        </is>
      </c>
      <c r="I242" s="1750" t="inlineStr">
        <is>
          <t>04.003.012.002</t>
        </is>
      </c>
      <c r="J242" s="1751" t="inlineStr">
        <is>
          <t>Armação Aço CA-50, Diâmetro de 6,3mm para Supraestrutura, Corte e dobra em Indústria</t>
        </is>
      </c>
      <c r="K242" s="1752" t="inlineStr">
        <is>
          <t>kg</t>
        </is>
      </c>
      <c r="L242" s="1753" t="n">
        <v>18716.6484855847</v>
      </c>
      <c r="M242" s="1753" t="n">
        <v>8.964965000000001</v>
      </c>
      <c r="N242" s="1754" t="n">
        <v>167794.09859057</v>
      </c>
      <c r="O242" s="1755" t="inlineStr">
        <is>
          <t>Quantidades resumo de projetos</t>
        </is>
      </c>
      <c r="P242" s="1721" t="inlineStr">
        <is>
          <t>Pendente</t>
        </is>
      </c>
    </row>
    <row r="243" hidden="1" outlineLevel="3" ht="13.5" customHeight="1">
      <c r="A243" s="2117" t="n">
        <v>0</v>
      </c>
      <c r="B243" s="2117" t="n">
        <v>4</v>
      </c>
      <c r="C243" s="2117" t="n">
        <v>3</v>
      </c>
      <c r="D243" s="2118" t="n">
        <v>12</v>
      </c>
      <c r="E243" s="2118" t="n">
        <v>3</v>
      </c>
      <c r="G243" s="1748" t="inlineStr">
        <is>
          <t>SUPRAESTRUTURA</t>
        </is>
      </c>
      <c r="H243" s="1749" t="inlineStr">
        <is>
          <t>SERVIÇO</t>
        </is>
      </c>
      <c r="I243" s="1750" t="inlineStr">
        <is>
          <t>04.003.012.003</t>
        </is>
      </c>
      <c r="J243" s="1751" t="inlineStr">
        <is>
          <t>Armação Aço CA-50, Diâmetro de 8,0mm para Supraestrutura, Corte e dobra em Indústria</t>
        </is>
      </c>
      <c r="K243" s="1752" t="inlineStr">
        <is>
          <t>kg</t>
        </is>
      </c>
      <c r="L243" s="1753" t="n">
        <v>20685.5582685455</v>
      </c>
      <c r="M243" s="1753" t="n">
        <v>8.964965000000001</v>
      </c>
      <c r="N243" s="1754" t="n">
        <v>185445.305882971</v>
      </c>
      <c r="O243" s="1755" t="inlineStr">
        <is>
          <t>Quantidades resumo de projetos</t>
        </is>
      </c>
      <c r="P243" s="1721" t="inlineStr">
        <is>
          <t>Pendente</t>
        </is>
      </c>
    </row>
    <row r="244" hidden="1" outlineLevel="3" ht="13.5" customHeight="1">
      <c r="A244" s="2117" t="n">
        <v>0</v>
      </c>
      <c r="B244" s="2117" t="n">
        <v>4</v>
      </c>
      <c r="C244" s="2117" t="n">
        <v>3</v>
      </c>
      <c r="D244" s="2118" t="n">
        <v>12</v>
      </c>
      <c r="E244" s="2118" t="n">
        <v>4</v>
      </c>
      <c r="G244" s="1748" t="inlineStr">
        <is>
          <t>SUPRAESTRUTURA</t>
        </is>
      </c>
      <c r="H244" s="1749" t="inlineStr">
        <is>
          <t>SERVIÇO</t>
        </is>
      </c>
      <c r="I244" s="1750" t="inlineStr">
        <is>
          <t>04.003.012.004</t>
        </is>
      </c>
      <c r="J244" s="1751" t="inlineStr">
        <is>
          <t>Armação Aço CA-50, Diâmetro de 10,0mm para Supraestrutura, Corte e dobra em Indústria</t>
        </is>
      </c>
      <c r="K244" s="1752" t="inlineStr">
        <is>
          <t>kg</t>
        </is>
      </c>
      <c r="L244" s="1753" t="n">
        <v>23518.86746841593</v>
      </c>
      <c r="M244" s="1753" t="n">
        <v>8.964965000000001</v>
      </c>
      <c r="N244" s="1754" t="n">
        <v>210845.823693987</v>
      </c>
      <c r="O244" s="1755" t="inlineStr">
        <is>
          <t>Quantidades resumo de projetos</t>
        </is>
      </c>
      <c r="P244" s="1721" t="inlineStr">
        <is>
          <t>Pendente</t>
        </is>
      </c>
    </row>
    <row r="245" hidden="1" outlineLevel="3" ht="13.5" customHeight="1">
      <c r="A245" s="2117" t="n">
        <v>0</v>
      </c>
      <c r="B245" s="2117" t="n">
        <v>4</v>
      </c>
      <c r="C245" s="2117" t="n">
        <v>3</v>
      </c>
      <c r="D245" s="2118" t="n">
        <v>12</v>
      </c>
      <c r="E245" s="2118" t="n">
        <v>5</v>
      </c>
      <c r="G245" s="1748" t="inlineStr">
        <is>
          <t>SUPRAESTRUTURA</t>
        </is>
      </c>
      <c r="H245" s="1749" t="inlineStr">
        <is>
          <t>SERVIÇO</t>
        </is>
      </c>
      <c r="I245" s="1750" t="inlineStr">
        <is>
          <t>04.003.012.005</t>
        </is>
      </c>
      <c r="J245" s="1751" t="inlineStr">
        <is>
          <t>Armação Aço CA-50, Diâmetro de 12,5mm para Supraestrutura, Corte e dobra em Indústria</t>
        </is>
      </c>
      <c r="K245" s="1752" t="inlineStr">
        <is>
          <t>kg</t>
        </is>
      </c>
      <c r="L245" s="1753" t="n">
        <v>26616.29871234208</v>
      </c>
      <c r="M245" s="1753" t="n">
        <v>8.484965000000001</v>
      </c>
      <c r="N245" s="1754" t="n">
        <v>225838.363003768</v>
      </c>
      <c r="O245" s="1755" t="inlineStr">
        <is>
          <t>Quantidades resumo de projetos</t>
        </is>
      </c>
      <c r="P245" s="1721" t="inlineStr">
        <is>
          <t>Pendente</t>
        </is>
      </c>
    </row>
    <row r="246" hidden="1" outlineLevel="3" ht="13.5" customHeight="1">
      <c r="A246" s="2117" t="n">
        <v>0</v>
      </c>
      <c r="B246" s="2117" t="n">
        <v>4</v>
      </c>
      <c r="C246" s="2117" t="n">
        <v>3</v>
      </c>
      <c r="D246" s="2118" t="n">
        <v>12</v>
      </c>
      <c r="E246" s="2118" t="n">
        <v>6</v>
      </c>
      <c r="G246" s="1748" t="inlineStr">
        <is>
          <t>SUPRAESTRUTURA</t>
        </is>
      </c>
      <c r="H246" s="1749" t="inlineStr">
        <is>
          <t>SERVIÇO</t>
        </is>
      </c>
      <c r="I246" s="1750" t="inlineStr">
        <is>
          <t>04.003.012.006</t>
        </is>
      </c>
      <c r="J246" s="1751" t="inlineStr">
        <is>
          <t>Armação Aço CA-50, Diâmetro de 16,0mm para Supraestrutura, Corte e dobra em Indústria</t>
        </is>
      </c>
      <c r="K246" s="1752" t="inlineStr">
        <is>
          <t>kg</t>
        </is>
      </c>
      <c r="L246" s="1753" t="n">
        <v>8920.121760609007</v>
      </c>
      <c r="M246" s="1753" t="n">
        <v>8.484965000000001</v>
      </c>
      <c r="N246" s="1754" t="n">
        <v>75686.9209345058</v>
      </c>
      <c r="O246" s="1755" t="inlineStr">
        <is>
          <t>Quantidades resumo de projetos</t>
        </is>
      </c>
      <c r="P246" s="1721" t="inlineStr">
        <is>
          <t>Pendente</t>
        </is>
      </c>
    </row>
    <row r="247" hidden="1" outlineLevel="3" ht="13.5" customHeight="1">
      <c r="A247" s="2117" t="n">
        <v>0</v>
      </c>
      <c r="B247" s="2117" t="n">
        <v>4</v>
      </c>
      <c r="C247" s="2117" t="n">
        <v>3</v>
      </c>
      <c r="D247" s="2118" t="n">
        <v>12</v>
      </c>
      <c r="E247" s="2118" t="n">
        <v>7</v>
      </c>
      <c r="G247" s="1748" t="inlineStr">
        <is>
          <t>SUPRAESTRUTURA</t>
        </is>
      </c>
      <c r="H247" s="1749" t="inlineStr">
        <is>
          <t>SERVIÇO</t>
        </is>
      </c>
      <c r="I247" s="1750" t="inlineStr">
        <is>
          <t>04.003.012.007</t>
        </is>
      </c>
      <c r="J247" s="1751" t="inlineStr">
        <is>
          <t>Armação Aço CA-50, Diâmetro de 20,0mm para Supraestrutura, Corte e dobra em Indústria</t>
        </is>
      </c>
      <c r="K247" s="1752" t="inlineStr">
        <is>
          <t>kg</t>
        </is>
      </c>
      <c r="L247" s="1753" t="n">
        <v>34107.76032555878</v>
      </c>
      <c r="M247" s="1753" t="n">
        <v>8.484965000000001</v>
      </c>
      <c r="N247" s="1754" t="n">
        <v>289403.152590755</v>
      </c>
      <c r="O247" s="1755" t="inlineStr">
        <is>
          <t>Quantidades resumo de projetos</t>
        </is>
      </c>
      <c r="P247" s="1721" t="inlineStr">
        <is>
          <t>Pendente</t>
        </is>
      </c>
    </row>
    <row r="248" hidden="1" outlineLevel="3" ht="13.5" customHeight="1">
      <c r="A248" s="2117" t="n">
        <v>0</v>
      </c>
      <c r="B248" s="2117" t="n">
        <v>4</v>
      </c>
      <c r="C248" s="2117" t="n">
        <v>3</v>
      </c>
      <c r="D248" s="2118" t="n">
        <v>12</v>
      </c>
      <c r="E248" s="2118" t="n">
        <v>8</v>
      </c>
      <c r="G248" s="1748" t="inlineStr">
        <is>
          <t>SUPRAESTRUTURA</t>
        </is>
      </c>
      <c r="H248" s="1749" t="inlineStr">
        <is>
          <t>SERVIÇO</t>
        </is>
      </c>
      <c r="I248" s="1750" t="inlineStr">
        <is>
          <t>04.003.012.008</t>
        </is>
      </c>
      <c r="J248" s="1751" t="inlineStr">
        <is>
          <t>Armação Aço CA-50, Diâmetro de 25,0mm para Supraestrutura, Corte e dobra em Indústria</t>
        </is>
      </c>
      <c r="K248" s="1752" t="inlineStr">
        <is>
          <t>kg</t>
        </is>
      </c>
      <c r="L248" s="1753" t="n">
        <v>162254.9738824101</v>
      </c>
      <c r="M248" s="1753" t="n">
        <v>8.484965000000001</v>
      </c>
      <c r="N248" s="1754" t="n">
        <v>1376727.77446816</v>
      </c>
      <c r="O248" s="1755" t="inlineStr">
        <is>
          <t>Quantidades resumo de projetos</t>
        </is>
      </c>
      <c r="P248" s="1721" t="inlineStr">
        <is>
          <t>Pendente</t>
        </is>
      </c>
    </row>
    <row r="249" hidden="1" outlineLevel="2" ht="13.5" customHeight="1">
      <c r="A249" s="2117" t="n">
        <v>0</v>
      </c>
      <c r="B249" s="2117" t="n">
        <v>4</v>
      </c>
      <c r="C249" s="2117" t="n">
        <v>3</v>
      </c>
      <c r="D249" s="2118" t="n">
        <v>13</v>
      </c>
      <c r="E249" s="2118" t="n">
        <v>0</v>
      </c>
      <c r="G249" s="1740" t="n"/>
      <c r="H249" s="1741" t="inlineStr">
        <is>
          <t>SUBETAPA</t>
        </is>
      </c>
      <c r="I249" s="1742" t="inlineStr">
        <is>
          <t>04.003.013</t>
        </is>
      </c>
      <c r="J249" s="1743" t="inlineStr">
        <is>
          <t>Armadura - Duplex inferior</t>
        </is>
      </c>
      <c r="K249" s="1744" t="n"/>
      <c r="L249" s="1745" t="n"/>
      <c r="M249" s="1745" t="n"/>
      <c r="N249" s="1746" t="n">
        <v>80629.9419652041</v>
      </c>
      <c r="O249" s="1747" t="n">
        <v>4.813822718012</v>
      </c>
      <c r="P249" s="1720" t="n"/>
    </row>
    <row r="250" hidden="1" outlineLevel="3" ht="13.5" customHeight="1">
      <c r="A250" s="2117" t="n">
        <v>0</v>
      </c>
      <c r="B250" s="2117" t="n">
        <v>4</v>
      </c>
      <c r="C250" s="2117" t="n">
        <v>3</v>
      </c>
      <c r="D250" s="2118" t="n">
        <v>13</v>
      </c>
      <c r="E250" s="2118" t="n">
        <v>1</v>
      </c>
      <c r="G250" s="1748" t="inlineStr">
        <is>
          <t>SUPRAESTRUTURA</t>
        </is>
      </c>
      <c r="H250" s="1749" t="inlineStr">
        <is>
          <t>SERVIÇO</t>
        </is>
      </c>
      <c r="I250" s="1750" t="inlineStr">
        <is>
          <t>04.003.013.001</t>
        </is>
      </c>
      <c r="J250" s="1751" t="inlineStr">
        <is>
          <t>Armação Aço CA-60, Diâmetro de 5,0mm para Supraestrutura, Corte e dobra em Indústria</t>
        </is>
      </c>
      <c r="K250" s="1752" t="inlineStr">
        <is>
          <t>kg</t>
        </is>
      </c>
      <c r="L250" s="1753" t="n">
        <v>52.83418367346942</v>
      </c>
      <c r="M250" s="1753" t="n">
        <v>8.964965000000001</v>
      </c>
      <c r="N250" s="1754" t="n">
        <v>473.656607436225</v>
      </c>
      <c r="O250" s="1755" t="inlineStr">
        <is>
          <t>Quantidades resumo de projetos</t>
        </is>
      </c>
      <c r="P250" s="1721" t="inlineStr">
        <is>
          <t>Pendente</t>
        </is>
      </c>
    </row>
    <row r="251" hidden="1" outlineLevel="3" ht="13.5" customHeight="1">
      <c r="A251" s="2117" t="n">
        <v>0</v>
      </c>
      <c r="B251" s="2117" t="n">
        <v>4</v>
      </c>
      <c r="C251" s="2117" t="n">
        <v>3</v>
      </c>
      <c r="D251" s="2118" t="n">
        <v>13</v>
      </c>
      <c r="E251" s="2118" t="n">
        <v>2</v>
      </c>
      <c r="G251" s="1748" t="inlineStr">
        <is>
          <t>SUPRAESTRUTURA</t>
        </is>
      </c>
      <c r="H251" s="1749" t="inlineStr">
        <is>
          <t>SERVIÇO</t>
        </is>
      </c>
      <c r="I251" s="1750" t="inlineStr">
        <is>
          <t>04.003.013.002</t>
        </is>
      </c>
      <c r="J251" s="1751" t="inlineStr">
        <is>
          <t>Armação Aço CA-50, Diâmetro de 6,3mm para Supraestrutura, Corte e dobra em Indústria</t>
        </is>
      </c>
      <c r="K251" s="1752" t="inlineStr">
        <is>
          <t>kg</t>
        </is>
      </c>
      <c r="L251" s="1753" t="n">
        <v>592.5790816326529</v>
      </c>
      <c r="M251" s="1753" t="n">
        <v>8.964965000000001</v>
      </c>
      <c r="N251" s="1754" t="n">
        <v>5312.45072656888</v>
      </c>
      <c r="O251" s="1755" t="inlineStr">
        <is>
          <t>Quantidades resumo de projetos</t>
        </is>
      </c>
      <c r="P251" s="1721" t="inlineStr">
        <is>
          <t>Pendente</t>
        </is>
      </c>
    </row>
    <row r="252" hidden="1" outlineLevel="3" ht="13.5" customHeight="1">
      <c r="A252" s="2117" t="n">
        <v>0</v>
      </c>
      <c r="B252" s="2117" t="n">
        <v>4</v>
      </c>
      <c r="C252" s="2117" t="n">
        <v>3</v>
      </c>
      <c r="D252" s="2118" t="n">
        <v>13</v>
      </c>
      <c r="E252" s="2118" t="n">
        <v>3</v>
      </c>
      <c r="G252" s="1748" t="inlineStr">
        <is>
          <t>SUPRAESTRUTURA</t>
        </is>
      </c>
      <c r="H252" s="1749" t="inlineStr">
        <is>
          <t>SERVIÇO</t>
        </is>
      </c>
      <c r="I252" s="1750" t="inlineStr">
        <is>
          <t>04.003.013.003</t>
        </is>
      </c>
      <c r="J252" s="1751" t="inlineStr">
        <is>
          <t>Armação Aço CA-50, Diâmetro de 8,0mm para Supraestrutura, Corte e dobra em Indústria</t>
        </is>
      </c>
      <c r="K252" s="1752" t="inlineStr">
        <is>
          <t>kg</t>
        </is>
      </c>
      <c r="L252" s="1753" t="n">
        <v>654.9158163265305</v>
      </c>
      <c r="M252" s="1753" t="n">
        <v>8.964965000000001</v>
      </c>
      <c r="N252" s="1754" t="n">
        <v>5871.29737131378</v>
      </c>
      <c r="O252" s="1755" t="inlineStr">
        <is>
          <t>Quantidades resumo de projetos</t>
        </is>
      </c>
      <c r="P252" s="1721" t="inlineStr">
        <is>
          <t>Pendente</t>
        </is>
      </c>
    </row>
    <row r="253" hidden="1" outlineLevel="3" ht="13.5" customHeight="1">
      <c r="A253" s="2117" t="n">
        <v>0</v>
      </c>
      <c r="B253" s="2117" t="n">
        <v>4</v>
      </c>
      <c r="C253" s="2117" t="n">
        <v>3</v>
      </c>
      <c r="D253" s="2118" t="n">
        <v>13</v>
      </c>
      <c r="E253" s="2118" t="n">
        <v>4</v>
      </c>
      <c r="G253" s="1748" t="inlineStr">
        <is>
          <t>SUPRAESTRUTURA</t>
        </is>
      </c>
      <c r="H253" s="1749" t="inlineStr">
        <is>
          <t>SERVIÇO</t>
        </is>
      </c>
      <c r="I253" s="1750" t="inlineStr">
        <is>
          <t>04.003.013.004</t>
        </is>
      </c>
      <c r="J253" s="1751" t="inlineStr">
        <is>
          <t>Armação Aço CA-50, Diâmetro de 10,0mm para Supraestrutura, Corte e dobra em Indústria</t>
        </is>
      </c>
      <c r="K253" s="1752" t="inlineStr">
        <is>
          <t>kg</t>
        </is>
      </c>
      <c r="L253" s="1753" t="n">
        <v>744.6198979591833</v>
      </c>
      <c r="M253" s="1753" t="n">
        <v>8.964965000000001</v>
      </c>
      <c r="N253" s="1754" t="n">
        <v>6675.49132350765</v>
      </c>
      <c r="O253" s="1755" t="inlineStr">
        <is>
          <t>Quantidades resumo de projetos</t>
        </is>
      </c>
      <c r="P253" s="1721" t="inlineStr">
        <is>
          <t>Pendente</t>
        </is>
      </c>
    </row>
    <row r="254" hidden="1" outlineLevel="3" ht="13.5" customHeight="1">
      <c r="A254" s="2117" t="n">
        <v>0</v>
      </c>
      <c r="B254" s="2117" t="n">
        <v>4</v>
      </c>
      <c r="C254" s="2117" t="n">
        <v>3</v>
      </c>
      <c r="D254" s="2118" t="n">
        <v>13</v>
      </c>
      <c r="E254" s="2118" t="n">
        <v>5</v>
      </c>
      <c r="G254" s="1748" t="inlineStr">
        <is>
          <t>SUPRAESTRUTURA</t>
        </is>
      </c>
      <c r="H254" s="1749" t="inlineStr">
        <is>
          <t>SERVIÇO</t>
        </is>
      </c>
      <c r="I254" s="1750" t="inlineStr">
        <is>
          <t>04.003.013.005</t>
        </is>
      </c>
      <c r="J254" s="1751" t="inlineStr">
        <is>
          <t>Armação Aço CA-50, Diâmetro de 12,5mm para Supraestrutura, Corte e dobra em Indústria</t>
        </is>
      </c>
      <c r="K254" s="1752" t="inlineStr">
        <is>
          <t>kg</t>
        </is>
      </c>
      <c r="L254" s="1753" t="n">
        <v>842.6862244897958</v>
      </c>
      <c r="M254" s="1753" t="n">
        <v>8.484965000000001</v>
      </c>
      <c r="N254" s="1754" t="n">
        <v>7150.16312077806</v>
      </c>
      <c r="O254" s="1755" t="inlineStr">
        <is>
          <t>Quantidades resumo de projetos</t>
        </is>
      </c>
      <c r="P254" s="1721" t="inlineStr">
        <is>
          <t>Pendente</t>
        </is>
      </c>
    </row>
    <row r="255" hidden="1" outlineLevel="3" ht="13.5" customHeight="1">
      <c r="A255" s="2117" t="n">
        <v>0</v>
      </c>
      <c r="B255" s="2117" t="n">
        <v>4</v>
      </c>
      <c r="C255" s="2117" t="n">
        <v>3</v>
      </c>
      <c r="D255" s="2118" t="n">
        <v>13</v>
      </c>
      <c r="E255" s="2118" t="n">
        <v>6</v>
      </c>
      <c r="G255" s="1748" t="inlineStr">
        <is>
          <t>SUPRAESTRUTURA</t>
        </is>
      </c>
      <c r="H255" s="1749" t="inlineStr">
        <is>
          <t>SERVIÇO</t>
        </is>
      </c>
      <c r="I255" s="1750" t="inlineStr">
        <is>
          <t>04.003.013.006</t>
        </is>
      </c>
      <c r="J255" s="1751" t="inlineStr">
        <is>
          <t>Armação Aço CA-50, Diâmetro de 16,0mm para Supraestrutura, Corte e dobra em Indústria</t>
        </is>
      </c>
      <c r="K255" s="1752" t="inlineStr">
        <is>
          <t>kg</t>
        </is>
      </c>
      <c r="L255" s="1753" t="n">
        <v>282.4158163265306</v>
      </c>
      <c r="M255" s="1753" t="n">
        <v>8.484965000000001</v>
      </c>
      <c r="N255" s="1754" t="n">
        <v>2396.28831697704</v>
      </c>
      <c r="O255" s="1755" t="inlineStr">
        <is>
          <t>Quantidades resumo de projetos</t>
        </is>
      </c>
      <c r="P255" s="1721" t="inlineStr">
        <is>
          <t>Pendente</t>
        </is>
      </c>
    </row>
    <row r="256" hidden="1" outlineLevel="3" ht="13.5" customHeight="1">
      <c r="A256" s="2117" t="n">
        <v>0</v>
      </c>
      <c r="B256" s="2117" t="n">
        <v>4</v>
      </c>
      <c r="C256" s="2117" t="n">
        <v>3</v>
      </c>
      <c r="D256" s="2118" t="n">
        <v>13</v>
      </c>
      <c r="E256" s="2118" t="n">
        <v>7</v>
      </c>
      <c r="G256" s="1748" t="inlineStr">
        <is>
          <t>SUPRAESTRUTURA</t>
        </is>
      </c>
      <c r="H256" s="1749" t="inlineStr">
        <is>
          <t>SERVIÇO</t>
        </is>
      </c>
      <c r="I256" s="1750" t="inlineStr">
        <is>
          <t>04.003.013.007</t>
        </is>
      </c>
      <c r="J256" s="1751" t="inlineStr">
        <is>
          <t>Armação Aço CA-50, Diâmetro de 20,0mm para Supraestrutura, Corte e dobra em Indústria</t>
        </is>
      </c>
      <c r="K256" s="1752" t="inlineStr">
        <is>
          <t>kg</t>
        </is>
      </c>
      <c r="L256" s="1753" t="n">
        <v>1079.869897959183</v>
      </c>
      <c r="M256" s="1753" t="n">
        <v>8.484965000000001</v>
      </c>
      <c r="N256" s="1754" t="n">
        <v>9162.658288737241</v>
      </c>
      <c r="O256" s="1755" t="inlineStr">
        <is>
          <t>Quantidades resumo de projetos</t>
        </is>
      </c>
      <c r="P256" s="1721" t="inlineStr">
        <is>
          <t>Pendente</t>
        </is>
      </c>
    </row>
    <row r="257" hidden="1" outlineLevel="3" ht="13.5" customHeight="1">
      <c r="A257" s="2117" t="n">
        <v>0</v>
      </c>
      <c r="B257" s="2117" t="n">
        <v>4</v>
      </c>
      <c r="C257" s="2117" t="n">
        <v>3</v>
      </c>
      <c r="D257" s="2118" t="n">
        <v>13</v>
      </c>
      <c r="E257" s="2118" t="n">
        <v>8</v>
      </c>
      <c r="G257" s="1748" t="inlineStr">
        <is>
          <t>SUPRAESTRUTURA</t>
        </is>
      </c>
      <c r="H257" s="1749" t="inlineStr">
        <is>
          <t>SERVIÇO</t>
        </is>
      </c>
      <c r="I257" s="1750" t="inlineStr">
        <is>
          <t>04.003.013.008</t>
        </is>
      </c>
      <c r="J257" s="1751" t="inlineStr">
        <is>
          <t>Armação Aço CA-50, Diâmetro de 25,0mm para Supraestrutura, Corte e dobra em Indústria</t>
        </is>
      </c>
      <c r="K257" s="1752" t="inlineStr">
        <is>
          <t>kg</t>
        </is>
      </c>
      <c r="L257" s="1753" t="n">
        <v>5137.079081632653</v>
      </c>
      <c r="M257" s="1753" t="n">
        <v>8.484965000000001</v>
      </c>
      <c r="N257" s="1754" t="n">
        <v>43587.9362098852</v>
      </c>
      <c r="O257" s="1755" t="inlineStr">
        <is>
          <t>Quantidades resumo de projetos</t>
        </is>
      </c>
      <c r="P257" s="1721" t="inlineStr">
        <is>
          <t>Pendente</t>
        </is>
      </c>
    </row>
    <row r="258" hidden="1" outlineLevel="2" ht="13.5" customHeight="1">
      <c r="A258" s="2117" t="n">
        <v>0</v>
      </c>
      <c r="B258" s="2117" t="n">
        <v>4</v>
      </c>
      <c r="C258" s="2117" t="n">
        <v>3</v>
      </c>
      <c r="D258" s="2118" t="n">
        <v>14</v>
      </c>
      <c r="E258" s="2118" t="n">
        <v>0</v>
      </c>
      <c r="G258" s="1740" t="n"/>
      <c r="H258" s="1741" t="inlineStr">
        <is>
          <t>SUBETAPA</t>
        </is>
      </c>
      <c r="I258" s="1742" t="inlineStr">
        <is>
          <t>04.003.014</t>
        </is>
      </c>
      <c r="J258" s="1743" t="inlineStr">
        <is>
          <t>Armadura - Duplex superior</t>
        </is>
      </c>
      <c r="K258" s="1744" t="n"/>
      <c r="L258" s="1745" t="n"/>
      <c r="M258" s="1745" t="n"/>
      <c r="N258" s="1746" t="n">
        <v>69386.2438686395</v>
      </c>
      <c r="O258" s="1747" t="n">
        <v>4.14254393481421</v>
      </c>
      <c r="P258" s="1720" t="n"/>
    </row>
    <row r="259" hidden="1" outlineLevel="3" ht="13.5" customHeight="1">
      <c r="A259" s="2117" t="n">
        <v>0</v>
      </c>
      <c r="B259" s="2117" t="n">
        <v>4</v>
      </c>
      <c r="C259" s="2117" t="n">
        <v>3</v>
      </c>
      <c r="D259" s="2118" t="n">
        <v>14</v>
      </c>
      <c r="E259" s="2118" t="n">
        <v>1</v>
      </c>
      <c r="G259" s="1748" t="inlineStr">
        <is>
          <t>SUPRAESTRUTURA</t>
        </is>
      </c>
      <c r="H259" s="1749" t="inlineStr">
        <is>
          <t>SERVIÇO</t>
        </is>
      </c>
      <c r="I259" s="1750" t="inlineStr">
        <is>
          <t>04.003.014.001</t>
        </is>
      </c>
      <c r="J259" s="1751" t="inlineStr">
        <is>
          <t>Armação Aço CA-60, Diâmetro de 5,0mm para Supraestrutura, Corte e dobra em Indústria</t>
        </is>
      </c>
      <c r="K259" s="1752" t="inlineStr">
        <is>
          <t>kg</t>
        </is>
      </c>
      <c r="L259" s="1753" t="n">
        <v>45.46655328798189</v>
      </c>
      <c r="M259" s="1753" t="n">
        <v>8.964965000000001</v>
      </c>
      <c r="N259" s="1754" t="n">
        <v>407.606058897393</v>
      </c>
      <c r="O259" s="1755" t="inlineStr">
        <is>
          <t>Quantidades resumo de projetos</t>
        </is>
      </c>
      <c r="P259" s="1721" t="inlineStr">
        <is>
          <t>Pendente</t>
        </is>
      </c>
    </row>
    <row r="260" hidden="1" outlineLevel="3" ht="13.5" customHeight="1">
      <c r="A260" s="2117" t="n">
        <v>0</v>
      </c>
      <c r="B260" s="2117" t="n">
        <v>4</v>
      </c>
      <c r="C260" s="2117" t="n">
        <v>3</v>
      </c>
      <c r="D260" s="2118" t="n">
        <v>14</v>
      </c>
      <c r="E260" s="2118" t="n">
        <v>2</v>
      </c>
      <c r="G260" s="1748" t="inlineStr">
        <is>
          <t>SUPRAESTRUTURA</t>
        </is>
      </c>
      <c r="H260" s="1749" t="inlineStr">
        <is>
          <t>SERVIÇO</t>
        </is>
      </c>
      <c r="I260" s="1750" t="inlineStr">
        <is>
          <t>04.003.014.002</t>
        </is>
      </c>
      <c r="J260" s="1751" t="inlineStr">
        <is>
          <t>Armação Aço CA-50, Diâmetro de 6,3mm para Supraestrutura, Corte e dobra em Indústria</t>
        </is>
      </c>
      <c r="K260" s="1752" t="inlineStr">
        <is>
          <t>kg</t>
        </is>
      </c>
      <c r="L260" s="1753" t="n">
        <v>509.9450113378684</v>
      </c>
      <c r="M260" s="1753" t="n">
        <v>8.964965000000001</v>
      </c>
      <c r="N260" s="1754" t="n">
        <v>4571.63917856859</v>
      </c>
      <c r="O260" s="1755" t="inlineStr">
        <is>
          <t>Quantidades resumo de projetos</t>
        </is>
      </c>
      <c r="P260" s="1721" t="inlineStr">
        <is>
          <t>Pendente</t>
        </is>
      </c>
    </row>
    <row r="261" hidden="1" outlineLevel="3" ht="13.5" customHeight="1">
      <c r="A261" s="2117" t="n">
        <v>0</v>
      </c>
      <c r="B261" s="2117" t="n">
        <v>4</v>
      </c>
      <c r="C261" s="2117" t="n">
        <v>3</v>
      </c>
      <c r="D261" s="2118" t="n">
        <v>14</v>
      </c>
      <c r="E261" s="2118" t="n">
        <v>3</v>
      </c>
      <c r="G261" s="1748" t="inlineStr">
        <is>
          <t>SUPRAESTRUTURA</t>
        </is>
      </c>
      <c r="H261" s="1749" t="inlineStr">
        <is>
          <t>SERVIÇO</t>
        </is>
      </c>
      <c r="I261" s="1750" t="inlineStr">
        <is>
          <t>04.003.014.003</t>
        </is>
      </c>
      <c r="J261" s="1751" t="inlineStr">
        <is>
          <t>Armação Aço CA-50, Diâmetro de 8,0mm para Supraestrutura, Corte e dobra em Indústria</t>
        </is>
      </c>
      <c r="K261" s="1752" t="inlineStr">
        <is>
          <t>kg</t>
        </is>
      </c>
      <c r="L261" s="1753" t="n">
        <v>563.5890022675736</v>
      </c>
      <c r="M261" s="1753" t="n">
        <v>8.964965000000001</v>
      </c>
      <c r="N261" s="1754" t="n">
        <v>5052.55567971372</v>
      </c>
      <c r="O261" s="1755" t="inlineStr">
        <is>
          <t>Quantidades resumo de projetos</t>
        </is>
      </c>
      <c r="P261" s="1721" t="inlineStr">
        <is>
          <t>Pendente</t>
        </is>
      </c>
    </row>
    <row r="262" hidden="1" outlineLevel="3" ht="13.5" customHeight="1">
      <c r="A262" s="2117" t="n">
        <v>0</v>
      </c>
      <c r="B262" s="2117" t="n">
        <v>4</v>
      </c>
      <c r="C262" s="2117" t="n">
        <v>3</v>
      </c>
      <c r="D262" s="2118" t="n">
        <v>14</v>
      </c>
      <c r="E262" s="2118" t="n">
        <v>4</v>
      </c>
      <c r="G262" s="1748" t="inlineStr">
        <is>
          <t>SUPRAESTRUTURA</t>
        </is>
      </c>
      <c r="H262" s="1749" t="inlineStr">
        <is>
          <t>SERVIÇO</t>
        </is>
      </c>
      <c r="I262" s="1750" t="inlineStr">
        <is>
          <t>04.003.014.004</t>
        </is>
      </c>
      <c r="J262" s="1751" t="inlineStr">
        <is>
          <t>Armação Aço CA-50, Diâmetro de 10,0mm para Supraestrutura, Corte e dobra em Indústria</t>
        </is>
      </c>
      <c r="K262" s="1752" t="inlineStr">
        <is>
          <t>kg</t>
        </is>
      </c>
      <c r="L262" s="1753" t="n">
        <v>640.7840136054419</v>
      </c>
      <c r="M262" s="1753" t="n">
        <v>8.964965000000001</v>
      </c>
      <c r="N262" s="1754" t="n">
        <v>5744.60625453231</v>
      </c>
      <c r="O262" s="1755" t="inlineStr">
        <is>
          <t>Quantidades resumo de projetos</t>
        </is>
      </c>
      <c r="P262" s="1721" t="inlineStr">
        <is>
          <t>Pendente</t>
        </is>
      </c>
    </row>
    <row r="263" hidden="1" outlineLevel="3" ht="13.5" customHeight="1">
      <c r="A263" s="2117" t="n">
        <v>0</v>
      </c>
      <c r="B263" s="2117" t="n">
        <v>4</v>
      </c>
      <c r="C263" s="2117" t="n">
        <v>3</v>
      </c>
      <c r="D263" s="2118" t="n">
        <v>14</v>
      </c>
      <c r="E263" s="2118" t="n">
        <v>5</v>
      </c>
      <c r="G263" s="1748" t="inlineStr">
        <is>
          <t>SUPRAESTRUTURA</t>
        </is>
      </c>
      <c r="H263" s="1749" t="inlineStr">
        <is>
          <t>SERVIÇO</t>
        </is>
      </c>
      <c r="I263" s="1750" t="inlineStr">
        <is>
          <t>04.003.014.005</t>
        </is>
      </c>
      <c r="J263" s="1751" t="inlineStr">
        <is>
          <t>Armação Aço CA-50, Diâmetro de 12,5mm para Supraestrutura, Corte e dobra em Indústria</t>
        </is>
      </c>
      <c r="K263" s="1752" t="inlineStr">
        <is>
          <t>kg</t>
        </is>
      </c>
      <c r="L263" s="1753" t="n">
        <v>725.175170068027</v>
      </c>
      <c r="M263" s="1753" t="n">
        <v>8.484965000000001</v>
      </c>
      <c r="N263" s="1754" t="n">
        <v>6153.08593689626</v>
      </c>
      <c r="O263" s="1755" t="inlineStr">
        <is>
          <t>Quantidades resumo de projetos</t>
        </is>
      </c>
      <c r="P263" s="1721" t="inlineStr">
        <is>
          <t>Pendente</t>
        </is>
      </c>
    </row>
    <row r="264" hidden="1" outlineLevel="3" ht="13.5" customHeight="1">
      <c r="A264" s="2117" t="n">
        <v>0</v>
      </c>
      <c r="B264" s="2117" t="n">
        <v>4</v>
      </c>
      <c r="C264" s="2117" t="n">
        <v>3</v>
      </c>
      <c r="D264" s="2118" t="n">
        <v>14</v>
      </c>
      <c r="E264" s="2118" t="n">
        <v>6</v>
      </c>
      <c r="G264" s="1748" t="inlineStr">
        <is>
          <t>SUPRAESTRUTURA</t>
        </is>
      </c>
      <c r="H264" s="1749" t="inlineStr">
        <is>
          <t>SERVIÇO</t>
        </is>
      </c>
      <c r="I264" s="1750" t="inlineStr">
        <is>
          <t>04.003.014.006</t>
        </is>
      </c>
      <c r="J264" s="1751" t="inlineStr">
        <is>
          <t>Armação Aço CA-50, Diâmetro de 16,0mm para Supraestrutura, Corte e dobra em Indústria</t>
        </is>
      </c>
      <c r="K264" s="1752" t="inlineStr">
        <is>
          <t>kg</t>
        </is>
      </c>
      <c r="L264" s="1753" t="n">
        <v>243.0334467120181</v>
      </c>
      <c r="M264" s="1753" t="n">
        <v>8.484965000000001</v>
      </c>
      <c r="N264" s="1754" t="n">
        <v>2062.13028918084</v>
      </c>
      <c r="O264" s="1755" t="inlineStr">
        <is>
          <t>Quantidades resumo de projetos</t>
        </is>
      </c>
      <c r="P264" s="1721" t="inlineStr">
        <is>
          <t>Pendente</t>
        </is>
      </c>
    </row>
    <row r="265" hidden="1" outlineLevel="3" ht="13.5" customHeight="1">
      <c r="A265" s="2117" t="n">
        <v>0</v>
      </c>
      <c r="B265" s="2117" t="n">
        <v>4</v>
      </c>
      <c r="C265" s="2117" t="n">
        <v>3</v>
      </c>
      <c r="D265" s="2118" t="n">
        <v>14</v>
      </c>
      <c r="E265" s="2118" t="n">
        <v>7</v>
      </c>
      <c r="G265" s="1748" t="inlineStr">
        <is>
          <t>SUPRAESTRUTURA</t>
        </is>
      </c>
      <c r="H265" s="1749" t="inlineStr">
        <is>
          <t>SERVIÇO</t>
        </is>
      </c>
      <c r="I265" s="1750" t="inlineStr">
        <is>
          <t>04.003.014.007</t>
        </is>
      </c>
      <c r="J265" s="1751" t="inlineStr">
        <is>
          <t>Armação Aço CA-50, Diâmetro de 20,0mm para Supraestrutura, Corte e dobra em Indústria</t>
        </is>
      </c>
      <c r="K265" s="1752" t="inlineStr">
        <is>
          <t>kg</t>
        </is>
      </c>
      <c r="L265" s="1753" t="n">
        <v>929.2840136054419</v>
      </c>
      <c r="M265" s="1753" t="n">
        <v>8.484965000000001</v>
      </c>
      <c r="N265" s="1754" t="n">
        <v>7884.9423305017</v>
      </c>
      <c r="O265" s="1755" t="inlineStr">
        <is>
          <t>Quantidades resumo de projetos</t>
        </is>
      </c>
      <c r="P265" s="1721" t="inlineStr">
        <is>
          <t>Pendente</t>
        </is>
      </c>
    </row>
    <row r="266" hidden="1" outlineLevel="3" ht="13.5" customHeight="1">
      <c r="A266" s="2117" t="n">
        <v>0</v>
      </c>
      <c r="B266" s="2117" t="n">
        <v>4</v>
      </c>
      <c r="C266" s="2117" t="n">
        <v>3</v>
      </c>
      <c r="D266" s="2118" t="n">
        <v>14</v>
      </c>
      <c r="E266" s="2118" t="n">
        <v>8</v>
      </c>
      <c r="G266" s="1748" t="inlineStr">
        <is>
          <t>SUPRAESTRUTURA</t>
        </is>
      </c>
      <c r="H266" s="1749" t="inlineStr">
        <is>
          <t>SERVIÇO</t>
        </is>
      </c>
      <c r="I266" s="1750" t="inlineStr">
        <is>
          <t>04.003.014.008</t>
        </is>
      </c>
      <c r="J266" s="1751" t="inlineStr">
        <is>
          <t>Armação Aço CA-50, Diâmetro de 25,0mm para Supraestrutura, Corte e dobra em Indústria</t>
        </is>
      </c>
      <c r="K266" s="1752" t="inlineStr">
        <is>
          <t>kg</t>
        </is>
      </c>
      <c r="L266" s="1753" t="n">
        <v>4420.722789115646</v>
      </c>
      <c r="M266" s="1753" t="n">
        <v>8.484965000000001</v>
      </c>
      <c r="N266" s="1754" t="n">
        <v>37509.6781403486</v>
      </c>
      <c r="O266" s="1755" t="inlineStr">
        <is>
          <t>Quantidades resumo de projetos</t>
        </is>
      </c>
      <c r="P266" s="1721" t="inlineStr">
        <is>
          <t>Pendente</t>
        </is>
      </c>
    </row>
    <row r="267" hidden="1" outlineLevel="2" ht="13.5" customHeight="1">
      <c r="A267" s="2117" t="n">
        <v>0</v>
      </c>
      <c r="B267" s="2117" t="n">
        <v>4</v>
      </c>
      <c r="C267" s="2117" t="n">
        <v>3</v>
      </c>
      <c r="D267" s="2118" t="n">
        <v>15</v>
      </c>
      <c r="E267" s="2118" t="n">
        <v>0</v>
      </c>
      <c r="G267" s="1740" t="n"/>
      <c r="H267" s="1741" t="inlineStr">
        <is>
          <t>SUBETAPA</t>
        </is>
      </c>
      <c r="I267" s="1742" t="inlineStr">
        <is>
          <t>04.003.015</t>
        </is>
      </c>
      <c r="J267" s="1743" t="inlineStr">
        <is>
          <t>Armadura - Cobertura | Barrilete</t>
        </is>
      </c>
      <c r="K267" s="1744" t="n"/>
      <c r="L267" s="1745" t="n"/>
      <c r="M267" s="1745" t="n"/>
      <c r="N267" s="1746" t="n">
        <v>90253.364795</v>
      </c>
      <c r="O267" s="1747" t="n">
        <v>5.38836674364331</v>
      </c>
      <c r="P267" s="1720" t="n"/>
    </row>
    <row r="268" hidden="1" outlineLevel="3" ht="13.5" customHeight="1">
      <c r="A268" s="2117" t="n">
        <v>0</v>
      </c>
      <c r="B268" s="2117" t="n">
        <v>4</v>
      </c>
      <c r="C268" s="2117" t="n">
        <v>3</v>
      </c>
      <c r="D268" s="2118" t="n">
        <v>15</v>
      </c>
      <c r="E268" s="2118" t="n">
        <v>1</v>
      </c>
      <c r="G268" s="1748" t="inlineStr">
        <is>
          <t>SUPRAESTRUTURA</t>
        </is>
      </c>
      <c r="H268" s="1749" t="inlineStr">
        <is>
          <t>SERVIÇO</t>
        </is>
      </c>
      <c r="I268" s="1750" t="inlineStr">
        <is>
          <t>04.003.015.001</t>
        </is>
      </c>
      <c r="J268" s="1751" t="inlineStr">
        <is>
          <t>Armação Aço CA-60, Diâmetro de 5,0mm para Supraestrutura, Corte e dobra em Indústria</t>
        </is>
      </c>
      <c r="K268" s="1752" t="inlineStr">
        <is>
          <t>kg</t>
        </is>
      </c>
      <c r="L268" s="1753" t="n">
        <v>1699.362</v>
      </c>
      <c r="M268" s="1753" t="n">
        <v>8.964965000000001</v>
      </c>
      <c r="N268" s="1754" t="n">
        <v>15234.72085233</v>
      </c>
      <c r="O268" s="1755" t="inlineStr">
        <is>
          <t>Quantidades resumo de projetos</t>
        </is>
      </c>
      <c r="P268" s="1721" t="inlineStr">
        <is>
          <t>Pendente</t>
        </is>
      </c>
    </row>
    <row r="269" hidden="1" outlineLevel="3" ht="13.5" customHeight="1">
      <c r="A269" s="2117" t="n">
        <v>0</v>
      </c>
      <c r="B269" s="2117" t="n">
        <v>4</v>
      </c>
      <c r="C269" s="2117" t="n">
        <v>3</v>
      </c>
      <c r="D269" s="2118" t="n">
        <v>15</v>
      </c>
      <c r="E269" s="2118" t="n">
        <v>2</v>
      </c>
      <c r="G269" s="1748" t="inlineStr">
        <is>
          <t>SUPRAESTRUTURA</t>
        </is>
      </c>
      <c r="H269" s="1749" t="inlineStr">
        <is>
          <t>SERVIÇO</t>
        </is>
      </c>
      <c r="I269" s="1750" t="inlineStr">
        <is>
          <t>04.003.015.002</t>
        </is>
      </c>
      <c r="J269" s="1751" t="inlineStr">
        <is>
          <t>Armação Aço CA-50, Diâmetro de 6,3mm para Supraestrutura, Corte e dobra em Indústria</t>
        </is>
      </c>
      <c r="K269" s="1752" t="inlineStr">
        <is>
          <t>kg</t>
        </is>
      </c>
      <c r="L269" s="1753" t="n">
        <v>862</v>
      </c>
      <c r="M269" s="1753" t="n">
        <v>8.964965000000001</v>
      </c>
      <c r="N269" s="1754" t="n">
        <v>7727.79983</v>
      </c>
      <c r="O269" s="1755" t="inlineStr">
        <is>
          <t>Quantidades resumo de projetos</t>
        </is>
      </c>
      <c r="P269" s="1721" t="inlineStr">
        <is>
          <t>Pendente</t>
        </is>
      </c>
    </row>
    <row r="270" hidden="1" outlineLevel="3" ht="13.5" customHeight="1">
      <c r="A270" s="2117" t="n">
        <v>0</v>
      </c>
      <c r="B270" s="2117" t="n">
        <v>4</v>
      </c>
      <c r="C270" s="2117" t="n">
        <v>3</v>
      </c>
      <c r="D270" s="2118" t="n">
        <v>15</v>
      </c>
      <c r="E270" s="2118" t="n">
        <v>3</v>
      </c>
      <c r="G270" s="1748" t="inlineStr">
        <is>
          <t>SUPRAESTRUTURA</t>
        </is>
      </c>
      <c r="H270" s="1749" t="inlineStr">
        <is>
          <t>SERVIÇO</t>
        </is>
      </c>
      <c r="I270" s="1750" t="inlineStr">
        <is>
          <t>04.003.015.003</t>
        </is>
      </c>
      <c r="J270" s="1751" t="inlineStr">
        <is>
          <t>Armação Aço CA-50, Diâmetro de 8,0mm para Supraestrutura, Corte e dobra em Indústria</t>
        </is>
      </c>
      <c r="K270" s="1752" t="inlineStr">
        <is>
          <t>kg</t>
        </is>
      </c>
      <c r="L270" s="1753" t="n">
        <v>14</v>
      </c>
      <c r="M270" s="1753" t="n">
        <v>8.964965000000001</v>
      </c>
      <c r="N270" s="1754" t="n">
        <v>125.50951</v>
      </c>
      <c r="O270" s="1755" t="inlineStr">
        <is>
          <t>Quantidades resumo de projetos</t>
        </is>
      </c>
      <c r="P270" s="1721" t="inlineStr">
        <is>
          <t>Pendente</t>
        </is>
      </c>
    </row>
    <row r="271" hidden="1" outlineLevel="3" ht="13.5" customHeight="1">
      <c r="A271" s="2117" t="n">
        <v>0</v>
      </c>
      <c r="B271" s="2117" t="n">
        <v>4</v>
      </c>
      <c r="C271" s="2117" t="n">
        <v>3</v>
      </c>
      <c r="D271" s="2118" t="n">
        <v>15</v>
      </c>
      <c r="E271" s="2118" t="n">
        <v>4</v>
      </c>
      <c r="G271" s="1748" t="inlineStr">
        <is>
          <t>SUPRAESTRUTURA</t>
        </is>
      </c>
      <c r="H271" s="1749" t="inlineStr">
        <is>
          <t>SERVIÇO</t>
        </is>
      </c>
      <c r="I271" s="1750" t="inlineStr">
        <is>
          <t>04.003.015.004</t>
        </is>
      </c>
      <c r="J271" s="1751" t="inlineStr">
        <is>
          <t>Armação Aço CA-50, Diâmetro de 10,0mm para Supraestrutura, Corte e dobra em Indústria</t>
        </is>
      </c>
      <c r="K271" s="1752" t="inlineStr">
        <is>
          <t>kg</t>
        </is>
      </c>
      <c r="L271" s="1753" t="n">
        <v>1629.25</v>
      </c>
      <c r="M271" s="1753" t="n">
        <v>8.964965000000001</v>
      </c>
      <c r="N271" s="1754" t="n">
        <v>14606.16922625</v>
      </c>
      <c r="O271" s="1755" t="inlineStr">
        <is>
          <t>Quantidades resumo de projetos</t>
        </is>
      </c>
      <c r="P271" s="1721" t="inlineStr">
        <is>
          <t>Pendente</t>
        </is>
      </c>
    </row>
    <row r="272" hidden="1" outlineLevel="3" ht="13.5" customHeight="1">
      <c r="A272" s="2117" t="n">
        <v>0</v>
      </c>
      <c r="B272" s="2117" t="n">
        <v>4</v>
      </c>
      <c r="C272" s="2117" t="n">
        <v>3</v>
      </c>
      <c r="D272" s="2118" t="n">
        <v>15</v>
      </c>
      <c r="E272" s="2118" t="n">
        <v>5</v>
      </c>
      <c r="G272" s="1748" t="inlineStr">
        <is>
          <t>SUPRAESTRUTURA</t>
        </is>
      </c>
      <c r="H272" s="1749" t="inlineStr">
        <is>
          <t>SERVIÇO</t>
        </is>
      </c>
      <c r="I272" s="1750" t="inlineStr">
        <is>
          <t>04.003.015.005</t>
        </is>
      </c>
      <c r="J272" s="1751" t="inlineStr">
        <is>
          <t>Armação Aço CA-50, Diâmetro de 12,5mm para Supraestrutura, Corte e dobra em Indústria</t>
        </is>
      </c>
      <c r="K272" s="1752" t="inlineStr">
        <is>
          <t>kg</t>
        </is>
      </c>
      <c r="L272" s="1753" t="n">
        <v>5502.388</v>
      </c>
      <c r="M272" s="1753" t="n">
        <v>8.484965000000001</v>
      </c>
      <c r="N272" s="1754" t="n">
        <v>46687.56959642</v>
      </c>
      <c r="O272" s="1755" t="inlineStr">
        <is>
          <t>Quantidades resumo de projetos</t>
        </is>
      </c>
      <c r="P272" s="1721" t="inlineStr">
        <is>
          <t>Pendente</t>
        </is>
      </c>
    </row>
    <row r="273" hidden="1" outlineLevel="3" ht="13.5" customHeight="1">
      <c r="A273" s="2117" t="n">
        <v>0</v>
      </c>
      <c r="B273" s="2117" t="n">
        <v>4</v>
      </c>
      <c r="C273" s="2117" t="n">
        <v>3</v>
      </c>
      <c r="D273" s="2118" t="n">
        <v>15</v>
      </c>
      <c r="E273" s="2118" t="n">
        <v>6</v>
      </c>
      <c r="G273" s="1748" t="inlineStr">
        <is>
          <t>SUPRAESTRUTURA</t>
        </is>
      </c>
      <c r="H273" s="1749" t="inlineStr">
        <is>
          <t>SERVIÇO</t>
        </is>
      </c>
      <c r="I273" s="1750" t="inlineStr">
        <is>
          <t>04.003.015.006</t>
        </is>
      </c>
      <c r="J273" s="1751" t="inlineStr">
        <is>
          <t>Armação Aço CA-50, Diâmetro de 16,0mm para Supraestrutura, Corte e dobra em Indústria</t>
        </is>
      </c>
      <c r="K273" s="1752" t="inlineStr">
        <is>
          <t>kg</t>
        </is>
      </c>
      <c r="L273" s="1753" t="n">
        <v>692</v>
      </c>
      <c r="M273" s="1753" t="n">
        <v>8.484965000000001</v>
      </c>
      <c r="N273" s="1754" t="n">
        <v>5871.59578</v>
      </c>
      <c r="O273" s="1755" t="inlineStr">
        <is>
          <t>Quantidades resumo de projetos</t>
        </is>
      </c>
      <c r="P273" s="1721" t="inlineStr">
        <is>
          <t>Pendente</t>
        </is>
      </c>
    </row>
    <row r="274" hidden="1" outlineLevel="2" ht="13.5" customHeight="1">
      <c r="A274" s="2117" t="n">
        <v>0</v>
      </c>
      <c r="B274" s="2117" t="n">
        <v>4</v>
      </c>
      <c r="C274" s="2117" t="n">
        <v>3</v>
      </c>
      <c r="D274" s="2118" t="n">
        <v>16</v>
      </c>
      <c r="E274" s="2118" t="n">
        <v>0</v>
      </c>
      <c r="G274" s="1740" t="n"/>
      <c r="H274" s="1741" t="inlineStr">
        <is>
          <t>SUBETAPA</t>
        </is>
      </c>
      <c r="I274" s="1742" t="inlineStr">
        <is>
          <t>04.003.016</t>
        </is>
      </c>
      <c r="J274" s="1743" t="inlineStr">
        <is>
          <t>Armadura - Reservatório</t>
        </is>
      </c>
      <c r="K274" s="1744" t="n"/>
      <c r="L274" s="1745" t="n"/>
      <c r="M274" s="1745" t="n"/>
      <c r="N274" s="1746" t="n">
        <v>69302.88812</v>
      </c>
      <c r="O274" s="1747" t="n">
        <v>4.13756737416319</v>
      </c>
      <c r="P274" s="1720" t="n"/>
    </row>
    <row r="275" hidden="1" outlineLevel="3" ht="13.5" customHeight="1">
      <c r="A275" s="2117" t="n">
        <v>0</v>
      </c>
      <c r="B275" s="2117" t="n">
        <v>4</v>
      </c>
      <c r="C275" s="2117" t="n">
        <v>3</v>
      </c>
      <c r="D275" s="2118" t="n">
        <v>16</v>
      </c>
      <c r="E275" s="2118" t="n">
        <v>1</v>
      </c>
      <c r="G275" s="1748" t="inlineStr">
        <is>
          <t>SUPRAESTRUTURA</t>
        </is>
      </c>
      <c r="H275" s="1749" t="inlineStr">
        <is>
          <t>SERVIÇO</t>
        </is>
      </c>
      <c r="I275" s="1750" t="inlineStr">
        <is>
          <t>04.003.016.001</t>
        </is>
      </c>
      <c r="J275" s="1751" t="inlineStr">
        <is>
          <t>Armação Aço CA-60, Diâmetro de 5,0mm para Supraestrutura, Corte e dobra em Indústria</t>
        </is>
      </c>
      <c r="K275" s="1752" t="inlineStr">
        <is>
          <t>kg</t>
        </is>
      </c>
      <c r="L275" s="1753" t="n">
        <v>1514</v>
      </c>
      <c r="M275" s="1753" t="n">
        <v>8.964965000000001</v>
      </c>
      <c r="N275" s="1754" t="n">
        <v>13572.95701</v>
      </c>
      <c r="O275" s="1755" t="inlineStr">
        <is>
          <t>Quantidades resumo de projetos</t>
        </is>
      </c>
      <c r="P275" s="1721" t="inlineStr">
        <is>
          <t>Pendente</t>
        </is>
      </c>
    </row>
    <row r="276" hidden="1" outlineLevel="3" ht="13.5" customHeight="1">
      <c r="A276" s="2117" t="n">
        <v>0</v>
      </c>
      <c r="B276" s="2117" t="n">
        <v>4</v>
      </c>
      <c r="C276" s="2117" t="n">
        <v>3</v>
      </c>
      <c r="D276" s="2118" t="n">
        <v>16</v>
      </c>
      <c r="E276" s="2118" t="n">
        <v>2</v>
      </c>
      <c r="G276" s="1748" t="inlineStr">
        <is>
          <t>SUPRAESTRUTURA</t>
        </is>
      </c>
      <c r="H276" s="1749" t="inlineStr">
        <is>
          <t>SERVIÇO</t>
        </is>
      </c>
      <c r="I276" s="1750" t="inlineStr">
        <is>
          <t>04.003.016.002</t>
        </is>
      </c>
      <c r="J276" s="1751" t="inlineStr">
        <is>
          <t>Armação Aço CA-50, Diâmetro de 6,3mm para Supraestrutura, Corte e dobra em Indústria</t>
        </is>
      </c>
      <c r="K276" s="1752" t="inlineStr">
        <is>
          <t>kg</t>
        </is>
      </c>
      <c r="L276" s="1753" t="n">
        <v>120</v>
      </c>
      <c r="M276" s="1753" t="n">
        <v>8.964965000000001</v>
      </c>
      <c r="N276" s="1754" t="n">
        <v>1075.7958</v>
      </c>
      <c r="O276" s="1755" t="inlineStr">
        <is>
          <t>Quantidades resumo de projetos</t>
        </is>
      </c>
      <c r="P276" s="1721" t="inlineStr">
        <is>
          <t>Pendente</t>
        </is>
      </c>
    </row>
    <row r="277" hidden="1" outlineLevel="3" ht="13.5" customHeight="1">
      <c r="A277" s="2117" t="n">
        <v>0</v>
      </c>
      <c r="B277" s="2117" t="n">
        <v>4</v>
      </c>
      <c r="C277" s="2117" t="n">
        <v>3</v>
      </c>
      <c r="D277" s="2118" t="n">
        <v>16</v>
      </c>
      <c r="E277" s="2118" t="n">
        <v>3</v>
      </c>
      <c r="G277" s="1748" t="inlineStr">
        <is>
          <t>SUPRAESTRUTURA</t>
        </is>
      </c>
      <c r="H277" s="1749" t="inlineStr">
        <is>
          <t>SERVIÇO</t>
        </is>
      </c>
      <c r="I277" s="1750" t="inlineStr">
        <is>
          <t>04.003.016.003</t>
        </is>
      </c>
      <c r="J277" s="1751" t="inlineStr">
        <is>
          <t>Armação Aço CA-50, Diâmetro de 10,0mm para Supraestrutura, Corte e dobra em Indústria</t>
        </is>
      </c>
      <c r="K277" s="1752" t="inlineStr">
        <is>
          <t>kg</t>
        </is>
      </c>
      <c r="L277" s="1753" t="n">
        <v>5432</v>
      </c>
      <c r="M277" s="1753" t="n">
        <v>8.964965000000001</v>
      </c>
      <c r="N277" s="1754" t="n">
        <v>48697.68988</v>
      </c>
      <c r="O277" s="1755" t="inlineStr">
        <is>
          <t>Quantidades resumo de projetos</t>
        </is>
      </c>
      <c r="P277" s="1721" t="inlineStr">
        <is>
          <t>Pendente</t>
        </is>
      </c>
    </row>
    <row r="278" hidden="1" outlineLevel="3" ht="13.5" customHeight="1">
      <c r="A278" s="2117" t="n">
        <v>0</v>
      </c>
      <c r="B278" s="2117" t="n">
        <v>4</v>
      </c>
      <c r="C278" s="2117" t="n">
        <v>3</v>
      </c>
      <c r="D278" s="2118" t="n">
        <v>16</v>
      </c>
      <c r="E278" s="2118" t="n">
        <v>4</v>
      </c>
      <c r="G278" s="1748" t="inlineStr">
        <is>
          <t>SUPRAESTRUTURA</t>
        </is>
      </c>
      <c r="H278" s="1749" t="inlineStr">
        <is>
          <t>SERVIÇO</t>
        </is>
      </c>
      <c r="I278" s="1750" t="inlineStr">
        <is>
          <t>04.003.016.004</t>
        </is>
      </c>
      <c r="J278" s="1751" t="inlineStr">
        <is>
          <t>Armação Aço CA-50, Diâmetro de 12,5mm para Supraestrutura, Corte e dobra em Indústria</t>
        </is>
      </c>
      <c r="K278" s="1752" t="inlineStr">
        <is>
          <t>kg</t>
        </is>
      </c>
      <c r="L278" s="1753" t="n">
        <v>372</v>
      </c>
      <c r="M278" s="1753" t="n">
        <v>8.484965000000001</v>
      </c>
      <c r="N278" s="1754" t="n">
        <v>3156.40698</v>
      </c>
      <c r="O278" s="1755" t="inlineStr">
        <is>
          <t>Quantidades resumo de projetos</t>
        </is>
      </c>
      <c r="P278" s="1721" t="inlineStr">
        <is>
          <t>Pendente</t>
        </is>
      </c>
    </row>
    <row r="279" hidden="1" outlineLevel="3" ht="13.5" customHeight="1">
      <c r="A279" s="2117" t="n">
        <v>0</v>
      </c>
      <c r="B279" s="2117" t="n">
        <v>4</v>
      </c>
      <c r="C279" s="2117" t="n">
        <v>3</v>
      </c>
      <c r="D279" s="2118" t="n">
        <v>16</v>
      </c>
      <c r="E279" s="2118" t="n">
        <v>5</v>
      </c>
      <c r="G279" s="1748" t="inlineStr">
        <is>
          <t>SUPRAESTRUTURA</t>
        </is>
      </c>
      <c r="H279" s="1749" t="inlineStr">
        <is>
          <t>SERVIÇO</t>
        </is>
      </c>
      <c r="I279" s="1750" t="inlineStr">
        <is>
          <t>04.003.016.005</t>
        </is>
      </c>
      <c r="J279" s="1751" t="inlineStr">
        <is>
          <t>Armação Aço CA-50, Diâmetro de 16,0mm para Supraestrutura, Corte e dobra em Indústria</t>
        </is>
      </c>
      <c r="K279" s="1752" t="inlineStr">
        <is>
          <t>kg</t>
        </is>
      </c>
      <c r="L279" s="1753" t="n">
        <v>330</v>
      </c>
      <c r="M279" s="1753" t="n">
        <v>8.484965000000001</v>
      </c>
      <c r="N279" s="1754" t="n">
        <v>2800.03845</v>
      </c>
      <c r="O279" s="1755" t="inlineStr">
        <is>
          <t>Quantidades resumo de projetos</t>
        </is>
      </c>
      <c r="P279" s="1721" t="inlineStr">
        <is>
          <t>Pendente</t>
        </is>
      </c>
    </row>
    <row r="280" hidden="1" outlineLevel="1" ht="13.5" customHeight="1">
      <c r="A280" s="2117" t="n">
        <v>0</v>
      </c>
      <c r="B280" s="2117" t="n">
        <v>4</v>
      </c>
      <c r="C280" s="2117" t="n">
        <v>4</v>
      </c>
      <c r="D280" s="2118" t="n">
        <v>0</v>
      </c>
      <c r="E280" s="2118" t="n">
        <v>5</v>
      </c>
      <c r="G280" s="1733" t="n"/>
      <c r="H280" s="1734" t="inlineStr">
        <is>
          <t>ETAPA</t>
        </is>
      </c>
      <c r="I280" s="1735" t="inlineStr">
        <is>
          <t>04.004</t>
        </is>
      </c>
      <c r="J280" s="1736" t="inlineStr">
        <is>
          <t>CONCRETO</t>
        </is>
      </c>
      <c r="K280" s="1737" t="n"/>
      <c r="L280" s="1738" t="n"/>
      <c r="M280" s="1738" t="n"/>
      <c r="N280" s="1739" t="n">
        <v>4228107.65346357</v>
      </c>
      <c r="O280" s="1722" t="n">
        <v>252.429310754395</v>
      </c>
      <c r="P280" s="1719" t="n"/>
    </row>
    <row r="281" hidden="1" outlineLevel="2" ht="13.5" customHeight="1">
      <c r="A281" s="2117" t="n">
        <v>0</v>
      </c>
      <c r="B281" s="2117" t="n">
        <v>4</v>
      </c>
      <c r="C281" s="2117" t="n">
        <v>4</v>
      </c>
      <c r="D281" s="2118" t="n">
        <v>1</v>
      </c>
      <c r="E281" s="2118" t="n">
        <v>0</v>
      </c>
      <c r="G281" s="1740" t="n"/>
      <c r="H281" s="1741" t="inlineStr">
        <is>
          <t>SUBETAPA</t>
        </is>
      </c>
      <c r="I281" s="1742" t="inlineStr">
        <is>
          <t>04.004.001</t>
        </is>
      </c>
      <c r="J281" s="1743" t="inlineStr">
        <is>
          <t>Concreto - Térreo</t>
        </is>
      </c>
      <c r="K281" s="1744" t="n"/>
      <c r="L281" s="1745" t="n"/>
      <c r="M281" s="1745" t="n"/>
      <c r="N281" s="1746" t="n">
        <v>141892.4744</v>
      </c>
      <c r="O281" s="1747" t="n">
        <v>8.47135939991654</v>
      </c>
      <c r="P281" s="1720" t="n"/>
    </row>
    <row r="282" hidden="1" outlineLevel="3" ht="12.75" customHeight="1">
      <c r="A282" s="2117" t="n">
        <v>0</v>
      </c>
      <c r="B282" s="2117" t="n">
        <v>4</v>
      </c>
      <c r="C282" s="2117" t="n">
        <v>4</v>
      </c>
      <c r="D282" s="2118" t="n">
        <v>1</v>
      </c>
      <c r="E282" s="2118" t="n">
        <v>1</v>
      </c>
      <c r="G282" s="1748" t="inlineStr">
        <is>
          <t>SUPRAESTRUTURA</t>
        </is>
      </c>
      <c r="H282" s="1749" t="inlineStr">
        <is>
          <t>SERVIÇO</t>
        </is>
      </c>
      <c r="I282" s="1750" t="inlineStr">
        <is>
          <t>04.004.001.001</t>
        </is>
      </c>
      <c r="J282" s="1751" t="inlineStr">
        <is>
          <t>Concreto Usinado FCK = 50MPa Bombeavel Para Supraestrutura</t>
        </is>
      </c>
      <c r="K282" s="1752" t="inlineStr">
        <is>
          <t>m3</t>
        </is>
      </c>
      <c r="L282" s="1753" t="n">
        <v>208.4</v>
      </c>
      <c r="M282" s="1753" t="n">
        <v>680.8660000000001</v>
      </c>
      <c r="N282" s="1754" t="n">
        <v>141892.4744</v>
      </c>
      <c r="O282" s="1761" t="n"/>
      <c r="P282" s="1721" t="inlineStr">
        <is>
          <t>Pendente</t>
        </is>
      </c>
    </row>
    <row r="283" hidden="1" outlineLevel="2" ht="13.5" customHeight="1">
      <c r="A283" s="2117" t="n">
        <v>0</v>
      </c>
      <c r="B283" s="2117" t="n">
        <v>4</v>
      </c>
      <c r="C283" s="2117" t="n">
        <v>4</v>
      </c>
      <c r="D283" s="2118" t="n">
        <v>2</v>
      </c>
      <c r="E283" s="2118" t="n">
        <v>0</v>
      </c>
      <c r="G283" s="1740" t="n"/>
      <c r="H283" s="1741" t="inlineStr">
        <is>
          <t>SUBETAPA</t>
        </is>
      </c>
      <c r="I283" s="1742" t="inlineStr">
        <is>
          <t>04.004.002</t>
        </is>
      </c>
      <c r="J283" s="1743" t="inlineStr">
        <is>
          <t>Concreto - G1</t>
        </is>
      </c>
      <c r="K283" s="1744" t="n"/>
      <c r="L283" s="1745" t="n"/>
      <c r="M283" s="1745" t="n"/>
      <c r="N283" s="1746" t="n">
        <v>166812.17</v>
      </c>
      <c r="O283" s="1747" t="n">
        <v>9.95913173214756</v>
      </c>
      <c r="P283" s="1720" t="n"/>
    </row>
    <row r="284" hidden="1" outlineLevel="3" ht="12.75" customHeight="1">
      <c r="A284" s="2117" t="n">
        <v>0</v>
      </c>
      <c r="B284" s="2117" t="n">
        <v>4</v>
      </c>
      <c r="C284" s="2117" t="n">
        <v>4</v>
      </c>
      <c r="D284" s="2118" t="n">
        <v>2</v>
      </c>
      <c r="E284" s="2118" t="n">
        <v>1</v>
      </c>
      <c r="G284" s="1748" t="inlineStr">
        <is>
          <t>SUPRAESTRUTURA</t>
        </is>
      </c>
      <c r="H284" s="1749" t="inlineStr">
        <is>
          <t>SERVIÇO</t>
        </is>
      </c>
      <c r="I284" s="1750" t="inlineStr">
        <is>
          <t>04.004.002.001</t>
        </is>
      </c>
      <c r="J284" s="1751" t="inlineStr">
        <is>
          <t>Concreto Usinado FCK = 50MPa Bombeavel Para Supraestrutura</t>
        </is>
      </c>
      <c r="K284" s="1752" t="inlineStr">
        <is>
          <t>m3</t>
        </is>
      </c>
      <c r="L284" s="1753" t="n">
        <v>245</v>
      </c>
      <c r="M284" s="1753" t="n">
        <v>680.8660000000001</v>
      </c>
      <c r="N284" s="1754" t="n">
        <v>166812.17</v>
      </c>
      <c r="O284" s="1761" t="n"/>
      <c r="P284" s="1721" t="inlineStr">
        <is>
          <t>Pendente</t>
        </is>
      </c>
    </row>
    <row r="285" hidden="1" outlineLevel="2" ht="13.5" customHeight="1">
      <c r="A285" s="2117" t="n">
        <v>0</v>
      </c>
      <c r="B285" s="2117" t="n">
        <v>4</v>
      </c>
      <c r="C285" s="2117" t="n">
        <v>4</v>
      </c>
      <c r="D285" s="2118" t="n">
        <v>3</v>
      </c>
      <c r="E285" s="2118" t="n">
        <v>0</v>
      </c>
      <c r="G285" s="1740" t="n"/>
      <c r="H285" s="1741" t="inlineStr">
        <is>
          <t>SUBETAPA</t>
        </is>
      </c>
      <c r="I285" s="1742" t="inlineStr">
        <is>
          <t>04.004.003</t>
        </is>
      </c>
      <c r="J285" s="1743" t="inlineStr">
        <is>
          <t>Concreto - G2</t>
        </is>
      </c>
      <c r="K285" s="1744" t="n"/>
      <c r="L285" s="1745" t="n"/>
      <c r="M285" s="1745" t="n"/>
      <c r="N285" s="1746" t="n">
        <v>191799.9522</v>
      </c>
      <c r="O285" s="1747" t="n">
        <v>11.450969016106</v>
      </c>
      <c r="P285" s="1720" t="n"/>
    </row>
    <row r="286" hidden="1" outlineLevel="3" ht="12.75" customHeight="1">
      <c r="A286" s="2117" t="n">
        <v>0</v>
      </c>
      <c r="B286" s="2117" t="n">
        <v>4</v>
      </c>
      <c r="C286" s="2117" t="n">
        <v>4</v>
      </c>
      <c r="D286" s="2118" t="n">
        <v>3</v>
      </c>
      <c r="E286" s="2118" t="n">
        <v>1</v>
      </c>
      <c r="G286" s="1748" t="inlineStr">
        <is>
          <t>SUPRAESTRUTURA</t>
        </is>
      </c>
      <c r="H286" s="1749" t="inlineStr">
        <is>
          <t>SERVIÇO</t>
        </is>
      </c>
      <c r="I286" s="1750" t="inlineStr">
        <is>
          <t>04.004.003.001</t>
        </is>
      </c>
      <c r="J286" s="1751" t="inlineStr">
        <is>
          <t>Concreto Usinado FCK = 50MPa Bombeavel Para Supraestrutura</t>
        </is>
      </c>
      <c r="K286" s="1752" t="inlineStr">
        <is>
          <t>m3</t>
        </is>
      </c>
      <c r="L286" s="1753" t="n">
        <v>281.7</v>
      </c>
      <c r="M286" s="1753" t="n">
        <v>680.8660000000001</v>
      </c>
      <c r="N286" s="1754" t="n">
        <v>191799.9522</v>
      </c>
      <c r="O286" s="1761" t="n"/>
      <c r="P286" s="1721" t="inlineStr">
        <is>
          <t>Pendente</t>
        </is>
      </c>
    </row>
    <row r="287" hidden="1" outlineLevel="2" ht="13.5" customHeight="1">
      <c r="A287" s="2117" t="n">
        <v>0</v>
      </c>
      <c r="B287" s="2117" t="n">
        <v>4</v>
      </c>
      <c r="C287" s="2117" t="n">
        <v>4</v>
      </c>
      <c r="D287" s="2118" t="n">
        <v>4</v>
      </c>
      <c r="E287" s="2118" t="n">
        <v>0</v>
      </c>
      <c r="G287" s="1740" t="n"/>
      <c r="H287" s="1741" t="inlineStr">
        <is>
          <t>SUBETAPA</t>
        </is>
      </c>
      <c r="I287" s="1742" t="inlineStr">
        <is>
          <t>04.004.004</t>
        </is>
      </c>
      <c r="J287" s="1743" t="inlineStr">
        <is>
          <t>Concreto - G3</t>
        </is>
      </c>
      <c r="K287" s="1744" t="n"/>
      <c r="L287" s="1745" t="n"/>
      <c r="M287" s="1745" t="n"/>
      <c r="N287" s="1746" t="n">
        <v>193297.8574</v>
      </c>
      <c r="O287" s="1747" t="n">
        <v>11.5403979541089</v>
      </c>
      <c r="P287" s="1720" t="n"/>
    </row>
    <row r="288" hidden="1" outlineLevel="3" ht="12.75" customHeight="1">
      <c r="A288" s="2117" t="n">
        <v>0</v>
      </c>
      <c r="B288" s="2117" t="n">
        <v>4</v>
      </c>
      <c r="C288" s="2117" t="n">
        <v>4</v>
      </c>
      <c r="D288" s="2118" t="n">
        <v>4</v>
      </c>
      <c r="E288" s="2118" t="n">
        <v>1</v>
      </c>
      <c r="G288" s="1748" t="inlineStr">
        <is>
          <t>SUPRAESTRUTURA</t>
        </is>
      </c>
      <c r="H288" s="1749" t="inlineStr">
        <is>
          <t>SERVIÇO</t>
        </is>
      </c>
      <c r="I288" s="1750" t="inlineStr">
        <is>
          <t>04.004.004.001</t>
        </is>
      </c>
      <c r="J288" s="1751" t="inlineStr">
        <is>
          <t>Concreto Usinado FCK = 50MPa Bombeavel Para Supraestrutura</t>
        </is>
      </c>
      <c r="K288" s="1752" t="inlineStr">
        <is>
          <t>m3</t>
        </is>
      </c>
      <c r="L288" s="1753" t="n">
        <v>283.9</v>
      </c>
      <c r="M288" s="1753" t="n">
        <v>680.8660000000001</v>
      </c>
      <c r="N288" s="1754" t="n">
        <v>193297.8574</v>
      </c>
      <c r="O288" s="1761" t="n"/>
      <c r="P288" s="1721" t="inlineStr">
        <is>
          <t>Pendente</t>
        </is>
      </c>
    </row>
    <row r="289" hidden="1" outlineLevel="2" ht="13.5" customHeight="1">
      <c r="A289" s="2117" t="n">
        <v>0</v>
      </c>
      <c r="B289" s="2117" t="n">
        <v>4</v>
      </c>
      <c r="C289" s="2117" t="n">
        <v>4</v>
      </c>
      <c r="D289" s="2118" t="n">
        <v>5</v>
      </c>
      <c r="E289" s="2118" t="n">
        <v>0</v>
      </c>
      <c r="G289" s="1740" t="n"/>
      <c r="H289" s="1741" t="inlineStr">
        <is>
          <t>SUBETAPA</t>
        </is>
      </c>
      <c r="I289" s="1742" t="inlineStr">
        <is>
          <t>04.004.005</t>
        </is>
      </c>
      <c r="J289" s="1743" t="inlineStr">
        <is>
          <t>Concreto - G4</t>
        </is>
      </c>
      <c r="K289" s="1744" t="n"/>
      <c r="L289" s="1745" t="n"/>
      <c r="M289" s="1745" t="n"/>
      <c r="N289" s="1746" t="n">
        <v>193428.436604944</v>
      </c>
      <c r="O289" s="1747" t="n">
        <v>11.5481938811298</v>
      </c>
      <c r="P289" s="1720" t="n"/>
    </row>
    <row r="290" hidden="1" outlineLevel="3" ht="12.75" customHeight="1">
      <c r="A290" s="2117" t="n">
        <v>0</v>
      </c>
      <c r="B290" s="2117" t="n">
        <v>4</v>
      </c>
      <c r="C290" s="2117" t="n">
        <v>4</v>
      </c>
      <c r="D290" s="2118" t="n">
        <v>5</v>
      </c>
      <c r="E290" s="2118" t="n">
        <v>1</v>
      </c>
      <c r="G290" s="1748" t="inlineStr">
        <is>
          <t>SUPRAESTRUTURA</t>
        </is>
      </c>
      <c r="H290" s="1749" t="inlineStr">
        <is>
          <t>SERVIÇO</t>
        </is>
      </c>
      <c r="I290" s="1750" t="inlineStr">
        <is>
          <t>04.004.005.001</t>
        </is>
      </c>
      <c r="J290" s="1751" t="inlineStr">
        <is>
          <t>Concreto Usinado FCK = 50MPa Bombeavel Para Supraestrutura</t>
        </is>
      </c>
      <c r="K290" s="1752" t="inlineStr">
        <is>
          <t>m3</t>
        </is>
      </c>
      <c r="L290" s="1753" t="n">
        <v>284.091784</v>
      </c>
      <c r="M290" s="1753" t="n">
        <v>680.8660000000001</v>
      </c>
      <c r="N290" s="1754" t="n">
        <v>193428.436604944</v>
      </c>
      <c r="O290" s="1761" t="n"/>
      <c r="P290" s="1721" t="inlineStr">
        <is>
          <t>Pendente</t>
        </is>
      </c>
    </row>
    <row r="291" hidden="1" outlineLevel="2" ht="13.5" customHeight="1">
      <c r="A291" s="2117" t="n">
        <v>0</v>
      </c>
      <c r="B291" s="2117" t="n">
        <v>4</v>
      </c>
      <c r="C291" s="2117" t="n">
        <v>4</v>
      </c>
      <c r="D291" s="2118" t="n">
        <v>6</v>
      </c>
      <c r="E291" s="2118" t="n">
        <v>0</v>
      </c>
      <c r="G291" s="1740" t="n"/>
      <c r="H291" s="1741" t="inlineStr">
        <is>
          <t>SUBETAPA</t>
        </is>
      </c>
      <c r="I291" s="1742" t="inlineStr">
        <is>
          <t>04.004.006</t>
        </is>
      </c>
      <c r="J291" s="1743" t="inlineStr">
        <is>
          <t>Concreto - G5</t>
        </is>
      </c>
      <c r="K291" s="1744" t="n"/>
      <c r="L291" s="1745" t="n"/>
      <c r="M291" s="1745" t="n"/>
      <c r="N291" s="1746" t="n">
        <v>195471.034604944</v>
      </c>
      <c r="O291" s="1747" t="n">
        <v>11.6701424329521</v>
      </c>
      <c r="P291" s="1720" t="n"/>
    </row>
    <row r="292" hidden="1" outlineLevel="3" ht="12.75" customHeight="1">
      <c r="A292" s="2117" t="n">
        <v>0</v>
      </c>
      <c r="B292" s="2117" t="n">
        <v>4</v>
      </c>
      <c r="C292" s="2117" t="n">
        <v>4</v>
      </c>
      <c r="D292" s="2118" t="n">
        <v>6</v>
      </c>
      <c r="E292" s="2118" t="n">
        <v>1</v>
      </c>
      <c r="G292" s="1748" t="inlineStr">
        <is>
          <t>SUPRAESTRUTURA</t>
        </is>
      </c>
      <c r="H292" s="1749" t="inlineStr">
        <is>
          <t>SERVIÇO</t>
        </is>
      </c>
      <c r="I292" s="1750" t="inlineStr">
        <is>
          <t>04.004.006.001</t>
        </is>
      </c>
      <c r="J292" s="1751" t="inlineStr">
        <is>
          <t>Concreto Usinado FCK = 50MPa Bombeavel Para Supraestrutura</t>
        </is>
      </c>
      <c r="K292" s="1752" t="inlineStr">
        <is>
          <t>m3</t>
        </is>
      </c>
      <c r="L292" s="1753" t="n">
        <v>287.091784</v>
      </c>
      <c r="M292" s="1753" t="n">
        <v>680.8660000000001</v>
      </c>
      <c r="N292" s="1754" t="n">
        <v>195471.034604944</v>
      </c>
      <c r="O292" s="1761" t="n"/>
      <c r="P292" s="1721" t="inlineStr">
        <is>
          <t>Pendente</t>
        </is>
      </c>
    </row>
    <row r="293" hidden="1" outlineLevel="2" ht="13.5" customHeight="1">
      <c r="A293" s="2117" t="n">
        <v>0</v>
      </c>
      <c r="B293" s="2117" t="n">
        <v>4</v>
      </c>
      <c r="C293" s="2117" t="n">
        <v>4</v>
      </c>
      <c r="D293" s="2118" t="n">
        <v>7</v>
      </c>
      <c r="E293" s="2118" t="n">
        <v>0</v>
      </c>
      <c r="G293" s="1740" t="n"/>
      <c r="H293" s="1741" t="inlineStr">
        <is>
          <t>SUBETAPA</t>
        </is>
      </c>
      <c r="I293" s="1742" t="inlineStr">
        <is>
          <t>04.004.007</t>
        </is>
      </c>
      <c r="J293" s="1743" t="inlineStr">
        <is>
          <t>Concreto - Lazer | Garagem</t>
        </is>
      </c>
      <c r="K293" s="1744" t="n"/>
      <c r="L293" s="1745" t="n"/>
      <c r="M293" s="1745" t="n"/>
      <c r="N293" s="1746" t="n">
        <v>204118.032804944</v>
      </c>
      <c r="O293" s="1747" t="n">
        <v>12.1863913023328</v>
      </c>
      <c r="P293" s="1720" t="n"/>
    </row>
    <row r="294" hidden="1" outlineLevel="3" ht="12.75" customHeight="1">
      <c r="A294" s="2117" t="n">
        <v>0</v>
      </c>
      <c r="B294" s="2117" t="n">
        <v>4</v>
      </c>
      <c r="C294" s="2117" t="n">
        <v>4</v>
      </c>
      <c r="D294" s="2118" t="n">
        <v>7</v>
      </c>
      <c r="E294" s="2118" t="n">
        <v>1</v>
      </c>
      <c r="G294" s="1748" t="inlineStr">
        <is>
          <t>SUPRAESTRUTURA</t>
        </is>
      </c>
      <c r="H294" s="1749" t="inlineStr">
        <is>
          <t>SERVIÇO</t>
        </is>
      </c>
      <c r="I294" s="1750" t="inlineStr">
        <is>
          <t>04.004.007.001</t>
        </is>
      </c>
      <c r="J294" s="1751" t="inlineStr">
        <is>
          <t>Concreto Usinado FCK = 50MPa Bombeavel Para Supraestrutura</t>
        </is>
      </c>
      <c r="K294" s="1752" t="inlineStr">
        <is>
          <t>m3</t>
        </is>
      </c>
      <c r="L294" s="1753" t="n">
        <v>299.7917840000001</v>
      </c>
      <c r="M294" s="1753" t="n">
        <v>680.8660000000001</v>
      </c>
      <c r="N294" s="1754" t="n">
        <v>204118.032804944</v>
      </c>
      <c r="O294" s="1761" t="n"/>
      <c r="P294" s="1721" t="inlineStr">
        <is>
          <t>Pendente</t>
        </is>
      </c>
    </row>
    <row r="295" hidden="1" outlineLevel="2" ht="13.5" customHeight="1">
      <c r="A295" s="2117" t="n">
        <v>0</v>
      </c>
      <c r="B295" s="2117" t="n">
        <v>4</v>
      </c>
      <c r="C295" s="2117" t="n">
        <v>4</v>
      </c>
      <c r="D295" s="2118" t="n">
        <v>8</v>
      </c>
      <c r="E295" s="2118" t="n">
        <v>0</v>
      </c>
      <c r="G295" s="1740" t="n"/>
      <c r="H295" s="1741" t="inlineStr">
        <is>
          <t>SUBETAPA</t>
        </is>
      </c>
      <c r="I295" s="1742" t="inlineStr">
        <is>
          <t>04.004.008</t>
        </is>
      </c>
      <c r="J295" s="1743" t="inlineStr">
        <is>
          <t>Concreto - Patamar Intermediário</t>
        </is>
      </c>
      <c r="K295" s="1744" t="n"/>
      <c r="L295" s="1745" t="n"/>
      <c r="M295" s="1745" t="n"/>
      <c r="N295" s="1746" t="n">
        <v>55280.725204944</v>
      </c>
      <c r="O295" s="1747" t="n">
        <v>3.3004068262207</v>
      </c>
      <c r="P295" s="1720" t="n"/>
    </row>
    <row r="296" hidden="1" outlineLevel="3" ht="12.75" customHeight="1">
      <c r="A296" s="2117" t="n">
        <v>0</v>
      </c>
      <c r="B296" s="2117" t="n">
        <v>4</v>
      </c>
      <c r="C296" s="2117" t="n">
        <v>4</v>
      </c>
      <c r="D296" s="2118" t="n">
        <v>8</v>
      </c>
      <c r="E296" s="2118" t="n">
        <v>1</v>
      </c>
      <c r="G296" s="1748" t="inlineStr">
        <is>
          <t>SUPRAESTRUTURA</t>
        </is>
      </c>
      <c r="H296" s="1749" t="inlineStr">
        <is>
          <t>SERVIÇO</t>
        </is>
      </c>
      <c r="I296" s="1750" t="inlineStr">
        <is>
          <t>04.004.008.001</t>
        </is>
      </c>
      <c r="J296" s="1751" t="inlineStr">
        <is>
          <t>Concreto Usinado FCK = 50MPa Bombeavel Para Supraestrutura</t>
        </is>
      </c>
      <c r="K296" s="1752" t="inlineStr">
        <is>
          <t>m3</t>
        </is>
      </c>
      <c r="L296" s="1753" t="n">
        <v>81.19178400000001</v>
      </c>
      <c r="M296" s="1753" t="n">
        <v>680.8660000000001</v>
      </c>
      <c r="N296" s="1754" t="n">
        <v>55280.725204944</v>
      </c>
      <c r="O296" s="1761" t="n"/>
      <c r="P296" s="1721" t="inlineStr">
        <is>
          <t>Pendente</t>
        </is>
      </c>
    </row>
    <row r="297" hidden="1" outlineLevel="2" ht="13.5" customHeight="1">
      <c r="A297" s="2117" t="n">
        <v>0</v>
      </c>
      <c r="B297" s="2117" t="n">
        <v>4</v>
      </c>
      <c r="C297" s="2117" t="n">
        <v>4</v>
      </c>
      <c r="D297" s="2118" t="n">
        <v>9</v>
      </c>
      <c r="E297" s="2118" t="n">
        <v>0</v>
      </c>
      <c r="G297" s="1740" t="n"/>
      <c r="H297" s="1741" t="inlineStr">
        <is>
          <t>SUBETAPA</t>
        </is>
      </c>
      <c r="I297" s="1742" t="inlineStr">
        <is>
          <t>04.004.009</t>
        </is>
      </c>
      <c r="J297" s="1743" t="inlineStr">
        <is>
          <t>Concreto - Lazer</t>
        </is>
      </c>
      <c r="K297" s="1744" t="n"/>
      <c r="L297" s="1745" t="n"/>
      <c r="M297" s="1745" t="n"/>
      <c r="N297" s="1746" t="n">
        <v>148763.627004944</v>
      </c>
      <c r="O297" s="1747" t="n">
        <v>8.88158554795074</v>
      </c>
      <c r="P297" s="1720" t="n"/>
    </row>
    <row r="298" hidden="1" outlineLevel="3" ht="12.75" customHeight="1">
      <c r="A298" s="2117" t="n">
        <v>0</v>
      </c>
      <c r="B298" s="2117" t="n">
        <v>4</v>
      </c>
      <c r="C298" s="2117" t="n">
        <v>4</v>
      </c>
      <c r="D298" s="2118" t="n">
        <v>9</v>
      </c>
      <c r="E298" s="2118" t="n">
        <v>1</v>
      </c>
      <c r="G298" s="1748" t="inlineStr">
        <is>
          <t>SUPRAESTRUTURA</t>
        </is>
      </c>
      <c r="H298" s="1749" t="inlineStr">
        <is>
          <t>SERVIÇO</t>
        </is>
      </c>
      <c r="I298" s="1750" t="inlineStr">
        <is>
          <t>04.004.009.001</t>
        </is>
      </c>
      <c r="J298" s="1751" t="inlineStr">
        <is>
          <t>Concreto Usinado FCK = 50MPa Bombeavel Para Supraestrutura</t>
        </is>
      </c>
      <c r="K298" s="1752" t="inlineStr">
        <is>
          <t>m3</t>
        </is>
      </c>
      <c r="L298" s="1753" t="n">
        <v>218.491784</v>
      </c>
      <c r="M298" s="1753" t="n">
        <v>680.8660000000001</v>
      </c>
      <c r="N298" s="1754" t="n">
        <v>148763.627004944</v>
      </c>
      <c r="O298" s="1761" t="n"/>
      <c r="P298" s="1721" t="inlineStr">
        <is>
          <t>Pendente</t>
        </is>
      </c>
    </row>
    <row r="299" hidden="1" outlineLevel="2" ht="13.5" customHeight="1">
      <c r="A299" s="2117" t="n">
        <v>0</v>
      </c>
      <c r="B299" s="2117" t="n">
        <v>4</v>
      </c>
      <c r="C299" s="2117" t="n">
        <v>4</v>
      </c>
      <c r="D299" s="2118" t="n">
        <v>10</v>
      </c>
      <c r="E299" s="2118" t="n">
        <v>0</v>
      </c>
      <c r="G299" s="1740" t="n"/>
      <c r="H299" s="1741" t="inlineStr">
        <is>
          <t>SUBETAPA</t>
        </is>
      </c>
      <c r="I299" s="1742" t="inlineStr">
        <is>
          <t>04.004.010</t>
        </is>
      </c>
      <c r="J299" s="1743" t="inlineStr">
        <is>
          <t>Concreto - Tipo diferenciado</t>
        </is>
      </c>
      <c r="K299" s="1744" t="n"/>
      <c r="L299" s="1745" t="n"/>
      <c r="M299" s="1745" t="n"/>
      <c r="N299" s="1746" t="n">
        <v>95193.09012494401</v>
      </c>
      <c r="O299" s="1747" t="n">
        <v>5.68328152882678</v>
      </c>
      <c r="P299" s="1720" t="n"/>
    </row>
    <row r="300" hidden="1" outlineLevel="3" ht="12.75" customHeight="1">
      <c r="A300" s="2117" t="n">
        <v>0</v>
      </c>
      <c r="B300" s="2117" t="n">
        <v>4</v>
      </c>
      <c r="C300" s="2117" t="n">
        <v>4</v>
      </c>
      <c r="D300" s="2118" t="n">
        <v>10</v>
      </c>
      <c r="E300" s="2118" t="n">
        <v>1</v>
      </c>
      <c r="G300" s="1748" t="inlineStr">
        <is>
          <t>SUPRAESTRUTURA</t>
        </is>
      </c>
      <c r="H300" s="1749" t="inlineStr">
        <is>
          <t>SERVIÇO</t>
        </is>
      </c>
      <c r="I300" s="1750" t="inlineStr">
        <is>
          <t>04.004.010.001</t>
        </is>
      </c>
      <c r="J300" s="1751" t="inlineStr">
        <is>
          <t>Concreto Usinado FCK = 50MPa Bombeavel Para Supraestrutura</t>
        </is>
      </c>
      <c r="K300" s="1752" t="inlineStr">
        <is>
          <t>m3</t>
        </is>
      </c>
      <c r="L300" s="1753" t="n">
        <v>139.811784</v>
      </c>
      <c r="M300" s="1753" t="n">
        <v>680.8660000000001</v>
      </c>
      <c r="N300" s="1754" t="n">
        <v>95193.09012494401</v>
      </c>
      <c r="O300" s="1761" t="n"/>
      <c r="P300" s="1721" t="inlineStr">
        <is>
          <t>Pendente</t>
        </is>
      </c>
    </row>
    <row r="301" hidden="1" outlineLevel="2" ht="13.5" customHeight="1">
      <c r="A301" s="2117" t="n">
        <v>0</v>
      </c>
      <c r="B301" s="2117" t="n">
        <v>4</v>
      </c>
      <c r="C301" s="2117" t="n">
        <v>4</v>
      </c>
      <c r="D301" s="2118" t="n">
        <v>11</v>
      </c>
      <c r="E301" s="2118" t="n">
        <v>0</v>
      </c>
      <c r="G301" s="1740" t="n"/>
      <c r="H301" s="1741" t="inlineStr">
        <is>
          <t>SUBETAPA</t>
        </is>
      </c>
      <c r="I301" s="1742" t="inlineStr">
        <is>
          <t>04.004.011</t>
        </is>
      </c>
      <c r="J301" s="1743" t="inlineStr">
        <is>
          <t>Concreto - Tipo x8</t>
        </is>
      </c>
      <c r="K301" s="1744" t="n"/>
      <c r="L301" s="1745" t="n"/>
      <c r="M301" s="1745" t="n"/>
      <c r="N301" s="1746" t="n">
        <v>626754.870416088</v>
      </c>
      <c r="O301" s="1747" t="n">
        <v>37.4189384278071</v>
      </c>
      <c r="P301" s="1720" t="n"/>
    </row>
    <row r="302" hidden="1" outlineLevel="3" ht="12.75" customHeight="1">
      <c r="A302" s="2117" t="n">
        <v>0</v>
      </c>
      <c r="B302" s="2117" t="n">
        <v>4</v>
      </c>
      <c r="C302" s="2117" t="n">
        <v>4</v>
      </c>
      <c r="D302" s="2118" t="n">
        <v>11</v>
      </c>
      <c r="E302" s="2118" t="n">
        <v>1</v>
      </c>
      <c r="G302" s="1748" t="inlineStr">
        <is>
          <t>SUPRAESTRUTURA</t>
        </is>
      </c>
      <c r="H302" s="1749" t="inlineStr">
        <is>
          <t>SERVIÇO</t>
        </is>
      </c>
      <c r="I302" s="1750" t="inlineStr">
        <is>
          <t>04.004.011.001</t>
        </is>
      </c>
      <c r="J302" s="1751" t="inlineStr">
        <is>
          <t>Concreto Usinado FCK = 45MPa Bombeavel Para Supraestrutura</t>
        </is>
      </c>
      <c r="K302" s="1752" t="inlineStr">
        <is>
          <t>m3</t>
        </is>
      </c>
      <c r="L302" s="1753" t="n">
        <v>1010.231784</v>
      </c>
      <c r="M302" s="1753" t="n">
        <v>620.407</v>
      </c>
      <c r="N302" s="1754" t="n">
        <v>626754.870416088</v>
      </c>
      <c r="O302" s="1761" t="n"/>
      <c r="P302" s="1721" t="inlineStr">
        <is>
          <t>Pendente</t>
        </is>
      </c>
    </row>
    <row r="303" hidden="1" outlineLevel="2" ht="13.5" customHeight="1">
      <c r="A303" s="2117" t="n">
        <v>0</v>
      </c>
      <c r="B303" s="2117" t="n">
        <v>4</v>
      </c>
      <c r="C303" s="2117" t="n">
        <v>4</v>
      </c>
      <c r="D303" s="2118" t="n">
        <v>12</v>
      </c>
      <c r="E303" s="2118" t="n">
        <v>0</v>
      </c>
      <c r="G303" s="1740" t="n"/>
      <c r="H303" s="1741" t="inlineStr">
        <is>
          <t>SUBETAPA</t>
        </is>
      </c>
      <c r="I303" s="1742" t="inlineStr">
        <is>
          <t>04.004.012</t>
        </is>
      </c>
      <c r="J303" s="1743" t="inlineStr">
        <is>
          <t>Concreto - Penthouse x22</t>
        </is>
      </c>
      <c r="K303" s="1744" t="n"/>
      <c r="L303" s="1745" t="n"/>
      <c r="M303" s="1745" t="n"/>
      <c r="N303" s="1746" t="n">
        <v>1732746.65189394</v>
      </c>
      <c r="O303" s="1747" t="n">
        <v>103.449599418612</v>
      </c>
      <c r="P303" s="1720" t="n"/>
    </row>
    <row r="304" hidden="1" outlineLevel="3" ht="12.75" customHeight="1">
      <c r="A304" s="2117" t="n">
        <v>0</v>
      </c>
      <c r="B304" s="2117" t="n">
        <v>4</v>
      </c>
      <c r="C304" s="2117" t="n">
        <v>4</v>
      </c>
      <c r="D304" s="2118" t="n">
        <v>12</v>
      </c>
      <c r="E304" s="2118" t="n">
        <v>1</v>
      </c>
      <c r="G304" s="1748" t="inlineStr">
        <is>
          <t>SUPRAESTRUTURA</t>
        </is>
      </c>
      <c r="H304" s="1749" t="inlineStr">
        <is>
          <t>SERVIÇO</t>
        </is>
      </c>
      <c r="I304" s="1750" t="inlineStr">
        <is>
          <t>04.004.012.001</t>
        </is>
      </c>
      <c r="J304" s="1751" t="inlineStr">
        <is>
          <t>Concreto Usinado FCK = 45MPa Bombeavel Para Supraestrutura</t>
        </is>
      </c>
      <c r="K304" s="1752" t="inlineStr">
        <is>
          <t>m3</t>
        </is>
      </c>
      <c r="L304" s="1753" t="n">
        <v>2792.919248</v>
      </c>
      <c r="M304" s="1753" t="n">
        <v>620.407</v>
      </c>
      <c r="N304" s="1754" t="n">
        <v>1732746.65189394</v>
      </c>
      <c r="O304" s="1761" t="n"/>
      <c r="P304" s="1721" t="inlineStr">
        <is>
          <t>Pendente</t>
        </is>
      </c>
    </row>
    <row r="305" hidden="1" outlineLevel="2" ht="13.5" customHeight="1">
      <c r="A305" s="2117" t="n">
        <v>0</v>
      </c>
      <c r="B305" s="2117" t="n">
        <v>4</v>
      </c>
      <c r="C305" s="2117" t="n">
        <v>4</v>
      </c>
      <c r="D305" s="2118" t="n">
        <v>13</v>
      </c>
      <c r="E305" s="2118" t="n">
        <v>0</v>
      </c>
      <c r="G305" s="1740" t="n"/>
      <c r="H305" s="1741" t="inlineStr">
        <is>
          <t>SUBETAPA</t>
        </is>
      </c>
      <c r="I305" s="1742" t="inlineStr">
        <is>
          <t>04.004.013</t>
        </is>
      </c>
      <c r="J305" s="1743" t="inlineStr">
        <is>
          <t>Concreto - Duplex inferior</t>
        </is>
      </c>
      <c r="K305" s="1744" t="n"/>
      <c r="L305" s="1745" t="n"/>
      <c r="M305" s="1745" t="n"/>
      <c r="N305" s="1746" t="n">
        <v>77910.599709904</v>
      </c>
      <c r="O305" s="1747" t="n">
        <v>4.65147072807428</v>
      </c>
      <c r="P305" s="1720" t="n"/>
    </row>
    <row r="306" hidden="1" outlineLevel="3" ht="12.75" customHeight="1">
      <c r="A306" s="2117" t="n">
        <v>0</v>
      </c>
      <c r="B306" s="2117" t="n">
        <v>4</v>
      </c>
      <c r="C306" s="2117" t="n">
        <v>4</v>
      </c>
      <c r="D306" s="2118" t="n">
        <v>13</v>
      </c>
      <c r="E306" s="2118" t="n">
        <v>1</v>
      </c>
      <c r="G306" s="1748" t="inlineStr">
        <is>
          <t>SUPRAESTRUTURA</t>
        </is>
      </c>
      <c r="H306" s="1749" t="inlineStr">
        <is>
          <t>SERVIÇO</t>
        </is>
      </c>
      <c r="I306" s="1750" t="inlineStr">
        <is>
          <t>04.004.013.001</t>
        </is>
      </c>
      <c r="J306" s="1751" t="inlineStr">
        <is>
          <t>Concreto Usinado FCK = 40MPa Bombeavel Para Supraestrutura</t>
        </is>
      </c>
      <c r="K306" s="1752" t="inlineStr">
        <is>
          <t>m3</t>
        </is>
      </c>
      <c r="L306" s="1753" t="n">
        <v>123.411784</v>
      </c>
      <c r="M306" s="1753" t="n">
        <v>631.306</v>
      </c>
      <c r="N306" s="1754" t="n">
        <v>77910.599709904</v>
      </c>
      <c r="O306" s="1761" t="n"/>
      <c r="P306" s="1721" t="inlineStr">
        <is>
          <t>Pendente</t>
        </is>
      </c>
    </row>
    <row r="307" hidden="1" outlineLevel="2" ht="13.5" customHeight="1">
      <c r="A307" s="2117" t="n">
        <v>0</v>
      </c>
      <c r="B307" s="2117" t="n">
        <v>4</v>
      </c>
      <c r="C307" s="2117" t="n">
        <v>4</v>
      </c>
      <c r="D307" s="2118" t="n">
        <v>14</v>
      </c>
      <c r="E307" s="2118" t="n">
        <v>0</v>
      </c>
      <c r="G307" s="1740" t="n"/>
      <c r="H307" s="1741" t="inlineStr">
        <is>
          <t>SUBETAPA</t>
        </is>
      </c>
      <c r="I307" s="1742" t="inlineStr">
        <is>
          <t>04.004.014</t>
        </is>
      </c>
      <c r="J307" s="1743" t="inlineStr">
        <is>
          <t>Concreto - Duplex superior</t>
        </is>
      </c>
      <c r="K307" s="1744" t="n"/>
      <c r="L307" s="1745" t="n"/>
      <c r="M307" s="1745" t="n"/>
      <c r="N307" s="1746" t="n">
        <v>72127.836749904</v>
      </c>
      <c r="O307" s="1747" t="n">
        <v>4.30622434650378</v>
      </c>
      <c r="P307" s="1720" t="n"/>
    </row>
    <row r="308" hidden="1" outlineLevel="3" ht="12.75" customHeight="1">
      <c r="A308" s="2117" t="n">
        <v>0</v>
      </c>
      <c r="B308" s="2117" t="n">
        <v>4</v>
      </c>
      <c r="C308" s="2117" t="n">
        <v>4</v>
      </c>
      <c r="D308" s="2118" t="n">
        <v>14</v>
      </c>
      <c r="E308" s="2118" t="n">
        <v>1</v>
      </c>
      <c r="G308" s="1748" t="inlineStr">
        <is>
          <t>SUPRAESTRUTURA</t>
        </is>
      </c>
      <c r="H308" s="1749" t="inlineStr">
        <is>
          <t>SERVIÇO</t>
        </is>
      </c>
      <c r="I308" s="1750" t="inlineStr">
        <is>
          <t>04.004.014.001</t>
        </is>
      </c>
      <c r="J308" s="1751" t="inlineStr">
        <is>
          <t>Concreto Usinado FCK = 40MPa Bombeavel Para Supraestrutura</t>
        </is>
      </c>
      <c r="K308" s="1752" t="inlineStr">
        <is>
          <t>m3</t>
        </is>
      </c>
      <c r="L308" s="1753" t="n">
        <v>114.251784</v>
      </c>
      <c r="M308" s="1753" t="n">
        <v>631.306</v>
      </c>
      <c r="N308" s="1754" t="n">
        <v>72127.836749904</v>
      </c>
      <c r="O308" s="1761" t="n"/>
      <c r="P308" s="1721" t="inlineStr">
        <is>
          <t>Pendente</t>
        </is>
      </c>
    </row>
    <row r="309" hidden="1" outlineLevel="2" ht="13.5" customHeight="1">
      <c r="A309" s="2117" t="n">
        <v>0</v>
      </c>
      <c r="B309" s="2117" t="n">
        <v>4</v>
      </c>
      <c r="C309" s="2117" t="n">
        <v>4</v>
      </c>
      <c r="D309" s="2118" t="n">
        <v>15</v>
      </c>
      <c r="E309" s="2118" t="n">
        <v>0</v>
      </c>
      <c r="G309" s="1740" t="n"/>
      <c r="H309" s="1741" t="inlineStr">
        <is>
          <t>SUBETAPA</t>
        </is>
      </c>
      <c r="I309" s="1742" t="inlineStr">
        <is>
          <t>04.004.015</t>
        </is>
      </c>
      <c r="J309" s="1743" t="inlineStr">
        <is>
          <t>Concreto - Cobertura | Barrilete</t>
        </is>
      </c>
      <c r="K309" s="1744" t="n"/>
      <c r="L309" s="1745" t="n"/>
      <c r="M309" s="1745" t="n"/>
      <c r="N309" s="1746" t="n">
        <v>85340.529944076</v>
      </c>
      <c r="O309" s="1747" t="n">
        <v>5.09505739182181</v>
      </c>
      <c r="P309" s="1720" t="n"/>
    </row>
    <row r="310" hidden="1" outlineLevel="3" ht="12.75" customHeight="1">
      <c r="A310" s="2117" t="n">
        <v>0</v>
      </c>
      <c r="B310" s="2117" t="n">
        <v>4</v>
      </c>
      <c r="C310" s="2117" t="n">
        <v>4</v>
      </c>
      <c r="D310" s="2118" t="n">
        <v>15</v>
      </c>
      <c r="E310" s="2118" t="n">
        <v>1</v>
      </c>
      <c r="G310" s="1748" t="inlineStr">
        <is>
          <t>SUPRAESTRUTURA</t>
        </is>
      </c>
      <c r="H310" s="1749" t="inlineStr">
        <is>
          <t>SERVIÇO</t>
        </is>
      </c>
      <c r="I310" s="1750" t="inlineStr">
        <is>
          <t>04.004.015.001</t>
        </is>
      </c>
      <c r="J310" s="1751" t="inlineStr">
        <is>
          <t>Concreto Usinado FCK = 35MPa Bombeavel Para Supraestrutura</t>
        </is>
      </c>
      <c r="K310" s="1752" t="inlineStr">
        <is>
          <t>m3</t>
        </is>
      </c>
      <c r="L310" s="1753" t="n">
        <v>125.921784</v>
      </c>
      <c r="M310" s="1753" t="n">
        <v>677.7265</v>
      </c>
      <c r="N310" s="1754" t="n">
        <v>85340.529944076</v>
      </c>
      <c r="O310" s="1761" t="n"/>
      <c r="P310" s="1721" t="inlineStr">
        <is>
          <t>Pendente</t>
        </is>
      </c>
    </row>
    <row r="311" hidden="1" outlineLevel="2" ht="13.5" customHeight="1">
      <c r="A311" s="2117" t="n">
        <v>0</v>
      </c>
      <c r="B311" s="2117" t="n">
        <v>4</v>
      </c>
      <c r="C311" s="2117" t="n">
        <v>4</v>
      </c>
      <c r="D311" s="2118" t="n">
        <v>16</v>
      </c>
      <c r="E311" s="2118" t="n">
        <v>0</v>
      </c>
      <c r="G311" s="1740" t="n"/>
      <c r="H311" s="1741" t="inlineStr">
        <is>
          <t>SUBETAPA</t>
        </is>
      </c>
      <c r="I311" s="1742" t="inlineStr">
        <is>
          <t>04.004.016</t>
        </is>
      </c>
      <c r="J311" s="1743" t="inlineStr">
        <is>
          <t>Concreto - Reservatório</t>
        </is>
      </c>
      <c r="K311" s="1744" t="n"/>
      <c r="L311" s="1745" t="n"/>
      <c r="M311" s="1745" t="n"/>
      <c r="N311" s="1746" t="n">
        <v>47169.7644</v>
      </c>
      <c r="O311" s="1747" t="n">
        <v>2.81616081988481</v>
      </c>
      <c r="P311" s="1720" t="n"/>
    </row>
    <row r="312" hidden="1" outlineLevel="3" ht="12.75" customHeight="1">
      <c r="A312" s="2117" t="n">
        <v>0</v>
      </c>
      <c r="B312" s="2117" t="n">
        <v>4</v>
      </c>
      <c r="C312" s="2117" t="n">
        <v>4</v>
      </c>
      <c r="D312" s="2118" t="n">
        <v>16</v>
      </c>
      <c r="E312" s="2118" t="n">
        <v>1</v>
      </c>
      <c r="G312" s="1748" t="inlineStr">
        <is>
          <t>SUPRAESTRUTURA</t>
        </is>
      </c>
      <c r="H312" s="1749" t="inlineStr">
        <is>
          <t>SERVIÇO</t>
        </is>
      </c>
      <c r="I312" s="1750" t="inlineStr">
        <is>
          <t>04.004.016.001</t>
        </is>
      </c>
      <c r="J312" s="1751" t="inlineStr">
        <is>
          <t>Concreto Usinado FCK = 35MPa Bombeavel Para Supraestrutura</t>
        </is>
      </c>
      <c r="K312" s="1752" t="inlineStr">
        <is>
          <t>m3</t>
        </is>
      </c>
      <c r="L312" s="1753" t="n">
        <v>69.59999999999999</v>
      </c>
      <c r="M312" s="1753" t="n">
        <v>677.7265</v>
      </c>
      <c r="N312" s="1754" t="n">
        <v>47169.7644</v>
      </c>
      <c r="O312" s="1765" t="n"/>
      <c r="P312" s="1721" t="inlineStr">
        <is>
          <t>Pendente</t>
        </is>
      </c>
    </row>
    <row r="313" hidden="1" outlineLevel="1" ht="13.5" customHeight="1">
      <c r="A313" s="2117" t="n">
        <v>0</v>
      </c>
      <c r="B313" s="2117" t="n">
        <v>4</v>
      </c>
      <c r="C313" s="2117" t="n">
        <v>5</v>
      </c>
      <c r="D313" s="2118" t="n">
        <v>0</v>
      </c>
      <c r="E313" s="2118" t="n">
        <v>1</v>
      </c>
      <c r="G313" s="1733" t="n"/>
      <c r="H313" s="1734" t="inlineStr">
        <is>
          <t>ETAPA</t>
        </is>
      </c>
      <c r="I313" s="1735" t="inlineStr">
        <is>
          <t>04.005</t>
        </is>
      </c>
      <c r="J313" s="1736" t="inlineStr">
        <is>
          <t>COMPLEMENTARES</t>
        </is>
      </c>
      <c r="K313" s="1737" t="n"/>
      <c r="L313" s="1738" t="n"/>
      <c r="M313" s="1738" t="n"/>
      <c r="N313" s="1739" t="n">
        <v>303185.252954035</v>
      </c>
      <c r="O313" s="1722" t="n">
        <v>18.1009687327592</v>
      </c>
      <c r="P313" s="1719" t="n"/>
    </row>
    <row r="314" hidden="1" outlineLevel="2" ht="12.6" customHeight="1">
      <c r="A314" s="2117" t="n">
        <v>0</v>
      </c>
      <c r="B314" s="2117" t="n">
        <v>4</v>
      </c>
      <c r="C314" s="2117" t="n">
        <v>5</v>
      </c>
      <c r="D314" s="2118" t="n">
        <v>1</v>
      </c>
      <c r="E314" s="2118" t="n">
        <v>0</v>
      </c>
      <c r="G314" s="1740" t="n"/>
      <c r="H314" s="1741" t="inlineStr">
        <is>
          <t>SUBETAPA</t>
        </is>
      </c>
      <c r="I314" s="1742" t="inlineStr">
        <is>
          <t>04.005.001</t>
        </is>
      </c>
      <c r="J314" s="1743" t="inlineStr">
        <is>
          <t>Complementares - Térreo</t>
        </is>
      </c>
      <c r="K314" s="1744" t="n"/>
      <c r="L314" s="1745" t="n"/>
      <c r="M314" s="1745" t="n"/>
      <c r="N314" s="1746" t="n">
        <v>14412.6945441251</v>
      </c>
      <c r="O314" s="1747" t="n">
        <v>0.860476328436628</v>
      </c>
      <c r="P314" s="1720" t="n"/>
    </row>
    <row r="315" hidden="1" outlineLevel="3" ht="12.6" customHeight="1">
      <c r="A315" s="2117" t="n">
        <v>0</v>
      </c>
      <c r="B315" s="2117" t="n">
        <v>4</v>
      </c>
      <c r="C315" s="2117" t="n">
        <v>5</v>
      </c>
      <c r="D315" s="2118" t="n">
        <v>1</v>
      </c>
      <c r="E315" s="2118" t="n">
        <v>1</v>
      </c>
      <c r="G315" s="1748" t="inlineStr">
        <is>
          <t>SUPRAESTRUTURA</t>
        </is>
      </c>
      <c r="H315" s="1749" t="inlineStr">
        <is>
          <t>SERVIÇO</t>
        </is>
      </c>
      <c r="I315" s="1750" t="inlineStr">
        <is>
          <t>04.005.001.001</t>
        </is>
      </c>
      <c r="J315" s="1751" t="inlineStr">
        <is>
          <t>Locação de escoramento metálico pe direito simples</t>
        </is>
      </c>
      <c r="K315" s="1752" t="inlineStr">
        <is>
          <t>m2</t>
        </is>
      </c>
      <c r="L315" s="1753" t="n">
        <v>784.58</v>
      </c>
      <c r="M315" s="1753" t="n">
        <v>18.36994894609235</v>
      </c>
      <c r="N315" s="1754" t="n">
        <v>14412.6945441251</v>
      </c>
      <c r="O315" s="1761" t="inlineStr">
        <is>
          <t>Repessado pela Gessele na reunião do dia 05/03/2026 - GASTOS 101K  PARA EXECUÇÃO EMBASAMENTO</t>
        </is>
      </c>
      <c r="P315" s="1721" t="inlineStr">
        <is>
          <t>Pendente</t>
        </is>
      </c>
    </row>
    <row r="316" hidden="1" outlineLevel="2" ht="12.6" customHeight="1">
      <c r="A316" s="2117" t="n">
        <v>0</v>
      </c>
      <c r="B316" s="2117" t="n">
        <v>4</v>
      </c>
      <c r="C316" s="2117" t="n">
        <v>5</v>
      </c>
      <c r="D316" s="2118" t="n">
        <v>2</v>
      </c>
      <c r="E316" s="2118" t="n">
        <v>0</v>
      </c>
      <c r="G316" s="1740" t="n"/>
      <c r="H316" s="1741" t="inlineStr">
        <is>
          <t>SUBETAPA</t>
        </is>
      </c>
      <c r="I316" s="1742" t="inlineStr">
        <is>
          <t>04.005.002</t>
        </is>
      </c>
      <c r="J316" s="1743" t="inlineStr">
        <is>
          <t>Complementares - G1</t>
        </is>
      </c>
      <c r="K316" s="1744" t="n"/>
      <c r="L316" s="1745" t="n"/>
      <c r="M316" s="1745" t="n"/>
      <c r="N316" s="1746" t="n">
        <v>14717.0845981619</v>
      </c>
      <c r="O316" s="1747" t="n">
        <v>0.878649227009361</v>
      </c>
      <c r="P316" s="1720" t="n"/>
    </row>
    <row r="317" hidden="1" outlineLevel="3" ht="12.6" customHeight="1">
      <c r="A317" s="2117" t="n">
        <v>0</v>
      </c>
      <c r="B317" s="2117" t="n">
        <v>4</v>
      </c>
      <c r="C317" s="2117" t="n">
        <v>5</v>
      </c>
      <c r="D317" s="2118" t="n">
        <v>2</v>
      </c>
      <c r="E317" s="2118" t="n">
        <v>1</v>
      </c>
      <c r="G317" s="1748" t="inlineStr">
        <is>
          <t>SUPRAESTRUTURA</t>
        </is>
      </c>
      <c r="H317" s="1749" t="inlineStr">
        <is>
          <t>SERVIÇO</t>
        </is>
      </c>
      <c r="I317" s="1750" t="inlineStr">
        <is>
          <t>04.005.002.001</t>
        </is>
      </c>
      <c r="J317" s="1751" t="inlineStr">
        <is>
          <t>Locação de escoramento metálico pe direito simples</t>
        </is>
      </c>
      <c r="K317" s="1752" t="inlineStr">
        <is>
          <t>m2</t>
        </is>
      </c>
      <c r="L317" s="1753" t="n">
        <v>801.15</v>
      </c>
      <c r="M317" s="1753" t="n">
        <v>18.36994894609236</v>
      </c>
      <c r="N317" s="1754" t="n">
        <v>14717.0845981619</v>
      </c>
      <c r="O317" s="1761" t="inlineStr">
        <is>
          <t>Repessado pela Gessele na reunião do dia 05/03/2026 - GASTOS 101K  PARA EXECUÇÃO EMBASAMENTO</t>
        </is>
      </c>
      <c r="P317" s="1721" t="inlineStr">
        <is>
          <t>Pendente</t>
        </is>
      </c>
    </row>
    <row r="318" hidden="1" outlineLevel="2" ht="12.6" customHeight="1">
      <c r="A318" s="2117" t="n">
        <v>0</v>
      </c>
      <c r="B318" s="2117" t="n">
        <v>4</v>
      </c>
      <c r="C318" s="2117" t="n">
        <v>5</v>
      </c>
      <c r="D318" s="2118" t="n">
        <v>3</v>
      </c>
      <c r="E318" s="2118" t="n">
        <v>0</v>
      </c>
      <c r="G318" s="1740" t="n"/>
      <c r="H318" s="1741" t="inlineStr">
        <is>
          <t>SUBETAPA</t>
        </is>
      </c>
      <c r="I318" s="1742" t="inlineStr">
        <is>
          <t>04.005.003</t>
        </is>
      </c>
      <c r="J318" s="1743" t="inlineStr">
        <is>
          <t>Complementares - G2</t>
        </is>
      </c>
      <c r="K318" s="1744" t="n"/>
      <c r="L318" s="1745" t="n"/>
      <c r="M318" s="1745" t="n"/>
      <c r="N318" s="1746" t="n">
        <v>16138.0001491422</v>
      </c>
      <c r="O318" s="1747" t="n">
        <v>0.963481677498254</v>
      </c>
      <c r="P318" s="1720" t="n"/>
    </row>
    <row r="319" hidden="1" outlineLevel="3" ht="12.6" customHeight="1">
      <c r="A319" s="2117" t="n">
        <v>0</v>
      </c>
      <c r="B319" s="2117" t="n">
        <v>4</v>
      </c>
      <c r="C319" s="2117" t="n">
        <v>5</v>
      </c>
      <c r="D319" s="2118" t="n">
        <v>3</v>
      </c>
      <c r="E319" s="2118" t="n">
        <v>1</v>
      </c>
      <c r="G319" s="1748" t="inlineStr">
        <is>
          <t>SUPRAESTRUTURA</t>
        </is>
      </c>
      <c r="H319" s="1749" t="inlineStr">
        <is>
          <t>SERVIÇO</t>
        </is>
      </c>
      <c r="I319" s="1750" t="inlineStr">
        <is>
          <t>04.005.003.001</t>
        </is>
      </c>
      <c r="J319" s="1751" t="inlineStr">
        <is>
          <t>Locação de escoramento metálico pe direito simples</t>
        </is>
      </c>
      <c r="K319" s="1752" t="inlineStr">
        <is>
          <t>m2</t>
        </is>
      </c>
      <c r="L319" s="1753" t="n">
        <v>878.5</v>
      </c>
      <c r="M319" s="1753" t="n">
        <v>18.3699489460924</v>
      </c>
      <c r="N319" s="1754" t="n">
        <v>16138.0001491422</v>
      </c>
      <c r="O319" s="1761" t="inlineStr">
        <is>
          <t>Repessado pela Gessele na reunião do dia 05/03/2026 - GASTOS 101K  PARA EXECUÇÃO EMBASAMENTO</t>
        </is>
      </c>
      <c r="P319" s="1721" t="inlineStr">
        <is>
          <t>Pendente</t>
        </is>
      </c>
    </row>
    <row r="320" hidden="1" outlineLevel="2" ht="12.6" customHeight="1">
      <c r="A320" s="2117" t="n">
        <v>0</v>
      </c>
      <c r="B320" s="2117" t="n">
        <v>4</v>
      </c>
      <c r="C320" s="2117" t="n">
        <v>5</v>
      </c>
      <c r="D320" s="2118" t="n">
        <v>4</v>
      </c>
      <c r="E320" s="2118" t="n">
        <v>0</v>
      </c>
      <c r="G320" s="1740" t="n"/>
      <c r="H320" s="1741" t="inlineStr">
        <is>
          <t>SUBETAPA</t>
        </is>
      </c>
      <c r="I320" s="1742" t="inlineStr">
        <is>
          <t>04.005.004</t>
        </is>
      </c>
      <c r="J320" s="1743" t="inlineStr">
        <is>
          <t>Complementares - G3</t>
        </is>
      </c>
      <c r="K320" s="1744" t="n"/>
      <c r="L320" s="1745" t="n"/>
      <c r="M320" s="1745" t="n"/>
      <c r="N320" s="1746" t="n">
        <v>16138.0001491422</v>
      </c>
      <c r="O320" s="1747" t="n">
        <v>0.963481677498254</v>
      </c>
      <c r="P320" s="1720" t="n"/>
    </row>
    <row r="321" hidden="1" outlineLevel="3" ht="12.6" customHeight="1">
      <c r="A321" s="2117" t="n">
        <v>0</v>
      </c>
      <c r="B321" s="2117" t="n">
        <v>4</v>
      </c>
      <c r="C321" s="2117" t="n">
        <v>5</v>
      </c>
      <c r="D321" s="2118" t="n">
        <v>4</v>
      </c>
      <c r="E321" s="2118" t="n">
        <v>1</v>
      </c>
      <c r="G321" s="1748" t="inlineStr">
        <is>
          <t>SUPRAESTRUTURA</t>
        </is>
      </c>
      <c r="H321" s="1749" t="inlineStr">
        <is>
          <t>SERVIÇO</t>
        </is>
      </c>
      <c r="I321" s="1750" t="inlineStr">
        <is>
          <t>04.005.004.001</t>
        </is>
      </c>
      <c r="J321" s="1751" t="inlineStr">
        <is>
          <t>Locação de escoramento metálico pe direito simples</t>
        </is>
      </c>
      <c r="K321" s="1752" t="inlineStr">
        <is>
          <t>m2</t>
        </is>
      </c>
      <c r="L321" s="1753" t="n">
        <v>878.5</v>
      </c>
      <c r="M321" s="1753" t="n">
        <v>18.3699489460924</v>
      </c>
      <c r="N321" s="1754" t="n">
        <v>16138.0001491422</v>
      </c>
      <c r="O321" s="1761" t="inlineStr">
        <is>
          <t>Repessado pela Gessele na reunião do dia 05/03/2026 - GASTOS 101K  PARA EXECUÇÃO EMBASAMENTO</t>
        </is>
      </c>
      <c r="P321" s="1721" t="inlineStr">
        <is>
          <t>Pendente</t>
        </is>
      </c>
    </row>
    <row r="322" hidden="1" outlineLevel="2" ht="12.6" customHeight="1">
      <c r="A322" s="2117" t="n">
        <v>0</v>
      </c>
      <c r="B322" s="2117" t="n">
        <v>4</v>
      </c>
      <c r="C322" s="2117" t="n">
        <v>5</v>
      </c>
      <c r="D322" s="2118" t="n">
        <v>5</v>
      </c>
      <c r="E322" s="2118" t="n">
        <v>0</v>
      </c>
      <c r="G322" s="1740" t="n"/>
      <c r="H322" s="1741" t="inlineStr">
        <is>
          <t>SUBETAPA</t>
        </is>
      </c>
      <c r="I322" s="1742" t="inlineStr">
        <is>
          <t>04.005.005</t>
        </is>
      </c>
      <c r="J322" s="1743" t="inlineStr">
        <is>
          <t>Complementares - G4</t>
        </is>
      </c>
      <c r="K322" s="1744" t="n"/>
      <c r="L322" s="1745" t="n"/>
      <c r="M322" s="1745" t="n"/>
      <c r="N322" s="1746" t="n">
        <v>16138.0001491422</v>
      </c>
      <c r="O322" s="1747" t="n">
        <v>0.963481677498254</v>
      </c>
      <c r="P322" s="1720" t="n"/>
    </row>
    <row r="323" hidden="1" outlineLevel="3" ht="12.6" customHeight="1">
      <c r="A323" s="2117" t="n">
        <v>0</v>
      </c>
      <c r="B323" s="2117" t="n">
        <v>4</v>
      </c>
      <c r="C323" s="2117" t="n">
        <v>5</v>
      </c>
      <c r="D323" s="2118" t="n">
        <v>5</v>
      </c>
      <c r="E323" s="2118" t="n">
        <v>1</v>
      </c>
      <c r="G323" s="1748" t="inlineStr">
        <is>
          <t>SUPRAESTRUTURA</t>
        </is>
      </c>
      <c r="H323" s="1749" t="inlineStr">
        <is>
          <t>SERVIÇO</t>
        </is>
      </c>
      <c r="I323" s="1750" t="inlineStr">
        <is>
          <t>04.005.005.001</t>
        </is>
      </c>
      <c r="J323" s="1751" t="inlineStr">
        <is>
          <t>Locação de escoramento metálico pe direito simples</t>
        </is>
      </c>
      <c r="K323" s="1752" t="inlineStr">
        <is>
          <t>m2</t>
        </is>
      </c>
      <c r="L323" s="1753" t="n">
        <v>878.5</v>
      </c>
      <c r="M323" s="1753" t="n">
        <v>18.3699489460924</v>
      </c>
      <c r="N323" s="1754" t="n">
        <v>16138.0001491422</v>
      </c>
      <c r="O323" s="1761" t="inlineStr">
        <is>
          <t>Repessado pela Gessele na reunião do dia 05/03/2026 - GASTOS 101K  PARA EXECUÇÃO EMBASAMENTO</t>
        </is>
      </c>
      <c r="P323" s="1721" t="inlineStr">
        <is>
          <t>Pendente</t>
        </is>
      </c>
    </row>
    <row r="324" hidden="1" outlineLevel="2" ht="12.6" customHeight="1">
      <c r="A324" s="2117" t="n">
        <v>0</v>
      </c>
      <c r="B324" s="2117" t="n">
        <v>4</v>
      </c>
      <c r="C324" s="2117" t="n">
        <v>5</v>
      </c>
      <c r="D324" s="2118" t="n">
        <v>6</v>
      </c>
      <c r="E324" s="2118" t="n">
        <v>0</v>
      </c>
      <c r="G324" s="1740" t="n"/>
      <c r="H324" s="1741" t="inlineStr">
        <is>
          <t>SUBETAPA</t>
        </is>
      </c>
      <c r="I324" s="1742" t="inlineStr">
        <is>
          <t>04.005.006</t>
        </is>
      </c>
      <c r="J324" s="1743" t="inlineStr">
        <is>
          <t>Complementares - G5</t>
        </is>
      </c>
      <c r="K324" s="1744" t="n"/>
      <c r="L324" s="1745" t="n"/>
      <c r="M324" s="1745" t="n"/>
      <c r="N324" s="1746" t="n">
        <v>16394.2609369401</v>
      </c>
      <c r="O324" s="1747" t="n">
        <v>0.978781130430637</v>
      </c>
      <c r="P324" s="1720" t="n"/>
    </row>
    <row r="325" hidden="1" outlineLevel="3" ht="12.6" customHeight="1">
      <c r="A325" s="2117" t="n">
        <v>0</v>
      </c>
      <c r="B325" s="2117" t="n">
        <v>4</v>
      </c>
      <c r="C325" s="2117" t="n">
        <v>5</v>
      </c>
      <c r="D325" s="2118" t="n">
        <v>6</v>
      </c>
      <c r="E325" s="2118" t="n">
        <v>1</v>
      </c>
      <c r="G325" s="1748" t="inlineStr">
        <is>
          <t>SUPRAESTRUTURA</t>
        </is>
      </c>
      <c r="H325" s="1749" t="inlineStr">
        <is>
          <t>SERVIÇO</t>
        </is>
      </c>
      <c r="I325" s="1750" t="inlineStr">
        <is>
          <t>04.005.006.001</t>
        </is>
      </c>
      <c r="J325" s="1751" t="inlineStr">
        <is>
          <t>Locação de escoramento metálico pe direito simples</t>
        </is>
      </c>
      <c r="K325" s="1752" t="inlineStr">
        <is>
          <t>m2</t>
        </is>
      </c>
      <c r="L325" s="1753" t="n">
        <v>892.45</v>
      </c>
      <c r="M325" s="1753" t="n">
        <v>18.36994894609236</v>
      </c>
      <c r="N325" s="1754" t="n">
        <v>16394.2609369401</v>
      </c>
      <c r="O325" s="1761" t="inlineStr">
        <is>
          <t>Repessado pela Gessele na reunião do dia 05/03/2026 - GASTOS 101K  PARA EXECUÇÃO EMBASAMENTO</t>
        </is>
      </c>
      <c r="P325" s="1721" t="inlineStr">
        <is>
          <t>Pendente</t>
        </is>
      </c>
    </row>
    <row r="326" hidden="1" outlineLevel="2" ht="12.6" customHeight="1">
      <c r="A326" s="2117" t="n">
        <v>0</v>
      </c>
      <c r="B326" s="2117" t="n">
        <v>4</v>
      </c>
      <c r="C326" s="2117" t="n">
        <v>5</v>
      </c>
      <c r="D326" s="2118" t="n">
        <v>7</v>
      </c>
      <c r="E326" s="2118" t="n">
        <v>0</v>
      </c>
      <c r="G326" s="1740" t="n"/>
      <c r="H326" s="1741" t="inlineStr">
        <is>
          <t>SUBETAPA</t>
        </is>
      </c>
      <c r="I326" s="1742" t="inlineStr">
        <is>
          <t>04.005.007</t>
        </is>
      </c>
      <c r="J326" s="1743" t="inlineStr">
        <is>
          <t>Complementares - Lazer | Garagem</t>
        </is>
      </c>
      <c r="K326" s="1744" t="n"/>
      <c r="L326" s="1745" t="n"/>
      <c r="M326" s="1745" t="n"/>
      <c r="N326" s="1746" t="n">
        <v>714.591014002994</v>
      </c>
      <c r="O326" s="1747" t="n">
        <v>0.0426629906143222</v>
      </c>
      <c r="P326" s="1720" t="n"/>
    </row>
    <row r="327" hidden="1" outlineLevel="3" ht="12.6" customHeight="1">
      <c r="A327" s="2117" t="n">
        <v>0</v>
      </c>
      <c r="B327" s="2117" t="n">
        <v>4</v>
      </c>
      <c r="C327" s="2117" t="n">
        <v>5</v>
      </c>
      <c r="D327" s="2118" t="n">
        <v>7</v>
      </c>
      <c r="E327" s="2118" t="n">
        <v>1</v>
      </c>
      <c r="G327" s="1748" t="inlineStr">
        <is>
          <t>SUPRAESTRUTURA</t>
        </is>
      </c>
      <c r="H327" s="1749" t="inlineStr">
        <is>
          <t>SERVIÇO</t>
        </is>
      </c>
      <c r="I327" s="1750" t="inlineStr">
        <is>
          <t>04.005.007.001</t>
        </is>
      </c>
      <c r="J327" s="1751" t="inlineStr">
        <is>
          <t>Locação de escoramento metálico pe direito simples</t>
        </is>
      </c>
      <c r="K327" s="1752" t="inlineStr">
        <is>
          <t>m2</t>
        </is>
      </c>
      <c r="L327" s="1753" t="n">
        <v>38.9</v>
      </c>
      <c r="M327" s="1753" t="n">
        <v>18.36994894609239</v>
      </c>
      <c r="N327" s="1754" t="n">
        <v>714.591014002994</v>
      </c>
      <c r="O327" s="1761" t="inlineStr">
        <is>
          <t>Repessado pela Gessele na reunião do dia 05/03/2026 - GASTOS 101K  PARA EXECUÇÃO EMBASAMENTO</t>
        </is>
      </c>
      <c r="P327" s="1721" t="inlineStr">
        <is>
          <t>Pendente</t>
        </is>
      </c>
    </row>
    <row r="328" hidden="1" outlineLevel="2" ht="12.6" customHeight="1">
      <c r="A328" s="2117" t="n">
        <v>0</v>
      </c>
      <c r="B328" s="2117" t="n">
        <v>4</v>
      </c>
      <c r="C328" s="2117" t="n">
        <v>5</v>
      </c>
      <c r="D328" s="2118" t="n">
        <v>8</v>
      </c>
      <c r="E328" s="2118" t="n">
        <v>0</v>
      </c>
      <c r="G328" s="1740" t="n"/>
      <c r="H328" s="1741" t="inlineStr">
        <is>
          <t>SUBETAPA</t>
        </is>
      </c>
      <c r="I328" s="1742" t="inlineStr">
        <is>
          <t>04.005.008</t>
        </is>
      </c>
      <c r="J328" s="1743" t="inlineStr">
        <is>
          <t>Complementares - Patamar Intermediário</t>
        </is>
      </c>
      <c r="K328" s="1744" t="n"/>
      <c r="L328" s="1745" t="n"/>
      <c r="M328" s="1745" t="n"/>
      <c r="N328" s="1746" t="n">
        <v>6347.36845934331</v>
      </c>
      <c r="O328" s="1747" t="n">
        <v>0.37895483668295</v>
      </c>
      <c r="P328" s="1720" t="n"/>
    </row>
    <row r="329" hidden="1" outlineLevel="3" ht="12.6" customHeight="1">
      <c r="A329" s="2117" t="n">
        <v>0</v>
      </c>
      <c r="B329" s="2117" t="n">
        <v>4</v>
      </c>
      <c r="C329" s="2117" t="n">
        <v>5</v>
      </c>
      <c r="D329" s="2118" t="n">
        <v>8</v>
      </c>
      <c r="E329" s="2118" t="n">
        <v>1</v>
      </c>
      <c r="G329" s="1748" t="inlineStr">
        <is>
          <t>SUPRAESTRUTURA</t>
        </is>
      </c>
      <c r="H329" s="1749" t="inlineStr">
        <is>
          <t>SERVIÇO</t>
        </is>
      </c>
      <c r="I329" s="1750" t="inlineStr">
        <is>
          <t>04.005.008.001</t>
        </is>
      </c>
      <c r="J329" s="1751" t="inlineStr">
        <is>
          <t>Locação de escoramento metálico pe direito simples</t>
        </is>
      </c>
      <c r="K329" s="1752" t="inlineStr">
        <is>
          <t>m2</t>
        </is>
      </c>
      <c r="L329" s="1753" t="n">
        <v>345.53</v>
      </c>
      <c r="M329" s="1753" t="n">
        <v>18.3699489460924</v>
      </c>
      <c r="N329" s="1754" t="n">
        <v>6347.36845934331</v>
      </c>
      <c r="O329" s="1761" t="inlineStr">
        <is>
          <t>Repessado pela Gessele na reunião do dia 05/03/2026 - GASTOS 101K  PARA EXECUÇÃO EMBASAMENTO</t>
        </is>
      </c>
      <c r="P329" s="1721" t="inlineStr">
        <is>
          <t>Pendente</t>
        </is>
      </c>
    </row>
    <row r="330" hidden="1" outlineLevel="2" ht="12.6" customHeight="1">
      <c r="A330" s="2117" t="n">
        <v>0</v>
      </c>
      <c r="B330" s="2117" t="n">
        <v>4</v>
      </c>
      <c r="C330" s="2117" t="n">
        <v>5</v>
      </c>
      <c r="D330" s="2118" t="n">
        <v>9</v>
      </c>
      <c r="E330" s="2118" t="n">
        <v>0</v>
      </c>
      <c r="G330" s="1740" t="n"/>
      <c r="H330" s="1741" t="inlineStr">
        <is>
          <t>SUBETAPA</t>
        </is>
      </c>
      <c r="I330" s="1742" t="inlineStr">
        <is>
          <t>04.005.009</t>
        </is>
      </c>
      <c r="J330" s="1743" t="inlineStr">
        <is>
          <t>Complementares - Lazer</t>
        </is>
      </c>
      <c r="K330" s="1744" t="n"/>
      <c r="L330" s="1745" t="n"/>
      <c r="M330" s="1745" t="n"/>
      <c r="N330" s="1746" t="n">
        <v>5700</v>
      </c>
      <c r="O330" s="1747" t="n">
        <v>0.340305211983281</v>
      </c>
      <c r="P330" s="1720" t="n"/>
    </row>
    <row r="331" hidden="1" outlineLevel="3" ht="12.6" customHeight="1">
      <c r="A331" s="2117" t="n">
        <v>0</v>
      </c>
      <c r="B331" s="2117" t="n">
        <v>4</v>
      </c>
      <c r="C331" s="2117" t="n">
        <v>5</v>
      </c>
      <c r="D331" s="2118" t="n">
        <v>9</v>
      </c>
      <c r="E331" s="2118" t="n">
        <v>1</v>
      </c>
      <c r="G331" s="1748" t="inlineStr">
        <is>
          <t>SUPRAESTRUTURA</t>
        </is>
      </c>
      <c r="H331" s="1749" t="inlineStr">
        <is>
          <t>SERVIÇO</t>
        </is>
      </c>
      <c r="I331" s="1750" t="inlineStr">
        <is>
          <t>04.005.009.001</t>
        </is>
      </c>
      <c r="J331" s="1751" t="inlineStr">
        <is>
          <t>Locação de escoramento metálico pe direito simples</t>
        </is>
      </c>
      <c r="K331" s="1752" t="inlineStr">
        <is>
          <t>m2</t>
        </is>
      </c>
      <c r="L331" s="1753" t="n">
        <v>499.27</v>
      </c>
      <c r="M331" s="1753" t="n">
        <v>11.41666833577023</v>
      </c>
      <c r="N331" s="1754" t="n">
        <v>5700</v>
      </c>
      <c r="O331" s="1761" t="inlineStr">
        <is>
          <t xml:space="preserve">Repessado pela Gessele na reunião do dia 05/03/2026 - COTAÇÃO ALUGUEL TIP: R$ 17K POR MÊS 17K / 10 DIAS POR LAJE  APROXIMADAMENTE R$ 5,7K POR PAVTO </t>
        </is>
      </c>
      <c r="P331" s="1721" t="inlineStr">
        <is>
          <t>Pendente</t>
        </is>
      </c>
    </row>
    <row r="332" hidden="1" outlineLevel="2" ht="12.6" customHeight="1">
      <c r="A332" s="2117" t="n">
        <v>0</v>
      </c>
      <c r="B332" s="2117" t="n">
        <v>4</v>
      </c>
      <c r="C332" s="2117" t="n">
        <v>5</v>
      </c>
      <c r="D332" s="2118" t="n">
        <v>10</v>
      </c>
      <c r="E332" s="2118" t="n">
        <v>0</v>
      </c>
      <c r="G332" s="1740" t="n"/>
      <c r="H332" s="1741" t="inlineStr">
        <is>
          <t>SUBETAPA</t>
        </is>
      </c>
      <c r="I332" s="1742" t="inlineStr">
        <is>
          <t>04.005.010</t>
        </is>
      </c>
      <c r="J332" s="1743" t="inlineStr">
        <is>
          <t>Complementares - Tipo diferenciado</t>
        </is>
      </c>
      <c r="K332" s="1744" t="n"/>
      <c r="L332" s="1745" t="n"/>
      <c r="M332" s="1745" t="n"/>
      <c r="N332" s="1746" t="n">
        <v>5700</v>
      </c>
      <c r="O332" s="1747" t="n">
        <v>0.340305211983281</v>
      </c>
      <c r="P332" s="1720" t="n"/>
    </row>
    <row r="333" hidden="1" outlineLevel="3" ht="12.6" customHeight="1">
      <c r="A333" s="2117" t="n">
        <v>0</v>
      </c>
      <c r="B333" s="2117" t="n">
        <v>4</v>
      </c>
      <c r="C333" s="2117" t="n">
        <v>5</v>
      </c>
      <c r="D333" s="2118" t="n">
        <v>10</v>
      </c>
      <c r="E333" s="2118" t="n">
        <v>1</v>
      </c>
      <c r="G333" s="1748" t="inlineStr">
        <is>
          <t>SUPRAESTRUTURA</t>
        </is>
      </c>
      <c r="H333" s="1749" t="inlineStr">
        <is>
          <t>SERVIÇO</t>
        </is>
      </c>
      <c r="I333" s="1750" t="inlineStr">
        <is>
          <t>04.005.010.001</t>
        </is>
      </c>
      <c r="J333" s="1751" t="inlineStr">
        <is>
          <t>Locação de escoramento metálico pe direito simples</t>
        </is>
      </c>
      <c r="K333" s="1752" t="inlineStr">
        <is>
          <t>m2</t>
        </is>
      </c>
      <c r="L333" s="1753" t="n">
        <v>345.53</v>
      </c>
      <c r="M333" s="1753" t="n">
        <v>16.49639683963766</v>
      </c>
      <c r="N333" s="1754" t="n">
        <v>5700</v>
      </c>
      <c r="O333" s="1761" t="inlineStr">
        <is>
          <t xml:space="preserve">Repessado pela Gessele na reunião do dia 05/03/2026 - COTAÇÃO ALUGUEL TIP: R$ 17K POR MÊS 17K / 10 DIAS POR LAJE  APROXIMADAMENTE R$ 5,7K POR PAVTO </t>
        </is>
      </c>
      <c r="P333" s="1721" t="inlineStr">
        <is>
          <t>Pendente</t>
        </is>
      </c>
    </row>
    <row r="334" hidden="1" outlineLevel="2" ht="12.6" customHeight="1">
      <c r="A334" s="2117" t="n">
        <v>0</v>
      </c>
      <c r="B334" s="2117" t="n">
        <v>4</v>
      </c>
      <c r="C334" s="2117" t="n">
        <v>5</v>
      </c>
      <c r="D334" s="2118" t="n">
        <v>11</v>
      </c>
      <c r="E334" s="2118" t="n">
        <v>0</v>
      </c>
      <c r="G334" s="1740" t="n"/>
      <c r="H334" s="1741" t="inlineStr">
        <is>
          <t>SUBETAPA</t>
        </is>
      </c>
      <c r="I334" s="1742" t="inlineStr">
        <is>
          <t>04.005.011</t>
        </is>
      </c>
      <c r="J334" s="1743" t="inlineStr">
        <is>
          <t>Complementares - Tipo x8</t>
        </is>
      </c>
      <c r="K334" s="1744" t="n"/>
      <c r="L334" s="1745" t="n"/>
      <c r="M334" s="1745" t="n"/>
      <c r="N334" s="1746" t="n">
        <v>45600</v>
      </c>
      <c r="O334" s="1747" t="n">
        <v>2.72244169586625</v>
      </c>
      <c r="P334" s="1720" t="n"/>
    </row>
    <row r="335" hidden="1" outlineLevel="3" ht="12.6" customHeight="1">
      <c r="A335" s="2117" t="n">
        <v>0</v>
      </c>
      <c r="B335" s="2117" t="n">
        <v>4</v>
      </c>
      <c r="C335" s="2117" t="n">
        <v>5</v>
      </c>
      <c r="D335" s="2118" t="n">
        <v>11</v>
      </c>
      <c r="E335" s="2118" t="n">
        <v>1</v>
      </c>
      <c r="G335" s="1748" t="inlineStr">
        <is>
          <t>SUPRAESTRUTURA</t>
        </is>
      </c>
      <c r="H335" s="1749" t="inlineStr">
        <is>
          <t>SERVIÇO</t>
        </is>
      </c>
      <c r="I335" s="1750" t="inlineStr">
        <is>
          <t>04.005.011.001</t>
        </is>
      </c>
      <c r="J335" s="1751" t="inlineStr">
        <is>
          <t>Locação de escoramento metálico pe direito simples</t>
        </is>
      </c>
      <c r="K335" s="1752" t="inlineStr">
        <is>
          <t>m2</t>
        </is>
      </c>
      <c r="L335" s="1753" t="n">
        <v>2427.28</v>
      </c>
      <c r="M335" s="1753" t="n">
        <v>18.78646056491216</v>
      </c>
      <c r="N335" s="1754" t="n">
        <v>45600</v>
      </c>
      <c r="O335" s="1761" t="inlineStr">
        <is>
          <t xml:space="preserve">Repessado pela Gessele na reunião do dia 05/03/2026 - COTAÇÃO ALUGUEL TIP: R$ 17K POR MÊS 17K / 10 DIAS POR LAJE  APROXIMADAMENTE R$ 5,7K POR PAVTO </t>
        </is>
      </c>
      <c r="P335" s="1721" t="inlineStr">
        <is>
          <t>Pendente</t>
        </is>
      </c>
    </row>
    <row r="336" hidden="1" outlineLevel="2" ht="12.6" customHeight="1">
      <c r="A336" s="2117" t="n">
        <v>0</v>
      </c>
      <c r="B336" s="2117" t="n">
        <v>4</v>
      </c>
      <c r="C336" s="2117" t="n">
        <v>5</v>
      </c>
      <c r="D336" s="2118" t="n">
        <v>12</v>
      </c>
      <c r="E336" s="2118" t="n">
        <v>0</v>
      </c>
      <c r="G336" s="1740" t="n"/>
      <c r="H336" s="1741" t="inlineStr">
        <is>
          <t>SUBETAPA</t>
        </is>
      </c>
      <c r="I336" s="1742" t="inlineStr">
        <is>
          <t>04.005.012</t>
        </is>
      </c>
      <c r="J336" s="1743" t="inlineStr">
        <is>
          <t>Complementares - Penthouse x22</t>
        </is>
      </c>
      <c r="K336" s="1744" t="n"/>
      <c r="L336" s="1745" t="n"/>
      <c r="M336" s="1745" t="n"/>
      <c r="N336" s="1746" t="n">
        <v>125400</v>
      </c>
      <c r="O336" s="1747" t="n">
        <v>7.48671466363218</v>
      </c>
      <c r="P336" s="1720" t="n"/>
    </row>
    <row r="337" hidden="1" outlineLevel="3" ht="12.6" customHeight="1">
      <c r="A337" s="2117" t="n">
        <v>0</v>
      </c>
      <c r="B337" s="2117" t="n">
        <v>4</v>
      </c>
      <c r="C337" s="2117" t="n">
        <v>5</v>
      </c>
      <c r="D337" s="2118" t="n">
        <v>12</v>
      </c>
      <c r="E337" s="2118" t="n">
        <v>1</v>
      </c>
      <c r="G337" s="1748" t="inlineStr">
        <is>
          <t>SUPRAESTRUTURA</t>
        </is>
      </c>
      <c r="H337" s="1749" t="inlineStr">
        <is>
          <t>SERVIÇO</t>
        </is>
      </c>
      <c r="I337" s="1750" t="inlineStr">
        <is>
          <t>04.005.012.001</t>
        </is>
      </c>
      <c r="J337" s="1751" t="inlineStr">
        <is>
          <t>Locação de escoramento metálico pe direito simples</t>
        </is>
      </c>
      <c r="K337" s="1752" t="inlineStr">
        <is>
          <t>m2</t>
        </is>
      </c>
      <c r="L337" s="1753" t="n">
        <v>6374.97</v>
      </c>
      <c r="M337" s="1753" t="n">
        <v>19.67068080320378</v>
      </c>
      <c r="N337" s="1754" t="n">
        <v>125400</v>
      </c>
      <c r="O337" s="1761" t="inlineStr">
        <is>
          <t xml:space="preserve">Repessado pela Gessele na reunião do dia 05/03/2026 - COTAÇÃO ALUGUEL TIP: R$ 17K POR MÊS 17K / 10 DIAS POR LAJE  APROXIMADAMENTE R$ 5,7K POR PAVTO </t>
        </is>
      </c>
      <c r="P337" s="1721" t="inlineStr">
        <is>
          <t>Pendente</t>
        </is>
      </c>
    </row>
    <row r="338" hidden="1" outlineLevel="2" ht="12.6" customHeight="1">
      <c r="A338" s="2117" t="n">
        <v>0</v>
      </c>
      <c r="B338" s="2117" t="n">
        <v>4</v>
      </c>
      <c r="C338" s="2117" t="n">
        <v>5</v>
      </c>
      <c r="D338" s="2118" t="n">
        <v>13</v>
      </c>
      <c r="E338" s="2118" t="n">
        <v>0</v>
      </c>
      <c r="G338" s="1740" t="n"/>
      <c r="H338" s="1741" t="inlineStr">
        <is>
          <t>SUBETAPA</t>
        </is>
      </c>
      <c r="I338" s="1742" t="inlineStr">
        <is>
          <t>04.005.013</t>
        </is>
      </c>
      <c r="J338" s="1743" t="inlineStr">
        <is>
          <t>Complementares - Duplex inferior</t>
        </is>
      </c>
      <c r="K338" s="1744" t="n"/>
      <c r="L338" s="1745" t="n"/>
      <c r="M338" s="1745" t="n"/>
      <c r="N338" s="1746" t="n">
        <v>5700</v>
      </c>
      <c r="O338" s="1747" t="n">
        <v>0.340305211983281</v>
      </c>
      <c r="P338" s="1720" t="n"/>
    </row>
    <row r="339" hidden="1" outlineLevel="3" ht="12.6" customHeight="1">
      <c r="A339" s="2117" t="n">
        <v>0</v>
      </c>
      <c r="B339" s="2117" t="n">
        <v>4</v>
      </c>
      <c r="C339" s="2117" t="n">
        <v>5</v>
      </c>
      <c r="D339" s="2118" t="n">
        <v>13</v>
      </c>
      <c r="E339" s="2118" t="n">
        <v>1</v>
      </c>
      <c r="G339" s="1748" t="inlineStr">
        <is>
          <t>SUPRAESTRUTURA</t>
        </is>
      </c>
      <c r="H339" s="1749" t="inlineStr">
        <is>
          <t>SERVIÇO</t>
        </is>
      </c>
      <c r="I339" s="1750" t="inlineStr">
        <is>
          <t>04.005.013.001</t>
        </is>
      </c>
      <c r="J339" s="1751" t="inlineStr">
        <is>
          <t>Locação de escoramento metálico pe direito simples</t>
        </is>
      </c>
      <c r="K339" s="1752" t="inlineStr">
        <is>
          <t>m2</t>
        </is>
      </c>
      <c r="L339" s="1753" t="n">
        <v>303.57</v>
      </c>
      <c r="M339" s="1753" t="n">
        <v>18.7765589485127</v>
      </c>
      <c r="N339" s="1754" t="n">
        <v>5700</v>
      </c>
      <c r="O339" s="1761" t="inlineStr">
        <is>
          <t xml:space="preserve">Repessado pela Gessele na reunião do dia 05/03/2026 - COTAÇÃO ALUGUEL TIP: R$ 17K POR MÊS 17K / 10 DIAS POR LAJE  APROXIMADAMENTE R$ 5,7K POR PAVTO </t>
        </is>
      </c>
      <c r="P339" s="1721" t="inlineStr">
        <is>
          <t>Pendente</t>
        </is>
      </c>
    </row>
    <row r="340" hidden="1" outlineLevel="2" ht="12.6" customHeight="1">
      <c r="A340" s="2117" t="n">
        <v>0</v>
      </c>
      <c r="B340" s="2117" t="n">
        <v>4</v>
      </c>
      <c r="C340" s="2117" t="n">
        <v>5</v>
      </c>
      <c r="D340" s="2118" t="n">
        <v>14</v>
      </c>
      <c r="E340" s="2118" t="n">
        <v>0</v>
      </c>
      <c r="G340" s="1740" t="n"/>
      <c r="H340" s="1741" t="inlineStr">
        <is>
          <t>SUBETAPA</t>
        </is>
      </c>
      <c r="I340" s="1742" t="inlineStr">
        <is>
          <t>04.005.014</t>
        </is>
      </c>
      <c r="J340" s="1743" t="inlineStr">
        <is>
          <t>Complementares - Duplex superior</t>
        </is>
      </c>
      <c r="K340" s="1744" t="n"/>
      <c r="L340" s="1745" t="n"/>
      <c r="M340" s="1745" t="n"/>
      <c r="N340" s="1746" t="n">
        <v>5700</v>
      </c>
      <c r="O340" s="1747" t="n">
        <v>0.340305211983281</v>
      </c>
      <c r="P340" s="1720" t="n"/>
    </row>
    <row r="341" hidden="1" outlineLevel="3" ht="12.6" customHeight="1">
      <c r="A341" s="2117" t="n">
        <v>0</v>
      </c>
      <c r="B341" s="2117" t="n">
        <v>4</v>
      </c>
      <c r="C341" s="2117" t="n">
        <v>5</v>
      </c>
      <c r="D341" s="2118" t="n">
        <v>14</v>
      </c>
      <c r="E341" s="2118" t="n">
        <v>1</v>
      </c>
      <c r="G341" s="1748" t="inlineStr">
        <is>
          <t>SUPRAESTRUTURA</t>
        </is>
      </c>
      <c r="H341" s="1749" t="inlineStr">
        <is>
          <t>SERVIÇO</t>
        </is>
      </c>
      <c r="I341" s="1750" t="inlineStr">
        <is>
          <t>04.005.014.001</t>
        </is>
      </c>
      <c r="J341" s="1751" t="inlineStr">
        <is>
          <t>Locação de escoramento metálico pe direito simples</t>
        </is>
      </c>
      <c r="K341" s="1752" t="inlineStr">
        <is>
          <t>m2</t>
        </is>
      </c>
      <c r="L341" s="1753" t="n">
        <v>292.96</v>
      </c>
      <c r="M341" s="1753" t="n">
        <v>19.45658110322228</v>
      </c>
      <c r="N341" s="1754" t="n">
        <v>5700</v>
      </c>
      <c r="O341" s="1761" t="inlineStr">
        <is>
          <t xml:space="preserve">Repessado pela Gessele na reunião do dia 05/03/2026 - COTAÇÃO ALUGUEL TIP: R$ 17K POR MÊS 17K / 10 DIAS POR LAJE  APROXIMADAMENTE R$ 5,7K POR PAVTO </t>
        </is>
      </c>
      <c r="P341" s="1721" t="inlineStr">
        <is>
          <t>Pendente</t>
        </is>
      </c>
    </row>
    <row r="342" hidden="1" outlineLevel="2" ht="12.6" customHeight="1">
      <c r="A342" s="2117" t="n">
        <v>0</v>
      </c>
      <c r="B342" s="2117" t="n">
        <v>4</v>
      </c>
      <c r="C342" s="2117" t="n">
        <v>5</v>
      </c>
      <c r="D342" s="2118" t="n">
        <v>15</v>
      </c>
      <c r="E342" s="2118" t="n">
        <v>0</v>
      </c>
      <c r="G342" s="1740" t="n"/>
      <c r="H342" s="1741" t="inlineStr">
        <is>
          <t>SUBETAPA</t>
        </is>
      </c>
      <c r="I342" s="1742" t="inlineStr">
        <is>
          <t>04.005.015</t>
        </is>
      </c>
      <c r="J342" s="1743" t="inlineStr">
        <is>
          <t>Complementares - Cobertura | Barrilete</t>
        </is>
      </c>
      <c r="K342" s="1744" t="n"/>
      <c r="L342" s="1745" t="n"/>
      <c r="M342" s="1745" t="n"/>
      <c r="N342" s="1746" t="n">
        <v>5700</v>
      </c>
      <c r="O342" s="1747" t="n">
        <v>0.340305211983281</v>
      </c>
      <c r="P342" s="1720" t="n"/>
    </row>
    <row r="343" hidden="1" outlineLevel="3" ht="12.6" customHeight="1">
      <c r="A343" s="2117" t="n">
        <v>0</v>
      </c>
      <c r="B343" s="2117" t="n">
        <v>4</v>
      </c>
      <c r="C343" s="2117" t="n">
        <v>5</v>
      </c>
      <c r="D343" s="2118" t="n">
        <v>15</v>
      </c>
      <c r="E343" s="2118" t="n">
        <v>1</v>
      </c>
      <c r="G343" s="1748" t="inlineStr">
        <is>
          <t>SUPRAESTRUTURA</t>
        </is>
      </c>
      <c r="H343" s="1749" t="inlineStr">
        <is>
          <t>SERVIÇO</t>
        </is>
      </c>
      <c r="I343" s="1750" t="inlineStr">
        <is>
          <t>04.005.015.001</t>
        </is>
      </c>
      <c r="J343" s="1751" t="inlineStr">
        <is>
          <t>Locação de escoramento metálico pe direito simples</t>
        </is>
      </c>
      <c r="K343" s="1752" t="inlineStr">
        <is>
          <t>m2</t>
        </is>
      </c>
      <c r="L343" s="1753" t="n">
        <v>426.24</v>
      </c>
      <c r="M343" s="1753" t="n">
        <v>13.37274774774775</v>
      </c>
      <c r="N343" s="1754" t="n">
        <v>5700</v>
      </c>
      <c r="O343" s="1761" t="inlineStr">
        <is>
          <t xml:space="preserve">Repessado pela Gessele na reunião do dia 05/03/2026 - COTAÇÃO ALUGUEL TIP: R$ 17K POR MÊS 17K / 10 DIAS POR LAJE  APROXIMADAMENTE R$ 5,7K POR PAVTO </t>
        </is>
      </c>
      <c r="P343" s="1721" t="inlineStr">
        <is>
          <t>Pendente</t>
        </is>
      </c>
    </row>
    <row r="344" hidden="1" outlineLevel="2" ht="12.6" customHeight="1">
      <c r="A344" s="2117" t="n">
        <v>0</v>
      </c>
      <c r="B344" s="2117" t="n">
        <v>4</v>
      </c>
      <c r="C344" s="2117" t="n">
        <v>5</v>
      </c>
      <c r="D344" s="2118" t="n">
        <v>16</v>
      </c>
      <c r="E344" s="2118" t="n">
        <v>0</v>
      </c>
      <c r="G344" s="1740" t="n"/>
      <c r="H344" s="1741" t="inlineStr">
        <is>
          <t>SUBETAPA</t>
        </is>
      </c>
      <c r="I344" s="1742" t="inlineStr">
        <is>
          <t>04.005.016</t>
        </is>
      </c>
      <c r="J344" s="1743" t="inlineStr">
        <is>
          <t>Complementares - Reservatório</t>
        </is>
      </c>
      <c r="K344" s="1744" t="n"/>
      <c r="L344" s="1745" t="n"/>
      <c r="M344" s="1745" t="n"/>
      <c r="N344" s="1746" t="n">
        <v>2685.25295403491</v>
      </c>
      <c r="O344" s="1747" t="n">
        <v>0.160316767675716</v>
      </c>
      <c r="P344" s="1720" t="n"/>
    </row>
    <row r="345" hidden="1" outlineLevel="3" ht="12.6" customHeight="1">
      <c r="A345" s="2117" t="n">
        <v>0</v>
      </c>
      <c r="B345" s="2117" t="n">
        <v>4</v>
      </c>
      <c r="C345" s="2117" t="n">
        <v>5</v>
      </c>
      <c r="D345" s="2118" t="n">
        <v>16</v>
      </c>
      <c r="E345" s="2118" t="n">
        <v>1</v>
      </c>
      <c r="G345" s="1748" t="inlineStr">
        <is>
          <t>SUPRAESTRUTURA</t>
        </is>
      </c>
      <c r="H345" s="1749" t="inlineStr">
        <is>
          <t>SERVIÇO</t>
        </is>
      </c>
      <c r="I345" s="1750" t="inlineStr">
        <is>
          <t>04.005.016.001</t>
        </is>
      </c>
      <c r="J345" s="1751" t="inlineStr">
        <is>
          <t>Locação de escoramento metálico pe direito simples</t>
        </is>
      </c>
      <c r="K345" s="1752" t="inlineStr">
        <is>
          <t>m2</t>
        </is>
      </c>
      <c r="L345" s="1753" t="n">
        <v>73.72</v>
      </c>
      <c r="M345" s="1753" t="n">
        <v>36.42502650617072</v>
      </c>
      <c r="N345" s="1754" t="n">
        <v>2685.25295403491</v>
      </c>
      <c r="O345" s="1755" t="n"/>
      <c r="P345" s="1721" t="inlineStr">
        <is>
          <t>Pendente</t>
        </is>
      </c>
    </row>
    <row r="346" hidden="1" outlineLevel="1" ht="13.5" customHeight="1">
      <c r="A346" s="2117" t="n">
        <v>0</v>
      </c>
      <c r="B346" s="2117" t="n">
        <v>4</v>
      </c>
      <c r="C346" s="2117" t="n">
        <v>6</v>
      </c>
      <c r="D346" s="2118" t="n">
        <v>0</v>
      </c>
      <c r="E346" s="2118" t="n">
        <v>1</v>
      </c>
      <c r="G346" s="1733" t="n"/>
      <c r="H346" s="1734" t="inlineStr">
        <is>
          <t>ETAPA</t>
        </is>
      </c>
      <c r="I346" s="1735" t="inlineStr">
        <is>
          <t>04.006</t>
        </is>
      </c>
      <c r="J346" s="1736" t="inlineStr">
        <is>
          <t>MÃO DE OBRA</t>
        </is>
      </c>
      <c r="K346" s="1737" t="n"/>
      <c r="L346" s="1738" t="n"/>
      <c r="M346" s="1738" t="n"/>
      <c r="N346" s="1739" t="n"/>
      <c r="O346" s="1722" t="n"/>
      <c r="P346" s="1719" t="n"/>
    </row>
    <row r="347" hidden="1" outlineLevel="2" ht="13.5" customHeight="1">
      <c r="A347" s="2117" t="n">
        <v>0</v>
      </c>
      <c r="B347" s="2117" t="n">
        <v>4</v>
      </c>
      <c r="C347" s="2117" t="n">
        <v>6</v>
      </c>
      <c r="D347" s="2118" t="n">
        <v>1</v>
      </c>
      <c r="E347" s="2118" t="n">
        <v>0</v>
      </c>
      <c r="G347" s="1740" t="n"/>
      <c r="H347" s="1741" t="inlineStr">
        <is>
          <t>SUBETAPA</t>
        </is>
      </c>
      <c r="I347" s="1742" t="inlineStr">
        <is>
          <t>04.006.001</t>
        </is>
      </c>
      <c r="J347" s="1743" t="inlineStr">
        <is>
          <t>Mão de obra - Térreo</t>
        </is>
      </c>
      <c r="K347" s="1744" t="n"/>
      <c r="L347" s="1745" t="n"/>
      <c r="M347" s="1745" t="n"/>
      <c r="N347" s="1746" t="n"/>
      <c r="O347" s="1747" t="n"/>
      <c r="P347" s="1720" t="n"/>
    </row>
    <row r="348" hidden="1" outlineLevel="3" ht="12.75" customHeight="1">
      <c r="A348" s="2117" t="n">
        <v>0</v>
      </c>
      <c r="B348" s="2117" t="n">
        <v>4</v>
      </c>
      <c r="C348" s="2117" t="n">
        <v>6</v>
      </c>
      <c r="D348" s="2118" t="n">
        <v>1</v>
      </c>
      <c r="E348" s="2118" t="n">
        <v>1</v>
      </c>
      <c r="G348" s="1748" t="inlineStr">
        <is>
          <t>SUPRAESTRUTURA</t>
        </is>
      </c>
      <c r="H348" s="1749" t="inlineStr">
        <is>
          <t>SERVIÇO</t>
        </is>
      </c>
      <c r="I348" s="1750" t="inlineStr">
        <is>
          <t>04.006.001.001</t>
        </is>
      </c>
      <c r="J348" s="1751" t="inlineStr">
        <is>
          <t>Mão de obra para execução de supraestrutura de concreto armado</t>
        </is>
      </c>
      <c r="K348" s="1752" t="inlineStr">
        <is>
          <t>vb</t>
        </is>
      </c>
      <c r="L348" s="1753" t="n">
        <v>1</v>
      </c>
      <c r="M348" s="1753" t="e">
        <v>#REF!</v>
      </c>
      <c r="N348" s="1754" t="n"/>
      <c r="O348" s="1761" t="inlineStr">
        <is>
          <t>Repessado pela Gessele na reunião do dia 05/03/2026 - 214k Serra Mar + 294k Oliveira + M.O MP</t>
        </is>
      </c>
      <c r="P348" s="1721" t="inlineStr">
        <is>
          <t>Pendente</t>
        </is>
      </c>
    </row>
    <row r="349" hidden="1" outlineLevel="2" ht="13.5" customHeight="1">
      <c r="A349" s="2117" t="n">
        <v>0</v>
      </c>
      <c r="B349" s="2117" t="n">
        <v>4</v>
      </c>
      <c r="C349" s="2117" t="n">
        <v>6</v>
      </c>
      <c r="D349" s="2118" t="n">
        <v>2</v>
      </c>
      <c r="E349" s="2118" t="n">
        <v>0</v>
      </c>
      <c r="G349" s="1740" t="n"/>
      <c r="H349" s="1741" t="inlineStr">
        <is>
          <t>SUBETAPA</t>
        </is>
      </c>
      <c r="I349" s="1742" t="inlineStr">
        <is>
          <t>04.006.002</t>
        </is>
      </c>
      <c r="J349" s="1743" t="inlineStr">
        <is>
          <t>Mão de obra - Mezanino G1</t>
        </is>
      </c>
      <c r="K349" s="1744" t="n"/>
      <c r="L349" s="1745" t="n"/>
      <c r="M349" s="1745" t="n"/>
      <c r="N349" s="1746" t="n"/>
      <c r="O349" s="1747" t="n"/>
      <c r="P349" s="1720" t="n"/>
    </row>
    <row r="350" hidden="1" outlineLevel="3" ht="12.75" customHeight="1">
      <c r="A350" s="2117" t="n">
        <v>0</v>
      </c>
      <c r="B350" s="2117" t="n">
        <v>4</v>
      </c>
      <c r="C350" s="2117" t="n">
        <v>6</v>
      </c>
      <c r="D350" s="2118" t="n">
        <v>2</v>
      </c>
      <c r="E350" s="2118" t="n">
        <v>1</v>
      </c>
      <c r="G350" s="1748" t="inlineStr">
        <is>
          <t>SUPRAESTRUTURA</t>
        </is>
      </c>
      <c r="H350" s="1749" t="inlineStr">
        <is>
          <t>SERVIÇO</t>
        </is>
      </c>
      <c r="I350" s="1750" t="inlineStr">
        <is>
          <t>04.006.002.001</t>
        </is>
      </c>
      <c r="J350" s="1751" t="inlineStr">
        <is>
          <t>Mão de obra para execução de supraestrutura de concreto armado</t>
        </is>
      </c>
      <c r="K350" s="1752" t="inlineStr">
        <is>
          <t>vb</t>
        </is>
      </c>
      <c r="L350" s="1753" t="n">
        <v>1</v>
      </c>
      <c r="M350" s="1753" t="e">
        <v>#REF!</v>
      </c>
      <c r="N350" s="1754" t="n"/>
      <c r="O350" s="1761" t="inlineStr">
        <is>
          <t>Repessado pela Gessele na reunião do dia 05/03/2026 - 34k Oliveira + M.O da MP</t>
        </is>
      </c>
      <c r="P350" s="1721" t="inlineStr">
        <is>
          <t>Pendente</t>
        </is>
      </c>
    </row>
    <row r="351" hidden="1" outlineLevel="2" ht="13.5" customHeight="1">
      <c r="A351" s="2117" t="n">
        <v>0</v>
      </c>
      <c r="B351" s="2117" t="n">
        <v>4</v>
      </c>
      <c r="C351" s="2117" t="n">
        <v>6</v>
      </c>
      <c r="D351" s="2118" t="n">
        <v>3</v>
      </c>
      <c r="E351" s="2118" t="n">
        <v>0</v>
      </c>
      <c r="G351" s="1740" t="n"/>
      <c r="H351" s="1741" t="inlineStr">
        <is>
          <t>SUBETAPA</t>
        </is>
      </c>
      <c r="I351" s="1742" t="inlineStr">
        <is>
          <t>04.006.003</t>
        </is>
      </c>
      <c r="J351" s="1743" t="inlineStr">
        <is>
          <t>Mão de obra - G2</t>
        </is>
      </c>
      <c r="K351" s="1744" t="n"/>
      <c r="L351" s="1745" t="n"/>
      <c r="M351" s="1745" t="n"/>
      <c r="N351" s="1746" t="n"/>
      <c r="O351" s="1747" t="n"/>
      <c r="P351" s="1720" t="n"/>
    </row>
    <row r="352" hidden="1" outlineLevel="3" ht="12.75" customHeight="1">
      <c r="A352" s="2117" t="n">
        <v>0</v>
      </c>
      <c r="B352" s="2117" t="n">
        <v>4</v>
      </c>
      <c r="C352" s="2117" t="n">
        <v>6</v>
      </c>
      <c r="D352" s="2118" t="n">
        <v>3</v>
      </c>
      <c r="E352" s="2118" t="n">
        <v>1</v>
      </c>
      <c r="G352" s="1748" t="inlineStr">
        <is>
          <t>SUPRAESTRUTURA</t>
        </is>
      </c>
      <c r="H352" s="1749" t="inlineStr">
        <is>
          <t>SERVIÇO</t>
        </is>
      </c>
      <c r="I352" s="1750" t="inlineStr">
        <is>
          <t>04.006.003.001</t>
        </is>
      </c>
      <c r="J352" s="1751" t="inlineStr">
        <is>
          <t>Mão de obra para execução de supraestrutura de concreto armado</t>
        </is>
      </c>
      <c r="K352" s="1752" t="inlineStr">
        <is>
          <t>vb</t>
        </is>
      </c>
      <c r="L352" s="1753" t="n">
        <v>1</v>
      </c>
      <c r="M352" s="1753" t="e">
        <v>#REF!</v>
      </c>
      <c r="N352" s="1754" t="n"/>
      <c r="O352" s="1765" t="inlineStr">
        <is>
          <t>Repessado pela Gessele na reunião do dia 05/03/2026 - VER ABA "M.O. ESTRUTURA - MP"</t>
        </is>
      </c>
      <c r="P352" s="1721" t="inlineStr">
        <is>
          <t>Pendente</t>
        </is>
      </c>
    </row>
    <row r="353" hidden="1" outlineLevel="2" ht="13.5" customHeight="1">
      <c r="A353" s="2117" t="n">
        <v>0</v>
      </c>
      <c r="B353" s="2117" t="n">
        <v>4</v>
      </c>
      <c r="C353" s="2117" t="n">
        <v>6</v>
      </c>
      <c r="D353" s="2118" t="n">
        <v>4</v>
      </c>
      <c r="E353" s="2118" t="n">
        <v>0</v>
      </c>
      <c r="G353" s="1740" t="n"/>
      <c r="H353" s="1741" t="inlineStr">
        <is>
          <t>SUBETAPA</t>
        </is>
      </c>
      <c r="I353" s="1742" t="inlineStr">
        <is>
          <t>04.006.004</t>
        </is>
      </c>
      <c r="J353" s="1743" t="inlineStr">
        <is>
          <t>Mão de obra -  Mezanino G2</t>
        </is>
      </c>
      <c r="K353" s="1744" t="n"/>
      <c r="L353" s="1745" t="n"/>
      <c r="M353" s="1745" t="n"/>
      <c r="N353" s="1746" t="n"/>
      <c r="O353" s="1747" t="n"/>
      <c r="P353" s="1720" t="n"/>
    </row>
    <row r="354" hidden="1" outlineLevel="3" ht="12.75" customHeight="1">
      <c r="A354" s="2117" t="n">
        <v>0</v>
      </c>
      <c r="B354" s="2117" t="n">
        <v>4</v>
      </c>
      <c r="C354" s="2117" t="n">
        <v>6</v>
      </c>
      <c r="D354" s="2118" t="n">
        <v>4</v>
      </c>
      <c r="E354" s="2118" t="n">
        <v>1</v>
      </c>
      <c r="G354" s="1748" t="inlineStr">
        <is>
          <t>SUPRAESTRUTURA</t>
        </is>
      </c>
      <c r="H354" s="1749" t="inlineStr">
        <is>
          <t>SERVIÇO</t>
        </is>
      </c>
      <c r="I354" s="1750" t="inlineStr">
        <is>
          <t>04.006.004.001</t>
        </is>
      </c>
      <c r="J354" s="1751" t="inlineStr">
        <is>
          <t>Mão de obra para execução de supraestrutura de concreto armado</t>
        </is>
      </c>
      <c r="K354" s="1752" t="inlineStr">
        <is>
          <t>vb</t>
        </is>
      </c>
      <c r="L354" s="1753" t="n">
        <v>1</v>
      </c>
      <c r="M354" s="1753" t="e">
        <v>#REF!</v>
      </c>
      <c r="N354" s="1754" t="n"/>
      <c r="O354" s="1765" t="inlineStr">
        <is>
          <t>Repessado pela Gessele na reunião do dia 05/03/2026 - VER ABA "M.O. ESTRUTURA - MP"</t>
        </is>
      </c>
      <c r="P354" s="1721" t="inlineStr">
        <is>
          <t>Pendente</t>
        </is>
      </c>
    </row>
    <row r="355" hidden="1" outlineLevel="2" ht="13.5" customHeight="1">
      <c r="A355" s="2117" t="n">
        <v>0</v>
      </c>
      <c r="B355" s="2117" t="n">
        <v>4</v>
      </c>
      <c r="C355" s="2117" t="n">
        <v>6</v>
      </c>
      <c r="D355" s="2118" t="n">
        <v>5</v>
      </c>
      <c r="E355" s="2118" t="n">
        <v>0</v>
      </c>
      <c r="G355" s="1740" t="n"/>
      <c r="H355" s="1741" t="inlineStr">
        <is>
          <t>SUBETAPA</t>
        </is>
      </c>
      <c r="I355" s="1742" t="inlineStr">
        <is>
          <t>04.006.005</t>
        </is>
      </c>
      <c r="J355" s="1743" t="inlineStr">
        <is>
          <t>Mão de obra - G3</t>
        </is>
      </c>
      <c r="K355" s="1744" t="n"/>
      <c r="L355" s="1745" t="n"/>
      <c r="M355" s="1745" t="n"/>
      <c r="N355" s="1746" t="n"/>
      <c r="O355" s="1747" t="n"/>
      <c r="P355" s="1720" t="n"/>
    </row>
    <row r="356" hidden="1" outlineLevel="3" ht="12.75" customHeight="1">
      <c r="A356" s="2117" t="n">
        <v>0</v>
      </c>
      <c r="B356" s="2117" t="n">
        <v>4</v>
      </c>
      <c r="C356" s="2117" t="n">
        <v>6</v>
      </c>
      <c r="D356" s="2118" t="n">
        <v>5</v>
      </c>
      <c r="E356" s="2118" t="n">
        <v>1</v>
      </c>
      <c r="G356" s="1748" t="inlineStr">
        <is>
          <t>SUPRAESTRUTURA</t>
        </is>
      </c>
      <c r="H356" s="1749" t="inlineStr">
        <is>
          <t>SERVIÇO</t>
        </is>
      </c>
      <c r="I356" s="1750" t="inlineStr">
        <is>
          <t>04.006.005.001</t>
        </is>
      </c>
      <c r="J356" s="1751" t="inlineStr">
        <is>
          <t>Mão de obra para execução de supraestrutura de concreto armado</t>
        </is>
      </c>
      <c r="K356" s="1752" t="inlineStr">
        <is>
          <t>vb</t>
        </is>
      </c>
      <c r="L356" s="1753" t="n">
        <v>1</v>
      </c>
      <c r="M356" s="1753" t="e">
        <v>#REF!</v>
      </c>
      <c r="N356" s="1754" t="n"/>
      <c r="O356" s="1765" t="inlineStr">
        <is>
          <t>Repessado pela Gessele na reunião do dia 05/03/2026 - VER ABA "M.O. ESTRUTURA - MP"</t>
        </is>
      </c>
      <c r="P356" s="1721" t="inlineStr">
        <is>
          <t>Pendente</t>
        </is>
      </c>
    </row>
    <row r="357" hidden="1" outlineLevel="2" ht="13.5" customHeight="1">
      <c r="A357" s="2117" t="n">
        <v>0</v>
      </c>
      <c r="B357" s="2117" t="n">
        <v>4</v>
      </c>
      <c r="C357" s="2117" t="n">
        <v>6</v>
      </c>
      <c r="D357" s="2118" t="n">
        <v>6</v>
      </c>
      <c r="E357" s="2118" t="n">
        <v>0</v>
      </c>
      <c r="G357" s="1740" t="n"/>
      <c r="H357" s="1741" t="inlineStr">
        <is>
          <t>SUBETAPA</t>
        </is>
      </c>
      <c r="I357" s="1742" t="inlineStr">
        <is>
          <t>04.006.006</t>
        </is>
      </c>
      <c r="J357" s="1743" t="inlineStr">
        <is>
          <t>Mão de obra -  Mezanino G3</t>
        </is>
      </c>
      <c r="K357" s="1744" t="n"/>
      <c r="L357" s="1745" t="n"/>
      <c r="M357" s="1745" t="n"/>
      <c r="N357" s="1746" t="n"/>
      <c r="O357" s="1747" t="n"/>
      <c r="P357" s="1720" t="n"/>
    </row>
    <row r="358" hidden="1" outlineLevel="3" ht="12.75" customHeight="1">
      <c r="A358" s="2117" t="n">
        <v>0</v>
      </c>
      <c r="B358" s="2117" t="n">
        <v>4</v>
      </c>
      <c r="C358" s="2117" t="n">
        <v>6</v>
      </c>
      <c r="D358" s="2118" t="n">
        <v>6</v>
      </c>
      <c r="E358" s="2118" t="n">
        <v>1</v>
      </c>
      <c r="G358" s="1748" t="inlineStr">
        <is>
          <t>SUPRAESTRUTURA</t>
        </is>
      </c>
      <c r="H358" s="1749" t="inlineStr">
        <is>
          <t>SERVIÇO</t>
        </is>
      </c>
      <c r="I358" s="1750" t="inlineStr">
        <is>
          <t>04.006.006.001</t>
        </is>
      </c>
      <c r="J358" s="1751" t="inlineStr">
        <is>
          <t>Mão de obra para execução de supraestrutura de concreto armado</t>
        </is>
      </c>
      <c r="K358" s="1752" t="inlineStr">
        <is>
          <t>vb</t>
        </is>
      </c>
      <c r="L358" s="1753" t="n">
        <v>1</v>
      </c>
      <c r="M358" s="1753" t="e">
        <v>#REF!</v>
      </c>
      <c r="N358" s="1754" t="n"/>
      <c r="O358" s="1765" t="inlineStr">
        <is>
          <t>Repessado pela Gessele na reunião do dia 05/03/2026 - VER ABA "M.O. ESTRUTURA - MP"</t>
        </is>
      </c>
      <c r="P358" s="1721" t="inlineStr">
        <is>
          <t>Pendente</t>
        </is>
      </c>
    </row>
    <row r="359" hidden="1" outlineLevel="2" ht="13.5" customHeight="1">
      <c r="A359" s="2117" t="n">
        <v>0</v>
      </c>
      <c r="B359" s="2117" t="n">
        <v>4</v>
      </c>
      <c r="C359" s="2117" t="n">
        <v>6</v>
      </c>
      <c r="D359" s="2118" t="n">
        <v>7</v>
      </c>
      <c r="E359" s="2118" t="n">
        <v>0</v>
      </c>
      <c r="G359" s="1740" t="n"/>
      <c r="H359" s="1741" t="inlineStr">
        <is>
          <t>SUBETAPA</t>
        </is>
      </c>
      <c r="I359" s="1742" t="inlineStr">
        <is>
          <t>04.006.007</t>
        </is>
      </c>
      <c r="J359" s="1743" t="inlineStr">
        <is>
          <t>Mão de obra - Lazer | Garagem</t>
        </is>
      </c>
      <c r="K359" s="1744" t="n"/>
      <c r="L359" s="1745" t="n"/>
      <c r="M359" s="1745" t="n"/>
      <c r="N359" s="1746" t="n"/>
      <c r="O359" s="1747" t="n"/>
      <c r="P359" s="1720" t="n"/>
    </row>
    <row r="360" hidden="1" outlineLevel="3" ht="12.75" customHeight="1">
      <c r="A360" s="2117" t="n">
        <v>0</v>
      </c>
      <c r="B360" s="2117" t="n">
        <v>4</v>
      </c>
      <c r="C360" s="2117" t="n">
        <v>6</v>
      </c>
      <c r="D360" s="2118" t="n">
        <v>7</v>
      </c>
      <c r="E360" s="2118" t="n">
        <v>1</v>
      </c>
      <c r="G360" s="1748" t="inlineStr">
        <is>
          <t>SUPRAESTRUTURA</t>
        </is>
      </c>
      <c r="H360" s="1749" t="inlineStr">
        <is>
          <t>SERVIÇO</t>
        </is>
      </c>
      <c r="I360" s="1750" t="inlineStr">
        <is>
          <t>04.006.007.001</t>
        </is>
      </c>
      <c r="J360" s="1751" t="inlineStr">
        <is>
          <t>Mão de obra para execução de supraestrutura de concreto armado</t>
        </is>
      </c>
      <c r="K360" s="1752" t="inlineStr">
        <is>
          <t>vb</t>
        </is>
      </c>
      <c r="L360" s="1753" t="n">
        <v>1</v>
      </c>
      <c r="M360" s="1753" t="e">
        <v>#REF!</v>
      </c>
      <c r="N360" s="1754" t="n"/>
      <c r="O360" s="1765" t="inlineStr">
        <is>
          <t>Repessado pela Gessele na reunião do dia 05/03/2026 - VER ABA "M.O. ESTRUTURA - MP"</t>
        </is>
      </c>
      <c r="P360" s="1721" t="inlineStr">
        <is>
          <t>Pendente</t>
        </is>
      </c>
    </row>
    <row r="361" hidden="1" outlineLevel="2" ht="13.5" customHeight="1">
      <c r="A361" s="2117" t="n">
        <v>0</v>
      </c>
      <c r="B361" s="2117" t="n">
        <v>4</v>
      </c>
      <c r="C361" s="2117" t="n">
        <v>6</v>
      </c>
      <c r="D361" s="2118" t="n">
        <v>8</v>
      </c>
      <c r="E361" s="2118" t="n">
        <v>0</v>
      </c>
      <c r="G361" s="1740" t="n"/>
      <c r="H361" s="1741" t="inlineStr">
        <is>
          <t>SUBETAPA</t>
        </is>
      </c>
      <c r="I361" s="1742" t="inlineStr">
        <is>
          <t>04.006.008</t>
        </is>
      </c>
      <c r="J361" s="1743" t="inlineStr">
        <is>
          <t>Mão de obra - Lazer | Garagem</t>
        </is>
      </c>
      <c r="K361" s="1744" t="n"/>
      <c r="L361" s="1745" t="n"/>
      <c r="M361" s="1745" t="n"/>
      <c r="N361" s="1746" t="n"/>
      <c r="O361" s="1747" t="n"/>
      <c r="P361" s="1720" t="n"/>
    </row>
    <row r="362" hidden="1" outlineLevel="3" ht="12.75" customHeight="1">
      <c r="A362" s="2117" t="n">
        <v>0</v>
      </c>
      <c r="B362" s="2117" t="n">
        <v>4</v>
      </c>
      <c r="C362" s="2117" t="n">
        <v>6</v>
      </c>
      <c r="D362" s="2118" t="n">
        <v>8</v>
      </c>
      <c r="E362" s="2118" t="n">
        <v>1</v>
      </c>
      <c r="G362" s="1748" t="inlineStr">
        <is>
          <t>SUPRAESTRUTURA</t>
        </is>
      </c>
      <c r="H362" s="1749" t="inlineStr">
        <is>
          <t>SERVIÇO</t>
        </is>
      </c>
      <c r="I362" s="1750" t="inlineStr">
        <is>
          <t>04.006.008.001</t>
        </is>
      </c>
      <c r="J362" s="1751" t="inlineStr">
        <is>
          <t>Mão de obra para execução de supraestrutura de concreto armado</t>
        </is>
      </c>
      <c r="K362" s="1752" t="inlineStr">
        <is>
          <t>vb</t>
        </is>
      </c>
      <c r="L362" s="1753" t="n">
        <v>1</v>
      </c>
      <c r="M362" s="1753" t="e">
        <v>#REF!</v>
      </c>
      <c r="N362" s="1754" t="n"/>
      <c r="O362" s="1765" t="inlineStr">
        <is>
          <t>Repessado pela Gessele na reunião do dia 05/03/2026 - VER ABA "M.O. ESTRUTURA - MP"</t>
        </is>
      </c>
      <c r="P362" s="1721" t="inlineStr">
        <is>
          <t>Pendente</t>
        </is>
      </c>
    </row>
    <row r="363" hidden="1" outlineLevel="2" ht="13.5" customHeight="1">
      <c r="A363" s="2117" t="n">
        <v>0</v>
      </c>
      <c r="B363" s="2117" t="n">
        <v>4</v>
      </c>
      <c r="C363" s="2117" t="n">
        <v>6</v>
      </c>
      <c r="D363" s="2118" t="n">
        <v>9</v>
      </c>
      <c r="E363" s="2118" t="n">
        <v>0</v>
      </c>
      <c r="G363" s="1740" t="n"/>
      <c r="H363" s="1741" t="inlineStr">
        <is>
          <t>SUBETAPA</t>
        </is>
      </c>
      <c r="I363" s="1742" t="inlineStr">
        <is>
          <t>04.006.009</t>
        </is>
      </c>
      <c r="J363" s="1743" t="inlineStr">
        <is>
          <t>Mão de obra - Lazer</t>
        </is>
      </c>
      <c r="K363" s="1744" t="n"/>
      <c r="L363" s="1745" t="n"/>
      <c r="M363" s="1745" t="n"/>
      <c r="N363" s="1746" t="n"/>
      <c r="O363" s="1747" t="n"/>
      <c r="P363" s="1720" t="n"/>
    </row>
    <row r="364" hidden="1" outlineLevel="3" ht="12.75" customHeight="1">
      <c r="A364" s="2117" t="n">
        <v>0</v>
      </c>
      <c r="B364" s="2117" t="n">
        <v>4</v>
      </c>
      <c r="C364" s="2117" t="n">
        <v>6</v>
      </c>
      <c r="D364" s="2118" t="n">
        <v>9</v>
      </c>
      <c r="E364" s="2118" t="n">
        <v>1</v>
      </c>
      <c r="G364" s="1748" t="inlineStr">
        <is>
          <t>SUPRAESTRUTURA</t>
        </is>
      </c>
      <c r="H364" s="1749" t="inlineStr">
        <is>
          <t>SERVIÇO</t>
        </is>
      </c>
      <c r="I364" s="1750" t="inlineStr">
        <is>
          <t>04.006.009.001</t>
        </is>
      </c>
      <c r="J364" s="1751" t="inlineStr">
        <is>
          <t>Mão de obra para execução de supraestrutura de concreto armado</t>
        </is>
      </c>
      <c r="K364" s="1752" t="inlineStr">
        <is>
          <t>vb</t>
        </is>
      </c>
      <c r="L364" s="1753" t="n">
        <v>1</v>
      </c>
      <c r="M364" s="1753" t="e">
        <v>#REF!</v>
      </c>
      <c r="N364" s="1754" t="n"/>
      <c r="O364" s="1765" t="inlineStr">
        <is>
          <t>Repessado pela Gessele na reunião do dia 05/03/2026 - VER ABA "M.O. ESTRUTURA - MP"</t>
        </is>
      </c>
      <c r="P364" s="1721" t="inlineStr">
        <is>
          <t>Pendente</t>
        </is>
      </c>
    </row>
    <row r="365" hidden="1" outlineLevel="2" ht="13.5" customHeight="1">
      <c r="A365" s="2117" t="n">
        <v>0</v>
      </c>
      <c r="B365" s="2117" t="n">
        <v>4</v>
      </c>
      <c r="C365" s="2117" t="n">
        <v>6</v>
      </c>
      <c r="D365" s="2118" t="n">
        <v>10</v>
      </c>
      <c r="E365" s="2118" t="n">
        <v>0</v>
      </c>
      <c r="G365" s="1740" t="n"/>
      <c r="H365" s="1741" t="inlineStr">
        <is>
          <t>SUBETAPA</t>
        </is>
      </c>
      <c r="I365" s="1742" t="inlineStr">
        <is>
          <t>04.006.010</t>
        </is>
      </c>
      <c r="J365" s="1743" t="inlineStr">
        <is>
          <t>Mão de obra - Tipo diferenciado</t>
        </is>
      </c>
      <c r="K365" s="1744" t="n"/>
      <c r="L365" s="1745" t="n"/>
      <c r="M365" s="1745" t="n"/>
      <c r="N365" s="1746" t="n"/>
      <c r="O365" s="1747" t="n"/>
      <c r="P365" s="1720" t="n"/>
    </row>
    <row r="366" hidden="1" outlineLevel="3" ht="12.75" customHeight="1">
      <c r="A366" s="2117" t="n">
        <v>0</v>
      </c>
      <c r="B366" s="2117" t="n">
        <v>4</v>
      </c>
      <c r="C366" s="2117" t="n">
        <v>6</v>
      </c>
      <c r="D366" s="2118" t="n">
        <v>10</v>
      </c>
      <c r="E366" s="2118" t="n">
        <v>1</v>
      </c>
      <c r="G366" s="1748" t="inlineStr">
        <is>
          <t>SUPRAESTRUTURA</t>
        </is>
      </c>
      <c r="H366" s="1749" t="inlineStr">
        <is>
          <t>SERVIÇO</t>
        </is>
      </c>
      <c r="I366" s="1750" t="inlineStr">
        <is>
          <t>04.006.010.001</t>
        </is>
      </c>
      <c r="J366" s="1751" t="inlineStr">
        <is>
          <t>Mão de obra para execução de supraestrutura de concreto armado</t>
        </is>
      </c>
      <c r="K366" s="1752" t="inlineStr">
        <is>
          <t>vb</t>
        </is>
      </c>
      <c r="L366" s="1753" t="n">
        <v>1</v>
      </c>
      <c r="M366" s="1753" t="e">
        <v>#REF!</v>
      </c>
      <c r="N366" s="1754" t="n"/>
      <c r="O366" s="1765" t="inlineStr">
        <is>
          <t>Repessado pela Gessele na reunião do dia 05/03/2026 - VER ABA "M.O. ESTRUTURA - MP"</t>
        </is>
      </c>
      <c r="P366" s="1721" t="inlineStr">
        <is>
          <t>Pendente</t>
        </is>
      </c>
    </row>
    <row r="367" hidden="1" outlineLevel="2" ht="13.5" customHeight="1">
      <c r="A367" s="2117" t="n">
        <v>0</v>
      </c>
      <c r="B367" s="2117" t="n">
        <v>4</v>
      </c>
      <c r="C367" s="2117" t="n">
        <v>6</v>
      </c>
      <c r="D367" s="2118" t="n">
        <v>11</v>
      </c>
      <c r="E367" s="2118" t="n">
        <v>0</v>
      </c>
      <c r="G367" s="1740" t="n"/>
      <c r="H367" s="1741" t="inlineStr">
        <is>
          <t>SUBETAPA</t>
        </is>
      </c>
      <c r="I367" s="1742" t="inlineStr">
        <is>
          <t>04.006.011</t>
        </is>
      </c>
      <c r="J367" s="1743" t="inlineStr">
        <is>
          <t>Mão de obra - Tipo x8</t>
        </is>
      </c>
      <c r="K367" s="1744" t="n"/>
      <c r="L367" s="1745" t="n"/>
      <c r="M367" s="1745" t="n"/>
      <c r="N367" s="1746" t="n"/>
      <c r="O367" s="1747" t="n"/>
      <c r="P367" s="1720" t="n"/>
    </row>
    <row r="368" hidden="1" outlineLevel="3" ht="12.75" customHeight="1">
      <c r="A368" s="2117" t="n">
        <v>0</v>
      </c>
      <c r="B368" s="2117" t="n">
        <v>4</v>
      </c>
      <c r="C368" s="2117" t="n">
        <v>6</v>
      </c>
      <c r="D368" s="2118" t="n">
        <v>11</v>
      </c>
      <c r="E368" s="2118" t="n">
        <v>1</v>
      </c>
      <c r="G368" s="1748" t="inlineStr">
        <is>
          <t>SUPRAESTRUTURA</t>
        </is>
      </c>
      <c r="H368" s="1749" t="inlineStr">
        <is>
          <t>SERVIÇO</t>
        </is>
      </c>
      <c r="I368" s="1750" t="inlineStr">
        <is>
          <t>04.006.011.001</t>
        </is>
      </c>
      <c r="J368" s="1751" t="inlineStr">
        <is>
          <t>Mão de obra para execução de supraestrutura de concreto armado</t>
        </is>
      </c>
      <c r="K368" s="1752" t="inlineStr">
        <is>
          <t>vb</t>
        </is>
      </c>
      <c r="L368" s="1753" t="n">
        <v>1</v>
      </c>
      <c r="M368" s="1753" t="e">
        <v>#REF!</v>
      </c>
      <c r="N368" s="1754" t="n"/>
      <c r="O368" s="1765" t="inlineStr">
        <is>
          <t>Repessado pela Gessele na reunião do dia 05/03/2026 - VER ABA "M.O. ESTRUTURA - MP"</t>
        </is>
      </c>
      <c r="P368" s="1721" t="inlineStr">
        <is>
          <t>Pendente</t>
        </is>
      </c>
    </row>
    <row r="369" hidden="1" outlineLevel="2" ht="13.5" customHeight="1">
      <c r="A369" s="2117" t="n">
        <v>0</v>
      </c>
      <c r="B369" s="2117" t="n">
        <v>4</v>
      </c>
      <c r="C369" s="2117" t="n">
        <v>6</v>
      </c>
      <c r="D369" s="2118" t="n">
        <v>12</v>
      </c>
      <c r="E369" s="2118" t="n">
        <v>0</v>
      </c>
      <c r="G369" s="1740" t="n"/>
      <c r="H369" s="1741" t="inlineStr">
        <is>
          <t>SUBETAPA</t>
        </is>
      </c>
      <c r="I369" s="1742" t="inlineStr">
        <is>
          <t>04.006.012</t>
        </is>
      </c>
      <c r="J369" s="1743" t="inlineStr">
        <is>
          <t>Mão de obra - Penthouse x22</t>
        </is>
      </c>
      <c r="K369" s="1744" t="n"/>
      <c r="L369" s="1745" t="n"/>
      <c r="M369" s="1745" t="n"/>
      <c r="N369" s="1746" t="n"/>
      <c r="O369" s="1747" t="n"/>
      <c r="P369" s="1720" t="n"/>
    </row>
    <row r="370" hidden="1" outlineLevel="3" ht="12.75" customHeight="1">
      <c r="A370" s="2117" t="n">
        <v>0</v>
      </c>
      <c r="B370" s="2117" t="n">
        <v>4</v>
      </c>
      <c r="C370" s="2117" t="n">
        <v>6</v>
      </c>
      <c r="D370" s="2118" t="n">
        <v>12</v>
      </c>
      <c r="E370" s="2118" t="n">
        <v>1</v>
      </c>
      <c r="G370" s="1748" t="inlineStr">
        <is>
          <t>SUPRAESTRUTURA</t>
        </is>
      </c>
      <c r="H370" s="1749" t="inlineStr">
        <is>
          <t>SERVIÇO</t>
        </is>
      </c>
      <c r="I370" s="1750" t="inlineStr">
        <is>
          <t>04.006.012.001</t>
        </is>
      </c>
      <c r="J370" s="1751" t="inlineStr">
        <is>
          <t>Mão de obra para execução de supraestrutura de concreto armado</t>
        </is>
      </c>
      <c r="K370" s="1752" t="inlineStr">
        <is>
          <t>vb</t>
        </is>
      </c>
      <c r="L370" s="1753" t="n">
        <v>1</v>
      </c>
      <c r="M370" s="1753" t="e">
        <v>#REF!</v>
      </c>
      <c r="N370" s="1754" t="n"/>
      <c r="O370" s="1765" t="inlineStr">
        <is>
          <t>Repessado pela Gessele na reunião do dia 05/03/2026 - VER ABA "M.O. ESTRUTURA - MP"</t>
        </is>
      </c>
      <c r="P370" s="1721" t="inlineStr">
        <is>
          <t>Pendente</t>
        </is>
      </c>
    </row>
    <row r="371" hidden="1" outlineLevel="2" ht="13.5" customHeight="1">
      <c r="A371" s="2117" t="n">
        <v>0</v>
      </c>
      <c r="B371" s="2117" t="n">
        <v>4</v>
      </c>
      <c r="C371" s="2117" t="n">
        <v>6</v>
      </c>
      <c r="D371" s="2118" t="n">
        <v>13</v>
      </c>
      <c r="E371" s="2118" t="n">
        <v>0</v>
      </c>
      <c r="G371" s="1740" t="n"/>
      <c r="H371" s="1741" t="inlineStr">
        <is>
          <t>SUBETAPA</t>
        </is>
      </c>
      <c r="I371" s="1742" t="inlineStr">
        <is>
          <t>04.006.013</t>
        </is>
      </c>
      <c r="J371" s="1743" t="inlineStr">
        <is>
          <t>Mão de obra - Duplex inferior</t>
        </is>
      </c>
      <c r="K371" s="1744" t="n"/>
      <c r="L371" s="1745" t="n"/>
      <c r="M371" s="1745" t="n"/>
      <c r="N371" s="1746" t="n"/>
      <c r="O371" s="1747" t="n"/>
      <c r="P371" s="1720" t="n"/>
    </row>
    <row r="372" hidden="1" outlineLevel="3" ht="12.75" customHeight="1">
      <c r="A372" s="2117" t="n">
        <v>0</v>
      </c>
      <c r="B372" s="2117" t="n">
        <v>4</v>
      </c>
      <c r="C372" s="2117" t="n">
        <v>6</v>
      </c>
      <c r="D372" s="2118" t="n">
        <v>13</v>
      </c>
      <c r="E372" s="2118" t="n">
        <v>1</v>
      </c>
      <c r="G372" s="1748" t="inlineStr">
        <is>
          <t>SUPRAESTRUTURA</t>
        </is>
      </c>
      <c r="H372" s="1749" t="inlineStr">
        <is>
          <t>SERVIÇO</t>
        </is>
      </c>
      <c r="I372" s="1750" t="inlineStr">
        <is>
          <t>04.006.013.001</t>
        </is>
      </c>
      <c r="J372" s="1751" t="inlineStr">
        <is>
          <t>Mão de obra para execução de supraestrutura de concreto armado</t>
        </is>
      </c>
      <c r="K372" s="1752" t="inlineStr">
        <is>
          <t>vb</t>
        </is>
      </c>
      <c r="L372" s="1753" t="n">
        <v>1</v>
      </c>
      <c r="M372" s="1753" t="e">
        <v>#REF!</v>
      </c>
      <c r="N372" s="1754" t="n"/>
      <c r="O372" s="1765" t="inlineStr">
        <is>
          <t>Repessado pela Gessele na reunião do dia 05/03/2026 - VER ABA "M.O. ESTRUTURA - MP"</t>
        </is>
      </c>
      <c r="P372" s="1721" t="inlineStr">
        <is>
          <t>Pendente</t>
        </is>
      </c>
    </row>
    <row r="373" hidden="1" outlineLevel="2" ht="13.5" customHeight="1">
      <c r="A373" s="2117" t="n">
        <v>0</v>
      </c>
      <c r="B373" s="2117" t="n">
        <v>4</v>
      </c>
      <c r="C373" s="2117" t="n">
        <v>6</v>
      </c>
      <c r="D373" s="2118" t="n">
        <v>14</v>
      </c>
      <c r="E373" s="2118" t="n">
        <v>0</v>
      </c>
      <c r="G373" s="1740" t="n"/>
      <c r="H373" s="1741" t="inlineStr">
        <is>
          <t>SUBETAPA</t>
        </is>
      </c>
      <c r="I373" s="1742" t="inlineStr">
        <is>
          <t>04.006.014</t>
        </is>
      </c>
      <c r="J373" s="1743" t="inlineStr">
        <is>
          <t>Mão de obra - Duplex superior</t>
        </is>
      </c>
      <c r="K373" s="1744" t="n"/>
      <c r="L373" s="1745" t="n"/>
      <c r="M373" s="1745" t="n"/>
      <c r="N373" s="1746" t="n"/>
      <c r="O373" s="1747" t="n"/>
      <c r="P373" s="1720" t="n"/>
    </row>
    <row r="374" hidden="1" outlineLevel="3" ht="12.75" customHeight="1">
      <c r="A374" s="2117" t="n">
        <v>0</v>
      </c>
      <c r="B374" s="2117" t="n">
        <v>4</v>
      </c>
      <c r="C374" s="2117" t="n">
        <v>6</v>
      </c>
      <c r="D374" s="2118" t="n">
        <v>14</v>
      </c>
      <c r="E374" s="2118" t="n">
        <v>1</v>
      </c>
      <c r="G374" s="1748" t="inlineStr">
        <is>
          <t>SUPRAESTRUTURA</t>
        </is>
      </c>
      <c r="H374" s="1749" t="inlineStr">
        <is>
          <t>SERVIÇO</t>
        </is>
      </c>
      <c r="I374" s="1750" t="inlineStr">
        <is>
          <t>04.006.014.001</t>
        </is>
      </c>
      <c r="J374" s="1751" t="inlineStr">
        <is>
          <t>Mão de obra para execução de supraestrutura de concreto armado</t>
        </is>
      </c>
      <c r="K374" s="1752" t="inlineStr">
        <is>
          <t>vb</t>
        </is>
      </c>
      <c r="L374" s="1753" t="n">
        <v>1</v>
      </c>
      <c r="M374" s="1753" t="e">
        <v>#REF!</v>
      </c>
      <c r="N374" s="1754" t="n"/>
      <c r="O374" s="1765" t="inlineStr">
        <is>
          <t>Repessado pela Gessele na reunião do dia 05/03/2026 - VER ABA "M.O. ESTRUTURA - MP"</t>
        </is>
      </c>
      <c r="P374" s="1721" t="inlineStr">
        <is>
          <t>Pendente</t>
        </is>
      </c>
    </row>
    <row r="375" hidden="1" outlineLevel="2" ht="13.5" customHeight="1">
      <c r="A375" s="2117" t="n">
        <v>0</v>
      </c>
      <c r="B375" s="2117" t="n">
        <v>4</v>
      </c>
      <c r="C375" s="2117" t="n">
        <v>6</v>
      </c>
      <c r="D375" s="2118" t="n">
        <v>15</v>
      </c>
      <c r="E375" s="2118" t="n">
        <v>0</v>
      </c>
      <c r="G375" s="1740" t="n"/>
      <c r="H375" s="1741" t="inlineStr">
        <is>
          <t>SUBETAPA</t>
        </is>
      </c>
      <c r="I375" s="1742" t="inlineStr">
        <is>
          <t>04.006.015</t>
        </is>
      </c>
      <c r="J375" s="1743" t="inlineStr">
        <is>
          <t>Mão de obra - Cobertura | Barrilete</t>
        </is>
      </c>
      <c r="K375" s="1744" t="n"/>
      <c r="L375" s="1745" t="n"/>
      <c r="M375" s="1745" t="n"/>
      <c r="N375" s="1746" t="n"/>
      <c r="O375" s="1747" t="n"/>
      <c r="P375" s="1720" t="n"/>
    </row>
    <row r="376" hidden="1" outlineLevel="3" ht="12.75" customHeight="1">
      <c r="A376" s="2117" t="n">
        <v>0</v>
      </c>
      <c r="B376" s="2117" t="n">
        <v>4</v>
      </c>
      <c r="C376" s="2117" t="n">
        <v>6</v>
      </c>
      <c r="D376" s="2118" t="n">
        <v>15</v>
      </c>
      <c r="E376" s="2118" t="n">
        <v>1</v>
      </c>
      <c r="G376" s="1748" t="inlineStr">
        <is>
          <t>SUPRAESTRUTURA</t>
        </is>
      </c>
      <c r="H376" s="1749" t="inlineStr">
        <is>
          <t>SERVIÇO</t>
        </is>
      </c>
      <c r="I376" s="1750" t="inlineStr">
        <is>
          <t>04.006.015.001</t>
        </is>
      </c>
      <c r="J376" s="1751" t="inlineStr">
        <is>
          <t>Mão de obra para execução de supraestrutura de concreto armado</t>
        </is>
      </c>
      <c r="K376" s="1752" t="inlineStr">
        <is>
          <t>vb</t>
        </is>
      </c>
      <c r="L376" s="1753" t="n">
        <v>1</v>
      </c>
      <c r="M376" s="1753" t="e">
        <v>#REF!</v>
      </c>
      <c r="N376" s="1754" t="n"/>
      <c r="O376" s="1765" t="inlineStr">
        <is>
          <t>Repessado pela Gessele na reunião do dia 05/03/2026 - VER ABA "M.O. ESTRUTURA - MP"</t>
        </is>
      </c>
      <c r="P376" s="1721" t="inlineStr">
        <is>
          <t>Pendente</t>
        </is>
      </c>
    </row>
    <row r="377" hidden="1" outlineLevel="2" ht="13.5" customHeight="1">
      <c r="A377" s="2117" t="n">
        <v>0</v>
      </c>
      <c r="B377" s="2117" t="n">
        <v>4</v>
      </c>
      <c r="C377" s="2117" t="n">
        <v>6</v>
      </c>
      <c r="D377" s="2118" t="n">
        <v>16</v>
      </c>
      <c r="E377" s="2118" t="n">
        <v>0</v>
      </c>
      <c r="G377" s="1740" t="n"/>
      <c r="H377" s="1741" t="inlineStr">
        <is>
          <t>SUBETAPA</t>
        </is>
      </c>
      <c r="I377" s="1742" t="inlineStr">
        <is>
          <t>04.006.016</t>
        </is>
      </c>
      <c r="J377" s="1743" t="inlineStr">
        <is>
          <t>Mão de obra - Reservatório</t>
        </is>
      </c>
      <c r="K377" s="1744" t="n"/>
      <c r="L377" s="1745" t="n"/>
      <c r="M377" s="1745" t="n"/>
      <c r="N377" s="1746" t="n"/>
      <c r="O377" s="1747" t="n"/>
      <c r="P377" s="1720" t="n"/>
    </row>
    <row r="378" hidden="1" outlineLevel="3" ht="12.75" customHeight="1">
      <c r="A378" s="2117" t="n">
        <v>0</v>
      </c>
      <c r="B378" s="2117" t="n">
        <v>4</v>
      </c>
      <c r="C378" s="2117" t="n">
        <v>6</v>
      </c>
      <c r="D378" s="2118" t="n">
        <v>16</v>
      </c>
      <c r="E378" s="2118" t="n">
        <v>1</v>
      </c>
      <c r="G378" s="1748" t="inlineStr">
        <is>
          <t>SUPRAESTRUTURA</t>
        </is>
      </c>
      <c r="H378" s="1749" t="inlineStr">
        <is>
          <t>SERVIÇO</t>
        </is>
      </c>
      <c r="I378" s="1750" t="inlineStr">
        <is>
          <t>04.006.016.001</t>
        </is>
      </c>
      <c r="J378" s="1751" t="inlineStr">
        <is>
          <t>Mão de obra para execução de supraestrutura de concreto armado</t>
        </is>
      </c>
      <c r="K378" s="1752" t="inlineStr">
        <is>
          <t>vb</t>
        </is>
      </c>
      <c r="L378" s="1753" t="n">
        <v>1</v>
      </c>
      <c r="M378" s="1753" t="e">
        <v>#REF!</v>
      </c>
      <c r="N378" s="1754" t="n"/>
      <c r="O378" s="1765" t="inlineStr">
        <is>
          <t>Repessado pela Gessele na reunião do dia 05/03/2026 - VER ABA "M.O. ESTRUTURA - MP"</t>
        </is>
      </c>
      <c r="P378" s="1721" t="inlineStr">
        <is>
          <t>Pendente</t>
        </is>
      </c>
    </row>
    <row r="379" collapsed="1" ht="13.5" customHeight="1">
      <c r="A379" s="2117" t="n">
        <v>0</v>
      </c>
      <c r="B379" s="2117" t="n">
        <v>5</v>
      </c>
      <c r="C379" s="2117" t="n">
        <v>0</v>
      </c>
      <c r="D379" s="2118" t="n">
        <v>16</v>
      </c>
      <c r="E379" s="2118" t="n">
        <v>1</v>
      </c>
      <c r="F379" s="474" t="n"/>
      <c r="G379" s="1726" t="n"/>
      <c r="H379" s="1766" t="inlineStr">
        <is>
          <t>CÉLULA CONSTRUTIVA</t>
        </is>
      </c>
      <c r="I379" s="1767" t="inlineStr">
        <is>
          <t>05</t>
        </is>
      </c>
      <c r="J379" s="1729" t="inlineStr">
        <is>
          <t>ALVENARIAS E VEDAÇÕES</t>
        </is>
      </c>
      <c r="K379" s="1768" t="n"/>
      <c r="L379" s="1769" t="n"/>
      <c r="M379" s="1769" t="n"/>
      <c r="N379" s="1732" t="n"/>
      <c r="O379" s="1770" t="n"/>
      <c r="P379" s="1718" t="n"/>
    </row>
    <row r="380" hidden="1" outlineLevel="1" ht="13.5" customHeight="1">
      <c r="A380" s="2117" t="n">
        <v>0</v>
      </c>
      <c r="B380" s="2117" t="n">
        <v>5</v>
      </c>
      <c r="C380" s="2117" t="n">
        <v>1</v>
      </c>
      <c r="D380" s="2118" t="n">
        <v>0</v>
      </c>
      <c r="E380" s="2118" t="n">
        <v>1</v>
      </c>
      <c r="G380" s="1733" t="n"/>
      <c r="H380" s="1771" t="inlineStr">
        <is>
          <t>ETAPA</t>
        </is>
      </c>
      <c r="I380" s="1772" t="inlineStr">
        <is>
          <t>05.001</t>
        </is>
      </c>
      <c r="J380" s="1773" t="inlineStr">
        <is>
          <t>PAREDES E DIVISÓRIAS - Térreo</t>
        </is>
      </c>
      <c r="K380" s="1774" t="n"/>
      <c r="L380" s="1775" t="n"/>
      <c r="M380" s="1775" t="n"/>
      <c r="N380" s="1739" t="n"/>
      <c r="O380" s="1776" t="n"/>
      <c r="P380" s="1719" t="n"/>
    </row>
    <row r="381" hidden="1" outlineLevel="2" ht="13.5" customHeight="1">
      <c r="A381" s="2117" t="n">
        <v>0</v>
      </c>
      <c r="B381" s="2117" t="n">
        <v>5</v>
      </c>
      <c r="C381" s="2117" t="n">
        <v>1</v>
      </c>
      <c r="D381" s="2118" t="n">
        <v>1</v>
      </c>
      <c r="E381" s="2118" t="n">
        <v>0</v>
      </c>
      <c r="G381" s="1740" t="n"/>
      <c r="H381" s="1777" t="inlineStr">
        <is>
          <t>SUBETAPA</t>
        </is>
      </c>
      <c r="I381" s="1778" t="inlineStr">
        <is>
          <t>05.001.001</t>
        </is>
      </c>
      <c r="J381" s="1779" t="inlineStr">
        <is>
          <t>Alevanaria de vedação com blocos cerâmicos</t>
        </is>
      </c>
      <c r="K381" s="1780" t="n"/>
      <c r="L381" s="1781" t="n"/>
      <c r="M381" s="1781" t="n"/>
      <c r="N381" s="1746" t="n"/>
      <c r="O381" s="1782" t="n"/>
      <c r="P381" s="1720" t="n"/>
    </row>
    <row r="382" hidden="1" outlineLevel="3" ht="13.5" customHeight="1">
      <c r="A382" s="2117" t="n">
        <v>0</v>
      </c>
      <c r="B382" s="2117" t="n">
        <v>5</v>
      </c>
      <c r="C382" s="2117" t="n">
        <v>1</v>
      </c>
      <c r="D382" s="2118" t="n">
        <v>1</v>
      </c>
      <c r="E382" s="2118" t="n">
        <v>1</v>
      </c>
      <c r="G382" s="1748" t="inlineStr">
        <is>
          <t>ALVENARIA</t>
        </is>
      </c>
      <c r="H382" s="1783" t="inlineStr">
        <is>
          <t>SERVIÇO</t>
        </is>
      </c>
      <c r="I382" s="1784" t="inlineStr">
        <is>
          <t>05.001.001.001</t>
        </is>
      </c>
      <c r="J382" s="1785" t="inlineStr">
        <is>
          <t>Alvenaria de vedacao de blocos ceramicos de 9x19x39cm com argamassa industrializada de assentamento</t>
        </is>
      </c>
      <c r="K382" s="1786" t="inlineStr">
        <is>
          <t>m2</t>
        </is>
      </c>
      <c r="L382" s="1787" t="e">
        <v>#REF!</v>
      </c>
      <c r="M382" s="1787" t="n">
        <v>22.36</v>
      </c>
      <c r="N382" s="1754" t="n"/>
      <c r="O382" s="1788" t="n"/>
      <c r="P382" s="1721" t="inlineStr">
        <is>
          <t>Pendente</t>
        </is>
      </c>
    </row>
    <row r="383" hidden="1" outlineLevel="3" ht="13.5" customHeight="1">
      <c r="A383" s="2117" t="n">
        <v>0</v>
      </c>
      <c r="B383" s="2117" t="n">
        <v>5</v>
      </c>
      <c r="C383" s="2117" t="n">
        <v>1</v>
      </c>
      <c r="D383" s="2118" t="n">
        <v>1</v>
      </c>
      <c r="E383" s="2118" t="n">
        <v>2</v>
      </c>
      <c r="G383" s="1748" t="inlineStr">
        <is>
          <t>ALVENARIA</t>
        </is>
      </c>
      <c r="H383" s="1783" t="inlineStr">
        <is>
          <t>SERVIÇO</t>
        </is>
      </c>
      <c r="I383" s="1784" t="inlineStr">
        <is>
          <t>05.001.001.002</t>
        </is>
      </c>
      <c r="J383" s="1785" t="inlineStr">
        <is>
          <t>Alvenaria de vedacao de blocos ceramicos de 19x19x39cm com argamassa industrializada de assentamento</t>
        </is>
      </c>
      <c r="K383" s="1786" t="inlineStr">
        <is>
          <t>m2</t>
        </is>
      </c>
      <c r="L383" s="1787" t="e">
        <v>#REF!</v>
      </c>
      <c r="M383" s="1787" t="n">
        <v>35.09999999999999</v>
      </c>
      <c r="N383" s="1754" t="n"/>
      <c r="O383" s="1788" t="n"/>
      <c r="P383" s="1721" t="inlineStr">
        <is>
          <t>Pendente</t>
        </is>
      </c>
    </row>
    <row r="384" hidden="1" outlineLevel="3" ht="13.5" customHeight="1">
      <c r="A384" s="2117" t="n">
        <v>0</v>
      </c>
      <c r="B384" s="2117" t="n">
        <v>5</v>
      </c>
      <c r="C384" s="2117" t="n">
        <v>1</v>
      </c>
      <c r="D384" s="2118" t="n">
        <v>1</v>
      </c>
      <c r="E384" s="2118" t="n">
        <v>3</v>
      </c>
      <c r="G384" s="1748" t="inlineStr">
        <is>
          <t>ALVENARIA</t>
        </is>
      </c>
      <c r="H384" s="1783" t="inlineStr">
        <is>
          <t>SERVIÇO</t>
        </is>
      </c>
      <c r="I384" s="1784" t="inlineStr">
        <is>
          <t>05.001.001.003</t>
        </is>
      </c>
      <c r="J384" s="1785" t="inlineStr">
        <is>
          <t>Alvenaria de vedação de Bloco cerâmico corta-fogo de 19x19x39cm, com argamassa estabilizada</t>
        </is>
      </c>
      <c r="K384" s="1786" t="inlineStr">
        <is>
          <t>m2</t>
        </is>
      </c>
      <c r="L384" s="1787" t="e">
        <v>#REF!</v>
      </c>
      <c r="M384" s="1787" t="n">
        <v>127.5</v>
      </c>
      <c r="N384" s="1754" t="n"/>
      <c r="O384" s="1788" t="n"/>
      <c r="P384" s="1721" t="inlineStr">
        <is>
          <t>Pendente</t>
        </is>
      </c>
    </row>
    <row r="385" hidden="1" outlineLevel="2" ht="13.5" customHeight="1">
      <c r="A385" s="2117" t="n">
        <v>0</v>
      </c>
      <c r="B385" s="2117" t="n">
        <v>5</v>
      </c>
      <c r="C385" s="2117" t="n">
        <v>1</v>
      </c>
      <c r="D385" s="2118" t="n">
        <v>2</v>
      </c>
      <c r="E385" s="2118" t="n">
        <v>0</v>
      </c>
      <c r="G385" s="1740" t="n"/>
      <c r="H385" s="1777" t="inlineStr">
        <is>
          <t>SUBETAPA</t>
        </is>
      </c>
      <c r="I385" s="1778" t="inlineStr">
        <is>
          <t>05.001.002</t>
        </is>
      </c>
      <c r="J385" s="1789" t="inlineStr">
        <is>
          <t>Alevanaria de vedação com blocos Concreto e concreto celular</t>
        </is>
      </c>
      <c r="K385" s="1780" t="n"/>
      <c r="L385" s="1781" t="n"/>
      <c r="M385" s="1781" t="n"/>
      <c r="N385" s="1746" t="n"/>
      <c r="O385" s="1782" t="n"/>
      <c r="P385" s="1720" t="n"/>
    </row>
    <row r="386" hidden="1" outlineLevel="3" ht="13.5" customHeight="1">
      <c r="A386" s="2117" t="n">
        <v>0</v>
      </c>
      <c r="B386" s="2117" t="n">
        <v>5</v>
      </c>
      <c r="C386" s="2117" t="n">
        <v>1</v>
      </c>
      <c r="D386" s="2118" t="n">
        <v>2</v>
      </c>
      <c r="E386" s="2118" t="n">
        <v>1</v>
      </c>
      <c r="G386" s="1748" t="inlineStr">
        <is>
          <t>ALVENARIA</t>
        </is>
      </c>
      <c r="H386" s="1783" t="inlineStr">
        <is>
          <t>SERVIÇO</t>
        </is>
      </c>
      <c r="I386" s="1784" t="inlineStr">
        <is>
          <t>05.001.002.001</t>
        </is>
      </c>
      <c r="J386" s="1785" t="inlineStr">
        <is>
          <t>Alvenaria em Bloco De Concreto Celular 60x30x10cm Sical com argamassa industrializada de assentamento</t>
        </is>
      </c>
      <c r="K386" s="1786" t="inlineStr">
        <is>
          <t>m2</t>
        </is>
      </c>
      <c r="L386" s="1787" t="e">
        <v>#REF!</v>
      </c>
      <c r="M386" s="1787" t="n">
        <v>82.96000000000001</v>
      </c>
      <c r="N386" s="1754" t="n"/>
      <c r="O386" s="1788" t="n"/>
      <c r="P386" s="1721" t="inlineStr">
        <is>
          <t>Pendente</t>
        </is>
      </c>
    </row>
    <row r="387" hidden="1" outlineLevel="2" ht="13.5" customHeight="1">
      <c r="A387" s="2117" t="n">
        <v>0</v>
      </c>
      <c r="B387" s="2117" t="n">
        <v>5</v>
      </c>
      <c r="C387" s="2117" t="n">
        <v>1</v>
      </c>
      <c r="D387" s="2118" t="n">
        <v>3</v>
      </c>
      <c r="E387" s="2118" t="n">
        <v>0</v>
      </c>
      <c r="G387" s="1740" t="n"/>
      <c r="H387" s="1777" t="inlineStr">
        <is>
          <t>SUBETAPA</t>
        </is>
      </c>
      <c r="I387" s="1778" t="inlineStr">
        <is>
          <t>05.001.003</t>
        </is>
      </c>
      <c r="J387" s="1779" t="inlineStr">
        <is>
          <t>Serviços complementares para alvenaria de vedação</t>
        </is>
      </c>
      <c r="K387" s="1780" t="n"/>
      <c r="L387" s="1781" t="n"/>
      <c r="M387" s="1781" t="n"/>
      <c r="N387" s="1746" t="n"/>
      <c r="O387" s="1782" t="n"/>
      <c r="P387" s="1720" t="n"/>
    </row>
    <row r="388" hidden="1" outlineLevel="3" ht="13.5" customHeight="1">
      <c r="A388" s="2117" t="n">
        <v>0</v>
      </c>
      <c r="B388" s="2117" t="n">
        <v>5</v>
      </c>
      <c r="C388" s="2117" t="n">
        <v>1</v>
      </c>
      <c r="D388" s="2118" t="n">
        <v>3</v>
      </c>
      <c r="E388" s="2118" t="n">
        <v>1</v>
      </c>
      <c r="G388" s="1748" t="inlineStr">
        <is>
          <t>ALVENARIA</t>
        </is>
      </c>
      <c r="H388" s="1783" t="inlineStr">
        <is>
          <t>SERVIÇO</t>
        </is>
      </c>
      <c r="I388" s="1784" t="inlineStr">
        <is>
          <t>05.001.003.001</t>
        </is>
      </c>
      <c r="J388" s="1785" t="inlineStr">
        <is>
          <t>Encunhamento de alvenaria de vedação com argamassa expansiva</t>
        </is>
      </c>
      <c r="K388" s="1786" t="inlineStr">
        <is>
          <t>m</t>
        </is>
      </c>
      <c r="L388" s="1787" t="e">
        <v>#REF!</v>
      </c>
      <c r="M388" s="1787" t="n">
        <v>14.7875</v>
      </c>
      <c r="N388" s="1754" t="n"/>
      <c r="O388" s="1788" t="n"/>
      <c r="P388" s="1721" t="inlineStr">
        <is>
          <t>Pendente</t>
        </is>
      </c>
    </row>
    <row r="389" hidden="1" outlineLevel="3" ht="13.5" customHeight="1">
      <c r="A389" s="2117" t="n">
        <v>0</v>
      </c>
      <c r="B389" s="2117" t="n">
        <v>5</v>
      </c>
      <c r="C389" s="2117" t="n">
        <v>1</v>
      </c>
      <c r="D389" s="2118" t="n">
        <v>3</v>
      </c>
      <c r="E389" s="2118" t="n">
        <v>2</v>
      </c>
      <c r="G389" s="1748" t="inlineStr">
        <is>
          <t>ALVENARIA</t>
        </is>
      </c>
      <c r="H389" s="1783" t="inlineStr">
        <is>
          <t>SERVIÇO</t>
        </is>
      </c>
      <c r="I389" s="1784" t="inlineStr">
        <is>
          <t>05.001.003.002</t>
        </is>
      </c>
      <c r="J389" s="1785" t="inlineStr">
        <is>
          <t>Tela soldada para ligacao alvenaria/estrutura</t>
        </is>
      </c>
      <c r="K389" s="1786" t="inlineStr">
        <is>
          <t>un</t>
        </is>
      </c>
      <c r="L389" s="1787" t="e">
        <v>#REF!</v>
      </c>
      <c r="M389" s="1787" t="n">
        <v>4.1072</v>
      </c>
      <c r="N389" s="1754" t="n"/>
      <c r="O389" s="1788" t="n"/>
      <c r="P389" s="1721" t="inlineStr">
        <is>
          <t>Pendente</t>
        </is>
      </c>
    </row>
    <row r="390" hidden="1" outlineLevel="3" ht="13.5" customHeight="1">
      <c r="A390" s="2117" t="n">
        <v>0</v>
      </c>
      <c r="B390" s="2117" t="n">
        <v>5</v>
      </c>
      <c r="C390" s="2117" t="n">
        <v>1</v>
      </c>
      <c r="D390" s="2118" t="n">
        <v>3</v>
      </c>
      <c r="E390" s="2118" t="n">
        <v>3</v>
      </c>
      <c r="G390" s="1748" t="inlineStr">
        <is>
          <t>ALVENARIA</t>
        </is>
      </c>
      <c r="H390" s="1783" t="inlineStr">
        <is>
          <t>SERVIÇO</t>
        </is>
      </c>
      <c r="I390" s="1784" t="inlineStr">
        <is>
          <t>05.001.003.003</t>
        </is>
      </c>
      <c r="J390" s="1785" t="inlineStr">
        <is>
          <t>Verga/contraverga de concreto, moldada in loco</t>
        </is>
      </c>
      <c r="K390" s="1786" t="inlineStr">
        <is>
          <t>m</t>
        </is>
      </c>
      <c r="L390" s="1787" t="e">
        <v>#REF!</v>
      </c>
      <c r="M390" s="1787" t="n">
        <v>79.40367571053952</v>
      </c>
      <c r="N390" s="1754" t="n"/>
      <c r="O390" s="1788" t="n"/>
      <c r="P390" s="1721" t="inlineStr">
        <is>
          <t>Pendente</t>
        </is>
      </c>
    </row>
    <row r="391" hidden="1" outlineLevel="2" ht="13.5" customHeight="1">
      <c r="A391" s="2117" t="n">
        <v>0</v>
      </c>
      <c r="B391" s="2117" t="n">
        <v>5</v>
      </c>
      <c r="C391" s="2117" t="n">
        <v>1</v>
      </c>
      <c r="D391" s="2118" t="n">
        <v>4</v>
      </c>
      <c r="E391" s="2118" t="n">
        <v>0</v>
      </c>
      <c r="G391" s="1740" t="n"/>
      <c r="H391" s="1777" t="inlineStr">
        <is>
          <t>SUBETAPA</t>
        </is>
      </c>
      <c r="I391" s="1778" t="inlineStr">
        <is>
          <t>05.001.004</t>
        </is>
      </c>
      <c r="J391" s="1779" t="inlineStr">
        <is>
          <t>Drywall</t>
        </is>
      </c>
      <c r="K391" s="1780" t="n"/>
      <c r="L391" s="1781" t="n"/>
      <c r="M391" s="1781" t="n"/>
      <c r="N391" s="1746" t="n"/>
      <c r="O391" s="1782" t="n"/>
      <c r="P391" s="1720" t="n"/>
    </row>
    <row r="392" hidden="1" outlineLevel="3" ht="13.5" customHeight="1">
      <c r="A392" s="2117" t="n">
        <v>0</v>
      </c>
      <c r="B392" s="2117" t="n">
        <v>5</v>
      </c>
      <c r="C392" s="2117" t="n">
        <v>1</v>
      </c>
      <c r="D392" s="2118" t="n">
        <v>4</v>
      </c>
      <c r="E392" s="2118" t="n">
        <v>1</v>
      </c>
      <c r="G392" s="1748" t="inlineStr">
        <is>
          <t>ALVENARIA</t>
        </is>
      </c>
      <c r="H392" s="1783" t="inlineStr">
        <is>
          <t>SERVIÇO</t>
        </is>
      </c>
      <c r="I392" s="1784" t="inlineStr">
        <is>
          <t>05.001.004.001</t>
        </is>
      </c>
      <c r="J392" s="1751" t="inlineStr">
        <is>
          <t>Parede Com Sistema Em Chapas De Gesso Para Drywall, Uso Interno, Montante 48mm  (48 / HU)</t>
        </is>
      </c>
      <c r="K392" s="1752" t="inlineStr">
        <is>
          <t>m2</t>
        </is>
      </c>
      <c r="L392" s="1753" t="e">
        <v>#REF!</v>
      </c>
      <c r="M392" s="1787" t="n">
        <v>103.175377</v>
      </c>
      <c r="N392" s="1754" t="n"/>
      <c r="O392" s="1788" t="n"/>
      <c r="P392" s="1721" t="inlineStr">
        <is>
          <t>Pendente</t>
        </is>
      </c>
    </row>
    <row r="393" hidden="1" outlineLevel="3" ht="13.5" customHeight="1">
      <c r="A393" s="2117" t="n">
        <v>0</v>
      </c>
      <c r="B393" s="2117" t="n">
        <v>5</v>
      </c>
      <c r="C393" s="2117" t="n">
        <v>1</v>
      </c>
      <c r="D393" s="2118" t="n">
        <v>4</v>
      </c>
      <c r="E393" s="2118" t="n">
        <v>2</v>
      </c>
      <c r="G393" s="1748" t="inlineStr">
        <is>
          <t>ALVENARIA</t>
        </is>
      </c>
      <c r="H393" s="1783" t="inlineStr">
        <is>
          <t>SERVIÇO</t>
        </is>
      </c>
      <c r="I393" s="1784" t="inlineStr">
        <is>
          <t>05.001.004.002</t>
        </is>
      </c>
      <c r="J393" s="1751" t="inlineStr">
        <is>
          <t>Parede Com Sistema Em Chapas De Gesso Para Drywall, Uso Interno, Montante 48mm  (48 / HS)</t>
        </is>
      </c>
      <c r="K393" s="1752" t="inlineStr">
        <is>
          <t>m2</t>
        </is>
      </c>
      <c r="L393" s="1753" t="e">
        <v>#REF!</v>
      </c>
      <c r="M393" s="1787" t="n">
        <v>95.86755699999999</v>
      </c>
      <c r="N393" s="1754" t="n"/>
      <c r="O393" s="1788" t="n"/>
      <c r="P393" s="1721" t="inlineStr">
        <is>
          <t>Pendente</t>
        </is>
      </c>
    </row>
    <row r="394" hidden="1" outlineLevel="3" ht="13.5" customHeight="1">
      <c r="A394" s="2117" t="n">
        <v>0</v>
      </c>
      <c r="B394" s="2117" t="n">
        <v>5</v>
      </c>
      <c r="C394" s="2117" t="n">
        <v>1</v>
      </c>
      <c r="D394" s="2118" t="n">
        <v>4</v>
      </c>
      <c r="E394" s="2118" t="n">
        <v>3</v>
      </c>
      <c r="G394" s="1748" t="inlineStr">
        <is>
          <t>ALVENARIA</t>
        </is>
      </c>
      <c r="H394" s="1783" t="inlineStr">
        <is>
          <t>SERVIÇO</t>
        </is>
      </c>
      <c r="I394" s="1784" t="inlineStr">
        <is>
          <t>05.001.004.003</t>
        </is>
      </c>
      <c r="J394" s="1751" t="inlineStr">
        <is>
          <t>Parede Com Sistema Em Chapas De Gesso Para Drywall, Uso Interno, Montante 70mm  (HU / 70 / HS)</t>
        </is>
      </c>
      <c r="K394" s="1752" t="inlineStr">
        <is>
          <t>m2</t>
        </is>
      </c>
      <c r="L394" s="1753" t="e">
        <v>#REF!</v>
      </c>
      <c r="M394" s="1787" t="n">
        <v>165.703099</v>
      </c>
      <c r="N394" s="1754" t="n"/>
      <c r="O394" s="1788" t="n"/>
      <c r="P394" s="1721" t="inlineStr">
        <is>
          <t>Pendente</t>
        </is>
      </c>
    </row>
    <row r="395" hidden="1" outlineLevel="2" ht="13.5" customHeight="1">
      <c r="A395" s="2117" t="n">
        <v>0</v>
      </c>
      <c r="B395" s="2117" t="n">
        <v>5</v>
      </c>
      <c r="C395" s="2117" t="n">
        <v>1</v>
      </c>
      <c r="D395" s="2118" t="n">
        <v>5</v>
      </c>
      <c r="E395" s="2118" t="n">
        <v>0</v>
      </c>
      <c r="G395" s="1740" t="n"/>
      <c r="H395" s="1777" t="inlineStr">
        <is>
          <t>SUBETAPA</t>
        </is>
      </c>
      <c r="I395" s="1778" t="inlineStr">
        <is>
          <t>05.001.005</t>
        </is>
      </c>
      <c r="J395" s="1779" t="inlineStr">
        <is>
          <t>Mão de obra</t>
        </is>
      </c>
      <c r="K395" s="1780" t="n"/>
      <c r="L395" s="1781" t="n"/>
      <c r="M395" s="1781" t="n"/>
      <c r="N395" s="1746" t="n"/>
      <c r="O395" s="1782" t="n"/>
      <c r="P395" s="1720" t="n"/>
    </row>
    <row r="396" hidden="1" outlineLevel="3" ht="13.5" customHeight="1">
      <c r="A396" s="2117" t="n">
        <v>0</v>
      </c>
      <c r="B396" s="2117" t="n">
        <v>5</v>
      </c>
      <c r="C396" s="2117" t="n">
        <v>1</v>
      </c>
      <c r="D396" s="2118" t="n">
        <v>5</v>
      </c>
      <c r="E396" s="2118" t="n">
        <v>1</v>
      </c>
      <c r="G396" s="1748" t="inlineStr">
        <is>
          <t>ALVENARIA</t>
        </is>
      </c>
      <c r="H396" s="1783" t="inlineStr">
        <is>
          <t>SERVIÇO</t>
        </is>
      </c>
      <c r="I396" s="1784" t="inlineStr">
        <is>
          <t>05.001.005.001</t>
        </is>
      </c>
      <c r="J396" s="1785" t="inlineStr">
        <is>
          <t>Mão de obra para assentamento de blocos cerâmicos</t>
        </is>
      </c>
      <c r="K396" s="1786" t="inlineStr">
        <is>
          <t>m2</t>
        </is>
      </c>
      <c r="L396" s="1787" t="e">
        <v>#REF!</v>
      </c>
      <c r="M396" s="1787" t="n">
        <v>47</v>
      </c>
      <c r="N396" s="1754" t="n"/>
      <c r="O396" s="1788" t="n"/>
      <c r="P396" s="1721" t="inlineStr">
        <is>
          <t>Pendente</t>
        </is>
      </c>
    </row>
    <row r="397" hidden="1" outlineLevel="3" ht="13.5" customHeight="1">
      <c r="A397" s="2117" t="n">
        <v>0</v>
      </c>
      <c r="B397" s="2117" t="n">
        <v>5</v>
      </c>
      <c r="C397" s="2117" t="n">
        <v>1</v>
      </c>
      <c r="D397" s="2118" t="n">
        <v>5</v>
      </c>
      <c r="E397" s="2118" t="n">
        <v>2</v>
      </c>
      <c r="G397" s="1748" t="inlineStr">
        <is>
          <t>ALVENARIA</t>
        </is>
      </c>
      <c r="H397" s="1783" t="inlineStr">
        <is>
          <t>SERVIÇO</t>
        </is>
      </c>
      <c r="I397" s="1784" t="inlineStr">
        <is>
          <t>05.001.005.002</t>
        </is>
      </c>
      <c r="J397" s="1785" t="inlineStr">
        <is>
          <t>Mão de obra para assentamento de blocos de silico calcarios</t>
        </is>
      </c>
      <c r="K397" s="1786" t="inlineStr">
        <is>
          <t>m2</t>
        </is>
      </c>
      <c r="L397" s="1787" t="e">
        <v>#REF!</v>
      </c>
      <c r="M397" s="1787" t="n">
        <v>47</v>
      </c>
      <c r="N397" s="1754" t="n"/>
      <c r="O397" s="1788" t="n"/>
      <c r="P397" s="1721" t="inlineStr">
        <is>
          <t>Pendente</t>
        </is>
      </c>
    </row>
    <row r="398" hidden="1" outlineLevel="3" ht="13.5" customHeight="1">
      <c r="A398" s="2117" t="n">
        <v>0</v>
      </c>
      <c r="B398" s="2117" t="n">
        <v>5</v>
      </c>
      <c r="C398" s="2117" t="n">
        <v>1</v>
      </c>
      <c r="D398" s="2118" t="n">
        <v>5</v>
      </c>
      <c r="E398" s="2118" t="n">
        <v>3</v>
      </c>
      <c r="G398" s="1748" t="inlineStr">
        <is>
          <t>ALVENARIA</t>
        </is>
      </c>
      <c r="H398" s="1783" t="inlineStr">
        <is>
          <t>SERVIÇO</t>
        </is>
      </c>
      <c r="I398" s="1784" t="inlineStr">
        <is>
          <t>05.001.005.003</t>
        </is>
      </c>
      <c r="J398" s="1751" t="inlineStr">
        <is>
          <t xml:space="preserve">Mão de obra para Sistema de vedação em drywall </t>
        </is>
      </c>
      <c r="K398" s="1786" t="inlineStr">
        <is>
          <t>m2</t>
        </is>
      </c>
      <c r="L398" s="1753" t="e">
        <v>#REF!</v>
      </c>
      <c r="M398" s="1787" t="e">
        <v>#REF!</v>
      </c>
      <c r="N398" s="1754" t="n"/>
      <c r="O398" s="1755" t="n"/>
      <c r="P398" s="1721" t="inlineStr">
        <is>
          <t>Pendente</t>
        </is>
      </c>
    </row>
    <row r="399" hidden="1" outlineLevel="1" ht="13.5" customHeight="1">
      <c r="A399" s="2117" t="n">
        <v>0</v>
      </c>
      <c r="B399" s="2117" t="n">
        <v>5</v>
      </c>
      <c r="C399" s="2117" t="n">
        <v>2</v>
      </c>
      <c r="D399" s="2118" t="n">
        <v>0</v>
      </c>
      <c r="E399" s="2118" t="n">
        <v>3</v>
      </c>
      <c r="G399" s="1733" t="n"/>
      <c r="H399" s="1771" t="inlineStr">
        <is>
          <t>ETAPA</t>
        </is>
      </c>
      <c r="I399" s="1772" t="inlineStr">
        <is>
          <t>05.002</t>
        </is>
      </c>
      <c r="J399" s="1773" t="inlineStr">
        <is>
          <t>PAREDES E DIVISÓRIAS - Mezanino G1</t>
        </is>
      </c>
      <c r="K399" s="1774" t="n"/>
      <c r="L399" s="1775" t="n"/>
      <c r="M399" s="1775" t="n"/>
      <c r="N399" s="1739" t="n"/>
      <c r="O399" s="1776" t="n"/>
      <c r="P399" s="1719" t="n"/>
    </row>
    <row r="400" hidden="1" outlineLevel="2" ht="13.5" customHeight="1">
      <c r="A400" s="2117" t="n">
        <v>0</v>
      </c>
      <c r="B400" s="2117" t="n">
        <v>5</v>
      </c>
      <c r="C400" s="2117" t="n">
        <v>2</v>
      </c>
      <c r="D400" s="2118" t="n">
        <v>1</v>
      </c>
      <c r="E400" s="2118" t="n">
        <v>0</v>
      </c>
      <c r="G400" s="1740" t="n"/>
      <c r="H400" s="1777" t="inlineStr">
        <is>
          <t>SUBETAPA</t>
        </is>
      </c>
      <c r="I400" s="1778" t="inlineStr">
        <is>
          <t>05.002.001</t>
        </is>
      </c>
      <c r="J400" s="1779" t="inlineStr">
        <is>
          <t>Alevanaria de vedação com blocos cerâmicos</t>
        </is>
      </c>
      <c r="K400" s="1780" t="n"/>
      <c r="L400" s="1781" t="n"/>
      <c r="M400" s="1781" t="n"/>
      <c r="N400" s="1746" t="n"/>
      <c r="O400" s="1782" t="n"/>
      <c r="P400" s="1720" t="n"/>
    </row>
    <row r="401" hidden="1" outlineLevel="3" ht="13.5" customHeight="1">
      <c r="A401" s="2117" t="n">
        <v>0</v>
      </c>
      <c r="B401" s="2117" t="n">
        <v>5</v>
      </c>
      <c r="C401" s="2117" t="n">
        <v>2</v>
      </c>
      <c r="D401" s="2118" t="n">
        <v>1</v>
      </c>
      <c r="E401" s="2118" t="n">
        <v>1</v>
      </c>
      <c r="G401" s="1748" t="inlineStr">
        <is>
          <t>ALVENARIA</t>
        </is>
      </c>
      <c r="H401" s="1783" t="inlineStr">
        <is>
          <t>SERVIÇO</t>
        </is>
      </c>
      <c r="I401" s="1784" t="inlineStr">
        <is>
          <t>05.002.001.001</t>
        </is>
      </c>
      <c r="J401" s="1785" t="inlineStr">
        <is>
          <t>Alvenaria de vedacao de blocos ceramicos de 19x19x39cm com argamassa industrializada de assentamento</t>
        </is>
      </c>
      <c r="K401" s="1786" t="inlineStr">
        <is>
          <t>m2</t>
        </is>
      </c>
      <c r="L401" s="1787" t="e">
        <v>#REF!</v>
      </c>
      <c r="M401" s="1787" t="n">
        <v>35.09999999999999</v>
      </c>
      <c r="N401" s="1754" t="n"/>
      <c r="O401" s="1788" t="n"/>
      <c r="P401" s="1721" t="inlineStr">
        <is>
          <t>Pendente</t>
        </is>
      </c>
    </row>
    <row r="402" hidden="1" outlineLevel="2" ht="13.5" customHeight="1">
      <c r="A402" s="2117" t="n">
        <v>0</v>
      </c>
      <c r="B402" s="2117" t="n">
        <v>5</v>
      </c>
      <c r="C402" s="2117" t="n">
        <v>2</v>
      </c>
      <c r="D402" s="2118" t="n">
        <v>2</v>
      </c>
      <c r="E402" s="2118" t="n">
        <v>0</v>
      </c>
      <c r="G402" s="1740" t="n"/>
      <c r="H402" s="1777" t="inlineStr">
        <is>
          <t>SUBETAPA</t>
        </is>
      </c>
      <c r="I402" s="1778" t="inlineStr">
        <is>
          <t>05.002.002</t>
        </is>
      </c>
      <c r="J402" s="1779" t="inlineStr">
        <is>
          <t>Alevanaria de vedação com blocos Concreto e concreto celular</t>
        </is>
      </c>
      <c r="K402" s="1780" t="n"/>
      <c r="L402" s="1781" t="n"/>
      <c r="M402" s="1781" t="n"/>
      <c r="N402" s="1746" t="n"/>
      <c r="O402" s="1782" t="n"/>
      <c r="P402" s="1720" t="n"/>
    </row>
    <row r="403" hidden="1" outlineLevel="3" ht="13.5" customHeight="1">
      <c r="A403" s="2117" t="n">
        <v>0</v>
      </c>
      <c r="B403" s="2117" t="n">
        <v>5</v>
      </c>
      <c r="C403" s="2117" t="n">
        <v>2</v>
      </c>
      <c r="D403" s="2118" t="n">
        <v>2</v>
      </c>
      <c r="E403" s="2118" t="n">
        <v>1</v>
      </c>
      <c r="G403" s="1748" t="inlineStr">
        <is>
          <t>ALVENARIA</t>
        </is>
      </c>
      <c r="H403" s="1783" t="inlineStr">
        <is>
          <t>SERVIÇO</t>
        </is>
      </c>
      <c r="I403" s="1784" t="inlineStr">
        <is>
          <t>05.002.002.001</t>
        </is>
      </c>
      <c r="J403" s="1785" t="inlineStr">
        <is>
          <t>Alvenaria em Bloco De Concreto Celular 60x30x10cm Sical com argamassa industrializada de assentamento</t>
        </is>
      </c>
      <c r="K403" s="1786" t="inlineStr">
        <is>
          <t>m2</t>
        </is>
      </c>
      <c r="L403" s="1787" t="e">
        <v>#REF!</v>
      </c>
      <c r="M403" s="1787" t="n">
        <v>82.96000000000001</v>
      </c>
      <c r="N403" s="1754" t="n"/>
      <c r="O403" s="1788" t="n"/>
      <c r="P403" s="1721" t="inlineStr">
        <is>
          <t>Pendente</t>
        </is>
      </c>
    </row>
    <row r="404" hidden="1" outlineLevel="2" ht="13.5" customHeight="1">
      <c r="A404" s="2117" t="n">
        <v>0</v>
      </c>
      <c r="B404" s="2117" t="n">
        <v>5</v>
      </c>
      <c r="C404" s="2117" t="n">
        <v>2</v>
      </c>
      <c r="D404" s="2118" t="n">
        <v>3</v>
      </c>
      <c r="E404" s="2118" t="n">
        <v>0</v>
      </c>
      <c r="G404" s="1740" t="n"/>
      <c r="H404" s="1777" t="inlineStr">
        <is>
          <t>SUBETAPA</t>
        </is>
      </c>
      <c r="I404" s="1778" t="inlineStr">
        <is>
          <t>05.002.003</t>
        </is>
      </c>
      <c r="J404" s="1779" t="inlineStr">
        <is>
          <t>Serviços complementares para alvenaria de vedação</t>
        </is>
      </c>
      <c r="K404" s="1780" t="n"/>
      <c r="L404" s="1781" t="n"/>
      <c r="M404" s="1781" t="n"/>
      <c r="N404" s="1746" t="n"/>
      <c r="O404" s="1782" t="n"/>
      <c r="P404" s="1720" t="n"/>
    </row>
    <row r="405" hidden="1" outlineLevel="3" ht="13.5" customHeight="1">
      <c r="A405" s="2117" t="n">
        <v>0</v>
      </c>
      <c r="B405" s="2117" t="n">
        <v>5</v>
      </c>
      <c r="C405" s="2117" t="n">
        <v>2</v>
      </c>
      <c r="D405" s="2118" t="n">
        <v>3</v>
      </c>
      <c r="E405" s="2118" t="n">
        <v>1</v>
      </c>
      <c r="G405" s="1748" t="inlineStr">
        <is>
          <t>ALVENARIA</t>
        </is>
      </c>
      <c r="H405" s="1783" t="inlineStr">
        <is>
          <t>SERVIÇO</t>
        </is>
      </c>
      <c r="I405" s="1784" t="inlineStr">
        <is>
          <t>05.002.003.001</t>
        </is>
      </c>
      <c r="J405" s="1785" t="inlineStr">
        <is>
          <t>Encunhamento de alvenaria de vedação com argamassa expansiva</t>
        </is>
      </c>
      <c r="K405" s="1786" t="inlineStr">
        <is>
          <t>m</t>
        </is>
      </c>
      <c r="L405" s="1787" t="e">
        <v>#REF!</v>
      </c>
      <c r="M405" s="1787" t="n">
        <v>14.7875</v>
      </c>
      <c r="N405" s="1754" t="n"/>
      <c r="O405" s="1788" t="n"/>
      <c r="P405" s="1721" t="inlineStr">
        <is>
          <t>Pendente</t>
        </is>
      </c>
    </row>
    <row r="406" hidden="1" outlineLevel="3" ht="13.5" customHeight="1">
      <c r="A406" s="2117" t="n">
        <v>0</v>
      </c>
      <c r="B406" s="2117" t="n">
        <v>5</v>
      </c>
      <c r="C406" s="2117" t="n">
        <v>2</v>
      </c>
      <c r="D406" s="2118" t="n">
        <v>3</v>
      </c>
      <c r="E406" s="2118" t="n">
        <v>2</v>
      </c>
      <c r="G406" s="1748" t="inlineStr">
        <is>
          <t>ALVENARIA</t>
        </is>
      </c>
      <c r="H406" s="1783" t="inlineStr">
        <is>
          <t>SERVIÇO</t>
        </is>
      </c>
      <c r="I406" s="1784" t="inlineStr">
        <is>
          <t>05.002.003.002</t>
        </is>
      </c>
      <c r="J406" s="1785" t="inlineStr">
        <is>
          <t>Tela soldada para ligacao alvenaria/estrutura</t>
        </is>
      </c>
      <c r="K406" s="1786" t="inlineStr">
        <is>
          <t>un</t>
        </is>
      </c>
      <c r="L406" s="1787" t="e">
        <v>#REF!</v>
      </c>
      <c r="M406" s="1787" t="n">
        <v>4.1072</v>
      </c>
      <c r="N406" s="1754" t="n"/>
      <c r="O406" s="1788" t="n"/>
      <c r="P406" s="1721" t="inlineStr">
        <is>
          <t>Pendente</t>
        </is>
      </c>
    </row>
    <row r="407" hidden="1" outlineLevel="3" ht="13.5" customHeight="1">
      <c r="A407" s="2117" t="n">
        <v>0</v>
      </c>
      <c r="B407" s="2117" t="n">
        <v>5</v>
      </c>
      <c r="C407" s="2117" t="n">
        <v>2</v>
      </c>
      <c r="D407" s="2118" t="n">
        <v>3</v>
      </c>
      <c r="E407" s="2118" t="n">
        <v>3</v>
      </c>
      <c r="G407" s="1748" t="inlineStr">
        <is>
          <t>ALVENARIA</t>
        </is>
      </c>
      <c r="H407" s="1783" t="inlineStr">
        <is>
          <t>SERVIÇO</t>
        </is>
      </c>
      <c r="I407" s="1784" t="inlineStr">
        <is>
          <t>05.002.003.003</t>
        </is>
      </c>
      <c r="J407" s="1785" t="inlineStr">
        <is>
          <t>Verga/contraverga de concreto, moldada in loco</t>
        </is>
      </c>
      <c r="K407" s="1786" t="inlineStr">
        <is>
          <t>m</t>
        </is>
      </c>
      <c r="L407" s="1787" t="e">
        <v>#REF!</v>
      </c>
      <c r="M407" s="1787" t="n">
        <v>79.40367571053952</v>
      </c>
      <c r="N407" s="1754" t="n"/>
      <c r="O407" s="1788" t="n"/>
      <c r="P407" s="1721" t="inlineStr">
        <is>
          <t>Pendente</t>
        </is>
      </c>
    </row>
    <row r="408" hidden="1" outlineLevel="2" ht="13.5" customHeight="1">
      <c r="A408" s="2117" t="n">
        <v>0</v>
      </c>
      <c r="B408" s="2117" t="n">
        <v>5</v>
      </c>
      <c r="C408" s="2117" t="n">
        <v>2</v>
      </c>
      <c r="D408" s="2118" t="n">
        <v>4</v>
      </c>
      <c r="E408" s="2118" t="n">
        <v>0</v>
      </c>
      <c r="G408" s="1740" t="n"/>
      <c r="H408" s="1777" t="inlineStr">
        <is>
          <t>SUBETAPA</t>
        </is>
      </c>
      <c r="I408" s="1778" t="inlineStr">
        <is>
          <t>05.002.004</t>
        </is>
      </c>
      <c r="J408" s="1779" t="inlineStr">
        <is>
          <t>Drywall</t>
        </is>
      </c>
      <c r="K408" s="1780" t="n"/>
      <c r="L408" s="1781" t="n"/>
      <c r="M408" s="1781" t="n"/>
      <c r="N408" s="1746" t="n"/>
      <c r="O408" s="1782" t="n"/>
      <c r="P408" s="1720" t="n"/>
    </row>
    <row r="409" hidden="1" outlineLevel="3" ht="13.5" customHeight="1">
      <c r="A409" s="2117" t="n">
        <v>0</v>
      </c>
      <c r="B409" s="2117" t="n">
        <v>5</v>
      </c>
      <c r="C409" s="2117" t="n">
        <v>2</v>
      </c>
      <c r="D409" s="2118" t="n">
        <v>4</v>
      </c>
      <c r="E409" s="2118" t="n">
        <v>1</v>
      </c>
      <c r="G409" s="1748" t="inlineStr">
        <is>
          <t>ALVENARIA</t>
        </is>
      </c>
      <c r="H409" s="1783" t="inlineStr">
        <is>
          <t>SERVIÇO</t>
        </is>
      </c>
      <c r="I409" s="1784" t="inlineStr">
        <is>
          <t>05.002.004.001</t>
        </is>
      </c>
      <c r="J409" s="1751" t="inlineStr">
        <is>
          <t>Parede Com Sistema Em Chapas De Gesso Para Drywall, Uso Interno, Montante 48mm  (48 / HS)</t>
        </is>
      </c>
      <c r="K409" s="1752" t="inlineStr">
        <is>
          <t>m2</t>
        </is>
      </c>
      <c r="L409" s="1753" t="e">
        <v>#REF!</v>
      </c>
      <c r="M409" s="1787" t="n">
        <v>95.86755699999999</v>
      </c>
      <c r="N409" s="1754" t="n"/>
      <c r="O409" s="1788" t="n"/>
      <c r="P409" s="1721" t="inlineStr">
        <is>
          <t>Pendente</t>
        </is>
      </c>
    </row>
    <row r="410" hidden="1" outlineLevel="3" ht="13.5" customHeight="1">
      <c r="A410" s="2117" t="n">
        <v>0</v>
      </c>
      <c r="B410" s="2117" t="n">
        <v>5</v>
      </c>
      <c r="C410" s="2117" t="n">
        <v>2</v>
      </c>
      <c r="D410" s="2118" t="n">
        <v>4</v>
      </c>
      <c r="E410" s="2118" t="n">
        <v>2</v>
      </c>
      <c r="G410" s="1748" t="inlineStr">
        <is>
          <t>ALVENARIA</t>
        </is>
      </c>
      <c r="H410" s="1783" t="inlineStr">
        <is>
          <t>SERVIÇO</t>
        </is>
      </c>
      <c r="I410" s="1784" t="inlineStr">
        <is>
          <t>05.002.004.002</t>
        </is>
      </c>
      <c r="J410" s="1751" t="inlineStr">
        <is>
          <t>Parede Com Sistema Em Chapas De Gesso Para Drywall, Uso Interno, Montante 70mm  (70 / HS)</t>
        </is>
      </c>
      <c r="K410" s="1752" t="inlineStr">
        <is>
          <t>m2</t>
        </is>
      </c>
      <c r="L410" s="1753" t="e">
        <v>#REF!</v>
      </c>
      <c r="M410" s="1787" t="n">
        <v>96.52322099999999</v>
      </c>
      <c r="N410" s="1754" t="n"/>
      <c r="O410" s="1788" t="n"/>
      <c r="P410" s="1721" t="inlineStr">
        <is>
          <t>Pendente</t>
        </is>
      </c>
    </row>
    <row r="411" hidden="1" outlineLevel="3" ht="13.5" customHeight="1">
      <c r="A411" s="2117" t="n">
        <v>0</v>
      </c>
      <c r="B411" s="2117" t="n">
        <v>5</v>
      </c>
      <c r="C411" s="2117" t="n">
        <v>2</v>
      </c>
      <c r="D411" s="2118" t="n">
        <v>4</v>
      </c>
      <c r="E411" s="2118" t="n">
        <v>3</v>
      </c>
      <c r="G411" s="1748" t="inlineStr">
        <is>
          <t>ALVENARIA</t>
        </is>
      </c>
      <c r="H411" s="1783" t="inlineStr">
        <is>
          <t>SERVIÇO</t>
        </is>
      </c>
      <c r="I411" s="1784" t="inlineStr">
        <is>
          <t>05.002.004.003</t>
        </is>
      </c>
      <c r="J411" s="1751" t="inlineStr">
        <is>
          <t>Parede Com Sistema Em Chapas De Gesso Para Drywall, Uso Interno, Montante 70mm  (HU / 70 / HS)</t>
        </is>
      </c>
      <c r="K411" s="1752" t="inlineStr">
        <is>
          <t>m2</t>
        </is>
      </c>
      <c r="L411" s="1753" t="e">
        <v>#REF!</v>
      </c>
      <c r="M411" s="1787" t="n">
        <v>165.703099</v>
      </c>
      <c r="N411" s="1754" t="n"/>
      <c r="O411" s="1788" t="n"/>
      <c r="P411" s="1721" t="inlineStr">
        <is>
          <t>Pendente</t>
        </is>
      </c>
    </row>
    <row r="412" hidden="1" outlineLevel="2" ht="13.5" customHeight="1">
      <c r="A412" s="2117" t="n">
        <v>0</v>
      </c>
      <c r="B412" s="2117" t="n">
        <v>5</v>
      </c>
      <c r="C412" s="2117" t="n">
        <v>2</v>
      </c>
      <c r="D412" s="2118" t="n">
        <v>5</v>
      </c>
      <c r="E412" s="2118" t="n">
        <v>0</v>
      </c>
      <c r="G412" s="1740" t="n"/>
      <c r="H412" s="1777" t="inlineStr">
        <is>
          <t>SUBETAPA</t>
        </is>
      </c>
      <c r="I412" s="1778" t="inlineStr">
        <is>
          <t>05.002.005</t>
        </is>
      </c>
      <c r="J412" s="1779" t="inlineStr">
        <is>
          <t>Mão de obra</t>
        </is>
      </c>
      <c r="K412" s="1780" t="n"/>
      <c r="L412" s="1781" t="n"/>
      <c r="M412" s="1781" t="n"/>
      <c r="N412" s="1746" t="n"/>
      <c r="O412" s="1782" t="n"/>
      <c r="P412" s="1720" t="n"/>
    </row>
    <row r="413" hidden="1" outlineLevel="3" ht="13.5" customHeight="1">
      <c r="A413" s="2117" t="n">
        <v>0</v>
      </c>
      <c r="B413" s="2117" t="n">
        <v>5</v>
      </c>
      <c r="C413" s="2117" t="n">
        <v>2</v>
      </c>
      <c r="D413" s="2118" t="n">
        <v>5</v>
      </c>
      <c r="E413" s="2118" t="n">
        <v>1</v>
      </c>
      <c r="G413" s="1748" t="inlineStr">
        <is>
          <t>ALVENARIA</t>
        </is>
      </c>
      <c r="H413" s="1783" t="inlineStr">
        <is>
          <t>SERVIÇO</t>
        </is>
      </c>
      <c r="I413" s="1784" t="inlineStr">
        <is>
          <t>05.002.005.001</t>
        </is>
      </c>
      <c r="J413" s="1785" t="inlineStr">
        <is>
          <t>Mão de obra para assentamento de blocos cerâmicos</t>
        </is>
      </c>
      <c r="K413" s="1786" t="inlineStr">
        <is>
          <t>m2</t>
        </is>
      </c>
      <c r="L413" s="1787" t="e">
        <v>#REF!</v>
      </c>
      <c r="M413" s="1787" t="n">
        <v>47</v>
      </c>
      <c r="N413" s="1754" t="n"/>
      <c r="O413" s="1788" t="n"/>
      <c r="P413" s="1721" t="inlineStr">
        <is>
          <t>Pendente</t>
        </is>
      </c>
    </row>
    <row r="414" hidden="1" outlineLevel="3" ht="13.5" customHeight="1">
      <c r="A414" s="2117" t="n">
        <v>0</v>
      </c>
      <c r="B414" s="2117" t="n">
        <v>5</v>
      </c>
      <c r="C414" s="2117" t="n">
        <v>2</v>
      </c>
      <c r="D414" s="2118" t="n">
        <v>5</v>
      </c>
      <c r="E414" s="2118" t="n">
        <v>2</v>
      </c>
      <c r="G414" s="1748" t="inlineStr">
        <is>
          <t>ALVENARIA</t>
        </is>
      </c>
      <c r="H414" s="1783" t="inlineStr">
        <is>
          <t>SERVIÇO</t>
        </is>
      </c>
      <c r="I414" s="1784" t="inlineStr">
        <is>
          <t>05.002.005.002</t>
        </is>
      </c>
      <c r="J414" s="1785" t="inlineStr">
        <is>
          <t>Mão de obra para assentamento de blocos de silico calcarios</t>
        </is>
      </c>
      <c r="K414" s="1786" t="inlineStr">
        <is>
          <t>m2</t>
        </is>
      </c>
      <c r="L414" s="1787" t="e">
        <v>#REF!</v>
      </c>
      <c r="M414" s="1787" t="n">
        <v>47</v>
      </c>
      <c r="N414" s="1754" t="n"/>
      <c r="O414" s="1788" t="n"/>
      <c r="P414" s="1721" t="inlineStr">
        <is>
          <t>Pendente</t>
        </is>
      </c>
    </row>
    <row r="415" hidden="1" outlineLevel="3" ht="13.5" customHeight="1">
      <c r="A415" s="2117" t="n">
        <v>0</v>
      </c>
      <c r="B415" s="2117" t="n">
        <v>5</v>
      </c>
      <c r="C415" s="2117" t="n">
        <v>2</v>
      </c>
      <c r="D415" s="2118" t="n">
        <v>5</v>
      </c>
      <c r="E415" s="2118" t="n">
        <v>3</v>
      </c>
      <c r="G415" s="1748" t="inlineStr">
        <is>
          <t>ALVENARIA</t>
        </is>
      </c>
      <c r="H415" s="1783" t="inlineStr">
        <is>
          <t>SERVIÇO</t>
        </is>
      </c>
      <c r="I415" s="1784" t="inlineStr">
        <is>
          <t>05.002.005.003</t>
        </is>
      </c>
      <c r="J415" s="1751" t="inlineStr">
        <is>
          <t xml:space="preserve">Mão de obra para Sistema de vedação em drywall </t>
        </is>
      </c>
      <c r="K415" s="1786" t="inlineStr">
        <is>
          <t>m2</t>
        </is>
      </c>
      <c r="L415" s="1753" t="e">
        <v>#REF!</v>
      </c>
      <c r="M415" s="1787" t="e">
        <v>#REF!</v>
      </c>
      <c r="N415" s="1754" t="n"/>
      <c r="O415" s="1788" t="n"/>
      <c r="P415" s="1721" t="inlineStr">
        <is>
          <t>Pendente</t>
        </is>
      </c>
    </row>
    <row r="416" hidden="1" outlineLevel="1" ht="13.5" customHeight="1">
      <c r="A416" s="2117" t="n">
        <v>0</v>
      </c>
      <c r="B416" s="2117" t="n">
        <v>5</v>
      </c>
      <c r="C416" s="2117" t="n">
        <v>3</v>
      </c>
      <c r="D416" s="2118" t="n">
        <v>0</v>
      </c>
      <c r="E416" s="2118" t="n">
        <v>3</v>
      </c>
      <c r="G416" s="1733" t="n"/>
      <c r="H416" s="1771" t="inlineStr">
        <is>
          <t>ETAPA</t>
        </is>
      </c>
      <c r="I416" s="1772" t="inlineStr">
        <is>
          <t>05.003</t>
        </is>
      </c>
      <c r="J416" s="1773" t="inlineStr">
        <is>
          <t>PAREDES E DIVISÓRIAS - G2</t>
        </is>
      </c>
      <c r="K416" s="1774" t="n"/>
      <c r="L416" s="1775" t="n"/>
      <c r="M416" s="1775" t="n"/>
      <c r="N416" s="1739" t="n"/>
      <c r="O416" s="1776" t="n"/>
      <c r="P416" s="1719" t="n"/>
    </row>
    <row r="417" hidden="1" outlineLevel="2" ht="13.5" customHeight="1">
      <c r="A417" s="2117" t="n">
        <v>0</v>
      </c>
      <c r="B417" s="2117" t="n">
        <v>5</v>
      </c>
      <c r="C417" s="2117" t="n">
        <v>3</v>
      </c>
      <c r="D417" s="2118" t="n">
        <v>1</v>
      </c>
      <c r="E417" s="2118" t="n">
        <v>0</v>
      </c>
      <c r="G417" s="1740" t="n"/>
      <c r="H417" s="1777" t="inlineStr">
        <is>
          <t>SUBETAPA</t>
        </is>
      </c>
      <c r="I417" s="1778" t="inlineStr">
        <is>
          <t>05.003.001</t>
        </is>
      </c>
      <c r="J417" s="1779" t="inlineStr">
        <is>
          <t>Alevanaria de vedação com blocos cerâmicos</t>
        </is>
      </c>
      <c r="K417" s="1780" t="n"/>
      <c r="L417" s="1781" t="n"/>
      <c r="M417" s="1781" t="n"/>
      <c r="N417" s="1746" t="n"/>
      <c r="O417" s="1782" t="n"/>
      <c r="P417" s="1720" t="n"/>
    </row>
    <row r="418" hidden="1" outlineLevel="3" ht="13.5" customHeight="1">
      <c r="A418" s="2117" t="n">
        <v>0</v>
      </c>
      <c r="B418" s="2117" t="n">
        <v>5</v>
      </c>
      <c r="C418" s="2117" t="n">
        <v>3</v>
      </c>
      <c r="D418" s="2118" t="n">
        <v>1</v>
      </c>
      <c r="E418" s="2118" t="n">
        <v>1</v>
      </c>
      <c r="G418" s="1748" t="inlineStr">
        <is>
          <t>ALVENARIA</t>
        </is>
      </c>
      <c r="H418" s="1783" t="inlineStr">
        <is>
          <t>SERVIÇO</t>
        </is>
      </c>
      <c r="I418" s="1784" t="inlineStr">
        <is>
          <t>05.003.001.001</t>
        </is>
      </c>
      <c r="J418" s="1785" t="inlineStr">
        <is>
          <t>Alvenaria de vedacao de blocos ceramicos de 19x19x39cm com argamassa industrializada de assentamento</t>
        </is>
      </c>
      <c r="K418" s="1786" t="inlineStr">
        <is>
          <t>m2</t>
        </is>
      </c>
      <c r="L418" s="1787" t="e">
        <v>#REF!</v>
      </c>
      <c r="M418" s="1787" t="n">
        <v>35.09999999999999</v>
      </c>
      <c r="N418" s="1754" t="n"/>
      <c r="O418" s="1788" t="n"/>
      <c r="P418" s="1721" t="inlineStr">
        <is>
          <t>Pendente</t>
        </is>
      </c>
    </row>
    <row r="419" hidden="1" outlineLevel="2" ht="13.5" customHeight="1">
      <c r="A419" s="2117" t="n">
        <v>0</v>
      </c>
      <c r="B419" s="2117" t="n">
        <v>5</v>
      </c>
      <c r="C419" s="2117" t="n">
        <v>3</v>
      </c>
      <c r="D419" s="2118" t="n">
        <v>2</v>
      </c>
      <c r="E419" s="2118" t="n">
        <v>0</v>
      </c>
      <c r="G419" s="1740" t="n"/>
      <c r="H419" s="1777" t="inlineStr">
        <is>
          <t>SUBETAPA</t>
        </is>
      </c>
      <c r="I419" s="1778" t="inlineStr">
        <is>
          <t>05.003.002</t>
        </is>
      </c>
      <c r="J419" s="1779" t="inlineStr">
        <is>
          <t>Alevanaria de vedação com blocos Concreto e concreto celular</t>
        </is>
      </c>
      <c r="K419" s="1780" t="n"/>
      <c r="L419" s="1781" t="n"/>
      <c r="M419" s="1781" t="n"/>
      <c r="N419" s="1746" t="n"/>
      <c r="O419" s="1782" t="n"/>
      <c r="P419" s="1720" t="n"/>
    </row>
    <row r="420" hidden="1" outlineLevel="3" ht="13.5" customHeight="1">
      <c r="A420" s="2117" t="n">
        <v>0</v>
      </c>
      <c r="B420" s="2117" t="n">
        <v>5</v>
      </c>
      <c r="C420" s="2117" t="n">
        <v>3</v>
      </c>
      <c r="D420" s="2118" t="n">
        <v>2</v>
      </c>
      <c r="E420" s="2118" t="n">
        <v>1</v>
      </c>
      <c r="G420" s="1748" t="inlineStr">
        <is>
          <t>ALVENARIA</t>
        </is>
      </c>
      <c r="H420" s="1783" t="inlineStr">
        <is>
          <t>SERVIÇO</t>
        </is>
      </c>
      <c r="I420" s="1784" t="inlineStr">
        <is>
          <t>05.003.002.001</t>
        </is>
      </c>
      <c r="J420" s="1785" t="inlineStr">
        <is>
          <t>Alvenaria em Bloco De Concreto Celular 60x30x10cm Sical com argamassa industrializada de assentamento</t>
        </is>
      </c>
      <c r="K420" s="1786" t="inlineStr">
        <is>
          <t>m2</t>
        </is>
      </c>
      <c r="L420" s="1787" t="e">
        <v>#REF!</v>
      </c>
      <c r="M420" s="1787" t="n">
        <v>82.96000000000001</v>
      </c>
      <c r="N420" s="1754" t="n"/>
      <c r="O420" s="1788" t="n"/>
      <c r="P420" s="1721" t="inlineStr">
        <is>
          <t>Pendente</t>
        </is>
      </c>
    </row>
    <row r="421" hidden="1" outlineLevel="2" ht="13.5" customHeight="1">
      <c r="A421" s="2117" t="n">
        <v>0</v>
      </c>
      <c r="B421" s="2117" t="n">
        <v>5</v>
      </c>
      <c r="C421" s="2117" t="n">
        <v>3</v>
      </c>
      <c r="D421" s="2118" t="n">
        <v>3</v>
      </c>
      <c r="E421" s="2118" t="n">
        <v>0</v>
      </c>
      <c r="G421" s="1740" t="n"/>
      <c r="H421" s="1777" t="inlineStr">
        <is>
          <t>SUBETAPA</t>
        </is>
      </c>
      <c r="I421" s="1778" t="inlineStr">
        <is>
          <t>05.003.003</t>
        </is>
      </c>
      <c r="J421" s="1779" t="inlineStr">
        <is>
          <t>Serviços complementares para alvenaria de vedação</t>
        </is>
      </c>
      <c r="K421" s="1780" t="n"/>
      <c r="L421" s="1781" t="n"/>
      <c r="M421" s="1781" t="n"/>
      <c r="N421" s="1746" t="n"/>
      <c r="O421" s="1782" t="n"/>
      <c r="P421" s="1720" t="n"/>
    </row>
    <row r="422" hidden="1" outlineLevel="3" ht="13.5" customHeight="1">
      <c r="A422" s="2117" t="n">
        <v>0</v>
      </c>
      <c r="B422" s="2117" t="n">
        <v>5</v>
      </c>
      <c r="C422" s="2117" t="n">
        <v>3</v>
      </c>
      <c r="D422" s="2118" t="n">
        <v>3</v>
      </c>
      <c r="E422" s="2118" t="n">
        <v>1</v>
      </c>
      <c r="G422" s="1748" t="inlineStr">
        <is>
          <t>ALVENARIA</t>
        </is>
      </c>
      <c r="H422" s="1783" t="inlineStr">
        <is>
          <t>SERVIÇO</t>
        </is>
      </c>
      <c r="I422" s="1784" t="inlineStr">
        <is>
          <t>05.003.003.001</t>
        </is>
      </c>
      <c r="J422" s="1785" t="inlineStr">
        <is>
          <t>Encunhamento de alvenaria de vedação com argamassa expansiva</t>
        </is>
      </c>
      <c r="K422" s="1786" t="inlineStr">
        <is>
          <t>m</t>
        </is>
      </c>
      <c r="L422" s="1787" t="e">
        <v>#REF!</v>
      </c>
      <c r="M422" s="1787" t="n">
        <v>14.7875</v>
      </c>
      <c r="N422" s="1754" t="n"/>
      <c r="O422" s="1788" t="n"/>
      <c r="P422" s="1721" t="inlineStr">
        <is>
          <t>Pendente</t>
        </is>
      </c>
    </row>
    <row r="423" hidden="1" outlineLevel="3" ht="13.5" customHeight="1">
      <c r="A423" s="2117" t="n">
        <v>0</v>
      </c>
      <c r="B423" s="2117" t="n">
        <v>5</v>
      </c>
      <c r="C423" s="2117" t="n">
        <v>3</v>
      </c>
      <c r="D423" s="2118" t="n">
        <v>3</v>
      </c>
      <c r="E423" s="2118" t="n">
        <v>2</v>
      </c>
      <c r="G423" s="1748" t="inlineStr">
        <is>
          <t>ALVENARIA</t>
        </is>
      </c>
      <c r="H423" s="1783" t="inlineStr">
        <is>
          <t>SERVIÇO</t>
        </is>
      </c>
      <c r="I423" s="1784" t="inlineStr">
        <is>
          <t>05.003.003.002</t>
        </is>
      </c>
      <c r="J423" s="1785" t="inlineStr">
        <is>
          <t>Tela soldada para ligacao alvenaria/estrutura</t>
        </is>
      </c>
      <c r="K423" s="1786" t="inlineStr">
        <is>
          <t>un</t>
        </is>
      </c>
      <c r="L423" s="1787" t="e">
        <v>#REF!</v>
      </c>
      <c r="M423" s="1787" t="n">
        <v>4.1072</v>
      </c>
      <c r="N423" s="1754" t="n"/>
      <c r="O423" s="1788" t="n"/>
      <c r="P423" s="1721" t="inlineStr">
        <is>
          <t>Pendente</t>
        </is>
      </c>
    </row>
    <row r="424" hidden="1" outlineLevel="3" ht="13.5" customHeight="1">
      <c r="A424" s="2117" t="n">
        <v>0</v>
      </c>
      <c r="B424" s="2117" t="n">
        <v>5</v>
      </c>
      <c r="C424" s="2117" t="n">
        <v>3</v>
      </c>
      <c r="D424" s="2118" t="n">
        <v>3</v>
      </c>
      <c r="E424" s="2118" t="n">
        <v>3</v>
      </c>
      <c r="G424" s="1748" t="inlineStr">
        <is>
          <t>ALVENARIA</t>
        </is>
      </c>
      <c r="H424" s="1783" t="inlineStr">
        <is>
          <t>SERVIÇO</t>
        </is>
      </c>
      <c r="I424" s="1784" t="inlineStr">
        <is>
          <t>05.003.003.003</t>
        </is>
      </c>
      <c r="J424" s="1785" t="inlineStr">
        <is>
          <t>Verga/contraverga de concreto, moldada in loco</t>
        </is>
      </c>
      <c r="K424" s="1786" t="inlineStr">
        <is>
          <t>m</t>
        </is>
      </c>
      <c r="L424" s="1787" t="e">
        <v>#REF!</v>
      </c>
      <c r="M424" s="1787" t="n">
        <v>79.40367571053952</v>
      </c>
      <c r="N424" s="1754" t="n"/>
      <c r="O424" s="1788" t="n"/>
      <c r="P424" s="1721" t="inlineStr">
        <is>
          <t>Pendente</t>
        </is>
      </c>
    </row>
    <row r="425" hidden="1" outlineLevel="2" ht="13.5" customHeight="1">
      <c r="A425" s="2117" t="n">
        <v>0</v>
      </c>
      <c r="B425" s="2117" t="n">
        <v>5</v>
      </c>
      <c r="C425" s="2117" t="n">
        <v>3</v>
      </c>
      <c r="D425" s="2118" t="n">
        <v>4</v>
      </c>
      <c r="E425" s="2118" t="n">
        <v>0</v>
      </c>
      <c r="G425" s="1740" t="n"/>
      <c r="H425" s="1777" t="inlineStr">
        <is>
          <t>SUBETAPA</t>
        </is>
      </c>
      <c r="I425" s="1778" t="inlineStr">
        <is>
          <t>05.003.004</t>
        </is>
      </c>
      <c r="J425" s="1779" t="inlineStr">
        <is>
          <t>Drywall</t>
        </is>
      </c>
      <c r="K425" s="1780" t="n"/>
      <c r="L425" s="1781" t="n"/>
      <c r="M425" s="1781" t="n"/>
      <c r="N425" s="1746" t="n"/>
      <c r="O425" s="1782" t="n"/>
      <c r="P425" s="1720" t="n"/>
    </row>
    <row r="426" hidden="1" outlineLevel="3" ht="13.5" customHeight="1">
      <c r="A426" s="2117" t="n">
        <v>0</v>
      </c>
      <c r="B426" s="2117" t="n">
        <v>5</v>
      </c>
      <c r="C426" s="2117" t="n">
        <v>3</v>
      </c>
      <c r="D426" s="2118" t="n">
        <v>4</v>
      </c>
      <c r="E426" s="2118" t="n">
        <v>1</v>
      </c>
      <c r="G426" s="1748" t="inlineStr">
        <is>
          <t>ALVENARIA</t>
        </is>
      </c>
      <c r="H426" s="1783" t="inlineStr">
        <is>
          <t>SERVIÇO</t>
        </is>
      </c>
      <c r="I426" s="1784" t="inlineStr">
        <is>
          <t>05.003.004.001</t>
        </is>
      </c>
      <c r="J426" s="1751" t="inlineStr">
        <is>
          <t>Parede Com Sistema Em Chapas De Gesso Para Drywall, Uso Interno, Montante 48mm  (48 / HS)</t>
        </is>
      </c>
      <c r="K426" s="1786" t="inlineStr">
        <is>
          <t>m2</t>
        </is>
      </c>
      <c r="L426" s="1787" t="e">
        <v>#REF!</v>
      </c>
      <c r="M426" s="1787" t="n">
        <v>95.86755699999999</v>
      </c>
      <c r="N426" s="1754" t="n"/>
      <c r="O426" s="1788" t="n"/>
      <c r="P426" s="1721" t="inlineStr">
        <is>
          <t>Pendente</t>
        </is>
      </c>
    </row>
    <row r="427" hidden="1" outlineLevel="3" ht="13.5" customHeight="1">
      <c r="A427" s="2117" t="n">
        <v>0</v>
      </c>
      <c r="B427" s="2117" t="n">
        <v>5</v>
      </c>
      <c r="C427" s="2117" t="n">
        <v>3</v>
      </c>
      <c r="D427" s="2118" t="n">
        <v>4</v>
      </c>
      <c r="E427" s="2118" t="n">
        <v>2</v>
      </c>
      <c r="G427" s="1748" t="inlineStr">
        <is>
          <t>ALVENARIA</t>
        </is>
      </c>
      <c r="H427" s="1783" t="inlineStr">
        <is>
          <t>SERVIÇO</t>
        </is>
      </c>
      <c r="I427" s="1784" t="inlineStr">
        <is>
          <t>05.003.004.002</t>
        </is>
      </c>
      <c r="J427" s="1751" t="inlineStr">
        <is>
          <t>Parede Com Sistema Em Chapas De Gesso Para Drywall, Uso Interno, Montante 70mm  (HU / 70 / HS)</t>
        </is>
      </c>
      <c r="K427" s="1786" t="inlineStr">
        <is>
          <t>m2</t>
        </is>
      </c>
      <c r="L427" s="1787" t="e">
        <v>#REF!</v>
      </c>
      <c r="M427" s="1787" t="n">
        <v>165.703099</v>
      </c>
      <c r="N427" s="1754" t="n"/>
      <c r="O427" s="1788" t="n"/>
      <c r="P427" s="1721" t="inlineStr">
        <is>
          <t>Pendente</t>
        </is>
      </c>
    </row>
    <row r="428" hidden="1" outlineLevel="2" ht="13.5" customHeight="1">
      <c r="A428" s="2117" t="n">
        <v>0</v>
      </c>
      <c r="B428" s="2117" t="n">
        <v>5</v>
      </c>
      <c r="C428" s="2117" t="n">
        <v>3</v>
      </c>
      <c r="D428" s="2118" t="n">
        <v>5</v>
      </c>
      <c r="E428" s="2118" t="n">
        <v>0</v>
      </c>
      <c r="G428" s="1740" t="n"/>
      <c r="H428" s="1777" t="inlineStr">
        <is>
          <t>SUBETAPA</t>
        </is>
      </c>
      <c r="I428" s="1778" t="inlineStr">
        <is>
          <t>05.003.005</t>
        </is>
      </c>
      <c r="J428" s="1779" t="inlineStr">
        <is>
          <t>Mão de obra</t>
        </is>
      </c>
      <c r="K428" s="1780" t="n"/>
      <c r="L428" s="1781" t="n"/>
      <c r="M428" s="1781" t="n"/>
      <c r="N428" s="1746" t="n"/>
      <c r="O428" s="1782" t="n"/>
      <c r="P428" s="1720" t="n"/>
    </row>
    <row r="429" hidden="1" outlineLevel="3" ht="13.5" customHeight="1">
      <c r="A429" s="2117" t="n">
        <v>0</v>
      </c>
      <c r="B429" s="2117" t="n">
        <v>5</v>
      </c>
      <c r="C429" s="2117" t="n">
        <v>3</v>
      </c>
      <c r="D429" s="2118" t="n">
        <v>5</v>
      </c>
      <c r="E429" s="2118" t="n">
        <v>1</v>
      </c>
      <c r="G429" s="1748" t="inlineStr">
        <is>
          <t>ALVENARIA</t>
        </is>
      </c>
      <c r="H429" s="1783" t="inlineStr">
        <is>
          <t>SERVIÇO</t>
        </is>
      </c>
      <c r="I429" s="1784" t="inlineStr">
        <is>
          <t>05.003.005.001</t>
        </is>
      </c>
      <c r="J429" s="1785" t="inlineStr">
        <is>
          <t>Mão de obra para assentamento de blocos cerâmicos</t>
        </is>
      </c>
      <c r="K429" s="1786" t="inlineStr">
        <is>
          <t>m2</t>
        </is>
      </c>
      <c r="L429" s="1787" t="e">
        <v>#REF!</v>
      </c>
      <c r="M429" s="1787" t="n">
        <v>47</v>
      </c>
      <c r="N429" s="1754" t="n"/>
      <c r="O429" s="1788" t="n"/>
      <c r="P429" s="1721" t="inlineStr">
        <is>
          <t>Pendente</t>
        </is>
      </c>
    </row>
    <row r="430" hidden="1" outlineLevel="3" ht="13.5" customHeight="1">
      <c r="A430" s="2117" t="n">
        <v>0</v>
      </c>
      <c r="B430" s="2117" t="n">
        <v>5</v>
      </c>
      <c r="C430" s="2117" t="n">
        <v>3</v>
      </c>
      <c r="D430" s="2118" t="n">
        <v>5</v>
      </c>
      <c r="E430" s="2118" t="n">
        <v>2</v>
      </c>
      <c r="G430" s="1748" t="inlineStr">
        <is>
          <t>ALVENARIA</t>
        </is>
      </c>
      <c r="H430" s="1783" t="inlineStr">
        <is>
          <t>SERVIÇO</t>
        </is>
      </c>
      <c r="I430" s="1784" t="inlineStr">
        <is>
          <t>05.003.005.002</t>
        </is>
      </c>
      <c r="J430" s="1785" t="inlineStr">
        <is>
          <t>Mão de obra para assentamento de blocos de silico calcarios</t>
        </is>
      </c>
      <c r="K430" s="1786" t="inlineStr">
        <is>
          <t>m2</t>
        </is>
      </c>
      <c r="L430" s="1787" t="e">
        <v>#REF!</v>
      </c>
      <c r="M430" s="1787" t="n">
        <v>47</v>
      </c>
      <c r="N430" s="1754" t="n"/>
      <c r="O430" s="1788" t="n"/>
      <c r="P430" s="1721" t="inlineStr">
        <is>
          <t>Pendente</t>
        </is>
      </c>
    </row>
    <row r="431" hidden="1" outlineLevel="3" ht="13.5" customHeight="1">
      <c r="A431" s="2117" t="n">
        <v>0</v>
      </c>
      <c r="B431" s="2117" t="n">
        <v>5</v>
      </c>
      <c r="C431" s="2117" t="n">
        <v>3</v>
      </c>
      <c r="D431" s="2118" t="n">
        <v>5</v>
      </c>
      <c r="E431" s="2118" t="n">
        <v>3</v>
      </c>
      <c r="G431" s="1748" t="inlineStr">
        <is>
          <t>ALVENARIA</t>
        </is>
      </c>
      <c r="H431" s="1783" t="inlineStr">
        <is>
          <t>SERVIÇO</t>
        </is>
      </c>
      <c r="I431" s="1784" t="inlineStr">
        <is>
          <t>05.003.005.003</t>
        </is>
      </c>
      <c r="J431" s="1751" t="inlineStr">
        <is>
          <t xml:space="preserve">Mão de obra para Sistema de vedação em drywall </t>
        </is>
      </c>
      <c r="K431" s="1786" t="inlineStr">
        <is>
          <t>m2</t>
        </is>
      </c>
      <c r="L431" s="1753" t="e">
        <v>#REF!</v>
      </c>
      <c r="M431" s="1787" t="e">
        <v>#REF!</v>
      </c>
      <c r="N431" s="1754" t="n"/>
      <c r="O431" s="1788" t="n"/>
      <c r="P431" s="1721" t="inlineStr">
        <is>
          <t>Pendente</t>
        </is>
      </c>
    </row>
    <row r="432" hidden="1" outlineLevel="1" ht="13.5" customHeight="1">
      <c r="A432" s="2117" t="n">
        <v>0</v>
      </c>
      <c r="B432" s="2117" t="n">
        <v>5</v>
      </c>
      <c r="C432" s="2117" t="n">
        <v>4</v>
      </c>
      <c r="D432" s="2118" t="n">
        <v>0</v>
      </c>
      <c r="E432" s="2118" t="n">
        <v>3</v>
      </c>
      <c r="G432" s="1733" t="n"/>
      <c r="H432" s="1771" t="inlineStr">
        <is>
          <t>ETAPA</t>
        </is>
      </c>
      <c r="I432" s="1772" t="inlineStr">
        <is>
          <t>05.004</t>
        </is>
      </c>
      <c r="J432" s="1773" t="inlineStr">
        <is>
          <t>PAREDES E DIVISÓRIAS - Mezanino G2</t>
        </is>
      </c>
      <c r="K432" s="1774" t="n"/>
      <c r="L432" s="1775" t="n"/>
      <c r="M432" s="1775" t="n"/>
      <c r="N432" s="1739" t="n"/>
      <c r="O432" s="1776" t="n"/>
      <c r="P432" s="1719" t="n"/>
    </row>
    <row r="433" hidden="1" outlineLevel="2" ht="13.5" customHeight="1">
      <c r="A433" s="2117" t="n">
        <v>0</v>
      </c>
      <c r="B433" s="2117" t="n">
        <v>5</v>
      </c>
      <c r="C433" s="2117" t="n">
        <v>4</v>
      </c>
      <c r="D433" s="2118" t="n">
        <v>1</v>
      </c>
      <c r="E433" s="2118" t="n">
        <v>0</v>
      </c>
      <c r="G433" s="1740" t="n"/>
      <c r="H433" s="1777" t="inlineStr">
        <is>
          <t>SUBETAPA</t>
        </is>
      </c>
      <c r="I433" s="1778" t="inlineStr">
        <is>
          <t>05.004.001</t>
        </is>
      </c>
      <c r="J433" s="1779" t="inlineStr">
        <is>
          <t>Alevanaria de vedação com blocos cerâmicos</t>
        </is>
      </c>
      <c r="K433" s="1780" t="n"/>
      <c r="L433" s="1781" t="n"/>
      <c r="M433" s="1781" t="n"/>
      <c r="N433" s="1746" t="n"/>
      <c r="O433" s="1782" t="n"/>
      <c r="P433" s="1720" t="n"/>
    </row>
    <row r="434" hidden="1" outlineLevel="3" ht="13.5" customHeight="1">
      <c r="A434" s="2117" t="n">
        <v>0</v>
      </c>
      <c r="B434" s="2117" t="n">
        <v>5</v>
      </c>
      <c r="C434" s="2117" t="n">
        <v>4</v>
      </c>
      <c r="D434" s="2118" t="n">
        <v>1</v>
      </c>
      <c r="E434" s="2118" t="n">
        <v>1</v>
      </c>
      <c r="G434" s="1748" t="inlineStr">
        <is>
          <t>ALVENARIA</t>
        </is>
      </c>
      <c r="H434" s="1783" t="inlineStr">
        <is>
          <t>SERVIÇO</t>
        </is>
      </c>
      <c r="I434" s="1784" t="inlineStr">
        <is>
          <t>05.004.001.001</t>
        </is>
      </c>
      <c r="J434" s="1785" t="inlineStr">
        <is>
          <t>Alvenaria de vedacao de blocos ceramicos de 19x19x39cm com argamassa industrializada de assentamento</t>
        </is>
      </c>
      <c r="K434" s="1786" t="inlineStr">
        <is>
          <t>m2</t>
        </is>
      </c>
      <c r="L434" s="1787" t="e">
        <v>#REF!</v>
      </c>
      <c r="M434" s="1787" t="n">
        <v>35.09999999999999</v>
      </c>
      <c r="N434" s="1754" t="n"/>
      <c r="O434" s="1788" t="n"/>
      <c r="P434" s="1721" t="inlineStr">
        <is>
          <t>Pendente</t>
        </is>
      </c>
    </row>
    <row r="435" hidden="1" outlineLevel="2" ht="13.5" customHeight="1">
      <c r="A435" s="2117" t="n">
        <v>0</v>
      </c>
      <c r="B435" s="2117" t="n">
        <v>5</v>
      </c>
      <c r="C435" s="2117" t="n">
        <v>4</v>
      </c>
      <c r="D435" s="2118" t="n">
        <v>2</v>
      </c>
      <c r="E435" s="2118" t="n">
        <v>0</v>
      </c>
      <c r="G435" s="1740" t="n"/>
      <c r="H435" s="1777" t="inlineStr">
        <is>
          <t>SUBETAPA</t>
        </is>
      </c>
      <c r="I435" s="1778" t="inlineStr">
        <is>
          <t>05.004.002</t>
        </is>
      </c>
      <c r="J435" s="1779" t="inlineStr">
        <is>
          <t>Alevanaria de vedação com blocos Concreto e concreto celular</t>
        </is>
      </c>
      <c r="K435" s="1780" t="n"/>
      <c r="L435" s="1781" t="n"/>
      <c r="M435" s="1781" t="n"/>
      <c r="N435" s="1746" t="n"/>
      <c r="O435" s="1782" t="n"/>
      <c r="P435" s="1720" t="n"/>
    </row>
    <row r="436" hidden="1" outlineLevel="3" ht="13.5" customHeight="1">
      <c r="A436" s="2117" t="n">
        <v>0</v>
      </c>
      <c r="B436" s="2117" t="n">
        <v>5</v>
      </c>
      <c r="C436" s="2117" t="n">
        <v>4</v>
      </c>
      <c r="D436" s="2118" t="n">
        <v>2</v>
      </c>
      <c r="E436" s="2118" t="n">
        <v>1</v>
      </c>
      <c r="G436" s="1748" t="inlineStr">
        <is>
          <t>ALVENARIA</t>
        </is>
      </c>
      <c r="H436" s="1783" t="inlineStr">
        <is>
          <t>SERVIÇO</t>
        </is>
      </c>
      <c r="I436" s="1784" t="inlineStr">
        <is>
          <t>05.004.002.001</t>
        </is>
      </c>
      <c r="J436" s="1785" t="inlineStr">
        <is>
          <t>Alvenaria em Bloco De Concreto Celular 60x30x10cm Sical com argamassa industrializada de assentamento</t>
        </is>
      </c>
      <c r="K436" s="1786" t="inlineStr">
        <is>
          <t>m2</t>
        </is>
      </c>
      <c r="L436" s="1787" t="e">
        <v>#REF!</v>
      </c>
      <c r="M436" s="1787" t="n">
        <v>82.96000000000001</v>
      </c>
      <c r="N436" s="1754" t="n"/>
      <c r="O436" s="1788" t="n"/>
      <c r="P436" s="1721" t="inlineStr">
        <is>
          <t>Pendente</t>
        </is>
      </c>
    </row>
    <row r="437" hidden="1" outlineLevel="2" ht="13.5" customHeight="1">
      <c r="A437" s="2117" t="n">
        <v>0</v>
      </c>
      <c r="B437" s="2117" t="n">
        <v>5</v>
      </c>
      <c r="C437" s="2117" t="n">
        <v>4</v>
      </c>
      <c r="D437" s="2118" t="n">
        <v>3</v>
      </c>
      <c r="E437" s="2118" t="n">
        <v>0</v>
      </c>
      <c r="G437" s="1740" t="n"/>
      <c r="H437" s="1777" t="inlineStr">
        <is>
          <t>SUBETAPA</t>
        </is>
      </c>
      <c r="I437" s="1778" t="inlineStr">
        <is>
          <t>05.004.003</t>
        </is>
      </c>
      <c r="J437" s="1779" t="inlineStr">
        <is>
          <t>Serviços complementares para alvenaria de vedação</t>
        </is>
      </c>
      <c r="K437" s="1780" t="n"/>
      <c r="L437" s="1781" t="n"/>
      <c r="M437" s="1781" t="n"/>
      <c r="N437" s="1746" t="n"/>
      <c r="O437" s="1782" t="n"/>
      <c r="P437" s="1720" t="n"/>
    </row>
    <row r="438" hidden="1" outlineLevel="3" ht="13.5" customHeight="1">
      <c r="A438" s="2117" t="n">
        <v>0</v>
      </c>
      <c r="B438" s="2117" t="n">
        <v>5</v>
      </c>
      <c r="C438" s="2117" t="n">
        <v>4</v>
      </c>
      <c r="D438" s="2118" t="n">
        <v>3</v>
      </c>
      <c r="E438" s="2118" t="n">
        <v>1</v>
      </c>
      <c r="G438" s="1748" t="inlineStr">
        <is>
          <t>ALVENARIA</t>
        </is>
      </c>
      <c r="H438" s="1783" t="inlineStr">
        <is>
          <t>SERVIÇO</t>
        </is>
      </c>
      <c r="I438" s="1784" t="inlineStr">
        <is>
          <t>05.004.003.001</t>
        </is>
      </c>
      <c r="J438" s="1785" t="inlineStr">
        <is>
          <t>Encunhamento de alvenaria de vedação com argamassa expansiva</t>
        </is>
      </c>
      <c r="K438" s="1786" t="inlineStr">
        <is>
          <t>m</t>
        </is>
      </c>
      <c r="L438" s="1787" t="e">
        <v>#REF!</v>
      </c>
      <c r="M438" s="1787" t="n">
        <v>14.7875</v>
      </c>
      <c r="N438" s="1754" t="n"/>
      <c r="O438" s="1788" t="n"/>
      <c r="P438" s="1721" t="inlineStr">
        <is>
          <t>Pendente</t>
        </is>
      </c>
    </row>
    <row r="439" hidden="1" outlineLevel="3" ht="13.5" customHeight="1">
      <c r="A439" s="2117" t="n">
        <v>0</v>
      </c>
      <c r="B439" s="2117" t="n">
        <v>5</v>
      </c>
      <c r="C439" s="2117" t="n">
        <v>4</v>
      </c>
      <c r="D439" s="2118" t="n">
        <v>3</v>
      </c>
      <c r="E439" s="2118" t="n">
        <v>2</v>
      </c>
      <c r="G439" s="1748" t="inlineStr">
        <is>
          <t>ALVENARIA</t>
        </is>
      </c>
      <c r="H439" s="1783" t="inlineStr">
        <is>
          <t>SERVIÇO</t>
        </is>
      </c>
      <c r="I439" s="1784" t="inlineStr">
        <is>
          <t>05.004.003.002</t>
        </is>
      </c>
      <c r="J439" s="1785" t="inlineStr">
        <is>
          <t>Tela soldada para ligacao alvenaria/estrutura</t>
        </is>
      </c>
      <c r="K439" s="1786" t="inlineStr">
        <is>
          <t>un</t>
        </is>
      </c>
      <c r="L439" s="1787" t="e">
        <v>#REF!</v>
      </c>
      <c r="M439" s="1787" t="n">
        <v>4.1072</v>
      </c>
      <c r="N439" s="1754" t="n"/>
      <c r="O439" s="1788" t="n"/>
      <c r="P439" s="1721" t="inlineStr">
        <is>
          <t>Pendente</t>
        </is>
      </c>
    </row>
    <row r="440" hidden="1" outlineLevel="3" ht="13.5" customHeight="1">
      <c r="A440" s="2117" t="n">
        <v>0</v>
      </c>
      <c r="B440" s="2117" t="n">
        <v>5</v>
      </c>
      <c r="C440" s="2117" t="n">
        <v>4</v>
      </c>
      <c r="D440" s="2118" t="n">
        <v>3</v>
      </c>
      <c r="E440" s="2118" t="n">
        <v>3</v>
      </c>
      <c r="G440" s="1748" t="inlineStr">
        <is>
          <t>ALVENARIA</t>
        </is>
      </c>
      <c r="H440" s="1783" t="inlineStr">
        <is>
          <t>SERVIÇO</t>
        </is>
      </c>
      <c r="I440" s="1784" t="inlineStr">
        <is>
          <t>05.004.003.003</t>
        </is>
      </c>
      <c r="J440" s="1785" t="inlineStr">
        <is>
          <t>Verga/contraverga de concreto, moldada in loco</t>
        </is>
      </c>
      <c r="K440" s="1786" t="inlineStr">
        <is>
          <t>m</t>
        </is>
      </c>
      <c r="L440" s="1787" t="e">
        <v>#REF!</v>
      </c>
      <c r="M440" s="1787" t="n">
        <v>79.40367571053952</v>
      </c>
      <c r="N440" s="1754" t="n"/>
      <c r="O440" s="1788" t="n"/>
      <c r="P440" s="1721" t="inlineStr">
        <is>
          <t>Pendente</t>
        </is>
      </c>
    </row>
    <row r="441" hidden="1" outlineLevel="2" ht="13.5" customHeight="1">
      <c r="A441" s="2117" t="n">
        <v>0</v>
      </c>
      <c r="B441" s="2117" t="n">
        <v>5</v>
      </c>
      <c r="C441" s="2117" t="n">
        <v>4</v>
      </c>
      <c r="D441" s="2118" t="n">
        <v>4</v>
      </c>
      <c r="E441" s="2118" t="n">
        <v>0</v>
      </c>
      <c r="G441" s="1740" t="n"/>
      <c r="H441" s="1777" t="inlineStr">
        <is>
          <t>SUBETAPA</t>
        </is>
      </c>
      <c r="I441" s="1778" t="inlineStr">
        <is>
          <t>05.004.004</t>
        </is>
      </c>
      <c r="J441" s="1779" t="inlineStr">
        <is>
          <t>Drywall</t>
        </is>
      </c>
      <c r="K441" s="1780" t="n"/>
      <c r="L441" s="1781" t="n"/>
      <c r="M441" s="1781" t="n"/>
      <c r="N441" s="1746" t="n"/>
      <c r="O441" s="1782" t="n"/>
      <c r="P441" s="1720" t="n"/>
    </row>
    <row r="442" hidden="1" outlineLevel="3" ht="13.5" customHeight="1">
      <c r="A442" s="2117" t="n">
        <v>0</v>
      </c>
      <c r="B442" s="2117" t="n">
        <v>5</v>
      </c>
      <c r="C442" s="2117" t="n">
        <v>4</v>
      </c>
      <c r="D442" s="2118" t="n">
        <v>4</v>
      </c>
      <c r="E442" s="2118" t="n">
        <v>1</v>
      </c>
      <c r="G442" s="1748" t="inlineStr">
        <is>
          <t>ALVENARIA</t>
        </is>
      </c>
      <c r="H442" s="1783" t="inlineStr">
        <is>
          <t>SERVIÇO</t>
        </is>
      </c>
      <c r="I442" s="1784" t="inlineStr">
        <is>
          <t>05.004.004.001</t>
        </is>
      </c>
      <c r="J442" s="1751" t="inlineStr">
        <is>
          <t>Parede Com Sistema Em Chapas De Gesso Para Drywall, Uso Interno, Montante 48mm  (48 / HS)</t>
        </is>
      </c>
      <c r="K442" s="1786" t="inlineStr">
        <is>
          <t>m2</t>
        </is>
      </c>
      <c r="L442" s="1787" t="e">
        <v>#REF!</v>
      </c>
      <c r="M442" s="1787" t="n">
        <v>95.86755699999999</v>
      </c>
      <c r="N442" s="1754" t="n"/>
      <c r="O442" s="1788" t="n"/>
      <c r="P442" s="1721" t="inlineStr">
        <is>
          <t>Pendente</t>
        </is>
      </c>
    </row>
    <row r="443" hidden="1" outlineLevel="3" ht="13.5" customHeight="1">
      <c r="A443" s="2117" t="n">
        <v>0</v>
      </c>
      <c r="B443" s="2117" t="n">
        <v>5</v>
      </c>
      <c r="C443" s="2117" t="n">
        <v>4</v>
      </c>
      <c r="D443" s="2118" t="n">
        <v>4</v>
      </c>
      <c r="E443" s="2118" t="n">
        <v>2</v>
      </c>
      <c r="G443" s="1748" t="inlineStr">
        <is>
          <t>ALVENARIA</t>
        </is>
      </c>
      <c r="H443" s="1783" t="inlineStr">
        <is>
          <t>SERVIÇO</t>
        </is>
      </c>
      <c r="I443" s="1784" t="inlineStr">
        <is>
          <t>05.004.004.002</t>
        </is>
      </c>
      <c r="J443" s="1751" t="inlineStr">
        <is>
          <t>Parede Com Sistema Em Chapas De Gesso Para Drywall, Uso Interno, Montante 70mm  (HU / 70 / HS)</t>
        </is>
      </c>
      <c r="K443" s="1786" t="inlineStr">
        <is>
          <t>m2</t>
        </is>
      </c>
      <c r="L443" s="1787" t="e">
        <v>#REF!</v>
      </c>
      <c r="M443" s="1787" t="n">
        <v>165.703099</v>
      </c>
      <c r="N443" s="1754" t="n"/>
      <c r="O443" s="1788" t="n"/>
      <c r="P443" s="1721" t="inlineStr">
        <is>
          <t>Pendente</t>
        </is>
      </c>
    </row>
    <row r="444" hidden="1" outlineLevel="2" ht="13.5" customHeight="1">
      <c r="A444" s="2117" t="n">
        <v>0</v>
      </c>
      <c r="B444" s="2117" t="n">
        <v>5</v>
      </c>
      <c r="C444" s="2117" t="n">
        <v>4</v>
      </c>
      <c r="D444" s="2118" t="n">
        <v>5</v>
      </c>
      <c r="E444" s="2118" t="n">
        <v>0</v>
      </c>
      <c r="G444" s="1740" t="n"/>
      <c r="H444" s="1777" t="inlineStr">
        <is>
          <t>SUBETAPA</t>
        </is>
      </c>
      <c r="I444" s="1778" t="inlineStr">
        <is>
          <t>05.004.005</t>
        </is>
      </c>
      <c r="J444" s="1779" t="inlineStr">
        <is>
          <t>Mão de obra</t>
        </is>
      </c>
      <c r="K444" s="1780" t="n"/>
      <c r="L444" s="1781" t="n"/>
      <c r="M444" s="1781" t="n"/>
      <c r="N444" s="1746" t="n"/>
      <c r="O444" s="1782" t="n"/>
      <c r="P444" s="1720" t="n"/>
    </row>
    <row r="445" hidden="1" outlineLevel="3" ht="13.5" customHeight="1">
      <c r="A445" s="2117" t="n">
        <v>0</v>
      </c>
      <c r="B445" s="2117" t="n">
        <v>5</v>
      </c>
      <c r="C445" s="2117" t="n">
        <v>4</v>
      </c>
      <c r="D445" s="2118" t="n">
        <v>5</v>
      </c>
      <c r="E445" s="2118" t="n">
        <v>1</v>
      </c>
      <c r="G445" s="1748" t="inlineStr">
        <is>
          <t>ALVENARIA</t>
        </is>
      </c>
      <c r="H445" s="1783" t="inlineStr">
        <is>
          <t>SERVIÇO</t>
        </is>
      </c>
      <c r="I445" s="1784" t="inlineStr">
        <is>
          <t>05.004.005.001</t>
        </is>
      </c>
      <c r="J445" s="1785" t="inlineStr">
        <is>
          <t>Mão de obra para assentamento de blocos cerâmicos</t>
        </is>
      </c>
      <c r="K445" s="1786" t="inlineStr">
        <is>
          <t>m2</t>
        </is>
      </c>
      <c r="L445" s="1787" t="e">
        <v>#REF!</v>
      </c>
      <c r="M445" s="1787" t="n">
        <v>47</v>
      </c>
      <c r="N445" s="1754" t="n"/>
      <c r="O445" s="1788" t="n"/>
      <c r="P445" s="1721" t="inlineStr">
        <is>
          <t>Pendente</t>
        </is>
      </c>
    </row>
    <row r="446" hidden="1" outlineLevel="3" ht="13.5" customHeight="1">
      <c r="A446" s="2117" t="n">
        <v>0</v>
      </c>
      <c r="B446" s="2117" t="n">
        <v>5</v>
      </c>
      <c r="C446" s="2117" t="n">
        <v>4</v>
      </c>
      <c r="D446" s="2118" t="n">
        <v>5</v>
      </c>
      <c r="E446" s="2118" t="n">
        <v>2</v>
      </c>
      <c r="G446" s="1748" t="inlineStr">
        <is>
          <t>ALVENARIA</t>
        </is>
      </c>
      <c r="H446" s="1783" t="inlineStr">
        <is>
          <t>SERVIÇO</t>
        </is>
      </c>
      <c r="I446" s="1784" t="inlineStr">
        <is>
          <t>05.004.005.002</t>
        </is>
      </c>
      <c r="J446" s="1785" t="inlineStr">
        <is>
          <t>Mão de obra para assentamento de blocos de silico calcarios</t>
        </is>
      </c>
      <c r="K446" s="1786" t="inlineStr">
        <is>
          <t>m2</t>
        </is>
      </c>
      <c r="L446" s="1787" t="e">
        <v>#REF!</v>
      </c>
      <c r="M446" s="1787" t="n">
        <v>47</v>
      </c>
      <c r="N446" s="1754" t="n"/>
      <c r="O446" s="1788" t="n"/>
      <c r="P446" s="1721" t="inlineStr">
        <is>
          <t>Pendente</t>
        </is>
      </c>
    </row>
    <row r="447" hidden="1" outlineLevel="3" ht="13.5" customHeight="1">
      <c r="A447" s="2117" t="n">
        <v>0</v>
      </c>
      <c r="B447" s="2117" t="n">
        <v>5</v>
      </c>
      <c r="C447" s="2117" t="n">
        <v>4</v>
      </c>
      <c r="D447" s="2118" t="n">
        <v>5</v>
      </c>
      <c r="E447" s="2118" t="n">
        <v>3</v>
      </c>
      <c r="G447" s="1748" t="inlineStr">
        <is>
          <t>ALVENARIA</t>
        </is>
      </c>
      <c r="H447" s="1783" t="inlineStr">
        <is>
          <t>SERVIÇO</t>
        </is>
      </c>
      <c r="I447" s="1784" t="inlineStr">
        <is>
          <t>05.004.005.003</t>
        </is>
      </c>
      <c r="J447" s="1751" t="inlineStr">
        <is>
          <t xml:space="preserve">Mão de obra para Sistema de vedação em drywall </t>
        </is>
      </c>
      <c r="K447" s="1786" t="inlineStr">
        <is>
          <t>m2</t>
        </is>
      </c>
      <c r="L447" s="1753" t="e">
        <v>#REF!</v>
      </c>
      <c r="M447" s="1787" t="e">
        <v>#REF!</v>
      </c>
      <c r="N447" s="1754" t="n"/>
      <c r="O447" s="1788" t="n"/>
      <c r="P447" s="1721" t="inlineStr">
        <is>
          <t>Pendente</t>
        </is>
      </c>
    </row>
    <row r="448" hidden="1" outlineLevel="1" ht="13.5" customHeight="1">
      <c r="A448" s="2117" t="n">
        <v>0</v>
      </c>
      <c r="B448" s="2117" t="n">
        <v>5</v>
      </c>
      <c r="C448" s="2117" t="n">
        <v>5</v>
      </c>
      <c r="D448" s="2118" t="n">
        <v>0</v>
      </c>
      <c r="E448" s="2118" t="n">
        <v>3</v>
      </c>
      <c r="G448" s="1733" t="n"/>
      <c r="H448" s="1771" t="inlineStr">
        <is>
          <t>ETAPA</t>
        </is>
      </c>
      <c r="I448" s="1772" t="inlineStr">
        <is>
          <t>05.005</t>
        </is>
      </c>
      <c r="J448" s="1773" t="inlineStr">
        <is>
          <t>PAREDES E DIVISÓRIAS - G3</t>
        </is>
      </c>
      <c r="K448" s="1774" t="n"/>
      <c r="L448" s="1775" t="n"/>
      <c r="M448" s="1775" t="n"/>
      <c r="N448" s="1739" t="n"/>
      <c r="O448" s="1776" t="n"/>
      <c r="P448" s="1719" t="n"/>
    </row>
    <row r="449" hidden="1" outlineLevel="2" ht="13.5" customHeight="1">
      <c r="A449" s="2117" t="n">
        <v>0</v>
      </c>
      <c r="B449" s="2117" t="n">
        <v>5</v>
      </c>
      <c r="C449" s="2117" t="n">
        <v>5</v>
      </c>
      <c r="D449" s="2118" t="n">
        <v>1</v>
      </c>
      <c r="E449" s="2118" t="n">
        <v>0</v>
      </c>
      <c r="G449" s="1740" t="n"/>
      <c r="H449" s="1777" t="inlineStr">
        <is>
          <t>SUBETAPA</t>
        </is>
      </c>
      <c r="I449" s="1778" t="inlineStr">
        <is>
          <t>05.005.001</t>
        </is>
      </c>
      <c r="J449" s="1779" t="inlineStr">
        <is>
          <t>Alevanaria de vedação com blocos cerâmicos</t>
        </is>
      </c>
      <c r="K449" s="1780" t="n"/>
      <c r="L449" s="1781" t="n"/>
      <c r="M449" s="1781" t="n"/>
      <c r="N449" s="1746" t="n"/>
      <c r="O449" s="1782" t="n"/>
      <c r="P449" s="1720" t="n"/>
    </row>
    <row r="450" hidden="1" outlineLevel="3" ht="13.5" customHeight="1">
      <c r="A450" s="2117" t="n">
        <v>0</v>
      </c>
      <c r="B450" s="2117" t="n">
        <v>5</v>
      </c>
      <c r="C450" s="2117" t="n">
        <v>5</v>
      </c>
      <c r="D450" s="2118" t="n">
        <v>1</v>
      </c>
      <c r="E450" s="2118" t="n">
        <v>1</v>
      </c>
      <c r="G450" s="1748" t="inlineStr">
        <is>
          <t>ALVENARIA</t>
        </is>
      </c>
      <c r="H450" s="1783" t="inlineStr">
        <is>
          <t>SERVIÇO</t>
        </is>
      </c>
      <c r="I450" s="1784" t="inlineStr">
        <is>
          <t>05.005.001.001</t>
        </is>
      </c>
      <c r="J450" s="1785" t="inlineStr">
        <is>
          <t>Alvenaria de vedacao de blocos ceramicos de 19x19x39cm com argamassa industrializada de assentamento</t>
        </is>
      </c>
      <c r="K450" s="1786" t="inlineStr">
        <is>
          <t>m2</t>
        </is>
      </c>
      <c r="L450" s="1787" t="e">
        <v>#REF!</v>
      </c>
      <c r="M450" s="1787" t="n">
        <v>35.09999999999999</v>
      </c>
      <c r="N450" s="1754" t="n"/>
      <c r="O450" s="1788" t="n"/>
      <c r="P450" s="1721" t="inlineStr">
        <is>
          <t>Pendente</t>
        </is>
      </c>
    </row>
    <row r="451" hidden="1" outlineLevel="2" ht="13.5" customHeight="1">
      <c r="A451" s="2117" t="n">
        <v>0</v>
      </c>
      <c r="B451" s="2117" t="n">
        <v>5</v>
      </c>
      <c r="C451" s="2117" t="n">
        <v>5</v>
      </c>
      <c r="D451" s="2118" t="n">
        <v>2</v>
      </c>
      <c r="E451" s="2118" t="n">
        <v>0</v>
      </c>
      <c r="G451" s="1740" t="n"/>
      <c r="H451" s="1777" t="inlineStr">
        <is>
          <t>SUBETAPA</t>
        </is>
      </c>
      <c r="I451" s="1778" t="inlineStr">
        <is>
          <t>05.005.002</t>
        </is>
      </c>
      <c r="J451" s="1779" t="inlineStr">
        <is>
          <t>Alevanaria de vedação com blocos Concreto e concreto celular</t>
        </is>
      </c>
      <c r="K451" s="1780" t="n"/>
      <c r="L451" s="1781" t="n"/>
      <c r="M451" s="1781" t="n"/>
      <c r="N451" s="1746" t="n"/>
      <c r="O451" s="1782" t="n"/>
      <c r="P451" s="1720" t="n"/>
    </row>
    <row r="452" hidden="1" outlineLevel="3" ht="13.5" customHeight="1">
      <c r="A452" s="2117" t="n">
        <v>0</v>
      </c>
      <c r="B452" s="2117" t="n">
        <v>5</v>
      </c>
      <c r="C452" s="2117" t="n">
        <v>5</v>
      </c>
      <c r="D452" s="2118" t="n">
        <v>2</v>
      </c>
      <c r="E452" s="2118" t="n">
        <v>1</v>
      </c>
      <c r="G452" s="1748" t="inlineStr">
        <is>
          <t>ALVENARIA</t>
        </is>
      </c>
      <c r="H452" s="1783" t="inlineStr">
        <is>
          <t>SERVIÇO</t>
        </is>
      </c>
      <c r="I452" s="1784" t="inlineStr">
        <is>
          <t>05.005.002.001</t>
        </is>
      </c>
      <c r="J452" s="1785" t="inlineStr">
        <is>
          <t>Alvenaria em Bloco De Concreto Celular 60x30x10cm Sical com argamassa industrializada de assentamento</t>
        </is>
      </c>
      <c r="K452" s="1786" t="inlineStr">
        <is>
          <t>m2</t>
        </is>
      </c>
      <c r="L452" s="1787" t="e">
        <v>#REF!</v>
      </c>
      <c r="M452" s="1787" t="n">
        <v>82.96000000000001</v>
      </c>
      <c r="N452" s="1754" t="n"/>
      <c r="O452" s="1788" t="n"/>
      <c r="P452" s="1721" t="inlineStr">
        <is>
          <t>Pendente</t>
        </is>
      </c>
    </row>
    <row r="453" hidden="1" outlineLevel="2" ht="13.5" customHeight="1">
      <c r="A453" s="2117" t="n">
        <v>0</v>
      </c>
      <c r="B453" s="2117" t="n">
        <v>5</v>
      </c>
      <c r="C453" s="2117" t="n">
        <v>5</v>
      </c>
      <c r="D453" s="2118" t="n">
        <v>3</v>
      </c>
      <c r="E453" s="2118" t="n">
        <v>0</v>
      </c>
      <c r="G453" s="1740" t="n"/>
      <c r="H453" s="1777" t="inlineStr">
        <is>
          <t>SUBETAPA</t>
        </is>
      </c>
      <c r="I453" s="1778" t="inlineStr">
        <is>
          <t>05.005.003</t>
        </is>
      </c>
      <c r="J453" s="1779" t="inlineStr">
        <is>
          <t>Serviços complementares para alvenaria de vedação</t>
        </is>
      </c>
      <c r="K453" s="1780" t="n"/>
      <c r="L453" s="1781" t="n"/>
      <c r="M453" s="1781" t="n"/>
      <c r="N453" s="1746" t="n"/>
      <c r="O453" s="1782" t="n"/>
      <c r="P453" s="1720" t="n"/>
    </row>
    <row r="454" hidden="1" outlineLevel="3" ht="13.5" customHeight="1">
      <c r="A454" s="2117" t="n">
        <v>0</v>
      </c>
      <c r="B454" s="2117" t="n">
        <v>5</v>
      </c>
      <c r="C454" s="2117" t="n">
        <v>5</v>
      </c>
      <c r="D454" s="2118" t="n">
        <v>3</v>
      </c>
      <c r="E454" s="2118" t="n">
        <v>1</v>
      </c>
      <c r="G454" s="1748" t="inlineStr">
        <is>
          <t>ALVENARIA</t>
        </is>
      </c>
      <c r="H454" s="1783" t="inlineStr">
        <is>
          <t>SERVIÇO</t>
        </is>
      </c>
      <c r="I454" s="1784" t="inlineStr">
        <is>
          <t>05.005.003.001</t>
        </is>
      </c>
      <c r="J454" s="1785" t="inlineStr">
        <is>
          <t>Encunhamento de alvenaria de vedação com argamassa expansiva</t>
        </is>
      </c>
      <c r="K454" s="1786" t="inlineStr">
        <is>
          <t>m</t>
        </is>
      </c>
      <c r="L454" s="1787" t="e">
        <v>#REF!</v>
      </c>
      <c r="M454" s="1787" t="n">
        <v>14.7875</v>
      </c>
      <c r="N454" s="1754" t="n"/>
      <c r="O454" s="1788" t="n"/>
      <c r="P454" s="1721" t="inlineStr">
        <is>
          <t>Pendente</t>
        </is>
      </c>
    </row>
    <row r="455" hidden="1" outlineLevel="3" ht="13.5" customHeight="1">
      <c r="A455" s="2117" t="n">
        <v>0</v>
      </c>
      <c r="B455" s="2117" t="n">
        <v>5</v>
      </c>
      <c r="C455" s="2117" t="n">
        <v>5</v>
      </c>
      <c r="D455" s="2118" t="n">
        <v>3</v>
      </c>
      <c r="E455" s="2118" t="n">
        <v>2</v>
      </c>
      <c r="G455" s="1748" t="inlineStr">
        <is>
          <t>ALVENARIA</t>
        </is>
      </c>
      <c r="H455" s="1783" t="inlineStr">
        <is>
          <t>SERVIÇO</t>
        </is>
      </c>
      <c r="I455" s="1784" t="inlineStr">
        <is>
          <t>05.005.003.002</t>
        </is>
      </c>
      <c r="J455" s="1785" t="inlineStr">
        <is>
          <t>Tela soldada para ligacao alvenaria/estrutura</t>
        </is>
      </c>
      <c r="K455" s="1786" t="inlineStr">
        <is>
          <t>un</t>
        </is>
      </c>
      <c r="L455" s="1787" t="e">
        <v>#REF!</v>
      </c>
      <c r="M455" s="1787" t="n">
        <v>4.1072</v>
      </c>
      <c r="N455" s="1754" t="n"/>
      <c r="O455" s="1788" t="n"/>
      <c r="P455" s="1721" t="inlineStr">
        <is>
          <t>Pendente</t>
        </is>
      </c>
    </row>
    <row r="456" hidden="1" outlineLevel="3" ht="13.5" customHeight="1">
      <c r="A456" s="2117" t="n">
        <v>0</v>
      </c>
      <c r="B456" s="2117" t="n">
        <v>5</v>
      </c>
      <c r="C456" s="2117" t="n">
        <v>5</v>
      </c>
      <c r="D456" s="2118" t="n">
        <v>3</v>
      </c>
      <c r="E456" s="2118" t="n">
        <v>3</v>
      </c>
      <c r="G456" s="1748" t="inlineStr">
        <is>
          <t>ALVENARIA</t>
        </is>
      </c>
      <c r="H456" s="1783" t="inlineStr">
        <is>
          <t>SERVIÇO</t>
        </is>
      </c>
      <c r="I456" s="1784" t="inlineStr">
        <is>
          <t>05.005.003.003</t>
        </is>
      </c>
      <c r="J456" s="1785" t="inlineStr">
        <is>
          <t>Verga/contraverga de concreto, moldada in loco</t>
        </is>
      </c>
      <c r="K456" s="1786" t="inlineStr">
        <is>
          <t>m</t>
        </is>
      </c>
      <c r="L456" s="1787" t="e">
        <v>#REF!</v>
      </c>
      <c r="M456" s="1787" t="n">
        <v>79.40367571053952</v>
      </c>
      <c r="N456" s="1754" t="n"/>
      <c r="O456" s="1788" t="n"/>
      <c r="P456" s="1721" t="inlineStr">
        <is>
          <t>Pendente</t>
        </is>
      </c>
    </row>
    <row r="457" hidden="1" outlineLevel="2" ht="13.5" customHeight="1">
      <c r="A457" s="2117" t="n">
        <v>0</v>
      </c>
      <c r="B457" s="2117" t="n">
        <v>5</v>
      </c>
      <c r="C457" s="2117" t="n">
        <v>5</v>
      </c>
      <c r="D457" s="2118" t="n">
        <v>4</v>
      </c>
      <c r="E457" s="2118" t="n">
        <v>0</v>
      </c>
      <c r="G457" s="1740" t="n"/>
      <c r="H457" s="1777" t="inlineStr">
        <is>
          <t>SUBETAPA</t>
        </is>
      </c>
      <c r="I457" s="1778" t="inlineStr">
        <is>
          <t>05.005.004</t>
        </is>
      </c>
      <c r="J457" s="1779" t="inlineStr">
        <is>
          <t>Drywall</t>
        </is>
      </c>
      <c r="K457" s="1780" t="n"/>
      <c r="L457" s="1781" t="n"/>
      <c r="M457" s="1781" t="n"/>
      <c r="N457" s="1746" t="n"/>
      <c r="O457" s="1782" t="n"/>
      <c r="P457" s="1720" t="n"/>
    </row>
    <row r="458" hidden="1" outlineLevel="3" ht="13.5" customHeight="1">
      <c r="A458" s="2117" t="n">
        <v>0</v>
      </c>
      <c r="B458" s="2117" t="n">
        <v>5</v>
      </c>
      <c r="C458" s="2117" t="n">
        <v>5</v>
      </c>
      <c r="D458" s="2118" t="n">
        <v>4</v>
      </c>
      <c r="E458" s="2118" t="n">
        <v>1</v>
      </c>
      <c r="G458" s="1748" t="inlineStr">
        <is>
          <t>ALVENARIA</t>
        </is>
      </c>
      <c r="H458" s="1783" t="inlineStr">
        <is>
          <t>SERVIÇO</t>
        </is>
      </c>
      <c r="I458" s="1784" t="inlineStr">
        <is>
          <t>05.005.004.001</t>
        </is>
      </c>
      <c r="J458" s="1751" t="inlineStr">
        <is>
          <t>Parede Com Sistema Em Chapas De Gesso Para Drywall, Uso Interno, Montante 48mm  (48 / HS)</t>
        </is>
      </c>
      <c r="K458" s="1786" t="inlineStr">
        <is>
          <t>m2</t>
        </is>
      </c>
      <c r="L458" s="1787" t="e">
        <v>#REF!</v>
      </c>
      <c r="M458" s="1787" t="n">
        <v>95.86755699999999</v>
      </c>
      <c r="N458" s="1754" t="n"/>
      <c r="O458" s="1788" t="n"/>
      <c r="P458" s="1721" t="inlineStr">
        <is>
          <t>Pendente</t>
        </is>
      </c>
    </row>
    <row r="459" hidden="1" outlineLevel="3" ht="13.5" customHeight="1">
      <c r="A459" s="2117" t="n">
        <v>0</v>
      </c>
      <c r="B459" s="2117" t="n">
        <v>5</v>
      </c>
      <c r="C459" s="2117" t="n">
        <v>5</v>
      </c>
      <c r="D459" s="2118" t="n">
        <v>4</v>
      </c>
      <c r="E459" s="2118" t="n">
        <v>2</v>
      </c>
      <c r="G459" s="1748" t="inlineStr">
        <is>
          <t>ALVENARIA</t>
        </is>
      </c>
      <c r="H459" s="1783" t="inlineStr">
        <is>
          <t>SERVIÇO</t>
        </is>
      </c>
      <c r="I459" s="1784" t="inlineStr">
        <is>
          <t>05.005.004.002</t>
        </is>
      </c>
      <c r="J459" s="1751" t="inlineStr">
        <is>
          <t>Parede Com Sistema Em Chapas De Gesso Para Drywall, Uso Interno, Montante 70mm  (70 / HS)</t>
        </is>
      </c>
      <c r="K459" s="1786" t="inlineStr">
        <is>
          <t>m2</t>
        </is>
      </c>
      <c r="L459" s="1787" t="e">
        <v>#REF!</v>
      </c>
      <c r="M459" s="1787" t="n">
        <v>96.52322099999999</v>
      </c>
      <c r="N459" s="1754" t="n"/>
      <c r="O459" s="1788" t="n"/>
      <c r="P459" s="1721" t="inlineStr">
        <is>
          <t>Pendente</t>
        </is>
      </c>
    </row>
    <row r="460" hidden="1" outlineLevel="3" ht="13.5" customHeight="1">
      <c r="A460" s="2117" t="n">
        <v>0</v>
      </c>
      <c r="B460" s="2117" t="n">
        <v>5</v>
      </c>
      <c r="C460" s="2117" t="n">
        <v>5</v>
      </c>
      <c r="D460" s="2118" t="n">
        <v>4</v>
      </c>
      <c r="E460" s="2118" t="n">
        <v>3</v>
      </c>
      <c r="G460" s="1748" t="inlineStr">
        <is>
          <t>ALVENARIA</t>
        </is>
      </c>
      <c r="H460" s="1783" t="inlineStr">
        <is>
          <t>SERVIÇO</t>
        </is>
      </c>
      <c r="I460" s="1784" t="inlineStr">
        <is>
          <t>05.005.004.003</t>
        </is>
      </c>
      <c r="J460" s="1751" t="inlineStr">
        <is>
          <t>Parede Com Sistema Em Chapas De Gesso Para Drywall, Uso Interno, Montante 70mm  (HU / 70 / HS)</t>
        </is>
      </c>
      <c r="K460" s="1786" t="inlineStr">
        <is>
          <t>m2</t>
        </is>
      </c>
      <c r="L460" s="1787" t="e">
        <v>#REF!</v>
      </c>
      <c r="M460" s="1787" t="n">
        <v>165.703099</v>
      </c>
      <c r="N460" s="1754" t="n"/>
      <c r="O460" s="1788" t="n"/>
      <c r="P460" s="1721" t="inlineStr">
        <is>
          <t>Pendente</t>
        </is>
      </c>
    </row>
    <row r="461" hidden="1" outlineLevel="2" ht="13.5" customHeight="1">
      <c r="A461" s="2117" t="n">
        <v>0</v>
      </c>
      <c r="B461" s="2117" t="n">
        <v>5</v>
      </c>
      <c r="C461" s="2117" t="n">
        <v>5</v>
      </c>
      <c r="D461" s="2118" t="n">
        <v>5</v>
      </c>
      <c r="E461" s="2118" t="n">
        <v>0</v>
      </c>
      <c r="G461" s="1740" t="n"/>
      <c r="H461" s="1777" t="inlineStr">
        <is>
          <t>SUBETAPA</t>
        </is>
      </c>
      <c r="I461" s="1778" t="inlineStr">
        <is>
          <t>05.005.005</t>
        </is>
      </c>
      <c r="J461" s="1779" t="inlineStr">
        <is>
          <t>Mão de obra</t>
        </is>
      </c>
      <c r="K461" s="1780" t="n"/>
      <c r="L461" s="1781" t="n"/>
      <c r="M461" s="1781" t="n"/>
      <c r="N461" s="1746" t="n"/>
      <c r="O461" s="1782" t="n"/>
      <c r="P461" s="1720" t="n"/>
    </row>
    <row r="462" hidden="1" outlineLevel="3" ht="13.5" customHeight="1">
      <c r="A462" s="2117" t="n">
        <v>0</v>
      </c>
      <c r="B462" s="2117" t="n">
        <v>5</v>
      </c>
      <c r="C462" s="2117" t="n">
        <v>5</v>
      </c>
      <c r="D462" s="2118" t="n">
        <v>5</v>
      </c>
      <c r="E462" s="2118" t="n">
        <v>1</v>
      </c>
      <c r="G462" s="1748" t="inlineStr">
        <is>
          <t>ALVENARIA</t>
        </is>
      </c>
      <c r="H462" s="1783" t="inlineStr">
        <is>
          <t>SERVIÇO</t>
        </is>
      </c>
      <c r="I462" s="1784" t="inlineStr">
        <is>
          <t>05.005.005.001</t>
        </is>
      </c>
      <c r="J462" s="1785" t="inlineStr">
        <is>
          <t>Mão de obra para assentamento de blocos cerâmicos</t>
        </is>
      </c>
      <c r="K462" s="1786" t="inlineStr">
        <is>
          <t>m2</t>
        </is>
      </c>
      <c r="L462" s="1787" t="e">
        <v>#REF!</v>
      </c>
      <c r="M462" s="1787" t="n">
        <v>47</v>
      </c>
      <c r="N462" s="1754" t="n"/>
      <c r="O462" s="1788" t="n"/>
      <c r="P462" s="1721" t="inlineStr">
        <is>
          <t>Pendente</t>
        </is>
      </c>
    </row>
    <row r="463" hidden="1" outlineLevel="3" ht="13.5" customHeight="1">
      <c r="A463" s="2117" t="n">
        <v>0</v>
      </c>
      <c r="B463" s="2117" t="n">
        <v>5</v>
      </c>
      <c r="C463" s="2117" t="n">
        <v>5</v>
      </c>
      <c r="D463" s="2118" t="n">
        <v>5</v>
      </c>
      <c r="E463" s="2118" t="n">
        <v>2</v>
      </c>
      <c r="G463" s="1748" t="inlineStr">
        <is>
          <t>ALVENARIA</t>
        </is>
      </c>
      <c r="H463" s="1783" t="inlineStr">
        <is>
          <t>SERVIÇO</t>
        </is>
      </c>
      <c r="I463" s="1784" t="inlineStr">
        <is>
          <t>05.005.005.002</t>
        </is>
      </c>
      <c r="J463" s="1785" t="inlineStr">
        <is>
          <t>Mão de obra para assentamento de blocos de silico calcarios</t>
        </is>
      </c>
      <c r="K463" s="1786" t="inlineStr">
        <is>
          <t>m2</t>
        </is>
      </c>
      <c r="L463" s="1787" t="e">
        <v>#REF!</v>
      </c>
      <c r="M463" s="1787" t="n">
        <v>47</v>
      </c>
      <c r="N463" s="1754" t="n"/>
      <c r="O463" s="1788" t="n"/>
      <c r="P463" s="1721" t="inlineStr">
        <is>
          <t>Pendente</t>
        </is>
      </c>
    </row>
    <row r="464" hidden="1" outlineLevel="3" ht="13.5" customHeight="1">
      <c r="A464" s="2117" t="n">
        <v>0</v>
      </c>
      <c r="B464" s="2117" t="n">
        <v>5</v>
      </c>
      <c r="C464" s="2117" t="n">
        <v>5</v>
      </c>
      <c r="D464" s="2118" t="n">
        <v>5</v>
      </c>
      <c r="E464" s="2118" t="n">
        <v>3</v>
      </c>
      <c r="G464" s="1748" t="inlineStr">
        <is>
          <t>ALVENARIA</t>
        </is>
      </c>
      <c r="H464" s="1783" t="inlineStr">
        <is>
          <t>SERVIÇO</t>
        </is>
      </c>
      <c r="I464" s="1784" t="inlineStr">
        <is>
          <t>05.005.005.003</t>
        </is>
      </c>
      <c r="J464" s="1751" t="inlineStr">
        <is>
          <t xml:space="preserve">Mão de obra para Sistema de vedação em drywall </t>
        </is>
      </c>
      <c r="K464" s="1786" t="inlineStr">
        <is>
          <t>m2</t>
        </is>
      </c>
      <c r="L464" s="1753" t="e">
        <v>#REF!</v>
      </c>
      <c r="M464" s="1787" t="e">
        <v>#REF!</v>
      </c>
      <c r="N464" s="1754" t="n"/>
      <c r="O464" s="1788" t="n"/>
      <c r="P464" s="1721" t="inlineStr">
        <is>
          <t>Pendente</t>
        </is>
      </c>
    </row>
    <row r="465" hidden="1" outlineLevel="1" ht="13.5" customHeight="1">
      <c r="A465" s="2117" t="n">
        <v>0</v>
      </c>
      <c r="B465" s="2117" t="n">
        <v>5</v>
      </c>
      <c r="C465" s="2117" t="n">
        <v>6</v>
      </c>
      <c r="D465" s="2118" t="n">
        <v>0</v>
      </c>
      <c r="E465" s="2118" t="n">
        <v>3</v>
      </c>
      <c r="G465" s="1733" t="n"/>
      <c r="H465" s="1771" t="inlineStr">
        <is>
          <t>ETAPA</t>
        </is>
      </c>
      <c r="I465" s="1772" t="inlineStr">
        <is>
          <t>05.006</t>
        </is>
      </c>
      <c r="J465" s="1773" t="inlineStr">
        <is>
          <t>PAREDES E DIVISÓRIAS - Mezanino G3</t>
        </is>
      </c>
      <c r="K465" s="1774" t="n"/>
      <c r="L465" s="1775" t="n"/>
      <c r="M465" s="1775" t="n"/>
      <c r="N465" s="1739" t="n"/>
      <c r="O465" s="1776" t="n"/>
      <c r="P465" s="1719" t="n"/>
    </row>
    <row r="466" hidden="1" outlineLevel="2" ht="13.5" customHeight="1">
      <c r="A466" s="2117" t="n">
        <v>0</v>
      </c>
      <c r="B466" s="2117" t="n">
        <v>5</v>
      </c>
      <c r="C466" s="2117" t="n">
        <v>6</v>
      </c>
      <c r="D466" s="2118" t="n">
        <v>1</v>
      </c>
      <c r="E466" s="2118" t="n">
        <v>0</v>
      </c>
      <c r="G466" s="1740" t="n"/>
      <c r="H466" s="1777" t="inlineStr">
        <is>
          <t>SUBETAPA</t>
        </is>
      </c>
      <c r="I466" s="1778" t="inlineStr">
        <is>
          <t>05.006.001</t>
        </is>
      </c>
      <c r="J466" s="1779" t="inlineStr">
        <is>
          <t>Alevanaria de vedação com blocos cerâmicos</t>
        </is>
      </c>
      <c r="K466" s="1780" t="n"/>
      <c r="L466" s="1781" t="n"/>
      <c r="M466" s="1781" t="n"/>
      <c r="N466" s="1746" t="n"/>
      <c r="O466" s="1782" t="n"/>
      <c r="P466" s="1720" t="n"/>
    </row>
    <row r="467" hidden="1" outlineLevel="3" ht="13.5" customHeight="1">
      <c r="A467" s="2117" t="n">
        <v>0</v>
      </c>
      <c r="B467" s="2117" t="n">
        <v>5</v>
      </c>
      <c r="C467" s="2117" t="n">
        <v>6</v>
      </c>
      <c r="D467" s="2118" t="n">
        <v>1</v>
      </c>
      <c r="E467" s="2118" t="n">
        <v>1</v>
      </c>
      <c r="G467" s="1748" t="inlineStr">
        <is>
          <t>ALVENARIA</t>
        </is>
      </c>
      <c r="H467" s="1783" t="inlineStr">
        <is>
          <t>SERVIÇO</t>
        </is>
      </c>
      <c r="I467" s="1784" t="inlineStr">
        <is>
          <t>05.006.001.001</t>
        </is>
      </c>
      <c r="J467" s="1785" t="inlineStr">
        <is>
          <t>Alvenaria de vedacao de blocos ceramicos de 19x19x39cm com argamassa industrializada de assentamento</t>
        </is>
      </c>
      <c r="K467" s="1786" t="inlineStr">
        <is>
          <t>m2</t>
        </is>
      </c>
      <c r="L467" s="1787" t="e">
        <v>#REF!</v>
      </c>
      <c r="M467" s="1787" t="n">
        <v>35.09999999999999</v>
      </c>
      <c r="N467" s="1754" t="n"/>
      <c r="O467" s="1788" t="n"/>
      <c r="P467" s="1721" t="inlineStr">
        <is>
          <t>Pendente</t>
        </is>
      </c>
    </row>
    <row r="468" hidden="1" outlineLevel="2" ht="13.5" customHeight="1">
      <c r="A468" s="2117" t="n">
        <v>0</v>
      </c>
      <c r="B468" s="2117" t="n">
        <v>5</v>
      </c>
      <c r="C468" s="2117" t="n">
        <v>6</v>
      </c>
      <c r="D468" s="2118" t="n">
        <v>2</v>
      </c>
      <c r="E468" s="2118" t="n">
        <v>0</v>
      </c>
      <c r="G468" s="1740" t="n"/>
      <c r="H468" s="1777" t="inlineStr">
        <is>
          <t>SUBETAPA</t>
        </is>
      </c>
      <c r="I468" s="1778" t="inlineStr">
        <is>
          <t>05.006.002</t>
        </is>
      </c>
      <c r="J468" s="1779" t="inlineStr">
        <is>
          <t>Alevanaria de vedação com blocos Concreto e concreto celular</t>
        </is>
      </c>
      <c r="K468" s="1780" t="n"/>
      <c r="L468" s="1781" t="n"/>
      <c r="M468" s="1781" t="n"/>
      <c r="N468" s="1746" t="n"/>
      <c r="O468" s="1782" t="n"/>
      <c r="P468" s="1720" t="n"/>
    </row>
    <row r="469" hidden="1" outlineLevel="3" ht="13.5" customHeight="1">
      <c r="A469" s="2117" t="n">
        <v>0</v>
      </c>
      <c r="B469" s="2117" t="n">
        <v>5</v>
      </c>
      <c r="C469" s="2117" t="n">
        <v>6</v>
      </c>
      <c r="D469" s="2118" t="n">
        <v>2</v>
      </c>
      <c r="E469" s="2118" t="n">
        <v>1</v>
      </c>
      <c r="G469" s="1748" t="inlineStr">
        <is>
          <t>ALVENARIA</t>
        </is>
      </c>
      <c r="H469" s="1783" t="inlineStr">
        <is>
          <t>SERVIÇO</t>
        </is>
      </c>
      <c r="I469" s="1784" t="inlineStr">
        <is>
          <t>05.006.002.001</t>
        </is>
      </c>
      <c r="J469" s="1785" t="inlineStr">
        <is>
          <t>Alvenaria em Bloco De Concreto Celular 60x30x10cm Sical com argamassa industrializada de assentamento</t>
        </is>
      </c>
      <c r="K469" s="1786" t="inlineStr">
        <is>
          <t>m2</t>
        </is>
      </c>
      <c r="L469" s="1787" t="e">
        <v>#REF!</v>
      </c>
      <c r="M469" s="1787" t="n">
        <v>82.96000000000001</v>
      </c>
      <c r="N469" s="1754" t="n"/>
      <c r="O469" s="1788" t="n"/>
      <c r="P469" s="1721" t="inlineStr">
        <is>
          <t>Pendente</t>
        </is>
      </c>
    </row>
    <row r="470" hidden="1" outlineLevel="2" ht="13.5" customHeight="1">
      <c r="A470" s="2117" t="n">
        <v>0</v>
      </c>
      <c r="B470" s="2117" t="n">
        <v>5</v>
      </c>
      <c r="C470" s="2117" t="n">
        <v>6</v>
      </c>
      <c r="D470" s="2118" t="n">
        <v>3</v>
      </c>
      <c r="E470" s="2118" t="n">
        <v>0</v>
      </c>
      <c r="G470" s="1740" t="n"/>
      <c r="H470" s="1777" t="inlineStr">
        <is>
          <t>SUBETAPA</t>
        </is>
      </c>
      <c r="I470" s="1778" t="inlineStr">
        <is>
          <t>05.006.003</t>
        </is>
      </c>
      <c r="J470" s="1779" t="inlineStr">
        <is>
          <t>Serviços complementares para alvenaria de vedação</t>
        </is>
      </c>
      <c r="K470" s="1780" t="n"/>
      <c r="L470" s="1781" t="n"/>
      <c r="M470" s="1781" t="n"/>
      <c r="N470" s="1746" t="n"/>
      <c r="O470" s="1782" t="n"/>
      <c r="P470" s="1720" t="n"/>
    </row>
    <row r="471" hidden="1" outlineLevel="3" ht="13.5" customHeight="1">
      <c r="A471" s="2117" t="n">
        <v>0</v>
      </c>
      <c r="B471" s="2117" t="n">
        <v>5</v>
      </c>
      <c r="C471" s="2117" t="n">
        <v>6</v>
      </c>
      <c r="D471" s="2118" t="n">
        <v>3</v>
      </c>
      <c r="E471" s="2118" t="n">
        <v>1</v>
      </c>
      <c r="G471" s="1748" t="inlineStr">
        <is>
          <t>ALVENARIA</t>
        </is>
      </c>
      <c r="H471" s="1783" t="inlineStr">
        <is>
          <t>SERVIÇO</t>
        </is>
      </c>
      <c r="I471" s="1784" t="inlineStr">
        <is>
          <t>05.006.003.001</t>
        </is>
      </c>
      <c r="J471" s="1785" t="inlineStr">
        <is>
          <t>Encunhamento de alvenaria de vedação com argamassa expansiva</t>
        </is>
      </c>
      <c r="K471" s="1786" t="inlineStr">
        <is>
          <t>m</t>
        </is>
      </c>
      <c r="L471" s="1787" t="e">
        <v>#REF!</v>
      </c>
      <c r="M471" s="1787" t="n">
        <v>14.7875</v>
      </c>
      <c r="N471" s="1754" t="n"/>
      <c r="O471" s="1788" t="n"/>
      <c r="P471" s="1721" t="inlineStr">
        <is>
          <t>Pendente</t>
        </is>
      </c>
    </row>
    <row r="472" hidden="1" outlineLevel="3" ht="13.5" customHeight="1">
      <c r="A472" s="2117" t="n">
        <v>0</v>
      </c>
      <c r="B472" s="2117" t="n">
        <v>5</v>
      </c>
      <c r="C472" s="2117" t="n">
        <v>6</v>
      </c>
      <c r="D472" s="2118" t="n">
        <v>3</v>
      </c>
      <c r="E472" s="2118" t="n">
        <v>2</v>
      </c>
      <c r="G472" s="1748" t="inlineStr">
        <is>
          <t>ALVENARIA</t>
        </is>
      </c>
      <c r="H472" s="1783" t="inlineStr">
        <is>
          <t>SERVIÇO</t>
        </is>
      </c>
      <c r="I472" s="1784" t="inlineStr">
        <is>
          <t>05.006.003.002</t>
        </is>
      </c>
      <c r="J472" s="1785" t="inlineStr">
        <is>
          <t>Tela soldada para ligacao alvenaria/estrutura</t>
        </is>
      </c>
      <c r="K472" s="1786" t="inlineStr">
        <is>
          <t>un</t>
        </is>
      </c>
      <c r="L472" s="1787" t="e">
        <v>#REF!</v>
      </c>
      <c r="M472" s="1787" t="n">
        <v>4.1072</v>
      </c>
      <c r="N472" s="1754" t="n"/>
      <c r="O472" s="1788" t="n"/>
      <c r="P472" s="1721" t="inlineStr">
        <is>
          <t>Pendente</t>
        </is>
      </c>
    </row>
    <row r="473" hidden="1" outlineLevel="3" ht="13.5" customHeight="1">
      <c r="A473" s="2117" t="n">
        <v>0</v>
      </c>
      <c r="B473" s="2117" t="n">
        <v>5</v>
      </c>
      <c r="C473" s="2117" t="n">
        <v>6</v>
      </c>
      <c r="D473" s="2118" t="n">
        <v>3</v>
      </c>
      <c r="E473" s="2118" t="n">
        <v>3</v>
      </c>
      <c r="G473" s="1748" t="inlineStr">
        <is>
          <t>ALVENARIA</t>
        </is>
      </c>
      <c r="H473" s="1783" t="inlineStr">
        <is>
          <t>SERVIÇO</t>
        </is>
      </c>
      <c r="I473" s="1784" t="inlineStr">
        <is>
          <t>05.006.003.003</t>
        </is>
      </c>
      <c r="J473" s="1785" t="inlineStr">
        <is>
          <t>Verga/contraverga de concreto, moldada in loco</t>
        </is>
      </c>
      <c r="K473" s="1786" t="inlineStr">
        <is>
          <t>m</t>
        </is>
      </c>
      <c r="L473" s="1787" t="e">
        <v>#REF!</v>
      </c>
      <c r="M473" s="1787" t="n">
        <v>79.40367571053952</v>
      </c>
      <c r="N473" s="1754" t="n"/>
      <c r="O473" s="1788" t="n"/>
      <c r="P473" s="1721" t="inlineStr">
        <is>
          <t>Pendente</t>
        </is>
      </c>
    </row>
    <row r="474" hidden="1" outlineLevel="2" ht="13.5" customHeight="1">
      <c r="A474" s="2117" t="n">
        <v>0</v>
      </c>
      <c r="B474" s="2117" t="n">
        <v>5</v>
      </c>
      <c r="C474" s="2117" t="n">
        <v>6</v>
      </c>
      <c r="D474" s="2118" t="n">
        <v>4</v>
      </c>
      <c r="E474" s="2118" t="n">
        <v>0</v>
      </c>
      <c r="G474" s="1740" t="n"/>
      <c r="H474" s="1777" t="inlineStr">
        <is>
          <t>SUBETAPA</t>
        </is>
      </c>
      <c r="I474" s="1778" t="inlineStr">
        <is>
          <t>05.006.004</t>
        </is>
      </c>
      <c r="J474" s="1779" t="inlineStr">
        <is>
          <t>Drywall</t>
        </is>
      </c>
      <c r="K474" s="1780" t="n"/>
      <c r="L474" s="1781" t="n"/>
      <c r="M474" s="1781" t="n"/>
      <c r="N474" s="1746" t="n"/>
      <c r="O474" s="1782" t="n"/>
      <c r="P474" s="1720" t="n"/>
    </row>
    <row r="475" hidden="1" outlineLevel="3" ht="13.5" customHeight="1">
      <c r="A475" s="2117" t="n">
        <v>0</v>
      </c>
      <c r="B475" s="2117" t="n">
        <v>5</v>
      </c>
      <c r="C475" s="2117" t="n">
        <v>6</v>
      </c>
      <c r="D475" s="2118" t="n">
        <v>4</v>
      </c>
      <c r="E475" s="2118" t="n">
        <v>1</v>
      </c>
      <c r="G475" s="1748" t="inlineStr">
        <is>
          <t>ALVENARIA</t>
        </is>
      </c>
      <c r="H475" s="1783" t="inlineStr">
        <is>
          <t>SERVIÇO</t>
        </is>
      </c>
      <c r="I475" s="1784" t="inlineStr">
        <is>
          <t>05.006.004.001</t>
        </is>
      </c>
      <c r="J475" s="1751" t="inlineStr">
        <is>
          <t>Parede Com Sistema Em Chapas De Gesso Para Drywall, Uso Interno, Montante 48mm  (48 / HS)</t>
        </is>
      </c>
      <c r="K475" s="1786" t="inlineStr">
        <is>
          <t>m2</t>
        </is>
      </c>
      <c r="L475" s="1787" t="e">
        <v>#REF!</v>
      </c>
      <c r="M475" s="1787" t="n">
        <v>95.86755699999999</v>
      </c>
      <c r="N475" s="1754" t="n"/>
      <c r="O475" s="1788" t="n"/>
      <c r="P475" s="1721" t="inlineStr">
        <is>
          <t>Pendente</t>
        </is>
      </c>
    </row>
    <row r="476" hidden="1" outlineLevel="3" ht="13.5" customHeight="1">
      <c r="A476" s="2117" t="n">
        <v>0</v>
      </c>
      <c r="B476" s="2117" t="n">
        <v>5</v>
      </c>
      <c r="C476" s="2117" t="n">
        <v>6</v>
      </c>
      <c r="D476" s="2118" t="n">
        <v>4</v>
      </c>
      <c r="E476" s="2118" t="n">
        <v>2</v>
      </c>
      <c r="G476" s="1748" t="inlineStr">
        <is>
          <t>ALVENARIA</t>
        </is>
      </c>
      <c r="H476" s="1783" t="inlineStr">
        <is>
          <t>SERVIÇO</t>
        </is>
      </c>
      <c r="I476" s="1784" t="inlineStr">
        <is>
          <t>05.006.004.002</t>
        </is>
      </c>
      <c r="J476" s="1751" t="inlineStr">
        <is>
          <t>Parede Com Sistema Em Chapas De Gesso Para Drywall, Uso Interno, Montante 70mm  (70 / HS)</t>
        </is>
      </c>
      <c r="K476" s="1786" t="inlineStr">
        <is>
          <t>m2</t>
        </is>
      </c>
      <c r="L476" s="1787" t="e">
        <v>#REF!</v>
      </c>
      <c r="M476" s="1787" t="n">
        <v>96.52322099999999</v>
      </c>
      <c r="N476" s="1754" t="n"/>
      <c r="O476" s="1788" t="n"/>
      <c r="P476" s="1721" t="inlineStr">
        <is>
          <t>Pendente</t>
        </is>
      </c>
    </row>
    <row r="477" hidden="1" outlineLevel="3" ht="13.5" customHeight="1">
      <c r="A477" s="2117" t="n">
        <v>0</v>
      </c>
      <c r="B477" s="2117" t="n">
        <v>5</v>
      </c>
      <c r="C477" s="2117" t="n">
        <v>6</v>
      </c>
      <c r="D477" s="2118" t="n">
        <v>4</v>
      </c>
      <c r="E477" s="2118" t="n">
        <v>3</v>
      </c>
      <c r="G477" s="1748" t="inlineStr">
        <is>
          <t>ALVENARIA</t>
        </is>
      </c>
      <c r="H477" s="1783" t="inlineStr">
        <is>
          <t>SERVIÇO</t>
        </is>
      </c>
      <c r="I477" s="1784" t="inlineStr">
        <is>
          <t>05.006.004.003</t>
        </is>
      </c>
      <c r="J477" s="1751" t="inlineStr">
        <is>
          <t>Parede Com Sistema Em Chapas De Gesso Para Drywall, Uso Interno, Montante 70mm  (HU / 70 / HS)</t>
        </is>
      </c>
      <c r="K477" s="1786" t="inlineStr">
        <is>
          <t>m2</t>
        </is>
      </c>
      <c r="L477" s="1787" t="e">
        <v>#REF!</v>
      </c>
      <c r="M477" s="1787" t="n">
        <v>165.703099</v>
      </c>
      <c r="N477" s="1754" t="n"/>
      <c r="O477" s="1788" t="n"/>
      <c r="P477" s="1721" t="inlineStr">
        <is>
          <t>Pendente</t>
        </is>
      </c>
    </row>
    <row r="478" hidden="1" outlineLevel="2" ht="13.5" customHeight="1">
      <c r="A478" s="2117" t="n">
        <v>0</v>
      </c>
      <c r="B478" s="2117" t="n">
        <v>5</v>
      </c>
      <c r="C478" s="2117" t="n">
        <v>6</v>
      </c>
      <c r="D478" s="2118" t="n">
        <v>5</v>
      </c>
      <c r="E478" s="2118" t="n">
        <v>0</v>
      </c>
      <c r="G478" s="1740" t="n"/>
      <c r="H478" s="1777" t="inlineStr">
        <is>
          <t>SUBETAPA</t>
        </is>
      </c>
      <c r="I478" s="1778" t="inlineStr">
        <is>
          <t>05.006.005</t>
        </is>
      </c>
      <c r="J478" s="1779" t="inlineStr">
        <is>
          <t>Mão de obra</t>
        </is>
      </c>
      <c r="K478" s="1780" t="n"/>
      <c r="L478" s="1781" t="n"/>
      <c r="M478" s="1781" t="n"/>
      <c r="N478" s="1746" t="n"/>
      <c r="O478" s="1782" t="n"/>
      <c r="P478" s="1720" t="n"/>
    </row>
    <row r="479" hidden="1" outlineLevel="3" ht="13.5" customHeight="1">
      <c r="A479" s="2117" t="n">
        <v>0</v>
      </c>
      <c r="B479" s="2117" t="n">
        <v>5</v>
      </c>
      <c r="C479" s="2117" t="n">
        <v>6</v>
      </c>
      <c r="D479" s="2118" t="n">
        <v>5</v>
      </c>
      <c r="E479" s="2118" t="n">
        <v>1</v>
      </c>
      <c r="G479" s="1748" t="inlineStr">
        <is>
          <t>ALVENARIA</t>
        </is>
      </c>
      <c r="H479" s="1783" t="inlineStr">
        <is>
          <t>SERVIÇO</t>
        </is>
      </c>
      <c r="I479" s="1784" t="inlineStr">
        <is>
          <t>05.006.005.001</t>
        </is>
      </c>
      <c r="J479" s="1785" t="inlineStr">
        <is>
          <t>Mão de obra para assentamento de blocos cerâmicos</t>
        </is>
      </c>
      <c r="K479" s="1786" t="inlineStr">
        <is>
          <t>m2</t>
        </is>
      </c>
      <c r="L479" s="1787" t="e">
        <v>#REF!</v>
      </c>
      <c r="M479" s="1787" t="n">
        <v>47</v>
      </c>
      <c r="N479" s="1754" t="n"/>
      <c r="O479" s="1788" t="n"/>
      <c r="P479" s="1721" t="inlineStr">
        <is>
          <t>Pendente</t>
        </is>
      </c>
    </row>
    <row r="480" hidden="1" outlineLevel="3" ht="13.5" customHeight="1">
      <c r="A480" s="2117" t="n">
        <v>0</v>
      </c>
      <c r="B480" s="2117" t="n">
        <v>5</v>
      </c>
      <c r="C480" s="2117" t="n">
        <v>6</v>
      </c>
      <c r="D480" s="2118" t="n">
        <v>5</v>
      </c>
      <c r="E480" s="2118" t="n">
        <v>2</v>
      </c>
      <c r="G480" s="1748" t="inlineStr">
        <is>
          <t>ALVENARIA</t>
        </is>
      </c>
      <c r="H480" s="1783" t="inlineStr">
        <is>
          <t>SERVIÇO</t>
        </is>
      </c>
      <c r="I480" s="1784" t="inlineStr">
        <is>
          <t>05.006.005.002</t>
        </is>
      </c>
      <c r="J480" s="1785" t="inlineStr">
        <is>
          <t>Mão de obra para assentamento de blocos de silico calcarios</t>
        </is>
      </c>
      <c r="K480" s="1786" t="inlineStr">
        <is>
          <t>m2</t>
        </is>
      </c>
      <c r="L480" s="1787" t="e">
        <v>#REF!</v>
      </c>
      <c r="M480" s="1787" t="n">
        <v>47</v>
      </c>
      <c r="N480" s="1754" t="n"/>
      <c r="O480" s="1788" t="n"/>
      <c r="P480" s="1721" t="inlineStr">
        <is>
          <t>Pendente</t>
        </is>
      </c>
    </row>
    <row r="481" hidden="1" outlineLevel="3" ht="13.5" customHeight="1">
      <c r="A481" s="2117" t="n">
        <v>0</v>
      </c>
      <c r="B481" s="2117" t="n">
        <v>5</v>
      </c>
      <c r="C481" s="2117" t="n">
        <v>6</v>
      </c>
      <c r="D481" s="2118" t="n">
        <v>5</v>
      </c>
      <c r="E481" s="2118" t="n">
        <v>3</v>
      </c>
      <c r="G481" s="1748" t="inlineStr">
        <is>
          <t>ALVENARIA</t>
        </is>
      </c>
      <c r="H481" s="1783" t="inlineStr">
        <is>
          <t>SERVIÇO</t>
        </is>
      </c>
      <c r="I481" s="1784" t="inlineStr">
        <is>
          <t>05.006.005.003</t>
        </is>
      </c>
      <c r="J481" s="1751" t="inlineStr">
        <is>
          <t xml:space="preserve">Mão de obra para Sistema de vedação em drywall </t>
        </is>
      </c>
      <c r="K481" s="1786" t="inlineStr">
        <is>
          <t>m2</t>
        </is>
      </c>
      <c r="L481" s="1753" t="e">
        <v>#REF!</v>
      </c>
      <c r="M481" s="1787" t="e">
        <v>#REF!</v>
      </c>
      <c r="N481" s="1754" t="n"/>
      <c r="O481" s="1788" t="n"/>
      <c r="P481" s="1721" t="inlineStr">
        <is>
          <t>Pendente</t>
        </is>
      </c>
    </row>
    <row r="482" hidden="1" outlineLevel="1" ht="13.5" customHeight="1">
      <c r="A482" s="2117" t="n">
        <v>0</v>
      </c>
      <c r="B482" s="2117" t="n">
        <v>5</v>
      </c>
      <c r="C482" s="2117" t="n">
        <v>7</v>
      </c>
      <c r="D482" s="2118" t="n">
        <v>0</v>
      </c>
      <c r="E482" s="2118" t="n">
        <v>3</v>
      </c>
      <c r="G482" s="1733" t="n"/>
      <c r="H482" s="1771" t="inlineStr">
        <is>
          <t>ETAPA</t>
        </is>
      </c>
      <c r="I482" s="1772" t="inlineStr">
        <is>
          <t>05.007</t>
        </is>
      </c>
      <c r="J482" s="1773" t="inlineStr">
        <is>
          <t>PAREDES E DIVISÓRIAS - Lazer | Garagem</t>
        </is>
      </c>
      <c r="K482" s="1774" t="n"/>
      <c r="L482" s="1775" t="n"/>
      <c r="M482" s="1775" t="n"/>
      <c r="N482" s="1739" t="n"/>
      <c r="O482" s="1776" t="n"/>
      <c r="P482" s="1719" t="n"/>
    </row>
    <row r="483" hidden="1" outlineLevel="2" ht="13.5" customHeight="1">
      <c r="A483" s="2117" t="n">
        <v>0</v>
      </c>
      <c r="B483" s="2117" t="n">
        <v>5</v>
      </c>
      <c r="C483" s="2117" t="n">
        <v>7</v>
      </c>
      <c r="D483" s="2118" t="n">
        <v>1</v>
      </c>
      <c r="E483" s="2118" t="n">
        <v>0</v>
      </c>
      <c r="G483" s="1740" t="n"/>
      <c r="H483" s="1777" t="inlineStr">
        <is>
          <t>SUBETAPA</t>
        </is>
      </c>
      <c r="I483" s="1778" t="inlineStr">
        <is>
          <t>05.007.001</t>
        </is>
      </c>
      <c r="J483" s="1779" t="inlineStr">
        <is>
          <t>Alevanaria de vedação com blocos cerâmicos</t>
        </is>
      </c>
      <c r="K483" s="1780" t="n"/>
      <c r="L483" s="1781" t="n"/>
      <c r="M483" s="1781" t="n"/>
      <c r="N483" s="1746" t="n"/>
      <c r="O483" s="1782" t="n"/>
      <c r="P483" s="1720" t="n"/>
    </row>
    <row r="484" hidden="1" outlineLevel="3" ht="13.5" customHeight="1">
      <c r="A484" s="2117" t="n">
        <v>0</v>
      </c>
      <c r="B484" s="2117" t="n">
        <v>5</v>
      </c>
      <c r="C484" s="2117" t="n">
        <v>7</v>
      </c>
      <c r="D484" s="2118" t="n">
        <v>1</v>
      </c>
      <c r="E484" s="2118" t="n">
        <v>1</v>
      </c>
      <c r="G484" s="1748" t="inlineStr">
        <is>
          <t>ALVENARIA</t>
        </is>
      </c>
      <c r="H484" s="1783" t="inlineStr">
        <is>
          <t>SERVIÇO</t>
        </is>
      </c>
      <c r="I484" s="1784" t="inlineStr">
        <is>
          <t>05.007.001.001</t>
        </is>
      </c>
      <c r="J484" s="1785" t="inlineStr">
        <is>
          <t>Alvenaria de vedacao de blocos ceramicos de 19x19x39cm com argamassa industrializada de assentamento</t>
        </is>
      </c>
      <c r="K484" s="1786" t="inlineStr">
        <is>
          <t>m2</t>
        </is>
      </c>
      <c r="L484" s="1787" t="e">
        <v>#REF!</v>
      </c>
      <c r="M484" s="1787" t="n">
        <v>35.09999999999999</v>
      </c>
      <c r="N484" s="1754" t="n"/>
      <c r="O484" s="1788" t="n"/>
      <c r="P484" s="1721" t="inlineStr">
        <is>
          <t>Pendente</t>
        </is>
      </c>
    </row>
    <row r="485" hidden="1" outlineLevel="2" ht="13.5" customHeight="1">
      <c r="A485" s="2117" t="n">
        <v>0</v>
      </c>
      <c r="B485" s="2117" t="n">
        <v>5</v>
      </c>
      <c r="C485" s="2117" t="n">
        <v>7</v>
      </c>
      <c r="D485" s="2118" t="n">
        <v>2</v>
      </c>
      <c r="E485" s="2118" t="n">
        <v>0</v>
      </c>
      <c r="G485" s="1740" t="n"/>
      <c r="H485" s="1777" t="inlineStr">
        <is>
          <t>SUBETAPA</t>
        </is>
      </c>
      <c r="I485" s="1778" t="inlineStr">
        <is>
          <t>05.007.002</t>
        </is>
      </c>
      <c r="J485" s="1779" t="inlineStr">
        <is>
          <t>Alevanaria de vedação com blocos Concreto e concreto celular</t>
        </is>
      </c>
      <c r="K485" s="1780" t="n"/>
      <c r="L485" s="1781" t="n"/>
      <c r="M485" s="1781" t="n"/>
      <c r="N485" s="1746" t="n"/>
      <c r="O485" s="1782" t="n"/>
      <c r="P485" s="1720" t="n"/>
    </row>
    <row r="486" hidden="1" outlineLevel="3" ht="13.5" customHeight="1">
      <c r="A486" s="2117" t="n">
        <v>0</v>
      </c>
      <c r="B486" s="2117" t="n">
        <v>5</v>
      </c>
      <c r="C486" s="2117" t="n">
        <v>7</v>
      </c>
      <c r="D486" s="2118" t="n">
        <v>2</v>
      </c>
      <c r="E486" s="2118" t="n">
        <v>1</v>
      </c>
      <c r="G486" s="1748" t="inlineStr">
        <is>
          <t>ALVENARIA</t>
        </is>
      </c>
      <c r="H486" s="1783" t="inlineStr">
        <is>
          <t>SERVIÇO</t>
        </is>
      </c>
      <c r="I486" s="1784" t="inlineStr">
        <is>
          <t>05.007.002.001</t>
        </is>
      </c>
      <c r="J486" s="1785" t="inlineStr">
        <is>
          <t>Alvenaria em Bloco De Concreto Celular 60x30x10cm Sical com argamassa industrializada de assentamento</t>
        </is>
      </c>
      <c r="K486" s="1786" t="inlineStr">
        <is>
          <t>m2</t>
        </is>
      </c>
      <c r="L486" s="1787" t="e">
        <v>#REF!</v>
      </c>
      <c r="M486" s="1787" t="n">
        <v>82.96000000000001</v>
      </c>
      <c r="N486" s="1754" t="n"/>
      <c r="O486" s="1788" t="n"/>
      <c r="P486" s="1721" t="inlineStr">
        <is>
          <t>Pendente</t>
        </is>
      </c>
    </row>
    <row r="487" hidden="1" outlineLevel="2" ht="13.5" customHeight="1">
      <c r="A487" s="2117" t="n">
        <v>0</v>
      </c>
      <c r="B487" s="2117" t="n">
        <v>5</v>
      </c>
      <c r="C487" s="2117" t="n">
        <v>7</v>
      </c>
      <c r="D487" s="2118" t="n">
        <v>3</v>
      </c>
      <c r="E487" s="2118" t="n">
        <v>0</v>
      </c>
      <c r="G487" s="1740" t="n"/>
      <c r="H487" s="1777" t="inlineStr">
        <is>
          <t>SUBETAPA</t>
        </is>
      </c>
      <c r="I487" s="1778" t="inlineStr">
        <is>
          <t>05.007.003</t>
        </is>
      </c>
      <c r="J487" s="1779" t="inlineStr">
        <is>
          <t>Serviços complementares para alvenaria de vedação</t>
        </is>
      </c>
      <c r="K487" s="1780" t="n"/>
      <c r="L487" s="1781" t="n"/>
      <c r="M487" s="1781" t="n"/>
      <c r="N487" s="1746" t="n"/>
      <c r="O487" s="1782" t="n"/>
      <c r="P487" s="1720" t="n"/>
    </row>
    <row r="488" hidden="1" outlineLevel="3" ht="13.5" customHeight="1">
      <c r="A488" s="2117" t="n">
        <v>0</v>
      </c>
      <c r="B488" s="2117" t="n">
        <v>5</v>
      </c>
      <c r="C488" s="2117" t="n">
        <v>7</v>
      </c>
      <c r="D488" s="2118" t="n">
        <v>3</v>
      </c>
      <c r="E488" s="2118" t="n">
        <v>1</v>
      </c>
      <c r="G488" s="1748" t="inlineStr">
        <is>
          <t>ALVENARIA</t>
        </is>
      </c>
      <c r="H488" s="1783" t="inlineStr">
        <is>
          <t>SERVIÇO</t>
        </is>
      </c>
      <c r="I488" s="1784" t="inlineStr">
        <is>
          <t>05.007.003.001</t>
        </is>
      </c>
      <c r="J488" s="1785" t="inlineStr">
        <is>
          <t>Encunhamento de alvenaria de vedação com argamassa expansiva</t>
        </is>
      </c>
      <c r="K488" s="1786" t="inlineStr">
        <is>
          <t>m</t>
        </is>
      </c>
      <c r="L488" s="1787" t="e">
        <v>#REF!</v>
      </c>
      <c r="M488" s="1787" t="n">
        <v>14.7875</v>
      </c>
      <c r="N488" s="1754" t="n"/>
      <c r="O488" s="1788" t="n"/>
      <c r="P488" s="1721" t="inlineStr">
        <is>
          <t>Pendente</t>
        </is>
      </c>
    </row>
    <row r="489" hidden="1" outlineLevel="3" ht="13.5" customHeight="1">
      <c r="A489" s="2117" t="n">
        <v>0</v>
      </c>
      <c r="B489" s="2117" t="n">
        <v>5</v>
      </c>
      <c r="C489" s="2117" t="n">
        <v>7</v>
      </c>
      <c r="D489" s="2118" t="n">
        <v>3</v>
      </c>
      <c r="E489" s="2118" t="n">
        <v>2</v>
      </c>
      <c r="G489" s="1748" t="inlineStr">
        <is>
          <t>ALVENARIA</t>
        </is>
      </c>
      <c r="H489" s="1783" t="inlineStr">
        <is>
          <t>SERVIÇO</t>
        </is>
      </c>
      <c r="I489" s="1784" t="inlineStr">
        <is>
          <t>05.007.003.002</t>
        </is>
      </c>
      <c r="J489" s="1785" t="inlineStr">
        <is>
          <t>Tela soldada para ligacao alvenaria/estrutura</t>
        </is>
      </c>
      <c r="K489" s="1786" t="inlineStr">
        <is>
          <t>un</t>
        </is>
      </c>
      <c r="L489" s="1787" t="e">
        <v>#REF!</v>
      </c>
      <c r="M489" s="1787" t="n">
        <v>4.1072</v>
      </c>
      <c r="N489" s="1754" t="n"/>
      <c r="O489" s="1788" t="n"/>
      <c r="P489" s="1721" t="inlineStr">
        <is>
          <t>Pendente</t>
        </is>
      </c>
    </row>
    <row r="490" hidden="1" outlineLevel="3" ht="13.5" customHeight="1">
      <c r="A490" s="2117" t="n">
        <v>0</v>
      </c>
      <c r="B490" s="2117" t="n">
        <v>5</v>
      </c>
      <c r="C490" s="2117" t="n">
        <v>7</v>
      </c>
      <c r="D490" s="2118" t="n">
        <v>3</v>
      </c>
      <c r="E490" s="2118" t="n">
        <v>3</v>
      </c>
      <c r="G490" s="1748" t="inlineStr">
        <is>
          <t>ALVENARIA</t>
        </is>
      </c>
      <c r="H490" s="1783" t="inlineStr">
        <is>
          <t>SERVIÇO</t>
        </is>
      </c>
      <c r="I490" s="1784" t="inlineStr">
        <is>
          <t>05.007.003.003</t>
        </is>
      </c>
      <c r="J490" s="1785" t="inlineStr">
        <is>
          <t>Verga/contraverga de concreto, moldada in loco</t>
        </is>
      </c>
      <c r="K490" s="1786" t="inlineStr">
        <is>
          <t>m</t>
        </is>
      </c>
      <c r="L490" s="1787" t="e">
        <v>#REF!</v>
      </c>
      <c r="M490" s="1787" t="n">
        <v>79.40367571053952</v>
      </c>
      <c r="N490" s="1754" t="n"/>
      <c r="O490" s="1788" t="n"/>
      <c r="P490" s="1721" t="inlineStr">
        <is>
          <t>Pendente</t>
        </is>
      </c>
    </row>
    <row r="491" hidden="1" outlineLevel="2" ht="13.5" customHeight="1">
      <c r="A491" s="2117" t="n">
        <v>0</v>
      </c>
      <c r="B491" s="2117" t="n">
        <v>5</v>
      </c>
      <c r="C491" s="2117" t="n">
        <v>7</v>
      </c>
      <c r="D491" s="2118" t="n">
        <v>4</v>
      </c>
      <c r="E491" s="2118" t="n">
        <v>0</v>
      </c>
      <c r="G491" s="1740" t="n"/>
      <c r="H491" s="1777" t="inlineStr">
        <is>
          <t>SUBETAPA</t>
        </is>
      </c>
      <c r="I491" s="1778" t="inlineStr">
        <is>
          <t>05.007.004</t>
        </is>
      </c>
      <c r="J491" s="1779" t="inlineStr">
        <is>
          <t>Drywall</t>
        </is>
      </c>
      <c r="K491" s="1780" t="n"/>
      <c r="L491" s="1781" t="n"/>
      <c r="M491" s="1781" t="n"/>
      <c r="N491" s="1746" t="n"/>
      <c r="O491" s="1782" t="n"/>
      <c r="P491" s="1720" t="n"/>
    </row>
    <row r="492" hidden="1" outlineLevel="3" ht="13.5" customHeight="1">
      <c r="A492" s="2117" t="n">
        <v>0</v>
      </c>
      <c r="B492" s="2117" t="n">
        <v>5</v>
      </c>
      <c r="C492" s="2117" t="n">
        <v>7</v>
      </c>
      <c r="D492" s="2118" t="n">
        <v>4</v>
      </c>
      <c r="E492" s="2118" t="n">
        <v>1</v>
      </c>
      <c r="G492" s="1748" t="inlineStr">
        <is>
          <t>ALVENARIA</t>
        </is>
      </c>
      <c r="H492" s="1783" t="inlineStr">
        <is>
          <t>SERVIÇO</t>
        </is>
      </c>
      <c r="I492" s="1784" t="inlineStr">
        <is>
          <t>05.007.004.001</t>
        </is>
      </c>
      <c r="J492" s="1751" t="inlineStr">
        <is>
          <t>Parede Com Sistema Em Chapas De Gesso Para Drywall, Uso Interno, Montante 48mm  (48 / HS)</t>
        </is>
      </c>
      <c r="K492" s="1786" t="inlineStr">
        <is>
          <t>m2</t>
        </is>
      </c>
      <c r="L492" s="1787" t="e">
        <v>#REF!</v>
      </c>
      <c r="M492" s="1787" t="n">
        <v>95.86755699999999</v>
      </c>
      <c r="N492" s="1754" t="n"/>
      <c r="O492" s="1788" t="n"/>
      <c r="P492" s="1721" t="inlineStr">
        <is>
          <t>Pendente</t>
        </is>
      </c>
    </row>
    <row r="493" hidden="1" outlineLevel="3" ht="13.5" customHeight="1">
      <c r="A493" s="2117" t="n">
        <v>0</v>
      </c>
      <c r="B493" s="2117" t="n">
        <v>5</v>
      </c>
      <c r="C493" s="2117" t="n">
        <v>7</v>
      </c>
      <c r="D493" s="2118" t="n">
        <v>4</v>
      </c>
      <c r="E493" s="2118" t="n">
        <v>2</v>
      </c>
      <c r="G493" s="1748" t="inlineStr">
        <is>
          <t>ALVENARIA</t>
        </is>
      </c>
      <c r="H493" s="1783" t="inlineStr">
        <is>
          <t>SERVIÇO</t>
        </is>
      </c>
      <c r="I493" s="1784" t="inlineStr">
        <is>
          <t>05.007.004.002</t>
        </is>
      </c>
      <c r="J493" s="1751" t="inlineStr">
        <is>
          <t>Parede Com Sistema Em Chapas De Gesso Para Drywall, Uso Interno, Montante 70mm  (70 / HS)</t>
        </is>
      </c>
      <c r="K493" s="1786" t="inlineStr">
        <is>
          <t>m2</t>
        </is>
      </c>
      <c r="L493" s="1787" t="e">
        <v>#REF!</v>
      </c>
      <c r="M493" s="1787" t="n">
        <v>96.52322099999999</v>
      </c>
      <c r="N493" s="1754" t="n"/>
      <c r="O493" s="1788" t="n"/>
      <c r="P493" s="1721" t="inlineStr">
        <is>
          <t>Pendente</t>
        </is>
      </c>
    </row>
    <row r="494" hidden="1" outlineLevel="3" ht="13.5" customHeight="1">
      <c r="A494" s="2117" t="n">
        <v>0</v>
      </c>
      <c r="B494" s="2117" t="n">
        <v>5</v>
      </c>
      <c r="C494" s="2117" t="n">
        <v>7</v>
      </c>
      <c r="D494" s="2118" t="n">
        <v>4</v>
      </c>
      <c r="E494" s="2118" t="n">
        <v>3</v>
      </c>
      <c r="G494" s="1748" t="inlineStr">
        <is>
          <t>ALVENARIA</t>
        </is>
      </c>
      <c r="H494" s="1783" t="inlineStr">
        <is>
          <t>SERVIÇO</t>
        </is>
      </c>
      <c r="I494" s="1784" t="inlineStr">
        <is>
          <t>05.007.004.003</t>
        </is>
      </c>
      <c r="J494" s="1751" t="inlineStr">
        <is>
          <t>Parede Com Sistema Em Chapas De Gesso Para Drywall, Uso Interno, Montante 70mm  (HU / 70 / HS)</t>
        </is>
      </c>
      <c r="K494" s="1786" t="inlineStr">
        <is>
          <t>m2</t>
        </is>
      </c>
      <c r="L494" s="1787" t="e">
        <v>#REF!</v>
      </c>
      <c r="M494" s="1787" t="n">
        <v>165.703099</v>
      </c>
      <c r="N494" s="1754" t="n"/>
      <c r="O494" s="1788" t="n"/>
      <c r="P494" s="1721" t="inlineStr">
        <is>
          <t>Pendente</t>
        </is>
      </c>
    </row>
    <row r="495" hidden="1" outlineLevel="2" ht="13.5" customHeight="1">
      <c r="A495" s="2117" t="n">
        <v>0</v>
      </c>
      <c r="B495" s="2117" t="n">
        <v>5</v>
      </c>
      <c r="C495" s="2117" t="n">
        <v>7</v>
      </c>
      <c r="D495" s="2118" t="n">
        <v>5</v>
      </c>
      <c r="E495" s="2118" t="n">
        <v>0</v>
      </c>
      <c r="G495" s="1740" t="n"/>
      <c r="H495" s="1777" t="inlineStr">
        <is>
          <t>SUBETAPA</t>
        </is>
      </c>
      <c r="I495" s="1778" t="inlineStr">
        <is>
          <t>05.007.005</t>
        </is>
      </c>
      <c r="J495" s="1779" t="inlineStr">
        <is>
          <t>Mão de obra</t>
        </is>
      </c>
      <c r="K495" s="1780" t="n"/>
      <c r="L495" s="1781" t="n"/>
      <c r="M495" s="1781" t="n"/>
      <c r="N495" s="1746" t="n"/>
      <c r="O495" s="1782" t="n"/>
      <c r="P495" s="1720" t="n"/>
    </row>
    <row r="496" hidden="1" outlineLevel="3" ht="13.5" customHeight="1">
      <c r="A496" s="2117" t="n">
        <v>0</v>
      </c>
      <c r="B496" s="2117" t="n">
        <v>5</v>
      </c>
      <c r="C496" s="2117" t="n">
        <v>7</v>
      </c>
      <c r="D496" s="2118" t="n">
        <v>5</v>
      </c>
      <c r="E496" s="2118" t="n">
        <v>1</v>
      </c>
      <c r="G496" s="1748" t="inlineStr">
        <is>
          <t>ALVENARIA</t>
        </is>
      </c>
      <c r="H496" s="1783" t="inlineStr">
        <is>
          <t>SERVIÇO</t>
        </is>
      </c>
      <c r="I496" s="1784" t="inlineStr">
        <is>
          <t>05.007.005.001</t>
        </is>
      </c>
      <c r="J496" s="1785" t="inlineStr">
        <is>
          <t>Mão de obra para assentamento de blocos cerâmicos</t>
        </is>
      </c>
      <c r="K496" s="1786" t="inlineStr">
        <is>
          <t>m2</t>
        </is>
      </c>
      <c r="L496" s="1787" t="e">
        <v>#REF!</v>
      </c>
      <c r="M496" s="1787" t="n">
        <v>47</v>
      </c>
      <c r="N496" s="1754" t="n"/>
      <c r="O496" s="1788" t="n"/>
      <c r="P496" s="1721" t="inlineStr">
        <is>
          <t>Pendente</t>
        </is>
      </c>
    </row>
    <row r="497" hidden="1" outlineLevel="3" ht="13.5" customHeight="1">
      <c r="A497" s="2117" t="n">
        <v>0</v>
      </c>
      <c r="B497" s="2117" t="n">
        <v>5</v>
      </c>
      <c r="C497" s="2117" t="n">
        <v>7</v>
      </c>
      <c r="D497" s="2118" t="n">
        <v>5</v>
      </c>
      <c r="E497" s="2118" t="n">
        <v>2</v>
      </c>
      <c r="G497" s="1748" t="inlineStr">
        <is>
          <t>ALVENARIA</t>
        </is>
      </c>
      <c r="H497" s="1783" t="inlineStr">
        <is>
          <t>SERVIÇO</t>
        </is>
      </c>
      <c r="I497" s="1784" t="inlineStr">
        <is>
          <t>05.007.005.002</t>
        </is>
      </c>
      <c r="J497" s="1785" t="inlineStr">
        <is>
          <t>Mão de obra para assentamento de blocos de silico calcarios</t>
        </is>
      </c>
      <c r="K497" s="1786" t="inlineStr">
        <is>
          <t>m2</t>
        </is>
      </c>
      <c r="L497" s="1787" t="e">
        <v>#REF!</v>
      </c>
      <c r="M497" s="1787" t="n">
        <v>47</v>
      </c>
      <c r="N497" s="1754" t="n"/>
      <c r="O497" s="1788" t="n"/>
      <c r="P497" s="1721" t="inlineStr">
        <is>
          <t>Pendente</t>
        </is>
      </c>
    </row>
    <row r="498" hidden="1" outlineLevel="3" ht="13.5" customHeight="1">
      <c r="A498" s="2117" t="n">
        <v>0</v>
      </c>
      <c r="B498" s="2117" t="n">
        <v>5</v>
      </c>
      <c r="C498" s="2117" t="n">
        <v>7</v>
      </c>
      <c r="D498" s="2118" t="n">
        <v>5</v>
      </c>
      <c r="E498" s="2118" t="n">
        <v>3</v>
      </c>
      <c r="G498" s="1748" t="inlineStr">
        <is>
          <t>ALVENARIA</t>
        </is>
      </c>
      <c r="H498" s="1783" t="inlineStr">
        <is>
          <t>SERVIÇO</t>
        </is>
      </c>
      <c r="I498" s="1784" t="inlineStr">
        <is>
          <t>05.007.005.003</t>
        </is>
      </c>
      <c r="J498" s="1751" t="inlineStr">
        <is>
          <t xml:space="preserve">Mão de obra para Sistema de vedação em drywall </t>
        </is>
      </c>
      <c r="K498" s="1786" t="inlineStr">
        <is>
          <t>m2</t>
        </is>
      </c>
      <c r="L498" s="1753" t="e">
        <v>#REF!</v>
      </c>
      <c r="M498" s="1787" t="e">
        <v>#REF!</v>
      </c>
      <c r="N498" s="1754" t="n"/>
      <c r="O498" s="1788" t="n"/>
      <c r="P498" s="1721" t="inlineStr">
        <is>
          <t>Pendente</t>
        </is>
      </c>
    </row>
    <row r="499" hidden="1" outlineLevel="1" ht="13.5" customHeight="1">
      <c r="A499" s="2117" t="n">
        <v>0</v>
      </c>
      <c r="B499" s="2117" t="n">
        <v>5</v>
      </c>
      <c r="C499" s="2117" t="n">
        <v>8</v>
      </c>
      <c r="D499" s="2118" t="n">
        <v>0</v>
      </c>
      <c r="E499" s="2118" t="n">
        <v>3</v>
      </c>
      <c r="G499" s="1733" t="n"/>
      <c r="H499" s="1771" t="inlineStr">
        <is>
          <t>ETAPA</t>
        </is>
      </c>
      <c r="I499" s="1772" t="inlineStr">
        <is>
          <t>05.008</t>
        </is>
      </c>
      <c r="J499" s="1773" t="inlineStr">
        <is>
          <t>PAREDES E DIVISÓRIAS - Lazer</t>
        </is>
      </c>
      <c r="K499" s="1774" t="n"/>
      <c r="L499" s="1775" t="n"/>
      <c r="M499" s="1775" t="n"/>
      <c r="N499" s="1739" t="n"/>
      <c r="O499" s="1776" t="n"/>
      <c r="P499" s="1719" t="n"/>
    </row>
    <row r="500" hidden="1" outlineLevel="2" ht="13.5" customHeight="1">
      <c r="A500" s="2117" t="n">
        <v>0</v>
      </c>
      <c r="B500" s="2117" t="n">
        <v>5</v>
      </c>
      <c r="C500" s="2117" t="n">
        <v>8</v>
      </c>
      <c r="D500" s="2118" t="n">
        <v>1</v>
      </c>
      <c r="E500" s="2118" t="n">
        <v>0</v>
      </c>
      <c r="G500" s="1740" t="n"/>
      <c r="H500" s="1777" t="inlineStr">
        <is>
          <t>SUBETAPA</t>
        </is>
      </c>
      <c r="I500" s="1778" t="inlineStr">
        <is>
          <t>05.008.001</t>
        </is>
      </c>
      <c r="J500" s="1779" t="inlineStr">
        <is>
          <t>Alevanaria de vedação com blocos cerâmicos</t>
        </is>
      </c>
      <c r="K500" s="1780" t="n"/>
      <c r="L500" s="1781" t="n"/>
      <c r="M500" s="1781" t="n"/>
      <c r="N500" s="1746" t="n"/>
      <c r="O500" s="1782" t="n"/>
      <c r="P500" s="1720" t="n"/>
    </row>
    <row r="501" hidden="1" outlineLevel="3" ht="13.5" customHeight="1">
      <c r="A501" s="2117" t="n">
        <v>0</v>
      </c>
      <c r="B501" s="2117" t="n">
        <v>5</v>
      </c>
      <c r="C501" s="2117" t="n">
        <v>8</v>
      </c>
      <c r="D501" s="2118" t="n">
        <v>1</v>
      </c>
      <c r="E501" s="2118" t="n">
        <v>1</v>
      </c>
      <c r="G501" s="1748" t="inlineStr">
        <is>
          <t>ALVENARIA</t>
        </is>
      </c>
      <c r="H501" s="1783" t="inlineStr">
        <is>
          <t>SERVIÇO</t>
        </is>
      </c>
      <c r="I501" s="1784" t="inlineStr">
        <is>
          <t>05.008.001.001</t>
        </is>
      </c>
      <c r="J501" s="1785" t="inlineStr">
        <is>
          <t>Alvenaria de vedacao de blocos ceramicos de 19x19x39cm com argamassa industrializada de assentamento</t>
        </is>
      </c>
      <c r="K501" s="1786" t="inlineStr">
        <is>
          <t>m2</t>
        </is>
      </c>
      <c r="L501" s="1787" t="e">
        <v>#REF!</v>
      </c>
      <c r="M501" s="1787" t="n">
        <v>35.09999999999999</v>
      </c>
      <c r="N501" s="1754" t="n"/>
      <c r="O501" s="1788" t="n"/>
      <c r="P501" s="1721" t="inlineStr">
        <is>
          <t>Pendente</t>
        </is>
      </c>
    </row>
    <row r="502" hidden="1" outlineLevel="2" ht="13.5" customHeight="1">
      <c r="A502" s="2117" t="n">
        <v>0</v>
      </c>
      <c r="B502" s="2117" t="n">
        <v>5</v>
      </c>
      <c r="C502" s="2117" t="n">
        <v>8</v>
      </c>
      <c r="D502" s="2118" t="n">
        <v>2</v>
      </c>
      <c r="E502" s="2118" t="n">
        <v>0</v>
      </c>
      <c r="G502" s="1740" t="n"/>
      <c r="H502" s="1777" t="inlineStr">
        <is>
          <t>SUBETAPA</t>
        </is>
      </c>
      <c r="I502" s="1778" t="inlineStr">
        <is>
          <t>05.008.002</t>
        </is>
      </c>
      <c r="J502" s="1779" t="inlineStr">
        <is>
          <t>Alevanaria de vedação com blocos Concreto e concreto celular</t>
        </is>
      </c>
      <c r="K502" s="1780" t="n"/>
      <c r="L502" s="1781" t="n"/>
      <c r="M502" s="1781" t="n"/>
      <c r="N502" s="1746" t="n"/>
      <c r="O502" s="1782" t="n"/>
      <c r="P502" s="1720" t="n"/>
    </row>
    <row r="503" hidden="1" outlineLevel="3" ht="13.5" customHeight="1">
      <c r="A503" s="2117" t="n">
        <v>0</v>
      </c>
      <c r="B503" s="2117" t="n">
        <v>5</v>
      </c>
      <c r="C503" s="2117" t="n">
        <v>8</v>
      </c>
      <c r="D503" s="2118" t="n">
        <v>2</v>
      </c>
      <c r="E503" s="2118" t="n">
        <v>1</v>
      </c>
      <c r="G503" s="1748" t="inlineStr">
        <is>
          <t>ALVENARIA</t>
        </is>
      </c>
      <c r="H503" s="1783" t="inlineStr">
        <is>
          <t>SERVIÇO</t>
        </is>
      </c>
      <c r="I503" s="1784" t="inlineStr">
        <is>
          <t>05.008.002.001</t>
        </is>
      </c>
      <c r="J503" s="1785" t="inlineStr">
        <is>
          <t>Alvenaria em Bloco De Concreto Celular 60x30x10cm Sical com argamassa industrializada de assentamento</t>
        </is>
      </c>
      <c r="K503" s="1786" t="inlineStr">
        <is>
          <t>m2</t>
        </is>
      </c>
      <c r="L503" s="1787" t="e">
        <v>#REF!</v>
      </c>
      <c r="M503" s="1787" t="n">
        <v>82.96000000000001</v>
      </c>
      <c r="N503" s="1754" t="n"/>
      <c r="O503" s="1788" t="n"/>
      <c r="P503" s="1721" t="inlineStr">
        <is>
          <t>Pendente</t>
        </is>
      </c>
    </row>
    <row r="504" hidden="1" outlineLevel="2" ht="13.5" customHeight="1">
      <c r="A504" s="2117" t="n">
        <v>0</v>
      </c>
      <c r="B504" s="2117" t="n">
        <v>5</v>
      </c>
      <c r="C504" s="2117" t="n">
        <v>8</v>
      </c>
      <c r="D504" s="2118" t="n">
        <v>3</v>
      </c>
      <c r="E504" s="2118" t="n">
        <v>0</v>
      </c>
      <c r="G504" s="1740" t="n"/>
      <c r="H504" s="1777" t="inlineStr">
        <is>
          <t>SUBETAPA</t>
        </is>
      </c>
      <c r="I504" s="1778" t="inlineStr">
        <is>
          <t>05.008.003</t>
        </is>
      </c>
      <c r="J504" s="1779" t="inlineStr">
        <is>
          <t>Serviços complementares para alvenaria de vedação</t>
        </is>
      </c>
      <c r="K504" s="1780" t="n"/>
      <c r="L504" s="1781" t="n"/>
      <c r="M504" s="1781" t="n"/>
      <c r="N504" s="1746" t="n"/>
      <c r="O504" s="1782" t="n"/>
      <c r="P504" s="1720" t="n"/>
    </row>
    <row r="505" hidden="1" outlineLevel="3" ht="13.5" customHeight="1">
      <c r="A505" s="2117" t="n">
        <v>0</v>
      </c>
      <c r="B505" s="2117" t="n">
        <v>5</v>
      </c>
      <c r="C505" s="2117" t="n">
        <v>8</v>
      </c>
      <c r="D505" s="2118" t="n">
        <v>3</v>
      </c>
      <c r="E505" s="2118" t="n">
        <v>1</v>
      </c>
      <c r="G505" s="1748" t="inlineStr">
        <is>
          <t>ALVENARIA</t>
        </is>
      </c>
      <c r="H505" s="1783" t="inlineStr">
        <is>
          <t>SERVIÇO</t>
        </is>
      </c>
      <c r="I505" s="1784" t="inlineStr">
        <is>
          <t>05.008.003.001</t>
        </is>
      </c>
      <c r="J505" s="1785" t="inlineStr">
        <is>
          <t>Encunhamento de alvenaria de vedação com argamassa expansiva</t>
        </is>
      </c>
      <c r="K505" s="1786" t="inlineStr">
        <is>
          <t>m</t>
        </is>
      </c>
      <c r="L505" s="1787" t="e">
        <v>#REF!</v>
      </c>
      <c r="M505" s="1787" t="n">
        <v>14.7875</v>
      </c>
      <c r="N505" s="1754" t="n"/>
      <c r="O505" s="1788" t="n"/>
      <c r="P505" s="1721" t="inlineStr">
        <is>
          <t>Pendente</t>
        </is>
      </c>
    </row>
    <row r="506" hidden="1" outlineLevel="3" ht="13.5" customHeight="1">
      <c r="A506" s="2117" t="n">
        <v>0</v>
      </c>
      <c r="B506" s="2117" t="n">
        <v>5</v>
      </c>
      <c r="C506" s="2117" t="n">
        <v>8</v>
      </c>
      <c r="D506" s="2118" t="n">
        <v>3</v>
      </c>
      <c r="E506" s="2118" t="n">
        <v>2</v>
      </c>
      <c r="G506" s="1748" t="inlineStr">
        <is>
          <t>ALVENARIA</t>
        </is>
      </c>
      <c r="H506" s="1783" t="inlineStr">
        <is>
          <t>SERVIÇO</t>
        </is>
      </c>
      <c r="I506" s="1784" t="inlineStr">
        <is>
          <t>05.008.003.002</t>
        </is>
      </c>
      <c r="J506" s="1785" t="inlineStr">
        <is>
          <t>Tela soldada para ligacao alvenaria/estrutura</t>
        </is>
      </c>
      <c r="K506" s="1786" t="inlineStr">
        <is>
          <t>un</t>
        </is>
      </c>
      <c r="L506" s="1787" t="e">
        <v>#REF!</v>
      </c>
      <c r="M506" s="1787" t="n">
        <v>4.1072</v>
      </c>
      <c r="N506" s="1754" t="n"/>
      <c r="O506" s="1788" t="n"/>
      <c r="P506" s="1721" t="inlineStr">
        <is>
          <t>Pendente</t>
        </is>
      </c>
    </row>
    <row r="507" hidden="1" outlineLevel="3" ht="13.5" customHeight="1">
      <c r="A507" s="2117" t="n">
        <v>0</v>
      </c>
      <c r="B507" s="2117" t="n">
        <v>5</v>
      </c>
      <c r="C507" s="2117" t="n">
        <v>8</v>
      </c>
      <c r="D507" s="2118" t="n">
        <v>3</v>
      </c>
      <c r="E507" s="2118" t="n">
        <v>3</v>
      </c>
      <c r="G507" s="1748" t="inlineStr">
        <is>
          <t>ALVENARIA</t>
        </is>
      </c>
      <c r="H507" s="1783" t="inlineStr">
        <is>
          <t>SERVIÇO</t>
        </is>
      </c>
      <c r="I507" s="1784" t="inlineStr">
        <is>
          <t>05.008.003.003</t>
        </is>
      </c>
      <c r="J507" s="1785" t="inlineStr">
        <is>
          <t>Verga/contraverga de concreto, moldada in loco</t>
        </is>
      </c>
      <c r="K507" s="1786" t="inlineStr">
        <is>
          <t>m</t>
        </is>
      </c>
      <c r="L507" s="1787" t="e">
        <v>#REF!</v>
      </c>
      <c r="M507" s="1787" t="n">
        <v>79.40367571053952</v>
      </c>
      <c r="N507" s="1754" t="n"/>
      <c r="O507" s="1788" t="n"/>
      <c r="P507" s="1721" t="inlineStr">
        <is>
          <t>Pendente</t>
        </is>
      </c>
    </row>
    <row r="508" hidden="1" outlineLevel="3" ht="13.5" customHeight="1">
      <c r="A508" s="2117" t="n">
        <v>0</v>
      </c>
      <c r="B508" s="2117" t="n">
        <v>5</v>
      </c>
      <c r="C508" s="2117" t="n">
        <v>8</v>
      </c>
      <c r="D508" s="2118" t="n">
        <v>3</v>
      </c>
      <c r="E508" s="2118" t="n">
        <v>4</v>
      </c>
      <c r="G508" s="1748" t="inlineStr">
        <is>
          <t>ALVENARIA</t>
        </is>
      </c>
      <c r="H508" s="1783" t="inlineStr">
        <is>
          <t>SERVIÇO</t>
        </is>
      </c>
      <c r="I508" s="1784" t="inlineStr">
        <is>
          <t>05.008.003.004</t>
        </is>
      </c>
      <c r="J508" s="1785" t="inlineStr">
        <is>
          <t>Churrasqueiras Pré-Moldadas</t>
        </is>
      </c>
      <c r="K508" s="1786" t="inlineStr">
        <is>
          <t>un</t>
        </is>
      </c>
      <c r="L508" s="1787" t="n">
        <v>1</v>
      </c>
      <c r="M508" s="1787" t="n">
        <v>1800</v>
      </c>
      <c r="N508" s="1754" t="n">
        <v>1800</v>
      </c>
      <c r="O508" s="1788" t="n"/>
      <c r="P508" s="1721" t="inlineStr">
        <is>
          <t>Pendente</t>
        </is>
      </c>
    </row>
    <row r="509" hidden="1" outlineLevel="2" ht="13.5" customHeight="1">
      <c r="A509" s="2117" t="n">
        <v>0</v>
      </c>
      <c r="B509" s="2117" t="n">
        <v>5</v>
      </c>
      <c r="C509" s="2117" t="n">
        <v>8</v>
      </c>
      <c r="D509" s="2118" t="n">
        <v>4</v>
      </c>
      <c r="E509" s="2118" t="n">
        <v>0</v>
      </c>
      <c r="G509" s="1740" t="n"/>
      <c r="H509" s="1777" t="inlineStr">
        <is>
          <t>SUBETAPA</t>
        </is>
      </c>
      <c r="I509" s="1778" t="inlineStr">
        <is>
          <t>05.008.004</t>
        </is>
      </c>
      <c r="J509" s="1779" t="inlineStr">
        <is>
          <t>Drywall</t>
        </is>
      </c>
      <c r="K509" s="1780" t="n"/>
      <c r="L509" s="1781" t="n"/>
      <c r="M509" s="1781" t="n"/>
      <c r="N509" s="1746" t="n"/>
      <c r="O509" s="1782" t="n"/>
      <c r="P509" s="1720" t="n"/>
    </row>
    <row r="510" hidden="1" outlineLevel="3" ht="13.5" customHeight="1">
      <c r="A510" s="2117" t="n">
        <v>0</v>
      </c>
      <c r="B510" s="2117" t="n">
        <v>5</v>
      </c>
      <c r="C510" s="2117" t="n">
        <v>8</v>
      </c>
      <c r="D510" s="2118" t="n">
        <v>4</v>
      </c>
      <c r="E510" s="2118" t="n">
        <v>1</v>
      </c>
      <c r="G510" s="1748" t="inlineStr">
        <is>
          <t>ALVENARIA</t>
        </is>
      </c>
      <c r="H510" s="1783" t="inlineStr">
        <is>
          <t>SERVIÇO</t>
        </is>
      </c>
      <c r="I510" s="1784" t="inlineStr">
        <is>
          <t>05.008.004.001</t>
        </is>
      </c>
      <c r="J510" s="1751" t="inlineStr">
        <is>
          <t>Parede Com Sistema Em Chapas De Gesso Para Drywall, Uso Interno, Montante 48mm  (48 / HS)</t>
        </is>
      </c>
      <c r="K510" s="1786" t="inlineStr">
        <is>
          <t>m2</t>
        </is>
      </c>
      <c r="L510" s="1787" t="e">
        <v>#REF!</v>
      </c>
      <c r="M510" s="1787" t="n">
        <v>95.86755699999999</v>
      </c>
      <c r="N510" s="1754" t="n"/>
      <c r="O510" s="1788" t="n"/>
      <c r="P510" s="1721" t="inlineStr">
        <is>
          <t>Pendente</t>
        </is>
      </c>
    </row>
    <row r="511" hidden="1" outlineLevel="3" ht="13.5" customHeight="1">
      <c r="A511" s="2117" t="n">
        <v>0</v>
      </c>
      <c r="B511" s="2117" t="n">
        <v>5</v>
      </c>
      <c r="C511" s="2117" t="n">
        <v>8</v>
      </c>
      <c r="D511" s="2118" t="n">
        <v>4</v>
      </c>
      <c r="E511" s="2118" t="n">
        <v>2</v>
      </c>
      <c r="G511" s="1748" t="inlineStr">
        <is>
          <t>ALVENARIA</t>
        </is>
      </c>
      <c r="H511" s="1783" t="inlineStr">
        <is>
          <t>SERVIÇO</t>
        </is>
      </c>
      <c r="I511" s="1784" t="inlineStr">
        <is>
          <t>05.008.004.002</t>
        </is>
      </c>
      <c r="J511" s="1751" t="inlineStr">
        <is>
          <t>Parede Com Sistema Em Chapas De Gesso Para Drywall, Uso Interno, Montante 70mm  (70 / HS)</t>
        </is>
      </c>
      <c r="K511" s="1786" t="inlineStr">
        <is>
          <t>m2</t>
        </is>
      </c>
      <c r="L511" s="1787" t="e">
        <v>#REF!</v>
      </c>
      <c r="M511" s="1787" t="n">
        <v>96.52322099999999</v>
      </c>
      <c r="N511" s="1754" t="n"/>
      <c r="O511" s="1788" t="n"/>
      <c r="P511" s="1721" t="inlineStr">
        <is>
          <t>Pendente</t>
        </is>
      </c>
    </row>
    <row r="512" hidden="1" outlineLevel="3" ht="13.5" customHeight="1">
      <c r="A512" s="2117" t="n">
        <v>0</v>
      </c>
      <c r="B512" s="2117" t="n">
        <v>5</v>
      </c>
      <c r="C512" s="2117" t="n">
        <v>8</v>
      </c>
      <c r="D512" s="2118" t="n">
        <v>4</v>
      </c>
      <c r="E512" s="2118" t="n">
        <v>3</v>
      </c>
      <c r="G512" s="1748" t="inlineStr">
        <is>
          <t>ALVENARIA</t>
        </is>
      </c>
      <c r="H512" s="1783" t="inlineStr">
        <is>
          <t>SERVIÇO</t>
        </is>
      </c>
      <c r="I512" s="1784" t="inlineStr">
        <is>
          <t>05.008.004.003</t>
        </is>
      </c>
      <c r="J512" s="1751" t="inlineStr">
        <is>
          <t>Parede Com Sistema Em Chapas De Gesso Para Drywall, Uso Interno, Montante 70mm  (HU / 70 / HS)</t>
        </is>
      </c>
      <c r="K512" s="1786" t="inlineStr">
        <is>
          <t>m2</t>
        </is>
      </c>
      <c r="L512" s="1787" t="e">
        <v>#REF!</v>
      </c>
      <c r="M512" s="1787" t="n">
        <v>165.703099</v>
      </c>
      <c r="N512" s="1754" t="n"/>
      <c r="O512" s="1788" t="n"/>
      <c r="P512" s="1721" t="inlineStr">
        <is>
          <t>Pendente</t>
        </is>
      </c>
    </row>
    <row r="513" hidden="1" outlineLevel="2" ht="13.5" customHeight="1">
      <c r="A513" s="2117" t="n">
        <v>0</v>
      </c>
      <c r="B513" s="2117" t="n">
        <v>5</v>
      </c>
      <c r="C513" s="2117" t="n">
        <v>8</v>
      </c>
      <c r="D513" s="2118" t="n">
        <v>5</v>
      </c>
      <c r="E513" s="2118" t="n">
        <v>0</v>
      </c>
      <c r="G513" s="1740" t="n"/>
      <c r="H513" s="1777" t="inlineStr">
        <is>
          <t>SUBETAPA</t>
        </is>
      </c>
      <c r="I513" s="1778" t="inlineStr">
        <is>
          <t>05.008.005</t>
        </is>
      </c>
      <c r="J513" s="1779" t="inlineStr">
        <is>
          <t>Mão de obra</t>
        </is>
      </c>
      <c r="K513" s="1780" t="n"/>
      <c r="L513" s="1781" t="n"/>
      <c r="M513" s="1781" t="n"/>
      <c r="N513" s="1746" t="n"/>
      <c r="O513" s="1782" t="n"/>
      <c r="P513" s="1720" t="n"/>
    </row>
    <row r="514" hidden="1" outlineLevel="3" ht="13.5" customHeight="1">
      <c r="A514" s="2117" t="n">
        <v>0</v>
      </c>
      <c r="B514" s="2117" t="n">
        <v>5</v>
      </c>
      <c r="C514" s="2117" t="n">
        <v>8</v>
      </c>
      <c r="D514" s="2118" t="n">
        <v>5</v>
      </c>
      <c r="E514" s="2118" t="n">
        <v>1</v>
      </c>
      <c r="G514" s="1748" t="inlineStr">
        <is>
          <t>ALVENARIA</t>
        </is>
      </c>
      <c r="H514" s="1783" t="inlineStr">
        <is>
          <t>SERVIÇO</t>
        </is>
      </c>
      <c r="I514" s="1784" t="inlineStr">
        <is>
          <t>05.008.005.001</t>
        </is>
      </c>
      <c r="J514" s="1785" t="inlineStr">
        <is>
          <t>Mão de obra para assentamento de blocos cerâmicos</t>
        </is>
      </c>
      <c r="K514" s="1786" t="inlineStr">
        <is>
          <t>m2</t>
        </is>
      </c>
      <c r="L514" s="1787" t="e">
        <v>#REF!</v>
      </c>
      <c r="M514" s="1787" t="n">
        <v>47</v>
      </c>
      <c r="N514" s="1754" t="n"/>
      <c r="O514" s="1788" t="n"/>
      <c r="P514" s="1721" t="inlineStr">
        <is>
          <t>Pendente</t>
        </is>
      </c>
    </row>
    <row r="515" hidden="1" outlineLevel="3" ht="13.5" customHeight="1">
      <c r="A515" s="2117" t="n">
        <v>0</v>
      </c>
      <c r="B515" s="2117" t="n">
        <v>5</v>
      </c>
      <c r="C515" s="2117" t="n">
        <v>8</v>
      </c>
      <c r="D515" s="2118" t="n">
        <v>5</v>
      </c>
      <c r="E515" s="2118" t="n">
        <v>2</v>
      </c>
      <c r="G515" s="1748" t="inlineStr">
        <is>
          <t>ALVENARIA</t>
        </is>
      </c>
      <c r="H515" s="1783" t="inlineStr">
        <is>
          <t>SERVIÇO</t>
        </is>
      </c>
      <c r="I515" s="1784" t="inlineStr">
        <is>
          <t>05.008.005.002</t>
        </is>
      </c>
      <c r="J515" s="1785" t="inlineStr">
        <is>
          <t>Mão de obra para assentamento de blocos de silico calcarios</t>
        </is>
      </c>
      <c r="K515" s="1786" t="inlineStr">
        <is>
          <t>m2</t>
        </is>
      </c>
      <c r="L515" s="1787" t="e">
        <v>#REF!</v>
      </c>
      <c r="M515" s="1787" t="n">
        <v>47</v>
      </c>
      <c r="N515" s="1754" t="n"/>
      <c r="O515" s="1788" t="n"/>
      <c r="P515" s="1721" t="inlineStr">
        <is>
          <t>Pendente</t>
        </is>
      </c>
    </row>
    <row r="516" hidden="1" outlineLevel="3" ht="13.5" customHeight="1">
      <c r="A516" s="2117" t="n">
        <v>0</v>
      </c>
      <c r="B516" s="2117" t="n">
        <v>5</v>
      </c>
      <c r="C516" s="2117" t="n">
        <v>8</v>
      </c>
      <c r="D516" s="2118" t="n">
        <v>5</v>
      </c>
      <c r="E516" s="2118" t="n">
        <v>3</v>
      </c>
      <c r="G516" s="1748" t="inlineStr">
        <is>
          <t>ALVENARIA</t>
        </is>
      </c>
      <c r="H516" s="1783" t="inlineStr">
        <is>
          <t>SERVIÇO</t>
        </is>
      </c>
      <c r="I516" s="1784" t="inlineStr">
        <is>
          <t>05.008.005.003</t>
        </is>
      </c>
      <c r="J516" s="1751" t="inlineStr">
        <is>
          <t xml:space="preserve">Mão de obra para Sistema de vedação em drywall </t>
        </is>
      </c>
      <c r="K516" s="1786" t="inlineStr">
        <is>
          <t>m2</t>
        </is>
      </c>
      <c r="L516" s="1753" t="e">
        <v>#REF!</v>
      </c>
      <c r="M516" s="1787" t="e">
        <v>#REF!</v>
      </c>
      <c r="N516" s="1754" t="n"/>
      <c r="O516" s="1788" t="n"/>
      <c r="P516" s="1721" t="inlineStr">
        <is>
          <t>Pendente</t>
        </is>
      </c>
    </row>
    <row r="517" hidden="1" outlineLevel="1" ht="13.5" customHeight="1">
      <c r="A517" s="2117" t="n">
        <v>0</v>
      </c>
      <c r="B517" s="2117" t="n">
        <v>5</v>
      </c>
      <c r="C517" s="2117" t="n">
        <v>9</v>
      </c>
      <c r="D517" s="2118" t="n">
        <v>0</v>
      </c>
      <c r="E517" s="2118" t="n">
        <v>3</v>
      </c>
      <c r="G517" s="1733" t="n"/>
      <c r="H517" s="1771" t="inlineStr">
        <is>
          <t>ETAPA</t>
        </is>
      </c>
      <c r="I517" s="1772" t="inlineStr">
        <is>
          <t>05.009</t>
        </is>
      </c>
      <c r="J517" s="1773" t="inlineStr">
        <is>
          <t>PAREDES E DIVISÓRIAS - Tipo diferenciado</t>
        </is>
      </c>
      <c r="K517" s="1774" t="n"/>
      <c r="L517" s="1775" t="n"/>
      <c r="M517" s="1775" t="n"/>
      <c r="N517" s="1739" t="n"/>
      <c r="O517" s="1776" t="n"/>
      <c r="P517" s="1719" t="n"/>
    </row>
    <row r="518" hidden="1" outlineLevel="2" ht="13.5" customHeight="1">
      <c r="A518" s="2117" t="n">
        <v>0</v>
      </c>
      <c r="B518" s="2117" t="n">
        <v>5</v>
      </c>
      <c r="C518" s="2117" t="n">
        <v>9</v>
      </c>
      <c r="D518" s="2118" t="n">
        <v>1</v>
      </c>
      <c r="E518" s="2118" t="n">
        <v>0</v>
      </c>
      <c r="G518" s="1740" t="n"/>
      <c r="H518" s="1777" t="inlineStr">
        <is>
          <t>SUBETAPA</t>
        </is>
      </c>
      <c r="I518" s="1778" t="inlineStr">
        <is>
          <t>05.009.001</t>
        </is>
      </c>
      <c r="J518" s="1779" t="inlineStr">
        <is>
          <t>Alevanaria de vedação com blocos cerâmicos</t>
        </is>
      </c>
      <c r="K518" s="1780" t="n"/>
      <c r="L518" s="1781" t="n"/>
      <c r="M518" s="1781" t="n"/>
      <c r="N518" s="1746" t="n"/>
      <c r="O518" s="1782" t="n"/>
      <c r="P518" s="1720" t="n"/>
    </row>
    <row r="519" hidden="1" outlineLevel="3" ht="13.5" customHeight="1">
      <c r="A519" s="2117" t="n">
        <v>0</v>
      </c>
      <c r="B519" s="2117" t="n">
        <v>5</v>
      </c>
      <c r="C519" s="2117" t="n">
        <v>9</v>
      </c>
      <c r="D519" s="2118" t="n">
        <v>1</v>
      </c>
      <c r="E519" s="2118" t="n">
        <v>1</v>
      </c>
      <c r="G519" s="1748" t="inlineStr">
        <is>
          <t>ALVENARIA</t>
        </is>
      </c>
      <c r="H519" s="1783" t="inlineStr">
        <is>
          <t>SERVIÇO</t>
        </is>
      </c>
      <c r="I519" s="1784" t="inlineStr">
        <is>
          <t>05.009.001.001</t>
        </is>
      </c>
      <c r="J519" s="1785" t="inlineStr">
        <is>
          <t>Alvenaria de vedacao de blocos ceramicos de 19x19x39cm com argamassa industrializada de assentamento</t>
        </is>
      </c>
      <c r="K519" s="1786" t="inlineStr">
        <is>
          <t>m2</t>
        </is>
      </c>
      <c r="L519" s="1787" t="e">
        <v>#REF!</v>
      </c>
      <c r="M519" s="1787" t="n">
        <v>35.09999999999999</v>
      </c>
      <c r="N519" s="1754" t="n"/>
      <c r="O519" s="1788" t="n"/>
      <c r="P519" s="1721" t="inlineStr">
        <is>
          <t>Pendente</t>
        </is>
      </c>
    </row>
    <row r="520" hidden="1" outlineLevel="2" ht="13.5" customHeight="1">
      <c r="A520" s="2117" t="n">
        <v>0</v>
      </c>
      <c r="B520" s="2117" t="n">
        <v>5</v>
      </c>
      <c r="C520" s="2117" t="n">
        <v>9</v>
      </c>
      <c r="D520" s="2118" t="n">
        <v>2</v>
      </c>
      <c r="E520" s="2118" t="n">
        <v>0</v>
      </c>
      <c r="G520" s="1740" t="n"/>
      <c r="H520" s="1777" t="inlineStr">
        <is>
          <t>SUBETAPA</t>
        </is>
      </c>
      <c r="I520" s="1778" t="inlineStr">
        <is>
          <t>05.009.002</t>
        </is>
      </c>
      <c r="J520" s="1779" t="inlineStr">
        <is>
          <t>Alevanaria de vedação com blocos Concreto e concreto celular</t>
        </is>
      </c>
      <c r="K520" s="1780" t="n"/>
      <c r="L520" s="1781" t="n"/>
      <c r="M520" s="1781" t="n"/>
      <c r="N520" s="1746" t="n"/>
      <c r="O520" s="1782" t="n"/>
      <c r="P520" s="1720" t="n"/>
    </row>
    <row r="521" hidden="1" outlineLevel="3" ht="13.5" customHeight="1">
      <c r="A521" s="2117" t="n">
        <v>0</v>
      </c>
      <c r="B521" s="2117" t="n">
        <v>5</v>
      </c>
      <c r="C521" s="2117" t="n">
        <v>9</v>
      </c>
      <c r="D521" s="2118" t="n">
        <v>2</v>
      </c>
      <c r="E521" s="2118" t="n">
        <v>1</v>
      </c>
      <c r="G521" s="1748" t="inlineStr">
        <is>
          <t>ALVENARIA</t>
        </is>
      </c>
      <c r="H521" s="1783" t="inlineStr">
        <is>
          <t>SERVIÇO</t>
        </is>
      </c>
      <c r="I521" s="1784" t="inlineStr">
        <is>
          <t>05.009.002.001</t>
        </is>
      </c>
      <c r="J521" s="1785" t="inlineStr">
        <is>
          <t>Alvenaria em Bloco De Concreto Celular 60x30x10cm Sical com argamassa industrializada de assentamento</t>
        </is>
      </c>
      <c r="K521" s="1786" t="inlineStr">
        <is>
          <t>m2</t>
        </is>
      </c>
      <c r="L521" s="1787" t="e">
        <v>#REF!</v>
      </c>
      <c r="M521" s="1787" t="n">
        <v>82.96000000000001</v>
      </c>
      <c r="N521" s="1754" t="n"/>
      <c r="O521" s="1788" t="n"/>
      <c r="P521" s="1721" t="inlineStr">
        <is>
          <t>Pendente</t>
        </is>
      </c>
    </row>
    <row r="522" hidden="1" outlineLevel="2" ht="13.5" customHeight="1">
      <c r="A522" s="2117" t="n">
        <v>0</v>
      </c>
      <c r="B522" s="2117" t="n">
        <v>5</v>
      </c>
      <c r="C522" s="2117" t="n">
        <v>9</v>
      </c>
      <c r="D522" s="2118" t="n">
        <v>3</v>
      </c>
      <c r="E522" s="2118" t="n">
        <v>0</v>
      </c>
      <c r="G522" s="1740" t="n"/>
      <c r="H522" s="1777" t="inlineStr">
        <is>
          <t>SUBETAPA</t>
        </is>
      </c>
      <c r="I522" s="1778" t="inlineStr">
        <is>
          <t>05.009.003</t>
        </is>
      </c>
      <c r="J522" s="1779" t="inlineStr">
        <is>
          <t>Serviços complementares para alvenaria de vedação</t>
        </is>
      </c>
      <c r="K522" s="1780" t="n"/>
      <c r="L522" s="1781" t="n"/>
      <c r="M522" s="1781" t="n"/>
      <c r="N522" s="1746" t="n"/>
      <c r="O522" s="1782" t="n"/>
      <c r="P522" s="1720" t="n"/>
    </row>
    <row r="523" hidden="1" outlineLevel="3" ht="13.5" customHeight="1">
      <c r="A523" s="2117" t="n">
        <v>0</v>
      </c>
      <c r="B523" s="2117" t="n">
        <v>5</v>
      </c>
      <c r="C523" s="2117" t="n">
        <v>9</v>
      </c>
      <c r="D523" s="2118" t="n">
        <v>3</v>
      </c>
      <c r="E523" s="2118" t="n">
        <v>1</v>
      </c>
      <c r="G523" s="1748" t="inlineStr">
        <is>
          <t>ALVENARIA</t>
        </is>
      </c>
      <c r="H523" s="1783" t="inlineStr">
        <is>
          <t>SERVIÇO</t>
        </is>
      </c>
      <c r="I523" s="1784" t="inlineStr">
        <is>
          <t>05.009.003.001</t>
        </is>
      </c>
      <c r="J523" s="1785" t="inlineStr">
        <is>
          <t>Encunhamento de alvenaria de vedação com argamassa expansiva</t>
        </is>
      </c>
      <c r="K523" s="1786" t="inlineStr">
        <is>
          <t>m</t>
        </is>
      </c>
      <c r="L523" s="1787" t="e">
        <v>#REF!</v>
      </c>
      <c r="M523" s="1787" t="n">
        <v>14.7875</v>
      </c>
      <c r="N523" s="1754" t="n"/>
      <c r="O523" s="1788" t="n"/>
      <c r="P523" s="1721" t="inlineStr">
        <is>
          <t>Pendente</t>
        </is>
      </c>
    </row>
    <row r="524" hidden="1" outlineLevel="3" ht="13.5" customHeight="1">
      <c r="A524" s="2117" t="n">
        <v>0</v>
      </c>
      <c r="B524" s="2117" t="n">
        <v>5</v>
      </c>
      <c r="C524" s="2117" t="n">
        <v>9</v>
      </c>
      <c r="D524" s="2118" t="n">
        <v>3</v>
      </c>
      <c r="E524" s="2118" t="n">
        <v>2</v>
      </c>
      <c r="G524" s="1748" t="inlineStr">
        <is>
          <t>ALVENARIA</t>
        </is>
      </c>
      <c r="H524" s="1783" t="inlineStr">
        <is>
          <t>SERVIÇO</t>
        </is>
      </c>
      <c r="I524" s="1784" t="inlineStr">
        <is>
          <t>05.009.003.002</t>
        </is>
      </c>
      <c r="J524" s="1785" t="inlineStr">
        <is>
          <t>Tela soldada para ligacao alvenaria/estrutura</t>
        </is>
      </c>
      <c r="K524" s="1786" t="inlineStr">
        <is>
          <t>un</t>
        </is>
      </c>
      <c r="L524" s="1787" t="e">
        <v>#REF!</v>
      </c>
      <c r="M524" s="1787" t="n">
        <v>4.1072</v>
      </c>
      <c r="N524" s="1754" t="n"/>
      <c r="O524" s="1788" t="n"/>
      <c r="P524" s="1721" t="inlineStr">
        <is>
          <t>Pendente</t>
        </is>
      </c>
    </row>
    <row r="525" hidden="1" outlineLevel="3" ht="13.5" customHeight="1">
      <c r="A525" s="2117" t="n">
        <v>0</v>
      </c>
      <c r="B525" s="2117" t="n">
        <v>5</v>
      </c>
      <c r="C525" s="2117" t="n">
        <v>9</v>
      </c>
      <c r="D525" s="2118" t="n">
        <v>3</v>
      </c>
      <c r="E525" s="2118" t="n">
        <v>3</v>
      </c>
      <c r="G525" s="1748" t="inlineStr">
        <is>
          <t>ALVENARIA</t>
        </is>
      </c>
      <c r="H525" s="1783" t="inlineStr">
        <is>
          <t>SERVIÇO</t>
        </is>
      </c>
      <c r="I525" s="1784" t="inlineStr">
        <is>
          <t>05.009.003.003</t>
        </is>
      </c>
      <c r="J525" s="1785" t="inlineStr">
        <is>
          <t>Verga/contraverga de concreto, moldada in loco</t>
        </is>
      </c>
      <c r="K525" s="1786" t="inlineStr">
        <is>
          <t>m</t>
        </is>
      </c>
      <c r="L525" s="1787" t="e">
        <v>#REF!</v>
      </c>
      <c r="M525" s="1787" t="n">
        <v>79.40367571053952</v>
      </c>
      <c r="N525" s="1754" t="n"/>
      <c r="O525" s="1788" t="n"/>
      <c r="P525" s="1721" t="inlineStr">
        <is>
          <t>Pendente</t>
        </is>
      </c>
    </row>
    <row r="526" hidden="1" outlineLevel="3" ht="13.5" customHeight="1">
      <c r="A526" s="2117" t="n">
        <v>0</v>
      </c>
      <c r="B526" s="2117" t="n">
        <v>5</v>
      </c>
      <c r="C526" s="2117" t="n">
        <v>9</v>
      </c>
      <c r="D526" s="2118" t="n">
        <v>3</v>
      </c>
      <c r="E526" s="2118" t="n">
        <v>4</v>
      </c>
      <c r="G526" s="1748" t="inlineStr">
        <is>
          <t>ALVENARIA</t>
        </is>
      </c>
      <c r="H526" s="1783" t="inlineStr">
        <is>
          <t>SERVIÇO</t>
        </is>
      </c>
      <c r="I526" s="1784" t="inlineStr">
        <is>
          <t>05.009.003.004</t>
        </is>
      </c>
      <c r="J526" s="1785" t="inlineStr">
        <is>
          <t>Churrasqueiras Pré-Moldadas</t>
        </is>
      </c>
      <c r="K526" s="1786" t="inlineStr">
        <is>
          <t>un</t>
        </is>
      </c>
      <c r="L526" s="1787" t="n">
        <v>2</v>
      </c>
      <c r="M526" s="1787" t="n">
        <v>1800</v>
      </c>
      <c r="N526" s="1754" t="n">
        <v>3600</v>
      </c>
      <c r="O526" s="1788" t="n"/>
      <c r="P526" s="1721" t="inlineStr">
        <is>
          <t>Pendente</t>
        </is>
      </c>
    </row>
    <row r="527" hidden="1" outlineLevel="2" ht="13.5" customHeight="1">
      <c r="A527" s="2117" t="n">
        <v>0</v>
      </c>
      <c r="B527" s="2117" t="n">
        <v>5</v>
      </c>
      <c r="C527" s="2117" t="n">
        <v>9</v>
      </c>
      <c r="D527" s="2118" t="n">
        <v>4</v>
      </c>
      <c r="E527" s="2118" t="n">
        <v>0</v>
      </c>
      <c r="G527" s="1740" t="n"/>
      <c r="H527" s="1777" t="inlineStr">
        <is>
          <t>SUBETAPA</t>
        </is>
      </c>
      <c r="I527" s="1778" t="inlineStr">
        <is>
          <t>05.009.004</t>
        </is>
      </c>
      <c r="J527" s="1779" t="inlineStr">
        <is>
          <t>Drywall</t>
        </is>
      </c>
      <c r="K527" s="1780" t="n"/>
      <c r="L527" s="1781" t="n"/>
      <c r="M527" s="1781" t="n"/>
      <c r="N527" s="1746" t="n"/>
      <c r="O527" s="1782" t="n"/>
      <c r="P527" s="1720" t="n"/>
    </row>
    <row r="528" hidden="1" outlineLevel="3" ht="13.5" customHeight="1">
      <c r="A528" s="2117" t="n">
        <v>0</v>
      </c>
      <c r="B528" s="2117" t="n">
        <v>5</v>
      </c>
      <c r="C528" s="2117" t="n">
        <v>9</v>
      </c>
      <c r="D528" s="2118" t="n">
        <v>4</v>
      </c>
      <c r="E528" s="2118" t="n">
        <v>1</v>
      </c>
      <c r="G528" s="1748" t="inlineStr">
        <is>
          <t>ALVENARIA</t>
        </is>
      </c>
      <c r="H528" s="1783" t="inlineStr">
        <is>
          <t>SERVIÇO</t>
        </is>
      </c>
      <c r="I528" s="1784" t="inlineStr">
        <is>
          <t>05.009.004.001</t>
        </is>
      </c>
      <c r="J528" s="1751" t="inlineStr">
        <is>
          <t>Parede Com Sistema Em Chapas De Gesso Para Drywall, Uso Interno, Montante 48mm  (48 / HU)</t>
        </is>
      </c>
      <c r="K528" s="1786" t="inlineStr">
        <is>
          <t>m2</t>
        </is>
      </c>
      <c r="L528" s="1787" t="e">
        <v>#REF!</v>
      </c>
      <c r="M528" s="1787" t="n">
        <v>103.175377</v>
      </c>
      <c r="N528" s="1754" t="n"/>
      <c r="O528" s="1788" t="n"/>
      <c r="P528" s="1721" t="inlineStr">
        <is>
          <t>Pendente</t>
        </is>
      </c>
    </row>
    <row r="529" hidden="1" outlineLevel="3" ht="13.5" customHeight="1">
      <c r="A529" s="2117" t="n">
        <v>0</v>
      </c>
      <c r="B529" s="2117" t="n">
        <v>5</v>
      </c>
      <c r="C529" s="2117" t="n">
        <v>9</v>
      </c>
      <c r="D529" s="2118" t="n">
        <v>4</v>
      </c>
      <c r="E529" s="2118" t="n">
        <v>2</v>
      </c>
      <c r="G529" s="1748" t="inlineStr">
        <is>
          <t>ALVENARIA</t>
        </is>
      </c>
      <c r="H529" s="1783" t="inlineStr">
        <is>
          <t>SERVIÇO</t>
        </is>
      </c>
      <c r="I529" s="1784" t="inlineStr">
        <is>
          <t>05.009.004.002</t>
        </is>
      </c>
      <c r="J529" s="1751" t="inlineStr">
        <is>
          <t>Parede Com Sistema Em Chapas De Gesso Para Drywall, Uso Interno, Montante 48mm  (48 / HS)</t>
        </is>
      </c>
      <c r="K529" s="1786" t="inlineStr">
        <is>
          <t>m2</t>
        </is>
      </c>
      <c r="L529" s="1787" t="e">
        <v>#REF!</v>
      </c>
      <c r="M529" s="1787" t="n">
        <v>95.86755699999999</v>
      </c>
      <c r="N529" s="1754" t="n"/>
      <c r="O529" s="1788" t="n"/>
      <c r="P529" s="1721" t="inlineStr">
        <is>
          <t>Pendente</t>
        </is>
      </c>
    </row>
    <row r="530" hidden="1" outlineLevel="3" ht="13.5" customHeight="1">
      <c r="A530" s="2117" t="n">
        <v>0</v>
      </c>
      <c r="B530" s="2117" t="n">
        <v>5</v>
      </c>
      <c r="C530" s="2117" t="n">
        <v>9</v>
      </c>
      <c r="D530" s="2118" t="n">
        <v>4</v>
      </c>
      <c r="E530" s="2118" t="n">
        <v>3</v>
      </c>
      <c r="G530" s="1748" t="inlineStr">
        <is>
          <t>ALVENARIA</t>
        </is>
      </c>
      <c r="H530" s="1783" t="inlineStr">
        <is>
          <t>SERVIÇO</t>
        </is>
      </c>
      <c r="I530" s="1784" t="inlineStr">
        <is>
          <t>05.009.004.003</t>
        </is>
      </c>
      <c r="J530" s="1751" t="inlineStr">
        <is>
          <t>Parede Com Sistema Em Chapas De Gesso Para Drywall, Uso Interno, Montante 70mm  (HU / 70 / HS)</t>
        </is>
      </c>
      <c r="K530" s="1786" t="inlineStr">
        <is>
          <t>m2</t>
        </is>
      </c>
      <c r="L530" s="1787" t="e">
        <v>#REF!</v>
      </c>
      <c r="M530" s="1787" t="n">
        <v>165.703099</v>
      </c>
      <c r="N530" s="1754" t="n"/>
      <c r="O530" s="1788" t="n"/>
      <c r="P530" s="1721" t="inlineStr">
        <is>
          <t>Pendente</t>
        </is>
      </c>
    </row>
    <row r="531" hidden="1" outlineLevel="2" ht="13.5" customHeight="1">
      <c r="A531" s="2117" t="n">
        <v>0</v>
      </c>
      <c r="B531" s="2117" t="n">
        <v>5</v>
      </c>
      <c r="C531" s="2117" t="n">
        <v>9</v>
      </c>
      <c r="D531" s="2118" t="n">
        <v>5</v>
      </c>
      <c r="E531" s="2118" t="n">
        <v>0</v>
      </c>
      <c r="G531" s="1740" t="n"/>
      <c r="H531" s="1777" t="inlineStr">
        <is>
          <t>SUBETAPA</t>
        </is>
      </c>
      <c r="I531" s="1778" t="inlineStr">
        <is>
          <t>05.009.005</t>
        </is>
      </c>
      <c r="J531" s="1779" t="inlineStr">
        <is>
          <t>Mão de obra</t>
        </is>
      </c>
      <c r="K531" s="1780" t="n"/>
      <c r="L531" s="1781" t="n"/>
      <c r="M531" s="1781" t="n"/>
      <c r="N531" s="1746" t="n"/>
      <c r="O531" s="1782" t="n"/>
      <c r="P531" s="1720" t="n"/>
    </row>
    <row r="532" hidden="1" outlineLevel="3" ht="13.5" customHeight="1">
      <c r="A532" s="2117" t="n">
        <v>0</v>
      </c>
      <c r="B532" s="2117" t="n">
        <v>5</v>
      </c>
      <c r="C532" s="2117" t="n">
        <v>9</v>
      </c>
      <c r="D532" s="2118" t="n">
        <v>5</v>
      </c>
      <c r="E532" s="2118" t="n">
        <v>1</v>
      </c>
      <c r="G532" s="1748" t="inlineStr">
        <is>
          <t>ALVENARIA</t>
        </is>
      </c>
      <c r="H532" s="1783" t="inlineStr">
        <is>
          <t>SERVIÇO</t>
        </is>
      </c>
      <c r="I532" s="1784" t="inlineStr">
        <is>
          <t>05.009.005.001</t>
        </is>
      </c>
      <c r="J532" s="1785" t="inlineStr">
        <is>
          <t>Mão de obra para assentamento de blocos cerâmicos</t>
        </is>
      </c>
      <c r="K532" s="1786" t="inlineStr">
        <is>
          <t>m2</t>
        </is>
      </c>
      <c r="L532" s="1787" t="e">
        <v>#REF!</v>
      </c>
      <c r="M532" s="1787" t="n">
        <v>47</v>
      </c>
      <c r="N532" s="1754" t="n"/>
      <c r="O532" s="1788" t="n"/>
      <c r="P532" s="1721" t="inlineStr">
        <is>
          <t>Pendente</t>
        </is>
      </c>
    </row>
    <row r="533" hidden="1" outlineLevel="3" ht="13.5" customHeight="1">
      <c r="A533" s="2117" t="n">
        <v>0</v>
      </c>
      <c r="B533" s="2117" t="n">
        <v>5</v>
      </c>
      <c r="C533" s="2117" t="n">
        <v>9</v>
      </c>
      <c r="D533" s="2118" t="n">
        <v>5</v>
      </c>
      <c r="E533" s="2118" t="n">
        <v>2</v>
      </c>
      <c r="G533" s="1748" t="inlineStr">
        <is>
          <t>ALVENARIA</t>
        </is>
      </c>
      <c r="H533" s="1783" t="inlineStr">
        <is>
          <t>SERVIÇO</t>
        </is>
      </c>
      <c r="I533" s="1784" t="inlineStr">
        <is>
          <t>05.009.005.002</t>
        </is>
      </c>
      <c r="J533" s="1785" t="inlineStr">
        <is>
          <t>Mão de obra para assentamento de blocos de silico calcarios</t>
        </is>
      </c>
      <c r="K533" s="1786" t="inlineStr">
        <is>
          <t>m2</t>
        </is>
      </c>
      <c r="L533" s="1787" t="e">
        <v>#REF!</v>
      </c>
      <c r="M533" s="1787" t="n">
        <v>47</v>
      </c>
      <c r="N533" s="1754" t="n"/>
      <c r="O533" s="1788" t="n"/>
      <c r="P533" s="1721" t="inlineStr">
        <is>
          <t>Pendente</t>
        </is>
      </c>
    </row>
    <row r="534" hidden="1" outlineLevel="3" ht="13.5" customHeight="1">
      <c r="A534" s="2117" t="n">
        <v>0</v>
      </c>
      <c r="B534" s="2117" t="n">
        <v>5</v>
      </c>
      <c r="C534" s="2117" t="n">
        <v>9</v>
      </c>
      <c r="D534" s="2118" t="n">
        <v>5</v>
      </c>
      <c r="E534" s="2118" t="n">
        <v>3</v>
      </c>
      <c r="G534" s="1748" t="inlineStr">
        <is>
          <t>ALVENARIA</t>
        </is>
      </c>
      <c r="H534" s="1783" t="inlineStr">
        <is>
          <t>SERVIÇO</t>
        </is>
      </c>
      <c r="I534" s="1784" t="inlineStr">
        <is>
          <t>05.009.005.003</t>
        </is>
      </c>
      <c r="J534" s="1751" t="inlineStr">
        <is>
          <t xml:space="preserve">Mão de obra para Sistema de vedação em drywall </t>
        </is>
      </c>
      <c r="K534" s="1786" t="inlineStr">
        <is>
          <t>m2</t>
        </is>
      </c>
      <c r="L534" s="1753" t="e">
        <v>#REF!</v>
      </c>
      <c r="M534" s="1787" t="e">
        <v>#REF!</v>
      </c>
      <c r="N534" s="1754" t="n"/>
      <c r="O534" s="1788" t="n"/>
      <c r="P534" s="1721" t="inlineStr">
        <is>
          <t>Pendente</t>
        </is>
      </c>
    </row>
    <row r="535" hidden="1" outlineLevel="1" ht="13.5" customHeight="1">
      <c r="A535" s="2117" t="n">
        <v>0</v>
      </c>
      <c r="B535" s="2117" t="n">
        <v>5</v>
      </c>
      <c r="C535" s="2117" t="n">
        <v>10</v>
      </c>
      <c r="D535" s="2118" t="n">
        <v>0</v>
      </c>
      <c r="E535" s="2118" t="n">
        <v>3</v>
      </c>
      <c r="G535" s="1733" t="n"/>
      <c r="H535" s="1771" t="inlineStr">
        <is>
          <t>ETAPA</t>
        </is>
      </c>
      <c r="I535" s="1772" t="inlineStr">
        <is>
          <t>05.010</t>
        </is>
      </c>
      <c r="J535" s="1773" t="inlineStr">
        <is>
          <t>PAREDES E DIVISÓRIAS - Tipo x8</t>
        </is>
      </c>
      <c r="K535" s="1774" t="n"/>
      <c r="L535" s="1775" t="n"/>
      <c r="M535" s="1775" t="n"/>
      <c r="N535" s="1739" t="n"/>
      <c r="O535" s="1776" t="n"/>
      <c r="P535" s="1719" t="n"/>
    </row>
    <row r="536" hidden="1" outlineLevel="2" ht="13.5" customHeight="1">
      <c r="A536" s="2117" t="n">
        <v>0</v>
      </c>
      <c r="B536" s="2117" t="n">
        <v>5</v>
      </c>
      <c r="C536" s="2117" t="n">
        <v>10</v>
      </c>
      <c r="D536" s="2118" t="n">
        <v>1</v>
      </c>
      <c r="E536" s="2118" t="n">
        <v>0</v>
      </c>
      <c r="G536" s="1740" t="n"/>
      <c r="H536" s="1777" t="inlineStr">
        <is>
          <t>SUBETAPA</t>
        </is>
      </c>
      <c r="I536" s="1778" t="inlineStr">
        <is>
          <t>05.010.001</t>
        </is>
      </c>
      <c r="J536" s="1779" t="inlineStr">
        <is>
          <t>Alevanaria de vedação com blocos cerâmicos</t>
        </is>
      </c>
      <c r="K536" s="1780" t="n"/>
      <c r="L536" s="1781" t="n"/>
      <c r="M536" s="1781" t="n"/>
      <c r="N536" s="1746" t="n"/>
      <c r="O536" s="1782" t="n"/>
      <c r="P536" s="1720" t="n"/>
    </row>
    <row r="537" hidden="1" outlineLevel="3" ht="13.5" customHeight="1">
      <c r="A537" s="2117" t="n">
        <v>0</v>
      </c>
      <c r="B537" s="2117" t="n">
        <v>5</v>
      </c>
      <c r="C537" s="2117" t="n">
        <v>10</v>
      </c>
      <c r="D537" s="2118" t="n">
        <v>1</v>
      </c>
      <c r="E537" s="2118" t="n">
        <v>1</v>
      </c>
      <c r="G537" s="1748" t="inlineStr">
        <is>
          <t>ALVENARIA</t>
        </is>
      </c>
      <c r="H537" s="1783" t="inlineStr">
        <is>
          <t>SERVIÇO</t>
        </is>
      </c>
      <c r="I537" s="1784" t="inlineStr">
        <is>
          <t>05.010.001.001</t>
        </is>
      </c>
      <c r="J537" s="1785" t="inlineStr">
        <is>
          <t>Alvenaria de vedacao de blocos ceramicos de 19x19x39cm com argamassa industrializada de assentamento</t>
        </is>
      </c>
      <c r="K537" s="1786" t="inlineStr">
        <is>
          <t>m2</t>
        </is>
      </c>
      <c r="L537" s="1787" t="e">
        <v>#REF!</v>
      </c>
      <c r="M537" s="1787" t="n">
        <v>35.09999999999999</v>
      </c>
      <c r="N537" s="1754" t="n"/>
      <c r="O537" s="1788" t="n"/>
      <c r="P537" s="1721" t="inlineStr">
        <is>
          <t>Pendente</t>
        </is>
      </c>
    </row>
    <row r="538" hidden="1" outlineLevel="2" ht="13.5" customHeight="1">
      <c r="A538" s="2117" t="n">
        <v>0</v>
      </c>
      <c r="B538" s="2117" t="n">
        <v>5</v>
      </c>
      <c r="C538" s="2117" t="n">
        <v>10</v>
      </c>
      <c r="D538" s="2118" t="n">
        <v>2</v>
      </c>
      <c r="E538" s="2118" t="n">
        <v>0</v>
      </c>
      <c r="G538" s="1740" t="n"/>
      <c r="H538" s="1777" t="inlineStr">
        <is>
          <t>SUBETAPA</t>
        </is>
      </c>
      <c r="I538" s="1778" t="inlineStr">
        <is>
          <t>05.010.002</t>
        </is>
      </c>
      <c r="J538" s="1779" t="inlineStr">
        <is>
          <t>Alevanaria de vedação com blocos Concreto e concreto celular</t>
        </is>
      </c>
      <c r="K538" s="1780" t="n"/>
      <c r="L538" s="1781" t="n"/>
      <c r="M538" s="1781" t="n"/>
      <c r="N538" s="1746" t="n"/>
      <c r="O538" s="1782" t="n"/>
      <c r="P538" s="1720" t="n"/>
    </row>
    <row r="539" hidden="1" outlineLevel="3" ht="13.5" customHeight="1">
      <c r="A539" s="2117" t="n">
        <v>0</v>
      </c>
      <c r="B539" s="2117" t="n">
        <v>5</v>
      </c>
      <c r="C539" s="2117" t="n">
        <v>10</v>
      </c>
      <c r="D539" s="2118" t="n">
        <v>2</v>
      </c>
      <c r="E539" s="2118" t="n">
        <v>1</v>
      </c>
      <c r="G539" s="1748" t="inlineStr">
        <is>
          <t>ALVENARIA</t>
        </is>
      </c>
      <c r="H539" s="1783" t="inlineStr">
        <is>
          <t>SERVIÇO</t>
        </is>
      </c>
      <c r="I539" s="1784" t="inlineStr">
        <is>
          <t>05.010.002.001</t>
        </is>
      </c>
      <c r="J539" s="1785" t="inlineStr">
        <is>
          <t>Alvenaria em Bloco De Concreto Celular 60x30x10cm Sical com argamassa industrializada de assentamento</t>
        </is>
      </c>
      <c r="K539" s="1786" t="inlineStr">
        <is>
          <t>m2</t>
        </is>
      </c>
      <c r="L539" s="1787" t="e">
        <v>#REF!</v>
      </c>
      <c r="M539" s="1787" t="n">
        <v>82.96000000000001</v>
      </c>
      <c r="N539" s="1754" t="n"/>
      <c r="O539" s="1788" t="n"/>
      <c r="P539" s="1721" t="inlineStr">
        <is>
          <t>Pendente</t>
        </is>
      </c>
    </row>
    <row r="540" hidden="1" outlineLevel="2" ht="13.5" customHeight="1">
      <c r="A540" s="2117" t="n">
        <v>0</v>
      </c>
      <c r="B540" s="2117" t="n">
        <v>5</v>
      </c>
      <c r="C540" s="2117" t="n">
        <v>10</v>
      </c>
      <c r="D540" s="2118" t="n">
        <v>3</v>
      </c>
      <c r="E540" s="2118" t="n">
        <v>0</v>
      </c>
      <c r="G540" s="1740" t="n"/>
      <c r="H540" s="1777" t="inlineStr">
        <is>
          <t>SUBETAPA</t>
        </is>
      </c>
      <c r="I540" s="1778" t="inlineStr">
        <is>
          <t>05.010.003</t>
        </is>
      </c>
      <c r="J540" s="1779" t="inlineStr">
        <is>
          <t>Serviços complementares para alvenaria de vedação</t>
        </is>
      </c>
      <c r="K540" s="1780" t="n"/>
      <c r="L540" s="1781" t="n"/>
      <c r="M540" s="1781" t="n"/>
      <c r="N540" s="1746" t="n"/>
      <c r="O540" s="1782" t="n"/>
      <c r="P540" s="1720" t="n"/>
    </row>
    <row r="541" hidden="1" outlineLevel="3" ht="13.5" customHeight="1">
      <c r="A541" s="2117" t="n">
        <v>0</v>
      </c>
      <c r="B541" s="2117" t="n">
        <v>5</v>
      </c>
      <c r="C541" s="2117" t="n">
        <v>10</v>
      </c>
      <c r="D541" s="2118" t="n">
        <v>3</v>
      </c>
      <c r="E541" s="2118" t="n">
        <v>1</v>
      </c>
      <c r="G541" s="1748" t="inlineStr">
        <is>
          <t>ALVENARIA</t>
        </is>
      </c>
      <c r="H541" s="1783" t="inlineStr">
        <is>
          <t>SERVIÇO</t>
        </is>
      </c>
      <c r="I541" s="1784" t="inlineStr">
        <is>
          <t>05.010.003.001</t>
        </is>
      </c>
      <c r="J541" s="1785" t="inlineStr">
        <is>
          <t>Encunhamento de alvenaria de vedação com argamassa expansiva</t>
        </is>
      </c>
      <c r="K541" s="1786" t="inlineStr">
        <is>
          <t>m</t>
        </is>
      </c>
      <c r="L541" s="1787" t="e">
        <v>#REF!</v>
      </c>
      <c r="M541" s="1787" t="n">
        <v>14.7875</v>
      </c>
      <c r="N541" s="1754" t="n"/>
      <c r="O541" s="1788" t="n"/>
      <c r="P541" s="1721" t="inlineStr">
        <is>
          <t>Pendente</t>
        </is>
      </c>
    </row>
    <row r="542" hidden="1" outlineLevel="3" ht="13.5" customHeight="1">
      <c r="A542" s="2117" t="n">
        <v>0</v>
      </c>
      <c r="B542" s="2117" t="n">
        <v>5</v>
      </c>
      <c r="C542" s="2117" t="n">
        <v>10</v>
      </c>
      <c r="D542" s="2118" t="n">
        <v>3</v>
      </c>
      <c r="E542" s="2118" t="n">
        <v>2</v>
      </c>
      <c r="G542" s="1748" t="inlineStr">
        <is>
          <t>ALVENARIA</t>
        </is>
      </c>
      <c r="H542" s="1783" t="inlineStr">
        <is>
          <t>SERVIÇO</t>
        </is>
      </c>
      <c r="I542" s="1784" t="inlineStr">
        <is>
          <t>05.010.003.002</t>
        </is>
      </c>
      <c r="J542" s="1785" t="inlineStr">
        <is>
          <t>Tela soldada para ligacao alvenaria/estrutura</t>
        </is>
      </c>
      <c r="K542" s="1786" t="inlineStr">
        <is>
          <t>un</t>
        </is>
      </c>
      <c r="L542" s="1787" t="e">
        <v>#REF!</v>
      </c>
      <c r="M542" s="1787" t="n">
        <v>4.1072</v>
      </c>
      <c r="N542" s="1754" t="n"/>
      <c r="O542" s="1788" t="n"/>
      <c r="P542" s="1721" t="inlineStr">
        <is>
          <t>Pendente</t>
        </is>
      </c>
    </row>
    <row r="543" hidden="1" outlineLevel="3" ht="13.5" customHeight="1">
      <c r="A543" s="2117" t="n">
        <v>0</v>
      </c>
      <c r="B543" s="2117" t="n">
        <v>5</v>
      </c>
      <c r="C543" s="2117" t="n">
        <v>10</v>
      </c>
      <c r="D543" s="2118" t="n">
        <v>3</v>
      </c>
      <c r="E543" s="2118" t="n">
        <v>3</v>
      </c>
      <c r="G543" s="1748" t="inlineStr">
        <is>
          <t>ALVENARIA</t>
        </is>
      </c>
      <c r="H543" s="1783" t="inlineStr">
        <is>
          <t>SERVIÇO</t>
        </is>
      </c>
      <c r="I543" s="1784" t="inlineStr">
        <is>
          <t>05.010.003.003</t>
        </is>
      </c>
      <c r="J543" s="1785" t="inlineStr">
        <is>
          <t>Verga/contraverga de concreto, moldada in loco</t>
        </is>
      </c>
      <c r="K543" s="1786" t="inlineStr">
        <is>
          <t>m</t>
        </is>
      </c>
      <c r="L543" s="1787" t="e">
        <v>#REF!</v>
      </c>
      <c r="M543" s="1787" t="n">
        <v>79.40367571053952</v>
      </c>
      <c r="N543" s="1754" t="n"/>
      <c r="O543" s="1788" t="n"/>
      <c r="P543" s="1721" t="inlineStr">
        <is>
          <t>Pendente</t>
        </is>
      </c>
    </row>
    <row r="544" hidden="1" outlineLevel="3" ht="13.5" customHeight="1">
      <c r="A544" s="2117" t="n">
        <v>0</v>
      </c>
      <c r="B544" s="2117" t="n">
        <v>5</v>
      </c>
      <c r="C544" s="2117" t="n">
        <v>10</v>
      </c>
      <c r="D544" s="2118" t="n">
        <v>3</v>
      </c>
      <c r="E544" s="2118" t="n">
        <v>4</v>
      </c>
      <c r="G544" s="1748" t="inlineStr">
        <is>
          <t>ALVENARIA</t>
        </is>
      </c>
      <c r="H544" s="1783" t="inlineStr">
        <is>
          <t>SERVIÇO</t>
        </is>
      </c>
      <c r="I544" s="1784" t="inlineStr">
        <is>
          <t>05.010.003.004</t>
        </is>
      </c>
      <c r="J544" s="1785" t="inlineStr">
        <is>
          <t>Churrasqueiras Pré-Moldadas</t>
        </is>
      </c>
      <c r="K544" s="1786" t="inlineStr">
        <is>
          <t>un</t>
        </is>
      </c>
      <c r="L544" s="1787" t="n">
        <v>16</v>
      </c>
      <c r="M544" s="1787" t="n">
        <v>1800</v>
      </c>
      <c r="N544" s="1754" t="n">
        <v>28800</v>
      </c>
      <c r="O544" s="1788" t="n"/>
      <c r="P544" s="1721" t="inlineStr">
        <is>
          <t>Pendente</t>
        </is>
      </c>
    </row>
    <row r="545" hidden="1" outlineLevel="2" ht="13.5" customHeight="1">
      <c r="A545" s="2117" t="n">
        <v>0</v>
      </c>
      <c r="B545" s="2117" t="n">
        <v>5</v>
      </c>
      <c r="C545" s="2117" t="n">
        <v>10</v>
      </c>
      <c r="D545" s="2118" t="n">
        <v>4</v>
      </c>
      <c r="E545" s="2118" t="n">
        <v>0</v>
      </c>
      <c r="G545" s="1740" t="n"/>
      <c r="H545" s="1777" t="inlineStr">
        <is>
          <t>SUBETAPA</t>
        </is>
      </c>
      <c r="I545" s="1778" t="inlineStr">
        <is>
          <t>05.010.004</t>
        </is>
      </c>
      <c r="J545" s="1779" t="inlineStr">
        <is>
          <t>Drywall</t>
        </is>
      </c>
      <c r="K545" s="1780" t="n"/>
      <c r="L545" s="1781" t="n"/>
      <c r="M545" s="1781" t="n"/>
      <c r="N545" s="1746" t="n"/>
      <c r="O545" s="1782" t="n"/>
      <c r="P545" s="1720" t="n"/>
    </row>
    <row r="546" hidden="1" outlineLevel="3" ht="13.5" customHeight="1">
      <c r="A546" s="2117" t="n">
        <v>0</v>
      </c>
      <c r="B546" s="2117" t="n">
        <v>5</v>
      </c>
      <c r="C546" s="2117" t="n">
        <v>10</v>
      </c>
      <c r="D546" s="2118" t="n">
        <v>4</v>
      </c>
      <c r="E546" s="2118" t="n">
        <v>1</v>
      </c>
      <c r="G546" s="1748" t="inlineStr">
        <is>
          <t>ALVENARIA</t>
        </is>
      </c>
      <c r="H546" s="1783" t="inlineStr">
        <is>
          <t>SERVIÇO</t>
        </is>
      </c>
      <c r="I546" s="1784" t="inlineStr">
        <is>
          <t>05.010.004.001</t>
        </is>
      </c>
      <c r="J546" s="1751" t="inlineStr">
        <is>
          <t>Parede Com Sistema Em Chapas De Gesso Para Drywall, Uso Interno, Montante 48mm  (48 / HU)</t>
        </is>
      </c>
      <c r="K546" s="1786" t="inlineStr">
        <is>
          <t>m2</t>
        </is>
      </c>
      <c r="L546" s="1787" t="e">
        <v>#REF!</v>
      </c>
      <c r="M546" s="1787" t="n">
        <v>103.175377</v>
      </c>
      <c r="N546" s="1754" t="n"/>
      <c r="O546" s="1788" t="n"/>
      <c r="P546" s="1721" t="inlineStr">
        <is>
          <t>Pendente</t>
        </is>
      </c>
    </row>
    <row r="547" hidden="1" outlineLevel="3" ht="13.5" customHeight="1">
      <c r="A547" s="2117" t="n">
        <v>0</v>
      </c>
      <c r="B547" s="2117" t="n">
        <v>5</v>
      </c>
      <c r="C547" s="2117" t="n">
        <v>10</v>
      </c>
      <c r="D547" s="2118" t="n">
        <v>4</v>
      </c>
      <c r="E547" s="2118" t="n">
        <v>2</v>
      </c>
      <c r="G547" s="1748" t="inlineStr">
        <is>
          <t>ALVENARIA</t>
        </is>
      </c>
      <c r="H547" s="1783" t="inlineStr">
        <is>
          <t>SERVIÇO</t>
        </is>
      </c>
      <c r="I547" s="1784" t="inlineStr">
        <is>
          <t>05.010.004.002</t>
        </is>
      </c>
      <c r="J547" s="1751" t="inlineStr">
        <is>
          <t>Parede Com Sistema Em Chapas De Gesso Para Drywall, Uso Interno, Montante 48mm  (48 / HS)</t>
        </is>
      </c>
      <c r="K547" s="1786" t="inlineStr">
        <is>
          <t>m2</t>
        </is>
      </c>
      <c r="L547" s="1787" t="e">
        <v>#REF!</v>
      </c>
      <c r="M547" s="1787" t="n">
        <v>95.86755699999999</v>
      </c>
      <c r="N547" s="1754" t="n"/>
      <c r="O547" s="1788" t="n"/>
      <c r="P547" s="1721" t="inlineStr">
        <is>
          <t>Pendente</t>
        </is>
      </c>
    </row>
    <row r="548" hidden="1" outlineLevel="3" ht="13.5" customHeight="1">
      <c r="A548" s="2117" t="n">
        <v>0</v>
      </c>
      <c r="B548" s="2117" t="n">
        <v>5</v>
      </c>
      <c r="C548" s="2117" t="n">
        <v>10</v>
      </c>
      <c r="D548" s="2118" t="n">
        <v>4</v>
      </c>
      <c r="E548" s="2118" t="n">
        <v>3</v>
      </c>
      <c r="G548" s="1748" t="inlineStr">
        <is>
          <t>ALVENARIA</t>
        </is>
      </c>
      <c r="H548" s="1783" t="inlineStr">
        <is>
          <t>SERVIÇO</t>
        </is>
      </c>
      <c r="I548" s="1784" t="inlineStr">
        <is>
          <t>05.010.004.003</t>
        </is>
      </c>
      <c r="J548" s="1751" t="inlineStr">
        <is>
          <t>Parede Com Sistema Em Chapas De Gesso Para Drywall, Uso Interno, Montante 70mm  (HU / 70 / HS)</t>
        </is>
      </c>
      <c r="K548" s="1786" t="inlineStr">
        <is>
          <t>m2</t>
        </is>
      </c>
      <c r="L548" s="1787" t="e">
        <v>#REF!</v>
      </c>
      <c r="M548" s="1787" t="n">
        <v>165.703099</v>
      </c>
      <c r="N548" s="1754" t="n"/>
      <c r="O548" s="1788" t="n"/>
      <c r="P548" s="1721" t="inlineStr">
        <is>
          <t>Pendente</t>
        </is>
      </c>
    </row>
    <row r="549" hidden="1" outlineLevel="2" ht="13.5" customHeight="1">
      <c r="A549" s="2117" t="n">
        <v>0</v>
      </c>
      <c r="B549" s="2117" t="n">
        <v>5</v>
      </c>
      <c r="C549" s="2117" t="n">
        <v>10</v>
      </c>
      <c r="D549" s="2118" t="n">
        <v>5</v>
      </c>
      <c r="E549" s="2118" t="n">
        <v>0</v>
      </c>
      <c r="G549" s="1740" t="n"/>
      <c r="H549" s="1777" t="inlineStr">
        <is>
          <t>SUBETAPA</t>
        </is>
      </c>
      <c r="I549" s="1778" t="inlineStr">
        <is>
          <t>05.010.005</t>
        </is>
      </c>
      <c r="J549" s="1779" t="inlineStr">
        <is>
          <t>Mão de obra</t>
        </is>
      </c>
      <c r="K549" s="1780" t="n"/>
      <c r="L549" s="1781" t="n"/>
      <c r="M549" s="1781" t="n"/>
      <c r="N549" s="1746" t="n"/>
      <c r="O549" s="1782" t="n"/>
      <c r="P549" s="1720" t="n"/>
    </row>
    <row r="550" hidden="1" outlineLevel="3" ht="13.5" customHeight="1">
      <c r="A550" s="2117" t="n">
        <v>0</v>
      </c>
      <c r="B550" s="2117" t="n">
        <v>5</v>
      </c>
      <c r="C550" s="2117" t="n">
        <v>10</v>
      </c>
      <c r="D550" s="2118" t="n">
        <v>5</v>
      </c>
      <c r="E550" s="2118" t="n">
        <v>1</v>
      </c>
      <c r="G550" s="1748" t="inlineStr">
        <is>
          <t>ALVENARIA</t>
        </is>
      </c>
      <c r="H550" s="1783" t="inlineStr">
        <is>
          <t>SERVIÇO</t>
        </is>
      </c>
      <c r="I550" s="1784" t="inlineStr">
        <is>
          <t>05.010.005.001</t>
        </is>
      </c>
      <c r="J550" s="1785" t="inlineStr">
        <is>
          <t>Mão de obra para assentamento de blocos cerâmicos</t>
        </is>
      </c>
      <c r="K550" s="1786" t="inlineStr">
        <is>
          <t>m2</t>
        </is>
      </c>
      <c r="L550" s="1787" t="e">
        <v>#REF!</v>
      </c>
      <c r="M550" s="1787" t="n">
        <v>47</v>
      </c>
      <c r="N550" s="1754" t="n"/>
      <c r="O550" s="1788" t="n"/>
      <c r="P550" s="1721" t="inlineStr">
        <is>
          <t>Pendente</t>
        </is>
      </c>
    </row>
    <row r="551" hidden="1" outlineLevel="3" ht="13.5" customHeight="1">
      <c r="A551" s="2117" t="n">
        <v>0</v>
      </c>
      <c r="B551" s="2117" t="n">
        <v>5</v>
      </c>
      <c r="C551" s="2117" t="n">
        <v>10</v>
      </c>
      <c r="D551" s="2118" t="n">
        <v>5</v>
      </c>
      <c r="E551" s="2118" t="n">
        <v>2</v>
      </c>
      <c r="G551" s="1748" t="inlineStr">
        <is>
          <t>ALVENARIA</t>
        </is>
      </c>
      <c r="H551" s="1783" t="inlineStr">
        <is>
          <t>SERVIÇO</t>
        </is>
      </c>
      <c r="I551" s="1784" t="inlineStr">
        <is>
          <t>05.010.005.002</t>
        </is>
      </c>
      <c r="J551" s="1785" t="inlineStr">
        <is>
          <t>Mão de obra para assentamento de blocos de silico calcarios</t>
        </is>
      </c>
      <c r="K551" s="1786" t="inlineStr">
        <is>
          <t>m2</t>
        </is>
      </c>
      <c r="L551" s="1787" t="e">
        <v>#REF!</v>
      </c>
      <c r="M551" s="1787" t="n">
        <v>47</v>
      </c>
      <c r="N551" s="1754" t="n"/>
      <c r="O551" s="1788" t="n"/>
      <c r="P551" s="1721" t="inlineStr">
        <is>
          <t>Pendente</t>
        </is>
      </c>
    </row>
    <row r="552" hidden="1" outlineLevel="3" ht="13.5" customHeight="1">
      <c r="A552" s="2117" t="n">
        <v>0</v>
      </c>
      <c r="B552" s="2117" t="n">
        <v>5</v>
      </c>
      <c r="C552" s="2117" t="n">
        <v>10</v>
      </c>
      <c r="D552" s="2118" t="n">
        <v>5</v>
      </c>
      <c r="E552" s="2118" t="n">
        <v>3</v>
      </c>
      <c r="G552" s="1748" t="inlineStr">
        <is>
          <t>ALVENARIA</t>
        </is>
      </c>
      <c r="H552" s="1783" t="inlineStr">
        <is>
          <t>SERVIÇO</t>
        </is>
      </c>
      <c r="I552" s="1784" t="inlineStr">
        <is>
          <t>05.010.005.003</t>
        </is>
      </c>
      <c r="J552" s="1751" t="inlineStr">
        <is>
          <t xml:space="preserve">Mão de obra para Sistema de vedação em drywall </t>
        </is>
      </c>
      <c r="K552" s="1786" t="inlineStr">
        <is>
          <t>m2</t>
        </is>
      </c>
      <c r="L552" s="1753" t="e">
        <v>#REF!</v>
      </c>
      <c r="M552" s="1787" t="e">
        <v>#REF!</v>
      </c>
      <c r="N552" s="1754" t="n"/>
      <c r="O552" s="1788" t="n"/>
      <c r="P552" s="1721" t="inlineStr">
        <is>
          <t>Pendente</t>
        </is>
      </c>
    </row>
    <row r="553" hidden="1" outlineLevel="1" ht="13.5" customHeight="1">
      <c r="A553" s="2117" t="n">
        <v>0</v>
      </c>
      <c r="B553" s="2117" t="n">
        <v>5</v>
      </c>
      <c r="C553" s="2117" t="n">
        <v>11</v>
      </c>
      <c r="D553" s="2118" t="n">
        <v>0</v>
      </c>
      <c r="E553" s="2118" t="n">
        <v>3</v>
      </c>
      <c r="G553" s="1733" t="n"/>
      <c r="H553" s="1771" t="inlineStr">
        <is>
          <t>ETAPA</t>
        </is>
      </c>
      <c r="I553" s="1772" t="inlineStr">
        <is>
          <t>05.011</t>
        </is>
      </c>
      <c r="J553" s="1773" t="inlineStr">
        <is>
          <t>PAREDES E DIVISÓRIAS - Penthouse x22</t>
        </is>
      </c>
      <c r="K553" s="1774" t="n"/>
      <c r="L553" s="1775" t="n"/>
      <c r="M553" s="1775" t="n"/>
      <c r="N553" s="1739" t="n"/>
      <c r="O553" s="1776" t="n"/>
      <c r="P553" s="1719" t="n"/>
    </row>
    <row r="554" hidden="1" outlineLevel="2" ht="13.5" customHeight="1">
      <c r="A554" s="2117" t="n">
        <v>0</v>
      </c>
      <c r="B554" s="2117" t="n">
        <v>5</v>
      </c>
      <c r="C554" s="2117" t="n">
        <v>11</v>
      </c>
      <c r="D554" s="2118" t="n">
        <v>1</v>
      </c>
      <c r="E554" s="2118" t="n">
        <v>0</v>
      </c>
      <c r="G554" s="1740" t="n"/>
      <c r="H554" s="1777" t="inlineStr">
        <is>
          <t>SUBETAPA</t>
        </is>
      </c>
      <c r="I554" s="1778" t="inlineStr">
        <is>
          <t>05.011.001</t>
        </is>
      </c>
      <c r="J554" s="1779" t="inlineStr">
        <is>
          <t>Alevanaria de vedação com blocos cerâmicos</t>
        </is>
      </c>
      <c r="K554" s="1780" t="n"/>
      <c r="L554" s="1781" t="n"/>
      <c r="M554" s="1781" t="n"/>
      <c r="N554" s="1746" t="n"/>
      <c r="O554" s="1782" t="n"/>
      <c r="P554" s="1720" t="n"/>
    </row>
    <row r="555" hidden="1" outlineLevel="3" ht="13.5" customHeight="1">
      <c r="A555" s="2117" t="n">
        <v>0</v>
      </c>
      <c r="B555" s="2117" t="n">
        <v>5</v>
      </c>
      <c r="C555" s="2117" t="n">
        <v>11</v>
      </c>
      <c r="D555" s="2118" t="n">
        <v>1</v>
      </c>
      <c r="E555" s="2118" t="n">
        <v>1</v>
      </c>
      <c r="G555" s="1748" t="inlineStr">
        <is>
          <t>ALVENARIA</t>
        </is>
      </c>
      <c r="H555" s="1783" t="inlineStr">
        <is>
          <t>SERVIÇO</t>
        </is>
      </c>
      <c r="I555" s="1784" t="inlineStr">
        <is>
          <t>05.011.001.001</t>
        </is>
      </c>
      <c r="J555" s="1785" t="inlineStr">
        <is>
          <t>Alvenaria de vedacao de blocos ceramicos de 19x19x39cm com argamassa industrializada de assentamento</t>
        </is>
      </c>
      <c r="K555" s="1786" t="inlineStr">
        <is>
          <t>m2</t>
        </is>
      </c>
      <c r="L555" s="1787" t="e">
        <v>#REF!</v>
      </c>
      <c r="M555" s="1787" t="n">
        <v>35.09999999999999</v>
      </c>
      <c r="N555" s="1754" t="n"/>
      <c r="O555" s="1788" t="n"/>
      <c r="P555" s="1721" t="inlineStr">
        <is>
          <t>Pendente</t>
        </is>
      </c>
    </row>
    <row r="556" hidden="1" outlineLevel="2" ht="13.5" customHeight="1">
      <c r="A556" s="2117" t="n">
        <v>0</v>
      </c>
      <c r="B556" s="2117" t="n">
        <v>5</v>
      </c>
      <c r="C556" s="2117" t="n">
        <v>11</v>
      </c>
      <c r="D556" s="2118" t="n">
        <v>2</v>
      </c>
      <c r="E556" s="2118" t="n">
        <v>0</v>
      </c>
      <c r="G556" s="1740" t="n"/>
      <c r="H556" s="1777" t="inlineStr">
        <is>
          <t>SUBETAPA</t>
        </is>
      </c>
      <c r="I556" s="1778" t="inlineStr">
        <is>
          <t>05.011.002</t>
        </is>
      </c>
      <c r="J556" s="1779" t="inlineStr">
        <is>
          <t>Alevanaria de vedação com blocos Concreto e concreto celular</t>
        </is>
      </c>
      <c r="K556" s="1780" t="n"/>
      <c r="L556" s="1781" t="n"/>
      <c r="M556" s="1781" t="n"/>
      <c r="N556" s="1746" t="n"/>
      <c r="O556" s="1782" t="n"/>
      <c r="P556" s="1720" t="n"/>
    </row>
    <row r="557" hidden="1" outlineLevel="3" ht="13.5" customHeight="1">
      <c r="A557" s="2117" t="n">
        <v>0</v>
      </c>
      <c r="B557" s="2117" t="n">
        <v>5</v>
      </c>
      <c r="C557" s="2117" t="n">
        <v>11</v>
      </c>
      <c r="D557" s="2118" t="n">
        <v>2</v>
      </c>
      <c r="E557" s="2118" t="n">
        <v>1</v>
      </c>
      <c r="G557" s="1748" t="inlineStr">
        <is>
          <t>ALVENARIA</t>
        </is>
      </c>
      <c r="H557" s="1783" t="inlineStr">
        <is>
          <t>SERVIÇO</t>
        </is>
      </c>
      <c r="I557" s="1784" t="inlineStr">
        <is>
          <t>05.011.002.001</t>
        </is>
      </c>
      <c r="J557" s="1785" t="inlineStr">
        <is>
          <t>Alvenaria em Bloco De Concreto Celular 60x30x10cm Sical com argamassa industrializada de assentamento</t>
        </is>
      </c>
      <c r="K557" s="1786" t="inlineStr">
        <is>
          <t>m2</t>
        </is>
      </c>
      <c r="L557" s="1787" t="e">
        <v>#REF!</v>
      </c>
      <c r="M557" s="1787" t="n">
        <v>82.96000000000001</v>
      </c>
      <c r="N557" s="1754" t="n"/>
      <c r="O557" s="1788" t="n"/>
      <c r="P557" s="1721" t="inlineStr">
        <is>
          <t>Pendente</t>
        </is>
      </c>
    </row>
    <row r="558" hidden="1" outlineLevel="2" ht="13.5" customHeight="1">
      <c r="A558" s="2117" t="n">
        <v>0</v>
      </c>
      <c r="B558" s="2117" t="n">
        <v>5</v>
      </c>
      <c r="C558" s="2117" t="n">
        <v>11</v>
      </c>
      <c r="D558" s="2118" t="n">
        <v>3</v>
      </c>
      <c r="E558" s="2118" t="n">
        <v>0</v>
      </c>
      <c r="G558" s="1740" t="n"/>
      <c r="H558" s="1777" t="inlineStr">
        <is>
          <t>SUBETAPA</t>
        </is>
      </c>
      <c r="I558" s="1778" t="inlineStr">
        <is>
          <t>05.011.003</t>
        </is>
      </c>
      <c r="J558" s="1779" t="inlineStr">
        <is>
          <t>Serviços complementares para alvenaria de vedação</t>
        </is>
      </c>
      <c r="K558" s="1780" t="n"/>
      <c r="L558" s="1781" t="n"/>
      <c r="M558" s="1781" t="n"/>
      <c r="N558" s="1746" t="n"/>
      <c r="O558" s="1782" t="n"/>
      <c r="P558" s="1720" t="n"/>
    </row>
    <row r="559" hidden="1" outlineLevel="3" ht="13.5" customHeight="1">
      <c r="A559" s="2117" t="n">
        <v>0</v>
      </c>
      <c r="B559" s="2117" t="n">
        <v>5</v>
      </c>
      <c r="C559" s="2117" t="n">
        <v>11</v>
      </c>
      <c r="D559" s="2118" t="n">
        <v>3</v>
      </c>
      <c r="E559" s="2118" t="n">
        <v>1</v>
      </c>
      <c r="G559" s="1748" t="inlineStr">
        <is>
          <t>ALVENARIA</t>
        </is>
      </c>
      <c r="H559" s="1783" t="inlineStr">
        <is>
          <t>SERVIÇO</t>
        </is>
      </c>
      <c r="I559" s="1784" t="inlineStr">
        <is>
          <t>05.011.003.001</t>
        </is>
      </c>
      <c r="J559" s="1785" t="inlineStr">
        <is>
          <t>Encunhamento de alvenaria de vedação com argamassa expansiva</t>
        </is>
      </c>
      <c r="K559" s="1786" t="inlineStr">
        <is>
          <t>m</t>
        </is>
      </c>
      <c r="L559" s="1787" t="e">
        <v>#REF!</v>
      </c>
      <c r="M559" s="1787" t="n">
        <v>14.7875</v>
      </c>
      <c r="N559" s="1754" t="n"/>
      <c r="O559" s="1788" t="n"/>
      <c r="P559" s="1721" t="inlineStr">
        <is>
          <t>Pendente</t>
        </is>
      </c>
    </row>
    <row r="560" hidden="1" outlineLevel="3" ht="13.5" customHeight="1">
      <c r="A560" s="2117" t="n">
        <v>0</v>
      </c>
      <c r="B560" s="2117" t="n">
        <v>5</v>
      </c>
      <c r="C560" s="2117" t="n">
        <v>11</v>
      </c>
      <c r="D560" s="2118" t="n">
        <v>3</v>
      </c>
      <c r="E560" s="2118" t="n">
        <v>2</v>
      </c>
      <c r="G560" s="1748" t="inlineStr">
        <is>
          <t>ALVENARIA</t>
        </is>
      </c>
      <c r="H560" s="1783" t="inlineStr">
        <is>
          <t>SERVIÇO</t>
        </is>
      </c>
      <c r="I560" s="1784" t="inlineStr">
        <is>
          <t>05.011.003.002</t>
        </is>
      </c>
      <c r="J560" s="1785" t="inlineStr">
        <is>
          <t>Tela soldada para ligacao alvenaria/estrutura</t>
        </is>
      </c>
      <c r="K560" s="1786" t="inlineStr">
        <is>
          <t>un</t>
        </is>
      </c>
      <c r="L560" s="1787" t="e">
        <v>#REF!</v>
      </c>
      <c r="M560" s="1787" t="n">
        <v>4.1072</v>
      </c>
      <c r="N560" s="1754" t="n"/>
      <c r="O560" s="1788" t="n"/>
      <c r="P560" s="1721" t="inlineStr">
        <is>
          <t>Pendente</t>
        </is>
      </c>
    </row>
    <row r="561" hidden="1" outlineLevel="3" ht="13.5" customHeight="1">
      <c r="A561" s="2117" t="n">
        <v>0</v>
      </c>
      <c r="B561" s="2117" t="n">
        <v>5</v>
      </c>
      <c r="C561" s="2117" t="n">
        <v>11</v>
      </c>
      <c r="D561" s="2118" t="n">
        <v>3</v>
      </c>
      <c r="E561" s="2118" t="n">
        <v>3</v>
      </c>
      <c r="G561" s="1748" t="inlineStr">
        <is>
          <t>ALVENARIA</t>
        </is>
      </c>
      <c r="H561" s="1783" t="inlineStr">
        <is>
          <t>SERVIÇO</t>
        </is>
      </c>
      <c r="I561" s="1784" t="inlineStr">
        <is>
          <t>05.011.003.003</t>
        </is>
      </c>
      <c r="J561" s="1785" t="inlineStr">
        <is>
          <t>Verga/contraverga de concreto, moldada in loco</t>
        </is>
      </c>
      <c r="K561" s="1786" t="inlineStr">
        <is>
          <t>m</t>
        </is>
      </c>
      <c r="L561" s="1787" t="e">
        <v>#REF!</v>
      </c>
      <c r="M561" s="1787" t="n">
        <v>79.40367571053952</v>
      </c>
      <c r="N561" s="1754" t="n"/>
      <c r="O561" s="1788" t="n"/>
      <c r="P561" s="1721" t="inlineStr">
        <is>
          <t>Pendente</t>
        </is>
      </c>
    </row>
    <row r="562" hidden="1" outlineLevel="3" ht="13.5" customHeight="1">
      <c r="A562" s="2117" t="n">
        <v>0</v>
      </c>
      <c r="B562" s="2117" t="n">
        <v>5</v>
      </c>
      <c r="C562" s="2117" t="n">
        <v>11</v>
      </c>
      <c r="D562" s="2118" t="n">
        <v>3</v>
      </c>
      <c r="E562" s="2118" t="n">
        <v>4</v>
      </c>
      <c r="G562" s="1748" t="inlineStr">
        <is>
          <t>ALVENARIA</t>
        </is>
      </c>
      <c r="H562" s="1783" t="inlineStr">
        <is>
          <t>SERVIÇO</t>
        </is>
      </c>
      <c r="I562" s="1784" t="inlineStr">
        <is>
          <t>05.011.003.004</t>
        </is>
      </c>
      <c r="J562" s="1785" t="inlineStr">
        <is>
          <t>Churrasqueiras Pré-Moldadas</t>
        </is>
      </c>
      <c r="K562" s="1786" t="inlineStr">
        <is>
          <t>un</t>
        </is>
      </c>
      <c r="L562" s="1787" t="n">
        <v>22</v>
      </c>
      <c r="M562" s="1787" t="n">
        <v>1800</v>
      </c>
      <c r="N562" s="1754" t="n">
        <v>39600</v>
      </c>
      <c r="O562" s="1788" t="n"/>
      <c r="P562" s="1721" t="inlineStr">
        <is>
          <t>Pendente</t>
        </is>
      </c>
    </row>
    <row r="563" hidden="1" outlineLevel="2" ht="13.5" customHeight="1">
      <c r="A563" s="2117" t="n">
        <v>0</v>
      </c>
      <c r="B563" s="2117" t="n">
        <v>5</v>
      </c>
      <c r="C563" s="2117" t="n">
        <v>11</v>
      </c>
      <c r="D563" s="2118" t="n">
        <v>4</v>
      </c>
      <c r="E563" s="2118" t="n">
        <v>0</v>
      </c>
      <c r="G563" s="1740" t="n"/>
      <c r="H563" s="1777" t="inlineStr">
        <is>
          <t>SUBETAPA</t>
        </is>
      </c>
      <c r="I563" s="1778" t="inlineStr">
        <is>
          <t>05.011.004</t>
        </is>
      </c>
      <c r="J563" s="1779" t="inlineStr">
        <is>
          <t>Drywall</t>
        </is>
      </c>
      <c r="K563" s="1780" t="n"/>
      <c r="L563" s="1781" t="n"/>
      <c r="M563" s="1781" t="n"/>
      <c r="N563" s="1746" t="n"/>
      <c r="O563" s="1782" t="n"/>
      <c r="P563" s="1720" t="n"/>
    </row>
    <row r="564" hidden="1" outlineLevel="3" ht="13.5" customHeight="1">
      <c r="A564" s="2117" t="n">
        <v>0</v>
      </c>
      <c r="B564" s="2117" t="n">
        <v>5</v>
      </c>
      <c r="C564" s="2117" t="n">
        <v>11</v>
      </c>
      <c r="D564" s="2118" t="n">
        <v>4</v>
      </c>
      <c r="E564" s="2118" t="n">
        <v>1</v>
      </c>
      <c r="G564" s="1748" t="inlineStr">
        <is>
          <t>ALVENARIA</t>
        </is>
      </c>
      <c r="H564" s="1783" t="inlineStr">
        <is>
          <t>SERVIÇO</t>
        </is>
      </c>
      <c r="I564" s="1784" t="inlineStr">
        <is>
          <t>05.011.004.001</t>
        </is>
      </c>
      <c r="J564" s="1751" t="inlineStr">
        <is>
          <t>Parede Com Sistema Em Chapas De Gesso Para Drywall, Uso Interno, Montante 48mm  (48 / HU)</t>
        </is>
      </c>
      <c r="K564" s="1786" t="inlineStr">
        <is>
          <t>m2</t>
        </is>
      </c>
      <c r="L564" s="1787" t="e">
        <v>#REF!</v>
      </c>
      <c r="M564" s="1787" t="n">
        <v>103.175377</v>
      </c>
      <c r="N564" s="1754" t="n"/>
      <c r="O564" s="1788" t="n"/>
      <c r="P564" s="1721" t="inlineStr">
        <is>
          <t>Pendente</t>
        </is>
      </c>
    </row>
    <row r="565" hidden="1" outlineLevel="3" ht="13.5" customHeight="1">
      <c r="A565" s="2117" t="n">
        <v>0</v>
      </c>
      <c r="B565" s="2117" t="n">
        <v>5</v>
      </c>
      <c r="C565" s="2117" t="n">
        <v>11</v>
      </c>
      <c r="D565" s="2118" t="n">
        <v>4</v>
      </c>
      <c r="E565" s="2118" t="n">
        <v>2</v>
      </c>
      <c r="G565" s="1748" t="inlineStr">
        <is>
          <t>ALVENARIA</t>
        </is>
      </c>
      <c r="H565" s="1783" t="inlineStr">
        <is>
          <t>SERVIÇO</t>
        </is>
      </c>
      <c r="I565" s="1784" t="inlineStr">
        <is>
          <t>05.011.004.002</t>
        </is>
      </c>
      <c r="J565" s="1751" t="inlineStr">
        <is>
          <t>Parede Com Sistema Em Chapas De Gesso Para Drywall, Uso Interno, Montante 48mm  (48 / HS)</t>
        </is>
      </c>
      <c r="K565" s="1786" t="inlineStr">
        <is>
          <t>m2</t>
        </is>
      </c>
      <c r="L565" s="1787" t="e">
        <v>#REF!</v>
      </c>
      <c r="M565" s="1787" t="n">
        <v>95.86755699999999</v>
      </c>
      <c r="N565" s="1754" t="n"/>
      <c r="O565" s="1788" t="n"/>
      <c r="P565" s="1721" t="inlineStr">
        <is>
          <t>Pendente</t>
        </is>
      </c>
    </row>
    <row r="566" hidden="1" outlineLevel="3" ht="13.5" customHeight="1">
      <c r="A566" s="2117" t="n">
        <v>0</v>
      </c>
      <c r="B566" s="2117" t="n">
        <v>5</v>
      </c>
      <c r="C566" s="2117" t="n">
        <v>11</v>
      </c>
      <c r="D566" s="2118" t="n">
        <v>4</v>
      </c>
      <c r="E566" s="2118" t="n">
        <v>3</v>
      </c>
      <c r="G566" s="1748" t="inlineStr">
        <is>
          <t>ALVENARIA</t>
        </is>
      </c>
      <c r="H566" s="1783" t="inlineStr">
        <is>
          <t>SERVIÇO</t>
        </is>
      </c>
      <c r="I566" s="1784" t="inlineStr">
        <is>
          <t>05.011.004.003</t>
        </is>
      </c>
      <c r="J566" s="1751" t="inlineStr">
        <is>
          <t>Parede Com Sistema Em Chapas De Gesso Para Drywall, Uso Interno, Montante 70mm  (HU / 70 / HS)</t>
        </is>
      </c>
      <c r="K566" s="1786" t="inlineStr">
        <is>
          <t>m2</t>
        </is>
      </c>
      <c r="L566" s="1787" t="e">
        <v>#REF!</v>
      </c>
      <c r="M566" s="1787" t="n">
        <v>165.703099</v>
      </c>
      <c r="N566" s="1754" t="n"/>
      <c r="O566" s="1788" t="n"/>
      <c r="P566" s="1721" t="inlineStr">
        <is>
          <t>Pendente</t>
        </is>
      </c>
    </row>
    <row r="567" hidden="1" outlineLevel="2" ht="13.5" customHeight="1">
      <c r="A567" s="2117" t="n">
        <v>0</v>
      </c>
      <c r="B567" s="2117" t="n">
        <v>5</v>
      </c>
      <c r="C567" s="2117" t="n">
        <v>11</v>
      </c>
      <c r="D567" s="2118" t="n">
        <v>5</v>
      </c>
      <c r="E567" s="2118" t="n">
        <v>0</v>
      </c>
      <c r="G567" s="1740" t="n"/>
      <c r="H567" s="1777" t="inlineStr">
        <is>
          <t>SUBETAPA</t>
        </is>
      </c>
      <c r="I567" s="1778" t="inlineStr">
        <is>
          <t>05.011.005</t>
        </is>
      </c>
      <c r="J567" s="1779" t="inlineStr">
        <is>
          <t>Mão de obra</t>
        </is>
      </c>
      <c r="K567" s="1780" t="n"/>
      <c r="L567" s="1781" t="n"/>
      <c r="M567" s="1781" t="n"/>
      <c r="N567" s="1746" t="n"/>
      <c r="O567" s="1782" t="n"/>
      <c r="P567" s="1720" t="n"/>
    </row>
    <row r="568" hidden="1" outlineLevel="3" ht="13.5" customHeight="1">
      <c r="A568" s="2117" t="n">
        <v>0</v>
      </c>
      <c r="B568" s="2117" t="n">
        <v>5</v>
      </c>
      <c r="C568" s="2117" t="n">
        <v>11</v>
      </c>
      <c r="D568" s="2118" t="n">
        <v>5</v>
      </c>
      <c r="E568" s="2118" t="n">
        <v>1</v>
      </c>
      <c r="G568" s="1748" t="inlineStr">
        <is>
          <t>ALVENARIA</t>
        </is>
      </c>
      <c r="H568" s="1783" t="inlineStr">
        <is>
          <t>SERVIÇO</t>
        </is>
      </c>
      <c r="I568" s="1784" t="inlineStr">
        <is>
          <t>05.011.005.001</t>
        </is>
      </c>
      <c r="J568" s="1785" t="inlineStr">
        <is>
          <t>Mão de obra para assentamento de blocos cerâmicos</t>
        </is>
      </c>
      <c r="K568" s="1786" t="inlineStr">
        <is>
          <t>m2</t>
        </is>
      </c>
      <c r="L568" s="1787" t="e">
        <v>#REF!</v>
      </c>
      <c r="M568" s="1787" t="n">
        <v>47</v>
      </c>
      <c r="N568" s="1754" t="n"/>
      <c r="O568" s="1788" t="n"/>
      <c r="P568" s="1721" t="inlineStr">
        <is>
          <t>Pendente</t>
        </is>
      </c>
    </row>
    <row r="569" hidden="1" outlineLevel="3" ht="13.5" customHeight="1">
      <c r="A569" s="2117" t="n">
        <v>0</v>
      </c>
      <c r="B569" s="2117" t="n">
        <v>5</v>
      </c>
      <c r="C569" s="2117" t="n">
        <v>11</v>
      </c>
      <c r="D569" s="2118" t="n">
        <v>5</v>
      </c>
      <c r="E569" s="2118" t="n">
        <v>2</v>
      </c>
      <c r="G569" s="1748" t="inlineStr">
        <is>
          <t>ALVENARIA</t>
        </is>
      </c>
      <c r="H569" s="1783" t="inlineStr">
        <is>
          <t>SERVIÇO</t>
        </is>
      </c>
      <c r="I569" s="1784" t="inlineStr">
        <is>
          <t>05.011.005.002</t>
        </is>
      </c>
      <c r="J569" s="1785" t="inlineStr">
        <is>
          <t>Mão de obra para assentamento de blocos de silico calcarios</t>
        </is>
      </c>
      <c r="K569" s="1786" t="inlineStr">
        <is>
          <t>m2</t>
        </is>
      </c>
      <c r="L569" s="1787" t="e">
        <v>#REF!</v>
      </c>
      <c r="M569" s="1787" t="n">
        <v>47</v>
      </c>
      <c r="N569" s="1754" t="n"/>
      <c r="O569" s="1788" t="n"/>
      <c r="P569" s="1721" t="inlineStr">
        <is>
          <t>Pendente</t>
        </is>
      </c>
    </row>
    <row r="570" hidden="1" outlineLevel="3" ht="13.5" customHeight="1">
      <c r="A570" s="2117" t="n">
        <v>0</v>
      </c>
      <c r="B570" s="2117" t="n">
        <v>5</v>
      </c>
      <c r="C570" s="2117" t="n">
        <v>11</v>
      </c>
      <c r="D570" s="2118" t="n">
        <v>5</v>
      </c>
      <c r="E570" s="2118" t="n">
        <v>3</v>
      </c>
      <c r="G570" s="1748" t="inlineStr">
        <is>
          <t>ALVENARIA</t>
        </is>
      </c>
      <c r="H570" s="1783" t="inlineStr">
        <is>
          <t>SERVIÇO</t>
        </is>
      </c>
      <c r="I570" s="1784" t="inlineStr">
        <is>
          <t>05.011.005.003</t>
        </is>
      </c>
      <c r="J570" s="1751" t="inlineStr">
        <is>
          <t xml:space="preserve">Mão de obra para Sistema de vedação em drywall </t>
        </is>
      </c>
      <c r="K570" s="1786" t="inlineStr">
        <is>
          <t>m2</t>
        </is>
      </c>
      <c r="L570" s="1753" t="e">
        <v>#REF!</v>
      </c>
      <c r="M570" s="1787" t="e">
        <v>#REF!</v>
      </c>
      <c r="N570" s="1754" t="n"/>
      <c r="O570" s="1788" t="n"/>
      <c r="P570" s="1721" t="inlineStr">
        <is>
          <t>Pendente</t>
        </is>
      </c>
    </row>
    <row r="571" hidden="1" outlineLevel="1" ht="13.5" customHeight="1">
      <c r="A571" s="2117" t="n">
        <v>0</v>
      </c>
      <c r="B571" s="2117" t="n">
        <v>5</v>
      </c>
      <c r="C571" s="2117" t="n">
        <v>12</v>
      </c>
      <c r="D571" s="2118" t="n">
        <v>0</v>
      </c>
      <c r="E571" s="2118" t="n">
        <v>3</v>
      </c>
      <c r="G571" s="1733" t="n"/>
      <c r="H571" s="1771" t="inlineStr">
        <is>
          <t>ETAPA</t>
        </is>
      </c>
      <c r="I571" s="1772" t="inlineStr">
        <is>
          <t>05.012</t>
        </is>
      </c>
      <c r="J571" s="1773" t="inlineStr">
        <is>
          <t>PAREDES E DIVISÓRIAS - Duplex Inferior</t>
        </is>
      </c>
      <c r="K571" s="1774" t="n"/>
      <c r="L571" s="1775" t="n"/>
      <c r="M571" s="1775" t="n"/>
      <c r="N571" s="1739" t="n"/>
      <c r="O571" s="1776" t="n"/>
      <c r="P571" s="1719" t="n"/>
    </row>
    <row r="572" hidden="1" outlineLevel="2" ht="13.5" customHeight="1">
      <c r="A572" s="2117" t="n">
        <v>0</v>
      </c>
      <c r="B572" s="2117" t="n">
        <v>5</v>
      </c>
      <c r="C572" s="2117" t="n">
        <v>12</v>
      </c>
      <c r="D572" s="2118" t="n">
        <v>1</v>
      </c>
      <c r="E572" s="2118" t="n">
        <v>0</v>
      </c>
      <c r="G572" s="1740" t="n"/>
      <c r="H572" s="1777" t="inlineStr">
        <is>
          <t>SUBETAPA</t>
        </is>
      </c>
      <c r="I572" s="1778" t="inlineStr">
        <is>
          <t>05.012.001</t>
        </is>
      </c>
      <c r="J572" s="1779" t="inlineStr">
        <is>
          <t>Alevanaria de vedação com blocos cerâmicos</t>
        </is>
      </c>
      <c r="K572" s="1780" t="n"/>
      <c r="L572" s="1781" t="n"/>
      <c r="M572" s="1781" t="n"/>
      <c r="N572" s="1746" t="n"/>
      <c r="O572" s="1782" t="n"/>
      <c r="P572" s="1720" t="n"/>
    </row>
    <row r="573" hidden="1" outlineLevel="3" ht="13.5" customHeight="1">
      <c r="A573" s="2117" t="n">
        <v>0</v>
      </c>
      <c r="B573" s="2117" t="n">
        <v>5</v>
      </c>
      <c r="C573" s="2117" t="n">
        <v>12</v>
      </c>
      <c r="D573" s="2118" t="n">
        <v>1</v>
      </c>
      <c r="E573" s="2118" t="n">
        <v>1</v>
      </c>
      <c r="G573" s="1748" t="inlineStr">
        <is>
          <t>ALVENARIA</t>
        </is>
      </c>
      <c r="H573" s="1783" t="inlineStr">
        <is>
          <t>SERVIÇO</t>
        </is>
      </c>
      <c r="I573" s="1784" t="inlineStr">
        <is>
          <t>05.012.001.001</t>
        </is>
      </c>
      <c r="J573" s="1785" t="inlineStr">
        <is>
          <t>Alvenaria de vedacao de blocos ceramicos de 19x19x39cm com argamassa industrializada de assentamento</t>
        </is>
      </c>
      <c r="K573" s="1786" t="inlineStr">
        <is>
          <t>m2</t>
        </is>
      </c>
      <c r="L573" s="1787" t="e">
        <v>#REF!</v>
      </c>
      <c r="M573" s="1787" t="n">
        <v>35.09999999999999</v>
      </c>
      <c r="N573" s="1754" t="n"/>
      <c r="O573" s="1788" t="n"/>
      <c r="P573" s="1721" t="inlineStr">
        <is>
          <t>Pendente</t>
        </is>
      </c>
    </row>
    <row r="574" hidden="1" outlineLevel="2" ht="13.5" customHeight="1">
      <c r="A574" s="2117" t="n">
        <v>0</v>
      </c>
      <c r="B574" s="2117" t="n">
        <v>5</v>
      </c>
      <c r="C574" s="2117" t="n">
        <v>12</v>
      </c>
      <c r="D574" s="2118" t="n">
        <v>2</v>
      </c>
      <c r="E574" s="2118" t="n">
        <v>0</v>
      </c>
      <c r="G574" s="1740" t="n"/>
      <c r="H574" s="1777" t="inlineStr">
        <is>
          <t>SUBETAPA</t>
        </is>
      </c>
      <c r="I574" s="1778" t="inlineStr">
        <is>
          <t>05.012.002</t>
        </is>
      </c>
      <c r="J574" s="1779" t="inlineStr">
        <is>
          <t>Alevanaria de vedação com blocos Concreto e concreto celular</t>
        </is>
      </c>
      <c r="K574" s="1780" t="n"/>
      <c r="L574" s="1781" t="n"/>
      <c r="M574" s="1781" t="n"/>
      <c r="N574" s="1746" t="n"/>
      <c r="O574" s="1782" t="n"/>
      <c r="P574" s="1720" t="n"/>
    </row>
    <row r="575" hidden="1" outlineLevel="3" ht="13.5" customHeight="1">
      <c r="A575" s="2117" t="n">
        <v>0</v>
      </c>
      <c r="B575" s="2117" t="n">
        <v>5</v>
      </c>
      <c r="C575" s="2117" t="n">
        <v>12</v>
      </c>
      <c r="D575" s="2118" t="n">
        <v>2</v>
      </c>
      <c r="E575" s="2118" t="n">
        <v>1</v>
      </c>
      <c r="G575" s="1748" t="inlineStr">
        <is>
          <t>ALVENARIA</t>
        </is>
      </c>
      <c r="H575" s="1783" t="inlineStr">
        <is>
          <t>SERVIÇO</t>
        </is>
      </c>
      <c r="I575" s="1784" t="inlineStr">
        <is>
          <t>05.012.002.001</t>
        </is>
      </c>
      <c r="J575" s="1785" t="inlineStr">
        <is>
          <t>Alvenaria em Bloco De Concreto Celular 60x30x10cm Sical com argamassa industrializada de assentamento</t>
        </is>
      </c>
      <c r="K575" s="1786" t="inlineStr">
        <is>
          <t>m2</t>
        </is>
      </c>
      <c r="L575" s="1787" t="e">
        <v>#REF!</v>
      </c>
      <c r="M575" s="1787" t="n">
        <v>82.96000000000001</v>
      </c>
      <c r="N575" s="1754" t="n"/>
      <c r="O575" s="1788" t="n"/>
      <c r="P575" s="1721" t="inlineStr">
        <is>
          <t>Pendente</t>
        </is>
      </c>
    </row>
    <row r="576" hidden="1" outlineLevel="2" ht="13.5" customHeight="1">
      <c r="A576" s="2117" t="n">
        <v>0</v>
      </c>
      <c r="B576" s="2117" t="n">
        <v>5</v>
      </c>
      <c r="C576" s="2117" t="n">
        <v>12</v>
      </c>
      <c r="D576" s="2118" t="n">
        <v>3</v>
      </c>
      <c r="E576" s="2118" t="n">
        <v>0</v>
      </c>
      <c r="G576" s="1740" t="n"/>
      <c r="H576" s="1777" t="inlineStr">
        <is>
          <t>SUBETAPA</t>
        </is>
      </c>
      <c r="I576" s="1778" t="inlineStr">
        <is>
          <t>05.012.003</t>
        </is>
      </c>
      <c r="J576" s="1779" t="inlineStr">
        <is>
          <t>Serviços complementares para alvenaria de vedação</t>
        </is>
      </c>
      <c r="K576" s="1780" t="n"/>
      <c r="L576" s="1781" t="n"/>
      <c r="M576" s="1781" t="n"/>
      <c r="N576" s="1746" t="n"/>
      <c r="O576" s="1782" t="n"/>
      <c r="P576" s="1720" t="n"/>
    </row>
    <row r="577" hidden="1" outlineLevel="3" ht="13.5" customHeight="1">
      <c r="A577" s="2117" t="n">
        <v>0</v>
      </c>
      <c r="B577" s="2117" t="n">
        <v>5</v>
      </c>
      <c r="C577" s="2117" t="n">
        <v>12</v>
      </c>
      <c r="D577" s="2118" t="n">
        <v>3</v>
      </c>
      <c r="E577" s="2118" t="n">
        <v>1</v>
      </c>
      <c r="G577" s="1748" t="inlineStr">
        <is>
          <t>ALVENARIA</t>
        </is>
      </c>
      <c r="H577" s="1783" t="inlineStr">
        <is>
          <t>SERVIÇO</t>
        </is>
      </c>
      <c r="I577" s="1784" t="inlineStr">
        <is>
          <t>05.012.003.001</t>
        </is>
      </c>
      <c r="J577" s="1785" t="inlineStr">
        <is>
          <t>Encunhamento de alvenaria de vedação com argamassa expansiva</t>
        </is>
      </c>
      <c r="K577" s="1786" t="inlineStr">
        <is>
          <t>m</t>
        </is>
      </c>
      <c r="L577" s="1787" t="e">
        <v>#REF!</v>
      </c>
      <c r="M577" s="1787" t="n">
        <v>14.7875</v>
      </c>
      <c r="N577" s="1754" t="n"/>
      <c r="O577" s="1788" t="n"/>
      <c r="P577" s="1721" t="inlineStr">
        <is>
          <t>Pendente</t>
        </is>
      </c>
    </row>
    <row r="578" hidden="1" outlineLevel="3" ht="13.5" customHeight="1">
      <c r="A578" s="2117" t="n">
        <v>0</v>
      </c>
      <c r="B578" s="2117" t="n">
        <v>5</v>
      </c>
      <c r="C578" s="2117" t="n">
        <v>12</v>
      </c>
      <c r="D578" s="2118" t="n">
        <v>3</v>
      </c>
      <c r="E578" s="2118" t="n">
        <v>2</v>
      </c>
      <c r="G578" s="1748" t="inlineStr">
        <is>
          <t>ALVENARIA</t>
        </is>
      </c>
      <c r="H578" s="1783" t="inlineStr">
        <is>
          <t>SERVIÇO</t>
        </is>
      </c>
      <c r="I578" s="1784" t="inlineStr">
        <is>
          <t>05.012.003.002</t>
        </is>
      </c>
      <c r="J578" s="1785" t="inlineStr">
        <is>
          <t>Tela soldada para ligacao alvenaria/estrutura</t>
        </is>
      </c>
      <c r="K578" s="1786" t="inlineStr">
        <is>
          <t>un</t>
        </is>
      </c>
      <c r="L578" s="1787" t="e">
        <v>#REF!</v>
      </c>
      <c r="M578" s="1787" t="n">
        <v>4.1072</v>
      </c>
      <c r="N578" s="1754" t="n"/>
      <c r="O578" s="1788" t="n"/>
      <c r="P578" s="1721" t="inlineStr">
        <is>
          <t>Pendente</t>
        </is>
      </c>
    </row>
    <row r="579" hidden="1" outlineLevel="3" ht="13.5" customHeight="1">
      <c r="A579" s="2117" t="n">
        <v>0</v>
      </c>
      <c r="B579" s="2117" t="n">
        <v>5</v>
      </c>
      <c r="C579" s="2117" t="n">
        <v>12</v>
      </c>
      <c r="D579" s="2118" t="n">
        <v>3</v>
      </c>
      <c r="E579" s="2118" t="n">
        <v>3</v>
      </c>
      <c r="G579" s="1748" t="inlineStr">
        <is>
          <t>ALVENARIA</t>
        </is>
      </c>
      <c r="H579" s="1783" t="inlineStr">
        <is>
          <t>SERVIÇO</t>
        </is>
      </c>
      <c r="I579" s="1784" t="inlineStr">
        <is>
          <t>05.012.003.003</t>
        </is>
      </c>
      <c r="J579" s="1785" t="inlineStr">
        <is>
          <t>Verga/contraverga de concreto, moldada in loco</t>
        </is>
      </c>
      <c r="K579" s="1786" t="inlineStr">
        <is>
          <t>m</t>
        </is>
      </c>
      <c r="L579" s="1787" t="e">
        <v>#REF!</v>
      </c>
      <c r="M579" s="1787" t="n">
        <v>79.40367571053952</v>
      </c>
      <c r="N579" s="1754" t="n"/>
      <c r="O579" s="1788" t="n"/>
      <c r="P579" s="1721" t="inlineStr">
        <is>
          <t>Pendente</t>
        </is>
      </c>
    </row>
    <row r="580" hidden="1" outlineLevel="2" ht="13.5" customHeight="1">
      <c r="A580" s="2117" t="n">
        <v>0</v>
      </c>
      <c r="B580" s="2117" t="n">
        <v>5</v>
      </c>
      <c r="C580" s="2117" t="n">
        <v>12</v>
      </c>
      <c r="D580" s="2118" t="n">
        <v>4</v>
      </c>
      <c r="E580" s="2118" t="n">
        <v>0</v>
      </c>
      <c r="G580" s="1740" t="n"/>
      <c r="H580" s="1777" t="inlineStr">
        <is>
          <t>SUBETAPA</t>
        </is>
      </c>
      <c r="I580" s="1778" t="inlineStr">
        <is>
          <t>05.012.004</t>
        </is>
      </c>
      <c r="J580" s="1779" t="inlineStr">
        <is>
          <t>Drywall</t>
        </is>
      </c>
      <c r="K580" s="1780" t="n"/>
      <c r="L580" s="1781" t="n"/>
      <c r="M580" s="1781" t="n"/>
      <c r="N580" s="1746" t="n"/>
      <c r="O580" s="1782" t="n"/>
      <c r="P580" s="1720" t="n"/>
    </row>
    <row r="581" hidden="1" outlineLevel="3" ht="13.5" customHeight="1">
      <c r="A581" s="2117" t="n">
        <v>0</v>
      </c>
      <c r="B581" s="2117" t="n">
        <v>5</v>
      </c>
      <c r="C581" s="2117" t="n">
        <v>12</v>
      </c>
      <c r="D581" s="2118" t="n">
        <v>4</v>
      </c>
      <c r="E581" s="2118" t="n">
        <v>1</v>
      </c>
      <c r="G581" s="1748" t="inlineStr">
        <is>
          <t>ALVENARIA</t>
        </is>
      </c>
      <c r="H581" s="1783" t="inlineStr">
        <is>
          <t>SERVIÇO</t>
        </is>
      </c>
      <c r="I581" s="1784" t="inlineStr">
        <is>
          <t>05.012.004.001</t>
        </is>
      </c>
      <c r="J581" s="1751" t="inlineStr">
        <is>
          <t>Parede Com Sistema Em Chapas De Gesso Para Drywall, Uso Interno, Montante 48mm  (48 / HU)</t>
        </is>
      </c>
      <c r="K581" s="1786" t="inlineStr">
        <is>
          <t>m2</t>
        </is>
      </c>
      <c r="L581" s="1787" t="e">
        <v>#REF!</v>
      </c>
      <c r="M581" s="1787" t="n">
        <v>103.175377</v>
      </c>
      <c r="N581" s="1754" t="n"/>
      <c r="O581" s="1788" t="n"/>
      <c r="P581" s="1721" t="inlineStr">
        <is>
          <t>Pendente</t>
        </is>
      </c>
    </row>
    <row r="582" hidden="1" outlineLevel="3" ht="13.5" customHeight="1">
      <c r="A582" s="2117" t="n">
        <v>0</v>
      </c>
      <c r="B582" s="2117" t="n">
        <v>5</v>
      </c>
      <c r="C582" s="2117" t="n">
        <v>12</v>
      </c>
      <c r="D582" s="2118" t="n">
        <v>4</v>
      </c>
      <c r="E582" s="2118" t="n">
        <v>2</v>
      </c>
      <c r="G582" s="1748" t="inlineStr">
        <is>
          <t>ALVENARIA</t>
        </is>
      </c>
      <c r="H582" s="1783" t="inlineStr">
        <is>
          <t>SERVIÇO</t>
        </is>
      </c>
      <c r="I582" s="1784" t="inlineStr">
        <is>
          <t>05.012.004.002</t>
        </is>
      </c>
      <c r="J582" s="1751" t="inlineStr">
        <is>
          <t>Parede Com Sistema Em Chapas De Gesso Para Drywall, Uso Interno, Montante 70mm  (HU / 70 / HS)</t>
        </is>
      </c>
      <c r="K582" s="1786" t="inlineStr">
        <is>
          <t>m2</t>
        </is>
      </c>
      <c r="L582" s="1787" t="e">
        <v>#REF!</v>
      </c>
      <c r="M582" s="1787" t="n">
        <v>165.703099</v>
      </c>
      <c r="N582" s="1754" t="n"/>
      <c r="O582" s="1788" t="n"/>
      <c r="P582" s="1721" t="inlineStr">
        <is>
          <t>Pendente</t>
        </is>
      </c>
    </row>
    <row r="583" hidden="1" outlineLevel="2" ht="13.5" customHeight="1">
      <c r="A583" s="2117" t="n">
        <v>0</v>
      </c>
      <c r="B583" s="2117" t="n">
        <v>5</v>
      </c>
      <c r="C583" s="2117" t="n">
        <v>12</v>
      </c>
      <c r="D583" s="2118" t="n">
        <v>5</v>
      </c>
      <c r="E583" s="2118" t="n">
        <v>0</v>
      </c>
      <c r="G583" s="1740" t="n"/>
      <c r="H583" s="1777" t="inlineStr">
        <is>
          <t>SUBETAPA</t>
        </is>
      </c>
      <c r="I583" s="1778" t="inlineStr">
        <is>
          <t>05.012.005</t>
        </is>
      </c>
      <c r="J583" s="1779" t="inlineStr">
        <is>
          <t>Mão de obra</t>
        </is>
      </c>
      <c r="K583" s="1780" t="n"/>
      <c r="L583" s="1781" t="n"/>
      <c r="M583" s="1781" t="n"/>
      <c r="N583" s="1746" t="n"/>
      <c r="O583" s="1782" t="n"/>
      <c r="P583" s="1720" t="n"/>
    </row>
    <row r="584" hidden="1" outlineLevel="3" ht="13.5" customHeight="1">
      <c r="A584" s="2117" t="n">
        <v>0</v>
      </c>
      <c r="B584" s="2117" t="n">
        <v>5</v>
      </c>
      <c r="C584" s="2117" t="n">
        <v>12</v>
      </c>
      <c r="D584" s="2118" t="n">
        <v>5</v>
      </c>
      <c r="E584" s="2118" t="n">
        <v>1</v>
      </c>
      <c r="G584" s="1748" t="inlineStr">
        <is>
          <t>ALVENARIA</t>
        </is>
      </c>
      <c r="H584" s="1783" t="inlineStr">
        <is>
          <t>SERVIÇO</t>
        </is>
      </c>
      <c r="I584" s="1784" t="inlineStr">
        <is>
          <t>05.012.005.001</t>
        </is>
      </c>
      <c r="J584" s="1785" t="inlineStr">
        <is>
          <t>Mão de obra para assentamento de blocos cerâmicos</t>
        </is>
      </c>
      <c r="K584" s="1786" t="inlineStr">
        <is>
          <t>m2</t>
        </is>
      </c>
      <c r="L584" s="1787" t="e">
        <v>#REF!</v>
      </c>
      <c r="M584" s="1787" t="n">
        <v>47</v>
      </c>
      <c r="N584" s="1754" t="n"/>
      <c r="O584" s="1788" t="n"/>
      <c r="P584" s="1721" t="inlineStr">
        <is>
          <t>Pendente</t>
        </is>
      </c>
    </row>
    <row r="585" hidden="1" outlineLevel="3" ht="13.5" customHeight="1">
      <c r="A585" s="2117" t="n">
        <v>0</v>
      </c>
      <c r="B585" s="2117" t="n">
        <v>5</v>
      </c>
      <c r="C585" s="2117" t="n">
        <v>12</v>
      </c>
      <c r="D585" s="2118" t="n">
        <v>5</v>
      </c>
      <c r="E585" s="2118" t="n">
        <v>2</v>
      </c>
      <c r="G585" s="1748" t="inlineStr">
        <is>
          <t>ALVENARIA</t>
        </is>
      </c>
      <c r="H585" s="1783" t="inlineStr">
        <is>
          <t>SERVIÇO</t>
        </is>
      </c>
      <c r="I585" s="1784" t="inlineStr">
        <is>
          <t>05.012.005.002</t>
        </is>
      </c>
      <c r="J585" s="1785" t="inlineStr">
        <is>
          <t>Mão de obra para assentamento de blocos de silico calcarios</t>
        </is>
      </c>
      <c r="K585" s="1786" t="inlineStr">
        <is>
          <t>m2</t>
        </is>
      </c>
      <c r="L585" s="1787" t="e">
        <v>#REF!</v>
      </c>
      <c r="M585" s="1787" t="n">
        <v>47</v>
      </c>
      <c r="N585" s="1754" t="n"/>
      <c r="O585" s="1788" t="n"/>
      <c r="P585" s="1721" t="inlineStr">
        <is>
          <t>Pendente</t>
        </is>
      </c>
    </row>
    <row r="586" hidden="1" outlineLevel="3" ht="13.5" customHeight="1">
      <c r="A586" s="2117" t="n">
        <v>0</v>
      </c>
      <c r="B586" s="2117" t="n">
        <v>5</v>
      </c>
      <c r="C586" s="2117" t="n">
        <v>12</v>
      </c>
      <c r="D586" s="2118" t="n">
        <v>5</v>
      </c>
      <c r="E586" s="2118" t="n">
        <v>3</v>
      </c>
      <c r="G586" s="1748" t="inlineStr">
        <is>
          <t>ALVENARIA</t>
        </is>
      </c>
      <c r="H586" s="1783" t="inlineStr">
        <is>
          <t>SERVIÇO</t>
        </is>
      </c>
      <c r="I586" s="1784" t="inlineStr">
        <is>
          <t>05.012.005.003</t>
        </is>
      </c>
      <c r="J586" s="1751" t="inlineStr">
        <is>
          <t xml:space="preserve">Mão de obra para Sistema de vedação em drywall </t>
        </is>
      </c>
      <c r="K586" s="1786" t="inlineStr">
        <is>
          <t>m2</t>
        </is>
      </c>
      <c r="L586" s="1753" t="e">
        <v>#REF!</v>
      </c>
      <c r="M586" s="1787" t="e">
        <v>#REF!</v>
      </c>
      <c r="N586" s="1754" t="n"/>
      <c r="O586" s="1788" t="n"/>
      <c r="P586" s="1721" t="inlineStr">
        <is>
          <t>Pendente</t>
        </is>
      </c>
    </row>
    <row r="587" hidden="1" outlineLevel="1" ht="13.5" customHeight="1">
      <c r="A587" s="2117" t="n">
        <v>0</v>
      </c>
      <c r="B587" s="2117" t="n">
        <v>5</v>
      </c>
      <c r="C587" s="2117" t="n">
        <v>13</v>
      </c>
      <c r="D587" s="2118" t="n">
        <v>0</v>
      </c>
      <c r="E587" s="2118" t="n">
        <v>3</v>
      </c>
      <c r="G587" s="1733" t="n"/>
      <c r="H587" s="1771" t="inlineStr">
        <is>
          <t>ETAPA</t>
        </is>
      </c>
      <c r="I587" s="1772" t="inlineStr">
        <is>
          <t>05.013</t>
        </is>
      </c>
      <c r="J587" s="1773" t="inlineStr">
        <is>
          <t>PAREDES E DIVISÓRIAS - Duplex Superior</t>
        </is>
      </c>
      <c r="K587" s="1774" t="n"/>
      <c r="L587" s="1775" t="n"/>
      <c r="M587" s="1775" t="n"/>
      <c r="N587" s="1739" t="n"/>
      <c r="O587" s="1776" t="n"/>
      <c r="P587" s="1719" t="n"/>
    </row>
    <row r="588" hidden="1" outlineLevel="2" ht="13.5" customHeight="1">
      <c r="A588" s="2117" t="n">
        <v>0</v>
      </c>
      <c r="B588" s="2117" t="n">
        <v>5</v>
      </c>
      <c r="C588" s="2117" t="n">
        <v>13</v>
      </c>
      <c r="D588" s="2118" t="n">
        <v>1</v>
      </c>
      <c r="E588" s="2118" t="n">
        <v>0</v>
      </c>
      <c r="G588" s="1740" t="n"/>
      <c r="H588" s="1777" t="inlineStr">
        <is>
          <t>SUBETAPA</t>
        </is>
      </c>
      <c r="I588" s="1778" t="inlineStr">
        <is>
          <t>05.013.001</t>
        </is>
      </c>
      <c r="J588" s="1779" t="inlineStr">
        <is>
          <t>Alevanaria de vedação com blocos cerâmicos</t>
        </is>
      </c>
      <c r="K588" s="1780" t="n"/>
      <c r="L588" s="1781" t="n"/>
      <c r="M588" s="1781" t="n"/>
      <c r="N588" s="1746" t="n"/>
      <c r="O588" s="1782" t="n"/>
      <c r="P588" s="1720" t="n"/>
    </row>
    <row r="589" hidden="1" outlineLevel="3" ht="13.5" customHeight="1">
      <c r="A589" s="2117" t="n">
        <v>0</v>
      </c>
      <c r="B589" s="2117" t="n">
        <v>5</v>
      </c>
      <c r="C589" s="2117" t="n">
        <v>13</v>
      </c>
      <c r="D589" s="2118" t="n">
        <v>1</v>
      </c>
      <c r="E589" s="2118" t="n">
        <v>1</v>
      </c>
      <c r="G589" s="1748" t="inlineStr">
        <is>
          <t>ALVENARIA</t>
        </is>
      </c>
      <c r="H589" s="1783" t="inlineStr">
        <is>
          <t>SERVIÇO</t>
        </is>
      </c>
      <c r="I589" s="1784" t="inlineStr">
        <is>
          <t>05.013.001.001</t>
        </is>
      </c>
      <c r="J589" s="1785" t="inlineStr">
        <is>
          <t>Alvenaria de vedacao de blocos ceramicos de 11,5x19x39cm com argamassa industrializada de assentamento</t>
        </is>
      </c>
      <c r="K589" s="1786" t="inlineStr">
        <is>
          <t>m2</t>
        </is>
      </c>
      <c r="L589" s="1787" t="e">
        <v>#REF!</v>
      </c>
      <c r="M589" s="1787" t="n">
        <v>24.6</v>
      </c>
      <c r="N589" s="1754" t="n"/>
      <c r="O589" s="1788" t="n"/>
      <c r="P589" s="1721" t="inlineStr">
        <is>
          <t>Pendente</t>
        </is>
      </c>
    </row>
    <row r="590" hidden="1" outlineLevel="3" ht="13.5" customHeight="1">
      <c r="A590" s="2117" t="n">
        <v>0</v>
      </c>
      <c r="B590" s="2117" t="n">
        <v>5</v>
      </c>
      <c r="C590" s="2117" t="n">
        <v>13</v>
      </c>
      <c r="D590" s="2118" t="n">
        <v>1</v>
      </c>
      <c r="E590" s="2118" t="n">
        <v>2</v>
      </c>
      <c r="G590" s="1748" t="inlineStr">
        <is>
          <t>ALVENARIA</t>
        </is>
      </c>
      <c r="H590" s="1783" t="inlineStr">
        <is>
          <t>SERVIÇO</t>
        </is>
      </c>
      <c r="I590" s="1784" t="inlineStr">
        <is>
          <t>05.013.001.002</t>
        </is>
      </c>
      <c r="J590" s="1785" t="inlineStr">
        <is>
          <t>Alvenaria de vedacao de blocos ceramicos de 19x19x39cm com argamassa industrializada de assentamento</t>
        </is>
      </c>
      <c r="K590" s="1786" t="inlineStr">
        <is>
          <t>m2</t>
        </is>
      </c>
      <c r="L590" s="1787" t="e">
        <v>#REF!</v>
      </c>
      <c r="M590" s="1787" t="n">
        <v>35.09999999999999</v>
      </c>
      <c r="N590" s="1754" t="n"/>
      <c r="O590" s="1788" t="n"/>
      <c r="P590" s="1721" t="inlineStr">
        <is>
          <t>Pendente</t>
        </is>
      </c>
    </row>
    <row r="591" hidden="1" outlineLevel="2" ht="13.5" customHeight="1">
      <c r="A591" s="2117" t="n">
        <v>0</v>
      </c>
      <c r="B591" s="2117" t="n">
        <v>5</v>
      </c>
      <c r="C591" s="2117" t="n">
        <v>13</v>
      </c>
      <c r="D591" s="2118" t="n">
        <v>2</v>
      </c>
      <c r="E591" s="2118" t="n">
        <v>0</v>
      </c>
      <c r="G591" s="1740" t="n"/>
      <c r="H591" s="1777" t="inlineStr">
        <is>
          <t>SUBETAPA</t>
        </is>
      </c>
      <c r="I591" s="1778" t="inlineStr">
        <is>
          <t>05.013.002</t>
        </is>
      </c>
      <c r="J591" s="1779" t="inlineStr">
        <is>
          <t>Alevanaria de vedação com blocos Concreto e concreto celular</t>
        </is>
      </c>
      <c r="K591" s="1780" t="n"/>
      <c r="L591" s="1781" t="n"/>
      <c r="M591" s="1781" t="n"/>
      <c r="N591" s="1746" t="n"/>
      <c r="O591" s="1782" t="n"/>
      <c r="P591" s="1720" t="n"/>
    </row>
    <row r="592" hidden="1" outlineLevel="3" ht="13.5" customHeight="1">
      <c r="A592" s="2117" t="n">
        <v>0</v>
      </c>
      <c r="B592" s="2117" t="n">
        <v>5</v>
      </c>
      <c r="C592" s="2117" t="n">
        <v>13</v>
      </c>
      <c r="D592" s="2118" t="n">
        <v>2</v>
      </c>
      <c r="E592" s="2118" t="n">
        <v>1</v>
      </c>
      <c r="G592" s="1748" t="inlineStr">
        <is>
          <t>ALVENARIA</t>
        </is>
      </c>
      <c r="H592" s="1783" t="inlineStr">
        <is>
          <t>SERVIÇO</t>
        </is>
      </c>
      <c r="I592" s="1784" t="inlineStr">
        <is>
          <t>05.013.002.001</t>
        </is>
      </c>
      <c r="J592" s="1785" t="inlineStr">
        <is>
          <t>Alvenaria em Bloco De Concreto Celular 60x30x10cm Sical com argamassa industrializada de assentamento</t>
        </is>
      </c>
      <c r="K592" s="1786" t="inlineStr">
        <is>
          <t>m2</t>
        </is>
      </c>
      <c r="L592" s="1787" t="e">
        <v>#REF!</v>
      </c>
      <c r="M592" s="1787" t="n">
        <v>82.96000000000001</v>
      </c>
      <c r="N592" s="1754" t="n"/>
      <c r="O592" s="1788" t="n"/>
      <c r="P592" s="1721" t="inlineStr">
        <is>
          <t>Pendente</t>
        </is>
      </c>
    </row>
    <row r="593" hidden="1" outlineLevel="2" ht="13.5" customHeight="1">
      <c r="A593" s="2117" t="n">
        <v>0</v>
      </c>
      <c r="B593" s="2117" t="n">
        <v>5</v>
      </c>
      <c r="C593" s="2117" t="n">
        <v>13</v>
      </c>
      <c r="D593" s="2118" t="n">
        <v>3</v>
      </c>
      <c r="E593" s="2118" t="n">
        <v>0</v>
      </c>
      <c r="G593" s="1740" t="n"/>
      <c r="H593" s="1777" t="inlineStr">
        <is>
          <t>SUBETAPA</t>
        </is>
      </c>
      <c r="I593" s="1778" t="inlineStr">
        <is>
          <t>05.013.003</t>
        </is>
      </c>
      <c r="J593" s="1779" t="inlineStr">
        <is>
          <t>Serviços complementares para alvenaria de vedação</t>
        </is>
      </c>
      <c r="K593" s="1780" t="n"/>
      <c r="L593" s="1781" t="n"/>
      <c r="M593" s="1781" t="n"/>
      <c r="N593" s="1746" t="n"/>
      <c r="O593" s="1782" t="n"/>
      <c r="P593" s="1720" t="n"/>
    </row>
    <row r="594" hidden="1" outlineLevel="3" ht="13.5" customHeight="1">
      <c r="A594" s="2117" t="n">
        <v>0</v>
      </c>
      <c r="B594" s="2117" t="n">
        <v>5</v>
      </c>
      <c r="C594" s="2117" t="n">
        <v>13</v>
      </c>
      <c r="D594" s="2118" t="n">
        <v>3</v>
      </c>
      <c r="E594" s="2118" t="n">
        <v>1</v>
      </c>
      <c r="G594" s="1748" t="inlineStr">
        <is>
          <t>ALVENARIA</t>
        </is>
      </c>
      <c r="H594" s="1783" t="inlineStr">
        <is>
          <t>SERVIÇO</t>
        </is>
      </c>
      <c r="I594" s="1784" t="inlineStr">
        <is>
          <t>05.013.003.001</t>
        </is>
      </c>
      <c r="J594" s="1785" t="inlineStr">
        <is>
          <t>Encunhamento de alvenaria de vedação com argamassa expansiva</t>
        </is>
      </c>
      <c r="K594" s="1786" t="inlineStr">
        <is>
          <t>m</t>
        </is>
      </c>
      <c r="L594" s="1787" t="e">
        <v>#REF!</v>
      </c>
      <c r="M594" s="1787" t="n">
        <v>14.7875</v>
      </c>
      <c r="N594" s="1754" t="n"/>
      <c r="O594" s="1788" t="n"/>
      <c r="P594" s="1721" t="inlineStr">
        <is>
          <t>Pendente</t>
        </is>
      </c>
    </row>
    <row r="595" hidden="1" outlineLevel="3" ht="13.5" customHeight="1">
      <c r="A595" s="2117" t="n">
        <v>0</v>
      </c>
      <c r="B595" s="2117" t="n">
        <v>5</v>
      </c>
      <c r="C595" s="2117" t="n">
        <v>13</v>
      </c>
      <c r="D595" s="2118" t="n">
        <v>3</v>
      </c>
      <c r="E595" s="2118" t="n">
        <v>2</v>
      </c>
      <c r="G595" s="1748" t="inlineStr">
        <is>
          <t>ALVENARIA</t>
        </is>
      </c>
      <c r="H595" s="1783" t="inlineStr">
        <is>
          <t>SERVIÇO</t>
        </is>
      </c>
      <c r="I595" s="1784" t="inlineStr">
        <is>
          <t>05.013.003.002</t>
        </is>
      </c>
      <c r="J595" s="1785" t="inlineStr">
        <is>
          <t>Tela soldada para ligacao alvenaria/estrutura</t>
        </is>
      </c>
      <c r="K595" s="1786" t="inlineStr">
        <is>
          <t>un</t>
        </is>
      </c>
      <c r="L595" s="1787" t="e">
        <v>#REF!</v>
      </c>
      <c r="M595" s="1787" t="n">
        <v>4.1072</v>
      </c>
      <c r="N595" s="1754" t="n"/>
      <c r="O595" s="1788" t="n"/>
      <c r="P595" s="1721" t="inlineStr">
        <is>
          <t>Pendente</t>
        </is>
      </c>
    </row>
    <row r="596" hidden="1" outlineLevel="3" ht="13.5" customHeight="1">
      <c r="A596" s="2117" t="n">
        <v>0</v>
      </c>
      <c r="B596" s="2117" t="n">
        <v>5</v>
      </c>
      <c r="C596" s="2117" t="n">
        <v>13</v>
      </c>
      <c r="D596" s="2118" t="n">
        <v>3</v>
      </c>
      <c r="E596" s="2118" t="n">
        <v>3</v>
      </c>
      <c r="G596" s="1748" t="inlineStr">
        <is>
          <t>ALVENARIA</t>
        </is>
      </c>
      <c r="H596" s="1783" t="inlineStr">
        <is>
          <t>SERVIÇO</t>
        </is>
      </c>
      <c r="I596" s="1784" t="inlineStr">
        <is>
          <t>05.013.003.003</t>
        </is>
      </c>
      <c r="J596" s="1785" t="inlineStr">
        <is>
          <t>Verga/contraverga de concreto, moldada in loco</t>
        </is>
      </c>
      <c r="K596" s="1786" t="inlineStr">
        <is>
          <t>m</t>
        </is>
      </c>
      <c r="L596" s="1787" t="e">
        <v>#REF!</v>
      </c>
      <c r="M596" s="1787" t="n">
        <v>79.40367571053952</v>
      </c>
      <c r="N596" s="1754" t="n"/>
      <c r="O596" s="1788" t="n"/>
      <c r="P596" s="1721" t="inlineStr">
        <is>
          <t>Pendente</t>
        </is>
      </c>
    </row>
    <row r="597" hidden="1" outlineLevel="3" ht="13.5" customHeight="1">
      <c r="A597" s="2117" t="n">
        <v>0</v>
      </c>
      <c r="B597" s="2117" t="n">
        <v>5</v>
      </c>
      <c r="C597" s="2117" t="n">
        <v>13</v>
      </c>
      <c r="D597" s="2118" t="n">
        <v>3</v>
      </c>
      <c r="E597" s="2118" t="n">
        <v>4</v>
      </c>
      <c r="G597" s="1748" t="inlineStr">
        <is>
          <t>ALVENARIA</t>
        </is>
      </c>
      <c r="H597" s="1783" t="inlineStr">
        <is>
          <t>SERVIÇO</t>
        </is>
      </c>
      <c r="I597" s="1784" t="inlineStr">
        <is>
          <t>05.013.003.004</t>
        </is>
      </c>
      <c r="J597" s="1785" t="inlineStr">
        <is>
          <t>Churrasqueiras Pré-Moldadas</t>
        </is>
      </c>
      <c r="K597" s="1786" t="inlineStr">
        <is>
          <t>un</t>
        </is>
      </c>
      <c r="L597" s="1787" t="n">
        <v>1</v>
      </c>
      <c r="M597" s="1787" t="n">
        <v>1800</v>
      </c>
      <c r="N597" s="1754" t="n">
        <v>1800</v>
      </c>
      <c r="O597" s="1788" t="n"/>
      <c r="P597" s="1721" t="inlineStr">
        <is>
          <t>Pendente</t>
        </is>
      </c>
    </row>
    <row r="598" hidden="1" outlineLevel="2" ht="13.5" customHeight="1">
      <c r="A598" s="2117" t="n">
        <v>0</v>
      </c>
      <c r="B598" s="2117" t="n">
        <v>5</v>
      </c>
      <c r="C598" s="2117" t="n">
        <v>13</v>
      </c>
      <c r="D598" s="2118" t="n">
        <v>4</v>
      </c>
      <c r="E598" s="2118" t="n">
        <v>0</v>
      </c>
      <c r="G598" s="1740" t="n"/>
      <c r="H598" s="1777" t="inlineStr">
        <is>
          <t>SUBETAPA</t>
        </is>
      </c>
      <c r="I598" s="1778" t="inlineStr">
        <is>
          <t>05.013.004</t>
        </is>
      </c>
      <c r="J598" s="1779" t="inlineStr">
        <is>
          <t>Drywall</t>
        </is>
      </c>
      <c r="K598" s="1780" t="n"/>
      <c r="L598" s="1781" t="n"/>
      <c r="M598" s="1781" t="n"/>
      <c r="N598" s="1746" t="n"/>
      <c r="O598" s="1782" t="n"/>
      <c r="P598" s="1720" t="n"/>
    </row>
    <row r="599" hidden="1" outlineLevel="3" ht="13.5" customHeight="1">
      <c r="A599" s="2117" t="n">
        <v>0</v>
      </c>
      <c r="B599" s="2117" t="n">
        <v>5</v>
      </c>
      <c r="C599" s="2117" t="n">
        <v>13</v>
      </c>
      <c r="D599" s="2118" t="n">
        <v>4</v>
      </c>
      <c r="E599" s="2118" t="n">
        <v>1</v>
      </c>
      <c r="G599" s="1748" t="inlineStr">
        <is>
          <t>ALVENARIA</t>
        </is>
      </c>
      <c r="H599" s="1783" t="inlineStr">
        <is>
          <t>SERVIÇO</t>
        </is>
      </c>
      <c r="I599" s="1784" t="inlineStr">
        <is>
          <t>05.013.004.001</t>
        </is>
      </c>
      <c r="J599" s="1751" t="inlineStr">
        <is>
          <t>Parede Com Sistema Em Chapas De Gesso Para Drywall, Uso Interno, Montante 48mm  (48 / HU)</t>
        </is>
      </c>
      <c r="K599" s="1786" t="inlineStr">
        <is>
          <t>m2</t>
        </is>
      </c>
      <c r="L599" s="1787" t="e">
        <v>#REF!</v>
      </c>
      <c r="M599" s="1787" t="n">
        <v>103.175377</v>
      </c>
      <c r="N599" s="1754" t="n"/>
      <c r="O599" s="1788" t="n"/>
      <c r="P599" s="1721" t="inlineStr">
        <is>
          <t>Pendente</t>
        </is>
      </c>
    </row>
    <row r="600" hidden="1" outlineLevel="3" ht="13.5" customHeight="1">
      <c r="A600" s="2117" t="n">
        <v>0</v>
      </c>
      <c r="B600" s="2117" t="n">
        <v>5</v>
      </c>
      <c r="C600" s="2117" t="n">
        <v>13</v>
      </c>
      <c r="D600" s="2118" t="n">
        <v>4</v>
      </c>
      <c r="E600" s="2118" t="n">
        <v>2</v>
      </c>
      <c r="G600" s="1748" t="inlineStr">
        <is>
          <t>ALVENARIA</t>
        </is>
      </c>
      <c r="H600" s="1783" t="inlineStr">
        <is>
          <t>SERVIÇO</t>
        </is>
      </c>
      <c r="I600" s="1784" t="inlineStr">
        <is>
          <t>05.013.004.002</t>
        </is>
      </c>
      <c r="J600" s="1751" t="inlineStr">
        <is>
          <t>Parede Com Sistema Em Chapas De Gesso Para Drywall, Uso Interno, Montante 48mm  (48 / HS)</t>
        </is>
      </c>
      <c r="K600" s="1786" t="inlineStr">
        <is>
          <t>m2</t>
        </is>
      </c>
      <c r="L600" s="1787" t="e">
        <v>#REF!</v>
      </c>
      <c r="M600" s="1787" t="n">
        <v>95.86755699999999</v>
      </c>
      <c r="N600" s="1754" t="n"/>
      <c r="O600" s="1788" t="n"/>
      <c r="P600" s="1721" t="inlineStr">
        <is>
          <t>Pendente</t>
        </is>
      </c>
    </row>
    <row r="601" hidden="1" outlineLevel="3" ht="13.5" customHeight="1">
      <c r="A601" s="2117" t="n">
        <v>0</v>
      </c>
      <c r="B601" s="2117" t="n">
        <v>5</v>
      </c>
      <c r="C601" s="2117" t="n">
        <v>13</v>
      </c>
      <c r="D601" s="2118" t="n">
        <v>4</v>
      </c>
      <c r="E601" s="2118" t="n">
        <v>3</v>
      </c>
      <c r="G601" s="1748" t="inlineStr">
        <is>
          <t>ALVENARIA</t>
        </is>
      </c>
      <c r="H601" s="1783" t="inlineStr">
        <is>
          <t>SERVIÇO</t>
        </is>
      </c>
      <c r="I601" s="1784" t="inlineStr">
        <is>
          <t>05.013.004.003</t>
        </is>
      </c>
      <c r="J601" s="1751" t="inlineStr">
        <is>
          <t>Parede Com Sistema Em Chapas De Gesso Para Drywall, Uso Interno, Montante 70mm  (HU / 70 / HS)</t>
        </is>
      </c>
      <c r="K601" s="1786" t="inlineStr">
        <is>
          <t>m2</t>
        </is>
      </c>
      <c r="L601" s="1787" t="e">
        <v>#REF!</v>
      </c>
      <c r="M601" s="1787" t="n">
        <v>165.703099</v>
      </c>
      <c r="N601" s="1754" t="n"/>
      <c r="O601" s="1788" t="n"/>
      <c r="P601" s="1721" t="inlineStr">
        <is>
          <t>Pendente</t>
        </is>
      </c>
    </row>
    <row r="602" hidden="1" outlineLevel="2" ht="13.5" customHeight="1">
      <c r="A602" s="2117" t="n">
        <v>0</v>
      </c>
      <c r="B602" s="2117" t="n">
        <v>5</v>
      </c>
      <c r="C602" s="2117" t="n">
        <v>13</v>
      </c>
      <c r="D602" s="2118" t="n">
        <v>5</v>
      </c>
      <c r="E602" s="2118" t="n">
        <v>0</v>
      </c>
      <c r="G602" s="1740" t="n"/>
      <c r="H602" s="1777" t="inlineStr">
        <is>
          <t>SUBETAPA</t>
        </is>
      </c>
      <c r="I602" s="1778" t="inlineStr">
        <is>
          <t>05.013.005</t>
        </is>
      </c>
      <c r="J602" s="1779" t="inlineStr">
        <is>
          <t>Mão de obra</t>
        </is>
      </c>
      <c r="K602" s="1780" t="n"/>
      <c r="L602" s="1781" t="n"/>
      <c r="M602" s="1781" t="n"/>
      <c r="N602" s="1746" t="n"/>
      <c r="O602" s="1782" t="n"/>
      <c r="P602" s="1720" t="n"/>
    </row>
    <row r="603" hidden="1" outlineLevel="3" ht="13.5" customHeight="1">
      <c r="A603" s="2117" t="n">
        <v>0</v>
      </c>
      <c r="B603" s="2117" t="n">
        <v>5</v>
      </c>
      <c r="C603" s="2117" t="n">
        <v>13</v>
      </c>
      <c r="D603" s="2118" t="n">
        <v>5</v>
      </c>
      <c r="E603" s="2118" t="n">
        <v>1</v>
      </c>
      <c r="G603" s="1748" t="inlineStr">
        <is>
          <t>ALVENARIA</t>
        </is>
      </c>
      <c r="H603" s="1783" t="inlineStr">
        <is>
          <t>SERVIÇO</t>
        </is>
      </c>
      <c r="I603" s="1784" t="inlineStr">
        <is>
          <t>05.013.005.001</t>
        </is>
      </c>
      <c r="J603" s="1785" t="inlineStr">
        <is>
          <t>Mão de obra para assentamento de blocos cerâmicos</t>
        </is>
      </c>
      <c r="K603" s="1786" t="inlineStr">
        <is>
          <t>m2</t>
        </is>
      </c>
      <c r="L603" s="1787" t="e">
        <v>#REF!</v>
      </c>
      <c r="M603" s="1787" t="n">
        <v>47</v>
      </c>
      <c r="N603" s="1754" t="n"/>
      <c r="O603" s="1788" t="n"/>
      <c r="P603" s="1721" t="inlineStr">
        <is>
          <t>Pendente</t>
        </is>
      </c>
    </row>
    <row r="604" hidden="1" outlineLevel="3" ht="13.5" customHeight="1">
      <c r="A604" s="2117" t="n">
        <v>0</v>
      </c>
      <c r="B604" s="2117" t="n">
        <v>5</v>
      </c>
      <c r="C604" s="2117" t="n">
        <v>13</v>
      </c>
      <c r="D604" s="2118" t="n">
        <v>5</v>
      </c>
      <c r="E604" s="2118" t="n">
        <v>2</v>
      </c>
      <c r="G604" s="1748" t="inlineStr">
        <is>
          <t>ALVENARIA</t>
        </is>
      </c>
      <c r="H604" s="1783" t="inlineStr">
        <is>
          <t>SERVIÇO</t>
        </is>
      </c>
      <c r="I604" s="1784" t="inlineStr">
        <is>
          <t>05.013.005.002</t>
        </is>
      </c>
      <c r="J604" s="1785" t="inlineStr">
        <is>
          <t>Mão de obra para assentamento de blocos de silico calcarios</t>
        </is>
      </c>
      <c r="K604" s="1786" t="inlineStr">
        <is>
          <t>m2</t>
        </is>
      </c>
      <c r="L604" s="1787" t="e">
        <v>#REF!</v>
      </c>
      <c r="M604" s="1787" t="n">
        <v>47</v>
      </c>
      <c r="N604" s="1754" t="n"/>
      <c r="O604" s="1788" t="n"/>
      <c r="P604" s="1721" t="inlineStr">
        <is>
          <t>Pendente</t>
        </is>
      </c>
    </row>
    <row r="605" hidden="1" outlineLevel="3" ht="13.5" customHeight="1">
      <c r="A605" s="2117" t="n">
        <v>0</v>
      </c>
      <c r="B605" s="2117" t="n">
        <v>5</v>
      </c>
      <c r="C605" s="2117" t="n">
        <v>13</v>
      </c>
      <c r="D605" s="2118" t="n">
        <v>5</v>
      </c>
      <c r="E605" s="2118" t="n">
        <v>3</v>
      </c>
      <c r="G605" s="1748" t="inlineStr">
        <is>
          <t>ALVENARIA</t>
        </is>
      </c>
      <c r="H605" s="1783" t="inlineStr">
        <is>
          <t>SERVIÇO</t>
        </is>
      </c>
      <c r="I605" s="1784" t="inlineStr">
        <is>
          <t>05.013.005.003</t>
        </is>
      </c>
      <c r="J605" s="1751" t="inlineStr">
        <is>
          <t xml:space="preserve">Mão de obra para Sistema de vedação em drywall </t>
        </is>
      </c>
      <c r="K605" s="1786" t="inlineStr">
        <is>
          <t>m2</t>
        </is>
      </c>
      <c r="L605" s="1753" t="e">
        <v>#REF!</v>
      </c>
      <c r="M605" s="1787" t="e">
        <v>#REF!</v>
      </c>
      <c r="N605" s="1754" t="n"/>
      <c r="O605" s="1788" t="n"/>
      <c r="P605" s="1721" t="inlineStr">
        <is>
          <t>Pendente</t>
        </is>
      </c>
    </row>
    <row r="606" hidden="1" outlineLevel="1" ht="13.5" customHeight="1">
      <c r="A606" s="2117" t="n">
        <v>0</v>
      </c>
      <c r="B606" s="2117" t="n">
        <v>5</v>
      </c>
      <c r="C606" s="2117" t="n">
        <v>14</v>
      </c>
      <c r="D606" s="2118" t="n">
        <v>0</v>
      </c>
      <c r="E606" s="2118" t="n">
        <v>3</v>
      </c>
      <c r="G606" s="1733" t="n"/>
      <c r="H606" s="1771" t="inlineStr">
        <is>
          <t>ETAPA</t>
        </is>
      </c>
      <c r="I606" s="1772" t="inlineStr">
        <is>
          <t>05.014</t>
        </is>
      </c>
      <c r="J606" s="1773" t="inlineStr">
        <is>
          <t>PAREDES E DIVISÓRIAS - Cobertura | Barrilete</t>
        </is>
      </c>
      <c r="K606" s="1774" t="n"/>
      <c r="L606" s="1775" t="n"/>
      <c r="M606" s="1775" t="n"/>
      <c r="N606" s="1739" t="n"/>
      <c r="O606" s="1776" t="n"/>
      <c r="P606" s="1719" t="n"/>
    </row>
    <row r="607" hidden="1" outlineLevel="2" ht="13.5" customHeight="1">
      <c r="A607" s="2117" t="n">
        <v>0</v>
      </c>
      <c r="B607" s="2117" t="n">
        <v>5</v>
      </c>
      <c r="C607" s="2117" t="n">
        <v>14</v>
      </c>
      <c r="D607" s="2118" t="n">
        <v>1</v>
      </c>
      <c r="E607" s="2118" t="n">
        <v>0</v>
      </c>
      <c r="G607" s="1740" t="n"/>
      <c r="H607" s="1777" t="inlineStr">
        <is>
          <t>SUBETAPA</t>
        </is>
      </c>
      <c r="I607" s="1778" t="inlineStr">
        <is>
          <t>05.014.001</t>
        </is>
      </c>
      <c r="J607" s="1779" t="inlineStr">
        <is>
          <t>Alevanaria de vedação com blocos cerâmicos</t>
        </is>
      </c>
      <c r="K607" s="1780" t="n"/>
      <c r="L607" s="1781" t="n"/>
      <c r="M607" s="1781" t="n"/>
      <c r="N607" s="1746" t="n"/>
      <c r="O607" s="1782" t="n"/>
      <c r="P607" s="1720" t="n"/>
    </row>
    <row r="608" hidden="1" outlineLevel="3" ht="13.5" customHeight="1">
      <c r="A608" s="2117" t="n">
        <v>0</v>
      </c>
      <c r="B608" s="2117" t="n">
        <v>5</v>
      </c>
      <c r="C608" s="2117" t="n">
        <v>14</v>
      </c>
      <c r="D608" s="2118" t="n">
        <v>1</v>
      </c>
      <c r="E608" s="2118" t="n">
        <v>1</v>
      </c>
      <c r="G608" s="1748" t="inlineStr">
        <is>
          <t>ALVENARIA</t>
        </is>
      </c>
      <c r="H608" s="1783" t="inlineStr">
        <is>
          <t>SERVIÇO</t>
        </is>
      </c>
      <c r="I608" s="1784" t="inlineStr">
        <is>
          <t>05.014.001.001</t>
        </is>
      </c>
      <c r="J608" s="1785" t="inlineStr">
        <is>
          <t>Alvenaria de vedacao de blocos ceramicos de 11,5x19x39cm com argamassa industrializada de assentamento</t>
        </is>
      </c>
      <c r="K608" s="1786" t="inlineStr">
        <is>
          <t>m2</t>
        </is>
      </c>
      <c r="L608" s="1787" t="e">
        <v>#REF!</v>
      </c>
      <c r="M608" s="1787" t="n">
        <v>24.6</v>
      </c>
      <c r="N608" s="1754" t="n"/>
      <c r="O608" s="1788" t="n"/>
      <c r="P608" s="1721" t="inlineStr">
        <is>
          <t>Pendente</t>
        </is>
      </c>
    </row>
    <row r="609" hidden="1" outlineLevel="3" ht="13.5" customHeight="1">
      <c r="A609" s="2117" t="n">
        <v>0</v>
      </c>
      <c r="B609" s="2117" t="n">
        <v>5</v>
      </c>
      <c r="C609" s="2117" t="n">
        <v>14</v>
      </c>
      <c r="D609" s="2118" t="n">
        <v>1</v>
      </c>
      <c r="E609" s="2118" t="n">
        <v>2</v>
      </c>
      <c r="G609" s="1748" t="inlineStr">
        <is>
          <t>ALVENARIA</t>
        </is>
      </c>
      <c r="H609" s="1783" t="inlineStr">
        <is>
          <t>SERVIÇO</t>
        </is>
      </c>
      <c r="I609" s="1784" t="inlineStr">
        <is>
          <t>05.014.001.002</t>
        </is>
      </c>
      <c r="J609" s="1785" t="inlineStr">
        <is>
          <t>Alvenaria de vedacao de blocos ceramicos de 19x19x39cm com argamassa industrializada de assentamento</t>
        </is>
      </c>
      <c r="K609" s="1786" t="inlineStr">
        <is>
          <t>m2</t>
        </is>
      </c>
      <c r="L609" s="1787" t="e">
        <v>#REF!</v>
      </c>
      <c r="M609" s="1787" t="n">
        <v>35.09999999999999</v>
      </c>
      <c r="N609" s="1754" t="n"/>
      <c r="O609" s="1788" t="n"/>
      <c r="P609" s="1721" t="inlineStr">
        <is>
          <t>Pendente</t>
        </is>
      </c>
    </row>
    <row r="610" hidden="1" outlineLevel="2" ht="13.5" customHeight="1">
      <c r="A610" s="2117" t="n">
        <v>0</v>
      </c>
      <c r="B610" s="2117" t="n">
        <v>5</v>
      </c>
      <c r="C610" s="2117" t="n">
        <v>14</v>
      </c>
      <c r="D610" s="2118" t="n">
        <v>2</v>
      </c>
      <c r="E610" s="2118" t="n">
        <v>0</v>
      </c>
      <c r="G610" s="1740" t="n"/>
      <c r="H610" s="1777" t="inlineStr">
        <is>
          <t>SUBETAPA</t>
        </is>
      </c>
      <c r="I610" s="1778" t="inlineStr">
        <is>
          <t>05.014.002</t>
        </is>
      </c>
      <c r="J610" s="1779" t="inlineStr">
        <is>
          <t>Serviços complementares para alvenaria de vedação</t>
        </is>
      </c>
      <c r="K610" s="1780" t="n"/>
      <c r="L610" s="1781" t="n"/>
      <c r="M610" s="1781" t="n"/>
      <c r="N610" s="1746" t="n"/>
      <c r="O610" s="1782" t="n"/>
      <c r="P610" s="1720" t="n"/>
    </row>
    <row r="611" hidden="1" outlineLevel="3" ht="13.5" customHeight="1">
      <c r="A611" s="2117" t="n">
        <v>0</v>
      </c>
      <c r="B611" s="2117" t="n">
        <v>5</v>
      </c>
      <c r="C611" s="2117" t="n">
        <v>14</v>
      </c>
      <c r="D611" s="2118" t="n">
        <v>2</v>
      </c>
      <c r="E611" s="2118" t="n">
        <v>1</v>
      </c>
      <c r="G611" s="1748" t="inlineStr">
        <is>
          <t>ALVENARIA</t>
        </is>
      </c>
      <c r="H611" s="1783" t="inlineStr">
        <is>
          <t>SERVIÇO</t>
        </is>
      </c>
      <c r="I611" s="1784" t="inlineStr">
        <is>
          <t>05.014.002.001</t>
        </is>
      </c>
      <c r="J611" s="1785" t="inlineStr">
        <is>
          <t>Encunhamento de alvenaria de vedação com argamassa expansiva</t>
        </is>
      </c>
      <c r="K611" s="1786" t="inlineStr">
        <is>
          <t>m</t>
        </is>
      </c>
      <c r="L611" s="1787" t="e">
        <v>#REF!</v>
      </c>
      <c r="M611" s="1787" t="n">
        <v>14.7875</v>
      </c>
      <c r="N611" s="1754" t="n"/>
      <c r="O611" s="1788" t="n"/>
      <c r="P611" s="1721" t="inlineStr">
        <is>
          <t>Pendente</t>
        </is>
      </c>
    </row>
    <row r="612" hidden="1" outlineLevel="3" ht="13.5" customHeight="1">
      <c r="A612" s="2117" t="n">
        <v>0</v>
      </c>
      <c r="B612" s="2117" t="n">
        <v>5</v>
      </c>
      <c r="C612" s="2117" t="n">
        <v>14</v>
      </c>
      <c r="D612" s="2118" t="n">
        <v>2</v>
      </c>
      <c r="E612" s="2118" t="n">
        <v>2</v>
      </c>
      <c r="G612" s="1748" t="inlineStr">
        <is>
          <t>ALVENARIA</t>
        </is>
      </c>
      <c r="H612" s="1783" t="inlineStr">
        <is>
          <t>SERVIÇO</t>
        </is>
      </c>
      <c r="I612" s="1784" t="inlineStr">
        <is>
          <t>05.014.002.002</t>
        </is>
      </c>
      <c r="J612" s="1785" t="inlineStr">
        <is>
          <t>Tela soldada para ligacao alvenaria/estrutura</t>
        </is>
      </c>
      <c r="K612" s="1786" t="inlineStr">
        <is>
          <t>un</t>
        </is>
      </c>
      <c r="L612" s="1787" t="e">
        <v>#REF!</v>
      </c>
      <c r="M612" s="1787" t="n">
        <v>4.1072</v>
      </c>
      <c r="N612" s="1754" t="n"/>
      <c r="O612" s="1788" t="n"/>
      <c r="P612" s="1721" t="inlineStr">
        <is>
          <t>Pendente</t>
        </is>
      </c>
    </row>
    <row r="613" hidden="1" outlineLevel="3" ht="13.5" customHeight="1">
      <c r="A613" s="2117" t="n">
        <v>0</v>
      </c>
      <c r="B613" s="2117" t="n">
        <v>5</v>
      </c>
      <c r="C613" s="2117" t="n">
        <v>14</v>
      </c>
      <c r="D613" s="2118" t="n">
        <v>2</v>
      </c>
      <c r="E613" s="2118" t="n">
        <v>3</v>
      </c>
      <c r="G613" s="1748" t="inlineStr">
        <is>
          <t>ALVENARIA</t>
        </is>
      </c>
      <c r="H613" s="1783" t="inlineStr">
        <is>
          <t>SERVIÇO</t>
        </is>
      </c>
      <c r="I613" s="1784" t="inlineStr">
        <is>
          <t>05.014.002.003</t>
        </is>
      </c>
      <c r="J613" s="1785" t="inlineStr">
        <is>
          <t>Verga/contraverga de concreto, moldada in loco</t>
        </is>
      </c>
      <c r="K613" s="1786" t="inlineStr">
        <is>
          <t>m</t>
        </is>
      </c>
      <c r="L613" s="1787" t="e">
        <v>#REF!</v>
      </c>
      <c r="M613" s="1787" t="n">
        <v>79.40367571053952</v>
      </c>
      <c r="N613" s="1754" t="n"/>
      <c r="O613" s="1788" t="n"/>
      <c r="P613" s="1721" t="inlineStr">
        <is>
          <t>Pendente</t>
        </is>
      </c>
    </row>
    <row r="614" hidden="1" outlineLevel="2" ht="13.5" customHeight="1">
      <c r="A614" s="2117" t="n">
        <v>0</v>
      </c>
      <c r="B614" s="2117" t="n">
        <v>5</v>
      </c>
      <c r="C614" s="2117" t="n">
        <v>14</v>
      </c>
      <c r="D614" s="2118" t="n">
        <v>3</v>
      </c>
      <c r="E614" s="2118" t="n">
        <v>0</v>
      </c>
      <c r="G614" s="1740" t="n"/>
      <c r="H614" s="1777" t="inlineStr">
        <is>
          <t>SUBETAPA</t>
        </is>
      </c>
      <c r="I614" s="1778" t="inlineStr">
        <is>
          <t>05.014.003</t>
        </is>
      </c>
      <c r="J614" s="1779" t="inlineStr">
        <is>
          <t>Drywall</t>
        </is>
      </c>
      <c r="K614" s="1780" t="n"/>
      <c r="L614" s="1781" t="n"/>
      <c r="M614" s="1781" t="n"/>
      <c r="N614" s="1746" t="n"/>
      <c r="O614" s="1782" t="n"/>
      <c r="P614" s="1720" t="n"/>
    </row>
    <row r="615" hidden="1" outlineLevel="3" ht="13.5" customHeight="1">
      <c r="A615" s="2117" t="n">
        <v>0</v>
      </c>
      <c r="B615" s="2117" t="n">
        <v>5</v>
      </c>
      <c r="C615" s="2117" t="n">
        <v>14</v>
      </c>
      <c r="D615" s="2118" t="n">
        <v>3</v>
      </c>
      <c r="E615" s="2118" t="n">
        <v>1</v>
      </c>
      <c r="G615" s="1748" t="inlineStr">
        <is>
          <t>ALVENARIA</t>
        </is>
      </c>
      <c r="H615" s="1783" t="inlineStr">
        <is>
          <t>SERVIÇO</t>
        </is>
      </c>
      <c r="I615" s="1784" t="inlineStr">
        <is>
          <t>05.014.003.001</t>
        </is>
      </c>
      <c r="J615" s="1751" t="inlineStr">
        <is>
          <t>Parede Com Sistema Em Chapas De Gesso Para Drywall, Uso Interno, Montante 48mm  (48 / HS)</t>
        </is>
      </c>
      <c r="K615" s="1786" t="inlineStr">
        <is>
          <t>m2</t>
        </is>
      </c>
      <c r="L615" s="1787" t="e">
        <v>#REF!</v>
      </c>
      <c r="M615" s="1787" t="n">
        <v>95.86755699999999</v>
      </c>
      <c r="N615" s="1754" t="n"/>
      <c r="O615" s="1788" t="n"/>
      <c r="P615" s="1721" t="inlineStr">
        <is>
          <t>Pendente</t>
        </is>
      </c>
    </row>
    <row r="616" hidden="1" outlineLevel="2" ht="13.5" customHeight="1">
      <c r="A616" s="2117" t="n">
        <v>0</v>
      </c>
      <c r="B616" s="2117" t="n">
        <v>5</v>
      </c>
      <c r="C616" s="2117" t="n">
        <v>14</v>
      </c>
      <c r="D616" s="2118" t="n">
        <v>4</v>
      </c>
      <c r="E616" s="2118" t="n">
        <v>0</v>
      </c>
      <c r="G616" s="1740" t="n"/>
      <c r="H616" s="1777" t="inlineStr">
        <is>
          <t>SUBETAPA</t>
        </is>
      </c>
      <c r="I616" s="1778" t="inlineStr">
        <is>
          <t>05.014.004</t>
        </is>
      </c>
      <c r="J616" s="1779" t="inlineStr">
        <is>
          <t>Mão de obra</t>
        </is>
      </c>
      <c r="K616" s="1780" t="n"/>
      <c r="L616" s="1781" t="n"/>
      <c r="M616" s="1781" t="n"/>
      <c r="N616" s="1746" t="n"/>
      <c r="O616" s="1782" t="n"/>
      <c r="P616" s="1720" t="n"/>
    </row>
    <row r="617" hidden="1" outlineLevel="3" ht="13.5" customHeight="1">
      <c r="A617" s="2117" t="n">
        <v>0</v>
      </c>
      <c r="B617" s="2117" t="n">
        <v>5</v>
      </c>
      <c r="C617" s="2117" t="n">
        <v>14</v>
      </c>
      <c r="D617" s="2118" t="n">
        <v>4</v>
      </c>
      <c r="E617" s="2118" t="n">
        <v>1</v>
      </c>
      <c r="G617" s="1748" t="inlineStr">
        <is>
          <t>ALVENARIA</t>
        </is>
      </c>
      <c r="H617" s="1783" t="inlineStr">
        <is>
          <t>SERVIÇO</t>
        </is>
      </c>
      <c r="I617" s="1784" t="inlineStr">
        <is>
          <t>05.014.004.001</t>
        </is>
      </c>
      <c r="J617" s="1785" t="inlineStr">
        <is>
          <t>Mão de obra para assentamento de blocos cerâmicos</t>
        </is>
      </c>
      <c r="K617" s="1786" t="inlineStr">
        <is>
          <t>m2</t>
        </is>
      </c>
      <c r="L617" s="1787" t="e">
        <v>#REF!</v>
      </c>
      <c r="M617" s="1787" t="n">
        <v>47</v>
      </c>
      <c r="N617" s="1754" t="n"/>
      <c r="O617" s="1788" t="n"/>
      <c r="P617" s="1721" t="inlineStr">
        <is>
          <t>Pendente</t>
        </is>
      </c>
    </row>
    <row r="618" hidden="1" outlineLevel="3" ht="13.5" customHeight="1">
      <c r="A618" s="2117" t="n">
        <v>0</v>
      </c>
      <c r="B618" s="2117" t="n">
        <v>5</v>
      </c>
      <c r="C618" s="2117" t="n">
        <v>14</v>
      </c>
      <c r="D618" s="2118" t="n">
        <v>4</v>
      </c>
      <c r="E618" s="2118" t="n">
        <v>2</v>
      </c>
      <c r="G618" s="1748" t="inlineStr">
        <is>
          <t>ALVENARIA</t>
        </is>
      </c>
      <c r="H618" s="1783" t="inlineStr">
        <is>
          <t>SERVIÇO</t>
        </is>
      </c>
      <c r="I618" s="1784" t="inlineStr">
        <is>
          <t>05.014.004.002</t>
        </is>
      </c>
      <c r="J618" s="1751" t="inlineStr">
        <is>
          <t xml:space="preserve">Mão de obra para Sistema de vedação em drywall </t>
        </is>
      </c>
      <c r="K618" s="1786" t="inlineStr">
        <is>
          <t>m2</t>
        </is>
      </c>
      <c r="L618" s="1753" t="e">
        <v>#REF!</v>
      </c>
      <c r="M618" s="1787" t="e">
        <v>#REF!</v>
      </c>
      <c r="N618" s="1754" t="n"/>
      <c r="O618" s="1788" t="n"/>
      <c r="P618" s="1721" t="inlineStr">
        <is>
          <t>Pendente</t>
        </is>
      </c>
    </row>
    <row r="619" collapsed="1" ht="13.9" customHeight="1">
      <c r="A619" s="2117" t="n">
        <v>0</v>
      </c>
      <c r="B619" s="2117" t="n">
        <v>6</v>
      </c>
      <c r="C619" s="2117" t="n">
        <v>0</v>
      </c>
      <c r="D619" s="2118" t="n">
        <v>4</v>
      </c>
      <c r="E619" s="2118" t="n">
        <v>2</v>
      </c>
      <c r="F619" s="474" t="n"/>
      <c r="G619" s="1726" t="n"/>
      <c r="H619" s="1727" t="inlineStr">
        <is>
          <t>CÉLULA CONSTRUTIVA</t>
        </is>
      </c>
      <c r="I619" s="1728" t="inlineStr">
        <is>
          <t>06</t>
        </is>
      </c>
      <c r="J619" s="1729" t="inlineStr">
        <is>
          <t>SISTEMAS E INSTALAÇÕES ELÉTRICAS</t>
        </is>
      </c>
      <c r="K619" s="1730" t="n"/>
      <c r="L619" s="1731" t="n"/>
      <c r="M619" s="1731" t="n"/>
      <c r="N619" s="1732" t="n">
        <v>3569163.7245957</v>
      </c>
      <c r="O619" s="1770" t="n">
        <v>213.088599631856</v>
      </c>
      <c r="P619" s="1724" t="n"/>
    </row>
    <row r="620" hidden="1" outlineLevel="1" ht="13.9" customHeight="1">
      <c r="A620" s="2117" t="n">
        <v>0</v>
      </c>
      <c r="B620" s="2117" t="n">
        <v>6</v>
      </c>
      <c r="C620" s="2117" t="n">
        <v>1</v>
      </c>
      <c r="D620" s="2118" t="n">
        <v>0</v>
      </c>
      <c r="E620" s="2118" t="n">
        <v>2</v>
      </c>
      <c r="G620" s="1733" t="n"/>
      <c r="H620" s="1734" t="inlineStr">
        <is>
          <t>ETAPA</t>
        </is>
      </c>
      <c r="I620" s="1735" t="inlineStr">
        <is>
          <t>06.001</t>
        </is>
      </c>
      <c r="J620" s="1736" t="inlineStr">
        <is>
          <t>SISTEMAS E INSTALAÇÕES ELÉTRICAS - Térreo</t>
        </is>
      </c>
      <c r="K620" s="1737" t="n"/>
      <c r="L620" s="1738" t="n"/>
      <c r="M620" s="1738" t="n"/>
      <c r="N620" s="1739" t="n">
        <v>1732378.97939512</v>
      </c>
      <c r="O620" s="1722" t="n"/>
      <c r="P620" s="1725" t="n"/>
    </row>
    <row r="621" hidden="1" outlineLevel="2" ht="13.9" customHeight="1">
      <c r="A621" s="2117" t="n">
        <v>0</v>
      </c>
      <c r="B621" s="2117" t="n">
        <v>6</v>
      </c>
      <c r="C621" s="2117" t="n">
        <v>1</v>
      </c>
      <c r="D621" s="2118" t="n">
        <v>1</v>
      </c>
      <c r="E621" s="2118" t="n">
        <v>0</v>
      </c>
      <c r="G621" s="1740" t="n"/>
      <c r="H621" s="1741" t="inlineStr">
        <is>
          <t>SUBETAPA</t>
        </is>
      </c>
      <c r="I621" s="1742" t="inlineStr">
        <is>
          <t>06.001.001</t>
        </is>
      </c>
      <c r="J621" s="1743" t="inlineStr">
        <is>
          <t>Entrada de energia</t>
        </is>
      </c>
      <c r="K621" s="1744" t="n"/>
      <c r="L621" s="1745" t="n"/>
      <c r="M621" s="1745" t="n"/>
      <c r="N621" s="1746" t="n">
        <v>443271.6488</v>
      </c>
      <c r="O621" s="1747" t="n"/>
      <c r="P621" s="1720" t="n"/>
    </row>
    <row r="622" hidden="1" outlineLevel="3" ht="13.9" customHeight="1">
      <c r="A622" s="2117" t="n">
        <v>0</v>
      </c>
      <c r="B622" s="2117" t="n">
        <v>6</v>
      </c>
      <c r="C622" s="2117" t="n">
        <v>1</v>
      </c>
      <c r="D622" s="2118" t="n">
        <v>1</v>
      </c>
      <c r="E622" s="2118" t="n">
        <v>1</v>
      </c>
      <c r="G622" s="1790" t="inlineStr">
        <is>
          <t>SISTEMAS E INSTALAÇÕES ELÉTRICAS</t>
        </is>
      </c>
      <c r="H622" s="1749" t="inlineStr">
        <is>
          <t>SERVIÇO</t>
        </is>
      </c>
      <c r="I622" s="1750" t="inlineStr">
        <is>
          <t>06.001.001.001</t>
        </is>
      </c>
      <c r="J622" s="1751" t="inlineStr">
        <is>
          <t>Entrada de energia</t>
        </is>
      </c>
      <c r="K622" s="1752" t="inlineStr">
        <is>
          <t>vb</t>
        </is>
      </c>
      <c r="L622" s="1753" t="n">
        <v>1</v>
      </c>
      <c r="M622" s="1753" t="n">
        <v>443271.6488</v>
      </c>
      <c r="N622" s="1754" t="n">
        <v>443271.6488</v>
      </c>
      <c r="O622" s="1755" t="inlineStr">
        <is>
          <t>quantidades conforme quantidades do projetista</t>
        </is>
      </c>
      <c r="P622" s="1721" t="inlineStr">
        <is>
          <t>Pendente</t>
        </is>
      </c>
    </row>
    <row r="623" hidden="1" outlineLevel="2" ht="13.9" customHeight="1">
      <c r="A623" s="2117" t="n">
        <v>0</v>
      </c>
      <c r="B623" s="2117" t="n">
        <v>6</v>
      </c>
      <c r="C623" s="2117" t="n">
        <v>1</v>
      </c>
      <c r="D623" s="2118" t="n">
        <v>2</v>
      </c>
      <c r="E623" s="2118" t="n">
        <v>0</v>
      </c>
      <c r="G623" s="1740" t="n"/>
      <c r="H623" s="1741" t="inlineStr">
        <is>
          <t>SUBETAPA</t>
        </is>
      </c>
      <c r="I623" s="1742" t="inlineStr">
        <is>
          <t>06.001.002</t>
        </is>
      </c>
      <c r="J623" s="1743" t="inlineStr">
        <is>
          <t>Subestação de Energia</t>
        </is>
      </c>
      <c r="K623" s="1744" t="n"/>
      <c r="L623" s="1745" t="n"/>
      <c r="M623" s="1745" t="n"/>
      <c r="N623" s="1746" t="n">
        <v>641526.71</v>
      </c>
      <c r="O623" s="1747" t="n"/>
      <c r="P623" s="1720" t="n"/>
    </row>
    <row r="624" hidden="1" outlineLevel="3" ht="13.9" customHeight="1">
      <c r="A624" s="2117" t="n">
        <v>0</v>
      </c>
      <c r="B624" s="2117" t="n">
        <v>6</v>
      </c>
      <c r="C624" s="2117" t="n">
        <v>1</v>
      </c>
      <c r="D624" s="2118" t="n">
        <v>2</v>
      </c>
      <c r="E624" s="2118" t="n">
        <v>1</v>
      </c>
      <c r="G624" s="1790" t="inlineStr">
        <is>
          <t>SISTEMAS E INSTALAÇÕES ELÉTRICAS</t>
        </is>
      </c>
      <c r="H624" s="1749" t="inlineStr">
        <is>
          <t>SERVIÇO</t>
        </is>
      </c>
      <c r="I624" s="1750" t="inlineStr">
        <is>
          <t>06.001.002.001</t>
        </is>
      </c>
      <c r="J624" s="1751" t="inlineStr">
        <is>
          <t>Subestação de Energia</t>
        </is>
      </c>
      <c r="K624" s="1752" t="inlineStr">
        <is>
          <t>vb</t>
        </is>
      </c>
      <c r="L624" s="1753" t="n">
        <v>1</v>
      </c>
      <c r="M624" s="1753" t="n">
        <v>641526.71</v>
      </c>
      <c r="N624" s="1754" t="n">
        <v>641526.71</v>
      </c>
      <c r="O624" s="1755" t="inlineStr">
        <is>
          <t>quantidades conforme quantidades do projetista</t>
        </is>
      </c>
      <c r="P624" s="1721" t="inlineStr">
        <is>
          <t>Pendente</t>
        </is>
      </c>
    </row>
    <row r="625" hidden="1" outlineLevel="2" ht="13.9" customHeight="1">
      <c r="A625" s="2117" t="n">
        <v>0</v>
      </c>
      <c r="B625" s="2117" t="n">
        <v>6</v>
      </c>
      <c r="C625" s="2117" t="n">
        <v>1</v>
      </c>
      <c r="D625" s="2118" t="n">
        <v>3</v>
      </c>
      <c r="E625" s="2118" t="n">
        <v>0</v>
      </c>
      <c r="G625" s="1740" t="n"/>
      <c r="H625" s="1741" t="inlineStr">
        <is>
          <t>SUBETAPA</t>
        </is>
      </c>
      <c r="I625" s="1742" t="inlineStr">
        <is>
          <t>06.001.003</t>
        </is>
      </c>
      <c r="J625" s="1743" t="inlineStr">
        <is>
          <t>Grupo gerador</t>
        </is>
      </c>
      <c r="K625" s="1744" t="n"/>
      <c r="L625" s="1745" t="n"/>
      <c r="M625" s="1745" t="n"/>
      <c r="N625" s="1746" t="n">
        <v>249995</v>
      </c>
      <c r="O625" s="1747" t="n"/>
      <c r="P625" s="1720" t="n"/>
    </row>
    <row r="626" hidden="1" outlineLevel="3" ht="13.9" customHeight="1">
      <c r="A626" s="2117" t="n">
        <v>0</v>
      </c>
      <c r="B626" s="2117" t="n">
        <v>6</v>
      </c>
      <c r="C626" s="2117" t="n">
        <v>1</v>
      </c>
      <c r="D626" s="2118" t="n">
        <v>3</v>
      </c>
      <c r="E626" s="2118" t="n">
        <v>1</v>
      </c>
      <c r="G626" s="1790" t="inlineStr">
        <is>
          <t>SISTEMAS E INSTALAÇÕES ELÉTRICAS</t>
        </is>
      </c>
      <c r="H626" s="1749" t="inlineStr">
        <is>
          <t>SERVIÇO</t>
        </is>
      </c>
      <c r="I626" s="1750" t="inlineStr">
        <is>
          <t>06.001.003.001</t>
        </is>
      </c>
      <c r="J626" s="1751" t="inlineStr">
        <is>
          <t>Grupo gerador</t>
        </is>
      </c>
      <c r="K626" s="1752" t="inlineStr">
        <is>
          <t>vb</t>
        </is>
      </c>
      <c r="L626" s="1753" t="n">
        <v>1</v>
      </c>
      <c r="M626" s="1753" t="n">
        <v>249995</v>
      </c>
      <c r="N626" s="1754" t="n">
        <v>249995</v>
      </c>
      <c r="O626" s="1755" t="inlineStr">
        <is>
          <t>quantidades conforme quantidades do projetista</t>
        </is>
      </c>
      <c r="P626" s="1721" t="inlineStr">
        <is>
          <t>Pendente</t>
        </is>
      </c>
    </row>
    <row r="627" hidden="1" outlineLevel="2" ht="13.9" customHeight="1">
      <c r="A627" s="2117" t="n">
        <v>0</v>
      </c>
      <c r="B627" s="2117" t="n">
        <v>6</v>
      </c>
      <c r="C627" s="2117" t="n">
        <v>1</v>
      </c>
      <c r="D627" s="2118" t="n">
        <v>4</v>
      </c>
      <c r="E627" s="2118" t="n">
        <v>0</v>
      </c>
      <c r="G627" s="1740" t="n"/>
      <c r="H627" s="1741" t="inlineStr">
        <is>
          <t>SUBETAPA</t>
        </is>
      </c>
      <c r="I627" s="1742" t="inlineStr">
        <is>
          <t>06.001.004</t>
        </is>
      </c>
      <c r="J627" s="1743" t="inlineStr">
        <is>
          <t>Quadros elétricos e disjuntores</t>
        </is>
      </c>
      <c r="K627" s="1744" t="n"/>
      <c r="L627" s="1745" t="n"/>
      <c r="M627" s="1745" t="n"/>
      <c r="N627" s="1746" t="n">
        <v>6551.71</v>
      </c>
      <c r="O627" s="1747" t="n"/>
      <c r="P627" s="1720" t="n"/>
    </row>
    <row r="628" hidden="1" outlineLevel="3" ht="13.9" customHeight="1">
      <c r="A628" s="2117" t="n">
        <v>0</v>
      </c>
      <c r="B628" s="2117" t="n">
        <v>6</v>
      </c>
      <c r="C628" s="2117" t="n">
        <v>1</v>
      </c>
      <c r="D628" s="2118" t="n">
        <v>4</v>
      </c>
      <c r="E628" s="2118" t="n">
        <v>1</v>
      </c>
      <c r="G628" s="1790" t="inlineStr">
        <is>
          <t>SISTEMAS E INSTALAÇÕES ELÉTRICAS</t>
        </is>
      </c>
      <c r="H628" s="1749" t="inlineStr">
        <is>
          <t>SERVIÇO</t>
        </is>
      </c>
      <c r="I628" s="1750" t="inlineStr">
        <is>
          <t>06.001.004.001</t>
        </is>
      </c>
      <c r="J628" s="1751" t="inlineStr">
        <is>
          <t>Quadros elétricos e disjuntores</t>
        </is>
      </c>
      <c r="K628" s="1752" t="inlineStr">
        <is>
          <t>vb</t>
        </is>
      </c>
      <c r="L628" s="1753" t="n">
        <v>1</v>
      </c>
      <c r="M628" s="1753" t="n">
        <v>6551.71</v>
      </c>
      <c r="N628" s="1754" t="n">
        <v>6551.71</v>
      </c>
      <c r="O628" s="1755" t="inlineStr">
        <is>
          <t>quantidades conforme quantidades do projetista</t>
        </is>
      </c>
      <c r="P628" s="1721" t="inlineStr">
        <is>
          <t>Pendente</t>
        </is>
      </c>
    </row>
    <row r="629" hidden="1" outlineLevel="2" ht="13.9" customHeight="1">
      <c r="A629" s="2117" t="n">
        <v>0</v>
      </c>
      <c r="B629" s="2117" t="n">
        <v>6</v>
      </c>
      <c r="C629" s="2117" t="n">
        <v>1</v>
      </c>
      <c r="D629" s="2118" t="n">
        <v>5</v>
      </c>
      <c r="E629" s="2118" t="n">
        <v>0</v>
      </c>
      <c r="G629" s="1740" t="n"/>
      <c r="H629" s="1741" t="inlineStr">
        <is>
          <t>SUBETAPA</t>
        </is>
      </c>
      <c r="I629" s="1742" t="inlineStr">
        <is>
          <t>06.001.005</t>
        </is>
      </c>
      <c r="J629" s="1743" t="inlineStr">
        <is>
          <t>Eletrodutos e eletrocalhas</t>
        </is>
      </c>
      <c r="K629" s="1744" t="n"/>
      <c r="L629" s="1745" t="n"/>
      <c r="M629" s="1745" t="n"/>
      <c r="N629" s="1746" t="n">
        <v>2334.05</v>
      </c>
      <c r="O629" s="1747" t="n"/>
      <c r="P629" s="1720" t="n"/>
    </row>
    <row r="630" hidden="1" outlineLevel="3" ht="13.9" customHeight="1">
      <c r="A630" s="2117" t="n">
        <v>0</v>
      </c>
      <c r="B630" s="2117" t="n">
        <v>6</v>
      </c>
      <c r="C630" s="2117" t="n">
        <v>1</v>
      </c>
      <c r="D630" s="2118" t="n">
        <v>5</v>
      </c>
      <c r="E630" s="2118" t="n">
        <v>1</v>
      </c>
      <c r="G630" s="1790" t="inlineStr">
        <is>
          <t>SISTEMAS E INSTALAÇÕES ELÉTRICAS</t>
        </is>
      </c>
      <c r="H630" s="1749" t="inlineStr">
        <is>
          <t>SERVIÇO</t>
        </is>
      </c>
      <c r="I630" s="1750" t="inlineStr">
        <is>
          <t>06.001.005.001</t>
        </is>
      </c>
      <c r="J630" s="1751" t="inlineStr">
        <is>
          <t>Eletrodutos e eletrocalhas</t>
        </is>
      </c>
      <c r="K630" s="1752" t="inlineStr">
        <is>
          <t>vb</t>
        </is>
      </c>
      <c r="L630" s="1753" t="n">
        <v>1</v>
      </c>
      <c r="M630" s="1753" t="n">
        <v>2334.05</v>
      </c>
      <c r="N630" s="1754" t="n">
        <v>2334.05</v>
      </c>
      <c r="O630" s="1755" t="inlineStr">
        <is>
          <t>quantidades conforme quantidades do projetista</t>
        </is>
      </c>
      <c r="P630" s="1721" t="inlineStr">
        <is>
          <t>Pendente</t>
        </is>
      </c>
    </row>
    <row r="631" hidden="1" outlineLevel="2" ht="13.9" customHeight="1">
      <c r="A631" s="2117" t="n">
        <v>0</v>
      </c>
      <c r="B631" s="2117" t="n">
        <v>6</v>
      </c>
      <c r="C631" s="2117" t="n">
        <v>1</v>
      </c>
      <c r="D631" s="2118" t="n">
        <v>6</v>
      </c>
      <c r="E631" s="2118" t="n">
        <v>0</v>
      </c>
      <c r="G631" s="1740" t="n"/>
      <c r="H631" s="1741" t="inlineStr">
        <is>
          <t>SUBETAPA</t>
        </is>
      </c>
      <c r="I631" s="1742" t="inlineStr">
        <is>
          <t>06.001.006</t>
        </is>
      </c>
      <c r="J631" s="1743" t="inlineStr">
        <is>
          <t>Fios e cabos elétricos</t>
        </is>
      </c>
      <c r="K631" s="1744" t="n"/>
      <c r="L631" s="1745" t="n"/>
      <c r="M631" s="1745" t="n"/>
      <c r="N631" s="1746" t="n">
        <v>247400.663</v>
      </c>
      <c r="O631" s="1747" t="n"/>
      <c r="P631" s="1720" t="n"/>
    </row>
    <row r="632" hidden="1" outlineLevel="3" ht="13.9" customHeight="1">
      <c r="A632" s="2117" t="n">
        <v>0</v>
      </c>
      <c r="B632" s="2117" t="n">
        <v>6</v>
      </c>
      <c r="C632" s="2117" t="n">
        <v>1</v>
      </c>
      <c r="D632" s="2118" t="n">
        <v>6</v>
      </c>
      <c r="E632" s="2118" t="n">
        <v>1</v>
      </c>
      <c r="G632" s="1790" t="inlineStr">
        <is>
          <t>SISTEMAS E INSTALAÇÕES ELÉTRICAS</t>
        </is>
      </c>
      <c r="H632" s="1749" t="inlineStr">
        <is>
          <t>SERVIÇO</t>
        </is>
      </c>
      <c r="I632" s="1750" t="inlineStr">
        <is>
          <t>06.001.006.001</t>
        </is>
      </c>
      <c r="J632" s="1751" t="inlineStr">
        <is>
          <t>Fios e cabos elétricos</t>
        </is>
      </c>
      <c r="K632" s="1752" t="inlineStr">
        <is>
          <t>vb</t>
        </is>
      </c>
      <c r="L632" s="1753" t="n">
        <v>1</v>
      </c>
      <c r="M632" s="1753" t="n">
        <v>247400.663</v>
      </c>
      <c r="N632" s="1754" t="n">
        <v>247400.663</v>
      </c>
      <c r="O632" s="1755" t="inlineStr">
        <is>
          <t>quantidades conforme quantidades do projetista</t>
        </is>
      </c>
      <c r="P632" s="1721" t="inlineStr">
        <is>
          <t>Pendente</t>
        </is>
      </c>
    </row>
    <row r="633" hidden="1" outlineLevel="2" ht="13.9" customHeight="1">
      <c r="A633" s="2117" t="n">
        <v>0</v>
      </c>
      <c r="B633" s="2117" t="n">
        <v>6</v>
      </c>
      <c r="C633" s="2117" t="n">
        <v>1</v>
      </c>
      <c r="D633" s="2118" t="n">
        <v>7</v>
      </c>
      <c r="E633" s="2118" t="n">
        <v>0</v>
      </c>
      <c r="G633" s="1740" t="n"/>
      <c r="H633" s="1741" t="inlineStr">
        <is>
          <t>SUBETAPA</t>
        </is>
      </c>
      <c r="I633" s="1742" t="inlineStr">
        <is>
          <t>06.001.007</t>
        </is>
      </c>
      <c r="J633" s="1743" t="inlineStr">
        <is>
          <t>Pontos de tomadas e interruptores</t>
        </is>
      </c>
      <c r="K633" s="1744" t="n"/>
      <c r="L633" s="1745" t="n"/>
      <c r="M633" s="1745" t="n"/>
      <c r="N633" s="1746" t="n">
        <v>3653.25</v>
      </c>
      <c r="O633" s="1747" t="n"/>
      <c r="P633" s="1720" t="n"/>
    </row>
    <row r="634" hidden="1" outlineLevel="3" ht="13.9" customHeight="1">
      <c r="A634" s="2117" t="n">
        <v>0</v>
      </c>
      <c r="B634" s="2117" t="n">
        <v>6</v>
      </c>
      <c r="C634" s="2117" t="n">
        <v>1</v>
      </c>
      <c r="D634" s="2118" t="n">
        <v>7</v>
      </c>
      <c r="E634" s="2118" t="n">
        <v>1</v>
      </c>
      <c r="G634" s="1790" t="inlineStr">
        <is>
          <t>SISTEMAS E INSTALAÇÕES ELÉTRICAS</t>
        </is>
      </c>
      <c r="H634" s="1749" t="inlineStr">
        <is>
          <t>SERVIÇO</t>
        </is>
      </c>
      <c r="I634" s="1750" t="inlineStr">
        <is>
          <t>06.001.007.001</t>
        </is>
      </c>
      <c r="J634" s="1751" t="inlineStr">
        <is>
          <t>Pontos de tomadas e interruptores</t>
        </is>
      </c>
      <c r="K634" s="1752" t="inlineStr">
        <is>
          <t>vb</t>
        </is>
      </c>
      <c r="L634" s="1753" t="n">
        <v>1</v>
      </c>
      <c r="M634" s="1753" t="n">
        <v>3653.25</v>
      </c>
      <c r="N634" s="1754" t="n">
        <v>3653.25</v>
      </c>
      <c r="O634" s="1755" t="inlineStr">
        <is>
          <t>quantidades conforme quantidades do projetista</t>
        </is>
      </c>
      <c r="P634" s="1721" t="inlineStr">
        <is>
          <t>Pendente</t>
        </is>
      </c>
    </row>
    <row r="635" hidden="1" outlineLevel="2" ht="13.9" customHeight="1">
      <c r="A635" s="2117" t="n">
        <v>0</v>
      </c>
      <c r="B635" s="2117" t="n">
        <v>6</v>
      </c>
      <c r="C635" s="2117" t="n">
        <v>1</v>
      </c>
      <c r="D635" s="2118" t="n">
        <v>8</v>
      </c>
      <c r="E635" s="2118" t="n">
        <v>0</v>
      </c>
      <c r="G635" s="1740" t="n"/>
      <c r="H635" s="1741" t="inlineStr">
        <is>
          <t>SUBETAPA</t>
        </is>
      </c>
      <c r="I635" s="1742" t="inlineStr">
        <is>
          <t>06.001.008</t>
        </is>
      </c>
      <c r="J635" s="1743" t="inlineStr">
        <is>
          <t xml:space="preserve">Luminárias, lâmpadas e acessórios </t>
        </is>
      </c>
      <c r="K635" s="1744" t="n"/>
      <c r="L635" s="1745" t="n"/>
      <c r="M635" s="1745" t="n"/>
      <c r="N635" s="1746" t="n">
        <v>8750.98759512098</v>
      </c>
      <c r="O635" s="1747" t="n"/>
      <c r="P635" s="1720" t="n"/>
    </row>
    <row r="636" hidden="1" outlineLevel="3" ht="13.9" customHeight="1">
      <c r="A636" s="2117" t="n">
        <v>0</v>
      </c>
      <c r="B636" s="2117" t="n">
        <v>6</v>
      </c>
      <c r="C636" s="2117" t="n">
        <v>1</v>
      </c>
      <c r="D636" s="2118" t="n">
        <v>8</v>
      </c>
      <c r="E636" s="2118" t="n">
        <v>1</v>
      </c>
      <c r="G636" s="1790" t="inlineStr">
        <is>
          <t>SISTEMAS E INSTALAÇÕES ELÉTRICAS</t>
        </is>
      </c>
      <c r="H636" s="1749" t="inlineStr">
        <is>
          <t>SERVIÇO</t>
        </is>
      </c>
      <c r="I636" s="1750" t="inlineStr">
        <is>
          <t>06.001.008.001</t>
        </is>
      </c>
      <c r="J636" s="1751" t="inlineStr">
        <is>
          <t xml:space="preserve">Luminárias, lâmpadas e acessórios </t>
        </is>
      </c>
      <c r="K636" s="1752" t="inlineStr">
        <is>
          <t>vb</t>
        </is>
      </c>
      <c r="L636" s="1753" t="n">
        <v>1</v>
      </c>
      <c r="M636" s="1753" t="n">
        <v>8750.987595120978</v>
      </c>
      <c r="N636" s="1754" t="n">
        <v>8750.98759512098</v>
      </c>
      <c r="O636" s="1755" t="inlineStr">
        <is>
          <t>quantidades ESTIMADA, devido a ausência de quantitativos</t>
        </is>
      </c>
      <c r="P636" s="1721" t="inlineStr">
        <is>
          <t>Pendente</t>
        </is>
      </c>
    </row>
    <row r="637" hidden="1" outlineLevel="2" ht="13.9" customHeight="1">
      <c r="A637" s="2117" t="n">
        <v>0</v>
      </c>
      <c r="B637" s="2117" t="n">
        <v>6</v>
      </c>
      <c r="C637" s="2117" t="n">
        <v>1</v>
      </c>
      <c r="D637" s="2118" t="n">
        <v>9</v>
      </c>
      <c r="E637" s="2118" t="n">
        <v>0</v>
      </c>
      <c r="G637" s="1740" t="n"/>
      <c r="H637" s="1741" t="inlineStr">
        <is>
          <t>SUBETAPA</t>
        </is>
      </c>
      <c r="I637" s="1742" t="inlineStr">
        <is>
          <t>06.001.009</t>
        </is>
      </c>
      <c r="J637" s="1743" t="inlineStr">
        <is>
          <t>Mão de obra - Sistemas e instalações elétricas</t>
        </is>
      </c>
      <c r="K637" s="1744" t="n"/>
      <c r="L637" s="1745" t="n"/>
      <c r="M637" s="1745" t="n"/>
      <c r="N637" s="1746" t="n">
        <v>128894.96</v>
      </c>
      <c r="O637" s="1747" t="n"/>
      <c r="P637" s="1720" t="n"/>
    </row>
    <row r="638" hidden="1" outlineLevel="3" ht="13.9" customHeight="1">
      <c r="A638" s="2117" t="n">
        <v>0</v>
      </c>
      <c r="B638" s="2117" t="n">
        <v>6</v>
      </c>
      <c r="C638" s="2117" t="n">
        <v>1</v>
      </c>
      <c r="D638" s="2118" t="n">
        <v>9</v>
      </c>
      <c r="E638" s="2118" t="n">
        <v>1</v>
      </c>
      <c r="G638" s="1790" t="inlineStr">
        <is>
          <t>SISTEMAS E INSTALAÇÕES ELÉTRICAS</t>
        </is>
      </c>
      <c r="H638" s="1749" t="inlineStr">
        <is>
          <t>SERVIÇO</t>
        </is>
      </c>
      <c r="I638" s="1750" t="inlineStr">
        <is>
          <t>06.001.009.001</t>
        </is>
      </c>
      <c r="J638" s="1751" t="inlineStr">
        <is>
          <t>Mão de obra para instalações elétricas</t>
        </is>
      </c>
      <c r="K638" s="1752" t="inlineStr">
        <is>
          <t>vb</t>
        </is>
      </c>
      <c r="L638" s="1753" t="n">
        <v>1</v>
      </c>
      <c r="M638" s="1753" t="n">
        <v>128894.96</v>
      </c>
      <c r="N638" s="1754" t="n">
        <v>128894.96</v>
      </c>
      <c r="O638" s="1755" t="inlineStr">
        <is>
          <t>Considerado conforme os contratos disponibilizados pelo GESSELE</t>
        </is>
      </c>
      <c r="P638" s="1721" t="inlineStr">
        <is>
          <t>Pendente</t>
        </is>
      </c>
    </row>
    <row r="639" hidden="1" outlineLevel="1" ht="13.9" customHeight="1">
      <c r="A639" s="2117" t="n">
        <v>0</v>
      </c>
      <c r="B639" s="2117" t="n">
        <v>6</v>
      </c>
      <c r="C639" s="2117" t="n">
        <v>2</v>
      </c>
      <c r="D639" s="2118" t="n">
        <v>0</v>
      </c>
      <c r="E639" s="2118" t="n">
        <v>1</v>
      </c>
      <c r="G639" s="1733" t="n"/>
      <c r="H639" s="1734" t="inlineStr">
        <is>
          <t>ETAPA</t>
        </is>
      </c>
      <c r="I639" s="1735" t="inlineStr">
        <is>
          <t>06.002</t>
        </is>
      </c>
      <c r="J639" s="1736" t="inlineStr">
        <is>
          <t>SISTEMAS E INSTALAÇÕES ELÉTRICAS - Mezanino G1</t>
        </is>
      </c>
      <c r="K639" s="1737" t="n"/>
      <c r="L639" s="1738" t="n"/>
      <c r="M639" s="1738" t="n"/>
      <c r="N639" s="1739" t="n">
        <v>72484.843776863</v>
      </c>
      <c r="O639" s="1722" t="n"/>
      <c r="P639" s="1725" t="n"/>
    </row>
    <row r="640" hidden="1" outlineLevel="2" ht="13.9" customHeight="1">
      <c r="A640" s="2117" t="n">
        <v>0</v>
      </c>
      <c r="B640" s="2117" t="n">
        <v>6</v>
      </c>
      <c r="C640" s="2117" t="n">
        <v>2</v>
      </c>
      <c r="D640" s="2118" t="n">
        <v>1</v>
      </c>
      <c r="E640" s="2118" t="n">
        <v>0</v>
      </c>
      <c r="G640" s="1740" t="n"/>
      <c r="H640" s="1741" t="inlineStr">
        <is>
          <t>SUBETAPA</t>
        </is>
      </c>
      <c r="I640" s="1742" t="inlineStr">
        <is>
          <t>06.002.001</t>
        </is>
      </c>
      <c r="J640" s="1743" t="inlineStr">
        <is>
          <t>Quadros elétricos e disjuntores</t>
        </is>
      </c>
      <c r="K640" s="1744" t="n"/>
      <c r="L640" s="1745" t="n"/>
      <c r="M640" s="1745" t="n"/>
      <c r="N640" s="1746" t="n">
        <v>973.3200000000001</v>
      </c>
      <c r="O640" s="1747" t="n"/>
      <c r="P640" s="1720" t="n"/>
    </row>
    <row r="641" hidden="1" outlineLevel="3" ht="13.9" customHeight="1">
      <c r="A641" s="2117" t="n">
        <v>0</v>
      </c>
      <c r="B641" s="2117" t="n">
        <v>6</v>
      </c>
      <c r="C641" s="2117" t="n">
        <v>2</v>
      </c>
      <c r="D641" s="2118" t="n">
        <v>1</v>
      </c>
      <c r="E641" s="2118" t="n">
        <v>1</v>
      </c>
      <c r="G641" s="1790" t="inlineStr">
        <is>
          <t>SISTEMAS E INSTALAÇÕES ELÉTRICAS</t>
        </is>
      </c>
      <c r="H641" s="1749" t="inlineStr">
        <is>
          <t>SERVIÇO</t>
        </is>
      </c>
      <c r="I641" s="1750" t="inlineStr">
        <is>
          <t>06.002.001.001</t>
        </is>
      </c>
      <c r="J641" s="1751" t="inlineStr">
        <is>
          <t>Quadros elétricos e disjuntores</t>
        </is>
      </c>
      <c r="K641" s="1752" t="inlineStr">
        <is>
          <t>vb</t>
        </is>
      </c>
      <c r="L641" s="1753" t="n">
        <v>1</v>
      </c>
      <c r="M641" s="1753" t="n">
        <v>973.3199999999999</v>
      </c>
      <c r="N641" s="1754" t="n">
        <v>973.3200000000001</v>
      </c>
      <c r="O641" s="1755" t="inlineStr">
        <is>
          <t>quantidades conforme quantidades do projetista</t>
        </is>
      </c>
      <c r="P641" s="1721" t="inlineStr">
        <is>
          <t>Pendente</t>
        </is>
      </c>
    </row>
    <row r="642" hidden="1" outlineLevel="2" ht="13.9" customHeight="1">
      <c r="A642" s="2117" t="n">
        <v>0</v>
      </c>
      <c r="B642" s="2117" t="n">
        <v>6</v>
      </c>
      <c r="C642" s="2117" t="n">
        <v>2</v>
      </c>
      <c r="D642" s="2118" t="n">
        <v>2</v>
      </c>
      <c r="E642" s="2118" t="n">
        <v>0</v>
      </c>
      <c r="G642" s="1740" t="n"/>
      <c r="H642" s="1741" t="inlineStr">
        <is>
          <t>SUBETAPA</t>
        </is>
      </c>
      <c r="I642" s="1742" t="inlineStr">
        <is>
          <t>06.002.002</t>
        </is>
      </c>
      <c r="J642" s="1743" t="inlineStr">
        <is>
          <t>Eletrodutos e eletrocalhas</t>
        </is>
      </c>
      <c r="K642" s="1744" t="n"/>
      <c r="L642" s="1745" t="n"/>
      <c r="M642" s="1745" t="n"/>
      <c r="N642" s="1746" t="n">
        <v>2608.45</v>
      </c>
      <c r="O642" s="1747" t="n"/>
      <c r="P642" s="1720" t="n"/>
    </row>
    <row r="643" hidden="1" outlineLevel="3" ht="13.9" customHeight="1">
      <c r="A643" s="2117" t="n">
        <v>0</v>
      </c>
      <c r="B643" s="2117" t="n">
        <v>6</v>
      </c>
      <c r="C643" s="2117" t="n">
        <v>2</v>
      </c>
      <c r="D643" s="2118" t="n">
        <v>2</v>
      </c>
      <c r="E643" s="2118" t="n">
        <v>1</v>
      </c>
      <c r="G643" s="1790" t="inlineStr">
        <is>
          <t>SISTEMAS E INSTALAÇÕES ELÉTRICAS</t>
        </is>
      </c>
      <c r="H643" s="1749" t="inlineStr">
        <is>
          <t>SERVIÇO</t>
        </is>
      </c>
      <c r="I643" s="1750" t="inlineStr">
        <is>
          <t>06.002.002.001</t>
        </is>
      </c>
      <c r="J643" s="1751" t="inlineStr">
        <is>
          <t>Eletrodutos e eletrocalhas</t>
        </is>
      </c>
      <c r="K643" s="1752" t="inlineStr">
        <is>
          <t>vb</t>
        </is>
      </c>
      <c r="L643" s="1753" t="n">
        <v>1</v>
      </c>
      <c r="M643" s="1753" t="n">
        <v>2608.45</v>
      </c>
      <c r="N643" s="1754" t="n">
        <v>2608.45</v>
      </c>
      <c r="O643" s="1755" t="inlineStr">
        <is>
          <t>quantidades conforme quantidades do projetista</t>
        </is>
      </c>
      <c r="P643" s="1721" t="inlineStr">
        <is>
          <t>Pendente</t>
        </is>
      </c>
    </row>
    <row r="644" hidden="1" outlineLevel="2" ht="13.9" customHeight="1">
      <c r="A644" s="2117" t="n">
        <v>0</v>
      </c>
      <c r="B644" s="2117" t="n">
        <v>6</v>
      </c>
      <c r="C644" s="2117" t="n">
        <v>2</v>
      </c>
      <c r="D644" s="2118" t="n">
        <v>3</v>
      </c>
      <c r="E644" s="2118" t="n">
        <v>0</v>
      </c>
      <c r="G644" s="1740" t="n"/>
      <c r="H644" s="1741" t="inlineStr">
        <is>
          <t>SUBETAPA</t>
        </is>
      </c>
      <c r="I644" s="1742" t="inlineStr">
        <is>
          <t>06.002.003</t>
        </is>
      </c>
      <c r="J644" s="1743" t="inlineStr">
        <is>
          <t>Fios e cabos elétricos</t>
        </is>
      </c>
      <c r="K644" s="1744" t="n"/>
      <c r="L644" s="1745" t="n"/>
      <c r="M644" s="1745" t="n"/>
      <c r="N644" s="1746" t="n">
        <v>7968.779</v>
      </c>
      <c r="O644" s="1747" t="n"/>
      <c r="P644" s="1720" t="n"/>
    </row>
    <row r="645" hidden="1" outlineLevel="3" ht="13.9" customHeight="1">
      <c r="A645" s="2117" t="n">
        <v>0</v>
      </c>
      <c r="B645" s="2117" t="n">
        <v>6</v>
      </c>
      <c r="C645" s="2117" t="n">
        <v>2</v>
      </c>
      <c r="D645" s="2118" t="n">
        <v>3</v>
      </c>
      <c r="E645" s="2118" t="n">
        <v>1</v>
      </c>
      <c r="G645" s="1790" t="inlineStr">
        <is>
          <t>SISTEMAS E INSTALAÇÕES ELÉTRICAS</t>
        </is>
      </c>
      <c r="H645" s="1749" t="inlineStr">
        <is>
          <t>SERVIÇO</t>
        </is>
      </c>
      <c r="I645" s="1750" t="inlineStr">
        <is>
          <t>06.002.003.001</t>
        </is>
      </c>
      <c r="J645" s="1751" t="inlineStr">
        <is>
          <t>Fios e cabos elétricos</t>
        </is>
      </c>
      <c r="K645" s="1752" t="inlineStr">
        <is>
          <t>vb</t>
        </is>
      </c>
      <c r="L645" s="1753" t="n">
        <v>1</v>
      </c>
      <c r="M645" s="1753" t="n">
        <v>7968.778999999999</v>
      </c>
      <c r="N645" s="1754" t="n">
        <v>7968.779</v>
      </c>
      <c r="O645" s="1755" t="inlineStr">
        <is>
          <t>quantidades conforme quantidades do projetista</t>
        </is>
      </c>
      <c r="P645" s="1721" t="inlineStr">
        <is>
          <t>Pendente</t>
        </is>
      </c>
    </row>
    <row r="646" hidden="1" outlineLevel="2" ht="13.9" customHeight="1">
      <c r="A646" s="2117" t="n">
        <v>0</v>
      </c>
      <c r="B646" s="2117" t="n">
        <v>6</v>
      </c>
      <c r="C646" s="2117" t="n">
        <v>2</v>
      </c>
      <c r="D646" s="2118" t="n">
        <v>4</v>
      </c>
      <c r="E646" s="2118" t="n">
        <v>0</v>
      </c>
      <c r="G646" s="1740" t="n"/>
      <c r="H646" s="1741" t="inlineStr">
        <is>
          <t>SUBETAPA</t>
        </is>
      </c>
      <c r="I646" s="1742" t="inlineStr">
        <is>
          <t>06.002.004</t>
        </is>
      </c>
      <c r="J646" s="1743" t="inlineStr">
        <is>
          <t>Pontos de tomadas e interruptores</t>
        </is>
      </c>
      <c r="K646" s="1744" t="n"/>
      <c r="L646" s="1745" t="n"/>
      <c r="M646" s="1745" t="n"/>
      <c r="N646" s="1746" t="n">
        <v>2070.85</v>
      </c>
      <c r="O646" s="1747" t="n"/>
      <c r="P646" s="1720" t="n"/>
    </row>
    <row r="647" hidden="1" outlineLevel="3" ht="13.9" customHeight="1">
      <c r="A647" s="2117" t="n">
        <v>0</v>
      </c>
      <c r="B647" s="2117" t="n">
        <v>6</v>
      </c>
      <c r="C647" s="2117" t="n">
        <v>2</v>
      </c>
      <c r="D647" s="2118" t="n">
        <v>4</v>
      </c>
      <c r="E647" s="2118" t="n">
        <v>1</v>
      </c>
      <c r="G647" s="1790" t="inlineStr">
        <is>
          <t>SISTEMAS E INSTALAÇÕES ELÉTRICAS</t>
        </is>
      </c>
      <c r="H647" s="1749" t="inlineStr">
        <is>
          <t>SERVIÇO</t>
        </is>
      </c>
      <c r="I647" s="1750" t="inlineStr">
        <is>
          <t>06.002.004.001</t>
        </is>
      </c>
      <c r="J647" s="1751" t="inlineStr">
        <is>
          <t>Pontos de tomadas e interruptores</t>
        </is>
      </c>
      <c r="K647" s="1752" t="inlineStr">
        <is>
          <t>vb</t>
        </is>
      </c>
      <c r="L647" s="1753" t="n">
        <v>1</v>
      </c>
      <c r="M647" s="1753" t="n">
        <v>2070.85</v>
      </c>
      <c r="N647" s="1754" t="n">
        <v>2070.85</v>
      </c>
      <c r="O647" s="1755" t="inlineStr">
        <is>
          <t>quantidades conforme quantidades do projetista</t>
        </is>
      </c>
      <c r="P647" s="1721" t="inlineStr">
        <is>
          <t>Pendente</t>
        </is>
      </c>
    </row>
    <row r="648" hidden="1" outlineLevel="2" ht="13.9" customHeight="1">
      <c r="A648" s="2117" t="n">
        <v>0</v>
      </c>
      <c r="B648" s="2117" t="n">
        <v>6</v>
      </c>
      <c r="C648" s="2117" t="n">
        <v>2</v>
      </c>
      <c r="D648" s="2118" t="n">
        <v>5</v>
      </c>
      <c r="E648" s="2118" t="n">
        <v>0</v>
      </c>
      <c r="G648" s="1740" t="n"/>
      <c r="H648" s="1741" t="inlineStr">
        <is>
          <t>SUBETAPA</t>
        </is>
      </c>
      <c r="I648" s="1742" t="inlineStr">
        <is>
          <t>06.002.005</t>
        </is>
      </c>
      <c r="J648" s="1743" t="inlineStr">
        <is>
          <t xml:space="preserve">Luminárias, lâmpadas e acessórios </t>
        </is>
      </c>
      <c r="K648" s="1744" t="n"/>
      <c r="L648" s="1745" t="n"/>
      <c r="M648" s="1745" t="n"/>
      <c r="N648" s="1746" t="n">
        <v>8935.804776863</v>
      </c>
      <c r="O648" s="1747" t="n"/>
      <c r="P648" s="1720" t="n"/>
    </row>
    <row r="649" hidden="1" outlineLevel="3" ht="13.9" customHeight="1">
      <c r="A649" s="2117" t="n">
        <v>0</v>
      </c>
      <c r="B649" s="2117" t="n">
        <v>6</v>
      </c>
      <c r="C649" s="2117" t="n">
        <v>2</v>
      </c>
      <c r="D649" s="2118" t="n">
        <v>5</v>
      </c>
      <c r="E649" s="2118" t="n">
        <v>1</v>
      </c>
      <c r="G649" s="1790" t="inlineStr">
        <is>
          <t>SISTEMAS E INSTALAÇÕES ELÉTRICAS</t>
        </is>
      </c>
      <c r="H649" s="1749" t="inlineStr">
        <is>
          <t>SERVIÇO</t>
        </is>
      </c>
      <c r="I649" s="1750" t="inlineStr">
        <is>
          <t>06.002.005.001</t>
        </is>
      </c>
      <c r="J649" s="1751" t="inlineStr">
        <is>
          <t xml:space="preserve">Luminárias, lâmpadas e acessórios </t>
        </is>
      </c>
      <c r="K649" s="1752" t="inlineStr">
        <is>
          <t>vb</t>
        </is>
      </c>
      <c r="L649" s="1753" t="n">
        <v>1</v>
      </c>
      <c r="M649" s="1753" t="n">
        <v>8935.804776862999</v>
      </c>
      <c r="N649" s="1754" t="n">
        <v>8935.804776863</v>
      </c>
      <c r="O649" s="1755" t="inlineStr">
        <is>
          <t>quantidades ESTIMADA, devido a ausência de quantitativos</t>
        </is>
      </c>
      <c r="P649" s="1721" t="inlineStr">
        <is>
          <t>Pendente</t>
        </is>
      </c>
    </row>
    <row r="650" hidden="1" outlineLevel="2" ht="13.9" customHeight="1">
      <c r="A650" s="2117" t="n">
        <v>0</v>
      </c>
      <c r="B650" s="2117" t="n">
        <v>6</v>
      </c>
      <c r="C650" s="2117" t="n">
        <v>2</v>
      </c>
      <c r="D650" s="2118" t="n">
        <v>6</v>
      </c>
      <c r="E650" s="2118" t="n">
        <v>0</v>
      </c>
      <c r="G650" s="1740" t="n"/>
      <c r="H650" s="1741" t="inlineStr">
        <is>
          <t>SUBETAPA</t>
        </is>
      </c>
      <c r="I650" s="1742" t="inlineStr">
        <is>
          <t>06.002.006</t>
        </is>
      </c>
      <c r="J650" s="1743" t="inlineStr">
        <is>
          <t>Mão de obra - Sistemas e instalações elétricas</t>
        </is>
      </c>
      <c r="K650" s="1744" t="n"/>
      <c r="L650" s="1745" t="n"/>
      <c r="M650" s="1745" t="n"/>
      <c r="N650" s="1746" t="n">
        <v>49927.64</v>
      </c>
      <c r="O650" s="1747" t="n"/>
      <c r="P650" s="1720" t="n"/>
    </row>
    <row r="651" hidden="1" outlineLevel="3" ht="13.9" customHeight="1">
      <c r="A651" s="2117" t="n">
        <v>0</v>
      </c>
      <c r="B651" s="2117" t="n">
        <v>6</v>
      </c>
      <c r="C651" s="2117" t="n">
        <v>2</v>
      </c>
      <c r="D651" s="2118" t="n">
        <v>6</v>
      </c>
      <c r="E651" s="2118" t="n">
        <v>1</v>
      </c>
      <c r="G651" s="1790" t="inlineStr">
        <is>
          <t>SISTEMAS E INSTALAÇÕES ELÉTRICAS</t>
        </is>
      </c>
      <c r="H651" s="1749" t="inlineStr">
        <is>
          <t>SERVIÇO</t>
        </is>
      </c>
      <c r="I651" s="1750" t="inlineStr">
        <is>
          <t>06.002.006.001</t>
        </is>
      </c>
      <c r="J651" s="1751" t="inlineStr">
        <is>
          <t>Mão de obra para instalações elétricas</t>
        </is>
      </c>
      <c r="K651" s="1752" t="inlineStr">
        <is>
          <t>vb</t>
        </is>
      </c>
      <c r="L651" s="1753" t="n">
        <v>1</v>
      </c>
      <c r="M651" s="1753" t="n">
        <v>49927.64</v>
      </c>
      <c r="N651" s="1754" t="n">
        <v>49927.64</v>
      </c>
      <c r="O651" s="1755" t="inlineStr">
        <is>
          <t>Considerado conforme os contratos disponibilizados pelo GESSELE</t>
        </is>
      </c>
      <c r="P651" s="1721" t="inlineStr">
        <is>
          <t>Pendente</t>
        </is>
      </c>
    </row>
    <row r="652" hidden="1" outlineLevel="1" ht="13.9" customHeight="1">
      <c r="A652" s="2117" t="n">
        <v>0</v>
      </c>
      <c r="B652" s="2117" t="n">
        <v>6</v>
      </c>
      <c r="C652" s="2117" t="n">
        <v>3</v>
      </c>
      <c r="D652" s="2118" t="n">
        <v>0</v>
      </c>
      <c r="E652" s="2118" t="n">
        <v>1</v>
      </c>
      <c r="G652" s="1733" t="n"/>
      <c r="H652" s="1734" t="inlineStr">
        <is>
          <t>ETAPA</t>
        </is>
      </c>
      <c r="I652" s="1735" t="inlineStr">
        <is>
          <t>06.003</t>
        </is>
      </c>
      <c r="J652" s="1736" t="inlineStr">
        <is>
          <t>SISTEMAS E INSTALAÇÕES ELÉTRICAS - G2</t>
        </is>
      </c>
      <c r="K652" s="1737" t="n"/>
      <c r="L652" s="1738" t="n"/>
      <c r="M652" s="1738" t="n"/>
      <c r="N652" s="1739" t="n">
        <v>69814.52621185069</v>
      </c>
      <c r="O652" s="1722" t="n"/>
      <c r="P652" s="1725" t="n"/>
    </row>
    <row r="653" hidden="1" outlineLevel="2" ht="13.9" customHeight="1">
      <c r="A653" s="2117" t="n">
        <v>0</v>
      </c>
      <c r="B653" s="2117" t="n">
        <v>6</v>
      </c>
      <c r="C653" s="2117" t="n">
        <v>3</v>
      </c>
      <c r="D653" s="2118" t="n">
        <v>1</v>
      </c>
      <c r="E653" s="2118" t="n">
        <v>0</v>
      </c>
      <c r="G653" s="1740" t="n"/>
      <c r="H653" s="1741" t="inlineStr">
        <is>
          <t>SUBETAPA</t>
        </is>
      </c>
      <c r="I653" s="1742" t="inlineStr">
        <is>
          <t>06.003.001</t>
        </is>
      </c>
      <c r="J653" s="1743" t="inlineStr">
        <is>
          <t>Quadros elétricos e disjuntores</t>
        </is>
      </c>
      <c r="K653" s="1744" t="n"/>
      <c r="L653" s="1745" t="n"/>
      <c r="M653" s="1745" t="n"/>
      <c r="N653" s="1746" t="n">
        <v>960.27</v>
      </c>
      <c r="O653" s="1747" t="n"/>
      <c r="P653" s="1720" t="n"/>
    </row>
    <row r="654" hidden="1" outlineLevel="3" ht="13.9" customHeight="1">
      <c r="A654" s="2117" t="n">
        <v>0</v>
      </c>
      <c r="B654" s="2117" t="n">
        <v>6</v>
      </c>
      <c r="C654" s="2117" t="n">
        <v>3</v>
      </c>
      <c r="D654" s="2118" t="n">
        <v>1</v>
      </c>
      <c r="E654" s="2118" t="n">
        <v>1</v>
      </c>
      <c r="G654" s="1790" t="inlineStr">
        <is>
          <t>SISTEMAS E INSTALAÇÕES ELÉTRICAS</t>
        </is>
      </c>
      <c r="H654" s="1749" t="inlineStr">
        <is>
          <t>SERVIÇO</t>
        </is>
      </c>
      <c r="I654" s="1750" t="inlineStr">
        <is>
          <t>06.003.001.001</t>
        </is>
      </c>
      <c r="J654" s="1751" t="inlineStr">
        <is>
          <t>Quadros elétricos e disjuntores</t>
        </is>
      </c>
      <c r="K654" s="1752" t="inlineStr">
        <is>
          <t>vb</t>
        </is>
      </c>
      <c r="L654" s="1753" t="n">
        <v>1</v>
      </c>
      <c r="M654" s="1753" t="n">
        <v>960.27</v>
      </c>
      <c r="N654" s="1754" t="n">
        <v>960.27</v>
      </c>
      <c r="O654" s="1755" t="inlineStr">
        <is>
          <t>quantidades conforme quantidades do projetista</t>
        </is>
      </c>
      <c r="P654" s="1721" t="inlineStr">
        <is>
          <t>Pendente</t>
        </is>
      </c>
    </row>
    <row r="655" hidden="1" outlineLevel="2" ht="13.9" customHeight="1">
      <c r="A655" s="2117" t="n">
        <v>0</v>
      </c>
      <c r="B655" s="2117" t="n">
        <v>6</v>
      </c>
      <c r="C655" s="2117" t="n">
        <v>3</v>
      </c>
      <c r="D655" s="2118" t="n">
        <v>2</v>
      </c>
      <c r="E655" s="2118" t="n">
        <v>0</v>
      </c>
      <c r="G655" s="1740" t="n"/>
      <c r="H655" s="1741" t="inlineStr">
        <is>
          <t>SUBETAPA</t>
        </is>
      </c>
      <c r="I655" s="1742" t="inlineStr">
        <is>
          <t>06.003.002</t>
        </is>
      </c>
      <c r="J655" s="1743" t="inlineStr">
        <is>
          <t>Eletrodutos e eletrocalhas</t>
        </is>
      </c>
      <c r="K655" s="1744" t="n"/>
      <c r="L655" s="1745" t="n"/>
      <c r="M655" s="1745" t="n"/>
      <c r="N655" s="1746" t="n">
        <v>952.95</v>
      </c>
      <c r="O655" s="1747" t="n"/>
      <c r="P655" s="1720" t="n"/>
    </row>
    <row r="656" hidden="1" outlineLevel="3" ht="13.9" customHeight="1">
      <c r="A656" s="2117" t="n">
        <v>0</v>
      </c>
      <c r="B656" s="2117" t="n">
        <v>6</v>
      </c>
      <c r="C656" s="2117" t="n">
        <v>3</v>
      </c>
      <c r="D656" s="2118" t="n">
        <v>2</v>
      </c>
      <c r="E656" s="2118" t="n">
        <v>1</v>
      </c>
      <c r="G656" s="1790" t="inlineStr">
        <is>
          <t>SISTEMAS E INSTALAÇÕES ELÉTRICAS</t>
        </is>
      </c>
      <c r="H656" s="1749" t="inlineStr">
        <is>
          <t>SERVIÇO</t>
        </is>
      </c>
      <c r="I656" s="1750" t="inlineStr">
        <is>
          <t>06.003.002.001</t>
        </is>
      </c>
      <c r="J656" s="1751" t="inlineStr">
        <is>
          <t>Eletrodutos e eletrocalhas</t>
        </is>
      </c>
      <c r="K656" s="1752" t="inlineStr">
        <is>
          <t>vb</t>
        </is>
      </c>
      <c r="L656" s="1753" t="n">
        <v>1</v>
      </c>
      <c r="M656" s="1753" t="n">
        <v>952.9499999999999</v>
      </c>
      <c r="N656" s="1754" t="n">
        <v>952.95</v>
      </c>
      <c r="O656" s="1755" t="inlineStr">
        <is>
          <t>quantidades conforme quantidades do projetista</t>
        </is>
      </c>
      <c r="P656" s="1721" t="inlineStr">
        <is>
          <t>Pendente</t>
        </is>
      </c>
    </row>
    <row r="657" hidden="1" outlineLevel="2" ht="13.9" customHeight="1">
      <c r="A657" s="2117" t="n">
        <v>0</v>
      </c>
      <c r="B657" s="2117" t="n">
        <v>6</v>
      </c>
      <c r="C657" s="2117" t="n">
        <v>3</v>
      </c>
      <c r="D657" s="2118" t="n">
        <v>3</v>
      </c>
      <c r="E657" s="2118" t="n">
        <v>0</v>
      </c>
      <c r="G657" s="1740" t="n"/>
      <c r="H657" s="1741" t="inlineStr">
        <is>
          <t>SUBETAPA</t>
        </is>
      </c>
      <c r="I657" s="1742" t="inlineStr">
        <is>
          <t>06.003.003</t>
        </is>
      </c>
      <c r="J657" s="1743" t="inlineStr">
        <is>
          <t>Fios e cabos elétricos</t>
        </is>
      </c>
      <c r="K657" s="1744" t="n"/>
      <c r="L657" s="1745" t="n"/>
      <c r="M657" s="1745" t="n"/>
      <c r="N657" s="1746" t="n">
        <v>2280.851</v>
      </c>
      <c r="O657" s="1747" t="n"/>
      <c r="P657" s="1720" t="n"/>
    </row>
    <row r="658" hidden="1" outlineLevel="3" ht="13.9" customHeight="1">
      <c r="A658" s="2117" t="n">
        <v>0</v>
      </c>
      <c r="B658" s="2117" t="n">
        <v>6</v>
      </c>
      <c r="C658" s="2117" t="n">
        <v>3</v>
      </c>
      <c r="D658" s="2118" t="n">
        <v>3</v>
      </c>
      <c r="E658" s="2118" t="n">
        <v>1</v>
      </c>
      <c r="G658" s="1790" t="inlineStr">
        <is>
          <t>SISTEMAS E INSTALAÇÕES ELÉTRICAS</t>
        </is>
      </c>
      <c r="H658" s="1749" t="inlineStr">
        <is>
          <t>SERVIÇO</t>
        </is>
      </c>
      <c r="I658" s="1750" t="inlineStr">
        <is>
          <t>06.003.003.001</t>
        </is>
      </c>
      <c r="J658" s="1751" t="inlineStr">
        <is>
          <t>Fios e cabos elétricos</t>
        </is>
      </c>
      <c r="K658" s="1752" t="inlineStr">
        <is>
          <t>vb</t>
        </is>
      </c>
      <c r="L658" s="1753" t="n">
        <v>1</v>
      </c>
      <c r="M658" s="1753" t="n">
        <v>2280.851</v>
      </c>
      <c r="N658" s="1754" t="n">
        <v>2280.851</v>
      </c>
      <c r="O658" s="1755" t="inlineStr">
        <is>
          <t>quantidades conforme quantidades do projetista</t>
        </is>
      </c>
      <c r="P658" s="1721" t="inlineStr">
        <is>
          <t>Pendente</t>
        </is>
      </c>
    </row>
    <row r="659" hidden="1" outlineLevel="2" ht="13.9" customHeight="1">
      <c r="A659" s="2117" t="n">
        <v>0</v>
      </c>
      <c r="B659" s="2117" t="n">
        <v>6</v>
      </c>
      <c r="C659" s="2117" t="n">
        <v>3</v>
      </c>
      <c r="D659" s="2118" t="n">
        <v>4</v>
      </c>
      <c r="E659" s="2118" t="n">
        <v>0</v>
      </c>
      <c r="G659" s="1740" t="n"/>
      <c r="H659" s="1741" t="inlineStr">
        <is>
          <t>SUBETAPA</t>
        </is>
      </c>
      <c r="I659" s="1742" t="inlineStr">
        <is>
          <t>06.003.004</t>
        </is>
      </c>
      <c r="J659" s="1743" t="inlineStr">
        <is>
          <t>Pontos de tomadas e interruptores</t>
        </is>
      </c>
      <c r="K659" s="1744" t="n"/>
      <c r="L659" s="1745" t="n"/>
      <c r="M659" s="1745" t="n"/>
      <c r="N659" s="1746" t="n">
        <v>1073.75</v>
      </c>
      <c r="O659" s="1747" t="n"/>
      <c r="P659" s="1720" t="n"/>
    </row>
    <row r="660" hidden="1" outlineLevel="3" ht="13.9" customHeight="1">
      <c r="A660" s="2117" t="n">
        <v>0</v>
      </c>
      <c r="B660" s="2117" t="n">
        <v>6</v>
      </c>
      <c r="C660" s="2117" t="n">
        <v>3</v>
      </c>
      <c r="D660" s="2118" t="n">
        <v>4</v>
      </c>
      <c r="E660" s="2118" t="n">
        <v>1</v>
      </c>
      <c r="G660" s="1790" t="inlineStr">
        <is>
          <t>SISTEMAS E INSTALAÇÕES ELÉTRICAS</t>
        </is>
      </c>
      <c r="H660" s="1749" t="inlineStr">
        <is>
          <t>SERVIÇO</t>
        </is>
      </c>
      <c r="I660" s="1750" t="inlineStr">
        <is>
          <t>06.003.004.001</t>
        </is>
      </c>
      <c r="J660" s="1751" t="inlineStr">
        <is>
          <t>Pontos de tomadas e interruptores</t>
        </is>
      </c>
      <c r="K660" s="1752" t="inlineStr">
        <is>
          <t>vb</t>
        </is>
      </c>
      <c r="L660" s="1753" t="n">
        <v>1</v>
      </c>
      <c r="M660" s="1753" t="n">
        <v>1073.75</v>
      </c>
      <c r="N660" s="1754" t="n">
        <v>1073.75</v>
      </c>
      <c r="O660" s="1755" t="inlineStr">
        <is>
          <t>quantidades conforme quantidades do projetista</t>
        </is>
      </c>
      <c r="P660" s="1721" t="inlineStr">
        <is>
          <t>Pendente</t>
        </is>
      </c>
    </row>
    <row r="661" hidden="1" outlineLevel="2" ht="13.9" customHeight="1">
      <c r="A661" s="2117" t="n">
        <v>0</v>
      </c>
      <c r="B661" s="2117" t="n">
        <v>6</v>
      </c>
      <c r="C661" s="2117" t="n">
        <v>3</v>
      </c>
      <c r="D661" s="2118" t="n">
        <v>5</v>
      </c>
      <c r="E661" s="2118" t="n">
        <v>0</v>
      </c>
      <c r="G661" s="1740" t="n"/>
      <c r="H661" s="1741" t="inlineStr">
        <is>
          <t>SUBETAPA</t>
        </is>
      </c>
      <c r="I661" s="1742" t="inlineStr">
        <is>
          <t>06.003.005</t>
        </is>
      </c>
      <c r="J661" s="1743" t="inlineStr">
        <is>
          <t xml:space="preserve">Luminárias, lâmpadas e acessórios </t>
        </is>
      </c>
      <c r="K661" s="1744" t="n"/>
      <c r="L661" s="1745" t="n"/>
      <c r="M661" s="1745" t="n"/>
      <c r="N661" s="1746" t="n">
        <v>9798.545211850649</v>
      </c>
      <c r="O661" s="1747" t="n"/>
      <c r="P661" s="1720" t="n"/>
    </row>
    <row r="662" hidden="1" outlineLevel="3" ht="13.9" customHeight="1">
      <c r="A662" s="2117" t="n">
        <v>0</v>
      </c>
      <c r="B662" s="2117" t="n">
        <v>6</v>
      </c>
      <c r="C662" s="2117" t="n">
        <v>3</v>
      </c>
      <c r="D662" s="2118" t="n">
        <v>5</v>
      </c>
      <c r="E662" s="2118" t="n">
        <v>1</v>
      </c>
      <c r="G662" s="1790" t="inlineStr">
        <is>
          <t>SISTEMAS E INSTALAÇÕES ELÉTRICAS</t>
        </is>
      </c>
      <c r="H662" s="1749" t="inlineStr">
        <is>
          <t>SERVIÇO</t>
        </is>
      </c>
      <c r="I662" s="1750" t="inlineStr">
        <is>
          <t>06.003.005.001</t>
        </is>
      </c>
      <c r="J662" s="1751" t="inlineStr">
        <is>
          <t xml:space="preserve">Luminárias, lâmpadas e acessórios </t>
        </is>
      </c>
      <c r="K662" s="1752" t="inlineStr">
        <is>
          <t>vb</t>
        </is>
      </c>
      <c r="L662" s="1753" t="n">
        <v>1</v>
      </c>
      <c r="M662" s="1753" t="n">
        <v>9798.545211850646</v>
      </c>
      <c r="N662" s="1754" t="n">
        <v>9798.545211850649</v>
      </c>
      <c r="O662" s="1755" t="inlineStr">
        <is>
          <t>quantidades ESTIMADA, devido a ausência de quantitativos</t>
        </is>
      </c>
      <c r="P662" s="1721" t="inlineStr">
        <is>
          <t>Pendente</t>
        </is>
      </c>
    </row>
    <row r="663" hidden="1" outlineLevel="2" ht="13.9" customHeight="1">
      <c r="A663" s="2117" t="n">
        <v>0</v>
      </c>
      <c r="B663" s="2117" t="n">
        <v>6</v>
      </c>
      <c r="C663" s="2117" t="n">
        <v>3</v>
      </c>
      <c r="D663" s="2118" t="n">
        <v>6</v>
      </c>
      <c r="E663" s="2118" t="n">
        <v>0</v>
      </c>
      <c r="G663" s="1740" t="n"/>
      <c r="H663" s="1741" t="inlineStr">
        <is>
          <t>SUBETAPA</t>
        </is>
      </c>
      <c r="I663" s="1742" t="inlineStr">
        <is>
          <t>06.003.006</t>
        </is>
      </c>
      <c r="J663" s="1743" t="inlineStr">
        <is>
          <t>Mão de obra - Sistemas e instalações elétricas</t>
        </is>
      </c>
      <c r="K663" s="1744" t="n"/>
      <c r="L663" s="1745" t="n"/>
      <c r="M663" s="1745" t="n"/>
      <c r="N663" s="1746" t="n">
        <v>54748.16</v>
      </c>
      <c r="O663" s="1747" t="n"/>
      <c r="P663" s="1720" t="n"/>
    </row>
    <row r="664" hidden="1" outlineLevel="3" ht="13.9" customHeight="1">
      <c r="A664" s="2117" t="n">
        <v>0</v>
      </c>
      <c r="B664" s="2117" t="n">
        <v>6</v>
      </c>
      <c r="C664" s="2117" t="n">
        <v>3</v>
      </c>
      <c r="D664" s="2118" t="n">
        <v>6</v>
      </c>
      <c r="E664" s="2118" t="n">
        <v>1</v>
      </c>
      <c r="G664" s="1790" t="inlineStr">
        <is>
          <t>SISTEMAS E INSTALAÇÕES ELÉTRICAS</t>
        </is>
      </c>
      <c r="H664" s="1749" t="inlineStr">
        <is>
          <t>SERVIÇO</t>
        </is>
      </c>
      <c r="I664" s="1750" t="inlineStr">
        <is>
          <t>06.003.006.001</t>
        </is>
      </c>
      <c r="J664" s="1751" t="inlineStr">
        <is>
          <t>Mão de obra para instalações elétricas</t>
        </is>
      </c>
      <c r="K664" s="1752" t="inlineStr">
        <is>
          <t>vb</t>
        </is>
      </c>
      <c r="L664" s="1753" t="n">
        <v>1</v>
      </c>
      <c r="M664" s="1753" t="n">
        <v>54748.16</v>
      </c>
      <c r="N664" s="1754" t="n">
        <v>54748.16</v>
      </c>
      <c r="O664" s="1755" t="inlineStr">
        <is>
          <t>Considerado conforme os contratos disponibilizados pelo GESSELE</t>
        </is>
      </c>
      <c r="P664" s="1721" t="inlineStr">
        <is>
          <t>Pendente</t>
        </is>
      </c>
    </row>
    <row r="665" hidden="1" outlineLevel="1" ht="13.9" customHeight="1">
      <c r="A665" s="2117" t="n">
        <v>0</v>
      </c>
      <c r="B665" s="2117" t="n">
        <v>6</v>
      </c>
      <c r="C665" s="2117" t="n">
        <v>4</v>
      </c>
      <c r="D665" s="2118" t="n">
        <v>0</v>
      </c>
      <c r="E665" s="2118" t="n">
        <v>1</v>
      </c>
      <c r="G665" s="1733" t="n"/>
      <c r="H665" s="1734" t="inlineStr">
        <is>
          <t>ETAPA</t>
        </is>
      </c>
      <c r="I665" s="1735" t="inlineStr">
        <is>
          <t>06.004</t>
        </is>
      </c>
      <c r="J665" s="1736" t="inlineStr">
        <is>
          <t>SISTEMAS E INSTALAÇÕES ELÉTRICAS - Mezanino G2</t>
        </is>
      </c>
      <c r="K665" s="1737" t="n"/>
      <c r="L665" s="1738" t="n"/>
      <c r="M665" s="1738" t="n"/>
      <c r="N665" s="1739" t="n">
        <v>69573.49221185069</v>
      </c>
      <c r="O665" s="1722" t="n"/>
      <c r="P665" s="1725" t="n"/>
    </row>
    <row r="666" hidden="1" outlineLevel="2" ht="13.9" customHeight="1">
      <c r="A666" s="2117" t="n">
        <v>0</v>
      </c>
      <c r="B666" s="2117" t="n">
        <v>6</v>
      </c>
      <c r="C666" s="2117" t="n">
        <v>4</v>
      </c>
      <c r="D666" s="2118" t="n">
        <v>1</v>
      </c>
      <c r="E666" s="2118" t="n">
        <v>0</v>
      </c>
      <c r="G666" s="1740" t="n"/>
      <c r="H666" s="1741" t="inlineStr">
        <is>
          <t>SUBETAPA</t>
        </is>
      </c>
      <c r="I666" s="1742" t="inlineStr">
        <is>
          <t>06.004.001</t>
        </is>
      </c>
      <c r="J666" s="1743" t="inlineStr">
        <is>
          <t>Quadros elétricos e disjuntores</t>
        </is>
      </c>
      <c r="K666" s="1744" t="n"/>
      <c r="L666" s="1745" t="n"/>
      <c r="M666" s="1745" t="n"/>
      <c r="N666" s="1746" t="n">
        <v>960.27</v>
      </c>
      <c r="O666" s="1747" t="n"/>
      <c r="P666" s="1720" t="n"/>
    </row>
    <row r="667" hidden="1" outlineLevel="3" ht="13.9" customHeight="1">
      <c r="A667" s="2117" t="n">
        <v>0</v>
      </c>
      <c r="B667" s="2117" t="n">
        <v>6</v>
      </c>
      <c r="C667" s="2117" t="n">
        <v>4</v>
      </c>
      <c r="D667" s="2118" t="n">
        <v>1</v>
      </c>
      <c r="E667" s="2118" t="n">
        <v>1</v>
      </c>
      <c r="G667" s="1790" t="inlineStr">
        <is>
          <t>SISTEMAS E INSTALAÇÕES ELÉTRICAS</t>
        </is>
      </c>
      <c r="H667" s="1749" t="inlineStr">
        <is>
          <t>SERVIÇO</t>
        </is>
      </c>
      <c r="I667" s="1750" t="inlineStr">
        <is>
          <t>06.004.001.001</t>
        </is>
      </c>
      <c r="J667" s="1751" t="inlineStr">
        <is>
          <t>Quadros elétricos e disjuntores</t>
        </is>
      </c>
      <c r="K667" s="1752" t="inlineStr">
        <is>
          <t>vb</t>
        </is>
      </c>
      <c r="L667" s="1753" t="n">
        <v>1</v>
      </c>
      <c r="M667" s="1753" t="n">
        <v>960.27</v>
      </c>
      <c r="N667" s="1754" t="n">
        <v>960.27</v>
      </c>
      <c r="O667" s="1755" t="inlineStr">
        <is>
          <t>quantidades conforme quantidades do projetista</t>
        </is>
      </c>
      <c r="P667" s="1721" t="inlineStr">
        <is>
          <t>Pendente</t>
        </is>
      </c>
    </row>
    <row r="668" hidden="1" outlineLevel="2" ht="13.9" customHeight="1">
      <c r="A668" s="2117" t="n">
        <v>0</v>
      </c>
      <c r="B668" s="2117" t="n">
        <v>6</v>
      </c>
      <c r="C668" s="2117" t="n">
        <v>4</v>
      </c>
      <c r="D668" s="2118" t="n">
        <v>2</v>
      </c>
      <c r="E668" s="2118" t="n">
        <v>0</v>
      </c>
      <c r="G668" s="1740" t="n"/>
      <c r="H668" s="1741" t="inlineStr">
        <is>
          <t>SUBETAPA</t>
        </is>
      </c>
      <c r="I668" s="1742" t="inlineStr">
        <is>
          <t>06.004.002</t>
        </is>
      </c>
      <c r="J668" s="1743" t="inlineStr">
        <is>
          <t>Eletrodutos e eletrocalhas</t>
        </is>
      </c>
      <c r="K668" s="1744" t="n"/>
      <c r="L668" s="1745" t="n"/>
      <c r="M668" s="1745" t="n"/>
      <c r="N668" s="1746" t="n">
        <v>890.55</v>
      </c>
      <c r="O668" s="1747" t="n"/>
      <c r="P668" s="1720" t="n"/>
    </row>
    <row r="669" hidden="1" outlineLevel="3" ht="13.9" customHeight="1">
      <c r="A669" s="2117" t="n">
        <v>0</v>
      </c>
      <c r="B669" s="2117" t="n">
        <v>6</v>
      </c>
      <c r="C669" s="2117" t="n">
        <v>4</v>
      </c>
      <c r="D669" s="2118" t="n">
        <v>2</v>
      </c>
      <c r="E669" s="2118" t="n">
        <v>1</v>
      </c>
      <c r="G669" s="1790" t="inlineStr">
        <is>
          <t>SISTEMAS E INSTALAÇÕES ELÉTRICAS</t>
        </is>
      </c>
      <c r="H669" s="1749" t="inlineStr">
        <is>
          <t>SERVIÇO</t>
        </is>
      </c>
      <c r="I669" s="1750" t="inlineStr">
        <is>
          <t>06.004.002.001</t>
        </is>
      </c>
      <c r="J669" s="1751" t="inlineStr">
        <is>
          <t>Eletrodutos e eletrocalhas</t>
        </is>
      </c>
      <c r="K669" s="1752" t="inlineStr">
        <is>
          <t>vb</t>
        </is>
      </c>
      <c r="L669" s="1753" t="n">
        <v>1</v>
      </c>
      <c r="M669" s="1753" t="n">
        <v>890.5500000000001</v>
      </c>
      <c r="N669" s="1754" t="n">
        <v>890.55</v>
      </c>
      <c r="O669" s="1755" t="inlineStr">
        <is>
          <t>quantidades conforme quantidades do projetista</t>
        </is>
      </c>
      <c r="P669" s="1721" t="inlineStr">
        <is>
          <t>Pendente</t>
        </is>
      </c>
    </row>
    <row r="670" hidden="1" outlineLevel="2" ht="13.9" customHeight="1">
      <c r="A670" s="2117" t="n">
        <v>0</v>
      </c>
      <c r="B670" s="2117" t="n">
        <v>6</v>
      </c>
      <c r="C670" s="2117" t="n">
        <v>4</v>
      </c>
      <c r="D670" s="2118" t="n">
        <v>3</v>
      </c>
      <c r="E670" s="2118" t="n">
        <v>0</v>
      </c>
      <c r="G670" s="1740" t="n"/>
      <c r="H670" s="1741" t="inlineStr">
        <is>
          <t>SUBETAPA</t>
        </is>
      </c>
      <c r="I670" s="1742" t="inlineStr">
        <is>
          <t>06.004.003</t>
        </is>
      </c>
      <c r="J670" s="1743" t="inlineStr">
        <is>
          <t>Fios e cabos elétricos</t>
        </is>
      </c>
      <c r="K670" s="1744" t="n"/>
      <c r="L670" s="1745" t="n"/>
      <c r="M670" s="1745" t="n"/>
      <c r="N670" s="1746" t="n">
        <v>2132.017</v>
      </c>
      <c r="O670" s="1747" t="n"/>
      <c r="P670" s="1720" t="n"/>
    </row>
    <row r="671" hidden="1" outlineLevel="3" ht="13.9" customHeight="1">
      <c r="A671" s="2117" t="n">
        <v>0</v>
      </c>
      <c r="B671" s="2117" t="n">
        <v>6</v>
      </c>
      <c r="C671" s="2117" t="n">
        <v>4</v>
      </c>
      <c r="D671" s="2118" t="n">
        <v>3</v>
      </c>
      <c r="E671" s="2118" t="n">
        <v>1</v>
      </c>
      <c r="G671" s="1790" t="inlineStr">
        <is>
          <t>SISTEMAS E INSTALAÇÕES ELÉTRICAS</t>
        </is>
      </c>
      <c r="H671" s="1749" t="inlineStr">
        <is>
          <t>SERVIÇO</t>
        </is>
      </c>
      <c r="I671" s="1750" t="inlineStr">
        <is>
          <t>06.004.003.001</t>
        </is>
      </c>
      <c r="J671" s="1751" t="inlineStr">
        <is>
          <t>Fios e cabos elétricos</t>
        </is>
      </c>
      <c r="K671" s="1752" t="inlineStr">
        <is>
          <t>vb</t>
        </is>
      </c>
      <c r="L671" s="1753" t="n">
        <v>1</v>
      </c>
      <c r="M671" s="1753" t="n">
        <v>2132.017</v>
      </c>
      <c r="N671" s="1754" t="n">
        <v>2132.017</v>
      </c>
      <c r="O671" s="1755" t="inlineStr">
        <is>
          <t>quantidades conforme quantidades do projetista</t>
        </is>
      </c>
      <c r="P671" s="1721" t="inlineStr">
        <is>
          <t>Pendente</t>
        </is>
      </c>
    </row>
    <row r="672" hidden="1" outlineLevel="2" ht="13.9" customHeight="1">
      <c r="A672" s="2117" t="n">
        <v>0</v>
      </c>
      <c r="B672" s="2117" t="n">
        <v>6</v>
      </c>
      <c r="C672" s="2117" t="n">
        <v>4</v>
      </c>
      <c r="D672" s="2118" t="n">
        <v>4</v>
      </c>
      <c r="E672" s="2118" t="n">
        <v>0</v>
      </c>
      <c r="G672" s="1740" t="n"/>
      <c r="H672" s="1741" t="inlineStr">
        <is>
          <t>SUBETAPA</t>
        </is>
      </c>
      <c r="I672" s="1742" t="inlineStr">
        <is>
          <t>06.004.004</t>
        </is>
      </c>
      <c r="J672" s="1743" t="inlineStr">
        <is>
          <t>Pontos de tomadas e interruptores</t>
        </is>
      </c>
      <c r="K672" s="1744" t="n"/>
      <c r="L672" s="1745" t="n"/>
      <c r="M672" s="1745" t="n"/>
      <c r="N672" s="1746" t="n">
        <v>1043.95</v>
      </c>
      <c r="O672" s="1747" t="n"/>
      <c r="P672" s="1720" t="n"/>
    </row>
    <row r="673" hidden="1" outlineLevel="3" ht="13.9" customHeight="1">
      <c r="A673" s="2117" t="n">
        <v>0</v>
      </c>
      <c r="B673" s="2117" t="n">
        <v>6</v>
      </c>
      <c r="C673" s="2117" t="n">
        <v>4</v>
      </c>
      <c r="D673" s="2118" t="n">
        <v>4</v>
      </c>
      <c r="E673" s="2118" t="n">
        <v>1</v>
      </c>
      <c r="G673" s="1790" t="inlineStr">
        <is>
          <t>SISTEMAS E INSTALAÇÕES ELÉTRICAS</t>
        </is>
      </c>
      <c r="H673" s="1749" t="inlineStr">
        <is>
          <t>SERVIÇO</t>
        </is>
      </c>
      <c r="I673" s="1750" t="inlineStr">
        <is>
          <t>06.004.004.001</t>
        </is>
      </c>
      <c r="J673" s="1751" t="inlineStr">
        <is>
          <t>Pontos de tomadas e interruptores</t>
        </is>
      </c>
      <c r="K673" s="1752" t="inlineStr">
        <is>
          <t>vb</t>
        </is>
      </c>
      <c r="L673" s="1753" t="n">
        <v>1</v>
      </c>
      <c r="M673" s="1753" t="n">
        <v>1043.95</v>
      </c>
      <c r="N673" s="1754" t="n">
        <v>1043.95</v>
      </c>
      <c r="O673" s="1755" t="inlineStr">
        <is>
          <t>quantidades conforme quantidades do projetista</t>
        </is>
      </c>
      <c r="P673" s="1721" t="inlineStr">
        <is>
          <t>Pendente</t>
        </is>
      </c>
    </row>
    <row r="674" hidden="1" outlineLevel="2" ht="13.9" customHeight="1">
      <c r="A674" s="2117" t="n">
        <v>0</v>
      </c>
      <c r="B674" s="2117" t="n">
        <v>6</v>
      </c>
      <c r="C674" s="2117" t="n">
        <v>4</v>
      </c>
      <c r="D674" s="2118" t="n">
        <v>5</v>
      </c>
      <c r="E674" s="2118" t="n">
        <v>0</v>
      </c>
      <c r="G674" s="1740" t="n"/>
      <c r="H674" s="1741" t="inlineStr">
        <is>
          <t>SUBETAPA</t>
        </is>
      </c>
      <c r="I674" s="1742" t="inlineStr">
        <is>
          <t>06.004.005</t>
        </is>
      </c>
      <c r="J674" s="1743" t="inlineStr">
        <is>
          <t xml:space="preserve">Luminárias, lâmpadas e acessórios </t>
        </is>
      </c>
      <c r="K674" s="1744" t="n"/>
      <c r="L674" s="1745" t="n"/>
      <c r="M674" s="1745" t="n"/>
      <c r="N674" s="1746" t="n">
        <v>9798.545211850649</v>
      </c>
      <c r="O674" s="1747" t="n"/>
      <c r="P674" s="1720" t="n"/>
    </row>
    <row r="675" hidden="1" outlineLevel="3" ht="13.9" customHeight="1">
      <c r="A675" s="2117" t="n">
        <v>0</v>
      </c>
      <c r="B675" s="2117" t="n">
        <v>6</v>
      </c>
      <c r="C675" s="2117" t="n">
        <v>4</v>
      </c>
      <c r="D675" s="2118" t="n">
        <v>5</v>
      </c>
      <c r="E675" s="2118" t="n">
        <v>1</v>
      </c>
      <c r="G675" s="1790" t="inlineStr">
        <is>
          <t>SISTEMAS E INSTALAÇÕES ELÉTRICAS</t>
        </is>
      </c>
      <c r="H675" s="1749" t="inlineStr">
        <is>
          <t>SERVIÇO</t>
        </is>
      </c>
      <c r="I675" s="1750" t="inlineStr">
        <is>
          <t>06.004.005.001</t>
        </is>
      </c>
      <c r="J675" s="1751" t="inlineStr">
        <is>
          <t xml:space="preserve">Luminárias, lâmpadas e acessórios </t>
        </is>
      </c>
      <c r="K675" s="1752" t="inlineStr">
        <is>
          <t>vb</t>
        </is>
      </c>
      <c r="L675" s="1753" t="n">
        <v>1</v>
      </c>
      <c r="M675" s="1753" t="n">
        <v>9798.545211850646</v>
      </c>
      <c r="N675" s="1754" t="n">
        <v>9798.545211850649</v>
      </c>
      <c r="O675" s="1755" t="inlineStr">
        <is>
          <t>quantidades ESTIMADA, devido a ausência de quantitativos</t>
        </is>
      </c>
      <c r="P675" s="1721" t="inlineStr">
        <is>
          <t>Pendente</t>
        </is>
      </c>
    </row>
    <row r="676" hidden="1" outlineLevel="2" ht="13.9" customHeight="1">
      <c r="A676" s="2117" t="n">
        <v>0</v>
      </c>
      <c r="B676" s="2117" t="n">
        <v>6</v>
      </c>
      <c r="C676" s="2117" t="n">
        <v>4</v>
      </c>
      <c r="D676" s="2118" t="n">
        <v>6</v>
      </c>
      <c r="E676" s="2118" t="n">
        <v>0</v>
      </c>
      <c r="G676" s="1740" t="n"/>
      <c r="H676" s="1741" t="inlineStr">
        <is>
          <t>SUBETAPA</t>
        </is>
      </c>
      <c r="I676" s="1742" t="inlineStr">
        <is>
          <t>06.004.006</t>
        </is>
      </c>
      <c r="J676" s="1743" t="inlineStr">
        <is>
          <t>Mão de obra - Sistemas e instalações elétricas</t>
        </is>
      </c>
      <c r="K676" s="1744" t="n"/>
      <c r="L676" s="1745" t="n"/>
      <c r="M676" s="1745" t="n"/>
      <c r="N676" s="1746" t="n">
        <v>54748.16</v>
      </c>
      <c r="O676" s="1747" t="n"/>
      <c r="P676" s="1720" t="n"/>
    </row>
    <row r="677" hidden="1" outlineLevel="3" ht="13.9" customHeight="1">
      <c r="A677" s="2117" t="n">
        <v>0</v>
      </c>
      <c r="B677" s="2117" t="n">
        <v>6</v>
      </c>
      <c r="C677" s="2117" t="n">
        <v>4</v>
      </c>
      <c r="D677" s="2118" t="n">
        <v>6</v>
      </c>
      <c r="E677" s="2118" t="n">
        <v>1</v>
      </c>
      <c r="G677" s="1790" t="inlineStr">
        <is>
          <t>SISTEMAS E INSTALAÇÕES ELÉTRICAS</t>
        </is>
      </c>
      <c r="H677" s="1749" t="inlineStr">
        <is>
          <t>SERVIÇO</t>
        </is>
      </c>
      <c r="I677" s="1750" t="inlineStr">
        <is>
          <t>06.004.006.001</t>
        </is>
      </c>
      <c r="J677" s="1751" t="inlineStr">
        <is>
          <t>Mão de obra para instalações elétricas</t>
        </is>
      </c>
      <c r="K677" s="1752" t="inlineStr">
        <is>
          <t>vb</t>
        </is>
      </c>
      <c r="L677" s="1753" t="n">
        <v>1</v>
      </c>
      <c r="M677" s="1753" t="n">
        <v>54748.16</v>
      </c>
      <c r="N677" s="1754" t="n">
        <v>54748.16</v>
      </c>
      <c r="O677" s="1755" t="inlineStr">
        <is>
          <t>Considerado conforme os contratos disponibilizados pelo GESSELE</t>
        </is>
      </c>
      <c r="P677" s="1721" t="inlineStr">
        <is>
          <t>Pendente</t>
        </is>
      </c>
    </row>
    <row r="678" hidden="1" outlineLevel="1" ht="13.9" customHeight="1">
      <c r="A678" s="2117" t="n">
        <v>0</v>
      </c>
      <c r="B678" s="2117" t="n">
        <v>6</v>
      </c>
      <c r="C678" s="2117" t="n">
        <v>5</v>
      </c>
      <c r="D678" s="2118" t="n">
        <v>0</v>
      </c>
      <c r="E678" s="2118" t="n">
        <v>1</v>
      </c>
      <c r="G678" s="1733" t="n"/>
      <c r="H678" s="1734" t="inlineStr">
        <is>
          <t>ETAPA</t>
        </is>
      </c>
      <c r="I678" s="1735" t="inlineStr">
        <is>
          <t>06.005</t>
        </is>
      </c>
      <c r="J678" s="1736" t="inlineStr">
        <is>
          <t>SISTEMAS E INSTALAÇÕES ELÉTRICAS - G3</t>
        </is>
      </c>
      <c r="K678" s="1737" t="n"/>
      <c r="L678" s="1738" t="n"/>
      <c r="M678" s="1738" t="n"/>
      <c r="N678" s="1739" t="n">
        <v>70327.7882118507</v>
      </c>
      <c r="O678" s="1722" t="n"/>
      <c r="P678" s="1725" t="n"/>
    </row>
    <row r="679" hidden="1" outlineLevel="2" ht="13.9" customHeight="1">
      <c r="A679" s="2117" t="n">
        <v>0</v>
      </c>
      <c r="B679" s="2117" t="n">
        <v>6</v>
      </c>
      <c r="C679" s="2117" t="n">
        <v>5</v>
      </c>
      <c r="D679" s="2118" t="n">
        <v>1</v>
      </c>
      <c r="E679" s="2118" t="n">
        <v>0</v>
      </c>
      <c r="G679" s="1740" t="n"/>
      <c r="H679" s="1741" t="inlineStr">
        <is>
          <t>SUBETAPA</t>
        </is>
      </c>
      <c r="I679" s="1742" t="inlineStr">
        <is>
          <t>06.005.001</t>
        </is>
      </c>
      <c r="J679" s="1743" t="inlineStr">
        <is>
          <t>Quadros elétricos e disjuntores</t>
        </is>
      </c>
      <c r="K679" s="1744" t="n"/>
      <c r="L679" s="1745" t="n"/>
      <c r="M679" s="1745" t="n"/>
      <c r="N679" s="1746" t="n">
        <v>973.3200000000001</v>
      </c>
      <c r="O679" s="1747" t="n"/>
      <c r="P679" s="1720" t="n"/>
    </row>
    <row r="680" hidden="1" outlineLevel="3" ht="13.9" customHeight="1">
      <c r="A680" s="2117" t="n">
        <v>0</v>
      </c>
      <c r="B680" s="2117" t="n">
        <v>6</v>
      </c>
      <c r="C680" s="2117" t="n">
        <v>5</v>
      </c>
      <c r="D680" s="2118" t="n">
        <v>1</v>
      </c>
      <c r="E680" s="2118" t="n">
        <v>1</v>
      </c>
      <c r="G680" s="1790" t="inlineStr">
        <is>
          <t>SISTEMAS E INSTALAÇÕES ELÉTRICAS</t>
        </is>
      </c>
      <c r="H680" s="1749" t="inlineStr">
        <is>
          <t>SERVIÇO</t>
        </is>
      </c>
      <c r="I680" s="1750" t="inlineStr">
        <is>
          <t>06.005.001.001</t>
        </is>
      </c>
      <c r="J680" s="1751" t="inlineStr">
        <is>
          <t>Quadros elétricos e disjuntores</t>
        </is>
      </c>
      <c r="K680" s="1752" t="inlineStr">
        <is>
          <t>vb</t>
        </is>
      </c>
      <c r="L680" s="1753" t="n">
        <v>1</v>
      </c>
      <c r="M680" s="1753" t="n">
        <v>973.3199999999999</v>
      </c>
      <c r="N680" s="1754" t="n">
        <v>973.3200000000001</v>
      </c>
      <c r="O680" s="1755" t="inlineStr">
        <is>
          <t>quantidades conforme quantidades do projetista</t>
        </is>
      </c>
      <c r="P680" s="1721" t="inlineStr">
        <is>
          <t>Pendente</t>
        </is>
      </c>
    </row>
    <row r="681" hidden="1" outlineLevel="2" ht="13.9" customHeight="1">
      <c r="A681" s="2117" t="n">
        <v>0</v>
      </c>
      <c r="B681" s="2117" t="n">
        <v>6</v>
      </c>
      <c r="C681" s="2117" t="n">
        <v>5</v>
      </c>
      <c r="D681" s="2118" t="n">
        <v>2</v>
      </c>
      <c r="E681" s="2118" t="n">
        <v>0</v>
      </c>
      <c r="G681" s="1740" t="n"/>
      <c r="H681" s="1741" t="inlineStr">
        <is>
          <t>SUBETAPA</t>
        </is>
      </c>
      <c r="I681" s="1742" t="inlineStr">
        <is>
          <t>06.005.002</t>
        </is>
      </c>
      <c r="J681" s="1743" t="inlineStr">
        <is>
          <t>Eletrodutos e eletrocalhas</t>
        </is>
      </c>
      <c r="K681" s="1744" t="n"/>
      <c r="L681" s="1745" t="n"/>
      <c r="M681" s="1745" t="n"/>
      <c r="N681" s="1746" t="n">
        <v>917.8</v>
      </c>
      <c r="O681" s="1747" t="n"/>
      <c r="P681" s="1720" t="n"/>
    </row>
    <row r="682" hidden="1" outlineLevel="3" ht="13.9" customHeight="1">
      <c r="A682" s="2117" t="n">
        <v>0</v>
      </c>
      <c r="B682" s="2117" t="n">
        <v>6</v>
      </c>
      <c r="C682" s="2117" t="n">
        <v>5</v>
      </c>
      <c r="D682" s="2118" t="n">
        <v>2</v>
      </c>
      <c r="E682" s="2118" t="n">
        <v>1</v>
      </c>
      <c r="G682" s="1790" t="inlineStr">
        <is>
          <t>SISTEMAS E INSTALAÇÕES ELÉTRICAS</t>
        </is>
      </c>
      <c r="H682" s="1749" t="inlineStr">
        <is>
          <t>SERVIÇO</t>
        </is>
      </c>
      <c r="I682" s="1750" t="inlineStr">
        <is>
          <t>06.005.002.001</t>
        </is>
      </c>
      <c r="J682" s="1751" t="inlineStr">
        <is>
          <t>Eletrodutos e eletrocalhas</t>
        </is>
      </c>
      <c r="K682" s="1752" t="inlineStr">
        <is>
          <t>vb</t>
        </is>
      </c>
      <c r="L682" s="1753" t="n">
        <v>1</v>
      </c>
      <c r="M682" s="1753" t="n">
        <v>917.8000000000001</v>
      </c>
      <c r="N682" s="1754" t="n">
        <v>917.8</v>
      </c>
      <c r="O682" s="1755" t="inlineStr">
        <is>
          <t>quantidades conforme quantidades do projetista</t>
        </is>
      </c>
      <c r="P682" s="1721" t="inlineStr">
        <is>
          <t>Pendente</t>
        </is>
      </c>
    </row>
    <row r="683" hidden="1" outlineLevel="2" ht="13.9" customHeight="1">
      <c r="A683" s="2117" t="n">
        <v>0</v>
      </c>
      <c r="B683" s="2117" t="n">
        <v>6</v>
      </c>
      <c r="C683" s="2117" t="n">
        <v>5</v>
      </c>
      <c r="D683" s="2118" t="n">
        <v>3</v>
      </c>
      <c r="E683" s="2118" t="n">
        <v>0</v>
      </c>
      <c r="G683" s="1740" t="n"/>
      <c r="H683" s="1741" t="inlineStr">
        <is>
          <t>SUBETAPA</t>
        </is>
      </c>
      <c r="I683" s="1742" t="inlineStr">
        <is>
          <t>06.005.003</t>
        </is>
      </c>
      <c r="J683" s="1743" t="inlineStr">
        <is>
          <t>Fios e cabos elétricos</t>
        </is>
      </c>
      <c r="K683" s="1744" t="n"/>
      <c r="L683" s="1745" t="n"/>
      <c r="M683" s="1745" t="n"/>
      <c r="N683" s="1746" t="n">
        <v>2104.623</v>
      </c>
      <c r="O683" s="1747" t="n"/>
      <c r="P683" s="1720" t="n"/>
    </row>
    <row r="684" hidden="1" outlineLevel="3" ht="13.9" customHeight="1">
      <c r="A684" s="2117" t="n">
        <v>0</v>
      </c>
      <c r="B684" s="2117" t="n">
        <v>6</v>
      </c>
      <c r="C684" s="2117" t="n">
        <v>5</v>
      </c>
      <c r="D684" s="2118" t="n">
        <v>3</v>
      </c>
      <c r="E684" s="2118" t="n">
        <v>1</v>
      </c>
      <c r="G684" s="1790" t="inlineStr">
        <is>
          <t>SISTEMAS E INSTALAÇÕES ELÉTRICAS</t>
        </is>
      </c>
      <c r="H684" s="1749" t="inlineStr">
        <is>
          <t>SERVIÇO</t>
        </is>
      </c>
      <c r="I684" s="1750" t="inlineStr">
        <is>
          <t>06.005.003.001</t>
        </is>
      </c>
      <c r="J684" s="1751" t="inlineStr">
        <is>
          <t>Fios e cabos elétricos</t>
        </is>
      </c>
      <c r="K684" s="1752" t="inlineStr">
        <is>
          <t>vb</t>
        </is>
      </c>
      <c r="L684" s="1753" t="n">
        <v>1</v>
      </c>
      <c r="M684" s="1753" t="n">
        <v>2104.623</v>
      </c>
      <c r="N684" s="1754" t="n">
        <v>2104.623</v>
      </c>
      <c r="O684" s="1755" t="inlineStr">
        <is>
          <t>quantidades conforme quantidades do projetista</t>
        </is>
      </c>
      <c r="P684" s="1721" t="inlineStr">
        <is>
          <t>Pendente</t>
        </is>
      </c>
    </row>
    <row r="685" hidden="1" outlineLevel="2" ht="13.9" customHeight="1">
      <c r="A685" s="2117" t="n">
        <v>0</v>
      </c>
      <c r="B685" s="2117" t="n">
        <v>6</v>
      </c>
      <c r="C685" s="2117" t="n">
        <v>5</v>
      </c>
      <c r="D685" s="2118" t="n">
        <v>4</v>
      </c>
      <c r="E685" s="2118" t="n">
        <v>0</v>
      </c>
      <c r="G685" s="1740" t="n"/>
      <c r="H685" s="1741" t="inlineStr">
        <is>
          <t>SUBETAPA</t>
        </is>
      </c>
      <c r="I685" s="1742" t="inlineStr">
        <is>
          <t>06.005.004</t>
        </is>
      </c>
      <c r="J685" s="1743" t="inlineStr">
        <is>
          <t>Pontos de tomadas e interruptores</t>
        </is>
      </c>
      <c r="K685" s="1744" t="n"/>
      <c r="L685" s="1745" t="n"/>
      <c r="M685" s="1745" t="n"/>
      <c r="N685" s="1746" t="n">
        <v>1117.7</v>
      </c>
      <c r="O685" s="1747" t="n"/>
      <c r="P685" s="1720" t="n"/>
    </row>
    <row r="686" hidden="1" outlineLevel="3" ht="13.9" customHeight="1">
      <c r="A686" s="2117" t="n">
        <v>0</v>
      </c>
      <c r="B686" s="2117" t="n">
        <v>6</v>
      </c>
      <c r="C686" s="2117" t="n">
        <v>5</v>
      </c>
      <c r="D686" s="2118" t="n">
        <v>4</v>
      </c>
      <c r="E686" s="2118" t="n">
        <v>1</v>
      </c>
      <c r="G686" s="1790" t="inlineStr">
        <is>
          <t>SISTEMAS E INSTALAÇÕES ELÉTRICAS</t>
        </is>
      </c>
      <c r="H686" s="1749" t="inlineStr">
        <is>
          <t>SERVIÇO</t>
        </is>
      </c>
      <c r="I686" s="1750" t="inlineStr">
        <is>
          <t>06.005.004.001</t>
        </is>
      </c>
      <c r="J686" s="1751" t="inlineStr">
        <is>
          <t>Pontos de tomadas e interruptores</t>
        </is>
      </c>
      <c r="K686" s="1752" t="inlineStr">
        <is>
          <t>vb</t>
        </is>
      </c>
      <c r="L686" s="1753" t="n">
        <v>1</v>
      </c>
      <c r="M686" s="1753" t="n">
        <v>1117.7</v>
      </c>
      <c r="N686" s="1754" t="n">
        <v>1117.7</v>
      </c>
      <c r="O686" s="1755" t="inlineStr">
        <is>
          <t>quantidades conforme quantidades do projetista</t>
        </is>
      </c>
      <c r="P686" s="1721" t="inlineStr">
        <is>
          <t>Pendente</t>
        </is>
      </c>
    </row>
    <row r="687" hidden="1" outlineLevel="2" ht="13.9" customHeight="1">
      <c r="A687" s="2117" t="n">
        <v>0</v>
      </c>
      <c r="B687" s="2117" t="n">
        <v>6</v>
      </c>
      <c r="C687" s="2117" t="n">
        <v>5</v>
      </c>
      <c r="D687" s="2118" t="n">
        <v>5</v>
      </c>
      <c r="E687" s="2118" t="n">
        <v>0</v>
      </c>
      <c r="G687" s="1740" t="n"/>
      <c r="H687" s="1741" t="inlineStr">
        <is>
          <t>SUBETAPA</t>
        </is>
      </c>
      <c r="I687" s="1742" t="inlineStr">
        <is>
          <t>06.005.005</t>
        </is>
      </c>
      <c r="J687" s="1743" t="inlineStr">
        <is>
          <t xml:space="preserve">Luminárias, lâmpadas e acessórios </t>
        </is>
      </c>
      <c r="K687" s="1744" t="n"/>
      <c r="L687" s="1745" t="n"/>
      <c r="M687" s="1745" t="n"/>
      <c r="N687" s="1746" t="n">
        <v>9798.545211850649</v>
      </c>
      <c r="O687" s="1747" t="n"/>
      <c r="P687" s="1720" t="n"/>
    </row>
    <row r="688" hidden="1" outlineLevel="3" ht="13.9" customHeight="1">
      <c r="A688" s="2117" t="n">
        <v>0</v>
      </c>
      <c r="B688" s="2117" t="n">
        <v>6</v>
      </c>
      <c r="C688" s="2117" t="n">
        <v>5</v>
      </c>
      <c r="D688" s="2118" t="n">
        <v>5</v>
      </c>
      <c r="E688" s="2118" t="n">
        <v>1</v>
      </c>
      <c r="G688" s="1790" t="inlineStr">
        <is>
          <t>SISTEMAS E INSTALAÇÕES ELÉTRICAS</t>
        </is>
      </c>
      <c r="H688" s="1749" t="inlineStr">
        <is>
          <t>SERVIÇO</t>
        </is>
      </c>
      <c r="I688" s="1750" t="inlineStr">
        <is>
          <t>06.005.005.001</t>
        </is>
      </c>
      <c r="J688" s="1751" t="inlineStr">
        <is>
          <t xml:space="preserve">Luminárias, lâmpadas e acessórios </t>
        </is>
      </c>
      <c r="K688" s="1752" t="inlineStr">
        <is>
          <t>vb</t>
        </is>
      </c>
      <c r="L688" s="1753" t="n">
        <v>1</v>
      </c>
      <c r="M688" s="1753" t="n">
        <v>9798.545211850646</v>
      </c>
      <c r="N688" s="1754" t="n">
        <v>9798.545211850649</v>
      </c>
      <c r="O688" s="1755" t="inlineStr">
        <is>
          <t>quantidades ESTIMADA, devido a ausência de quantitativos</t>
        </is>
      </c>
      <c r="P688" s="1721" t="inlineStr">
        <is>
          <t>Pendente</t>
        </is>
      </c>
    </row>
    <row r="689" hidden="1" outlineLevel="2" ht="13.9" customHeight="1">
      <c r="A689" s="2117" t="n">
        <v>0</v>
      </c>
      <c r="B689" s="2117" t="n">
        <v>6</v>
      </c>
      <c r="C689" s="2117" t="n">
        <v>5</v>
      </c>
      <c r="D689" s="2118" t="n">
        <v>6</v>
      </c>
      <c r="E689" s="2118" t="n">
        <v>0</v>
      </c>
      <c r="G689" s="1740" t="n"/>
      <c r="H689" s="1741" t="inlineStr">
        <is>
          <t>SUBETAPA</t>
        </is>
      </c>
      <c r="I689" s="1742" t="inlineStr">
        <is>
          <t>06.005.006</t>
        </is>
      </c>
      <c r="J689" s="1743" t="inlineStr">
        <is>
          <t>Mão de obra - Sistemas e instalações elétricas</t>
        </is>
      </c>
      <c r="K689" s="1744" t="n"/>
      <c r="L689" s="1745" t="n"/>
      <c r="M689" s="1745" t="n"/>
      <c r="N689" s="1746" t="n">
        <v>55415.8</v>
      </c>
      <c r="O689" s="1747" t="n"/>
      <c r="P689" s="1720" t="n"/>
    </row>
    <row r="690" hidden="1" outlineLevel="3" ht="13.9" customHeight="1">
      <c r="A690" s="2117" t="n">
        <v>0</v>
      </c>
      <c r="B690" s="2117" t="n">
        <v>6</v>
      </c>
      <c r="C690" s="2117" t="n">
        <v>5</v>
      </c>
      <c r="D690" s="2118" t="n">
        <v>6</v>
      </c>
      <c r="E690" s="2118" t="n">
        <v>1</v>
      </c>
      <c r="G690" s="1790" t="inlineStr">
        <is>
          <t>SISTEMAS E INSTALAÇÕES ELÉTRICAS</t>
        </is>
      </c>
      <c r="H690" s="1749" t="inlineStr">
        <is>
          <t>SERVIÇO</t>
        </is>
      </c>
      <c r="I690" s="1750" t="inlineStr">
        <is>
          <t>06.005.006.001</t>
        </is>
      </c>
      <c r="J690" s="1751" t="inlineStr">
        <is>
          <t>Mão de obra para instalações elétricas</t>
        </is>
      </c>
      <c r="K690" s="1752" t="inlineStr">
        <is>
          <t>vb</t>
        </is>
      </c>
      <c r="L690" s="1753" t="n">
        <v>1</v>
      </c>
      <c r="M690" s="1753" t="n">
        <v>55415.8</v>
      </c>
      <c r="N690" s="1754" t="n">
        <v>55415.8</v>
      </c>
      <c r="O690" s="1755" t="inlineStr">
        <is>
          <t>Considerado conforme os contratos disponibilizados pelo GESSELE</t>
        </is>
      </c>
      <c r="P690" s="1721" t="inlineStr">
        <is>
          <t>Pendente</t>
        </is>
      </c>
    </row>
    <row r="691" hidden="1" outlineLevel="1" ht="13.9" customHeight="1">
      <c r="A691" s="2117" t="n">
        <v>0</v>
      </c>
      <c r="B691" s="2117" t="n">
        <v>6</v>
      </c>
      <c r="C691" s="2117" t="n">
        <v>6</v>
      </c>
      <c r="D691" s="2118" t="n">
        <v>0</v>
      </c>
      <c r="E691" s="2118" t="n">
        <v>1</v>
      </c>
      <c r="G691" s="1733" t="n"/>
      <c r="H691" s="1734" t="inlineStr">
        <is>
          <t>ETAPA</t>
        </is>
      </c>
      <c r="I691" s="1735" t="inlineStr">
        <is>
          <t>06.006</t>
        </is>
      </c>
      <c r="J691" s="1736" t="inlineStr">
        <is>
          <t>SISTEMAS E INSTALAÇÕES ELÉTRICAS - Mezanino G3</t>
        </is>
      </c>
      <c r="K691" s="1737" t="n"/>
      <c r="L691" s="1738" t="n"/>
      <c r="M691" s="1738" t="n"/>
      <c r="N691" s="1739" t="n">
        <v>72359.7326406558</v>
      </c>
      <c r="O691" s="1722" t="n"/>
      <c r="P691" s="1725" t="n"/>
    </row>
    <row r="692" hidden="1" outlineLevel="2" ht="13.9" customHeight="1">
      <c r="A692" s="2117" t="n">
        <v>0</v>
      </c>
      <c r="B692" s="2117" t="n">
        <v>6</v>
      </c>
      <c r="C692" s="2117" t="n">
        <v>6</v>
      </c>
      <c r="D692" s="2118" t="n">
        <v>1</v>
      </c>
      <c r="E692" s="2118" t="n">
        <v>0</v>
      </c>
      <c r="G692" s="1740" t="n"/>
      <c r="H692" s="1741" t="inlineStr">
        <is>
          <t>SUBETAPA</t>
        </is>
      </c>
      <c r="I692" s="1742" t="inlineStr">
        <is>
          <t>06.006.001</t>
        </is>
      </c>
      <c r="J692" s="1743" t="inlineStr">
        <is>
          <t>Quadros elétricos e disjuntores</t>
        </is>
      </c>
      <c r="K692" s="1744" t="n"/>
      <c r="L692" s="1745" t="n"/>
      <c r="M692" s="1745" t="n"/>
      <c r="N692" s="1746" t="n">
        <v>929.27</v>
      </c>
      <c r="O692" s="1747" t="n"/>
      <c r="P692" s="1720" t="n"/>
    </row>
    <row r="693" hidden="1" outlineLevel="3" ht="13.9" customHeight="1">
      <c r="A693" s="2117" t="n">
        <v>0</v>
      </c>
      <c r="B693" s="2117" t="n">
        <v>6</v>
      </c>
      <c r="C693" s="2117" t="n">
        <v>6</v>
      </c>
      <c r="D693" s="2118" t="n">
        <v>1</v>
      </c>
      <c r="E693" s="2118" t="n">
        <v>1</v>
      </c>
      <c r="G693" s="1790" t="inlineStr">
        <is>
          <t>SISTEMAS E INSTALAÇÕES ELÉTRICAS</t>
        </is>
      </c>
      <c r="H693" s="1749" t="inlineStr">
        <is>
          <t>SERVIÇO</t>
        </is>
      </c>
      <c r="I693" s="1750" t="inlineStr">
        <is>
          <t>06.006.001.001</t>
        </is>
      </c>
      <c r="J693" s="1751" t="inlineStr">
        <is>
          <t>Quadros elétricos e disjuntores</t>
        </is>
      </c>
      <c r="K693" s="1752" t="inlineStr">
        <is>
          <t>vb</t>
        </is>
      </c>
      <c r="L693" s="1753" t="n">
        <v>1</v>
      </c>
      <c r="M693" s="1753" t="n">
        <v>929.27</v>
      </c>
      <c r="N693" s="1754" t="n">
        <v>929.27</v>
      </c>
      <c r="O693" s="1755" t="inlineStr">
        <is>
          <t>quantidades conforme quantidades do projetista</t>
        </is>
      </c>
      <c r="P693" s="1721" t="inlineStr">
        <is>
          <t>Pendente</t>
        </is>
      </c>
    </row>
    <row r="694" hidden="1" outlineLevel="2" ht="13.9" customHeight="1">
      <c r="A694" s="2117" t="n">
        <v>0</v>
      </c>
      <c r="B694" s="2117" t="n">
        <v>6</v>
      </c>
      <c r="C694" s="2117" t="n">
        <v>6</v>
      </c>
      <c r="D694" s="2118" t="n">
        <v>2</v>
      </c>
      <c r="E694" s="2118" t="n">
        <v>0</v>
      </c>
      <c r="G694" s="1740" t="n"/>
      <c r="H694" s="1741" t="inlineStr">
        <is>
          <t>SUBETAPA</t>
        </is>
      </c>
      <c r="I694" s="1742" t="inlineStr">
        <is>
          <t>06.006.002</t>
        </is>
      </c>
      <c r="J694" s="1743" t="inlineStr">
        <is>
          <t>Eletrodutos e eletrocalhas</t>
        </is>
      </c>
      <c r="K694" s="1744" t="n"/>
      <c r="L694" s="1745" t="n"/>
      <c r="M694" s="1745" t="n"/>
      <c r="N694" s="1746" t="n">
        <v>1000.55</v>
      </c>
      <c r="O694" s="1747" t="n"/>
      <c r="P694" s="1720" t="n"/>
    </row>
    <row r="695" hidden="1" outlineLevel="3" ht="13.9" customHeight="1">
      <c r="A695" s="2117" t="n">
        <v>0</v>
      </c>
      <c r="B695" s="2117" t="n">
        <v>6</v>
      </c>
      <c r="C695" s="2117" t="n">
        <v>6</v>
      </c>
      <c r="D695" s="2118" t="n">
        <v>2</v>
      </c>
      <c r="E695" s="2118" t="n">
        <v>1</v>
      </c>
      <c r="G695" s="1790" t="inlineStr">
        <is>
          <t>SISTEMAS E INSTALAÇÕES ELÉTRICAS</t>
        </is>
      </c>
      <c r="H695" s="1749" t="inlineStr">
        <is>
          <t>SERVIÇO</t>
        </is>
      </c>
      <c r="I695" s="1750" t="inlineStr">
        <is>
          <t>06.006.002.001</t>
        </is>
      </c>
      <c r="J695" s="1751" t="inlineStr">
        <is>
          <t>Eletrodutos e eletrocalhas</t>
        </is>
      </c>
      <c r="K695" s="1752" t="inlineStr">
        <is>
          <t>vb</t>
        </is>
      </c>
      <c r="L695" s="1753" t="n">
        <v>1</v>
      </c>
      <c r="M695" s="1753" t="n">
        <v>1000.55</v>
      </c>
      <c r="N695" s="1754" t="n">
        <v>1000.55</v>
      </c>
      <c r="O695" s="1755" t="inlineStr">
        <is>
          <t>quantidades conforme quantidades do projetista</t>
        </is>
      </c>
      <c r="P695" s="1721" t="inlineStr">
        <is>
          <t>Pendente</t>
        </is>
      </c>
    </row>
    <row r="696" hidden="1" outlineLevel="2" ht="13.9" customHeight="1">
      <c r="A696" s="2117" t="n">
        <v>0</v>
      </c>
      <c r="B696" s="2117" t="n">
        <v>6</v>
      </c>
      <c r="C696" s="2117" t="n">
        <v>6</v>
      </c>
      <c r="D696" s="2118" t="n">
        <v>3</v>
      </c>
      <c r="E696" s="2118" t="n">
        <v>0</v>
      </c>
      <c r="G696" s="1740" t="n"/>
      <c r="H696" s="1741" t="inlineStr">
        <is>
          <t>SUBETAPA</t>
        </is>
      </c>
      <c r="I696" s="1742" t="inlineStr">
        <is>
          <t>06.006.003</t>
        </is>
      </c>
      <c r="J696" s="1743" t="inlineStr">
        <is>
          <t>Fios e cabos elétricos</t>
        </is>
      </c>
      <c r="K696" s="1744" t="n"/>
      <c r="L696" s="1745" t="n"/>
      <c r="M696" s="1745" t="n"/>
      <c r="N696" s="1746" t="n">
        <v>3038.793</v>
      </c>
      <c r="O696" s="1747" t="n"/>
      <c r="P696" s="1720" t="n"/>
    </row>
    <row r="697" hidden="1" outlineLevel="3" ht="13.9" customHeight="1">
      <c r="A697" s="2117" t="n">
        <v>0</v>
      </c>
      <c r="B697" s="2117" t="n">
        <v>6</v>
      </c>
      <c r="C697" s="2117" t="n">
        <v>6</v>
      </c>
      <c r="D697" s="2118" t="n">
        <v>3</v>
      </c>
      <c r="E697" s="2118" t="n">
        <v>1</v>
      </c>
      <c r="G697" s="1790" t="inlineStr">
        <is>
          <t>SISTEMAS E INSTALAÇÕES ELÉTRICAS</t>
        </is>
      </c>
      <c r="H697" s="1749" t="inlineStr">
        <is>
          <t>SERVIÇO</t>
        </is>
      </c>
      <c r="I697" s="1750" t="inlineStr">
        <is>
          <t>06.006.003.001</t>
        </is>
      </c>
      <c r="J697" s="1751" t="inlineStr">
        <is>
          <t>Fios e cabos elétricos</t>
        </is>
      </c>
      <c r="K697" s="1752" t="inlineStr">
        <is>
          <t>vb</t>
        </is>
      </c>
      <c r="L697" s="1753" t="n">
        <v>1</v>
      </c>
      <c r="M697" s="1753" t="n">
        <v>3038.793</v>
      </c>
      <c r="N697" s="1754" t="n">
        <v>3038.793</v>
      </c>
      <c r="O697" s="1755" t="inlineStr">
        <is>
          <t>quantidades conforme quantidades do projetista</t>
        </is>
      </c>
      <c r="P697" s="1721" t="inlineStr">
        <is>
          <t>Pendente</t>
        </is>
      </c>
    </row>
    <row r="698" hidden="1" outlineLevel="2" ht="13.9" customHeight="1">
      <c r="A698" s="2117" t="n">
        <v>0</v>
      </c>
      <c r="B698" s="2117" t="n">
        <v>6</v>
      </c>
      <c r="C698" s="2117" t="n">
        <v>6</v>
      </c>
      <c r="D698" s="2118" t="n">
        <v>4</v>
      </c>
      <c r="E698" s="2118" t="n">
        <v>0</v>
      </c>
      <c r="G698" s="1740" t="n"/>
      <c r="H698" s="1741" t="inlineStr">
        <is>
          <t>SUBETAPA</t>
        </is>
      </c>
      <c r="I698" s="1742" t="inlineStr">
        <is>
          <t>06.006.004</t>
        </is>
      </c>
      <c r="J698" s="1743" t="inlineStr">
        <is>
          <t>Pontos de tomadas e interruptores</t>
        </is>
      </c>
      <c r="K698" s="1744" t="n"/>
      <c r="L698" s="1745" t="n"/>
      <c r="M698" s="1745" t="n"/>
      <c r="N698" s="1746" t="n">
        <v>1005.6</v>
      </c>
      <c r="O698" s="1747" t="n"/>
      <c r="P698" s="1720" t="n"/>
    </row>
    <row r="699" hidden="1" outlineLevel="3" ht="13.9" customHeight="1">
      <c r="A699" s="2117" t="n">
        <v>0</v>
      </c>
      <c r="B699" s="2117" t="n">
        <v>6</v>
      </c>
      <c r="C699" s="2117" t="n">
        <v>6</v>
      </c>
      <c r="D699" s="2118" t="n">
        <v>4</v>
      </c>
      <c r="E699" s="2118" t="n">
        <v>1</v>
      </c>
      <c r="G699" s="1790" t="inlineStr">
        <is>
          <t>SISTEMAS E INSTALAÇÕES ELÉTRICAS</t>
        </is>
      </c>
      <c r="H699" s="1749" t="inlineStr">
        <is>
          <t>SERVIÇO</t>
        </is>
      </c>
      <c r="I699" s="1750" t="inlineStr">
        <is>
          <t>06.006.004.001</t>
        </is>
      </c>
      <c r="J699" s="1751" t="inlineStr">
        <is>
          <t>Pontos de tomadas e interruptores</t>
        </is>
      </c>
      <c r="K699" s="1752" t="inlineStr">
        <is>
          <t>vb</t>
        </is>
      </c>
      <c r="L699" s="1753" t="n">
        <v>1</v>
      </c>
      <c r="M699" s="1753" t="n">
        <v>1005.6</v>
      </c>
      <c r="N699" s="1754" t="n">
        <v>1005.6</v>
      </c>
      <c r="O699" s="1755" t="inlineStr">
        <is>
          <t>quantidades conforme quantidades do projetista</t>
        </is>
      </c>
      <c r="P699" s="1721" t="inlineStr">
        <is>
          <t>Pendente</t>
        </is>
      </c>
    </row>
    <row r="700" hidden="1" outlineLevel="2" ht="13.9" customHeight="1">
      <c r="A700" s="2117" t="n">
        <v>0</v>
      </c>
      <c r="B700" s="2117" t="n">
        <v>6</v>
      </c>
      <c r="C700" s="2117" t="n">
        <v>6</v>
      </c>
      <c r="D700" s="2118" t="n">
        <v>5</v>
      </c>
      <c r="E700" s="2118" t="n">
        <v>0</v>
      </c>
      <c r="G700" s="1740" t="n"/>
      <c r="H700" s="1741" t="inlineStr">
        <is>
          <t>SUBETAPA</t>
        </is>
      </c>
      <c r="I700" s="1742" t="inlineStr">
        <is>
          <t>06.006.005</t>
        </is>
      </c>
      <c r="J700" s="1743" t="inlineStr">
        <is>
          <t xml:space="preserve">Luminárias, lâmpadas e acessórios </t>
        </is>
      </c>
      <c r="K700" s="1744" t="n"/>
      <c r="L700" s="1745" t="n"/>
      <c r="M700" s="1745" t="n"/>
      <c r="N700" s="1746" t="n">
        <v>9954.139640655791</v>
      </c>
      <c r="O700" s="1747" t="n"/>
      <c r="P700" s="1720" t="n"/>
    </row>
    <row r="701" hidden="1" outlineLevel="3" ht="13.9" customHeight="1">
      <c r="A701" s="2117" t="n">
        <v>0</v>
      </c>
      <c r="B701" s="2117" t="n">
        <v>6</v>
      </c>
      <c r="C701" s="2117" t="n">
        <v>6</v>
      </c>
      <c r="D701" s="2118" t="n">
        <v>5</v>
      </c>
      <c r="E701" s="2118" t="n">
        <v>1</v>
      </c>
      <c r="G701" s="1790" t="inlineStr">
        <is>
          <t>SISTEMAS E INSTALAÇÕES ELÉTRICAS</t>
        </is>
      </c>
      <c r="H701" s="1749" t="inlineStr">
        <is>
          <t>SERVIÇO</t>
        </is>
      </c>
      <c r="I701" s="1750" t="inlineStr">
        <is>
          <t>06.006.005.001</t>
        </is>
      </c>
      <c r="J701" s="1751" t="inlineStr">
        <is>
          <t xml:space="preserve">Luminárias, lâmpadas e acessórios </t>
        </is>
      </c>
      <c r="K701" s="1752" t="inlineStr">
        <is>
          <t>vb</t>
        </is>
      </c>
      <c r="L701" s="1753" t="n">
        <v>1</v>
      </c>
      <c r="M701" s="1753" t="n">
        <v>9954.139640655787</v>
      </c>
      <c r="N701" s="1754" t="n">
        <v>9954.139640655791</v>
      </c>
      <c r="O701" s="1755" t="inlineStr">
        <is>
          <t>quantidades ESTIMADA, devido a ausência de quantitativos</t>
        </is>
      </c>
      <c r="P701" s="1721" t="inlineStr">
        <is>
          <t>Pendente</t>
        </is>
      </c>
    </row>
    <row r="702" hidden="1" outlineLevel="2" ht="13.9" customHeight="1">
      <c r="A702" s="2117" t="n">
        <v>0</v>
      </c>
      <c r="B702" s="2117" t="n">
        <v>6</v>
      </c>
      <c r="C702" s="2117" t="n">
        <v>6</v>
      </c>
      <c r="D702" s="2118" t="n">
        <v>6</v>
      </c>
      <c r="E702" s="2118" t="n">
        <v>0</v>
      </c>
      <c r="G702" s="1740" t="n"/>
      <c r="H702" s="1741" t="inlineStr">
        <is>
          <t>SUBETAPA</t>
        </is>
      </c>
      <c r="I702" s="1742" t="inlineStr">
        <is>
          <t>06.006.006</t>
        </is>
      </c>
      <c r="J702" s="1743" t="inlineStr">
        <is>
          <t>Mão de obra - Sistemas e instalações elétricas</t>
        </is>
      </c>
      <c r="K702" s="1744" t="n"/>
      <c r="L702" s="1745" t="n"/>
      <c r="M702" s="1745" t="n"/>
      <c r="N702" s="1746" t="n">
        <v>56431.38</v>
      </c>
      <c r="O702" s="1747" t="n"/>
      <c r="P702" s="1720" t="n"/>
    </row>
    <row r="703" hidden="1" outlineLevel="3" ht="13.9" customHeight="1">
      <c r="A703" s="2117" t="n">
        <v>0</v>
      </c>
      <c r="B703" s="2117" t="n">
        <v>6</v>
      </c>
      <c r="C703" s="2117" t="n">
        <v>6</v>
      </c>
      <c r="D703" s="2118" t="n">
        <v>6</v>
      </c>
      <c r="E703" s="2118" t="n">
        <v>1</v>
      </c>
      <c r="G703" s="1790" t="inlineStr">
        <is>
          <t>SISTEMAS E INSTALAÇÕES ELÉTRICAS</t>
        </is>
      </c>
      <c r="H703" s="1749" t="inlineStr">
        <is>
          <t>SERVIÇO</t>
        </is>
      </c>
      <c r="I703" s="1750" t="inlineStr">
        <is>
          <t>06.006.006.001</t>
        </is>
      </c>
      <c r="J703" s="1751" t="inlineStr">
        <is>
          <t>Mão de obra para instalações elétricas</t>
        </is>
      </c>
      <c r="K703" s="1752" t="inlineStr">
        <is>
          <t>vb</t>
        </is>
      </c>
      <c r="L703" s="1753" t="n">
        <v>1</v>
      </c>
      <c r="M703" s="1753" t="n">
        <v>56431.38</v>
      </c>
      <c r="N703" s="1754" t="n">
        <v>56431.38</v>
      </c>
      <c r="O703" s="1755" t="inlineStr">
        <is>
          <t>Considerado conforme os contratos disponibilizados pelo GESSELE</t>
        </is>
      </c>
      <c r="P703" s="1721" t="inlineStr">
        <is>
          <t>Pendente</t>
        </is>
      </c>
    </row>
    <row r="704" hidden="1" outlineLevel="1" ht="13.9" customHeight="1">
      <c r="A704" s="2117" t="n">
        <v>0</v>
      </c>
      <c r="B704" s="2117" t="n">
        <v>6</v>
      </c>
      <c r="C704" s="2117" t="n">
        <v>7</v>
      </c>
      <c r="D704" s="2118" t="n">
        <v>0</v>
      </c>
      <c r="E704" s="2118" t="n">
        <v>1</v>
      </c>
      <c r="G704" s="1733" t="n"/>
      <c r="H704" s="1734" t="inlineStr">
        <is>
          <t>ETAPA</t>
        </is>
      </c>
      <c r="I704" s="1735" t="inlineStr">
        <is>
          <t>06.007</t>
        </is>
      </c>
      <c r="J704" s="1736" t="inlineStr">
        <is>
          <t>SISTEMAS E INSTALAÇÕES ELÉTRICAS - Lazer | Garagem</t>
        </is>
      </c>
      <c r="K704" s="1737" t="n"/>
      <c r="L704" s="1738" t="n"/>
      <c r="M704" s="1738" t="n"/>
      <c r="N704" s="1739" t="n">
        <v>81697.7066406558</v>
      </c>
      <c r="O704" s="1722" t="n"/>
      <c r="P704" s="1725" t="n"/>
    </row>
    <row r="705" hidden="1" outlineLevel="2" ht="13.9" customHeight="1">
      <c r="A705" s="2117" t="n">
        <v>0</v>
      </c>
      <c r="B705" s="2117" t="n">
        <v>6</v>
      </c>
      <c r="C705" s="2117" t="n">
        <v>7</v>
      </c>
      <c r="D705" s="2118" t="n">
        <v>1</v>
      </c>
      <c r="E705" s="2118" t="n">
        <v>0</v>
      </c>
      <c r="G705" s="1740" t="n"/>
      <c r="H705" s="1741" t="inlineStr">
        <is>
          <t>SUBETAPA</t>
        </is>
      </c>
      <c r="I705" s="1742" t="inlineStr">
        <is>
          <t>06.007.001</t>
        </is>
      </c>
      <c r="J705" s="1743" t="inlineStr">
        <is>
          <t>Quadros elétricos e disjuntores</t>
        </is>
      </c>
      <c r="K705" s="1744" t="n"/>
      <c r="L705" s="1745" t="n"/>
      <c r="M705" s="1745" t="n"/>
      <c r="N705" s="1746" t="n">
        <v>2807.64</v>
      </c>
      <c r="O705" s="1747" t="n"/>
      <c r="P705" s="1720" t="n"/>
    </row>
    <row r="706" hidden="1" outlineLevel="3" ht="13.9" customHeight="1">
      <c r="A706" s="2117" t="n">
        <v>0</v>
      </c>
      <c r="B706" s="2117" t="n">
        <v>6</v>
      </c>
      <c r="C706" s="2117" t="n">
        <v>7</v>
      </c>
      <c r="D706" s="2118" t="n">
        <v>1</v>
      </c>
      <c r="E706" s="2118" t="n">
        <v>1</v>
      </c>
      <c r="G706" s="1790" t="inlineStr">
        <is>
          <t>SISTEMAS E INSTALAÇÕES ELÉTRICAS</t>
        </is>
      </c>
      <c r="H706" s="1749" t="inlineStr">
        <is>
          <t>SERVIÇO</t>
        </is>
      </c>
      <c r="I706" s="1750" t="inlineStr">
        <is>
          <t>06.007.001.001</t>
        </is>
      </c>
      <c r="J706" s="1751" t="inlineStr">
        <is>
          <t>Quadros elétricos e disjuntores</t>
        </is>
      </c>
      <c r="K706" s="1752" t="inlineStr">
        <is>
          <t>vb</t>
        </is>
      </c>
      <c r="L706" s="1753" t="n">
        <v>1</v>
      </c>
      <c r="M706" s="1753" t="n">
        <v>2807.64</v>
      </c>
      <c r="N706" s="1754" t="n">
        <v>2807.64</v>
      </c>
      <c r="O706" s="1755" t="inlineStr">
        <is>
          <t>quantidades conforme quantidades do projetista</t>
        </is>
      </c>
      <c r="P706" s="1721" t="inlineStr">
        <is>
          <t>Pendente</t>
        </is>
      </c>
    </row>
    <row r="707" hidden="1" outlineLevel="2" ht="13.9" customHeight="1">
      <c r="A707" s="2117" t="n">
        <v>0</v>
      </c>
      <c r="B707" s="2117" t="n">
        <v>6</v>
      </c>
      <c r="C707" s="2117" t="n">
        <v>7</v>
      </c>
      <c r="D707" s="2118" t="n">
        <v>2</v>
      </c>
      <c r="E707" s="2118" t="n">
        <v>0</v>
      </c>
      <c r="G707" s="1740" t="n"/>
      <c r="H707" s="1741" t="inlineStr">
        <is>
          <t>SUBETAPA</t>
        </is>
      </c>
      <c r="I707" s="1742" t="inlineStr">
        <is>
          <t>06.007.002</t>
        </is>
      </c>
      <c r="J707" s="1743" t="inlineStr">
        <is>
          <t>Eletrodutos e eletrocalhas</t>
        </is>
      </c>
      <c r="K707" s="1744" t="n"/>
      <c r="L707" s="1745" t="n"/>
      <c r="M707" s="1745" t="n"/>
      <c r="N707" s="1746" t="n">
        <v>2979.55</v>
      </c>
      <c r="O707" s="1747" t="n"/>
      <c r="P707" s="1720" t="n"/>
    </row>
    <row r="708" hidden="1" outlineLevel="3" ht="13.9" customHeight="1">
      <c r="A708" s="2117" t="n">
        <v>0</v>
      </c>
      <c r="B708" s="2117" t="n">
        <v>6</v>
      </c>
      <c r="C708" s="2117" t="n">
        <v>7</v>
      </c>
      <c r="D708" s="2118" t="n">
        <v>2</v>
      </c>
      <c r="E708" s="2118" t="n">
        <v>1</v>
      </c>
      <c r="G708" s="1790" t="inlineStr">
        <is>
          <t>SISTEMAS E INSTALAÇÕES ELÉTRICAS</t>
        </is>
      </c>
      <c r="H708" s="1749" t="inlineStr">
        <is>
          <t>SERVIÇO</t>
        </is>
      </c>
      <c r="I708" s="1750" t="inlineStr">
        <is>
          <t>06.007.002.001</t>
        </is>
      </c>
      <c r="J708" s="1751" t="inlineStr">
        <is>
          <t>Eletrodutos e eletrocalhas</t>
        </is>
      </c>
      <c r="K708" s="1752" t="inlineStr">
        <is>
          <t>vb</t>
        </is>
      </c>
      <c r="L708" s="1753" t="n">
        <v>1</v>
      </c>
      <c r="M708" s="1753" t="n">
        <v>2979.55</v>
      </c>
      <c r="N708" s="1754" t="n">
        <v>2979.55</v>
      </c>
      <c r="O708" s="1755" t="inlineStr">
        <is>
          <t>quantidades conforme quantidades do projetista</t>
        </is>
      </c>
      <c r="P708" s="1721" t="inlineStr">
        <is>
          <t>Pendente</t>
        </is>
      </c>
    </row>
    <row r="709" hidden="1" outlineLevel="2" ht="13.9" customHeight="1">
      <c r="A709" s="2117" t="n">
        <v>0</v>
      </c>
      <c r="B709" s="2117" t="n">
        <v>6</v>
      </c>
      <c r="C709" s="2117" t="n">
        <v>7</v>
      </c>
      <c r="D709" s="2118" t="n">
        <v>3</v>
      </c>
      <c r="E709" s="2118" t="n">
        <v>0</v>
      </c>
      <c r="G709" s="1740" t="n"/>
      <c r="H709" s="1741" t="inlineStr">
        <is>
          <t>SUBETAPA</t>
        </is>
      </c>
      <c r="I709" s="1742" t="inlineStr">
        <is>
          <t>06.007.003</t>
        </is>
      </c>
      <c r="J709" s="1743" t="inlineStr">
        <is>
          <t>Fios e cabos elétricos</t>
        </is>
      </c>
      <c r="K709" s="1744" t="n"/>
      <c r="L709" s="1745" t="n"/>
      <c r="M709" s="1745" t="n"/>
      <c r="N709" s="1746" t="n">
        <v>7370.947</v>
      </c>
      <c r="O709" s="1747" t="n"/>
      <c r="P709" s="1720" t="n"/>
    </row>
    <row r="710" hidden="1" outlineLevel="3" ht="13.9" customHeight="1">
      <c r="A710" s="2117" t="n">
        <v>0</v>
      </c>
      <c r="B710" s="2117" t="n">
        <v>6</v>
      </c>
      <c r="C710" s="2117" t="n">
        <v>7</v>
      </c>
      <c r="D710" s="2118" t="n">
        <v>3</v>
      </c>
      <c r="E710" s="2118" t="n">
        <v>1</v>
      </c>
      <c r="G710" s="1790" t="inlineStr">
        <is>
          <t>SISTEMAS E INSTALAÇÕES ELÉTRICAS</t>
        </is>
      </c>
      <c r="H710" s="1749" t="inlineStr">
        <is>
          <t>SERVIÇO</t>
        </is>
      </c>
      <c r="I710" s="1750" t="inlineStr">
        <is>
          <t>06.007.003.001</t>
        </is>
      </c>
      <c r="J710" s="1751" t="inlineStr">
        <is>
          <t>Fios e cabos elétricos</t>
        </is>
      </c>
      <c r="K710" s="1752" t="inlineStr">
        <is>
          <t>vb</t>
        </is>
      </c>
      <c r="L710" s="1753" t="n">
        <v>1</v>
      </c>
      <c r="M710" s="1753" t="n">
        <v>7370.946999999999</v>
      </c>
      <c r="N710" s="1754" t="n">
        <v>7370.947</v>
      </c>
      <c r="O710" s="1755" t="inlineStr">
        <is>
          <t>quantidades conforme quantidades do projetista</t>
        </is>
      </c>
      <c r="P710" s="1721" t="inlineStr">
        <is>
          <t>Pendente</t>
        </is>
      </c>
    </row>
    <row r="711" hidden="1" outlineLevel="2" ht="13.9" customHeight="1">
      <c r="A711" s="2117" t="n">
        <v>0</v>
      </c>
      <c r="B711" s="2117" t="n">
        <v>6</v>
      </c>
      <c r="C711" s="2117" t="n">
        <v>7</v>
      </c>
      <c r="D711" s="2118" t="n">
        <v>4</v>
      </c>
      <c r="E711" s="2118" t="n">
        <v>0</v>
      </c>
      <c r="G711" s="1740" t="n"/>
      <c r="H711" s="1741" t="inlineStr">
        <is>
          <t>SUBETAPA</t>
        </is>
      </c>
      <c r="I711" s="1742" t="inlineStr">
        <is>
          <t>06.007.004</t>
        </is>
      </c>
      <c r="J711" s="1743" t="inlineStr">
        <is>
          <t>Pontos de tomadas e interruptores</t>
        </is>
      </c>
      <c r="K711" s="1744" t="n"/>
      <c r="L711" s="1745" t="n"/>
      <c r="M711" s="1745" t="n"/>
      <c r="N711" s="1746" t="n">
        <v>2289.69</v>
      </c>
      <c r="O711" s="1747" t="n"/>
      <c r="P711" s="1720" t="n"/>
    </row>
    <row r="712" hidden="1" outlineLevel="3" ht="13.9" customHeight="1">
      <c r="A712" s="2117" t="n">
        <v>0</v>
      </c>
      <c r="B712" s="2117" t="n">
        <v>6</v>
      </c>
      <c r="C712" s="2117" t="n">
        <v>7</v>
      </c>
      <c r="D712" s="2118" t="n">
        <v>4</v>
      </c>
      <c r="E712" s="2118" t="n">
        <v>1</v>
      </c>
      <c r="G712" s="1790" t="inlineStr">
        <is>
          <t>SISTEMAS E INSTALAÇÕES ELÉTRICAS</t>
        </is>
      </c>
      <c r="H712" s="1749" t="inlineStr">
        <is>
          <t>SERVIÇO</t>
        </is>
      </c>
      <c r="I712" s="1750" t="inlineStr">
        <is>
          <t>06.007.004.001</t>
        </is>
      </c>
      <c r="J712" s="1751" t="inlineStr">
        <is>
          <t>Pontos de tomadas e interruptores</t>
        </is>
      </c>
      <c r="K712" s="1752" t="inlineStr">
        <is>
          <t>vb</t>
        </is>
      </c>
      <c r="L712" s="1753" t="n">
        <v>1</v>
      </c>
      <c r="M712" s="1753" t="n">
        <v>2289.69</v>
      </c>
      <c r="N712" s="1754" t="n">
        <v>2289.69</v>
      </c>
      <c r="O712" s="1755" t="inlineStr">
        <is>
          <t>quantidades conforme quantidades do projetista</t>
        </is>
      </c>
      <c r="P712" s="1721" t="inlineStr">
        <is>
          <t>Pendente</t>
        </is>
      </c>
    </row>
    <row r="713" hidden="1" outlineLevel="2" ht="13.9" customHeight="1">
      <c r="A713" s="2117" t="n">
        <v>0</v>
      </c>
      <c r="B713" s="2117" t="n">
        <v>6</v>
      </c>
      <c r="C713" s="2117" t="n">
        <v>7</v>
      </c>
      <c r="D713" s="2118" t="n">
        <v>5</v>
      </c>
      <c r="E713" s="2118" t="n">
        <v>0</v>
      </c>
      <c r="G713" s="1740" t="n"/>
      <c r="H713" s="1741" t="inlineStr">
        <is>
          <t>SUBETAPA</t>
        </is>
      </c>
      <c r="I713" s="1742" t="inlineStr">
        <is>
          <t>06.007.005</t>
        </is>
      </c>
      <c r="J713" s="1743" t="inlineStr">
        <is>
          <t xml:space="preserve">Luminárias, lâmpadas e acessórios </t>
        </is>
      </c>
      <c r="K713" s="1744" t="n"/>
      <c r="L713" s="1745" t="n"/>
      <c r="M713" s="1745" t="n"/>
      <c r="N713" s="1746" t="n">
        <v>9954.139640655791</v>
      </c>
      <c r="O713" s="1747" t="n"/>
      <c r="P713" s="1720" t="n"/>
    </row>
    <row r="714" hidden="1" outlineLevel="3" ht="13.9" customHeight="1">
      <c r="A714" s="2117" t="n">
        <v>0</v>
      </c>
      <c r="B714" s="2117" t="n">
        <v>6</v>
      </c>
      <c r="C714" s="2117" t="n">
        <v>7</v>
      </c>
      <c r="D714" s="2118" t="n">
        <v>5</v>
      </c>
      <c r="E714" s="2118" t="n">
        <v>1</v>
      </c>
      <c r="G714" s="1790" t="inlineStr">
        <is>
          <t>SISTEMAS E INSTALAÇÕES ELÉTRICAS</t>
        </is>
      </c>
      <c r="H714" s="1749" t="inlineStr">
        <is>
          <t>SERVIÇO</t>
        </is>
      </c>
      <c r="I714" s="1750" t="inlineStr">
        <is>
          <t>06.007.005.001</t>
        </is>
      </c>
      <c r="J714" s="1751" t="inlineStr">
        <is>
          <t xml:space="preserve">Luminárias, lâmpadas e acessórios </t>
        </is>
      </c>
      <c r="K714" s="1752" t="inlineStr">
        <is>
          <t>vb</t>
        </is>
      </c>
      <c r="L714" s="1753" t="n">
        <v>1</v>
      </c>
      <c r="M714" s="1753" t="n">
        <v>9954.139640655787</v>
      </c>
      <c r="N714" s="1754" t="n">
        <v>9954.139640655791</v>
      </c>
      <c r="O714" s="1755" t="inlineStr">
        <is>
          <t>quantidades ESTIMADA, devido a ausência de quantitativos</t>
        </is>
      </c>
      <c r="P714" s="1721" t="inlineStr">
        <is>
          <t>Pendente</t>
        </is>
      </c>
    </row>
    <row r="715" hidden="1" outlineLevel="2" ht="13.9" customHeight="1">
      <c r="A715" s="2117" t="n">
        <v>0</v>
      </c>
      <c r="B715" s="2117" t="n">
        <v>6</v>
      </c>
      <c r="C715" s="2117" t="n">
        <v>7</v>
      </c>
      <c r="D715" s="2118" t="n">
        <v>6</v>
      </c>
      <c r="E715" s="2118" t="n">
        <v>0</v>
      </c>
      <c r="G715" s="1740" t="n"/>
      <c r="H715" s="1741" t="inlineStr">
        <is>
          <t>SUBETAPA</t>
        </is>
      </c>
      <c r="I715" s="1742" t="inlineStr">
        <is>
          <t>06.007.006</t>
        </is>
      </c>
      <c r="J715" s="1743" t="inlineStr">
        <is>
          <t>Mão de obra - Sistemas e instalações elétricas</t>
        </is>
      </c>
      <c r="K715" s="1744" t="n"/>
      <c r="L715" s="1745" t="n"/>
      <c r="M715" s="1745" t="n"/>
      <c r="N715" s="1746" t="n">
        <v>56295.74</v>
      </c>
      <c r="O715" s="1747" t="n"/>
      <c r="P715" s="1720" t="n"/>
    </row>
    <row r="716" hidden="1" outlineLevel="3" ht="13.9" customHeight="1">
      <c r="A716" s="2117" t="n">
        <v>0</v>
      </c>
      <c r="B716" s="2117" t="n">
        <v>6</v>
      </c>
      <c r="C716" s="2117" t="n">
        <v>7</v>
      </c>
      <c r="D716" s="2118" t="n">
        <v>6</v>
      </c>
      <c r="E716" s="2118" t="n">
        <v>1</v>
      </c>
      <c r="G716" s="1790" t="inlineStr">
        <is>
          <t>SISTEMAS E INSTALAÇÕES ELÉTRICAS</t>
        </is>
      </c>
      <c r="H716" s="1749" t="inlineStr">
        <is>
          <t>SERVIÇO</t>
        </is>
      </c>
      <c r="I716" s="1750" t="inlineStr">
        <is>
          <t>06.007.006.001</t>
        </is>
      </c>
      <c r="J716" s="1751" t="inlineStr">
        <is>
          <t>Mão de obra para instalações elétricas</t>
        </is>
      </c>
      <c r="K716" s="1752" t="inlineStr">
        <is>
          <t>vb</t>
        </is>
      </c>
      <c r="L716" s="1753" t="n">
        <v>1</v>
      </c>
      <c r="M716" s="1753" t="n">
        <v>56295.74</v>
      </c>
      <c r="N716" s="1754" t="n">
        <v>56295.74</v>
      </c>
      <c r="O716" s="1755" t="inlineStr">
        <is>
          <t>Considerado conforme os contratos disponibilizados pelo GESSELE</t>
        </is>
      </c>
      <c r="P716" s="1721" t="inlineStr">
        <is>
          <t>Pendente</t>
        </is>
      </c>
    </row>
    <row r="717" hidden="1" outlineLevel="1" ht="13.9" customHeight="1">
      <c r="A717" s="2117" t="n">
        <v>0</v>
      </c>
      <c r="B717" s="2117" t="n">
        <v>6</v>
      </c>
      <c r="C717" s="2117" t="n">
        <v>8</v>
      </c>
      <c r="D717" s="2118" t="n">
        <v>0</v>
      </c>
      <c r="E717" s="2118" t="n">
        <v>1</v>
      </c>
      <c r="G717" s="1733" t="n"/>
      <c r="H717" s="1734" t="inlineStr">
        <is>
          <t>ETAPA</t>
        </is>
      </c>
      <c r="I717" s="1735" t="inlineStr">
        <is>
          <t>06.008</t>
        </is>
      </c>
      <c r="J717" s="1736" t="inlineStr">
        <is>
          <t>SISTEMAS E INSTALAÇÕES ELÉTRICAS - Lazer</t>
        </is>
      </c>
      <c r="K717" s="1737" t="n"/>
      <c r="L717" s="1738" t="n"/>
      <c r="M717" s="1738" t="n"/>
      <c r="N717" s="1739" t="n">
        <v>59626.1100300747</v>
      </c>
      <c r="O717" s="1722" t="n"/>
      <c r="P717" s="1725" t="n"/>
    </row>
    <row r="718" hidden="1" outlineLevel="2" ht="13.9" customHeight="1">
      <c r="A718" s="2117" t="n">
        <v>0</v>
      </c>
      <c r="B718" s="2117" t="n">
        <v>6</v>
      </c>
      <c r="C718" s="2117" t="n">
        <v>8</v>
      </c>
      <c r="D718" s="2118" t="n">
        <v>1</v>
      </c>
      <c r="E718" s="2118" t="n">
        <v>0</v>
      </c>
      <c r="G718" s="1740" t="n"/>
      <c r="H718" s="1741" t="inlineStr">
        <is>
          <t>SUBETAPA</t>
        </is>
      </c>
      <c r="I718" s="1742" t="inlineStr">
        <is>
          <t>06.008.001</t>
        </is>
      </c>
      <c r="J718" s="1743" t="inlineStr">
        <is>
          <t>Quadros elétricos e disjuntores</t>
        </is>
      </c>
      <c r="K718" s="1744" t="n"/>
      <c r="L718" s="1745" t="n"/>
      <c r="M718" s="1745" t="n"/>
      <c r="N718" s="1746" t="n">
        <v>2101.14</v>
      </c>
      <c r="O718" s="1747" t="n"/>
      <c r="P718" s="1720" t="n"/>
    </row>
    <row r="719" hidden="1" outlineLevel="3" ht="13.9" customHeight="1">
      <c r="A719" s="2117" t="n">
        <v>0</v>
      </c>
      <c r="B719" s="2117" t="n">
        <v>6</v>
      </c>
      <c r="C719" s="2117" t="n">
        <v>8</v>
      </c>
      <c r="D719" s="2118" t="n">
        <v>1</v>
      </c>
      <c r="E719" s="2118" t="n">
        <v>1</v>
      </c>
      <c r="G719" s="1790" t="inlineStr">
        <is>
          <t>SISTEMAS E INSTALAÇÕES ELÉTRICAS</t>
        </is>
      </c>
      <c r="H719" s="1749" t="inlineStr">
        <is>
          <t>SERVIÇO</t>
        </is>
      </c>
      <c r="I719" s="1750" t="inlineStr">
        <is>
          <t>06.008.001.001</t>
        </is>
      </c>
      <c r="J719" s="1751" t="inlineStr">
        <is>
          <t>Quadros elétricos e disjuntores</t>
        </is>
      </c>
      <c r="K719" s="1752" t="inlineStr">
        <is>
          <t>vb</t>
        </is>
      </c>
      <c r="L719" s="1753" t="n">
        <v>1</v>
      </c>
      <c r="M719" s="1753" t="n">
        <v>2101.14</v>
      </c>
      <c r="N719" s="1754" t="n">
        <v>2101.14</v>
      </c>
      <c r="O719" s="1755" t="inlineStr">
        <is>
          <t>quantidades conforme quantidades do projetista</t>
        </is>
      </c>
      <c r="P719" s="1721" t="inlineStr">
        <is>
          <t>Pendente</t>
        </is>
      </c>
    </row>
    <row r="720" hidden="1" outlineLevel="2" ht="13.9" customHeight="1">
      <c r="A720" s="2117" t="n">
        <v>0</v>
      </c>
      <c r="B720" s="2117" t="n">
        <v>6</v>
      </c>
      <c r="C720" s="2117" t="n">
        <v>8</v>
      </c>
      <c r="D720" s="2118" t="n">
        <v>2</v>
      </c>
      <c r="E720" s="2118" t="n">
        <v>0</v>
      </c>
      <c r="G720" s="1740" t="n"/>
      <c r="H720" s="1741" t="inlineStr">
        <is>
          <t>SUBETAPA</t>
        </is>
      </c>
      <c r="I720" s="1742" t="inlineStr">
        <is>
          <t>06.008.002</t>
        </is>
      </c>
      <c r="J720" s="1743" t="inlineStr">
        <is>
          <t>Eletrodutos e eletrocalhas</t>
        </is>
      </c>
      <c r="K720" s="1744" t="n"/>
      <c r="L720" s="1745" t="n"/>
      <c r="M720" s="1745" t="n"/>
      <c r="N720" s="1746" t="n">
        <v>2863.95</v>
      </c>
      <c r="O720" s="1747" t="n"/>
      <c r="P720" s="1720" t="n"/>
    </row>
    <row r="721" hidden="1" outlineLevel="3" ht="13.9" customHeight="1">
      <c r="A721" s="2117" t="n">
        <v>0</v>
      </c>
      <c r="B721" s="2117" t="n">
        <v>6</v>
      </c>
      <c r="C721" s="2117" t="n">
        <v>8</v>
      </c>
      <c r="D721" s="2118" t="n">
        <v>2</v>
      </c>
      <c r="E721" s="2118" t="n">
        <v>1</v>
      </c>
      <c r="G721" s="1790" t="inlineStr">
        <is>
          <t>SISTEMAS E INSTALAÇÕES ELÉTRICAS</t>
        </is>
      </c>
      <c r="H721" s="1749" t="inlineStr">
        <is>
          <t>SERVIÇO</t>
        </is>
      </c>
      <c r="I721" s="1750" t="inlineStr">
        <is>
          <t>06.008.002.001</t>
        </is>
      </c>
      <c r="J721" s="1751" t="inlineStr">
        <is>
          <t>Eletrodutos e eletrocalhas</t>
        </is>
      </c>
      <c r="K721" s="1752" t="inlineStr">
        <is>
          <t>vb</t>
        </is>
      </c>
      <c r="L721" s="1753" t="n">
        <v>1</v>
      </c>
      <c r="M721" s="1753" t="n">
        <v>2863.95</v>
      </c>
      <c r="N721" s="1754" t="n">
        <v>2863.95</v>
      </c>
      <c r="O721" s="1755" t="inlineStr">
        <is>
          <t>quantidades conforme quantidades do projetista</t>
        </is>
      </c>
      <c r="P721" s="1721" t="inlineStr">
        <is>
          <t>Pendente</t>
        </is>
      </c>
    </row>
    <row r="722" hidden="1" outlineLevel="2" ht="13.9" customHeight="1">
      <c r="A722" s="2117" t="n">
        <v>0</v>
      </c>
      <c r="B722" s="2117" t="n">
        <v>6</v>
      </c>
      <c r="C722" s="2117" t="n">
        <v>8</v>
      </c>
      <c r="D722" s="2118" t="n">
        <v>3</v>
      </c>
      <c r="E722" s="2118" t="n">
        <v>0</v>
      </c>
      <c r="G722" s="1740" t="n"/>
      <c r="H722" s="1741" t="inlineStr">
        <is>
          <t>SUBETAPA</t>
        </is>
      </c>
      <c r="I722" s="1742" t="inlineStr">
        <is>
          <t>06.008.003</t>
        </is>
      </c>
      <c r="J722" s="1743" t="inlineStr">
        <is>
          <t>Fios e cabos elétricos</t>
        </is>
      </c>
      <c r="K722" s="1744" t="n"/>
      <c r="L722" s="1745" t="n"/>
      <c r="M722" s="1745" t="n"/>
      <c r="N722" s="1746" t="n">
        <v>8164.381</v>
      </c>
      <c r="O722" s="1747" t="n"/>
      <c r="P722" s="1720" t="n"/>
    </row>
    <row r="723" hidden="1" outlineLevel="3" ht="13.9" customHeight="1">
      <c r="A723" s="2117" t="n">
        <v>0</v>
      </c>
      <c r="B723" s="2117" t="n">
        <v>6</v>
      </c>
      <c r="C723" s="2117" t="n">
        <v>8</v>
      </c>
      <c r="D723" s="2118" t="n">
        <v>3</v>
      </c>
      <c r="E723" s="2118" t="n">
        <v>1</v>
      </c>
      <c r="G723" s="1790" t="inlineStr">
        <is>
          <t>SISTEMAS E INSTALAÇÕES ELÉTRICAS</t>
        </is>
      </c>
      <c r="H723" s="1749" t="inlineStr">
        <is>
          <t>SERVIÇO</t>
        </is>
      </c>
      <c r="I723" s="1750" t="inlineStr">
        <is>
          <t>06.008.003.001</t>
        </is>
      </c>
      <c r="J723" s="1751" t="inlineStr">
        <is>
          <t>Fios e cabos elétricos</t>
        </is>
      </c>
      <c r="K723" s="1752" t="inlineStr">
        <is>
          <t>vb</t>
        </is>
      </c>
      <c r="L723" s="1753" t="n">
        <v>1</v>
      </c>
      <c r="M723" s="1753" t="n">
        <v>8164.380999999999</v>
      </c>
      <c r="N723" s="1754" t="n">
        <v>8164.381</v>
      </c>
      <c r="O723" s="1755" t="inlineStr">
        <is>
          <t>quantidades conforme quantidades do projetista</t>
        </is>
      </c>
      <c r="P723" s="1721" t="inlineStr">
        <is>
          <t>Pendente</t>
        </is>
      </c>
    </row>
    <row r="724" hidden="1" outlineLevel="2" ht="13.9" customHeight="1">
      <c r="A724" s="2117" t="n">
        <v>0</v>
      </c>
      <c r="B724" s="2117" t="n">
        <v>6</v>
      </c>
      <c r="C724" s="2117" t="n">
        <v>8</v>
      </c>
      <c r="D724" s="2118" t="n">
        <v>4</v>
      </c>
      <c r="E724" s="2118" t="n">
        <v>0</v>
      </c>
      <c r="G724" s="1740" t="n"/>
      <c r="H724" s="1741" t="inlineStr">
        <is>
          <t>SUBETAPA</t>
        </is>
      </c>
      <c r="I724" s="1742" t="inlineStr">
        <is>
          <t>06.008.004</t>
        </is>
      </c>
      <c r="J724" s="1743" t="inlineStr">
        <is>
          <t>Pontos de tomadas e interruptores</t>
        </is>
      </c>
      <c r="K724" s="1744" t="n"/>
      <c r="L724" s="1745" t="n"/>
      <c r="M724" s="1745" t="n"/>
      <c r="N724" s="1746" t="n">
        <v>2983.4</v>
      </c>
      <c r="O724" s="1747" t="n"/>
      <c r="P724" s="1720" t="n"/>
    </row>
    <row r="725" hidden="1" outlineLevel="3" ht="13.9" customHeight="1">
      <c r="A725" s="2117" t="n">
        <v>0</v>
      </c>
      <c r="B725" s="2117" t="n">
        <v>6</v>
      </c>
      <c r="C725" s="2117" t="n">
        <v>8</v>
      </c>
      <c r="D725" s="2118" t="n">
        <v>4</v>
      </c>
      <c r="E725" s="2118" t="n">
        <v>1</v>
      </c>
      <c r="G725" s="1790" t="inlineStr">
        <is>
          <t>SISTEMAS E INSTALAÇÕES ELÉTRICAS</t>
        </is>
      </c>
      <c r="H725" s="1749" t="inlineStr">
        <is>
          <t>SERVIÇO</t>
        </is>
      </c>
      <c r="I725" s="1750" t="inlineStr">
        <is>
          <t>06.008.004.001</t>
        </is>
      </c>
      <c r="J725" s="1751" t="inlineStr">
        <is>
          <t>Pontos de tomadas e interruptores</t>
        </is>
      </c>
      <c r="K725" s="1752" t="inlineStr">
        <is>
          <t>vb</t>
        </is>
      </c>
      <c r="L725" s="1753" t="n">
        <v>1</v>
      </c>
      <c r="M725" s="1753" t="n">
        <v>2983.400000000001</v>
      </c>
      <c r="N725" s="1754" t="n">
        <v>2983.4</v>
      </c>
      <c r="O725" s="1755" t="inlineStr">
        <is>
          <t>quantidades conforme quantidades do projetista</t>
        </is>
      </c>
      <c r="P725" s="1721" t="inlineStr">
        <is>
          <t>Pendente</t>
        </is>
      </c>
    </row>
    <row r="726" hidden="1" outlineLevel="2" ht="13.9" customHeight="1">
      <c r="A726" s="2117" t="n">
        <v>0</v>
      </c>
      <c r="B726" s="2117" t="n">
        <v>6</v>
      </c>
      <c r="C726" s="2117" t="n">
        <v>8</v>
      </c>
      <c r="D726" s="2118" t="n">
        <v>5</v>
      </c>
      <c r="E726" s="2118" t="n">
        <v>0</v>
      </c>
      <c r="G726" s="1740" t="n"/>
      <c r="H726" s="1741" t="inlineStr">
        <is>
          <t>SUBETAPA</t>
        </is>
      </c>
      <c r="I726" s="1742" t="inlineStr">
        <is>
          <t>06.008.005</t>
        </is>
      </c>
      <c r="J726" s="1743" t="inlineStr">
        <is>
          <t xml:space="preserve">Luminárias, lâmpadas e acessórios </t>
        </is>
      </c>
      <c r="K726" s="1744" t="n"/>
      <c r="L726" s="1745" t="n"/>
      <c r="M726" s="1745" t="n"/>
      <c r="N726" s="1746" t="n">
        <v>5568.71903007475</v>
      </c>
      <c r="O726" s="1747" t="n"/>
      <c r="P726" s="1720" t="n"/>
    </row>
    <row r="727" hidden="1" outlineLevel="3" ht="13.9" customHeight="1">
      <c r="A727" s="2117" t="n">
        <v>0</v>
      </c>
      <c r="B727" s="2117" t="n">
        <v>6</v>
      </c>
      <c r="C727" s="2117" t="n">
        <v>8</v>
      </c>
      <c r="D727" s="2118" t="n">
        <v>5</v>
      </c>
      <c r="E727" s="2118" t="n">
        <v>1</v>
      </c>
      <c r="G727" s="1790" t="inlineStr">
        <is>
          <t>SISTEMAS E INSTALAÇÕES ELÉTRICAS</t>
        </is>
      </c>
      <c r="H727" s="1749" t="inlineStr">
        <is>
          <t>SERVIÇO</t>
        </is>
      </c>
      <c r="I727" s="1750" t="inlineStr">
        <is>
          <t>06.008.005.001</t>
        </is>
      </c>
      <c r="J727" s="1751" t="inlineStr">
        <is>
          <t xml:space="preserve">Luminárias, lâmpadas e acessórios </t>
        </is>
      </c>
      <c r="K727" s="1752" t="inlineStr">
        <is>
          <t>vb</t>
        </is>
      </c>
      <c r="L727" s="1753" t="n">
        <v>1</v>
      </c>
      <c r="M727" s="1753" t="n">
        <v>5568.719030074753</v>
      </c>
      <c r="N727" s="1754" t="n">
        <v>5568.71903007475</v>
      </c>
      <c r="O727" s="1755" t="inlineStr">
        <is>
          <t>quantidades ESTIMADA, devido a ausência de quantitativos</t>
        </is>
      </c>
      <c r="P727" s="1721" t="inlineStr">
        <is>
          <t>Pendente</t>
        </is>
      </c>
    </row>
    <row r="728" hidden="1" outlineLevel="2" ht="13.9" customHeight="1">
      <c r="A728" s="2117" t="n">
        <v>0</v>
      </c>
      <c r="B728" s="2117" t="n">
        <v>6</v>
      </c>
      <c r="C728" s="2117" t="n">
        <v>8</v>
      </c>
      <c r="D728" s="2118" t="n">
        <v>6</v>
      </c>
      <c r="E728" s="2118" t="n">
        <v>0</v>
      </c>
      <c r="G728" s="1740" t="n"/>
      <c r="H728" s="1741" t="inlineStr">
        <is>
          <t>SUBETAPA</t>
        </is>
      </c>
      <c r="I728" s="1742" t="inlineStr">
        <is>
          <t>06.008.006</t>
        </is>
      </c>
      <c r="J728" s="1743" t="inlineStr">
        <is>
          <t>Mão de obra - Sistemas e instalações elétricas</t>
        </is>
      </c>
      <c r="K728" s="1744" t="n"/>
      <c r="L728" s="1745" t="n"/>
      <c r="M728" s="1745" t="n"/>
      <c r="N728" s="1746" t="n">
        <v>37944.52</v>
      </c>
      <c r="O728" s="1747" t="n"/>
      <c r="P728" s="1720" t="n"/>
    </row>
    <row r="729" hidden="1" outlineLevel="3" ht="13.9" customHeight="1">
      <c r="A729" s="2117" t="n">
        <v>0</v>
      </c>
      <c r="B729" s="2117" t="n">
        <v>6</v>
      </c>
      <c r="C729" s="2117" t="n">
        <v>8</v>
      </c>
      <c r="D729" s="2118" t="n">
        <v>6</v>
      </c>
      <c r="E729" s="2118" t="n">
        <v>1</v>
      </c>
      <c r="G729" s="1790" t="inlineStr">
        <is>
          <t>SISTEMAS E INSTALAÇÕES ELÉTRICAS</t>
        </is>
      </c>
      <c r="H729" s="1749" t="inlineStr">
        <is>
          <t>SERVIÇO</t>
        </is>
      </c>
      <c r="I729" s="1750" t="inlineStr">
        <is>
          <t>06.008.006.001</t>
        </is>
      </c>
      <c r="J729" s="1751" t="inlineStr">
        <is>
          <t>Mão de obra para instalações elétricas</t>
        </is>
      </c>
      <c r="K729" s="1752" t="inlineStr">
        <is>
          <t>vb</t>
        </is>
      </c>
      <c r="L729" s="1753" t="n">
        <v>1</v>
      </c>
      <c r="M729" s="1753" t="n">
        <v>37944.52</v>
      </c>
      <c r="N729" s="1754" t="n">
        <v>37944.52</v>
      </c>
      <c r="O729" s="1755" t="inlineStr">
        <is>
          <t>Considerado conforme os contratos disponibilizados pelo GESSELE</t>
        </is>
      </c>
      <c r="P729" s="1721" t="inlineStr">
        <is>
          <t>Pendente</t>
        </is>
      </c>
    </row>
    <row r="730" hidden="1" outlineLevel="1" ht="13.9" customHeight="1">
      <c r="A730" s="2117" t="n">
        <v>0</v>
      </c>
      <c r="B730" s="2117" t="n">
        <v>6</v>
      </c>
      <c r="C730" s="2117" t="n">
        <v>9</v>
      </c>
      <c r="D730" s="2118" t="n">
        <v>0</v>
      </c>
      <c r="E730" s="2118" t="n">
        <v>1</v>
      </c>
      <c r="G730" s="1733" t="n"/>
      <c r="H730" s="1734" t="inlineStr">
        <is>
          <t>ETAPA</t>
        </is>
      </c>
      <c r="I730" s="1735" t="inlineStr">
        <is>
          <t>06.009</t>
        </is>
      </c>
      <c r="J730" s="1736" t="inlineStr">
        <is>
          <t>SISTEMAS E INSTALAÇÕES ELÉTRICAS - Tipo diferenciado</t>
        </is>
      </c>
      <c r="K730" s="1737" t="n"/>
      <c r="L730" s="1738" t="n"/>
      <c r="M730" s="1738" t="n"/>
      <c r="N730" s="1739" t="n">
        <v>48631.1547336947</v>
      </c>
      <c r="O730" s="1722" t="n"/>
      <c r="P730" s="1725" t="n"/>
    </row>
    <row r="731" hidden="1" outlineLevel="2" ht="13.9" customHeight="1">
      <c r="A731" s="2117" t="n">
        <v>0</v>
      </c>
      <c r="B731" s="2117" t="n">
        <v>6</v>
      </c>
      <c r="C731" s="2117" t="n">
        <v>9</v>
      </c>
      <c r="D731" s="2118" t="n">
        <v>1</v>
      </c>
      <c r="E731" s="2118" t="n">
        <v>0</v>
      </c>
      <c r="G731" s="1740" t="n"/>
      <c r="H731" s="1741" t="inlineStr">
        <is>
          <t>SUBETAPA</t>
        </is>
      </c>
      <c r="I731" s="1742" t="inlineStr">
        <is>
          <t>06.009.001</t>
        </is>
      </c>
      <c r="J731" s="1743" t="inlineStr">
        <is>
          <t>Quadros elétricos e disjuntores</t>
        </is>
      </c>
      <c r="K731" s="1744" t="n"/>
      <c r="L731" s="1745" t="n"/>
      <c r="M731" s="1745" t="n"/>
      <c r="N731" s="1746" t="n">
        <v>3445.31</v>
      </c>
      <c r="O731" s="1747" t="n"/>
      <c r="P731" s="1720" t="n"/>
    </row>
    <row r="732" hidden="1" outlineLevel="3" ht="13.9" customHeight="1">
      <c r="A732" s="2117" t="n">
        <v>0</v>
      </c>
      <c r="B732" s="2117" t="n">
        <v>6</v>
      </c>
      <c r="C732" s="2117" t="n">
        <v>9</v>
      </c>
      <c r="D732" s="2118" t="n">
        <v>1</v>
      </c>
      <c r="E732" s="2118" t="n">
        <v>1</v>
      </c>
      <c r="G732" s="1790" t="inlineStr">
        <is>
          <t>SISTEMAS E INSTALAÇÕES ELÉTRICAS</t>
        </is>
      </c>
      <c r="H732" s="1749" t="inlineStr">
        <is>
          <t>SERVIÇO</t>
        </is>
      </c>
      <c r="I732" s="1750" t="inlineStr">
        <is>
          <t>06.009.001.001</t>
        </is>
      </c>
      <c r="J732" s="1751" t="inlineStr">
        <is>
          <t>Quadros elétricos e disjuntores</t>
        </is>
      </c>
      <c r="K732" s="1752" t="inlineStr">
        <is>
          <t>vb</t>
        </is>
      </c>
      <c r="L732" s="1753" t="n">
        <v>1</v>
      </c>
      <c r="M732" s="1753" t="n">
        <v>3445.31</v>
      </c>
      <c r="N732" s="1754" t="n">
        <v>3445.31</v>
      </c>
      <c r="O732" s="1755" t="inlineStr">
        <is>
          <t>quantidades conforme quantidades do projetista</t>
        </is>
      </c>
      <c r="P732" s="1721" t="inlineStr">
        <is>
          <t>Pendente</t>
        </is>
      </c>
    </row>
    <row r="733" hidden="1" outlineLevel="2" ht="13.9" customHeight="1">
      <c r="A733" s="2117" t="n">
        <v>0</v>
      </c>
      <c r="B733" s="2117" t="n">
        <v>6</v>
      </c>
      <c r="C733" s="2117" t="n">
        <v>9</v>
      </c>
      <c r="D733" s="2118" t="n">
        <v>2</v>
      </c>
      <c r="E733" s="2118" t="n">
        <v>0</v>
      </c>
      <c r="G733" s="1740" t="n"/>
      <c r="H733" s="1741" t="inlineStr">
        <is>
          <t>SUBETAPA</t>
        </is>
      </c>
      <c r="I733" s="1742" t="inlineStr">
        <is>
          <t>06.009.002</t>
        </is>
      </c>
      <c r="J733" s="1743" t="inlineStr">
        <is>
          <t>Eletrodutos e eletrocalhas</t>
        </is>
      </c>
      <c r="K733" s="1744" t="n"/>
      <c r="L733" s="1745" t="n"/>
      <c r="M733" s="1745" t="n"/>
      <c r="N733" s="1746" t="n">
        <v>2741.05</v>
      </c>
      <c r="O733" s="1747" t="n"/>
      <c r="P733" s="1720" t="n"/>
    </row>
    <row r="734" hidden="1" outlineLevel="3" ht="13.9" customHeight="1">
      <c r="A734" s="2117" t="n">
        <v>0</v>
      </c>
      <c r="B734" s="2117" t="n">
        <v>6</v>
      </c>
      <c r="C734" s="2117" t="n">
        <v>9</v>
      </c>
      <c r="D734" s="2118" t="n">
        <v>2</v>
      </c>
      <c r="E734" s="2118" t="n">
        <v>1</v>
      </c>
      <c r="G734" s="1790" t="inlineStr">
        <is>
          <t>SISTEMAS E INSTALAÇÕES ELÉTRICAS</t>
        </is>
      </c>
      <c r="H734" s="1749" t="inlineStr">
        <is>
          <t>SERVIÇO</t>
        </is>
      </c>
      <c r="I734" s="1750" t="inlineStr">
        <is>
          <t>06.009.002.001</t>
        </is>
      </c>
      <c r="J734" s="1751" t="inlineStr">
        <is>
          <t>Eletrodutos e eletrocalhas</t>
        </is>
      </c>
      <c r="K734" s="1752" t="inlineStr">
        <is>
          <t>vb</t>
        </is>
      </c>
      <c r="L734" s="1753" t="n">
        <v>1</v>
      </c>
      <c r="M734" s="1753" t="n">
        <v>2741.05</v>
      </c>
      <c r="N734" s="1754" t="n">
        <v>2741.05</v>
      </c>
      <c r="O734" s="1755" t="inlineStr">
        <is>
          <t>quantidades conforme quantidades do projetista</t>
        </is>
      </c>
      <c r="P734" s="1721" t="inlineStr">
        <is>
          <t>Pendente</t>
        </is>
      </c>
    </row>
    <row r="735" hidden="1" outlineLevel="2" ht="13.9" customHeight="1">
      <c r="A735" s="2117" t="n">
        <v>0</v>
      </c>
      <c r="B735" s="2117" t="n">
        <v>6</v>
      </c>
      <c r="C735" s="2117" t="n">
        <v>9</v>
      </c>
      <c r="D735" s="2118" t="n">
        <v>3</v>
      </c>
      <c r="E735" s="2118" t="n">
        <v>0</v>
      </c>
      <c r="G735" s="1740" t="n"/>
      <c r="H735" s="1741" t="inlineStr">
        <is>
          <t>SUBETAPA</t>
        </is>
      </c>
      <c r="I735" s="1742" t="inlineStr">
        <is>
          <t>06.009.003</t>
        </is>
      </c>
      <c r="J735" s="1743" t="inlineStr">
        <is>
          <t>Fios e cabos elétricos</t>
        </is>
      </c>
      <c r="K735" s="1744" t="n"/>
      <c r="L735" s="1745" t="n"/>
      <c r="M735" s="1745" t="n"/>
      <c r="N735" s="1746" t="n">
        <v>7421.719</v>
      </c>
      <c r="O735" s="1747" t="n"/>
      <c r="P735" s="1720" t="n"/>
    </row>
    <row r="736" hidden="1" outlineLevel="3" ht="13.9" customHeight="1">
      <c r="A736" s="2117" t="n">
        <v>0</v>
      </c>
      <c r="B736" s="2117" t="n">
        <v>6</v>
      </c>
      <c r="C736" s="2117" t="n">
        <v>9</v>
      </c>
      <c r="D736" s="2118" t="n">
        <v>3</v>
      </c>
      <c r="E736" s="2118" t="n">
        <v>1</v>
      </c>
      <c r="G736" s="1790" t="inlineStr">
        <is>
          <t>SISTEMAS E INSTALAÇÕES ELÉTRICAS</t>
        </is>
      </c>
      <c r="H736" s="1749" t="inlineStr">
        <is>
          <t>SERVIÇO</t>
        </is>
      </c>
      <c r="I736" s="1750" t="inlineStr">
        <is>
          <t>06.009.003.001</t>
        </is>
      </c>
      <c r="J736" s="1751" t="inlineStr">
        <is>
          <t>Fios e cabos elétricos</t>
        </is>
      </c>
      <c r="K736" s="1752" t="inlineStr">
        <is>
          <t>vb</t>
        </is>
      </c>
      <c r="L736" s="1753" t="n">
        <v>1</v>
      </c>
      <c r="M736" s="1753" t="n">
        <v>7421.718999999999</v>
      </c>
      <c r="N736" s="1754" t="n">
        <v>7421.719</v>
      </c>
      <c r="O736" s="1755" t="inlineStr">
        <is>
          <t>quantidades conforme quantidades do projetista</t>
        </is>
      </c>
      <c r="P736" s="1721" t="inlineStr">
        <is>
          <t>Pendente</t>
        </is>
      </c>
    </row>
    <row r="737" hidden="1" outlineLevel="2" ht="13.9" customHeight="1">
      <c r="A737" s="2117" t="n">
        <v>0</v>
      </c>
      <c r="B737" s="2117" t="n">
        <v>6</v>
      </c>
      <c r="C737" s="2117" t="n">
        <v>9</v>
      </c>
      <c r="D737" s="2118" t="n">
        <v>4</v>
      </c>
      <c r="E737" s="2118" t="n">
        <v>0</v>
      </c>
      <c r="G737" s="1740" t="n"/>
      <c r="H737" s="1741" t="inlineStr">
        <is>
          <t>SUBETAPA</t>
        </is>
      </c>
      <c r="I737" s="1742" t="inlineStr">
        <is>
          <t>06.009.004</t>
        </is>
      </c>
      <c r="J737" s="1743" t="inlineStr">
        <is>
          <t>Pontos de tomadas e interruptores</t>
        </is>
      </c>
      <c r="K737" s="1744" t="n"/>
      <c r="L737" s="1745" t="n"/>
      <c r="M737" s="1745" t="n"/>
      <c r="N737" s="1746" t="n">
        <v>4908.85</v>
      </c>
      <c r="O737" s="1747" t="n"/>
      <c r="P737" s="1720" t="n"/>
    </row>
    <row r="738" hidden="1" outlineLevel="3" ht="13.9" customHeight="1">
      <c r="A738" s="2117" t="n">
        <v>0</v>
      </c>
      <c r="B738" s="2117" t="n">
        <v>6</v>
      </c>
      <c r="C738" s="2117" t="n">
        <v>9</v>
      </c>
      <c r="D738" s="2118" t="n">
        <v>4</v>
      </c>
      <c r="E738" s="2118" t="n">
        <v>1</v>
      </c>
      <c r="G738" s="1790" t="inlineStr">
        <is>
          <t>SISTEMAS E INSTALAÇÕES ELÉTRICAS</t>
        </is>
      </c>
      <c r="H738" s="1749" t="inlineStr">
        <is>
          <t>SERVIÇO</t>
        </is>
      </c>
      <c r="I738" s="1750" t="inlineStr">
        <is>
          <t>06.009.004.001</t>
        </is>
      </c>
      <c r="J738" s="1751" t="inlineStr">
        <is>
          <t>Pontos de tomadas e interruptores</t>
        </is>
      </c>
      <c r="K738" s="1752" t="inlineStr">
        <is>
          <t>vb</t>
        </is>
      </c>
      <c r="L738" s="1753" t="n">
        <v>1</v>
      </c>
      <c r="M738" s="1753" t="n">
        <v>4908.85</v>
      </c>
      <c r="N738" s="1754" t="n">
        <v>4908.85</v>
      </c>
      <c r="O738" s="1755" t="inlineStr">
        <is>
          <t>quantidades conforme quantidades do projetista</t>
        </is>
      </c>
      <c r="P738" s="1721" t="inlineStr">
        <is>
          <t>Pendente</t>
        </is>
      </c>
    </row>
    <row r="739" hidden="1" outlineLevel="2" ht="13.9" customHeight="1">
      <c r="A739" s="2117" t="n">
        <v>0</v>
      </c>
      <c r="B739" s="2117" t="n">
        <v>6</v>
      </c>
      <c r="C739" s="2117" t="n">
        <v>9</v>
      </c>
      <c r="D739" s="2118" t="n">
        <v>5</v>
      </c>
      <c r="E739" s="2118" t="n">
        <v>0</v>
      </c>
      <c r="G739" s="1740" t="n"/>
      <c r="H739" s="1741" t="inlineStr">
        <is>
          <t>SUBETAPA</t>
        </is>
      </c>
      <c r="I739" s="1742" t="inlineStr">
        <is>
          <t>06.009.005</t>
        </is>
      </c>
      <c r="J739" s="1743" t="inlineStr">
        <is>
          <t xml:space="preserve">Luminárias, lâmpadas e acessórios </t>
        </is>
      </c>
      <c r="K739" s="1744" t="n"/>
      <c r="L739" s="1745" t="n"/>
      <c r="M739" s="1745" t="n"/>
      <c r="N739" s="1746" t="n">
        <v>3853.94573369465</v>
      </c>
      <c r="O739" s="1747" t="n"/>
      <c r="P739" s="1720" t="n"/>
    </row>
    <row r="740" hidden="1" outlineLevel="3" ht="13.9" customHeight="1">
      <c r="A740" s="2117" t="n">
        <v>0</v>
      </c>
      <c r="B740" s="2117" t="n">
        <v>6</v>
      </c>
      <c r="C740" s="2117" t="n">
        <v>9</v>
      </c>
      <c r="D740" s="2118" t="n">
        <v>5</v>
      </c>
      <c r="E740" s="2118" t="n">
        <v>1</v>
      </c>
      <c r="G740" s="1790" t="inlineStr">
        <is>
          <t>SISTEMAS E INSTALAÇÕES ELÉTRICAS</t>
        </is>
      </c>
      <c r="H740" s="1749" t="inlineStr">
        <is>
          <t>SERVIÇO</t>
        </is>
      </c>
      <c r="I740" s="1750" t="inlineStr">
        <is>
          <t>06.009.005.001</t>
        </is>
      </c>
      <c r="J740" s="1751" t="inlineStr">
        <is>
          <t xml:space="preserve">Luminárias, lâmpadas e acessórios </t>
        </is>
      </c>
      <c r="K740" s="1752" t="inlineStr">
        <is>
          <t>vb</t>
        </is>
      </c>
      <c r="L740" s="1753" t="n">
        <v>1</v>
      </c>
      <c r="M740" s="1753" t="n">
        <v>3853.945733694653</v>
      </c>
      <c r="N740" s="1754" t="n">
        <v>3853.94573369465</v>
      </c>
      <c r="O740" s="1755" t="inlineStr">
        <is>
          <t>quantidades ESTIMADA, devido a ausência de quantitativos</t>
        </is>
      </c>
      <c r="P740" s="1721" t="inlineStr">
        <is>
          <t>Pendente</t>
        </is>
      </c>
    </row>
    <row r="741" hidden="1" outlineLevel="2" ht="13.9" customHeight="1">
      <c r="A741" s="2117" t="n">
        <v>0</v>
      </c>
      <c r="B741" s="2117" t="n">
        <v>6</v>
      </c>
      <c r="C741" s="2117" t="n">
        <v>9</v>
      </c>
      <c r="D741" s="2118" t="n">
        <v>6</v>
      </c>
      <c r="E741" s="2118" t="n">
        <v>0</v>
      </c>
      <c r="G741" s="1740" t="n"/>
      <c r="H741" s="1741" t="inlineStr">
        <is>
          <t>SUBETAPA</t>
        </is>
      </c>
      <c r="I741" s="1742" t="inlineStr">
        <is>
          <t>06.009.006</t>
        </is>
      </c>
      <c r="J741" s="1743" t="inlineStr">
        <is>
          <t>Mão de obra - Sistemas e instalações elétricas</t>
        </is>
      </c>
      <c r="K741" s="1744" t="n"/>
      <c r="L741" s="1745" t="n"/>
      <c r="M741" s="1745" t="n"/>
      <c r="N741" s="1746" t="n">
        <v>26260.28</v>
      </c>
      <c r="O741" s="1747" t="n"/>
      <c r="P741" s="1720" t="n"/>
    </row>
    <row r="742" hidden="1" outlineLevel="3" ht="13.9" customHeight="1">
      <c r="A742" s="2117" t="n">
        <v>0</v>
      </c>
      <c r="B742" s="2117" t="n">
        <v>6</v>
      </c>
      <c r="C742" s="2117" t="n">
        <v>9</v>
      </c>
      <c r="D742" s="2118" t="n">
        <v>6</v>
      </c>
      <c r="E742" s="2118" t="n">
        <v>1</v>
      </c>
      <c r="G742" s="1790" t="inlineStr">
        <is>
          <t>SISTEMAS E INSTALAÇÕES ELÉTRICAS</t>
        </is>
      </c>
      <c r="H742" s="1749" t="inlineStr">
        <is>
          <t>SERVIÇO</t>
        </is>
      </c>
      <c r="I742" s="1750" t="inlineStr">
        <is>
          <t>06.009.006.001</t>
        </is>
      </c>
      <c r="J742" s="1751" t="inlineStr">
        <is>
          <t>Mão de obra para instalações elétricas</t>
        </is>
      </c>
      <c r="K742" s="1752" t="inlineStr">
        <is>
          <t>vb</t>
        </is>
      </c>
      <c r="L742" s="1753" t="n">
        <v>1</v>
      </c>
      <c r="M742" s="1753" t="n">
        <v>26260.28</v>
      </c>
      <c r="N742" s="1754" t="n">
        <v>26260.28</v>
      </c>
      <c r="O742" s="1755" t="inlineStr">
        <is>
          <t>Considerado conforme os contratos disponibilizados pelo GESSELE</t>
        </is>
      </c>
      <c r="P742" s="1721" t="inlineStr">
        <is>
          <t>Pendente</t>
        </is>
      </c>
    </row>
    <row r="743" hidden="1" outlineLevel="1" ht="13.9" customHeight="1">
      <c r="A743" s="2117" t="n">
        <v>0</v>
      </c>
      <c r="B743" s="2117" t="n">
        <v>6</v>
      </c>
      <c r="C743" s="2117" t="n">
        <v>10</v>
      </c>
      <c r="D743" s="2118" t="n">
        <v>0</v>
      </c>
      <c r="E743" s="2118" t="n">
        <v>1</v>
      </c>
      <c r="G743" s="1733" t="n"/>
      <c r="H743" s="1734" t="inlineStr">
        <is>
          <t>ETAPA</t>
        </is>
      </c>
      <c r="I743" s="1735" t="inlineStr">
        <is>
          <t>06.010</t>
        </is>
      </c>
      <c r="J743" s="1736" t="inlineStr">
        <is>
          <t>SISTEMAS E INSTALAÇÕES ELÉTRICAS - Tipo x8</t>
        </is>
      </c>
      <c r="K743" s="1737" t="n"/>
      <c r="L743" s="1738" t="n"/>
      <c r="M743" s="1738" t="n"/>
      <c r="N743" s="1739" t="n">
        <v>337780.159537645</v>
      </c>
      <c r="O743" s="1722" t="n"/>
      <c r="P743" s="1725" t="n"/>
    </row>
    <row r="744" hidden="1" outlineLevel="2" ht="13.9" customHeight="1">
      <c r="A744" s="2117" t="n">
        <v>0</v>
      </c>
      <c r="B744" s="2117" t="n">
        <v>6</v>
      </c>
      <c r="C744" s="2117" t="n">
        <v>10</v>
      </c>
      <c r="D744" s="2118" t="n">
        <v>1</v>
      </c>
      <c r="E744" s="2118" t="n">
        <v>0</v>
      </c>
      <c r="G744" s="1740" t="n"/>
      <c r="H744" s="1741" t="inlineStr">
        <is>
          <t>SUBETAPA</t>
        </is>
      </c>
      <c r="I744" s="1742" t="inlineStr">
        <is>
          <t>06.010.001</t>
        </is>
      </c>
      <c r="J744" s="1743" t="inlineStr">
        <is>
          <t>Quadros elétricos e disjuntores</t>
        </is>
      </c>
      <c r="K744" s="1744" t="n"/>
      <c r="L744" s="1745" t="n"/>
      <c r="M744" s="1745" t="n"/>
      <c r="N744" s="1746" t="n">
        <v>19590.34</v>
      </c>
      <c r="O744" s="1747" t="n"/>
      <c r="P744" s="1720" t="n"/>
    </row>
    <row r="745" hidden="1" outlineLevel="3" ht="13.9" customHeight="1">
      <c r="A745" s="2117" t="n">
        <v>0</v>
      </c>
      <c r="B745" s="2117" t="n">
        <v>6</v>
      </c>
      <c r="C745" s="2117" t="n">
        <v>10</v>
      </c>
      <c r="D745" s="2118" t="n">
        <v>1</v>
      </c>
      <c r="E745" s="2118" t="n">
        <v>1</v>
      </c>
      <c r="G745" s="1790" t="inlineStr">
        <is>
          <t>SISTEMAS E INSTALAÇÕES ELÉTRICAS</t>
        </is>
      </c>
      <c r="H745" s="1749" t="inlineStr">
        <is>
          <t>SERVIÇO</t>
        </is>
      </c>
      <c r="I745" s="1750" t="inlineStr">
        <is>
          <t>06.010.001.001</t>
        </is>
      </c>
      <c r="J745" s="1751" t="inlineStr">
        <is>
          <t>Quadros elétricos e disjuntores</t>
        </is>
      </c>
      <c r="K745" s="1752" t="inlineStr">
        <is>
          <t>vb</t>
        </is>
      </c>
      <c r="L745" s="1753" t="n">
        <v>1</v>
      </c>
      <c r="M745" s="1753" t="n">
        <v>19590.34</v>
      </c>
      <c r="N745" s="1754" t="n">
        <v>19590.34</v>
      </c>
      <c r="O745" s="1755" t="inlineStr">
        <is>
          <t>quantidades conforme quantidades do projetista</t>
        </is>
      </c>
      <c r="P745" s="1721" t="inlineStr">
        <is>
          <t>Pendente</t>
        </is>
      </c>
    </row>
    <row r="746" hidden="1" outlineLevel="2" ht="13.9" customHeight="1">
      <c r="A746" s="2117" t="n">
        <v>0</v>
      </c>
      <c r="B746" s="2117" t="n">
        <v>6</v>
      </c>
      <c r="C746" s="2117" t="n">
        <v>10</v>
      </c>
      <c r="D746" s="2118" t="n">
        <v>2</v>
      </c>
      <c r="E746" s="2118" t="n">
        <v>0</v>
      </c>
      <c r="G746" s="1740" t="n"/>
      <c r="H746" s="1741" t="inlineStr">
        <is>
          <t>SUBETAPA</t>
        </is>
      </c>
      <c r="I746" s="1742" t="inlineStr">
        <is>
          <t>06.010.002</t>
        </is>
      </c>
      <c r="J746" s="1743" t="inlineStr">
        <is>
          <t>Eletrodutos e eletrocalhas</t>
        </is>
      </c>
      <c r="K746" s="1744" t="n"/>
      <c r="L746" s="1745" t="n"/>
      <c r="M746" s="1745" t="n"/>
      <c r="N746" s="1746" t="n">
        <v>18686.15</v>
      </c>
      <c r="O746" s="1747" t="n"/>
      <c r="P746" s="1720" t="n"/>
    </row>
    <row r="747" hidden="1" outlineLevel="3" ht="13.9" customHeight="1">
      <c r="A747" s="2117" t="n">
        <v>0</v>
      </c>
      <c r="B747" s="2117" t="n">
        <v>6</v>
      </c>
      <c r="C747" s="2117" t="n">
        <v>10</v>
      </c>
      <c r="D747" s="2118" t="n">
        <v>2</v>
      </c>
      <c r="E747" s="2118" t="n">
        <v>1</v>
      </c>
      <c r="G747" s="1790" t="inlineStr">
        <is>
          <t>SISTEMAS E INSTALAÇÕES ELÉTRICAS</t>
        </is>
      </c>
      <c r="H747" s="1749" t="inlineStr">
        <is>
          <t>SERVIÇO</t>
        </is>
      </c>
      <c r="I747" s="1750" t="inlineStr">
        <is>
          <t>06.010.002.001</t>
        </is>
      </c>
      <c r="J747" s="1751" t="inlineStr">
        <is>
          <t>Eletrodutos e eletrocalhas</t>
        </is>
      </c>
      <c r="K747" s="1752" t="inlineStr">
        <is>
          <t>vb</t>
        </is>
      </c>
      <c r="L747" s="1753" t="n">
        <v>1</v>
      </c>
      <c r="M747" s="1753" t="n">
        <v>18686.15</v>
      </c>
      <c r="N747" s="1754" t="n">
        <v>18686.15</v>
      </c>
      <c r="O747" s="1755" t="inlineStr">
        <is>
          <t>quantidades conforme quantidades do projetista</t>
        </is>
      </c>
      <c r="P747" s="1721" t="inlineStr">
        <is>
          <t>Pendente</t>
        </is>
      </c>
    </row>
    <row r="748" hidden="1" outlineLevel="2" ht="13.9" customHeight="1">
      <c r="A748" s="2117" t="n">
        <v>0</v>
      </c>
      <c r="B748" s="2117" t="n">
        <v>6</v>
      </c>
      <c r="C748" s="2117" t="n">
        <v>10</v>
      </c>
      <c r="D748" s="2118" t="n">
        <v>3</v>
      </c>
      <c r="E748" s="2118" t="n">
        <v>0</v>
      </c>
      <c r="G748" s="1740" t="n"/>
      <c r="H748" s="1741" t="inlineStr">
        <is>
          <t>SUBETAPA</t>
        </is>
      </c>
      <c r="I748" s="1742" t="inlineStr">
        <is>
          <t>06.010.003</t>
        </is>
      </c>
      <c r="J748" s="1743" t="inlineStr">
        <is>
          <t>Fios e cabos elétricos</t>
        </is>
      </c>
      <c r="K748" s="1744" t="n"/>
      <c r="L748" s="1745" t="n"/>
      <c r="M748" s="1745" t="n"/>
      <c r="N748" s="1746" t="n">
        <v>54396.062</v>
      </c>
      <c r="O748" s="1747" t="n"/>
      <c r="P748" s="1720" t="n"/>
    </row>
    <row r="749" hidden="1" outlineLevel="3" ht="13.9" customHeight="1">
      <c r="A749" s="2117" t="n">
        <v>0</v>
      </c>
      <c r="B749" s="2117" t="n">
        <v>6</v>
      </c>
      <c r="C749" s="2117" t="n">
        <v>10</v>
      </c>
      <c r="D749" s="2118" t="n">
        <v>3</v>
      </c>
      <c r="E749" s="2118" t="n">
        <v>1</v>
      </c>
      <c r="G749" s="1790" t="inlineStr">
        <is>
          <t>SISTEMAS E INSTALAÇÕES ELÉTRICAS</t>
        </is>
      </c>
      <c r="H749" s="1749" t="inlineStr">
        <is>
          <t>SERVIÇO</t>
        </is>
      </c>
      <c r="I749" s="1750" t="inlineStr">
        <is>
          <t>06.010.003.001</t>
        </is>
      </c>
      <c r="J749" s="1751" t="inlineStr">
        <is>
          <t>Fios e cabos elétricos</t>
        </is>
      </c>
      <c r="K749" s="1752" t="inlineStr">
        <is>
          <t>vb</t>
        </is>
      </c>
      <c r="L749" s="1753" t="n">
        <v>1</v>
      </c>
      <c r="M749" s="1753" t="n">
        <v>54396.062</v>
      </c>
      <c r="N749" s="1754" t="n">
        <v>54396.062</v>
      </c>
      <c r="O749" s="1755" t="inlineStr">
        <is>
          <t>quantidades conforme quantidades do projetista</t>
        </is>
      </c>
      <c r="P749" s="1721" t="inlineStr">
        <is>
          <t>Pendente</t>
        </is>
      </c>
    </row>
    <row r="750" hidden="1" outlineLevel="2" ht="13.9" customHeight="1">
      <c r="A750" s="2117" t="n">
        <v>0</v>
      </c>
      <c r="B750" s="2117" t="n">
        <v>6</v>
      </c>
      <c r="C750" s="2117" t="n">
        <v>10</v>
      </c>
      <c r="D750" s="2118" t="n">
        <v>4</v>
      </c>
      <c r="E750" s="2118" t="n">
        <v>0</v>
      </c>
      <c r="G750" s="1740" t="n"/>
      <c r="H750" s="1741" t="inlineStr">
        <is>
          <t>SUBETAPA</t>
        </is>
      </c>
      <c r="I750" s="1742" t="inlineStr">
        <is>
          <t>06.010.004</t>
        </is>
      </c>
      <c r="J750" s="1743" t="inlineStr">
        <is>
          <t>Pontos de tomadas e interruptores</t>
        </is>
      </c>
      <c r="K750" s="1744" t="n"/>
      <c r="L750" s="1745" t="n"/>
      <c r="M750" s="1745" t="n"/>
      <c r="N750" s="1746" t="n">
        <v>33560.8</v>
      </c>
      <c r="O750" s="1747" t="n"/>
      <c r="P750" s="1720" t="n"/>
    </row>
    <row r="751" hidden="1" outlineLevel="3" ht="13.9" customHeight="1">
      <c r="A751" s="2117" t="n">
        <v>0</v>
      </c>
      <c r="B751" s="2117" t="n">
        <v>6</v>
      </c>
      <c r="C751" s="2117" t="n">
        <v>10</v>
      </c>
      <c r="D751" s="2118" t="n">
        <v>4</v>
      </c>
      <c r="E751" s="2118" t="n">
        <v>1</v>
      </c>
      <c r="G751" s="1790" t="inlineStr">
        <is>
          <t>SISTEMAS E INSTALAÇÕES ELÉTRICAS</t>
        </is>
      </c>
      <c r="H751" s="1749" t="inlineStr">
        <is>
          <t>SERVIÇO</t>
        </is>
      </c>
      <c r="I751" s="1750" t="inlineStr">
        <is>
          <t>06.010.004.001</t>
        </is>
      </c>
      <c r="J751" s="1751" t="inlineStr">
        <is>
          <t>Pontos de tomadas e interruptores</t>
        </is>
      </c>
      <c r="K751" s="1752" t="inlineStr">
        <is>
          <t>vb</t>
        </is>
      </c>
      <c r="L751" s="1753" t="n">
        <v>1</v>
      </c>
      <c r="M751" s="1753" t="n">
        <v>33560.8</v>
      </c>
      <c r="N751" s="1754" t="n">
        <v>33560.8</v>
      </c>
      <c r="O751" s="1755" t="inlineStr">
        <is>
          <t>quantidades conforme quantidades do projetista</t>
        </is>
      </c>
      <c r="P751" s="1721" t="inlineStr">
        <is>
          <t>Pendente</t>
        </is>
      </c>
    </row>
    <row r="752" hidden="1" outlineLevel="2" ht="13.9" customHeight="1">
      <c r="A752" s="2117" t="n">
        <v>0</v>
      </c>
      <c r="B752" s="2117" t="n">
        <v>6</v>
      </c>
      <c r="C752" s="2117" t="n">
        <v>10</v>
      </c>
      <c r="D752" s="2118" t="n">
        <v>5</v>
      </c>
      <c r="E752" s="2118" t="n">
        <v>0</v>
      </c>
      <c r="G752" s="1740" t="n"/>
      <c r="H752" s="1741" t="inlineStr">
        <is>
          <t>SUBETAPA</t>
        </is>
      </c>
      <c r="I752" s="1742" t="inlineStr">
        <is>
          <t>06.010.005</t>
        </is>
      </c>
      <c r="J752" s="1743" t="inlineStr">
        <is>
          <t xml:space="preserve">Luminárias, lâmpadas e acessórios </t>
        </is>
      </c>
      <c r="K752" s="1744" t="n"/>
      <c r="L752" s="1745" t="n"/>
      <c r="M752" s="1745" t="n"/>
      <c r="N752" s="1746" t="n">
        <v>27073.2075376447</v>
      </c>
      <c r="O752" s="1747" t="n"/>
      <c r="P752" s="1720" t="n"/>
    </row>
    <row r="753" hidden="1" outlineLevel="3" ht="13.9" customHeight="1">
      <c r="A753" s="2117" t="n">
        <v>0</v>
      </c>
      <c r="B753" s="2117" t="n">
        <v>6</v>
      </c>
      <c r="C753" s="2117" t="n">
        <v>10</v>
      </c>
      <c r="D753" s="2118" t="n">
        <v>5</v>
      </c>
      <c r="E753" s="2118" t="n">
        <v>1</v>
      </c>
      <c r="G753" s="1790" t="inlineStr">
        <is>
          <t>SISTEMAS E INSTALAÇÕES ELÉTRICAS</t>
        </is>
      </c>
      <c r="H753" s="1749" t="inlineStr">
        <is>
          <t>SERVIÇO</t>
        </is>
      </c>
      <c r="I753" s="1750" t="inlineStr">
        <is>
          <t>06.010.005.001</t>
        </is>
      </c>
      <c r="J753" s="1751" t="inlineStr">
        <is>
          <t xml:space="preserve">Luminárias, lâmpadas e acessórios </t>
        </is>
      </c>
      <c r="K753" s="1752" t="inlineStr">
        <is>
          <t>vb</t>
        </is>
      </c>
      <c r="L753" s="1753" t="n">
        <v>1</v>
      </c>
      <c r="M753" s="1753" t="n">
        <v>27073.20753764466</v>
      </c>
      <c r="N753" s="1754" t="n">
        <v>27073.2075376447</v>
      </c>
      <c r="O753" s="1755" t="inlineStr">
        <is>
          <t>quantidades ESTIMADA, devido a ausência de quantitativos</t>
        </is>
      </c>
      <c r="P753" s="1721" t="inlineStr">
        <is>
          <t>Pendente</t>
        </is>
      </c>
    </row>
    <row r="754" hidden="1" outlineLevel="2" ht="13.9" customHeight="1">
      <c r="A754" s="2117" t="n">
        <v>0</v>
      </c>
      <c r="B754" s="2117" t="n">
        <v>6</v>
      </c>
      <c r="C754" s="2117" t="n">
        <v>10</v>
      </c>
      <c r="D754" s="2118" t="n">
        <v>6</v>
      </c>
      <c r="E754" s="2118" t="n">
        <v>0</v>
      </c>
      <c r="G754" s="1740" t="n"/>
      <c r="H754" s="1741" t="inlineStr">
        <is>
          <t>SUBETAPA</t>
        </is>
      </c>
      <c r="I754" s="1742" t="inlineStr">
        <is>
          <t>06.010.006</t>
        </is>
      </c>
      <c r="J754" s="1743" t="inlineStr">
        <is>
          <t>Mão de obra - Sistemas e instalações elétricas</t>
        </is>
      </c>
      <c r="K754" s="1744" t="n"/>
      <c r="L754" s="1745" t="n"/>
      <c r="M754" s="1745" t="n"/>
      <c r="N754" s="1746" t="n">
        <v>184473.6</v>
      </c>
      <c r="O754" s="1747" t="n"/>
      <c r="P754" s="1720" t="n"/>
    </row>
    <row r="755" hidden="1" outlineLevel="3" ht="13.9" customHeight="1">
      <c r="A755" s="2117" t="n">
        <v>0</v>
      </c>
      <c r="B755" s="2117" t="n">
        <v>6</v>
      </c>
      <c r="C755" s="2117" t="n">
        <v>10</v>
      </c>
      <c r="D755" s="2118" t="n">
        <v>6</v>
      </c>
      <c r="E755" s="2118" t="n">
        <v>1</v>
      </c>
      <c r="G755" s="1790" t="inlineStr">
        <is>
          <t>SISTEMAS E INSTALAÇÕES ELÉTRICAS</t>
        </is>
      </c>
      <c r="H755" s="1749" t="inlineStr">
        <is>
          <t>SERVIÇO</t>
        </is>
      </c>
      <c r="I755" s="1750" t="inlineStr">
        <is>
          <t>06.010.006.001</t>
        </is>
      </c>
      <c r="J755" s="1751" t="inlineStr">
        <is>
          <t>Mão de obra para instalações elétricas</t>
        </is>
      </c>
      <c r="K755" s="1752" t="inlineStr">
        <is>
          <t>vb</t>
        </is>
      </c>
      <c r="L755" s="1753" t="n">
        <v>1</v>
      </c>
      <c r="M755" s="1753" t="n">
        <v>184473.6000000001</v>
      </c>
      <c r="N755" s="1754" t="n">
        <v>184473.6</v>
      </c>
      <c r="O755" s="1755" t="inlineStr">
        <is>
          <t>Considerado conforme os contratos disponibilizados pelo GESSELE</t>
        </is>
      </c>
      <c r="P755" s="1721" t="inlineStr">
        <is>
          <t>Pendente</t>
        </is>
      </c>
    </row>
    <row r="756" hidden="1" outlineLevel="1" ht="13.9" customHeight="1">
      <c r="A756" s="2117" t="n">
        <v>0</v>
      </c>
      <c r="B756" s="2117" t="n">
        <v>6</v>
      </c>
      <c r="C756" s="2117" t="n">
        <v>11</v>
      </c>
      <c r="D756" s="2118" t="n">
        <v>0</v>
      </c>
      <c r="E756" s="2118" t="n">
        <v>1</v>
      </c>
      <c r="G756" s="1733" t="n"/>
      <c r="H756" s="1734" t="inlineStr">
        <is>
          <t>ETAPA</t>
        </is>
      </c>
      <c r="I756" s="1735" t="inlineStr">
        <is>
          <t>06.011</t>
        </is>
      </c>
      <c r="J756" s="1736" t="inlineStr">
        <is>
          <t>SISTEMAS E INSTALAÇÕES ELÉTRICAS - Penthouse x22</t>
        </is>
      </c>
      <c r="K756" s="1737" t="n"/>
      <c r="L756" s="1738" t="n"/>
      <c r="M756" s="1738" t="n"/>
      <c r="N756" s="1739" t="n">
        <v>857673.0542939</v>
      </c>
      <c r="O756" s="1722" t="n"/>
      <c r="P756" s="1725" t="n"/>
    </row>
    <row r="757" hidden="1" outlineLevel="2" ht="13.9" customHeight="1">
      <c r="A757" s="2117" t="n">
        <v>0</v>
      </c>
      <c r="B757" s="2117" t="n">
        <v>6</v>
      </c>
      <c r="C757" s="2117" t="n">
        <v>11</v>
      </c>
      <c r="D757" s="2118" t="n">
        <v>1</v>
      </c>
      <c r="E757" s="2118" t="n">
        <v>0</v>
      </c>
      <c r="G757" s="1740" t="n"/>
      <c r="H757" s="1741" t="inlineStr">
        <is>
          <t>SUBETAPA</t>
        </is>
      </c>
      <c r="I757" s="1742" t="inlineStr">
        <is>
          <t>06.011.001</t>
        </is>
      </c>
      <c r="J757" s="1743" t="inlineStr">
        <is>
          <t>Quadros elétricos e disjuntores</t>
        </is>
      </c>
      <c r="K757" s="1744" t="n"/>
      <c r="L757" s="1745" t="n"/>
      <c r="M757" s="1745" t="n"/>
      <c r="N757" s="1746" t="n">
        <v>40511.23</v>
      </c>
      <c r="O757" s="1747" t="n"/>
      <c r="P757" s="1720" t="n"/>
    </row>
    <row r="758" hidden="1" outlineLevel="3" ht="13.9" customHeight="1">
      <c r="A758" s="2117" t="n">
        <v>0</v>
      </c>
      <c r="B758" s="2117" t="n">
        <v>6</v>
      </c>
      <c r="C758" s="2117" t="n">
        <v>11</v>
      </c>
      <c r="D758" s="2118" t="n">
        <v>1</v>
      </c>
      <c r="E758" s="2118" t="n">
        <v>1</v>
      </c>
      <c r="G758" s="1790" t="inlineStr">
        <is>
          <t>SISTEMAS E INSTALAÇÕES ELÉTRICAS</t>
        </is>
      </c>
      <c r="H758" s="1749" t="inlineStr">
        <is>
          <t>SERVIÇO</t>
        </is>
      </c>
      <c r="I758" s="1750" t="inlineStr">
        <is>
          <t>06.011.001.001</t>
        </is>
      </c>
      <c r="J758" s="1751" t="inlineStr">
        <is>
          <t>Quadros elétricos e disjuntores</t>
        </is>
      </c>
      <c r="K758" s="1752" t="inlineStr">
        <is>
          <t>vb</t>
        </is>
      </c>
      <c r="L758" s="1753" t="n">
        <v>1</v>
      </c>
      <c r="M758" s="1753" t="n">
        <v>40511.23</v>
      </c>
      <c r="N758" s="1754" t="n">
        <v>40511.23</v>
      </c>
      <c r="O758" s="1755" t="inlineStr">
        <is>
          <t>quantidades conforme quantidades do projetista</t>
        </is>
      </c>
      <c r="P758" s="1721" t="inlineStr">
        <is>
          <t>Pendente</t>
        </is>
      </c>
    </row>
    <row r="759" hidden="1" outlineLevel="2" ht="13.9" customHeight="1">
      <c r="A759" s="2117" t="n">
        <v>0</v>
      </c>
      <c r="B759" s="2117" t="n">
        <v>6</v>
      </c>
      <c r="C759" s="2117" t="n">
        <v>11</v>
      </c>
      <c r="D759" s="2118" t="n">
        <v>2</v>
      </c>
      <c r="E759" s="2118" t="n">
        <v>0</v>
      </c>
      <c r="G759" s="1740" t="n"/>
      <c r="H759" s="1741" t="inlineStr">
        <is>
          <t>SUBETAPA</t>
        </is>
      </c>
      <c r="I759" s="1742" t="inlineStr">
        <is>
          <t>06.011.002</t>
        </is>
      </c>
      <c r="J759" s="1743" t="inlineStr">
        <is>
          <t>Eletrodutos e eletrocalhas</t>
        </is>
      </c>
      <c r="K759" s="1744" t="n"/>
      <c r="L759" s="1745" t="n"/>
      <c r="M759" s="1745" t="n"/>
      <c r="N759" s="1746" t="n">
        <v>44290.7</v>
      </c>
      <c r="O759" s="1747" t="n"/>
      <c r="P759" s="1720" t="n"/>
    </row>
    <row r="760" hidden="1" outlineLevel="3" ht="13.9" customHeight="1">
      <c r="A760" s="2117" t="n">
        <v>0</v>
      </c>
      <c r="B760" s="2117" t="n">
        <v>6</v>
      </c>
      <c r="C760" s="2117" t="n">
        <v>11</v>
      </c>
      <c r="D760" s="2118" t="n">
        <v>2</v>
      </c>
      <c r="E760" s="2118" t="n">
        <v>1</v>
      </c>
      <c r="G760" s="1790" t="inlineStr">
        <is>
          <t>SISTEMAS E INSTALAÇÕES ELÉTRICAS</t>
        </is>
      </c>
      <c r="H760" s="1749" t="inlineStr">
        <is>
          <t>SERVIÇO</t>
        </is>
      </c>
      <c r="I760" s="1750" t="inlineStr">
        <is>
          <t>06.011.002.001</t>
        </is>
      </c>
      <c r="J760" s="1751" t="inlineStr">
        <is>
          <t>Eletrodutos e eletrocalhas</t>
        </is>
      </c>
      <c r="K760" s="1752" t="inlineStr">
        <is>
          <t>vb</t>
        </is>
      </c>
      <c r="L760" s="1753" t="n">
        <v>1</v>
      </c>
      <c r="M760" s="1753" t="n">
        <v>44290.7</v>
      </c>
      <c r="N760" s="1754" t="n">
        <v>44290.7</v>
      </c>
      <c r="O760" s="1755" t="inlineStr">
        <is>
          <t>quantidades conforme quantidades do projetista</t>
        </is>
      </c>
      <c r="P760" s="1721" t="inlineStr">
        <is>
          <t>Pendente</t>
        </is>
      </c>
    </row>
    <row r="761" hidden="1" outlineLevel="2" ht="13.9" customHeight="1">
      <c r="A761" s="2117" t="n">
        <v>0</v>
      </c>
      <c r="B761" s="2117" t="n">
        <v>6</v>
      </c>
      <c r="C761" s="2117" t="n">
        <v>11</v>
      </c>
      <c r="D761" s="2118" t="n">
        <v>3</v>
      </c>
      <c r="E761" s="2118" t="n">
        <v>0</v>
      </c>
      <c r="G761" s="1740" t="n"/>
      <c r="H761" s="1741" t="inlineStr">
        <is>
          <t>SUBETAPA</t>
        </is>
      </c>
      <c r="I761" s="1742" t="inlineStr">
        <is>
          <t>06.011.003</t>
        </is>
      </c>
      <c r="J761" s="1743" t="inlineStr">
        <is>
          <t>Fios e cabos elétricos</t>
        </is>
      </c>
      <c r="K761" s="1744" t="n"/>
      <c r="L761" s="1745" t="n"/>
      <c r="M761" s="1745" t="n"/>
      <c r="N761" s="1746" t="n">
        <v>121966.558</v>
      </c>
      <c r="O761" s="1747" t="n"/>
      <c r="P761" s="1720" t="n"/>
    </row>
    <row r="762" hidden="1" outlineLevel="3" ht="13.9" customHeight="1">
      <c r="A762" s="2117" t="n">
        <v>0</v>
      </c>
      <c r="B762" s="2117" t="n">
        <v>6</v>
      </c>
      <c r="C762" s="2117" t="n">
        <v>11</v>
      </c>
      <c r="D762" s="2118" t="n">
        <v>3</v>
      </c>
      <c r="E762" s="2118" t="n">
        <v>1</v>
      </c>
      <c r="G762" s="1790" t="inlineStr">
        <is>
          <t>SISTEMAS E INSTALAÇÕES ELÉTRICAS</t>
        </is>
      </c>
      <c r="H762" s="1749" t="inlineStr">
        <is>
          <t>SERVIÇO</t>
        </is>
      </c>
      <c r="I762" s="1750" t="inlineStr">
        <is>
          <t>06.011.003.001</t>
        </is>
      </c>
      <c r="J762" s="1751" t="inlineStr">
        <is>
          <t>Fios e cabos elétricos</t>
        </is>
      </c>
      <c r="K762" s="1752" t="inlineStr">
        <is>
          <t>vb</t>
        </is>
      </c>
      <c r="L762" s="1753" t="n">
        <v>1</v>
      </c>
      <c r="M762" s="1753" t="n">
        <v>121966.558</v>
      </c>
      <c r="N762" s="1754" t="n">
        <v>121966.558</v>
      </c>
      <c r="O762" s="1755" t="inlineStr">
        <is>
          <t>quantidades conforme quantidades do projetista</t>
        </is>
      </c>
      <c r="P762" s="1721" t="inlineStr">
        <is>
          <t>Pendente</t>
        </is>
      </c>
    </row>
    <row r="763" hidden="1" outlineLevel="2" ht="13.9" customHeight="1">
      <c r="A763" s="2117" t="n">
        <v>0</v>
      </c>
      <c r="B763" s="2117" t="n">
        <v>6</v>
      </c>
      <c r="C763" s="2117" t="n">
        <v>11</v>
      </c>
      <c r="D763" s="2118" t="n">
        <v>4</v>
      </c>
      <c r="E763" s="2118" t="n">
        <v>0</v>
      </c>
      <c r="G763" s="1740" t="n"/>
      <c r="H763" s="1741" t="inlineStr">
        <is>
          <t>SUBETAPA</t>
        </is>
      </c>
      <c r="I763" s="1742" t="inlineStr">
        <is>
          <t>06.011.004</t>
        </is>
      </c>
      <c r="J763" s="1743" t="inlineStr">
        <is>
          <t>Pontos de tomadas e interruptores</t>
        </is>
      </c>
      <c r="K763" s="1744" t="n"/>
      <c r="L763" s="1745" t="n"/>
      <c r="M763" s="1745" t="n"/>
      <c r="N763" s="1746" t="n">
        <v>72230.44</v>
      </c>
      <c r="O763" s="1747" t="n"/>
      <c r="P763" s="1720" t="n"/>
    </row>
    <row r="764" hidden="1" outlineLevel="3" ht="13.9" customHeight="1">
      <c r="A764" s="2117" t="n">
        <v>0</v>
      </c>
      <c r="B764" s="2117" t="n">
        <v>6</v>
      </c>
      <c r="C764" s="2117" t="n">
        <v>11</v>
      </c>
      <c r="D764" s="2118" t="n">
        <v>4</v>
      </c>
      <c r="E764" s="2118" t="n">
        <v>1</v>
      </c>
      <c r="G764" s="1790" t="inlineStr">
        <is>
          <t>SISTEMAS E INSTALAÇÕES ELÉTRICAS</t>
        </is>
      </c>
      <c r="H764" s="1749" t="inlineStr">
        <is>
          <t>SERVIÇO</t>
        </is>
      </c>
      <c r="I764" s="1750" t="inlineStr">
        <is>
          <t>06.011.004.001</t>
        </is>
      </c>
      <c r="J764" s="1751" t="inlineStr">
        <is>
          <t>Pontos de tomadas e interruptores</t>
        </is>
      </c>
      <c r="K764" s="1752" t="inlineStr">
        <is>
          <t>vb</t>
        </is>
      </c>
      <c r="L764" s="1753" t="n">
        <v>1</v>
      </c>
      <c r="M764" s="1753" t="n">
        <v>72230.44</v>
      </c>
      <c r="N764" s="1754" t="n">
        <v>72230.44</v>
      </c>
      <c r="O764" s="1755" t="inlineStr">
        <is>
          <t>quantidades conforme quantidades do projetista</t>
        </is>
      </c>
      <c r="P764" s="1721" t="inlineStr">
        <is>
          <t>Pendente</t>
        </is>
      </c>
    </row>
    <row r="765" hidden="1" outlineLevel="2" ht="13.9" customHeight="1">
      <c r="A765" s="2117" t="n">
        <v>0</v>
      </c>
      <c r="B765" s="2117" t="n">
        <v>6</v>
      </c>
      <c r="C765" s="2117" t="n">
        <v>11</v>
      </c>
      <c r="D765" s="2118" t="n">
        <v>5</v>
      </c>
      <c r="E765" s="2118" t="n">
        <v>0</v>
      </c>
      <c r="G765" s="1740" t="n"/>
      <c r="H765" s="1741" t="inlineStr">
        <is>
          <t>SUBETAPA</t>
        </is>
      </c>
      <c r="I765" s="1742" t="inlineStr">
        <is>
          <t>06.011.005</t>
        </is>
      </c>
      <c r="J765" s="1743" t="inlineStr">
        <is>
          <t xml:space="preserve">Luminárias, lâmpadas e acessórios </t>
        </is>
      </c>
      <c r="K765" s="1744" t="n"/>
      <c r="L765" s="1745" t="n"/>
      <c r="M765" s="1745" t="n"/>
      <c r="N765" s="1746" t="n">
        <v>71104.6462939004</v>
      </c>
      <c r="O765" s="1747" t="n"/>
      <c r="P765" s="1720" t="n"/>
    </row>
    <row r="766" hidden="1" outlineLevel="3" ht="13.9" customHeight="1">
      <c r="A766" s="2117" t="n">
        <v>0</v>
      </c>
      <c r="B766" s="2117" t="n">
        <v>6</v>
      </c>
      <c r="C766" s="2117" t="n">
        <v>11</v>
      </c>
      <c r="D766" s="2118" t="n">
        <v>5</v>
      </c>
      <c r="E766" s="2118" t="n">
        <v>1</v>
      </c>
      <c r="G766" s="1790" t="inlineStr">
        <is>
          <t>SISTEMAS E INSTALAÇÕES ELÉTRICAS</t>
        </is>
      </c>
      <c r="H766" s="1749" t="inlineStr">
        <is>
          <t>SERVIÇO</t>
        </is>
      </c>
      <c r="I766" s="1750" t="inlineStr">
        <is>
          <t>06.011.005.001</t>
        </is>
      </c>
      <c r="J766" s="1751" t="inlineStr">
        <is>
          <t xml:space="preserve">Luminárias, lâmpadas e acessórios </t>
        </is>
      </c>
      <c r="K766" s="1752" t="inlineStr">
        <is>
          <t>vb</t>
        </is>
      </c>
      <c r="L766" s="1753" t="n">
        <v>1</v>
      </c>
      <c r="M766" s="1753" t="n">
        <v>71104.64629390041</v>
      </c>
      <c r="N766" s="1754" t="n">
        <v>71104.6462939004</v>
      </c>
      <c r="O766" s="1755" t="inlineStr">
        <is>
          <t>quantidades ESTIMADA, devido a ausência de quantitativos</t>
        </is>
      </c>
      <c r="P766" s="1721" t="inlineStr">
        <is>
          <t>Pendente</t>
        </is>
      </c>
    </row>
    <row r="767" hidden="1" outlineLevel="2" ht="13.9" customHeight="1">
      <c r="A767" s="2117" t="n">
        <v>0</v>
      </c>
      <c r="B767" s="2117" t="n">
        <v>6</v>
      </c>
      <c r="C767" s="2117" t="n">
        <v>11</v>
      </c>
      <c r="D767" s="2118" t="n">
        <v>6</v>
      </c>
      <c r="E767" s="2118" t="n">
        <v>0</v>
      </c>
      <c r="G767" s="1740" t="n"/>
      <c r="H767" s="1741" t="inlineStr">
        <is>
          <t>SUBETAPA</t>
        </is>
      </c>
      <c r="I767" s="1742" t="inlineStr">
        <is>
          <t>06.011.006</t>
        </is>
      </c>
      <c r="J767" s="1743" t="inlineStr">
        <is>
          <t>Mão de obra - Sistemas e instalações elétricas</t>
        </is>
      </c>
      <c r="K767" s="1744" t="n"/>
      <c r="L767" s="1745" t="n"/>
      <c r="M767" s="1745" t="n"/>
      <c r="N767" s="1746" t="n">
        <v>507569.48</v>
      </c>
      <c r="O767" s="1747" t="n"/>
      <c r="P767" s="1720" t="n"/>
    </row>
    <row r="768" hidden="1" outlineLevel="3" ht="13.9" customHeight="1">
      <c r="A768" s="2117" t="n">
        <v>0</v>
      </c>
      <c r="B768" s="2117" t="n">
        <v>6</v>
      </c>
      <c r="C768" s="2117" t="n">
        <v>11</v>
      </c>
      <c r="D768" s="2118" t="n">
        <v>6</v>
      </c>
      <c r="E768" s="2118" t="n">
        <v>1</v>
      </c>
      <c r="G768" s="1790" t="inlineStr">
        <is>
          <t>SISTEMAS E INSTALAÇÕES ELÉTRICAS</t>
        </is>
      </c>
      <c r="H768" s="1749" t="inlineStr">
        <is>
          <t>SERVIÇO</t>
        </is>
      </c>
      <c r="I768" s="1750" t="inlineStr">
        <is>
          <t>06.011.006.001</t>
        </is>
      </c>
      <c r="J768" s="1751" t="inlineStr">
        <is>
          <t>Mão de obra para instalações elétricas</t>
        </is>
      </c>
      <c r="K768" s="1752" t="inlineStr">
        <is>
          <t>vb</t>
        </is>
      </c>
      <c r="L768" s="1753" t="n">
        <v>1</v>
      </c>
      <c r="M768" s="1753" t="n">
        <v>507569.4799999996</v>
      </c>
      <c r="N768" s="1754" t="n">
        <v>507569.48</v>
      </c>
      <c r="O768" s="1755" t="inlineStr">
        <is>
          <t>Considerado conforme os contratos disponibilizados pelo GESSELE</t>
        </is>
      </c>
      <c r="P768" s="1721" t="inlineStr">
        <is>
          <t>Pendente</t>
        </is>
      </c>
    </row>
    <row r="769" hidden="1" outlineLevel="1" ht="13.9" customHeight="1">
      <c r="A769" s="2117" t="n">
        <v>0</v>
      </c>
      <c r="B769" s="2117" t="n">
        <v>6</v>
      </c>
      <c r="C769" s="2117" t="n">
        <v>12</v>
      </c>
      <c r="D769" s="2118" t="n">
        <v>0</v>
      </c>
      <c r="E769" s="2118" t="n">
        <v>1</v>
      </c>
      <c r="G769" s="1733" t="n"/>
      <c r="H769" s="1734" t="inlineStr">
        <is>
          <t>ETAPA</t>
        </is>
      </c>
      <c r="I769" s="1735" t="inlineStr">
        <is>
          <t>06.012</t>
        </is>
      </c>
      <c r="J769" s="1736" t="inlineStr">
        <is>
          <t>SISTEMAS E INSTALAÇÕES ELÉTRICAS - Duplex Inferior</t>
        </is>
      </c>
      <c r="K769" s="1737" t="n"/>
      <c r="L769" s="1738" t="n"/>
      <c r="M769" s="1738" t="n"/>
      <c r="N769" s="1739" t="n">
        <v>38786.3015378048</v>
      </c>
      <c r="O769" s="1722" t="n"/>
      <c r="P769" s="1725" t="n"/>
    </row>
    <row r="770" hidden="1" outlineLevel="2" ht="13.9" customHeight="1">
      <c r="A770" s="2117" t="n">
        <v>0</v>
      </c>
      <c r="B770" s="2117" t="n">
        <v>6</v>
      </c>
      <c r="C770" s="2117" t="n">
        <v>12</v>
      </c>
      <c r="D770" s="2118" t="n">
        <v>1</v>
      </c>
      <c r="E770" s="2118" t="n">
        <v>0</v>
      </c>
      <c r="G770" s="1740" t="n"/>
      <c r="H770" s="1741" t="inlineStr">
        <is>
          <t>SUBETAPA</t>
        </is>
      </c>
      <c r="I770" s="1742" t="inlineStr">
        <is>
          <t>06.012.001</t>
        </is>
      </c>
      <c r="J770" s="1743" t="inlineStr">
        <is>
          <t>Quadros elétricos e disjuntores</t>
        </is>
      </c>
      <c r="K770" s="1744" t="n"/>
      <c r="L770" s="1745" t="n"/>
      <c r="M770" s="1745" t="n"/>
      <c r="N770" s="1746" t="n">
        <v>1688.57</v>
      </c>
      <c r="O770" s="1747" t="n"/>
      <c r="P770" s="1720" t="n"/>
    </row>
    <row r="771" hidden="1" outlineLevel="3" ht="13.9" customHeight="1">
      <c r="A771" s="2117" t="n">
        <v>0</v>
      </c>
      <c r="B771" s="2117" t="n">
        <v>6</v>
      </c>
      <c r="C771" s="2117" t="n">
        <v>12</v>
      </c>
      <c r="D771" s="2118" t="n">
        <v>1</v>
      </c>
      <c r="E771" s="2118" t="n">
        <v>1</v>
      </c>
      <c r="G771" s="1790" t="inlineStr">
        <is>
          <t>SISTEMAS E INSTALAÇÕES ELÉTRICAS</t>
        </is>
      </c>
      <c r="H771" s="1749" t="inlineStr">
        <is>
          <t>SERVIÇO</t>
        </is>
      </c>
      <c r="I771" s="1750" t="inlineStr">
        <is>
          <t>06.012.001.001</t>
        </is>
      </c>
      <c r="J771" s="1751" t="inlineStr">
        <is>
          <t>Quadros elétricos e disjuntores</t>
        </is>
      </c>
      <c r="K771" s="1752" t="inlineStr">
        <is>
          <t>vb</t>
        </is>
      </c>
      <c r="L771" s="1753" t="n">
        <v>1</v>
      </c>
      <c r="M771" s="1753" t="n">
        <v>1688.57</v>
      </c>
      <c r="N771" s="1754" t="n">
        <v>1688.57</v>
      </c>
      <c r="O771" s="1755" t="inlineStr">
        <is>
          <t>quantidades conforme quantidades do projetista</t>
        </is>
      </c>
      <c r="P771" s="1721" t="inlineStr">
        <is>
          <t>Pendente</t>
        </is>
      </c>
    </row>
    <row r="772" hidden="1" outlineLevel="2" ht="13.9" customHeight="1">
      <c r="A772" s="2117" t="n">
        <v>0</v>
      </c>
      <c r="B772" s="2117" t="n">
        <v>6</v>
      </c>
      <c r="C772" s="2117" t="n">
        <v>12</v>
      </c>
      <c r="D772" s="2118" t="n">
        <v>2</v>
      </c>
      <c r="E772" s="2118" t="n">
        <v>0</v>
      </c>
      <c r="G772" s="1740" t="n"/>
      <c r="H772" s="1741" t="inlineStr">
        <is>
          <t>SUBETAPA</t>
        </is>
      </c>
      <c r="I772" s="1742" t="inlineStr">
        <is>
          <t>06.012.002</t>
        </is>
      </c>
      <c r="J772" s="1743" t="inlineStr">
        <is>
          <t>Eletrodutos e eletrocalhas</t>
        </is>
      </c>
      <c r="K772" s="1744" t="n"/>
      <c r="L772" s="1745" t="n"/>
      <c r="M772" s="1745" t="n"/>
      <c r="N772" s="1746" t="n">
        <v>2018.1</v>
      </c>
      <c r="O772" s="1747" t="n"/>
      <c r="P772" s="1720" t="n"/>
    </row>
    <row r="773" hidden="1" outlineLevel="3" ht="13.9" customHeight="1">
      <c r="A773" s="2117" t="n">
        <v>0</v>
      </c>
      <c r="B773" s="2117" t="n">
        <v>6</v>
      </c>
      <c r="C773" s="2117" t="n">
        <v>12</v>
      </c>
      <c r="D773" s="2118" t="n">
        <v>2</v>
      </c>
      <c r="E773" s="2118" t="n">
        <v>1</v>
      </c>
      <c r="G773" s="1790" t="inlineStr">
        <is>
          <t>SISTEMAS E INSTALAÇÕES ELÉTRICAS</t>
        </is>
      </c>
      <c r="H773" s="1749" t="inlineStr">
        <is>
          <t>SERVIÇO</t>
        </is>
      </c>
      <c r="I773" s="1750" t="inlineStr">
        <is>
          <t>06.012.002.001</t>
        </is>
      </c>
      <c r="J773" s="1751" t="inlineStr">
        <is>
          <t>Eletrodutos e eletrocalhas</t>
        </is>
      </c>
      <c r="K773" s="1752" t="inlineStr">
        <is>
          <t>vb</t>
        </is>
      </c>
      <c r="L773" s="1753" t="n">
        <v>1</v>
      </c>
      <c r="M773" s="1753" t="n">
        <v>2018.1</v>
      </c>
      <c r="N773" s="1754" t="n">
        <v>2018.1</v>
      </c>
      <c r="O773" s="1755" t="inlineStr">
        <is>
          <t>quantidades conforme quantidades do projetista</t>
        </is>
      </c>
      <c r="P773" s="1721" t="inlineStr">
        <is>
          <t>Pendente</t>
        </is>
      </c>
    </row>
    <row r="774" hidden="1" outlineLevel="2" ht="13.9" customHeight="1">
      <c r="A774" s="2117" t="n">
        <v>0</v>
      </c>
      <c r="B774" s="2117" t="n">
        <v>6</v>
      </c>
      <c r="C774" s="2117" t="n">
        <v>12</v>
      </c>
      <c r="D774" s="2118" t="n">
        <v>3</v>
      </c>
      <c r="E774" s="2118" t="n">
        <v>0</v>
      </c>
      <c r="G774" s="1740" t="n"/>
      <c r="H774" s="1741" t="inlineStr">
        <is>
          <t>SUBETAPA</t>
        </is>
      </c>
      <c r="I774" s="1742" t="inlineStr">
        <is>
          <t>06.012.003</t>
        </is>
      </c>
      <c r="J774" s="1743" t="inlineStr">
        <is>
          <t>Fios e cabos elétricos</t>
        </is>
      </c>
      <c r="K774" s="1744" t="n"/>
      <c r="L774" s="1745" t="n"/>
      <c r="M774" s="1745" t="n"/>
      <c r="N774" s="1746" t="n">
        <v>6066.446</v>
      </c>
      <c r="O774" s="1747" t="n"/>
      <c r="P774" s="1720" t="n"/>
    </row>
    <row r="775" hidden="1" outlineLevel="3" ht="13.9" customHeight="1">
      <c r="A775" s="2117" t="n">
        <v>0</v>
      </c>
      <c r="B775" s="2117" t="n">
        <v>6</v>
      </c>
      <c r="C775" s="2117" t="n">
        <v>12</v>
      </c>
      <c r="D775" s="2118" t="n">
        <v>3</v>
      </c>
      <c r="E775" s="2118" t="n">
        <v>1</v>
      </c>
      <c r="G775" s="1790" t="inlineStr">
        <is>
          <t>SISTEMAS E INSTALAÇÕES ELÉTRICAS</t>
        </is>
      </c>
      <c r="H775" s="1749" t="inlineStr">
        <is>
          <t>SERVIÇO</t>
        </is>
      </c>
      <c r="I775" s="1750" t="inlineStr">
        <is>
          <t>06.012.003.001</t>
        </is>
      </c>
      <c r="J775" s="1751" t="inlineStr">
        <is>
          <t>Fios e cabos elétricos</t>
        </is>
      </c>
      <c r="K775" s="1752" t="inlineStr">
        <is>
          <t>vb</t>
        </is>
      </c>
      <c r="L775" s="1753" t="n">
        <v>1</v>
      </c>
      <c r="M775" s="1753" t="n">
        <v>6066.446000000001</v>
      </c>
      <c r="N775" s="1754" t="n">
        <v>6066.446</v>
      </c>
      <c r="O775" s="1755" t="inlineStr">
        <is>
          <t>quantidades conforme quantidades do projetista</t>
        </is>
      </c>
      <c r="P775" s="1721" t="inlineStr">
        <is>
          <t>Pendente</t>
        </is>
      </c>
    </row>
    <row r="776" hidden="1" outlineLevel="2" ht="13.9" customHeight="1">
      <c r="A776" s="2117" t="n">
        <v>0</v>
      </c>
      <c r="B776" s="2117" t="n">
        <v>6</v>
      </c>
      <c r="C776" s="2117" t="n">
        <v>12</v>
      </c>
      <c r="D776" s="2118" t="n">
        <v>4</v>
      </c>
      <c r="E776" s="2118" t="n">
        <v>0</v>
      </c>
      <c r="G776" s="1740" t="n"/>
      <c r="H776" s="1741" t="inlineStr">
        <is>
          <t>SUBETAPA</t>
        </is>
      </c>
      <c r="I776" s="1742" t="inlineStr">
        <is>
          <t>06.012.004</t>
        </is>
      </c>
      <c r="J776" s="1743" t="inlineStr">
        <is>
          <t>Pontos de tomadas e interruptores</t>
        </is>
      </c>
      <c r="K776" s="1744" t="n"/>
      <c r="L776" s="1745" t="n"/>
      <c r="M776" s="1745" t="n"/>
      <c r="N776" s="1746" t="n">
        <v>3362.31</v>
      </c>
      <c r="O776" s="1747" t="n"/>
      <c r="P776" s="1720" t="n"/>
    </row>
    <row r="777" hidden="1" outlineLevel="3" ht="13.9" customHeight="1">
      <c r="A777" s="2117" t="n">
        <v>0</v>
      </c>
      <c r="B777" s="2117" t="n">
        <v>6</v>
      </c>
      <c r="C777" s="2117" t="n">
        <v>12</v>
      </c>
      <c r="D777" s="2118" t="n">
        <v>4</v>
      </c>
      <c r="E777" s="2118" t="n">
        <v>1</v>
      </c>
      <c r="G777" s="1790" t="inlineStr">
        <is>
          <t>SISTEMAS E INSTALAÇÕES ELÉTRICAS</t>
        </is>
      </c>
      <c r="H777" s="1749" t="inlineStr">
        <is>
          <t>SERVIÇO</t>
        </is>
      </c>
      <c r="I777" s="1750" t="inlineStr">
        <is>
          <t>06.012.004.001</t>
        </is>
      </c>
      <c r="J777" s="1751" t="inlineStr">
        <is>
          <t>Pontos de tomadas e interruptores</t>
        </is>
      </c>
      <c r="K777" s="1752" t="inlineStr">
        <is>
          <t>vb</t>
        </is>
      </c>
      <c r="L777" s="1753" t="n">
        <v>1</v>
      </c>
      <c r="M777" s="1753" t="n">
        <v>3362.31</v>
      </c>
      <c r="N777" s="1754" t="n">
        <v>3362.31</v>
      </c>
      <c r="O777" s="1755" t="inlineStr">
        <is>
          <t>quantidades conforme quantidades do projetista</t>
        </is>
      </c>
      <c r="P777" s="1721" t="inlineStr">
        <is>
          <t>Pendente</t>
        </is>
      </c>
    </row>
    <row r="778" hidden="1" outlineLevel="2" ht="13.9" customHeight="1">
      <c r="A778" s="2117" t="n">
        <v>0</v>
      </c>
      <c r="B778" s="2117" t="n">
        <v>6</v>
      </c>
      <c r="C778" s="2117" t="n">
        <v>12</v>
      </c>
      <c r="D778" s="2118" t="n">
        <v>5</v>
      </c>
      <c r="E778" s="2118" t="n">
        <v>0</v>
      </c>
      <c r="G778" s="1740" t="n"/>
      <c r="H778" s="1741" t="inlineStr">
        <is>
          <t>SUBETAPA</t>
        </is>
      </c>
      <c r="I778" s="1742" t="inlineStr">
        <is>
          <t>06.012.005</t>
        </is>
      </c>
      <c r="J778" s="1743" t="inlineStr">
        <is>
          <t xml:space="preserve">Luminárias, lâmpadas e acessórios </t>
        </is>
      </c>
      <c r="K778" s="1744" t="n"/>
      <c r="L778" s="1745" t="n"/>
      <c r="M778" s="1745" t="n"/>
      <c r="N778" s="1746" t="n">
        <v>3385.93553780478</v>
      </c>
      <c r="O778" s="1747" t="n"/>
      <c r="P778" s="1720" t="n"/>
    </row>
    <row r="779" hidden="1" outlineLevel="3" ht="13.9" customHeight="1">
      <c r="A779" s="2117" t="n">
        <v>0</v>
      </c>
      <c r="B779" s="2117" t="n">
        <v>6</v>
      </c>
      <c r="C779" s="2117" t="n">
        <v>12</v>
      </c>
      <c r="D779" s="2118" t="n">
        <v>5</v>
      </c>
      <c r="E779" s="2118" t="n">
        <v>1</v>
      </c>
      <c r="G779" s="1790" t="inlineStr">
        <is>
          <t>SISTEMAS E INSTALAÇÕES ELÉTRICAS</t>
        </is>
      </c>
      <c r="H779" s="1749" t="inlineStr">
        <is>
          <t>SERVIÇO</t>
        </is>
      </c>
      <c r="I779" s="1750" t="inlineStr">
        <is>
          <t>06.012.005.001</t>
        </is>
      </c>
      <c r="J779" s="1751" t="inlineStr">
        <is>
          <t xml:space="preserve">Luminárias, lâmpadas e acessórios </t>
        </is>
      </c>
      <c r="K779" s="1752" t="inlineStr">
        <is>
          <t>vb</t>
        </is>
      </c>
      <c r="L779" s="1753" t="n">
        <v>1</v>
      </c>
      <c r="M779" s="1753" t="n">
        <v>3385.935537804781</v>
      </c>
      <c r="N779" s="1754" t="n">
        <v>3385.93553780478</v>
      </c>
      <c r="O779" s="1755" t="inlineStr">
        <is>
          <t>quantidades ESTIMADA, devido a ausência de quantitativos</t>
        </is>
      </c>
      <c r="P779" s="1721" t="inlineStr">
        <is>
          <t>Pendente</t>
        </is>
      </c>
    </row>
    <row r="780" hidden="1" outlineLevel="2" ht="13.9" customHeight="1">
      <c r="A780" s="2117" t="n">
        <v>0</v>
      </c>
      <c r="B780" s="2117" t="n">
        <v>6</v>
      </c>
      <c r="C780" s="2117" t="n">
        <v>12</v>
      </c>
      <c r="D780" s="2118" t="n">
        <v>6</v>
      </c>
      <c r="E780" s="2118" t="n">
        <v>0</v>
      </c>
      <c r="G780" s="1740" t="n"/>
      <c r="H780" s="1741" t="inlineStr">
        <is>
          <t>SUBETAPA</t>
        </is>
      </c>
      <c r="I780" s="1742" t="inlineStr">
        <is>
          <t>06.012.006</t>
        </is>
      </c>
      <c r="J780" s="1743" t="inlineStr">
        <is>
          <t>Mão de obra - Sistemas e instalações elétricas</t>
        </is>
      </c>
      <c r="K780" s="1744" t="n"/>
      <c r="L780" s="1745" t="n"/>
      <c r="M780" s="1745" t="n"/>
      <c r="N780" s="1746" t="n">
        <v>22264.94</v>
      </c>
      <c r="O780" s="1747" t="n"/>
      <c r="P780" s="1720" t="n"/>
    </row>
    <row r="781" hidden="1" outlineLevel="3" ht="13.9" customHeight="1">
      <c r="A781" s="2117" t="n">
        <v>0</v>
      </c>
      <c r="B781" s="2117" t="n">
        <v>6</v>
      </c>
      <c r="C781" s="2117" t="n">
        <v>12</v>
      </c>
      <c r="D781" s="2118" t="n">
        <v>6</v>
      </c>
      <c r="E781" s="2118" t="n">
        <v>1</v>
      </c>
      <c r="G781" s="1790" t="inlineStr">
        <is>
          <t>SISTEMAS E INSTALAÇÕES ELÉTRICAS</t>
        </is>
      </c>
      <c r="H781" s="1749" t="inlineStr">
        <is>
          <t>SERVIÇO</t>
        </is>
      </c>
      <c r="I781" s="1750" t="inlineStr">
        <is>
          <t>06.012.006.001</t>
        </is>
      </c>
      <c r="J781" s="1751" t="inlineStr">
        <is>
          <t>Mão de obra para instalações elétricas</t>
        </is>
      </c>
      <c r="K781" s="1752" t="inlineStr">
        <is>
          <t>vb</t>
        </is>
      </c>
      <c r="L781" s="1753" t="n">
        <v>1</v>
      </c>
      <c r="M781" s="1753" t="n">
        <v>22264.94</v>
      </c>
      <c r="N781" s="1754" t="n">
        <v>22264.94</v>
      </c>
      <c r="O781" s="1755" t="inlineStr">
        <is>
          <t>Considerado conforme os contratos disponibilizados pelo GESSELE</t>
        </is>
      </c>
      <c r="P781" s="1721" t="inlineStr">
        <is>
          <t>Pendente</t>
        </is>
      </c>
    </row>
    <row r="782" hidden="1" outlineLevel="1" ht="13.9" customHeight="1">
      <c r="A782" s="2117" t="n">
        <v>0</v>
      </c>
      <c r="B782" s="2117" t="n">
        <v>6</v>
      </c>
      <c r="C782" s="2117" t="n">
        <v>13</v>
      </c>
      <c r="D782" s="2118" t="n">
        <v>0</v>
      </c>
      <c r="E782" s="2118" t="n">
        <v>1</v>
      </c>
      <c r="G782" s="1733" t="n"/>
      <c r="H782" s="1734" t="inlineStr">
        <is>
          <t>ETAPA</t>
        </is>
      </c>
      <c r="I782" s="1735" t="inlineStr">
        <is>
          <t>06.013</t>
        </is>
      </c>
      <c r="J782" s="1736" t="inlineStr">
        <is>
          <t>SISTEMAS E INSTALAÇÕES ELÉTRICAS - Duplex Superior</t>
        </is>
      </c>
      <c r="K782" s="1737" t="n"/>
      <c r="L782" s="1738" t="n"/>
      <c r="M782" s="1738" t="n"/>
      <c r="N782" s="1739" t="n">
        <v>35206.8635421329</v>
      </c>
      <c r="O782" s="1722" t="n"/>
      <c r="P782" s="1725" t="n"/>
    </row>
    <row r="783" hidden="1" outlineLevel="2" ht="13.9" customHeight="1">
      <c r="A783" s="2117" t="n">
        <v>0</v>
      </c>
      <c r="B783" s="2117" t="n">
        <v>6</v>
      </c>
      <c r="C783" s="2117" t="n">
        <v>13</v>
      </c>
      <c r="D783" s="2118" t="n">
        <v>1</v>
      </c>
      <c r="E783" s="2118" t="n">
        <v>0</v>
      </c>
      <c r="G783" s="1740" t="n"/>
      <c r="H783" s="1741" t="inlineStr">
        <is>
          <t>SUBETAPA</t>
        </is>
      </c>
      <c r="I783" s="1742" t="inlineStr">
        <is>
          <t>06.013.001</t>
        </is>
      </c>
      <c r="J783" s="1743" t="inlineStr">
        <is>
          <t>Quadros elétricos e disjuntores</t>
        </is>
      </c>
      <c r="K783" s="1744" t="n"/>
      <c r="L783" s="1745" t="n"/>
      <c r="M783" s="1745" t="n"/>
      <c r="N783" s="1746" t="n">
        <v>1914.35</v>
      </c>
      <c r="O783" s="1747" t="n"/>
      <c r="P783" s="1720" t="n"/>
    </row>
    <row r="784" hidden="1" outlineLevel="3" ht="13.9" customHeight="1">
      <c r="A784" s="2117" t="n">
        <v>0</v>
      </c>
      <c r="B784" s="2117" t="n">
        <v>6</v>
      </c>
      <c r="C784" s="2117" t="n">
        <v>13</v>
      </c>
      <c r="D784" s="2118" t="n">
        <v>1</v>
      </c>
      <c r="E784" s="2118" t="n">
        <v>1</v>
      </c>
      <c r="G784" s="1790" t="inlineStr">
        <is>
          <t>SISTEMAS E INSTALAÇÕES ELÉTRICAS</t>
        </is>
      </c>
      <c r="H784" s="1749" t="inlineStr">
        <is>
          <t>SERVIÇO</t>
        </is>
      </c>
      <c r="I784" s="1750" t="inlineStr">
        <is>
          <t>06.013.001.001</t>
        </is>
      </c>
      <c r="J784" s="1751" t="inlineStr">
        <is>
          <t>Quadros elétricos e disjuntores</t>
        </is>
      </c>
      <c r="K784" s="1752" t="inlineStr">
        <is>
          <t>vb</t>
        </is>
      </c>
      <c r="L784" s="1753" t="n">
        <v>1</v>
      </c>
      <c r="M784" s="1753" t="n">
        <v>1914.35</v>
      </c>
      <c r="N784" s="1754" t="n">
        <v>1914.35</v>
      </c>
      <c r="O784" s="1755" t="inlineStr">
        <is>
          <t>quantidades conforme quantidades do projetista</t>
        </is>
      </c>
      <c r="P784" s="1721" t="inlineStr">
        <is>
          <t>Pendente</t>
        </is>
      </c>
    </row>
    <row r="785" hidden="1" outlineLevel="2" ht="13.9" customHeight="1">
      <c r="A785" s="2117" t="n">
        <v>0</v>
      </c>
      <c r="B785" s="2117" t="n">
        <v>6</v>
      </c>
      <c r="C785" s="2117" t="n">
        <v>13</v>
      </c>
      <c r="D785" s="2118" t="n">
        <v>2</v>
      </c>
      <c r="E785" s="2118" t="n">
        <v>0</v>
      </c>
      <c r="G785" s="1740" t="n"/>
      <c r="H785" s="1741" t="inlineStr">
        <is>
          <t>SUBETAPA</t>
        </is>
      </c>
      <c r="I785" s="1742" t="inlineStr">
        <is>
          <t>06.013.002</t>
        </is>
      </c>
      <c r="J785" s="1743" t="inlineStr">
        <is>
          <t>Eletrodutos e eletrocalhas</t>
        </is>
      </c>
      <c r="K785" s="1744" t="n"/>
      <c r="L785" s="1745" t="n"/>
      <c r="M785" s="1745" t="n"/>
      <c r="N785" s="1746" t="n">
        <v>1498.65</v>
      </c>
      <c r="O785" s="1747" t="n"/>
      <c r="P785" s="1720" t="n"/>
    </row>
    <row r="786" hidden="1" outlineLevel="3" ht="13.9" customHeight="1">
      <c r="A786" s="2117" t="n">
        <v>0</v>
      </c>
      <c r="B786" s="2117" t="n">
        <v>6</v>
      </c>
      <c r="C786" s="2117" t="n">
        <v>13</v>
      </c>
      <c r="D786" s="2118" t="n">
        <v>2</v>
      </c>
      <c r="E786" s="2118" t="n">
        <v>1</v>
      </c>
      <c r="G786" s="1790" t="inlineStr">
        <is>
          <t>SISTEMAS E INSTALAÇÕES ELÉTRICAS</t>
        </is>
      </c>
      <c r="H786" s="1749" t="inlineStr">
        <is>
          <t>SERVIÇO</t>
        </is>
      </c>
      <c r="I786" s="1750" t="inlineStr">
        <is>
          <t>06.013.002.001</t>
        </is>
      </c>
      <c r="J786" s="1751" t="inlineStr">
        <is>
          <t>Eletrodutos e eletrocalhas</t>
        </is>
      </c>
      <c r="K786" s="1752" t="inlineStr">
        <is>
          <t>vb</t>
        </is>
      </c>
      <c r="L786" s="1753" t="n">
        <v>1</v>
      </c>
      <c r="M786" s="1753" t="n">
        <v>1498.65</v>
      </c>
      <c r="N786" s="1754" t="n">
        <v>1498.65</v>
      </c>
      <c r="O786" s="1755" t="inlineStr">
        <is>
          <t>quantidades conforme quantidades do projetista</t>
        </is>
      </c>
      <c r="P786" s="1721" t="inlineStr">
        <is>
          <t>Pendente</t>
        </is>
      </c>
    </row>
    <row r="787" hidden="1" outlineLevel="2" ht="13.9" customHeight="1">
      <c r="A787" s="2117" t="n">
        <v>0</v>
      </c>
      <c r="B787" s="2117" t="n">
        <v>6</v>
      </c>
      <c r="C787" s="2117" t="n">
        <v>13</v>
      </c>
      <c r="D787" s="2118" t="n">
        <v>3</v>
      </c>
      <c r="E787" s="2118" t="n">
        <v>0</v>
      </c>
      <c r="G787" s="1740" t="n"/>
      <c r="H787" s="1741" t="inlineStr">
        <is>
          <t>SUBETAPA</t>
        </is>
      </c>
      <c r="I787" s="1742" t="inlineStr">
        <is>
          <t>06.013.003</t>
        </is>
      </c>
      <c r="J787" s="1743" t="inlineStr">
        <is>
          <t>Fios e cabos elétricos</t>
        </is>
      </c>
      <c r="K787" s="1744" t="n"/>
      <c r="L787" s="1745" t="n"/>
      <c r="M787" s="1745" t="n"/>
      <c r="N787" s="1746" t="n">
        <v>5058.539</v>
      </c>
      <c r="O787" s="1747" t="n"/>
      <c r="P787" s="1720" t="n"/>
    </row>
    <row r="788" hidden="1" outlineLevel="3" ht="13.9" customHeight="1">
      <c r="A788" s="2117" t="n">
        <v>0</v>
      </c>
      <c r="B788" s="2117" t="n">
        <v>6</v>
      </c>
      <c r="C788" s="2117" t="n">
        <v>13</v>
      </c>
      <c r="D788" s="2118" t="n">
        <v>3</v>
      </c>
      <c r="E788" s="2118" t="n">
        <v>1</v>
      </c>
      <c r="G788" s="1790" t="inlineStr">
        <is>
          <t>SISTEMAS E INSTALAÇÕES ELÉTRICAS</t>
        </is>
      </c>
      <c r="H788" s="1749" t="inlineStr">
        <is>
          <t>SERVIÇO</t>
        </is>
      </c>
      <c r="I788" s="1750" t="inlineStr">
        <is>
          <t>06.013.003.001</t>
        </is>
      </c>
      <c r="J788" s="1751" t="inlineStr">
        <is>
          <t>Fios e cabos elétricos</t>
        </is>
      </c>
      <c r="K788" s="1752" t="inlineStr">
        <is>
          <t>vb</t>
        </is>
      </c>
      <c r="L788" s="1753" t="n">
        <v>1</v>
      </c>
      <c r="M788" s="1753" t="n">
        <v>5058.539000000002</v>
      </c>
      <c r="N788" s="1754" t="n">
        <v>5058.539</v>
      </c>
      <c r="O788" s="1755" t="inlineStr">
        <is>
          <t>quantidades conforme quantidades do projetista</t>
        </is>
      </c>
      <c r="P788" s="1721" t="inlineStr">
        <is>
          <t>Pendente</t>
        </is>
      </c>
    </row>
    <row r="789" hidden="1" outlineLevel="2" ht="13.9" customHeight="1">
      <c r="A789" s="2117" t="n">
        <v>0</v>
      </c>
      <c r="B789" s="2117" t="n">
        <v>6</v>
      </c>
      <c r="C789" s="2117" t="n">
        <v>13</v>
      </c>
      <c r="D789" s="2118" t="n">
        <v>4</v>
      </c>
      <c r="E789" s="2118" t="n">
        <v>0</v>
      </c>
      <c r="G789" s="1740" t="n"/>
      <c r="H789" s="1741" t="inlineStr">
        <is>
          <t>SUBETAPA</t>
        </is>
      </c>
      <c r="I789" s="1742" t="inlineStr">
        <is>
          <t>06.013.004</t>
        </is>
      </c>
      <c r="J789" s="1743" t="inlineStr">
        <is>
          <t>Pontos de tomadas e interruptores</t>
        </is>
      </c>
      <c r="K789" s="1744" t="n"/>
      <c r="L789" s="1745" t="n"/>
      <c r="M789" s="1745" t="n"/>
      <c r="N789" s="1746" t="n">
        <v>2278.93</v>
      </c>
      <c r="O789" s="1747" t="n"/>
      <c r="P789" s="1720" t="n"/>
    </row>
    <row r="790" hidden="1" outlineLevel="3" ht="13.9" customHeight="1">
      <c r="A790" s="2117" t="n">
        <v>0</v>
      </c>
      <c r="B790" s="2117" t="n">
        <v>6</v>
      </c>
      <c r="C790" s="2117" t="n">
        <v>13</v>
      </c>
      <c r="D790" s="2118" t="n">
        <v>4</v>
      </c>
      <c r="E790" s="2118" t="n">
        <v>1</v>
      </c>
      <c r="G790" s="1790" t="inlineStr">
        <is>
          <t>SISTEMAS E INSTALAÇÕES ELÉTRICAS</t>
        </is>
      </c>
      <c r="H790" s="1749" t="inlineStr">
        <is>
          <t>SERVIÇO</t>
        </is>
      </c>
      <c r="I790" s="1750" t="inlineStr">
        <is>
          <t>06.013.004.001</t>
        </is>
      </c>
      <c r="J790" s="1751" t="inlineStr">
        <is>
          <t>Pontos de tomadas e interruptores</t>
        </is>
      </c>
      <c r="K790" s="1752" t="inlineStr">
        <is>
          <t>vb</t>
        </is>
      </c>
      <c r="L790" s="1753" t="n">
        <v>1</v>
      </c>
      <c r="M790" s="1753" t="n">
        <v>2278.93</v>
      </c>
      <c r="N790" s="1754" t="n">
        <v>2278.93</v>
      </c>
      <c r="O790" s="1755" t="inlineStr">
        <is>
          <t>quantidades conforme quantidades do projetista</t>
        </is>
      </c>
      <c r="P790" s="1721" t="inlineStr">
        <is>
          <t>Pendente</t>
        </is>
      </c>
    </row>
    <row r="791" hidden="1" outlineLevel="2" ht="13.9" customHeight="1">
      <c r="A791" s="2117" t="n">
        <v>0</v>
      </c>
      <c r="B791" s="2117" t="n">
        <v>6</v>
      </c>
      <c r="C791" s="2117" t="n">
        <v>13</v>
      </c>
      <c r="D791" s="2118" t="n">
        <v>5</v>
      </c>
      <c r="E791" s="2118" t="n">
        <v>0</v>
      </c>
      <c r="G791" s="1740" t="n"/>
      <c r="H791" s="1741" t="inlineStr">
        <is>
          <t>SUBETAPA</t>
        </is>
      </c>
      <c r="I791" s="1742" t="inlineStr">
        <is>
          <t>06.013.005</t>
        </is>
      </c>
      <c r="J791" s="1743" t="inlineStr">
        <is>
          <t xml:space="preserve">Luminárias, lâmpadas e acessórios </t>
        </is>
      </c>
      <c r="K791" s="1744" t="n"/>
      <c r="L791" s="1745" t="n"/>
      <c r="M791" s="1745" t="n"/>
      <c r="N791" s="1746" t="n">
        <v>3267.59454213291</v>
      </c>
      <c r="O791" s="1747" t="n"/>
      <c r="P791" s="1720" t="n"/>
    </row>
    <row r="792" hidden="1" outlineLevel="3" ht="13.9" customHeight="1">
      <c r="A792" s="2117" t="n">
        <v>0</v>
      </c>
      <c r="B792" s="2117" t="n">
        <v>6</v>
      </c>
      <c r="C792" s="2117" t="n">
        <v>13</v>
      </c>
      <c r="D792" s="2118" t="n">
        <v>5</v>
      </c>
      <c r="E792" s="2118" t="n">
        <v>1</v>
      </c>
      <c r="G792" s="1790" t="inlineStr">
        <is>
          <t>SISTEMAS E INSTALAÇÕES ELÉTRICAS</t>
        </is>
      </c>
      <c r="H792" s="1749" t="inlineStr">
        <is>
          <t>SERVIÇO</t>
        </is>
      </c>
      <c r="I792" s="1750" t="inlineStr">
        <is>
          <t>06.013.005.001</t>
        </is>
      </c>
      <c r="J792" s="1751" t="inlineStr">
        <is>
          <t xml:space="preserve">Luminárias, lâmpadas e acessórios </t>
        </is>
      </c>
      <c r="K792" s="1752" t="inlineStr">
        <is>
          <t>vb</t>
        </is>
      </c>
      <c r="L792" s="1753" t="n">
        <v>1</v>
      </c>
      <c r="M792" s="1753" t="n">
        <v>3267.594542132914</v>
      </c>
      <c r="N792" s="1754" t="n">
        <v>3267.59454213291</v>
      </c>
      <c r="O792" s="1755" t="inlineStr">
        <is>
          <t>quantidades ESTIMADA, devido a ausência de quantitativos</t>
        </is>
      </c>
      <c r="P792" s="1721" t="inlineStr">
        <is>
          <t>Pendente</t>
        </is>
      </c>
    </row>
    <row r="793" hidden="1" outlineLevel="2" ht="13.9" customHeight="1">
      <c r="A793" s="2117" t="n">
        <v>0</v>
      </c>
      <c r="B793" s="2117" t="n">
        <v>6</v>
      </c>
      <c r="C793" s="2117" t="n">
        <v>13</v>
      </c>
      <c r="D793" s="2118" t="n">
        <v>6</v>
      </c>
      <c r="E793" s="2118" t="n">
        <v>0</v>
      </c>
      <c r="G793" s="1740" t="n"/>
      <c r="H793" s="1741" t="inlineStr">
        <is>
          <t>SUBETAPA</t>
        </is>
      </c>
      <c r="I793" s="1742" t="inlineStr">
        <is>
          <t>06.013.006</t>
        </is>
      </c>
      <c r="J793" s="1743" t="inlineStr">
        <is>
          <t>Mão de obra - Sistemas e instalações elétricas</t>
        </is>
      </c>
      <c r="K793" s="1744" t="n"/>
      <c r="L793" s="1745" t="n"/>
      <c r="M793" s="1745" t="n"/>
      <c r="N793" s="1746" t="n">
        <v>21188.8</v>
      </c>
      <c r="O793" s="1747" t="n"/>
      <c r="P793" s="1720" t="n"/>
    </row>
    <row r="794" hidden="1" outlineLevel="3" ht="13.9" customHeight="1">
      <c r="A794" s="2117" t="n">
        <v>0</v>
      </c>
      <c r="B794" s="2117" t="n">
        <v>6</v>
      </c>
      <c r="C794" s="2117" t="n">
        <v>13</v>
      </c>
      <c r="D794" s="2118" t="n">
        <v>6</v>
      </c>
      <c r="E794" s="2118" t="n">
        <v>1</v>
      </c>
      <c r="G794" s="1790" t="inlineStr">
        <is>
          <t>SISTEMAS E INSTALAÇÕES ELÉTRICAS</t>
        </is>
      </c>
      <c r="H794" s="1749" t="inlineStr">
        <is>
          <t>SERVIÇO</t>
        </is>
      </c>
      <c r="I794" s="1750" t="inlineStr">
        <is>
          <t>06.013.006.001</t>
        </is>
      </c>
      <c r="J794" s="1751" t="inlineStr">
        <is>
          <t>Mão de obra para instalações elétricas</t>
        </is>
      </c>
      <c r="K794" s="1752" t="inlineStr">
        <is>
          <t>vb</t>
        </is>
      </c>
      <c r="L794" s="1753" t="n">
        <v>1</v>
      </c>
      <c r="M794" s="1753" t="n">
        <v>21188.8</v>
      </c>
      <c r="N794" s="1754" t="n">
        <v>21188.8</v>
      </c>
      <c r="O794" s="1755" t="inlineStr">
        <is>
          <t>Considerado conforme os contratos disponibilizados pelo GESSELE</t>
        </is>
      </c>
      <c r="P794" s="1721" t="inlineStr">
        <is>
          <t>Pendente</t>
        </is>
      </c>
    </row>
    <row r="795" hidden="1" outlineLevel="1" ht="13.9" customHeight="1">
      <c r="A795" s="2117" t="n">
        <v>0</v>
      </c>
      <c r="B795" s="2117" t="n">
        <v>6</v>
      </c>
      <c r="C795" s="2117" t="n">
        <v>14</v>
      </c>
      <c r="D795" s="2118" t="n">
        <v>0</v>
      </c>
      <c r="E795" s="2118" t="n">
        <v>1</v>
      </c>
      <c r="G795" s="1733" t="n"/>
      <c r="H795" s="1734" t="inlineStr">
        <is>
          <t>ETAPA</t>
        </is>
      </c>
      <c r="I795" s="1735" t="inlineStr">
        <is>
          <t>06.014</t>
        </is>
      </c>
      <c r="J795" s="1736" t="inlineStr">
        <is>
          <t>SISTEMAS E INSTALAÇÕES ELÉTRICAS - Cobertura | Barrilete</t>
        </is>
      </c>
      <c r="K795" s="1737" t="n"/>
      <c r="L795" s="1738" t="n"/>
      <c r="M795" s="1738" t="n"/>
      <c r="N795" s="1739" t="n">
        <v>22823.0118316038</v>
      </c>
      <c r="O795" s="1722" t="n"/>
      <c r="P795" s="1725" t="n"/>
    </row>
    <row r="796" hidden="1" outlineLevel="2" ht="13.9" customHeight="1">
      <c r="A796" s="2117" t="n">
        <v>0</v>
      </c>
      <c r="B796" s="2117" t="n">
        <v>6</v>
      </c>
      <c r="C796" s="2117" t="n">
        <v>14</v>
      </c>
      <c r="D796" s="2118" t="n">
        <v>1</v>
      </c>
      <c r="E796" s="2118" t="n">
        <v>0</v>
      </c>
      <c r="G796" s="1740" t="n"/>
      <c r="H796" s="1741" t="inlineStr">
        <is>
          <t>SUBETAPA</t>
        </is>
      </c>
      <c r="I796" s="1742" t="inlineStr">
        <is>
          <t>06.014.001</t>
        </is>
      </c>
      <c r="J796" s="1743" t="inlineStr">
        <is>
          <t>Quadros elétricos e disjuntores</t>
        </is>
      </c>
      <c r="K796" s="1744" t="n"/>
      <c r="L796" s="1745" t="n"/>
      <c r="M796" s="1745" t="n"/>
      <c r="N796" s="1746" t="n">
        <v>949.52</v>
      </c>
      <c r="O796" s="1747" t="n"/>
      <c r="P796" s="1720" t="n"/>
    </row>
    <row r="797" hidden="1" outlineLevel="3" ht="13.9" customHeight="1">
      <c r="A797" s="2117" t="n">
        <v>0</v>
      </c>
      <c r="B797" s="2117" t="n">
        <v>6</v>
      </c>
      <c r="C797" s="2117" t="n">
        <v>14</v>
      </c>
      <c r="D797" s="2118" t="n">
        <v>1</v>
      </c>
      <c r="E797" s="2118" t="n">
        <v>1</v>
      </c>
      <c r="G797" s="1790" t="inlineStr">
        <is>
          <t>SISTEMAS E INSTALAÇÕES ELÉTRICAS</t>
        </is>
      </c>
      <c r="H797" s="1749" t="inlineStr">
        <is>
          <t>SERVIÇO</t>
        </is>
      </c>
      <c r="I797" s="1750" t="inlineStr">
        <is>
          <t>06.014.001.001</t>
        </is>
      </c>
      <c r="J797" s="1751" t="inlineStr">
        <is>
          <t>Quadros elétricos e disjuntores</t>
        </is>
      </c>
      <c r="K797" s="1752" t="inlineStr">
        <is>
          <t>vb</t>
        </is>
      </c>
      <c r="L797" s="1753" t="n">
        <v>1</v>
      </c>
      <c r="M797" s="1753" t="n">
        <v>949.52</v>
      </c>
      <c r="N797" s="1754" t="n">
        <v>949.52</v>
      </c>
      <c r="O797" s="1755" t="inlineStr">
        <is>
          <t>quantidades conforme quantidades do projetista</t>
        </is>
      </c>
      <c r="P797" s="1721" t="inlineStr">
        <is>
          <t>Pendente</t>
        </is>
      </c>
    </row>
    <row r="798" hidden="1" outlineLevel="2" ht="13.9" customHeight="1">
      <c r="A798" s="2117" t="n">
        <v>0</v>
      </c>
      <c r="B798" s="2117" t="n">
        <v>6</v>
      </c>
      <c r="C798" s="2117" t="n">
        <v>14</v>
      </c>
      <c r="D798" s="2118" t="n">
        <v>2</v>
      </c>
      <c r="E798" s="2118" t="n">
        <v>0</v>
      </c>
      <c r="G798" s="1740" t="n"/>
      <c r="H798" s="1741" t="inlineStr">
        <is>
          <t>SUBETAPA</t>
        </is>
      </c>
      <c r="I798" s="1742" t="inlineStr">
        <is>
          <t>06.014.002</t>
        </is>
      </c>
      <c r="J798" s="1743" t="inlineStr">
        <is>
          <t>Eletrodutos e eletrocalhas</t>
        </is>
      </c>
      <c r="K798" s="1744" t="n"/>
      <c r="L798" s="1745" t="n"/>
      <c r="M798" s="1745" t="n"/>
      <c r="N798" s="1746" t="n">
        <v>353.1</v>
      </c>
      <c r="O798" s="1747" t="n"/>
      <c r="P798" s="1720" t="n"/>
    </row>
    <row r="799" hidden="1" outlineLevel="3" ht="13.9" customHeight="1">
      <c r="A799" s="2117" t="n">
        <v>0</v>
      </c>
      <c r="B799" s="2117" t="n">
        <v>6</v>
      </c>
      <c r="C799" s="2117" t="n">
        <v>14</v>
      </c>
      <c r="D799" s="2118" t="n">
        <v>2</v>
      </c>
      <c r="E799" s="2118" t="n">
        <v>1</v>
      </c>
      <c r="G799" s="1790" t="inlineStr">
        <is>
          <t>SISTEMAS E INSTALAÇÕES ELÉTRICAS</t>
        </is>
      </c>
      <c r="H799" s="1749" t="inlineStr">
        <is>
          <t>SERVIÇO</t>
        </is>
      </c>
      <c r="I799" s="1750" t="inlineStr">
        <is>
          <t>06.014.002.001</t>
        </is>
      </c>
      <c r="J799" s="1751" t="inlineStr">
        <is>
          <t>Eletrodutos e eletrocalhas</t>
        </is>
      </c>
      <c r="K799" s="1752" t="inlineStr">
        <is>
          <t>vb</t>
        </is>
      </c>
      <c r="L799" s="1753" t="n">
        <v>1</v>
      </c>
      <c r="M799" s="1753" t="n">
        <v>353.1</v>
      </c>
      <c r="N799" s="1754" t="n">
        <v>353.1</v>
      </c>
      <c r="O799" s="1755" t="inlineStr">
        <is>
          <t>quantidades conforme quantidades do projetista</t>
        </is>
      </c>
      <c r="P799" s="1721" t="inlineStr">
        <is>
          <t>Pendente</t>
        </is>
      </c>
    </row>
    <row r="800" hidden="1" outlineLevel="2" ht="13.9" customHeight="1">
      <c r="A800" s="2117" t="n">
        <v>0</v>
      </c>
      <c r="B800" s="2117" t="n">
        <v>6</v>
      </c>
      <c r="C800" s="2117" t="n">
        <v>14</v>
      </c>
      <c r="D800" s="2118" t="n">
        <v>3</v>
      </c>
      <c r="E800" s="2118" t="n">
        <v>0</v>
      </c>
      <c r="G800" s="1740" t="n"/>
      <c r="H800" s="1741" t="inlineStr">
        <is>
          <t>SUBETAPA</t>
        </is>
      </c>
      <c r="I800" s="1742" t="inlineStr">
        <is>
          <t>06.014.003</t>
        </is>
      </c>
      <c r="J800" s="1743" t="inlineStr">
        <is>
          <t>Fios e cabos elétricos</t>
        </is>
      </c>
      <c r="K800" s="1744" t="n"/>
      <c r="L800" s="1745" t="n"/>
      <c r="M800" s="1745" t="n"/>
      <c r="N800" s="1746" t="n">
        <v>1230.224</v>
      </c>
      <c r="O800" s="1747" t="n"/>
      <c r="P800" s="1720" t="n"/>
    </row>
    <row r="801" hidden="1" outlineLevel="3" ht="13.9" customHeight="1">
      <c r="A801" s="2117" t="n">
        <v>0</v>
      </c>
      <c r="B801" s="2117" t="n">
        <v>6</v>
      </c>
      <c r="C801" s="2117" t="n">
        <v>14</v>
      </c>
      <c r="D801" s="2118" t="n">
        <v>3</v>
      </c>
      <c r="E801" s="2118" t="n">
        <v>1</v>
      </c>
      <c r="G801" s="1790" t="inlineStr">
        <is>
          <t>SISTEMAS E INSTALAÇÕES ELÉTRICAS</t>
        </is>
      </c>
      <c r="H801" s="1749" t="inlineStr">
        <is>
          <t>SERVIÇO</t>
        </is>
      </c>
      <c r="I801" s="1750" t="inlineStr">
        <is>
          <t>06.014.003.001</t>
        </is>
      </c>
      <c r="J801" s="1751" t="inlineStr">
        <is>
          <t>Fios e cabos elétricos</t>
        </is>
      </c>
      <c r="K801" s="1752" t="inlineStr">
        <is>
          <t>vb</t>
        </is>
      </c>
      <c r="L801" s="1753" t="n">
        <v>1</v>
      </c>
      <c r="M801" s="1753" t="n">
        <v>1230.224</v>
      </c>
      <c r="N801" s="1754" t="n">
        <v>1230.224</v>
      </c>
      <c r="O801" s="1755" t="inlineStr">
        <is>
          <t>quantidades conforme quantidades do projetista</t>
        </is>
      </c>
      <c r="P801" s="1721" t="inlineStr">
        <is>
          <t>Pendente</t>
        </is>
      </c>
    </row>
    <row r="802" hidden="1" outlineLevel="2" ht="13.9" customHeight="1">
      <c r="A802" s="2117" t="n">
        <v>0</v>
      </c>
      <c r="B802" s="2117" t="n">
        <v>6</v>
      </c>
      <c r="C802" s="2117" t="n">
        <v>14</v>
      </c>
      <c r="D802" s="2118" t="n">
        <v>4</v>
      </c>
      <c r="E802" s="2118" t="n">
        <v>0</v>
      </c>
      <c r="G802" s="1740" t="n"/>
      <c r="H802" s="1741" t="inlineStr">
        <is>
          <t>SUBETAPA</t>
        </is>
      </c>
      <c r="I802" s="1742" t="inlineStr">
        <is>
          <t>06.014.004</t>
        </is>
      </c>
      <c r="J802" s="1743" t="inlineStr">
        <is>
          <t>Pontos de tomadas e interruptores</t>
        </is>
      </c>
      <c r="K802" s="1744" t="n"/>
      <c r="L802" s="1745" t="n"/>
      <c r="M802" s="1745" t="n"/>
      <c r="N802" s="1746" t="n">
        <v>369.05</v>
      </c>
      <c r="O802" s="1747" t="n"/>
      <c r="P802" s="1720" t="n"/>
    </row>
    <row r="803" hidden="1" outlineLevel="3" ht="13.9" customHeight="1">
      <c r="A803" s="2117" t="n">
        <v>0</v>
      </c>
      <c r="B803" s="2117" t="n">
        <v>6</v>
      </c>
      <c r="C803" s="2117" t="n">
        <v>14</v>
      </c>
      <c r="D803" s="2118" t="n">
        <v>4</v>
      </c>
      <c r="E803" s="2118" t="n">
        <v>1</v>
      </c>
      <c r="G803" s="1790" t="inlineStr">
        <is>
          <t>SISTEMAS E INSTALAÇÕES ELÉTRICAS</t>
        </is>
      </c>
      <c r="H803" s="1749" t="inlineStr">
        <is>
          <t>SERVIÇO</t>
        </is>
      </c>
      <c r="I803" s="1750" t="inlineStr">
        <is>
          <t>06.014.004.001</t>
        </is>
      </c>
      <c r="J803" s="1751" t="inlineStr">
        <is>
          <t>Pontos de tomadas e interruptores</t>
        </is>
      </c>
      <c r="K803" s="1752" t="inlineStr">
        <is>
          <t>vb</t>
        </is>
      </c>
      <c r="L803" s="1753" t="n">
        <v>1</v>
      </c>
      <c r="M803" s="1753" t="n">
        <v>369.05</v>
      </c>
      <c r="N803" s="1754" t="n">
        <v>369.05</v>
      </c>
      <c r="O803" s="1755" t="inlineStr">
        <is>
          <t>quantidades conforme quantidades do projetista</t>
        </is>
      </c>
      <c r="P803" s="1721" t="inlineStr">
        <is>
          <t>Pendente</t>
        </is>
      </c>
    </row>
    <row r="804" hidden="1" outlineLevel="2" ht="13.9" customHeight="1">
      <c r="A804" s="2117" t="n">
        <v>0</v>
      </c>
      <c r="B804" s="2117" t="n">
        <v>6</v>
      </c>
      <c r="C804" s="2117" t="n">
        <v>14</v>
      </c>
      <c r="D804" s="2118" t="n">
        <v>5</v>
      </c>
      <c r="E804" s="2118" t="n">
        <v>0</v>
      </c>
      <c r="G804" s="1740" t="n"/>
      <c r="H804" s="1741" t="inlineStr">
        <is>
          <t>SUBETAPA</t>
        </is>
      </c>
      <c r="I804" s="1742" t="inlineStr">
        <is>
          <t>06.014.005</t>
        </is>
      </c>
      <c r="J804" s="1743" t="inlineStr">
        <is>
          <t xml:space="preserve">Luminárias, lâmpadas e acessórios </t>
        </is>
      </c>
      <c r="K804" s="1744" t="n"/>
      <c r="L804" s="1745" t="n"/>
      <c r="M804" s="1745" t="n"/>
      <c r="N804" s="1746" t="n">
        <v>3109.65783160382</v>
      </c>
      <c r="O804" s="1747" t="n"/>
      <c r="P804" s="1720" t="n"/>
    </row>
    <row r="805" hidden="1" outlineLevel="3" ht="13.9" customHeight="1">
      <c r="A805" s="2117" t="n">
        <v>0</v>
      </c>
      <c r="B805" s="2117" t="n">
        <v>6</v>
      </c>
      <c r="C805" s="2117" t="n">
        <v>14</v>
      </c>
      <c r="D805" s="2118" t="n">
        <v>5</v>
      </c>
      <c r="E805" s="2118" t="n">
        <v>1</v>
      </c>
      <c r="G805" s="1790" t="inlineStr">
        <is>
          <t>SISTEMAS E INSTALAÇÕES ELÉTRICAS</t>
        </is>
      </c>
      <c r="H805" s="1749" t="inlineStr">
        <is>
          <t>SERVIÇO</t>
        </is>
      </c>
      <c r="I805" s="1750" t="inlineStr">
        <is>
          <t>06.014.005.001</t>
        </is>
      </c>
      <c r="J805" s="1751" t="inlineStr">
        <is>
          <t xml:space="preserve">Luminárias, lâmpadas e acessórios </t>
        </is>
      </c>
      <c r="K805" s="1752" t="inlineStr">
        <is>
          <t>vb</t>
        </is>
      </c>
      <c r="L805" s="1753" t="n">
        <v>1</v>
      </c>
      <c r="M805" s="1753" t="n">
        <v>3109.657831603824</v>
      </c>
      <c r="N805" s="1754" t="n">
        <v>3109.65783160382</v>
      </c>
      <c r="O805" s="1755" t="inlineStr">
        <is>
          <t>quantidades ESTIMADA, devido a ausência de quantitativos</t>
        </is>
      </c>
      <c r="P805" s="1721" t="inlineStr">
        <is>
          <t>Pendente</t>
        </is>
      </c>
    </row>
    <row r="806" hidden="1" outlineLevel="2" ht="13.9" customHeight="1">
      <c r="A806" s="2117" t="n">
        <v>0</v>
      </c>
      <c r="B806" s="2117" t="n">
        <v>6</v>
      </c>
      <c r="C806" s="2117" t="n">
        <v>14</v>
      </c>
      <c r="D806" s="2118" t="n">
        <v>6</v>
      </c>
      <c r="E806" s="2118" t="n">
        <v>0</v>
      </c>
      <c r="G806" s="1740" t="n"/>
      <c r="H806" s="1741" t="inlineStr">
        <is>
          <t>SUBETAPA</t>
        </is>
      </c>
      <c r="I806" s="1742" t="inlineStr">
        <is>
          <t>06.014.006</t>
        </is>
      </c>
      <c r="J806" s="1743" t="inlineStr">
        <is>
          <t>Mão de obra - Sistemas e instalações elétricas</t>
        </is>
      </c>
      <c r="K806" s="1744" t="n"/>
      <c r="L806" s="1745" t="n"/>
      <c r="M806" s="1745" t="n"/>
      <c r="N806" s="1746" t="n">
        <v>16811.46</v>
      </c>
      <c r="O806" s="1747" t="n"/>
      <c r="P806" s="1720" t="n"/>
    </row>
    <row r="807" hidden="1" outlineLevel="3" ht="13.9" customHeight="1">
      <c r="A807" s="2117" t="n">
        <v>0</v>
      </c>
      <c r="B807" s="2117" t="n">
        <v>6</v>
      </c>
      <c r="C807" s="2117" t="n">
        <v>14</v>
      </c>
      <c r="D807" s="2118" t="n">
        <v>6</v>
      </c>
      <c r="E807" s="2118" t="n">
        <v>1</v>
      </c>
      <c r="G807" s="1790" t="inlineStr">
        <is>
          <t>SISTEMAS E INSTALAÇÕES ELÉTRICAS</t>
        </is>
      </c>
      <c r="H807" s="1749" t="inlineStr">
        <is>
          <t>SERVIÇO</t>
        </is>
      </c>
      <c r="I807" s="1750" t="inlineStr">
        <is>
          <t>06.014.006.001</t>
        </is>
      </c>
      <c r="J807" s="1751" t="inlineStr">
        <is>
          <t>Mão de obra para instalações elétricas</t>
        </is>
      </c>
      <c r="K807" s="1752" t="inlineStr">
        <is>
          <t>vb</t>
        </is>
      </c>
      <c r="L807" s="1753" t="n">
        <v>1</v>
      </c>
      <c r="M807" s="1753" t="n">
        <v>16811.46</v>
      </c>
      <c r="N807" s="1754" t="n">
        <v>16811.46</v>
      </c>
      <c r="O807" s="1755" t="inlineStr">
        <is>
          <t>Considerado conforme os contratos disponibilizados pelo GESSELE</t>
        </is>
      </c>
      <c r="P807" s="1721" t="inlineStr">
        <is>
          <t>Pendente</t>
        </is>
      </c>
    </row>
    <row r="808" collapsed="1" ht="13.9" customHeight="1">
      <c r="A808" s="2117" t="n">
        <v>0</v>
      </c>
      <c r="B808" s="2117" t="n">
        <v>7</v>
      </c>
      <c r="C808" s="2117" t="n">
        <v>0</v>
      </c>
      <c r="D808" s="2118" t="n">
        <v>6</v>
      </c>
      <c r="E808" s="2118" t="n">
        <v>1</v>
      </c>
      <c r="F808" s="474" t="n"/>
      <c r="G808" s="1791" t="n"/>
      <c r="H808" s="1727" t="inlineStr">
        <is>
          <t>CÉLULA CONSTRUTIVA</t>
        </is>
      </c>
      <c r="I808" s="1728" t="inlineStr">
        <is>
          <t>07</t>
        </is>
      </c>
      <c r="J808" s="1729" t="inlineStr">
        <is>
          <t>SISTEMAS E INSTALAÇÕES HIDROSSANITÁRIAS E DRENAGEM</t>
        </is>
      </c>
      <c r="K808" s="1730" t="n"/>
      <c r="L808" s="1731" t="n"/>
      <c r="M808" s="1731" t="n"/>
      <c r="N808" s="1732" t="n">
        <v>2801537.89336211</v>
      </c>
      <c r="O808" s="1770" t="n">
        <v>167.259288891191</v>
      </c>
      <c r="P808" s="1724" t="n"/>
    </row>
    <row r="809" hidden="1" outlineLevel="1" ht="13.9" customHeight="1">
      <c r="A809" s="2117" t="n">
        <v>0</v>
      </c>
      <c r="B809" s="2117" t="n">
        <v>7</v>
      </c>
      <c r="C809" s="2117" t="n">
        <v>1</v>
      </c>
      <c r="D809" s="2118" t="n">
        <v>0</v>
      </c>
      <c r="E809" s="2118" t="n">
        <v>1</v>
      </c>
      <c r="G809" s="1733" t="n"/>
      <c r="H809" s="1734" t="inlineStr">
        <is>
          <t>ETAPA</t>
        </is>
      </c>
      <c r="I809" s="1735" t="inlineStr">
        <is>
          <t>07.001</t>
        </is>
      </c>
      <c r="J809" s="1736" t="inlineStr">
        <is>
          <t>SISTEMAS E INSTALAÇÕES HIDROSSANITÁRIAS E DRENAGEM - Térreo</t>
        </is>
      </c>
      <c r="K809" s="1737" t="n"/>
      <c r="L809" s="1738" t="n"/>
      <c r="M809" s="1738" t="n"/>
      <c r="N809" s="1739" t="n">
        <v>299058.903490763</v>
      </c>
      <c r="O809" s="1722" t="n"/>
      <c r="P809" s="1725" t="n"/>
    </row>
    <row r="810" hidden="1" outlineLevel="2" ht="13.9" customHeight="1">
      <c r="A810" s="2117" t="n">
        <v>0</v>
      </c>
      <c r="B810" s="2117" t="n">
        <v>7</v>
      </c>
      <c r="C810" s="2117" t="n">
        <v>1</v>
      </c>
      <c r="D810" s="2118" t="n">
        <v>1</v>
      </c>
      <c r="E810" s="2118" t="n">
        <v>0</v>
      </c>
      <c r="G810" s="1764" t="n"/>
      <c r="H810" s="1741" t="inlineStr">
        <is>
          <t>SUBETAPA</t>
        </is>
      </c>
      <c r="I810" s="1742" t="inlineStr">
        <is>
          <t>07.001.001</t>
        </is>
      </c>
      <c r="J810" s="1743" t="inlineStr">
        <is>
          <t>Instalações de água fria</t>
        </is>
      </c>
      <c r="K810" s="1744" t="n"/>
      <c r="L810" s="1745" t="n"/>
      <c r="M810" s="1745" t="n"/>
      <c r="N810" s="1746" t="n">
        <v>139834.96731662</v>
      </c>
      <c r="O810" s="1747" t="n"/>
      <c r="P810" s="1720" t="n"/>
    </row>
    <row r="811" hidden="1" outlineLevel="3" ht="13.9" customHeight="1">
      <c r="A811" s="2117" t="n">
        <v>0</v>
      </c>
      <c r="B811" s="2117" t="n">
        <v>7</v>
      </c>
      <c r="C811" s="2117" t="n">
        <v>1</v>
      </c>
      <c r="D811" s="2118" t="n">
        <v>1</v>
      </c>
      <c r="E811" s="2118" t="n">
        <v>1</v>
      </c>
      <c r="G811" s="1748" t="inlineStr">
        <is>
          <t>SISTEMAS E INSTALAÇÕES HIDROSSANITÁRIAS E DRENAGEM</t>
        </is>
      </c>
      <c r="H811" s="1749" t="inlineStr">
        <is>
          <t>SERVIÇO</t>
        </is>
      </c>
      <c r="I811" s="1750" t="inlineStr">
        <is>
          <t>07.001.001.001</t>
        </is>
      </c>
      <c r="J811" s="1751" t="inlineStr">
        <is>
          <t>Instalações de água fria e quente</t>
        </is>
      </c>
      <c r="K811" s="1752" t="inlineStr">
        <is>
          <t>vb</t>
        </is>
      </c>
      <c r="L811" s="1753" t="n">
        <v>1</v>
      </c>
      <c r="M811" s="1753" t="n">
        <v>139834.9673166199</v>
      </c>
      <c r="N811" s="1754" t="n">
        <v>139834.96731662</v>
      </c>
      <c r="O811" s="1755" t="inlineStr">
        <is>
          <t>quantidades conforme quantidades do projetista</t>
        </is>
      </c>
      <c r="P811" s="1721" t="inlineStr">
        <is>
          <t>Pendente</t>
        </is>
      </c>
    </row>
    <row r="812" hidden="1" outlineLevel="2" ht="13.9" customHeight="1">
      <c r="A812" s="2117" t="n">
        <v>0</v>
      </c>
      <c r="B812" s="2117" t="n">
        <v>7</v>
      </c>
      <c r="C812" s="2117" t="n">
        <v>1</v>
      </c>
      <c r="D812" s="2118" t="n">
        <v>2</v>
      </c>
      <c r="E812" s="2118" t="n">
        <v>0</v>
      </c>
      <c r="G812" s="1764" t="n"/>
      <c r="H812" s="1741" t="inlineStr">
        <is>
          <t>SUBETAPA</t>
        </is>
      </c>
      <c r="I812" s="1742" t="inlineStr">
        <is>
          <t>07.001.002</t>
        </is>
      </c>
      <c r="J812" s="1743" t="inlineStr">
        <is>
          <t>Instalações de esgoto e pluviais</t>
        </is>
      </c>
      <c r="K812" s="1744" t="n"/>
      <c r="L812" s="1745" t="n"/>
      <c r="M812" s="1745" t="n"/>
      <c r="N812" s="1746" t="n">
        <v>40168.4461741433</v>
      </c>
      <c r="O812" s="1747" t="n"/>
      <c r="P812" s="1720" t="n"/>
    </row>
    <row r="813" hidden="1" outlineLevel="3" ht="13.9" customHeight="1">
      <c r="A813" s="2117" t="n">
        <v>0</v>
      </c>
      <c r="B813" s="2117" t="n">
        <v>7</v>
      </c>
      <c r="C813" s="2117" t="n">
        <v>1</v>
      </c>
      <c r="D813" s="2118" t="n">
        <v>2</v>
      </c>
      <c r="E813" s="2118" t="n">
        <v>1</v>
      </c>
      <c r="G813" s="1748" t="inlineStr">
        <is>
          <t>SISTEMAS E INSTALAÇÕES HIDROSSANITÁRIAS E DRENAGEM</t>
        </is>
      </c>
      <c r="H813" s="1749" t="inlineStr">
        <is>
          <t>SERVIÇO</t>
        </is>
      </c>
      <c r="I813" s="1750" t="inlineStr">
        <is>
          <t>07.001.002.001</t>
        </is>
      </c>
      <c r="J813" s="1751" t="inlineStr">
        <is>
          <t>Instalações de esgoto e pluviais</t>
        </is>
      </c>
      <c r="K813" s="1752" t="inlineStr">
        <is>
          <t>vb</t>
        </is>
      </c>
      <c r="L813" s="1753" t="n">
        <v>1</v>
      </c>
      <c r="M813" s="1753" t="n">
        <v>40168.44617414331</v>
      </c>
      <c r="N813" s="1754" t="n">
        <v>40168.4461741433</v>
      </c>
      <c r="O813" s="1755" t="inlineStr">
        <is>
          <t>quantidades conforme quantidades do projetista</t>
        </is>
      </c>
      <c r="P813" s="1721" t="inlineStr">
        <is>
          <t>Pendente</t>
        </is>
      </c>
    </row>
    <row r="814" hidden="1" outlineLevel="2" ht="13.9" customHeight="1">
      <c r="A814" s="2117" t="n">
        <v>0</v>
      </c>
      <c r="B814" s="2117" t="n">
        <v>7</v>
      </c>
      <c r="C814" s="2117" t="n">
        <v>1</v>
      </c>
      <c r="D814" s="2118" t="n">
        <v>3</v>
      </c>
      <c r="E814" s="2118" t="n">
        <v>0</v>
      </c>
      <c r="G814" s="1764" t="n"/>
      <c r="H814" s="1741" t="inlineStr">
        <is>
          <t>SUBETAPA</t>
        </is>
      </c>
      <c r="I814" s="1742" t="inlineStr">
        <is>
          <t>07.001.003</t>
        </is>
      </c>
      <c r="J814" s="1743" t="inlineStr">
        <is>
          <t>Hidrômetros</t>
        </is>
      </c>
      <c r="K814" s="1744" t="n"/>
      <c r="L814" s="1745" t="n"/>
      <c r="M814" s="1745" t="n"/>
      <c r="N814" s="1746" t="n">
        <v>252</v>
      </c>
      <c r="O814" s="1747" t="n"/>
      <c r="P814" s="1720" t="n"/>
    </row>
    <row r="815" hidden="1" outlineLevel="3" ht="13.9" customHeight="1">
      <c r="A815" s="2117" t="n">
        <v>0</v>
      </c>
      <c r="B815" s="2117" t="n">
        <v>7</v>
      </c>
      <c r="C815" s="2117" t="n">
        <v>1</v>
      </c>
      <c r="D815" s="2118" t="n">
        <v>3</v>
      </c>
      <c r="E815" s="2118" t="n">
        <v>1</v>
      </c>
      <c r="G815" s="1748" t="inlineStr">
        <is>
          <t>SISTEMAS E INSTALAÇÕES HIDROSSANITÁRIAS E DRENAGEM</t>
        </is>
      </c>
      <c r="H815" s="1749" t="inlineStr">
        <is>
          <t>SERVIÇO</t>
        </is>
      </c>
      <c r="I815" s="1750" t="inlineStr">
        <is>
          <t>07.001.003.001</t>
        </is>
      </c>
      <c r="J815" s="1751" t="inlineStr">
        <is>
          <t>Hidrômetros</t>
        </is>
      </c>
      <c r="K815" s="1752" t="inlineStr">
        <is>
          <t>vb</t>
        </is>
      </c>
      <c r="L815" s="1753" t="n">
        <v>1</v>
      </c>
      <c r="M815" s="1753" t="n">
        <v>252</v>
      </c>
      <c r="N815" s="1754" t="n">
        <v>252</v>
      </c>
      <c r="O815" s="1755" t="inlineStr">
        <is>
          <t>Devido a ausencia de quantitativos, estimamos um Hidrometro multijato 3/4" vazao maxima 5 m³/h por apartamento + 1 por pavimento</t>
        </is>
      </c>
      <c r="P815" s="1721" t="inlineStr">
        <is>
          <t>Pendente</t>
        </is>
      </c>
    </row>
    <row r="816" hidden="1" outlineLevel="2" ht="13.9" customHeight="1">
      <c r="A816" s="2117" t="n">
        <v>0</v>
      </c>
      <c r="B816" s="2117" t="n">
        <v>7</v>
      </c>
      <c r="C816" s="2117" t="n">
        <v>1</v>
      </c>
      <c r="D816" s="2118" t="n">
        <v>4</v>
      </c>
      <c r="E816" s="2118" t="n">
        <v>0</v>
      </c>
      <c r="G816" s="1764" t="n"/>
      <c r="H816" s="1741" t="inlineStr">
        <is>
          <t>SUBETAPA</t>
        </is>
      </c>
      <c r="I816" s="1742" t="inlineStr">
        <is>
          <t>07.001.004</t>
        </is>
      </c>
      <c r="J816" s="1743" t="inlineStr">
        <is>
          <t>Sistema de bombas</t>
        </is>
      </c>
      <c r="K816" s="1744" t="n"/>
      <c r="L816" s="1745" t="n"/>
      <c r="M816" s="1745" t="n"/>
      <c r="N816" s="1746" t="n">
        <v>73297.85000000001</v>
      </c>
      <c r="O816" s="1747" t="n"/>
      <c r="P816" s="1720" t="n"/>
    </row>
    <row r="817" hidden="1" outlineLevel="3" ht="13.9" customHeight="1">
      <c r="A817" s="2117" t="n">
        <v>0</v>
      </c>
      <c r="B817" s="2117" t="n">
        <v>7</v>
      </c>
      <c r="C817" s="2117" t="n">
        <v>1</v>
      </c>
      <c r="D817" s="2118" t="n">
        <v>4</v>
      </c>
      <c r="E817" s="2118" t="n">
        <v>1</v>
      </c>
      <c r="G817" s="1748" t="inlineStr">
        <is>
          <t>SISTEMAS E INSTALAÇÕES HIDROSSANITÁRIAS E DRENAGEM</t>
        </is>
      </c>
      <c r="H817" s="1749" t="inlineStr">
        <is>
          <t>SERVIÇO</t>
        </is>
      </c>
      <c r="I817" s="1750" t="inlineStr">
        <is>
          <t>07.001.004.001</t>
        </is>
      </c>
      <c r="J817" s="1751" t="inlineStr">
        <is>
          <t>Sistema de bombas</t>
        </is>
      </c>
      <c r="K817" s="1752" t="inlineStr">
        <is>
          <t>vb</t>
        </is>
      </c>
      <c r="L817" s="1753" t="n">
        <v>1</v>
      </c>
      <c r="M817" s="1753" t="n">
        <v>73297.85000000001</v>
      </c>
      <c r="N817" s="1754" t="n">
        <v>73297.85000000001</v>
      </c>
      <c r="O817" s="1755" t="inlineStr">
        <is>
          <t>quantidades conforme quantidades do projetista + complemento cartesian</t>
        </is>
      </c>
      <c r="P817" s="1721" t="inlineStr">
        <is>
          <t>Pendente</t>
        </is>
      </c>
    </row>
    <row r="818" hidden="1" outlineLevel="2" ht="13.9" customHeight="1">
      <c r="A818" s="2117" t="n">
        <v>0</v>
      </c>
      <c r="B818" s="2117" t="n">
        <v>7</v>
      </c>
      <c r="C818" s="2117" t="n">
        <v>1</v>
      </c>
      <c r="D818" s="2118" t="n">
        <v>5</v>
      </c>
      <c r="E818" s="2118" t="n">
        <v>0</v>
      </c>
      <c r="G818" s="1764" t="n"/>
      <c r="H818" s="1741" t="inlineStr">
        <is>
          <t>SUBETAPA</t>
        </is>
      </c>
      <c r="I818" s="1742" t="inlineStr">
        <is>
          <t>07.001.005</t>
        </is>
      </c>
      <c r="J818" s="1743" t="inlineStr">
        <is>
          <t xml:space="preserve">Mão de obra - instalações hidrossanitárias e drenagem </t>
        </is>
      </c>
      <c r="K818" s="1744" t="n"/>
      <c r="L818" s="1745" t="n"/>
      <c r="M818" s="1745" t="n"/>
      <c r="N818" s="1746" t="n">
        <v>45505.64</v>
      </c>
      <c r="O818" s="1747" t="n"/>
      <c r="P818" s="1720" t="n"/>
    </row>
    <row r="819" hidden="1" outlineLevel="3" ht="13.9" customHeight="1">
      <c r="A819" s="2117" t="n">
        <v>0</v>
      </c>
      <c r="B819" s="2117" t="n">
        <v>7</v>
      </c>
      <c r="C819" s="2117" t="n">
        <v>1</v>
      </c>
      <c r="D819" s="2118" t="n">
        <v>5</v>
      </c>
      <c r="E819" s="2118" t="n">
        <v>1</v>
      </c>
      <c r="G819" s="1748" t="inlineStr">
        <is>
          <t>SISTEMAS E INSTALAÇÕES HIDROSSANITÁRIAS E DRENAGEM</t>
        </is>
      </c>
      <c r="H819" s="1749" t="inlineStr">
        <is>
          <t>SERVIÇO</t>
        </is>
      </c>
      <c r="I819" s="1750" t="inlineStr">
        <is>
          <t>07.001.005.001</t>
        </is>
      </c>
      <c r="J819" s="1751" t="inlineStr">
        <is>
          <t>Mão de obra Instalação Hidráulica</t>
        </is>
      </c>
      <c r="K819" s="1752" t="inlineStr">
        <is>
          <t>vb</t>
        </is>
      </c>
      <c r="L819" s="1753" t="n">
        <v>1</v>
      </c>
      <c r="M819" s="1753" t="n">
        <v>45505.64</v>
      </c>
      <c r="N819" s="1754" t="n">
        <v>45505.64</v>
      </c>
      <c r="O819" s="1761" t="inlineStr">
        <is>
          <t>Repessado pela Gessele na reunião do dia 05/03/2026 - Provavelmente vamos trocar de fornecedor, considerar M.O. R$58,00 / m2</t>
        </is>
      </c>
      <c r="P819" s="1721" t="inlineStr">
        <is>
          <t>Pendente</t>
        </is>
      </c>
    </row>
    <row r="820" hidden="1" outlineLevel="1" ht="13.9" customHeight="1">
      <c r="A820" s="2117" t="n">
        <v>0</v>
      </c>
      <c r="B820" s="2117" t="n">
        <v>7</v>
      </c>
      <c r="C820" s="2117" t="n">
        <v>2</v>
      </c>
      <c r="D820" s="2118" t="n">
        <v>0</v>
      </c>
      <c r="E820" s="2118" t="n">
        <v>1</v>
      </c>
      <c r="G820" s="1733" t="n"/>
      <c r="H820" s="1734" t="inlineStr">
        <is>
          <t>ETAPA</t>
        </is>
      </c>
      <c r="I820" s="1735" t="inlineStr">
        <is>
          <t>07.002</t>
        </is>
      </c>
      <c r="J820" s="1736" t="inlineStr">
        <is>
          <t>SISTEMAS E INSTALAÇÕES HIDROSSANITÁRIAS E DRENAGEM - Mezanino G1</t>
        </is>
      </c>
      <c r="K820" s="1737" t="n"/>
      <c r="L820" s="1738" t="n"/>
      <c r="M820" s="1738" t="n"/>
      <c r="N820" s="1739" t="n">
        <v>56495.3901999309</v>
      </c>
      <c r="O820" s="1722" t="n"/>
      <c r="P820" s="1725" t="n"/>
    </row>
    <row r="821" hidden="1" outlineLevel="2" ht="13.9" customHeight="1">
      <c r="A821" s="2117" t="n">
        <v>0</v>
      </c>
      <c r="B821" s="2117" t="n">
        <v>7</v>
      </c>
      <c r="C821" s="2117" t="n">
        <v>2</v>
      </c>
      <c r="D821" s="2118" t="n">
        <v>1</v>
      </c>
      <c r="E821" s="2118" t="n">
        <v>0</v>
      </c>
      <c r="G821" s="1764" t="n"/>
      <c r="H821" s="1741" t="inlineStr">
        <is>
          <t>SUBETAPA</t>
        </is>
      </c>
      <c r="I821" s="1742" t="inlineStr">
        <is>
          <t>07.002.001</t>
        </is>
      </c>
      <c r="J821" s="1743" t="inlineStr">
        <is>
          <t>Instalações de água fria</t>
        </is>
      </c>
      <c r="K821" s="1744" t="n"/>
      <c r="L821" s="1745" t="n"/>
      <c r="M821" s="1745" t="n"/>
      <c r="N821" s="1746" t="n">
        <v>1924.7412</v>
      </c>
      <c r="O821" s="1747" t="n"/>
      <c r="P821" s="1720" t="n"/>
    </row>
    <row r="822" hidden="1" outlineLevel="3" ht="13.9" customHeight="1">
      <c r="A822" s="2117" t="n">
        <v>0</v>
      </c>
      <c r="B822" s="2117" t="n">
        <v>7</v>
      </c>
      <c r="C822" s="2117" t="n">
        <v>2</v>
      </c>
      <c r="D822" s="2118" t="n">
        <v>1</v>
      </c>
      <c r="E822" s="2118" t="n">
        <v>1</v>
      </c>
      <c r="G822" s="1748" t="inlineStr">
        <is>
          <t>SISTEMAS E INSTALAÇÕES HIDROSSANITÁRIAS E DRENAGEM</t>
        </is>
      </c>
      <c r="H822" s="1749" t="inlineStr">
        <is>
          <t>SERVIÇO</t>
        </is>
      </c>
      <c r="I822" s="1750" t="inlineStr">
        <is>
          <t>07.002.001.001</t>
        </is>
      </c>
      <c r="J822" s="1751" t="inlineStr">
        <is>
          <t>Instalações de água fria e quente</t>
        </is>
      </c>
      <c r="K822" s="1752" t="inlineStr">
        <is>
          <t>vb</t>
        </is>
      </c>
      <c r="L822" s="1753" t="n">
        <v>1</v>
      </c>
      <c r="M822" s="1753" t="n">
        <v>1924.7412</v>
      </c>
      <c r="N822" s="1754" t="n">
        <v>1924.7412</v>
      </c>
      <c r="O822" s="1755" t="inlineStr">
        <is>
          <t>quantidades conforme quantidades do projetista</t>
        </is>
      </c>
      <c r="P822" s="1721" t="inlineStr">
        <is>
          <t>Pendente</t>
        </is>
      </c>
    </row>
    <row r="823" hidden="1" outlineLevel="2" ht="13.9" customHeight="1">
      <c r="A823" s="2117" t="n">
        <v>0</v>
      </c>
      <c r="B823" s="2117" t="n">
        <v>7</v>
      </c>
      <c r="C823" s="2117" t="n">
        <v>2</v>
      </c>
      <c r="D823" s="2118" t="n">
        <v>2</v>
      </c>
      <c r="E823" s="2118" t="n">
        <v>0</v>
      </c>
      <c r="G823" s="1764" t="n"/>
      <c r="H823" s="1741" t="inlineStr">
        <is>
          <t>SUBETAPA</t>
        </is>
      </c>
      <c r="I823" s="1742" t="inlineStr">
        <is>
          <t>07.002.002</t>
        </is>
      </c>
      <c r="J823" s="1743" t="inlineStr">
        <is>
          <t>Instalações de esgoto e pluviais</t>
        </is>
      </c>
      <c r="K823" s="1744" t="n"/>
      <c r="L823" s="1745" t="n"/>
      <c r="M823" s="1745" t="n"/>
      <c r="N823" s="1746" t="n">
        <v>7851.94899993087</v>
      </c>
      <c r="O823" s="1747" t="n"/>
      <c r="P823" s="1720" t="n"/>
    </row>
    <row r="824" hidden="1" outlineLevel="3" ht="13.9" customHeight="1">
      <c r="A824" s="2117" t="n">
        <v>0</v>
      </c>
      <c r="B824" s="2117" t="n">
        <v>7</v>
      </c>
      <c r="C824" s="2117" t="n">
        <v>2</v>
      </c>
      <c r="D824" s="2118" t="n">
        <v>2</v>
      </c>
      <c r="E824" s="2118" t="n">
        <v>1</v>
      </c>
      <c r="G824" s="1748" t="inlineStr">
        <is>
          <t>SISTEMAS E INSTALAÇÕES HIDROSSANITÁRIAS E DRENAGEM</t>
        </is>
      </c>
      <c r="H824" s="1749" t="inlineStr">
        <is>
          <t>SERVIÇO</t>
        </is>
      </c>
      <c r="I824" s="1750" t="inlineStr">
        <is>
          <t>07.002.002.001</t>
        </is>
      </c>
      <c r="J824" s="1751" t="inlineStr">
        <is>
          <t>Instalações de esgoto e pluviais</t>
        </is>
      </c>
      <c r="K824" s="1752" t="inlineStr">
        <is>
          <t>vb</t>
        </is>
      </c>
      <c r="L824" s="1753" t="n">
        <v>1</v>
      </c>
      <c r="M824" s="1753" t="n">
        <v>7851.94899993087</v>
      </c>
      <c r="N824" s="1754" t="n">
        <v>7851.94899993087</v>
      </c>
      <c r="O824" s="1755" t="inlineStr">
        <is>
          <t>quantidades conforme quantidades do projetista</t>
        </is>
      </c>
      <c r="P824" s="1721" t="inlineStr">
        <is>
          <t>Pendente</t>
        </is>
      </c>
    </row>
    <row r="825" hidden="1" outlineLevel="2" ht="13.9" customHeight="1">
      <c r="A825" s="2117" t="n">
        <v>0</v>
      </c>
      <c r="B825" s="2117" t="n">
        <v>7</v>
      </c>
      <c r="C825" s="2117" t="n">
        <v>2</v>
      </c>
      <c r="D825" s="2118" t="n">
        <v>3</v>
      </c>
      <c r="E825" s="2118" t="n">
        <v>0</v>
      </c>
      <c r="G825" s="1764" t="n"/>
      <c r="H825" s="1741" t="inlineStr">
        <is>
          <t>SUBETAPA</t>
        </is>
      </c>
      <c r="I825" s="1742" t="inlineStr">
        <is>
          <t>07.002.003</t>
        </is>
      </c>
      <c r="J825" s="1743" t="inlineStr">
        <is>
          <t>Hidrômetros</t>
        </is>
      </c>
      <c r="K825" s="1744" t="n"/>
      <c r="L825" s="1745" t="n"/>
      <c r="M825" s="1745" t="n"/>
      <c r="N825" s="1746" t="n">
        <v>252</v>
      </c>
      <c r="O825" s="1747" t="n"/>
      <c r="P825" s="1720" t="n"/>
    </row>
    <row r="826" hidden="1" outlineLevel="3" ht="13.9" customHeight="1">
      <c r="A826" s="2117" t="n">
        <v>0</v>
      </c>
      <c r="B826" s="2117" t="n">
        <v>7</v>
      </c>
      <c r="C826" s="2117" t="n">
        <v>2</v>
      </c>
      <c r="D826" s="2118" t="n">
        <v>3</v>
      </c>
      <c r="E826" s="2118" t="n">
        <v>1</v>
      </c>
      <c r="G826" s="1748" t="inlineStr">
        <is>
          <t>SISTEMAS E INSTALAÇÕES HIDROSSANITÁRIAS E DRENAGEM</t>
        </is>
      </c>
      <c r="H826" s="1749" t="inlineStr">
        <is>
          <t>SERVIÇO</t>
        </is>
      </c>
      <c r="I826" s="1750" t="inlineStr">
        <is>
          <t>07.002.003.001</t>
        </is>
      </c>
      <c r="J826" s="1751" t="inlineStr">
        <is>
          <t>Hidrômetros</t>
        </is>
      </c>
      <c r="K826" s="1752" t="inlineStr">
        <is>
          <t>vb</t>
        </is>
      </c>
      <c r="L826" s="1753" t="n">
        <v>1</v>
      </c>
      <c r="M826" s="1753" t="n">
        <v>252</v>
      </c>
      <c r="N826" s="1754" t="n">
        <v>252</v>
      </c>
      <c r="O826" s="1755" t="inlineStr">
        <is>
          <t>Devido a ausencia de quantitativos, estimamos um Hidrometro multijato 3/4" vazao maxima 5 m³/h por apartamento + 1 por pavimento</t>
        </is>
      </c>
      <c r="P826" s="1721" t="inlineStr">
        <is>
          <t>Pendente</t>
        </is>
      </c>
    </row>
    <row r="827" hidden="1" outlineLevel="2" ht="13.9" customHeight="1">
      <c r="A827" s="2117" t="n">
        <v>0</v>
      </c>
      <c r="B827" s="2117" t="n">
        <v>7</v>
      </c>
      <c r="C827" s="2117" t="n">
        <v>2</v>
      </c>
      <c r="D827" s="2118" t="n">
        <v>4</v>
      </c>
      <c r="E827" s="2118" t="n">
        <v>0</v>
      </c>
      <c r="G827" s="1764" t="n"/>
      <c r="H827" s="1741" t="inlineStr">
        <is>
          <t>SUBETAPA</t>
        </is>
      </c>
      <c r="I827" s="1742" t="inlineStr">
        <is>
          <t>07.002.004</t>
        </is>
      </c>
      <c r="J827" s="1743" t="inlineStr">
        <is>
          <t xml:space="preserve">Mão de obra - instalações hidrossanitárias e drenagem </t>
        </is>
      </c>
      <c r="K827" s="1744" t="n"/>
      <c r="L827" s="1745" t="n"/>
      <c r="M827" s="1745" t="n"/>
      <c r="N827" s="1746" t="n">
        <v>46466.7</v>
      </c>
      <c r="O827" s="1747" t="n"/>
      <c r="P827" s="1720" t="n"/>
    </row>
    <row r="828" hidden="1" outlineLevel="3" ht="13.9" customHeight="1">
      <c r="A828" s="2117" t="n">
        <v>0</v>
      </c>
      <c r="B828" s="2117" t="n">
        <v>7</v>
      </c>
      <c r="C828" s="2117" t="n">
        <v>2</v>
      </c>
      <c r="D828" s="2118" t="n">
        <v>4</v>
      </c>
      <c r="E828" s="2118" t="n">
        <v>1</v>
      </c>
      <c r="G828" s="1748" t="inlineStr">
        <is>
          <t>SISTEMAS E INSTALAÇÕES HIDROSSANITÁRIAS E DRENAGEM</t>
        </is>
      </c>
      <c r="H828" s="1749" t="inlineStr">
        <is>
          <t>SERVIÇO</t>
        </is>
      </c>
      <c r="I828" s="1750" t="inlineStr">
        <is>
          <t>07.002.004.001</t>
        </is>
      </c>
      <c r="J828" s="1751" t="inlineStr">
        <is>
          <t>Mão de obra Instalação Hidráulica</t>
        </is>
      </c>
      <c r="K828" s="1752" t="inlineStr">
        <is>
          <t>vb</t>
        </is>
      </c>
      <c r="L828" s="1753" t="n">
        <v>1</v>
      </c>
      <c r="M828" s="1753" t="n">
        <v>46466.7</v>
      </c>
      <c r="N828" s="1754" t="n">
        <v>46466.7</v>
      </c>
      <c r="O828" s="1761" t="inlineStr">
        <is>
          <t>Repessado pela Gessele na reunião do dia 05/03/2026 - Provavelmente vamos trocar de fornecedor, considerar M.O. R$58,00 / m2</t>
        </is>
      </c>
      <c r="P828" s="1721" t="inlineStr">
        <is>
          <t>Pendente</t>
        </is>
      </c>
    </row>
    <row r="829" hidden="1" outlineLevel="1" ht="13.9" customHeight="1">
      <c r="A829" s="2117" t="n">
        <v>0</v>
      </c>
      <c r="B829" s="2117" t="n">
        <v>7</v>
      </c>
      <c r="C829" s="2117" t="n">
        <v>3</v>
      </c>
      <c r="D829" s="2118" t="n">
        <v>0</v>
      </c>
      <c r="E829" s="2118" t="n">
        <v>1</v>
      </c>
      <c r="G829" s="1733" t="n"/>
      <c r="H829" s="1734" t="inlineStr">
        <is>
          <t>ETAPA</t>
        </is>
      </c>
      <c r="I829" s="1735" t="inlineStr">
        <is>
          <t>07.003</t>
        </is>
      </c>
      <c r="J829" s="1736" t="inlineStr">
        <is>
          <t>SISTEMAS E INSTALAÇÕES HIDROSSANITÁRIAS E DRENAGEM - G2</t>
        </is>
      </c>
      <c r="K829" s="1737" t="n"/>
      <c r="L829" s="1738" t="n"/>
      <c r="M829" s="1738" t="n"/>
      <c r="N829" s="1739" t="n">
        <v>58401.67</v>
      </c>
      <c r="O829" s="1722" t="n"/>
      <c r="P829" s="1725" t="n"/>
    </row>
    <row r="830" hidden="1" outlineLevel="2" ht="13.9" customHeight="1">
      <c r="A830" s="2117" t="n">
        <v>0</v>
      </c>
      <c r="B830" s="2117" t="n">
        <v>7</v>
      </c>
      <c r="C830" s="2117" t="n">
        <v>3</v>
      </c>
      <c r="D830" s="2118" t="n">
        <v>1</v>
      </c>
      <c r="E830" s="2118" t="n">
        <v>0</v>
      </c>
      <c r="G830" s="1764" t="n"/>
      <c r="H830" s="1741" t="inlineStr">
        <is>
          <t>SUBETAPA</t>
        </is>
      </c>
      <c r="I830" s="1742" t="inlineStr">
        <is>
          <t>07.003.001</t>
        </is>
      </c>
      <c r="J830" s="1743" t="inlineStr">
        <is>
          <t>Instalações de água fria</t>
        </is>
      </c>
      <c r="K830" s="1744" t="n"/>
      <c r="L830" s="1745" t="n"/>
      <c r="M830" s="1745" t="n"/>
      <c r="N830" s="1746" t="n">
        <v>5667.797</v>
      </c>
      <c r="O830" s="1747" t="n"/>
      <c r="P830" s="1720" t="n"/>
    </row>
    <row r="831" hidden="1" outlineLevel="3" ht="13.9" customHeight="1">
      <c r="A831" s="2117" t="n">
        <v>0</v>
      </c>
      <c r="B831" s="2117" t="n">
        <v>7</v>
      </c>
      <c r="C831" s="2117" t="n">
        <v>3</v>
      </c>
      <c r="D831" s="2118" t="n">
        <v>1</v>
      </c>
      <c r="E831" s="2118" t="n">
        <v>1</v>
      </c>
      <c r="G831" s="1748" t="inlineStr">
        <is>
          <t>SISTEMAS E INSTALAÇÕES HIDROSSANITÁRIAS E DRENAGEM</t>
        </is>
      </c>
      <c r="H831" s="1749" t="inlineStr">
        <is>
          <t>SERVIÇO</t>
        </is>
      </c>
      <c r="I831" s="1750" t="inlineStr">
        <is>
          <t>07.003.001.001</t>
        </is>
      </c>
      <c r="J831" s="1751" t="inlineStr">
        <is>
          <t>Instalações de água fria e quente</t>
        </is>
      </c>
      <c r="K831" s="1752" t="inlineStr">
        <is>
          <t>vb</t>
        </is>
      </c>
      <c r="L831" s="1753" t="n">
        <v>1</v>
      </c>
      <c r="M831" s="1753" t="n">
        <v>5667.797</v>
      </c>
      <c r="N831" s="1754" t="n">
        <v>5667.797</v>
      </c>
      <c r="O831" s="1755" t="inlineStr">
        <is>
          <t>quantidades conforme quantidades do projetista</t>
        </is>
      </c>
      <c r="P831" s="1721" t="inlineStr">
        <is>
          <t>Pendente</t>
        </is>
      </c>
    </row>
    <row r="832" hidden="1" outlineLevel="2" ht="13.9" customHeight="1">
      <c r="A832" s="2117" t="n">
        <v>0</v>
      </c>
      <c r="B832" s="2117" t="n">
        <v>7</v>
      </c>
      <c r="C832" s="2117" t="n">
        <v>3</v>
      </c>
      <c r="D832" s="2118" t="n">
        <v>2</v>
      </c>
      <c r="E832" s="2118" t="n">
        <v>0</v>
      </c>
      <c r="G832" s="1764" t="n"/>
      <c r="H832" s="1741" t="inlineStr">
        <is>
          <t>SUBETAPA</t>
        </is>
      </c>
      <c r="I832" s="1742" t="inlineStr">
        <is>
          <t>07.003.002</t>
        </is>
      </c>
      <c r="J832" s="1743" t="inlineStr">
        <is>
          <t>Instalações de esgoto e pluviais</t>
        </is>
      </c>
      <c r="K832" s="1744" t="n"/>
      <c r="L832" s="1745" t="n"/>
      <c r="M832" s="1745" t="n"/>
      <c r="N832" s="1746" t="n">
        <v>1528.873</v>
      </c>
      <c r="O832" s="1747" t="n"/>
      <c r="P832" s="1720" t="n"/>
    </row>
    <row r="833" hidden="1" outlineLevel="3" ht="13.9" customHeight="1">
      <c r="A833" s="2117" t="n">
        <v>0</v>
      </c>
      <c r="B833" s="2117" t="n">
        <v>7</v>
      </c>
      <c r="C833" s="2117" t="n">
        <v>3</v>
      </c>
      <c r="D833" s="2118" t="n">
        <v>2</v>
      </c>
      <c r="E833" s="2118" t="n">
        <v>1</v>
      </c>
      <c r="G833" s="1748" t="inlineStr">
        <is>
          <t>SISTEMAS E INSTALAÇÕES HIDROSSANITÁRIAS E DRENAGEM</t>
        </is>
      </c>
      <c r="H833" s="1749" t="inlineStr">
        <is>
          <t>SERVIÇO</t>
        </is>
      </c>
      <c r="I833" s="1750" t="inlineStr">
        <is>
          <t>07.003.002.001</t>
        </is>
      </c>
      <c r="J833" s="1751" t="inlineStr">
        <is>
          <t>Instalações de esgoto e pluviais</t>
        </is>
      </c>
      <c r="K833" s="1752" t="inlineStr">
        <is>
          <t>vb</t>
        </is>
      </c>
      <c r="L833" s="1753" t="n">
        <v>1</v>
      </c>
      <c r="M833" s="1753" t="n">
        <v>1528.873</v>
      </c>
      <c r="N833" s="1754" t="n">
        <v>1528.873</v>
      </c>
      <c r="O833" s="1755" t="inlineStr">
        <is>
          <t>quantidades conforme quantidades do projetista</t>
        </is>
      </c>
      <c r="P833" s="1721" t="inlineStr">
        <is>
          <t>Pendente</t>
        </is>
      </c>
    </row>
    <row r="834" hidden="1" outlineLevel="2" ht="13.9" customHeight="1">
      <c r="A834" s="2117" t="n">
        <v>0</v>
      </c>
      <c r="B834" s="2117" t="n">
        <v>7</v>
      </c>
      <c r="C834" s="2117" t="n">
        <v>3</v>
      </c>
      <c r="D834" s="2118" t="n">
        <v>3</v>
      </c>
      <c r="E834" s="2118" t="n">
        <v>0</v>
      </c>
      <c r="G834" s="1764" t="n"/>
      <c r="H834" s="1741" t="inlineStr">
        <is>
          <t>SUBETAPA</t>
        </is>
      </c>
      <c r="I834" s="1742" t="inlineStr">
        <is>
          <t>07.003.003</t>
        </is>
      </c>
      <c r="J834" s="1743" t="inlineStr">
        <is>
          <t>Hidrômetros</t>
        </is>
      </c>
      <c r="K834" s="1744" t="n"/>
      <c r="L834" s="1745" t="n"/>
      <c r="M834" s="1745" t="n"/>
      <c r="N834" s="1746" t="n">
        <v>252</v>
      </c>
      <c r="O834" s="1747" t="n"/>
      <c r="P834" s="1720" t="n"/>
    </row>
    <row r="835" hidden="1" outlineLevel="3" ht="13.9" customHeight="1">
      <c r="A835" s="2117" t="n">
        <v>0</v>
      </c>
      <c r="B835" s="2117" t="n">
        <v>7</v>
      </c>
      <c r="C835" s="2117" t="n">
        <v>3</v>
      </c>
      <c r="D835" s="2118" t="n">
        <v>3</v>
      </c>
      <c r="E835" s="2118" t="n">
        <v>1</v>
      </c>
      <c r="G835" s="1748" t="inlineStr">
        <is>
          <t>SISTEMAS E INSTALAÇÕES HIDROSSANITÁRIAS E DRENAGEM</t>
        </is>
      </c>
      <c r="H835" s="1749" t="inlineStr">
        <is>
          <t>SERVIÇO</t>
        </is>
      </c>
      <c r="I835" s="1750" t="inlineStr">
        <is>
          <t>07.003.003.001</t>
        </is>
      </c>
      <c r="J835" s="1751" t="inlineStr">
        <is>
          <t>Hidrômetros</t>
        </is>
      </c>
      <c r="K835" s="1752" t="inlineStr">
        <is>
          <t>vb</t>
        </is>
      </c>
      <c r="L835" s="1753" t="n">
        <v>1</v>
      </c>
      <c r="M835" s="1753" t="n">
        <v>252</v>
      </c>
      <c r="N835" s="1754" t="n">
        <v>252</v>
      </c>
      <c r="O835" s="1755" t="inlineStr">
        <is>
          <t>Devido a ausencia de quantitativos, estimamos um Hidrometro multijato 3/4" vazao maxima 5 m³/h por apartamento + 1 por pavimento</t>
        </is>
      </c>
      <c r="P835" s="1721" t="inlineStr">
        <is>
          <t>Pendente</t>
        </is>
      </c>
    </row>
    <row r="836" hidden="1" outlineLevel="2" ht="13.9" customHeight="1">
      <c r="A836" s="2117" t="n">
        <v>0</v>
      </c>
      <c r="B836" s="2117" t="n">
        <v>7</v>
      </c>
      <c r="C836" s="2117" t="n">
        <v>3</v>
      </c>
      <c r="D836" s="2118" t="n">
        <v>4</v>
      </c>
      <c r="E836" s="2118" t="n">
        <v>0</v>
      </c>
      <c r="G836" s="1764" t="n"/>
      <c r="H836" s="1741" t="inlineStr">
        <is>
          <t>SUBETAPA</t>
        </is>
      </c>
      <c r="I836" s="1742" t="inlineStr">
        <is>
          <t>07.003.004</t>
        </is>
      </c>
      <c r="J836" s="1743" t="inlineStr">
        <is>
          <t xml:space="preserve">Mão de obra - instalações hidrossanitárias e drenagem </t>
        </is>
      </c>
      <c r="K836" s="1744" t="n"/>
      <c r="L836" s="1745" t="n"/>
      <c r="M836" s="1745" t="n"/>
      <c r="N836" s="1746" t="n">
        <v>50953</v>
      </c>
      <c r="O836" s="1747" t="n"/>
      <c r="P836" s="1720" t="n"/>
    </row>
    <row r="837" hidden="1" outlineLevel="3" ht="13.9" customHeight="1">
      <c r="A837" s="2117" t="n">
        <v>0</v>
      </c>
      <c r="B837" s="2117" t="n">
        <v>7</v>
      </c>
      <c r="C837" s="2117" t="n">
        <v>3</v>
      </c>
      <c r="D837" s="2118" t="n">
        <v>4</v>
      </c>
      <c r="E837" s="2118" t="n">
        <v>1</v>
      </c>
      <c r="G837" s="1748" t="inlineStr">
        <is>
          <t>SISTEMAS E INSTALAÇÕES HIDROSSANITÁRIAS E DRENAGEM</t>
        </is>
      </c>
      <c r="H837" s="1749" t="inlineStr">
        <is>
          <t>SERVIÇO</t>
        </is>
      </c>
      <c r="I837" s="1750" t="inlineStr">
        <is>
          <t>07.003.004.001</t>
        </is>
      </c>
      <c r="J837" s="1751" t="inlineStr">
        <is>
          <t>Mão de obra Instalação Hidráulica</t>
        </is>
      </c>
      <c r="K837" s="1752" t="inlineStr">
        <is>
          <t>vb</t>
        </is>
      </c>
      <c r="L837" s="1753" t="n">
        <v>1</v>
      </c>
      <c r="M837" s="1753" t="n">
        <v>50953</v>
      </c>
      <c r="N837" s="1754" t="n">
        <v>50953</v>
      </c>
      <c r="O837" s="1761" t="inlineStr">
        <is>
          <t>Repessado pela Gessele na reunião do dia 05/03/2026 - Provavelmente vamos trocar de fornecedor, considerar M.O. R$58,00 / m2</t>
        </is>
      </c>
      <c r="P837" s="1721" t="inlineStr">
        <is>
          <t>Pendente</t>
        </is>
      </c>
    </row>
    <row r="838" hidden="1" outlineLevel="1" ht="13.9" customHeight="1">
      <c r="A838" s="2117" t="n">
        <v>0</v>
      </c>
      <c r="B838" s="2117" t="n">
        <v>7</v>
      </c>
      <c r="C838" s="2117" t="n">
        <v>4</v>
      </c>
      <c r="D838" s="2118" t="n">
        <v>0</v>
      </c>
      <c r="E838" s="2118" t="n">
        <v>1</v>
      </c>
      <c r="G838" s="1733" t="n"/>
      <c r="H838" s="1734" t="inlineStr">
        <is>
          <t>ETAPA</t>
        </is>
      </c>
      <c r="I838" s="1735" t="inlineStr">
        <is>
          <t>07.004</t>
        </is>
      </c>
      <c r="J838" s="1736" t="inlineStr">
        <is>
          <t>SISTEMAS E INSTALAÇÕES HIDROSSANITÁRIAS E DRENAGEM - Mezanino G2</t>
        </is>
      </c>
      <c r="K838" s="1737" t="n"/>
      <c r="L838" s="1738" t="n"/>
      <c r="M838" s="1738" t="n"/>
      <c r="N838" s="1739" t="n">
        <v>62749.5444</v>
      </c>
      <c r="O838" s="1722" t="n"/>
      <c r="P838" s="1725" t="n"/>
    </row>
    <row r="839" hidden="1" outlineLevel="2" ht="13.9" customHeight="1">
      <c r="A839" s="2117" t="n">
        <v>0</v>
      </c>
      <c r="B839" s="2117" t="n">
        <v>7</v>
      </c>
      <c r="C839" s="2117" t="n">
        <v>4</v>
      </c>
      <c r="D839" s="2118" t="n">
        <v>1</v>
      </c>
      <c r="E839" s="2118" t="n">
        <v>0</v>
      </c>
      <c r="G839" s="1764" t="n"/>
      <c r="H839" s="1741" t="inlineStr">
        <is>
          <t>SUBETAPA</t>
        </is>
      </c>
      <c r="I839" s="1742" t="inlineStr">
        <is>
          <t>07.004.001</t>
        </is>
      </c>
      <c r="J839" s="1743" t="inlineStr">
        <is>
          <t>Instalações de água fria</t>
        </is>
      </c>
      <c r="K839" s="1744" t="n"/>
      <c r="L839" s="1745" t="n"/>
      <c r="M839" s="1745" t="n"/>
      <c r="N839" s="1746" t="n">
        <v>5933.377</v>
      </c>
      <c r="O839" s="1747" t="n"/>
      <c r="P839" s="1720" t="n"/>
    </row>
    <row r="840" hidden="1" outlineLevel="3" ht="13.9" customHeight="1">
      <c r="A840" s="2117" t="n">
        <v>0</v>
      </c>
      <c r="B840" s="2117" t="n">
        <v>7</v>
      </c>
      <c r="C840" s="2117" t="n">
        <v>4</v>
      </c>
      <c r="D840" s="2118" t="n">
        <v>1</v>
      </c>
      <c r="E840" s="2118" t="n">
        <v>1</v>
      </c>
      <c r="G840" s="1748" t="inlineStr">
        <is>
          <t>SISTEMAS E INSTALAÇÕES HIDROSSANITÁRIAS E DRENAGEM</t>
        </is>
      </c>
      <c r="H840" s="1749" t="inlineStr">
        <is>
          <t>SERVIÇO</t>
        </is>
      </c>
      <c r="I840" s="1750" t="inlineStr">
        <is>
          <t>07.004.001.001</t>
        </is>
      </c>
      <c r="J840" s="1751" t="inlineStr">
        <is>
          <t>Instalações de água fria e quente</t>
        </is>
      </c>
      <c r="K840" s="1752" t="inlineStr">
        <is>
          <t>vb</t>
        </is>
      </c>
      <c r="L840" s="1753" t="n">
        <v>1</v>
      </c>
      <c r="M840" s="1753" t="n">
        <v>5933.377</v>
      </c>
      <c r="N840" s="1754" t="n">
        <v>5933.377</v>
      </c>
      <c r="O840" s="1755" t="inlineStr">
        <is>
          <t>quantidades conforme quantidades do projetista</t>
        </is>
      </c>
      <c r="P840" s="1721" t="inlineStr">
        <is>
          <t>Pendente</t>
        </is>
      </c>
    </row>
    <row r="841" hidden="1" outlineLevel="2" ht="13.9" customHeight="1">
      <c r="A841" s="2117" t="n">
        <v>0</v>
      </c>
      <c r="B841" s="2117" t="n">
        <v>7</v>
      </c>
      <c r="C841" s="2117" t="n">
        <v>4</v>
      </c>
      <c r="D841" s="2118" t="n">
        <v>2</v>
      </c>
      <c r="E841" s="2118" t="n">
        <v>0</v>
      </c>
      <c r="G841" s="1764" t="n"/>
      <c r="H841" s="1741" t="inlineStr">
        <is>
          <t>SUBETAPA</t>
        </is>
      </c>
      <c r="I841" s="1742" t="inlineStr">
        <is>
          <t>07.004.002</t>
        </is>
      </c>
      <c r="J841" s="1743" t="inlineStr">
        <is>
          <t>Instalações de esgoto e pluviais</t>
        </is>
      </c>
      <c r="K841" s="1744" t="n"/>
      <c r="L841" s="1745" t="n"/>
      <c r="M841" s="1745" t="n"/>
      <c r="N841" s="1746" t="n">
        <v>5611.1674</v>
      </c>
      <c r="O841" s="1747" t="n"/>
      <c r="P841" s="1720" t="n"/>
    </row>
    <row r="842" hidden="1" outlineLevel="3" ht="13.9" customHeight="1">
      <c r="A842" s="2117" t="n">
        <v>0</v>
      </c>
      <c r="B842" s="2117" t="n">
        <v>7</v>
      </c>
      <c r="C842" s="2117" t="n">
        <v>4</v>
      </c>
      <c r="D842" s="2118" t="n">
        <v>2</v>
      </c>
      <c r="E842" s="2118" t="n">
        <v>1</v>
      </c>
      <c r="G842" s="1748" t="inlineStr">
        <is>
          <t>SISTEMAS E INSTALAÇÕES HIDROSSANITÁRIAS E DRENAGEM</t>
        </is>
      </c>
      <c r="H842" s="1749" t="inlineStr">
        <is>
          <t>SERVIÇO</t>
        </is>
      </c>
      <c r="I842" s="1750" t="inlineStr">
        <is>
          <t>07.004.002.001</t>
        </is>
      </c>
      <c r="J842" s="1751" t="inlineStr">
        <is>
          <t>Instalações de esgoto e pluviais</t>
        </is>
      </c>
      <c r="K842" s="1752" t="inlineStr">
        <is>
          <t>vb</t>
        </is>
      </c>
      <c r="L842" s="1753" t="n">
        <v>1</v>
      </c>
      <c r="M842" s="1753" t="n">
        <v>5611.1674</v>
      </c>
      <c r="N842" s="1754" t="n">
        <v>5611.1674</v>
      </c>
      <c r="O842" s="1755" t="inlineStr">
        <is>
          <t>quantidades conforme quantidades do projetista</t>
        </is>
      </c>
      <c r="P842" s="1721" t="inlineStr">
        <is>
          <t>Pendente</t>
        </is>
      </c>
    </row>
    <row r="843" hidden="1" outlineLevel="2" ht="13.9" customHeight="1">
      <c r="A843" s="2117" t="n">
        <v>0</v>
      </c>
      <c r="B843" s="2117" t="n">
        <v>7</v>
      </c>
      <c r="C843" s="2117" t="n">
        <v>4</v>
      </c>
      <c r="D843" s="2118" t="n">
        <v>3</v>
      </c>
      <c r="E843" s="2118" t="n">
        <v>0</v>
      </c>
      <c r="G843" s="1764" t="n"/>
      <c r="H843" s="1741" t="inlineStr">
        <is>
          <t>SUBETAPA</t>
        </is>
      </c>
      <c r="I843" s="1742" t="inlineStr">
        <is>
          <t>07.004.003</t>
        </is>
      </c>
      <c r="J843" s="1743" t="inlineStr">
        <is>
          <t>Hidrômetros</t>
        </is>
      </c>
      <c r="K843" s="1744" t="n"/>
      <c r="L843" s="1745" t="n"/>
      <c r="M843" s="1745" t="n"/>
      <c r="N843" s="1746" t="n">
        <v>252</v>
      </c>
      <c r="O843" s="1747" t="n"/>
      <c r="P843" s="1720" t="n"/>
    </row>
    <row r="844" hidden="1" outlineLevel="3" ht="13.9" customHeight="1">
      <c r="A844" s="2117" t="n">
        <v>0</v>
      </c>
      <c r="B844" s="2117" t="n">
        <v>7</v>
      </c>
      <c r="C844" s="2117" t="n">
        <v>4</v>
      </c>
      <c r="D844" s="2118" t="n">
        <v>3</v>
      </c>
      <c r="E844" s="2118" t="n">
        <v>1</v>
      </c>
      <c r="G844" s="1748" t="inlineStr">
        <is>
          <t>SISTEMAS E INSTALAÇÕES HIDROSSANITÁRIAS E DRENAGEM</t>
        </is>
      </c>
      <c r="H844" s="1749" t="inlineStr">
        <is>
          <t>SERVIÇO</t>
        </is>
      </c>
      <c r="I844" s="1750" t="inlineStr">
        <is>
          <t>07.004.003.001</t>
        </is>
      </c>
      <c r="J844" s="1751" t="inlineStr">
        <is>
          <t>Hidrômetros</t>
        </is>
      </c>
      <c r="K844" s="1752" t="inlineStr">
        <is>
          <t>vb</t>
        </is>
      </c>
      <c r="L844" s="1753" t="n">
        <v>1</v>
      </c>
      <c r="M844" s="1753" t="n">
        <v>252</v>
      </c>
      <c r="N844" s="1754" t="n">
        <v>252</v>
      </c>
      <c r="O844" s="1755" t="inlineStr">
        <is>
          <t>Devido a ausencia de quantitativos, estimamos um Hidrometro multijato 3/4" vazao maxima 5 m³/h por apartamento + 1 por pavimento</t>
        </is>
      </c>
      <c r="P844" s="1721" t="inlineStr">
        <is>
          <t>Pendente</t>
        </is>
      </c>
    </row>
    <row r="845" hidden="1" outlineLevel="2" ht="13.9" customHeight="1">
      <c r="A845" s="2117" t="n">
        <v>0</v>
      </c>
      <c r="B845" s="2117" t="n">
        <v>7</v>
      </c>
      <c r="C845" s="2117" t="n">
        <v>4</v>
      </c>
      <c r="D845" s="2118" t="n">
        <v>4</v>
      </c>
      <c r="E845" s="2118" t="n">
        <v>0</v>
      </c>
      <c r="G845" s="1764" t="n"/>
      <c r="H845" s="1741" t="inlineStr">
        <is>
          <t>SUBETAPA</t>
        </is>
      </c>
      <c r="I845" s="1742" t="inlineStr">
        <is>
          <t>07.004.004</t>
        </is>
      </c>
      <c r="J845" s="1743" t="inlineStr">
        <is>
          <t xml:space="preserve">Mão de obra - instalações hidrossanitárias e drenagem </t>
        </is>
      </c>
      <c r="K845" s="1744" t="n"/>
      <c r="L845" s="1745" t="n"/>
      <c r="M845" s="1745" t="n"/>
      <c r="N845" s="1746" t="n">
        <v>50953</v>
      </c>
      <c r="O845" s="1747" t="n"/>
      <c r="P845" s="1720" t="n"/>
    </row>
    <row r="846" hidden="1" outlineLevel="3" ht="13.9" customHeight="1">
      <c r="A846" s="2117" t="n">
        <v>0</v>
      </c>
      <c r="B846" s="2117" t="n">
        <v>7</v>
      </c>
      <c r="C846" s="2117" t="n">
        <v>4</v>
      </c>
      <c r="D846" s="2118" t="n">
        <v>4</v>
      </c>
      <c r="E846" s="2118" t="n">
        <v>1</v>
      </c>
      <c r="G846" s="1748" t="inlineStr">
        <is>
          <t>SISTEMAS E INSTALAÇÕES HIDROSSANITÁRIAS E DRENAGEM</t>
        </is>
      </c>
      <c r="H846" s="1749" t="inlineStr">
        <is>
          <t>SERVIÇO</t>
        </is>
      </c>
      <c r="I846" s="1750" t="inlineStr">
        <is>
          <t>07.004.004.001</t>
        </is>
      </c>
      <c r="J846" s="1751" t="inlineStr">
        <is>
          <t>Mão de obra Instalação Hidráulica</t>
        </is>
      </c>
      <c r="K846" s="1752" t="inlineStr">
        <is>
          <t>vb</t>
        </is>
      </c>
      <c r="L846" s="1753" t="n">
        <v>1</v>
      </c>
      <c r="M846" s="1753" t="n">
        <v>50953</v>
      </c>
      <c r="N846" s="1754" t="n">
        <v>50953</v>
      </c>
      <c r="O846" s="1761" t="inlineStr">
        <is>
          <t>Repessado pela Gessele na reunião do dia 05/03/2026 - Provavelmente vamos trocar de fornecedor, considerar M.O. R$58,00 / m2</t>
        </is>
      </c>
      <c r="P846" s="1721" t="inlineStr">
        <is>
          <t>Pendente</t>
        </is>
      </c>
    </row>
    <row r="847" hidden="1" outlineLevel="1" ht="13.9" customHeight="1">
      <c r="A847" s="2117" t="n">
        <v>0</v>
      </c>
      <c r="B847" s="2117" t="n">
        <v>7</v>
      </c>
      <c r="C847" s="2117" t="n">
        <v>5</v>
      </c>
      <c r="D847" s="2118" t="n">
        <v>0</v>
      </c>
      <c r="E847" s="2118" t="n">
        <v>1</v>
      </c>
      <c r="G847" s="1733" t="n"/>
      <c r="H847" s="1734" t="inlineStr">
        <is>
          <t>ETAPA</t>
        </is>
      </c>
      <c r="I847" s="1735" t="inlineStr">
        <is>
          <t>07.005</t>
        </is>
      </c>
      <c r="J847" s="1736" t="inlineStr">
        <is>
          <t>SISTEMAS E INSTALAÇÕES HIDROSSANITÁRIAS E DRENAGEM - G3</t>
        </is>
      </c>
      <c r="K847" s="1737" t="n"/>
      <c r="L847" s="1738" t="n"/>
      <c r="M847" s="1738" t="n"/>
      <c r="N847" s="1739" t="n">
        <v>54662.7683</v>
      </c>
      <c r="O847" s="1722" t="n"/>
      <c r="P847" s="1725" t="n"/>
    </row>
    <row r="848" hidden="1" outlineLevel="2" ht="13.9" customHeight="1">
      <c r="A848" s="2117" t="n">
        <v>0</v>
      </c>
      <c r="B848" s="2117" t="n">
        <v>7</v>
      </c>
      <c r="C848" s="2117" t="n">
        <v>5</v>
      </c>
      <c r="D848" s="2118" t="n">
        <v>1</v>
      </c>
      <c r="E848" s="2118" t="n">
        <v>0</v>
      </c>
      <c r="G848" s="1764" t="n"/>
      <c r="H848" s="1741" t="inlineStr">
        <is>
          <t>SUBETAPA</t>
        </is>
      </c>
      <c r="I848" s="1742" t="inlineStr">
        <is>
          <t>07.005.001</t>
        </is>
      </c>
      <c r="J848" s="1743" t="inlineStr">
        <is>
          <t>Instalações de água fria</t>
        </is>
      </c>
      <c r="K848" s="1744" t="n"/>
      <c r="L848" s="1745" t="n"/>
      <c r="M848" s="1745" t="n"/>
      <c r="N848" s="1746" t="n">
        <v>943.6079</v>
      </c>
      <c r="O848" s="1747" t="n"/>
      <c r="P848" s="1720" t="n"/>
    </row>
    <row r="849" hidden="1" outlineLevel="3" ht="13.9" customHeight="1">
      <c r="A849" s="2117" t="n">
        <v>0</v>
      </c>
      <c r="B849" s="2117" t="n">
        <v>7</v>
      </c>
      <c r="C849" s="2117" t="n">
        <v>5</v>
      </c>
      <c r="D849" s="2118" t="n">
        <v>1</v>
      </c>
      <c r="E849" s="2118" t="n">
        <v>1</v>
      </c>
      <c r="G849" s="1748" t="inlineStr">
        <is>
          <t>SISTEMAS E INSTALAÇÕES HIDROSSANITÁRIAS E DRENAGEM</t>
        </is>
      </c>
      <c r="H849" s="1749" t="inlineStr">
        <is>
          <t>SERVIÇO</t>
        </is>
      </c>
      <c r="I849" s="1750" t="inlineStr">
        <is>
          <t>07.005.001.001</t>
        </is>
      </c>
      <c r="J849" s="1751" t="inlineStr">
        <is>
          <t>Instalações de água fria e quente</t>
        </is>
      </c>
      <c r="K849" s="1752" t="inlineStr">
        <is>
          <t>vb</t>
        </is>
      </c>
      <c r="L849" s="1753" t="n">
        <v>1</v>
      </c>
      <c r="M849" s="1753" t="n">
        <v>943.6079</v>
      </c>
      <c r="N849" s="1754" t="n">
        <v>943.6079</v>
      </c>
      <c r="O849" s="1755" t="inlineStr">
        <is>
          <t>quantidades conforme quantidades do projetista</t>
        </is>
      </c>
      <c r="P849" s="1721" t="inlineStr">
        <is>
          <t>Pendente</t>
        </is>
      </c>
    </row>
    <row r="850" hidden="1" outlineLevel="2" ht="13.9" customHeight="1">
      <c r="A850" s="2117" t="n">
        <v>0</v>
      </c>
      <c r="B850" s="2117" t="n">
        <v>7</v>
      </c>
      <c r="C850" s="2117" t="n">
        <v>5</v>
      </c>
      <c r="D850" s="2118" t="n">
        <v>2</v>
      </c>
      <c r="E850" s="2118" t="n">
        <v>0</v>
      </c>
      <c r="G850" s="1764" t="n"/>
      <c r="H850" s="1741" t="inlineStr">
        <is>
          <t>SUBETAPA</t>
        </is>
      </c>
      <c r="I850" s="1742" t="inlineStr">
        <is>
          <t>07.005.002</t>
        </is>
      </c>
      <c r="J850" s="1743" t="inlineStr">
        <is>
          <t>Instalações de esgoto e pluviais</t>
        </is>
      </c>
      <c r="K850" s="1744" t="n"/>
      <c r="L850" s="1745" t="n"/>
      <c r="M850" s="1745" t="n"/>
      <c r="N850" s="1746" t="n">
        <v>2514.1604</v>
      </c>
      <c r="O850" s="1747" t="n"/>
      <c r="P850" s="1720" t="n"/>
    </row>
    <row r="851" hidden="1" outlineLevel="3" ht="13.9" customHeight="1">
      <c r="A851" s="2117" t="n">
        <v>0</v>
      </c>
      <c r="B851" s="2117" t="n">
        <v>7</v>
      </c>
      <c r="C851" s="2117" t="n">
        <v>5</v>
      </c>
      <c r="D851" s="2118" t="n">
        <v>2</v>
      </c>
      <c r="E851" s="2118" t="n">
        <v>1</v>
      </c>
      <c r="G851" s="1748" t="inlineStr">
        <is>
          <t>SISTEMAS E INSTALAÇÕES HIDROSSANITÁRIAS E DRENAGEM</t>
        </is>
      </c>
      <c r="H851" s="1749" t="inlineStr">
        <is>
          <t>SERVIÇO</t>
        </is>
      </c>
      <c r="I851" s="1750" t="inlineStr">
        <is>
          <t>07.005.002.001</t>
        </is>
      </c>
      <c r="J851" s="1751" t="inlineStr">
        <is>
          <t>Instalações de esgoto e pluviais</t>
        </is>
      </c>
      <c r="K851" s="1752" t="inlineStr">
        <is>
          <t>vb</t>
        </is>
      </c>
      <c r="L851" s="1753" t="n">
        <v>1</v>
      </c>
      <c r="M851" s="1753" t="n">
        <v>2514.1604</v>
      </c>
      <c r="N851" s="1754" t="n">
        <v>2514.1604</v>
      </c>
      <c r="O851" s="1755" t="inlineStr">
        <is>
          <t>quantidades conforme quantidades do projetista</t>
        </is>
      </c>
      <c r="P851" s="1721" t="inlineStr">
        <is>
          <t>Pendente</t>
        </is>
      </c>
    </row>
    <row r="852" hidden="1" outlineLevel="2" ht="13.9" customHeight="1">
      <c r="A852" s="2117" t="n">
        <v>0</v>
      </c>
      <c r="B852" s="2117" t="n">
        <v>7</v>
      </c>
      <c r="C852" s="2117" t="n">
        <v>5</v>
      </c>
      <c r="D852" s="2118" t="n">
        <v>3</v>
      </c>
      <c r="E852" s="2118" t="n">
        <v>0</v>
      </c>
      <c r="G852" s="1764" t="n"/>
      <c r="H852" s="1741" t="inlineStr">
        <is>
          <t>SUBETAPA</t>
        </is>
      </c>
      <c r="I852" s="1742" t="inlineStr">
        <is>
          <t>07.005.003</t>
        </is>
      </c>
      <c r="J852" s="1743" t="inlineStr">
        <is>
          <t>Hidrômetros</t>
        </is>
      </c>
      <c r="K852" s="1744" t="n"/>
      <c r="L852" s="1745" t="n"/>
      <c r="M852" s="1745" t="n"/>
      <c r="N852" s="1746" t="n">
        <v>252</v>
      </c>
      <c r="O852" s="1747" t="n"/>
      <c r="P852" s="1720" t="n"/>
    </row>
    <row r="853" hidden="1" outlineLevel="3" ht="13.9" customHeight="1">
      <c r="A853" s="2117" t="n">
        <v>0</v>
      </c>
      <c r="B853" s="2117" t="n">
        <v>7</v>
      </c>
      <c r="C853" s="2117" t="n">
        <v>5</v>
      </c>
      <c r="D853" s="2118" t="n">
        <v>3</v>
      </c>
      <c r="E853" s="2118" t="n">
        <v>1</v>
      </c>
      <c r="G853" s="1748" t="inlineStr">
        <is>
          <t>SISTEMAS E INSTALAÇÕES HIDROSSANITÁRIAS E DRENAGEM</t>
        </is>
      </c>
      <c r="H853" s="1749" t="inlineStr">
        <is>
          <t>SERVIÇO</t>
        </is>
      </c>
      <c r="I853" s="1750" t="inlineStr">
        <is>
          <t>07.005.003.001</t>
        </is>
      </c>
      <c r="J853" s="1751" t="inlineStr">
        <is>
          <t>Hidrômetros</t>
        </is>
      </c>
      <c r="K853" s="1752" t="inlineStr">
        <is>
          <t>vb</t>
        </is>
      </c>
      <c r="L853" s="1753" t="n">
        <v>1</v>
      </c>
      <c r="M853" s="1753" t="n">
        <v>252</v>
      </c>
      <c r="N853" s="1754" t="n">
        <v>252</v>
      </c>
      <c r="O853" s="1755" t="inlineStr">
        <is>
          <t>Devido a ausencia de quantitativos, estimamos um Hidrometro multijato 3/4" vazao maxima 5 m³/h por apartamento + 1 por pavimento</t>
        </is>
      </c>
      <c r="P853" s="1721" t="inlineStr">
        <is>
          <t>Pendente</t>
        </is>
      </c>
    </row>
    <row r="854" hidden="1" outlineLevel="2" ht="13.9" customHeight="1">
      <c r="A854" s="2117" t="n">
        <v>0</v>
      </c>
      <c r="B854" s="2117" t="n">
        <v>7</v>
      </c>
      <c r="C854" s="2117" t="n">
        <v>5</v>
      </c>
      <c r="D854" s="2118" t="n">
        <v>4</v>
      </c>
      <c r="E854" s="2118" t="n">
        <v>0</v>
      </c>
      <c r="G854" s="1764" t="n"/>
      <c r="H854" s="1741" t="inlineStr">
        <is>
          <t>SUBETAPA</t>
        </is>
      </c>
      <c r="I854" s="1742" t="inlineStr">
        <is>
          <t>07.005.004</t>
        </is>
      </c>
      <c r="J854" s="1743" t="inlineStr">
        <is>
          <t xml:space="preserve">Mão de obra - instalações hidrossanitárias e drenagem </t>
        </is>
      </c>
      <c r="K854" s="1744" t="n"/>
      <c r="L854" s="1745" t="n"/>
      <c r="M854" s="1745" t="n"/>
      <c r="N854" s="1746" t="n">
        <v>50953</v>
      </c>
      <c r="O854" s="1747" t="n"/>
      <c r="P854" s="1720" t="n"/>
    </row>
    <row r="855" hidden="1" outlineLevel="3" ht="13.9" customHeight="1">
      <c r="A855" s="2117" t="n">
        <v>0</v>
      </c>
      <c r="B855" s="2117" t="n">
        <v>7</v>
      </c>
      <c r="C855" s="2117" t="n">
        <v>5</v>
      </c>
      <c r="D855" s="2118" t="n">
        <v>4</v>
      </c>
      <c r="E855" s="2118" t="n">
        <v>1</v>
      </c>
      <c r="G855" s="1748" t="inlineStr">
        <is>
          <t>SISTEMAS E INSTALAÇÕES HIDROSSANITÁRIAS E DRENAGEM</t>
        </is>
      </c>
      <c r="H855" s="1749" t="inlineStr">
        <is>
          <t>SERVIÇO</t>
        </is>
      </c>
      <c r="I855" s="1750" t="inlineStr">
        <is>
          <t>07.005.004.001</t>
        </is>
      </c>
      <c r="J855" s="1751" t="inlineStr">
        <is>
          <t>Mão de obra Instalação Hidráulica</t>
        </is>
      </c>
      <c r="K855" s="1752" t="inlineStr">
        <is>
          <t>vb</t>
        </is>
      </c>
      <c r="L855" s="1753" t="n">
        <v>1</v>
      </c>
      <c r="M855" s="1753" t="n">
        <v>50953</v>
      </c>
      <c r="N855" s="1754" t="n">
        <v>50953</v>
      </c>
      <c r="O855" s="1761" t="inlineStr">
        <is>
          <t>Repessado pela Gessele na reunião do dia 05/03/2026 - Provavelmente vamos trocar de fornecedor, considerar M.O. R$58,00 / m2</t>
        </is>
      </c>
      <c r="P855" s="1721" t="inlineStr">
        <is>
          <t>Pendente</t>
        </is>
      </c>
    </row>
    <row r="856" hidden="1" outlineLevel="1" ht="13.9" customHeight="1">
      <c r="A856" s="2117" t="n">
        <v>0</v>
      </c>
      <c r="B856" s="2117" t="n">
        <v>7</v>
      </c>
      <c r="C856" s="2117" t="n">
        <v>6</v>
      </c>
      <c r="D856" s="2118" t="n">
        <v>0</v>
      </c>
      <c r="E856" s="2118" t="n">
        <v>1</v>
      </c>
      <c r="G856" s="1733" t="n"/>
      <c r="H856" s="1734" t="inlineStr">
        <is>
          <t>ETAPA</t>
        </is>
      </c>
      <c r="I856" s="1735" t="inlineStr">
        <is>
          <t>07.006</t>
        </is>
      </c>
      <c r="J856" s="1736" t="inlineStr">
        <is>
          <t>SISTEMAS E INSTALAÇÕES HIDROSSANITÁRIAS E DRENAGEM - Mezanino G3</t>
        </is>
      </c>
      <c r="K856" s="1737" t="n"/>
      <c r="L856" s="1738" t="n"/>
      <c r="M856" s="1738" t="n"/>
      <c r="N856" s="1739" t="n">
        <v>62630.8677076474</v>
      </c>
      <c r="O856" s="1722" t="n"/>
      <c r="P856" s="1725" t="n"/>
    </row>
    <row r="857" hidden="1" outlineLevel="2" ht="13.9" customHeight="1">
      <c r="A857" s="2117" t="n">
        <v>0</v>
      </c>
      <c r="B857" s="2117" t="n">
        <v>7</v>
      </c>
      <c r="C857" s="2117" t="n">
        <v>6</v>
      </c>
      <c r="D857" s="2118" t="n">
        <v>1</v>
      </c>
      <c r="E857" s="2118" t="n">
        <v>0</v>
      </c>
      <c r="G857" s="1764" t="n"/>
      <c r="H857" s="1741" t="inlineStr">
        <is>
          <t>SUBETAPA</t>
        </is>
      </c>
      <c r="I857" s="1742" t="inlineStr">
        <is>
          <t>07.006.001</t>
        </is>
      </c>
      <c r="J857" s="1743" t="inlineStr">
        <is>
          <t>Instalações de água fria</t>
        </is>
      </c>
      <c r="K857" s="1744" t="n"/>
      <c r="L857" s="1745" t="n"/>
      <c r="M857" s="1745" t="n"/>
      <c r="N857" s="1746" t="n">
        <v>2324.199</v>
      </c>
      <c r="O857" s="1747" t="n"/>
      <c r="P857" s="1720" t="n"/>
    </row>
    <row r="858" hidden="1" outlineLevel="3" ht="13.9" customHeight="1">
      <c r="A858" s="2117" t="n">
        <v>0</v>
      </c>
      <c r="B858" s="2117" t="n">
        <v>7</v>
      </c>
      <c r="C858" s="2117" t="n">
        <v>6</v>
      </c>
      <c r="D858" s="2118" t="n">
        <v>1</v>
      </c>
      <c r="E858" s="2118" t="n">
        <v>1</v>
      </c>
      <c r="G858" s="1748" t="inlineStr">
        <is>
          <t>SISTEMAS E INSTALAÇÕES HIDROSSANITÁRIAS E DRENAGEM</t>
        </is>
      </c>
      <c r="H858" s="1749" t="inlineStr">
        <is>
          <t>SERVIÇO</t>
        </is>
      </c>
      <c r="I858" s="1750" t="inlineStr">
        <is>
          <t>07.006.001.001</t>
        </is>
      </c>
      <c r="J858" s="1751" t="inlineStr">
        <is>
          <t>Instalações de água fria e quente</t>
        </is>
      </c>
      <c r="K858" s="1752" t="inlineStr">
        <is>
          <t>vb</t>
        </is>
      </c>
      <c r="L858" s="1753" t="n">
        <v>1</v>
      </c>
      <c r="M858" s="1753" t="n">
        <v>2324.199</v>
      </c>
      <c r="N858" s="1754" t="n">
        <v>2324.199</v>
      </c>
      <c r="O858" s="1755" t="inlineStr">
        <is>
          <t>quantidades conforme quantidades do projetista</t>
        </is>
      </c>
      <c r="P858" s="1721" t="inlineStr">
        <is>
          <t>Pendente</t>
        </is>
      </c>
    </row>
    <row r="859" hidden="1" outlineLevel="2" ht="13.9" customHeight="1">
      <c r="A859" s="2117" t="n">
        <v>0</v>
      </c>
      <c r="B859" s="2117" t="n">
        <v>7</v>
      </c>
      <c r="C859" s="2117" t="n">
        <v>6</v>
      </c>
      <c r="D859" s="2118" t="n">
        <v>2</v>
      </c>
      <c r="E859" s="2118" t="n">
        <v>0</v>
      </c>
      <c r="G859" s="1764" t="n"/>
      <c r="H859" s="1741" t="inlineStr">
        <is>
          <t>SUBETAPA</t>
        </is>
      </c>
      <c r="I859" s="1742" t="inlineStr">
        <is>
          <t>07.006.002</t>
        </is>
      </c>
      <c r="J859" s="1743" t="inlineStr">
        <is>
          <t>Instalações de esgoto e pluviais</t>
        </is>
      </c>
      <c r="K859" s="1744" t="n"/>
      <c r="L859" s="1745" t="n"/>
      <c r="M859" s="1745" t="n"/>
      <c r="N859" s="1746" t="n">
        <v>8292.56870764737</v>
      </c>
      <c r="O859" s="1747" t="n"/>
      <c r="P859" s="1720" t="n"/>
    </row>
    <row r="860" hidden="1" outlineLevel="3" ht="13.9" customHeight="1">
      <c r="A860" s="2117" t="n">
        <v>0</v>
      </c>
      <c r="B860" s="2117" t="n">
        <v>7</v>
      </c>
      <c r="C860" s="2117" t="n">
        <v>6</v>
      </c>
      <c r="D860" s="2118" t="n">
        <v>2</v>
      </c>
      <c r="E860" s="2118" t="n">
        <v>1</v>
      </c>
      <c r="G860" s="1748" t="inlineStr">
        <is>
          <t>SISTEMAS E INSTALAÇÕES HIDROSSANITÁRIAS E DRENAGEM</t>
        </is>
      </c>
      <c r="H860" s="1749" t="inlineStr">
        <is>
          <t>SERVIÇO</t>
        </is>
      </c>
      <c r="I860" s="1750" t="inlineStr">
        <is>
          <t>07.006.002.001</t>
        </is>
      </c>
      <c r="J860" s="1751" t="inlineStr">
        <is>
          <t>Instalações de esgoto e pluviais</t>
        </is>
      </c>
      <c r="K860" s="1752" t="inlineStr">
        <is>
          <t>vb</t>
        </is>
      </c>
      <c r="L860" s="1753" t="n">
        <v>1</v>
      </c>
      <c r="M860" s="1753" t="n">
        <v>8292.568707647371</v>
      </c>
      <c r="N860" s="1754" t="n">
        <v>8292.56870764737</v>
      </c>
      <c r="O860" s="1755" t="inlineStr">
        <is>
          <t>quantidades conforme quantidades do projetista</t>
        </is>
      </c>
      <c r="P860" s="1721" t="inlineStr">
        <is>
          <t>Pendente</t>
        </is>
      </c>
    </row>
    <row r="861" hidden="1" outlineLevel="2" ht="13.9" customHeight="1">
      <c r="A861" s="2117" t="n">
        <v>0</v>
      </c>
      <c r="B861" s="2117" t="n">
        <v>7</v>
      </c>
      <c r="C861" s="2117" t="n">
        <v>6</v>
      </c>
      <c r="D861" s="2118" t="n">
        <v>3</v>
      </c>
      <c r="E861" s="2118" t="n">
        <v>0</v>
      </c>
      <c r="G861" s="1764" t="n"/>
      <c r="H861" s="1741" t="inlineStr">
        <is>
          <t>SUBETAPA</t>
        </is>
      </c>
      <c r="I861" s="1742" t="inlineStr">
        <is>
          <t>07.006.003</t>
        </is>
      </c>
      <c r="J861" s="1743" t="inlineStr">
        <is>
          <t>Hidrômetros</t>
        </is>
      </c>
      <c r="K861" s="1744" t="n"/>
      <c r="L861" s="1745" t="n"/>
      <c r="M861" s="1745" t="n"/>
      <c r="N861" s="1746" t="n">
        <v>252</v>
      </c>
      <c r="O861" s="1747" t="n"/>
      <c r="P861" s="1720" t="n"/>
    </row>
    <row r="862" hidden="1" outlineLevel="3" ht="13.9" customHeight="1">
      <c r="A862" s="2117" t="n">
        <v>0</v>
      </c>
      <c r="B862" s="2117" t="n">
        <v>7</v>
      </c>
      <c r="C862" s="2117" t="n">
        <v>6</v>
      </c>
      <c r="D862" s="2118" t="n">
        <v>3</v>
      </c>
      <c r="E862" s="2118" t="n">
        <v>1</v>
      </c>
      <c r="G862" s="1748" t="inlineStr">
        <is>
          <t>SISTEMAS E INSTALAÇÕES HIDROSSANITÁRIAS E DRENAGEM</t>
        </is>
      </c>
      <c r="H862" s="1749" t="inlineStr">
        <is>
          <t>SERVIÇO</t>
        </is>
      </c>
      <c r="I862" s="1750" t="inlineStr">
        <is>
          <t>07.006.003.001</t>
        </is>
      </c>
      <c r="J862" s="1751" t="inlineStr">
        <is>
          <t>Hidrômetros</t>
        </is>
      </c>
      <c r="K862" s="1752" t="inlineStr">
        <is>
          <t>vb</t>
        </is>
      </c>
      <c r="L862" s="1753" t="n">
        <v>1</v>
      </c>
      <c r="M862" s="1753" t="n">
        <v>252</v>
      </c>
      <c r="N862" s="1754" t="n">
        <v>252</v>
      </c>
      <c r="O862" s="1755" t="inlineStr">
        <is>
          <t>Devido a ausencia de quantitativos, estimamos um Hidrometro multijato 3/4" vazao maxima 5 m³/h por apartamento + 1 por pavimento</t>
        </is>
      </c>
      <c r="P862" s="1721" t="inlineStr">
        <is>
          <t>Pendente</t>
        </is>
      </c>
    </row>
    <row r="863" hidden="1" outlineLevel="2" ht="13.9" customHeight="1">
      <c r="A863" s="2117" t="n">
        <v>0</v>
      </c>
      <c r="B863" s="2117" t="n">
        <v>7</v>
      </c>
      <c r="C863" s="2117" t="n">
        <v>6</v>
      </c>
      <c r="D863" s="2118" t="n">
        <v>4</v>
      </c>
      <c r="E863" s="2118" t="n">
        <v>0</v>
      </c>
      <c r="G863" s="1764" t="n"/>
      <c r="H863" s="1741" t="inlineStr">
        <is>
          <t>SUBETAPA</t>
        </is>
      </c>
      <c r="I863" s="1742" t="inlineStr">
        <is>
          <t>07.006.004</t>
        </is>
      </c>
      <c r="J863" s="1743" t="inlineStr">
        <is>
          <t xml:space="preserve">Mão de obra - instalações hidrossanitárias e drenagem </t>
        </is>
      </c>
      <c r="K863" s="1744" t="n"/>
      <c r="L863" s="1745" t="n"/>
      <c r="M863" s="1745" t="n"/>
      <c r="N863" s="1746" t="n">
        <v>51762.1</v>
      </c>
      <c r="O863" s="1747" t="n"/>
      <c r="P863" s="1720" t="n"/>
    </row>
    <row r="864" hidden="1" outlineLevel="3" ht="13.9" customHeight="1">
      <c r="A864" s="2117" t="n">
        <v>0</v>
      </c>
      <c r="B864" s="2117" t="n">
        <v>7</v>
      </c>
      <c r="C864" s="2117" t="n">
        <v>6</v>
      </c>
      <c r="D864" s="2118" t="n">
        <v>4</v>
      </c>
      <c r="E864" s="2118" t="n">
        <v>1</v>
      </c>
      <c r="G864" s="1748" t="inlineStr">
        <is>
          <t>SISTEMAS E INSTALAÇÕES HIDROSSANITÁRIAS E DRENAGEM</t>
        </is>
      </c>
      <c r="H864" s="1749" t="inlineStr">
        <is>
          <t>SERVIÇO</t>
        </is>
      </c>
      <c r="I864" s="1750" t="inlineStr">
        <is>
          <t>07.006.004.001</t>
        </is>
      </c>
      <c r="J864" s="1751" t="inlineStr">
        <is>
          <t>Mão de obra Instalação Hidráulica</t>
        </is>
      </c>
      <c r="K864" s="1752" t="inlineStr">
        <is>
          <t>vb</t>
        </is>
      </c>
      <c r="L864" s="1753" t="n">
        <v>1</v>
      </c>
      <c r="M864" s="1753" t="n">
        <v>51762.10000000001</v>
      </c>
      <c r="N864" s="1754" t="n">
        <v>51762.1</v>
      </c>
      <c r="O864" s="1761" t="inlineStr">
        <is>
          <t>Repessado pela Gessele na reunião do dia 05/03/2026 - Provavelmente vamos trocar de fornecedor, considerar M.O. R$58,00 / m2</t>
        </is>
      </c>
      <c r="P864" s="1721" t="inlineStr">
        <is>
          <t>Pendente</t>
        </is>
      </c>
    </row>
    <row r="865" hidden="1" outlineLevel="1" ht="13.9" customHeight="1">
      <c r="A865" s="2117" t="n">
        <v>0</v>
      </c>
      <c r="B865" s="2117" t="n">
        <v>7</v>
      </c>
      <c r="C865" s="2117" t="n">
        <v>7</v>
      </c>
      <c r="D865" s="2118" t="n">
        <v>0</v>
      </c>
      <c r="E865" s="2118" t="n">
        <v>1</v>
      </c>
      <c r="G865" s="1733" t="n"/>
      <c r="H865" s="1734" t="inlineStr">
        <is>
          <t>ETAPA</t>
        </is>
      </c>
      <c r="I865" s="1735" t="inlineStr">
        <is>
          <t>07.007</t>
        </is>
      </c>
      <c r="J865" s="1736" t="inlineStr">
        <is>
          <t>SISTEMAS E INSTALAÇÕES HIDROSSANITÁRIAS E DRENAGEM - Lazer | Garagem</t>
        </is>
      </c>
      <c r="K865" s="1737" t="n"/>
      <c r="L865" s="1738" t="n"/>
      <c r="M865" s="1738" t="n"/>
      <c r="N865" s="1739" t="n">
        <v>68292.7027744853</v>
      </c>
      <c r="O865" s="1722" t="n"/>
      <c r="P865" s="1725" t="n"/>
    </row>
    <row r="866" hidden="1" outlineLevel="2" ht="13.9" customHeight="1">
      <c r="A866" s="2117" t="n">
        <v>0</v>
      </c>
      <c r="B866" s="2117" t="n">
        <v>7</v>
      </c>
      <c r="C866" s="2117" t="n">
        <v>7</v>
      </c>
      <c r="D866" s="2118" t="n">
        <v>1</v>
      </c>
      <c r="E866" s="2118" t="n">
        <v>0</v>
      </c>
      <c r="G866" s="1764" t="n"/>
      <c r="H866" s="1741" t="inlineStr">
        <is>
          <t>SUBETAPA</t>
        </is>
      </c>
      <c r="I866" s="1742" t="inlineStr">
        <is>
          <t>07.007.001</t>
        </is>
      </c>
      <c r="J866" s="1743" t="inlineStr">
        <is>
          <t>Instalações de água fria</t>
        </is>
      </c>
      <c r="K866" s="1744" t="n"/>
      <c r="L866" s="1745" t="n"/>
      <c r="M866" s="1745" t="n"/>
      <c r="N866" s="1746" t="n">
        <v>1836.40446821347</v>
      </c>
      <c r="O866" s="1747" t="n"/>
      <c r="P866" s="1720" t="n"/>
    </row>
    <row r="867" hidden="1" outlineLevel="3" ht="13.9" customHeight="1">
      <c r="A867" s="2117" t="n">
        <v>0</v>
      </c>
      <c r="B867" s="2117" t="n">
        <v>7</v>
      </c>
      <c r="C867" s="2117" t="n">
        <v>7</v>
      </c>
      <c r="D867" s="2118" t="n">
        <v>1</v>
      </c>
      <c r="E867" s="2118" t="n">
        <v>1</v>
      </c>
      <c r="G867" s="1748" t="inlineStr">
        <is>
          <t>SISTEMAS E INSTALAÇÕES HIDROSSANITÁRIAS E DRENAGEM</t>
        </is>
      </c>
      <c r="H867" s="1749" t="inlineStr">
        <is>
          <t>SERVIÇO</t>
        </is>
      </c>
      <c r="I867" s="1750" t="inlineStr">
        <is>
          <t>07.007.001.001</t>
        </is>
      </c>
      <c r="J867" s="1751" t="inlineStr">
        <is>
          <t>Instalações de água fria e quente</t>
        </is>
      </c>
      <c r="K867" s="1752" t="inlineStr">
        <is>
          <t>vb</t>
        </is>
      </c>
      <c r="L867" s="1753" t="n">
        <v>1</v>
      </c>
      <c r="M867" s="1753" t="n">
        <v>1836.404468213474</v>
      </c>
      <c r="N867" s="1754" t="n">
        <v>1836.40446821347</v>
      </c>
      <c r="O867" s="1755" t="inlineStr">
        <is>
          <t>quantidades conforme quantidades do projetista</t>
        </is>
      </c>
      <c r="P867" s="1721" t="inlineStr">
        <is>
          <t>Pendente</t>
        </is>
      </c>
    </row>
    <row r="868" hidden="1" outlineLevel="2" ht="13.9" customHeight="1">
      <c r="A868" s="2117" t="n">
        <v>0</v>
      </c>
      <c r="B868" s="2117" t="n">
        <v>7</v>
      </c>
      <c r="C868" s="2117" t="n">
        <v>7</v>
      </c>
      <c r="D868" s="2118" t="n">
        <v>2</v>
      </c>
      <c r="E868" s="2118" t="n">
        <v>0</v>
      </c>
      <c r="G868" s="1764" t="n"/>
      <c r="H868" s="1741" t="inlineStr">
        <is>
          <t>SUBETAPA</t>
        </is>
      </c>
      <c r="I868" s="1742" t="inlineStr">
        <is>
          <t>07.007.002</t>
        </is>
      </c>
      <c r="J868" s="1743" t="inlineStr">
        <is>
          <t>Instalações de esgoto e pluviais</t>
        </is>
      </c>
      <c r="K868" s="1744" t="n"/>
      <c r="L868" s="1745" t="n"/>
      <c r="M868" s="1745" t="n"/>
      <c r="N868" s="1746" t="n">
        <v>14442.1983062718</v>
      </c>
      <c r="O868" s="1747" t="n"/>
      <c r="P868" s="1720" t="n"/>
    </row>
    <row r="869" hidden="1" outlineLevel="3" ht="13.9" customHeight="1">
      <c r="A869" s="2117" t="n">
        <v>0</v>
      </c>
      <c r="B869" s="2117" t="n">
        <v>7</v>
      </c>
      <c r="C869" s="2117" t="n">
        <v>7</v>
      </c>
      <c r="D869" s="2118" t="n">
        <v>2</v>
      </c>
      <c r="E869" s="2118" t="n">
        <v>1</v>
      </c>
      <c r="G869" s="1748" t="inlineStr">
        <is>
          <t>SISTEMAS E INSTALAÇÕES HIDROSSANITÁRIAS E DRENAGEM</t>
        </is>
      </c>
      <c r="H869" s="1749" t="inlineStr">
        <is>
          <t>SERVIÇO</t>
        </is>
      </c>
      <c r="I869" s="1750" t="inlineStr">
        <is>
          <t>07.007.002.001</t>
        </is>
      </c>
      <c r="J869" s="1751" t="inlineStr">
        <is>
          <t>Instalações de esgoto e pluviais</t>
        </is>
      </c>
      <c r="K869" s="1752" t="inlineStr">
        <is>
          <t>vb</t>
        </is>
      </c>
      <c r="L869" s="1753" t="n">
        <v>1</v>
      </c>
      <c r="M869" s="1753" t="n">
        <v>14442.19830627185</v>
      </c>
      <c r="N869" s="1754" t="n">
        <v>14442.1983062718</v>
      </c>
      <c r="O869" s="1755" t="inlineStr">
        <is>
          <t>quantidades conforme quantidades do projetista</t>
        </is>
      </c>
      <c r="P869" s="1721" t="inlineStr">
        <is>
          <t>Pendente</t>
        </is>
      </c>
    </row>
    <row r="870" hidden="1" outlineLevel="2" ht="13.9" customHeight="1">
      <c r="A870" s="2117" t="n">
        <v>0</v>
      </c>
      <c r="B870" s="2117" t="n">
        <v>7</v>
      </c>
      <c r="C870" s="2117" t="n">
        <v>7</v>
      </c>
      <c r="D870" s="2118" t="n">
        <v>3</v>
      </c>
      <c r="E870" s="2118" t="n">
        <v>0</v>
      </c>
      <c r="G870" s="1764" t="n"/>
      <c r="H870" s="1741" t="inlineStr">
        <is>
          <t>SUBETAPA</t>
        </is>
      </c>
      <c r="I870" s="1742" t="inlineStr">
        <is>
          <t>07.007.003</t>
        </is>
      </c>
      <c r="J870" s="1743" t="inlineStr">
        <is>
          <t>Hidrômetros</t>
        </is>
      </c>
      <c r="K870" s="1744" t="n"/>
      <c r="L870" s="1745" t="n"/>
      <c r="M870" s="1745" t="n"/>
      <c r="N870" s="1746" t="n">
        <v>252</v>
      </c>
      <c r="O870" s="1747" t="n"/>
      <c r="P870" s="1720" t="n"/>
    </row>
    <row r="871" hidden="1" outlineLevel="3" ht="13.9" customHeight="1">
      <c r="A871" s="2117" t="n">
        <v>0</v>
      </c>
      <c r="B871" s="2117" t="n">
        <v>7</v>
      </c>
      <c r="C871" s="2117" t="n">
        <v>7</v>
      </c>
      <c r="D871" s="2118" t="n">
        <v>3</v>
      </c>
      <c r="E871" s="2118" t="n">
        <v>1</v>
      </c>
      <c r="G871" s="1748" t="inlineStr">
        <is>
          <t>SISTEMAS E INSTALAÇÕES HIDROSSANITÁRIAS E DRENAGEM</t>
        </is>
      </c>
      <c r="H871" s="1749" t="inlineStr">
        <is>
          <t>SERVIÇO</t>
        </is>
      </c>
      <c r="I871" s="1750" t="inlineStr">
        <is>
          <t>07.007.003.001</t>
        </is>
      </c>
      <c r="J871" s="1751" t="inlineStr">
        <is>
          <t>Hidrômetros</t>
        </is>
      </c>
      <c r="K871" s="1752" t="inlineStr">
        <is>
          <t>vb</t>
        </is>
      </c>
      <c r="L871" s="1753" t="n">
        <v>1</v>
      </c>
      <c r="M871" s="1753" t="n">
        <v>252</v>
      </c>
      <c r="N871" s="1754" t="n">
        <v>252</v>
      </c>
      <c r="O871" s="1755" t="inlineStr">
        <is>
          <t>Devido a ausencia de quantitativos, estimamos um Hidrometro multijato 3/4" vazao maxima 5 m³/h por apartamento + 1 por pavimento</t>
        </is>
      </c>
      <c r="P871" s="1721" t="inlineStr">
        <is>
          <t>Pendente</t>
        </is>
      </c>
    </row>
    <row r="872" hidden="1" outlineLevel="2" ht="13.9" customHeight="1">
      <c r="A872" s="2117" t="n">
        <v>0</v>
      </c>
      <c r="B872" s="2117" t="n">
        <v>7</v>
      </c>
      <c r="C872" s="2117" t="n">
        <v>7</v>
      </c>
      <c r="D872" s="2118" t="n">
        <v>4</v>
      </c>
      <c r="E872" s="2118" t="n">
        <v>0</v>
      </c>
      <c r="G872" s="1764" t="n"/>
      <c r="H872" s="1741" t="inlineStr">
        <is>
          <t>SUBETAPA</t>
        </is>
      </c>
      <c r="I872" s="1742" t="inlineStr">
        <is>
          <t>07.007.004</t>
        </is>
      </c>
      <c r="J872" s="1743" t="inlineStr">
        <is>
          <t xml:space="preserve">Mão de obra - instalações hidrossanitárias e drenagem </t>
        </is>
      </c>
      <c r="K872" s="1744" t="n"/>
      <c r="L872" s="1745" t="n"/>
      <c r="M872" s="1745" t="n"/>
      <c r="N872" s="1746" t="n">
        <v>51762.1</v>
      </c>
      <c r="O872" s="1747" t="n"/>
      <c r="P872" s="1720" t="n"/>
    </row>
    <row r="873" hidden="1" outlineLevel="3" ht="13.9" customHeight="1">
      <c r="A873" s="2117" t="n">
        <v>0</v>
      </c>
      <c r="B873" s="2117" t="n">
        <v>7</v>
      </c>
      <c r="C873" s="2117" t="n">
        <v>7</v>
      </c>
      <c r="D873" s="2118" t="n">
        <v>4</v>
      </c>
      <c r="E873" s="2118" t="n">
        <v>1</v>
      </c>
      <c r="G873" s="1748" t="inlineStr">
        <is>
          <t>SISTEMAS E INSTALAÇÕES HIDROSSANITÁRIAS E DRENAGEM</t>
        </is>
      </c>
      <c r="H873" s="1749" t="inlineStr">
        <is>
          <t>SERVIÇO</t>
        </is>
      </c>
      <c r="I873" s="1750" t="inlineStr">
        <is>
          <t>07.007.004.001</t>
        </is>
      </c>
      <c r="J873" s="1751" t="inlineStr">
        <is>
          <t>Mão de obra Instalação Hidráulica</t>
        </is>
      </c>
      <c r="K873" s="1752" t="inlineStr">
        <is>
          <t>vb</t>
        </is>
      </c>
      <c r="L873" s="1753" t="n">
        <v>1</v>
      </c>
      <c r="M873" s="1753" t="n">
        <v>51762.10000000001</v>
      </c>
      <c r="N873" s="1754" t="n">
        <v>51762.1</v>
      </c>
      <c r="O873" s="1761" t="inlineStr">
        <is>
          <t>Repessado pela Gessele na reunião do dia 05/03/2026 - Provavelmente vamos trocar de fornecedor, considerar M.O. R$58,00 / m2</t>
        </is>
      </c>
      <c r="P873" s="1721" t="inlineStr">
        <is>
          <t>Pendente</t>
        </is>
      </c>
    </row>
    <row r="874" hidden="1" outlineLevel="1" ht="13.9" customHeight="1">
      <c r="A874" s="2117" t="n">
        <v>0</v>
      </c>
      <c r="B874" s="2117" t="n">
        <v>7</v>
      </c>
      <c r="C874" s="2117" t="n">
        <v>8</v>
      </c>
      <c r="D874" s="2118" t="n">
        <v>0</v>
      </c>
      <c r="E874" s="2118" t="n">
        <v>1</v>
      </c>
      <c r="G874" s="1733" t="n"/>
      <c r="H874" s="1734" t="inlineStr">
        <is>
          <t>ETAPA</t>
        </is>
      </c>
      <c r="I874" s="1735" t="inlineStr">
        <is>
          <t>07.008</t>
        </is>
      </c>
      <c r="J874" s="1736" t="inlineStr">
        <is>
          <t>SISTEMAS E INSTALAÇÕES HIDROSSANITÁRIAS E DRENAGEM - Lazer</t>
        </is>
      </c>
      <c r="K874" s="1737" t="n"/>
      <c r="L874" s="1738" t="n"/>
      <c r="M874" s="1738" t="n"/>
      <c r="N874" s="1739" t="n">
        <v>105736.117348628</v>
      </c>
      <c r="O874" s="1722" t="n"/>
      <c r="P874" s="1725" t="n"/>
    </row>
    <row r="875" hidden="1" outlineLevel="2" ht="13.9" customHeight="1">
      <c r="A875" s="2117" t="n">
        <v>0</v>
      </c>
      <c r="B875" s="2117" t="n">
        <v>7</v>
      </c>
      <c r="C875" s="2117" t="n">
        <v>8</v>
      </c>
      <c r="D875" s="2118" t="n">
        <v>1</v>
      </c>
      <c r="E875" s="2118" t="n">
        <v>0</v>
      </c>
      <c r="G875" s="1764" t="n"/>
      <c r="H875" s="1741" t="inlineStr">
        <is>
          <t>SUBETAPA</t>
        </is>
      </c>
      <c r="I875" s="1742" t="inlineStr">
        <is>
          <t>07.008.001</t>
        </is>
      </c>
      <c r="J875" s="1743" t="inlineStr">
        <is>
          <t>Instalações de água fria</t>
        </is>
      </c>
      <c r="K875" s="1744" t="n"/>
      <c r="L875" s="1745" t="n"/>
      <c r="M875" s="1745" t="n"/>
      <c r="N875" s="1746" t="n">
        <v>1549.01395250033</v>
      </c>
      <c r="O875" s="1747" t="n"/>
      <c r="P875" s="1720" t="n"/>
    </row>
    <row r="876" hidden="1" outlineLevel="3" ht="13.9" customHeight="1">
      <c r="A876" s="2117" t="n">
        <v>0</v>
      </c>
      <c r="B876" s="2117" t="n">
        <v>7</v>
      </c>
      <c r="C876" s="2117" t="n">
        <v>8</v>
      </c>
      <c r="D876" s="2118" t="n">
        <v>1</v>
      </c>
      <c r="E876" s="2118" t="n">
        <v>1</v>
      </c>
      <c r="G876" s="1748" t="inlineStr">
        <is>
          <t>SISTEMAS E INSTALAÇÕES HIDROSSANITÁRIAS E DRENAGEM</t>
        </is>
      </c>
      <c r="H876" s="1749" t="inlineStr">
        <is>
          <t>SERVIÇO</t>
        </is>
      </c>
      <c r="I876" s="1750" t="inlineStr">
        <is>
          <t>07.008.001.001</t>
        </is>
      </c>
      <c r="J876" s="1751" t="inlineStr">
        <is>
          <t>Instalações de água fria e quente</t>
        </is>
      </c>
      <c r="K876" s="1752" t="inlineStr">
        <is>
          <t>vb</t>
        </is>
      </c>
      <c r="L876" s="1753" t="n">
        <v>1</v>
      </c>
      <c r="M876" s="1753" t="n">
        <v>1549.013952500328</v>
      </c>
      <c r="N876" s="1754" t="n">
        <v>1549.01395250033</v>
      </c>
      <c r="O876" s="1755" t="inlineStr">
        <is>
          <t>quantidades conforme quantidades do projetista</t>
        </is>
      </c>
      <c r="P876" s="1721" t="inlineStr">
        <is>
          <t>Pendente</t>
        </is>
      </c>
    </row>
    <row r="877" hidden="1" outlineLevel="2" ht="13.9" customHeight="1">
      <c r="A877" s="2117" t="n">
        <v>0</v>
      </c>
      <c r="B877" s="2117" t="n">
        <v>7</v>
      </c>
      <c r="C877" s="2117" t="n">
        <v>8</v>
      </c>
      <c r="D877" s="2118" t="n">
        <v>2</v>
      </c>
      <c r="E877" s="2118" t="n">
        <v>0</v>
      </c>
      <c r="G877" s="1764" t="n"/>
      <c r="H877" s="1741" t="inlineStr">
        <is>
          <t>SUBETAPA</t>
        </is>
      </c>
      <c r="I877" s="1742" t="inlineStr">
        <is>
          <t>07.008.002</t>
        </is>
      </c>
      <c r="J877" s="1743" t="inlineStr">
        <is>
          <t>Instalações de esgoto e pluviais</t>
        </is>
      </c>
      <c r="K877" s="1744" t="n"/>
      <c r="L877" s="1745" t="n"/>
      <c r="M877" s="1745" t="n"/>
      <c r="N877" s="1746" t="n">
        <v>74977.4433961278</v>
      </c>
      <c r="O877" s="1747" t="n"/>
      <c r="P877" s="1720" t="n"/>
    </row>
    <row r="878" hidden="1" outlineLevel="3" ht="13.9" customHeight="1">
      <c r="A878" s="2117" t="n">
        <v>0</v>
      </c>
      <c r="B878" s="2117" t="n">
        <v>7</v>
      </c>
      <c r="C878" s="2117" t="n">
        <v>8</v>
      </c>
      <c r="D878" s="2118" t="n">
        <v>2</v>
      </c>
      <c r="E878" s="2118" t="n">
        <v>1</v>
      </c>
      <c r="G878" s="1748" t="inlineStr">
        <is>
          <t>SISTEMAS E INSTALAÇÕES HIDROSSANITÁRIAS E DRENAGEM</t>
        </is>
      </c>
      <c r="H878" s="1749" t="inlineStr">
        <is>
          <t>SERVIÇO</t>
        </is>
      </c>
      <c r="I878" s="1750" t="inlineStr">
        <is>
          <t>07.008.002.001</t>
        </is>
      </c>
      <c r="J878" s="1751" t="inlineStr">
        <is>
          <t>Instalações de esgoto e pluviais</t>
        </is>
      </c>
      <c r="K878" s="1752" t="inlineStr">
        <is>
          <t>vb</t>
        </is>
      </c>
      <c r="L878" s="1753" t="n">
        <v>1</v>
      </c>
      <c r="M878" s="1753" t="n">
        <v>74977.4433961278</v>
      </c>
      <c r="N878" s="1754" t="n">
        <v>74977.4433961278</v>
      </c>
      <c r="O878" s="1755" t="inlineStr">
        <is>
          <t>quantidades conforme quantidades do projetista</t>
        </is>
      </c>
      <c r="P878" s="1721" t="inlineStr">
        <is>
          <t>Pendente</t>
        </is>
      </c>
    </row>
    <row r="879" hidden="1" outlineLevel="2" ht="13.9" customHeight="1">
      <c r="A879" s="2117" t="n">
        <v>0</v>
      </c>
      <c r="B879" s="2117" t="n">
        <v>7</v>
      </c>
      <c r="C879" s="2117" t="n">
        <v>8</v>
      </c>
      <c r="D879" s="2118" t="n">
        <v>3</v>
      </c>
      <c r="E879" s="2118" t="n">
        <v>0</v>
      </c>
      <c r="G879" s="1764" t="n"/>
      <c r="H879" s="1741" t="inlineStr">
        <is>
          <t>SUBETAPA</t>
        </is>
      </c>
      <c r="I879" s="1742" t="inlineStr">
        <is>
          <t>07.008.003</t>
        </is>
      </c>
      <c r="J879" s="1743" t="inlineStr">
        <is>
          <t>Hidrômetros</t>
        </is>
      </c>
      <c r="K879" s="1744" t="n"/>
      <c r="L879" s="1745" t="n"/>
      <c r="M879" s="1745" t="n"/>
      <c r="N879" s="1746" t="n">
        <v>252</v>
      </c>
      <c r="O879" s="1747" t="n"/>
      <c r="P879" s="1720" t="n"/>
    </row>
    <row r="880" hidden="1" outlineLevel="3" ht="13.9" customHeight="1">
      <c r="A880" s="2117" t="n">
        <v>0</v>
      </c>
      <c r="B880" s="2117" t="n">
        <v>7</v>
      </c>
      <c r="C880" s="2117" t="n">
        <v>8</v>
      </c>
      <c r="D880" s="2118" t="n">
        <v>3</v>
      </c>
      <c r="E880" s="2118" t="n">
        <v>1</v>
      </c>
      <c r="G880" s="1748" t="inlineStr">
        <is>
          <t>SISTEMAS E INSTALAÇÕES HIDROSSANITÁRIAS E DRENAGEM</t>
        </is>
      </c>
      <c r="H880" s="1749" t="inlineStr">
        <is>
          <t>SERVIÇO</t>
        </is>
      </c>
      <c r="I880" s="1750" t="inlineStr">
        <is>
          <t>07.008.003.001</t>
        </is>
      </c>
      <c r="J880" s="1751" t="inlineStr">
        <is>
          <t>Hidrômetros</t>
        </is>
      </c>
      <c r="K880" s="1752" t="inlineStr">
        <is>
          <t>vb</t>
        </is>
      </c>
      <c r="L880" s="1753" t="n">
        <v>1</v>
      </c>
      <c r="M880" s="1753" t="n">
        <v>252</v>
      </c>
      <c r="N880" s="1754" t="n">
        <v>252</v>
      </c>
      <c r="O880" s="1755" t="inlineStr">
        <is>
          <t>Devido a ausencia de quantitativos, estimamos um Hidrometro multijato 3/4" vazao maxima 5 m³/h por apartamento + 1 por pavimento</t>
        </is>
      </c>
      <c r="P880" s="1721" t="inlineStr">
        <is>
          <t>Pendente</t>
        </is>
      </c>
    </row>
    <row r="881" hidden="1" outlineLevel="2" ht="13.9" customHeight="1">
      <c r="A881" s="2117" t="n">
        <v>0</v>
      </c>
      <c r="B881" s="2117" t="n">
        <v>7</v>
      </c>
      <c r="C881" s="2117" t="n">
        <v>8</v>
      </c>
      <c r="D881" s="2118" t="n">
        <v>4</v>
      </c>
      <c r="E881" s="2118" t="n">
        <v>0</v>
      </c>
      <c r="G881" s="1764" t="n"/>
      <c r="H881" s="1741" t="inlineStr">
        <is>
          <t>SUBETAPA</t>
        </is>
      </c>
      <c r="I881" s="1742" t="inlineStr">
        <is>
          <t>07.008.004</t>
        </is>
      </c>
      <c r="J881" s="1743" t="inlineStr">
        <is>
          <t xml:space="preserve">Mão de obra - instalações hidrossanitárias e drenagem </t>
        </is>
      </c>
      <c r="K881" s="1744" t="n"/>
      <c r="L881" s="1745" t="n"/>
      <c r="M881" s="1745" t="n"/>
      <c r="N881" s="1746" t="n">
        <v>28957.66</v>
      </c>
      <c r="O881" s="1747" t="n"/>
      <c r="P881" s="1720" t="n"/>
    </row>
    <row r="882" hidden="1" outlineLevel="3" ht="13.9" customHeight="1">
      <c r="A882" s="2117" t="n">
        <v>0</v>
      </c>
      <c r="B882" s="2117" t="n">
        <v>7</v>
      </c>
      <c r="C882" s="2117" t="n">
        <v>8</v>
      </c>
      <c r="D882" s="2118" t="n">
        <v>4</v>
      </c>
      <c r="E882" s="2118" t="n">
        <v>1</v>
      </c>
      <c r="G882" s="1748" t="inlineStr">
        <is>
          <t>SISTEMAS E INSTALAÇÕES HIDROSSANITÁRIAS E DRENAGEM</t>
        </is>
      </c>
      <c r="H882" s="1749" t="inlineStr">
        <is>
          <t>SERVIÇO</t>
        </is>
      </c>
      <c r="I882" s="1750" t="inlineStr">
        <is>
          <t>07.008.004.001</t>
        </is>
      </c>
      <c r="J882" s="1751" t="inlineStr">
        <is>
          <t>Mão de obra Instalação Hidráulica</t>
        </is>
      </c>
      <c r="K882" s="1752" t="inlineStr">
        <is>
          <t>vb</t>
        </is>
      </c>
      <c r="L882" s="1753" t="n">
        <v>1</v>
      </c>
      <c r="M882" s="1753" t="n">
        <v>28957.66</v>
      </c>
      <c r="N882" s="1754" t="n">
        <v>28957.66</v>
      </c>
      <c r="O882" s="1761" t="inlineStr">
        <is>
          <t>Repessado pela Gessele na reunião do dia 05/03/2026 - Provavelmente vamos trocar de fornecedor, considerar M.O. R$58,00 / m2</t>
        </is>
      </c>
      <c r="P882" s="1721" t="inlineStr">
        <is>
          <t>Pendente</t>
        </is>
      </c>
    </row>
    <row r="883" hidden="1" outlineLevel="1" ht="13.9" customHeight="1">
      <c r="A883" s="2117" t="n">
        <v>0</v>
      </c>
      <c r="B883" s="2117" t="n">
        <v>7</v>
      </c>
      <c r="C883" s="2117" t="n">
        <v>9</v>
      </c>
      <c r="D883" s="2118" t="n">
        <v>0</v>
      </c>
      <c r="E883" s="2118" t="n">
        <v>1</v>
      </c>
      <c r="G883" s="1733" t="n"/>
      <c r="H883" s="1734" t="inlineStr">
        <is>
          <t>ETAPA</t>
        </is>
      </c>
      <c r="I883" s="1735" t="inlineStr">
        <is>
          <t>07.009</t>
        </is>
      </c>
      <c r="J883" s="1736" t="inlineStr">
        <is>
          <t>SISTEMAS E INSTALAÇÕES HIDROSSANITÁRIAS E DRENAGEM - Tipo diferenciado</t>
        </is>
      </c>
      <c r="K883" s="1737" t="n"/>
      <c r="L883" s="1738" t="n"/>
      <c r="M883" s="1738" t="n"/>
      <c r="N883" s="1739" t="n">
        <v>161488.916559046</v>
      </c>
      <c r="O883" s="1722" t="n"/>
      <c r="P883" s="1725" t="n"/>
    </row>
    <row r="884" hidden="1" outlineLevel="2" ht="13.9" customHeight="1">
      <c r="A884" s="2117" t="n">
        <v>0</v>
      </c>
      <c r="B884" s="2117" t="n">
        <v>7</v>
      </c>
      <c r="C884" s="2117" t="n">
        <v>9</v>
      </c>
      <c r="D884" s="2118" t="n">
        <v>1</v>
      </c>
      <c r="E884" s="2118" t="n">
        <v>0</v>
      </c>
      <c r="G884" s="1764" t="n"/>
      <c r="H884" s="1741" t="inlineStr">
        <is>
          <t>SUBETAPA</t>
        </is>
      </c>
      <c r="I884" s="1742" t="inlineStr">
        <is>
          <t>07.009.001</t>
        </is>
      </c>
      <c r="J884" s="1743" t="inlineStr">
        <is>
          <t>Instalações de água fria</t>
        </is>
      </c>
      <c r="K884" s="1744" t="n"/>
      <c r="L884" s="1745" t="n"/>
      <c r="M884" s="1745" t="n"/>
      <c r="N884" s="1746" t="n">
        <v>75503.946584484</v>
      </c>
      <c r="O884" s="1747" t="n"/>
      <c r="P884" s="1720" t="n"/>
    </row>
    <row r="885" hidden="1" outlineLevel="3" ht="13.9" customHeight="1">
      <c r="A885" s="2117" t="n">
        <v>0</v>
      </c>
      <c r="B885" s="2117" t="n">
        <v>7</v>
      </c>
      <c r="C885" s="2117" t="n">
        <v>9</v>
      </c>
      <c r="D885" s="2118" t="n">
        <v>1</v>
      </c>
      <c r="E885" s="2118" t="n">
        <v>1</v>
      </c>
      <c r="G885" s="1748" t="inlineStr">
        <is>
          <t>SISTEMAS E INSTALAÇÕES HIDROSSANITÁRIAS E DRENAGEM</t>
        </is>
      </c>
      <c r="H885" s="1749" t="inlineStr">
        <is>
          <t>SERVIÇO</t>
        </is>
      </c>
      <c r="I885" s="1750" t="inlineStr">
        <is>
          <t>07.009.001.001</t>
        </is>
      </c>
      <c r="J885" s="1751" t="inlineStr">
        <is>
          <t>Instalações de água fria e quente</t>
        </is>
      </c>
      <c r="K885" s="1752" t="inlineStr">
        <is>
          <t>vb</t>
        </is>
      </c>
      <c r="L885" s="1753" t="n">
        <v>1</v>
      </c>
      <c r="M885" s="1753" t="n">
        <v>75503.946584484</v>
      </c>
      <c r="N885" s="1754" t="n">
        <v>75503.946584484</v>
      </c>
      <c r="O885" s="1755" t="inlineStr">
        <is>
          <t>quantidades conforme quantidades do projetista</t>
        </is>
      </c>
      <c r="P885" s="1721" t="inlineStr">
        <is>
          <t>Pendente</t>
        </is>
      </c>
    </row>
    <row r="886" hidden="1" outlineLevel="2" ht="13.9" customHeight="1">
      <c r="A886" s="2117" t="n">
        <v>0</v>
      </c>
      <c r="B886" s="2117" t="n">
        <v>7</v>
      </c>
      <c r="C886" s="2117" t="n">
        <v>9</v>
      </c>
      <c r="D886" s="2118" t="n">
        <v>2</v>
      </c>
      <c r="E886" s="2118" t="n">
        <v>0</v>
      </c>
      <c r="G886" s="1764" t="n"/>
      <c r="H886" s="1741" t="inlineStr">
        <is>
          <t>SUBETAPA</t>
        </is>
      </c>
      <c r="I886" s="1742" t="inlineStr">
        <is>
          <t>07.009.002</t>
        </is>
      </c>
      <c r="J886" s="1743" t="inlineStr">
        <is>
          <t>Instalações de esgoto e pluviais</t>
        </is>
      </c>
      <c r="K886" s="1744" t="n"/>
      <c r="L886" s="1745" t="n"/>
      <c r="M886" s="1745" t="n"/>
      <c r="N886" s="1746" t="n">
        <v>65692.2299745622</v>
      </c>
      <c r="O886" s="1747" t="n"/>
      <c r="P886" s="1720" t="n"/>
    </row>
    <row r="887" hidden="1" outlineLevel="3" ht="13.9" customHeight="1">
      <c r="A887" s="2117" t="n">
        <v>0</v>
      </c>
      <c r="B887" s="2117" t="n">
        <v>7</v>
      </c>
      <c r="C887" s="2117" t="n">
        <v>9</v>
      </c>
      <c r="D887" s="2118" t="n">
        <v>2</v>
      </c>
      <c r="E887" s="2118" t="n">
        <v>1</v>
      </c>
      <c r="G887" s="1748" t="inlineStr">
        <is>
          <t>SISTEMAS E INSTALAÇÕES HIDROSSANITÁRIAS E DRENAGEM</t>
        </is>
      </c>
      <c r="H887" s="1749" t="inlineStr">
        <is>
          <t>SERVIÇO</t>
        </is>
      </c>
      <c r="I887" s="1750" t="inlineStr">
        <is>
          <t>07.009.002.001</t>
        </is>
      </c>
      <c r="J887" s="1751" t="inlineStr">
        <is>
          <t>Instalações de esgoto e pluviais</t>
        </is>
      </c>
      <c r="K887" s="1752" t="inlineStr">
        <is>
          <t>vb</t>
        </is>
      </c>
      <c r="L887" s="1753" t="n">
        <v>1</v>
      </c>
      <c r="M887" s="1753" t="n">
        <v>65692.22997456219</v>
      </c>
      <c r="N887" s="1754" t="n">
        <v>65692.2299745622</v>
      </c>
      <c r="O887" s="1755" t="inlineStr">
        <is>
          <t>quantidades conforme quantidades do projetista</t>
        </is>
      </c>
      <c r="P887" s="1721" t="inlineStr">
        <is>
          <t>Pendente</t>
        </is>
      </c>
    </row>
    <row r="888" hidden="1" outlineLevel="2" ht="13.9" customHeight="1">
      <c r="A888" s="2117" t="n">
        <v>0</v>
      </c>
      <c r="B888" s="2117" t="n">
        <v>7</v>
      </c>
      <c r="C888" s="2117" t="n">
        <v>9</v>
      </c>
      <c r="D888" s="2118" t="n">
        <v>3</v>
      </c>
      <c r="E888" s="2118" t="n">
        <v>0</v>
      </c>
      <c r="G888" s="1764" t="n"/>
      <c r="H888" s="1741" t="inlineStr">
        <is>
          <t>SUBETAPA</t>
        </is>
      </c>
      <c r="I888" s="1742" t="inlineStr">
        <is>
          <t>07.009.003</t>
        </is>
      </c>
      <c r="J888" s="1743" t="inlineStr">
        <is>
          <t>Hidrômetros</t>
        </is>
      </c>
      <c r="K888" s="1744" t="n"/>
      <c r="L888" s="1745" t="n"/>
      <c r="M888" s="1745" t="n"/>
      <c r="N888" s="1746" t="n">
        <v>252</v>
      </c>
      <c r="O888" s="1747" t="n"/>
      <c r="P888" s="1720" t="n"/>
    </row>
    <row r="889" hidden="1" outlineLevel="3" ht="13.9" customHeight="1">
      <c r="A889" s="2117" t="n">
        <v>0</v>
      </c>
      <c r="B889" s="2117" t="n">
        <v>7</v>
      </c>
      <c r="C889" s="2117" t="n">
        <v>9</v>
      </c>
      <c r="D889" s="2118" t="n">
        <v>3</v>
      </c>
      <c r="E889" s="2118" t="n">
        <v>1</v>
      </c>
      <c r="G889" s="1748" t="inlineStr">
        <is>
          <t>SISTEMAS E INSTALAÇÕES HIDROSSANITÁRIAS E DRENAGEM</t>
        </is>
      </c>
      <c r="H889" s="1749" t="inlineStr">
        <is>
          <t>SERVIÇO</t>
        </is>
      </c>
      <c r="I889" s="1750" t="inlineStr">
        <is>
          <t>07.009.003.001</t>
        </is>
      </c>
      <c r="J889" s="1751" t="inlineStr">
        <is>
          <t>Hidrômetros</t>
        </is>
      </c>
      <c r="K889" s="1752" t="inlineStr">
        <is>
          <t>vb</t>
        </is>
      </c>
      <c r="L889" s="1753" t="n">
        <v>1</v>
      </c>
      <c r="M889" s="1753" t="n">
        <v>252</v>
      </c>
      <c r="N889" s="1754" t="n">
        <v>252</v>
      </c>
      <c r="O889" s="1755" t="inlineStr">
        <is>
          <t>Devido a ausencia de quantitativos, estimamos um Hidrometro multijato 3/4" vazao maxima 5 m³/h por apartamento + 1 por pavimento</t>
        </is>
      </c>
      <c r="P889" s="1721" t="inlineStr">
        <is>
          <t>Pendente</t>
        </is>
      </c>
    </row>
    <row r="890" hidden="1" outlineLevel="2" ht="13.9" customHeight="1">
      <c r="A890" s="2117" t="n">
        <v>0</v>
      </c>
      <c r="B890" s="2117" t="n">
        <v>7</v>
      </c>
      <c r="C890" s="2117" t="n">
        <v>9</v>
      </c>
      <c r="D890" s="2118" t="n">
        <v>4</v>
      </c>
      <c r="E890" s="2118" t="n">
        <v>0</v>
      </c>
      <c r="G890" s="1764" t="n"/>
      <c r="H890" s="1741" t="inlineStr">
        <is>
          <t>SUBETAPA</t>
        </is>
      </c>
      <c r="I890" s="1742" t="inlineStr">
        <is>
          <t>07.009.004</t>
        </is>
      </c>
      <c r="J890" s="1743" t="inlineStr">
        <is>
          <t xml:space="preserve">Mão de obra - instalações hidrossanitárias e drenagem </t>
        </is>
      </c>
      <c r="K890" s="1744" t="n"/>
      <c r="L890" s="1745" t="n"/>
      <c r="M890" s="1745" t="n"/>
      <c r="N890" s="1746" t="n">
        <v>20040.74</v>
      </c>
      <c r="O890" s="1747" t="n"/>
      <c r="P890" s="1720" t="n"/>
    </row>
    <row r="891" hidden="1" outlineLevel="3" ht="13.9" customHeight="1">
      <c r="A891" s="2117" t="n">
        <v>0</v>
      </c>
      <c r="B891" s="2117" t="n">
        <v>7</v>
      </c>
      <c r="C891" s="2117" t="n">
        <v>9</v>
      </c>
      <c r="D891" s="2118" t="n">
        <v>4</v>
      </c>
      <c r="E891" s="2118" t="n">
        <v>1</v>
      </c>
      <c r="G891" s="1748" t="inlineStr">
        <is>
          <t>SISTEMAS E INSTALAÇÕES HIDROSSANITÁRIAS E DRENAGEM</t>
        </is>
      </c>
      <c r="H891" s="1749" t="inlineStr">
        <is>
          <t>SERVIÇO</t>
        </is>
      </c>
      <c r="I891" s="1750" t="inlineStr">
        <is>
          <t>07.009.004.001</t>
        </is>
      </c>
      <c r="J891" s="1751" t="inlineStr">
        <is>
          <t>Mão de obra Instalação Hidráulica</t>
        </is>
      </c>
      <c r="K891" s="1752" t="inlineStr">
        <is>
          <t>vb</t>
        </is>
      </c>
      <c r="L891" s="1753" t="n">
        <v>1</v>
      </c>
      <c r="M891" s="1753" t="n">
        <v>20040.74</v>
      </c>
      <c r="N891" s="1754" t="n">
        <v>20040.74</v>
      </c>
      <c r="O891" s="1761" t="inlineStr">
        <is>
          <t>Repessado pela Gessele na reunião do dia 05/03/2026 - Provavelmente vamos trocar de fornecedor, considerar M.O. R$58,00 / m2</t>
        </is>
      </c>
      <c r="P891" s="1721" t="inlineStr">
        <is>
          <t>Pendente</t>
        </is>
      </c>
    </row>
    <row r="892" hidden="1" outlineLevel="1" ht="13.9" customHeight="1">
      <c r="A892" s="2117" t="n">
        <v>0</v>
      </c>
      <c r="B892" s="2117" t="n">
        <v>7</v>
      </c>
      <c r="C892" s="2117" t="n">
        <v>10</v>
      </c>
      <c r="D892" s="2118" t="n">
        <v>0</v>
      </c>
      <c r="E892" s="2118" t="n">
        <v>1</v>
      </c>
      <c r="G892" s="1733" t="n"/>
      <c r="H892" s="1734" t="inlineStr">
        <is>
          <t>ETAPA</t>
        </is>
      </c>
      <c r="I892" s="1735" t="inlineStr">
        <is>
          <t>07.010</t>
        </is>
      </c>
      <c r="J892" s="1736" t="inlineStr">
        <is>
          <t>SISTEMAS E INSTALAÇÕES HIDROSSANITÁRIAS E DRENAGEM - Tipo x8</t>
        </is>
      </c>
      <c r="K892" s="1737" t="n"/>
      <c r="L892" s="1738" t="n"/>
      <c r="M892" s="1738" t="n"/>
      <c r="N892" s="1739" t="n">
        <v>615624.037662778</v>
      </c>
      <c r="O892" s="1722" t="n"/>
      <c r="P892" s="1725" t="n"/>
    </row>
    <row r="893" hidden="1" outlineLevel="2" ht="13.9" customHeight="1">
      <c r="A893" s="2117" t="n">
        <v>0</v>
      </c>
      <c r="B893" s="2117" t="n">
        <v>7</v>
      </c>
      <c r="C893" s="2117" t="n">
        <v>10</v>
      </c>
      <c r="D893" s="2118" t="n">
        <v>1</v>
      </c>
      <c r="E893" s="2118" t="n">
        <v>0</v>
      </c>
      <c r="G893" s="1764" t="n"/>
      <c r="H893" s="1741" t="inlineStr">
        <is>
          <t>SUBETAPA</t>
        </is>
      </c>
      <c r="I893" s="1742" t="inlineStr">
        <is>
          <t>07.010.001</t>
        </is>
      </c>
      <c r="J893" s="1743" t="inlineStr">
        <is>
          <t>Instalações de água fria</t>
        </is>
      </c>
      <c r="K893" s="1744" t="n"/>
      <c r="L893" s="1745" t="n"/>
      <c r="M893" s="1745" t="n"/>
      <c r="N893" s="1746" t="n">
        <v>201471.088023801</v>
      </c>
      <c r="O893" s="1747" t="n"/>
      <c r="P893" s="1720" t="n"/>
    </row>
    <row r="894" hidden="1" outlineLevel="3" ht="13.9" customHeight="1">
      <c r="A894" s="2117" t="n">
        <v>0</v>
      </c>
      <c r="B894" s="2117" t="n">
        <v>7</v>
      </c>
      <c r="C894" s="2117" t="n">
        <v>10</v>
      </c>
      <c r="D894" s="2118" t="n">
        <v>1</v>
      </c>
      <c r="E894" s="2118" t="n">
        <v>1</v>
      </c>
      <c r="G894" s="1748" t="inlineStr">
        <is>
          <t>SISTEMAS E INSTALAÇÕES HIDROSSANITÁRIAS E DRENAGEM</t>
        </is>
      </c>
      <c r="H894" s="1749" t="inlineStr">
        <is>
          <t>SERVIÇO</t>
        </is>
      </c>
      <c r="I894" s="1750" t="inlineStr">
        <is>
          <t>07.010.001.001</t>
        </is>
      </c>
      <c r="J894" s="1751" t="inlineStr">
        <is>
          <t>Instalações de água fria e quente</t>
        </is>
      </c>
      <c r="K894" s="1752" t="inlineStr">
        <is>
          <t>vb</t>
        </is>
      </c>
      <c r="L894" s="1753" t="n">
        <v>1</v>
      </c>
      <c r="M894" s="1753" t="n">
        <v>201471.0880238007</v>
      </c>
      <c r="N894" s="1754" t="n">
        <v>201471.088023801</v>
      </c>
      <c r="O894" s="1755" t="inlineStr">
        <is>
          <t>quantidades conforme quantidades do projetista</t>
        </is>
      </c>
      <c r="P894" s="1721" t="inlineStr">
        <is>
          <t>Pendente</t>
        </is>
      </c>
    </row>
    <row r="895" hidden="1" outlineLevel="2" ht="13.9" customHeight="1">
      <c r="A895" s="2117" t="n">
        <v>0</v>
      </c>
      <c r="B895" s="2117" t="n">
        <v>7</v>
      </c>
      <c r="C895" s="2117" t="n">
        <v>10</v>
      </c>
      <c r="D895" s="2118" t="n">
        <v>2</v>
      </c>
      <c r="E895" s="2118" t="n">
        <v>0</v>
      </c>
      <c r="G895" s="1764" t="n"/>
      <c r="H895" s="1741" t="inlineStr">
        <is>
          <t>SUBETAPA</t>
        </is>
      </c>
      <c r="I895" s="1742" t="inlineStr">
        <is>
          <t>07.010.002</t>
        </is>
      </c>
      <c r="J895" s="1743" t="inlineStr">
        <is>
          <t>Instalações de esgoto e pluviais</t>
        </is>
      </c>
      <c r="K895" s="1744" t="n"/>
      <c r="L895" s="1745" t="n"/>
      <c r="M895" s="1745" t="n"/>
      <c r="N895" s="1746" t="n">
        <v>270753.849638978</v>
      </c>
      <c r="O895" s="1747" t="n"/>
      <c r="P895" s="1720" t="n"/>
    </row>
    <row r="896" hidden="1" outlineLevel="3" ht="13.9" customHeight="1">
      <c r="A896" s="2117" t="n">
        <v>0</v>
      </c>
      <c r="B896" s="2117" t="n">
        <v>7</v>
      </c>
      <c r="C896" s="2117" t="n">
        <v>10</v>
      </c>
      <c r="D896" s="2118" t="n">
        <v>2</v>
      </c>
      <c r="E896" s="2118" t="n">
        <v>1</v>
      </c>
      <c r="G896" s="1748" t="inlineStr">
        <is>
          <t>SISTEMAS E INSTALAÇÕES HIDROSSANITÁRIAS E DRENAGEM</t>
        </is>
      </c>
      <c r="H896" s="1749" t="inlineStr">
        <is>
          <t>SERVIÇO</t>
        </is>
      </c>
      <c r="I896" s="1750" t="inlineStr">
        <is>
          <t>07.010.002.001</t>
        </is>
      </c>
      <c r="J896" s="1751" t="inlineStr">
        <is>
          <t>Instalações de esgoto e pluviais</t>
        </is>
      </c>
      <c r="K896" s="1752" t="inlineStr">
        <is>
          <t>vb</t>
        </is>
      </c>
      <c r="L896" s="1753" t="n">
        <v>1</v>
      </c>
      <c r="M896" s="1753" t="n">
        <v>270753.8496389777</v>
      </c>
      <c r="N896" s="1754" t="n">
        <v>270753.849638978</v>
      </c>
      <c r="O896" s="1755" t="inlineStr">
        <is>
          <t>quantidades conforme quantidades do projetista</t>
        </is>
      </c>
      <c r="P896" s="1721" t="inlineStr">
        <is>
          <t>Pendente</t>
        </is>
      </c>
    </row>
    <row r="897" hidden="1" outlineLevel="2" ht="13.9" customHeight="1">
      <c r="A897" s="2117" t="n">
        <v>0</v>
      </c>
      <c r="B897" s="2117" t="n">
        <v>7</v>
      </c>
      <c r="C897" s="2117" t="n">
        <v>10</v>
      </c>
      <c r="D897" s="2118" t="n">
        <v>3</v>
      </c>
      <c r="E897" s="2118" t="n">
        <v>0</v>
      </c>
      <c r="G897" s="1764" t="n"/>
      <c r="H897" s="1741" t="inlineStr">
        <is>
          <t>SUBETAPA</t>
        </is>
      </c>
      <c r="I897" s="1742" t="inlineStr">
        <is>
          <t>07.010.003</t>
        </is>
      </c>
      <c r="J897" s="1743" t="inlineStr">
        <is>
          <t>Hidrômetros</t>
        </is>
      </c>
      <c r="K897" s="1744" t="n"/>
      <c r="L897" s="1745" t="n"/>
      <c r="M897" s="1745" t="n"/>
      <c r="N897" s="1746" t="n">
        <v>2016</v>
      </c>
      <c r="O897" s="1747" t="n"/>
      <c r="P897" s="1720" t="n"/>
    </row>
    <row r="898" hidden="1" outlineLevel="3" ht="13.9" customHeight="1">
      <c r="A898" s="2117" t="n">
        <v>0</v>
      </c>
      <c r="B898" s="2117" t="n">
        <v>7</v>
      </c>
      <c r="C898" s="2117" t="n">
        <v>10</v>
      </c>
      <c r="D898" s="2118" t="n">
        <v>3</v>
      </c>
      <c r="E898" s="2118" t="n">
        <v>1</v>
      </c>
      <c r="G898" s="1748" t="inlineStr">
        <is>
          <t>SISTEMAS E INSTALAÇÕES HIDROSSANITÁRIAS E DRENAGEM</t>
        </is>
      </c>
      <c r="H898" s="1749" t="inlineStr">
        <is>
          <t>SERVIÇO</t>
        </is>
      </c>
      <c r="I898" s="1750" t="inlineStr">
        <is>
          <t>07.010.003.001</t>
        </is>
      </c>
      <c r="J898" s="1751" t="inlineStr">
        <is>
          <t>Hidrômetros</t>
        </is>
      </c>
      <c r="K898" s="1752" t="inlineStr">
        <is>
          <t>vb</t>
        </is>
      </c>
      <c r="L898" s="1753" t="n">
        <v>1</v>
      </c>
      <c r="M898" s="1753" t="n">
        <v>2016</v>
      </c>
      <c r="N898" s="1754" t="n">
        <v>2016</v>
      </c>
      <c r="O898" s="1755" t="inlineStr">
        <is>
          <t>Devido a ausencia de quantitativos, estimamos um Hidrometro multijato 3/4" vazao maxima 5 m³/h por apartamento + 1 por pavimento</t>
        </is>
      </c>
      <c r="P898" s="1721" t="inlineStr">
        <is>
          <t>Pendente</t>
        </is>
      </c>
    </row>
    <row r="899" hidden="1" outlineLevel="2" ht="13.9" customHeight="1">
      <c r="A899" s="2117" t="n">
        <v>0</v>
      </c>
      <c r="B899" s="2117" t="n">
        <v>7</v>
      </c>
      <c r="C899" s="2117" t="n">
        <v>10</v>
      </c>
      <c r="D899" s="2118" t="n">
        <v>4</v>
      </c>
      <c r="E899" s="2118" t="n">
        <v>0</v>
      </c>
      <c r="G899" s="1764" t="n"/>
      <c r="H899" s="1741" t="inlineStr">
        <is>
          <t>SUBETAPA</t>
        </is>
      </c>
      <c r="I899" s="1742" t="inlineStr">
        <is>
          <t>07.010.004</t>
        </is>
      </c>
      <c r="J899" s="1743" t="inlineStr">
        <is>
          <t>Sistema de bombas</t>
        </is>
      </c>
      <c r="K899" s="1744" t="n"/>
      <c r="L899" s="1745" t="n"/>
      <c r="M899" s="1745" t="n"/>
      <c r="N899" s="1746" t="n">
        <v>600.86</v>
      </c>
      <c r="O899" s="1747" t="n"/>
      <c r="P899" s="1720" t="n"/>
    </row>
    <row r="900" hidden="1" outlineLevel="3" ht="13.9" customHeight="1">
      <c r="A900" s="2117" t="n">
        <v>0</v>
      </c>
      <c r="B900" s="2117" t="n">
        <v>7</v>
      </c>
      <c r="C900" s="2117" t="n">
        <v>10</v>
      </c>
      <c r="D900" s="2118" t="n">
        <v>4</v>
      </c>
      <c r="E900" s="2118" t="n">
        <v>1</v>
      </c>
      <c r="G900" s="1748" t="inlineStr">
        <is>
          <t>SISTEMAS E INSTALAÇÕES HIDROSSANITÁRIAS E DRENAGEM</t>
        </is>
      </c>
      <c r="H900" s="1749" t="inlineStr">
        <is>
          <t>SERVIÇO</t>
        </is>
      </c>
      <c r="I900" s="1750" t="inlineStr">
        <is>
          <t>07.010.004.001</t>
        </is>
      </c>
      <c r="J900" s="1751" t="inlineStr">
        <is>
          <t>Sistema de bombas</t>
        </is>
      </c>
      <c r="K900" s="1752" t="inlineStr">
        <is>
          <t>vb</t>
        </is>
      </c>
      <c r="L900" s="1753" t="n">
        <v>1</v>
      </c>
      <c r="M900" s="1753" t="n">
        <v>600.86</v>
      </c>
      <c r="N900" s="1754" t="n">
        <v>600.86</v>
      </c>
      <c r="O900" s="1755" t="inlineStr">
        <is>
          <t>quantidades conforme quantidades do projetista + complemento cartesian</t>
        </is>
      </c>
      <c r="P900" s="1721" t="inlineStr">
        <is>
          <t>Pendente</t>
        </is>
      </c>
    </row>
    <row r="901" hidden="1" outlineLevel="2" ht="13.9" customHeight="1">
      <c r="A901" s="2117" t="n">
        <v>0</v>
      </c>
      <c r="B901" s="2117" t="n">
        <v>7</v>
      </c>
      <c r="C901" s="2117" t="n">
        <v>10</v>
      </c>
      <c r="D901" s="2118" t="n">
        <v>5</v>
      </c>
      <c r="E901" s="2118" t="n">
        <v>0</v>
      </c>
      <c r="G901" s="1764" t="n"/>
      <c r="H901" s="1741" t="inlineStr">
        <is>
          <t>SUBETAPA</t>
        </is>
      </c>
      <c r="I901" s="1742" t="inlineStr">
        <is>
          <t>07.010.005</t>
        </is>
      </c>
      <c r="J901" s="1743" t="inlineStr">
        <is>
          <t xml:space="preserve">Mão de obra - instalações hidrossanitárias e drenagem </t>
        </is>
      </c>
      <c r="K901" s="1744" t="n"/>
      <c r="L901" s="1745" t="n"/>
      <c r="M901" s="1745" t="n"/>
      <c r="N901" s="1746" t="n">
        <v>140782.24</v>
      </c>
      <c r="O901" s="1747" t="n"/>
      <c r="P901" s="1720" t="n"/>
    </row>
    <row r="902" hidden="1" outlineLevel="3" ht="13.9" customHeight="1">
      <c r="A902" s="2117" t="n">
        <v>0</v>
      </c>
      <c r="B902" s="2117" t="n">
        <v>7</v>
      </c>
      <c r="C902" s="2117" t="n">
        <v>10</v>
      </c>
      <c r="D902" s="2118" t="n">
        <v>5</v>
      </c>
      <c r="E902" s="2118" t="n">
        <v>1</v>
      </c>
      <c r="G902" s="1748" t="inlineStr">
        <is>
          <t>SISTEMAS E INSTALAÇÕES HIDROSSANITÁRIAS E DRENAGEM</t>
        </is>
      </c>
      <c r="H902" s="1749" t="inlineStr">
        <is>
          <t>SERVIÇO</t>
        </is>
      </c>
      <c r="I902" s="1750" t="inlineStr">
        <is>
          <t>07.010.005.001</t>
        </is>
      </c>
      <c r="J902" s="1751" t="inlineStr">
        <is>
          <t>Mão de obra Instalação Hidráulica</t>
        </is>
      </c>
      <c r="K902" s="1752" t="inlineStr">
        <is>
          <t>vb</t>
        </is>
      </c>
      <c r="L902" s="1753" t="n">
        <v>1</v>
      </c>
      <c r="M902" s="1753" t="n">
        <v>140782.24</v>
      </c>
      <c r="N902" s="1754" t="n">
        <v>140782.24</v>
      </c>
      <c r="O902" s="1761" t="inlineStr">
        <is>
          <t>Repessado pela Gessele na reunião do dia 05/03/2026 - Provavelmente vamos trocar de fornecedor, considerar M.O. R$58,00 / m2</t>
        </is>
      </c>
      <c r="P902" s="1721" t="inlineStr">
        <is>
          <t>Pendente</t>
        </is>
      </c>
    </row>
    <row r="903" hidden="1" outlineLevel="1" ht="13.9" customHeight="1">
      <c r="A903" s="2117" t="n">
        <v>0</v>
      </c>
      <c r="B903" s="2117" t="n">
        <v>7</v>
      </c>
      <c r="C903" s="2117" t="n">
        <v>11</v>
      </c>
      <c r="D903" s="2118" t="n">
        <v>0</v>
      </c>
      <c r="E903" s="2118" t="n">
        <v>1</v>
      </c>
      <c r="G903" s="1733" t="n"/>
      <c r="H903" s="1734" t="inlineStr">
        <is>
          <t>ETAPA</t>
        </is>
      </c>
      <c r="I903" s="1735" t="inlineStr">
        <is>
          <t>07.011</t>
        </is>
      </c>
      <c r="J903" s="1736" t="inlineStr">
        <is>
          <t>SISTEMAS E INSTALAÇÕES HIDROSSANITÁRIAS E DRENAGEM - Penthouse x22</t>
        </is>
      </c>
      <c r="K903" s="1737" t="n"/>
      <c r="L903" s="1738" t="n"/>
      <c r="M903" s="1738" t="n"/>
      <c r="N903" s="1739" t="n">
        <v>578435.105667852</v>
      </c>
      <c r="O903" s="1722" t="n"/>
      <c r="P903" s="1725" t="n"/>
    </row>
    <row r="904" hidden="1" outlineLevel="2" ht="13.9" customHeight="1">
      <c r="A904" s="2117" t="n">
        <v>0</v>
      </c>
      <c r="B904" s="2117" t="n">
        <v>7</v>
      </c>
      <c r="C904" s="2117" t="n">
        <v>11</v>
      </c>
      <c r="D904" s="2118" t="n">
        <v>1</v>
      </c>
      <c r="E904" s="2118" t="n">
        <v>0</v>
      </c>
      <c r="G904" s="1764" t="n"/>
      <c r="H904" s="1741" t="inlineStr">
        <is>
          <t>SUBETAPA</t>
        </is>
      </c>
      <c r="I904" s="1742" t="inlineStr">
        <is>
          <t>07.011.001</t>
        </is>
      </c>
      <c r="J904" s="1743" t="inlineStr">
        <is>
          <t>Instalações de água fria</t>
        </is>
      </c>
      <c r="K904" s="1744" t="n"/>
      <c r="L904" s="1745" t="n"/>
      <c r="M904" s="1745" t="n"/>
      <c r="N904" s="1746" t="n">
        <v>116667.340702675</v>
      </c>
      <c r="O904" s="1747" t="n"/>
      <c r="P904" s="1720" t="n"/>
    </row>
    <row r="905" hidden="1" outlineLevel="3" ht="13.9" customHeight="1">
      <c r="A905" s="2117" t="n">
        <v>0</v>
      </c>
      <c r="B905" s="2117" t="n">
        <v>7</v>
      </c>
      <c r="C905" s="2117" t="n">
        <v>11</v>
      </c>
      <c r="D905" s="2118" t="n">
        <v>1</v>
      </c>
      <c r="E905" s="2118" t="n">
        <v>1</v>
      </c>
      <c r="G905" s="1748" t="inlineStr">
        <is>
          <t>SISTEMAS E INSTALAÇÕES HIDROSSANITÁRIAS E DRENAGEM</t>
        </is>
      </c>
      <c r="H905" s="1749" t="inlineStr">
        <is>
          <t>SERVIÇO</t>
        </is>
      </c>
      <c r="I905" s="1750" t="inlineStr">
        <is>
          <t>07.011.001.001</t>
        </is>
      </c>
      <c r="J905" s="1751" t="inlineStr">
        <is>
          <t>Instalações de água fria e quente</t>
        </is>
      </c>
      <c r="K905" s="1752" t="inlineStr">
        <is>
          <t>vb</t>
        </is>
      </c>
      <c r="L905" s="1753" t="n">
        <v>1</v>
      </c>
      <c r="M905" s="1753" t="n">
        <v>116667.3407026754</v>
      </c>
      <c r="N905" s="1754" t="n">
        <v>116667.340702675</v>
      </c>
      <c r="O905" s="1755" t="inlineStr">
        <is>
          <t>quantidades conforme quantidades do projetista</t>
        </is>
      </c>
      <c r="P905" s="1721" t="inlineStr">
        <is>
          <t>Pendente</t>
        </is>
      </c>
    </row>
    <row r="906" hidden="1" outlineLevel="2" ht="13.9" customHeight="1">
      <c r="A906" s="2117" t="n">
        <v>0</v>
      </c>
      <c r="B906" s="2117" t="n">
        <v>7</v>
      </c>
      <c r="C906" s="2117" t="n">
        <v>11</v>
      </c>
      <c r="D906" s="2118" t="n">
        <v>2</v>
      </c>
      <c r="E906" s="2118" t="n">
        <v>0</v>
      </c>
      <c r="G906" s="1764" t="n"/>
      <c r="H906" s="1741" t="inlineStr">
        <is>
          <t>SUBETAPA</t>
        </is>
      </c>
      <c r="I906" s="1742" t="inlineStr">
        <is>
          <t>07.011.002</t>
        </is>
      </c>
      <c r="J906" s="1743" t="inlineStr">
        <is>
          <t>Instalações de esgoto e pluviais</t>
        </is>
      </c>
      <c r="K906" s="1744" t="n"/>
      <c r="L906" s="1745" t="n"/>
      <c r="M906" s="1745" t="n"/>
      <c r="N906" s="1746" t="n">
        <v>67666.72496517681</v>
      </c>
      <c r="O906" s="1747" t="n"/>
      <c r="P906" s="1720" t="n"/>
    </row>
    <row r="907" hidden="1" outlineLevel="3" ht="13.9" customHeight="1">
      <c r="A907" s="2117" t="n">
        <v>0</v>
      </c>
      <c r="B907" s="2117" t="n">
        <v>7</v>
      </c>
      <c r="C907" s="2117" t="n">
        <v>11</v>
      </c>
      <c r="D907" s="2118" t="n">
        <v>2</v>
      </c>
      <c r="E907" s="2118" t="n">
        <v>1</v>
      </c>
      <c r="G907" s="1748" t="inlineStr">
        <is>
          <t>SISTEMAS E INSTALAÇÕES HIDROSSANITÁRIAS E DRENAGEM</t>
        </is>
      </c>
      <c r="H907" s="1749" t="inlineStr">
        <is>
          <t>SERVIÇO</t>
        </is>
      </c>
      <c r="I907" s="1750" t="inlineStr">
        <is>
          <t>07.011.002.001</t>
        </is>
      </c>
      <c r="J907" s="1751" t="inlineStr">
        <is>
          <t>Instalações de esgoto e pluviais</t>
        </is>
      </c>
      <c r="K907" s="1752" t="inlineStr">
        <is>
          <t>vb</t>
        </is>
      </c>
      <c r="L907" s="1753" t="n">
        <v>1</v>
      </c>
      <c r="M907" s="1753" t="n">
        <v>67666.72496517684</v>
      </c>
      <c r="N907" s="1754" t="n">
        <v>67666.72496517681</v>
      </c>
      <c r="O907" s="1755" t="inlineStr">
        <is>
          <t>quantidades conforme quantidades do projetista</t>
        </is>
      </c>
      <c r="P907" s="1721" t="inlineStr">
        <is>
          <t>Pendente</t>
        </is>
      </c>
    </row>
    <row r="908" hidden="1" outlineLevel="2" ht="13.9" customHeight="1">
      <c r="A908" s="2117" t="n">
        <v>0</v>
      </c>
      <c r="B908" s="2117" t="n">
        <v>7</v>
      </c>
      <c r="C908" s="2117" t="n">
        <v>11</v>
      </c>
      <c r="D908" s="2118" t="n">
        <v>3</v>
      </c>
      <c r="E908" s="2118" t="n">
        <v>0</v>
      </c>
      <c r="G908" s="1764" t="n"/>
      <c r="H908" s="1741" t="inlineStr">
        <is>
          <t>SUBETAPA</t>
        </is>
      </c>
      <c r="I908" s="1742" t="inlineStr">
        <is>
          <t>07.011.003</t>
        </is>
      </c>
      <c r="J908" s="1743" t="inlineStr">
        <is>
          <t>Hidrômetros</t>
        </is>
      </c>
      <c r="K908" s="1744" t="n"/>
      <c r="L908" s="1745" t="n"/>
      <c r="M908" s="1745" t="n"/>
      <c r="N908" s="1746" t="n">
        <v>5544</v>
      </c>
      <c r="O908" s="1747" t="n"/>
      <c r="P908" s="1720" t="n"/>
    </row>
    <row r="909" hidden="1" outlineLevel="3" ht="13.9" customHeight="1">
      <c r="A909" s="2117" t="n">
        <v>0</v>
      </c>
      <c r="B909" s="2117" t="n">
        <v>7</v>
      </c>
      <c r="C909" s="2117" t="n">
        <v>11</v>
      </c>
      <c r="D909" s="2118" t="n">
        <v>3</v>
      </c>
      <c r="E909" s="2118" t="n">
        <v>1</v>
      </c>
      <c r="G909" s="1748" t="inlineStr">
        <is>
          <t>SISTEMAS E INSTALAÇÕES HIDROSSANITÁRIAS E DRENAGEM</t>
        </is>
      </c>
      <c r="H909" s="1749" t="inlineStr">
        <is>
          <t>SERVIÇO</t>
        </is>
      </c>
      <c r="I909" s="1750" t="inlineStr">
        <is>
          <t>07.011.003.001</t>
        </is>
      </c>
      <c r="J909" s="1751" t="inlineStr">
        <is>
          <t>Hidrômetros</t>
        </is>
      </c>
      <c r="K909" s="1752" t="inlineStr">
        <is>
          <t>vb</t>
        </is>
      </c>
      <c r="L909" s="1753" t="n">
        <v>1</v>
      </c>
      <c r="M909" s="1753" t="n">
        <v>5544</v>
      </c>
      <c r="N909" s="1754" t="n">
        <v>5544</v>
      </c>
      <c r="O909" s="1755" t="inlineStr">
        <is>
          <t>Devido a ausencia de quantitativos, estimamos um Hidrometro multijato 3/4" vazao maxima 5 m³/h por apartamento + 1 por pavimento</t>
        </is>
      </c>
      <c r="P909" s="1721" t="inlineStr">
        <is>
          <t>Pendente</t>
        </is>
      </c>
    </row>
    <row r="910" hidden="1" outlineLevel="2" ht="13.9" customHeight="1">
      <c r="A910" s="2117" t="n">
        <v>0</v>
      </c>
      <c r="B910" s="2117" t="n">
        <v>7</v>
      </c>
      <c r="C910" s="2117" t="n">
        <v>11</v>
      </c>
      <c r="D910" s="2118" t="n">
        <v>4</v>
      </c>
      <c r="E910" s="2118" t="n">
        <v>0</v>
      </c>
      <c r="G910" s="1764" t="n"/>
      <c r="H910" s="1741" t="inlineStr">
        <is>
          <t>SUBETAPA</t>
        </is>
      </c>
      <c r="I910" s="1742" t="inlineStr">
        <is>
          <t>07.011.004</t>
        </is>
      </c>
      <c r="J910" s="1743" t="inlineStr">
        <is>
          <t>Sistema de bombas</t>
        </is>
      </c>
      <c r="K910" s="1744" t="n"/>
      <c r="L910" s="1745" t="n"/>
      <c r="M910" s="1745" t="n"/>
      <c r="N910" s="1746" t="n">
        <v>1201.72</v>
      </c>
      <c r="O910" s="1747" t="n"/>
      <c r="P910" s="1720" t="n"/>
    </row>
    <row r="911" hidden="1" outlineLevel="3" ht="13.9" customHeight="1">
      <c r="A911" s="2117" t="n">
        <v>0</v>
      </c>
      <c r="B911" s="2117" t="n">
        <v>7</v>
      </c>
      <c r="C911" s="2117" t="n">
        <v>11</v>
      </c>
      <c r="D911" s="2118" t="n">
        <v>4</v>
      </c>
      <c r="E911" s="2118" t="n">
        <v>1</v>
      </c>
      <c r="G911" s="1748" t="inlineStr">
        <is>
          <t>SISTEMAS E INSTALAÇÕES HIDROSSANITÁRIAS E DRENAGEM</t>
        </is>
      </c>
      <c r="H911" s="1749" t="inlineStr">
        <is>
          <t>SERVIÇO</t>
        </is>
      </c>
      <c r="I911" s="1750" t="inlineStr">
        <is>
          <t>07.011.004.001</t>
        </is>
      </c>
      <c r="J911" s="1751" t="inlineStr">
        <is>
          <t>Sistema de bombas</t>
        </is>
      </c>
      <c r="K911" s="1752" t="inlineStr">
        <is>
          <t>vb</t>
        </is>
      </c>
      <c r="L911" s="1753" t="n">
        <v>1</v>
      </c>
      <c r="M911" s="1753" t="n">
        <v>1201.72</v>
      </c>
      <c r="N911" s="1754" t="n">
        <v>1201.72</v>
      </c>
      <c r="O911" s="1755" t="inlineStr">
        <is>
          <t>quantidades conforme quantidades do projetista + complemento cartesian</t>
        </is>
      </c>
      <c r="P911" s="1721" t="inlineStr">
        <is>
          <t>Pendente</t>
        </is>
      </c>
    </row>
    <row r="912" hidden="1" outlineLevel="2" ht="13.9" customHeight="1">
      <c r="A912" s="2117" t="n">
        <v>0</v>
      </c>
      <c r="B912" s="2117" t="n">
        <v>7</v>
      </c>
      <c r="C912" s="2117" t="n">
        <v>11</v>
      </c>
      <c r="D912" s="2118" t="n">
        <v>5</v>
      </c>
      <c r="E912" s="2118" t="n">
        <v>0</v>
      </c>
      <c r="G912" s="1764" t="n"/>
      <c r="H912" s="1741" t="inlineStr">
        <is>
          <t>SUBETAPA</t>
        </is>
      </c>
      <c r="I912" s="1742" t="inlineStr">
        <is>
          <t>07.011.005</t>
        </is>
      </c>
      <c r="J912" s="1743" t="inlineStr">
        <is>
          <t xml:space="preserve">Mão de obra - instalações hidrossanitárias e drenagem </t>
        </is>
      </c>
      <c r="K912" s="1744" t="n"/>
      <c r="L912" s="1745" t="n"/>
      <c r="M912" s="1745" t="n"/>
      <c r="N912" s="1746" t="n">
        <v>387355.32</v>
      </c>
      <c r="O912" s="1747" t="n"/>
      <c r="P912" s="1720" t="n"/>
    </row>
    <row r="913" hidden="1" outlineLevel="3" ht="13.9" customHeight="1">
      <c r="A913" s="2117" t="n">
        <v>0</v>
      </c>
      <c r="B913" s="2117" t="n">
        <v>7</v>
      </c>
      <c r="C913" s="2117" t="n">
        <v>11</v>
      </c>
      <c r="D913" s="2118" t="n">
        <v>5</v>
      </c>
      <c r="E913" s="2118" t="n">
        <v>1</v>
      </c>
      <c r="G913" s="1748" t="inlineStr">
        <is>
          <t>SISTEMAS E INSTALAÇÕES HIDROSSANITÁRIAS E DRENAGEM</t>
        </is>
      </c>
      <c r="H913" s="1749" t="inlineStr">
        <is>
          <t>SERVIÇO</t>
        </is>
      </c>
      <c r="I913" s="1750" t="inlineStr">
        <is>
          <t>07.011.005.001</t>
        </is>
      </c>
      <c r="J913" s="1751" t="inlineStr">
        <is>
          <t>Mão de obra Instalação Hidráulica</t>
        </is>
      </c>
      <c r="K913" s="1752" t="inlineStr">
        <is>
          <t>vb</t>
        </is>
      </c>
      <c r="L913" s="1753" t="n">
        <v>1</v>
      </c>
      <c r="M913" s="1753" t="n">
        <v>387355.32</v>
      </c>
      <c r="N913" s="1754" t="n">
        <v>387355.32</v>
      </c>
      <c r="O913" s="1761" t="inlineStr">
        <is>
          <t>Repessado pela Gessele na reunião do dia 05/03/2026 - Provavelmente vamos trocar de fornecedor, considerar M.O. R$58,00 / m2</t>
        </is>
      </c>
      <c r="P913" s="1721" t="inlineStr">
        <is>
          <t>Pendente</t>
        </is>
      </c>
    </row>
    <row r="914" hidden="1" outlineLevel="1" ht="13.9" customHeight="1">
      <c r="A914" s="2117" t="n">
        <v>0</v>
      </c>
      <c r="B914" s="2117" t="n">
        <v>7</v>
      </c>
      <c r="C914" s="2117" t="n">
        <v>12</v>
      </c>
      <c r="D914" s="2118" t="n">
        <v>0</v>
      </c>
      <c r="E914" s="2118" t="n">
        <v>1</v>
      </c>
      <c r="G914" s="1733" t="n"/>
      <c r="H914" s="1734" t="inlineStr">
        <is>
          <t>ETAPA</t>
        </is>
      </c>
      <c r="I914" s="1735" t="inlineStr">
        <is>
          <t>07.012</t>
        </is>
      </c>
      <c r="J914" s="1736" t="inlineStr">
        <is>
          <t>SISTEMAS E INSTALAÇÕES HIDROSSANITÁRIAS E DRENAGEM - Duplex Inferior</t>
        </is>
      </c>
      <c r="K914" s="1737" t="n"/>
      <c r="L914" s="1738" t="n"/>
      <c r="M914" s="1738" t="n"/>
      <c r="N914" s="1739" t="n">
        <v>108194.941435812</v>
      </c>
      <c r="O914" s="1722" t="n"/>
      <c r="P914" s="1725" t="n"/>
    </row>
    <row r="915" hidden="1" outlineLevel="2" ht="13.9" customHeight="1">
      <c r="A915" s="2117" t="n">
        <v>0</v>
      </c>
      <c r="B915" s="2117" t="n">
        <v>7</v>
      </c>
      <c r="C915" s="2117" t="n">
        <v>12</v>
      </c>
      <c r="D915" s="2118" t="n">
        <v>1</v>
      </c>
      <c r="E915" s="2118" t="n">
        <v>0</v>
      </c>
      <c r="G915" s="1764" t="n"/>
      <c r="H915" s="1741" t="inlineStr">
        <is>
          <t>SUBETAPA</t>
        </is>
      </c>
      <c r="I915" s="1742" t="inlineStr">
        <is>
          <t>07.012.001</t>
        </is>
      </c>
      <c r="J915" s="1743" t="inlineStr">
        <is>
          <t>Instalações de água fria</t>
        </is>
      </c>
      <c r="K915" s="1744" t="n"/>
      <c r="L915" s="1745" t="n"/>
      <c r="M915" s="1745" t="n"/>
      <c r="N915" s="1746" t="n">
        <v>60914.0220713853</v>
      </c>
      <c r="O915" s="1747" t="n"/>
      <c r="P915" s="1720" t="n"/>
    </row>
    <row r="916" hidden="1" outlineLevel="3" ht="13.9" customHeight="1">
      <c r="A916" s="2117" t="n">
        <v>0</v>
      </c>
      <c r="B916" s="2117" t="n">
        <v>7</v>
      </c>
      <c r="C916" s="2117" t="n">
        <v>12</v>
      </c>
      <c r="D916" s="2118" t="n">
        <v>1</v>
      </c>
      <c r="E916" s="2118" t="n">
        <v>1</v>
      </c>
      <c r="G916" s="1748" t="inlineStr">
        <is>
          <t>SISTEMAS E INSTALAÇÕES HIDROSSANITÁRIAS E DRENAGEM</t>
        </is>
      </c>
      <c r="H916" s="1749" t="inlineStr">
        <is>
          <t>SERVIÇO</t>
        </is>
      </c>
      <c r="I916" s="1750" t="inlineStr">
        <is>
          <t>07.012.001.001</t>
        </is>
      </c>
      <c r="J916" s="1751" t="inlineStr">
        <is>
          <t>Instalações de água fria e quente</t>
        </is>
      </c>
      <c r="K916" s="1752" t="inlineStr">
        <is>
          <t>vb</t>
        </is>
      </c>
      <c r="L916" s="1753" t="n">
        <v>1</v>
      </c>
      <c r="M916" s="1753" t="n">
        <v>60914.02207138531</v>
      </c>
      <c r="N916" s="1754" t="n">
        <v>60914.0220713853</v>
      </c>
      <c r="O916" s="1755" t="inlineStr">
        <is>
          <t>quantidades conforme quantidades do projetista</t>
        </is>
      </c>
      <c r="P916" s="1721" t="inlineStr">
        <is>
          <t>Pendente</t>
        </is>
      </c>
    </row>
    <row r="917" hidden="1" outlineLevel="2" ht="13.9" customHeight="1">
      <c r="A917" s="2117" t="n">
        <v>0</v>
      </c>
      <c r="B917" s="2117" t="n">
        <v>7</v>
      </c>
      <c r="C917" s="2117" t="n">
        <v>12</v>
      </c>
      <c r="D917" s="2118" t="n">
        <v>2</v>
      </c>
      <c r="E917" s="2118" t="n">
        <v>0</v>
      </c>
      <c r="G917" s="1764" t="n"/>
      <c r="H917" s="1741" t="inlineStr">
        <is>
          <t>SUBETAPA</t>
        </is>
      </c>
      <c r="I917" s="1742" t="inlineStr">
        <is>
          <t>07.012.002</t>
        </is>
      </c>
      <c r="J917" s="1743" t="inlineStr">
        <is>
          <t>Instalações de esgoto e pluviais</t>
        </is>
      </c>
      <c r="K917" s="1744" t="n"/>
      <c r="L917" s="1745" t="n"/>
      <c r="M917" s="1745" t="n"/>
      <c r="N917" s="1746" t="n">
        <v>30037.2393644266</v>
      </c>
      <c r="O917" s="1747" t="n"/>
      <c r="P917" s="1720" t="n"/>
    </row>
    <row r="918" hidden="1" outlineLevel="3" ht="13.9" customHeight="1">
      <c r="A918" s="2117" t="n">
        <v>0</v>
      </c>
      <c r="B918" s="2117" t="n">
        <v>7</v>
      </c>
      <c r="C918" s="2117" t="n">
        <v>12</v>
      </c>
      <c r="D918" s="2118" t="n">
        <v>2</v>
      </c>
      <c r="E918" s="2118" t="n">
        <v>1</v>
      </c>
      <c r="G918" s="1748" t="inlineStr">
        <is>
          <t>SISTEMAS E INSTALAÇÕES HIDROSSANITÁRIAS E DRENAGEM</t>
        </is>
      </c>
      <c r="H918" s="1749" t="inlineStr">
        <is>
          <t>SERVIÇO</t>
        </is>
      </c>
      <c r="I918" s="1750" t="inlineStr">
        <is>
          <t>07.012.002.001</t>
        </is>
      </c>
      <c r="J918" s="1751" t="inlineStr">
        <is>
          <t>Instalações de esgoto e pluviais</t>
        </is>
      </c>
      <c r="K918" s="1752" t="inlineStr">
        <is>
          <t>vb</t>
        </is>
      </c>
      <c r="L918" s="1753" t="n">
        <v>1</v>
      </c>
      <c r="M918" s="1753" t="n">
        <v>30037.23936442665</v>
      </c>
      <c r="N918" s="1754" t="n">
        <v>30037.2393644266</v>
      </c>
      <c r="O918" s="1755" t="inlineStr">
        <is>
          <t>quantidades conforme quantidades do projetista</t>
        </is>
      </c>
      <c r="P918" s="1721" t="inlineStr">
        <is>
          <t>Pendente</t>
        </is>
      </c>
    </row>
    <row r="919" hidden="1" outlineLevel="2" ht="13.9" customHeight="1">
      <c r="A919" s="2117" t="n">
        <v>0</v>
      </c>
      <c r="B919" s="2117" t="n">
        <v>7</v>
      </c>
      <c r="C919" s="2117" t="n">
        <v>12</v>
      </c>
      <c r="D919" s="2118" t="n">
        <v>3</v>
      </c>
      <c r="E919" s="2118" t="n">
        <v>0</v>
      </c>
      <c r="G919" s="1764" t="n"/>
      <c r="H919" s="1741" t="inlineStr">
        <is>
          <t>SUBETAPA</t>
        </is>
      </c>
      <c r="I919" s="1742" t="inlineStr">
        <is>
          <t>07.012.003</t>
        </is>
      </c>
      <c r="J919" s="1743" t="inlineStr">
        <is>
          <t>Hidrômetros</t>
        </is>
      </c>
      <c r="K919" s="1744" t="n"/>
      <c r="L919" s="1745" t="n"/>
      <c r="M919" s="1745" t="n"/>
      <c r="N919" s="1746" t="n">
        <v>252</v>
      </c>
      <c r="O919" s="1747" t="n"/>
      <c r="P919" s="1720" t="n"/>
    </row>
    <row r="920" hidden="1" outlineLevel="3" ht="13.9" customHeight="1">
      <c r="A920" s="2117" t="n">
        <v>0</v>
      </c>
      <c r="B920" s="2117" t="n">
        <v>7</v>
      </c>
      <c r="C920" s="2117" t="n">
        <v>12</v>
      </c>
      <c r="D920" s="2118" t="n">
        <v>3</v>
      </c>
      <c r="E920" s="2118" t="n">
        <v>1</v>
      </c>
      <c r="G920" s="1748" t="inlineStr">
        <is>
          <t>SISTEMAS E INSTALAÇÕES HIDROSSANITÁRIAS E DRENAGEM</t>
        </is>
      </c>
      <c r="H920" s="1749" t="inlineStr">
        <is>
          <t>SERVIÇO</t>
        </is>
      </c>
      <c r="I920" s="1750" t="inlineStr">
        <is>
          <t>07.012.003.001</t>
        </is>
      </c>
      <c r="J920" s="1751" t="inlineStr">
        <is>
          <t>Hidrômetros</t>
        </is>
      </c>
      <c r="K920" s="1752" t="inlineStr">
        <is>
          <t>vb</t>
        </is>
      </c>
      <c r="L920" s="1753" t="n">
        <v>1</v>
      </c>
      <c r="M920" s="1753" t="n">
        <v>252</v>
      </c>
      <c r="N920" s="1754" t="n">
        <v>252</v>
      </c>
      <c r="O920" s="1755" t="inlineStr">
        <is>
          <t>Devido a ausencia de quantitativos, estimamos um Hidrometro multijato 3/4" vazao maxima 5 m³/h por apartamento + 1 por pavimento</t>
        </is>
      </c>
      <c r="P920" s="1721" t="inlineStr">
        <is>
          <t>Pendente</t>
        </is>
      </c>
    </row>
    <row r="921" hidden="1" outlineLevel="2" ht="13.9" customHeight="1">
      <c r="A921" s="2117" t="n">
        <v>0</v>
      </c>
      <c r="B921" s="2117" t="n">
        <v>7</v>
      </c>
      <c r="C921" s="2117" t="n">
        <v>12</v>
      </c>
      <c r="D921" s="2118" t="n">
        <v>4</v>
      </c>
      <c r="E921" s="2118" t="n">
        <v>0</v>
      </c>
      <c r="G921" s="1764" t="n"/>
      <c r="H921" s="1741" t="inlineStr">
        <is>
          <t>SUBETAPA</t>
        </is>
      </c>
      <c r="I921" s="1742" t="inlineStr">
        <is>
          <t>07.012.004</t>
        </is>
      </c>
      <c r="J921" s="1743" t="inlineStr">
        <is>
          <t xml:space="preserve">Mão de obra - instalações hidrossanitárias e drenagem </t>
        </is>
      </c>
      <c r="K921" s="1744" t="n"/>
      <c r="L921" s="1745" t="n"/>
      <c r="M921" s="1745" t="n"/>
      <c r="N921" s="1746" t="n">
        <v>16991.68</v>
      </c>
      <c r="O921" s="1747" t="n"/>
      <c r="P921" s="1720" t="n"/>
    </row>
    <row r="922" hidden="1" outlineLevel="3" ht="13.9" customHeight="1">
      <c r="A922" s="2117" t="n">
        <v>0</v>
      </c>
      <c r="B922" s="2117" t="n">
        <v>7</v>
      </c>
      <c r="C922" s="2117" t="n">
        <v>12</v>
      </c>
      <c r="D922" s="2118" t="n">
        <v>4</v>
      </c>
      <c r="E922" s="2118" t="n">
        <v>1</v>
      </c>
      <c r="G922" s="1748" t="inlineStr">
        <is>
          <t>SISTEMAS E INSTALAÇÕES HIDROSSANITÁRIAS E DRENAGEM</t>
        </is>
      </c>
      <c r="H922" s="1749" t="inlineStr">
        <is>
          <t>SERVIÇO</t>
        </is>
      </c>
      <c r="I922" s="1750" t="inlineStr">
        <is>
          <t>07.012.004.001</t>
        </is>
      </c>
      <c r="J922" s="1751" t="inlineStr">
        <is>
          <t>Mão de obra Instalação Hidráulica</t>
        </is>
      </c>
      <c r="K922" s="1752" t="inlineStr">
        <is>
          <t>vb</t>
        </is>
      </c>
      <c r="L922" s="1753" t="n">
        <v>1</v>
      </c>
      <c r="M922" s="1753" t="n">
        <v>16991.68</v>
      </c>
      <c r="N922" s="1754" t="n">
        <v>16991.68</v>
      </c>
      <c r="O922" s="1761" t="inlineStr">
        <is>
          <t>Repessado pela Gessele na reunião do dia 05/03/2026 - Provavelmente vamos trocar de fornecedor, considerar M.O. R$58,00 / m2</t>
        </is>
      </c>
      <c r="P922" s="1721" t="inlineStr">
        <is>
          <t>Pendente</t>
        </is>
      </c>
    </row>
    <row r="923" hidden="1" outlineLevel="1" ht="13.9" customHeight="1">
      <c r="A923" s="2117" t="n">
        <v>0</v>
      </c>
      <c r="B923" s="2117" t="n">
        <v>7</v>
      </c>
      <c r="C923" s="2117" t="n">
        <v>13</v>
      </c>
      <c r="D923" s="2118" t="n">
        <v>0</v>
      </c>
      <c r="E923" s="2118" t="n">
        <v>1</v>
      </c>
      <c r="G923" s="1733" t="n"/>
      <c r="H923" s="1734" t="inlineStr">
        <is>
          <t>ETAPA</t>
        </is>
      </c>
      <c r="I923" s="1735" t="inlineStr">
        <is>
          <t>07.013</t>
        </is>
      </c>
      <c r="J923" s="1736" t="inlineStr">
        <is>
          <t>SISTEMAS E INSTALAÇÕES HIDROSSANITÁRIAS E DRENAGEM - Duplex Superior</t>
        </is>
      </c>
      <c r="K923" s="1737" t="n"/>
      <c r="L923" s="1738" t="n"/>
      <c r="M923" s="1738" t="n"/>
      <c r="N923" s="1739" t="n">
        <v>61518.1903044386</v>
      </c>
      <c r="O923" s="1722" t="n"/>
      <c r="P923" s="1725" t="n"/>
    </row>
    <row r="924" hidden="1" outlineLevel="2" ht="13.9" customHeight="1">
      <c r="A924" s="2117" t="n">
        <v>0</v>
      </c>
      <c r="B924" s="2117" t="n">
        <v>7</v>
      </c>
      <c r="C924" s="2117" t="n">
        <v>13</v>
      </c>
      <c r="D924" s="2118" t="n">
        <v>1</v>
      </c>
      <c r="E924" s="2118" t="n">
        <v>0</v>
      </c>
      <c r="G924" s="1764" t="n"/>
      <c r="H924" s="1741" t="inlineStr">
        <is>
          <t>SUBETAPA</t>
        </is>
      </c>
      <c r="I924" s="1742" t="inlineStr">
        <is>
          <t>07.013.001</t>
        </is>
      </c>
      <c r="J924" s="1743" t="inlineStr">
        <is>
          <t>Instalações de água fria</t>
        </is>
      </c>
      <c r="K924" s="1744" t="n"/>
      <c r="L924" s="1745" t="n"/>
      <c r="M924" s="1745" t="n"/>
      <c r="N924" s="1746" t="n">
        <v>25503.4952449443</v>
      </c>
      <c r="O924" s="1747" t="n"/>
      <c r="P924" s="1720" t="n"/>
    </row>
    <row r="925" hidden="1" outlineLevel="3" ht="13.9" customHeight="1">
      <c r="A925" s="2117" t="n">
        <v>0</v>
      </c>
      <c r="B925" s="2117" t="n">
        <v>7</v>
      </c>
      <c r="C925" s="2117" t="n">
        <v>13</v>
      </c>
      <c r="D925" s="2118" t="n">
        <v>1</v>
      </c>
      <c r="E925" s="2118" t="n">
        <v>1</v>
      </c>
      <c r="G925" s="1748" t="inlineStr">
        <is>
          <t>SISTEMAS E INSTALAÇÕES HIDROSSANITÁRIAS E DRENAGEM</t>
        </is>
      </c>
      <c r="H925" s="1749" t="inlineStr">
        <is>
          <t>SERVIÇO</t>
        </is>
      </c>
      <c r="I925" s="1750" t="inlineStr">
        <is>
          <t>07.013.001.001</t>
        </is>
      </c>
      <c r="J925" s="1751" t="inlineStr">
        <is>
          <t>Instalações de água fria e quente</t>
        </is>
      </c>
      <c r="K925" s="1752" t="inlineStr">
        <is>
          <t>vb</t>
        </is>
      </c>
      <c r="L925" s="1753" t="n">
        <v>1</v>
      </c>
      <c r="M925" s="1753" t="n">
        <v>25503.49524494425</v>
      </c>
      <c r="N925" s="1754" t="n">
        <v>25503.4952449443</v>
      </c>
      <c r="O925" s="1755" t="inlineStr">
        <is>
          <t>quantidades conforme quantidades do projetista</t>
        </is>
      </c>
      <c r="P925" s="1721" t="inlineStr">
        <is>
          <t>Pendente</t>
        </is>
      </c>
    </row>
    <row r="926" hidden="1" outlineLevel="2" ht="13.9" customHeight="1">
      <c r="A926" s="2117" t="n">
        <v>0</v>
      </c>
      <c r="B926" s="2117" t="n">
        <v>7</v>
      </c>
      <c r="C926" s="2117" t="n">
        <v>13</v>
      </c>
      <c r="D926" s="2118" t="n">
        <v>2</v>
      </c>
      <c r="E926" s="2118" t="n">
        <v>0</v>
      </c>
      <c r="G926" s="1764" t="n"/>
      <c r="H926" s="1741" t="inlineStr">
        <is>
          <t>SUBETAPA</t>
        </is>
      </c>
      <c r="I926" s="1742" t="inlineStr">
        <is>
          <t>07.013.002</t>
        </is>
      </c>
      <c r="J926" s="1743" t="inlineStr">
        <is>
          <t>Instalações de esgoto e pluviais</t>
        </is>
      </c>
      <c r="K926" s="1744" t="n"/>
      <c r="L926" s="1745" t="n"/>
      <c r="M926" s="1745" t="n"/>
      <c r="N926" s="1746" t="n">
        <v>19592.2950594943</v>
      </c>
      <c r="O926" s="1747" t="n"/>
      <c r="P926" s="1720" t="n"/>
    </row>
    <row r="927" hidden="1" outlineLevel="3" ht="13.9" customHeight="1">
      <c r="A927" s="2117" t="n">
        <v>0</v>
      </c>
      <c r="B927" s="2117" t="n">
        <v>7</v>
      </c>
      <c r="C927" s="2117" t="n">
        <v>13</v>
      </c>
      <c r="D927" s="2118" t="n">
        <v>2</v>
      </c>
      <c r="E927" s="2118" t="n">
        <v>1</v>
      </c>
      <c r="G927" s="1748" t="inlineStr">
        <is>
          <t>SISTEMAS E INSTALAÇÕES HIDROSSANITÁRIAS E DRENAGEM</t>
        </is>
      </c>
      <c r="H927" s="1749" t="inlineStr">
        <is>
          <t>SERVIÇO</t>
        </is>
      </c>
      <c r="I927" s="1750" t="inlineStr">
        <is>
          <t>07.013.002.001</t>
        </is>
      </c>
      <c r="J927" s="1751" t="inlineStr">
        <is>
          <t>Instalações de esgoto e pluviais</t>
        </is>
      </c>
      <c r="K927" s="1752" t="inlineStr">
        <is>
          <t>vb</t>
        </is>
      </c>
      <c r="L927" s="1753" t="n">
        <v>1</v>
      </c>
      <c r="M927" s="1753" t="n">
        <v>19592.29505949432</v>
      </c>
      <c r="N927" s="1754" t="n">
        <v>19592.2950594943</v>
      </c>
      <c r="O927" s="1755" t="inlineStr">
        <is>
          <t>quantidades conforme quantidades do projetista</t>
        </is>
      </c>
      <c r="P927" s="1721" t="inlineStr">
        <is>
          <t>Pendente</t>
        </is>
      </c>
    </row>
    <row r="928" hidden="1" outlineLevel="2" ht="13.9" customHeight="1">
      <c r="A928" s="2117" t="n">
        <v>0</v>
      </c>
      <c r="B928" s="2117" t="n">
        <v>7</v>
      </c>
      <c r="C928" s="2117" t="n">
        <v>13</v>
      </c>
      <c r="D928" s="2118" t="n">
        <v>3</v>
      </c>
      <c r="E928" s="2118" t="n">
        <v>0</v>
      </c>
      <c r="G928" s="1764" t="n"/>
      <c r="H928" s="1741" t="inlineStr">
        <is>
          <t>SUBETAPA</t>
        </is>
      </c>
      <c r="I928" s="1742" t="inlineStr">
        <is>
          <t>07.013.003</t>
        </is>
      </c>
      <c r="J928" s="1743" t="inlineStr">
        <is>
          <t>Hidrômetros</t>
        </is>
      </c>
      <c r="K928" s="1744" t="n"/>
      <c r="L928" s="1745" t="n"/>
      <c r="M928" s="1745" t="n"/>
      <c r="N928" s="1746" t="n">
        <v>252</v>
      </c>
      <c r="O928" s="1747" t="n"/>
      <c r="P928" s="1720" t="n"/>
    </row>
    <row r="929" hidden="1" outlineLevel="3" ht="13.9" customHeight="1">
      <c r="A929" s="2117" t="n">
        <v>0</v>
      </c>
      <c r="B929" s="2117" t="n">
        <v>7</v>
      </c>
      <c r="C929" s="2117" t="n">
        <v>13</v>
      </c>
      <c r="D929" s="2118" t="n">
        <v>3</v>
      </c>
      <c r="E929" s="2118" t="n">
        <v>1</v>
      </c>
      <c r="G929" s="1748" t="inlineStr">
        <is>
          <t>SISTEMAS E INSTALAÇÕES HIDROSSANITÁRIAS E DRENAGEM</t>
        </is>
      </c>
      <c r="H929" s="1749" t="inlineStr">
        <is>
          <t>SERVIÇO</t>
        </is>
      </c>
      <c r="I929" s="1750" t="inlineStr">
        <is>
          <t>07.013.003.001</t>
        </is>
      </c>
      <c r="J929" s="1751" t="inlineStr">
        <is>
          <t>Hidrômetros</t>
        </is>
      </c>
      <c r="K929" s="1752" t="inlineStr">
        <is>
          <t>vb</t>
        </is>
      </c>
      <c r="L929" s="1753" t="n">
        <v>1</v>
      </c>
      <c r="M929" s="1753" t="n">
        <v>252</v>
      </c>
      <c r="N929" s="1754" t="n">
        <v>252</v>
      </c>
      <c r="O929" s="1755" t="inlineStr">
        <is>
          <t>Devido a ausencia de quantitativos, estimamos um Hidrometro multijato 3/4" vazao maxima 5 m³/h por apartamento + 1 por pavimento</t>
        </is>
      </c>
      <c r="P929" s="1721" t="inlineStr">
        <is>
          <t>Pendente</t>
        </is>
      </c>
    </row>
    <row r="930" hidden="1" outlineLevel="2" ht="13.9" customHeight="1">
      <c r="A930" s="2117" t="n">
        <v>0</v>
      </c>
      <c r="B930" s="2117" t="n">
        <v>7</v>
      </c>
      <c r="C930" s="2117" t="n">
        <v>13</v>
      </c>
      <c r="D930" s="2118" t="n">
        <v>4</v>
      </c>
      <c r="E930" s="2118" t="n">
        <v>0</v>
      </c>
      <c r="G930" s="1764" t="n"/>
      <c r="H930" s="1741" t="inlineStr">
        <is>
          <t>SUBETAPA</t>
        </is>
      </c>
      <c r="I930" s="1742" t="inlineStr">
        <is>
          <t>07.013.004</t>
        </is>
      </c>
      <c r="J930" s="1743" t="inlineStr">
        <is>
          <t xml:space="preserve">Mão de obra - instalações hidrossanitárias e drenagem </t>
        </is>
      </c>
      <c r="K930" s="1744" t="n"/>
      <c r="L930" s="1745" t="n"/>
      <c r="M930" s="1745" t="n"/>
      <c r="N930" s="1746" t="n">
        <v>16170.4</v>
      </c>
      <c r="O930" s="1747" t="n"/>
      <c r="P930" s="1720" t="n"/>
    </row>
    <row r="931" hidden="1" outlineLevel="3" ht="13.9" customHeight="1">
      <c r="A931" s="2117" t="n">
        <v>0</v>
      </c>
      <c r="B931" s="2117" t="n">
        <v>7</v>
      </c>
      <c r="C931" s="2117" t="n">
        <v>13</v>
      </c>
      <c r="D931" s="2118" t="n">
        <v>4</v>
      </c>
      <c r="E931" s="2118" t="n">
        <v>1</v>
      </c>
      <c r="G931" s="1748" t="inlineStr">
        <is>
          <t>SISTEMAS E INSTALAÇÕES HIDROSSANITÁRIAS E DRENAGEM</t>
        </is>
      </c>
      <c r="H931" s="1749" t="inlineStr">
        <is>
          <t>SERVIÇO</t>
        </is>
      </c>
      <c r="I931" s="1750" t="inlineStr">
        <is>
          <t>07.013.004.001</t>
        </is>
      </c>
      <c r="J931" s="1751" t="inlineStr">
        <is>
          <t>Mão de obra Instalação Hidráulica</t>
        </is>
      </c>
      <c r="K931" s="1752" t="inlineStr">
        <is>
          <t>vb</t>
        </is>
      </c>
      <c r="L931" s="1753" t="n">
        <v>1</v>
      </c>
      <c r="M931" s="1753" t="n">
        <v>16170.4</v>
      </c>
      <c r="N931" s="1754" t="n">
        <v>16170.4</v>
      </c>
      <c r="O931" s="1761" t="inlineStr">
        <is>
          <t>Repessado pela Gessele na reunião do dia 05/03/2026 - Provavelmente vamos trocar de fornecedor, considerar M.O. R$58,00 / m2</t>
        </is>
      </c>
      <c r="P931" s="1721" t="inlineStr">
        <is>
          <t>Pendente</t>
        </is>
      </c>
    </row>
    <row r="932" hidden="1" outlineLevel="1" ht="13.9" customHeight="1">
      <c r="A932" s="2117" t="n">
        <v>0</v>
      </c>
      <c r="B932" s="2117" t="n">
        <v>7</v>
      </c>
      <c r="C932" s="2117" t="n">
        <v>14</v>
      </c>
      <c r="D932" s="2118" t="n">
        <v>0</v>
      </c>
      <c r="E932" s="2118" t="n">
        <v>1</v>
      </c>
      <c r="G932" s="1733" t="n"/>
      <c r="H932" s="1734" t="inlineStr">
        <is>
          <t>ETAPA</t>
        </is>
      </c>
      <c r="I932" s="1735" t="inlineStr">
        <is>
          <t>07.014</t>
        </is>
      </c>
      <c r="J932" s="1736" t="inlineStr">
        <is>
          <t>SISTEMAS E INSTALAÇÕES HIDROSSANITÁRIAS E DRENAGEM - Cobertura | Barrilete</t>
        </is>
      </c>
      <c r="K932" s="1737" t="n"/>
      <c r="L932" s="1738" t="n"/>
      <c r="M932" s="1738" t="n"/>
      <c r="N932" s="1739" t="n">
        <v>508248.737510726</v>
      </c>
      <c r="O932" s="1722" t="n"/>
      <c r="P932" s="1725" t="n"/>
    </row>
    <row r="933" hidden="1" outlineLevel="2" ht="13.9" customHeight="1">
      <c r="A933" s="2117" t="n">
        <v>0</v>
      </c>
      <c r="B933" s="2117" t="n">
        <v>7</v>
      </c>
      <c r="C933" s="2117" t="n">
        <v>14</v>
      </c>
      <c r="D933" s="2118" t="n">
        <v>1</v>
      </c>
      <c r="E933" s="2118" t="n">
        <v>0</v>
      </c>
      <c r="G933" s="1764" t="n"/>
      <c r="H933" s="1741" t="inlineStr">
        <is>
          <t>SUBETAPA</t>
        </is>
      </c>
      <c r="I933" s="1742" t="inlineStr">
        <is>
          <t>07.014.001</t>
        </is>
      </c>
      <c r="J933" s="1743" t="inlineStr">
        <is>
          <t>Instalações de água fria</t>
        </is>
      </c>
      <c r="K933" s="1744" t="n"/>
      <c r="L933" s="1745" t="n"/>
      <c r="M933" s="1745" t="n"/>
      <c r="N933" s="1746" t="n">
        <v>165838.402899175</v>
      </c>
      <c r="O933" s="1747" t="n"/>
      <c r="P933" s="1720" t="n"/>
    </row>
    <row r="934" hidden="1" outlineLevel="3" ht="13.9" customHeight="1">
      <c r="A934" s="2117" t="n">
        <v>0</v>
      </c>
      <c r="B934" s="2117" t="n">
        <v>7</v>
      </c>
      <c r="C934" s="2117" t="n">
        <v>14</v>
      </c>
      <c r="D934" s="2118" t="n">
        <v>1</v>
      </c>
      <c r="E934" s="2118" t="n">
        <v>1</v>
      </c>
      <c r="G934" s="1748" t="inlineStr">
        <is>
          <t>SISTEMAS E INSTALAÇÕES HIDROSSANITÁRIAS E DRENAGEM</t>
        </is>
      </c>
      <c r="H934" s="1749" t="inlineStr">
        <is>
          <t>SERVIÇO</t>
        </is>
      </c>
      <c r="I934" s="1750" t="inlineStr">
        <is>
          <t>07.014.001.001</t>
        </is>
      </c>
      <c r="J934" s="1751" t="inlineStr">
        <is>
          <t>Instalações de água fria e quente</t>
        </is>
      </c>
      <c r="K934" s="1752" t="inlineStr">
        <is>
          <t>vb</t>
        </is>
      </c>
      <c r="L934" s="1753" t="n">
        <v>1</v>
      </c>
      <c r="M934" s="1753" t="n">
        <v>165838.4028991752</v>
      </c>
      <c r="N934" s="1754" t="n">
        <v>165838.402899175</v>
      </c>
      <c r="O934" s="1755" t="inlineStr">
        <is>
          <t>quantidades conforme quantidades do projetista</t>
        </is>
      </c>
      <c r="P934" s="1721" t="inlineStr">
        <is>
          <t>Pendente</t>
        </is>
      </c>
    </row>
    <row r="935" hidden="1" outlineLevel="2" ht="13.9" customHeight="1">
      <c r="A935" s="2117" t="n">
        <v>0</v>
      </c>
      <c r="B935" s="2117" t="n">
        <v>7</v>
      </c>
      <c r="C935" s="2117" t="n">
        <v>14</v>
      </c>
      <c r="D935" s="2118" t="n">
        <v>2</v>
      </c>
      <c r="E935" s="2118" t="n">
        <v>0</v>
      </c>
      <c r="G935" s="1764" t="n"/>
      <c r="H935" s="1741" t="inlineStr">
        <is>
          <t>SUBETAPA</t>
        </is>
      </c>
      <c r="I935" s="1742" t="inlineStr">
        <is>
          <t>07.014.002</t>
        </is>
      </c>
      <c r="J935" s="1743" t="inlineStr">
        <is>
          <t>Instalações de esgoto e pluviais</t>
        </is>
      </c>
      <c r="K935" s="1744" t="n"/>
      <c r="L935" s="1745" t="n"/>
      <c r="M935" s="1745" t="n"/>
      <c r="N935" s="1746" t="n">
        <v>277434.454611551</v>
      </c>
      <c r="O935" s="1747" t="n"/>
      <c r="P935" s="1720" t="n"/>
    </row>
    <row r="936" hidden="1" outlineLevel="3" ht="13.9" customHeight="1">
      <c r="A936" s="2117" t="n">
        <v>0</v>
      </c>
      <c r="B936" s="2117" t="n">
        <v>7</v>
      </c>
      <c r="C936" s="2117" t="n">
        <v>14</v>
      </c>
      <c r="D936" s="2118" t="n">
        <v>2</v>
      </c>
      <c r="E936" s="2118" t="n">
        <v>1</v>
      </c>
      <c r="G936" s="1748" t="inlineStr">
        <is>
          <t>SISTEMAS E INSTALAÇÕES HIDROSSANITÁRIAS E DRENAGEM</t>
        </is>
      </c>
      <c r="H936" s="1749" t="inlineStr">
        <is>
          <t>SERVIÇO</t>
        </is>
      </c>
      <c r="I936" s="1750" t="inlineStr">
        <is>
          <t>07.014.002.001</t>
        </is>
      </c>
      <c r="J936" s="1751" t="inlineStr">
        <is>
          <t>Instalações de esgoto e pluviais</t>
        </is>
      </c>
      <c r="K936" s="1752" t="inlineStr">
        <is>
          <t>vb</t>
        </is>
      </c>
      <c r="L936" s="1753" t="n">
        <v>1</v>
      </c>
      <c r="M936" s="1753" t="n">
        <v>277434.4546115512</v>
      </c>
      <c r="N936" s="1754" t="n">
        <v>277434.454611551</v>
      </c>
      <c r="O936" s="1755" t="inlineStr">
        <is>
          <t>quantidades conforme quantidades do projetista</t>
        </is>
      </c>
      <c r="P936" s="1721" t="inlineStr">
        <is>
          <t>Pendente</t>
        </is>
      </c>
    </row>
    <row r="937" hidden="1" outlineLevel="2" ht="13.9" customHeight="1">
      <c r="A937" s="2117" t="n">
        <v>0</v>
      </c>
      <c r="B937" s="2117" t="n">
        <v>7</v>
      </c>
      <c r="C937" s="2117" t="n">
        <v>14</v>
      </c>
      <c r="D937" s="2118" t="n">
        <v>3</v>
      </c>
      <c r="E937" s="2118" t="n">
        <v>0</v>
      </c>
      <c r="G937" s="1764" t="n"/>
      <c r="H937" s="1741" t="inlineStr">
        <is>
          <t>SUBETAPA</t>
        </is>
      </c>
      <c r="I937" s="1742" t="inlineStr">
        <is>
          <t>07.014.003</t>
        </is>
      </c>
      <c r="J937" s="1743" t="inlineStr">
        <is>
          <t>Hidrômetros</t>
        </is>
      </c>
      <c r="K937" s="1744" t="n"/>
      <c r="L937" s="1745" t="n"/>
      <c r="M937" s="1745" t="n"/>
      <c r="N937" s="1746" t="n">
        <v>252</v>
      </c>
      <c r="O937" s="1747" t="n"/>
      <c r="P937" s="1720" t="n"/>
    </row>
    <row r="938" hidden="1" outlineLevel="3" ht="13.9" customHeight="1">
      <c r="A938" s="2117" t="n">
        <v>0</v>
      </c>
      <c r="B938" s="2117" t="n">
        <v>7</v>
      </c>
      <c r="C938" s="2117" t="n">
        <v>14</v>
      </c>
      <c r="D938" s="2118" t="n">
        <v>3</v>
      </c>
      <c r="E938" s="2118" t="n">
        <v>1</v>
      </c>
      <c r="G938" s="1748" t="inlineStr">
        <is>
          <t>SISTEMAS E INSTALAÇÕES HIDROSSANITÁRIAS E DRENAGEM</t>
        </is>
      </c>
      <c r="H938" s="1749" t="inlineStr">
        <is>
          <t>SERVIÇO</t>
        </is>
      </c>
      <c r="I938" s="1750" t="inlineStr">
        <is>
          <t>07.014.003.001</t>
        </is>
      </c>
      <c r="J938" s="1751" t="inlineStr">
        <is>
          <t>Hidrômetros</t>
        </is>
      </c>
      <c r="K938" s="1752" t="inlineStr">
        <is>
          <t>vb</t>
        </is>
      </c>
      <c r="L938" s="1753" t="n">
        <v>1</v>
      </c>
      <c r="M938" s="1753" t="n">
        <v>252</v>
      </c>
      <c r="N938" s="1754" t="n">
        <v>252</v>
      </c>
      <c r="O938" s="1755" t="inlineStr">
        <is>
          <t>Devido a ausencia de quantitativos, estimamos um Hidrometro multijato 3/4" vazao maxima 5 m³/h por apartamento + 1 por pavimento</t>
        </is>
      </c>
      <c r="P938" s="1721" t="inlineStr">
        <is>
          <t>Pendente</t>
        </is>
      </c>
    </row>
    <row r="939" hidden="1" outlineLevel="2" ht="13.9" customHeight="1">
      <c r="A939" s="2117" t="n">
        <v>0</v>
      </c>
      <c r="B939" s="2117" t="n">
        <v>7</v>
      </c>
      <c r="C939" s="2117" t="n">
        <v>14</v>
      </c>
      <c r="D939" s="2118" t="n">
        <v>4</v>
      </c>
      <c r="E939" s="2118" t="n">
        <v>0</v>
      </c>
      <c r="G939" s="1764" t="n"/>
      <c r="H939" s="1741" t="inlineStr">
        <is>
          <t>SUBETAPA</t>
        </is>
      </c>
      <c r="I939" s="1742" t="inlineStr">
        <is>
          <t>07.014.004</t>
        </is>
      </c>
      <c r="J939" s="1743" t="inlineStr">
        <is>
          <t>Sistema de bombas</t>
        </is>
      </c>
      <c r="K939" s="1744" t="n"/>
      <c r="L939" s="1745" t="n"/>
      <c r="M939" s="1745" t="n"/>
      <c r="N939" s="1746" t="n">
        <v>60448.12</v>
      </c>
      <c r="O939" s="1747" t="n"/>
      <c r="P939" s="1720" t="n"/>
    </row>
    <row r="940" hidden="1" outlineLevel="3" ht="13.9" customHeight="1">
      <c r="A940" s="2117" t="n">
        <v>0</v>
      </c>
      <c r="B940" s="2117" t="n">
        <v>7</v>
      </c>
      <c r="C940" s="2117" t="n">
        <v>14</v>
      </c>
      <c r="D940" s="2118" t="n">
        <v>4</v>
      </c>
      <c r="E940" s="2118" t="n">
        <v>1</v>
      </c>
      <c r="G940" s="1748" t="inlineStr">
        <is>
          <t>SISTEMAS E INSTALAÇÕES HIDROSSANITÁRIAS E DRENAGEM</t>
        </is>
      </c>
      <c r="H940" s="1749" t="inlineStr">
        <is>
          <t>SERVIÇO</t>
        </is>
      </c>
      <c r="I940" s="1750" t="inlineStr">
        <is>
          <t>07.014.004.001</t>
        </is>
      </c>
      <c r="J940" s="1751" t="inlineStr">
        <is>
          <t>Sistema de bombas</t>
        </is>
      </c>
      <c r="K940" s="1752" t="inlineStr">
        <is>
          <t>vb</t>
        </is>
      </c>
      <c r="L940" s="1753" t="n">
        <v>1</v>
      </c>
      <c r="M940" s="1753" t="n">
        <v>60448.12</v>
      </c>
      <c r="N940" s="1754" t="n">
        <v>60448.12</v>
      </c>
      <c r="O940" s="1755" t="inlineStr">
        <is>
          <t>quantidades conforme quantidades do projetista + complemento cartesian</t>
        </is>
      </c>
      <c r="P940" s="1721" t="inlineStr">
        <is>
          <t>Pendente</t>
        </is>
      </c>
    </row>
    <row r="941" hidden="1" outlineLevel="2" ht="13.9" customHeight="1">
      <c r="A941" s="2117" t="n">
        <v>0</v>
      </c>
      <c r="B941" s="2117" t="n">
        <v>7</v>
      </c>
      <c r="C941" s="2117" t="n">
        <v>14</v>
      </c>
      <c r="D941" s="2118" t="n">
        <v>5</v>
      </c>
      <c r="E941" s="2118" t="n">
        <v>0</v>
      </c>
      <c r="G941" s="1764" t="n"/>
      <c r="H941" s="1741" t="inlineStr">
        <is>
          <t>SUBETAPA</t>
        </is>
      </c>
      <c r="I941" s="1742" t="inlineStr">
        <is>
          <t>07.014.005</t>
        </is>
      </c>
      <c r="J941" s="1743" t="inlineStr">
        <is>
          <t xml:space="preserve">Mão de obra - instalações hidrossanitárias e drenagem </t>
        </is>
      </c>
      <c r="K941" s="1744" t="n"/>
      <c r="L941" s="1745" t="n"/>
      <c r="M941" s="1745" t="n"/>
      <c r="N941" s="1746" t="n">
        <v>4275.76</v>
      </c>
      <c r="O941" s="1747" t="n"/>
      <c r="P941" s="1720" t="n"/>
    </row>
    <row r="942" hidden="1" outlineLevel="3" ht="13.9" customHeight="1">
      <c r="A942" s="2117" t="n">
        <v>0</v>
      </c>
      <c r="B942" s="2117" t="n">
        <v>7</v>
      </c>
      <c r="C942" s="2117" t="n">
        <v>14</v>
      </c>
      <c r="D942" s="2118" t="n">
        <v>5</v>
      </c>
      <c r="E942" s="2118" t="n">
        <v>1</v>
      </c>
      <c r="G942" s="1748" t="inlineStr">
        <is>
          <t>SISTEMAS E INSTALAÇÕES HIDROSSANITÁRIAS E DRENAGEM</t>
        </is>
      </c>
      <c r="H942" s="1749" t="inlineStr">
        <is>
          <t>SERVIÇO</t>
        </is>
      </c>
      <c r="I942" s="1750" t="inlineStr">
        <is>
          <t>07.014.005.001</t>
        </is>
      </c>
      <c r="J942" s="1751" t="inlineStr">
        <is>
          <t>Mão de obra Instalação Hidráulica</t>
        </is>
      </c>
      <c r="K942" s="1752" t="inlineStr">
        <is>
          <t>vb</t>
        </is>
      </c>
      <c r="L942" s="1753" t="n">
        <v>1</v>
      </c>
      <c r="M942" s="1753" t="n">
        <v>4275.76</v>
      </c>
      <c r="N942" s="1754" t="n">
        <v>4275.76</v>
      </c>
      <c r="O942" s="1761" t="inlineStr">
        <is>
          <t>Repessado pela Gessele na reunião do dia 05/03/2026 - Provavelmente vamos trocar de fornecedor, considerar M.O. R$58,00 / m2</t>
        </is>
      </c>
      <c r="P942" s="1721" t="inlineStr">
        <is>
          <t>Pendente</t>
        </is>
      </c>
    </row>
    <row r="943" collapsed="1" ht="13.9" customHeight="1">
      <c r="A943" s="2117" t="n">
        <v>0</v>
      </c>
      <c r="B943" s="2117" t="n">
        <v>8</v>
      </c>
      <c r="C943" s="2117" t="n">
        <v>0</v>
      </c>
      <c r="D943" s="2118" t="n">
        <v>5</v>
      </c>
      <c r="E943" s="2118" t="n">
        <v>1</v>
      </c>
      <c r="F943" s="474" t="n"/>
      <c r="G943" s="1791" t="n"/>
      <c r="H943" s="1727" t="inlineStr">
        <is>
          <t>CÉLULA CONSTRUTIVA</t>
        </is>
      </c>
      <c r="I943" s="1728" t="inlineStr">
        <is>
          <t>08</t>
        </is>
      </c>
      <c r="J943" s="1729" t="inlineStr">
        <is>
          <t>INSTALAÇÕES PREVENTIVAS</t>
        </is>
      </c>
      <c r="K943" s="1730" t="n"/>
      <c r="L943" s="1731" t="n"/>
      <c r="M943" s="1731" t="n"/>
      <c r="N943" s="1732" t="n">
        <v>2726218.0508</v>
      </c>
      <c r="O943" s="1770" t="n">
        <v>162.762493278972</v>
      </c>
      <c r="P943" s="1723" t="n"/>
    </row>
    <row r="944" hidden="1" outlineLevel="1" ht="13.9" customHeight="1">
      <c r="A944" s="2117" t="n">
        <v>0</v>
      </c>
      <c r="B944" s="2117" t="n">
        <v>8</v>
      </c>
      <c r="C944" s="2117" t="n">
        <v>1</v>
      </c>
      <c r="D944" s="2118" t="n">
        <v>0</v>
      </c>
      <c r="E944" s="2118" t="n">
        <v>1</v>
      </c>
      <c r="G944" s="1733" t="n"/>
      <c r="H944" s="1734" t="inlineStr">
        <is>
          <t>ETAPA</t>
        </is>
      </c>
      <c r="I944" s="1735" t="inlineStr">
        <is>
          <t>08.001</t>
        </is>
      </c>
      <c r="J944" s="1736" t="inlineStr">
        <is>
          <t>INSTALAÇÕES PREVENTIVAS - Térreo</t>
        </is>
      </c>
      <c r="K944" s="1737" t="n"/>
      <c r="L944" s="1738" t="n"/>
      <c r="M944" s="1738" t="n"/>
      <c r="N944" s="1739" t="n">
        <v>95954.48699999999</v>
      </c>
      <c r="O944" s="1722" t="n"/>
      <c r="P944" s="1725" t="n"/>
    </row>
    <row r="945" hidden="1" outlineLevel="2" ht="13.9" customHeight="1">
      <c r="A945" s="2117" t="n">
        <v>0</v>
      </c>
      <c r="B945" s="2117" t="n">
        <v>8</v>
      </c>
      <c r="C945" s="2117" t="n">
        <v>1</v>
      </c>
      <c r="D945" s="2118" t="n">
        <v>1</v>
      </c>
      <c r="E945" s="2118" t="n">
        <v>0</v>
      </c>
      <c r="G945" s="1740" t="n"/>
      <c r="H945" s="1741" t="inlineStr">
        <is>
          <t>SUBETAPA</t>
        </is>
      </c>
      <c r="I945" s="1742" t="inlineStr">
        <is>
          <t>08.001.001</t>
        </is>
      </c>
      <c r="J945" s="1743" t="inlineStr">
        <is>
          <t>Hidrantes</t>
        </is>
      </c>
      <c r="K945" s="1744" t="n"/>
      <c r="L945" s="1745" t="n"/>
      <c r="M945" s="1745" t="n"/>
      <c r="N945" s="1746" t="n">
        <v>16802</v>
      </c>
      <c r="O945" s="1747" t="n"/>
      <c r="P945" s="1720" t="n"/>
    </row>
    <row r="946" hidden="1" outlineLevel="3" ht="13.9" customHeight="1">
      <c r="A946" s="2117" t="n">
        <v>0</v>
      </c>
      <c r="B946" s="2117" t="n">
        <v>8</v>
      </c>
      <c r="C946" s="2117" t="n">
        <v>1</v>
      </c>
      <c r="D946" s="2118" t="n">
        <v>1</v>
      </c>
      <c r="E946" s="2118" t="n">
        <v>1</v>
      </c>
      <c r="G946" s="1790" t="inlineStr">
        <is>
          <t>INSTALAÇÕES PREVENTIVAS</t>
        </is>
      </c>
      <c r="H946" s="1749" t="inlineStr">
        <is>
          <t>SERVIÇO</t>
        </is>
      </c>
      <c r="I946" s="1750" t="inlineStr">
        <is>
          <t>08.001.001.001</t>
        </is>
      </c>
      <c r="J946" s="1751" t="inlineStr">
        <is>
          <t>Hidrantes</t>
        </is>
      </c>
      <c r="K946" s="1752" t="inlineStr">
        <is>
          <t>vb</t>
        </is>
      </c>
      <c r="L946" s="1753" t="n">
        <v>1</v>
      </c>
      <c r="M946" s="1753" t="n">
        <v>16802</v>
      </c>
      <c r="N946" s="1754" t="n">
        <v>16802</v>
      </c>
      <c r="O946" s="1755" t="inlineStr">
        <is>
          <t>quantidades confirme quantidades do projetista</t>
        </is>
      </c>
      <c r="P946" s="1721" t="inlineStr">
        <is>
          <t>Pendente</t>
        </is>
      </c>
    </row>
    <row r="947" hidden="1" outlineLevel="2" ht="13.9" customHeight="1">
      <c r="A947" s="2117" t="n">
        <v>0</v>
      </c>
      <c r="B947" s="2117" t="n">
        <v>8</v>
      </c>
      <c r="C947" s="2117" t="n">
        <v>1</v>
      </c>
      <c r="D947" s="2118" t="n">
        <v>2</v>
      </c>
      <c r="E947" s="2118" t="n">
        <v>0</v>
      </c>
      <c r="G947" s="1740" t="n"/>
      <c r="H947" s="1741" t="inlineStr">
        <is>
          <t>SUBETAPA</t>
        </is>
      </c>
      <c r="I947" s="1742" t="inlineStr">
        <is>
          <t>08.001.002</t>
        </is>
      </c>
      <c r="J947" s="1743" t="inlineStr">
        <is>
          <t xml:space="preserve">Sinalização de emergência e extintores </t>
        </is>
      </c>
      <c r="K947" s="1744" t="n"/>
      <c r="L947" s="1745" t="n"/>
      <c r="M947" s="1745" t="n"/>
      <c r="N947" s="1746" t="n">
        <v>2892.59</v>
      </c>
      <c r="O947" s="1747" t="n"/>
      <c r="P947" s="1720" t="n"/>
    </row>
    <row r="948" hidden="1" outlineLevel="3" ht="13.9" customHeight="1">
      <c r="A948" s="2117" t="n">
        <v>0</v>
      </c>
      <c r="B948" s="2117" t="n">
        <v>8</v>
      </c>
      <c r="C948" s="2117" t="n">
        <v>1</v>
      </c>
      <c r="D948" s="2118" t="n">
        <v>2</v>
      </c>
      <c r="E948" s="2118" t="n">
        <v>1</v>
      </c>
      <c r="G948" s="1790" t="inlineStr">
        <is>
          <t>INSTALAÇÕES PREVENTIVAS</t>
        </is>
      </c>
      <c r="H948" s="1749" t="inlineStr">
        <is>
          <t>SERVIÇO</t>
        </is>
      </c>
      <c r="I948" s="1750" t="inlineStr">
        <is>
          <t>08.001.002.001</t>
        </is>
      </c>
      <c r="J948" s="1751" t="inlineStr">
        <is>
          <t xml:space="preserve">Sinalização de emergência e extintores </t>
        </is>
      </c>
      <c r="K948" s="1752" t="inlineStr">
        <is>
          <t>vb</t>
        </is>
      </c>
      <c r="L948" s="1753" t="n">
        <v>1</v>
      </c>
      <c r="M948" s="1753" t="n">
        <v>2892.59</v>
      </c>
      <c r="N948" s="1754" t="n">
        <v>2892.59</v>
      </c>
      <c r="O948" s="1755" t="inlineStr">
        <is>
          <t>quantidades confirme quantidades do projetista</t>
        </is>
      </c>
      <c r="P948" s="1721" t="inlineStr">
        <is>
          <t>Pendente</t>
        </is>
      </c>
    </row>
    <row r="949" hidden="1" outlineLevel="2" ht="13.9" customHeight="1">
      <c r="A949" s="2117" t="n">
        <v>0</v>
      </c>
      <c r="B949" s="2117" t="n">
        <v>8</v>
      </c>
      <c r="C949" s="2117" t="n">
        <v>1</v>
      </c>
      <c r="D949" s="2118" t="n">
        <v>3</v>
      </c>
      <c r="E949" s="2118" t="n">
        <v>0</v>
      </c>
      <c r="G949" s="1740" t="n"/>
      <c r="H949" s="1741" t="inlineStr">
        <is>
          <t>SUBETAPA</t>
        </is>
      </c>
      <c r="I949" s="1742" t="inlineStr">
        <is>
          <t>08.001.003</t>
        </is>
      </c>
      <c r="J949" s="1743" t="inlineStr">
        <is>
          <t>Sprinkles</t>
        </is>
      </c>
      <c r="K949" s="1744" t="n"/>
      <c r="L949" s="1745" t="n"/>
      <c r="M949" s="1745" t="n"/>
      <c r="N949" s="1746" t="n">
        <v>66734.2</v>
      </c>
      <c r="O949" s="1747" t="n"/>
      <c r="P949" s="1720" t="n"/>
    </row>
    <row r="950" hidden="1" outlineLevel="3" ht="13.9" customHeight="1">
      <c r="A950" s="2117" t="n">
        <v>0</v>
      </c>
      <c r="B950" s="2117" t="n">
        <v>8</v>
      </c>
      <c r="C950" s="2117" t="n">
        <v>1</v>
      </c>
      <c r="D950" s="2118" t="n">
        <v>3</v>
      </c>
      <c r="E950" s="2118" t="n">
        <v>1</v>
      </c>
      <c r="G950" s="1790" t="inlineStr">
        <is>
          <t>INSTALAÇÕES PREVENTIVAS</t>
        </is>
      </c>
      <c r="H950" s="1749" t="inlineStr">
        <is>
          <t>SERVIÇO</t>
        </is>
      </c>
      <c r="I950" s="1750" t="inlineStr">
        <is>
          <t>08.001.003.001</t>
        </is>
      </c>
      <c r="J950" s="1751" t="inlineStr">
        <is>
          <t>Sprinkles</t>
        </is>
      </c>
      <c r="K950" s="1752" t="inlineStr">
        <is>
          <t>vb</t>
        </is>
      </c>
      <c r="L950" s="1753" t="n">
        <v>1</v>
      </c>
      <c r="M950" s="1753" t="n">
        <v>66734.2</v>
      </c>
      <c r="N950" s="1754" t="n">
        <v>66734.2</v>
      </c>
      <c r="O950" s="1755" t="inlineStr">
        <is>
          <t>quantidades confirme quantidades do projetista</t>
        </is>
      </c>
      <c r="P950" s="1721" t="inlineStr">
        <is>
          <t>Pendente</t>
        </is>
      </c>
    </row>
    <row r="951" hidden="1" outlineLevel="2" ht="13.9" customHeight="1">
      <c r="A951" s="2117" t="n">
        <v>0</v>
      </c>
      <c r="B951" s="2117" t="n">
        <v>8</v>
      </c>
      <c r="C951" s="2117" t="n">
        <v>1</v>
      </c>
      <c r="D951" s="2118" t="n">
        <v>4</v>
      </c>
      <c r="E951" s="2118" t="n">
        <v>0</v>
      </c>
      <c r="G951" s="1740" t="n"/>
      <c r="H951" s="1741" t="inlineStr">
        <is>
          <t>SUBETAPA</t>
        </is>
      </c>
      <c r="I951" s="1742" t="inlineStr">
        <is>
          <t>08.001.004</t>
        </is>
      </c>
      <c r="J951" s="1743" t="inlineStr">
        <is>
          <t>Instalações de proteção e aterramento -SPDA</t>
        </is>
      </c>
      <c r="K951" s="1744" t="n"/>
      <c r="L951" s="1745" t="n"/>
      <c r="M951" s="1745" t="n"/>
      <c r="N951" s="1746" t="n">
        <v>0</v>
      </c>
      <c r="O951" s="1747" t="n"/>
      <c r="P951" s="1720" t="n"/>
    </row>
    <row r="952" hidden="1" outlineLevel="3" ht="13.9" customHeight="1">
      <c r="A952" s="2117" t="n">
        <v>0</v>
      </c>
      <c r="B952" s="2117" t="n">
        <v>8</v>
      </c>
      <c r="C952" s="2117" t="n">
        <v>1</v>
      </c>
      <c r="D952" s="2118" t="n">
        <v>4</v>
      </c>
      <c r="E952" s="2118" t="n">
        <v>1</v>
      </c>
      <c r="G952" s="1790" t="inlineStr">
        <is>
          <t>INSTALAÇÕES PREVENTIVAS</t>
        </is>
      </c>
      <c r="H952" s="1749" t="inlineStr">
        <is>
          <t>SERVIÇO</t>
        </is>
      </c>
      <c r="I952" s="1750" t="inlineStr">
        <is>
          <t>08.001.004.001</t>
        </is>
      </c>
      <c r="J952" s="1751" t="inlineStr">
        <is>
          <t>Instalações de proteção e aterramento -SPDA</t>
        </is>
      </c>
      <c r="K952" s="1752" t="inlineStr">
        <is>
          <t>vb</t>
        </is>
      </c>
      <c r="L952" s="1753" t="n">
        <v>1</v>
      </c>
      <c r="M952" s="1753" t="n">
        <v>0</v>
      </c>
      <c r="N952" s="1754" t="n">
        <v>0</v>
      </c>
      <c r="O952" s="1755" t="inlineStr">
        <is>
          <t>Estimado devido a ausencia de quantitativos</t>
        </is>
      </c>
      <c r="P952" s="1721" t="inlineStr">
        <is>
          <t>Pendente</t>
        </is>
      </c>
    </row>
    <row r="953" hidden="1" outlineLevel="2" ht="13.9" customHeight="1">
      <c r="A953" s="2117" t="n">
        <v>0</v>
      </c>
      <c r="B953" s="2117" t="n">
        <v>8</v>
      </c>
      <c r="C953" s="2117" t="n">
        <v>1</v>
      </c>
      <c r="D953" s="2118" t="n">
        <v>5</v>
      </c>
      <c r="E953" s="2118" t="n">
        <v>0</v>
      </c>
      <c r="G953" s="1740" t="n"/>
      <c r="H953" s="1741" t="inlineStr">
        <is>
          <t>SUBETAPA</t>
        </is>
      </c>
      <c r="I953" s="1742" t="inlineStr">
        <is>
          <t>08.001.005</t>
        </is>
      </c>
      <c r="J953" s="1743" t="inlineStr">
        <is>
          <t>Central de Alarmes</t>
        </is>
      </c>
      <c r="K953" s="1744" t="n"/>
      <c r="L953" s="1745" t="n"/>
      <c r="M953" s="1745" t="n"/>
      <c r="N953" s="1746" t="n">
        <v>5602.797</v>
      </c>
      <c r="O953" s="1747" t="n"/>
      <c r="P953" s="1720" t="n"/>
    </row>
    <row r="954" hidden="1" outlineLevel="3" ht="13.9" customHeight="1">
      <c r="A954" s="2117" t="n">
        <v>0</v>
      </c>
      <c r="B954" s="2117" t="n">
        <v>8</v>
      </c>
      <c r="C954" s="2117" t="n">
        <v>1</v>
      </c>
      <c r="D954" s="2118" t="n">
        <v>5</v>
      </c>
      <c r="E954" s="2118" t="n">
        <v>1</v>
      </c>
      <c r="G954" s="1790" t="inlineStr">
        <is>
          <t>INSTALAÇÕES PREVENTIVAS</t>
        </is>
      </c>
      <c r="H954" s="1749" t="inlineStr">
        <is>
          <t>SERVIÇO</t>
        </is>
      </c>
      <c r="I954" s="1750" t="inlineStr">
        <is>
          <t>08.001.005.001</t>
        </is>
      </c>
      <c r="J954" s="1751" t="inlineStr">
        <is>
          <t>Central de Alarmes</t>
        </is>
      </c>
      <c r="K954" s="1752" t="inlineStr">
        <is>
          <t>vb</t>
        </is>
      </c>
      <c r="L954" s="1753" t="n">
        <v>1</v>
      </c>
      <c r="M954" s="1753" t="n">
        <v>5602.797</v>
      </c>
      <c r="N954" s="1754" t="n">
        <v>5602.797</v>
      </c>
      <c r="O954" s="1755" t="inlineStr">
        <is>
          <t>quantidades confirme quantidades do projetista</t>
        </is>
      </c>
      <c r="P954" s="1721" t="inlineStr">
        <is>
          <t>Pendente</t>
        </is>
      </c>
    </row>
    <row r="955" hidden="1" outlineLevel="2" ht="13.9" customHeight="1">
      <c r="A955" s="2117" t="n">
        <v>0</v>
      </c>
      <c r="B955" s="2117" t="n">
        <v>8</v>
      </c>
      <c r="C955" s="2117" t="n">
        <v>1</v>
      </c>
      <c r="D955" s="2118" t="n">
        <v>6</v>
      </c>
      <c r="E955" s="2118" t="n">
        <v>0</v>
      </c>
      <c r="G955" s="1740" t="n"/>
      <c r="H955" s="1741" t="inlineStr">
        <is>
          <t>SUBETAPA</t>
        </is>
      </c>
      <c r="I955" s="1742" t="inlineStr">
        <is>
          <t>08.001.006</t>
        </is>
      </c>
      <c r="J955" s="1743" t="inlineStr">
        <is>
          <t>Sistema de bombas</t>
        </is>
      </c>
      <c r="K955" s="1744" t="n"/>
      <c r="L955" s="1745" t="n"/>
      <c r="M955" s="1745" t="n"/>
      <c r="N955" s="1746" t="n">
        <v>0</v>
      </c>
      <c r="O955" s="1747" t="n"/>
      <c r="P955" s="1720" t="n"/>
    </row>
    <row r="956" hidden="1" outlineLevel="3" ht="13.9" customHeight="1">
      <c r="A956" s="2117" t="n">
        <v>0</v>
      </c>
      <c r="B956" s="2117" t="n">
        <v>8</v>
      </c>
      <c r="C956" s="2117" t="n">
        <v>1</v>
      </c>
      <c r="D956" s="2118" t="n">
        <v>6</v>
      </c>
      <c r="E956" s="2118" t="n">
        <v>1</v>
      </c>
      <c r="G956" s="1790" t="inlineStr">
        <is>
          <t>INSTALAÇÕES PREVENTIVAS</t>
        </is>
      </c>
      <c r="H956" s="1749" t="inlineStr">
        <is>
          <t>SERVIÇO</t>
        </is>
      </c>
      <c r="I956" s="1750" t="inlineStr">
        <is>
          <t>08.001.006.001</t>
        </is>
      </c>
      <c r="J956" s="1751" t="inlineStr">
        <is>
          <t>Sistema de bombas</t>
        </is>
      </c>
      <c r="K956" s="1752" t="inlineStr">
        <is>
          <t>vb</t>
        </is>
      </c>
      <c r="L956" s="1753" t="n">
        <v>1</v>
      </c>
      <c r="M956" s="1753" t="n">
        <v>0</v>
      </c>
      <c r="N956" s="1754" t="n">
        <v>0</v>
      </c>
      <c r="O956" s="1755" t="inlineStr">
        <is>
          <t>quantidades confirme quantidades do projetista</t>
        </is>
      </c>
      <c r="P956" s="1721" t="inlineStr">
        <is>
          <t>Pendente</t>
        </is>
      </c>
    </row>
    <row r="957" hidden="1" outlineLevel="2" ht="13.9" customHeight="1">
      <c r="A957" s="2117" t="n">
        <v>0</v>
      </c>
      <c r="B957" s="2117" t="n">
        <v>8</v>
      </c>
      <c r="C957" s="2117" t="n">
        <v>1</v>
      </c>
      <c r="D957" s="2118" t="n">
        <v>7</v>
      </c>
      <c r="E957" s="2118" t="n">
        <v>0</v>
      </c>
      <c r="G957" s="1740" t="n"/>
      <c r="H957" s="1741" t="inlineStr">
        <is>
          <t>SUBETAPA</t>
        </is>
      </c>
      <c r="I957" s="1742" t="inlineStr">
        <is>
          <t>08.001.007</t>
        </is>
      </c>
      <c r="J957" s="1743" t="inlineStr">
        <is>
          <t>Mão de obra</t>
        </is>
      </c>
      <c r="K957" s="1744" t="n"/>
      <c r="L957" s="1745" t="n"/>
      <c r="M957" s="1745" t="n"/>
      <c r="N957" s="1746" t="n">
        <v>3922.9</v>
      </c>
      <c r="O957" s="1747" t="n"/>
      <c r="P957" s="1720" t="n"/>
    </row>
    <row r="958" hidden="1" outlineLevel="3" ht="13.9" customHeight="1">
      <c r="A958" s="2117" t="n">
        <v>0</v>
      </c>
      <c r="B958" s="2117" t="n">
        <v>8</v>
      </c>
      <c r="C958" s="2117" t="n">
        <v>1</v>
      </c>
      <c r="D958" s="2118" t="n">
        <v>7</v>
      </c>
      <c r="E958" s="2118" t="n">
        <v>1</v>
      </c>
      <c r="G958" s="1790" t="inlineStr">
        <is>
          <t>INSTALAÇÕES PREVENTIVAS</t>
        </is>
      </c>
      <c r="H958" s="1749" t="inlineStr">
        <is>
          <t>SERVIÇO</t>
        </is>
      </c>
      <c r="I958" s="1750" t="inlineStr">
        <is>
          <t>08.001.007.001</t>
        </is>
      </c>
      <c r="J958" s="1751" t="inlineStr">
        <is>
          <t>Mão de obra PPCI</t>
        </is>
      </c>
      <c r="K958" s="1752" t="inlineStr">
        <is>
          <t>vb</t>
        </is>
      </c>
      <c r="L958" s="1753" t="n">
        <v>1</v>
      </c>
      <c r="M958" s="1753" t="n">
        <v>3922.9</v>
      </c>
      <c r="N958" s="1754" t="n">
        <v>3922.9</v>
      </c>
      <c r="O958" s="1765" t="inlineStr">
        <is>
          <t>Considerado R$5/m²</t>
        </is>
      </c>
      <c r="P958" s="1721" t="inlineStr">
        <is>
          <t>Pendente</t>
        </is>
      </c>
    </row>
    <row r="959" hidden="1" outlineLevel="1" ht="13.9" customHeight="1">
      <c r="A959" s="2117" t="n">
        <v>0</v>
      </c>
      <c r="B959" s="2117" t="n">
        <v>8</v>
      </c>
      <c r="C959" s="2117" t="n">
        <v>2</v>
      </c>
      <c r="D959" s="2118" t="n">
        <v>0</v>
      </c>
      <c r="E959" s="2118" t="n">
        <v>1</v>
      </c>
      <c r="G959" s="1733" t="n"/>
      <c r="H959" s="1734" t="inlineStr">
        <is>
          <t>ETAPA</t>
        </is>
      </c>
      <c r="I959" s="1735" t="inlineStr">
        <is>
          <t>08.002</t>
        </is>
      </c>
      <c r="J959" s="1736" t="inlineStr">
        <is>
          <t>INSTALAÇÕES PREVENTIVAS - Mezanino G1</t>
        </is>
      </c>
      <c r="K959" s="1737" t="n"/>
      <c r="L959" s="1738" t="n"/>
      <c r="M959" s="1738" t="n"/>
      <c r="N959" s="1739" t="n">
        <v>138596.635</v>
      </c>
      <c r="O959" s="1722" t="n"/>
      <c r="P959" s="1725" t="n"/>
    </row>
    <row r="960" hidden="1" outlineLevel="2" ht="13.9" customHeight="1">
      <c r="A960" s="2117" t="n">
        <v>0</v>
      </c>
      <c r="B960" s="2117" t="n">
        <v>8</v>
      </c>
      <c r="C960" s="2117" t="n">
        <v>2</v>
      </c>
      <c r="D960" s="2118" t="n">
        <v>1</v>
      </c>
      <c r="E960" s="2118" t="n">
        <v>0</v>
      </c>
      <c r="G960" s="1740" t="n"/>
      <c r="H960" s="1741" t="inlineStr">
        <is>
          <t>SUBETAPA</t>
        </is>
      </c>
      <c r="I960" s="1742" t="inlineStr">
        <is>
          <t>08.002.001</t>
        </is>
      </c>
      <c r="J960" s="1743" t="inlineStr">
        <is>
          <t>Hidrantes</t>
        </is>
      </c>
      <c r="K960" s="1744" t="n"/>
      <c r="L960" s="1745" t="n"/>
      <c r="M960" s="1745" t="n"/>
      <c r="N960" s="1746" t="n">
        <v>6776</v>
      </c>
      <c r="O960" s="1747" t="n"/>
      <c r="P960" s="1720" t="n"/>
    </row>
    <row r="961" hidden="1" outlineLevel="3" ht="13.9" customHeight="1">
      <c r="A961" s="2117" t="n">
        <v>0</v>
      </c>
      <c r="B961" s="2117" t="n">
        <v>8</v>
      </c>
      <c r="C961" s="2117" t="n">
        <v>2</v>
      </c>
      <c r="D961" s="2118" t="n">
        <v>1</v>
      </c>
      <c r="E961" s="2118" t="n">
        <v>1</v>
      </c>
      <c r="G961" s="1790" t="inlineStr">
        <is>
          <t>INSTALAÇÕES PREVENTIVAS</t>
        </is>
      </c>
      <c r="H961" s="1749" t="inlineStr">
        <is>
          <t>SERVIÇO</t>
        </is>
      </c>
      <c r="I961" s="1750" t="inlineStr">
        <is>
          <t>08.002.001.001</t>
        </is>
      </c>
      <c r="J961" s="1751" t="inlineStr">
        <is>
          <t>Hidrantes</t>
        </is>
      </c>
      <c r="K961" s="1752" t="inlineStr">
        <is>
          <t>vb</t>
        </is>
      </c>
      <c r="L961" s="1753" t="n">
        <v>1</v>
      </c>
      <c r="M961" s="1753" t="n">
        <v>6776</v>
      </c>
      <c r="N961" s="1754" t="n">
        <v>6776</v>
      </c>
      <c r="O961" s="1755" t="inlineStr">
        <is>
          <t>quantidades confirme quantidades do projetista</t>
        </is>
      </c>
      <c r="P961" s="1721" t="inlineStr">
        <is>
          <t>Pendente</t>
        </is>
      </c>
    </row>
    <row r="962" hidden="1" outlineLevel="2" ht="13.9" customHeight="1">
      <c r="A962" s="2117" t="n">
        <v>0</v>
      </c>
      <c r="B962" s="2117" t="n">
        <v>8</v>
      </c>
      <c r="C962" s="2117" t="n">
        <v>2</v>
      </c>
      <c r="D962" s="2118" t="n">
        <v>2</v>
      </c>
      <c r="E962" s="2118" t="n">
        <v>0</v>
      </c>
      <c r="G962" s="1740" t="n"/>
      <c r="H962" s="1741" t="inlineStr">
        <is>
          <t>SUBETAPA</t>
        </is>
      </c>
      <c r="I962" s="1742" t="inlineStr">
        <is>
          <t>08.002.002</t>
        </is>
      </c>
      <c r="J962" s="1743" t="inlineStr">
        <is>
          <t xml:space="preserve">Sinalização de emergência e extintores </t>
        </is>
      </c>
      <c r="K962" s="1744" t="n"/>
      <c r="L962" s="1745" t="n"/>
      <c r="M962" s="1745" t="n"/>
      <c r="N962" s="1746" t="n">
        <v>2329.23</v>
      </c>
      <c r="O962" s="1747" t="n"/>
      <c r="P962" s="1720" t="n"/>
    </row>
    <row r="963" hidden="1" outlineLevel="3" ht="13.9" customHeight="1">
      <c r="A963" s="2117" t="n">
        <v>0</v>
      </c>
      <c r="B963" s="2117" t="n">
        <v>8</v>
      </c>
      <c r="C963" s="2117" t="n">
        <v>2</v>
      </c>
      <c r="D963" s="2118" t="n">
        <v>2</v>
      </c>
      <c r="E963" s="2118" t="n">
        <v>1</v>
      </c>
      <c r="G963" s="1790" t="inlineStr">
        <is>
          <t>INSTALAÇÕES PREVENTIVAS</t>
        </is>
      </c>
      <c r="H963" s="1749" t="inlineStr">
        <is>
          <t>SERVIÇO</t>
        </is>
      </c>
      <c r="I963" s="1750" t="inlineStr">
        <is>
          <t>08.002.002.001</t>
        </is>
      </c>
      <c r="J963" s="1751" t="inlineStr">
        <is>
          <t xml:space="preserve">Sinalização de emergência e extintores </t>
        </is>
      </c>
      <c r="K963" s="1752" t="inlineStr">
        <is>
          <t>vb</t>
        </is>
      </c>
      <c r="L963" s="1753" t="n">
        <v>1</v>
      </c>
      <c r="M963" s="1753" t="n">
        <v>2329.23</v>
      </c>
      <c r="N963" s="1754" t="n">
        <v>2329.23</v>
      </c>
      <c r="O963" s="1755" t="inlineStr">
        <is>
          <t>quantidades confirme quantidades do projetista</t>
        </is>
      </c>
      <c r="P963" s="1721" t="inlineStr">
        <is>
          <t>Pendente</t>
        </is>
      </c>
    </row>
    <row r="964" hidden="1" outlineLevel="2" ht="13.9" customHeight="1">
      <c r="A964" s="2117" t="n">
        <v>0</v>
      </c>
      <c r="B964" s="2117" t="n">
        <v>8</v>
      </c>
      <c r="C964" s="2117" t="n">
        <v>2</v>
      </c>
      <c r="D964" s="2118" t="n">
        <v>3</v>
      </c>
      <c r="E964" s="2118" t="n">
        <v>0</v>
      </c>
      <c r="G964" s="1740" t="n"/>
      <c r="H964" s="1741" t="inlineStr">
        <is>
          <t>SUBETAPA</t>
        </is>
      </c>
      <c r="I964" s="1742" t="inlineStr">
        <is>
          <t>08.002.003</t>
        </is>
      </c>
      <c r="J964" s="1743" t="inlineStr">
        <is>
          <t>Sprinkles</t>
        </is>
      </c>
      <c r="K964" s="1744" t="n"/>
      <c r="L964" s="1745" t="n"/>
      <c r="M964" s="1745" t="n"/>
      <c r="N964" s="1746" t="n">
        <v>116980.6</v>
      </c>
      <c r="O964" s="1747" t="n"/>
      <c r="P964" s="1720" t="n"/>
    </row>
    <row r="965" hidden="1" outlineLevel="3" ht="13.9" customHeight="1">
      <c r="A965" s="2117" t="n">
        <v>0</v>
      </c>
      <c r="B965" s="2117" t="n">
        <v>8</v>
      </c>
      <c r="C965" s="2117" t="n">
        <v>2</v>
      </c>
      <c r="D965" s="2118" t="n">
        <v>3</v>
      </c>
      <c r="E965" s="2118" t="n">
        <v>1</v>
      </c>
      <c r="G965" s="1790" t="inlineStr">
        <is>
          <t>INSTALAÇÕES PREVENTIVAS</t>
        </is>
      </c>
      <c r="H965" s="1749" t="inlineStr">
        <is>
          <t>SERVIÇO</t>
        </is>
      </c>
      <c r="I965" s="1750" t="inlineStr">
        <is>
          <t>08.002.003.001</t>
        </is>
      </c>
      <c r="J965" s="1751" t="inlineStr">
        <is>
          <t>Sprinkles</t>
        </is>
      </c>
      <c r="K965" s="1752" t="inlineStr">
        <is>
          <t>vb</t>
        </is>
      </c>
      <c r="L965" s="1753" t="n">
        <v>1</v>
      </c>
      <c r="M965" s="1753" t="n">
        <v>116980.6</v>
      </c>
      <c r="N965" s="1754" t="n">
        <v>116980.6</v>
      </c>
      <c r="O965" s="1755" t="inlineStr">
        <is>
          <t>quantidades confirme quantidades do projetista</t>
        </is>
      </c>
      <c r="P965" s="1721" t="inlineStr">
        <is>
          <t>Pendente</t>
        </is>
      </c>
    </row>
    <row r="966" hidden="1" outlineLevel="2" ht="13.9" customHeight="1">
      <c r="A966" s="2117" t="n">
        <v>0</v>
      </c>
      <c r="B966" s="2117" t="n">
        <v>8</v>
      </c>
      <c r="C966" s="2117" t="n">
        <v>2</v>
      </c>
      <c r="D966" s="2118" t="n">
        <v>4</v>
      </c>
      <c r="E966" s="2118" t="n">
        <v>0</v>
      </c>
      <c r="G966" s="1740" t="n"/>
      <c r="H966" s="1741" t="inlineStr">
        <is>
          <t>SUBETAPA</t>
        </is>
      </c>
      <c r="I966" s="1742" t="inlineStr">
        <is>
          <t>08.002.004</t>
        </is>
      </c>
      <c r="J966" s="1743" t="inlineStr">
        <is>
          <t>Instalações de proteção e aterramento -SPDA</t>
        </is>
      </c>
      <c r="K966" s="1744" t="n"/>
      <c r="L966" s="1745" t="n"/>
      <c r="M966" s="1745" t="n"/>
      <c r="N966" s="1746" t="n">
        <v>0</v>
      </c>
      <c r="O966" s="1747" t="n"/>
      <c r="P966" s="1720" t="n"/>
    </row>
    <row r="967" hidden="1" outlineLevel="3" ht="13.9" customHeight="1">
      <c r="A967" s="2117" t="n">
        <v>0</v>
      </c>
      <c r="B967" s="2117" t="n">
        <v>8</v>
      </c>
      <c r="C967" s="2117" t="n">
        <v>2</v>
      </c>
      <c r="D967" s="2118" t="n">
        <v>4</v>
      </c>
      <c r="E967" s="2118" t="n">
        <v>1</v>
      </c>
      <c r="G967" s="1790" t="inlineStr">
        <is>
          <t>INSTALAÇÕES PREVENTIVAS</t>
        </is>
      </c>
      <c r="H967" s="1749" t="inlineStr">
        <is>
          <t>SERVIÇO</t>
        </is>
      </c>
      <c r="I967" s="1750" t="inlineStr">
        <is>
          <t>08.002.004.001</t>
        </is>
      </c>
      <c r="J967" s="1751" t="inlineStr">
        <is>
          <t>Instalações de proteção e aterramento -SPDA</t>
        </is>
      </c>
      <c r="K967" s="1752" t="inlineStr">
        <is>
          <t>vb</t>
        </is>
      </c>
      <c r="L967" s="1753" t="n">
        <v>1</v>
      </c>
      <c r="M967" s="1753" t="n"/>
      <c r="N967" s="1754" t="n">
        <v>0</v>
      </c>
      <c r="O967" s="1755" t="inlineStr">
        <is>
          <t>Estimado devido a ausencia de quantitativos</t>
        </is>
      </c>
      <c r="P967" s="1721" t="inlineStr">
        <is>
          <t>Pendente</t>
        </is>
      </c>
    </row>
    <row r="968" hidden="1" outlineLevel="2" ht="13.9" customHeight="1">
      <c r="A968" s="2117" t="n">
        <v>0</v>
      </c>
      <c r="B968" s="2117" t="n">
        <v>8</v>
      </c>
      <c r="C968" s="2117" t="n">
        <v>2</v>
      </c>
      <c r="D968" s="2118" t="n">
        <v>5</v>
      </c>
      <c r="E968" s="2118" t="n">
        <v>0</v>
      </c>
      <c r="G968" s="1740" t="n"/>
      <c r="H968" s="1741" t="inlineStr">
        <is>
          <t>SUBETAPA</t>
        </is>
      </c>
      <c r="I968" s="1742" t="inlineStr">
        <is>
          <t>08.002.005</t>
        </is>
      </c>
      <c r="J968" s="1743" t="inlineStr">
        <is>
          <t>Central de Alarmes</t>
        </is>
      </c>
      <c r="K968" s="1744" t="n"/>
      <c r="L968" s="1745" t="n"/>
      <c r="M968" s="1745" t="n"/>
      <c r="N968" s="1746" t="n">
        <v>8505.055</v>
      </c>
      <c r="O968" s="1747" t="n"/>
      <c r="P968" s="1720" t="n"/>
    </row>
    <row r="969" hidden="1" outlineLevel="3" ht="13.9" customHeight="1">
      <c r="A969" s="2117" t="n">
        <v>0</v>
      </c>
      <c r="B969" s="2117" t="n">
        <v>8</v>
      </c>
      <c r="C969" s="2117" t="n">
        <v>2</v>
      </c>
      <c r="D969" s="2118" t="n">
        <v>5</v>
      </c>
      <c r="E969" s="2118" t="n">
        <v>1</v>
      </c>
      <c r="G969" s="1790" t="inlineStr">
        <is>
          <t>INSTALAÇÕES PREVENTIVAS</t>
        </is>
      </c>
      <c r="H969" s="1749" t="inlineStr">
        <is>
          <t>SERVIÇO</t>
        </is>
      </c>
      <c r="I969" s="1750" t="inlineStr">
        <is>
          <t>08.002.005.001</t>
        </is>
      </c>
      <c r="J969" s="1751" t="inlineStr">
        <is>
          <t>Central de Alarmes</t>
        </is>
      </c>
      <c r="K969" s="1752" t="inlineStr">
        <is>
          <t>vb</t>
        </is>
      </c>
      <c r="L969" s="1753" t="n">
        <v>1</v>
      </c>
      <c r="M969" s="1753" t="n">
        <v>8505.055</v>
      </c>
      <c r="N969" s="1754" t="n">
        <v>8505.055</v>
      </c>
      <c r="O969" s="1755" t="inlineStr">
        <is>
          <t>quantidades confirme quantidades do projetista</t>
        </is>
      </c>
      <c r="P969" s="1721" t="inlineStr">
        <is>
          <t>Pendente</t>
        </is>
      </c>
    </row>
    <row r="970" hidden="1" outlineLevel="2" ht="13.9" customHeight="1">
      <c r="A970" s="2117" t="n">
        <v>0</v>
      </c>
      <c r="B970" s="2117" t="n">
        <v>8</v>
      </c>
      <c r="C970" s="2117" t="n">
        <v>2</v>
      </c>
      <c r="D970" s="2118" t="n">
        <v>6</v>
      </c>
      <c r="E970" s="2118" t="n">
        <v>0</v>
      </c>
      <c r="G970" s="1740" t="n"/>
      <c r="H970" s="1741" t="inlineStr">
        <is>
          <t>SUBETAPA</t>
        </is>
      </c>
      <c r="I970" s="1742" t="inlineStr">
        <is>
          <t>08.002.006</t>
        </is>
      </c>
      <c r="J970" s="1743" t="inlineStr">
        <is>
          <t>Sistema de bombas</t>
        </is>
      </c>
      <c r="K970" s="1744" t="n"/>
      <c r="L970" s="1745" t="n"/>
      <c r="M970" s="1745" t="n"/>
      <c r="N970" s="1746" t="n">
        <v>0</v>
      </c>
      <c r="O970" s="1747" t="n"/>
      <c r="P970" s="1720" t="n"/>
    </row>
    <row r="971" hidden="1" outlineLevel="3" ht="13.9" customHeight="1">
      <c r="A971" s="2117" t="n">
        <v>0</v>
      </c>
      <c r="B971" s="2117" t="n">
        <v>8</v>
      </c>
      <c r="C971" s="2117" t="n">
        <v>2</v>
      </c>
      <c r="D971" s="2118" t="n">
        <v>6</v>
      </c>
      <c r="E971" s="2118" t="n">
        <v>1</v>
      </c>
      <c r="G971" s="1790" t="inlineStr">
        <is>
          <t>INSTALAÇÕES PREVENTIVAS</t>
        </is>
      </c>
      <c r="H971" s="1749" t="inlineStr">
        <is>
          <t>SERVIÇO</t>
        </is>
      </c>
      <c r="I971" s="1750" t="inlineStr">
        <is>
          <t>08.002.006.001</t>
        </is>
      </c>
      <c r="J971" s="1751" t="inlineStr">
        <is>
          <t>Sistema de bombas</t>
        </is>
      </c>
      <c r="K971" s="1752" t="inlineStr">
        <is>
          <t>vb</t>
        </is>
      </c>
      <c r="L971" s="1753" t="n">
        <v>1</v>
      </c>
      <c r="M971" s="1753" t="n"/>
      <c r="N971" s="1754" t="n">
        <v>0</v>
      </c>
      <c r="O971" s="1755" t="inlineStr">
        <is>
          <t>quantidades confirme quantidades do projetista</t>
        </is>
      </c>
      <c r="P971" s="1721" t="inlineStr">
        <is>
          <t>Pendente</t>
        </is>
      </c>
    </row>
    <row r="972" hidden="1" outlineLevel="2" ht="13.9" customHeight="1">
      <c r="A972" s="2117" t="n">
        <v>0</v>
      </c>
      <c r="B972" s="2117" t="n">
        <v>8</v>
      </c>
      <c r="C972" s="2117" t="n">
        <v>2</v>
      </c>
      <c r="D972" s="2118" t="n">
        <v>7</v>
      </c>
      <c r="E972" s="2118" t="n">
        <v>0</v>
      </c>
      <c r="G972" s="1740" t="n"/>
      <c r="H972" s="1741" t="inlineStr">
        <is>
          <t>SUBETAPA</t>
        </is>
      </c>
      <c r="I972" s="1742" t="inlineStr">
        <is>
          <t>08.002.007</t>
        </is>
      </c>
      <c r="J972" s="1743" t="inlineStr">
        <is>
          <t>Mão de obra</t>
        </is>
      </c>
      <c r="K972" s="1744" t="n"/>
      <c r="L972" s="1745" t="n"/>
      <c r="M972" s="1745" t="n"/>
      <c r="N972" s="1746" t="n">
        <v>4005.75</v>
      </c>
      <c r="O972" s="1747" t="n"/>
      <c r="P972" s="1720" t="n"/>
    </row>
    <row r="973" hidden="1" outlineLevel="3" ht="13.9" customHeight="1">
      <c r="A973" s="2117" t="n">
        <v>0</v>
      </c>
      <c r="B973" s="2117" t="n">
        <v>8</v>
      </c>
      <c r="C973" s="2117" t="n">
        <v>2</v>
      </c>
      <c r="D973" s="2118" t="n">
        <v>7</v>
      </c>
      <c r="E973" s="2118" t="n">
        <v>1</v>
      </c>
      <c r="G973" s="1790" t="inlineStr">
        <is>
          <t>INSTALAÇÕES PREVENTIVAS</t>
        </is>
      </c>
      <c r="H973" s="1749" t="inlineStr">
        <is>
          <t>SERVIÇO</t>
        </is>
      </c>
      <c r="I973" s="1750" t="inlineStr">
        <is>
          <t>08.002.007.001</t>
        </is>
      </c>
      <c r="J973" s="1751" t="inlineStr">
        <is>
          <t>Mão de obra PPCI</t>
        </is>
      </c>
      <c r="K973" s="1752" t="inlineStr">
        <is>
          <t>vb</t>
        </is>
      </c>
      <c r="L973" s="1753" t="n">
        <v>1</v>
      </c>
      <c r="M973" s="1753" t="n">
        <v>4005.75</v>
      </c>
      <c r="N973" s="1754" t="n">
        <v>4005.75</v>
      </c>
      <c r="O973" s="1765" t="inlineStr">
        <is>
          <t>Considerado R$5/m²</t>
        </is>
      </c>
      <c r="P973" s="1721" t="inlineStr">
        <is>
          <t>Pendente</t>
        </is>
      </c>
    </row>
    <row r="974" hidden="1" outlineLevel="1" ht="13.9" customHeight="1">
      <c r="A974" s="2117" t="n">
        <v>0</v>
      </c>
      <c r="B974" s="2117" t="n">
        <v>8</v>
      </c>
      <c r="C974" s="2117" t="n">
        <v>3</v>
      </c>
      <c r="D974" s="2118" t="n">
        <v>0</v>
      </c>
      <c r="E974" s="2118" t="n">
        <v>1</v>
      </c>
      <c r="G974" s="1733" t="n"/>
      <c r="H974" s="1734" t="inlineStr">
        <is>
          <t>ETAPA</t>
        </is>
      </c>
      <c r="I974" s="1735" t="inlineStr">
        <is>
          <t>08.003</t>
        </is>
      </c>
      <c r="J974" s="1736" t="inlineStr">
        <is>
          <t>INSTALAÇÕES PREVENTIVAS - G2</t>
        </is>
      </c>
      <c r="K974" s="1737" t="n"/>
      <c r="L974" s="1738" t="n"/>
      <c r="M974" s="1738" t="n"/>
      <c r="N974" s="1739" t="n">
        <v>206623.302</v>
      </c>
      <c r="O974" s="1722" t="n"/>
      <c r="P974" s="1725" t="n"/>
    </row>
    <row r="975" hidden="1" outlineLevel="2" ht="13.9" customHeight="1">
      <c r="A975" s="2117" t="n">
        <v>0</v>
      </c>
      <c r="B975" s="2117" t="n">
        <v>8</v>
      </c>
      <c r="C975" s="2117" t="n">
        <v>3</v>
      </c>
      <c r="D975" s="2118" t="n">
        <v>1</v>
      </c>
      <c r="E975" s="2118" t="n">
        <v>0</v>
      </c>
      <c r="G975" s="1740" t="n"/>
      <c r="H975" s="1741" t="inlineStr">
        <is>
          <t>SUBETAPA</t>
        </is>
      </c>
      <c r="I975" s="1742" t="inlineStr">
        <is>
          <t>08.003.001</t>
        </is>
      </c>
      <c r="J975" s="1743" t="inlineStr">
        <is>
          <t>Hidrantes</t>
        </is>
      </c>
      <c r="K975" s="1744" t="n"/>
      <c r="L975" s="1745" t="n"/>
      <c r="M975" s="1745" t="n"/>
      <c r="N975" s="1746" t="n">
        <v>5453.5</v>
      </c>
      <c r="O975" s="1747" t="n"/>
      <c r="P975" s="1720" t="n"/>
    </row>
    <row r="976" hidden="1" outlineLevel="3" ht="13.9" customHeight="1">
      <c r="A976" s="2117" t="n">
        <v>0</v>
      </c>
      <c r="B976" s="2117" t="n">
        <v>8</v>
      </c>
      <c r="C976" s="2117" t="n">
        <v>3</v>
      </c>
      <c r="D976" s="2118" t="n">
        <v>1</v>
      </c>
      <c r="E976" s="2118" t="n">
        <v>1</v>
      </c>
      <c r="G976" s="1790" t="inlineStr">
        <is>
          <t>INSTALAÇÕES PREVENTIVAS</t>
        </is>
      </c>
      <c r="H976" s="1749" t="inlineStr">
        <is>
          <t>SERVIÇO</t>
        </is>
      </c>
      <c r="I976" s="1750" t="inlineStr">
        <is>
          <t>08.003.001.001</t>
        </is>
      </c>
      <c r="J976" s="1751" t="inlineStr">
        <is>
          <t>Hidrantes</t>
        </is>
      </c>
      <c r="K976" s="1752" t="inlineStr">
        <is>
          <t>vb</t>
        </is>
      </c>
      <c r="L976" s="1753" t="n">
        <v>1</v>
      </c>
      <c r="M976" s="1753" t="n">
        <v>5453.5</v>
      </c>
      <c r="N976" s="1754" t="n">
        <v>5453.5</v>
      </c>
      <c r="O976" s="1755" t="inlineStr">
        <is>
          <t>quantidades confirme quantidades do projetista</t>
        </is>
      </c>
      <c r="P976" s="1721" t="inlineStr">
        <is>
          <t>Pendente</t>
        </is>
      </c>
    </row>
    <row r="977" hidden="1" outlineLevel="2" ht="13.9" customHeight="1">
      <c r="A977" s="2117" t="n">
        <v>0</v>
      </c>
      <c r="B977" s="2117" t="n">
        <v>8</v>
      </c>
      <c r="C977" s="2117" t="n">
        <v>3</v>
      </c>
      <c r="D977" s="2118" t="n">
        <v>2</v>
      </c>
      <c r="E977" s="2118" t="n">
        <v>0</v>
      </c>
      <c r="G977" s="1740" t="n"/>
      <c r="H977" s="1741" t="inlineStr">
        <is>
          <t>SUBETAPA</t>
        </is>
      </c>
      <c r="I977" s="1742" t="inlineStr">
        <is>
          <t>08.003.002</t>
        </is>
      </c>
      <c r="J977" s="1743" t="inlineStr">
        <is>
          <t xml:space="preserve">Sinalização de emergência e extintores </t>
        </is>
      </c>
      <c r="K977" s="1744" t="n"/>
      <c r="L977" s="1745" t="n"/>
      <c r="M977" s="1745" t="n"/>
      <c r="N977" s="1746" t="n">
        <v>2033.84</v>
      </c>
      <c r="O977" s="1747" t="n"/>
      <c r="P977" s="1720" t="n"/>
    </row>
    <row r="978" hidden="1" outlineLevel="3" ht="13.9" customHeight="1">
      <c r="A978" s="2117" t="n">
        <v>0</v>
      </c>
      <c r="B978" s="2117" t="n">
        <v>8</v>
      </c>
      <c r="C978" s="2117" t="n">
        <v>3</v>
      </c>
      <c r="D978" s="2118" t="n">
        <v>2</v>
      </c>
      <c r="E978" s="2118" t="n">
        <v>1</v>
      </c>
      <c r="G978" s="1790" t="inlineStr">
        <is>
          <t>INSTALAÇÕES PREVENTIVAS</t>
        </is>
      </c>
      <c r="H978" s="1749" t="inlineStr">
        <is>
          <t>SERVIÇO</t>
        </is>
      </c>
      <c r="I978" s="1750" t="inlineStr">
        <is>
          <t>08.003.002.001</t>
        </is>
      </c>
      <c r="J978" s="1751" t="inlineStr">
        <is>
          <t xml:space="preserve">Sinalização de emergência e extintores </t>
        </is>
      </c>
      <c r="K978" s="1752" t="inlineStr">
        <is>
          <t>vb</t>
        </is>
      </c>
      <c r="L978" s="1753" t="n">
        <v>1</v>
      </c>
      <c r="M978" s="1753" t="n">
        <v>2033.84</v>
      </c>
      <c r="N978" s="1754" t="n">
        <v>2033.84</v>
      </c>
      <c r="O978" s="1755" t="inlineStr">
        <is>
          <t>quantidades confirme quantidades do projetista</t>
        </is>
      </c>
      <c r="P978" s="1721" t="inlineStr">
        <is>
          <t>Pendente</t>
        </is>
      </c>
    </row>
    <row r="979" hidden="1" outlineLevel="2" ht="13.9" customHeight="1">
      <c r="A979" s="2117" t="n">
        <v>0</v>
      </c>
      <c r="B979" s="2117" t="n">
        <v>8</v>
      </c>
      <c r="C979" s="2117" t="n">
        <v>3</v>
      </c>
      <c r="D979" s="2118" t="n">
        <v>3</v>
      </c>
      <c r="E979" s="2118" t="n">
        <v>0</v>
      </c>
      <c r="G979" s="1740" t="n"/>
      <c r="H979" s="1741" t="inlineStr">
        <is>
          <t>SUBETAPA</t>
        </is>
      </c>
      <c r="I979" s="1742" t="inlineStr">
        <is>
          <t>08.003.003</t>
        </is>
      </c>
      <c r="J979" s="1743" t="inlineStr">
        <is>
          <t>Sprinkles</t>
        </is>
      </c>
      <c r="K979" s="1744" t="n"/>
      <c r="L979" s="1745" t="n"/>
      <c r="M979" s="1745" t="n"/>
      <c r="N979" s="1746" t="n">
        <v>187329.8</v>
      </c>
      <c r="O979" s="1747" t="n"/>
      <c r="P979" s="1720" t="n"/>
    </row>
    <row r="980" hidden="1" outlineLevel="3" ht="13.9" customHeight="1">
      <c r="A980" s="2117" t="n">
        <v>0</v>
      </c>
      <c r="B980" s="2117" t="n">
        <v>8</v>
      </c>
      <c r="C980" s="2117" t="n">
        <v>3</v>
      </c>
      <c r="D980" s="2118" t="n">
        <v>3</v>
      </c>
      <c r="E980" s="2118" t="n">
        <v>1</v>
      </c>
      <c r="G980" s="1790" t="inlineStr">
        <is>
          <t>INSTALAÇÕES PREVENTIVAS</t>
        </is>
      </c>
      <c r="H980" s="1749" t="inlineStr">
        <is>
          <t>SERVIÇO</t>
        </is>
      </c>
      <c r="I980" s="1750" t="inlineStr">
        <is>
          <t>08.003.003.001</t>
        </is>
      </c>
      <c r="J980" s="1751" t="inlineStr">
        <is>
          <t>Sprinkles</t>
        </is>
      </c>
      <c r="K980" s="1752" t="inlineStr">
        <is>
          <t>vb</t>
        </is>
      </c>
      <c r="L980" s="1753" t="n">
        <v>1</v>
      </c>
      <c r="M980" s="1753" t="n">
        <v>187329.8</v>
      </c>
      <c r="N980" s="1754" t="n">
        <v>187329.8</v>
      </c>
      <c r="O980" s="1755" t="inlineStr">
        <is>
          <t>quantidades confirme quantidades do projetista</t>
        </is>
      </c>
      <c r="P980" s="1721" t="inlineStr">
        <is>
          <t>Pendente</t>
        </is>
      </c>
    </row>
    <row r="981" hidden="1" outlineLevel="2" ht="13.9" customHeight="1">
      <c r="A981" s="2117" t="n">
        <v>0</v>
      </c>
      <c r="B981" s="2117" t="n">
        <v>8</v>
      </c>
      <c r="C981" s="2117" t="n">
        <v>3</v>
      </c>
      <c r="D981" s="2118" t="n">
        <v>4</v>
      </c>
      <c r="E981" s="2118" t="n">
        <v>0</v>
      </c>
      <c r="G981" s="1740" t="n"/>
      <c r="H981" s="1741" t="inlineStr">
        <is>
          <t>SUBETAPA</t>
        </is>
      </c>
      <c r="I981" s="1742" t="inlineStr">
        <is>
          <t>08.003.004</t>
        </is>
      </c>
      <c r="J981" s="1743" t="inlineStr">
        <is>
          <t>Instalações de proteção e aterramento -SPDA</t>
        </is>
      </c>
      <c r="K981" s="1744" t="n"/>
      <c r="L981" s="1745" t="n"/>
      <c r="M981" s="1745" t="n"/>
      <c r="N981" s="1746" t="n">
        <v>0</v>
      </c>
      <c r="O981" s="1747" t="n"/>
      <c r="P981" s="1720" t="n"/>
    </row>
    <row r="982" hidden="1" outlineLevel="3" ht="13.9" customHeight="1">
      <c r="A982" s="2117" t="n">
        <v>0</v>
      </c>
      <c r="B982" s="2117" t="n">
        <v>8</v>
      </c>
      <c r="C982" s="2117" t="n">
        <v>3</v>
      </c>
      <c r="D982" s="2118" t="n">
        <v>4</v>
      </c>
      <c r="E982" s="2118" t="n">
        <v>1</v>
      </c>
      <c r="G982" s="1790" t="inlineStr">
        <is>
          <t>INSTALAÇÕES PREVENTIVAS</t>
        </is>
      </c>
      <c r="H982" s="1749" t="inlineStr">
        <is>
          <t>SERVIÇO</t>
        </is>
      </c>
      <c r="I982" s="1750" t="inlineStr">
        <is>
          <t>08.003.004.001</t>
        </is>
      </c>
      <c r="J982" s="1751" t="inlineStr">
        <is>
          <t>Instalações de proteção e aterramento -SPDA</t>
        </is>
      </c>
      <c r="K982" s="1752" t="inlineStr">
        <is>
          <t>vb</t>
        </is>
      </c>
      <c r="L982" s="1753" t="n">
        <v>1</v>
      </c>
      <c r="M982" s="1753" t="n">
        <v>0</v>
      </c>
      <c r="N982" s="1754" t="n">
        <v>0</v>
      </c>
      <c r="O982" s="1755" t="inlineStr">
        <is>
          <t>Estimado devido a ausencia de quantitativos</t>
        </is>
      </c>
      <c r="P982" s="1721" t="inlineStr">
        <is>
          <t>Pendente</t>
        </is>
      </c>
    </row>
    <row r="983" hidden="1" outlineLevel="2" ht="13.9" customHeight="1">
      <c r="A983" s="2117" t="n">
        <v>0</v>
      </c>
      <c r="B983" s="2117" t="n">
        <v>8</v>
      </c>
      <c r="C983" s="2117" t="n">
        <v>3</v>
      </c>
      <c r="D983" s="2118" t="n">
        <v>5</v>
      </c>
      <c r="E983" s="2118" t="n">
        <v>0</v>
      </c>
      <c r="G983" s="1740" t="n"/>
      <c r="H983" s="1741" t="inlineStr">
        <is>
          <t>SUBETAPA</t>
        </is>
      </c>
      <c r="I983" s="1742" t="inlineStr">
        <is>
          <t>08.003.005</t>
        </is>
      </c>
      <c r="J983" s="1743" t="inlineStr">
        <is>
          <t>Central de Alarmes</t>
        </is>
      </c>
      <c r="K983" s="1744" t="n"/>
      <c r="L983" s="1745" t="n"/>
      <c r="M983" s="1745" t="n"/>
      <c r="N983" s="1746" t="n">
        <v>7413.662</v>
      </c>
      <c r="O983" s="1747" t="n"/>
      <c r="P983" s="1720" t="n"/>
    </row>
    <row r="984" hidden="1" outlineLevel="3" ht="13.9" customHeight="1">
      <c r="A984" s="2117" t="n">
        <v>0</v>
      </c>
      <c r="B984" s="2117" t="n">
        <v>8</v>
      </c>
      <c r="C984" s="2117" t="n">
        <v>3</v>
      </c>
      <c r="D984" s="2118" t="n">
        <v>5</v>
      </c>
      <c r="E984" s="2118" t="n">
        <v>1</v>
      </c>
      <c r="G984" s="1790" t="inlineStr">
        <is>
          <t>INSTALAÇÕES PREVENTIVAS</t>
        </is>
      </c>
      <c r="H984" s="1749" t="inlineStr">
        <is>
          <t>SERVIÇO</t>
        </is>
      </c>
      <c r="I984" s="1750" t="inlineStr">
        <is>
          <t>08.003.005.001</t>
        </is>
      </c>
      <c r="J984" s="1751" t="inlineStr">
        <is>
          <t>Central de Alarmes</t>
        </is>
      </c>
      <c r="K984" s="1752" t="inlineStr">
        <is>
          <t>vb</t>
        </is>
      </c>
      <c r="L984" s="1753" t="n">
        <v>1</v>
      </c>
      <c r="M984" s="1753" t="n">
        <v>7413.662000000001</v>
      </c>
      <c r="N984" s="1754" t="n">
        <v>7413.662</v>
      </c>
      <c r="O984" s="1755" t="inlineStr">
        <is>
          <t>quantidades confirme quantidades do projetista</t>
        </is>
      </c>
      <c r="P984" s="1721" t="inlineStr">
        <is>
          <t>Pendente</t>
        </is>
      </c>
    </row>
    <row r="985" hidden="1" outlineLevel="2" ht="13.9" customHeight="1">
      <c r="A985" s="2117" t="n">
        <v>0</v>
      </c>
      <c r="B985" s="2117" t="n">
        <v>8</v>
      </c>
      <c r="C985" s="2117" t="n">
        <v>3</v>
      </c>
      <c r="D985" s="2118" t="n">
        <v>6</v>
      </c>
      <c r="E985" s="2118" t="n">
        <v>0</v>
      </c>
      <c r="G985" s="1740" t="n"/>
      <c r="H985" s="1741" t="inlineStr">
        <is>
          <t>SUBETAPA</t>
        </is>
      </c>
      <c r="I985" s="1742" t="inlineStr">
        <is>
          <t>08.003.006</t>
        </is>
      </c>
      <c r="J985" s="1743" t="inlineStr">
        <is>
          <t>Sistema de bombas</t>
        </is>
      </c>
      <c r="K985" s="1744" t="n"/>
      <c r="L985" s="1745" t="n"/>
      <c r="M985" s="1745" t="n"/>
      <c r="N985" s="1746" t="n">
        <v>0</v>
      </c>
      <c r="O985" s="1747" t="n"/>
      <c r="P985" s="1720" t="n"/>
    </row>
    <row r="986" hidden="1" outlineLevel="3" ht="13.9" customHeight="1">
      <c r="A986" s="2117" t="n">
        <v>0</v>
      </c>
      <c r="B986" s="2117" t="n">
        <v>8</v>
      </c>
      <c r="C986" s="2117" t="n">
        <v>3</v>
      </c>
      <c r="D986" s="2118" t="n">
        <v>6</v>
      </c>
      <c r="E986" s="2118" t="n">
        <v>1</v>
      </c>
      <c r="G986" s="1790" t="inlineStr">
        <is>
          <t>INSTALAÇÕES PREVENTIVAS</t>
        </is>
      </c>
      <c r="H986" s="1749" t="inlineStr">
        <is>
          <t>SERVIÇO</t>
        </is>
      </c>
      <c r="I986" s="1750" t="inlineStr">
        <is>
          <t>08.003.006.001</t>
        </is>
      </c>
      <c r="J986" s="1751" t="inlineStr">
        <is>
          <t>Sistema de bombas</t>
        </is>
      </c>
      <c r="K986" s="1752" t="inlineStr">
        <is>
          <t>vb</t>
        </is>
      </c>
      <c r="L986" s="1753" t="n">
        <v>1</v>
      </c>
      <c r="M986" s="1753" t="n">
        <v>0</v>
      </c>
      <c r="N986" s="1754" t="n">
        <v>0</v>
      </c>
      <c r="O986" s="1755" t="inlineStr">
        <is>
          <t>quantidades confirme quantidades do projetista</t>
        </is>
      </c>
      <c r="P986" s="1721" t="inlineStr">
        <is>
          <t>Pendente</t>
        </is>
      </c>
    </row>
    <row r="987" hidden="1" outlineLevel="2" ht="13.9" customHeight="1">
      <c r="A987" s="2117" t="n">
        <v>0</v>
      </c>
      <c r="B987" s="2117" t="n">
        <v>8</v>
      </c>
      <c r="C987" s="2117" t="n">
        <v>3</v>
      </c>
      <c r="D987" s="2118" t="n">
        <v>7</v>
      </c>
      <c r="E987" s="2118" t="n">
        <v>0</v>
      </c>
      <c r="G987" s="1740" t="n"/>
      <c r="H987" s="1741" t="inlineStr">
        <is>
          <t>SUBETAPA</t>
        </is>
      </c>
      <c r="I987" s="1742" t="inlineStr">
        <is>
          <t>08.003.007</t>
        </is>
      </c>
      <c r="J987" s="1743" t="inlineStr">
        <is>
          <t>Mão de obra</t>
        </is>
      </c>
      <c r="K987" s="1744" t="n"/>
      <c r="L987" s="1745" t="n"/>
      <c r="M987" s="1745" t="n"/>
      <c r="N987" s="1746" t="n">
        <v>4392.5</v>
      </c>
      <c r="O987" s="1747" t="n"/>
      <c r="P987" s="1720" t="n"/>
    </row>
    <row r="988" hidden="1" outlineLevel="3" ht="13.9" customHeight="1">
      <c r="A988" s="2117" t="n">
        <v>0</v>
      </c>
      <c r="B988" s="2117" t="n">
        <v>8</v>
      </c>
      <c r="C988" s="2117" t="n">
        <v>3</v>
      </c>
      <c r="D988" s="2118" t="n">
        <v>7</v>
      </c>
      <c r="E988" s="2118" t="n">
        <v>1</v>
      </c>
      <c r="G988" s="1790" t="inlineStr">
        <is>
          <t>INSTALAÇÕES PREVENTIVAS</t>
        </is>
      </c>
      <c r="H988" s="1749" t="inlineStr">
        <is>
          <t>SERVIÇO</t>
        </is>
      </c>
      <c r="I988" s="1750" t="inlineStr">
        <is>
          <t>08.003.007.001</t>
        </is>
      </c>
      <c r="J988" s="1751" t="inlineStr">
        <is>
          <t>Mão de obra PPCI</t>
        </is>
      </c>
      <c r="K988" s="1752" t="inlineStr">
        <is>
          <t>vb</t>
        </is>
      </c>
      <c r="L988" s="1753" t="n">
        <v>1</v>
      </c>
      <c r="M988" s="1753" t="n">
        <v>4392.5</v>
      </c>
      <c r="N988" s="1754" t="n">
        <v>4392.5</v>
      </c>
      <c r="O988" s="1765" t="inlineStr">
        <is>
          <t>Considerado R$5/m²</t>
        </is>
      </c>
      <c r="P988" s="1721" t="inlineStr">
        <is>
          <t>Pendente</t>
        </is>
      </c>
    </row>
    <row r="989" hidden="1" outlineLevel="1" ht="13.9" customHeight="1">
      <c r="A989" s="2117" t="n">
        <v>0</v>
      </c>
      <c r="B989" s="2117" t="n">
        <v>8</v>
      </c>
      <c r="C989" s="2117" t="n">
        <v>4</v>
      </c>
      <c r="D989" s="2118" t="n">
        <v>0</v>
      </c>
      <c r="E989" s="2118" t="n">
        <v>1</v>
      </c>
      <c r="G989" s="1733" t="n"/>
      <c r="H989" s="1734" t="inlineStr">
        <is>
          <t>ETAPA</t>
        </is>
      </c>
      <c r="I989" s="1735" t="inlineStr">
        <is>
          <t>08.004</t>
        </is>
      </c>
      <c r="J989" s="1736" t="inlineStr">
        <is>
          <t>INSTALAÇÕES PREVENTIVAS - Mezanino G2</t>
        </is>
      </c>
      <c r="K989" s="1737" t="n"/>
      <c r="L989" s="1738" t="n"/>
      <c r="M989" s="1738" t="n"/>
      <c r="N989" s="1739" t="n">
        <v>219050.859</v>
      </c>
      <c r="O989" s="1722" t="n"/>
      <c r="P989" s="1725" t="n"/>
    </row>
    <row r="990" hidden="1" outlineLevel="2" ht="13.9" customHeight="1">
      <c r="A990" s="2117" t="n">
        <v>0</v>
      </c>
      <c r="B990" s="2117" t="n">
        <v>8</v>
      </c>
      <c r="C990" s="2117" t="n">
        <v>4</v>
      </c>
      <c r="D990" s="2118" t="n">
        <v>1</v>
      </c>
      <c r="E990" s="2118" t="n">
        <v>0</v>
      </c>
      <c r="G990" s="1740" t="n"/>
      <c r="H990" s="1741" t="inlineStr">
        <is>
          <t>SUBETAPA</t>
        </is>
      </c>
      <c r="I990" s="1742" t="inlineStr">
        <is>
          <t>08.004.001</t>
        </is>
      </c>
      <c r="J990" s="1743" t="inlineStr">
        <is>
          <t>Hidrantes</t>
        </is>
      </c>
      <c r="K990" s="1744" t="n"/>
      <c r="L990" s="1745" t="n"/>
      <c r="M990" s="1745" t="n"/>
      <c r="N990" s="1746" t="n">
        <v>5453.5</v>
      </c>
      <c r="O990" s="1747" t="n"/>
      <c r="P990" s="1720" t="n"/>
    </row>
    <row r="991" hidden="1" outlineLevel="3" ht="13.9" customHeight="1">
      <c r="A991" s="2117" t="n">
        <v>0</v>
      </c>
      <c r="B991" s="2117" t="n">
        <v>8</v>
      </c>
      <c r="C991" s="2117" t="n">
        <v>4</v>
      </c>
      <c r="D991" s="2118" t="n">
        <v>1</v>
      </c>
      <c r="E991" s="2118" t="n">
        <v>1</v>
      </c>
      <c r="G991" s="1790" t="inlineStr">
        <is>
          <t>INSTALAÇÕES PREVENTIVAS</t>
        </is>
      </c>
      <c r="H991" s="1749" t="inlineStr">
        <is>
          <t>SERVIÇO</t>
        </is>
      </c>
      <c r="I991" s="1750" t="inlineStr">
        <is>
          <t>08.004.001.001</t>
        </is>
      </c>
      <c r="J991" s="1751" t="inlineStr">
        <is>
          <t>Hidrantes</t>
        </is>
      </c>
      <c r="K991" s="1752" t="inlineStr">
        <is>
          <t>vb</t>
        </is>
      </c>
      <c r="L991" s="1753" t="n">
        <v>1</v>
      </c>
      <c r="M991" s="1753" t="n">
        <v>5453.5</v>
      </c>
      <c r="N991" s="1754" t="n">
        <v>5453.5</v>
      </c>
      <c r="O991" s="1755" t="inlineStr">
        <is>
          <t>quantidades confirme quantidades do projetista</t>
        </is>
      </c>
      <c r="P991" s="1721" t="inlineStr">
        <is>
          <t>Pendente</t>
        </is>
      </c>
    </row>
    <row r="992" hidden="1" outlineLevel="2" ht="13.9" customHeight="1">
      <c r="A992" s="2117" t="n">
        <v>0</v>
      </c>
      <c r="B992" s="2117" t="n">
        <v>8</v>
      </c>
      <c r="C992" s="2117" t="n">
        <v>4</v>
      </c>
      <c r="D992" s="2118" t="n">
        <v>2</v>
      </c>
      <c r="E992" s="2118" t="n">
        <v>0</v>
      </c>
      <c r="G992" s="1740" t="n"/>
      <c r="H992" s="1741" t="inlineStr">
        <is>
          <t>SUBETAPA</t>
        </is>
      </c>
      <c r="I992" s="1742" t="inlineStr">
        <is>
          <t>08.004.002</t>
        </is>
      </c>
      <c r="J992" s="1743" t="inlineStr">
        <is>
          <t xml:space="preserve">Sinalização de emergência e extintores </t>
        </is>
      </c>
      <c r="K992" s="1744" t="n"/>
      <c r="L992" s="1745" t="n"/>
      <c r="M992" s="1745" t="n"/>
      <c r="N992" s="1746" t="n">
        <v>2028.04</v>
      </c>
      <c r="O992" s="1747" t="n"/>
      <c r="P992" s="1720" t="n"/>
    </row>
    <row r="993" hidden="1" outlineLevel="3" ht="13.9" customHeight="1">
      <c r="A993" s="2117" t="n">
        <v>0</v>
      </c>
      <c r="B993" s="2117" t="n">
        <v>8</v>
      </c>
      <c r="C993" s="2117" t="n">
        <v>4</v>
      </c>
      <c r="D993" s="2118" t="n">
        <v>2</v>
      </c>
      <c r="E993" s="2118" t="n">
        <v>1</v>
      </c>
      <c r="G993" s="1790" t="inlineStr">
        <is>
          <t>INSTALAÇÕES PREVENTIVAS</t>
        </is>
      </c>
      <c r="H993" s="1749" t="inlineStr">
        <is>
          <t>SERVIÇO</t>
        </is>
      </c>
      <c r="I993" s="1750" t="inlineStr">
        <is>
          <t>08.004.002.001</t>
        </is>
      </c>
      <c r="J993" s="1751" t="inlineStr">
        <is>
          <t xml:space="preserve">Sinalização de emergência e extintores </t>
        </is>
      </c>
      <c r="K993" s="1752" t="inlineStr">
        <is>
          <t>vb</t>
        </is>
      </c>
      <c r="L993" s="1753" t="n">
        <v>1</v>
      </c>
      <c r="M993" s="1753" t="n">
        <v>2028.04</v>
      </c>
      <c r="N993" s="1754" t="n">
        <v>2028.04</v>
      </c>
      <c r="O993" s="1755" t="inlineStr">
        <is>
          <t>quantidades confirme quantidades do projetista</t>
        </is>
      </c>
      <c r="P993" s="1721" t="inlineStr">
        <is>
          <t>Pendente</t>
        </is>
      </c>
    </row>
    <row r="994" hidden="1" outlineLevel="2" ht="13.9" customHeight="1">
      <c r="A994" s="2117" t="n">
        <v>0</v>
      </c>
      <c r="B994" s="2117" t="n">
        <v>8</v>
      </c>
      <c r="C994" s="2117" t="n">
        <v>4</v>
      </c>
      <c r="D994" s="2118" t="n">
        <v>3</v>
      </c>
      <c r="E994" s="2118" t="n">
        <v>0</v>
      </c>
      <c r="G994" s="1740" t="n"/>
      <c r="H994" s="1741" t="inlineStr">
        <is>
          <t>SUBETAPA</t>
        </is>
      </c>
      <c r="I994" s="1742" t="inlineStr">
        <is>
          <t>08.004.003</t>
        </is>
      </c>
      <c r="J994" s="1743" t="inlineStr">
        <is>
          <t>Sprinkles</t>
        </is>
      </c>
      <c r="K994" s="1744" t="n"/>
      <c r="L994" s="1745" t="n"/>
      <c r="M994" s="1745" t="n"/>
      <c r="N994" s="1746" t="n">
        <v>199625.6</v>
      </c>
      <c r="O994" s="1747" t="n"/>
      <c r="P994" s="1720" t="n"/>
    </row>
    <row r="995" hidden="1" outlineLevel="3" ht="13.9" customHeight="1">
      <c r="A995" s="2117" t="n">
        <v>0</v>
      </c>
      <c r="B995" s="2117" t="n">
        <v>8</v>
      </c>
      <c r="C995" s="2117" t="n">
        <v>4</v>
      </c>
      <c r="D995" s="2118" t="n">
        <v>3</v>
      </c>
      <c r="E995" s="2118" t="n">
        <v>1</v>
      </c>
      <c r="G995" s="1790" t="inlineStr">
        <is>
          <t>INSTALAÇÕES PREVENTIVAS</t>
        </is>
      </c>
      <c r="H995" s="1749" t="inlineStr">
        <is>
          <t>SERVIÇO</t>
        </is>
      </c>
      <c r="I995" s="1750" t="inlineStr">
        <is>
          <t>08.004.003.001</t>
        </is>
      </c>
      <c r="J995" s="1751" t="inlineStr">
        <is>
          <t>Sprinkles</t>
        </is>
      </c>
      <c r="K995" s="1752" t="inlineStr">
        <is>
          <t>vb</t>
        </is>
      </c>
      <c r="L995" s="1753" t="n">
        <v>1</v>
      </c>
      <c r="M995" s="1753" t="n">
        <v>199625.6</v>
      </c>
      <c r="N995" s="1754" t="n">
        <v>199625.6</v>
      </c>
      <c r="O995" s="1755" t="inlineStr">
        <is>
          <t>quantidades confirme quantidades do projetista</t>
        </is>
      </c>
      <c r="P995" s="1721" t="inlineStr">
        <is>
          <t>Pendente</t>
        </is>
      </c>
    </row>
    <row r="996" hidden="1" outlineLevel="2" ht="13.9" customHeight="1">
      <c r="A996" s="2117" t="n">
        <v>0</v>
      </c>
      <c r="B996" s="2117" t="n">
        <v>8</v>
      </c>
      <c r="C996" s="2117" t="n">
        <v>4</v>
      </c>
      <c r="D996" s="2118" t="n">
        <v>4</v>
      </c>
      <c r="E996" s="2118" t="n">
        <v>0</v>
      </c>
      <c r="G996" s="1740" t="n"/>
      <c r="H996" s="1741" t="inlineStr">
        <is>
          <t>SUBETAPA</t>
        </is>
      </c>
      <c r="I996" s="1742" t="inlineStr">
        <is>
          <t>08.004.004</t>
        </is>
      </c>
      <c r="J996" s="1743" t="inlineStr">
        <is>
          <t>Instalações de proteção e aterramento -SPDA</t>
        </is>
      </c>
      <c r="K996" s="1744" t="n"/>
      <c r="L996" s="1745" t="n"/>
      <c r="M996" s="1745" t="n"/>
      <c r="N996" s="1746" t="n">
        <v>0</v>
      </c>
      <c r="O996" s="1747" t="n"/>
      <c r="P996" s="1720" t="n"/>
    </row>
    <row r="997" hidden="1" outlineLevel="3" ht="13.9" customHeight="1">
      <c r="A997" s="2117" t="n">
        <v>0</v>
      </c>
      <c r="B997" s="2117" t="n">
        <v>8</v>
      </c>
      <c r="C997" s="2117" t="n">
        <v>4</v>
      </c>
      <c r="D997" s="2118" t="n">
        <v>4</v>
      </c>
      <c r="E997" s="2118" t="n">
        <v>1</v>
      </c>
      <c r="G997" s="1790" t="inlineStr">
        <is>
          <t>INSTALAÇÕES PREVENTIVAS</t>
        </is>
      </c>
      <c r="H997" s="1749" t="inlineStr">
        <is>
          <t>SERVIÇO</t>
        </is>
      </c>
      <c r="I997" s="1750" t="inlineStr">
        <is>
          <t>08.004.004.001</t>
        </is>
      </c>
      <c r="J997" s="1751" t="inlineStr">
        <is>
          <t>Instalações de proteção e aterramento -SPDA</t>
        </is>
      </c>
      <c r="K997" s="1752" t="inlineStr">
        <is>
          <t>vb</t>
        </is>
      </c>
      <c r="L997" s="1753" t="n">
        <v>1</v>
      </c>
      <c r="M997" s="1753" t="n"/>
      <c r="N997" s="1754" t="n">
        <v>0</v>
      </c>
      <c r="O997" s="1755" t="inlineStr">
        <is>
          <t>Estimado devido a ausencia de quantitativos</t>
        </is>
      </c>
      <c r="P997" s="1721" t="inlineStr">
        <is>
          <t>Pendente</t>
        </is>
      </c>
    </row>
    <row r="998" hidden="1" outlineLevel="2" ht="13.9" customHeight="1">
      <c r="A998" s="2117" t="n">
        <v>0</v>
      </c>
      <c r="B998" s="2117" t="n">
        <v>8</v>
      </c>
      <c r="C998" s="2117" t="n">
        <v>4</v>
      </c>
      <c r="D998" s="2118" t="n">
        <v>5</v>
      </c>
      <c r="E998" s="2118" t="n">
        <v>0</v>
      </c>
      <c r="G998" s="1740" t="n"/>
      <c r="H998" s="1741" t="inlineStr">
        <is>
          <t>SUBETAPA</t>
        </is>
      </c>
      <c r="I998" s="1742" t="inlineStr">
        <is>
          <t>08.004.005</t>
        </is>
      </c>
      <c r="J998" s="1743" t="inlineStr">
        <is>
          <t>Central de Alarmes</t>
        </is>
      </c>
      <c r="K998" s="1744" t="n"/>
      <c r="L998" s="1745" t="n"/>
      <c r="M998" s="1745" t="n"/>
      <c r="N998" s="1746" t="n">
        <v>7551.219</v>
      </c>
      <c r="O998" s="1747" t="n"/>
      <c r="P998" s="1720" t="n"/>
    </row>
    <row r="999" hidden="1" outlineLevel="3" ht="13.9" customHeight="1">
      <c r="A999" s="2117" t="n">
        <v>0</v>
      </c>
      <c r="B999" s="2117" t="n">
        <v>8</v>
      </c>
      <c r="C999" s="2117" t="n">
        <v>4</v>
      </c>
      <c r="D999" s="2118" t="n">
        <v>5</v>
      </c>
      <c r="E999" s="2118" t="n">
        <v>1</v>
      </c>
      <c r="G999" s="1790" t="inlineStr">
        <is>
          <t>INSTALAÇÕES PREVENTIVAS</t>
        </is>
      </c>
      <c r="H999" s="1749" t="inlineStr">
        <is>
          <t>SERVIÇO</t>
        </is>
      </c>
      <c r="I999" s="1750" t="inlineStr">
        <is>
          <t>08.004.005.001</t>
        </is>
      </c>
      <c r="J999" s="1751" t="inlineStr">
        <is>
          <t>Central de Alarmes</t>
        </is>
      </c>
      <c r="K999" s="1752" t="inlineStr">
        <is>
          <t>vb</t>
        </is>
      </c>
      <c r="L999" s="1753" t="n">
        <v>1</v>
      </c>
      <c r="M999" s="1753" t="n">
        <v>7551.218999999998</v>
      </c>
      <c r="N999" s="1754" t="n">
        <v>7551.219</v>
      </c>
      <c r="O999" s="1755" t="inlineStr">
        <is>
          <t>quantidades confirme quantidades do projetista</t>
        </is>
      </c>
      <c r="P999" s="1721" t="inlineStr">
        <is>
          <t>Pendente</t>
        </is>
      </c>
    </row>
    <row r="1000" hidden="1" outlineLevel="2" ht="13.9" customHeight="1">
      <c r="A1000" s="2117" t="n">
        <v>0</v>
      </c>
      <c r="B1000" s="2117" t="n">
        <v>8</v>
      </c>
      <c r="C1000" s="2117" t="n">
        <v>4</v>
      </c>
      <c r="D1000" s="2118" t="n">
        <v>6</v>
      </c>
      <c r="E1000" s="2118" t="n">
        <v>0</v>
      </c>
      <c r="G1000" s="1740" t="n"/>
      <c r="H1000" s="1741" t="inlineStr">
        <is>
          <t>SUBETAPA</t>
        </is>
      </c>
      <c r="I1000" s="1742" t="inlineStr">
        <is>
          <t>08.004.006</t>
        </is>
      </c>
      <c r="J1000" s="1743" t="inlineStr">
        <is>
          <t>Sistema de bombas</t>
        </is>
      </c>
      <c r="K1000" s="1744" t="n"/>
      <c r="L1000" s="1745" t="n"/>
      <c r="M1000" s="1745" t="n"/>
      <c r="N1000" s="1746" t="n">
        <v>0</v>
      </c>
      <c r="O1000" s="1747" t="n"/>
      <c r="P1000" s="1720" t="n"/>
    </row>
    <row r="1001" hidden="1" outlineLevel="3" ht="13.9" customHeight="1">
      <c r="A1001" s="2117" t="n">
        <v>0</v>
      </c>
      <c r="B1001" s="2117" t="n">
        <v>8</v>
      </c>
      <c r="C1001" s="2117" t="n">
        <v>4</v>
      </c>
      <c r="D1001" s="2118" t="n">
        <v>6</v>
      </c>
      <c r="E1001" s="2118" t="n">
        <v>1</v>
      </c>
      <c r="G1001" s="1790" t="inlineStr">
        <is>
          <t>INSTALAÇÕES PREVENTIVAS</t>
        </is>
      </c>
      <c r="H1001" s="1749" t="inlineStr">
        <is>
          <t>SERVIÇO</t>
        </is>
      </c>
      <c r="I1001" s="1750" t="inlineStr">
        <is>
          <t>08.004.006.001</t>
        </is>
      </c>
      <c r="J1001" s="1751" t="inlineStr">
        <is>
          <t>Sistema de bombas</t>
        </is>
      </c>
      <c r="K1001" s="1752" t="inlineStr">
        <is>
          <t>vb</t>
        </is>
      </c>
      <c r="L1001" s="1753" t="n">
        <v>1</v>
      </c>
      <c r="M1001" s="1753" t="n"/>
      <c r="N1001" s="1754" t="n">
        <v>0</v>
      </c>
      <c r="O1001" s="1755" t="inlineStr">
        <is>
          <t>quantidades confirme quantidades do projetista</t>
        </is>
      </c>
      <c r="P1001" s="1721" t="inlineStr">
        <is>
          <t>Pendente</t>
        </is>
      </c>
    </row>
    <row r="1002" hidden="1" outlineLevel="2" ht="13.9" customHeight="1">
      <c r="A1002" s="2117" t="n">
        <v>0</v>
      </c>
      <c r="B1002" s="2117" t="n">
        <v>8</v>
      </c>
      <c r="C1002" s="2117" t="n">
        <v>4</v>
      </c>
      <c r="D1002" s="2118" t="n">
        <v>7</v>
      </c>
      <c r="E1002" s="2118" t="n">
        <v>0</v>
      </c>
      <c r="G1002" s="1740" t="n"/>
      <c r="H1002" s="1741" t="inlineStr">
        <is>
          <t>SUBETAPA</t>
        </is>
      </c>
      <c r="I1002" s="1742" t="inlineStr">
        <is>
          <t>08.004.007</t>
        </is>
      </c>
      <c r="J1002" s="1743" t="inlineStr">
        <is>
          <t>Mão de obra</t>
        </is>
      </c>
      <c r="K1002" s="1744" t="n"/>
      <c r="L1002" s="1745" t="n"/>
      <c r="M1002" s="1745" t="n"/>
      <c r="N1002" s="1746" t="n">
        <v>4392.5</v>
      </c>
      <c r="O1002" s="1747" t="n"/>
      <c r="P1002" s="1720" t="n"/>
    </row>
    <row r="1003" hidden="1" outlineLevel="3" ht="13.9" customHeight="1">
      <c r="A1003" s="2117" t="n">
        <v>0</v>
      </c>
      <c r="B1003" s="2117" t="n">
        <v>8</v>
      </c>
      <c r="C1003" s="2117" t="n">
        <v>4</v>
      </c>
      <c r="D1003" s="2118" t="n">
        <v>7</v>
      </c>
      <c r="E1003" s="2118" t="n">
        <v>1</v>
      </c>
      <c r="G1003" s="1790" t="inlineStr">
        <is>
          <t>INSTALAÇÕES PREVENTIVAS</t>
        </is>
      </c>
      <c r="H1003" s="1749" t="inlineStr">
        <is>
          <t>SERVIÇO</t>
        </is>
      </c>
      <c r="I1003" s="1750" t="inlineStr">
        <is>
          <t>08.004.007.001</t>
        </is>
      </c>
      <c r="J1003" s="1751" t="inlineStr">
        <is>
          <t>Mão de obra PPCI</t>
        </is>
      </c>
      <c r="K1003" s="1752" t="inlineStr">
        <is>
          <t>vb</t>
        </is>
      </c>
      <c r="L1003" s="1753" t="n">
        <v>1</v>
      </c>
      <c r="M1003" s="1753" t="n">
        <v>4392.5</v>
      </c>
      <c r="N1003" s="1754" t="n">
        <v>4392.5</v>
      </c>
      <c r="O1003" s="1765" t="inlineStr">
        <is>
          <t>Considerado R$5/m²</t>
        </is>
      </c>
      <c r="P1003" s="1721" t="inlineStr">
        <is>
          <t>Pendente</t>
        </is>
      </c>
    </row>
    <row r="1004" hidden="1" outlineLevel="1" ht="13.9" customHeight="1">
      <c r="A1004" s="2117" t="n">
        <v>0</v>
      </c>
      <c r="B1004" s="2117" t="n">
        <v>8</v>
      </c>
      <c r="C1004" s="2117" t="n">
        <v>5</v>
      </c>
      <c r="D1004" s="2118" t="n">
        <v>0</v>
      </c>
      <c r="E1004" s="2118" t="n">
        <v>1</v>
      </c>
      <c r="G1004" s="1733" t="n"/>
      <c r="H1004" s="1734" t="inlineStr">
        <is>
          <t>ETAPA</t>
        </is>
      </c>
      <c r="I1004" s="1735" t="inlineStr">
        <is>
          <t>08.005</t>
        </is>
      </c>
      <c r="J1004" s="1736" t="inlineStr">
        <is>
          <t>INSTALAÇÕES PREVENTIVAS - G3</t>
        </is>
      </c>
      <c r="K1004" s="1737" t="n"/>
      <c r="L1004" s="1738" t="n"/>
      <c r="M1004" s="1738" t="n"/>
      <c r="N1004" s="1739" t="n">
        <v>228438.611</v>
      </c>
      <c r="O1004" s="1722" t="n"/>
      <c r="P1004" s="1725" t="n"/>
    </row>
    <row r="1005" hidden="1" outlineLevel="2" ht="13.9" customHeight="1">
      <c r="A1005" s="2117" t="n">
        <v>0</v>
      </c>
      <c r="B1005" s="2117" t="n">
        <v>8</v>
      </c>
      <c r="C1005" s="2117" t="n">
        <v>5</v>
      </c>
      <c r="D1005" s="2118" t="n">
        <v>1</v>
      </c>
      <c r="E1005" s="2118" t="n">
        <v>0</v>
      </c>
      <c r="G1005" s="1740" t="n"/>
      <c r="H1005" s="1741" t="inlineStr">
        <is>
          <t>SUBETAPA</t>
        </is>
      </c>
      <c r="I1005" s="1742" t="inlineStr">
        <is>
          <t>08.005.001</t>
        </is>
      </c>
      <c r="J1005" s="1743" t="inlineStr">
        <is>
          <t>Hidrantes</t>
        </is>
      </c>
      <c r="K1005" s="1744" t="n"/>
      <c r="L1005" s="1745" t="n"/>
      <c r="M1005" s="1745" t="n"/>
      <c r="N1005" s="1746" t="n">
        <v>18467.89</v>
      </c>
      <c r="O1005" s="1747" t="n"/>
      <c r="P1005" s="1720" t="n"/>
    </row>
    <row r="1006" hidden="1" outlineLevel="3" ht="13.9" customHeight="1">
      <c r="A1006" s="2117" t="n">
        <v>0</v>
      </c>
      <c r="B1006" s="2117" t="n">
        <v>8</v>
      </c>
      <c r="C1006" s="2117" t="n">
        <v>5</v>
      </c>
      <c r="D1006" s="2118" t="n">
        <v>1</v>
      </c>
      <c r="E1006" s="2118" t="n">
        <v>1</v>
      </c>
      <c r="G1006" s="1790" t="inlineStr">
        <is>
          <t>INSTALAÇÕES PREVENTIVAS</t>
        </is>
      </c>
      <c r="H1006" s="1749" t="inlineStr">
        <is>
          <t>SERVIÇO</t>
        </is>
      </c>
      <c r="I1006" s="1750" t="inlineStr">
        <is>
          <t>08.005.001.001</t>
        </is>
      </c>
      <c r="J1006" s="1751" t="inlineStr">
        <is>
          <t>Hidrantes</t>
        </is>
      </c>
      <c r="K1006" s="1752" t="inlineStr">
        <is>
          <t>vb</t>
        </is>
      </c>
      <c r="L1006" s="1753" t="n">
        <v>1</v>
      </c>
      <c r="M1006" s="1753" t="n">
        <v>18467.89</v>
      </c>
      <c r="N1006" s="1754" t="n">
        <v>18467.89</v>
      </c>
      <c r="O1006" s="1755" t="inlineStr">
        <is>
          <t>quantidades confirme quantidades do projetista</t>
        </is>
      </c>
      <c r="P1006" s="1721" t="inlineStr">
        <is>
          <t>Pendente</t>
        </is>
      </c>
    </row>
    <row r="1007" hidden="1" outlineLevel="2" ht="13.9" customHeight="1">
      <c r="A1007" s="2117" t="n">
        <v>0</v>
      </c>
      <c r="B1007" s="2117" t="n">
        <v>8</v>
      </c>
      <c r="C1007" s="2117" t="n">
        <v>5</v>
      </c>
      <c r="D1007" s="2118" t="n">
        <v>2</v>
      </c>
      <c r="E1007" s="2118" t="n">
        <v>0</v>
      </c>
      <c r="G1007" s="1740" t="n"/>
      <c r="H1007" s="1741" t="inlineStr">
        <is>
          <t>SUBETAPA</t>
        </is>
      </c>
      <c r="I1007" s="1742" t="inlineStr">
        <is>
          <t>08.005.002</t>
        </is>
      </c>
      <c r="J1007" s="1743" t="inlineStr">
        <is>
          <t xml:space="preserve">Sinalização de emergência e extintores </t>
        </is>
      </c>
      <c r="K1007" s="1744" t="n"/>
      <c r="L1007" s="1745" t="n"/>
      <c r="M1007" s="1745" t="n"/>
      <c r="N1007" s="1746" t="n">
        <v>2092.54</v>
      </c>
      <c r="O1007" s="1747" t="n"/>
      <c r="P1007" s="1720" t="n"/>
    </row>
    <row r="1008" hidden="1" outlineLevel="3" ht="13.9" customHeight="1">
      <c r="A1008" s="2117" t="n">
        <v>0</v>
      </c>
      <c r="B1008" s="2117" t="n">
        <v>8</v>
      </c>
      <c r="C1008" s="2117" t="n">
        <v>5</v>
      </c>
      <c r="D1008" s="2118" t="n">
        <v>2</v>
      </c>
      <c r="E1008" s="2118" t="n">
        <v>1</v>
      </c>
      <c r="G1008" s="1790" t="inlineStr">
        <is>
          <t>INSTALAÇÕES PREVENTIVAS</t>
        </is>
      </c>
      <c r="H1008" s="1749" t="inlineStr">
        <is>
          <t>SERVIÇO</t>
        </is>
      </c>
      <c r="I1008" s="1750" t="inlineStr">
        <is>
          <t>08.005.002.001</t>
        </is>
      </c>
      <c r="J1008" s="1751" t="inlineStr">
        <is>
          <t xml:space="preserve">Sinalização de emergência e extintores </t>
        </is>
      </c>
      <c r="K1008" s="1752" t="inlineStr">
        <is>
          <t>vb</t>
        </is>
      </c>
      <c r="L1008" s="1753" t="n">
        <v>1</v>
      </c>
      <c r="M1008" s="1753" t="n">
        <v>2092.54</v>
      </c>
      <c r="N1008" s="1754" t="n">
        <v>2092.54</v>
      </c>
      <c r="O1008" s="1755" t="inlineStr">
        <is>
          <t>quantidades confirme quantidades do projetista</t>
        </is>
      </c>
      <c r="P1008" s="1721" t="inlineStr">
        <is>
          <t>Pendente</t>
        </is>
      </c>
    </row>
    <row r="1009" hidden="1" outlineLevel="2" ht="13.9" customHeight="1">
      <c r="A1009" s="2117" t="n">
        <v>0</v>
      </c>
      <c r="B1009" s="2117" t="n">
        <v>8</v>
      </c>
      <c r="C1009" s="2117" t="n">
        <v>5</v>
      </c>
      <c r="D1009" s="2118" t="n">
        <v>3</v>
      </c>
      <c r="E1009" s="2118" t="n">
        <v>0</v>
      </c>
      <c r="G1009" s="1740" t="n"/>
      <c r="H1009" s="1741" t="inlineStr">
        <is>
          <t>SUBETAPA</t>
        </is>
      </c>
      <c r="I1009" s="1742" t="inlineStr">
        <is>
          <t>08.005.003</t>
        </is>
      </c>
      <c r="J1009" s="1743" t="inlineStr">
        <is>
          <t>Sprinkles</t>
        </is>
      </c>
      <c r="K1009" s="1744" t="n"/>
      <c r="L1009" s="1745" t="n"/>
      <c r="M1009" s="1745" t="n"/>
      <c r="N1009" s="1746" t="n">
        <v>195429.9</v>
      </c>
      <c r="O1009" s="1747" t="n"/>
      <c r="P1009" s="1720" t="n"/>
    </row>
    <row r="1010" hidden="1" outlineLevel="3" ht="13.9" customHeight="1">
      <c r="A1010" s="2117" t="n">
        <v>0</v>
      </c>
      <c r="B1010" s="2117" t="n">
        <v>8</v>
      </c>
      <c r="C1010" s="2117" t="n">
        <v>5</v>
      </c>
      <c r="D1010" s="2118" t="n">
        <v>3</v>
      </c>
      <c r="E1010" s="2118" t="n">
        <v>1</v>
      </c>
      <c r="G1010" s="1790" t="inlineStr">
        <is>
          <t>INSTALAÇÕES PREVENTIVAS</t>
        </is>
      </c>
      <c r="H1010" s="1749" t="inlineStr">
        <is>
          <t>SERVIÇO</t>
        </is>
      </c>
      <c r="I1010" s="1750" t="inlineStr">
        <is>
          <t>08.005.003.001</t>
        </is>
      </c>
      <c r="J1010" s="1751" t="inlineStr">
        <is>
          <t>Sprinkles</t>
        </is>
      </c>
      <c r="K1010" s="1752" t="inlineStr">
        <is>
          <t>vb</t>
        </is>
      </c>
      <c r="L1010" s="1753" t="n">
        <v>1</v>
      </c>
      <c r="M1010" s="1753" t="n">
        <v>195429.9</v>
      </c>
      <c r="N1010" s="1754" t="n">
        <v>195429.9</v>
      </c>
      <c r="O1010" s="1755" t="inlineStr">
        <is>
          <t>quantidades confirme quantidades do projetista</t>
        </is>
      </c>
      <c r="P1010" s="1721" t="inlineStr">
        <is>
          <t>Pendente</t>
        </is>
      </c>
    </row>
    <row r="1011" hidden="1" outlineLevel="2" ht="13.9" customHeight="1">
      <c r="A1011" s="2117" t="n">
        <v>0</v>
      </c>
      <c r="B1011" s="2117" t="n">
        <v>8</v>
      </c>
      <c r="C1011" s="2117" t="n">
        <v>5</v>
      </c>
      <c r="D1011" s="2118" t="n">
        <v>4</v>
      </c>
      <c r="E1011" s="2118" t="n">
        <v>0</v>
      </c>
      <c r="G1011" s="1740" t="n"/>
      <c r="H1011" s="1741" t="inlineStr">
        <is>
          <t>SUBETAPA</t>
        </is>
      </c>
      <c r="I1011" s="1742" t="inlineStr">
        <is>
          <t>08.005.004</t>
        </is>
      </c>
      <c r="J1011" s="1743" t="inlineStr">
        <is>
          <t>Instalações de proteção e aterramento -SPDA</t>
        </is>
      </c>
      <c r="K1011" s="1744" t="n"/>
      <c r="L1011" s="1745" t="n"/>
      <c r="M1011" s="1745" t="n"/>
      <c r="N1011" s="1746" t="n">
        <v>0</v>
      </c>
      <c r="O1011" s="1747" t="n"/>
      <c r="P1011" s="1720" t="n"/>
    </row>
    <row r="1012" hidden="1" outlineLevel="3" ht="13.9" customHeight="1">
      <c r="A1012" s="2117" t="n">
        <v>0</v>
      </c>
      <c r="B1012" s="2117" t="n">
        <v>8</v>
      </c>
      <c r="C1012" s="2117" t="n">
        <v>5</v>
      </c>
      <c r="D1012" s="2118" t="n">
        <v>4</v>
      </c>
      <c r="E1012" s="2118" t="n">
        <v>1</v>
      </c>
      <c r="G1012" s="1790" t="inlineStr">
        <is>
          <t>INSTALAÇÕES PREVENTIVAS</t>
        </is>
      </c>
      <c r="H1012" s="1749" t="inlineStr">
        <is>
          <t>SERVIÇO</t>
        </is>
      </c>
      <c r="I1012" s="1750" t="inlineStr">
        <is>
          <t>08.005.004.001</t>
        </is>
      </c>
      <c r="J1012" s="1751" t="inlineStr">
        <is>
          <t>Instalações de proteção e aterramento -SPDA</t>
        </is>
      </c>
      <c r="K1012" s="1752" t="inlineStr">
        <is>
          <t>vb</t>
        </is>
      </c>
      <c r="L1012" s="1753" t="n">
        <v>1</v>
      </c>
      <c r="M1012" s="1753" t="n"/>
      <c r="N1012" s="1754" t="n">
        <v>0</v>
      </c>
      <c r="O1012" s="1755" t="inlineStr">
        <is>
          <t>Estimado devido a ausencia de quantitativos</t>
        </is>
      </c>
      <c r="P1012" s="1721" t="inlineStr">
        <is>
          <t>Pendente</t>
        </is>
      </c>
    </row>
    <row r="1013" hidden="1" outlineLevel="2" ht="13.9" customHeight="1">
      <c r="A1013" s="2117" t="n">
        <v>0</v>
      </c>
      <c r="B1013" s="2117" t="n">
        <v>8</v>
      </c>
      <c r="C1013" s="2117" t="n">
        <v>5</v>
      </c>
      <c r="D1013" s="2118" t="n">
        <v>5</v>
      </c>
      <c r="E1013" s="2118" t="n">
        <v>0</v>
      </c>
      <c r="G1013" s="1740" t="n"/>
      <c r="H1013" s="1741" t="inlineStr">
        <is>
          <t>SUBETAPA</t>
        </is>
      </c>
      <c r="I1013" s="1742" t="inlineStr">
        <is>
          <t>08.005.005</t>
        </is>
      </c>
      <c r="J1013" s="1743" t="inlineStr">
        <is>
          <t>Central de Alarmes</t>
        </is>
      </c>
      <c r="K1013" s="1744" t="n"/>
      <c r="L1013" s="1745" t="n"/>
      <c r="M1013" s="1745" t="n"/>
      <c r="N1013" s="1746" t="n">
        <v>8055.781</v>
      </c>
      <c r="O1013" s="1747" t="n"/>
      <c r="P1013" s="1720" t="n"/>
    </row>
    <row r="1014" hidden="1" outlineLevel="3" ht="13.9" customHeight="1">
      <c r="A1014" s="2117" t="n">
        <v>0</v>
      </c>
      <c r="B1014" s="2117" t="n">
        <v>8</v>
      </c>
      <c r="C1014" s="2117" t="n">
        <v>5</v>
      </c>
      <c r="D1014" s="2118" t="n">
        <v>5</v>
      </c>
      <c r="E1014" s="2118" t="n">
        <v>1</v>
      </c>
      <c r="G1014" s="1790" t="inlineStr">
        <is>
          <t>INSTALAÇÕES PREVENTIVAS</t>
        </is>
      </c>
      <c r="H1014" s="1749" t="inlineStr">
        <is>
          <t>SERVIÇO</t>
        </is>
      </c>
      <c r="I1014" s="1750" t="inlineStr">
        <is>
          <t>08.005.005.001</t>
        </is>
      </c>
      <c r="J1014" s="1751" t="inlineStr">
        <is>
          <t>Central de Alarmes</t>
        </is>
      </c>
      <c r="K1014" s="1752" t="inlineStr">
        <is>
          <t>vb</t>
        </is>
      </c>
      <c r="L1014" s="1753" t="n">
        <v>1</v>
      </c>
      <c r="M1014" s="1753" t="n">
        <v>8055.781000000001</v>
      </c>
      <c r="N1014" s="1754" t="n">
        <v>8055.781</v>
      </c>
      <c r="O1014" s="1755" t="inlineStr">
        <is>
          <t>quantidades confirme quantidades do projetista</t>
        </is>
      </c>
      <c r="P1014" s="1721" t="inlineStr">
        <is>
          <t>Pendente</t>
        </is>
      </c>
    </row>
    <row r="1015" hidden="1" outlineLevel="2" ht="13.9" customHeight="1">
      <c r="A1015" s="2117" t="n">
        <v>0</v>
      </c>
      <c r="B1015" s="2117" t="n">
        <v>8</v>
      </c>
      <c r="C1015" s="2117" t="n">
        <v>5</v>
      </c>
      <c r="D1015" s="2118" t="n">
        <v>6</v>
      </c>
      <c r="E1015" s="2118" t="n">
        <v>0</v>
      </c>
      <c r="G1015" s="1740" t="n"/>
      <c r="H1015" s="1741" t="inlineStr">
        <is>
          <t>SUBETAPA</t>
        </is>
      </c>
      <c r="I1015" s="1742" t="inlineStr">
        <is>
          <t>08.005.006</t>
        </is>
      </c>
      <c r="J1015" s="1743" t="inlineStr">
        <is>
          <t>Sistema de bombas</t>
        </is>
      </c>
      <c r="K1015" s="1744" t="n"/>
      <c r="L1015" s="1745" t="n"/>
      <c r="M1015" s="1745" t="n"/>
      <c r="N1015" s="1746" t="n">
        <v>0</v>
      </c>
      <c r="O1015" s="1747" t="n"/>
      <c r="P1015" s="1720" t="n"/>
    </row>
    <row r="1016" hidden="1" outlineLevel="3" ht="13.9" customHeight="1">
      <c r="A1016" s="2117" t="n">
        <v>0</v>
      </c>
      <c r="B1016" s="2117" t="n">
        <v>8</v>
      </c>
      <c r="C1016" s="2117" t="n">
        <v>5</v>
      </c>
      <c r="D1016" s="2118" t="n">
        <v>6</v>
      </c>
      <c r="E1016" s="2118" t="n">
        <v>1</v>
      </c>
      <c r="G1016" s="1790" t="inlineStr">
        <is>
          <t>INSTALAÇÕES PREVENTIVAS</t>
        </is>
      </c>
      <c r="H1016" s="1749" t="inlineStr">
        <is>
          <t>SERVIÇO</t>
        </is>
      </c>
      <c r="I1016" s="1750" t="inlineStr">
        <is>
          <t>08.005.006.001</t>
        </is>
      </c>
      <c r="J1016" s="1751" t="inlineStr">
        <is>
          <t>Sistema de bombas</t>
        </is>
      </c>
      <c r="K1016" s="1752" t="inlineStr">
        <is>
          <t>vb</t>
        </is>
      </c>
      <c r="L1016" s="1753" t="n">
        <v>1</v>
      </c>
      <c r="M1016" s="1753" t="n"/>
      <c r="N1016" s="1754" t="n">
        <v>0</v>
      </c>
      <c r="O1016" s="1755" t="inlineStr">
        <is>
          <t>quantidades confirme quantidades do projetista</t>
        </is>
      </c>
      <c r="P1016" s="1721" t="inlineStr">
        <is>
          <t>Pendente</t>
        </is>
      </c>
    </row>
    <row r="1017" hidden="1" outlineLevel="2" ht="13.9" customHeight="1">
      <c r="A1017" s="2117" t="n">
        <v>0</v>
      </c>
      <c r="B1017" s="2117" t="n">
        <v>8</v>
      </c>
      <c r="C1017" s="2117" t="n">
        <v>5</v>
      </c>
      <c r="D1017" s="2118" t="n">
        <v>7</v>
      </c>
      <c r="E1017" s="2118" t="n">
        <v>0</v>
      </c>
      <c r="G1017" s="1740" t="n"/>
      <c r="H1017" s="1741" t="inlineStr">
        <is>
          <t>SUBETAPA</t>
        </is>
      </c>
      <c r="I1017" s="1742" t="inlineStr">
        <is>
          <t>08.005.007</t>
        </is>
      </c>
      <c r="J1017" s="1743" t="inlineStr">
        <is>
          <t>Mão de obra</t>
        </is>
      </c>
      <c r="K1017" s="1744" t="n"/>
      <c r="L1017" s="1745" t="n"/>
      <c r="M1017" s="1745" t="n"/>
      <c r="N1017" s="1746" t="n">
        <v>4392.5</v>
      </c>
      <c r="O1017" s="1747" t="n"/>
      <c r="P1017" s="1720" t="n"/>
    </row>
    <row r="1018" hidden="1" outlineLevel="3" ht="13.9" customHeight="1">
      <c r="A1018" s="2117" t="n">
        <v>0</v>
      </c>
      <c r="B1018" s="2117" t="n">
        <v>8</v>
      </c>
      <c r="C1018" s="2117" t="n">
        <v>5</v>
      </c>
      <c r="D1018" s="2118" t="n">
        <v>7</v>
      </c>
      <c r="E1018" s="2118" t="n">
        <v>1</v>
      </c>
      <c r="G1018" s="1790" t="inlineStr">
        <is>
          <t>INSTALAÇÕES PREVENTIVAS</t>
        </is>
      </c>
      <c r="H1018" s="1749" t="inlineStr">
        <is>
          <t>SERVIÇO</t>
        </is>
      </c>
      <c r="I1018" s="1750" t="inlineStr">
        <is>
          <t>08.005.007.001</t>
        </is>
      </c>
      <c r="J1018" s="1751" t="inlineStr">
        <is>
          <t>Mão de obra PPCI</t>
        </is>
      </c>
      <c r="K1018" s="1752" t="inlineStr">
        <is>
          <t>vb</t>
        </is>
      </c>
      <c r="L1018" s="1753" t="n">
        <v>1</v>
      </c>
      <c r="M1018" s="1753" t="n">
        <v>4392.5</v>
      </c>
      <c r="N1018" s="1754" t="n">
        <v>4392.5</v>
      </c>
      <c r="O1018" s="1765" t="inlineStr">
        <is>
          <t>Considerado R$5/m²</t>
        </is>
      </c>
      <c r="P1018" s="1721" t="inlineStr">
        <is>
          <t>Pendente</t>
        </is>
      </c>
    </row>
    <row r="1019" hidden="1" outlineLevel="1" ht="13.9" customHeight="1">
      <c r="A1019" s="2117" t="n">
        <v>0</v>
      </c>
      <c r="B1019" s="2117" t="n">
        <v>8</v>
      </c>
      <c r="C1019" s="2117" t="n">
        <v>6</v>
      </c>
      <c r="D1019" s="2118" t="n">
        <v>0</v>
      </c>
      <c r="E1019" s="2118" t="n">
        <v>1</v>
      </c>
      <c r="G1019" s="1733" t="n"/>
      <c r="H1019" s="1734" t="inlineStr">
        <is>
          <t>ETAPA</t>
        </is>
      </c>
      <c r="I1019" s="1735" t="inlineStr">
        <is>
          <t>08.006</t>
        </is>
      </c>
      <c r="J1019" s="1736" t="inlineStr">
        <is>
          <t>INSTALAÇÕES PREVENTIVAS - Mezanino G3</t>
        </is>
      </c>
      <c r="K1019" s="1737" t="n"/>
      <c r="L1019" s="1738" t="n"/>
      <c r="M1019" s="1738" t="n"/>
      <c r="N1019" s="1739" t="n">
        <v>258084.546</v>
      </c>
      <c r="O1019" s="1722" t="n"/>
      <c r="P1019" s="1725" t="n"/>
    </row>
    <row r="1020" hidden="1" outlineLevel="2" ht="13.9" customHeight="1">
      <c r="A1020" s="2117" t="n">
        <v>0</v>
      </c>
      <c r="B1020" s="2117" t="n">
        <v>8</v>
      </c>
      <c r="C1020" s="2117" t="n">
        <v>6</v>
      </c>
      <c r="D1020" s="2118" t="n">
        <v>1</v>
      </c>
      <c r="E1020" s="2118" t="n">
        <v>0</v>
      </c>
      <c r="G1020" s="1740" t="n"/>
      <c r="H1020" s="1741" t="inlineStr">
        <is>
          <t>SUBETAPA</t>
        </is>
      </c>
      <c r="I1020" s="1742" t="inlineStr">
        <is>
          <t>08.006.001</t>
        </is>
      </c>
      <c r="J1020" s="1743" t="inlineStr">
        <is>
          <t>Hidrantes</t>
        </is>
      </c>
      <c r="K1020" s="1744" t="n"/>
      <c r="L1020" s="1745" t="n"/>
      <c r="M1020" s="1745" t="n"/>
      <c r="N1020" s="1746" t="n">
        <v>5145</v>
      </c>
      <c r="O1020" s="1747" t="n"/>
      <c r="P1020" s="1720" t="n"/>
    </row>
    <row r="1021" hidden="1" outlineLevel="3" ht="13.9" customHeight="1">
      <c r="A1021" s="2117" t="n">
        <v>0</v>
      </c>
      <c r="B1021" s="2117" t="n">
        <v>8</v>
      </c>
      <c r="C1021" s="2117" t="n">
        <v>6</v>
      </c>
      <c r="D1021" s="2118" t="n">
        <v>1</v>
      </c>
      <c r="E1021" s="2118" t="n">
        <v>1</v>
      </c>
      <c r="G1021" s="1790" t="inlineStr">
        <is>
          <t>INSTALAÇÕES PREVENTIVAS</t>
        </is>
      </c>
      <c r="H1021" s="1749" t="inlineStr">
        <is>
          <t>SERVIÇO</t>
        </is>
      </c>
      <c r="I1021" s="1750" t="inlineStr">
        <is>
          <t>08.006.001.001</t>
        </is>
      </c>
      <c r="J1021" s="1751" t="inlineStr">
        <is>
          <t>Hidrantes</t>
        </is>
      </c>
      <c r="K1021" s="1752" t="inlineStr">
        <is>
          <t>vb</t>
        </is>
      </c>
      <c r="L1021" s="1753" t="n">
        <v>1</v>
      </c>
      <c r="M1021" s="1753" t="n">
        <v>5145</v>
      </c>
      <c r="N1021" s="1754" t="n">
        <v>5145</v>
      </c>
      <c r="O1021" s="1755" t="inlineStr">
        <is>
          <t>quantidades confirme quantidades do projetista</t>
        </is>
      </c>
      <c r="P1021" s="1721" t="inlineStr">
        <is>
          <t>Pendente</t>
        </is>
      </c>
    </row>
    <row r="1022" hidden="1" outlineLevel="2" ht="13.9" customHeight="1">
      <c r="A1022" s="2117" t="n">
        <v>0</v>
      </c>
      <c r="B1022" s="2117" t="n">
        <v>8</v>
      </c>
      <c r="C1022" s="2117" t="n">
        <v>6</v>
      </c>
      <c r="D1022" s="2118" t="n">
        <v>2</v>
      </c>
      <c r="E1022" s="2118" t="n">
        <v>0</v>
      </c>
      <c r="G1022" s="1740" t="n"/>
      <c r="H1022" s="1741" t="inlineStr">
        <is>
          <t>SUBETAPA</t>
        </is>
      </c>
      <c r="I1022" s="1742" t="inlineStr">
        <is>
          <t>08.006.002</t>
        </is>
      </c>
      <c r="J1022" s="1743" t="inlineStr">
        <is>
          <t xml:space="preserve">Sinalização de emergência e extintores </t>
        </is>
      </c>
      <c r="K1022" s="1744" t="n"/>
      <c r="L1022" s="1745" t="n"/>
      <c r="M1022" s="1745" t="n"/>
      <c r="N1022" s="1746" t="n">
        <v>2712.84</v>
      </c>
      <c r="O1022" s="1747" t="n"/>
      <c r="P1022" s="1720" t="n"/>
    </row>
    <row r="1023" hidden="1" outlineLevel="3" ht="13.9" customHeight="1">
      <c r="A1023" s="2117" t="n">
        <v>0</v>
      </c>
      <c r="B1023" s="2117" t="n">
        <v>8</v>
      </c>
      <c r="C1023" s="2117" t="n">
        <v>6</v>
      </c>
      <c r="D1023" s="2118" t="n">
        <v>2</v>
      </c>
      <c r="E1023" s="2118" t="n">
        <v>1</v>
      </c>
      <c r="G1023" s="1790" t="inlineStr">
        <is>
          <t>INSTALAÇÕES PREVENTIVAS</t>
        </is>
      </c>
      <c r="H1023" s="1749" t="inlineStr">
        <is>
          <t>SERVIÇO</t>
        </is>
      </c>
      <c r="I1023" s="1750" t="inlineStr">
        <is>
          <t>08.006.002.001</t>
        </is>
      </c>
      <c r="J1023" s="1751" t="inlineStr">
        <is>
          <t xml:space="preserve">Sinalização de emergência e extintores </t>
        </is>
      </c>
      <c r="K1023" s="1752" t="inlineStr">
        <is>
          <t>vb</t>
        </is>
      </c>
      <c r="L1023" s="1753" t="n">
        <v>1</v>
      </c>
      <c r="M1023" s="1753" t="n">
        <v>2712.84</v>
      </c>
      <c r="N1023" s="1754" t="n">
        <v>2712.84</v>
      </c>
      <c r="O1023" s="1755" t="inlineStr">
        <is>
          <t>quantidades confirme quantidades do projetista</t>
        </is>
      </c>
      <c r="P1023" s="1721" t="inlineStr">
        <is>
          <t>Pendente</t>
        </is>
      </c>
    </row>
    <row r="1024" hidden="1" outlineLevel="2" ht="13.9" customHeight="1">
      <c r="A1024" s="2117" t="n">
        <v>0</v>
      </c>
      <c r="B1024" s="2117" t="n">
        <v>8</v>
      </c>
      <c r="C1024" s="2117" t="n">
        <v>6</v>
      </c>
      <c r="D1024" s="2118" t="n">
        <v>3</v>
      </c>
      <c r="E1024" s="2118" t="n">
        <v>0</v>
      </c>
      <c r="G1024" s="1740" t="n"/>
      <c r="H1024" s="1741" t="inlineStr">
        <is>
          <t>SUBETAPA</t>
        </is>
      </c>
      <c r="I1024" s="1742" t="inlineStr">
        <is>
          <t>08.006.003</t>
        </is>
      </c>
      <c r="J1024" s="1743" t="inlineStr">
        <is>
          <t>Sprinkles</t>
        </is>
      </c>
      <c r="K1024" s="1744" t="n"/>
      <c r="L1024" s="1745" t="n"/>
      <c r="M1024" s="1745" t="n"/>
      <c r="N1024" s="1746" t="n">
        <v>237305.2</v>
      </c>
      <c r="O1024" s="1747" t="n"/>
      <c r="P1024" s="1720" t="n"/>
    </row>
    <row r="1025" hidden="1" outlineLevel="3" ht="13.9" customHeight="1">
      <c r="A1025" s="2117" t="n">
        <v>0</v>
      </c>
      <c r="B1025" s="2117" t="n">
        <v>8</v>
      </c>
      <c r="C1025" s="2117" t="n">
        <v>6</v>
      </c>
      <c r="D1025" s="2118" t="n">
        <v>3</v>
      </c>
      <c r="E1025" s="2118" t="n">
        <v>1</v>
      </c>
      <c r="G1025" s="1790" t="inlineStr">
        <is>
          <t>INSTALAÇÕES PREVENTIVAS</t>
        </is>
      </c>
      <c r="H1025" s="1749" t="inlineStr">
        <is>
          <t>SERVIÇO</t>
        </is>
      </c>
      <c r="I1025" s="1750" t="inlineStr">
        <is>
          <t>08.006.003.001</t>
        </is>
      </c>
      <c r="J1025" s="1751" t="inlineStr">
        <is>
          <t>Sprinkles</t>
        </is>
      </c>
      <c r="K1025" s="1752" t="inlineStr">
        <is>
          <t>vb</t>
        </is>
      </c>
      <c r="L1025" s="1753" t="n">
        <v>1</v>
      </c>
      <c r="M1025" s="1753" t="n">
        <v>237305.2</v>
      </c>
      <c r="N1025" s="1754" t="n">
        <v>237305.2</v>
      </c>
      <c r="O1025" s="1755" t="inlineStr">
        <is>
          <t>quantidades confirme quantidades do projetista</t>
        </is>
      </c>
      <c r="P1025" s="1721" t="inlineStr">
        <is>
          <t>Pendente</t>
        </is>
      </c>
    </row>
    <row r="1026" hidden="1" outlineLevel="2" ht="13.9" customHeight="1">
      <c r="A1026" s="2117" t="n">
        <v>0</v>
      </c>
      <c r="B1026" s="2117" t="n">
        <v>8</v>
      </c>
      <c r="C1026" s="2117" t="n">
        <v>6</v>
      </c>
      <c r="D1026" s="2118" t="n">
        <v>4</v>
      </c>
      <c r="E1026" s="2118" t="n">
        <v>0</v>
      </c>
      <c r="G1026" s="1740" t="n"/>
      <c r="H1026" s="1741" t="inlineStr">
        <is>
          <t>SUBETAPA</t>
        </is>
      </c>
      <c r="I1026" s="1742" t="inlineStr">
        <is>
          <t>08.006.004</t>
        </is>
      </c>
      <c r="J1026" s="1743" t="inlineStr">
        <is>
          <t>Instalações de proteção e aterramento -SPDA</t>
        </is>
      </c>
      <c r="K1026" s="1744" t="n"/>
      <c r="L1026" s="1745" t="n"/>
      <c r="M1026" s="1745" t="n"/>
      <c r="N1026" s="1746" t="n">
        <v>0</v>
      </c>
      <c r="O1026" s="1747" t="n"/>
      <c r="P1026" s="1720" t="n"/>
    </row>
    <row r="1027" hidden="1" outlineLevel="3" ht="13.9" customHeight="1">
      <c r="A1027" s="2117" t="n">
        <v>0</v>
      </c>
      <c r="B1027" s="2117" t="n">
        <v>8</v>
      </c>
      <c r="C1027" s="2117" t="n">
        <v>6</v>
      </c>
      <c r="D1027" s="2118" t="n">
        <v>4</v>
      </c>
      <c r="E1027" s="2118" t="n">
        <v>1</v>
      </c>
      <c r="G1027" s="1790" t="inlineStr">
        <is>
          <t>INSTALAÇÕES PREVENTIVAS</t>
        </is>
      </c>
      <c r="H1027" s="1749" t="inlineStr">
        <is>
          <t>SERVIÇO</t>
        </is>
      </c>
      <c r="I1027" s="1750" t="inlineStr">
        <is>
          <t>08.006.004.001</t>
        </is>
      </c>
      <c r="J1027" s="1751" t="inlineStr">
        <is>
          <t>Instalações de proteção e aterramento -SPDA</t>
        </is>
      </c>
      <c r="K1027" s="1752" t="inlineStr">
        <is>
          <t>vb</t>
        </is>
      </c>
      <c r="L1027" s="1753" t="n">
        <v>1</v>
      </c>
      <c r="M1027" s="1753" t="n"/>
      <c r="N1027" s="1754" t="n">
        <v>0</v>
      </c>
      <c r="O1027" s="1755" t="inlineStr">
        <is>
          <t>Estimado devido a ausencia de quantitativos</t>
        </is>
      </c>
      <c r="P1027" s="1721" t="inlineStr">
        <is>
          <t>Pendente</t>
        </is>
      </c>
    </row>
    <row r="1028" hidden="1" outlineLevel="2" ht="13.9" customHeight="1">
      <c r="A1028" s="2117" t="n">
        <v>0</v>
      </c>
      <c r="B1028" s="2117" t="n">
        <v>8</v>
      </c>
      <c r="C1028" s="2117" t="n">
        <v>6</v>
      </c>
      <c r="D1028" s="2118" t="n">
        <v>5</v>
      </c>
      <c r="E1028" s="2118" t="n">
        <v>0</v>
      </c>
      <c r="G1028" s="1740" t="n"/>
      <c r="H1028" s="1741" t="inlineStr">
        <is>
          <t>SUBETAPA</t>
        </is>
      </c>
      <c r="I1028" s="1742" t="inlineStr">
        <is>
          <t>08.006.005</t>
        </is>
      </c>
      <c r="J1028" s="1743" t="inlineStr">
        <is>
          <t>Central de Alarmes</t>
        </is>
      </c>
      <c r="K1028" s="1744" t="n"/>
      <c r="L1028" s="1745" t="n"/>
      <c r="M1028" s="1745" t="n"/>
      <c r="N1028" s="1746" t="n">
        <v>8459.255999999999</v>
      </c>
      <c r="O1028" s="1747" t="n"/>
      <c r="P1028" s="1720" t="n"/>
    </row>
    <row r="1029" hidden="1" outlineLevel="3" ht="13.9" customHeight="1">
      <c r="A1029" s="2117" t="n">
        <v>0</v>
      </c>
      <c r="B1029" s="2117" t="n">
        <v>8</v>
      </c>
      <c r="C1029" s="2117" t="n">
        <v>6</v>
      </c>
      <c r="D1029" s="2118" t="n">
        <v>5</v>
      </c>
      <c r="E1029" s="2118" t="n">
        <v>1</v>
      </c>
      <c r="G1029" s="1790" t="inlineStr">
        <is>
          <t>INSTALAÇÕES PREVENTIVAS</t>
        </is>
      </c>
      <c r="H1029" s="1749" t="inlineStr">
        <is>
          <t>SERVIÇO</t>
        </is>
      </c>
      <c r="I1029" s="1750" t="inlineStr">
        <is>
          <t>08.006.005.001</t>
        </is>
      </c>
      <c r="J1029" s="1751" t="inlineStr">
        <is>
          <t>Central de Alarmes</t>
        </is>
      </c>
      <c r="K1029" s="1752" t="inlineStr">
        <is>
          <t>vb</t>
        </is>
      </c>
      <c r="L1029" s="1753" t="n">
        <v>1</v>
      </c>
      <c r="M1029" s="1753" t="n">
        <v>8459.255999999998</v>
      </c>
      <c r="N1029" s="1754" t="n">
        <v>8459.255999999999</v>
      </c>
      <c r="O1029" s="1755" t="inlineStr">
        <is>
          <t>quantidades confirme quantidades do projetista</t>
        </is>
      </c>
      <c r="P1029" s="1721" t="inlineStr">
        <is>
          <t>Pendente</t>
        </is>
      </c>
    </row>
    <row r="1030" hidden="1" outlineLevel="2" ht="13.9" customHeight="1">
      <c r="A1030" s="2117" t="n">
        <v>0</v>
      </c>
      <c r="B1030" s="2117" t="n">
        <v>8</v>
      </c>
      <c r="C1030" s="2117" t="n">
        <v>6</v>
      </c>
      <c r="D1030" s="2118" t="n">
        <v>6</v>
      </c>
      <c r="E1030" s="2118" t="n">
        <v>0</v>
      </c>
      <c r="G1030" s="1740" t="n"/>
      <c r="H1030" s="1741" t="inlineStr">
        <is>
          <t>SUBETAPA</t>
        </is>
      </c>
      <c r="I1030" s="1742" t="inlineStr">
        <is>
          <t>08.006.006</t>
        </is>
      </c>
      <c r="J1030" s="1743" t="inlineStr">
        <is>
          <t>Sistema de bombas</t>
        </is>
      </c>
      <c r="K1030" s="1744" t="n"/>
      <c r="L1030" s="1745" t="n"/>
      <c r="M1030" s="1745" t="n"/>
      <c r="N1030" s="1746" t="n">
        <v>0</v>
      </c>
      <c r="O1030" s="1747" t="n"/>
      <c r="P1030" s="1720" t="n"/>
    </row>
    <row r="1031" hidden="1" outlineLevel="3" ht="13.9" customHeight="1">
      <c r="A1031" s="2117" t="n">
        <v>0</v>
      </c>
      <c r="B1031" s="2117" t="n">
        <v>8</v>
      </c>
      <c r="C1031" s="2117" t="n">
        <v>6</v>
      </c>
      <c r="D1031" s="2118" t="n">
        <v>6</v>
      </c>
      <c r="E1031" s="2118" t="n">
        <v>1</v>
      </c>
      <c r="G1031" s="1790" t="inlineStr">
        <is>
          <t>INSTALAÇÕES PREVENTIVAS</t>
        </is>
      </c>
      <c r="H1031" s="1749" t="inlineStr">
        <is>
          <t>SERVIÇO</t>
        </is>
      </c>
      <c r="I1031" s="1750" t="inlineStr">
        <is>
          <t>08.006.006.001</t>
        </is>
      </c>
      <c r="J1031" s="1751" t="inlineStr">
        <is>
          <t>Sistema de bombas</t>
        </is>
      </c>
      <c r="K1031" s="1752" t="inlineStr">
        <is>
          <t>vb</t>
        </is>
      </c>
      <c r="L1031" s="1753" t="n">
        <v>1</v>
      </c>
      <c r="M1031" s="1753" t="n"/>
      <c r="N1031" s="1754" t="n">
        <v>0</v>
      </c>
      <c r="O1031" s="1755" t="inlineStr">
        <is>
          <t>quantidades confirme quantidades do projetista</t>
        </is>
      </c>
      <c r="P1031" s="1721" t="inlineStr">
        <is>
          <t>Pendente</t>
        </is>
      </c>
    </row>
    <row r="1032" hidden="1" outlineLevel="2" ht="13.9" customHeight="1">
      <c r="A1032" s="2117" t="n">
        <v>0</v>
      </c>
      <c r="B1032" s="2117" t="n">
        <v>8</v>
      </c>
      <c r="C1032" s="2117" t="n">
        <v>6</v>
      </c>
      <c r="D1032" s="2118" t="n">
        <v>7</v>
      </c>
      <c r="E1032" s="2118" t="n">
        <v>0</v>
      </c>
      <c r="G1032" s="1740" t="n"/>
      <c r="H1032" s="1741" t="inlineStr">
        <is>
          <t>SUBETAPA</t>
        </is>
      </c>
      <c r="I1032" s="1742" t="inlineStr">
        <is>
          <t>08.006.007</t>
        </is>
      </c>
      <c r="J1032" s="1743" t="inlineStr">
        <is>
          <t>Mão de obra</t>
        </is>
      </c>
      <c r="K1032" s="1744" t="n"/>
      <c r="L1032" s="1745" t="n"/>
      <c r="M1032" s="1745" t="n"/>
      <c r="N1032" s="1746" t="n">
        <v>4462.25</v>
      </c>
      <c r="O1032" s="1747" t="n"/>
      <c r="P1032" s="1720" t="n"/>
    </row>
    <row r="1033" hidden="1" outlineLevel="3" ht="13.9" customHeight="1">
      <c r="A1033" s="2117" t="n">
        <v>0</v>
      </c>
      <c r="B1033" s="2117" t="n">
        <v>8</v>
      </c>
      <c r="C1033" s="2117" t="n">
        <v>6</v>
      </c>
      <c r="D1033" s="2118" t="n">
        <v>7</v>
      </c>
      <c r="E1033" s="2118" t="n">
        <v>1</v>
      </c>
      <c r="G1033" s="1790" t="inlineStr">
        <is>
          <t>INSTALAÇÕES PREVENTIVAS</t>
        </is>
      </c>
      <c r="H1033" s="1749" t="inlineStr">
        <is>
          <t>SERVIÇO</t>
        </is>
      </c>
      <c r="I1033" s="1750" t="inlineStr">
        <is>
          <t>08.006.007.001</t>
        </is>
      </c>
      <c r="J1033" s="1751" t="inlineStr">
        <is>
          <t>Mão de obra PPCI</t>
        </is>
      </c>
      <c r="K1033" s="1752" t="inlineStr">
        <is>
          <t>vb</t>
        </is>
      </c>
      <c r="L1033" s="1753" t="n">
        <v>1</v>
      </c>
      <c r="M1033" s="1753" t="n">
        <v>4462.25</v>
      </c>
      <c r="N1033" s="1754" t="n">
        <v>4462.25</v>
      </c>
      <c r="O1033" s="1765" t="inlineStr">
        <is>
          <t>Considerado R$5/m²</t>
        </is>
      </c>
      <c r="P1033" s="1721" t="inlineStr">
        <is>
          <t>Pendente</t>
        </is>
      </c>
    </row>
    <row r="1034" hidden="1" outlineLevel="1" ht="13.9" customHeight="1">
      <c r="A1034" s="2117" t="n">
        <v>0</v>
      </c>
      <c r="B1034" s="2117" t="n">
        <v>8</v>
      </c>
      <c r="C1034" s="2117" t="n">
        <v>7</v>
      </c>
      <c r="D1034" s="2118" t="n">
        <v>0</v>
      </c>
      <c r="E1034" s="2118" t="n">
        <v>1</v>
      </c>
      <c r="G1034" s="1733" t="n"/>
      <c r="H1034" s="1734" t="inlineStr">
        <is>
          <t>ETAPA</t>
        </is>
      </c>
      <c r="I1034" s="1735" t="inlineStr">
        <is>
          <t>08.007</t>
        </is>
      </c>
      <c r="J1034" s="1736" t="inlineStr">
        <is>
          <t>INSTALAÇÕES PREVENTIVAS - Lazer | Garagem</t>
        </is>
      </c>
      <c r="K1034" s="1737" t="n"/>
      <c r="L1034" s="1738" t="n"/>
      <c r="M1034" s="1738" t="n"/>
      <c r="N1034" s="1739" t="n">
        <v>187448.41</v>
      </c>
      <c r="O1034" s="1722" t="n"/>
      <c r="P1034" s="1725" t="n"/>
    </row>
    <row r="1035" hidden="1" outlineLevel="2" ht="13.9" customHeight="1">
      <c r="A1035" s="2117" t="n">
        <v>0</v>
      </c>
      <c r="B1035" s="2117" t="n">
        <v>8</v>
      </c>
      <c r="C1035" s="2117" t="n">
        <v>7</v>
      </c>
      <c r="D1035" s="2118" t="n">
        <v>1</v>
      </c>
      <c r="E1035" s="2118" t="n">
        <v>0</v>
      </c>
      <c r="G1035" s="1740" t="n"/>
      <c r="H1035" s="1741" t="inlineStr">
        <is>
          <t>SUBETAPA</t>
        </is>
      </c>
      <c r="I1035" s="1742" t="inlineStr">
        <is>
          <t>08.007.001</t>
        </is>
      </c>
      <c r="J1035" s="1743" t="inlineStr">
        <is>
          <t>Hidrantes</t>
        </is>
      </c>
      <c r="K1035" s="1744" t="n"/>
      <c r="L1035" s="1745" t="n"/>
      <c r="M1035" s="1745" t="n"/>
      <c r="N1035" s="1746" t="n">
        <v>8801</v>
      </c>
      <c r="O1035" s="1747" t="n"/>
      <c r="P1035" s="1720" t="n"/>
    </row>
    <row r="1036" hidden="1" outlineLevel="3" ht="13.9" customHeight="1">
      <c r="A1036" s="2117" t="n">
        <v>0</v>
      </c>
      <c r="B1036" s="2117" t="n">
        <v>8</v>
      </c>
      <c r="C1036" s="2117" t="n">
        <v>7</v>
      </c>
      <c r="D1036" s="2118" t="n">
        <v>1</v>
      </c>
      <c r="E1036" s="2118" t="n">
        <v>1</v>
      </c>
      <c r="G1036" s="1790" t="inlineStr">
        <is>
          <t>INSTALAÇÕES PREVENTIVAS</t>
        </is>
      </c>
      <c r="H1036" s="1749" t="inlineStr">
        <is>
          <t>SERVIÇO</t>
        </is>
      </c>
      <c r="I1036" s="1750" t="inlineStr">
        <is>
          <t>08.007.001.001</t>
        </is>
      </c>
      <c r="J1036" s="1751" t="inlineStr">
        <is>
          <t>Hidrantes</t>
        </is>
      </c>
      <c r="K1036" s="1752" t="inlineStr">
        <is>
          <t>vb</t>
        </is>
      </c>
      <c r="L1036" s="1753" t="n">
        <v>1</v>
      </c>
      <c r="M1036" s="1753" t="n">
        <v>8801</v>
      </c>
      <c r="N1036" s="1754" t="n">
        <v>8801</v>
      </c>
      <c r="O1036" s="1755" t="inlineStr">
        <is>
          <t>quantidades confirme quantidades do projetista</t>
        </is>
      </c>
      <c r="P1036" s="1721" t="inlineStr">
        <is>
          <t>Pendente</t>
        </is>
      </c>
    </row>
    <row r="1037" hidden="1" outlineLevel="2" ht="13.9" customHeight="1">
      <c r="A1037" s="2117" t="n">
        <v>0</v>
      </c>
      <c r="B1037" s="2117" t="n">
        <v>8</v>
      </c>
      <c r="C1037" s="2117" t="n">
        <v>7</v>
      </c>
      <c r="D1037" s="2118" t="n">
        <v>2</v>
      </c>
      <c r="E1037" s="2118" t="n">
        <v>0</v>
      </c>
      <c r="G1037" s="1740" t="n"/>
      <c r="H1037" s="1741" t="inlineStr">
        <is>
          <t>SUBETAPA</t>
        </is>
      </c>
      <c r="I1037" s="1742" t="inlineStr">
        <is>
          <t>08.007.002</t>
        </is>
      </c>
      <c r="J1037" s="1743" t="inlineStr">
        <is>
          <t xml:space="preserve">Sinalização de emergência e extintores </t>
        </is>
      </c>
      <c r="K1037" s="1744" t="n"/>
      <c r="L1037" s="1745" t="n"/>
      <c r="M1037" s="1745" t="n"/>
      <c r="N1037" s="1746" t="n">
        <v>2298.57</v>
      </c>
      <c r="O1037" s="1747" t="n"/>
      <c r="P1037" s="1720" t="n"/>
    </row>
    <row r="1038" hidden="1" outlineLevel="3" ht="13.9" customHeight="1">
      <c r="A1038" s="2117" t="n">
        <v>0</v>
      </c>
      <c r="B1038" s="2117" t="n">
        <v>8</v>
      </c>
      <c r="C1038" s="2117" t="n">
        <v>7</v>
      </c>
      <c r="D1038" s="2118" t="n">
        <v>2</v>
      </c>
      <c r="E1038" s="2118" t="n">
        <v>1</v>
      </c>
      <c r="G1038" s="1790" t="inlineStr">
        <is>
          <t>INSTALAÇÕES PREVENTIVAS</t>
        </is>
      </c>
      <c r="H1038" s="1749" t="inlineStr">
        <is>
          <t>SERVIÇO</t>
        </is>
      </c>
      <c r="I1038" s="1750" t="inlineStr">
        <is>
          <t>08.007.002.001</t>
        </is>
      </c>
      <c r="J1038" s="1751" t="inlineStr">
        <is>
          <t xml:space="preserve">Sinalização de emergência e extintores </t>
        </is>
      </c>
      <c r="K1038" s="1752" t="inlineStr">
        <is>
          <t>vb</t>
        </is>
      </c>
      <c r="L1038" s="1753" t="n">
        <v>1</v>
      </c>
      <c r="M1038" s="1753" t="n">
        <v>2298.57</v>
      </c>
      <c r="N1038" s="1754" t="n">
        <v>2298.57</v>
      </c>
      <c r="O1038" s="1755" t="inlineStr">
        <is>
          <t>quantidades confirme quantidades do projetista</t>
        </is>
      </c>
      <c r="P1038" s="1721" t="inlineStr">
        <is>
          <t>Pendente</t>
        </is>
      </c>
    </row>
    <row r="1039" hidden="1" outlineLevel="2" ht="13.9" customHeight="1">
      <c r="A1039" s="2117" t="n">
        <v>0</v>
      </c>
      <c r="B1039" s="2117" t="n">
        <v>8</v>
      </c>
      <c r="C1039" s="2117" t="n">
        <v>7</v>
      </c>
      <c r="D1039" s="2118" t="n">
        <v>3</v>
      </c>
      <c r="E1039" s="2118" t="n">
        <v>0</v>
      </c>
      <c r="G1039" s="1740" t="n"/>
      <c r="H1039" s="1741" t="inlineStr">
        <is>
          <t>SUBETAPA</t>
        </is>
      </c>
      <c r="I1039" s="1742" t="inlineStr">
        <is>
          <t>08.007.003</t>
        </is>
      </c>
      <c r="J1039" s="1743" t="inlineStr">
        <is>
          <t>Sprinkles</t>
        </is>
      </c>
      <c r="K1039" s="1744" t="n"/>
      <c r="L1039" s="1745" t="n"/>
      <c r="M1039" s="1745" t="n"/>
      <c r="N1039" s="1746" t="n">
        <v>163725.9</v>
      </c>
      <c r="O1039" s="1747" t="n"/>
      <c r="P1039" s="1720" t="n"/>
    </row>
    <row r="1040" hidden="1" outlineLevel="3" ht="13.9" customHeight="1">
      <c r="A1040" s="2117" t="n">
        <v>0</v>
      </c>
      <c r="B1040" s="2117" t="n">
        <v>8</v>
      </c>
      <c r="C1040" s="2117" t="n">
        <v>7</v>
      </c>
      <c r="D1040" s="2118" t="n">
        <v>3</v>
      </c>
      <c r="E1040" s="2118" t="n">
        <v>1</v>
      </c>
      <c r="G1040" s="1790" t="inlineStr">
        <is>
          <t>INSTALAÇÕES PREVENTIVAS</t>
        </is>
      </c>
      <c r="H1040" s="1749" t="inlineStr">
        <is>
          <t>SERVIÇO</t>
        </is>
      </c>
      <c r="I1040" s="1750" t="inlineStr">
        <is>
          <t>08.007.003.001</t>
        </is>
      </c>
      <c r="J1040" s="1751" t="inlineStr">
        <is>
          <t>Sprinkles</t>
        </is>
      </c>
      <c r="K1040" s="1752" t="inlineStr">
        <is>
          <t>vb</t>
        </is>
      </c>
      <c r="L1040" s="1753" t="n">
        <v>1</v>
      </c>
      <c r="M1040" s="1753" t="n">
        <v>163725.9</v>
      </c>
      <c r="N1040" s="1754" t="n">
        <v>163725.9</v>
      </c>
      <c r="O1040" s="1755" t="inlineStr">
        <is>
          <t>quantidades confirme quantidades do projetista</t>
        </is>
      </c>
      <c r="P1040" s="1721" t="inlineStr">
        <is>
          <t>Pendente</t>
        </is>
      </c>
    </row>
    <row r="1041" hidden="1" outlineLevel="2" ht="13.9" customHeight="1">
      <c r="A1041" s="2117" t="n">
        <v>0</v>
      </c>
      <c r="B1041" s="2117" t="n">
        <v>8</v>
      </c>
      <c r="C1041" s="2117" t="n">
        <v>7</v>
      </c>
      <c r="D1041" s="2118" t="n">
        <v>4</v>
      </c>
      <c r="E1041" s="2118" t="n">
        <v>0</v>
      </c>
      <c r="G1041" s="1740" t="n"/>
      <c r="H1041" s="1741" t="inlineStr">
        <is>
          <t>SUBETAPA</t>
        </is>
      </c>
      <c r="I1041" s="1742" t="inlineStr">
        <is>
          <t>08.007.004</t>
        </is>
      </c>
      <c r="J1041" s="1743" t="inlineStr">
        <is>
          <t>Instalações de proteção e aterramento -SPDA</t>
        </is>
      </c>
      <c r="K1041" s="1744" t="n"/>
      <c r="L1041" s="1745" t="n"/>
      <c r="M1041" s="1745" t="n"/>
      <c r="N1041" s="1746" t="n">
        <v>0</v>
      </c>
      <c r="O1041" s="1747" t="n"/>
      <c r="P1041" s="1720" t="n"/>
    </row>
    <row r="1042" hidden="1" outlineLevel="3" ht="13.9" customHeight="1">
      <c r="A1042" s="2117" t="n">
        <v>0</v>
      </c>
      <c r="B1042" s="2117" t="n">
        <v>8</v>
      </c>
      <c r="C1042" s="2117" t="n">
        <v>7</v>
      </c>
      <c r="D1042" s="2118" t="n">
        <v>4</v>
      </c>
      <c r="E1042" s="2118" t="n">
        <v>1</v>
      </c>
      <c r="G1042" s="1790" t="inlineStr">
        <is>
          <t>INSTALAÇÕES PREVENTIVAS</t>
        </is>
      </c>
      <c r="H1042" s="1749" t="inlineStr">
        <is>
          <t>SERVIÇO</t>
        </is>
      </c>
      <c r="I1042" s="1750" t="inlineStr">
        <is>
          <t>08.007.004.001</t>
        </is>
      </c>
      <c r="J1042" s="1751" t="inlineStr">
        <is>
          <t>Instalações de proteção e aterramento -SPDA</t>
        </is>
      </c>
      <c r="K1042" s="1752" t="inlineStr">
        <is>
          <t>vb</t>
        </is>
      </c>
      <c r="L1042" s="1753" t="n">
        <v>1</v>
      </c>
      <c r="M1042" s="1753" t="n"/>
      <c r="N1042" s="1754" t="n">
        <v>0</v>
      </c>
      <c r="O1042" s="1755" t="inlineStr">
        <is>
          <t>Estimado devido a ausencia de quantitativos</t>
        </is>
      </c>
      <c r="P1042" s="1721" t="inlineStr">
        <is>
          <t>Pendente</t>
        </is>
      </c>
    </row>
    <row r="1043" hidden="1" outlineLevel="2" ht="13.9" customHeight="1">
      <c r="A1043" s="2117" t="n">
        <v>0</v>
      </c>
      <c r="B1043" s="2117" t="n">
        <v>8</v>
      </c>
      <c r="C1043" s="2117" t="n">
        <v>7</v>
      </c>
      <c r="D1043" s="2118" t="n">
        <v>5</v>
      </c>
      <c r="E1043" s="2118" t="n">
        <v>0</v>
      </c>
      <c r="G1043" s="1740" t="n"/>
      <c r="H1043" s="1741" t="inlineStr">
        <is>
          <t>SUBETAPA</t>
        </is>
      </c>
      <c r="I1043" s="1742" t="inlineStr">
        <is>
          <t>08.007.005</t>
        </is>
      </c>
      <c r="J1043" s="1743" t="inlineStr">
        <is>
          <t>Central de Alarmes</t>
        </is>
      </c>
      <c r="K1043" s="1744" t="n"/>
      <c r="L1043" s="1745" t="n"/>
      <c r="M1043" s="1745" t="n"/>
      <c r="N1043" s="1746" t="n">
        <v>8160.69</v>
      </c>
      <c r="O1043" s="1747" t="n"/>
      <c r="P1043" s="1720" t="n"/>
    </row>
    <row r="1044" hidden="1" outlineLevel="3" ht="13.9" customHeight="1">
      <c r="A1044" s="2117" t="n">
        <v>0</v>
      </c>
      <c r="B1044" s="2117" t="n">
        <v>8</v>
      </c>
      <c r="C1044" s="2117" t="n">
        <v>7</v>
      </c>
      <c r="D1044" s="2118" t="n">
        <v>5</v>
      </c>
      <c r="E1044" s="2118" t="n">
        <v>1</v>
      </c>
      <c r="G1044" s="1790" t="inlineStr">
        <is>
          <t>INSTALAÇÕES PREVENTIVAS</t>
        </is>
      </c>
      <c r="H1044" s="1749" t="inlineStr">
        <is>
          <t>SERVIÇO</t>
        </is>
      </c>
      <c r="I1044" s="1750" t="inlineStr">
        <is>
          <t>08.007.005.001</t>
        </is>
      </c>
      <c r="J1044" s="1751" t="inlineStr">
        <is>
          <t>Central de Alarmes</t>
        </is>
      </c>
      <c r="K1044" s="1752" t="inlineStr">
        <is>
          <t>vb</t>
        </is>
      </c>
      <c r="L1044" s="1753" t="n">
        <v>1</v>
      </c>
      <c r="M1044" s="1753" t="n">
        <v>8160.690000000001</v>
      </c>
      <c r="N1044" s="1754" t="n">
        <v>8160.69</v>
      </c>
      <c r="O1044" s="1755" t="inlineStr">
        <is>
          <t>quantidades confirme quantidades do projetista</t>
        </is>
      </c>
      <c r="P1044" s="1721" t="inlineStr">
        <is>
          <t>Pendente</t>
        </is>
      </c>
    </row>
    <row r="1045" hidden="1" outlineLevel="2" ht="13.9" customHeight="1">
      <c r="A1045" s="2117" t="n">
        <v>0</v>
      </c>
      <c r="B1045" s="2117" t="n">
        <v>8</v>
      </c>
      <c r="C1045" s="2117" t="n">
        <v>7</v>
      </c>
      <c r="D1045" s="2118" t="n">
        <v>6</v>
      </c>
      <c r="E1045" s="2118" t="n">
        <v>0</v>
      </c>
      <c r="G1045" s="1740" t="n"/>
      <c r="H1045" s="1741" t="inlineStr">
        <is>
          <t>SUBETAPA</t>
        </is>
      </c>
      <c r="I1045" s="1742" t="inlineStr">
        <is>
          <t>08.007.006</t>
        </is>
      </c>
      <c r="J1045" s="1743" t="inlineStr">
        <is>
          <t>Sistema de bombas</t>
        </is>
      </c>
      <c r="K1045" s="1744" t="n"/>
      <c r="L1045" s="1745" t="n"/>
      <c r="M1045" s="1745" t="n"/>
      <c r="N1045" s="1746" t="n">
        <v>0</v>
      </c>
      <c r="O1045" s="1747" t="n"/>
      <c r="P1045" s="1720" t="n"/>
    </row>
    <row r="1046" hidden="1" outlineLevel="3" ht="13.9" customHeight="1">
      <c r="A1046" s="2117" t="n">
        <v>0</v>
      </c>
      <c r="B1046" s="2117" t="n">
        <v>8</v>
      </c>
      <c r="C1046" s="2117" t="n">
        <v>7</v>
      </c>
      <c r="D1046" s="2118" t="n">
        <v>6</v>
      </c>
      <c r="E1046" s="2118" t="n">
        <v>1</v>
      </c>
      <c r="G1046" s="1790" t="inlineStr">
        <is>
          <t>INSTALAÇÕES PREVENTIVAS</t>
        </is>
      </c>
      <c r="H1046" s="1749" t="inlineStr">
        <is>
          <t>SERVIÇO</t>
        </is>
      </c>
      <c r="I1046" s="1750" t="inlineStr">
        <is>
          <t>08.007.006.001</t>
        </is>
      </c>
      <c r="J1046" s="1751" t="inlineStr">
        <is>
          <t>Sistema de bombas</t>
        </is>
      </c>
      <c r="K1046" s="1752" t="inlineStr">
        <is>
          <t>vb</t>
        </is>
      </c>
      <c r="L1046" s="1753" t="n">
        <v>1</v>
      </c>
      <c r="M1046" s="1753" t="n"/>
      <c r="N1046" s="1754" t="n">
        <v>0</v>
      </c>
      <c r="O1046" s="1755" t="inlineStr">
        <is>
          <t>quantidades confirme quantidades do projetista</t>
        </is>
      </c>
      <c r="P1046" s="1721" t="inlineStr">
        <is>
          <t>Pendente</t>
        </is>
      </c>
    </row>
    <row r="1047" hidden="1" outlineLevel="2" ht="13.9" customHeight="1">
      <c r="A1047" s="2117" t="n">
        <v>0</v>
      </c>
      <c r="B1047" s="2117" t="n">
        <v>8</v>
      </c>
      <c r="C1047" s="2117" t="n">
        <v>7</v>
      </c>
      <c r="D1047" s="2118" t="n">
        <v>7</v>
      </c>
      <c r="E1047" s="2118" t="n">
        <v>0</v>
      </c>
      <c r="G1047" s="1740" t="n"/>
      <c r="H1047" s="1741" t="inlineStr">
        <is>
          <t>SUBETAPA</t>
        </is>
      </c>
      <c r="I1047" s="1742" t="inlineStr">
        <is>
          <t>08.007.007</t>
        </is>
      </c>
      <c r="J1047" s="1743" t="inlineStr">
        <is>
          <t>Mão de obra</t>
        </is>
      </c>
      <c r="K1047" s="1744" t="n"/>
      <c r="L1047" s="1745" t="n"/>
      <c r="M1047" s="1745" t="n"/>
      <c r="N1047" s="1746" t="n">
        <v>4462.25</v>
      </c>
      <c r="O1047" s="1747" t="n"/>
      <c r="P1047" s="1720" t="n"/>
    </row>
    <row r="1048" hidden="1" outlineLevel="3" ht="13.9" customHeight="1">
      <c r="A1048" s="2117" t="n">
        <v>0</v>
      </c>
      <c r="B1048" s="2117" t="n">
        <v>8</v>
      </c>
      <c r="C1048" s="2117" t="n">
        <v>7</v>
      </c>
      <c r="D1048" s="2118" t="n">
        <v>7</v>
      </c>
      <c r="E1048" s="2118" t="n">
        <v>1</v>
      </c>
      <c r="G1048" s="1790" t="inlineStr">
        <is>
          <t>INSTALAÇÕES PREVENTIVAS</t>
        </is>
      </c>
      <c r="H1048" s="1749" t="inlineStr">
        <is>
          <t>SERVIÇO</t>
        </is>
      </c>
      <c r="I1048" s="1750" t="inlineStr">
        <is>
          <t>08.007.007.001</t>
        </is>
      </c>
      <c r="J1048" s="1751" t="inlineStr">
        <is>
          <t>Mão de obra PPCI</t>
        </is>
      </c>
      <c r="K1048" s="1752" t="inlineStr">
        <is>
          <t>vb</t>
        </is>
      </c>
      <c r="L1048" s="1753" t="n">
        <v>1</v>
      </c>
      <c r="M1048" s="1753" t="n">
        <v>4462.25</v>
      </c>
      <c r="N1048" s="1754" t="n">
        <v>4462.25</v>
      </c>
      <c r="O1048" s="1765" t="inlineStr">
        <is>
          <t>Considerado R$5/m²</t>
        </is>
      </c>
      <c r="P1048" s="1721" t="inlineStr">
        <is>
          <t>Pendente</t>
        </is>
      </c>
    </row>
    <row r="1049" hidden="1" outlineLevel="1" ht="13.9" customHeight="1">
      <c r="A1049" s="2117" t="n">
        <v>0</v>
      </c>
      <c r="B1049" s="2117" t="n">
        <v>8</v>
      </c>
      <c r="C1049" s="2117" t="n">
        <v>8</v>
      </c>
      <c r="D1049" s="2118" t="n">
        <v>0</v>
      </c>
      <c r="E1049" s="2118" t="n">
        <v>1</v>
      </c>
      <c r="G1049" s="1733" t="n"/>
      <c r="H1049" s="1734" t="inlineStr">
        <is>
          <t>ETAPA</t>
        </is>
      </c>
      <c r="I1049" s="1735" t="inlineStr">
        <is>
          <t>08.008</t>
        </is>
      </c>
      <c r="J1049" s="1736" t="inlineStr">
        <is>
          <t>INSTALAÇÕES PREVENTIVAS - Lazer</t>
        </is>
      </c>
      <c r="K1049" s="1737" t="n"/>
      <c r="L1049" s="1738" t="n"/>
      <c r="M1049" s="1738" t="n"/>
      <c r="N1049" s="1739" t="n">
        <v>44273.484</v>
      </c>
      <c r="O1049" s="1722" t="n"/>
      <c r="P1049" s="1725" t="n"/>
    </row>
    <row r="1050" hidden="1" outlineLevel="2" ht="13.9" customHeight="1">
      <c r="A1050" s="2117" t="n">
        <v>0</v>
      </c>
      <c r="B1050" s="2117" t="n">
        <v>8</v>
      </c>
      <c r="C1050" s="2117" t="n">
        <v>8</v>
      </c>
      <c r="D1050" s="2118" t="n">
        <v>1</v>
      </c>
      <c r="E1050" s="2118" t="n">
        <v>0</v>
      </c>
      <c r="G1050" s="1740" t="n"/>
      <c r="H1050" s="1741" t="inlineStr">
        <is>
          <t>SUBETAPA</t>
        </is>
      </c>
      <c r="I1050" s="1742" t="inlineStr">
        <is>
          <t>08.008.001</t>
        </is>
      </c>
      <c r="J1050" s="1743" t="inlineStr">
        <is>
          <t>Hidrantes</t>
        </is>
      </c>
      <c r="K1050" s="1744" t="n"/>
      <c r="L1050" s="1745" t="n"/>
      <c r="M1050" s="1745" t="n"/>
      <c r="N1050" s="1746" t="n">
        <v>3982.75</v>
      </c>
      <c r="O1050" s="1747" t="n"/>
      <c r="P1050" s="1720" t="n"/>
    </row>
    <row r="1051" hidden="1" outlineLevel="3" ht="13.9" customHeight="1">
      <c r="A1051" s="2117" t="n">
        <v>0</v>
      </c>
      <c r="B1051" s="2117" t="n">
        <v>8</v>
      </c>
      <c r="C1051" s="2117" t="n">
        <v>8</v>
      </c>
      <c r="D1051" s="2118" t="n">
        <v>1</v>
      </c>
      <c r="E1051" s="2118" t="n">
        <v>1</v>
      </c>
      <c r="G1051" s="1790" t="inlineStr">
        <is>
          <t>INSTALAÇÕES PREVENTIVAS</t>
        </is>
      </c>
      <c r="H1051" s="1749" t="inlineStr">
        <is>
          <t>SERVIÇO</t>
        </is>
      </c>
      <c r="I1051" s="1750" t="inlineStr">
        <is>
          <t>08.008.001.001</t>
        </is>
      </c>
      <c r="J1051" s="1751" t="inlineStr">
        <is>
          <t>Hidrantes</t>
        </is>
      </c>
      <c r="K1051" s="1752" t="inlineStr">
        <is>
          <t>vb</t>
        </is>
      </c>
      <c r="L1051" s="1753" t="n">
        <v>1</v>
      </c>
      <c r="M1051" s="1753" t="n">
        <v>3982.75</v>
      </c>
      <c r="N1051" s="1754" t="n">
        <v>3982.75</v>
      </c>
      <c r="O1051" s="1755" t="inlineStr">
        <is>
          <t>quantidades confirme quantidades do projetista</t>
        </is>
      </c>
      <c r="P1051" s="1721" t="inlineStr">
        <is>
          <t>Pendente</t>
        </is>
      </c>
    </row>
    <row r="1052" hidden="1" outlineLevel="2" ht="13.9" customHeight="1">
      <c r="A1052" s="2117" t="n">
        <v>0</v>
      </c>
      <c r="B1052" s="2117" t="n">
        <v>8</v>
      </c>
      <c r="C1052" s="2117" t="n">
        <v>8</v>
      </c>
      <c r="D1052" s="2118" t="n">
        <v>2</v>
      </c>
      <c r="E1052" s="2118" t="n">
        <v>0</v>
      </c>
      <c r="G1052" s="1740" t="n"/>
      <c r="H1052" s="1741" t="inlineStr">
        <is>
          <t>SUBETAPA</t>
        </is>
      </c>
      <c r="I1052" s="1742" t="inlineStr">
        <is>
          <t>08.008.002</t>
        </is>
      </c>
      <c r="J1052" s="1743" t="inlineStr">
        <is>
          <t xml:space="preserve">Sinalização de emergência e extintores </t>
        </is>
      </c>
      <c r="K1052" s="1744" t="n"/>
      <c r="L1052" s="1745" t="n"/>
      <c r="M1052" s="1745" t="n"/>
      <c r="N1052" s="1746" t="n">
        <v>1517.74</v>
      </c>
      <c r="O1052" s="1747" t="n"/>
      <c r="P1052" s="1720" t="n"/>
    </row>
    <row r="1053" hidden="1" outlineLevel="3" ht="13.9" customHeight="1">
      <c r="A1053" s="2117" t="n">
        <v>0</v>
      </c>
      <c r="B1053" s="2117" t="n">
        <v>8</v>
      </c>
      <c r="C1053" s="2117" t="n">
        <v>8</v>
      </c>
      <c r="D1053" s="2118" t="n">
        <v>2</v>
      </c>
      <c r="E1053" s="2118" t="n">
        <v>1</v>
      </c>
      <c r="G1053" s="1790" t="inlineStr">
        <is>
          <t>INSTALAÇÕES PREVENTIVAS</t>
        </is>
      </c>
      <c r="H1053" s="1749" t="inlineStr">
        <is>
          <t>SERVIÇO</t>
        </is>
      </c>
      <c r="I1053" s="1750" t="inlineStr">
        <is>
          <t>08.008.002.001</t>
        </is>
      </c>
      <c r="J1053" s="1751" t="inlineStr">
        <is>
          <t xml:space="preserve">Sinalização de emergência e extintores </t>
        </is>
      </c>
      <c r="K1053" s="1752" t="inlineStr">
        <is>
          <t>vb</t>
        </is>
      </c>
      <c r="L1053" s="1753" t="n">
        <v>1</v>
      </c>
      <c r="M1053" s="1753" t="n">
        <v>1517.74</v>
      </c>
      <c r="N1053" s="1754" t="n">
        <v>1517.74</v>
      </c>
      <c r="O1053" s="1755" t="inlineStr">
        <is>
          <t>quantidades confirme quantidades do projetista</t>
        </is>
      </c>
      <c r="P1053" s="1721" t="inlineStr">
        <is>
          <t>Pendente</t>
        </is>
      </c>
    </row>
    <row r="1054" hidden="1" outlineLevel="2" ht="13.9" customHeight="1">
      <c r="A1054" s="2117" t="n">
        <v>0</v>
      </c>
      <c r="B1054" s="2117" t="n">
        <v>8</v>
      </c>
      <c r="C1054" s="2117" t="n">
        <v>8</v>
      </c>
      <c r="D1054" s="2118" t="n">
        <v>3</v>
      </c>
      <c r="E1054" s="2118" t="n">
        <v>0</v>
      </c>
      <c r="G1054" s="1740" t="n"/>
      <c r="H1054" s="1741" t="inlineStr">
        <is>
          <t>SUBETAPA</t>
        </is>
      </c>
      <c r="I1054" s="1742" t="inlineStr">
        <is>
          <t>08.008.003</t>
        </is>
      </c>
      <c r="J1054" s="1743" t="inlineStr">
        <is>
          <t>Sprinkles</t>
        </is>
      </c>
      <c r="K1054" s="1744" t="n"/>
      <c r="L1054" s="1745" t="n"/>
      <c r="M1054" s="1745" t="n"/>
      <c r="N1054" s="1746" t="n">
        <v>30559.1</v>
      </c>
      <c r="O1054" s="1747" t="n"/>
      <c r="P1054" s="1720" t="n"/>
    </row>
    <row r="1055" hidden="1" outlineLevel="3" ht="13.9" customHeight="1">
      <c r="A1055" s="2117" t="n">
        <v>0</v>
      </c>
      <c r="B1055" s="2117" t="n">
        <v>8</v>
      </c>
      <c r="C1055" s="2117" t="n">
        <v>8</v>
      </c>
      <c r="D1055" s="2118" t="n">
        <v>3</v>
      </c>
      <c r="E1055" s="2118" t="n">
        <v>1</v>
      </c>
      <c r="G1055" s="1790" t="inlineStr">
        <is>
          <t>INSTALAÇÕES PREVENTIVAS</t>
        </is>
      </c>
      <c r="H1055" s="1749" t="inlineStr">
        <is>
          <t>SERVIÇO</t>
        </is>
      </c>
      <c r="I1055" s="1750" t="inlineStr">
        <is>
          <t>08.008.003.001</t>
        </is>
      </c>
      <c r="J1055" s="1751" t="inlineStr">
        <is>
          <t>Sprinkles</t>
        </is>
      </c>
      <c r="K1055" s="1752" t="inlineStr">
        <is>
          <t>vb</t>
        </is>
      </c>
      <c r="L1055" s="1753" t="n">
        <v>1</v>
      </c>
      <c r="M1055" s="1753" t="n">
        <v>30559.1</v>
      </c>
      <c r="N1055" s="1754" t="n">
        <v>30559.1</v>
      </c>
      <c r="O1055" s="1755" t="inlineStr">
        <is>
          <t>quantidades confirme quantidades do projetista</t>
        </is>
      </c>
      <c r="P1055" s="1721" t="inlineStr">
        <is>
          <t>Pendente</t>
        </is>
      </c>
    </row>
    <row r="1056" hidden="1" outlineLevel="2" ht="13.9" customHeight="1">
      <c r="A1056" s="2117" t="n">
        <v>0</v>
      </c>
      <c r="B1056" s="2117" t="n">
        <v>8</v>
      </c>
      <c r="C1056" s="2117" t="n">
        <v>8</v>
      </c>
      <c r="D1056" s="2118" t="n">
        <v>4</v>
      </c>
      <c r="E1056" s="2118" t="n">
        <v>0</v>
      </c>
      <c r="G1056" s="1740" t="n"/>
      <c r="H1056" s="1741" t="inlineStr">
        <is>
          <t>SUBETAPA</t>
        </is>
      </c>
      <c r="I1056" s="1742" t="inlineStr">
        <is>
          <t>08.008.004</t>
        </is>
      </c>
      <c r="J1056" s="1743" t="inlineStr">
        <is>
          <t>Instalações de proteção e aterramento -SPDA</t>
        </is>
      </c>
      <c r="K1056" s="1744" t="n"/>
      <c r="L1056" s="1745" t="n"/>
      <c r="M1056" s="1745" t="n"/>
      <c r="N1056" s="1746" t="n">
        <v>0</v>
      </c>
      <c r="O1056" s="1747" t="n"/>
      <c r="P1056" s="1720" t="n"/>
    </row>
    <row r="1057" hidden="1" outlineLevel="3" ht="13.9" customHeight="1">
      <c r="A1057" s="2117" t="n">
        <v>0</v>
      </c>
      <c r="B1057" s="2117" t="n">
        <v>8</v>
      </c>
      <c r="C1057" s="2117" t="n">
        <v>8</v>
      </c>
      <c r="D1057" s="2118" t="n">
        <v>4</v>
      </c>
      <c r="E1057" s="2118" t="n">
        <v>1</v>
      </c>
      <c r="G1057" s="1790" t="inlineStr">
        <is>
          <t>INSTALAÇÕES PREVENTIVAS</t>
        </is>
      </c>
      <c r="H1057" s="1749" t="inlineStr">
        <is>
          <t>SERVIÇO</t>
        </is>
      </c>
      <c r="I1057" s="1750" t="inlineStr">
        <is>
          <t>08.008.004.001</t>
        </is>
      </c>
      <c r="J1057" s="1751" t="inlineStr">
        <is>
          <t>Instalações de proteção e aterramento -SPDA</t>
        </is>
      </c>
      <c r="K1057" s="1752" t="inlineStr">
        <is>
          <t>vb</t>
        </is>
      </c>
      <c r="L1057" s="1753" t="n">
        <v>1</v>
      </c>
      <c r="M1057" s="1753" t="n"/>
      <c r="N1057" s="1754" t="n">
        <v>0</v>
      </c>
      <c r="O1057" s="1755" t="inlineStr">
        <is>
          <t>Estimado devido a ausencia de quantitativos</t>
        </is>
      </c>
      <c r="P1057" s="1721" t="inlineStr">
        <is>
          <t>Pendente</t>
        </is>
      </c>
    </row>
    <row r="1058" hidden="1" outlineLevel="2" ht="13.9" customHeight="1">
      <c r="A1058" s="2117" t="n">
        <v>0</v>
      </c>
      <c r="B1058" s="2117" t="n">
        <v>8</v>
      </c>
      <c r="C1058" s="2117" t="n">
        <v>8</v>
      </c>
      <c r="D1058" s="2118" t="n">
        <v>5</v>
      </c>
      <c r="E1058" s="2118" t="n">
        <v>0</v>
      </c>
      <c r="G1058" s="1740" t="n"/>
      <c r="H1058" s="1741" t="inlineStr">
        <is>
          <t>SUBETAPA</t>
        </is>
      </c>
      <c r="I1058" s="1742" t="inlineStr">
        <is>
          <t>08.008.005</t>
        </is>
      </c>
      <c r="J1058" s="1743" t="inlineStr">
        <is>
          <t>Central de Alarmes</t>
        </is>
      </c>
      <c r="K1058" s="1744" t="n"/>
      <c r="L1058" s="1745" t="n"/>
      <c r="M1058" s="1745" t="n"/>
      <c r="N1058" s="1746" t="n">
        <v>5717.544</v>
      </c>
      <c r="O1058" s="1747" t="n"/>
      <c r="P1058" s="1720" t="n"/>
    </row>
    <row r="1059" hidden="1" outlineLevel="3" ht="13.9" customHeight="1">
      <c r="A1059" s="2117" t="n">
        <v>0</v>
      </c>
      <c r="B1059" s="2117" t="n">
        <v>8</v>
      </c>
      <c r="C1059" s="2117" t="n">
        <v>8</v>
      </c>
      <c r="D1059" s="2118" t="n">
        <v>5</v>
      </c>
      <c r="E1059" s="2118" t="n">
        <v>1</v>
      </c>
      <c r="G1059" s="1790" t="inlineStr">
        <is>
          <t>INSTALAÇÕES PREVENTIVAS</t>
        </is>
      </c>
      <c r="H1059" s="1749" t="inlineStr">
        <is>
          <t>SERVIÇO</t>
        </is>
      </c>
      <c r="I1059" s="1750" t="inlineStr">
        <is>
          <t>08.008.005.001</t>
        </is>
      </c>
      <c r="J1059" s="1751" t="inlineStr">
        <is>
          <t>Central de Alarmes</t>
        </is>
      </c>
      <c r="K1059" s="1752" t="inlineStr">
        <is>
          <t>vb</t>
        </is>
      </c>
      <c r="L1059" s="1753" t="n">
        <v>1</v>
      </c>
      <c r="M1059" s="1753" t="n">
        <v>5717.544</v>
      </c>
      <c r="N1059" s="1754" t="n">
        <v>5717.544</v>
      </c>
      <c r="O1059" s="1755" t="inlineStr">
        <is>
          <t>quantidades confirme quantidades do projetista</t>
        </is>
      </c>
      <c r="P1059" s="1721" t="inlineStr">
        <is>
          <t>Pendente</t>
        </is>
      </c>
    </row>
    <row r="1060" hidden="1" outlineLevel="2" ht="13.9" customHeight="1">
      <c r="A1060" s="2117" t="n">
        <v>0</v>
      </c>
      <c r="B1060" s="2117" t="n">
        <v>8</v>
      </c>
      <c r="C1060" s="2117" t="n">
        <v>8</v>
      </c>
      <c r="D1060" s="2118" t="n">
        <v>6</v>
      </c>
      <c r="E1060" s="2118" t="n">
        <v>0</v>
      </c>
      <c r="G1060" s="1740" t="n"/>
      <c r="H1060" s="1741" t="inlineStr">
        <is>
          <t>SUBETAPA</t>
        </is>
      </c>
      <c r="I1060" s="1742" t="inlineStr">
        <is>
          <t>08.008.006</t>
        </is>
      </c>
      <c r="J1060" s="1743" t="inlineStr">
        <is>
          <t>Sistema de bombas</t>
        </is>
      </c>
      <c r="K1060" s="1744" t="n"/>
      <c r="L1060" s="1745" t="n"/>
      <c r="M1060" s="1745" t="n"/>
      <c r="N1060" s="1746" t="n">
        <v>0</v>
      </c>
      <c r="O1060" s="1747" t="n"/>
      <c r="P1060" s="1720" t="n"/>
    </row>
    <row r="1061" hidden="1" outlineLevel="3" ht="13.9" customHeight="1">
      <c r="A1061" s="2117" t="n">
        <v>0</v>
      </c>
      <c r="B1061" s="2117" t="n">
        <v>8</v>
      </c>
      <c r="C1061" s="2117" t="n">
        <v>8</v>
      </c>
      <c r="D1061" s="2118" t="n">
        <v>6</v>
      </c>
      <c r="E1061" s="2118" t="n">
        <v>1</v>
      </c>
      <c r="G1061" s="1790" t="inlineStr">
        <is>
          <t>INSTALAÇÕES PREVENTIVAS</t>
        </is>
      </c>
      <c r="H1061" s="1749" t="inlineStr">
        <is>
          <t>SERVIÇO</t>
        </is>
      </c>
      <c r="I1061" s="1750" t="inlineStr">
        <is>
          <t>08.008.006.001</t>
        </is>
      </c>
      <c r="J1061" s="1751" t="inlineStr">
        <is>
          <t>Sistema de bombas</t>
        </is>
      </c>
      <c r="K1061" s="1752" t="inlineStr">
        <is>
          <t>vb</t>
        </is>
      </c>
      <c r="L1061" s="1753" t="n">
        <v>1</v>
      </c>
      <c r="M1061" s="1753" t="n"/>
      <c r="N1061" s="1754" t="n">
        <v>0</v>
      </c>
      <c r="O1061" s="1755" t="inlineStr">
        <is>
          <t>quantidades confirme quantidades do projetista</t>
        </is>
      </c>
      <c r="P1061" s="1721" t="inlineStr">
        <is>
          <t>Pendente</t>
        </is>
      </c>
    </row>
    <row r="1062" hidden="1" outlineLevel="2" ht="13.9" customHeight="1">
      <c r="A1062" s="2117" t="n">
        <v>0</v>
      </c>
      <c r="B1062" s="2117" t="n">
        <v>8</v>
      </c>
      <c r="C1062" s="2117" t="n">
        <v>8</v>
      </c>
      <c r="D1062" s="2118" t="n">
        <v>7</v>
      </c>
      <c r="E1062" s="2118" t="n">
        <v>0</v>
      </c>
      <c r="G1062" s="1740" t="n"/>
      <c r="H1062" s="1741" t="inlineStr">
        <is>
          <t>SUBETAPA</t>
        </is>
      </c>
      <c r="I1062" s="1742" t="inlineStr">
        <is>
          <t>08.008.007</t>
        </is>
      </c>
      <c r="J1062" s="1743" t="inlineStr">
        <is>
          <t>Mão de obra</t>
        </is>
      </c>
      <c r="K1062" s="1744" t="n"/>
      <c r="L1062" s="1745" t="n"/>
      <c r="M1062" s="1745" t="n"/>
      <c r="N1062" s="1746" t="n">
        <v>2496.35</v>
      </c>
      <c r="O1062" s="1747" t="n"/>
      <c r="P1062" s="1720" t="n"/>
    </row>
    <row r="1063" hidden="1" outlineLevel="3" ht="13.9" customHeight="1">
      <c r="A1063" s="2117" t="n">
        <v>0</v>
      </c>
      <c r="B1063" s="2117" t="n">
        <v>8</v>
      </c>
      <c r="C1063" s="2117" t="n">
        <v>8</v>
      </c>
      <c r="D1063" s="2118" t="n">
        <v>7</v>
      </c>
      <c r="E1063" s="2118" t="n">
        <v>1</v>
      </c>
      <c r="G1063" s="1790" t="inlineStr">
        <is>
          <t>INSTALAÇÕES PREVENTIVAS</t>
        </is>
      </c>
      <c r="H1063" s="1749" t="inlineStr">
        <is>
          <t>SERVIÇO</t>
        </is>
      </c>
      <c r="I1063" s="1750" t="inlineStr">
        <is>
          <t>08.008.007.001</t>
        </is>
      </c>
      <c r="J1063" s="1751" t="inlineStr">
        <is>
          <t>Mão de obra PPCI</t>
        </is>
      </c>
      <c r="K1063" s="1752" t="inlineStr">
        <is>
          <t>vb</t>
        </is>
      </c>
      <c r="L1063" s="1753" t="n">
        <v>1</v>
      </c>
      <c r="M1063" s="1753" t="n">
        <v>2496.35</v>
      </c>
      <c r="N1063" s="1754" t="n">
        <v>2496.35</v>
      </c>
      <c r="O1063" s="1765" t="inlineStr">
        <is>
          <t>Considerado R$5/m²</t>
        </is>
      </c>
      <c r="P1063" s="1721" t="inlineStr">
        <is>
          <t>Pendente</t>
        </is>
      </c>
    </row>
    <row r="1064" hidden="1" outlineLevel="1" ht="13.9" customHeight="1">
      <c r="A1064" s="2117" t="n">
        <v>0</v>
      </c>
      <c r="B1064" s="2117" t="n">
        <v>8</v>
      </c>
      <c r="C1064" s="2117" t="n">
        <v>9</v>
      </c>
      <c r="D1064" s="2118" t="n">
        <v>0</v>
      </c>
      <c r="E1064" s="2118" t="n">
        <v>1</v>
      </c>
      <c r="G1064" s="1733" t="n"/>
      <c r="H1064" s="1734" t="inlineStr">
        <is>
          <t>ETAPA</t>
        </is>
      </c>
      <c r="I1064" s="1735" t="inlineStr">
        <is>
          <t>08.009</t>
        </is>
      </c>
      <c r="J1064" s="1736" t="inlineStr">
        <is>
          <t>INSTALAÇÕES PREVENTIVAS - Tipo diferenciado</t>
        </is>
      </c>
      <c r="K1064" s="1737" t="n"/>
      <c r="L1064" s="1738" t="n"/>
      <c r="M1064" s="1738" t="n"/>
      <c r="N1064" s="1739" t="n">
        <v>32959.9472</v>
      </c>
      <c r="O1064" s="1722" t="n"/>
      <c r="P1064" s="1725" t="n"/>
    </row>
    <row r="1065" hidden="1" outlineLevel="2" ht="13.9" customHeight="1">
      <c r="A1065" s="2117" t="n">
        <v>0</v>
      </c>
      <c r="B1065" s="2117" t="n">
        <v>8</v>
      </c>
      <c r="C1065" s="2117" t="n">
        <v>9</v>
      </c>
      <c r="D1065" s="2118" t="n">
        <v>1</v>
      </c>
      <c r="E1065" s="2118" t="n">
        <v>0</v>
      </c>
      <c r="G1065" s="1740" t="n"/>
      <c r="H1065" s="1741" t="inlineStr">
        <is>
          <t>SUBETAPA</t>
        </is>
      </c>
      <c r="I1065" s="1742" t="inlineStr">
        <is>
          <t>08.009.001</t>
        </is>
      </c>
      <c r="J1065" s="1743" t="inlineStr">
        <is>
          <t>Hidrantes</t>
        </is>
      </c>
      <c r="K1065" s="1744" t="n"/>
      <c r="L1065" s="1745" t="n"/>
      <c r="M1065" s="1745" t="n"/>
      <c r="N1065" s="1746" t="n">
        <v>3346.25</v>
      </c>
      <c r="O1065" s="1747" t="n"/>
      <c r="P1065" s="1720" t="n"/>
    </row>
    <row r="1066" hidden="1" outlineLevel="3" ht="13.9" customHeight="1">
      <c r="A1066" s="2117" t="n">
        <v>0</v>
      </c>
      <c r="B1066" s="2117" t="n">
        <v>8</v>
      </c>
      <c r="C1066" s="2117" t="n">
        <v>9</v>
      </c>
      <c r="D1066" s="2118" t="n">
        <v>1</v>
      </c>
      <c r="E1066" s="2118" t="n">
        <v>1</v>
      </c>
      <c r="G1066" s="1790" t="inlineStr">
        <is>
          <t>INSTALAÇÕES PREVENTIVAS</t>
        </is>
      </c>
      <c r="H1066" s="1749" t="inlineStr">
        <is>
          <t>SERVIÇO</t>
        </is>
      </c>
      <c r="I1066" s="1750" t="inlineStr">
        <is>
          <t>08.009.001.001</t>
        </is>
      </c>
      <c r="J1066" s="1751" t="inlineStr">
        <is>
          <t>Hidrantes</t>
        </is>
      </c>
      <c r="K1066" s="1752" t="inlineStr">
        <is>
          <t>vb</t>
        </is>
      </c>
      <c r="L1066" s="1753" t="n">
        <v>1</v>
      </c>
      <c r="M1066" s="1753" t="n">
        <v>3346.25</v>
      </c>
      <c r="N1066" s="1754" t="n">
        <v>3346.25</v>
      </c>
      <c r="O1066" s="1755" t="inlineStr">
        <is>
          <t>quantidades confirme quantidades do projetista</t>
        </is>
      </c>
      <c r="P1066" s="1721" t="inlineStr">
        <is>
          <t>Pendente</t>
        </is>
      </c>
    </row>
    <row r="1067" hidden="1" outlineLevel="2" ht="13.9" customHeight="1">
      <c r="A1067" s="2117" t="n">
        <v>0</v>
      </c>
      <c r="B1067" s="2117" t="n">
        <v>8</v>
      </c>
      <c r="C1067" s="2117" t="n">
        <v>9</v>
      </c>
      <c r="D1067" s="2118" t="n">
        <v>2</v>
      </c>
      <c r="E1067" s="2118" t="n">
        <v>0</v>
      </c>
      <c r="G1067" s="1740" t="n"/>
      <c r="H1067" s="1741" t="inlineStr">
        <is>
          <t>SUBETAPA</t>
        </is>
      </c>
      <c r="I1067" s="1742" t="inlineStr">
        <is>
          <t>08.009.002</t>
        </is>
      </c>
      <c r="J1067" s="1743" t="inlineStr">
        <is>
          <t xml:space="preserve">Sinalização de emergência e extintores </t>
        </is>
      </c>
      <c r="K1067" s="1744" t="n"/>
      <c r="L1067" s="1745" t="n"/>
      <c r="M1067" s="1745" t="n"/>
      <c r="N1067" s="1746" t="n">
        <v>600.45</v>
      </c>
      <c r="O1067" s="1747" t="n"/>
      <c r="P1067" s="1720" t="n"/>
    </row>
    <row r="1068" hidden="1" outlineLevel="3" ht="13.9" customHeight="1">
      <c r="A1068" s="2117" t="n">
        <v>0</v>
      </c>
      <c r="B1068" s="2117" t="n">
        <v>8</v>
      </c>
      <c r="C1068" s="2117" t="n">
        <v>9</v>
      </c>
      <c r="D1068" s="2118" t="n">
        <v>2</v>
      </c>
      <c r="E1068" s="2118" t="n">
        <v>1</v>
      </c>
      <c r="G1068" s="1790" t="inlineStr">
        <is>
          <t>INSTALAÇÕES PREVENTIVAS</t>
        </is>
      </c>
      <c r="H1068" s="1749" t="inlineStr">
        <is>
          <t>SERVIÇO</t>
        </is>
      </c>
      <c r="I1068" s="1750" t="inlineStr">
        <is>
          <t>08.009.002.001</t>
        </is>
      </c>
      <c r="J1068" s="1751" t="inlineStr">
        <is>
          <t xml:space="preserve">Sinalização de emergência e extintores </t>
        </is>
      </c>
      <c r="K1068" s="1752" t="inlineStr">
        <is>
          <t>vb</t>
        </is>
      </c>
      <c r="L1068" s="1753" t="n">
        <v>1</v>
      </c>
      <c r="M1068" s="1753" t="n">
        <v>600.45</v>
      </c>
      <c r="N1068" s="1754" t="n">
        <v>600.45</v>
      </c>
      <c r="O1068" s="1755" t="inlineStr">
        <is>
          <t>quantidades confirme quantidades do projetista</t>
        </is>
      </c>
      <c r="P1068" s="1721" t="inlineStr">
        <is>
          <t>Pendente</t>
        </is>
      </c>
    </row>
    <row r="1069" hidden="1" outlineLevel="2" ht="13.9" customHeight="1">
      <c r="A1069" s="2117" t="n">
        <v>0</v>
      </c>
      <c r="B1069" s="2117" t="n">
        <v>8</v>
      </c>
      <c r="C1069" s="2117" t="n">
        <v>9</v>
      </c>
      <c r="D1069" s="2118" t="n">
        <v>3</v>
      </c>
      <c r="E1069" s="2118" t="n">
        <v>0</v>
      </c>
      <c r="G1069" s="1740" t="n"/>
      <c r="H1069" s="1741" t="inlineStr">
        <is>
          <t>SUBETAPA</t>
        </is>
      </c>
      <c r="I1069" s="1742" t="inlineStr">
        <is>
          <t>08.009.003</t>
        </is>
      </c>
      <c r="J1069" s="1743" t="inlineStr">
        <is>
          <t>Sprinkles</t>
        </is>
      </c>
      <c r="K1069" s="1744" t="n"/>
      <c r="L1069" s="1745" t="n"/>
      <c r="M1069" s="1745" t="n"/>
      <c r="N1069" s="1746" t="n">
        <v>24380.45</v>
      </c>
      <c r="O1069" s="1747" t="n"/>
      <c r="P1069" s="1720" t="n"/>
    </row>
    <row r="1070" hidden="1" outlineLevel="3" ht="13.9" customHeight="1">
      <c r="A1070" s="2117" t="n">
        <v>0</v>
      </c>
      <c r="B1070" s="2117" t="n">
        <v>8</v>
      </c>
      <c r="C1070" s="2117" t="n">
        <v>9</v>
      </c>
      <c r="D1070" s="2118" t="n">
        <v>3</v>
      </c>
      <c r="E1070" s="2118" t="n">
        <v>1</v>
      </c>
      <c r="G1070" s="1790" t="inlineStr">
        <is>
          <t>INSTALAÇÕES PREVENTIVAS</t>
        </is>
      </c>
      <c r="H1070" s="1749" t="inlineStr">
        <is>
          <t>SERVIÇO</t>
        </is>
      </c>
      <c r="I1070" s="1750" t="inlineStr">
        <is>
          <t>08.009.003.001</t>
        </is>
      </c>
      <c r="J1070" s="1751" t="inlineStr">
        <is>
          <t>Sprinkles</t>
        </is>
      </c>
      <c r="K1070" s="1752" t="inlineStr">
        <is>
          <t>vb</t>
        </is>
      </c>
      <c r="L1070" s="1753" t="n">
        <v>1</v>
      </c>
      <c r="M1070" s="1753" t="n">
        <v>24380.45</v>
      </c>
      <c r="N1070" s="1754" t="n">
        <v>24380.45</v>
      </c>
      <c r="O1070" s="1755" t="inlineStr">
        <is>
          <t>quantidades confirme quantidades do projetista</t>
        </is>
      </c>
      <c r="P1070" s="1721" t="inlineStr">
        <is>
          <t>Pendente</t>
        </is>
      </c>
    </row>
    <row r="1071" hidden="1" outlineLevel="2" ht="13.9" customHeight="1">
      <c r="A1071" s="2117" t="n">
        <v>0</v>
      </c>
      <c r="B1071" s="2117" t="n">
        <v>8</v>
      </c>
      <c r="C1071" s="2117" t="n">
        <v>9</v>
      </c>
      <c r="D1071" s="2118" t="n">
        <v>4</v>
      </c>
      <c r="E1071" s="2118" t="n">
        <v>0</v>
      </c>
      <c r="G1071" s="1740" t="n"/>
      <c r="H1071" s="1741" t="inlineStr">
        <is>
          <t>SUBETAPA</t>
        </is>
      </c>
      <c r="I1071" s="1742" t="inlineStr">
        <is>
          <t>08.009.004</t>
        </is>
      </c>
      <c r="J1071" s="1743" t="inlineStr">
        <is>
          <t>Instalações de proteção e aterramento -SPDA</t>
        </is>
      </c>
      <c r="K1071" s="1744" t="n"/>
      <c r="L1071" s="1745" t="n"/>
      <c r="M1071" s="1745" t="n"/>
      <c r="N1071" s="1746" t="n">
        <v>0</v>
      </c>
      <c r="O1071" s="1747" t="n"/>
      <c r="P1071" s="1720" t="n"/>
    </row>
    <row r="1072" hidden="1" outlineLevel="3" ht="13.9" customHeight="1">
      <c r="A1072" s="2117" t="n">
        <v>0</v>
      </c>
      <c r="B1072" s="2117" t="n">
        <v>8</v>
      </c>
      <c r="C1072" s="2117" t="n">
        <v>9</v>
      </c>
      <c r="D1072" s="2118" t="n">
        <v>4</v>
      </c>
      <c r="E1072" s="2118" t="n">
        <v>1</v>
      </c>
      <c r="G1072" s="1790" t="inlineStr">
        <is>
          <t>INSTALAÇÕES PREVENTIVAS</t>
        </is>
      </c>
      <c r="H1072" s="1749" t="inlineStr">
        <is>
          <t>SERVIÇO</t>
        </is>
      </c>
      <c r="I1072" s="1750" t="inlineStr">
        <is>
          <t>08.009.004.001</t>
        </is>
      </c>
      <c r="J1072" s="1751" t="inlineStr">
        <is>
          <t>Instalações de proteção e aterramento -SPDA</t>
        </is>
      </c>
      <c r="K1072" s="1752" t="inlineStr">
        <is>
          <t>vb</t>
        </is>
      </c>
      <c r="L1072" s="1753" t="n">
        <v>1</v>
      </c>
      <c r="M1072" s="1753" t="n"/>
      <c r="N1072" s="1754" t="n">
        <v>0</v>
      </c>
      <c r="O1072" s="1755" t="inlineStr">
        <is>
          <t>Estimado devido a ausencia de quantitativos</t>
        </is>
      </c>
      <c r="P1072" s="1721" t="inlineStr">
        <is>
          <t>Pendente</t>
        </is>
      </c>
    </row>
    <row r="1073" hidden="1" outlineLevel="2" ht="13.9" customHeight="1">
      <c r="A1073" s="2117" t="n">
        <v>0</v>
      </c>
      <c r="B1073" s="2117" t="n">
        <v>8</v>
      </c>
      <c r="C1073" s="2117" t="n">
        <v>9</v>
      </c>
      <c r="D1073" s="2118" t="n">
        <v>5</v>
      </c>
      <c r="E1073" s="2118" t="n">
        <v>0</v>
      </c>
      <c r="G1073" s="1740" t="n"/>
      <c r="H1073" s="1741" t="inlineStr">
        <is>
          <t>SUBETAPA</t>
        </is>
      </c>
      <c r="I1073" s="1742" t="inlineStr">
        <is>
          <t>08.009.005</t>
        </is>
      </c>
      <c r="J1073" s="1743" t="inlineStr">
        <is>
          <t>Central de Alarmes</t>
        </is>
      </c>
      <c r="K1073" s="1744" t="n"/>
      <c r="L1073" s="1745" t="n"/>
      <c r="M1073" s="1745" t="n"/>
      <c r="N1073" s="1746" t="n">
        <v>2905.1472</v>
      </c>
      <c r="O1073" s="1747" t="n"/>
      <c r="P1073" s="1720" t="n"/>
    </row>
    <row r="1074" hidden="1" outlineLevel="3" ht="13.9" customHeight="1">
      <c r="A1074" s="2117" t="n">
        <v>0</v>
      </c>
      <c r="B1074" s="2117" t="n">
        <v>8</v>
      </c>
      <c r="C1074" s="2117" t="n">
        <v>9</v>
      </c>
      <c r="D1074" s="2118" t="n">
        <v>5</v>
      </c>
      <c r="E1074" s="2118" t="n">
        <v>1</v>
      </c>
      <c r="G1074" s="1790" t="inlineStr">
        <is>
          <t>INSTALAÇÕES PREVENTIVAS</t>
        </is>
      </c>
      <c r="H1074" s="1749" t="inlineStr">
        <is>
          <t>SERVIÇO</t>
        </is>
      </c>
      <c r="I1074" s="1750" t="inlineStr">
        <is>
          <t>08.009.005.001</t>
        </is>
      </c>
      <c r="J1074" s="1751" t="inlineStr">
        <is>
          <t>Central de Alarmes</t>
        </is>
      </c>
      <c r="K1074" s="1752" t="inlineStr">
        <is>
          <t>vb</t>
        </is>
      </c>
      <c r="L1074" s="1753" t="n">
        <v>1</v>
      </c>
      <c r="M1074" s="1753" t="n">
        <v>2905.1472</v>
      </c>
      <c r="N1074" s="1754" t="n">
        <v>2905.1472</v>
      </c>
      <c r="O1074" s="1755" t="inlineStr">
        <is>
          <t>quantidades confirme quantidades do projetista</t>
        </is>
      </c>
      <c r="P1074" s="1721" t="inlineStr">
        <is>
          <t>Pendente</t>
        </is>
      </c>
    </row>
    <row r="1075" hidden="1" outlineLevel="2" ht="13.9" customHeight="1">
      <c r="A1075" s="2117" t="n">
        <v>0</v>
      </c>
      <c r="B1075" s="2117" t="n">
        <v>8</v>
      </c>
      <c r="C1075" s="2117" t="n">
        <v>9</v>
      </c>
      <c r="D1075" s="2118" t="n">
        <v>6</v>
      </c>
      <c r="E1075" s="2118" t="n">
        <v>0</v>
      </c>
      <c r="G1075" s="1740" t="n"/>
      <c r="H1075" s="1741" t="inlineStr">
        <is>
          <t>SUBETAPA</t>
        </is>
      </c>
      <c r="I1075" s="1742" t="inlineStr">
        <is>
          <t>08.009.006</t>
        </is>
      </c>
      <c r="J1075" s="1743" t="inlineStr">
        <is>
          <t>Sistema de bombas</t>
        </is>
      </c>
      <c r="K1075" s="1744" t="n"/>
      <c r="L1075" s="1745" t="n"/>
      <c r="M1075" s="1745" t="n"/>
      <c r="N1075" s="1746" t="n">
        <v>0</v>
      </c>
      <c r="O1075" s="1747" t="n"/>
      <c r="P1075" s="1720" t="n"/>
    </row>
    <row r="1076" hidden="1" outlineLevel="3" ht="13.9" customHeight="1">
      <c r="A1076" s="2117" t="n">
        <v>0</v>
      </c>
      <c r="B1076" s="2117" t="n">
        <v>8</v>
      </c>
      <c r="C1076" s="2117" t="n">
        <v>9</v>
      </c>
      <c r="D1076" s="2118" t="n">
        <v>6</v>
      </c>
      <c r="E1076" s="2118" t="n">
        <v>1</v>
      </c>
      <c r="G1076" s="1790" t="inlineStr">
        <is>
          <t>INSTALAÇÕES PREVENTIVAS</t>
        </is>
      </c>
      <c r="H1076" s="1749" t="inlineStr">
        <is>
          <t>SERVIÇO</t>
        </is>
      </c>
      <c r="I1076" s="1750" t="inlineStr">
        <is>
          <t>08.009.006.001</t>
        </is>
      </c>
      <c r="J1076" s="1751" t="inlineStr">
        <is>
          <t>Sistema de bombas</t>
        </is>
      </c>
      <c r="K1076" s="1752" t="inlineStr">
        <is>
          <t>vb</t>
        </is>
      </c>
      <c r="L1076" s="1753" t="n">
        <v>1</v>
      </c>
      <c r="M1076" s="1753" t="n"/>
      <c r="N1076" s="1754" t="n">
        <v>0</v>
      </c>
      <c r="O1076" s="1755" t="inlineStr">
        <is>
          <t>quantidades confirme quantidades do projetista</t>
        </is>
      </c>
      <c r="P1076" s="1721" t="inlineStr">
        <is>
          <t>Pendente</t>
        </is>
      </c>
    </row>
    <row r="1077" hidden="1" outlineLevel="2" ht="13.9" customHeight="1">
      <c r="A1077" s="2117" t="n">
        <v>0</v>
      </c>
      <c r="B1077" s="2117" t="n">
        <v>8</v>
      </c>
      <c r="C1077" s="2117" t="n">
        <v>9</v>
      </c>
      <c r="D1077" s="2118" t="n">
        <v>7</v>
      </c>
      <c r="E1077" s="2118" t="n">
        <v>0</v>
      </c>
      <c r="G1077" s="1740" t="n"/>
      <c r="H1077" s="1741" t="inlineStr">
        <is>
          <t>SUBETAPA</t>
        </is>
      </c>
      <c r="I1077" s="1742" t="inlineStr">
        <is>
          <t>08.009.007</t>
        </is>
      </c>
      <c r="J1077" s="1743" t="inlineStr">
        <is>
          <t>Mão de obra</t>
        </is>
      </c>
      <c r="K1077" s="1744" t="n"/>
      <c r="L1077" s="1745" t="n"/>
      <c r="M1077" s="1745" t="n"/>
      <c r="N1077" s="1746" t="n">
        <v>1727.65</v>
      </c>
      <c r="O1077" s="1747" t="n"/>
      <c r="P1077" s="1720" t="n"/>
    </row>
    <row r="1078" hidden="1" outlineLevel="3" ht="13.9" customHeight="1">
      <c r="A1078" s="2117" t="n">
        <v>0</v>
      </c>
      <c r="B1078" s="2117" t="n">
        <v>8</v>
      </c>
      <c r="C1078" s="2117" t="n">
        <v>9</v>
      </c>
      <c r="D1078" s="2118" t="n">
        <v>7</v>
      </c>
      <c r="E1078" s="2118" t="n">
        <v>1</v>
      </c>
      <c r="G1078" s="1790" t="inlineStr">
        <is>
          <t>INSTALAÇÕES PREVENTIVAS</t>
        </is>
      </c>
      <c r="H1078" s="1749" t="inlineStr">
        <is>
          <t>SERVIÇO</t>
        </is>
      </c>
      <c r="I1078" s="1750" t="inlineStr">
        <is>
          <t>08.009.007.001</t>
        </is>
      </c>
      <c r="J1078" s="1751" t="inlineStr">
        <is>
          <t>Mão de obra PPCI</t>
        </is>
      </c>
      <c r="K1078" s="1752" t="inlineStr">
        <is>
          <t>vb</t>
        </is>
      </c>
      <c r="L1078" s="1753" t="n">
        <v>1</v>
      </c>
      <c r="M1078" s="1753" t="n">
        <v>1727.65</v>
      </c>
      <c r="N1078" s="1754" t="n">
        <v>1727.65</v>
      </c>
      <c r="O1078" s="1765" t="inlineStr">
        <is>
          <t>Considerado R$5/m²</t>
        </is>
      </c>
      <c r="P1078" s="1721" t="inlineStr">
        <is>
          <t>Pendente</t>
        </is>
      </c>
    </row>
    <row r="1079" hidden="1" outlineLevel="1" ht="13.9" customHeight="1">
      <c r="A1079" s="2117" t="n">
        <v>0</v>
      </c>
      <c r="B1079" s="2117" t="n">
        <v>8</v>
      </c>
      <c r="C1079" s="2117" t="n">
        <v>10</v>
      </c>
      <c r="D1079" s="2118" t="n">
        <v>0</v>
      </c>
      <c r="E1079" s="2118" t="n">
        <v>1</v>
      </c>
      <c r="G1079" s="1733" t="n"/>
      <c r="H1079" s="1734" t="inlineStr">
        <is>
          <t>ETAPA</t>
        </is>
      </c>
      <c r="I1079" s="1735" t="inlineStr">
        <is>
          <t>08.010</t>
        </is>
      </c>
      <c r="J1079" s="1736" t="inlineStr">
        <is>
          <t>INSTALAÇÕES PREVENTIVAS - Tipo x8</t>
        </is>
      </c>
      <c r="K1079" s="1737" t="n"/>
      <c r="L1079" s="1738" t="n"/>
      <c r="M1079" s="1738" t="n"/>
      <c r="N1079" s="1739" t="n">
        <v>291075.5668</v>
      </c>
      <c r="O1079" s="1722" t="n"/>
      <c r="P1079" s="1725" t="n"/>
    </row>
    <row r="1080" hidden="1" outlineLevel="2" ht="13.9" customHeight="1">
      <c r="A1080" s="2117" t="n">
        <v>0</v>
      </c>
      <c r="B1080" s="2117" t="n">
        <v>8</v>
      </c>
      <c r="C1080" s="2117" t="n">
        <v>10</v>
      </c>
      <c r="D1080" s="2118" t="n">
        <v>1</v>
      </c>
      <c r="E1080" s="2118" t="n">
        <v>0</v>
      </c>
      <c r="G1080" s="1740" t="n"/>
      <c r="H1080" s="1741" t="inlineStr">
        <is>
          <t>SUBETAPA</t>
        </is>
      </c>
      <c r="I1080" s="1742" t="inlineStr">
        <is>
          <t>08.010.001</t>
        </is>
      </c>
      <c r="J1080" s="1743" t="inlineStr">
        <is>
          <t>Hidrantes</t>
        </is>
      </c>
      <c r="K1080" s="1744" t="n"/>
      <c r="L1080" s="1745" t="n"/>
      <c r="M1080" s="1745" t="n"/>
      <c r="N1080" s="1746" t="n">
        <v>27689.796</v>
      </c>
      <c r="O1080" s="1747" t="n"/>
      <c r="P1080" s="1720" t="n"/>
    </row>
    <row r="1081" hidden="1" outlineLevel="3" ht="13.9" customHeight="1">
      <c r="A1081" s="2117" t="n">
        <v>0</v>
      </c>
      <c r="B1081" s="2117" t="n">
        <v>8</v>
      </c>
      <c r="C1081" s="2117" t="n">
        <v>10</v>
      </c>
      <c r="D1081" s="2118" t="n">
        <v>1</v>
      </c>
      <c r="E1081" s="2118" t="n">
        <v>1</v>
      </c>
      <c r="G1081" s="1790" t="inlineStr">
        <is>
          <t>INSTALAÇÕES PREVENTIVAS</t>
        </is>
      </c>
      <c r="H1081" s="1749" t="inlineStr">
        <is>
          <t>SERVIÇO</t>
        </is>
      </c>
      <c r="I1081" s="1750" t="inlineStr">
        <is>
          <t>08.010.001.001</t>
        </is>
      </c>
      <c r="J1081" s="1751" t="inlineStr">
        <is>
          <t>Hidrantes</t>
        </is>
      </c>
      <c r="K1081" s="1752" t="inlineStr">
        <is>
          <t>vb</t>
        </is>
      </c>
      <c r="L1081" s="1753" t="n">
        <v>1</v>
      </c>
      <c r="M1081" s="1753" t="n">
        <v>27689.796</v>
      </c>
      <c r="N1081" s="1754" t="n">
        <v>27689.796</v>
      </c>
      <c r="O1081" s="1755" t="inlineStr">
        <is>
          <t>quantidades confirme quantidades do projetista</t>
        </is>
      </c>
      <c r="P1081" s="1721" t="inlineStr">
        <is>
          <t>Pendente</t>
        </is>
      </c>
    </row>
    <row r="1082" hidden="1" outlineLevel="2" ht="13.9" customHeight="1">
      <c r="A1082" s="2117" t="n">
        <v>0</v>
      </c>
      <c r="B1082" s="2117" t="n">
        <v>8</v>
      </c>
      <c r="C1082" s="2117" t="n">
        <v>10</v>
      </c>
      <c r="D1082" s="2118" t="n">
        <v>2</v>
      </c>
      <c r="E1082" s="2118" t="n">
        <v>0</v>
      </c>
      <c r="G1082" s="1740" t="n"/>
      <c r="H1082" s="1741" t="inlineStr">
        <is>
          <t>SUBETAPA</t>
        </is>
      </c>
      <c r="I1082" s="1742" t="inlineStr">
        <is>
          <t>08.010.002</t>
        </is>
      </c>
      <c r="J1082" s="1743" t="inlineStr">
        <is>
          <t xml:space="preserve">Sinalização de emergência e extintores </t>
        </is>
      </c>
      <c r="K1082" s="1744" t="n"/>
      <c r="L1082" s="1745" t="n"/>
      <c r="M1082" s="1745" t="n"/>
      <c r="N1082" s="1746" t="n">
        <v>6153.6</v>
      </c>
      <c r="O1082" s="1747" t="n"/>
      <c r="P1082" s="1720" t="n"/>
    </row>
    <row r="1083" hidden="1" outlineLevel="3" ht="13.9" customHeight="1">
      <c r="A1083" s="2117" t="n">
        <v>0</v>
      </c>
      <c r="B1083" s="2117" t="n">
        <v>8</v>
      </c>
      <c r="C1083" s="2117" t="n">
        <v>10</v>
      </c>
      <c r="D1083" s="2118" t="n">
        <v>2</v>
      </c>
      <c r="E1083" s="2118" t="n">
        <v>1</v>
      </c>
      <c r="G1083" s="1790" t="inlineStr">
        <is>
          <t>INSTALAÇÕES PREVENTIVAS</t>
        </is>
      </c>
      <c r="H1083" s="1749" t="inlineStr">
        <is>
          <t>SERVIÇO</t>
        </is>
      </c>
      <c r="I1083" s="1750" t="inlineStr">
        <is>
          <t>08.010.002.001</t>
        </is>
      </c>
      <c r="J1083" s="1751" t="inlineStr">
        <is>
          <t xml:space="preserve">Sinalização de emergência e extintores </t>
        </is>
      </c>
      <c r="K1083" s="1752" t="inlineStr">
        <is>
          <t>vb</t>
        </is>
      </c>
      <c r="L1083" s="1753" t="n">
        <v>1</v>
      </c>
      <c r="M1083" s="1753" t="n">
        <v>6153.6</v>
      </c>
      <c r="N1083" s="1754" t="n">
        <v>6153.6</v>
      </c>
      <c r="O1083" s="1755" t="inlineStr">
        <is>
          <t>quantidades confirme quantidades do projetista</t>
        </is>
      </c>
      <c r="P1083" s="1721" t="inlineStr">
        <is>
          <t>Pendente</t>
        </is>
      </c>
    </row>
    <row r="1084" hidden="1" outlineLevel="2" ht="13.9" customHeight="1">
      <c r="A1084" s="2117" t="n">
        <v>0</v>
      </c>
      <c r="B1084" s="2117" t="n">
        <v>8</v>
      </c>
      <c r="C1084" s="2117" t="n">
        <v>10</v>
      </c>
      <c r="D1084" s="2118" t="n">
        <v>3</v>
      </c>
      <c r="E1084" s="2118" t="n">
        <v>0</v>
      </c>
      <c r="G1084" s="1740" t="n"/>
      <c r="H1084" s="1741" t="inlineStr">
        <is>
          <t>SUBETAPA</t>
        </is>
      </c>
      <c r="I1084" s="1742" t="inlineStr">
        <is>
          <t>08.010.003</t>
        </is>
      </c>
      <c r="J1084" s="1743" t="inlineStr">
        <is>
          <t>Sprinkles</t>
        </is>
      </c>
      <c r="K1084" s="1744" t="n"/>
      <c r="L1084" s="1745" t="n"/>
      <c r="M1084" s="1745" t="n"/>
      <c r="N1084" s="1746" t="n">
        <v>219912.65</v>
      </c>
      <c r="O1084" s="1747" t="n"/>
      <c r="P1084" s="1720" t="n"/>
    </row>
    <row r="1085" hidden="1" outlineLevel="3" ht="13.9" customHeight="1">
      <c r="A1085" s="2117" t="n">
        <v>0</v>
      </c>
      <c r="B1085" s="2117" t="n">
        <v>8</v>
      </c>
      <c r="C1085" s="2117" t="n">
        <v>10</v>
      </c>
      <c r="D1085" s="2118" t="n">
        <v>3</v>
      </c>
      <c r="E1085" s="2118" t="n">
        <v>1</v>
      </c>
      <c r="G1085" s="1790" t="inlineStr">
        <is>
          <t>INSTALAÇÕES PREVENTIVAS</t>
        </is>
      </c>
      <c r="H1085" s="1749" t="inlineStr">
        <is>
          <t>SERVIÇO</t>
        </is>
      </c>
      <c r="I1085" s="1750" t="inlineStr">
        <is>
          <t>08.010.003.001</t>
        </is>
      </c>
      <c r="J1085" s="1751" t="inlineStr">
        <is>
          <t>Sprinkles</t>
        </is>
      </c>
      <c r="K1085" s="1752" t="inlineStr">
        <is>
          <t>vb</t>
        </is>
      </c>
      <c r="L1085" s="1753" t="n">
        <v>1</v>
      </c>
      <c r="M1085" s="1753" t="n">
        <v>219912.65</v>
      </c>
      <c r="N1085" s="1754" t="n">
        <v>219912.65</v>
      </c>
      <c r="O1085" s="1755" t="inlineStr">
        <is>
          <t>quantidades confirme quantidades do projetista</t>
        </is>
      </c>
      <c r="P1085" s="1721" t="inlineStr">
        <is>
          <t>Pendente</t>
        </is>
      </c>
    </row>
    <row r="1086" hidden="1" outlineLevel="2" ht="13.9" customHeight="1">
      <c r="A1086" s="2117" t="n">
        <v>0</v>
      </c>
      <c r="B1086" s="2117" t="n">
        <v>8</v>
      </c>
      <c r="C1086" s="2117" t="n">
        <v>10</v>
      </c>
      <c r="D1086" s="2118" t="n">
        <v>4</v>
      </c>
      <c r="E1086" s="2118" t="n">
        <v>0</v>
      </c>
      <c r="G1086" s="1740" t="n"/>
      <c r="H1086" s="1741" t="inlineStr">
        <is>
          <t>SUBETAPA</t>
        </is>
      </c>
      <c r="I1086" s="1742" t="inlineStr">
        <is>
          <t>08.010.004</t>
        </is>
      </c>
      <c r="J1086" s="1743" t="inlineStr">
        <is>
          <t>Instalações de proteção e aterramento -SPDA</t>
        </is>
      </c>
      <c r="K1086" s="1744" t="n"/>
      <c r="L1086" s="1745" t="n"/>
      <c r="M1086" s="1745" t="n"/>
      <c r="N1086" s="1746" t="n">
        <v>0</v>
      </c>
      <c r="O1086" s="1747" t="n"/>
      <c r="P1086" s="1720" t="n"/>
    </row>
    <row r="1087" hidden="1" outlineLevel="3" ht="13.9" customHeight="1">
      <c r="A1087" s="2117" t="n">
        <v>0</v>
      </c>
      <c r="B1087" s="2117" t="n">
        <v>8</v>
      </c>
      <c r="C1087" s="2117" t="n">
        <v>10</v>
      </c>
      <c r="D1087" s="2118" t="n">
        <v>4</v>
      </c>
      <c r="E1087" s="2118" t="n">
        <v>1</v>
      </c>
      <c r="G1087" s="1790" t="inlineStr">
        <is>
          <t>INSTALAÇÕES PREVENTIVAS</t>
        </is>
      </c>
      <c r="H1087" s="1749" t="inlineStr">
        <is>
          <t>SERVIÇO</t>
        </is>
      </c>
      <c r="I1087" s="1750" t="inlineStr">
        <is>
          <t>08.010.004.001</t>
        </is>
      </c>
      <c r="J1087" s="1751" t="inlineStr">
        <is>
          <t>Instalações de proteção e aterramento -SPDA</t>
        </is>
      </c>
      <c r="K1087" s="1752" t="inlineStr">
        <is>
          <t>vb</t>
        </is>
      </c>
      <c r="L1087" s="1753" t="n">
        <v>1</v>
      </c>
      <c r="M1087" s="1753" t="n"/>
      <c r="N1087" s="1754" t="n">
        <v>0</v>
      </c>
      <c r="O1087" s="1755" t="inlineStr">
        <is>
          <t>Estimado devido a ausencia de quantitativos</t>
        </is>
      </c>
      <c r="P1087" s="1721" t="inlineStr">
        <is>
          <t>Pendente</t>
        </is>
      </c>
    </row>
    <row r="1088" hidden="1" outlineLevel="2" ht="13.9" customHeight="1">
      <c r="A1088" s="2117" t="n">
        <v>0</v>
      </c>
      <c r="B1088" s="2117" t="n">
        <v>8</v>
      </c>
      <c r="C1088" s="2117" t="n">
        <v>10</v>
      </c>
      <c r="D1088" s="2118" t="n">
        <v>5</v>
      </c>
      <c r="E1088" s="2118" t="n">
        <v>0</v>
      </c>
      <c r="G1088" s="1740" t="n"/>
      <c r="H1088" s="1741" t="inlineStr">
        <is>
          <t>SUBETAPA</t>
        </is>
      </c>
      <c r="I1088" s="1742" t="inlineStr">
        <is>
          <t>08.010.005</t>
        </is>
      </c>
      <c r="J1088" s="1743" t="inlineStr">
        <is>
          <t>Central de Alarmes</t>
        </is>
      </c>
      <c r="K1088" s="1744" t="n"/>
      <c r="L1088" s="1745" t="n"/>
      <c r="M1088" s="1745" t="n"/>
      <c r="N1088" s="1746" t="n">
        <v>25183.1208</v>
      </c>
      <c r="O1088" s="1747" t="n"/>
      <c r="P1088" s="1720" t="n"/>
    </row>
    <row r="1089" hidden="1" outlineLevel="3" ht="13.9" customHeight="1">
      <c r="A1089" s="2117" t="n">
        <v>0</v>
      </c>
      <c r="B1089" s="2117" t="n">
        <v>8</v>
      </c>
      <c r="C1089" s="2117" t="n">
        <v>10</v>
      </c>
      <c r="D1089" s="2118" t="n">
        <v>5</v>
      </c>
      <c r="E1089" s="2118" t="n">
        <v>1</v>
      </c>
      <c r="G1089" s="1790" t="inlineStr">
        <is>
          <t>INSTALAÇÕES PREVENTIVAS</t>
        </is>
      </c>
      <c r="H1089" s="1749" t="inlineStr">
        <is>
          <t>SERVIÇO</t>
        </is>
      </c>
      <c r="I1089" s="1750" t="inlineStr">
        <is>
          <t>08.010.005.001</t>
        </is>
      </c>
      <c r="J1089" s="1751" t="inlineStr">
        <is>
          <t>Central de Alarmes</t>
        </is>
      </c>
      <c r="K1089" s="1752" t="inlineStr">
        <is>
          <t>vb</t>
        </is>
      </c>
      <c r="L1089" s="1753" t="n">
        <v>1</v>
      </c>
      <c r="M1089" s="1753" t="n">
        <v>25183.1208</v>
      </c>
      <c r="N1089" s="1754" t="n">
        <v>25183.1208</v>
      </c>
      <c r="O1089" s="1755" t="inlineStr">
        <is>
          <t>quantidades confirme quantidades do projetista</t>
        </is>
      </c>
      <c r="P1089" s="1721" t="inlineStr">
        <is>
          <t>Pendente</t>
        </is>
      </c>
    </row>
    <row r="1090" hidden="1" outlineLevel="2" ht="13.9" customHeight="1">
      <c r="A1090" s="2117" t="n">
        <v>0</v>
      </c>
      <c r="B1090" s="2117" t="n">
        <v>8</v>
      </c>
      <c r="C1090" s="2117" t="n">
        <v>10</v>
      </c>
      <c r="D1090" s="2118" t="n">
        <v>6</v>
      </c>
      <c r="E1090" s="2118" t="n">
        <v>0</v>
      </c>
      <c r="G1090" s="1740" t="n"/>
      <c r="H1090" s="1741" t="inlineStr">
        <is>
          <t>SUBETAPA</t>
        </is>
      </c>
      <c r="I1090" s="1742" t="inlineStr">
        <is>
          <t>08.010.006</t>
        </is>
      </c>
      <c r="J1090" s="1743" t="inlineStr">
        <is>
          <t>Sistema de bombas</t>
        </is>
      </c>
      <c r="K1090" s="1744" t="n"/>
      <c r="L1090" s="1745" t="n"/>
      <c r="M1090" s="1745" t="n"/>
      <c r="N1090" s="1746" t="n">
        <v>0</v>
      </c>
      <c r="O1090" s="1747" t="n"/>
      <c r="P1090" s="1720" t="n"/>
    </row>
    <row r="1091" hidden="1" outlineLevel="3" ht="13.9" customHeight="1">
      <c r="A1091" s="2117" t="n">
        <v>0</v>
      </c>
      <c r="B1091" s="2117" t="n">
        <v>8</v>
      </c>
      <c r="C1091" s="2117" t="n">
        <v>10</v>
      </c>
      <c r="D1091" s="2118" t="n">
        <v>6</v>
      </c>
      <c r="E1091" s="2118" t="n">
        <v>1</v>
      </c>
      <c r="G1091" s="1790" t="inlineStr">
        <is>
          <t>INSTALAÇÕES PREVENTIVAS</t>
        </is>
      </c>
      <c r="H1091" s="1749" t="inlineStr">
        <is>
          <t>SERVIÇO</t>
        </is>
      </c>
      <c r="I1091" s="1750" t="inlineStr">
        <is>
          <t>08.010.006.001</t>
        </is>
      </c>
      <c r="J1091" s="1751" t="inlineStr">
        <is>
          <t>Sistema de bombas</t>
        </is>
      </c>
      <c r="K1091" s="1752" t="inlineStr">
        <is>
          <t>vb</t>
        </is>
      </c>
      <c r="L1091" s="1753" t="n">
        <v>1</v>
      </c>
      <c r="M1091" s="1753" t="n"/>
      <c r="N1091" s="1754" t="n">
        <v>0</v>
      </c>
      <c r="O1091" s="1755" t="inlineStr">
        <is>
          <t>quantidades confirme quantidades do projetista</t>
        </is>
      </c>
      <c r="P1091" s="1721" t="inlineStr">
        <is>
          <t>Pendente</t>
        </is>
      </c>
    </row>
    <row r="1092" hidden="1" outlineLevel="2" ht="13.9" customHeight="1">
      <c r="A1092" s="2117" t="n">
        <v>0</v>
      </c>
      <c r="B1092" s="2117" t="n">
        <v>8</v>
      </c>
      <c r="C1092" s="2117" t="n">
        <v>10</v>
      </c>
      <c r="D1092" s="2118" t="n">
        <v>7</v>
      </c>
      <c r="E1092" s="2118" t="n">
        <v>0</v>
      </c>
      <c r="G1092" s="1740" t="n"/>
      <c r="H1092" s="1741" t="inlineStr">
        <is>
          <t>SUBETAPA</t>
        </is>
      </c>
      <c r="I1092" s="1742" t="inlineStr">
        <is>
          <t>08.010.007</t>
        </is>
      </c>
      <c r="J1092" s="1743" t="inlineStr">
        <is>
          <t>Mão de obra</t>
        </is>
      </c>
      <c r="K1092" s="1744" t="n"/>
      <c r="L1092" s="1745" t="n"/>
      <c r="M1092" s="1745" t="n"/>
      <c r="N1092" s="1746" t="n">
        <v>12136.4</v>
      </c>
      <c r="O1092" s="1747" t="n"/>
      <c r="P1092" s="1720" t="n"/>
    </row>
    <row r="1093" hidden="1" outlineLevel="3" ht="13.9" customHeight="1">
      <c r="A1093" s="2117" t="n">
        <v>0</v>
      </c>
      <c r="B1093" s="2117" t="n">
        <v>8</v>
      </c>
      <c r="C1093" s="2117" t="n">
        <v>10</v>
      </c>
      <c r="D1093" s="2118" t="n">
        <v>7</v>
      </c>
      <c r="E1093" s="2118" t="n">
        <v>1</v>
      </c>
      <c r="G1093" s="1790" t="inlineStr">
        <is>
          <t>INSTALAÇÕES PREVENTIVAS</t>
        </is>
      </c>
      <c r="H1093" s="1749" t="inlineStr">
        <is>
          <t>SERVIÇO</t>
        </is>
      </c>
      <c r="I1093" s="1750" t="inlineStr">
        <is>
          <t>08.010.007.001</t>
        </is>
      </c>
      <c r="J1093" s="1751" t="inlineStr">
        <is>
          <t>Mão de obra PPCI</t>
        </is>
      </c>
      <c r="K1093" s="1752" t="inlineStr">
        <is>
          <t>vb</t>
        </is>
      </c>
      <c r="L1093" s="1753" t="n">
        <v>1</v>
      </c>
      <c r="M1093" s="1753" t="n">
        <v>12136.4</v>
      </c>
      <c r="N1093" s="1754" t="n">
        <v>12136.4</v>
      </c>
      <c r="O1093" s="1765" t="inlineStr">
        <is>
          <t>Considerado R$5/m²</t>
        </is>
      </c>
      <c r="P1093" s="1721" t="inlineStr">
        <is>
          <t>Pendente</t>
        </is>
      </c>
    </row>
    <row r="1094" hidden="1" outlineLevel="1" ht="13.9" customHeight="1">
      <c r="A1094" s="2117" t="n">
        <v>0</v>
      </c>
      <c r="B1094" s="2117" t="n">
        <v>8</v>
      </c>
      <c r="C1094" s="2117" t="n">
        <v>11</v>
      </c>
      <c r="D1094" s="2118" t="n">
        <v>0</v>
      </c>
      <c r="E1094" s="2118" t="n">
        <v>1</v>
      </c>
      <c r="G1094" s="1733" t="n"/>
      <c r="H1094" s="1734" t="inlineStr">
        <is>
          <t>ETAPA</t>
        </is>
      </c>
      <c r="I1094" s="1735" t="inlineStr">
        <is>
          <t>08.011</t>
        </is>
      </c>
      <c r="J1094" s="1736" t="inlineStr">
        <is>
          <t>INSTALAÇÕES PREVENTIVAS - Penthouse x22</t>
        </is>
      </c>
      <c r="K1094" s="1737" t="n"/>
      <c r="L1094" s="1738" t="n"/>
      <c r="M1094" s="1738" t="n"/>
      <c r="N1094" s="1739" t="n">
        <v>705113.9193</v>
      </c>
      <c r="O1094" s="1722" t="n"/>
      <c r="P1094" s="1725" t="n"/>
    </row>
    <row r="1095" hidden="1" outlineLevel="2" ht="13.9" customHeight="1">
      <c r="A1095" s="2117" t="n">
        <v>0</v>
      </c>
      <c r="B1095" s="2117" t="n">
        <v>8</v>
      </c>
      <c r="C1095" s="2117" t="n">
        <v>11</v>
      </c>
      <c r="D1095" s="2118" t="n">
        <v>1</v>
      </c>
      <c r="E1095" s="2118" t="n">
        <v>0</v>
      </c>
      <c r="G1095" s="1740" t="n"/>
      <c r="H1095" s="1741" t="inlineStr">
        <is>
          <t>SUBETAPA</t>
        </is>
      </c>
      <c r="I1095" s="1742" t="inlineStr">
        <is>
          <t>08.011.001</t>
        </is>
      </c>
      <c r="J1095" s="1743" t="inlineStr">
        <is>
          <t>Hidrantes</t>
        </is>
      </c>
      <c r="K1095" s="1744" t="n"/>
      <c r="L1095" s="1745" t="n"/>
      <c r="M1095" s="1745" t="n"/>
      <c r="N1095" s="1746" t="n">
        <v>62099.82</v>
      </c>
      <c r="O1095" s="1747" t="n"/>
      <c r="P1095" s="1720" t="n"/>
    </row>
    <row r="1096" hidden="1" outlineLevel="3" ht="13.9" customHeight="1">
      <c r="A1096" s="2117" t="n">
        <v>0</v>
      </c>
      <c r="B1096" s="2117" t="n">
        <v>8</v>
      </c>
      <c r="C1096" s="2117" t="n">
        <v>11</v>
      </c>
      <c r="D1096" s="2118" t="n">
        <v>1</v>
      </c>
      <c r="E1096" s="2118" t="n">
        <v>1</v>
      </c>
      <c r="G1096" s="1790" t="inlineStr">
        <is>
          <t>INSTALAÇÕES PREVENTIVAS</t>
        </is>
      </c>
      <c r="H1096" s="1749" t="inlineStr">
        <is>
          <t>SERVIÇO</t>
        </is>
      </c>
      <c r="I1096" s="1750" t="inlineStr">
        <is>
          <t>08.011.001.001</t>
        </is>
      </c>
      <c r="J1096" s="1751" t="inlineStr">
        <is>
          <t>Hidrantes</t>
        </is>
      </c>
      <c r="K1096" s="1752" t="inlineStr">
        <is>
          <t>vb</t>
        </is>
      </c>
      <c r="L1096" s="1753" t="n">
        <v>1</v>
      </c>
      <c r="M1096" s="1753" t="n">
        <v>62099.82</v>
      </c>
      <c r="N1096" s="1754" t="n">
        <v>62099.82</v>
      </c>
      <c r="O1096" s="1755" t="inlineStr">
        <is>
          <t>quantidades confirme quantidades do projetista</t>
        </is>
      </c>
      <c r="P1096" s="1721" t="inlineStr">
        <is>
          <t>Pendente</t>
        </is>
      </c>
    </row>
    <row r="1097" hidden="1" outlineLevel="2" ht="13.9" customHeight="1">
      <c r="A1097" s="2117" t="n">
        <v>0</v>
      </c>
      <c r="B1097" s="2117" t="n">
        <v>8</v>
      </c>
      <c r="C1097" s="2117" t="n">
        <v>11</v>
      </c>
      <c r="D1097" s="2118" t="n">
        <v>2</v>
      </c>
      <c r="E1097" s="2118" t="n">
        <v>0</v>
      </c>
      <c r="G1097" s="1740" t="n"/>
      <c r="H1097" s="1741" t="inlineStr">
        <is>
          <t>SUBETAPA</t>
        </is>
      </c>
      <c r="I1097" s="1742" t="inlineStr">
        <is>
          <t>08.011.002</t>
        </is>
      </c>
      <c r="J1097" s="1743" t="inlineStr">
        <is>
          <t xml:space="preserve">Sinalização de emergência e extintores </t>
        </is>
      </c>
      <c r="K1097" s="1744" t="n"/>
      <c r="L1097" s="1745" t="n"/>
      <c r="M1097" s="1745" t="n"/>
      <c r="N1097" s="1746" t="n">
        <v>14952.7</v>
      </c>
      <c r="O1097" s="1747" t="n"/>
      <c r="P1097" s="1720" t="n"/>
    </row>
    <row r="1098" hidden="1" outlineLevel="3" ht="13.9" customHeight="1">
      <c r="A1098" s="2117" t="n">
        <v>0</v>
      </c>
      <c r="B1098" s="2117" t="n">
        <v>8</v>
      </c>
      <c r="C1098" s="2117" t="n">
        <v>11</v>
      </c>
      <c r="D1098" s="2118" t="n">
        <v>2</v>
      </c>
      <c r="E1098" s="2118" t="n">
        <v>1</v>
      </c>
      <c r="G1098" s="1790" t="inlineStr">
        <is>
          <t>INSTALAÇÕES PREVENTIVAS</t>
        </is>
      </c>
      <c r="H1098" s="1749" t="inlineStr">
        <is>
          <t>SERVIÇO</t>
        </is>
      </c>
      <c r="I1098" s="1750" t="inlineStr">
        <is>
          <t>08.011.002.001</t>
        </is>
      </c>
      <c r="J1098" s="1751" t="inlineStr">
        <is>
          <t xml:space="preserve">Sinalização de emergência e extintores </t>
        </is>
      </c>
      <c r="K1098" s="1752" t="inlineStr">
        <is>
          <t>vb</t>
        </is>
      </c>
      <c r="L1098" s="1753" t="n">
        <v>1</v>
      </c>
      <c r="M1098" s="1753" t="n">
        <v>14952.7</v>
      </c>
      <c r="N1098" s="1754" t="n">
        <v>14952.7</v>
      </c>
      <c r="O1098" s="1755" t="inlineStr">
        <is>
          <t>quantidades confirme quantidades do projetista</t>
        </is>
      </c>
      <c r="P1098" s="1721" t="inlineStr">
        <is>
          <t>Pendente</t>
        </is>
      </c>
    </row>
    <row r="1099" hidden="1" outlineLevel="2" ht="13.9" customHeight="1">
      <c r="A1099" s="2117" t="n">
        <v>0</v>
      </c>
      <c r="B1099" s="2117" t="n">
        <v>8</v>
      </c>
      <c r="C1099" s="2117" t="n">
        <v>11</v>
      </c>
      <c r="D1099" s="2118" t="n">
        <v>3</v>
      </c>
      <c r="E1099" s="2118" t="n">
        <v>0</v>
      </c>
      <c r="G1099" s="1740" t="n"/>
      <c r="H1099" s="1741" t="inlineStr">
        <is>
          <t>SUBETAPA</t>
        </is>
      </c>
      <c r="I1099" s="1742" t="inlineStr">
        <is>
          <t>08.011.003</t>
        </is>
      </c>
      <c r="J1099" s="1743" t="inlineStr">
        <is>
          <t>Sprinkles</t>
        </is>
      </c>
      <c r="K1099" s="1744" t="n"/>
      <c r="L1099" s="1745" t="n"/>
      <c r="M1099" s="1745" t="n"/>
      <c r="N1099" s="1746" t="n">
        <v>511713.1</v>
      </c>
      <c r="O1099" s="1747" t="n"/>
      <c r="P1099" s="1720" t="n"/>
    </row>
    <row r="1100" hidden="1" outlineLevel="3" ht="13.9" customHeight="1">
      <c r="A1100" s="2117" t="n">
        <v>0</v>
      </c>
      <c r="B1100" s="2117" t="n">
        <v>8</v>
      </c>
      <c r="C1100" s="2117" t="n">
        <v>11</v>
      </c>
      <c r="D1100" s="2118" t="n">
        <v>3</v>
      </c>
      <c r="E1100" s="2118" t="n">
        <v>1</v>
      </c>
      <c r="G1100" s="1790" t="inlineStr">
        <is>
          <t>INSTALAÇÕES PREVENTIVAS</t>
        </is>
      </c>
      <c r="H1100" s="1749" t="inlineStr">
        <is>
          <t>SERVIÇO</t>
        </is>
      </c>
      <c r="I1100" s="1750" t="inlineStr">
        <is>
          <t>08.011.003.001</t>
        </is>
      </c>
      <c r="J1100" s="1751" t="inlineStr">
        <is>
          <t>Sprinkles</t>
        </is>
      </c>
      <c r="K1100" s="1752" t="inlineStr">
        <is>
          <t>vb</t>
        </is>
      </c>
      <c r="L1100" s="1753" t="n">
        <v>1</v>
      </c>
      <c r="M1100" s="1753" t="n">
        <v>511713.1</v>
      </c>
      <c r="N1100" s="1754" t="n">
        <v>511713.1</v>
      </c>
      <c r="O1100" s="1755" t="inlineStr">
        <is>
          <t>quantidades confirme quantidades do projetista</t>
        </is>
      </c>
      <c r="P1100" s="1721" t="inlineStr">
        <is>
          <t>Pendente</t>
        </is>
      </c>
    </row>
    <row r="1101" hidden="1" outlineLevel="2" ht="13.9" customHeight="1">
      <c r="A1101" s="2117" t="n">
        <v>0</v>
      </c>
      <c r="B1101" s="2117" t="n">
        <v>8</v>
      </c>
      <c r="C1101" s="2117" t="n">
        <v>11</v>
      </c>
      <c r="D1101" s="2118" t="n">
        <v>4</v>
      </c>
      <c r="E1101" s="2118" t="n">
        <v>0</v>
      </c>
      <c r="G1101" s="1740" t="n"/>
      <c r="H1101" s="1741" t="inlineStr">
        <is>
          <t>SUBETAPA</t>
        </is>
      </c>
      <c r="I1101" s="1742" t="inlineStr">
        <is>
          <t>08.011.004</t>
        </is>
      </c>
      <c r="J1101" s="1743" t="inlineStr">
        <is>
          <t>Instalações de proteção e aterramento -SPDA</t>
        </is>
      </c>
      <c r="K1101" s="1744" t="n"/>
      <c r="L1101" s="1745" t="n"/>
      <c r="M1101" s="1745" t="n"/>
      <c r="N1101" s="1746" t="n">
        <v>0</v>
      </c>
      <c r="O1101" s="1747" t="n"/>
      <c r="P1101" s="1720" t="n"/>
    </row>
    <row r="1102" hidden="1" outlineLevel="3" ht="13.9" customHeight="1">
      <c r="A1102" s="2117" t="n">
        <v>0</v>
      </c>
      <c r="B1102" s="2117" t="n">
        <v>8</v>
      </c>
      <c r="C1102" s="2117" t="n">
        <v>11</v>
      </c>
      <c r="D1102" s="2118" t="n">
        <v>4</v>
      </c>
      <c r="E1102" s="2118" t="n">
        <v>1</v>
      </c>
      <c r="G1102" s="1790" t="inlineStr">
        <is>
          <t>INSTALAÇÕES PREVENTIVAS</t>
        </is>
      </c>
      <c r="H1102" s="1749" t="inlineStr">
        <is>
          <t>SERVIÇO</t>
        </is>
      </c>
      <c r="I1102" s="1750" t="inlineStr">
        <is>
          <t>08.011.004.001</t>
        </is>
      </c>
      <c r="J1102" s="1751" t="inlineStr">
        <is>
          <t>Instalações de proteção e aterramento -SPDA</t>
        </is>
      </c>
      <c r="K1102" s="1752" t="inlineStr">
        <is>
          <t>vb</t>
        </is>
      </c>
      <c r="L1102" s="1753" t="n">
        <v>1</v>
      </c>
      <c r="M1102" s="1753" t="n"/>
      <c r="N1102" s="1754" t="n">
        <v>0</v>
      </c>
      <c r="O1102" s="1755" t="inlineStr">
        <is>
          <t>Estimado devido a ausencia de quantitativos</t>
        </is>
      </c>
      <c r="P1102" s="1721" t="inlineStr">
        <is>
          <t>Pendente</t>
        </is>
      </c>
    </row>
    <row r="1103" hidden="1" outlineLevel="2" ht="13.9" customHeight="1">
      <c r="A1103" s="2117" t="n">
        <v>0</v>
      </c>
      <c r="B1103" s="2117" t="n">
        <v>8</v>
      </c>
      <c r="C1103" s="2117" t="n">
        <v>11</v>
      </c>
      <c r="D1103" s="2118" t="n">
        <v>5</v>
      </c>
      <c r="E1103" s="2118" t="n">
        <v>0</v>
      </c>
      <c r="G1103" s="1740" t="n"/>
      <c r="H1103" s="1741" t="inlineStr">
        <is>
          <t>SUBETAPA</t>
        </is>
      </c>
      <c r="I1103" s="1742" t="inlineStr">
        <is>
          <t>08.011.005</t>
        </is>
      </c>
      <c r="J1103" s="1743" t="inlineStr">
        <is>
          <t>Central de Alarmes</t>
        </is>
      </c>
      <c r="K1103" s="1744" t="n"/>
      <c r="L1103" s="1745" t="n"/>
      <c r="M1103" s="1745" t="n"/>
      <c r="N1103" s="1746" t="n">
        <v>84473.44929999999</v>
      </c>
      <c r="O1103" s="1747" t="n"/>
      <c r="P1103" s="1720" t="n"/>
    </row>
    <row r="1104" hidden="1" outlineLevel="3" ht="13.9" customHeight="1">
      <c r="A1104" s="2117" t="n">
        <v>0</v>
      </c>
      <c r="B1104" s="2117" t="n">
        <v>8</v>
      </c>
      <c r="C1104" s="2117" t="n">
        <v>11</v>
      </c>
      <c r="D1104" s="2118" t="n">
        <v>5</v>
      </c>
      <c r="E1104" s="2118" t="n">
        <v>1</v>
      </c>
      <c r="G1104" s="1790" t="inlineStr">
        <is>
          <t>INSTALAÇÕES PREVENTIVAS</t>
        </is>
      </c>
      <c r="H1104" s="1749" t="inlineStr">
        <is>
          <t>SERVIÇO</t>
        </is>
      </c>
      <c r="I1104" s="1750" t="inlineStr">
        <is>
          <t>08.011.005.001</t>
        </is>
      </c>
      <c r="J1104" s="1751" t="inlineStr">
        <is>
          <t>Central de Alarmes</t>
        </is>
      </c>
      <c r="K1104" s="1752" t="inlineStr">
        <is>
          <t>vb</t>
        </is>
      </c>
      <c r="L1104" s="1753" t="n">
        <v>1</v>
      </c>
      <c r="M1104" s="1753" t="n">
        <v>84473.44930000001</v>
      </c>
      <c r="N1104" s="1754" t="n">
        <v>84473.44929999999</v>
      </c>
      <c r="O1104" s="1755" t="inlineStr">
        <is>
          <t>quantidades confirme quantidades do projetista</t>
        </is>
      </c>
      <c r="P1104" s="1721" t="inlineStr">
        <is>
          <t>Pendente</t>
        </is>
      </c>
    </row>
    <row r="1105" hidden="1" outlineLevel="2" ht="13.9" customHeight="1">
      <c r="A1105" s="2117" t="n">
        <v>0</v>
      </c>
      <c r="B1105" s="2117" t="n">
        <v>8</v>
      </c>
      <c r="C1105" s="2117" t="n">
        <v>11</v>
      </c>
      <c r="D1105" s="2118" t="n">
        <v>6</v>
      </c>
      <c r="E1105" s="2118" t="n">
        <v>0</v>
      </c>
      <c r="G1105" s="1740" t="n"/>
      <c r="H1105" s="1741" t="inlineStr">
        <is>
          <t>SUBETAPA</t>
        </is>
      </c>
      <c r="I1105" s="1742" t="inlineStr">
        <is>
          <t>08.011.006</t>
        </is>
      </c>
      <c r="J1105" s="1743" t="inlineStr">
        <is>
          <t>Sistema de bombas</t>
        </is>
      </c>
      <c r="K1105" s="1744" t="n"/>
      <c r="L1105" s="1745" t="n"/>
      <c r="M1105" s="1745" t="n"/>
      <c r="N1105" s="1746" t="n">
        <v>0</v>
      </c>
      <c r="O1105" s="1747" t="n"/>
      <c r="P1105" s="1720" t="n"/>
    </row>
    <row r="1106" hidden="1" outlineLevel="3" ht="13.9" customHeight="1">
      <c r="A1106" s="2117" t="n">
        <v>0</v>
      </c>
      <c r="B1106" s="2117" t="n">
        <v>8</v>
      </c>
      <c r="C1106" s="2117" t="n">
        <v>11</v>
      </c>
      <c r="D1106" s="2118" t="n">
        <v>6</v>
      </c>
      <c r="E1106" s="2118" t="n">
        <v>1</v>
      </c>
      <c r="G1106" s="1790" t="inlineStr">
        <is>
          <t>INSTALAÇÕES PREVENTIVAS</t>
        </is>
      </c>
      <c r="H1106" s="1749" t="inlineStr">
        <is>
          <t>SERVIÇO</t>
        </is>
      </c>
      <c r="I1106" s="1750" t="inlineStr">
        <is>
          <t>08.011.006.001</t>
        </is>
      </c>
      <c r="J1106" s="1751" t="inlineStr">
        <is>
          <t>Sistema de bombas</t>
        </is>
      </c>
      <c r="K1106" s="1752" t="inlineStr">
        <is>
          <t>vb</t>
        </is>
      </c>
      <c r="L1106" s="1753" t="n">
        <v>1</v>
      </c>
      <c r="M1106" s="1753" t="n"/>
      <c r="N1106" s="1754" t="n">
        <v>0</v>
      </c>
      <c r="O1106" s="1755" t="inlineStr">
        <is>
          <t>quantidades confirme quantidades do projetista</t>
        </is>
      </c>
      <c r="P1106" s="1721" t="inlineStr">
        <is>
          <t>Pendente</t>
        </is>
      </c>
    </row>
    <row r="1107" hidden="1" outlineLevel="2" ht="13.9" customHeight="1">
      <c r="A1107" s="2117" t="n">
        <v>0</v>
      </c>
      <c r="B1107" s="2117" t="n">
        <v>8</v>
      </c>
      <c r="C1107" s="2117" t="n">
        <v>11</v>
      </c>
      <c r="D1107" s="2118" t="n">
        <v>7</v>
      </c>
      <c r="E1107" s="2118" t="n">
        <v>0</v>
      </c>
      <c r="G1107" s="1740" t="n"/>
      <c r="H1107" s="1741" t="inlineStr">
        <is>
          <t>SUBETAPA</t>
        </is>
      </c>
      <c r="I1107" s="1742" t="inlineStr">
        <is>
          <t>08.011.007</t>
        </is>
      </c>
      <c r="J1107" s="1743" t="inlineStr">
        <is>
          <t>Mão de obra</t>
        </is>
      </c>
      <c r="K1107" s="1744" t="n"/>
      <c r="L1107" s="1745" t="n"/>
      <c r="M1107" s="1745" t="n"/>
      <c r="N1107" s="1746" t="n">
        <v>31874.85</v>
      </c>
      <c r="O1107" s="1747" t="n"/>
      <c r="P1107" s="1720" t="n"/>
    </row>
    <row r="1108" hidden="1" outlineLevel="3" ht="13.9" customHeight="1">
      <c r="A1108" s="2117" t="n">
        <v>0</v>
      </c>
      <c r="B1108" s="2117" t="n">
        <v>8</v>
      </c>
      <c r="C1108" s="2117" t="n">
        <v>11</v>
      </c>
      <c r="D1108" s="2118" t="n">
        <v>7</v>
      </c>
      <c r="E1108" s="2118" t="n">
        <v>1</v>
      </c>
      <c r="G1108" s="1790" t="inlineStr">
        <is>
          <t>INSTALAÇÕES PREVENTIVAS</t>
        </is>
      </c>
      <c r="H1108" s="1749" t="inlineStr">
        <is>
          <t>SERVIÇO</t>
        </is>
      </c>
      <c r="I1108" s="1750" t="inlineStr">
        <is>
          <t>08.011.007.001</t>
        </is>
      </c>
      <c r="J1108" s="1751" t="inlineStr">
        <is>
          <t>Mão de obra PPCI</t>
        </is>
      </c>
      <c r="K1108" s="1752" t="inlineStr">
        <is>
          <t>vb</t>
        </is>
      </c>
      <c r="L1108" s="1753" t="n">
        <v>1</v>
      </c>
      <c r="M1108" s="1753" t="n">
        <v>31874.85</v>
      </c>
      <c r="N1108" s="1754" t="n">
        <v>31874.85</v>
      </c>
      <c r="O1108" s="1765" t="inlineStr">
        <is>
          <t>Considerado R$5/m²</t>
        </is>
      </c>
      <c r="P1108" s="1721" t="inlineStr">
        <is>
          <t>Pendente</t>
        </is>
      </c>
    </row>
    <row r="1109" hidden="1" outlineLevel="1" ht="13.9" customHeight="1">
      <c r="A1109" s="2117" t="n">
        <v>0</v>
      </c>
      <c r="B1109" s="2117" t="n">
        <v>8</v>
      </c>
      <c r="C1109" s="2117" t="n">
        <v>12</v>
      </c>
      <c r="D1109" s="2118" t="n">
        <v>0</v>
      </c>
      <c r="E1109" s="2118" t="n">
        <v>1</v>
      </c>
      <c r="G1109" s="1733" t="n"/>
      <c r="H1109" s="1734" t="inlineStr">
        <is>
          <t>ETAPA</t>
        </is>
      </c>
      <c r="I1109" s="1735" t="inlineStr">
        <is>
          <t>08.012</t>
        </is>
      </c>
      <c r="J1109" s="1736" t="inlineStr">
        <is>
          <t>INSTALAÇÕES PREVENTIVAS - Duplex Inferior</t>
        </is>
      </c>
      <c r="K1109" s="1737" t="n"/>
      <c r="L1109" s="1738" t="n"/>
      <c r="M1109" s="1738" t="n"/>
      <c r="N1109" s="1739" t="n">
        <v>30016.7702</v>
      </c>
      <c r="O1109" s="1722" t="n"/>
      <c r="P1109" s="1725" t="n"/>
    </row>
    <row r="1110" hidden="1" outlineLevel="2" ht="13.9" customHeight="1">
      <c r="A1110" s="2117" t="n">
        <v>0</v>
      </c>
      <c r="B1110" s="2117" t="n">
        <v>8</v>
      </c>
      <c r="C1110" s="2117" t="n">
        <v>12</v>
      </c>
      <c r="D1110" s="2118" t="n">
        <v>1</v>
      </c>
      <c r="E1110" s="2118" t="n">
        <v>0</v>
      </c>
      <c r="G1110" s="1740" t="n"/>
      <c r="H1110" s="1741" t="inlineStr">
        <is>
          <t>SUBETAPA</t>
        </is>
      </c>
      <c r="I1110" s="1742" t="inlineStr">
        <is>
          <t>08.012.001</t>
        </is>
      </c>
      <c r="J1110" s="1743" t="inlineStr">
        <is>
          <t>Hidrantes</t>
        </is>
      </c>
      <c r="K1110" s="1744" t="n"/>
      <c r="L1110" s="1745" t="n"/>
      <c r="M1110" s="1745" t="n"/>
      <c r="N1110" s="1746" t="n">
        <v>3267.2</v>
      </c>
      <c r="O1110" s="1747" t="n"/>
      <c r="P1110" s="1720" t="n"/>
    </row>
    <row r="1111" hidden="1" outlineLevel="3" ht="13.9" customHeight="1">
      <c r="A1111" s="2117" t="n">
        <v>0</v>
      </c>
      <c r="B1111" s="2117" t="n">
        <v>8</v>
      </c>
      <c r="C1111" s="2117" t="n">
        <v>12</v>
      </c>
      <c r="D1111" s="2118" t="n">
        <v>1</v>
      </c>
      <c r="E1111" s="2118" t="n">
        <v>1</v>
      </c>
      <c r="G1111" s="1790" t="inlineStr">
        <is>
          <t>INSTALAÇÕES PREVENTIVAS</t>
        </is>
      </c>
      <c r="H1111" s="1749" t="inlineStr">
        <is>
          <t>SERVIÇO</t>
        </is>
      </c>
      <c r="I1111" s="1750" t="inlineStr">
        <is>
          <t>08.012.001.001</t>
        </is>
      </c>
      <c r="J1111" s="1751" t="inlineStr">
        <is>
          <t>Hidrantes</t>
        </is>
      </c>
      <c r="K1111" s="1752" t="inlineStr">
        <is>
          <t>vb</t>
        </is>
      </c>
      <c r="L1111" s="1753" t="n">
        <v>1</v>
      </c>
      <c r="M1111" s="1753" t="n">
        <v>3267.2</v>
      </c>
      <c r="N1111" s="1754" t="n">
        <v>3267.2</v>
      </c>
      <c r="O1111" s="1755" t="inlineStr">
        <is>
          <t>quantidades confirme quantidades do projetista</t>
        </is>
      </c>
      <c r="P1111" s="1721" t="inlineStr">
        <is>
          <t>Pendente</t>
        </is>
      </c>
    </row>
    <row r="1112" hidden="1" outlineLevel="2" ht="13.9" customHeight="1">
      <c r="A1112" s="2117" t="n">
        <v>0</v>
      </c>
      <c r="B1112" s="2117" t="n">
        <v>8</v>
      </c>
      <c r="C1112" s="2117" t="n">
        <v>12</v>
      </c>
      <c r="D1112" s="2118" t="n">
        <v>2</v>
      </c>
      <c r="E1112" s="2118" t="n">
        <v>0</v>
      </c>
      <c r="G1112" s="1740" t="n"/>
      <c r="H1112" s="1741" t="inlineStr">
        <is>
          <t>SUBETAPA</t>
        </is>
      </c>
      <c r="I1112" s="1742" t="inlineStr">
        <is>
          <t>08.012.002</t>
        </is>
      </c>
      <c r="J1112" s="1743" t="inlineStr">
        <is>
          <t xml:space="preserve">Sinalização de emergência e extintores </t>
        </is>
      </c>
      <c r="K1112" s="1744" t="n"/>
      <c r="L1112" s="1745" t="n"/>
      <c r="M1112" s="1745" t="n"/>
      <c r="N1112" s="1746" t="n">
        <v>600.45</v>
      </c>
      <c r="O1112" s="1747" t="n"/>
      <c r="P1112" s="1720" t="n"/>
    </row>
    <row r="1113" hidden="1" outlineLevel="3" ht="13.9" customHeight="1">
      <c r="A1113" s="2117" t="n">
        <v>0</v>
      </c>
      <c r="B1113" s="2117" t="n">
        <v>8</v>
      </c>
      <c r="C1113" s="2117" t="n">
        <v>12</v>
      </c>
      <c r="D1113" s="2118" t="n">
        <v>2</v>
      </c>
      <c r="E1113" s="2118" t="n">
        <v>1</v>
      </c>
      <c r="G1113" s="1790" t="inlineStr">
        <is>
          <t>INSTALAÇÕES PREVENTIVAS</t>
        </is>
      </c>
      <c r="H1113" s="1749" t="inlineStr">
        <is>
          <t>SERVIÇO</t>
        </is>
      </c>
      <c r="I1113" s="1750" t="inlineStr">
        <is>
          <t>08.012.002.001</t>
        </is>
      </c>
      <c r="J1113" s="1751" t="inlineStr">
        <is>
          <t xml:space="preserve">Sinalização de emergência e extintores </t>
        </is>
      </c>
      <c r="K1113" s="1752" t="inlineStr">
        <is>
          <t>vb</t>
        </is>
      </c>
      <c r="L1113" s="1753" t="n">
        <v>1</v>
      </c>
      <c r="M1113" s="1753" t="n">
        <v>600.45</v>
      </c>
      <c r="N1113" s="1754" t="n">
        <v>600.45</v>
      </c>
      <c r="O1113" s="1755" t="inlineStr">
        <is>
          <t>quantidades confirme quantidades do projetista</t>
        </is>
      </c>
      <c r="P1113" s="1721" t="inlineStr">
        <is>
          <t>Pendente</t>
        </is>
      </c>
    </row>
    <row r="1114" hidden="1" outlineLevel="2" ht="13.9" customHeight="1">
      <c r="A1114" s="2117" t="n">
        <v>0</v>
      </c>
      <c r="B1114" s="2117" t="n">
        <v>8</v>
      </c>
      <c r="C1114" s="2117" t="n">
        <v>12</v>
      </c>
      <c r="D1114" s="2118" t="n">
        <v>3</v>
      </c>
      <c r="E1114" s="2118" t="n">
        <v>0</v>
      </c>
      <c r="G1114" s="1740" t="n"/>
      <c r="H1114" s="1741" t="inlineStr">
        <is>
          <t>SUBETAPA</t>
        </is>
      </c>
      <c r="I1114" s="1742" t="inlineStr">
        <is>
          <t>08.012.003</t>
        </is>
      </c>
      <c r="J1114" s="1743" t="inlineStr">
        <is>
          <t>Sprinkles</t>
        </is>
      </c>
      <c r="K1114" s="1744" t="n"/>
      <c r="L1114" s="1745" t="n"/>
      <c r="M1114" s="1745" t="n"/>
      <c r="N1114" s="1746" t="n">
        <v>21722</v>
      </c>
      <c r="O1114" s="1747" t="n"/>
      <c r="P1114" s="1720" t="n"/>
    </row>
    <row r="1115" hidden="1" outlineLevel="3" ht="13.9" customHeight="1">
      <c r="A1115" s="2117" t="n">
        <v>0</v>
      </c>
      <c r="B1115" s="2117" t="n">
        <v>8</v>
      </c>
      <c r="C1115" s="2117" t="n">
        <v>12</v>
      </c>
      <c r="D1115" s="2118" t="n">
        <v>3</v>
      </c>
      <c r="E1115" s="2118" t="n">
        <v>1</v>
      </c>
      <c r="G1115" s="1790" t="inlineStr">
        <is>
          <t>INSTALAÇÕES PREVENTIVAS</t>
        </is>
      </c>
      <c r="H1115" s="1749" t="inlineStr">
        <is>
          <t>SERVIÇO</t>
        </is>
      </c>
      <c r="I1115" s="1750" t="inlineStr">
        <is>
          <t>08.012.003.001</t>
        </is>
      </c>
      <c r="J1115" s="1751" t="inlineStr">
        <is>
          <t>Sprinkles</t>
        </is>
      </c>
      <c r="K1115" s="1752" t="inlineStr">
        <is>
          <t>vb</t>
        </is>
      </c>
      <c r="L1115" s="1753" t="n">
        <v>1</v>
      </c>
      <c r="M1115" s="1753" t="n">
        <v>21722</v>
      </c>
      <c r="N1115" s="1754" t="n">
        <v>21722</v>
      </c>
      <c r="O1115" s="1755" t="inlineStr">
        <is>
          <t>quantidades confirme quantidades do projetista</t>
        </is>
      </c>
      <c r="P1115" s="1721" t="inlineStr">
        <is>
          <t>Pendente</t>
        </is>
      </c>
    </row>
    <row r="1116" hidden="1" outlineLevel="2" ht="13.9" customHeight="1">
      <c r="A1116" s="2117" t="n">
        <v>0</v>
      </c>
      <c r="B1116" s="2117" t="n">
        <v>8</v>
      </c>
      <c r="C1116" s="2117" t="n">
        <v>12</v>
      </c>
      <c r="D1116" s="2118" t="n">
        <v>4</v>
      </c>
      <c r="E1116" s="2118" t="n">
        <v>0</v>
      </c>
      <c r="G1116" s="1740" t="n"/>
      <c r="H1116" s="1741" t="inlineStr">
        <is>
          <t>SUBETAPA</t>
        </is>
      </c>
      <c r="I1116" s="1742" t="inlineStr">
        <is>
          <t>08.012.004</t>
        </is>
      </c>
      <c r="J1116" s="1743" t="inlineStr">
        <is>
          <t>Instalações de proteção e aterramento -SPDA</t>
        </is>
      </c>
      <c r="K1116" s="1744" t="n"/>
      <c r="L1116" s="1745" t="n"/>
      <c r="M1116" s="1745" t="n"/>
      <c r="N1116" s="1746" t="n">
        <v>0</v>
      </c>
      <c r="O1116" s="1747" t="n"/>
      <c r="P1116" s="1720" t="n"/>
    </row>
    <row r="1117" hidden="1" outlineLevel="3" ht="13.9" customHeight="1">
      <c r="A1117" s="2117" t="n">
        <v>0</v>
      </c>
      <c r="B1117" s="2117" t="n">
        <v>8</v>
      </c>
      <c r="C1117" s="2117" t="n">
        <v>12</v>
      </c>
      <c r="D1117" s="2118" t="n">
        <v>4</v>
      </c>
      <c r="E1117" s="2118" t="n">
        <v>1</v>
      </c>
      <c r="G1117" s="1790" t="inlineStr">
        <is>
          <t>INSTALAÇÕES PREVENTIVAS</t>
        </is>
      </c>
      <c r="H1117" s="1749" t="inlineStr">
        <is>
          <t>SERVIÇO</t>
        </is>
      </c>
      <c r="I1117" s="1750" t="inlineStr">
        <is>
          <t>08.012.004.001</t>
        </is>
      </c>
      <c r="J1117" s="1751" t="inlineStr">
        <is>
          <t>Instalações de proteção e aterramento -SPDA</t>
        </is>
      </c>
      <c r="K1117" s="1752" t="inlineStr">
        <is>
          <t>vb</t>
        </is>
      </c>
      <c r="L1117" s="1753" t="n">
        <v>1</v>
      </c>
      <c r="M1117" s="1753" t="n"/>
      <c r="N1117" s="1754" t="n">
        <v>0</v>
      </c>
      <c r="O1117" s="1755" t="inlineStr">
        <is>
          <t>Estimado devido a ausencia de quantitativos</t>
        </is>
      </c>
      <c r="P1117" s="1721" t="inlineStr">
        <is>
          <t>Pendente</t>
        </is>
      </c>
    </row>
    <row r="1118" hidden="1" outlineLevel="2" ht="13.9" customHeight="1">
      <c r="A1118" s="2117" t="n">
        <v>0</v>
      </c>
      <c r="B1118" s="2117" t="n">
        <v>8</v>
      </c>
      <c r="C1118" s="2117" t="n">
        <v>12</v>
      </c>
      <c r="D1118" s="2118" t="n">
        <v>5</v>
      </c>
      <c r="E1118" s="2118" t="n">
        <v>0</v>
      </c>
      <c r="G1118" s="1740" t="n"/>
      <c r="H1118" s="1741" t="inlineStr">
        <is>
          <t>SUBETAPA</t>
        </is>
      </c>
      <c r="I1118" s="1742" t="inlineStr">
        <is>
          <t>08.012.005</t>
        </is>
      </c>
      <c r="J1118" s="1743" t="inlineStr">
        <is>
          <t>Central de Alarmes</t>
        </is>
      </c>
      <c r="K1118" s="1744" t="n"/>
      <c r="L1118" s="1745" t="n"/>
      <c r="M1118" s="1745" t="n"/>
      <c r="N1118" s="1746" t="n">
        <v>2909.2702</v>
      </c>
      <c r="O1118" s="1747" t="n"/>
      <c r="P1118" s="1720" t="n"/>
    </row>
    <row r="1119" hidden="1" outlineLevel="3" ht="13.9" customHeight="1">
      <c r="A1119" s="2117" t="n">
        <v>0</v>
      </c>
      <c r="B1119" s="2117" t="n">
        <v>8</v>
      </c>
      <c r="C1119" s="2117" t="n">
        <v>12</v>
      </c>
      <c r="D1119" s="2118" t="n">
        <v>5</v>
      </c>
      <c r="E1119" s="2118" t="n">
        <v>1</v>
      </c>
      <c r="G1119" s="1790" t="inlineStr">
        <is>
          <t>INSTALAÇÕES PREVENTIVAS</t>
        </is>
      </c>
      <c r="H1119" s="1749" t="inlineStr">
        <is>
          <t>SERVIÇO</t>
        </is>
      </c>
      <c r="I1119" s="1750" t="inlineStr">
        <is>
          <t>08.012.005.001</t>
        </is>
      </c>
      <c r="J1119" s="1751" t="inlineStr">
        <is>
          <t>Central de Alarmes</t>
        </is>
      </c>
      <c r="K1119" s="1752" t="inlineStr">
        <is>
          <t>vb</t>
        </is>
      </c>
      <c r="L1119" s="1753" t="n">
        <v>1</v>
      </c>
      <c r="M1119" s="1753" t="n">
        <v>2909.2702</v>
      </c>
      <c r="N1119" s="1754" t="n">
        <v>2909.2702</v>
      </c>
      <c r="O1119" s="1755" t="inlineStr">
        <is>
          <t>quantidades confirme quantidades do projetista</t>
        </is>
      </c>
      <c r="P1119" s="1721" t="inlineStr">
        <is>
          <t>Pendente</t>
        </is>
      </c>
    </row>
    <row r="1120" hidden="1" outlineLevel="2" ht="13.9" customHeight="1">
      <c r="A1120" s="2117" t="n">
        <v>0</v>
      </c>
      <c r="B1120" s="2117" t="n">
        <v>8</v>
      </c>
      <c r="C1120" s="2117" t="n">
        <v>12</v>
      </c>
      <c r="D1120" s="2118" t="n">
        <v>6</v>
      </c>
      <c r="E1120" s="2118" t="n">
        <v>0</v>
      </c>
      <c r="G1120" s="1740" t="n"/>
      <c r="H1120" s="1741" t="inlineStr">
        <is>
          <t>SUBETAPA</t>
        </is>
      </c>
      <c r="I1120" s="1742" t="inlineStr">
        <is>
          <t>08.012.006</t>
        </is>
      </c>
      <c r="J1120" s="1743" t="inlineStr">
        <is>
          <t>Sistema de bombas</t>
        </is>
      </c>
      <c r="K1120" s="1744" t="n"/>
      <c r="L1120" s="1745" t="n"/>
      <c r="M1120" s="1745" t="n"/>
      <c r="N1120" s="1746" t="n">
        <v>0</v>
      </c>
      <c r="O1120" s="1747" t="n"/>
      <c r="P1120" s="1720" t="n"/>
    </row>
    <row r="1121" hidden="1" outlineLevel="3" ht="13.9" customHeight="1">
      <c r="A1121" s="2117" t="n">
        <v>0</v>
      </c>
      <c r="B1121" s="2117" t="n">
        <v>8</v>
      </c>
      <c r="C1121" s="2117" t="n">
        <v>12</v>
      </c>
      <c r="D1121" s="2118" t="n">
        <v>6</v>
      </c>
      <c r="E1121" s="2118" t="n">
        <v>1</v>
      </c>
      <c r="G1121" s="1790" t="inlineStr">
        <is>
          <t>INSTALAÇÕES PREVENTIVAS</t>
        </is>
      </c>
      <c r="H1121" s="1749" t="inlineStr">
        <is>
          <t>SERVIÇO</t>
        </is>
      </c>
      <c r="I1121" s="1750" t="inlineStr">
        <is>
          <t>08.012.006.001</t>
        </is>
      </c>
      <c r="J1121" s="1751" t="inlineStr">
        <is>
          <t>Sistema de bombas</t>
        </is>
      </c>
      <c r="K1121" s="1752" t="inlineStr">
        <is>
          <t>vb</t>
        </is>
      </c>
      <c r="L1121" s="1753" t="n">
        <v>1</v>
      </c>
      <c r="M1121" s="1753" t="n"/>
      <c r="N1121" s="1754" t="n">
        <v>0</v>
      </c>
      <c r="O1121" s="1755" t="inlineStr">
        <is>
          <t>quantidades confirme quantidades do projetista</t>
        </is>
      </c>
      <c r="P1121" s="1721" t="inlineStr">
        <is>
          <t>Pendente</t>
        </is>
      </c>
    </row>
    <row r="1122" hidden="1" outlineLevel="2" ht="13.9" customHeight="1">
      <c r="A1122" s="2117" t="n">
        <v>0</v>
      </c>
      <c r="B1122" s="2117" t="n">
        <v>8</v>
      </c>
      <c r="C1122" s="2117" t="n">
        <v>12</v>
      </c>
      <c r="D1122" s="2118" t="n">
        <v>7</v>
      </c>
      <c r="E1122" s="2118" t="n">
        <v>0</v>
      </c>
      <c r="G1122" s="1740" t="n"/>
      <c r="H1122" s="1741" t="inlineStr">
        <is>
          <t>SUBETAPA</t>
        </is>
      </c>
      <c r="I1122" s="1742" t="inlineStr">
        <is>
          <t>08.012.007</t>
        </is>
      </c>
      <c r="J1122" s="1743" t="inlineStr">
        <is>
          <t>Mão de obra</t>
        </is>
      </c>
      <c r="K1122" s="1744" t="n"/>
      <c r="L1122" s="1745" t="n"/>
      <c r="M1122" s="1745" t="n"/>
      <c r="N1122" s="1746" t="n">
        <v>1517.85</v>
      </c>
      <c r="O1122" s="1747" t="n"/>
      <c r="P1122" s="1720" t="n"/>
    </row>
    <row r="1123" hidden="1" outlineLevel="3" ht="13.9" customHeight="1">
      <c r="A1123" s="2117" t="n">
        <v>0</v>
      </c>
      <c r="B1123" s="2117" t="n">
        <v>8</v>
      </c>
      <c r="C1123" s="2117" t="n">
        <v>12</v>
      </c>
      <c r="D1123" s="2118" t="n">
        <v>7</v>
      </c>
      <c r="E1123" s="2118" t="n">
        <v>1</v>
      </c>
      <c r="G1123" s="1790" t="inlineStr">
        <is>
          <t>INSTALAÇÕES PREVENTIVAS</t>
        </is>
      </c>
      <c r="H1123" s="1749" t="inlineStr">
        <is>
          <t>SERVIÇO</t>
        </is>
      </c>
      <c r="I1123" s="1750" t="inlineStr">
        <is>
          <t>08.012.007.001</t>
        </is>
      </c>
      <c r="J1123" s="1751" t="inlineStr">
        <is>
          <t>Mão de obra PPCI</t>
        </is>
      </c>
      <c r="K1123" s="1752" t="inlineStr">
        <is>
          <t>vb</t>
        </is>
      </c>
      <c r="L1123" s="1753" t="n">
        <v>1</v>
      </c>
      <c r="M1123" s="1753" t="n">
        <v>1517.85</v>
      </c>
      <c r="N1123" s="1754" t="n">
        <v>1517.85</v>
      </c>
      <c r="O1123" s="1765" t="inlineStr">
        <is>
          <t>Considerado R$5/m²</t>
        </is>
      </c>
      <c r="P1123" s="1721" t="inlineStr">
        <is>
          <t>Pendente</t>
        </is>
      </c>
    </row>
    <row r="1124" hidden="1" outlineLevel="1" ht="13.9" customHeight="1">
      <c r="A1124" s="2117" t="n">
        <v>0</v>
      </c>
      <c r="B1124" s="2117" t="n">
        <v>8</v>
      </c>
      <c r="C1124" s="2117" t="n">
        <v>13</v>
      </c>
      <c r="D1124" s="2118" t="n">
        <v>0</v>
      </c>
      <c r="E1124" s="2118" t="n">
        <v>1</v>
      </c>
      <c r="G1124" s="1733" t="n"/>
      <c r="H1124" s="1734" t="inlineStr">
        <is>
          <t>ETAPA</t>
        </is>
      </c>
      <c r="I1124" s="1735" t="inlineStr">
        <is>
          <t>08.013</t>
        </is>
      </c>
      <c r="J1124" s="1736" t="inlineStr">
        <is>
          <t>INSTALAÇÕES PREVENTIVAS - Duplex Superior</t>
        </is>
      </c>
      <c r="K1124" s="1737" t="n"/>
      <c r="L1124" s="1738" t="n"/>
      <c r="M1124" s="1738" t="n"/>
      <c r="N1124" s="1739" t="n">
        <v>36851.27</v>
      </c>
      <c r="O1124" s="1722" t="n"/>
      <c r="P1124" s="1725" t="n"/>
    </row>
    <row r="1125" hidden="1" outlineLevel="2" ht="13.9" customHeight="1">
      <c r="A1125" s="2117" t="n">
        <v>0</v>
      </c>
      <c r="B1125" s="2117" t="n">
        <v>8</v>
      </c>
      <c r="C1125" s="2117" t="n">
        <v>13</v>
      </c>
      <c r="D1125" s="2118" t="n">
        <v>1</v>
      </c>
      <c r="E1125" s="2118" t="n">
        <v>0</v>
      </c>
      <c r="G1125" s="1740" t="n"/>
      <c r="H1125" s="1741" t="inlineStr">
        <is>
          <t>SUBETAPA</t>
        </is>
      </c>
      <c r="I1125" s="1742" t="inlineStr">
        <is>
          <t>08.013.001</t>
        </is>
      </c>
      <c r="J1125" s="1743" t="inlineStr">
        <is>
          <t>Hidrantes</t>
        </is>
      </c>
      <c r="K1125" s="1744" t="n"/>
      <c r="L1125" s="1745" t="n"/>
      <c r="M1125" s="1745" t="n"/>
      <c r="N1125" s="1746" t="n">
        <v>4400.41</v>
      </c>
      <c r="O1125" s="1747" t="n"/>
      <c r="P1125" s="1720" t="n"/>
    </row>
    <row r="1126" hidden="1" outlineLevel="3" ht="13.9" customHeight="1">
      <c r="A1126" s="2117" t="n">
        <v>0</v>
      </c>
      <c r="B1126" s="2117" t="n">
        <v>8</v>
      </c>
      <c r="C1126" s="2117" t="n">
        <v>13</v>
      </c>
      <c r="D1126" s="2118" t="n">
        <v>1</v>
      </c>
      <c r="E1126" s="2118" t="n">
        <v>1</v>
      </c>
      <c r="G1126" s="1790" t="inlineStr">
        <is>
          <t>INSTALAÇÕES PREVENTIVAS</t>
        </is>
      </c>
      <c r="H1126" s="1749" t="inlineStr">
        <is>
          <t>SERVIÇO</t>
        </is>
      </c>
      <c r="I1126" s="1750" t="inlineStr">
        <is>
          <t>08.013.001.001</t>
        </is>
      </c>
      <c r="J1126" s="1751" t="inlineStr">
        <is>
          <t>Hidrantes</t>
        </is>
      </c>
      <c r="K1126" s="1752" t="inlineStr">
        <is>
          <t>vb</t>
        </is>
      </c>
      <c r="L1126" s="1753" t="n">
        <v>1</v>
      </c>
      <c r="M1126" s="1753" t="n">
        <v>4400.41</v>
      </c>
      <c r="N1126" s="1754" t="n">
        <v>4400.41</v>
      </c>
      <c r="O1126" s="1755" t="inlineStr">
        <is>
          <t>quantidades confirme quantidades do projetista</t>
        </is>
      </c>
      <c r="P1126" s="1721" t="inlineStr">
        <is>
          <t>Pendente</t>
        </is>
      </c>
    </row>
    <row r="1127" hidden="1" outlineLevel="2" ht="13.9" customHeight="1">
      <c r="A1127" s="2117" t="n">
        <v>0</v>
      </c>
      <c r="B1127" s="2117" t="n">
        <v>8</v>
      </c>
      <c r="C1127" s="2117" t="n">
        <v>13</v>
      </c>
      <c r="D1127" s="2118" t="n">
        <v>2</v>
      </c>
      <c r="E1127" s="2118" t="n">
        <v>0</v>
      </c>
      <c r="G1127" s="1740" t="n"/>
      <c r="H1127" s="1741" t="inlineStr">
        <is>
          <t>SUBETAPA</t>
        </is>
      </c>
      <c r="I1127" s="1742" t="inlineStr">
        <is>
          <t>08.013.002</t>
        </is>
      </c>
      <c r="J1127" s="1743" t="inlineStr">
        <is>
          <t xml:space="preserve">Sinalização de emergência e extintores </t>
        </is>
      </c>
      <c r="K1127" s="1744" t="n"/>
      <c r="L1127" s="1745" t="n"/>
      <c r="M1127" s="1745" t="n"/>
      <c r="N1127" s="1746" t="n">
        <v>538.95</v>
      </c>
      <c r="O1127" s="1747" t="n"/>
      <c r="P1127" s="1720" t="n"/>
    </row>
    <row r="1128" hidden="1" outlineLevel="3" ht="13.9" customHeight="1">
      <c r="A1128" s="2117" t="n">
        <v>0</v>
      </c>
      <c r="B1128" s="2117" t="n">
        <v>8</v>
      </c>
      <c r="C1128" s="2117" t="n">
        <v>13</v>
      </c>
      <c r="D1128" s="2118" t="n">
        <v>2</v>
      </c>
      <c r="E1128" s="2118" t="n">
        <v>1</v>
      </c>
      <c r="G1128" s="1790" t="inlineStr">
        <is>
          <t>INSTALAÇÕES PREVENTIVAS</t>
        </is>
      </c>
      <c r="H1128" s="1749" t="inlineStr">
        <is>
          <t>SERVIÇO</t>
        </is>
      </c>
      <c r="I1128" s="1750" t="inlineStr">
        <is>
          <t>08.013.002.001</t>
        </is>
      </c>
      <c r="J1128" s="1751" t="inlineStr">
        <is>
          <t xml:space="preserve">Sinalização de emergência e extintores </t>
        </is>
      </c>
      <c r="K1128" s="1752" t="inlineStr">
        <is>
          <t>vb</t>
        </is>
      </c>
      <c r="L1128" s="1753" t="n">
        <v>1</v>
      </c>
      <c r="M1128" s="1753" t="n">
        <v>538.95</v>
      </c>
      <c r="N1128" s="1754" t="n">
        <v>538.95</v>
      </c>
      <c r="O1128" s="1755" t="inlineStr">
        <is>
          <t>quantidades confirme quantidades do projetista</t>
        </is>
      </c>
      <c r="P1128" s="1721" t="inlineStr">
        <is>
          <t>Pendente</t>
        </is>
      </c>
    </row>
    <row r="1129" hidden="1" outlineLevel="2" ht="13.9" customHeight="1">
      <c r="A1129" s="2117" t="n">
        <v>0</v>
      </c>
      <c r="B1129" s="2117" t="n">
        <v>8</v>
      </c>
      <c r="C1129" s="2117" t="n">
        <v>13</v>
      </c>
      <c r="D1129" s="2118" t="n">
        <v>3</v>
      </c>
      <c r="E1129" s="2118" t="n">
        <v>0</v>
      </c>
      <c r="G1129" s="1740" t="n"/>
      <c r="H1129" s="1741" t="inlineStr">
        <is>
          <t>SUBETAPA</t>
        </is>
      </c>
      <c r="I1129" s="1742" t="inlineStr">
        <is>
          <t>08.013.003</t>
        </is>
      </c>
      <c r="J1129" s="1743" t="inlineStr">
        <is>
          <t>Sprinkles</t>
        </is>
      </c>
      <c r="K1129" s="1744" t="n"/>
      <c r="L1129" s="1745" t="n"/>
      <c r="M1129" s="1745" t="n"/>
      <c r="N1129" s="1746" t="n">
        <v>28146.2</v>
      </c>
      <c r="O1129" s="1747" t="n"/>
      <c r="P1129" s="1720" t="n"/>
    </row>
    <row r="1130" hidden="1" outlineLevel="3" ht="13.9" customHeight="1">
      <c r="A1130" s="2117" t="n">
        <v>0</v>
      </c>
      <c r="B1130" s="2117" t="n">
        <v>8</v>
      </c>
      <c r="C1130" s="2117" t="n">
        <v>13</v>
      </c>
      <c r="D1130" s="2118" t="n">
        <v>3</v>
      </c>
      <c r="E1130" s="2118" t="n">
        <v>1</v>
      </c>
      <c r="G1130" s="1790" t="inlineStr">
        <is>
          <t>INSTALAÇÕES PREVENTIVAS</t>
        </is>
      </c>
      <c r="H1130" s="1749" t="inlineStr">
        <is>
          <t>SERVIÇO</t>
        </is>
      </c>
      <c r="I1130" s="1750" t="inlineStr">
        <is>
          <t>08.013.003.001</t>
        </is>
      </c>
      <c r="J1130" s="1751" t="inlineStr">
        <is>
          <t>Sprinkles</t>
        </is>
      </c>
      <c r="K1130" s="1752" t="inlineStr">
        <is>
          <t>vb</t>
        </is>
      </c>
      <c r="L1130" s="1753" t="n">
        <v>1</v>
      </c>
      <c r="M1130" s="1753" t="n">
        <v>28146.2</v>
      </c>
      <c r="N1130" s="1754" t="n">
        <v>28146.2</v>
      </c>
      <c r="O1130" s="1755" t="inlineStr">
        <is>
          <t>quantidades confirme quantidades do projetista</t>
        </is>
      </c>
      <c r="P1130" s="1721" t="inlineStr">
        <is>
          <t>Pendente</t>
        </is>
      </c>
    </row>
    <row r="1131" hidden="1" outlineLevel="2" ht="13.9" customHeight="1">
      <c r="A1131" s="2117" t="n">
        <v>0</v>
      </c>
      <c r="B1131" s="2117" t="n">
        <v>8</v>
      </c>
      <c r="C1131" s="2117" t="n">
        <v>13</v>
      </c>
      <c r="D1131" s="2118" t="n">
        <v>4</v>
      </c>
      <c r="E1131" s="2118" t="n">
        <v>0</v>
      </c>
      <c r="G1131" s="1740" t="n"/>
      <c r="H1131" s="1741" t="inlineStr">
        <is>
          <t>SUBETAPA</t>
        </is>
      </c>
      <c r="I1131" s="1742" t="inlineStr">
        <is>
          <t>08.013.004</t>
        </is>
      </c>
      <c r="J1131" s="1743" t="inlineStr">
        <is>
          <t>Instalações de proteção e aterramento -SPDA</t>
        </is>
      </c>
      <c r="K1131" s="1744" t="n"/>
      <c r="L1131" s="1745" t="n"/>
      <c r="M1131" s="1745" t="n"/>
      <c r="N1131" s="1746" t="n">
        <v>0</v>
      </c>
      <c r="O1131" s="1747" t="n"/>
      <c r="P1131" s="1720" t="n"/>
    </row>
    <row r="1132" hidden="1" outlineLevel="3" ht="13.9" customHeight="1">
      <c r="A1132" s="2117" t="n">
        <v>0</v>
      </c>
      <c r="B1132" s="2117" t="n">
        <v>8</v>
      </c>
      <c r="C1132" s="2117" t="n">
        <v>13</v>
      </c>
      <c r="D1132" s="2118" t="n">
        <v>4</v>
      </c>
      <c r="E1132" s="2118" t="n">
        <v>1</v>
      </c>
      <c r="G1132" s="1790" t="inlineStr">
        <is>
          <t>INSTALAÇÕES PREVENTIVAS</t>
        </is>
      </c>
      <c r="H1132" s="1749" t="inlineStr">
        <is>
          <t>SERVIÇO</t>
        </is>
      </c>
      <c r="I1132" s="1750" t="inlineStr">
        <is>
          <t>08.013.004.001</t>
        </is>
      </c>
      <c r="J1132" s="1751" t="inlineStr">
        <is>
          <t>Instalações de proteção e aterramento -SPDA</t>
        </is>
      </c>
      <c r="K1132" s="1752" t="inlineStr">
        <is>
          <t>vb</t>
        </is>
      </c>
      <c r="L1132" s="1753" t="n">
        <v>1</v>
      </c>
      <c r="M1132" s="1753" t="n"/>
      <c r="N1132" s="1754" t="n">
        <v>0</v>
      </c>
      <c r="O1132" s="1755" t="inlineStr">
        <is>
          <t>Estimado devido a ausencia de quantitativos</t>
        </is>
      </c>
      <c r="P1132" s="1721" t="inlineStr">
        <is>
          <t>Pendente</t>
        </is>
      </c>
    </row>
    <row r="1133" hidden="1" outlineLevel="2" ht="13.9" customHeight="1">
      <c r="A1133" s="2117" t="n">
        <v>0</v>
      </c>
      <c r="B1133" s="2117" t="n">
        <v>8</v>
      </c>
      <c r="C1133" s="2117" t="n">
        <v>13</v>
      </c>
      <c r="D1133" s="2118" t="n">
        <v>5</v>
      </c>
      <c r="E1133" s="2118" t="n">
        <v>0</v>
      </c>
      <c r="G1133" s="1740" t="n"/>
      <c r="H1133" s="1741" t="inlineStr">
        <is>
          <t>SUBETAPA</t>
        </is>
      </c>
      <c r="I1133" s="1742" t="inlineStr">
        <is>
          <t>08.013.005</t>
        </is>
      </c>
      <c r="J1133" s="1743" t="inlineStr">
        <is>
          <t>Central de Alarmes</t>
        </is>
      </c>
      <c r="K1133" s="1744" t="n"/>
      <c r="L1133" s="1745" t="n"/>
      <c r="M1133" s="1745" t="n"/>
      <c r="N1133" s="1746" t="n">
        <v>2300.91</v>
      </c>
      <c r="O1133" s="1747" t="n"/>
      <c r="P1133" s="1720" t="n"/>
    </row>
    <row r="1134" hidden="1" outlineLevel="3" ht="13.9" customHeight="1">
      <c r="A1134" s="2117" t="n">
        <v>0</v>
      </c>
      <c r="B1134" s="2117" t="n">
        <v>8</v>
      </c>
      <c r="C1134" s="2117" t="n">
        <v>13</v>
      </c>
      <c r="D1134" s="2118" t="n">
        <v>5</v>
      </c>
      <c r="E1134" s="2118" t="n">
        <v>1</v>
      </c>
      <c r="G1134" s="1790" t="inlineStr">
        <is>
          <t>INSTALAÇÕES PREVENTIVAS</t>
        </is>
      </c>
      <c r="H1134" s="1749" t="inlineStr">
        <is>
          <t>SERVIÇO</t>
        </is>
      </c>
      <c r="I1134" s="1750" t="inlineStr">
        <is>
          <t>08.013.005.001</t>
        </is>
      </c>
      <c r="J1134" s="1751" t="inlineStr">
        <is>
          <t>Central de Alarmes</t>
        </is>
      </c>
      <c r="K1134" s="1752" t="inlineStr">
        <is>
          <t>vb</t>
        </is>
      </c>
      <c r="L1134" s="1753" t="n">
        <v>1</v>
      </c>
      <c r="M1134" s="1753" t="n">
        <v>2300.910000000001</v>
      </c>
      <c r="N1134" s="1754" t="n">
        <v>2300.91</v>
      </c>
      <c r="O1134" s="1755" t="inlineStr">
        <is>
          <t>quantidades confirme quantidades do projetista</t>
        </is>
      </c>
      <c r="P1134" s="1721" t="inlineStr">
        <is>
          <t>Pendente</t>
        </is>
      </c>
    </row>
    <row r="1135" hidden="1" outlineLevel="2" ht="13.9" customHeight="1">
      <c r="A1135" s="2117" t="n">
        <v>0</v>
      </c>
      <c r="B1135" s="2117" t="n">
        <v>8</v>
      </c>
      <c r="C1135" s="2117" t="n">
        <v>13</v>
      </c>
      <c r="D1135" s="2118" t="n">
        <v>6</v>
      </c>
      <c r="E1135" s="2118" t="n">
        <v>0</v>
      </c>
      <c r="G1135" s="1740" t="n"/>
      <c r="H1135" s="1741" t="inlineStr">
        <is>
          <t>SUBETAPA</t>
        </is>
      </c>
      <c r="I1135" s="1742" t="inlineStr">
        <is>
          <t>08.013.006</t>
        </is>
      </c>
      <c r="J1135" s="1743" t="inlineStr">
        <is>
          <t>Sistema de bombas</t>
        </is>
      </c>
      <c r="K1135" s="1744" t="n"/>
      <c r="L1135" s="1745" t="n"/>
      <c r="M1135" s="1745" t="n"/>
      <c r="N1135" s="1746" t="n">
        <v>0</v>
      </c>
      <c r="O1135" s="1747" t="n"/>
      <c r="P1135" s="1720" t="n"/>
    </row>
    <row r="1136" hidden="1" outlineLevel="3" ht="13.9" customHeight="1">
      <c r="A1136" s="2117" t="n">
        <v>0</v>
      </c>
      <c r="B1136" s="2117" t="n">
        <v>8</v>
      </c>
      <c r="C1136" s="2117" t="n">
        <v>13</v>
      </c>
      <c r="D1136" s="2118" t="n">
        <v>6</v>
      </c>
      <c r="E1136" s="2118" t="n">
        <v>1</v>
      </c>
      <c r="G1136" s="1790" t="inlineStr">
        <is>
          <t>INSTALAÇÕES PREVENTIVAS</t>
        </is>
      </c>
      <c r="H1136" s="1749" t="inlineStr">
        <is>
          <t>SERVIÇO</t>
        </is>
      </c>
      <c r="I1136" s="1750" t="inlineStr">
        <is>
          <t>08.013.006.001</t>
        </is>
      </c>
      <c r="J1136" s="1751" t="inlineStr">
        <is>
          <t>Sistema de bombas</t>
        </is>
      </c>
      <c r="K1136" s="1752" t="inlineStr">
        <is>
          <t>vb</t>
        </is>
      </c>
      <c r="L1136" s="1753" t="n">
        <v>1</v>
      </c>
      <c r="M1136" s="1753" t="n"/>
      <c r="N1136" s="1754" t="n">
        <v>0</v>
      </c>
      <c r="O1136" s="1755" t="inlineStr">
        <is>
          <t>quantidades confirme quantidades do projetista</t>
        </is>
      </c>
      <c r="P1136" s="1721" t="inlineStr">
        <is>
          <t>Pendente</t>
        </is>
      </c>
    </row>
    <row r="1137" hidden="1" outlineLevel="2" ht="13.9" customHeight="1">
      <c r="A1137" s="2117" t="n">
        <v>0</v>
      </c>
      <c r="B1137" s="2117" t="n">
        <v>8</v>
      </c>
      <c r="C1137" s="2117" t="n">
        <v>13</v>
      </c>
      <c r="D1137" s="2118" t="n">
        <v>7</v>
      </c>
      <c r="E1137" s="2118" t="n">
        <v>0</v>
      </c>
      <c r="G1137" s="1740" t="n"/>
      <c r="H1137" s="1741" t="inlineStr">
        <is>
          <t>SUBETAPA</t>
        </is>
      </c>
      <c r="I1137" s="1742" t="inlineStr">
        <is>
          <t>08.013.007</t>
        </is>
      </c>
      <c r="J1137" s="1743" t="inlineStr">
        <is>
          <t>Mão de obra</t>
        </is>
      </c>
      <c r="K1137" s="1744" t="n"/>
      <c r="L1137" s="1745" t="n"/>
      <c r="M1137" s="1745" t="n"/>
      <c r="N1137" s="1746" t="n">
        <v>1464.8</v>
      </c>
      <c r="O1137" s="1747" t="n"/>
      <c r="P1137" s="1720" t="n"/>
    </row>
    <row r="1138" hidden="1" outlineLevel="3" ht="13.9" customHeight="1">
      <c r="A1138" s="2117" t="n">
        <v>0</v>
      </c>
      <c r="B1138" s="2117" t="n">
        <v>8</v>
      </c>
      <c r="C1138" s="2117" t="n">
        <v>13</v>
      </c>
      <c r="D1138" s="2118" t="n">
        <v>7</v>
      </c>
      <c r="E1138" s="2118" t="n">
        <v>1</v>
      </c>
      <c r="G1138" s="1790" t="inlineStr">
        <is>
          <t>INSTALAÇÕES PREVENTIVAS</t>
        </is>
      </c>
      <c r="H1138" s="1749" t="inlineStr">
        <is>
          <t>SERVIÇO</t>
        </is>
      </c>
      <c r="I1138" s="1750" t="inlineStr">
        <is>
          <t>08.013.007.001</t>
        </is>
      </c>
      <c r="J1138" s="1751" t="inlineStr">
        <is>
          <t>Mão de obra PPCI</t>
        </is>
      </c>
      <c r="K1138" s="1752" t="inlineStr">
        <is>
          <t>vb</t>
        </is>
      </c>
      <c r="L1138" s="1753" t="n">
        <v>1</v>
      </c>
      <c r="M1138" s="1753" t="n">
        <v>1464.8</v>
      </c>
      <c r="N1138" s="1754" t="n">
        <v>1464.8</v>
      </c>
      <c r="O1138" s="1765" t="inlineStr">
        <is>
          <t>Considerado R$5/m²</t>
        </is>
      </c>
      <c r="P1138" s="1721" t="inlineStr">
        <is>
          <t>Pendente</t>
        </is>
      </c>
    </row>
    <row r="1139" hidden="1" outlineLevel="1" ht="13.9" customHeight="1">
      <c r="A1139" s="2117" t="n">
        <v>0</v>
      </c>
      <c r="B1139" s="2117" t="n">
        <v>8</v>
      </c>
      <c r="C1139" s="2117" t="n">
        <v>14</v>
      </c>
      <c r="D1139" s="2118" t="n">
        <v>0</v>
      </c>
      <c r="E1139" s="2118" t="n">
        <v>1</v>
      </c>
      <c r="G1139" s="1733" t="n"/>
      <c r="H1139" s="1734" t="inlineStr">
        <is>
          <t>ETAPA</t>
        </is>
      </c>
      <c r="I1139" s="1735" t="inlineStr">
        <is>
          <t>08.014</t>
        </is>
      </c>
      <c r="J1139" s="1736" t="inlineStr">
        <is>
          <t>INSTALAÇÕES PREVENTIVAS - Cobertura | Barrilete</t>
        </is>
      </c>
      <c r="K1139" s="1737" t="n"/>
      <c r="L1139" s="1738" t="n"/>
      <c r="M1139" s="1738" t="n"/>
      <c r="N1139" s="1739" t="n">
        <v>251730.2433</v>
      </c>
      <c r="O1139" s="1722" t="n"/>
      <c r="P1139" s="1725" t="n"/>
    </row>
    <row r="1140" hidden="1" outlineLevel="2" ht="13.9" customHeight="1">
      <c r="A1140" s="2117" t="n">
        <v>0</v>
      </c>
      <c r="B1140" s="2117" t="n">
        <v>8</v>
      </c>
      <c r="C1140" s="2117" t="n">
        <v>14</v>
      </c>
      <c r="D1140" s="2118" t="n">
        <v>1</v>
      </c>
      <c r="E1140" s="2118" t="n">
        <v>0</v>
      </c>
      <c r="G1140" s="1740" t="n"/>
      <c r="H1140" s="1741" t="inlineStr">
        <is>
          <t>SUBETAPA</t>
        </is>
      </c>
      <c r="I1140" s="1742" t="inlineStr">
        <is>
          <t>08.014.001</t>
        </is>
      </c>
      <c r="J1140" s="1743" t="inlineStr">
        <is>
          <t>Hidrantes</t>
        </is>
      </c>
      <c r="K1140" s="1744" t="n"/>
      <c r="L1140" s="1745" t="n"/>
      <c r="M1140" s="1745" t="n"/>
      <c r="N1140" s="1746" t="n">
        <v>27210.58</v>
      </c>
      <c r="O1140" s="1747" t="n"/>
      <c r="P1140" s="1720" t="n"/>
    </row>
    <row r="1141" hidden="1" outlineLevel="3" ht="13.9" customHeight="1">
      <c r="A1141" s="2117" t="n">
        <v>0</v>
      </c>
      <c r="B1141" s="2117" t="n">
        <v>8</v>
      </c>
      <c r="C1141" s="2117" t="n">
        <v>14</v>
      </c>
      <c r="D1141" s="2118" t="n">
        <v>1</v>
      </c>
      <c r="E1141" s="2118" t="n">
        <v>1</v>
      </c>
      <c r="G1141" s="1790" t="inlineStr">
        <is>
          <t>INSTALAÇÕES PREVENTIVAS</t>
        </is>
      </c>
      <c r="H1141" s="1749" t="inlineStr">
        <is>
          <t>SERVIÇO</t>
        </is>
      </c>
      <c r="I1141" s="1750" t="inlineStr">
        <is>
          <t>08.014.001.001</t>
        </is>
      </c>
      <c r="J1141" s="1751" t="inlineStr">
        <is>
          <t>Hidrantes</t>
        </is>
      </c>
      <c r="K1141" s="1752" t="inlineStr">
        <is>
          <t>vb</t>
        </is>
      </c>
      <c r="L1141" s="1753" t="n">
        <v>1</v>
      </c>
      <c r="M1141" s="1753" t="n">
        <v>27210.58</v>
      </c>
      <c r="N1141" s="1754" t="n">
        <v>27210.58</v>
      </c>
      <c r="O1141" s="1755" t="inlineStr">
        <is>
          <t>quantidades confirme quantidades do projetista</t>
        </is>
      </c>
      <c r="P1141" s="1721" t="inlineStr">
        <is>
          <t>Pendente</t>
        </is>
      </c>
    </row>
    <row r="1142" hidden="1" outlineLevel="2" ht="13.9" customHeight="1">
      <c r="A1142" s="2117" t="n">
        <v>0</v>
      </c>
      <c r="B1142" s="2117" t="n">
        <v>8</v>
      </c>
      <c r="C1142" s="2117" t="n">
        <v>14</v>
      </c>
      <c r="D1142" s="2118" t="n">
        <v>2</v>
      </c>
      <c r="E1142" s="2118" t="n">
        <v>0</v>
      </c>
      <c r="G1142" s="1740" t="n"/>
      <c r="H1142" s="1741" t="inlineStr">
        <is>
          <t>SUBETAPA</t>
        </is>
      </c>
      <c r="I1142" s="1742" t="inlineStr">
        <is>
          <t>08.014.002</t>
        </is>
      </c>
      <c r="J1142" s="1743" t="inlineStr">
        <is>
          <t xml:space="preserve">Sinalização de emergência e extintores </t>
        </is>
      </c>
      <c r="K1142" s="1744" t="n"/>
      <c r="L1142" s="1745" t="n"/>
      <c r="M1142" s="1745" t="n"/>
      <c r="N1142" s="1746" t="n">
        <v>1445.66</v>
      </c>
      <c r="O1142" s="1747" t="n"/>
      <c r="P1142" s="1720" t="n"/>
    </row>
    <row r="1143" hidden="1" outlineLevel="3" ht="13.9" customHeight="1">
      <c r="A1143" s="2117" t="n">
        <v>0</v>
      </c>
      <c r="B1143" s="2117" t="n">
        <v>8</v>
      </c>
      <c r="C1143" s="2117" t="n">
        <v>14</v>
      </c>
      <c r="D1143" s="2118" t="n">
        <v>2</v>
      </c>
      <c r="E1143" s="2118" t="n">
        <v>1</v>
      </c>
      <c r="G1143" s="1790" t="inlineStr">
        <is>
          <t>INSTALAÇÕES PREVENTIVAS</t>
        </is>
      </c>
      <c r="H1143" s="1749" t="inlineStr">
        <is>
          <t>SERVIÇO</t>
        </is>
      </c>
      <c r="I1143" s="1750" t="inlineStr">
        <is>
          <t>08.014.002.001</t>
        </is>
      </c>
      <c r="J1143" s="1751" t="inlineStr">
        <is>
          <t xml:space="preserve">Sinalização de emergência e extintores </t>
        </is>
      </c>
      <c r="K1143" s="1752" t="inlineStr">
        <is>
          <t>vb</t>
        </is>
      </c>
      <c r="L1143" s="1753" t="n">
        <v>1</v>
      </c>
      <c r="M1143" s="1753" t="n">
        <v>1445.66</v>
      </c>
      <c r="N1143" s="1754" t="n">
        <v>1445.66</v>
      </c>
      <c r="O1143" s="1755" t="inlineStr">
        <is>
          <t>quantidades confirme quantidades do projetista</t>
        </is>
      </c>
      <c r="P1143" s="1721" t="inlineStr">
        <is>
          <t>Pendente</t>
        </is>
      </c>
    </row>
    <row r="1144" hidden="1" outlineLevel="2" ht="13.9" customHeight="1">
      <c r="A1144" s="2117" t="n">
        <v>0</v>
      </c>
      <c r="B1144" s="2117" t="n">
        <v>8</v>
      </c>
      <c r="C1144" s="2117" t="n">
        <v>14</v>
      </c>
      <c r="D1144" s="2118" t="n">
        <v>3</v>
      </c>
      <c r="E1144" s="2118" t="n">
        <v>0</v>
      </c>
      <c r="G1144" s="1740" t="n"/>
      <c r="H1144" s="1741" t="inlineStr">
        <is>
          <t>SUBETAPA</t>
        </is>
      </c>
      <c r="I1144" s="1742" t="inlineStr">
        <is>
          <t>08.014.003</t>
        </is>
      </c>
      <c r="J1144" s="1743" t="inlineStr">
        <is>
          <t>Sprinkles</t>
        </is>
      </c>
      <c r="K1144" s="1744" t="n"/>
      <c r="L1144" s="1745" t="n"/>
      <c r="M1144" s="1745" t="n"/>
      <c r="N1144" s="1746" t="n">
        <v>75139.7</v>
      </c>
      <c r="O1144" s="1747" t="n"/>
      <c r="P1144" s="1720" t="n"/>
    </row>
    <row r="1145" hidden="1" outlineLevel="3" ht="13.9" customHeight="1">
      <c r="A1145" s="2117" t="n">
        <v>0</v>
      </c>
      <c r="B1145" s="2117" t="n">
        <v>8</v>
      </c>
      <c r="C1145" s="2117" t="n">
        <v>14</v>
      </c>
      <c r="D1145" s="2118" t="n">
        <v>3</v>
      </c>
      <c r="E1145" s="2118" t="n">
        <v>1</v>
      </c>
      <c r="G1145" s="1790" t="inlineStr">
        <is>
          <t>INSTALAÇÕES PREVENTIVAS</t>
        </is>
      </c>
      <c r="H1145" s="1749" t="inlineStr">
        <is>
          <t>SERVIÇO</t>
        </is>
      </c>
      <c r="I1145" s="1750" t="inlineStr">
        <is>
          <t>08.014.003.001</t>
        </is>
      </c>
      <c r="J1145" s="1751" t="inlineStr">
        <is>
          <t>Sprinkles</t>
        </is>
      </c>
      <c r="K1145" s="1752" t="inlineStr">
        <is>
          <t>vb</t>
        </is>
      </c>
      <c r="L1145" s="1753" t="n">
        <v>1</v>
      </c>
      <c r="M1145" s="1753" t="n">
        <v>75139.7</v>
      </c>
      <c r="N1145" s="1754" t="n">
        <v>75139.7</v>
      </c>
      <c r="O1145" s="1755" t="inlineStr">
        <is>
          <t>quantidades confirme quantidades do projetista</t>
        </is>
      </c>
      <c r="P1145" s="1721" t="inlineStr">
        <is>
          <t>Pendente</t>
        </is>
      </c>
    </row>
    <row r="1146" hidden="1" outlineLevel="2" ht="13.9" customHeight="1">
      <c r="A1146" s="2117" t="n">
        <v>0</v>
      </c>
      <c r="B1146" s="2117" t="n">
        <v>8</v>
      </c>
      <c r="C1146" s="2117" t="n">
        <v>14</v>
      </c>
      <c r="D1146" s="2118" t="n">
        <v>4</v>
      </c>
      <c r="E1146" s="2118" t="n">
        <v>0</v>
      </c>
      <c r="G1146" s="1740" t="n"/>
      <c r="H1146" s="1741" t="inlineStr">
        <is>
          <t>SUBETAPA</t>
        </is>
      </c>
      <c r="I1146" s="1742" t="inlineStr">
        <is>
          <t>08.014.004</t>
        </is>
      </c>
      <c r="J1146" s="1743" t="inlineStr">
        <is>
          <t>Instalações de proteção e aterramento -SPDA</t>
        </is>
      </c>
      <c r="K1146" s="1744" t="n"/>
      <c r="L1146" s="1745" t="n"/>
      <c r="M1146" s="1745" t="n"/>
      <c r="N1146" s="1746" t="n">
        <v>133997.36</v>
      </c>
      <c r="O1146" s="1747" t="n"/>
      <c r="P1146" s="1720" t="n"/>
    </row>
    <row r="1147" hidden="1" outlineLevel="3" ht="13.9" customHeight="1">
      <c r="A1147" s="2117" t="n">
        <v>0</v>
      </c>
      <c r="B1147" s="2117" t="n">
        <v>8</v>
      </c>
      <c r="C1147" s="2117" t="n">
        <v>14</v>
      </c>
      <c r="D1147" s="2118" t="n">
        <v>4</v>
      </c>
      <c r="E1147" s="2118" t="n">
        <v>1</v>
      </c>
      <c r="G1147" s="1790" t="inlineStr">
        <is>
          <t>INSTALAÇÕES PREVENTIVAS</t>
        </is>
      </c>
      <c r="H1147" s="1749" t="inlineStr">
        <is>
          <t>SERVIÇO</t>
        </is>
      </c>
      <c r="I1147" s="1750" t="inlineStr">
        <is>
          <t>08.014.004.001</t>
        </is>
      </c>
      <c r="J1147" s="1751" t="inlineStr">
        <is>
          <t>Instalações de proteção e aterramento -SPDA</t>
        </is>
      </c>
      <c r="K1147" s="1752" t="inlineStr">
        <is>
          <t>vb</t>
        </is>
      </c>
      <c r="L1147" s="1753" t="n">
        <v>1</v>
      </c>
      <c r="M1147" s="1753" t="n">
        <v>133997.36</v>
      </c>
      <c r="N1147" s="1754" t="n">
        <v>133997.36</v>
      </c>
      <c r="O1147" s="1755" t="inlineStr">
        <is>
          <t>Estimado devido a ausencia de quantitativos</t>
        </is>
      </c>
      <c r="P1147" s="1721" t="inlineStr">
        <is>
          <t>Pendente</t>
        </is>
      </c>
    </row>
    <row r="1148" hidden="1" outlineLevel="2" ht="13.9" customHeight="1">
      <c r="A1148" s="2117" t="n">
        <v>0</v>
      </c>
      <c r="B1148" s="2117" t="n">
        <v>8</v>
      </c>
      <c r="C1148" s="2117" t="n">
        <v>14</v>
      </c>
      <c r="D1148" s="2118" t="n">
        <v>5</v>
      </c>
      <c r="E1148" s="2118" t="n">
        <v>0</v>
      </c>
      <c r="G1148" s="1740" t="n"/>
      <c r="H1148" s="1741" t="inlineStr">
        <is>
          <t>SUBETAPA</t>
        </is>
      </c>
      <c r="I1148" s="1742" t="inlineStr">
        <is>
          <t>08.014.005</t>
        </is>
      </c>
      <c r="J1148" s="1743" t="inlineStr">
        <is>
          <t>Central de Alarmes</t>
        </is>
      </c>
      <c r="K1148" s="1744" t="n"/>
      <c r="L1148" s="1745" t="n"/>
      <c r="M1148" s="1745" t="n"/>
      <c r="N1148" s="1746" t="n">
        <v>3782.9433</v>
      </c>
      <c r="O1148" s="1747" t="n"/>
      <c r="P1148" s="1720" t="n"/>
    </row>
    <row r="1149" hidden="1" outlineLevel="3" ht="13.9" customHeight="1">
      <c r="A1149" s="2117" t="n">
        <v>0</v>
      </c>
      <c r="B1149" s="2117" t="n">
        <v>8</v>
      </c>
      <c r="C1149" s="2117" t="n">
        <v>14</v>
      </c>
      <c r="D1149" s="2118" t="n">
        <v>5</v>
      </c>
      <c r="E1149" s="2118" t="n">
        <v>1</v>
      </c>
      <c r="G1149" s="1790" t="inlineStr">
        <is>
          <t>INSTALAÇÕES PREVENTIVAS</t>
        </is>
      </c>
      <c r="H1149" s="1749" t="inlineStr">
        <is>
          <t>SERVIÇO</t>
        </is>
      </c>
      <c r="I1149" s="1750" t="inlineStr">
        <is>
          <t>08.014.005.001</t>
        </is>
      </c>
      <c r="J1149" s="1751" t="inlineStr">
        <is>
          <t>Central de Alarmes</t>
        </is>
      </c>
      <c r="K1149" s="1752" t="inlineStr">
        <is>
          <t>vb</t>
        </is>
      </c>
      <c r="L1149" s="1753" t="n">
        <v>1</v>
      </c>
      <c r="M1149" s="1753" t="n">
        <v>3782.9433</v>
      </c>
      <c r="N1149" s="1754" t="n">
        <v>3782.9433</v>
      </c>
      <c r="O1149" s="1755" t="inlineStr">
        <is>
          <t>quantidades confirme quantidades do projetista</t>
        </is>
      </c>
      <c r="P1149" s="1721" t="inlineStr">
        <is>
          <t>Pendente</t>
        </is>
      </c>
    </row>
    <row r="1150" hidden="1" outlineLevel="2" ht="13.9" customHeight="1">
      <c r="A1150" s="2117" t="n">
        <v>0</v>
      </c>
      <c r="B1150" s="2117" t="n">
        <v>8</v>
      </c>
      <c r="C1150" s="2117" t="n">
        <v>14</v>
      </c>
      <c r="D1150" s="2118" t="n">
        <v>6</v>
      </c>
      <c r="E1150" s="2118" t="n">
        <v>0</v>
      </c>
      <c r="G1150" s="1740" t="n"/>
      <c r="H1150" s="1741" t="inlineStr">
        <is>
          <t>SUBETAPA</t>
        </is>
      </c>
      <c r="I1150" s="1742" t="inlineStr">
        <is>
          <t>08.014.006</t>
        </is>
      </c>
      <c r="J1150" s="1743" t="inlineStr">
        <is>
          <t>Sistema de bombas</t>
        </is>
      </c>
      <c r="K1150" s="1744" t="n"/>
      <c r="L1150" s="1745" t="n"/>
      <c r="M1150" s="1745" t="n"/>
      <c r="N1150" s="1746" t="n">
        <v>8760</v>
      </c>
      <c r="O1150" s="1747" t="n"/>
      <c r="P1150" s="1720" t="n"/>
    </row>
    <row r="1151" hidden="1" outlineLevel="3" ht="13.9" customHeight="1">
      <c r="A1151" s="2117" t="n">
        <v>0</v>
      </c>
      <c r="B1151" s="2117" t="n">
        <v>8</v>
      </c>
      <c r="C1151" s="2117" t="n">
        <v>14</v>
      </c>
      <c r="D1151" s="2118" t="n">
        <v>6</v>
      </c>
      <c r="E1151" s="2118" t="n">
        <v>1</v>
      </c>
      <c r="G1151" s="1790" t="inlineStr">
        <is>
          <t>INSTALAÇÕES PREVENTIVAS</t>
        </is>
      </c>
      <c r="H1151" s="1749" t="inlineStr">
        <is>
          <t>SERVIÇO</t>
        </is>
      </c>
      <c r="I1151" s="1750" t="inlineStr">
        <is>
          <t>08.014.006.001</t>
        </is>
      </c>
      <c r="J1151" s="1751" t="inlineStr">
        <is>
          <t>Sistema de bombas</t>
        </is>
      </c>
      <c r="K1151" s="1752" t="inlineStr">
        <is>
          <t>vb</t>
        </is>
      </c>
      <c r="L1151" s="1753" t="n">
        <v>1</v>
      </c>
      <c r="M1151" s="1753" t="n">
        <v>8760</v>
      </c>
      <c r="N1151" s="1754" t="n">
        <v>8760</v>
      </c>
      <c r="O1151" s="1755" t="inlineStr">
        <is>
          <t>quantidades confirme quantidades do projetista</t>
        </is>
      </c>
      <c r="P1151" s="1721" t="inlineStr">
        <is>
          <t>Pendente</t>
        </is>
      </c>
    </row>
    <row r="1152" hidden="1" outlineLevel="2" ht="13.9" customHeight="1">
      <c r="A1152" s="2117" t="n">
        <v>0</v>
      </c>
      <c r="B1152" s="2117" t="n">
        <v>8</v>
      </c>
      <c r="C1152" s="2117" t="n">
        <v>14</v>
      </c>
      <c r="D1152" s="2118" t="n">
        <v>7</v>
      </c>
      <c r="E1152" s="2118" t="n">
        <v>0</v>
      </c>
      <c r="G1152" s="1740" t="n"/>
      <c r="H1152" s="1741" t="inlineStr">
        <is>
          <t>SUBETAPA</t>
        </is>
      </c>
      <c r="I1152" s="1742" t="inlineStr">
        <is>
          <t>08.014.007</t>
        </is>
      </c>
      <c r="J1152" s="1743" t="inlineStr">
        <is>
          <t>Mão de obra</t>
        </is>
      </c>
      <c r="K1152" s="1744" t="n"/>
      <c r="L1152" s="1745" t="n"/>
      <c r="M1152" s="1745" t="n"/>
      <c r="N1152" s="1746" t="n">
        <v>1394</v>
      </c>
      <c r="O1152" s="1747" t="n"/>
      <c r="P1152" s="1720" t="n"/>
    </row>
    <row r="1153" hidden="1" outlineLevel="3" ht="13.9" customHeight="1">
      <c r="A1153" s="2117" t="n">
        <v>0</v>
      </c>
      <c r="B1153" s="2117" t="n">
        <v>8</v>
      </c>
      <c r="C1153" s="2117" t="n">
        <v>14</v>
      </c>
      <c r="D1153" s="2118" t="n">
        <v>7</v>
      </c>
      <c r="E1153" s="2118" t="n">
        <v>1</v>
      </c>
      <c r="G1153" s="1790" t="inlineStr">
        <is>
          <t>INSTALAÇÕES PREVENTIVAS</t>
        </is>
      </c>
      <c r="H1153" s="1749" t="inlineStr">
        <is>
          <t>SERVIÇO</t>
        </is>
      </c>
      <c r="I1153" s="1750" t="inlineStr">
        <is>
          <t>08.014.007.001</t>
        </is>
      </c>
      <c r="J1153" s="1751" t="inlineStr">
        <is>
          <t>Mão de obra PPCI</t>
        </is>
      </c>
      <c r="K1153" s="1752" t="inlineStr">
        <is>
          <t>vb</t>
        </is>
      </c>
      <c r="L1153" s="1753" t="n">
        <v>1</v>
      </c>
      <c r="M1153" s="1753" t="n">
        <v>1394</v>
      </c>
      <c r="N1153" s="1754" t="n">
        <v>1394</v>
      </c>
      <c r="O1153" s="1765" t="inlineStr">
        <is>
          <t>Considerado R$5/m²</t>
        </is>
      </c>
      <c r="P1153" s="1721" t="inlineStr">
        <is>
          <t>Pendente</t>
        </is>
      </c>
    </row>
    <row r="1154" collapsed="1" ht="13.9" customHeight="1">
      <c r="A1154" s="2117" t="n">
        <v>0</v>
      </c>
      <c r="B1154" s="2117" t="n">
        <v>9</v>
      </c>
      <c r="C1154" s="2117" t="n">
        <v>0</v>
      </c>
      <c r="D1154" s="2118" t="n">
        <v>7</v>
      </c>
      <c r="E1154" s="2118" t="n">
        <v>1</v>
      </c>
      <c r="F1154" s="474" t="n"/>
      <c r="G1154" s="1726" t="n"/>
      <c r="H1154" s="1727" t="inlineStr">
        <is>
          <t>CÉLULA CONSTRUTIVA</t>
        </is>
      </c>
      <c r="I1154" s="1728" t="inlineStr">
        <is>
          <t>09</t>
        </is>
      </c>
      <c r="J1154" s="1729" t="inlineStr">
        <is>
          <t>INSTALAÇÕES DE GÁS</t>
        </is>
      </c>
      <c r="K1154" s="1730" t="n"/>
      <c r="L1154" s="1731" t="n"/>
      <c r="M1154" s="1731" t="n"/>
      <c r="N1154" s="1732" t="n">
        <v>250000</v>
      </c>
      <c r="O1154" s="1770" t="n">
        <v>14.9256671922492</v>
      </c>
      <c r="P1154" s="1723" t="n"/>
    </row>
    <row r="1155" hidden="1" outlineLevel="1" ht="13.9" customHeight="1">
      <c r="A1155" s="2117" t="n">
        <v>0</v>
      </c>
      <c r="B1155" s="2117" t="n">
        <v>9</v>
      </c>
      <c r="C1155" s="2117" t="n">
        <v>1</v>
      </c>
      <c r="D1155" s="2118" t="n">
        <v>0</v>
      </c>
      <c r="E1155" s="2118" t="n">
        <v>1</v>
      </c>
      <c r="G1155" s="1733" t="n"/>
      <c r="H1155" s="1734" t="inlineStr">
        <is>
          <t>ETAPA</t>
        </is>
      </c>
      <c r="I1155" s="1735" t="inlineStr">
        <is>
          <t>09.001</t>
        </is>
      </c>
      <c r="J1155" s="1736" t="inlineStr">
        <is>
          <t>INSTALAÇÕES DE GÁS - Térreo</t>
        </is>
      </c>
      <c r="K1155" s="1737" t="n"/>
      <c r="L1155" s="1738" t="n"/>
      <c r="M1155" s="1738" t="n"/>
      <c r="N1155" s="1739" t="n">
        <v>26282.6044747727</v>
      </c>
      <c r="O1155" s="1792" t="n"/>
      <c r="P1155" s="1725" t="n"/>
    </row>
    <row r="1156" hidden="1" outlineLevel="2" ht="13.9" customHeight="1">
      <c r="A1156" s="2117" t="n">
        <v>0</v>
      </c>
      <c r="B1156" s="2117" t="n">
        <v>9</v>
      </c>
      <c r="C1156" s="2117" t="n">
        <v>1</v>
      </c>
      <c r="D1156" s="2118" t="n">
        <v>1</v>
      </c>
      <c r="E1156" s="2118" t="n">
        <v>0</v>
      </c>
      <c r="G1156" s="1764" t="n"/>
      <c r="H1156" s="1741" t="inlineStr">
        <is>
          <t>SUBETAPA</t>
        </is>
      </c>
      <c r="I1156" s="1742" t="inlineStr">
        <is>
          <t>09.001.001</t>
        </is>
      </c>
      <c r="J1156" s="1743" t="inlineStr">
        <is>
          <t>Medidores</t>
        </is>
      </c>
      <c r="K1156" s="1744" t="n"/>
      <c r="L1156" s="1745" t="n"/>
      <c r="M1156" s="1745" t="n"/>
      <c r="N1156" s="1746" t="n">
        <v>1013.31249199854</v>
      </c>
      <c r="O1156" s="1762" t="n"/>
      <c r="P1156" s="1720" t="n"/>
    </row>
    <row r="1157" hidden="1" outlineLevel="3" ht="13.9" customHeight="1">
      <c r="A1157" s="2117" t="n">
        <v>0</v>
      </c>
      <c r="B1157" s="2117" t="n">
        <v>9</v>
      </c>
      <c r="C1157" s="2117" t="n">
        <v>1</v>
      </c>
      <c r="D1157" s="2118" t="n">
        <v>1</v>
      </c>
      <c r="E1157" s="2118" t="n">
        <v>1</v>
      </c>
      <c r="G1157" s="1748" t="inlineStr">
        <is>
          <t>INSTALAÇÕES DE GÁS</t>
        </is>
      </c>
      <c r="H1157" s="1749" t="inlineStr">
        <is>
          <t>SERVIÇO</t>
        </is>
      </c>
      <c r="I1157" s="1750" t="inlineStr">
        <is>
          <t>09.001.001.001</t>
        </is>
      </c>
      <c r="J1157" s="1751" t="inlineStr">
        <is>
          <t>Medidores</t>
        </is>
      </c>
      <c r="K1157" s="1752" t="inlineStr">
        <is>
          <t>vb</t>
        </is>
      </c>
      <c r="L1157" s="1753" t="n">
        <v>1</v>
      </c>
      <c r="M1157" s="1753" t="n">
        <v>1013.312491998538</v>
      </c>
      <c r="N1157" s="1754" t="n">
        <v>1013.31249199854</v>
      </c>
      <c r="O1157" s="1761" t="inlineStr">
        <is>
          <t>Repessado pela Gessele na reunião do dia 05/03/2026 - vamos fechar em R$ 250k - Material  (aço + multicamada) + M.O</t>
        </is>
      </c>
      <c r="P1157" s="1721" t="inlineStr">
        <is>
          <t>Pendente</t>
        </is>
      </c>
    </row>
    <row r="1158" hidden="1" outlineLevel="2" ht="13.9" customHeight="1">
      <c r="A1158" s="2117" t="n">
        <v>0</v>
      </c>
      <c r="B1158" s="2117" t="n">
        <v>9</v>
      </c>
      <c r="C1158" s="2117" t="n">
        <v>1</v>
      </c>
      <c r="D1158" s="2118" t="n">
        <v>2</v>
      </c>
      <c r="E1158" s="2118" t="n">
        <v>0</v>
      </c>
      <c r="G1158" s="1764" t="n"/>
      <c r="H1158" s="1741" t="inlineStr">
        <is>
          <t>SUBETAPA</t>
        </is>
      </c>
      <c r="I1158" s="1742" t="inlineStr">
        <is>
          <t>09.001.002</t>
        </is>
      </c>
      <c r="J1158" s="1743" t="inlineStr">
        <is>
          <t>Sistema de Gás</t>
        </is>
      </c>
      <c r="K1158" s="1744" t="n"/>
      <c r="L1158" s="1745" t="n"/>
      <c r="M1158" s="1745" t="n"/>
      <c r="N1158" s="1746" t="n">
        <v>22367.2559542302</v>
      </c>
      <c r="O1158" s="1762" t="n"/>
      <c r="P1158" s="1720" t="n"/>
    </row>
    <row r="1159" hidden="1" outlineLevel="3" ht="13.9" customHeight="1">
      <c r="A1159" s="2117" t="n">
        <v>0</v>
      </c>
      <c r="B1159" s="2117" t="n">
        <v>9</v>
      </c>
      <c r="C1159" s="2117" t="n">
        <v>1</v>
      </c>
      <c r="D1159" s="2118" t="n">
        <v>2</v>
      </c>
      <c r="E1159" s="2118" t="n">
        <v>1</v>
      </c>
      <c r="G1159" s="1748" t="inlineStr">
        <is>
          <t>INSTALAÇÕES DE GÁS</t>
        </is>
      </c>
      <c r="H1159" s="1749" t="inlineStr">
        <is>
          <t>SERVIÇO</t>
        </is>
      </c>
      <c r="I1159" s="1750" t="inlineStr">
        <is>
          <t>09.001.002.001</t>
        </is>
      </c>
      <c r="J1159" s="1751" t="inlineStr">
        <is>
          <t>Sistema de Gás</t>
        </is>
      </c>
      <c r="K1159" s="1752" t="inlineStr">
        <is>
          <t>vb</t>
        </is>
      </c>
      <c r="L1159" s="1753" t="n">
        <v>1</v>
      </c>
      <c r="M1159" s="1753" t="n">
        <v>22367.25595423024</v>
      </c>
      <c r="N1159" s="1754" t="n">
        <v>22367.2559542302</v>
      </c>
      <c r="O1159" s="1761" t="inlineStr">
        <is>
          <t>Repessado pela Gessele na reunião do dia 05/03/2026 - vamos fechar em R$ 250k - Material  (aço + multicamada) + M.O</t>
        </is>
      </c>
      <c r="P1159" s="1721" t="inlineStr">
        <is>
          <t>Pendente</t>
        </is>
      </c>
    </row>
    <row r="1160" hidden="1" outlineLevel="2" ht="13.9" customHeight="1">
      <c r="A1160" s="2117" t="n">
        <v>0</v>
      </c>
      <c r="B1160" s="2117" t="n">
        <v>9</v>
      </c>
      <c r="C1160" s="2117" t="n">
        <v>1</v>
      </c>
      <c r="D1160" s="2118" t="n">
        <v>3</v>
      </c>
      <c r="E1160" s="2118" t="n">
        <v>0</v>
      </c>
      <c r="G1160" s="1764" t="n"/>
      <c r="H1160" s="1741" t="inlineStr">
        <is>
          <t>SUBETAPA</t>
        </is>
      </c>
      <c r="I1160" s="1742" t="inlineStr">
        <is>
          <t>09.001.003</t>
        </is>
      </c>
      <c r="J1160" s="1743" t="inlineStr">
        <is>
          <t>Mão de obra</t>
        </is>
      </c>
      <c r="K1160" s="1744" t="n"/>
      <c r="L1160" s="1745" t="n"/>
      <c r="M1160" s="1745" t="n"/>
      <c r="N1160" s="1746" t="n">
        <v>2902.03602854389</v>
      </c>
      <c r="O1160" s="1762" t="n"/>
      <c r="P1160" s="1720" t="n"/>
    </row>
    <row r="1161" hidden="1" outlineLevel="3" ht="13.9" customHeight="1">
      <c r="A1161" s="2117" t="n">
        <v>0</v>
      </c>
      <c r="B1161" s="2117" t="n">
        <v>9</v>
      </c>
      <c r="C1161" s="2117" t="n">
        <v>1</v>
      </c>
      <c r="D1161" s="2118" t="n">
        <v>3</v>
      </c>
      <c r="E1161" s="2118" t="n">
        <v>1</v>
      </c>
      <c r="G1161" s="1748" t="inlineStr">
        <is>
          <t>INSTALAÇÕES DE GÁS</t>
        </is>
      </c>
      <c r="H1161" s="1749" t="inlineStr">
        <is>
          <t>SERVIÇO</t>
        </is>
      </c>
      <c r="I1161" s="1750" t="inlineStr">
        <is>
          <t>09.001.003.001</t>
        </is>
      </c>
      <c r="J1161" s="1751" t="inlineStr">
        <is>
          <t>Mão de obra para instalações gás</t>
        </is>
      </c>
      <c r="K1161" s="1752" t="inlineStr">
        <is>
          <t>vb</t>
        </is>
      </c>
      <c r="L1161" s="1753" t="n">
        <v>1</v>
      </c>
      <c r="M1161" s="1753" t="n">
        <v>2902.03602854389</v>
      </c>
      <c r="N1161" s="1754" t="n">
        <v>2902.03602854389</v>
      </c>
      <c r="O1161" s="1761" t="inlineStr">
        <is>
          <t>Repessado pela Gessele na reunião do dia 05/03/2026 - vamos fechar em R$ 250k - Material  (aço + multicamada) + M.O</t>
        </is>
      </c>
      <c r="P1161" s="1721" t="inlineStr">
        <is>
          <t>Pendente</t>
        </is>
      </c>
    </row>
    <row r="1162" hidden="1" outlineLevel="1" ht="13.9" customHeight="1">
      <c r="A1162" s="2117" t="n">
        <v>0</v>
      </c>
      <c r="B1162" s="2117" t="n">
        <v>9</v>
      </c>
      <c r="C1162" s="2117" t="n">
        <v>2</v>
      </c>
      <c r="D1162" s="2118" t="n">
        <v>0</v>
      </c>
      <c r="E1162" s="2118" t="n">
        <v>1</v>
      </c>
      <c r="G1162" s="1733" t="n"/>
      <c r="H1162" s="1734" t="inlineStr">
        <is>
          <t>ETAPA</t>
        </is>
      </c>
      <c r="I1162" s="1735" t="inlineStr">
        <is>
          <t>09.002</t>
        </is>
      </c>
      <c r="J1162" s="1736" t="inlineStr">
        <is>
          <t>INSTALAÇÕES DE GÁS - Mezanino G1</t>
        </is>
      </c>
      <c r="K1162" s="1737" t="n"/>
      <c r="L1162" s="1738" t="n"/>
      <c r="M1162" s="1738" t="n"/>
      <c r="N1162" s="1739" t="n">
        <v>5591.4490962267</v>
      </c>
      <c r="O1162" s="1792" t="n"/>
      <c r="P1162" s="1725" t="n"/>
    </row>
    <row r="1163" hidden="1" outlineLevel="2" ht="13.9" customHeight="1">
      <c r="A1163" s="2117" t="n">
        <v>0</v>
      </c>
      <c r="B1163" s="2117" t="n">
        <v>9</v>
      </c>
      <c r="C1163" s="2117" t="n">
        <v>2</v>
      </c>
      <c r="D1163" s="2118" t="n">
        <v>1</v>
      </c>
      <c r="E1163" s="2118" t="n">
        <v>0</v>
      </c>
      <c r="G1163" s="1764" t="n"/>
      <c r="H1163" s="1741" t="inlineStr">
        <is>
          <t>SUBETAPA</t>
        </is>
      </c>
      <c r="I1163" s="1742" t="inlineStr">
        <is>
          <t>09.002.001</t>
        </is>
      </c>
      <c r="J1163" s="1743" t="inlineStr">
        <is>
          <t>Sistema de Gás</t>
        </is>
      </c>
      <c r="K1163" s="1744" t="n"/>
      <c r="L1163" s="1745" t="n"/>
      <c r="M1163" s="1745" t="n"/>
      <c r="N1163" s="1746" t="n">
        <v>2628.12328589769</v>
      </c>
      <c r="O1163" s="1762" t="n"/>
      <c r="P1163" s="1720" t="n"/>
    </row>
    <row r="1164" hidden="1" outlineLevel="3" ht="13.9" customHeight="1">
      <c r="A1164" s="2117" t="n">
        <v>0</v>
      </c>
      <c r="B1164" s="2117" t="n">
        <v>9</v>
      </c>
      <c r="C1164" s="2117" t="n">
        <v>2</v>
      </c>
      <c r="D1164" s="2118" t="n">
        <v>1</v>
      </c>
      <c r="E1164" s="2118" t="n">
        <v>1</v>
      </c>
      <c r="G1164" s="1748" t="inlineStr">
        <is>
          <t>INSTALAÇÕES DE GÁS</t>
        </is>
      </c>
      <c r="H1164" s="1749" t="inlineStr">
        <is>
          <t>SERVIÇO</t>
        </is>
      </c>
      <c r="I1164" s="1750" t="inlineStr">
        <is>
          <t>09.002.001.001</t>
        </is>
      </c>
      <c r="J1164" s="1751" t="inlineStr">
        <is>
          <t>Sistema de Gás</t>
        </is>
      </c>
      <c r="K1164" s="1752" t="inlineStr">
        <is>
          <t>vb</t>
        </is>
      </c>
      <c r="L1164" s="1753" t="n">
        <v>1</v>
      </c>
      <c r="M1164" s="1753" t="n">
        <v>2628.123285897685</v>
      </c>
      <c r="N1164" s="1754" t="n">
        <v>2628.12328589769</v>
      </c>
      <c r="O1164" s="1761" t="inlineStr">
        <is>
          <t>Repessado pela Gessele na reunião do dia 05/03/2026 - vamos fechar em R$ 250k - Material  (aço + multicamada) + M.O</t>
        </is>
      </c>
      <c r="P1164" s="1721" t="inlineStr">
        <is>
          <t>Pendente</t>
        </is>
      </c>
    </row>
    <row r="1165" hidden="1" outlineLevel="2" ht="13.9" customHeight="1">
      <c r="A1165" s="2117" t="n">
        <v>0</v>
      </c>
      <c r="B1165" s="2117" t="n">
        <v>9</v>
      </c>
      <c r="C1165" s="2117" t="n">
        <v>2</v>
      </c>
      <c r="D1165" s="2118" t="n">
        <v>2</v>
      </c>
      <c r="E1165" s="2118" t="n">
        <v>0</v>
      </c>
      <c r="G1165" s="1764" t="n"/>
      <c r="H1165" s="1741" t="inlineStr">
        <is>
          <t>SUBETAPA</t>
        </is>
      </c>
      <c r="I1165" s="1742" t="inlineStr">
        <is>
          <t>09.002.002</t>
        </is>
      </c>
      <c r="J1165" s="1743" t="inlineStr">
        <is>
          <t>Mão de obra</t>
        </is>
      </c>
      <c r="K1165" s="1744" t="n"/>
      <c r="L1165" s="1745" t="n"/>
      <c r="M1165" s="1745" t="n"/>
      <c r="N1165" s="1746" t="n">
        <v>2963.32581032901</v>
      </c>
      <c r="O1165" s="1762" t="n"/>
      <c r="P1165" s="1720" t="n"/>
    </row>
    <row r="1166" hidden="1" outlineLevel="3" ht="13.9" customHeight="1">
      <c r="A1166" s="2117" t="n">
        <v>0</v>
      </c>
      <c r="B1166" s="2117" t="n">
        <v>9</v>
      </c>
      <c r="C1166" s="2117" t="n">
        <v>2</v>
      </c>
      <c r="D1166" s="2118" t="n">
        <v>2</v>
      </c>
      <c r="E1166" s="2118" t="n">
        <v>1</v>
      </c>
      <c r="G1166" s="1748" t="inlineStr">
        <is>
          <t>INSTALAÇÕES DE GÁS</t>
        </is>
      </c>
      <c r="H1166" s="1749" t="inlineStr">
        <is>
          <t>SERVIÇO</t>
        </is>
      </c>
      <c r="I1166" s="1750" t="inlineStr">
        <is>
          <t>09.002.002.001</t>
        </is>
      </c>
      <c r="J1166" s="1751" t="inlineStr">
        <is>
          <t>Mão de obra para instalações gás</t>
        </is>
      </c>
      <c r="K1166" s="1752" t="inlineStr">
        <is>
          <t>vb</t>
        </is>
      </c>
      <c r="L1166" s="1753" t="n">
        <v>1</v>
      </c>
      <c r="M1166" s="1753" t="n">
        <v>2963.325810329013</v>
      </c>
      <c r="N1166" s="1754" t="n">
        <v>2963.32581032901</v>
      </c>
      <c r="O1166" s="1761" t="inlineStr">
        <is>
          <t>Repessado pela Gessele na reunião do dia 05/03/2026 - vamos fechar em R$ 250k - Material  (aço + multicamada) + M.O</t>
        </is>
      </c>
      <c r="P1166" s="1721" t="inlineStr">
        <is>
          <t>Pendente</t>
        </is>
      </c>
    </row>
    <row r="1167" hidden="1" outlineLevel="1" ht="13.9" customHeight="1">
      <c r="A1167" s="2117" t="n">
        <v>0</v>
      </c>
      <c r="B1167" s="2117" t="n">
        <v>9</v>
      </c>
      <c r="C1167" s="2117" t="n">
        <v>3</v>
      </c>
      <c r="D1167" s="2118" t="n">
        <v>0</v>
      </c>
      <c r="E1167" s="2118" t="n">
        <v>1</v>
      </c>
      <c r="G1167" s="1733" t="n"/>
      <c r="H1167" s="1734" t="inlineStr">
        <is>
          <t>ETAPA</t>
        </is>
      </c>
      <c r="I1167" s="1735" t="inlineStr">
        <is>
          <t>09.003</t>
        </is>
      </c>
      <c r="J1167" s="1736" t="inlineStr">
        <is>
          <t>INSTALAÇÕES DE GÁS - G2</t>
        </is>
      </c>
      <c r="K1167" s="1737" t="n"/>
      <c r="L1167" s="1738" t="n"/>
      <c r="M1167" s="1738" t="n"/>
      <c r="N1167" s="1739" t="n">
        <v>27552.9575073401</v>
      </c>
      <c r="O1167" s="1792" t="n"/>
      <c r="P1167" s="1725" t="n"/>
    </row>
    <row r="1168" hidden="1" outlineLevel="2" ht="13.9" customHeight="1">
      <c r="A1168" s="2117" t="n">
        <v>0</v>
      </c>
      <c r="B1168" s="2117" t="n">
        <v>9</v>
      </c>
      <c r="C1168" s="2117" t="n">
        <v>3</v>
      </c>
      <c r="D1168" s="2118" t="n">
        <v>1</v>
      </c>
      <c r="E1168" s="2118" t="n">
        <v>0</v>
      </c>
      <c r="G1168" s="1764" t="n"/>
      <c r="H1168" s="1741" t="inlineStr">
        <is>
          <t>SUBETAPA</t>
        </is>
      </c>
      <c r="I1168" s="1742" t="inlineStr">
        <is>
          <t>09.003.001</t>
        </is>
      </c>
      <c r="J1168" s="1743" t="inlineStr">
        <is>
          <t>Sistema de Gás</t>
        </is>
      </c>
      <c r="K1168" s="1744" t="n"/>
      <c r="L1168" s="1745" t="n"/>
      <c r="M1168" s="1745" t="n"/>
      <c r="N1168" s="1746" t="n">
        <v>24303.5264090763</v>
      </c>
      <c r="O1168" s="1762" t="n"/>
      <c r="P1168" s="1720" t="n"/>
    </row>
    <row r="1169" hidden="1" outlineLevel="3" ht="13.9" customHeight="1">
      <c r="A1169" s="2117" t="n">
        <v>0</v>
      </c>
      <c r="B1169" s="2117" t="n">
        <v>9</v>
      </c>
      <c r="C1169" s="2117" t="n">
        <v>3</v>
      </c>
      <c r="D1169" s="2118" t="n">
        <v>1</v>
      </c>
      <c r="E1169" s="2118" t="n">
        <v>1</v>
      </c>
      <c r="G1169" s="1748" t="inlineStr">
        <is>
          <t>INSTALAÇÕES DE GÁS</t>
        </is>
      </c>
      <c r="H1169" s="1749" t="inlineStr">
        <is>
          <t>SERVIÇO</t>
        </is>
      </c>
      <c r="I1169" s="1750" t="inlineStr">
        <is>
          <t>09.003.001.001</t>
        </is>
      </c>
      <c r="J1169" s="1751" t="inlineStr">
        <is>
          <t>Sistema de Gás</t>
        </is>
      </c>
      <c r="K1169" s="1752" t="inlineStr">
        <is>
          <t>vb</t>
        </is>
      </c>
      <c r="L1169" s="1753" t="n">
        <v>1</v>
      </c>
      <c r="M1169" s="1753" t="n">
        <v>24303.52640907626</v>
      </c>
      <c r="N1169" s="1754" t="n">
        <v>24303.5264090763</v>
      </c>
      <c r="O1169" s="1761" t="inlineStr">
        <is>
          <t>Repessado pela Gessele na reunião do dia 05/03/2026 - vamos fechar em R$ 250k - Material  (aço + multicamada) + M.O</t>
        </is>
      </c>
      <c r="P1169" s="1721" t="inlineStr">
        <is>
          <t>Pendente</t>
        </is>
      </c>
    </row>
    <row r="1170" hidden="1" outlineLevel="2" ht="13.9" customHeight="1">
      <c r="A1170" s="2117" t="n">
        <v>0</v>
      </c>
      <c r="B1170" s="2117" t="n">
        <v>9</v>
      </c>
      <c r="C1170" s="2117" t="n">
        <v>3</v>
      </c>
      <c r="D1170" s="2118" t="n">
        <v>2</v>
      </c>
      <c r="E1170" s="2118" t="n">
        <v>0</v>
      </c>
      <c r="G1170" s="1764" t="n"/>
      <c r="H1170" s="1741" t="inlineStr">
        <is>
          <t>SUBETAPA</t>
        </is>
      </c>
      <c r="I1170" s="1742" t="inlineStr">
        <is>
          <t>09.003.002</t>
        </is>
      </c>
      <c r="J1170" s="1743" t="inlineStr">
        <is>
          <t>Mão de obra</t>
        </is>
      </c>
      <c r="K1170" s="1744" t="n"/>
      <c r="L1170" s="1745" t="n"/>
      <c r="M1170" s="1745" t="n"/>
      <c r="N1170" s="1746" t="n">
        <v>3249.43109826379</v>
      </c>
      <c r="O1170" s="1762" t="n"/>
      <c r="P1170" s="1720" t="n"/>
    </row>
    <row r="1171" hidden="1" outlineLevel="3" ht="13.9" customHeight="1">
      <c r="A1171" s="2117" t="n">
        <v>0</v>
      </c>
      <c r="B1171" s="2117" t="n">
        <v>9</v>
      </c>
      <c r="C1171" s="2117" t="n">
        <v>3</v>
      </c>
      <c r="D1171" s="2118" t="n">
        <v>2</v>
      </c>
      <c r="E1171" s="2118" t="n">
        <v>1</v>
      </c>
      <c r="G1171" s="1748" t="inlineStr">
        <is>
          <t>INSTALAÇÕES DE GÁS</t>
        </is>
      </c>
      <c r="H1171" s="1749" t="inlineStr">
        <is>
          <t>SERVIÇO</t>
        </is>
      </c>
      <c r="I1171" s="1750" t="inlineStr">
        <is>
          <t>09.003.002.001</t>
        </is>
      </c>
      <c r="J1171" s="1751" t="inlineStr">
        <is>
          <t>Mão de obra para instalações gás</t>
        </is>
      </c>
      <c r="K1171" s="1752" t="inlineStr">
        <is>
          <t>vb</t>
        </is>
      </c>
      <c r="L1171" s="1753" t="n">
        <v>1</v>
      </c>
      <c r="M1171" s="1753" t="n">
        <v>3249.431098263794</v>
      </c>
      <c r="N1171" s="1754" t="n">
        <v>3249.43109826379</v>
      </c>
      <c r="O1171" s="1761" t="inlineStr">
        <is>
          <t>Repessado pela Gessele na reunião do dia 05/03/2026 - vamos fechar em R$ 250k - Material  (aço + multicamada) + M.O</t>
        </is>
      </c>
      <c r="P1171" s="1721" t="inlineStr">
        <is>
          <t>Pendente</t>
        </is>
      </c>
    </row>
    <row r="1172" hidden="1" outlineLevel="1" ht="13.9" customHeight="1">
      <c r="A1172" s="2117" t="n">
        <v>0</v>
      </c>
      <c r="B1172" s="2117" t="n">
        <v>9</v>
      </c>
      <c r="C1172" s="2117" t="n">
        <v>4</v>
      </c>
      <c r="D1172" s="2118" t="n">
        <v>0</v>
      </c>
      <c r="E1172" s="2118" t="n">
        <v>1</v>
      </c>
      <c r="G1172" s="1733" t="n"/>
      <c r="H1172" s="1734" t="inlineStr">
        <is>
          <t>ETAPA</t>
        </is>
      </c>
      <c r="I1172" s="1735" t="inlineStr">
        <is>
          <t>09.004</t>
        </is>
      </c>
      <c r="J1172" s="1736" t="inlineStr">
        <is>
          <t>INSTALAÇÕES DE GÁS - Mezanino G2</t>
        </is>
      </c>
      <c r="K1172" s="1737" t="n"/>
      <c r="L1172" s="1738" t="n"/>
      <c r="M1172" s="1738" t="n"/>
      <c r="N1172" s="1739" t="n">
        <v>4125.47219356302</v>
      </c>
      <c r="O1172" s="1792" t="n"/>
      <c r="P1172" s="1725" t="n"/>
    </row>
    <row r="1173" hidden="1" outlineLevel="2" ht="13.9" customHeight="1">
      <c r="A1173" s="2117" t="n">
        <v>0</v>
      </c>
      <c r="B1173" s="2117" t="n">
        <v>9</v>
      </c>
      <c r="C1173" s="2117" t="n">
        <v>4</v>
      </c>
      <c r="D1173" s="2118" t="n">
        <v>1</v>
      </c>
      <c r="E1173" s="2118" t="n">
        <v>0</v>
      </c>
      <c r="G1173" s="1764" t="n"/>
      <c r="H1173" s="1741" t="inlineStr">
        <is>
          <t>SUBETAPA</t>
        </is>
      </c>
      <c r="I1173" s="1742" t="inlineStr">
        <is>
          <t>09.004.001</t>
        </is>
      </c>
      <c r="J1173" s="1743" t="inlineStr">
        <is>
          <t>Sistema de Gás</t>
        </is>
      </c>
      <c r="K1173" s="1744" t="n"/>
      <c r="L1173" s="1745" t="n"/>
      <c r="M1173" s="1745" t="n"/>
      <c r="N1173" s="1746" t="n">
        <v>876.041095299229</v>
      </c>
      <c r="O1173" s="1762" t="n"/>
      <c r="P1173" s="1720" t="n"/>
    </row>
    <row r="1174" hidden="1" outlineLevel="3" ht="13.9" customHeight="1">
      <c r="A1174" s="2117" t="n">
        <v>0</v>
      </c>
      <c r="B1174" s="2117" t="n">
        <v>9</v>
      </c>
      <c r="C1174" s="2117" t="n">
        <v>4</v>
      </c>
      <c r="D1174" s="2118" t="n">
        <v>1</v>
      </c>
      <c r="E1174" s="2118" t="n">
        <v>1</v>
      </c>
      <c r="G1174" s="1748" t="inlineStr">
        <is>
          <t>INSTALAÇÕES DE GÁS</t>
        </is>
      </c>
      <c r="H1174" s="1749" t="inlineStr">
        <is>
          <t>SERVIÇO</t>
        </is>
      </c>
      <c r="I1174" s="1750" t="inlineStr">
        <is>
          <t>09.004.001.001</t>
        </is>
      </c>
      <c r="J1174" s="1751" t="inlineStr">
        <is>
          <t>Sistema de Gás</t>
        </is>
      </c>
      <c r="K1174" s="1752" t="inlineStr">
        <is>
          <t>vb</t>
        </is>
      </c>
      <c r="L1174" s="1753" t="n">
        <v>1</v>
      </c>
      <c r="M1174" s="1753" t="n">
        <v>876.0410952992286</v>
      </c>
      <c r="N1174" s="1754" t="n">
        <v>876.041095299229</v>
      </c>
      <c r="O1174" s="1761" t="inlineStr">
        <is>
          <t>Repessado pela Gessele na reunião do dia 05/03/2026 - vamos fechar em R$ 250k - Material  (aço + multicamada) + M.O</t>
        </is>
      </c>
      <c r="P1174" s="1721" t="inlineStr">
        <is>
          <t>Pendente</t>
        </is>
      </c>
    </row>
    <row r="1175" hidden="1" outlineLevel="2" ht="13.9" customHeight="1">
      <c r="A1175" s="2117" t="n">
        <v>0</v>
      </c>
      <c r="B1175" s="2117" t="n">
        <v>9</v>
      </c>
      <c r="C1175" s="2117" t="n">
        <v>4</v>
      </c>
      <c r="D1175" s="2118" t="n">
        <v>2</v>
      </c>
      <c r="E1175" s="2118" t="n">
        <v>0</v>
      </c>
      <c r="G1175" s="1764" t="n"/>
      <c r="H1175" s="1741" t="inlineStr">
        <is>
          <t>SUBETAPA</t>
        </is>
      </c>
      <c r="I1175" s="1742" t="inlineStr">
        <is>
          <t>09.004.002</t>
        </is>
      </c>
      <c r="J1175" s="1743" t="inlineStr">
        <is>
          <t>Mão de obra</t>
        </is>
      </c>
      <c r="K1175" s="1744" t="n"/>
      <c r="L1175" s="1745" t="n"/>
      <c r="M1175" s="1745" t="n"/>
      <c r="N1175" s="1746" t="n">
        <v>3249.43109826379</v>
      </c>
      <c r="O1175" s="1762" t="n"/>
      <c r="P1175" s="1720" t="n"/>
    </row>
    <row r="1176" hidden="1" outlineLevel="3" ht="13.9" customHeight="1">
      <c r="A1176" s="2117" t="n">
        <v>0</v>
      </c>
      <c r="B1176" s="2117" t="n">
        <v>9</v>
      </c>
      <c r="C1176" s="2117" t="n">
        <v>4</v>
      </c>
      <c r="D1176" s="2118" t="n">
        <v>2</v>
      </c>
      <c r="E1176" s="2118" t="n">
        <v>1</v>
      </c>
      <c r="G1176" s="1748" t="inlineStr">
        <is>
          <t>INSTALAÇÕES DE GÁS</t>
        </is>
      </c>
      <c r="H1176" s="1749" t="inlineStr">
        <is>
          <t>SERVIÇO</t>
        </is>
      </c>
      <c r="I1176" s="1750" t="inlineStr">
        <is>
          <t>09.004.002.001</t>
        </is>
      </c>
      <c r="J1176" s="1751" t="inlineStr">
        <is>
          <t>Mão de obra para instalações gás</t>
        </is>
      </c>
      <c r="K1176" s="1752" t="inlineStr">
        <is>
          <t>vb</t>
        </is>
      </c>
      <c r="L1176" s="1753" t="n">
        <v>1</v>
      </c>
      <c r="M1176" s="1753" t="n">
        <v>3249.431098263794</v>
      </c>
      <c r="N1176" s="1754" t="n">
        <v>3249.43109826379</v>
      </c>
      <c r="O1176" s="1761" t="inlineStr">
        <is>
          <t>Repessado pela Gessele na reunião do dia 05/03/2026 - vamos fechar em R$ 250k - Material  (aço + multicamada) + M.O</t>
        </is>
      </c>
      <c r="P1176" s="1721" t="inlineStr">
        <is>
          <t>Pendente</t>
        </is>
      </c>
    </row>
    <row r="1177" hidden="1" outlineLevel="1" ht="13.9" customHeight="1">
      <c r="A1177" s="2117" t="n">
        <v>0</v>
      </c>
      <c r="B1177" s="2117" t="n">
        <v>9</v>
      </c>
      <c r="C1177" s="2117" t="n">
        <v>5</v>
      </c>
      <c r="D1177" s="2118" t="n">
        <v>0</v>
      </c>
      <c r="E1177" s="2118" t="n">
        <v>1</v>
      </c>
      <c r="G1177" s="1733" t="n"/>
      <c r="H1177" s="1734" t="inlineStr">
        <is>
          <t>ETAPA</t>
        </is>
      </c>
      <c r="I1177" s="1735" t="inlineStr">
        <is>
          <t>09.005</t>
        </is>
      </c>
      <c r="J1177" s="1736" t="inlineStr">
        <is>
          <t>INSTALAÇÕES DE GÁS - G3</t>
        </is>
      </c>
      <c r="K1177" s="1737" t="n"/>
      <c r="L1177" s="1738" t="n"/>
      <c r="M1177" s="1738" t="n"/>
      <c r="N1177" s="1739" t="n">
        <v>4178.22933507993</v>
      </c>
      <c r="O1177" s="1792" t="n"/>
      <c r="P1177" s="1725" t="n"/>
    </row>
    <row r="1178" hidden="1" outlineLevel="2" ht="13.9" customHeight="1">
      <c r="A1178" s="2117" t="n">
        <v>0</v>
      </c>
      <c r="B1178" s="2117" t="n">
        <v>9</v>
      </c>
      <c r="C1178" s="2117" t="n">
        <v>5</v>
      </c>
      <c r="D1178" s="2118" t="n">
        <v>1</v>
      </c>
      <c r="E1178" s="2118" t="n">
        <v>0</v>
      </c>
      <c r="G1178" s="1764" t="n"/>
      <c r="H1178" s="1741" t="inlineStr">
        <is>
          <t>SUBETAPA</t>
        </is>
      </c>
      <c r="I1178" s="1742" t="inlineStr">
        <is>
          <t>09.005.001</t>
        </is>
      </c>
      <c r="J1178" s="1743" t="inlineStr">
        <is>
          <t>Sistema de Gás</t>
        </is>
      </c>
      <c r="K1178" s="1744" t="n"/>
      <c r="L1178" s="1745" t="n"/>
      <c r="M1178" s="1745" t="n"/>
      <c r="N1178" s="1746" t="n">
        <v>928.798236816138</v>
      </c>
      <c r="O1178" s="1762" t="n"/>
      <c r="P1178" s="1720" t="n"/>
    </row>
    <row r="1179" hidden="1" outlineLevel="3" ht="13.9" customHeight="1">
      <c r="A1179" s="2117" t="n">
        <v>0</v>
      </c>
      <c r="B1179" s="2117" t="n">
        <v>9</v>
      </c>
      <c r="C1179" s="2117" t="n">
        <v>5</v>
      </c>
      <c r="D1179" s="2118" t="n">
        <v>1</v>
      </c>
      <c r="E1179" s="2118" t="n">
        <v>1</v>
      </c>
      <c r="G1179" s="1748" t="inlineStr">
        <is>
          <t>INSTALAÇÕES DE GÁS</t>
        </is>
      </c>
      <c r="H1179" s="1749" t="inlineStr">
        <is>
          <t>SERVIÇO</t>
        </is>
      </c>
      <c r="I1179" s="1750" t="inlineStr">
        <is>
          <t>09.005.001.001</t>
        </is>
      </c>
      <c r="J1179" s="1751" t="inlineStr">
        <is>
          <t>Sistema de Gás</t>
        </is>
      </c>
      <c r="K1179" s="1752" t="inlineStr">
        <is>
          <t>vb</t>
        </is>
      </c>
      <c r="L1179" s="1753" t="n">
        <v>1</v>
      </c>
      <c r="M1179" s="1753" t="n">
        <v>928.7982368161375</v>
      </c>
      <c r="N1179" s="1754" t="n">
        <v>928.798236816138</v>
      </c>
      <c r="O1179" s="1761" t="inlineStr">
        <is>
          <t>Repessado pela Gessele na reunião do dia 05/03/2026 - vamos fechar em R$ 250k - Material  (aço + multicamada) + M.O</t>
        </is>
      </c>
      <c r="P1179" s="1721" t="inlineStr">
        <is>
          <t>Pendente</t>
        </is>
      </c>
    </row>
    <row r="1180" hidden="1" outlineLevel="2" ht="13.9" customHeight="1">
      <c r="A1180" s="2117" t="n">
        <v>0</v>
      </c>
      <c r="B1180" s="2117" t="n">
        <v>9</v>
      </c>
      <c r="C1180" s="2117" t="n">
        <v>5</v>
      </c>
      <c r="D1180" s="2118" t="n">
        <v>2</v>
      </c>
      <c r="E1180" s="2118" t="n">
        <v>0</v>
      </c>
      <c r="G1180" s="1764" t="n"/>
      <c r="H1180" s="1741" t="inlineStr">
        <is>
          <t>SUBETAPA</t>
        </is>
      </c>
      <c r="I1180" s="1742" t="inlineStr">
        <is>
          <t>09.005.002</t>
        </is>
      </c>
      <c r="J1180" s="1743" t="inlineStr">
        <is>
          <t>Mão de obra</t>
        </is>
      </c>
      <c r="K1180" s="1744" t="n"/>
      <c r="L1180" s="1745" t="n"/>
      <c r="M1180" s="1745" t="n"/>
      <c r="N1180" s="1746" t="n">
        <v>3249.43109826379</v>
      </c>
      <c r="O1180" s="1762" t="n"/>
      <c r="P1180" s="1720" t="n"/>
    </row>
    <row r="1181" hidden="1" outlineLevel="3" ht="13.9" customHeight="1">
      <c r="A1181" s="2117" t="n">
        <v>0</v>
      </c>
      <c r="B1181" s="2117" t="n">
        <v>9</v>
      </c>
      <c r="C1181" s="2117" t="n">
        <v>5</v>
      </c>
      <c r="D1181" s="2118" t="n">
        <v>2</v>
      </c>
      <c r="E1181" s="2118" t="n">
        <v>1</v>
      </c>
      <c r="G1181" s="1748" t="inlineStr">
        <is>
          <t>INSTALAÇÕES DE GÁS</t>
        </is>
      </c>
      <c r="H1181" s="1749" t="inlineStr">
        <is>
          <t>SERVIÇO</t>
        </is>
      </c>
      <c r="I1181" s="1750" t="inlineStr">
        <is>
          <t>09.005.002.001</t>
        </is>
      </c>
      <c r="J1181" s="1751" t="inlineStr">
        <is>
          <t>Mão de obra para instalações gás</t>
        </is>
      </c>
      <c r="K1181" s="1752" t="inlineStr">
        <is>
          <t>vb</t>
        </is>
      </c>
      <c r="L1181" s="1753" t="n">
        <v>1</v>
      </c>
      <c r="M1181" s="1753" t="n">
        <v>3249.431098263794</v>
      </c>
      <c r="N1181" s="1754" t="n">
        <v>3249.43109826379</v>
      </c>
      <c r="O1181" s="1761" t="inlineStr">
        <is>
          <t>Repessado pela Gessele na reunião do dia 05/03/2026 - vamos fechar em R$ 250k - Material  (aço + multicamada) + M.O</t>
        </is>
      </c>
      <c r="P1181" s="1721" t="inlineStr">
        <is>
          <t>Pendente</t>
        </is>
      </c>
    </row>
    <row r="1182" hidden="1" outlineLevel="1" ht="13.9" customHeight="1">
      <c r="A1182" s="2117" t="n">
        <v>0</v>
      </c>
      <c r="B1182" s="2117" t="n">
        <v>9</v>
      </c>
      <c r="C1182" s="2117" t="n">
        <v>6</v>
      </c>
      <c r="D1182" s="2118" t="n">
        <v>0</v>
      </c>
      <c r="E1182" s="2118" t="n">
        <v>1</v>
      </c>
      <c r="G1182" s="1733" t="n"/>
      <c r="H1182" s="1734" t="inlineStr">
        <is>
          <t>ETAPA</t>
        </is>
      </c>
      <c r="I1182" s="1735" t="inlineStr">
        <is>
          <t>09.006</t>
        </is>
      </c>
      <c r="J1182" s="1736" t="inlineStr">
        <is>
          <t>INSTALAÇÕES DE GÁS - Mezanino G3</t>
        </is>
      </c>
      <c r="K1182" s="1737" t="n"/>
      <c r="L1182" s="1738" t="n"/>
      <c r="M1182" s="1738" t="n"/>
      <c r="N1182" s="1739" t="n">
        <v>4298.31909501528</v>
      </c>
      <c r="O1182" s="1792" t="n"/>
      <c r="P1182" s="1725" t="n"/>
    </row>
    <row r="1183" hidden="1" outlineLevel="2" ht="13.9" customHeight="1">
      <c r="A1183" s="2117" t="n">
        <v>0</v>
      </c>
      <c r="B1183" s="2117" t="n">
        <v>9</v>
      </c>
      <c r="C1183" s="2117" t="n">
        <v>6</v>
      </c>
      <c r="D1183" s="2118" t="n">
        <v>1</v>
      </c>
      <c r="E1183" s="2118" t="n">
        <v>0</v>
      </c>
      <c r="G1183" s="1764" t="n"/>
      <c r="H1183" s="1741" t="inlineStr">
        <is>
          <t>SUBETAPA</t>
        </is>
      </c>
      <c r="I1183" s="1742" t="inlineStr">
        <is>
          <t>09.006.001</t>
        </is>
      </c>
      <c r="J1183" s="1743" t="inlineStr">
        <is>
          <t>Sistema de Gás</t>
        </is>
      </c>
      <c r="K1183" s="1744" t="n"/>
      <c r="L1183" s="1745" t="n"/>
      <c r="M1183" s="1745" t="n"/>
      <c r="N1183" s="1746" t="n">
        <v>997.289176238364</v>
      </c>
      <c r="O1183" s="1762" t="n"/>
      <c r="P1183" s="1720" t="n"/>
    </row>
    <row r="1184" hidden="1" outlineLevel="3" ht="13.9" customHeight="1">
      <c r="A1184" s="2117" t="n">
        <v>0</v>
      </c>
      <c r="B1184" s="2117" t="n">
        <v>9</v>
      </c>
      <c r="C1184" s="2117" t="n">
        <v>6</v>
      </c>
      <c r="D1184" s="2118" t="n">
        <v>1</v>
      </c>
      <c r="E1184" s="2118" t="n">
        <v>1</v>
      </c>
      <c r="G1184" s="1748" t="inlineStr">
        <is>
          <t>INSTALAÇÕES DE GÁS</t>
        </is>
      </c>
      <c r="H1184" s="1749" t="inlineStr">
        <is>
          <t>SERVIÇO</t>
        </is>
      </c>
      <c r="I1184" s="1750" t="inlineStr">
        <is>
          <t>09.006.001.001</t>
        </is>
      </c>
      <c r="J1184" s="1751" t="inlineStr">
        <is>
          <t>Sistema de Gás</t>
        </is>
      </c>
      <c r="K1184" s="1752" t="inlineStr">
        <is>
          <t>vb</t>
        </is>
      </c>
      <c r="L1184" s="1753" t="n">
        <v>1</v>
      </c>
      <c r="M1184" s="1753" t="n">
        <v>997.2891762383639</v>
      </c>
      <c r="N1184" s="1754" t="n">
        <v>997.289176238364</v>
      </c>
      <c r="O1184" s="1761" t="inlineStr">
        <is>
          <t>Repessado pela Gessele na reunião do dia 05/03/2026 - vamos fechar em R$ 250k - Material  (aço + multicamada) + M.O</t>
        </is>
      </c>
      <c r="P1184" s="1721" t="inlineStr">
        <is>
          <t>Pendente</t>
        </is>
      </c>
    </row>
    <row r="1185" hidden="1" outlineLevel="2" ht="13.9" customHeight="1">
      <c r="A1185" s="2117" t="n">
        <v>0</v>
      </c>
      <c r="B1185" s="2117" t="n">
        <v>9</v>
      </c>
      <c r="C1185" s="2117" t="n">
        <v>6</v>
      </c>
      <c r="D1185" s="2118" t="n">
        <v>2</v>
      </c>
      <c r="E1185" s="2118" t="n">
        <v>0</v>
      </c>
      <c r="G1185" s="1764" t="n"/>
      <c r="H1185" s="1741" t="inlineStr">
        <is>
          <t>SUBETAPA</t>
        </is>
      </c>
      <c r="I1185" s="1742" t="inlineStr">
        <is>
          <t>09.006.002</t>
        </is>
      </c>
      <c r="J1185" s="1743" t="inlineStr">
        <is>
          <t>Mão de obra</t>
        </is>
      </c>
      <c r="K1185" s="1744" t="n"/>
      <c r="L1185" s="1745" t="n"/>
      <c r="M1185" s="1745" t="n"/>
      <c r="N1185" s="1746" t="n">
        <v>3301.02991877692</v>
      </c>
      <c r="O1185" s="1762" t="n"/>
      <c r="P1185" s="1720" t="n"/>
    </row>
    <row r="1186" hidden="1" outlineLevel="3" ht="13.9" customHeight="1">
      <c r="A1186" s="2117" t="n">
        <v>0</v>
      </c>
      <c r="B1186" s="2117" t="n">
        <v>9</v>
      </c>
      <c r="C1186" s="2117" t="n">
        <v>6</v>
      </c>
      <c r="D1186" s="2118" t="n">
        <v>2</v>
      </c>
      <c r="E1186" s="2118" t="n">
        <v>1</v>
      </c>
      <c r="G1186" s="1748" t="inlineStr">
        <is>
          <t>INSTALAÇÕES DE GÁS</t>
        </is>
      </c>
      <c r="H1186" s="1749" t="inlineStr">
        <is>
          <t>SERVIÇO</t>
        </is>
      </c>
      <c r="I1186" s="1750" t="inlineStr">
        <is>
          <t>09.006.002.001</t>
        </is>
      </c>
      <c r="J1186" s="1751" t="inlineStr">
        <is>
          <t>Mão de obra para instalações gás</t>
        </is>
      </c>
      <c r="K1186" s="1752" t="inlineStr">
        <is>
          <t>vb</t>
        </is>
      </c>
      <c r="L1186" s="1753" t="n">
        <v>1</v>
      </c>
      <c r="M1186" s="1753" t="n">
        <v>3301.029918776918</v>
      </c>
      <c r="N1186" s="1754" t="n">
        <v>3301.02991877692</v>
      </c>
      <c r="O1186" s="1761" t="inlineStr">
        <is>
          <t>Repessado pela Gessele na reunião do dia 05/03/2026 - vamos fechar em R$ 250k - Material  (aço + multicamada) + M.O</t>
        </is>
      </c>
      <c r="P1186" s="1721" t="inlineStr">
        <is>
          <t>Pendente</t>
        </is>
      </c>
    </row>
    <row r="1187" hidden="1" outlineLevel="1" ht="13.9" customHeight="1">
      <c r="A1187" s="2117" t="n">
        <v>0</v>
      </c>
      <c r="B1187" s="2117" t="n">
        <v>9</v>
      </c>
      <c r="C1187" s="2117" t="n">
        <v>7</v>
      </c>
      <c r="D1187" s="2118" t="n">
        <v>0</v>
      </c>
      <c r="E1187" s="2118" t="n">
        <v>1</v>
      </c>
      <c r="G1187" s="1733" t="n"/>
      <c r="H1187" s="1734" t="inlineStr">
        <is>
          <t>ETAPA</t>
        </is>
      </c>
      <c r="I1187" s="1735" t="inlineStr">
        <is>
          <t>09.007</t>
        </is>
      </c>
      <c r="J1187" s="1736" t="inlineStr">
        <is>
          <t>INSTALAÇÕES DE GÁS - Lazer | Garagem</t>
        </is>
      </c>
      <c r="K1187" s="1737" t="n"/>
      <c r="L1187" s="1738" t="n"/>
      <c r="M1187" s="1738" t="n"/>
      <c r="N1187" s="1739" t="n">
        <v>6612.36043357779</v>
      </c>
      <c r="O1187" s="1792" t="n"/>
      <c r="P1187" s="1725" t="n"/>
    </row>
    <row r="1188" hidden="1" outlineLevel="2" ht="13.9" customHeight="1">
      <c r="A1188" s="2117" t="n">
        <v>0</v>
      </c>
      <c r="B1188" s="2117" t="n">
        <v>9</v>
      </c>
      <c r="C1188" s="2117" t="n">
        <v>7</v>
      </c>
      <c r="D1188" s="2118" t="n">
        <v>1</v>
      </c>
      <c r="E1188" s="2118" t="n">
        <v>0</v>
      </c>
      <c r="G1188" s="1764" t="n"/>
      <c r="H1188" s="1741" t="inlineStr">
        <is>
          <t>SUBETAPA</t>
        </is>
      </c>
      <c r="I1188" s="1742" t="inlineStr">
        <is>
          <t>09.007.001</t>
        </is>
      </c>
      <c r="J1188" s="1743" t="inlineStr">
        <is>
          <t>Medidores</t>
        </is>
      </c>
      <c r="K1188" s="1744" t="n"/>
      <c r="L1188" s="1745" t="n"/>
      <c r="M1188" s="1745" t="n"/>
      <c r="N1188" s="1746" t="n">
        <v>202.662498399708</v>
      </c>
      <c r="O1188" s="1762" t="n"/>
      <c r="P1188" s="1720" t="n"/>
    </row>
    <row r="1189" hidden="1" outlineLevel="3" ht="13.9" customHeight="1">
      <c r="A1189" s="2117" t="n">
        <v>0</v>
      </c>
      <c r="B1189" s="2117" t="n">
        <v>9</v>
      </c>
      <c r="C1189" s="2117" t="n">
        <v>7</v>
      </c>
      <c r="D1189" s="2118" t="n">
        <v>1</v>
      </c>
      <c r="E1189" s="2118" t="n">
        <v>1</v>
      </c>
      <c r="G1189" s="1748" t="inlineStr">
        <is>
          <t>INSTALAÇÕES DE GÁS</t>
        </is>
      </c>
      <c r="H1189" s="1749" t="inlineStr">
        <is>
          <t>SERVIÇO</t>
        </is>
      </c>
      <c r="I1189" s="1750" t="inlineStr">
        <is>
          <t>09.007.001.001</t>
        </is>
      </c>
      <c r="J1189" s="1751" t="inlineStr">
        <is>
          <t>Medidores</t>
        </is>
      </c>
      <c r="K1189" s="1752" t="inlineStr">
        <is>
          <t>vb</t>
        </is>
      </c>
      <c r="L1189" s="1753" t="n">
        <v>1</v>
      </c>
      <c r="M1189" s="1753" t="n">
        <v>202.6624983997076</v>
      </c>
      <c r="N1189" s="1754" t="n">
        <v>202.662498399708</v>
      </c>
      <c r="O1189" s="1761" t="inlineStr">
        <is>
          <t>Repessado pela Gessele na reunião do dia 05/03/2026 - vamos fechar em R$ 250k - Material  (aço + multicamada) + M.O</t>
        </is>
      </c>
      <c r="P1189" s="1721" t="inlineStr">
        <is>
          <t>Pendente</t>
        </is>
      </c>
    </row>
    <row r="1190" hidden="1" outlineLevel="2" ht="13.9" customHeight="1">
      <c r="A1190" s="2117" t="n">
        <v>0</v>
      </c>
      <c r="B1190" s="2117" t="n">
        <v>9</v>
      </c>
      <c r="C1190" s="2117" t="n">
        <v>7</v>
      </c>
      <c r="D1190" s="2118" t="n">
        <v>2</v>
      </c>
      <c r="E1190" s="2118" t="n">
        <v>0</v>
      </c>
      <c r="G1190" s="1764" t="n"/>
      <c r="H1190" s="1741" t="inlineStr">
        <is>
          <t>SUBETAPA</t>
        </is>
      </c>
      <c r="I1190" s="1742" t="inlineStr">
        <is>
          <t>09.007.002</t>
        </is>
      </c>
      <c r="J1190" s="1743" t="inlineStr">
        <is>
          <t>Sistema de Gás</t>
        </is>
      </c>
      <c r="K1190" s="1744" t="n"/>
      <c r="L1190" s="1745" t="n"/>
      <c r="M1190" s="1745" t="n"/>
      <c r="N1190" s="1746" t="n">
        <v>3108.66801640117</v>
      </c>
      <c r="O1190" s="1762" t="n"/>
      <c r="P1190" s="1720" t="n"/>
    </row>
    <row r="1191" hidden="1" outlineLevel="3" ht="13.9" customHeight="1">
      <c r="A1191" s="2117" t="n">
        <v>0</v>
      </c>
      <c r="B1191" s="2117" t="n">
        <v>9</v>
      </c>
      <c r="C1191" s="2117" t="n">
        <v>7</v>
      </c>
      <c r="D1191" s="2118" t="n">
        <v>2</v>
      </c>
      <c r="E1191" s="2118" t="n">
        <v>1</v>
      </c>
      <c r="G1191" s="1748" t="inlineStr">
        <is>
          <t>INSTALAÇÕES DE GÁS</t>
        </is>
      </c>
      <c r="H1191" s="1749" t="inlineStr">
        <is>
          <t>SERVIÇO</t>
        </is>
      </c>
      <c r="I1191" s="1750" t="inlineStr">
        <is>
          <t>09.007.002.001</t>
        </is>
      </c>
      <c r="J1191" s="1751" t="inlineStr">
        <is>
          <t>Sistema de Gás</t>
        </is>
      </c>
      <c r="K1191" s="1752" t="inlineStr">
        <is>
          <t>vb</t>
        </is>
      </c>
      <c r="L1191" s="1753" t="n">
        <v>1</v>
      </c>
      <c r="M1191" s="1753" t="n">
        <v>3108.668016401169</v>
      </c>
      <c r="N1191" s="1754" t="n">
        <v>3108.66801640117</v>
      </c>
      <c r="O1191" s="1761" t="inlineStr">
        <is>
          <t>Repessado pela Gessele na reunião do dia 05/03/2026 - vamos fechar em R$ 250k - Material  (aço + multicamada) + M.O</t>
        </is>
      </c>
      <c r="P1191" s="1721" t="inlineStr">
        <is>
          <t>Pendente</t>
        </is>
      </c>
    </row>
    <row r="1192" hidden="1" outlineLevel="2" ht="13.9" customHeight="1">
      <c r="A1192" s="2117" t="n">
        <v>0</v>
      </c>
      <c r="B1192" s="2117" t="n">
        <v>9</v>
      </c>
      <c r="C1192" s="2117" t="n">
        <v>7</v>
      </c>
      <c r="D1192" s="2118" t="n">
        <v>3</v>
      </c>
      <c r="E1192" s="2118" t="n">
        <v>0</v>
      </c>
      <c r="G1192" s="1764" t="n"/>
      <c r="H1192" s="1741" t="inlineStr">
        <is>
          <t>SUBETAPA</t>
        </is>
      </c>
      <c r="I1192" s="1742" t="inlineStr">
        <is>
          <t>09.007.003</t>
        </is>
      </c>
      <c r="J1192" s="1743" t="inlineStr">
        <is>
          <t>Mão de obra</t>
        </is>
      </c>
      <c r="K1192" s="1744" t="n"/>
      <c r="L1192" s="1745" t="n"/>
      <c r="M1192" s="1745" t="n"/>
      <c r="N1192" s="1746" t="n">
        <v>3301.02991877692</v>
      </c>
      <c r="O1192" s="1762" t="n"/>
      <c r="P1192" s="1720" t="n"/>
    </row>
    <row r="1193" hidden="1" outlineLevel="3" ht="13.9" customHeight="1">
      <c r="A1193" s="2117" t="n">
        <v>0</v>
      </c>
      <c r="B1193" s="2117" t="n">
        <v>9</v>
      </c>
      <c r="C1193" s="2117" t="n">
        <v>7</v>
      </c>
      <c r="D1193" s="2118" t="n">
        <v>3</v>
      </c>
      <c r="E1193" s="2118" t="n">
        <v>1</v>
      </c>
      <c r="G1193" s="1748" t="inlineStr">
        <is>
          <t>INSTALAÇÕES DE GÁS</t>
        </is>
      </c>
      <c r="H1193" s="1749" t="inlineStr">
        <is>
          <t>SERVIÇO</t>
        </is>
      </c>
      <c r="I1193" s="1750" t="inlineStr">
        <is>
          <t>09.007.003.001</t>
        </is>
      </c>
      <c r="J1193" s="1751" t="inlineStr">
        <is>
          <t>Mão de obra para instalações gás</t>
        </is>
      </c>
      <c r="K1193" s="1752" t="inlineStr">
        <is>
          <t>vb</t>
        </is>
      </c>
      <c r="L1193" s="1753" t="n">
        <v>1</v>
      </c>
      <c r="M1193" s="1753" t="n">
        <v>3301.029918776918</v>
      </c>
      <c r="N1193" s="1754" t="n">
        <v>3301.02991877692</v>
      </c>
      <c r="O1193" s="1761" t="inlineStr">
        <is>
          <t>Repessado pela Gessele na reunião do dia 05/03/2026 - vamos fechar em R$ 250k - Material  (aço + multicamada) + M.O</t>
        </is>
      </c>
      <c r="P1193" s="1721" t="inlineStr">
        <is>
          <t>Pendente</t>
        </is>
      </c>
    </row>
    <row r="1194" hidden="1" outlineLevel="1" ht="13.9" customHeight="1">
      <c r="A1194" s="2117" t="n">
        <v>0</v>
      </c>
      <c r="B1194" s="2117" t="n">
        <v>9</v>
      </c>
      <c r="C1194" s="2117" t="n">
        <v>8</v>
      </c>
      <c r="D1194" s="2118" t="n">
        <v>0</v>
      </c>
      <c r="E1194" s="2118" t="n">
        <v>1</v>
      </c>
      <c r="G1194" s="1733" t="n"/>
      <c r="H1194" s="1734" t="inlineStr">
        <is>
          <t>ETAPA</t>
        </is>
      </c>
      <c r="I1194" s="1735" t="inlineStr">
        <is>
          <t>09.008</t>
        </is>
      </c>
      <c r="J1194" s="1736" t="inlineStr">
        <is>
          <t>INSTALAÇÕES DE GÁS - Lazer</t>
        </is>
      </c>
      <c r="K1194" s="1737" t="n"/>
      <c r="L1194" s="1738" t="n"/>
      <c r="M1194" s="1738" t="n"/>
      <c r="N1194" s="1739" t="n">
        <v>5977.56068984039</v>
      </c>
      <c r="O1194" s="1792" t="n"/>
      <c r="P1194" s="1725" t="n"/>
    </row>
    <row r="1195" hidden="1" outlineLevel="2" ht="13.9" customHeight="1">
      <c r="A1195" s="2117" t="n">
        <v>0</v>
      </c>
      <c r="B1195" s="2117" t="n">
        <v>9</v>
      </c>
      <c r="C1195" s="2117" t="n">
        <v>8</v>
      </c>
      <c r="D1195" s="2118" t="n">
        <v>1</v>
      </c>
      <c r="E1195" s="2118" t="n">
        <v>0</v>
      </c>
      <c r="G1195" s="1764" t="n"/>
      <c r="H1195" s="1741" t="inlineStr">
        <is>
          <t>SUBETAPA</t>
        </is>
      </c>
      <c r="I1195" s="1742" t="inlineStr">
        <is>
          <t>09.008.001</t>
        </is>
      </c>
      <c r="J1195" s="1743" t="inlineStr">
        <is>
          <t>Medidores</t>
        </is>
      </c>
      <c r="K1195" s="1744" t="n"/>
      <c r="L1195" s="1745" t="n"/>
      <c r="M1195" s="1745" t="n"/>
      <c r="N1195" s="1746" t="n">
        <v>333.943870515774</v>
      </c>
      <c r="O1195" s="1762" t="n"/>
      <c r="P1195" s="1720" t="n"/>
    </row>
    <row r="1196" hidden="1" outlineLevel="3" ht="13.9" customHeight="1">
      <c r="A1196" s="2117" t="n">
        <v>0</v>
      </c>
      <c r="B1196" s="2117" t="n">
        <v>9</v>
      </c>
      <c r="C1196" s="2117" t="n">
        <v>8</v>
      </c>
      <c r="D1196" s="2118" t="n">
        <v>1</v>
      </c>
      <c r="E1196" s="2118" t="n">
        <v>1</v>
      </c>
      <c r="G1196" s="1748" t="inlineStr">
        <is>
          <t>INSTALAÇÕES DE GÁS</t>
        </is>
      </c>
      <c r="H1196" s="1749" t="inlineStr">
        <is>
          <t>SERVIÇO</t>
        </is>
      </c>
      <c r="I1196" s="1750" t="inlineStr">
        <is>
          <t>09.008.001.001</t>
        </is>
      </c>
      <c r="J1196" s="1751" t="inlineStr">
        <is>
          <t>Medidores</t>
        </is>
      </c>
      <c r="K1196" s="1752" t="inlineStr">
        <is>
          <t>vb</t>
        </is>
      </c>
      <c r="L1196" s="1753" t="n">
        <v>1</v>
      </c>
      <c r="M1196" s="1753" t="n">
        <v>333.9438705157743</v>
      </c>
      <c r="N1196" s="1754" t="n">
        <v>333.943870515774</v>
      </c>
      <c r="O1196" s="1761" t="inlineStr">
        <is>
          <t>Repessado pela Gessele na reunião do dia 05/03/2026 - vamos fechar em R$ 250k - Material  (aço + multicamada) + M.O</t>
        </is>
      </c>
      <c r="P1196" s="1721" t="inlineStr">
        <is>
          <t>Pendente</t>
        </is>
      </c>
    </row>
    <row r="1197" hidden="1" outlineLevel="2" ht="13.9" customHeight="1">
      <c r="A1197" s="2117" t="n">
        <v>0</v>
      </c>
      <c r="B1197" s="2117" t="n">
        <v>9</v>
      </c>
      <c r="C1197" s="2117" t="n">
        <v>8</v>
      </c>
      <c r="D1197" s="2118" t="n">
        <v>2</v>
      </c>
      <c r="E1197" s="2118" t="n">
        <v>0</v>
      </c>
      <c r="G1197" s="1764" t="n"/>
      <c r="H1197" s="1741" t="inlineStr">
        <is>
          <t>SUBETAPA</t>
        </is>
      </c>
      <c r="I1197" s="1742" t="inlineStr">
        <is>
          <t>09.008.002</t>
        </is>
      </c>
      <c r="J1197" s="1743" t="inlineStr">
        <is>
          <t>Sistema de Gás</t>
        </is>
      </c>
      <c r="K1197" s="1744" t="n"/>
      <c r="L1197" s="1745" t="n"/>
      <c r="M1197" s="1745" t="n"/>
      <c r="N1197" s="1746" t="n">
        <v>3796.89688257998</v>
      </c>
      <c r="O1197" s="1762" t="n"/>
      <c r="P1197" s="1720" t="n"/>
    </row>
    <row r="1198" hidden="1" outlineLevel="3" ht="13.9" customHeight="1">
      <c r="A1198" s="2117" t="n">
        <v>0</v>
      </c>
      <c r="B1198" s="2117" t="n">
        <v>9</v>
      </c>
      <c r="C1198" s="2117" t="n">
        <v>8</v>
      </c>
      <c r="D1198" s="2118" t="n">
        <v>2</v>
      </c>
      <c r="E1198" s="2118" t="n">
        <v>1</v>
      </c>
      <c r="G1198" s="1748" t="inlineStr">
        <is>
          <t>INSTALAÇÕES DE GÁS</t>
        </is>
      </c>
      <c r="H1198" s="1749" t="inlineStr">
        <is>
          <t>SERVIÇO</t>
        </is>
      </c>
      <c r="I1198" s="1750" t="inlineStr">
        <is>
          <t>09.008.002.001</t>
        </is>
      </c>
      <c r="J1198" s="1751" t="inlineStr">
        <is>
          <t>Sistema de Gás</t>
        </is>
      </c>
      <c r="K1198" s="1752" t="inlineStr">
        <is>
          <t>vb</t>
        </is>
      </c>
      <c r="L1198" s="1753" t="n">
        <v>1</v>
      </c>
      <c r="M1198" s="1753" t="n">
        <v>3796.896882579978</v>
      </c>
      <c r="N1198" s="1754" t="n">
        <v>3796.89688257998</v>
      </c>
      <c r="O1198" s="1761" t="inlineStr">
        <is>
          <t>Repessado pela Gessele na reunião do dia 05/03/2026 - vamos fechar em R$ 250k - Material  (aço + multicamada) + M.O</t>
        </is>
      </c>
      <c r="P1198" s="1721" t="inlineStr">
        <is>
          <t>Pendente</t>
        </is>
      </c>
    </row>
    <row r="1199" hidden="1" outlineLevel="2" ht="13.9" customHeight="1">
      <c r="A1199" s="2117" t="n">
        <v>0</v>
      </c>
      <c r="B1199" s="2117" t="n">
        <v>9</v>
      </c>
      <c r="C1199" s="2117" t="n">
        <v>8</v>
      </c>
      <c r="D1199" s="2118" t="n">
        <v>3</v>
      </c>
      <c r="E1199" s="2118" t="n">
        <v>0</v>
      </c>
      <c r="G1199" s="1764" t="n"/>
      <c r="H1199" s="1741" t="inlineStr">
        <is>
          <t>SUBETAPA</t>
        </is>
      </c>
      <c r="I1199" s="1742" t="inlineStr">
        <is>
          <t>09.008.003</t>
        </is>
      </c>
      <c r="J1199" s="1743" t="inlineStr">
        <is>
          <t>Mão de obra</t>
        </is>
      </c>
      <c r="K1199" s="1744" t="n"/>
      <c r="L1199" s="1745" t="n"/>
      <c r="M1199" s="1745" t="n"/>
      <c r="N1199" s="1746" t="n">
        <v>1846.71993674464</v>
      </c>
      <c r="O1199" s="1762" t="n"/>
      <c r="P1199" s="1720" t="n"/>
    </row>
    <row r="1200" hidden="1" outlineLevel="3" ht="13.9" customHeight="1">
      <c r="A1200" s="2117" t="n">
        <v>0</v>
      </c>
      <c r="B1200" s="2117" t="n">
        <v>9</v>
      </c>
      <c r="C1200" s="2117" t="n">
        <v>8</v>
      </c>
      <c r="D1200" s="2118" t="n">
        <v>3</v>
      </c>
      <c r="E1200" s="2118" t="n">
        <v>1</v>
      </c>
      <c r="G1200" s="1748" t="inlineStr">
        <is>
          <t>INSTALAÇÕES DE GÁS</t>
        </is>
      </c>
      <c r="H1200" s="1749" t="inlineStr">
        <is>
          <t>SERVIÇO</t>
        </is>
      </c>
      <c r="I1200" s="1750" t="inlineStr">
        <is>
          <t>09.008.003.001</t>
        </is>
      </c>
      <c r="J1200" s="1751" t="inlineStr">
        <is>
          <t>Mão de obra para instalações gás</t>
        </is>
      </c>
      <c r="K1200" s="1752" t="inlineStr">
        <is>
          <t>vb</t>
        </is>
      </c>
      <c r="L1200" s="1753" t="n">
        <v>1</v>
      </c>
      <c r="M1200" s="1753" t="n">
        <v>1846.719936744638</v>
      </c>
      <c r="N1200" s="1754" t="n">
        <v>1846.71993674464</v>
      </c>
      <c r="O1200" s="1761" t="inlineStr">
        <is>
          <t>Repessado pela Gessele na reunião do dia 05/03/2026 - vamos fechar em R$ 250k - Material  (aço + multicamada) + M.O</t>
        </is>
      </c>
      <c r="P1200" s="1721" t="inlineStr">
        <is>
          <t>Pendente</t>
        </is>
      </c>
    </row>
    <row r="1201" hidden="1" outlineLevel="1" ht="13.9" customHeight="1">
      <c r="A1201" s="2117" t="n">
        <v>0</v>
      </c>
      <c r="B1201" s="2117" t="n">
        <v>9</v>
      </c>
      <c r="C1201" s="2117" t="n">
        <v>9</v>
      </c>
      <c r="D1201" s="2118" t="n">
        <v>0</v>
      </c>
      <c r="E1201" s="2118" t="n">
        <v>1</v>
      </c>
      <c r="G1201" s="1733" t="n"/>
      <c r="H1201" s="1734" t="inlineStr">
        <is>
          <t>ETAPA</t>
        </is>
      </c>
      <c r="I1201" s="1735" t="inlineStr">
        <is>
          <t>09.009</t>
        </is>
      </c>
      <c r="J1201" s="1736" t="inlineStr">
        <is>
          <t>INSTALAÇÕES DE GÁS - Tipo Diferenciado</t>
        </is>
      </c>
      <c r="K1201" s="1737" t="n"/>
      <c r="L1201" s="1738" t="n"/>
      <c r="M1201" s="1738" t="n"/>
      <c r="N1201" s="1739" t="n">
        <v>5891.49232277987</v>
      </c>
      <c r="O1201" s="1792" t="n"/>
      <c r="P1201" s="1725" t="n"/>
    </row>
    <row r="1202" hidden="1" outlineLevel="2" ht="13.9" customHeight="1">
      <c r="A1202" s="2117" t="n">
        <v>0</v>
      </c>
      <c r="B1202" s="2117" t="n">
        <v>9</v>
      </c>
      <c r="C1202" s="2117" t="n">
        <v>9</v>
      </c>
      <c r="D1202" s="2118" t="n">
        <v>1</v>
      </c>
      <c r="E1202" s="2118" t="n">
        <v>0</v>
      </c>
      <c r="G1202" s="1764" t="n"/>
      <c r="H1202" s="1741" t="inlineStr">
        <is>
          <t>SUBETAPA</t>
        </is>
      </c>
      <c r="I1202" s="1742" t="inlineStr">
        <is>
          <t>09.009.001</t>
        </is>
      </c>
      <c r="J1202" s="1743" t="inlineStr">
        <is>
          <t>Medidores</t>
        </is>
      </c>
      <c r="K1202" s="1744" t="n"/>
      <c r="L1202" s="1745" t="n"/>
      <c r="M1202" s="1745" t="n"/>
      <c r="N1202" s="1746" t="n">
        <v>703.827888531004</v>
      </c>
      <c r="O1202" s="1762" t="n"/>
      <c r="P1202" s="1720" t="n"/>
    </row>
    <row r="1203" hidden="1" outlineLevel="3" ht="13.9" customHeight="1">
      <c r="A1203" s="2117" t="n">
        <v>0</v>
      </c>
      <c r="B1203" s="2117" t="n">
        <v>9</v>
      </c>
      <c r="C1203" s="2117" t="n">
        <v>9</v>
      </c>
      <c r="D1203" s="2118" t="n">
        <v>1</v>
      </c>
      <c r="E1203" s="2118" t="n">
        <v>1</v>
      </c>
      <c r="G1203" s="1748" t="inlineStr">
        <is>
          <t>INSTALAÇÕES DE GÁS</t>
        </is>
      </c>
      <c r="H1203" s="1749" t="inlineStr">
        <is>
          <t>SERVIÇO</t>
        </is>
      </c>
      <c r="I1203" s="1750" t="inlineStr">
        <is>
          <t>09.009.001.001</t>
        </is>
      </c>
      <c r="J1203" s="1751" t="inlineStr">
        <is>
          <t>Medidores</t>
        </is>
      </c>
      <c r="K1203" s="1752" t="inlineStr">
        <is>
          <t>vb</t>
        </is>
      </c>
      <c r="L1203" s="1753" t="n">
        <v>1</v>
      </c>
      <c r="M1203" s="1753" t="n">
        <v>703.8278885310041</v>
      </c>
      <c r="N1203" s="1754" t="n">
        <v>703.827888531004</v>
      </c>
      <c r="O1203" s="1761" t="inlineStr">
        <is>
          <t>Repessado pela Gessele na reunião do dia 05/03/2026 - vamos fechar em R$ 250k - Material  (aço + multicamada) + M.O</t>
        </is>
      </c>
      <c r="P1203" s="1721" t="inlineStr">
        <is>
          <t>Pendente</t>
        </is>
      </c>
    </row>
    <row r="1204" hidden="1" outlineLevel="2" ht="13.9" customHeight="1">
      <c r="A1204" s="2117" t="n">
        <v>0</v>
      </c>
      <c r="B1204" s="2117" t="n">
        <v>9</v>
      </c>
      <c r="C1204" s="2117" t="n">
        <v>9</v>
      </c>
      <c r="D1204" s="2118" t="n">
        <v>2</v>
      </c>
      <c r="E1204" s="2118" t="n">
        <v>0</v>
      </c>
      <c r="G1204" s="1764" t="n"/>
      <c r="H1204" s="1741" t="inlineStr">
        <is>
          <t>SUBETAPA</t>
        </is>
      </c>
      <c r="I1204" s="1742" t="inlineStr">
        <is>
          <t>09.009.002</t>
        </is>
      </c>
      <c r="J1204" s="1743" t="inlineStr">
        <is>
          <t>Sistema de Gás</t>
        </is>
      </c>
      <c r="K1204" s="1744" t="n"/>
      <c r="L1204" s="1745" t="n"/>
      <c r="M1204" s="1745" t="n"/>
      <c r="N1204" s="1746" t="n">
        <v>3909.60418680084</v>
      </c>
      <c r="O1204" s="1762" t="n"/>
      <c r="P1204" s="1720" t="n"/>
    </row>
    <row r="1205" hidden="1" outlineLevel="3" ht="13.9" customHeight="1">
      <c r="A1205" s="2117" t="n">
        <v>0</v>
      </c>
      <c r="B1205" s="2117" t="n">
        <v>9</v>
      </c>
      <c r="C1205" s="2117" t="n">
        <v>9</v>
      </c>
      <c r="D1205" s="2118" t="n">
        <v>2</v>
      </c>
      <c r="E1205" s="2118" t="n">
        <v>1</v>
      </c>
      <c r="G1205" s="1748" t="inlineStr">
        <is>
          <t>INSTALAÇÕES DE GÁS</t>
        </is>
      </c>
      <c r="H1205" s="1749" t="inlineStr">
        <is>
          <t>SERVIÇO</t>
        </is>
      </c>
      <c r="I1205" s="1750" t="inlineStr">
        <is>
          <t>09.009.002.001</t>
        </is>
      </c>
      <c r="J1205" s="1751" t="inlineStr">
        <is>
          <t>Sistema de Gás</t>
        </is>
      </c>
      <c r="K1205" s="1752" t="inlineStr">
        <is>
          <t>vb</t>
        </is>
      </c>
      <c r="L1205" s="1753" t="n">
        <v>1</v>
      </c>
      <c r="M1205" s="1753" t="n">
        <v>3909.60418680084</v>
      </c>
      <c r="N1205" s="1754" t="n">
        <v>3909.60418680084</v>
      </c>
      <c r="O1205" s="1761" t="inlineStr">
        <is>
          <t>Repessado pela Gessele na reunião do dia 05/03/2026 - vamos fechar em R$ 250k - Material  (aço + multicamada) + M.O</t>
        </is>
      </c>
      <c r="P1205" s="1721" t="inlineStr">
        <is>
          <t>Pendente</t>
        </is>
      </c>
    </row>
    <row r="1206" hidden="1" outlineLevel="2" ht="13.9" customHeight="1">
      <c r="A1206" s="2117" t="n">
        <v>0</v>
      </c>
      <c r="B1206" s="2117" t="n">
        <v>9</v>
      </c>
      <c r="C1206" s="2117" t="n">
        <v>9</v>
      </c>
      <c r="D1206" s="2118" t="n">
        <v>3</v>
      </c>
      <c r="E1206" s="2118" t="n">
        <v>0</v>
      </c>
      <c r="G1206" s="1764" t="n"/>
      <c r="H1206" s="1741" t="inlineStr">
        <is>
          <t>SUBETAPA</t>
        </is>
      </c>
      <c r="I1206" s="1742" t="inlineStr">
        <is>
          <t>09.009.003</t>
        </is>
      </c>
      <c r="J1206" s="1743" t="inlineStr">
        <is>
          <t>Mão de obra</t>
        </is>
      </c>
      <c r="K1206" s="1744" t="n"/>
      <c r="L1206" s="1745" t="n"/>
      <c r="M1206" s="1745" t="n"/>
      <c r="N1206" s="1746" t="n">
        <v>1278.06024744802</v>
      </c>
      <c r="O1206" s="1762" t="n"/>
      <c r="P1206" s="1720" t="n"/>
    </row>
    <row r="1207" hidden="1" outlineLevel="3" ht="13.9" customHeight="1">
      <c r="A1207" s="2117" t="n">
        <v>0</v>
      </c>
      <c r="B1207" s="2117" t="n">
        <v>9</v>
      </c>
      <c r="C1207" s="2117" t="n">
        <v>9</v>
      </c>
      <c r="D1207" s="2118" t="n">
        <v>3</v>
      </c>
      <c r="E1207" s="2118" t="n">
        <v>1</v>
      </c>
      <c r="G1207" s="1748" t="inlineStr">
        <is>
          <t>INSTALAÇÕES DE GÁS</t>
        </is>
      </c>
      <c r="H1207" s="1749" t="inlineStr">
        <is>
          <t>SERVIÇO</t>
        </is>
      </c>
      <c r="I1207" s="1750" t="inlineStr">
        <is>
          <t>09.009.003.001</t>
        </is>
      </c>
      <c r="J1207" s="1751" t="inlineStr">
        <is>
          <t>Mão de obra para instalações gás</t>
        </is>
      </c>
      <c r="K1207" s="1752" t="inlineStr">
        <is>
          <t>vb</t>
        </is>
      </c>
      <c r="L1207" s="1753" t="n">
        <v>1</v>
      </c>
      <c r="M1207" s="1753" t="n">
        <v>1278.060247448023</v>
      </c>
      <c r="N1207" s="1754" t="n">
        <v>1278.06024744802</v>
      </c>
      <c r="O1207" s="1761" t="inlineStr">
        <is>
          <t>Repessado pela Gessele na reunião do dia 05/03/2026 - vamos fechar em R$ 250k - Material  (aço + multicamada) + M.O</t>
        </is>
      </c>
      <c r="P1207" s="1721" t="inlineStr">
        <is>
          <t>Pendente</t>
        </is>
      </c>
    </row>
    <row r="1208" hidden="1" outlineLevel="1" ht="13.9" customHeight="1">
      <c r="A1208" s="2117" t="n">
        <v>0</v>
      </c>
      <c r="B1208" s="2117" t="n">
        <v>9</v>
      </c>
      <c r="C1208" s="2117" t="n">
        <v>10</v>
      </c>
      <c r="D1208" s="2118" t="n">
        <v>0</v>
      </c>
      <c r="E1208" s="2118" t="n">
        <v>1</v>
      </c>
      <c r="G1208" s="1733" t="n"/>
      <c r="H1208" s="1734" t="inlineStr">
        <is>
          <t>ETAPA</t>
        </is>
      </c>
      <c r="I1208" s="1735" t="inlineStr">
        <is>
          <t>09.010</t>
        </is>
      </c>
      <c r="J1208" s="1736" t="inlineStr">
        <is>
          <t>INSTALAÇÕES DE GÁS - Tipo x8</t>
        </is>
      </c>
      <c r="K1208" s="1737" t="n"/>
      <c r="L1208" s="1738" t="n"/>
      <c r="M1208" s="1738" t="n"/>
      <c r="N1208" s="1739" t="n">
        <v>48047.0178657521</v>
      </c>
      <c r="O1208" s="1792" t="n"/>
      <c r="P1208" s="1725" t="n"/>
    </row>
    <row r="1209" hidden="1" outlineLevel="2" ht="13.9" customHeight="1">
      <c r="A1209" s="2117" t="n">
        <v>0</v>
      </c>
      <c r="B1209" s="2117" t="n">
        <v>9</v>
      </c>
      <c r="C1209" s="2117" t="n">
        <v>10</v>
      </c>
      <c r="D1209" s="2118" t="n">
        <v>1</v>
      </c>
      <c r="E1209" s="2118" t="n">
        <v>0</v>
      </c>
      <c r="G1209" s="1764" t="n"/>
      <c r="H1209" s="1741" t="inlineStr">
        <is>
          <t>SUBETAPA</t>
        </is>
      </c>
      <c r="I1209" s="1742" t="inlineStr">
        <is>
          <t>09.010.001</t>
        </is>
      </c>
      <c r="J1209" s="1743" t="inlineStr">
        <is>
          <t>Medidores</t>
        </is>
      </c>
      <c r="K1209" s="1744" t="n"/>
      <c r="L1209" s="1745" t="n"/>
      <c r="M1209" s="1745" t="n"/>
      <c r="N1209" s="1746" t="n">
        <v>5982.53705251353</v>
      </c>
      <c r="O1209" s="1762" t="n"/>
      <c r="P1209" s="1720" t="n"/>
    </row>
    <row r="1210" hidden="1" outlineLevel="3" ht="13.9" customHeight="1">
      <c r="A1210" s="2117" t="n">
        <v>0</v>
      </c>
      <c r="B1210" s="2117" t="n">
        <v>9</v>
      </c>
      <c r="C1210" s="2117" t="n">
        <v>10</v>
      </c>
      <c r="D1210" s="2118" t="n">
        <v>1</v>
      </c>
      <c r="E1210" s="2118" t="n">
        <v>1</v>
      </c>
      <c r="G1210" s="1748" t="inlineStr">
        <is>
          <t>INSTALAÇÕES DE GÁS</t>
        </is>
      </c>
      <c r="H1210" s="1749" t="inlineStr">
        <is>
          <t>SERVIÇO</t>
        </is>
      </c>
      <c r="I1210" s="1750" t="inlineStr">
        <is>
          <t>09.010.001.001</t>
        </is>
      </c>
      <c r="J1210" s="1751" t="inlineStr">
        <is>
          <t>Medidores</t>
        </is>
      </c>
      <c r="K1210" s="1752" t="inlineStr">
        <is>
          <t>vb</t>
        </is>
      </c>
      <c r="L1210" s="1753" t="n">
        <v>1</v>
      </c>
      <c r="M1210" s="1753" t="n">
        <v>5982.537052513535</v>
      </c>
      <c r="N1210" s="1754" t="n">
        <v>5982.53705251353</v>
      </c>
      <c r="O1210" s="1761" t="inlineStr">
        <is>
          <t>Repessado pela Gessele na reunião do dia 05/03/2026 - vamos fechar em R$ 250k - Material  (aço + multicamada) + M.O</t>
        </is>
      </c>
      <c r="P1210" s="1721" t="inlineStr">
        <is>
          <t>Pendente</t>
        </is>
      </c>
    </row>
    <row r="1211" hidden="1" outlineLevel="2" ht="13.9" customHeight="1">
      <c r="A1211" s="2117" t="n">
        <v>0</v>
      </c>
      <c r="B1211" s="2117" t="n">
        <v>9</v>
      </c>
      <c r="C1211" s="2117" t="n">
        <v>10</v>
      </c>
      <c r="D1211" s="2118" t="n">
        <v>2</v>
      </c>
      <c r="E1211" s="2118" t="n">
        <v>0</v>
      </c>
      <c r="G1211" s="1764" t="n"/>
      <c r="H1211" s="1741" t="inlineStr">
        <is>
          <t>SUBETAPA</t>
        </is>
      </c>
      <c r="I1211" s="1742" t="inlineStr">
        <is>
          <t>09.010.002</t>
        </is>
      </c>
      <c r="J1211" s="1743" t="inlineStr">
        <is>
          <t>Sistema de Gás</t>
        </is>
      </c>
      <c r="K1211" s="1744" t="n"/>
      <c r="L1211" s="1745" t="n"/>
      <c r="M1211" s="1745" t="n"/>
      <c r="N1211" s="1746" t="n">
        <v>33086.3600207585</v>
      </c>
      <c r="O1211" s="1762" t="n"/>
      <c r="P1211" s="1720" t="n"/>
    </row>
    <row r="1212" hidden="1" outlineLevel="3" ht="13.9" customHeight="1">
      <c r="A1212" s="2117" t="n">
        <v>0</v>
      </c>
      <c r="B1212" s="2117" t="n">
        <v>9</v>
      </c>
      <c r="C1212" s="2117" t="n">
        <v>10</v>
      </c>
      <c r="D1212" s="2118" t="n">
        <v>2</v>
      </c>
      <c r="E1212" s="2118" t="n">
        <v>1</v>
      </c>
      <c r="G1212" s="1748" t="inlineStr">
        <is>
          <t>INSTALAÇÕES DE GÁS</t>
        </is>
      </c>
      <c r="H1212" s="1749" t="inlineStr">
        <is>
          <t>SERVIÇO</t>
        </is>
      </c>
      <c r="I1212" s="1750" t="inlineStr">
        <is>
          <t>09.010.002.001</t>
        </is>
      </c>
      <c r="J1212" s="1751" t="inlineStr">
        <is>
          <t>Sistema de Gás</t>
        </is>
      </c>
      <c r="K1212" s="1752" t="inlineStr">
        <is>
          <t>vb</t>
        </is>
      </c>
      <c r="L1212" s="1753" t="n">
        <v>1</v>
      </c>
      <c r="M1212" s="1753" t="n">
        <v>33086.36002075848</v>
      </c>
      <c r="N1212" s="1754" t="n">
        <v>33086.3600207585</v>
      </c>
      <c r="O1212" s="1761" t="inlineStr">
        <is>
          <t>Repessado pela Gessele na reunião do dia 05/03/2026 - vamos fechar em R$ 250k - Material  (aço + multicamada) + M.O</t>
        </is>
      </c>
      <c r="P1212" s="1721" t="inlineStr">
        <is>
          <t>Pendente</t>
        </is>
      </c>
    </row>
    <row r="1213" hidden="1" outlineLevel="2" ht="13.9" customHeight="1">
      <c r="A1213" s="2117" t="n">
        <v>0</v>
      </c>
      <c r="B1213" s="2117" t="n">
        <v>9</v>
      </c>
      <c r="C1213" s="2117" t="n">
        <v>10</v>
      </c>
      <c r="D1213" s="2118" t="n">
        <v>3</v>
      </c>
      <c r="E1213" s="2118" t="n">
        <v>0</v>
      </c>
      <c r="G1213" s="1764" t="n"/>
      <c r="H1213" s="1741" t="inlineStr">
        <is>
          <t>SUBETAPA</t>
        </is>
      </c>
      <c r="I1213" s="1742" t="inlineStr">
        <is>
          <t>09.010.003</t>
        </is>
      </c>
      <c r="J1213" s="1743" t="inlineStr">
        <is>
          <t>Mão de obra</t>
        </is>
      </c>
      <c r="K1213" s="1744" t="n"/>
      <c r="L1213" s="1745" t="n"/>
      <c r="M1213" s="1745" t="n"/>
      <c r="N1213" s="1746" t="n">
        <v>8978.120792480069</v>
      </c>
      <c r="O1213" s="1762" t="n"/>
      <c r="P1213" s="1720" t="n"/>
    </row>
    <row r="1214" hidden="1" outlineLevel="3" ht="13.9" customHeight="1">
      <c r="A1214" s="2117" t="n">
        <v>0</v>
      </c>
      <c r="B1214" s="2117" t="n">
        <v>9</v>
      </c>
      <c r="C1214" s="2117" t="n">
        <v>10</v>
      </c>
      <c r="D1214" s="2118" t="n">
        <v>3</v>
      </c>
      <c r="E1214" s="2118" t="n">
        <v>1</v>
      </c>
      <c r="G1214" s="1748" t="inlineStr">
        <is>
          <t>INSTALAÇÕES DE GÁS</t>
        </is>
      </c>
      <c r="H1214" s="1749" t="inlineStr">
        <is>
          <t>SERVIÇO</t>
        </is>
      </c>
      <c r="I1214" s="1750" t="inlineStr">
        <is>
          <t>09.010.003.001</t>
        </is>
      </c>
      <c r="J1214" s="1751" t="inlineStr">
        <is>
          <t>Mão de obra para instalações gás</t>
        </is>
      </c>
      <c r="K1214" s="1752" t="inlineStr">
        <is>
          <t>vb</t>
        </is>
      </c>
      <c r="L1214" s="1753" t="n">
        <v>1</v>
      </c>
      <c r="M1214" s="1753" t="n">
        <v>8978.120792480071</v>
      </c>
      <c r="N1214" s="1754" t="n">
        <v>8978.120792480069</v>
      </c>
      <c r="O1214" s="1761" t="inlineStr">
        <is>
          <t>Repessado pela Gessele na reunião do dia 05/03/2026 - vamos fechar em R$ 250k - Material  (aço + multicamada) + M.O</t>
        </is>
      </c>
      <c r="P1214" s="1721" t="inlineStr">
        <is>
          <t>Pendente</t>
        </is>
      </c>
    </row>
    <row r="1215" hidden="1" outlineLevel="1" ht="13.9" customHeight="1">
      <c r="A1215" s="2117" t="n">
        <v>0</v>
      </c>
      <c r="B1215" s="2117" t="n">
        <v>9</v>
      </c>
      <c r="C1215" s="2117" t="n">
        <v>11</v>
      </c>
      <c r="D1215" s="2118" t="n">
        <v>0</v>
      </c>
      <c r="E1215" s="2118" t="n">
        <v>1</v>
      </c>
      <c r="G1215" s="1733" t="n"/>
      <c r="H1215" s="1734" t="inlineStr">
        <is>
          <t>ETAPA</t>
        </is>
      </c>
      <c r="I1215" s="1735" t="inlineStr">
        <is>
          <t>09.011</t>
        </is>
      </c>
      <c r="J1215" s="1736" t="inlineStr">
        <is>
          <t>INSTALAÇÕES DE GÁS - Penthouse x22</t>
        </is>
      </c>
      <c r="K1215" s="1737" t="n"/>
      <c r="L1215" s="1738" t="n"/>
      <c r="M1215" s="1738" t="n"/>
      <c r="N1215" s="1739" t="n">
        <v>102824.426404815</v>
      </c>
      <c r="O1215" s="1792" t="n"/>
      <c r="P1215" s="1725" t="n"/>
    </row>
    <row r="1216" hidden="1" outlineLevel="2" ht="13.9" customHeight="1">
      <c r="A1216" s="2117" t="n">
        <v>0</v>
      </c>
      <c r="B1216" s="2117" t="n">
        <v>9</v>
      </c>
      <c r="C1216" s="2117" t="n">
        <v>11</v>
      </c>
      <c r="D1216" s="2118" t="n">
        <v>1</v>
      </c>
      <c r="E1216" s="2118" t="n">
        <v>0</v>
      </c>
      <c r="G1216" s="1764" t="n"/>
      <c r="H1216" s="1741" t="inlineStr">
        <is>
          <t>SUBETAPA</t>
        </is>
      </c>
      <c r="I1216" s="1742" t="inlineStr">
        <is>
          <t>09.011.001</t>
        </is>
      </c>
      <c r="J1216" s="1743" t="inlineStr">
        <is>
          <t>Medidores</t>
        </is>
      </c>
      <c r="K1216" s="1744" t="n"/>
      <c r="L1216" s="1745" t="n"/>
      <c r="M1216" s="1745" t="n"/>
      <c r="N1216" s="1746" t="n">
        <v>7390.19282957554</v>
      </c>
      <c r="O1216" s="1762" t="n"/>
      <c r="P1216" s="1720" t="n"/>
    </row>
    <row r="1217" hidden="1" outlineLevel="3" ht="13.9" customHeight="1">
      <c r="A1217" s="2117" t="n">
        <v>0</v>
      </c>
      <c r="B1217" s="2117" t="n">
        <v>9</v>
      </c>
      <c r="C1217" s="2117" t="n">
        <v>11</v>
      </c>
      <c r="D1217" s="2118" t="n">
        <v>1</v>
      </c>
      <c r="E1217" s="2118" t="n">
        <v>1</v>
      </c>
      <c r="G1217" s="1748" t="inlineStr">
        <is>
          <t>INSTALAÇÕES DE GÁS</t>
        </is>
      </c>
      <c r="H1217" s="1749" t="inlineStr">
        <is>
          <t>SERVIÇO</t>
        </is>
      </c>
      <c r="I1217" s="1750" t="inlineStr">
        <is>
          <t>09.011.001.001</t>
        </is>
      </c>
      <c r="J1217" s="1751" t="inlineStr">
        <is>
          <t>Medidores</t>
        </is>
      </c>
      <c r="K1217" s="1752" t="inlineStr">
        <is>
          <t>vb</t>
        </is>
      </c>
      <c r="L1217" s="1753" t="n">
        <v>1</v>
      </c>
      <c r="M1217" s="1753" t="n">
        <v>7390.192829575542</v>
      </c>
      <c r="N1217" s="1754" t="n">
        <v>7390.19282957554</v>
      </c>
      <c r="O1217" s="1761" t="inlineStr">
        <is>
          <t>Repessado pela Gessele na reunião do dia 05/03/2026 - vamos fechar em R$ 250k - Material  (aço + multicamada) + M.O</t>
        </is>
      </c>
      <c r="P1217" s="1721" t="inlineStr">
        <is>
          <t>Pendente</t>
        </is>
      </c>
    </row>
    <row r="1218" hidden="1" outlineLevel="2" ht="13.9" customHeight="1">
      <c r="A1218" s="2117" t="n">
        <v>0</v>
      </c>
      <c r="B1218" s="2117" t="n">
        <v>9</v>
      </c>
      <c r="C1218" s="2117" t="n">
        <v>11</v>
      </c>
      <c r="D1218" s="2118" t="n">
        <v>2</v>
      </c>
      <c r="E1218" s="2118" t="n">
        <v>0</v>
      </c>
      <c r="G1218" s="1764" t="n"/>
      <c r="H1218" s="1741" t="inlineStr">
        <is>
          <t>SUBETAPA</t>
        </is>
      </c>
      <c r="I1218" s="1742" t="inlineStr">
        <is>
          <t>09.011.002</t>
        </is>
      </c>
      <c r="J1218" s="1743" t="inlineStr">
        <is>
          <t>Sistema de Gás</t>
        </is>
      </c>
      <c r="K1218" s="1744" t="n"/>
      <c r="L1218" s="1745" t="n"/>
      <c r="M1218" s="1745" t="n"/>
      <c r="N1218" s="1746" t="n">
        <v>71854.238391974</v>
      </c>
      <c r="O1218" s="1762" t="n"/>
      <c r="P1218" s="1720" t="n"/>
    </row>
    <row r="1219" hidden="1" outlineLevel="3" ht="13.9" customHeight="1">
      <c r="A1219" s="2117" t="n">
        <v>0</v>
      </c>
      <c r="B1219" s="2117" t="n">
        <v>9</v>
      </c>
      <c r="C1219" s="2117" t="n">
        <v>11</v>
      </c>
      <c r="D1219" s="2118" t="n">
        <v>2</v>
      </c>
      <c r="E1219" s="2118" t="n">
        <v>1</v>
      </c>
      <c r="G1219" s="1748" t="inlineStr">
        <is>
          <t>INSTALAÇÕES DE GÁS</t>
        </is>
      </c>
      <c r="H1219" s="1749" t="inlineStr">
        <is>
          <t>SERVIÇO</t>
        </is>
      </c>
      <c r="I1219" s="1750" t="inlineStr">
        <is>
          <t>09.011.002.001</t>
        </is>
      </c>
      <c r="J1219" s="1751" t="inlineStr">
        <is>
          <t>Sistema de Gás</t>
        </is>
      </c>
      <c r="K1219" s="1752" t="inlineStr">
        <is>
          <t>vb</t>
        </is>
      </c>
      <c r="L1219" s="1753" t="n">
        <v>1</v>
      </c>
      <c r="M1219" s="1753" t="n">
        <v>71854.23839197395</v>
      </c>
      <c r="N1219" s="1754" t="n">
        <v>71854.238391974</v>
      </c>
      <c r="O1219" s="1761" t="inlineStr">
        <is>
          <t>Repessado pela Gessele na reunião do dia 05/03/2026 - vamos fechar em R$ 250k - Material  (aço + multicamada) + M.O</t>
        </is>
      </c>
      <c r="P1219" s="1721" t="inlineStr">
        <is>
          <t>Pendente</t>
        </is>
      </c>
    </row>
    <row r="1220" hidden="1" outlineLevel="2" ht="13.9" customHeight="1">
      <c r="A1220" s="2117" t="n">
        <v>0</v>
      </c>
      <c r="B1220" s="2117" t="n">
        <v>9</v>
      </c>
      <c r="C1220" s="2117" t="n">
        <v>11</v>
      </c>
      <c r="D1220" s="2118" t="n">
        <v>3</v>
      </c>
      <c r="E1220" s="2118" t="n">
        <v>0</v>
      </c>
      <c r="G1220" s="1764" t="n"/>
      <c r="H1220" s="1741" t="inlineStr">
        <is>
          <t>SUBETAPA</t>
        </is>
      </c>
      <c r="I1220" s="1742" t="inlineStr">
        <is>
          <t>09.011.003</t>
        </is>
      </c>
      <c r="J1220" s="1743" t="inlineStr">
        <is>
          <t>Mão de obra</t>
        </is>
      </c>
      <c r="K1220" s="1744" t="n"/>
      <c r="L1220" s="1745" t="n"/>
      <c r="M1220" s="1745" t="n"/>
      <c r="N1220" s="1746" t="n">
        <v>23579.9951832655</v>
      </c>
      <c r="O1220" s="1762" t="n"/>
      <c r="P1220" s="1720" t="n"/>
    </row>
    <row r="1221" hidden="1" outlineLevel="3" ht="13.9" customHeight="1">
      <c r="A1221" s="2117" t="n">
        <v>0</v>
      </c>
      <c r="B1221" s="2117" t="n">
        <v>9</v>
      </c>
      <c r="C1221" s="2117" t="n">
        <v>11</v>
      </c>
      <c r="D1221" s="2118" t="n">
        <v>3</v>
      </c>
      <c r="E1221" s="2118" t="n">
        <v>1</v>
      </c>
      <c r="G1221" s="1748" t="inlineStr">
        <is>
          <t>INSTALAÇÕES DE GÁS</t>
        </is>
      </c>
      <c r="H1221" s="1749" t="inlineStr">
        <is>
          <t>SERVIÇO</t>
        </is>
      </c>
      <c r="I1221" s="1750" t="inlineStr">
        <is>
          <t>09.011.003.001</t>
        </is>
      </c>
      <c r="J1221" s="1751" t="inlineStr">
        <is>
          <t>Mão de obra para instalações gás</t>
        </is>
      </c>
      <c r="K1221" s="1752" t="inlineStr">
        <is>
          <t>vb</t>
        </is>
      </c>
      <c r="L1221" s="1753" t="n">
        <v>1</v>
      </c>
      <c r="M1221" s="1753" t="n">
        <v>23579.9951832655</v>
      </c>
      <c r="N1221" s="1754" t="n">
        <v>23579.9951832655</v>
      </c>
      <c r="O1221" s="1761" t="inlineStr">
        <is>
          <t>Repessado pela Gessele na reunião do dia 05/03/2026 - vamos fechar em R$ 250k - Material  (aço + multicamada) + M.O</t>
        </is>
      </c>
      <c r="P1221" s="1721" t="inlineStr">
        <is>
          <t>Pendente</t>
        </is>
      </c>
    </row>
    <row r="1222" hidden="1" outlineLevel="1" ht="13.9" customHeight="1">
      <c r="A1222" s="2117" t="n">
        <v>0</v>
      </c>
      <c r="B1222" s="2117" t="n">
        <v>9</v>
      </c>
      <c r="C1222" s="2117" t="n">
        <v>12</v>
      </c>
      <c r="D1222" s="2118" t="n">
        <v>0</v>
      </c>
      <c r="E1222" s="2118" t="n">
        <v>1</v>
      </c>
      <c r="G1222" s="1733" t="n"/>
      <c r="H1222" s="1734" t="inlineStr">
        <is>
          <t>ETAPA</t>
        </is>
      </c>
      <c r="I1222" s="1735" t="inlineStr">
        <is>
          <t>09.012</t>
        </is>
      </c>
      <c r="J1222" s="1736" t="inlineStr">
        <is>
          <t>INSTALAÇÕES DE GÁS - Duplex Inferior</t>
        </is>
      </c>
      <c r="K1222" s="1737" t="n"/>
      <c r="L1222" s="1738" t="n"/>
      <c r="M1222" s="1738" t="n"/>
      <c r="N1222" s="1739" t="n">
        <v>1612.90082464391</v>
      </c>
      <c r="O1222" s="1792" t="n"/>
      <c r="P1222" s="1725" t="n"/>
    </row>
    <row r="1223" hidden="1" outlineLevel="2" ht="13.9" customHeight="1">
      <c r="A1223" s="2117" t="n">
        <v>0</v>
      </c>
      <c r="B1223" s="2117" t="n">
        <v>9</v>
      </c>
      <c r="C1223" s="2117" t="n">
        <v>12</v>
      </c>
      <c r="D1223" s="2118" t="n">
        <v>1</v>
      </c>
      <c r="E1223" s="2118" t="n">
        <v>0</v>
      </c>
      <c r="G1223" s="1764" t="n"/>
      <c r="H1223" s="1741" t="inlineStr">
        <is>
          <t>SUBETAPA</t>
        </is>
      </c>
      <c r="I1223" s="1742" t="inlineStr">
        <is>
          <t>09.012.001</t>
        </is>
      </c>
      <c r="J1223" s="1743" t="inlineStr">
        <is>
          <t>Sistema de Gás</t>
        </is>
      </c>
      <c r="K1223" s="1744" t="n"/>
      <c r="L1223" s="1745" t="n"/>
      <c r="M1223" s="1745" t="n"/>
      <c r="N1223" s="1746" t="n">
        <v>490.043911155076</v>
      </c>
      <c r="O1223" s="1762" t="n"/>
      <c r="P1223" s="1720" t="n"/>
    </row>
    <row r="1224" hidden="1" outlineLevel="3" ht="13.9" customHeight="1">
      <c r="A1224" s="2117" t="n">
        <v>0</v>
      </c>
      <c r="B1224" s="2117" t="n">
        <v>9</v>
      </c>
      <c r="C1224" s="2117" t="n">
        <v>12</v>
      </c>
      <c r="D1224" s="2118" t="n">
        <v>1</v>
      </c>
      <c r="E1224" s="2118" t="n">
        <v>1</v>
      </c>
      <c r="G1224" s="1748" t="inlineStr">
        <is>
          <t>INSTALAÇÕES DE GÁS</t>
        </is>
      </c>
      <c r="H1224" s="1749" t="inlineStr">
        <is>
          <t>SERVIÇO</t>
        </is>
      </c>
      <c r="I1224" s="1750" t="inlineStr">
        <is>
          <t>09.012.001.001</t>
        </is>
      </c>
      <c r="J1224" s="1751" t="inlineStr">
        <is>
          <t>Sistema de Gás</t>
        </is>
      </c>
      <c r="K1224" s="1752" t="inlineStr">
        <is>
          <t>vb</t>
        </is>
      </c>
      <c r="L1224" s="1753" t="n">
        <v>1</v>
      </c>
      <c r="M1224" s="1753" t="n">
        <v>490.0439111550761</v>
      </c>
      <c r="N1224" s="1754" t="n">
        <v>490.043911155076</v>
      </c>
      <c r="O1224" s="1761" t="inlineStr">
        <is>
          <t>Repessado pela Gessele na reunião do dia 05/03/2026 - vamos fechar em R$ 250k - Material  (aço + multicamada) + M.O</t>
        </is>
      </c>
      <c r="P1224" s="1721" t="inlineStr">
        <is>
          <t>Pendente</t>
        </is>
      </c>
    </row>
    <row r="1225" hidden="1" outlineLevel="2" ht="13.9" customHeight="1">
      <c r="A1225" s="2117" t="n">
        <v>0</v>
      </c>
      <c r="B1225" s="2117" t="n">
        <v>9</v>
      </c>
      <c r="C1225" s="2117" t="n">
        <v>12</v>
      </c>
      <c r="D1225" s="2118" t="n">
        <v>2</v>
      </c>
      <c r="E1225" s="2118" t="n">
        <v>0</v>
      </c>
      <c r="G1225" s="1764" t="n"/>
      <c r="H1225" s="1741" t="inlineStr">
        <is>
          <t>SUBETAPA</t>
        </is>
      </c>
      <c r="I1225" s="1742" t="inlineStr">
        <is>
          <t>09.012.002</t>
        </is>
      </c>
      <c r="J1225" s="1743" t="inlineStr">
        <is>
          <t>Mão de obra</t>
        </is>
      </c>
      <c r="K1225" s="1744" t="n"/>
      <c r="L1225" s="1745" t="n"/>
      <c r="M1225" s="1745" t="n"/>
      <c r="N1225" s="1746" t="n">
        <v>1122.85691348883</v>
      </c>
      <c r="O1225" s="1762" t="n"/>
      <c r="P1225" s="1720" t="n"/>
    </row>
    <row r="1226" hidden="1" outlineLevel="3" ht="13.9" customHeight="1">
      <c r="A1226" s="2117" t="n">
        <v>0</v>
      </c>
      <c r="B1226" s="2117" t="n">
        <v>9</v>
      </c>
      <c r="C1226" s="2117" t="n">
        <v>12</v>
      </c>
      <c r="D1226" s="2118" t="n">
        <v>2</v>
      </c>
      <c r="E1226" s="2118" t="n">
        <v>1</v>
      </c>
      <c r="G1226" s="1748" t="inlineStr">
        <is>
          <t>INSTALAÇÕES DE GÁS</t>
        </is>
      </c>
      <c r="H1226" s="1749" t="inlineStr">
        <is>
          <t>SERVIÇO</t>
        </is>
      </c>
      <c r="I1226" s="1750" t="inlineStr">
        <is>
          <t>09.012.002.001</t>
        </is>
      </c>
      <c r="J1226" s="1751" t="inlineStr">
        <is>
          <t>Mão de obra para instalações gás</t>
        </is>
      </c>
      <c r="K1226" s="1752" t="inlineStr">
        <is>
          <t>vb</t>
        </is>
      </c>
      <c r="L1226" s="1753" t="n">
        <v>1</v>
      </c>
      <c r="M1226" s="1753" t="n">
        <v>1122.856913488833</v>
      </c>
      <c r="N1226" s="1754" t="n">
        <v>1122.85691348883</v>
      </c>
      <c r="O1226" s="1761" t="inlineStr">
        <is>
          <t>Repessado pela Gessele na reunião do dia 05/03/2026 - vamos fechar em R$ 250k - Material  (aço + multicamada) + M.O</t>
        </is>
      </c>
      <c r="P1226" s="1721" t="inlineStr">
        <is>
          <t>Pendente</t>
        </is>
      </c>
    </row>
    <row r="1227" hidden="1" outlineLevel="1" ht="13.9" customHeight="1">
      <c r="A1227" s="2117" t="n">
        <v>0</v>
      </c>
      <c r="B1227" s="2117" t="n">
        <v>9</v>
      </c>
      <c r="C1227" s="2117" t="n">
        <v>13</v>
      </c>
      <c r="D1227" s="2118" t="n">
        <v>0</v>
      </c>
      <c r="E1227" s="2118" t="n">
        <v>1</v>
      </c>
      <c r="G1227" s="1733" t="n"/>
      <c r="H1227" s="1734" t="inlineStr">
        <is>
          <t>ETAPA</t>
        </is>
      </c>
      <c r="I1227" s="1735" t="inlineStr">
        <is>
          <t>09.013</t>
        </is>
      </c>
      <c r="J1227" s="1736" t="inlineStr">
        <is>
          <t>INSTALAÇÕES DE GÁS - Duplex Superior</t>
        </is>
      </c>
      <c r="K1227" s="1737" t="n"/>
      <c r="L1227" s="1738" t="n"/>
      <c r="M1227" s="1738" t="n"/>
      <c r="N1227" s="1739" t="n">
        <v>5893.87650231462</v>
      </c>
      <c r="O1227" s="1792" t="n"/>
      <c r="P1227" s="1725" t="n"/>
    </row>
    <row r="1228" hidden="1" outlineLevel="2" ht="13.9" customHeight="1">
      <c r="A1228" s="2117" t="n">
        <v>0</v>
      </c>
      <c r="B1228" s="2117" t="n">
        <v>9</v>
      </c>
      <c r="C1228" s="2117" t="n">
        <v>13</v>
      </c>
      <c r="D1228" s="2118" t="n">
        <v>1</v>
      </c>
      <c r="E1228" s="2118" t="n">
        <v>0</v>
      </c>
      <c r="G1228" s="1764" t="n"/>
      <c r="H1228" s="1741" t="inlineStr">
        <is>
          <t>SUBETAPA</t>
        </is>
      </c>
      <c r="I1228" s="1742" t="inlineStr">
        <is>
          <t>09.013.001</t>
        </is>
      </c>
      <c r="J1228" s="1743" t="inlineStr">
        <is>
          <t>Medidores</t>
        </is>
      </c>
      <c r="K1228" s="1744" t="n"/>
      <c r="L1228" s="1745" t="n"/>
      <c r="M1228" s="1745" t="n"/>
      <c r="N1228" s="1746" t="n">
        <v>351.913944265502</v>
      </c>
      <c r="O1228" s="1762" t="n"/>
      <c r="P1228" s="1720" t="n"/>
    </row>
    <row r="1229" hidden="1" outlineLevel="3" ht="13.9" customHeight="1">
      <c r="A1229" s="2117" t="n">
        <v>0</v>
      </c>
      <c r="B1229" s="2117" t="n">
        <v>9</v>
      </c>
      <c r="C1229" s="2117" t="n">
        <v>13</v>
      </c>
      <c r="D1229" s="2118" t="n">
        <v>1</v>
      </c>
      <c r="E1229" s="2118" t="n">
        <v>1</v>
      </c>
      <c r="G1229" s="1748" t="inlineStr">
        <is>
          <t>INSTALAÇÕES DE GÁS</t>
        </is>
      </c>
      <c r="H1229" s="1749" t="inlineStr">
        <is>
          <t>SERVIÇO</t>
        </is>
      </c>
      <c r="I1229" s="1750" t="inlineStr">
        <is>
          <t>09.013.001.001</t>
        </is>
      </c>
      <c r="J1229" s="1751" t="inlineStr">
        <is>
          <t>Medidores</t>
        </is>
      </c>
      <c r="K1229" s="1752" t="inlineStr">
        <is>
          <t>vb</t>
        </is>
      </c>
      <c r="L1229" s="1753" t="n">
        <v>1</v>
      </c>
      <c r="M1229" s="1753" t="n">
        <v>351.913944265502</v>
      </c>
      <c r="N1229" s="1754" t="n">
        <v>351.913944265502</v>
      </c>
      <c r="O1229" s="1761" t="inlineStr">
        <is>
          <t>Repessado pela Gessele na reunião do dia 05/03/2026 - vamos fechar em R$ 250k - Material  (aço + multicamada) + M.O</t>
        </is>
      </c>
      <c r="P1229" s="1721" t="inlineStr">
        <is>
          <t>Pendente</t>
        </is>
      </c>
    </row>
    <row r="1230" hidden="1" outlineLevel="2" ht="13.9" customHeight="1">
      <c r="A1230" s="2117" t="n">
        <v>0</v>
      </c>
      <c r="B1230" s="2117" t="n">
        <v>9</v>
      </c>
      <c r="C1230" s="2117" t="n">
        <v>13</v>
      </c>
      <c r="D1230" s="2118" t="n">
        <v>2</v>
      </c>
      <c r="E1230" s="2118" t="n">
        <v>0</v>
      </c>
      <c r="G1230" s="1764" t="n"/>
      <c r="H1230" s="1741" t="inlineStr">
        <is>
          <t>SUBETAPA</t>
        </is>
      </c>
      <c r="I1230" s="1742" t="inlineStr">
        <is>
          <t>09.013.002</t>
        </is>
      </c>
      <c r="J1230" s="1743" t="inlineStr">
        <is>
          <t>Sistema de Gás</t>
        </is>
      </c>
      <c r="K1230" s="1744" t="n"/>
      <c r="L1230" s="1745" t="n"/>
      <c r="M1230" s="1745" t="n"/>
      <c r="N1230" s="1746" t="n">
        <v>4458.3503388717</v>
      </c>
      <c r="O1230" s="1762" t="n"/>
      <c r="P1230" s="1720" t="n"/>
    </row>
    <row r="1231" hidden="1" outlineLevel="3" ht="13.9" customHeight="1">
      <c r="A1231" s="2117" t="n">
        <v>0</v>
      </c>
      <c r="B1231" s="2117" t="n">
        <v>9</v>
      </c>
      <c r="C1231" s="2117" t="n">
        <v>13</v>
      </c>
      <c r="D1231" s="2118" t="n">
        <v>2</v>
      </c>
      <c r="E1231" s="2118" t="n">
        <v>1</v>
      </c>
      <c r="G1231" s="1748" t="inlineStr">
        <is>
          <t>INSTALAÇÕES DE GÁS</t>
        </is>
      </c>
      <c r="H1231" s="1749" t="inlineStr">
        <is>
          <t>SERVIÇO</t>
        </is>
      </c>
      <c r="I1231" s="1750" t="inlineStr">
        <is>
          <t>09.013.002.001</t>
        </is>
      </c>
      <c r="J1231" s="1751" t="inlineStr">
        <is>
          <t>Sistema de Gás</t>
        </is>
      </c>
      <c r="K1231" s="1752" t="inlineStr">
        <is>
          <t>vb</t>
        </is>
      </c>
      <c r="L1231" s="1753" t="n">
        <v>1</v>
      </c>
      <c r="M1231" s="1753" t="n">
        <v>4458.350338871695</v>
      </c>
      <c r="N1231" s="1754" t="n">
        <v>4458.3503388717</v>
      </c>
      <c r="O1231" s="1761" t="inlineStr">
        <is>
          <t>Repessado pela Gessele na reunião do dia 05/03/2026 - vamos fechar em R$ 250k - Material  (aço + multicamada) + M.O</t>
        </is>
      </c>
      <c r="P1231" s="1721" t="inlineStr">
        <is>
          <t>Pendente</t>
        </is>
      </c>
    </row>
    <row r="1232" hidden="1" outlineLevel="2" ht="13.9" customHeight="1">
      <c r="A1232" s="2117" t="n">
        <v>0</v>
      </c>
      <c r="B1232" s="2117" t="n">
        <v>9</v>
      </c>
      <c r="C1232" s="2117" t="n">
        <v>13</v>
      </c>
      <c r="D1232" s="2118" t="n">
        <v>3</v>
      </c>
      <c r="E1232" s="2118" t="n">
        <v>0</v>
      </c>
      <c r="G1232" s="1764" t="n"/>
      <c r="H1232" s="1741" t="inlineStr">
        <is>
          <t>SUBETAPA</t>
        </is>
      </c>
      <c r="I1232" s="1742" t="inlineStr">
        <is>
          <t>09.013.003</t>
        </is>
      </c>
      <c r="J1232" s="1743" t="inlineStr">
        <is>
          <t>Mão de obra</t>
        </is>
      </c>
      <c r="K1232" s="1744" t="n"/>
      <c r="L1232" s="1745" t="n"/>
      <c r="M1232" s="1745" t="n"/>
      <c r="N1232" s="1746" t="n">
        <v>1083.61221917742</v>
      </c>
      <c r="O1232" s="1762" t="n"/>
      <c r="P1232" s="1720" t="n"/>
    </row>
    <row r="1233" hidden="1" outlineLevel="3" ht="13.9" customHeight="1">
      <c r="A1233" s="2117" t="n">
        <v>0</v>
      </c>
      <c r="B1233" s="2117" t="n">
        <v>9</v>
      </c>
      <c r="C1233" s="2117" t="n">
        <v>13</v>
      </c>
      <c r="D1233" s="2118" t="n">
        <v>3</v>
      </c>
      <c r="E1233" s="2118" t="n">
        <v>1</v>
      </c>
      <c r="G1233" s="1748" t="inlineStr">
        <is>
          <t>INSTALAÇÕES DE GÁS</t>
        </is>
      </c>
      <c r="H1233" s="1749" t="inlineStr">
        <is>
          <t>SERVIÇO</t>
        </is>
      </c>
      <c r="I1233" s="1750" t="inlineStr">
        <is>
          <t>09.013.003.001</t>
        </is>
      </c>
      <c r="J1233" s="1751" t="inlineStr">
        <is>
          <t>Mão de obra para instalações gás</t>
        </is>
      </c>
      <c r="K1233" s="1752" t="inlineStr">
        <is>
          <t>vb</t>
        </is>
      </c>
      <c r="L1233" s="1753" t="n">
        <v>1</v>
      </c>
      <c r="M1233" s="1753" t="n">
        <v>1083.612219177417</v>
      </c>
      <c r="N1233" s="1754" t="n">
        <v>1083.61221917742</v>
      </c>
      <c r="O1233" s="1761" t="inlineStr">
        <is>
          <t>Repessado pela Gessele na reunião do dia 05/03/2026 - vamos fechar em R$ 250k - Material  (aço + multicamada) + M.O</t>
        </is>
      </c>
      <c r="P1233" s="1721" t="inlineStr">
        <is>
          <t>Pendente</t>
        </is>
      </c>
    </row>
    <row r="1234" hidden="1" outlineLevel="1" ht="13.9" customHeight="1">
      <c r="A1234" s="2117" t="n">
        <v>0</v>
      </c>
      <c r="B1234" s="2117" t="n">
        <v>9</v>
      </c>
      <c r="C1234" s="2117" t="n">
        <v>14</v>
      </c>
      <c r="D1234" s="2118" t="n">
        <v>0</v>
      </c>
      <c r="E1234" s="2118" t="n">
        <v>1</v>
      </c>
      <c r="G1234" s="1733" t="n"/>
      <c r="H1234" s="1734" t="inlineStr">
        <is>
          <t>ETAPA</t>
        </is>
      </c>
      <c r="I1234" s="1735" t="inlineStr">
        <is>
          <t>09.014</t>
        </is>
      </c>
      <c r="J1234" s="1736" t="inlineStr">
        <is>
          <t>INSTALAÇÕES DE GÁS - Cobertura | Barrilete</t>
        </is>
      </c>
      <c r="K1234" s="1737" t="n"/>
      <c r="L1234" s="1738" t="n"/>
      <c r="M1234" s="1738" t="n"/>
      <c r="N1234" s="1739" t="n">
        <v>1111.33325427872</v>
      </c>
      <c r="O1234" s="1792" t="n"/>
      <c r="P1234" s="1725" t="n"/>
    </row>
    <row r="1235" hidden="1" outlineLevel="2" ht="13.9" customHeight="1">
      <c r="A1235" s="2117" t="n">
        <v>0</v>
      </c>
      <c r="B1235" s="2117" t="n">
        <v>9</v>
      </c>
      <c r="C1235" s="2117" t="n">
        <v>14</v>
      </c>
      <c r="D1235" s="2118" t="n">
        <v>1</v>
      </c>
      <c r="E1235" s="2118" t="n">
        <v>0</v>
      </c>
      <c r="G1235" s="1764" t="n"/>
      <c r="H1235" s="1741" t="inlineStr">
        <is>
          <t>SUBETAPA</t>
        </is>
      </c>
      <c r="I1235" s="1742" t="inlineStr">
        <is>
          <t>09.014.001</t>
        </is>
      </c>
      <c r="J1235" s="1743" t="inlineStr">
        <is>
          <t>Sistema de Gás</t>
        </is>
      </c>
      <c r="K1235" s="1744" t="n"/>
      <c r="L1235" s="1745" t="n"/>
      <c r="M1235" s="1745" t="n"/>
      <c r="N1235" s="1746" t="n">
        <v>80.09661205225881</v>
      </c>
      <c r="O1235" s="1762" t="n"/>
      <c r="P1235" s="1720" t="n"/>
    </row>
    <row r="1236" hidden="1" outlineLevel="3" ht="13.9" customHeight="1">
      <c r="A1236" s="2117" t="n">
        <v>0</v>
      </c>
      <c r="B1236" s="2117" t="n">
        <v>9</v>
      </c>
      <c r="C1236" s="2117" t="n">
        <v>14</v>
      </c>
      <c r="D1236" s="2118" t="n">
        <v>1</v>
      </c>
      <c r="E1236" s="2118" t="n">
        <v>1</v>
      </c>
      <c r="G1236" s="1748" t="inlineStr">
        <is>
          <t>INSTALAÇÕES DE GÁS</t>
        </is>
      </c>
      <c r="H1236" s="1749" t="inlineStr">
        <is>
          <t>SERVIÇO</t>
        </is>
      </c>
      <c r="I1236" s="1750" t="inlineStr">
        <is>
          <t>09.014.001.001</t>
        </is>
      </c>
      <c r="J1236" s="1751" t="inlineStr">
        <is>
          <t>Sistema de Gás</t>
        </is>
      </c>
      <c r="K1236" s="1752" t="inlineStr">
        <is>
          <t>vb</t>
        </is>
      </c>
      <c r="L1236" s="1753" t="n">
        <v>1</v>
      </c>
      <c r="M1236" s="1753" t="n">
        <v>80.09661205225879</v>
      </c>
      <c r="N1236" s="1754" t="n">
        <v>80.09661205225881</v>
      </c>
      <c r="O1236" s="1761" t="inlineStr">
        <is>
          <t>Repessado pela Gessele na reunião do dia 05/03/2026 - vamos fechar em R$ 250k - Material  (aço + multicamada) + M.O</t>
        </is>
      </c>
      <c r="P1236" s="1721" t="inlineStr">
        <is>
          <t>Pendente</t>
        </is>
      </c>
    </row>
    <row r="1237" hidden="1" outlineLevel="2" ht="13.9" customHeight="1">
      <c r="A1237" s="2117" t="n">
        <v>0</v>
      </c>
      <c r="B1237" s="2117" t="n">
        <v>9</v>
      </c>
      <c r="C1237" s="2117" t="n">
        <v>14</v>
      </c>
      <c r="D1237" s="2118" t="n">
        <v>2</v>
      </c>
      <c r="E1237" s="2118" t="n">
        <v>0</v>
      </c>
      <c r="G1237" s="1764" t="n"/>
      <c r="H1237" s="1741" t="inlineStr">
        <is>
          <t>SUBETAPA</t>
        </is>
      </c>
      <c r="I1237" s="1742" t="inlineStr">
        <is>
          <t>09.014.002</t>
        </is>
      </c>
      <c r="J1237" s="1743" t="inlineStr">
        <is>
          <t>Mão de obra</t>
        </is>
      </c>
      <c r="K1237" s="1744" t="n"/>
      <c r="L1237" s="1745" t="n"/>
      <c r="M1237" s="1745" t="n"/>
      <c r="N1237" s="1746" t="n">
        <v>1031.23664222646</v>
      </c>
      <c r="O1237" s="1762" t="n"/>
      <c r="P1237" s="1720" t="n"/>
    </row>
    <row r="1238" hidden="1" outlineLevel="3" ht="13.9" customHeight="1">
      <c r="A1238" s="2117" t="n">
        <v>0</v>
      </c>
      <c r="B1238" s="2117" t="n">
        <v>9</v>
      </c>
      <c r="C1238" s="2117" t="n">
        <v>14</v>
      </c>
      <c r="D1238" s="2118" t="n">
        <v>2</v>
      </c>
      <c r="E1238" s="2118" t="n">
        <v>1</v>
      </c>
      <c r="G1238" s="1748" t="inlineStr">
        <is>
          <t>INSTALAÇÕES DE GÁS</t>
        </is>
      </c>
      <c r="H1238" s="1749" t="inlineStr">
        <is>
          <t>SERVIÇO</t>
        </is>
      </c>
      <c r="I1238" s="1750" t="inlineStr">
        <is>
          <t>09.014.002.001</t>
        </is>
      </c>
      <c r="J1238" s="1751" t="inlineStr">
        <is>
          <t>Mão de obra para instalações gás</t>
        </is>
      </c>
      <c r="K1238" s="1752" t="inlineStr">
        <is>
          <t>vb</t>
        </is>
      </c>
      <c r="L1238" s="1753" t="n">
        <v>1</v>
      </c>
      <c r="M1238" s="1753" t="n">
        <v>1031.236642226461</v>
      </c>
      <c r="N1238" s="1754" t="n">
        <v>1031.23664222646</v>
      </c>
      <c r="O1238" s="1761" t="inlineStr">
        <is>
          <t>Repessado pela Gessele na reunião do dia 05/03/2026 - vamos fechar em R$ 250k - Material  (aço + multicamada) + M.O</t>
        </is>
      </c>
      <c r="P1238" s="1721" t="inlineStr">
        <is>
          <t>Pendente</t>
        </is>
      </c>
    </row>
    <row r="1239" collapsed="1" ht="13.9" customHeight="1">
      <c r="A1239" s="2117" t="n">
        <v>0</v>
      </c>
      <c r="B1239" s="2117" t="n">
        <v>10</v>
      </c>
      <c r="C1239" s="2117" t="n">
        <v>0</v>
      </c>
      <c r="D1239" s="2118" t="n">
        <v>2</v>
      </c>
      <c r="E1239" s="2118" t="n">
        <v>1</v>
      </c>
      <c r="F1239" s="474" t="n"/>
      <c r="G1239" s="1791" t="n"/>
      <c r="H1239" s="1727" t="inlineStr">
        <is>
          <t>CÉLULA CONSTRUTIVA</t>
        </is>
      </c>
      <c r="I1239" s="1728" t="inlineStr">
        <is>
          <t>10</t>
        </is>
      </c>
      <c r="J1239" s="1729" t="inlineStr">
        <is>
          <t>EQUIPAMENTOS E SISTEMAS ESPECIAIS</t>
        </is>
      </c>
      <c r="K1239" s="1730" t="n"/>
      <c r="L1239" s="1731" t="n"/>
      <c r="M1239" s="1731" t="n"/>
      <c r="N1239" s="1732" t="n">
        <v>7315899.738</v>
      </c>
      <c r="O1239" s="1770" t="n">
        <v>436.778738805003</v>
      </c>
      <c r="P1239" s="1724" t="n"/>
    </row>
    <row r="1240" hidden="1" outlineLevel="1" ht="13.9" customHeight="1">
      <c r="A1240" s="2117" t="n">
        <v>0</v>
      </c>
      <c r="B1240" s="2117" t="n">
        <v>10</v>
      </c>
      <c r="C1240" s="2117" t="n">
        <v>1</v>
      </c>
      <c r="D1240" s="2118" t="n">
        <v>0</v>
      </c>
      <c r="E1240" s="2118" t="n">
        <v>1</v>
      </c>
      <c r="G1240" s="1763" t="n"/>
      <c r="H1240" s="1734" t="inlineStr">
        <is>
          <t>ETAPA</t>
        </is>
      </c>
      <c r="I1240" s="1735" t="inlineStr">
        <is>
          <t>10.001</t>
        </is>
      </c>
      <c r="J1240" s="1736" t="inlineStr">
        <is>
          <t>EQUIPAMENTOS E SISTEMAS ESPECIAIS</t>
        </is>
      </c>
      <c r="K1240" s="1737" t="n"/>
      <c r="L1240" s="1738" t="n"/>
      <c r="M1240" s="1738" t="n"/>
      <c r="N1240" s="1739" t="n">
        <v>7315899.738</v>
      </c>
      <c r="O1240" s="1722" t="n"/>
      <c r="P1240" s="1725" t="n"/>
    </row>
    <row r="1241" hidden="1" outlineLevel="2" ht="13.9" customHeight="1">
      <c r="A1241" s="2117" t="n">
        <v>0</v>
      </c>
      <c r="B1241" s="2117" t="n">
        <v>10</v>
      </c>
      <c r="C1241" s="2117" t="n">
        <v>1</v>
      </c>
      <c r="D1241" s="2118" t="n">
        <v>1</v>
      </c>
      <c r="E1241" s="2118" t="n">
        <v>0</v>
      </c>
      <c r="G1241" s="1764" t="n"/>
      <c r="H1241" s="1741" t="inlineStr">
        <is>
          <t>SUBETAPA</t>
        </is>
      </c>
      <c r="I1241" s="1742" t="inlineStr">
        <is>
          <t>10.001.001</t>
        </is>
      </c>
      <c r="J1241" s="1743" t="inlineStr">
        <is>
          <t xml:space="preserve">Equipamentos de piscina </t>
        </is>
      </c>
      <c r="K1241" s="1744" t="n"/>
      <c r="L1241" s="1745" t="n"/>
      <c r="M1241" s="1745" t="n"/>
      <c r="N1241" s="1746" t="n">
        <v>335622.948</v>
      </c>
      <c r="O1241" s="1747" t="n"/>
      <c r="P1241" s="1720" t="n"/>
    </row>
    <row r="1242" hidden="1" outlineLevel="3" ht="13.9" customHeight="1">
      <c r="A1242" s="2117" t="n">
        <v>0</v>
      </c>
      <c r="B1242" s="2117" t="n">
        <v>10</v>
      </c>
      <c r="C1242" s="2117" t="n">
        <v>1</v>
      </c>
      <c r="D1242" s="2118" t="n">
        <v>1</v>
      </c>
      <c r="E1242" s="2118" t="n">
        <v>1</v>
      </c>
      <c r="G1242" s="1748" t="inlineStr">
        <is>
          <t>INSTALAÇÕES E EQUIPAMENTOS E SISTEMAS ESPECIAIS</t>
        </is>
      </c>
      <c r="H1242" s="1749" t="inlineStr">
        <is>
          <t>SERVIÇO</t>
        </is>
      </c>
      <c r="I1242" s="1750" t="inlineStr">
        <is>
          <t>10.001.001.001</t>
        </is>
      </c>
      <c r="J1242" s="1751" t="inlineStr">
        <is>
          <t>Equipamentos de piscina</t>
        </is>
      </c>
      <c r="K1242" s="1752" t="inlineStr">
        <is>
          <t>vb</t>
        </is>
      </c>
      <c r="L1242" s="1753" t="n">
        <v>1</v>
      </c>
      <c r="M1242" s="1753" t="n">
        <v>84457.09800000001</v>
      </c>
      <c r="N1242" s="1754" t="n">
        <v>84457.098</v>
      </c>
      <c r="O1242" s="1755" t="n"/>
      <c r="P1242" s="1721" t="inlineStr">
        <is>
          <t>Pendente</t>
        </is>
      </c>
    </row>
    <row r="1243" hidden="1" outlineLevel="3" ht="13.9" customHeight="1">
      <c r="A1243" s="2117" t="n">
        <v>0</v>
      </c>
      <c r="B1243" s="2117" t="n">
        <v>10</v>
      </c>
      <c r="C1243" s="2117" t="n">
        <v>1</v>
      </c>
      <c r="D1243" s="2118" t="n">
        <v>1</v>
      </c>
      <c r="E1243" s="2118" t="n">
        <v>2</v>
      </c>
      <c r="G1243" s="1748" t="inlineStr">
        <is>
          <t>INSTALAÇÕES E EQUIPAMENTOS E SISTEMAS ESPECIAIS</t>
        </is>
      </c>
      <c r="H1243" s="1749" t="inlineStr">
        <is>
          <t>SERVIÇO</t>
        </is>
      </c>
      <c r="I1243" s="1750" t="inlineStr">
        <is>
          <t>10.001.001.002</t>
        </is>
      </c>
      <c r="J1243" s="1751" t="inlineStr">
        <is>
          <t>Piscina IGUI</t>
        </is>
      </c>
      <c r="K1243" s="1752" t="inlineStr">
        <is>
          <t>vb</t>
        </is>
      </c>
      <c r="L1243" s="1753" t="n">
        <v>1</v>
      </c>
      <c r="M1243" s="1753" t="n">
        <v>251165.85</v>
      </c>
      <c r="N1243" s="1754" t="n">
        <v>251165.85</v>
      </c>
      <c r="O1243" s="1755" t="n"/>
      <c r="P1243" s="1721" t="inlineStr">
        <is>
          <t>Pendente</t>
        </is>
      </c>
    </row>
    <row r="1244" hidden="1" outlineLevel="2" ht="13.9" customHeight="1">
      <c r="A1244" s="2117" t="n">
        <v>0</v>
      </c>
      <c r="B1244" s="2117" t="n">
        <v>10</v>
      </c>
      <c r="C1244" s="2117" t="n">
        <v>1</v>
      </c>
      <c r="D1244" s="2118" t="n">
        <v>2</v>
      </c>
      <c r="E1244" s="2118" t="n">
        <v>0</v>
      </c>
      <c r="G1244" s="1764" t="n"/>
      <c r="H1244" s="1741" t="inlineStr">
        <is>
          <t>SUBETAPA</t>
        </is>
      </c>
      <c r="I1244" s="1742" t="inlineStr">
        <is>
          <t>10.001.002</t>
        </is>
      </c>
      <c r="J1244" s="1743" t="inlineStr">
        <is>
          <t>Elevadores</t>
        </is>
      </c>
      <c r="K1244" s="1744" t="n"/>
      <c r="L1244" s="1745" t="n"/>
      <c r="M1244" s="1745" t="n"/>
      <c r="N1244" s="1746" t="n">
        <v>6949076.79</v>
      </c>
      <c r="O1244" s="1747" t="n"/>
      <c r="P1244" s="1720" t="n"/>
    </row>
    <row r="1245" hidden="1" outlineLevel="3" ht="13.9" customHeight="1">
      <c r="A1245" s="2117" t="n">
        <v>0</v>
      </c>
      <c r="B1245" s="2117" t="n">
        <v>10</v>
      </c>
      <c r="C1245" s="2117" t="n">
        <v>1</v>
      </c>
      <c r="D1245" s="2118" t="n">
        <v>2</v>
      </c>
      <c r="E1245" s="2118" t="n">
        <v>1</v>
      </c>
      <c r="G1245" s="1748" t="inlineStr">
        <is>
          <t>INSTALAÇÕES E EQUIPAMENTOS E SISTEMAS ESPECIAIS</t>
        </is>
      </c>
      <c r="H1245" s="1749" t="inlineStr">
        <is>
          <t>SERVIÇO</t>
        </is>
      </c>
      <c r="I1245" s="1750" t="inlineStr">
        <is>
          <t>10.001.002.001</t>
        </is>
      </c>
      <c r="J1245" s="1751" t="inlineStr">
        <is>
          <t>Elevadores Duplex</t>
        </is>
      </c>
      <c r="K1245" s="1752" t="inlineStr">
        <is>
          <t>un</t>
        </is>
      </c>
      <c r="L1245" s="1753" t="n">
        <v>1</v>
      </c>
      <c r="M1245" s="1753" t="n">
        <v>72000</v>
      </c>
      <c r="N1245" s="1754" t="n">
        <v>72000</v>
      </c>
      <c r="O1245" s="1761" t="inlineStr">
        <is>
          <t>Repessado pela Gessele na reunião do dia 05/03/2026 - incluir elevador duplex e plataforma elevatória lazer</t>
        </is>
      </c>
      <c r="P1245" s="1721" t="inlineStr">
        <is>
          <t>Pendente</t>
        </is>
      </c>
    </row>
    <row r="1246" hidden="1" outlineLevel="3" ht="13.9" customHeight="1">
      <c r="A1246" s="2117" t="n">
        <v>0</v>
      </c>
      <c r="B1246" s="2117" t="n">
        <v>10</v>
      </c>
      <c r="C1246" s="2117" t="n">
        <v>1</v>
      </c>
      <c r="D1246" s="2118" t="n">
        <v>2</v>
      </c>
      <c r="E1246" s="2118" t="n">
        <v>2</v>
      </c>
      <c r="G1246" s="1748" t="inlineStr">
        <is>
          <t>INSTALAÇÕES E EQUIPAMENTOS E SISTEMAS ESPECIAIS</t>
        </is>
      </c>
      <c r="H1246" s="1749" t="inlineStr">
        <is>
          <t>SERVIÇO</t>
        </is>
      </c>
      <c r="I1246" s="1750" t="inlineStr">
        <is>
          <t>10.001.002.002</t>
        </is>
      </c>
      <c r="J1246" s="1751" t="inlineStr">
        <is>
          <t>Plataforma elevatória lazer</t>
        </is>
      </c>
      <c r="K1246" s="1752" t="inlineStr">
        <is>
          <t>un</t>
        </is>
      </c>
      <c r="L1246" s="1753" t="n">
        <v>1</v>
      </c>
      <c r="M1246" s="1753" t="n">
        <v>29342.86</v>
      </c>
      <c r="N1246" s="1754" t="n">
        <v>29342.86</v>
      </c>
      <c r="O1246" s="1761" t="inlineStr">
        <is>
          <t>Repessado pela Gessele na reunião do dia 05/03/2026 - incluir elevador duplex e plataforma elevatória lazer</t>
        </is>
      </c>
      <c r="P1246" s="1721" t="inlineStr">
        <is>
          <t>Pendente</t>
        </is>
      </c>
    </row>
    <row r="1247" hidden="1" outlineLevel="3" ht="13.9" customHeight="1">
      <c r="A1247" s="2117" t="n">
        <v>0</v>
      </c>
      <c r="B1247" s="2117" t="n">
        <v>10</v>
      </c>
      <c r="C1247" s="2117" t="n">
        <v>1</v>
      </c>
      <c r="D1247" s="2118" t="n">
        <v>2</v>
      </c>
      <c r="E1247" s="2118" t="n">
        <v>3</v>
      </c>
      <c r="G1247" s="1748" t="inlineStr">
        <is>
          <t>INSTALAÇÕES E EQUIPAMENTOS E SISTEMAS ESPECIAIS</t>
        </is>
      </c>
      <c r="H1247" s="1749" t="inlineStr">
        <is>
          <t>SERVIÇO</t>
        </is>
      </c>
      <c r="I1247" s="1750" t="inlineStr">
        <is>
          <t>10.001.002.003</t>
        </is>
      </c>
      <c r="J1247" s="1751" t="inlineStr">
        <is>
          <t>Elevadores Sociais</t>
        </is>
      </c>
      <c r="K1247" s="1752" t="inlineStr">
        <is>
          <t>un</t>
        </is>
      </c>
      <c r="L1247" s="1753" t="n">
        <v>1</v>
      </c>
      <c r="M1247" s="1753" t="n">
        <v>1175729.59</v>
      </c>
      <c r="N1247" s="1754" t="n">
        <v>1175729.59</v>
      </c>
      <c r="O1247" s="1755" t="inlineStr">
        <is>
          <t>Proposta TKE</t>
        </is>
      </c>
      <c r="P1247" s="1721" t="inlineStr">
        <is>
          <t>Pendente</t>
        </is>
      </c>
    </row>
    <row r="1248" hidden="1" outlineLevel="3" ht="13.9" customHeight="1">
      <c r="A1248" s="2117" t="n">
        <v>0</v>
      </c>
      <c r="B1248" s="2117" t="n">
        <v>10</v>
      </c>
      <c r="C1248" s="2117" t="n">
        <v>1</v>
      </c>
      <c r="D1248" s="2118" t="n">
        <v>2</v>
      </c>
      <c r="E1248" s="2118" t="n">
        <v>4</v>
      </c>
      <c r="G1248" s="1748" t="inlineStr">
        <is>
          <t>INSTALAÇÕES E EQUIPAMENTOS E SISTEMAS ESPECIAIS</t>
        </is>
      </c>
      <c r="H1248" s="1749" t="inlineStr">
        <is>
          <t>SERVIÇO</t>
        </is>
      </c>
      <c r="I1248" s="1750" t="inlineStr">
        <is>
          <t>10.001.002.004</t>
        </is>
      </c>
      <c r="J1248" s="1751" t="inlineStr">
        <is>
          <t>Elevadores Emergência</t>
        </is>
      </c>
      <c r="K1248" s="1752" t="inlineStr">
        <is>
          <t>un</t>
        </is>
      </c>
      <c r="L1248" s="1753" t="n">
        <v>2</v>
      </c>
      <c r="M1248" s="1753" t="n">
        <v>1486002.17</v>
      </c>
      <c r="N1248" s="1754" t="n">
        <v>2972004.34</v>
      </c>
      <c r="O1248" s="1755" t="inlineStr">
        <is>
          <t>Proposta TKE</t>
        </is>
      </c>
      <c r="P1248" s="1721" t="inlineStr">
        <is>
          <t>Pendente</t>
        </is>
      </c>
    </row>
    <row r="1249" hidden="1" outlineLevel="3" ht="13.9" customHeight="1">
      <c r="A1249" s="2117" t="n">
        <v>0</v>
      </c>
      <c r="B1249" s="2117" t="n">
        <v>10</v>
      </c>
      <c r="C1249" s="2117" t="n">
        <v>1</v>
      </c>
      <c r="D1249" s="2118" t="n">
        <v>2</v>
      </c>
      <c r="E1249" s="2118" t="n">
        <v>5</v>
      </c>
      <c r="G1249" s="1748" t="inlineStr">
        <is>
          <t>INSTALAÇÕES E EQUIPAMENTOS E SISTEMAS ESPECIAIS</t>
        </is>
      </c>
      <c r="H1249" s="1749" t="inlineStr">
        <is>
          <t>SERVIÇO</t>
        </is>
      </c>
      <c r="I1249" s="1750" t="inlineStr">
        <is>
          <t>10.001.002.005</t>
        </is>
      </c>
      <c r="J1249" s="1751" t="inlineStr">
        <is>
          <t>Elevadores de Automoveis</t>
        </is>
      </c>
      <c r="K1249" s="1752" t="inlineStr">
        <is>
          <t>un</t>
        </is>
      </c>
      <c r="L1249" s="1753" t="n">
        <v>2</v>
      </c>
      <c r="M1249" s="1753" t="n">
        <v>1350000</v>
      </c>
      <c r="N1249" s="1754" t="n">
        <v>2700000</v>
      </c>
      <c r="O1249" s="1761" t="inlineStr">
        <is>
          <t>Repessado pela Gessele na reunião do dia 05/03/2026 - talvez fecharemos com a Elotech --&gt; R$ 2,7MM os 2 elevadores</t>
        </is>
      </c>
      <c r="P1249" s="1721" t="inlineStr">
        <is>
          <t>Pendente</t>
        </is>
      </c>
    </row>
    <row r="1250" hidden="1" outlineLevel="2" ht="13.9" customHeight="1">
      <c r="A1250" s="2117" t="n">
        <v>0</v>
      </c>
      <c r="B1250" s="2117" t="n">
        <v>10</v>
      </c>
      <c r="C1250" s="2117" t="n">
        <v>1</v>
      </c>
      <c r="D1250" s="2118" t="n">
        <v>3</v>
      </c>
      <c r="E1250" s="2118" t="n">
        <v>0</v>
      </c>
      <c r="G1250" s="1764" t="n"/>
      <c r="H1250" s="1741" t="inlineStr">
        <is>
          <t>SUBETAPA</t>
        </is>
      </c>
      <c r="I1250" s="1742" t="inlineStr">
        <is>
          <t>10.001.003</t>
        </is>
      </c>
      <c r="J1250" s="1743" t="inlineStr">
        <is>
          <t>Infraestrutura para carregamento de carro elétrico</t>
        </is>
      </c>
      <c r="K1250" s="1744" t="n"/>
      <c r="L1250" s="1745" t="n"/>
      <c r="M1250" s="1745" t="n"/>
      <c r="N1250" s="1746" t="n">
        <v>31200</v>
      </c>
      <c r="O1250" s="1747" t="n"/>
      <c r="P1250" s="1720" t="n"/>
    </row>
    <row r="1251" hidden="1" outlineLevel="3" ht="13.9" customHeight="1">
      <c r="A1251" s="2117" t="n">
        <v>0</v>
      </c>
      <c r="B1251" s="2117" t="n">
        <v>10</v>
      </c>
      <c r="C1251" s="2117" t="n">
        <v>1</v>
      </c>
      <c r="D1251" s="2118" t="n">
        <v>3</v>
      </c>
      <c r="E1251" s="2118" t="n">
        <v>1</v>
      </c>
      <c r="G1251" s="1748" t="inlineStr">
        <is>
          <t>INSTALAÇÕES E EQUIPAMENTOS E SISTEMAS ESPECIAIS</t>
        </is>
      </c>
      <c r="H1251" s="1749" t="inlineStr">
        <is>
          <t>SERVIÇO</t>
        </is>
      </c>
      <c r="I1251" s="1750" t="inlineStr">
        <is>
          <t>10.001.003.001</t>
        </is>
      </c>
      <c r="J1251" s="1751" t="inlineStr">
        <is>
          <t>Infraestrutura para carregamento de carro elétrico</t>
        </is>
      </c>
      <c r="K1251" s="1752" t="inlineStr">
        <is>
          <t>un</t>
        </is>
      </c>
      <c r="L1251" s="1753" t="n">
        <v>48</v>
      </c>
      <c r="M1251" s="1753" t="n">
        <v>650</v>
      </c>
      <c r="N1251" s="1754" t="n">
        <v>31200</v>
      </c>
      <c r="O1251" s="1765" t="inlineStr">
        <is>
          <t>Considerado os ponto conforme o projeto de eletrica</t>
        </is>
      </c>
      <c r="P1251" s="1721" t="inlineStr">
        <is>
          <t>Pendente</t>
        </is>
      </c>
    </row>
    <row r="1252" collapsed="1" ht="13.9" customHeight="1">
      <c r="A1252" s="2117" t="n">
        <v>0</v>
      </c>
      <c r="B1252" s="2117" t="n">
        <v>11</v>
      </c>
      <c r="C1252" s="2117" t="n">
        <v>0</v>
      </c>
      <c r="D1252" s="2118" t="n">
        <v>3</v>
      </c>
      <c r="E1252" s="2118" t="n">
        <v>1</v>
      </c>
      <c r="F1252" s="474" t="n"/>
      <c r="G1252" s="1791" t="n"/>
      <c r="H1252" s="1727" t="inlineStr">
        <is>
          <t>CÉLULA CONSTRUTIVA</t>
        </is>
      </c>
      <c r="I1252" s="1728" t="inlineStr">
        <is>
          <t>11</t>
        </is>
      </c>
      <c r="J1252" s="1729" t="inlineStr">
        <is>
          <t>CLIMATIZAÇÃO, EXAUSTÃO MECÂNICA</t>
        </is>
      </c>
      <c r="K1252" s="1730" t="n"/>
      <c r="L1252" s="1731" t="n"/>
      <c r="M1252" s="1731" t="n"/>
      <c r="N1252" s="1732" t="n">
        <v>933451.700000001</v>
      </c>
      <c r="O1252" s="1770" t="n">
        <v>55.7295576569568</v>
      </c>
      <c r="P1252" s="1724" t="n"/>
    </row>
    <row r="1253" hidden="1" outlineLevel="1" ht="13.9" customHeight="1">
      <c r="A1253" s="2117" t="n">
        <v>0</v>
      </c>
      <c r="B1253" s="2117" t="n">
        <v>11</v>
      </c>
      <c r="C1253" s="2117" t="n">
        <v>1</v>
      </c>
      <c r="D1253" s="2118" t="n">
        <v>0</v>
      </c>
      <c r="E1253" s="2118" t="n">
        <v>1</v>
      </c>
      <c r="G1253" s="1733" t="n"/>
      <c r="H1253" s="1734" t="inlineStr">
        <is>
          <t>ETAPA</t>
        </is>
      </c>
      <c r="I1253" s="1735" t="inlineStr">
        <is>
          <t>11.001</t>
        </is>
      </c>
      <c r="J1253" s="1736" t="inlineStr">
        <is>
          <t>CLIMATIZAÇÃO, EXAUSTÃO MECÂNICA E PRESSURIZAÇÃO - Térreo</t>
        </is>
      </c>
      <c r="K1253" s="1737" t="n"/>
      <c r="L1253" s="1738" t="n"/>
      <c r="M1253" s="1738" t="n"/>
      <c r="N1253" s="1739" t="n">
        <v>50951.7837720021</v>
      </c>
      <c r="O1253" s="1722" t="n"/>
      <c r="P1253" s="1725" t="n"/>
    </row>
    <row r="1254" hidden="1" outlineLevel="2" ht="13.9" customHeight="1">
      <c r="A1254" s="2117" t="n">
        <v>0</v>
      </c>
      <c r="B1254" s="2117" t="n">
        <v>11</v>
      </c>
      <c r="C1254" s="2117" t="n">
        <v>1</v>
      </c>
      <c r="D1254" s="2118" t="n">
        <v>1</v>
      </c>
      <c r="E1254" s="2118" t="n">
        <v>0</v>
      </c>
      <c r="G1254" s="1740" t="n"/>
      <c r="H1254" s="1741" t="inlineStr">
        <is>
          <t>SUBETAPA</t>
        </is>
      </c>
      <c r="I1254" s="1742" t="inlineStr">
        <is>
          <t>11.001.001</t>
        </is>
      </c>
      <c r="J1254" s="1743" t="inlineStr">
        <is>
          <t>Climatização</t>
        </is>
      </c>
      <c r="K1254" s="1744" t="n"/>
      <c r="L1254" s="1745" t="n"/>
      <c r="M1254" s="1745" t="n"/>
      <c r="N1254" s="1746" t="n">
        <v>33389.609572922</v>
      </c>
      <c r="O1254" s="1747" t="n"/>
      <c r="P1254" s="1720" t="n"/>
    </row>
    <row r="1255" hidden="1" outlineLevel="3" ht="33.75" customHeight="1">
      <c r="A1255" s="2117" t="n">
        <v>0</v>
      </c>
      <c r="B1255" s="2117" t="n">
        <v>11</v>
      </c>
      <c r="C1255" s="2117" t="n">
        <v>1</v>
      </c>
      <c r="D1255" s="2118" t="n">
        <v>1</v>
      </c>
      <c r="E1255" s="2118" t="n">
        <v>1</v>
      </c>
      <c r="G1255" s="1790" t="inlineStr">
        <is>
          <t>CLIMATIZAÇÃO, EXAUSTÃO MECÂNICA</t>
        </is>
      </c>
      <c r="H1255" s="1749" t="inlineStr">
        <is>
          <t>SERVIÇO</t>
        </is>
      </c>
      <c r="I1255" s="1750" t="inlineStr">
        <is>
          <t>11.001.001.001</t>
        </is>
      </c>
      <c r="J1255" s="1751" t="inlineStr">
        <is>
          <t>Infraestrutura para instalação de ar condicionado</t>
        </is>
      </c>
      <c r="K1255" s="1752" t="inlineStr">
        <is>
          <t>vb</t>
        </is>
      </c>
      <c r="L1255" s="1753" t="n">
        <v>1</v>
      </c>
      <c r="M1255" s="1753" t="n">
        <v>25725.17851273137</v>
      </c>
      <c r="N1255" s="1754" t="n">
        <v>25725.1785127314</v>
      </c>
      <c r="O1255" s="1761" t="inlineStr">
        <is>
          <t>Repessado pela Gessele na reunião do dia 05/03/2026 - temos orçamento climatização + aspiração: material + M.O - climatização: R$ 400k - aspiração: R$ 212k - exceto equipamentos e exaustão churrasqueiras</t>
        </is>
      </c>
      <c r="P1255" s="1721" t="inlineStr">
        <is>
          <t>Pendente</t>
        </is>
      </c>
    </row>
    <row r="1256" hidden="1" outlineLevel="3" ht="33" customHeight="1">
      <c r="A1256" s="2117" t="n">
        <v>0</v>
      </c>
      <c r="B1256" s="2117" t="n">
        <v>11</v>
      </c>
      <c r="C1256" s="2117" t="n">
        <v>1</v>
      </c>
      <c r="D1256" s="2118" t="n">
        <v>1</v>
      </c>
      <c r="E1256" s="2118" t="n">
        <v>2</v>
      </c>
      <c r="G1256" s="1790" t="inlineStr">
        <is>
          <t>CLIMATIZAÇÃO, EXAUSTÃO MECÂNICA</t>
        </is>
      </c>
      <c r="H1256" s="1749" t="inlineStr">
        <is>
          <t>SERVIÇO</t>
        </is>
      </c>
      <c r="I1256" s="1750" t="inlineStr">
        <is>
          <t>11.001.001.002</t>
        </is>
      </c>
      <c r="J1256" s="1751" t="inlineStr">
        <is>
          <t>Equipamento de ar condicionado</t>
        </is>
      </c>
      <c r="K1256" s="1752" t="inlineStr">
        <is>
          <t>vb</t>
        </is>
      </c>
      <c r="L1256" s="1753" t="n">
        <v>1</v>
      </c>
      <c r="M1256" s="1753" t="n">
        <v>7664.431060190622</v>
      </c>
      <c r="N1256" s="1754" t="n">
        <v>7664.43106019062</v>
      </c>
      <c r="O1256" s="1761" t="inlineStr">
        <is>
          <t xml:space="preserve">Repessado pela Gessele na reunião do dia 05/03/2026 - considerar equipamentos somente das áreas comum: hall, guarita, lazer 01 e 02 </t>
        </is>
      </c>
      <c r="P1256" s="1721" t="inlineStr">
        <is>
          <t>Pendente</t>
        </is>
      </c>
    </row>
    <row r="1257" hidden="1" outlineLevel="2" ht="13.9" customHeight="1">
      <c r="A1257" s="2117" t="n">
        <v>0</v>
      </c>
      <c r="B1257" s="2117" t="n">
        <v>11</v>
      </c>
      <c r="C1257" s="2117" t="n">
        <v>1</v>
      </c>
      <c r="D1257" s="2118" t="n">
        <v>2</v>
      </c>
      <c r="E1257" s="2118" t="n">
        <v>0</v>
      </c>
      <c r="G1257" s="1740" t="n"/>
      <c r="H1257" s="1741" t="inlineStr">
        <is>
          <t>SUBETAPA</t>
        </is>
      </c>
      <c r="I1257" s="1742" t="inlineStr">
        <is>
          <t>11.001.002</t>
        </is>
      </c>
      <c r="J1257" s="1743" t="inlineStr">
        <is>
          <t>Exaustão</t>
        </is>
      </c>
      <c r="K1257" s="1744" t="n"/>
      <c r="L1257" s="1745" t="n"/>
      <c r="M1257" s="1745" t="n"/>
      <c r="N1257" s="1746" t="n">
        <v>1952.03940813531</v>
      </c>
      <c r="O1257" s="1747" t="n"/>
      <c r="P1257" s="1720" t="n"/>
    </row>
    <row r="1258" hidden="1" outlineLevel="3" ht="13.9" customHeight="1">
      <c r="A1258" s="2117" t="n">
        <v>0</v>
      </c>
      <c r="B1258" s="2117" t="n">
        <v>11</v>
      </c>
      <c r="C1258" s="2117" t="n">
        <v>1</v>
      </c>
      <c r="D1258" s="2118" t="n">
        <v>2</v>
      </c>
      <c r="E1258" s="2118" t="n">
        <v>1</v>
      </c>
      <c r="G1258" s="1790" t="inlineStr">
        <is>
          <t>CLIMATIZAÇÃO, EXAUSTÃO MECÂNICA</t>
        </is>
      </c>
      <c r="H1258" s="1749" t="inlineStr">
        <is>
          <t>SERVIÇO</t>
        </is>
      </c>
      <c r="I1258" s="1750" t="inlineStr">
        <is>
          <t>11.001.002.001</t>
        </is>
      </c>
      <c r="J1258" s="1751" t="inlineStr">
        <is>
          <t>Equipamento de exaustão</t>
        </is>
      </c>
      <c r="K1258" s="1752" t="inlineStr">
        <is>
          <t>vb</t>
        </is>
      </c>
      <c r="L1258" s="1753" t="n">
        <v>1</v>
      </c>
      <c r="M1258" s="1753" t="n">
        <v>1952.039408135313</v>
      </c>
      <c r="N1258" s="1754" t="n">
        <v>1952.03940813531</v>
      </c>
      <c r="O1258" s="1755" t="inlineStr">
        <is>
          <t>Exaustor</t>
        </is>
      </c>
      <c r="P1258" s="1721" t="inlineStr">
        <is>
          <t>Pendente</t>
        </is>
      </c>
    </row>
    <row r="1259" hidden="1" outlineLevel="2" ht="13.9" customHeight="1">
      <c r="A1259" s="2117" t="n">
        <v>0</v>
      </c>
      <c r="B1259" s="2117" t="n">
        <v>11</v>
      </c>
      <c r="C1259" s="2117" t="n">
        <v>1</v>
      </c>
      <c r="D1259" s="2118" t="n">
        <v>3</v>
      </c>
      <c r="E1259" s="2118" t="n">
        <v>0</v>
      </c>
      <c r="G1259" s="1740" t="n"/>
      <c r="H1259" s="1741" t="inlineStr">
        <is>
          <t>SUBETAPA</t>
        </is>
      </c>
      <c r="I1259" s="1742" t="inlineStr">
        <is>
          <t>11.001.003</t>
        </is>
      </c>
      <c r="J1259" s="1743" t="inlineStr">
        <is>
          <t>Aspiração</t>
        </is>
      </c>
      <c r="K1259" s="1744" t="n"/>
      <c r="L1259" s="1745" t="n"/>
      <c r="M1259" s="1745" t="n"/>
      <c r="N1259" s="1746" t="n">
        <v>13757.9219380282</v>
      </c>
      <c r="O1259" s="1747" t="n"/>
      <c r="P1259" s="1720" t="n"/>
    </row>
    <row r="1260" hidden="1" outlineLevel="3" ht="13.9" customHeight="1">
      <c r="A1260" s="2117" t="n">
        <v>0</v>
      </c>
      <c r="B1260" s="2117" t="n">
        <v>11</v>
      </c>
      <c r="C1260" s="2117" t="n">
        <v>1</v>
      </c>
      <c r="D1260" s="2118" t="n">
        <v>3</v>
      </c>
      <c r="E1260" s="2118" t="n">
        <v>1</v>
      </c>
      <c r="G1260" s="1790" t="inlineStr">
        <is>
          <t>CLIMATIZAÇÃO, EXAUSTÃO MECÂNICA</t>
        </is>
      </c>
      <c r="H1260" s="1749" t="inlineStr">
        <is>
          <t>SERVIÇO</t>
        </is>
      </c>
      <c r="I1260" s="1750" t="inlineStr">
        <is>
          <t>11.001.003.001</t>
        </is>
      </c>
      <c r="J1260" s="1751" t="inlineStr">
        <is>
          <t>Equipamento de Aspiração</t>
        </is>
      </c>
      <c r="K1260" s="1752" t="inlineStr">
        <is>
          <t>vb</t>
        </is>
      </c>
      <c r="L1260" s="1753" t="n">
        <v>1</v>
      </c>
      <c r="M1260" s="1753" t="n">
        <v>123.5773262805333</v>
      </c>
      <c r="N1260" s="1754" t="n">
        <v>123.577326280533</v>
      </c>
      <c r="O1260" s="1755" t="inlineStr">
        <is>
          <t>Equipamento de aspiração + Considerado o material de aspiração localizado na planilha de iluminação</t>
        </is>
      </c>
      <c r="P1260" s="1721" t="inlineStr">
        <is>
          <t>Pendente</t>
        </is>
      </c>
    </row>
    <row r="1261" hidden="1" outlineLevel="3" ht="13.9" customHeight="1">
      <c r="A1261" s="2117" t="n">
        <v>0</v>
      </c>
      <c r="B1261" s="2117" t="n">
        <v>11</v>
      </c>
      <c r="C1261" s="2117" t="n">
        <v>1</v>
      </c>
      <c r="D1261" s="2118" t="n">
        <v>3</v>
      </c>
      <c r="E1261" s="2118" t="n">
        <v>2</v>
      </c>
      <c r="G1261" s="1790" t="inlineStr">
        <is>
          <t>CLIMATIZAÇÃO, EXAUSTÃO MECÂNICA</t>
        </is>
      </c>
      <c r="H1261" s="1749" t="inlineStr">
        <is>
          <t>SERVIÇO</t>
        </is>
      </c>
      <c r="I1261" s="1750" t="inlineStr">
        <is>
          <t>11.001.003.002</t>
        </is>
      </c>
      <c r="J1261" s="1751" t="inlineStr">
        <is>
          <t>Infraestrutua de Aspiração</t>
        </is>
      </c>
      <c r="K1261" s="1752" t="inlineStr">
        <is>
          <t>vb</t>
        </is>
      </c>
      <c r="L1261" s="1753" t="n">
        <v>1</v>
      </c>
      <c r="M1261" s="1753" t="n">
        <v>13634.34461174763</v>
      </c>
      <c r="N1261" s="1754" t="n">
        <v>13634.3446117476</v>
      </c>
      <c r="O1261" s="1761" t="inlineStr">
        <is>
          <t>Repessado pela Gessele na reunião do dia 05/03/2026 - temos orçamento climatização + aspiração: material + M.O - climatização: R$ 400k - aspiração: R$ 212k - exceto equipamentos e exaustão churrasqueiras</t>
        </is>
      </c>
      <c r="P1261" s="1721" t="inlineStr">
        <is>
          <t>Pendente</t>
        </is>
      </c>
    </row>
    <row r="1262" hidden="1" outlineLevel="2" ht="13.9" customHeight="1">
      <c r="A1262" s="2117" t="n">
        <v>0</v>
      </c>
      <c r="B1262" s="2117" t="n">
        <v>11</v>
      </c>
      <c r="C1262" s="2117" t="n">
        <v>1</v>
      </c>
      <c r="D1262" s="2118" t="n">
        <v>4</v>
      </c>
      <c r="E1262" s="2118" t="n">
        <v>0</v>
      </c>
      <c r="G1262" s="1740" t="n"/>
      <c r="H1262" s="1741" t="inlineStr">
        <is>
          <t>SUBETAPA</t>
        </is>
      </c>
      <c r="I1262" s="1742" t="inlineStr">
        <is>
          <t>11.001.004</t>
        </is>
      </c>
      <c r="J1262" s="1743" t="inlineStr">
        <is>
          <t>Exaustão de churrasqueiras</t>
        </is>
      </c>
      <c r="K1262" s="1744" t="n"/>
      <c r="L1262" s="1745" t="n"/>
      <c r="M1262" s="1745" t="n"/>
      <c r="N1262" s="1746" t="n">
        <v>0</v>
      </c>
      <c r="O1262" s="1747" t="n"/>
      <c r="P1262" s="1720" t="n"/>
    </row>
    <row r="1263" hidden="1" outlineLevel="3" ht="13.9" customHeight="1">
      <c r="A1263" s="2117" t="n">
        <v>0</v>
      </c>
      <c r="B1263" s="2117" t="n">
        <v>11</v>
      </c>
      <c r="C1263" s="2117" t="n">
        <v>1</v>
      </c>
      <c r="D1263" s="2118" t="n">
        <v>4</v>
      </c>
      <c r="E1263" s="2118" t="n">
        <v>1</v>
      </c>
      <c r="G1263" s="1790" t="inlineStr">
        <is>
          <t>CLIMATIZAÇÃO, EXAUSTÃO MECÂNICA</t>
        </is>
      </c>
      <c r="H1263" s="1749" t="inlineStr">
        <is>
          <t>SERVIÇO</t>
        </is>
      </c>
      <c r="I1263" s="1750" t="inlineStr">
        <is>
          <t>11.001.004.001</t>
        </is>
      </c>
      <c r="J1263" s="1751" t="inlineStr">
        <is>
          <t>Exaustão de churrasqueiras</t>
        </is>
      </c>
      <c r="K1263" s="1752" t="inlineStr">
        <is>
          <t>un</t>
        </is>
      </c>
      <c r="L1263" s="1753" t="n">
        <v>0</v>
      </c>
      <c r="M1263" s="1753" t="n">
        <v>2262</v>
      </c>
      <c r="N1263" s="1754" t="n">
        <v>0</v>
      </c>
      <c r="O1263" s="1755" t="inlineStr">
        <is>
          <t>Considerado 1 por churrasqueira</t>
        </is>
      </c>
      <c r="P1263" s="1721" t="inlineStr">
        <is>
          <t>Pendente</t>
        </is>
      </c>
    </row>
    <row r="1264" hidden="1" outlineLevel="3" ht="13.9" customHeight="1">
      <c r="A1264" s="2117" t="n">
        <v>0</v>
      </c>
      <c r="B1264" s="2117" t="n">
        <v>11</v>
      </c>
      <c r="C1264" s="2117" t="n">
        <v>1</v>
      </c>
      <c r="D1264" s="2118" t="n">
        <v>4</v>
      </c>
      <c r="E1264" s="2118" t="n">
        <v>2</v>
      </c>
      <c r="G1264" s="1790" t="inlineStr">
        <is>
          <t>CLIMATIZAÇÃO, EXAUSTÃO MECÂNICA</t>
        </is>
      </c>
      <c r="H1264" s="1749" t="inlineStr">
        <is>
          <t>SERVIÇO</t>
        </is>
      </c>
      <c r="I1264" s="1750" t="inlineStr">
        <is>
          <t>11.001.004.002</t>
        </is>
      </c>
      <c r="J1264" s="1751" t="inlineStr">
        <is>
          <t>Exaustão de cozinha</t>
        </is>
      </c>
      <c r="K1264" s="1752" t="inlineStr">
        <is>
          <t>un</t>
        </is>
      </c>
      <c r="L1264" s="1753" t="n">
        <v>0</v>
      </c>
      <c r="M1264" s="1753" t="n">
        <v>1100</v>
      </c>
      <c r="N1264" s="1754" t="n">
        <v>0</v>
      </c>
      <c r="O1264" s="1755" t="inlineStr">
        <is>
          <t>Considerado 1 por cozinha</t>
        </is>
      </c>
      <c r="P1264" s="1721" t="inlineStr">
        <is>
          <t>Pendente</t>
        </is>
      </c>
    </row>
    <row r="1265" hidden="1" outlineLevel="2" ht="13.9" customHeight="1">
      <c r="A1265" s="2117" t="n">
        <v>0</v>
      </c>
      <c r="B1265" s="2117" t="n">
        <v>11</v>
      </c>
      <c r="C1265" s="2117" t="n">
        <v>1</v>
      </c>
      <c r="D1265" s="2118" t="n">
        <v>5</v>
      </c>
      <c r="E1265" s="2118" t="n">
        <v>0</v>
      </c>
      <c r="G1265" s="1740" t="n"/>
      <c r="H1265" s="1741" t="inlineStr">
        <is>
          <t>SUBETAPA</t>
        </is>
      </c>
      <c r="I1265" s="1742" t="inlineStr">
        <is>
          <t>11.001.005</t>
        </is>
      </c>
      <c r="J1265" s="1743" t="inlineStr">
        <is>
          <t>Mão de obra</t>
        </is>
      </c>
      <c r="K1265" s="1744" t="n"/>
      <c r="L1265" s="1745" t="n"/>
      <c r="M1265" s="1745" t="n"/>
      <c r="N1265" s="1746" t="n">
        <v>1852.21285291666</v>
      </c>
      <c r="O1265" s="1747" t="n"/>
      <c r="P1265" s="1720" t="n"/>
    </row>
    <row r="1266" hidden="1" outlineLevel="3" ht="13.9" customHeight="1">
      <c r="A1266" s="2117" t="n">
        <v>0</v>
      </c>
      <c r="B1266" s="2117" t="n">
        <v>11</v>
      </c>
      <c r="C1266" s="2117" t="n">
        <v>1</v>
      </c>
      <c r="D1266" s="2118" t="n">
        <v>5</v>
      </c>
      <c r="E1266" s="2118" t="n">
        <v>1</v>
      </c>
      <c r="G1266" s="1790" t="inlineStr">
        <is>
          <t>CLIMATIZAÇÃO, EXAUSTÃO MECÂNICA</t>
        </is>
      </c>
      <c r="H1266" s="1749" t="inlineStr">
        <is>
          <t>SERVIÇO</t>
        </is>
      </c>
      <c r="I1266" s="1750" t="inlineStr">
        <is>
          <t>11.001.005.001</t>
        </is>
      </c>
      <c r="J1266" s="1751" t="inlineStr">
        <is>
          <t>Mão de obra de instalação de equipamentos</t>
        </is>
      </c>
      <c r="K1266" s="1752" t="inlineStr">
        <is>
          <t>vb</t>
        </is>
      </c>
      <c r="L1266" s="1753" t="n">
        <v>1</v>
      </c>
      <c r="M1266" s="1753" t="n">
        <v>1852.212852916659</v>
      </c>
      <c r="N1266" s="1754" t="n">
        <v>1852.21285291666</v>
      </c>
      <c r="O1266" s="1755" t="inlineStr">
        <is>
          <t>Considerado 1200 por equipamento (lazer) - retirado os outros itens da mão de obra, pois englobam nos valores repassados pela GESSELE</t>
        </is>
      </c>
      <c r="P1266" s="1721" t="inlineStr">
        <is>
          <t>Pendente</t>
        </is>
      </c>
    </row>
    <row r="1267" hidden="1" outlineLevel="1" ht="13.9" customHeight="1">
      <c r="A1267" s="2117" t="n">
        <v>0</v>
      </c>
      <c r="B1267" s="2117" t="n">
        <v>11</v>
      </c>
      <c r="C1267" s="2117" t="n">
        <v>2</v>
      </c>
      <c r="D1267" s="2118" t="n">
        <v>0</v>
      </c>
      <c r="E1267" s="2118" t="n">
        <v>1</v>
      </c>
      <c r="G1267" s="1733" t="n"/>
      <c r="H1267" s="1734" t="inlineStr">
        <is>
          <t>ETAPA</t>
        </is>
      </c>
      <c r="I1267" s="1735" t="inlineStr">
        <is>
          <t>11.002</t>
        </is>
      </c>
      <c r="J1267" s="1736" t="inlineStr">
        <is>
          <t>CLIMATIZAÇÃO, EXAUSTÃO MECÂNICA E PRESSURIZAÇÃO - Lazer | Garagem</t>
        </is>
      </c>
      <c r="K1267" s="1737" t="n"/>
      <c r="L1267" s="1738" t="n"/>
      <c r="M1267" s="1738" t="n"/>
      <c r="N1267" s="1739" t="n">
        <v>57957.0208612548</v>
      </c>
      <c r="O1267" s="1722" t="n"/>
      <c r="P1267" s="1725" t="n"/>
    </row>
    <row r="1268" hidden="1" outlineLevel="2" ht="13.9" customHeight="1">
      <c r="A1268" s="2117" t="n">
        <v>0</v>
      </c>
      <c r="B1268" s="2117" t="n">
        <v>11</v>
      </c>
      <c r="C1268" s="2117" t="n">
        <v>2</v>
      </c>
      <c r="D1268" s="2118" t="n">
        <v>1</v>
      </c>
      <c r="E1268" s="2118" t="n">
        <v>0</v>
      </c>
      <c r="G1268" s="1740" t="n"/>
      <c r="H1268" s="1741" t="inlineStr">
        <is>
          <t>SUBETAPA</t>
        </is>
      </c>
      <c r="I1268" s="1742" t="inlineStr">
        <is>
          <t>11.002.001</t>
        </is>
      </c>
      <c r="J1268" s="1743" t="inlineStr">
        <is>
          <t>Climatização</t>
        </is>
      </c>
      <c r="K1268" s="1744" t="n"/>
      <c r="L1268" s="1745" t="n"/>
      <c r="M1268" s="1745" t="n"/>
      <c r="N1268" s="1746" t="n">
        <v>37980.2659554848</v>
      </c>
      <c r="O1268" s="1747" t="n"/>
      <c r="P1268" s="1720" t="n"/>
    </row>
    <row r="1269" hidden="1" outlineLevel="3" ht="33.75" customHeight="1">
      <c r="A1269" s="2117" t="n">
        <v>0</v>
      </c>
      <c r="B1269" s="2117" t="n">
        <v>11</v>
      </c>
      <c r="C1269" s="2117" t="n">
        <v>2</v>
      </c>
      <c r="D1269" s="2118" t="n">
        <v>1</v>
      </c>
      <c r="E1269" s="2118" t="n">
        <v>1</v>
      </c>
      <c r="G1269" s="1790" t="inlineStr">
        <is>
          <t>CLIMATIZAÇÃO, EXAUSTÃO MECÂNICA</t>
        </is>
      </c>
      <c r="H1269" s="1749" t="inlineStr">
        <is>
          <t>SERVIÇO</t>
        </is>
      </c>
      <c r="I1269" s="1750" t="inlineStr">
        <is>
          <t>11.002.001.001</t>
        </is>
      </c>
      <c r="J1269" s="1751" t="inlineStr">
        <is>
          <t>Infraestrutura para instalação de ar condicionado</t>
        </is>
      </c>
      <c r="K1269" s="1752" t="inlineStr">
        <is>
          <t>vb</t>
        </is>
      </c>
      <c r="L1269" s="1753" t="n">
        <v>1</v>
      </c>
      <c r="M1269" s="1753" t="n">
        <v>29262.07087064049</v>
      </c>
      <c r="N1269" s="1754" t="n">
        <v>29262.0708706405</v>
      </c>
      <c r="O1269" s="1761" t="inlineStr">
        <is>
          <t>Repessado pela Gessele na reunião do dia 05/03/2026 - temos orçamento climatização + aspiração: material + M.O - climatização: R$ 400k - aspiração: R$ 212k - exceto equipamentos e exaustão churrasqueiras</t>
        </is>
      </c>
      <c r="P1269" s="1721" t="inlineStr">
        <is>
          <t>Pendente</t>
        </is>
      </c>
    </row>
    <row r="1270" hidden="1" outlineLevel="3" ht="33" customHeight="1">
      <c r="A1270" s="2117" t="n">
        <v>0</v>
      </c>
      <c r="B1270" s="2117" t="n">
        <v>11</v>
      </c>
      <c r="C1270" s="2117" t="n">
        <v>2</v>
      </c>
      <c r="D1270" s="2118" t="n">
        <v>1</v>
      </c>
      <c r="E1270" s="2118" t="n">
        <v>2</v>
      </c>
      <c r="G1270" s="1790" t="inlineStr">
        <is>
          <t>CLIMATIZAÇÃO, EXAUSTÃO MECÂNICA</t>
        </is>
      </c>
      <c r="H1270" s="1749" t="inlineStr">
        <is>
          <t>SERVIÇO</t>
        </is>
      </c>
      <c r="I1270" s="1750" t="inlineStr">
        <is>
          <t>11.002.001.002</t>
        </is>
      </c>
      <c r="J1270" s="1751" t="inlineStr">
        <is>
          <t>Equipamento de ar condicionado</t>
        </is>
      </c>
      <c r="K1270" s="1752" t="inlineStr">
        <is>
          <t>vb</t>
        </is>
      </c>
      <c r="L1270" s="1753" t="n">
        <v>1</v>
      </c>
      <c r="M1270" s="1753" t="n">
        <v>8718.195084844274</v>
      </c>
      <c r="N1270" s="1754" t="n">
        <v>8718.19508484427</v>
      </c>
      <c r="O1270" s="1761" t="inlineStr">
        <is>
          <t xml:space="preserve">Repessado pela Gessele na reunião do dia 05/03/2026 - considerar equipamentos somente das áreas comum: hall, guarita, lazer 01 e 02 </t>
        </is>
      </c>
      <c r="P1270" s="1721" t="inlineStr">
        <is>
          <t>Pendente</t>
        </is>
      </c>
    </row>
    <row r="1271" hidden="1" outlineLevel="2" ht="13.9" customHeight="1">
      <c r="A1271" s="2117" t="n">
        <v>0</v>
      </c>
      <c r="B1271" s="2117" t="n">
        <v>11</v>
      </c>
      <c r="C1271" s="2117" t="n">
        <v>2</v>
      </c>
      <c r="D1271" s="2118" t="n">
        <v>2</v>
      </c>
      <c r="E1271" s="2118" t="n">
        <v>0</v>
      </c>
      <c r="G1271" s="1740" t="n"/>
      <c r="H1271" s="1741" t="inlineStr">
        <is>
          <t>SUBETAPA</t>
        </is>
      </c>
      <c r="I1271" s="1742" t="inlineStr">
        <is>
          <t>11.002.002</t>
        </is>
      </c>
      <c r="J1271" s="1743" t="inlineStr">
        <is>
          <t>Exaustão</t>
        </is>
      </c>
      <c r="K1271" s="1744" t="n"/>
      <c r="L1271" s="1745" t="n"/>
      <c r="M1271" s="1745" t="n"/>
      <c r="N1271" s="1746" t="n">
        <v>2220.42056869964</v>
      </c>
      <c r="O1271" s="1747" t="n"/>
      <c r="P1271" s="1720" t="n"/>
    </row>
    <row r="1272" hidden="1" outlineLevel="3" ht="13.9" customHeight="1">
      <c r="A1272" s="2117" t="n">
        <v>0</v>
      </c>
      <c r="B1272" s="2117" t="n">
        <v>11</v>
      </c>
      <c r="C1272" s="2117" t="n">
        <v>2</v>
      </c>
      <c r="D1272" s="2118" t="n">
        <v>2</v>
      </c>
      <c r="E1272" s="2118" t="n">
        <v>1</v>
      </c>
      <c r="G1272" s="1790" t="inlineStr">
        <is>
          <t>CLIMATIZAÇÃO, EXAUSTÃO MECÂNICA</t>
        </is>
      </c>
      <c r="H1272" s="1749" t="inlineStr">
        <is>
          <t>SERVIÇO</t>
        </is>
      </c>
      <c r="I1272" s="1750" t="inlineStr">
        <is>
          <t>11.002.002.001</t>
        </is>
      </c>
      <c r="J1272" s="1751" t="inlineStr">
        <is>
          <t>Equipamento de exaustão</t>
        </is>
      </c>
      <c r="K1272" s="1752" t="inlineStr">
        <is>
          <t>vb</t>
        </is>
      </c>
      <c r="L1272" s="1753" t="n">
        <v>1</v>
      </c>
      <c r="M1272" s="1753" t="n">
        <v>2220.420568699636</v>
      </c>
      <c r="N1272" s="1754" t="n">
        <v>2220.42056869964</v>
      </c>
      <c r="O1272" s="1755" t="inlineStr">
        <is>
          <t>Exaustor</t>
        </is>
      </c>
      <c r="P1272" s="1721" t="inlineStr">
        <is>
          <t>Pendente</t>
        </is>
      </c>
    </row>
    <row r="1273" hidden="1" outlineLevel="2" ht="13.9" customHeight="1">
      <c r="A1273" s="2117" t="n">
        <v>0</v>
      </c>
      <c r="B1273" s="2117" t="n">
        <v>11</v>
      </c>
      <c r="C1273" s="2117" t="n">
        <v>2</v>
      </c>
      <c r="D1273" s="2118" t="n">
        <v>3</v>
      </c>
      <c r="E1273" s="2118" t="n">
        <v>0</v>
      </c>
      <c r="G1273" s="1740" t="n"/>
      <c r="H1273" s="1741" t="inlineStr">
        <is>
          <t>SUBETAPA</t>
        </is>
      </c>
      <c r="I1273" s="1742" t="inlineStr">
        <is>
          <t>11.002.003</t>
        </is>
      </c>
      <c r="J1273" s="1743" t="inlineStr">
        <is>
          <t>Aspiração</t>
        </is>
      </c>
      <c r="K1273" s="1744" t="n"/>
      <c r="L1273" s="1745" t="n"/>
      <c r="M1273" s="1745" t="n"/>
      <c r="N1273" s="1746" t="n">
        <v>15649.4652343843</v>
      </c>
      <c r="O1273" s="1747" t="n"/>
      <c r="P1273" s="1720" t="n"/>
    </row>
    <row r="1274" hidden="1" outlineLevel="3" ht="13.9" customHeight="1">
      <c r="A1274" s="2117" t="n">
        <v>0</v>
      </c>
      <c r="B1274" s="2117" t="n">
        <v>11</v>
      </c>
      <c r="C1274" s="2117" t="n">
        <v>2</v>
      </c>
      <c r="D1274" s="2118" t="n">
        <v>3</v>
      </c>
      <c r="E1274" s="2118" t="n">
        <v>1</v>
      </c>
      <c r="G1274" s="1790" t="inlineStr">
        <is>
          <t>CLIMATIZAÇÃO, EXAUSTÃO MECÂNICA</t>
        </is>
      </c>
      <c r="H1274" s="1749" t="inlineStr">
        <is>
          <t>SERVIÇO</t>
        </is>
      </c>
      <c r="I1274" s="1750" t="inlineStr">
        <is>
          <t>11.002.003.001</t>
        </is>
      </c>
      <c r="J1274" s="1751" t="inlineStr">
        <is>
          <t>Equipamento de Aspiração</t>
        </is>
      </c>
      <c r="K1274" s="1752" t="inlineStr">
        <is>
          <t>vb</t>
        </is>
      </c>
      <c r="L1274" s="1753" t="n">
        <v>1</v>
      </c>
      <c r="M1274" s="1753" t="n">
        <v>140.5676729448392</v>
      </c>
      <c r="N1274" s="1754" t="n">
        <v>140.567672944839</v>
      </c>
      <c r="O1274" s="1755" t="inlineStr">
        <is>
          <t>Equipamento de aspiração + Considerado o material de aspiração localizado na planilha de iluminação</t>
        </is>
      </c>
      <c r="P1274" s="1721" t="inlineStr">
        <is>
          <t>Pendente</t>
        </is>
      </c>
    </row>
    <row r="1275" hidden="1" outlineLevel="3" ht="13.9" customHeight="1">
      <c r="A1275" s="2117" t="n">
        <v>0</v>
      </c>
      <c r="B1275" s="2117" t="n">
        <v>11</v>
      </c>
      <c r="C1275" s="2117" t="n">
        <v>2</v>
      </c>
      <c r="D1275" s="2118" t="n">
        <v>3</v>
      </c>
      <c r="E1275" s="2118" t="n">
        <v>2</v>
      </c>
      <c r="G1275" s="1790" t="inlineStr">
        <is>
          <t>CLIMATIZAÇÃO, EXAUSTÃO MECÂNICA</t>
        </is>
      </c>
      <c r="H1275" s="1749" t="inlineStr">
        <is>
          <t>SERVIÇO</t>
        </is>
      </c>
      <c r="I1275" s="1750" t="inlineStr">
        <is>
          <t>11.002.003.002</t>
        </is>
      </c>
      <c r="J1275" s="1751" t="inlineStr">
        <is>
          <t>Infraestrutua de Aspiração</t>
        </is>
      </c>
      <c r="K1275" s="1752" t="inlineStr">
        <is>
          <t>vb</t>
        </is>
      </c>
      <c r="L1275" s="1753" t="n">
        <v>1</v>
      </c>
      <c r="M1275" s="1753" t="n">
        <v>15508.89756143946</v>
      </c>
      <c r="N1275" s="1754" t="n">
        <v>15508.8975614395</v>
      </c>
      <c r="O1275" s="1761" t="inlineStr">
        <is>
          <t>Repessado pela Gessele na reunião do dia 05/03/2026 - temos orçamento climatização + aspiração: material + M.O - climatização: R$ 400k - aspiração: R$ 212k - exceto equipamentos e exaustão churrasqueiras</t>
        </is>
      </c>
      <c r="P1275" s="1721" t="inlineStr">
        <is>
          <t>Pendente</t>
        </is>
      </c>
    </row>
    <row r="1276" hidden="1" outlineLevel="2" ht="13.9" customHeight="1">
      <c r="A1276" s="2117" t="n">
        <v>0</v>
      </c>
      <c r="B1276" s="2117" t="n">
        <v>11</v>
      </c>
      <c r="C1276" s="2117" t="n">
        <v>2</v>
      </c>
      <c r="D1276" s="2118" t="n">
        <v>4</v>
      </c>
      <c r="E1276" s="2118" t="n">
        <v>0</v>
      </c>
      <c r="G1276" s="1740" t="n"/>
      <c r="H1276" s="1741" t="inlineStr">
        <is>
          <t>SUBETAPA</t>
        </is>
      </c>
      <c r="I1276" s="1742" t="inlineStr">
        <is>
          <t>11.002.004</t>
        </is>
      </c>
      <c r="J1276" s="1743" t="inlineStr">
        <is>
          <t>Exaustão de churrasqueiras</t>
        </is>
      </c>
      <c r="K1276" s="1744" t="n"/>
      <c r="L1276" s="1745" t="n"/>
      <c r="M1276" s="1745" t="n"/>
      <c r="N1276" s="1746" t="n">
        <v>0</v>
      </c>
      <c r="O1276" s="1747" t="n"/>
      <c r="P1276" s="1720" t="n"/>
    </row>
    <row r="1277" hidden="1" outlineLevel="3" ht="13.9" customHeight="1">
      <c r="A1277" s="2117" t="n">
        <v>0</v>
      </c>
      <c r="B1277" s="2117" t="n">
        <v>11</v>
      </c>
      <c r="C1277" s="2117" t="n">
        <v>2</v>
      </c>
      <c r="D1277" s="2118" t="n">
        <v>4</v>
      </c>
      <c r="E1277" s="2118" t="n">
        <v>1</v>
      </c>
      <c r="G1277" s="1790" t="inlineStr">
        <is>
          <t>CLIMATIZAÇÃO, EXAUSTÃO MECÂNICA</t>
        </is>
      </c>
      <c r="H1277" s="1749" t="inlineStr">
        <is>
          <t>SERVIÇO</t>
        </is>
      </c>
      <c r="I1277" s="1750" t="inlineStr">
        <is>
          <t>11.002.004.001</t>
        </is>
      </c>
      <c r="J1277" s="1751" t="inlineStr">
        <is>
          <t>Exaustão de churrasqueiras</t>
        </is>
      </c>
      <c r="K1277" s="1752" t="inlineStr">
        <is>
          <t>un</t>
        </is>
      </c>
      <c r="L1277" s="1753" t="n">
        <v>0</v>
      </c>
      <c r="M1277" s="1753" t="n">
        <v>2262</v>
      </c>
      <c r="N1277" s="1754" t="n">
        <v>0</v>
      </c>
      <c r="O1277" s="1755" t="inlineStr">
        <is>
          <t>Considerado 1 por churrasqueira</t>
        </is>
      </c>
      <c r="P1277" s="1721" t="inlineStr">
        <is>
          <t>Pendente</t>
        </is>
      </c>
    </row>
    <row r="1278" hidden="1" outlineLevel="3" ht="13.9" customHeight="1">
      <c r="A1278" s="2117" t="n">
        <v>0</v>
      </c>
      <c r="B1278" s="2117" t="n">
        <v>11</v>
      </c>
      <c r="C1278" s="2117" t="n">
        <v>2</v>
      </c>
      <c r="D1278" s="2118" t="n">
        <v>4</v>
      </c>
      <c r="E1278" s="2118" t="n">
        <v>2</v>
      </c>
      <c r="G1278" s="1790" t="inlineStr">
        <is>
          <t>CLIMATIZAÇÃO, EXAUSTÃO MECÂNICA</t>
        </is>
      </c>
      <c r="H1278" s="1749" t="inlineStr">
        <is>
          <t>SERVIÇO</t>
        </is>
      </c>
      <c r="I1278" s="1750" t="inlineStr">
        <is>
          <t>11.002.004.002</t>
        </is>
      </c>
      <c r="J1278" s="1751" t="inlineStr">
        <is>
          <t>Exaustão de cozinha</t>
        </is>
      </c>
      <c r="K1278" s="1752" t="inlineStr">
        <is>
          <t>un</t>
        </is>
      </c>
      <c r="L1278" s="1753" t="n">
        <v>0</v>
      </c>
      <c r="M1278" s="1753" t="n">
        <v>1100</v>
      </c>
      <c r="N1278" s="1754" t="n">
        <v>0</v>
      </c>
      <c r="O1278" s="1755" t="inlineStr">
        <is>
          <t>Considerado 1 por cozinha</t>
        </is>
      </c>
      <c r="P1278" s="1721" t="inlineStr">
        <is>
          <t>Pendente</t>
        </is>
      </c>
    </row>
    <row r="1279" hidden="1" outlineLevel="2" ht="13.9" customHeight="1">
      <c r="A1279" s="2117" t="n">
        <v>0</v>
      </c>
      <c r="B1279" s="2117" t="n">
        <v>11</v>
      </c>
      <c r="C1279" s="2117" t="n">
        <v>2</v>
      </c>
      <c r="D1279" s="2118" t="n">
        <v>5</v>
      </c>
      <c r="E1279" s="2118" t="n">
        <v>0</v>
      </c>
      <c r="G1279" s="1740" t="n"/>
      <c r="H1279" s="1741" t="inlineStr">
        <is>
          <t>SUBETAPA</t>
        </is>
      </c>
      <c r="I1279" s="1742" t="inlineStr">
        <is>
          <t>11.002.005</t>
        </is>
      </c>
      <c r="J1279" s="1743" t="inlineStr">
        <is>
          <t>Mão de obra</t>
        </is>
      </c>
      <c r="K1279" s="1744" t="n"/>
      <c r="L1279" s="1745" t="n"/>
      <c r="M1279" s="1745" t="n"/>
      <c r="N1279" s="1746" t="n">
        <v>2106.86910268612</v>
      </c>
      <c r="O1279" s="1747" t="n"/>
      <c r="P1279" s="1720" t="n"/>
    </row>
    <row r="1280" hidden="1" outlineLevel="3" ht="13.9" customHeight="1">
      <c r="A1280" s="2117" t="n">
        <v>0</v>
      </c>
      <c r="B1280" s="2117" t="n">
        <v>11</v>
      </c>
      <c r="C1280" s="2117" t="n">
        <v>2</v>
      </c>
      <c r="D1280" s="2118" t="n">
        <v>5</v>
      </c>
      <c r="E1280" s="2118" t="n">
        <v>1</v>
      </c>
      <c r="G1280" s="1790" t="inlineStr">
        <is>
          <t>CLIMATIZAÇÃO, EXAUSTÃO MECÂNICA</t>
        </is>
      </c>
      <c r="H1280" s="1749" t="inlineStr">
        <is>
          <t>SERVIÇO</t>
        </is>
      </c>
      <c r="I1280" s="1750" t="inlineStr">
        <is>
          <t>11.002.005.001</t>
        </is>
      </c>
      <c r="J1280" s="1751" t="inlineStr">
        <is>
          <t>Mão de obra de instalação de equipamentos</t>
        </is>
      </c>
      <c r="K1280" s="1752" t="inlineStr">
        <is>
          <t>vb</t>
        </is>
      </c>
      <c r="L1280" s="1753" t="n">
        <v>1</v>
      </c>
      <c r="M1280" s="1753" t="n">
        <v>2106.869102686115</v>
      </c>
      <c r="N1280" s="1754" t="n">
        <v>2106.86910268612</v>
      </c>
      <c r="O1280" s="1755" t="inlineStr">
        <is>
          <t>Considerado 1200 por equipamento (lazer) - retirado os outros itens da mão de obra, pois englobam nos valores repassados pela GESSELE</t>
        </is>
      </c>
      <c r="P1280" s="1721" t="inlineStr">
        <is>
          <t>Pendente</t>
        </is>
      </c>
    </row>
    <row r="1281" hidden="1" outlineLevel="1" ht="13.9" customHeight="1">
      <c r="A1281" s="2117" t="n">
        <v>0</v>
      </c>
      <c r="B1281" s="2117" t="n">
        <v>11</v>
      </c>
      <c r="C1281" s="2117" t="n">
        <v>3</v>
      </c>
      <c r="D1281" s="2118" t="n">
        <v>0</v>
      </c>
      <c r="E1281" s="2118" t="n">
        <v>1</v>
      </c>
      <c r="G1281" s="1733" t="n"/>
      <c r="H1281" s="1734" t="inlineStr">
        <is>
          <t>ETAPA</t>
        </is>
      </c>
      <c r="I1281" s="1735" t="inlineStr">
        <is>
          <t>11.003</t>
        </is>
      </c>
      <c r="J1281" s="1736" t="inlineStr">
        <is>
          <t>CLIMATIZAÇÃO, EXAUSTÃO MECÂNICA E PRESSURIZAÇÃO - Lazer 02</t>
        </is>
      </c>
      <c r="K1281" s="1737" t="n"/>
      <c r="L1281" s="1738" t="n"/>
      <c r="M1281" s="1738" t="n"/>
      <c r="N1281" s="1739" t="n">
        <v>35785.3310610104</v>
      </c>
      <c r="O1281" s="1722" t="n"/>
      <c r="P1281" s="1725" t="n"/>
    </row>
    <row r="1282" hidden="1" outlineLevel="2" ht="13.9" customHeight="1">
      <c r="A1282" s="2117" t="n">
        <v>0</v>
      </c>
      <c r="B1282" s="2117" t="n">
        <v>11</v>
      </c>
      <c r="C1282" s="2117" t="n">
        <v>3</v>
      </c>
      <c r="D1282" s="2118" t="n">
        <v>1</v>
      </c>
      <c r="E1282" s="2118" t="n">
        <v>0</v>
      </c>
      <c r="G1282" s="1740" t="n"/>
      <c r="H1282" s="1741" t="inlineStr">
        <is>
          <t>SUBETAPA</t>
        </is>
      </c>
      <c r="I1282" s="1742" t="inlineStr">
        <is>
          <t>11.003.001</t>
        </is>
      </c>
      <c r="J1282" s="1743" t="inlineStr">
        <is>
          <t>Climatização</t>
        </is>
      </c>
      <c r="K1282" s="1744" t="n"/>
      <c r="L1282" s="1745" t="n"/>
      <c r="M1282" s="1745" t="n"/>
      <c r="N1282" s="1746" t="n">
        <v>21247.5851684631</v>
      </c>
      <c r="O1282" s="1747" t="n"/>
      <c r="P1282" s="1720" t="n"/>
    </row>
    <row r="1283" hidden="1" outlineLevel="3" ht="33.75" customHeight="1">
      <c r="A1283" s="2117" t="n">
        <v>0</v>
      </c>
      <c r="B1283" s="2117" t="n">
        <v>11</v>
      </c>
      <c r="C1283" s="2117" t="n">
        <v>3</v>
      </c>
      <c r="D1283" s="2118" t="n">
        <v>1</v>
      </c>
      <c r="E1283" s="2118" t="n">
        <v>1</v>
      </c>
      <c r="G1283" s="1790" t="inlineStr">
        <is>
          <t>CLIMATIZAÇÃO, EXAUSTÃO MECÂNICA</t>
        </is>
      </c>
      <c r="H1283" s="1749" t="inlineStr">
        <is>
          <t>SERVIÇO</t>
        </is>
      </c>
      <c r="I1283" s="1750" t="inlineStr">
        <is>
          <t>11.003.001.001</t>
        </is>
      </c>
      <c r="J1283" s="1751" t="inlineStr">
        <is>
          <t>Infraestrutura para instalação de ar condicionado</t>
        </is>
      </c>
      <c r="K1283" s="1752" t="inlineStr">
        <is>
          <t>vb</t>
        </is>
      </c>
      <c r="L1283" s="1753" t="n">
        <v>1</v>
      </c>
      <c r="M1283" s="1753" t="n">
        <v>16370.29987515791</v>
      </c>
      <c r="N1283" s="1754" t="n">
        <v>16370.2998751579</v>
      </c>
      <c r="O1283" s="1761" t="inlineStr">
        <is>
          <t>Repessado pela Gessele na reunião do dia 05/03/2026 - temos orçamento climatização + aspiração: material + M.O - climatização: R$ 400k - aspiração: R$ 212k - exceto equipamentos e exaustão churrasqueiras</t>
        </is>
      </c>
      <c r="P1283" s="1721" t="inlineStr">
        <is>
          <t>Pendente</t>
        </is>
      </c>
    </row>
    <row r="1284" hidden="1" outlineLevel="3" ht="33" customHeight="1">
      <c r="A1284" s="2117" t="n">
        <v>0</v>
      </c>
      <c r="B1284" s="2117" t="n">
        <v>11</v>
      </c>
      <c r="C1284" s="2117" t="n">
        <v>3</v>
      </c>
      <c r="D1284" s="2118" t="n">
        <v>1</v>
      </c>
      <c r="E1284" s="2118" t="n">
        <v>2</v>
      </c>
      <c r="G1284" s="1790" t="inlineStr">
        <is>
          <t>CLIMATIZAÇÃO, EXAUSTÃO MECÂNICA</t>
        </is>
      </c>
      <c r="H1284" s="1749" t="inlineStr">
        <is>
          <t>SERVIÇO</t>
        </is>
      </c>
      <c r="I1284" s="1750" t="inlineStr">
        <is>
          <t>11.003.001.002</t>
        </is>
      </c>
      <c r="J1284" s="1751" t="inlineStr">
        <is>
          <t>Equipamento de ar condicionado</t>
        </is>
      </c>
      <c r="K1284" s="1752" t="inlineStr">
        <is>
          <t>vb</t>
        </is>
      </c>
      <c r="L1284" s="1753" t="n">
        <v>1</v>
      </c>
      <c r="M1284" s="1753" t="n">
        <v>4877.285293305172</v>
      </c>
      <c r="N1284" s="1754" t="n">
        <v>4877.28529330517</v>
      </c>
      <c r="O1284" s="1761" t="inlineStr">
        <is>
          <t xml:space="preserve">Repessado pela Gessele na reunião do dia 05/03/2026 - considerar equipamentos somente das áreas comum: hall, guarita, lazer 01 e 02 </t>
        </is>
      </c>
      <c r="P1284" s="1721" t="inlineStr">
        <is>
          <t>Pendente</t>
        </is>
      </c>
    </row>
    <row r="1285" hidden="1" outlineLevel="2" ht="13.9" customHeight="1">
      <c r="A1285" s="2117" t="n">
        <v>0</v>
      </c>
      <c r="B1285" s="2117" t="n">
        <v>11</v>
      </c>
      <c r="C1285" s="2117" t="n">
        <v>3</v>
      </c>
      <c r="D1285" s="2118" t="n">
        <v>2</v>
      </c>
      <c r="E1285" s="2118" t="n">
        <v>0</v>
      </c>
      <c r="G1285" s="1740" t="n"/>
      <c r="H1285" s="1741" t="inlineStr">
        <is>
          <t>SUBETAPA</t>
        </is>
      </c>
      <c r="I1285" s="1742" t="inlineStr">
        <is>
          <t>11.003.002</t>
        </is>
      </c>
      <c r="J1285" s="1743" t="inlineStr">
        <is>
          <t>Exaustão</t>
        </is>
      </c>
      <c r="K1285" s="1744" t="n"/>
      <c r="L1285" s="1745" t="n"/>
      <c r="M1285" s="1745" t="n"/>
      <c r="N1285" s="1746" t="n">
        <v>1242.18653967692</v>
      </c>
      <c r="O1285" s="1747" t="n"/>
      <c r="P1285" s="1720" t="n"/>
    </row>
    <row r="1286" hidden="1" outlineLevel="3" ht="13.9" customHeight="1">
      <c r="A1286" s="2117" t="n">
        <v>0</v>
      </c>
      <c r="B1286" s="2117" t="n">
        <v>11</v>
      </c>
      <c r="C1286" s="2117" t="n">
        <v>3</v>
      </c>
      <c r="D1286" s="2118" t="n">
        <v>2</v>
      </c>
      <c r="E1286" s="2118" t="n">
        <v>1</v>
      </c>
      <c r="G1286" s="1790" t="inlineStr">
        <is>
          <t>CLIMATIZAÇÃO, EXAUSTÃO MECÂNICA</t>
        </is>
      </c>
      <c r="H1286" s="1749" t="inlineStr">
        <is>
          <t>SERVIÇO</t>
        </is>
      </c>
      <c r="I1286" s="1750" t="inlineStr">
        <is>
          <t>11.003.002.001</t>
        </is>
      </c>
      <c r="J1286" s="1751" t="inlineStr">
        <is>
          <t>Equipamento de exaustão</t>
        </is>
      </c>
      <c r="K1286" s="1752" t="inlineStr">
        <is>
          <t>vb</t>
        </is>
      </c>
      <c r="L1286" s="1753" t="n">
        <v>1</v>
      </c>
      <c r="M1286" s="1753" t="n">
        <v>1242.18653967692</v>
      </c>
      <c r="N1286" s="1754" t="n">
        <v>1242.18653967692</v>
      </c>
      <c r="O1286" s="1755" t="inlineStr">
        <is>
          <t>Exaustor</t>
        </is>
      </c>
      <c r="P1286" s="1721" t="inlineStr">
        <is>
          <t>Pendente</t>
        </is>
      </c>
    </row>
    <row r="1287" hidden="1" outlineLevel="2" ht="13.9" customHeight="1">
      <c r="A1287" s="2117" t="n">
        <v>0</v>
      </c>
      <c r="B1287" s="2117" t="n">
        <v>11</v>
      </c>
      <c r="C1287" s="2117" t="n">
        <v>3</v>
      </c>
      <c r="D1287" s="2118" t="n">
        <v>3</v>
      </c>
      <c r="E1287" s="2118" t="n">
        <v>0</v>
      </c>
      <c r="G1287" s="1740" t="n"/>
      <c r="H1287" s="1741" t="inlineStr">
        <is>
          <t>SUBETAPA</t>
        </is>
      </c>
      <c r="I1287" s="1742" t="inlineStr">
        <is>
          <t>11.003.003</t>
        </is>
      </c>
      <c r="J1287" s="1743" t="inlineStr">
        <is>
          <t>Aspiração</t>
        </is>
      </c>
      <c r="K1287" s="1744" t="n"/>
      <c r="L1287" s="1745" t="n"/>
      <c r="M1287" s="1745" t="n"/>
      <c r="N1287" s="1746" t="n">
        <v>8754.89776185898</v>
      </c>
      <c r="O1287" s="1747" t="n"/>
      <c r="P1287" s="1720" t="n"/>
    </row>
    <row r="1288" hidden="1" outlineLevel="3" ht="13.9" customHeight="1">
      <c r="A1288" s="2117" t="n">
        <v>0</v>
      </c>
      <c r="B1288" s="2117" t="n">
        <v>11</v>
      </c>
      <c r="C1288" s="2117" t="n">
        <v>3</v>
      </c>
      <c r="D1288" s="2118" t="n">
        <v>3</v>
      </c>
      <c r="E1288" s="2118" t="n">
        <v>1</v>
      </c>
      <c r="G1288" s="1790" t="inlineStr">
        <is>
          <t>CLIMATIZAÇÃO, EXAUSTÃO MECÂNICA</t>
        </is>
      </c>
      <c r="H1288" s="1749" t="inlineStr">
        <is>
          <t>SERVIÇO</t>
        </is>
      </c>
      <c r="I1288" s="1750" t="inlineStr">
        <is>
          <t>11.003.003.001</t>
        </is>
      </c>
      <c r="J1288" s="1751" t="inlineStr">
        <is>
          <t>Equipamento de Aspiração</t>
        </is>
      </c>
      <c r="K1288" s="1752" t="inlineStr">
        <is>
          <t>vb</t>
        </is>
      </c>
      <c r="L1288" s="1753" t="n">
        <v>1</v>
      </c>
      <c r="M1288" s="1753" t="n">
        <v>78.63882802528981</v>
      </c>
      <c r="N1288" s="1754" t="n">
        <v>78.6388280252898</v>
      </c>
      <c r="O1288" s="1755" t="inlineStr">
        <is>
          <t>Equipamento de aspiração + Considerado o material de aspiração localizado na planilha de iluminação</t>
        </is>
      </c>
      <c r="P1288" s="1721" t="inlineStr">
        <is>
          <t>Pendente</t>
        </is>
      </c>
    </row>
    <row r="1289" hidden="1" outlineLevel="3" ht="13.9" customHeight="1">
      <c r="A1289" s="2117" t="n">
        <v>0</v>
      </c>
      <c r="B1289" s="2117" t="n">
        <v>11</v>
      </c>
      <c r="C1289" s="2117" t="n">
        <v>3</v>
      </c>
      <c r="D1289" s="2118" t="n">
        <v>3</v>
      </c>
      <c r="E1289" s="2118" t="n">
        <v>2</v>
      </c>
      <c r="G1289" s="1790" t="inlineStr">
        <is>
          <t>CLIMATIZAÇÃO, EXAUSTÃO MECÂNICA</t>
        </is>
      </c>
      <c r="H1289" s="1749" t="inlineStr">
        <is>
          <t>SERVIÇO</t>
        </is>
      </c>
      <c r="I1289" s="1750" t="inlineStr">
        <is>
          <t>11.003.003.002</t>
        </is>
      </c>
      <c r="J1289" s="1751" t="inlineStr">
        <is>
          <t>Infraestrutua de Aspiração</t>
        </is>
      </c>
      <c r="K1289" s="1752" t="inlineStr">
        <is>
          <t>vb</t>
        </is>
      </c>
      <c r="L1289" s="1753" t="n">
        <v>1</v>
      </c>
      <c r="M1289" s="1753" t="n">
        <v>8676.258933833691</v>
      </c>
      <c r="N1289" s="1754" t="n">
        <v>8676.258933833689</v>
      </c>
      <c r="O1289" s="1761" t="inlineStr">
        <is>
          <t>Repessado pela Gessele na reunião do dia 05/03/2026 - temos orçamento climatização + aspiração: material + M.O - climatização: R$ 400k - aspiração: R$ 212k - exceto equipamentos e exaustão churrasqueiras</t>
        </is>
      </c>
      <c r="P1289" s="1721" t="inlineStr">
        <is>
          <t>Pendente</t>
        </is>
      </c>
    </row>
    <row r="1290" hidden="1" outlineLevel="2" ht="13.9" customHeight="1">
      <c r="A1290" s="2117" t="n">
        <v>0</v>
      </c>
      <c r="B1290" s="2117" t="n">
        <v>11</v>
      </c>
      <c r="C1290" s="2117" t="n">
        <v>3</v>
      </c>
      <c r="D1290" s="2118" t="n">
        <v>4</v>
      </c>
      <c r="E1290" s="2118" t="n">
        <v>0</v>
      </c>
      <c r="G1290" s="1740" t="n"/>
      <c r="H1290" s="1741" t="inlineStr">
        <is>
          <t>SUBETAPA</t>
        </is>
      </c>
      <c r="I1290" s="1742" t="inlineStr">
        <is>
          <t>11.003.004</t>
        </is>
      </c>
      <c r="J1290" s="1743" t="inlineStr">
        <is>
          <t>Exaustão de churrasqueiras</t>
        </is>
      </c>
      <c r="K1290" s="1744" t="n"/>
      <c r="L1290" s="1745" t="n"/>
      <c r="M1290" s="1745" t="n"/>
      <c r="N1290" s="1746" t="n">
        <v>3362</v>
      </c>
      <c r="O1290" s="1747" t="n"/>
      <c r="P1290" s="1720" t="n"/>
    </row>
    <row r="1291" hidden="1" outlineLevel="3" ht="13.9" customHeight="1">
      <c r="A1291" s="2117" t="n">
        <v>0</v>
      </c>
      <c r="B1291" s="2117" t="n">
        <v>11</v>
      </c>
      <c r="C1291" s="2117" t="n">
        <v>3</v>
      </c>
      <c r="D1291" s="2118" t="n">
        <v>4</v>
      </c>
      <c r="E1291" s="2118" t="n">
        <v>1</v>
      </c>
      <c r="G1291" s="1790" t="inlineStr">
        <is>
          <t>CLIMATIZAÇÃO, EXAUSTÃO MECÂNICA</t>
        </is>
      </c>
      <c r="H1291" s="1749" t="inlineStr">
        <is>
          <t>SERVIÇO</t>
        </is>
      </c>
      <c r="I1291" s="1750" t="inlineStr">
        <is>
          <t>11.003.004.001</t>
        </is>
      </c>
      <c r="J1291" s="1751" t="inlineStr">
        <is>
          <t>Exaustão de churrasqueiras</t>
        </is>
      </c>
      <c r="K1291" s="1752" t="inlineStr">
        <is>
          <t>un</t>
        </is>
      </c>
      <c r="L1291" s="1753" t="n">
        <v>1</v>
      </c>
      <c r="M1291" s="1753" t="n">
        <v>2262</v>
      </c>
      <c r="N1291" s="1754" t="n">
        <v>2262</v>
      </c>
      <c r="O1291" s="1755" t="inlineStr">
        <is>
          <t>Considerado 1 por churrasqueira</t>
        </is>
      </c>
      <c r="P1291" s="1721" t="inlineStr">
        <is>
          <t>Pendente</t>
        </is>
      </c>
    </row>
    <row r="1292" hidden="1" outlineLevel="3" ht="13.9" customHeight="1">
      <c r="A1292" s="2117" t="n">
        <v>0</v>
      </c>
      <c r="B1292" s="2117" t="n">
        <v>11</v>
      </c>
      <c r="C1292" s="2117" t="n">
        <v>3</v>
      </c>
      <c r="D1292" s="2118" t="n">
        <v>4</v>
      </c>
      <c r="E1292" s="2118" t="n">
        <v>2</v>
      </c>
      <c r="G1292" s="1790" t="inlineStr">
        <is>
          <t>CLIMATIZAÇÃO, EXAUSTÃO MECÂNICA</t>
        </is>
      </c>
      <c r="H1292" s="1749" t="inlineStr">
        <is>
          <t>SERVIÇO</t>
        </is>
      </c>
      <c r="I1292" s="1750" t="inlineStr">
        <is>
          <t>11.003.004.002</t>
        </is>
      </c>
      <c r="J1292" s="1751" t="inlineStr">
        <is>
          <t>Exaustão de cozinha</t>
        </is>
      </c>
      <c r="K1292" s="1752" t="inlineStr">
        <is>
          <t>un</t>
        </is>
      </c>
      <c r="L1292" s="1753" t="n">
        <v>1</v>
      </c>
      <c r="M1292" s="1753" t="n">
        <v>1100</v>
      </c>
      <c r="N1292" s="1754" t="n">
        <v>1100</v>
      </c>
      <c r="O1292" s="1755" t="inlineStr">
        <is>
          <t>Considerado 1 por cozinha</t>
        </is>
      </c>
      <c r="P1292" s="1721" t="inlineStr">
        <is>
          <t>Pendente</t>
        </is>
      </c>
    </row>
    <row r="1293" hidden="1" outlineLevel="2" ht="13.9" customHeight="1">
      <c r="A1293" s="2117" t="n">
        <v>0</v>
      </c>
      <c r="B1293" s="2117" t="n">
        <v>11</v>
      </c>
      <c r="C1293" s="2117" t="n">
        <v>3</v>
      </c>
      <c r="D1293" s="2118" t="n">
        <v>5</v>
      </c>
      <c r="E1293" s="2118" t="n">
        <v>0</v>
      </c>
      <c r="G1293" s="1740" t="n"/>
      <c r="H1293" s="1741" t="inlineStr">
        <is>
          <t>SUBETAPA</t>
        </is>
      </c>
      <c r="I1293" s="1742" t="inlineStr">
        <is>
          <t>11.003.005</t>
        </is>
      </c>
      <c r="J1293" s="1743" t="inlineStr">
        <is>
          <t>Mão de obra</t>
        </is>
      </c>
      <c r="K1293" s="1744" t="n"/>
      <c r="L1293" s="1745" t="n"/>
      <c r="M1293" s="1745" t="n"/>
      <c r="N1293" s="1746" t="n">
        <v>1178.66159101137</v>
      </c>
      <c r="O1293" s="1747" t="n"/>
      <c r="P1293" s="1720" t="n"/>
    </row>
    <row r="1294" hidden="1" outlineLevel="3" ht="13.9" customHeight="1">
      <c r="A1294" s="2117" t="n">
        <v>0</v>
      </c>
      <c r="B1294" s="2117" t="n">
        <v>11</v>
      </c>
      <c r="C1294" s="2117" t="n">
        <v>3</v>
      </c>
      <c r="D1294" s="2118" t="n">
        <v>5</v>
      </c>
      <c r="E1294" s="2118" t="n">
        <v>1</v>
      </c>
      <c r="G1294" s="1790" t="inlineStr">
        <is>
          <t>CLIMATIZAÇÃO, EXAUSTÃO MECÂNICA</t>
        </is>
      </c>
      <c r="H1294" s="1749" t="inlineStr">
        <is>
          <t>SERVIÇO</t>
        </is>
      </c>
      <c r="I1294" s="1750" t="inlineStr">
        <is>
          <t>11.003.005.001</t>
        </is>
      </c>
      <c r="J1294" s="1751" t="inlineStr">
        <is>
          <t>Mão de obra de instalação de equipamentos</t>
        </is>
      </c>
      <c r="K1294" s="1752" t="inlineStr">
        <is>
          <t>vb</t>
        </is>
      </c>
      <c r="L1294" s="1753" t="n">
        <v>1</v>
      </c>
      <c r="M1294" s="1753" t="n">
        <v>1178.661591011369</v>
      </c>
      <c r="N1294" s="1754" t="n">
        <v>1178.66159101137</v>
      </c>
      <c r="O1294" s="1755" t="inlineStr">
        <is>
          <t>Considerado 1200 por equipamento (lazer) - retirado os outros itens da mão de obra, pois englobam nos valores repassados pela GESSELE</t>
        </is>
      </c>
      <c r="P1294" s="1721" t="inlineStr">
        <is>
          <t>Pendente</t>
        </is>
      </c>
    </row>
    <row r="1295" hidden="1" outlineLevel="1" ht="13.9" customHeight="1">
      <c r="A1295" s="2117" t="n">
        <v>0</v>
      </c>
      <c r="B1295" s="2117" t="n">
        <v>11</v>
      </c>
      <c r="C1295" s="2117" t="n">
        <v>4</v>
      </c>
      <c r="D1295" s="2118" t="n">
        <v>0</v>
      </c>
      <c r="E1295" s="2118" t="n">
        <v>1</v>
      </c>
      <c r="G1295" s="1733" t="n"/>
      <c r="H1295" s="1734" t="inlineStr">
        <is>
          <t>ETAPA</t>
        </is>
      </c>
      <c r="I1295" s="1735" t="inlineStr">
        <is>
          <t>11.004</t>
        </is>
      </c>
      <c r="J1295" s="1736" t="inlineStr">
        <is>
          <t>CLIMATIZAÇÃO, EXAUSTÃO MECÂNICA E PRESSURIZAÇÃO - Tipo diferenciado</t>
        </is>
      </c>
      <c r="K1295" s="1737" t="n"/>
      <c r="L1295" s="1738" t="n"/>
      <c r="M1295" s="1738" t="n"/>
      <c r="N1295" s="1739" t="n">
        <v>29163.2284365392</v>
      </c>
      <c r="O1295" s="1722" t="n"/>
      <c r="P1295" s="1725" t="n"/>
    </row>
    <row r="1296" hidden="1" outlineLevel="2" ht="13.9" customHeight="1">
      <c r="A1296" s="2117" t="n">
        <v>0</v>
      </c>
      <c r="B1296" s="2117" t="n">
        <v>11</v>
      </c>
      <c r="C1296" s="2117" t="n">
        <v>4</v>
      </c>
      <c r="D1296" s="2118" t="n">
        <v>1</v>
      </c>
      <c r="E1296" s="2118" t="n">
        <v>0</v>
      </c>
      <c r="G1296" s="1740" t="n"/>
      <c r="H1296" s="1741" t="inlineStr">
        <is>
          <t>SUBETAPA</t>
        </is>
      </c>
      <c r="I1296" s="1742" t="inlineStr">
        <is>
          <t>11.004.001</t>
        </is>
      </c>
      <c r="J1296" s="1743" t="inlineStr">
        <is>
          <t>Climatização</t>
        </is>
      </c>
      <c r="K1296" s="1744" t="n"/>
      <c r="L1296" s="1745" t="n"/>
      <c r="M1296" s="1745" t="n"/>
      <c r="N1296" s="1746" t="n">
        <v>14704.8252513851</v>
      </c>
      <c r="O1296" s="1747" t="n"/>
      <c r="P1296" s="1720" t="n"/>
    </row>
    <row r="1297" hidden="1" outlineLevel="3" ht="33.75" customHeight="1">
      <c r="A1297" s="2117" t="n">
        <v>0</v>
      </c>
      <c r="B1297" s="2117" t="n">
        <v>11</v>
      </c>
      <c r="C1297" s="2117" t="n">
        <v>4</v>
      </c>
      <c r="D1297" s="2118" t="n">
        <v>1</v>
      </c>
      <c r="E1297" s="2118" t="n">
        <v>1</v>
      </c>
      <c r="G1297" s="1790" t="inlineStr">
        <is>
          <t>CLIMATIZAÇÃO, EXAUSTÃO MECÂNICA</t>
        </is>
      </c>
      <c r="H1297" s="1749" t="inlineStr">
        <is>
          <t>SERVIÇO</t>
        </is>
      </c>
      <c r="I1297" s="1750" t="inlineStr">
        <is>
          <t>11.004.001.001</t>
        </is>
      </c>
      <c r="J1297" s="1751" t="inlineStr">
        <is>
          <t>Infraestrutura para instalação de ar condicionado</t>
        </is>
      </c>
      <c r="K1297" s="1752" t="inlineStr">
        <is>
          <t>vb</t>
        </is>
      </c>
      <c r="L1297" s="1753" t="n">
        <v>1</v>
      </c>
      <c r="M1297" s="1753" t="n">
        <v>11329.40035624674</v>
      </c>
      <c r="N1297" s="1754" t="n">
        <v>11329.4003562467</v>
      </c>
      <c r="O1297" s="1761" t="inlineStr">
        <is>
          <t>Repessado pela Gessele na reunião do dia 05/03/2026 - temos orçamento climatização + aspiração: material + M.O - climatização: R$ 400k - aspiração: R$ 212k - exceto equipamentos e exaustão churrasqueiras</t>
        </is>
      </c>
      <c r="P1297" s="1721" t="inlineStr">
        <is>
          <t>Pendente</t>
        </is>
      </c>
    </row>
    <row r="1298" hidden="1" outlineLevel="3" ht="33" customHeight="1">
      <c r="A1298" s="2117" t="n">
        <v>0</v>
      </c>
      <c r="B1298" s="2117" t="n">
        <v>11</v>
      </c>
      <c r="C1298" s="2117" t="n">
        <v>4</v>
      </c>
      <c r="D1298" s="2118" t="n">
        <v>1</v>
      </c>
      <c r="E1298" s="2118" t="n">
        <v>2</v>
      </c>
      <c r="G1298" s="1790" t="inlineStr">
        <is>
          <t>CLIMATIZAÇÃO, EXAUSTÃO MECÂNICA</t>
        </is>
      </c>
      <c r="H1298" s="1749" t="inlineStr">
        <is>
          <t>SERVIÇO</t>
        </is>
      </c>
      <c r="I1298" s="1750" t="inlineStr">
        <is>
          <t>11.004.001.002</t>
        </is>
      </c>
      <c r="J1298" s="1751" t="inlineStr">
        <is>
          <t>Equipamento de ar condicionado</t>
        </is>
      </c>
      <c r="K1298" s="1752" t="inlineStr">
        <is>
          <t>vb</t>
        </is>
      </c>
      <c r="L1298" s="1753" t="n">
        <v>1</v>
      </c>
      <c r="M1298" s="1753" t="n">
        <v>3375.424895138374</v>
      </c>
      <c r="N1298" s="1754" t="n">
        <v>3375.42489513837</v>
      </c>
      <c r="O1298" s="1761" t="inlineStr">
        <is>
          <t xml:space="preserve">Repessado pela Gessele na reunião do dia 05/03/2026 - considerar equipamentos somente das áreas comum: hall, guarita, lazer 01 e 02 </t>
        </is>
      </c>
      <c r="P1298" s="1721" t="inlineStr">
        <is>
          <t>Pendente</t>
        </is>
      </c>
    </row>
    <row r="1299" hidden="1" outlineLevel="2" ht="13.9" customHeight="1">
      <c r="A1299" s="2117" t="n">
        <v>0</v>
      </c>
      <c r="B1299" s="2117" t="n">
        <v>11</v>
      </c>
      <c r="C1299" s="2117" t="n">
        <v>4</v>
      </c>
      <c r="D1299" s="2118" t="n">
        <v>2</v>
      </c>
      <c r="E1299" s="2118" t="n">
        <v>0</v>
      </c>
      <c r="G1299" s="1740" t="n"/>
      <c r="H1299" s="1741" t="inlineStr">
        <is>
          <t>SUBETAPA</t>
        </is>
      </c>
      <c r="I1299" s="1742" t="inlineStr">
        <is>
          <t>11.004.002</t>
        </is>
      </c>
      <c r="J1299" s="1743" t="inlineStr">
        <is>
          <t>Exaustão</t>
        </is>
      </c>
      <c r="K1299" s="1744" t="n"/>
      <c r="L1299" s="1745" t="n"/>
      <c r="M1299" s="1745" t="n"/>
      <c r="N1299" s="1746" t="n">
        <v>859.680563732181</v>
      </c>
      <c r="O1299" s="1747" t="n"/>
      <c r="P1299" s="1720" t="n"/>
    </row>
    <row r="1300" hidden="1" outlineLevel="3" ht="13.9" customHeight="1">
      <c r="A1300" s="2117" t="n">
        <v>0</v>
      </c>
      <c r="B1300" s="2117" t="n">
        <v>11</v>
      </c>
      <c r="C1300" s="2117" t="n">
        <v>4</v>
      </c>
      <c r="D1300" s="2118" t="n">
        <v>2</v>
      </c>
      <c r="E1300" s="2118" t="n">
        <v>1</v>
      </c>
      <c r="G1300" s="1790" t="inlineStr">
        <is>
          <t>CLIMATIZAÇÃO, EXAUSTÃO MECÂNICA</t>
        </is>
      </c>
      <c r="H1300" s="1749" t="inlineStr">
        <is>
          <t>SERVIÇO</t>
        </is>
      </c>
      <c r="I1300" s="1750" t="inlineStr">
        <is>
          <t>11.004.002.001</t>
        </is>
      </c>
      <c r="J1300" s="1751" t="inlineStr">
        <is>
          <t>Equipamento de exaustão</t>
        </is>
      </c>
      <c r="K1300" s="1752" t="inlineStr">
        <is>
          <t>vb</t>
        </is>
      </c>
      <c r="L1300" s="1753" t="n">
        <v>1</v>
      </c>
      <c r="M1300" s="1753" t="n">
        <v>859.6805637321811</v>
      </c>
      <c r="N1300" s="1754" t="n">
        <v>859.680563732181</v>
      </c>
      <c r="O1300" s="1755" t="inlineStr">
        <is>
          <t>Exaustor</t>
        </is>
      </c>
      <c r="P1300" s="1721" t="inlineStr">
        <is>
          <t>Pendente</t>
        </is>
      </c>
    </row>
    <row r="1301" hidden="1" outlineLevel="2" ht="13.9" customHeight="1">
      <c r="A1301" s="2117" t="n">
        <v>0</v>
      </c>
      <c r="B1301" s="2117" t="n">
        <v>11</v>
      </c>
      <c r="C1301" s="2117" t="n">
        <v>4</v>
      </c>
      <c r="D1301" s="2118" t="n">
        <v>3</v>
      </c>
      <c r="E1301" s="2118" t="n">
        <v>0</v>
      </c>
      <c r="G1301" s="1740" t="n"/>
      <c r="H1301" s="1741" t="inlineStr">
        <is>
          <t>SUBETAPA</t>
        </is>
      </c>
      <c r="I1301" s="1742" t="inlineStr">
        <is>
          <t>11.004.003</t>
        </is>
      </c>
      <c r="J1301" s="1743" t="inlineStr">
        <is>
          <t>Aspiração</t>
        </is>
      </c>
      <c r="K1301" s="1744" t="n"/>
      <c r="L1301" s="1745" t="n"/>
      <c r="M1301" s="1745" t="n"/>
      <c r="N1301" s="1746" t="n">
        <v>6059.00579577209</v>
      </c>
      <c r="O1301" s="1747" t="n"/>
      <c r="P1301" s="1720" t="n"/>
    </row>
    <row r="1302" hidden="1" outlineLevel="3" ht="13.9" customHeight="1">
      <c r="A1302" s="2117" t="n">
        <v>0</v>
      </c>
      <c r="B1302" s="2117" t="n">
        <v>11</v>
      </c>
      <c r="C1302" s="2117" t="n">
        <v>4</v>
      </c>
      <c r="D1302" s="2118" t="n">
        <v>3</v>
      </c>
      <c r="E1302" s="2118" t="n">
        <v>1</v>
      </c>
      <c r="G1302" s="1790" t="inlineStr">
        <is>
          <t>CLIMATIZAÇÃO, EXAUSTÃO MECÂNICA</t>
        </is>
      </c>
      <c r="H1302" s="1749" t="inlineStr">
        <is>
          <t>SERVIÇO</t>
        </is>
      </c>
      <c r="I1302" s="1750" t="inlineStr">
        <is>
          <t>11.004.003.001</t>
        </is>
      </c>
      <c r="J1302" s="1751" t="inlineStr">
        <is>
          <t>Equipamento de Aspiração</t>
        </is>
      </c>
      <c r="K1302" s="1752" t="inlineStr">
        <is>
          <t>vb</t>
        </is>
      </c>
      <c r="L1302" s="1753" t="n">
        <v>1</v>
      </c>
      <c r="M1302" s="1753" t="n">
        <v>54.4236069613203</v>
      </c>
      <c r="N1302" s="1754" t="n">
        <v>54.4236069613203</v>
      </c>
      <c r="O1302" s="1755" t="inlineStr">
        <is>
          <t>Equipamento de aspiração + Considerado o material de aspiração localizado na planilha de iluminação</t>
        </is>
      </c>
      <c r="P1302" s="1721" t="inlineStr">
        <is>
          <t>Pendente</t>
        </is>
      </c>
    </row>
    <row r="1303" hidden="1" outlineLevel="3" ht="13.9" customHeight="1">
      <c r="A1303" s="2117" t="n">
        <v>0</v>
      </c>
      <c r="B1303" s="2117" t="n">
        <v>11</v>
      </c>
      <c r="C1303" s="2117" t="n">
        <v>4</v>
      </c>
      <c r="D1303" s="2118" t="n">
        <v>3</v>
      </c>
      <c r="E1303" s="2118" t="n">
        <v>2</v>
      </c>
      <c r="G1303" s="1790" t="inlineStr">
        <is>
          <t>CLIMATIZAÇÃO, EXAUSTÃO MECÂNICA</t>
        </is>
      </c>
      <c r="H1303" s="1749" t="inlineStr">
        <is>
          <t>SERVIÇO</t>
        </is>
      </c>
      <c r="I1303" s="1750" t="inlineStr">
        <is>
          <t>11.004.003.002</t>
        </is>
      </c>
      <c r="J1303" s="1751" t="inlineStr">
        <is>
          <t>Infraestrutua de Aspiração</t>
        </is>
      </c>
      <c r="K1303" s="1752" t="inlineStr">
        <is>
          <t>vb</t>
        </is>
      </c>
      <c r="L1303" s="1753" t="n">
        <v>1</v>
      </c>
      <c r="M1303" s="1753" t="n">
        <v>6004.582188810774</v>
      </c>
      <c r="N1303" s="1754" t="n">
        <v>6004.58218881077</v>
      </c>
      <c r="O1303" s="1761" t="inlineStr">
        <is>
          <t>Repessado pela Gessele na reunião do dia 05/03/2026 - temos orçamento climatização + aspiração: material + M.O - climatização: R$ 400k - aspiração: R$ 212k - exceto equipamentos e exaustão churrasqueiras</t>
        </is>
      </c>
      <c r="P1303" s="1721" t="inlineStr">
        <is>
          <t>Pendente</t>
        </is>
      </c>
    </row>
    <row r="1304" hidden="1" outlineLevel="2" ht="13.9" customHeight="1">
      <c r="A1304" s="2117" t="n">
        <v>0</v>
      </c>
      <c r="B1304" s="2117" t="n">
        <v>11</v>
      </c>
      <c r="C1304" s="2117" t="n">
        <v>4</v>
      </c>
      <c r="D1304" s="2118" t="n">
        <v>4</v>
      </c>
      <c r="E1304" s="2118" t="n">
        <v>0</v>
      </c>
      <c r="G1304" s="1740" t="n"/>
      <c r="H1304" s="1741" t="inlineStr">
        <is>
          <t>SUBETAPA</t>
        </is>
      </c>
      <c r="I1304" s="1742" t="inlineStr">
        <is>
          <t>11.004.004</t>
        </is>
      </c>
      <c r="J1304" s="1743" t="inlineStr">
        <is>
          <t>Exaustão de churrasqueiras</t>
        </is>
      </c>
      <c r="K1304" s="1744" t="n"/>
      <c r="L1304" s="1745" t="n"/>
      <c r="M1304" s="1745" t="n"/>
      <c r="N1304" s="1746" t="n">
        <v>6724</v>
      </c>
      <c r="O1304" s="1747" t="n"/>
      <c r="P1304" s="1720" t="n"/>
    </row>
    <row r="1305" hidden="1" outlineLevel="3" ht="13.9" customHeight="1">
      <c r="A1305" s="2117" t="n">
        <v>0</v>
      </c>
      <c r="B1305" s="2117" t="n">
        <v>11</v>
      </c>
      <c r="C1305" s="2117" t="n">
        <v>4</v>
      </c>
      <c r="D1305" s="2118" t="n">
        <v>4</v>
      </c>
      <c r="E1305" s="2118" t="n">
        <v>1</v>
      </c>
      <c r="G1305" s="1790" t="inlineStr">
        <is>
          <t>CLIMATIZAÇÃO, EXAUSTÃO MECÂNICA</t>
        </is>
      </c>
      <c r="H1305" s="1749" t="inlineStr">
        <is>
          <t>SERVIÇO</t>
        </is>
      </c>
      <c r="I1305" s="1750" t="inlineStr">
        <is>
          <t>11.004.004.001</t>
        </is>
      </c>
      <c r="J1305" s="1751" t="inlineStr">
        <is>
          <t>Exaustão de churrasqueiras</t>
        </is>
      </c>
      <c r="K1305" s="1752" t="inlineStr">
        <is>
          <t>un</t>
        </is>
      </c>
      <c r="L1305" s="1753" t="n">
        <v>2</v>
      </c>
      <c r="M1305" s="1753" t="n">
        <v>2262</v>
      </c>
      <c r="N1305" s="1754" t="n">
        <v>4524</v>
      </c>
      <c r="O1305" s="1755" t="inlineStr">
        <is>
          <t>Considerado 1 por churrasqueira</t>
        </is>
      </c>
      <c r="P1305" s="1721" t="inlineStr">
        <is>
          <t>Pendente</t>
        </is>
      </c>
    </row>
    <row r="1306" hidden="1" outlineLevel="3" ht="13.9" customHeight="1">
      <c r="A1306" s="2117" t="n">
        <v>0</v>
      </c>
      <c r="B1306" s="2117" t="n">
        <v>11</v>
      </c>
      <c r="C1306" s="2117" t="n">
        <v>4</v>
      </c>
      <c r="D1306" s="2118" t="n">
        <v>4</v>
      </c>
      <c r="E1306" s="2118" t="n">
        <v>2</v>
      </c>
      <c r="G1306" s="1790" t="inlineStr">
        <is>
          <t>CLIMATIZAÇÃO, EXAUSTÃO MECÂNICA</t>
        </is>
      </c>
      <c r="H1306" s="1749" t="inlineStr">
        <is>
          <t>SERVIÇO</t>
        </is>
      </c>
      <c r="I1306" s="1750" t="inlineStr">
        <is>
          <t>11.004.004.002</t>
        </is>
      </c>
      <c r="J1306" s="1751" t="inlineStr">
        <is>
          <t>Exaustão de cozinha</t>
        </is>
      </c>
      <c r="K1306" s="1752" t="inlineStr">
        <is>
          <t>un</t>
        </is>
      </c>
      <c r="L1306" s="1753" t="n">
        <v>2</v>
      </c>
      <c r="M1306" s="1753" t="n">
        <v>1100</v>
      </c>
      <c r="N1306" s="1754" t="n">
        <v>2200</v>
      </c>
      <c r="O1306" s="1755" t="inlineStr">
        <is>
          <t>Considerado 1 por cozinha</t>
        </is>
      </c>
      <c r="P1306" s="1721" t="inlineStr">
        <is>
          <t>Pendente</t>
        </is>
      </c>
    </row>
    <row r="1307" hidden="1" outlineLevel="2" ht="13.9" customHeight="1">
      <c r="A1307" s="2117" t="n">
        <v>0</v>
      </c>
      <c r="B1307" s="2117" t="n">
        <v>11</v>
      </c>
      <c r="C1307" s="2117" t="n">
        <v>4</v>
      </c>
      <c r="D1307" s="2118" t="n">
        <v>5</v>
      </c>
      <c r="E1307" s="2118" t="n">
        <v>0</v>
      </c>
      <c r="G1307" s="1740" t="n"/>
      <c r="H1307" s="1741" t="inlineStr">
        <is>
          <t>SUBETAPA</t>
        </is>
      </c>
      <c r="I1307" s="1742" t="inlineStr">
        <is>
          <t>11.004.005</t>
        </is>
      </c>
      <c r="J1307" s="1743" t="inlineStr">
        <is>
          <t>Mão de obra</t>
        </is>
      </c>
      <c r="K1307" s="1744" t="n"/>
      <c r="L1307" s="1745" t="n"/>
      <c r="M1307" s="1745" t="n"/>
      <c r="N1307" s="1746" t="n">
        <v>815.716825649765</v>
      </c>
      <c r="O1307" s="1747" t="n"/>
      <c r="P1307" s="1720" t="n"/>
    </row>
    <row r="1308" hidden="1" outlineLevel="3" ht="13.9" customHeight="1">
      <c r="A1308" s="2117" t="n">
        <v>0</v>
      </c>
      <c r="B1308" s="2117" t="n">
        <v>11</v>
      </c>
      <c r="C1308" s="2117" t="n">
        <v>4</v>
      </c>
      <c r="D1308" s="2118" t="n">
        <v>5</v>
      </c>
      <c r="E1308" s="2118" t="n">
        <v>1</v>
      </c>
      <c r="G1308" s="1790" t="inlineStr">
        <is>
          <t>CLIMATIZAÇÃO, EXAUSTÃO MECÂNICA</t>
        </is>
      </c>
      <c r="H1308" s="1749" t="inlineStr">
        <is>
          <t>SERVIÇO</t>
        </is>
      </c>
      <c r="I1308" s="1750" t="inlineStr">
        <is>
          <t>11.004.005.001</t>
        </is>
      </c>
      <c r="J1308" s="1751" t="inlineStr">
        <is>
          <t>Mão de obra de instalação de equipamentos</t>
        </is>
      </c>
      <c r="K1308" s="1752" t="inlineStr">
        <is>
          <t>vb</t>
        </is>
      </c>
      <c r="L1308" s="1753" t="n">
        <v>1</v>
      </c>
      <c r="M1308" s="1753" t="n">
        <v>815.7168256497655</v>
      </c>
      <c r="N1308" s="1754" t="n">
        <v>815.716825649765</v>
      </c>
      <c r="O1308" s="1755" t="inlineStr">
        <is>
          <t>Considerado 1200 por equipamento (lazer) - retirado os outros itens da mão de obra, pois englobam nos valores repassados pela GESSELE</t>
        </is>
      </c>
      <c r="P1308" s="1721" t="inlineStr">
        <is>
          <t>Pendente</t>
        </is>
      </c>
    </row>
    <row r="1309" hidden="1" outlineLevel="1" ht="13.9" customHeight="1">
      <c r="A1309" s="2117" t="n">
        <v>0</v>
      </c>
      <c r="B1309" s="2117" t="n">
        <v>11</v>
      </c>
      <c r="C1309" s="2117" t="n">
        <v>5</v>
      </c>
      <c r="D1309" s="2118" t="n">
        <v>0</v>
      </c>
      <c r="E1309" s="2118" t="n">
        <v>1</v>
      </c>
      <c r="G1309" s="1733" t="n"/>
      <c r="H1309" s="1734" t="inlineStr">
        <is>
          <t>ETAPA</t>
        </is>
      </c>
      <c r="I1309" s="1735" t="inlineStr">
        <is>
          <t>11.005</t>
        </is>
      </c>
      <c r="J1309" s="1736" t="inlineStr">
        <is>
          <t>CLIMATIZAÇÃO, EXAUSTÃO MECÂNICA E PRESSURIZAÇÃO - Tipo x8</t>
        </is>
      </c>
      <c r="K1309" s="1737" t="n"/>
      <c r="L1309" s="1738" t="n"/>
      <c r="M1309" s="1738" t="n"/>
      <c r="N1309" s="1739" t="n">
        <v>211423.147510904</v>
      </c>
      <c r="O1309" s="1722" t="n"/>
      <c r="P1309" s="1725" t="n"/>
    </row>
    <row r="1310" hidden="1" outlineLevel="2" ht="13.9" customHeight="1">
      <c r="A1310" s="2117" t="n">
        <v>0</v>
      </c>
      <c r="B1310" s="2117" t="n">
        <v>11</v>
      </c>
      <c r="C1310" s="2117" t="n">
        <v>5</v>
      </c>
      <c r="D1310" s="2118" t="n">
        <v>1</v>
      </c>
      <c r="E1310" s="2118" t="n">
        <v>0</v>
      </c>
      <c r="G1310" s="1740" t="n"/>
      <c r="H1310" s="1741" t="inlineStr">
        <is>
          <t>SUBETAPA</t>
        </is>
      </c>
      <c r="I1310" s="1742" t="inlineStr">
        <is>
          <t>11.005.001</t>
        </is>
      </c>
      <c r="J1310" s="1743" t="inlineStr">
        <is>
          <t>Climatização</t>
        </is>
      </c>
      <c r="K1310" s="1744" t="n"/>
      <c r="L1310" s="1745" t="n"/>
      <c r="M1310" s="1745" t="n"/>
      <c r="N1310" s="1746" t="n">
        <v>103298.492854982</v>
      </c>
      <c r="O1310" s="1747" t="n"/>
      <c r="P1310" s="1720" t="n"/>
    </row>
    <row r="1311" hidden="1" outlineLevel="3" ht="33.75" customHeight="1">
      <c r="A1311" s="2117" t="n">
        <v>0</v>
      </c>
      <c r="B1311" s="2117" t="n">
        <v>11</v>
      </c>
      <c r="C1311" s="2117" t="n">
        <v>5</v>
      </c>
      <c r="D1311" s="2118" t="n">
        <v>1</v>
      </c>
      <c r="E1311" s="2118" t="n">
        <v>1</v>
      </c>
      <c r="G1311" s="1790" t="inlineStr">
        <is>
          <t>CLIMATIZAÇÃO, EXAUSTÃO MECÂNICA</t>
        </is>
      </c>
      <c r="H1311" s="1749" t="inlineStr">
        <is>
          <t>SERVIÇO</t>
        </is>
      </c>
      <c r="I1311" s="1750" t="inlineStr">
        <is>
          <t>11.005.001.001</t>
        </is>
      </c>
      <c r="J1311" s="1751" t="inlineStr">
        <is>
          <t>Infraestrutura para instalação de ar condicionado</t>
        </is>
      </c>
      <c r="K1311" s="1752" t="inlineStr">
        <is>
          <t>vb</t>
        </is>
      </c>
      <c r="L1311" s="1753" t="n">
        <v>1</v>
      </c>
      <c r="M1311" s="1753" t="n">
        <v>79586.79968949324</v>
      </c>
      <c r="N1311" s="1754" t="n">
        <v>79586.7996894932</v>
      </c>
      <c r="O1311" s="1761" t="inlineStr">
        <is>
          <t>Repessado pela Gessele na reunião do dia 05/03/2026 - temos orçamento climatização + aspiração: material + M.O - climatização: R$ 400k - aspiração: R$ 212k - exceto equipamentos e exaustão churrasqueiras</t>
        </is>
      </c>
      <c r="P1311" s="1721" t="inlineStr">
        <is>
          <t>Pendente</t>
        </is>
      </c>
    </row>
    <row r="1312" hidden="1" outlineLevel="3" ht="33" customHeight="1">
      <c r="A1312" s="2117" t="n">
        <v>0</v>
      </c>
      <c r="B1312" s="2117" t="n">
        <v>11</v>
      </c>
      <c r="C1312" s="2117" t="n">
        <v>5</v>
      </c>
      <c r="D1312" s="2118" t="n">
        <v>1</v>
      </c>
      <c r="E1312" s="2118" t="n">
        <v>2</v>
      </c>
      <c r="G1312" s="1790" t="inlineStr">
        <is>
          <t>CLIMATIZAÇÃO, EXAUSTÃO MECÂNICA</t>
        </is>
      </c>
      <c r="H1312" s="1749" t="inlineStr">
        <is>
          <t>SERVIÇO</t>
        </is>
      </c>
      <c r="I1312" s="1750" t="inlineStr">
        <is>
          <t>11.005.001.002</t>
        </is>
      </c>
      <c r="J1312" s="1751" t="inlineStr">
        <is>
          <t>Equipamento de ar condicionado</t>
        </is>
      </c>
      <c r="K1312" s="1752" t="inlineStr">
        <is>
          <t>vb</t>
        </is>
      </c>
      <c r="L1312" s="1753" t="n">
        <v>1</v>
      </c>
      <c r="M1312" s="1753" t="n">
        <v>23711.69316548917</v>
      </c>
      <c r="N1312" s="1754" t="n">
        <v>23711.6931654892</v>
      </c>
      <c r="O1312" s="1761" t="inlineStr">
        <is>
          <t xml:space="preserve">Repessado pela Gessele na reunião do dia 05/03/2026 - considerar equipamentos somente das áreas comum: hall, guarita, lazer 01 e 02 </t>
        </is>
      </c>
      <c r="P1312" s="1721" t="inlineStr">
        <is>
          <t>Pendente</t>
        </is>
      </c>
    </row>
    <row r="1313" hidden="1" outlineLevel="2" ht="13.9" customHeight="1">
      <c r="A1313" s="2117" t="n">
        <v>0</v>
      </c>
      <c r="B1313" s="2117" t="n">
        <v>11</v>
      </c>
      <c r="C1313" s="2117" t="n">
        <v>5</v>
      </c>
      <c r="D1313" s="2118" t="n">
        <v>2</v>
      </c>
      <c r="E1313" s="2118" t="n">
        <v>0</v>
      </c>
      <c r="G1313" s="1740" t="n"/>
      <c r="H1313" s="1741" t="inlineStr">
        <is>
          <t>SUBETAPA</t>
        </is>
      </c>
      <c r="I1313" s="1742" t="inlineStr">
        <is>
          <t>11.005.002</t>
        </is>
      </c>
      <c r="J1313" s="1743" t="inlineStr">
        <is>
          <t>Exaustão</t>
        </is>
      </c>
      <c r="K1313" s="1744" t="n"/>
      <c r="L1313" s="1745" t="n"/>
      <c r="M1313" s="1745" t="n"/>
      <c r="N1313" s="1746" t="n">
        <v>6039.08615383859</v>
      </c>
      <c r="O1313" s="1747" t="n"/>
      <c r="P1313" s="1720" t="n"/>
    </row>
    <row r="1314" hidden="1" outlineLevel="3" ht="13.9" customHeight="1">
      <c r="A1314" s="2117" t="n">
        <v>0</v>
      </c>
      <c r="B1314" s="2117" t="n">
        <v>11</v>
      </c>
      <c r="C1314" s="2117" t="n">
        <v>5</v>
      </c>
      <c r="D1314" s="2118" t="n">
        <v>2</v>
      </c>
      <c r="E1314" s="2118" t="n">
        <v>1</v>
      </c>
      <c r="G1314" s="1790" t="inlineStr">
        <is>
          <t>CLIMATIZAÇÃO, EXAUSTÃO MECÂNICA</t>
        </is>
      </c>
      <c r="H1314" s="1749" t="inlineStr">
        <is>
          <t>SERVIÇO</t>
        </is>
      </c>
      <c r="I1314" s="1750" t="inlineStr">
        <is>
          <t>11.005.002.001</t>
        </is>
      </c>
      <c r="J1314" s="1751" t="inlineStr">
        <is>
          <t>Equipamento de exaustão</t>
        </is>
      </c>
      <c r="K1314" s="1752" t="inlineStr">
        <is>
          <t>vb</t>
        </is>
      </c>
      <c r="L1314" s="1753" t="n">
        <v>1</v>
      </c>
      <c r="M1314" s="1753" t="n">
        <v>6039.086153838593</v>
      </c>
      <c r="N1314" s="1754" t="n">
        <v>6039.08615383859</v>
      </c>
      <c r="O1314" s="1755" t="inlineStr">
        <is>
          <t>Exaustor</t>
        </is>
      </c>
      <c r="P1314" s="1721" t="inlineStr">
        <is>
          <t>Pendente</t>
        </is>
      </c>
    </row>
    <row r="1315" hidden="1" outlineLevel="2" ht="13.9" customHeight="1">
      <c r="A1315" s="2117" t="n">
        <v>0</v>
      </c>
      <c r="B1315" s="2117" t="n">
        <v>11</v>
      </c>
      <c r="C1315" s="2117" t="n">
        <v>5</v>
      </c>
      <c r="D1315" s="2118" t="n">
        <v>3</v>
      </c>
      <c r="E1315" s="2118" t="n">
        <v>0</v>
      </c>
      <c r="G1315" s="1740" t="n"/>
      <c r="H1315" s="1741" t="inlineStr">
        <is>
          <t>SUBETAPA</t>
        </is>
      </c>
      <c r="I1315" s="1742" t="inlineStr">
        <is>
          <t>11.005.003</t>
        </is>
      </c>
      <c r="J1315" s="1743" t="inlineStr">
        <is>
          <t>Aspiração</t>
        </is>
      </c>
      <c r="K1315" s="1744" t="n"/>
      <c r="L1315" s="1745" t="n"/>
      <c r="M1315" s="1745" t="n"/>
      <c r="N1315" s="1746" t="n">
        <v>42563.3189244398</v>
      </c>
      <c r="O1315" s="1747" t="n"/>
      <c r="P1315" s="1720" t="n"/>
    </row>
    <row r="1316" hidden="1" outlineLevel="3" ht="13.9" customHeight="1">
      <c r="A1316" s="2117" t="n">
        <v>0</v>
      </c>
      <c r="B1316" s="2117" t="n">
        <v>11</v>
      </c>
      <c r="C1316" s="2117" t="n">
        <v>5</v>
      </c>
      <c r="D1316" s="2118" t="n">
        <v>3</v>
      </c>
      <c r="E1316" s="2118" t="n">
        <v>1</v>
      </c>
      <c r="G1316" s="1790" t="inlineStr">
        <is>
          <t>CLIMATIZAÇÃO, EXAUSTÃO MECÂNICA</t>
        </is>
      </c>
      <c r="H1316" s="1749" t="inlineStr">
        <is>
          <t>SERVIÇO</t>
        </is>
      </c>
      <c r="I1316" s="1750" t="inlineStr">
        <is>
          <t>11.005.003.001</t>
        </is>
      </c>
      <c r="J1316" s="1751" t="inlineStr">
        <is>
          <t>Equipamento de Aspiração</t>
        </is>
      </c>
      <c r="K1316" s="1752" t="inlineStr">
        <is>
          <t>vb</t>
        </is>
      </c>
      <c r="L1316" s="1753" t="n">
        <v>1</v>
      </c>
      <c r="M1316" s="1753" t="n">
        <v>382.3150890084032</v>
      </c>
      <c r="N1316" s="1754" t="n">
        <v>382.315089008403</v>
      </c>
      <c r="O1316" s="1755" t="inlineStr">
        <is>
          <t>Equipamento de aspiração + Considerado o material de aspiração localizado na planilha de iluminação</t>
        </is>
      </c>
      <c r="P1316" s="1721" t="inlineStr">
        <is>
          <t>Pendente</t>
        </is>
      </c>
    </row>
    <row r="1317" hidden="1" outlineLevel="3" ht="13.9" customHeight="1">
      <c r="A1317" s="2117" t="n">
        <v>0</v>
      </c>
      <c r="B1317" s="2117" t="n">
        <v>11</v>
      </c>
      <c r="C1317" s="2117" t="n">
        <v>5</v>
      </c>
      <c r="D1317" s="2118" t="n">
        <v>3</v>
      </c>
      <c r="E1317" s="2118" t="n">
        <v>2</v>
      </c>
      <c r="G1317" s="1790" t="inlineStr">
        <is>
          <t>CLIMATIZAÇÃO, EXAUSTÃO MECÂNICA</t>
        </is>
      </c>
      <c r="H1317" s="1749" t="inlineStr">
        <is>
          <t>SERVIÇO</t>
        </is>
      </c>
      <c r="I1317" s="1750" t="inlineStr">
        <is>
          <t>11.005.003.002</t>
        </is>
      </c>
      <c r="J1317" s="1751" t="inlineStr">
        <is>
          <t>Infraestrutua de Aspiração</t>
        </is>
      </c>
      <c r="K1317" s="1752" t="inlineStr">
        <is>
          <t>vb</t>
        </is>
      </c>
      <c r="L1317" s="1753" t="n">
        <v>1</v>
      </c>
      <c r="M1317" s="1753" t="n">
        <v>42181.00383543142</v>
      </c>
      <c r="N1317" s="1754" t="n">
        <v>42181.0038354314</v>
      </c>
      <c r="O1317" s="1761" t="inlineStr">
        <is>
          <t>Repessado pela Gessele na reunião do dia 05/03/2026 - temos orçamento climatização + aspiração: material + M.O - climatização: R$ 400k - aspiração: R$ 212k - exceto equipamentos e exaustão churrasqueiras</t>
        </is>
      </c>
      <c r="P1317" s="1721" t="inlineStr">
        <is>
          <t>Pendente</t>
        </is>
      </c>
    </row>
    <row r="1318" hidden="1" outlineLevel="2" ht="13.9" customHeight="1">
      <c r="A1318" s="2117" t="n">
        <v>0</v>
      </c>
      <c r="B1318" s="2117" t="n">
        <v>11</v>
      </c>
      <c r="C1318" s="2117" t="n">
        <v>5</v>
      </c>
      <c r="D1318" s="2118" t="n">
        <v>4</v>
      </c>
      <c r="E1318" s="2118" t="n">
        <v>0</v>
      </c>
      <c r="G1318" s="1740" t="n"/>
      <c r="H1318" s="1741" t="inlineStr">
        <is>
          <t>SUBETAPA</t>
        </is>
      </c>
      <c r="I1318" s="1742" t="inlineStr">
        <is>
          <t>11.005.004</t>
        </is>
      </c>
      <c r="J1318" s="1743" t="inlineStr">
        <is>
          <t>Exaustão de churrasqueiras</t>
        </is>
      </c>
      <c r="K1318" s="1744" t="n"/>
      <c r="L1318" s="1745" t="n"/>
      <c r="M1318" s="1745" t="n"/>
      <c r="N1318" s="1746" t="n">
        <v>53792</v>
      </c>
      <c r="O1318" s="1747" t="n"/>
      <c r="P1318" s="1720" t="n"/>
    </row>
    <row r="1319" hidden="1" outlineLevel="3" ht="13.9" customHeight="1">
      <c r="A1319" s="2117" t="n">
        <v>0</v>
      </c>
      <c r="B1319" s="2117" t="n">
        <v>11</v>
      </c>
      <c r="C1319" s="2117" t="n">
        <v>5</v>
      </c>
      <c r="D1319" s="2118" t="n">
        <v>4</v>
      </c>
      <c r="E1319" s="2118" t="n">
        <v>1</v>
      </c>
      <c r="G1319" s="1790" t="inlineStr">
        <is>
          <t>CLIMATIZAÇÃO, EXAUSTÃO MECÂNICA</t>
        </is>
      </c>
      <c r="H1319" s="1749" t="inlineStr">
        <is>
          <t>SERVIÇO</t>
        </is>
      </c>
      <c r="I1319" s="1750" t="inlineStr">
        <is>
          <t>11.005.004.001</t>
        </is>
      </c>
      <c r="J1319" s="1751" t="inlineStr">
        <is>
          <t>Exaustão de churrasqueiras</t>
        </is>
      </c>
      <c r="K1319" s="1752" t="inlineStr">
        <is>
          <t>un</t>
        </is>
      </c>
      <c r="L1319" s="1753" t="n">
        <v>16</v>
      </c>
      <c r="M1319" s="1753" t="n">
        <v>2262</v>
      </c>
      <c r="N1319" s="1754" t="n">
        <v>36192</v>
      </c>
      <c r="O1319" s="1755" t="inlineStr">
        <is>
          <t>Considerado 1 por churrasqueira</t>
        </is>
      </c>
      <c r="P1319" s="1721" t="inlineStr">
        <is>
          <t>Pendente</t>
        </is>
      </c>
    </row>
    <row r="1320" hidden="1" outlineLevel="3" ht="13.9" customHeight="1">
      <c r="A1320" s="2117" t="n">
        <v>0</v>
      </c>
      <c r="B1320" s="2117" t="n">
        <v>11</v>
      </c>
      <c r="C1320" s="2117" t="n">
        <v>5</v>
      </c>
      <c r="D1320" s="2118" t="n">
        <v>4</v>
      </c>
      <c r="E1320" s="2118" t="n">
        <v>2</v>
      </c>
      <c r="G1320" s="1790" t="inlineStr">
        <is>
          <t>CLIMATIZAÇÃO, EXAUSTÃO MECÂNICA</t>
        </is>
      </c>
      <c r="H1320" s="1749" t="inlineStr">
        <is>
          <t>SERVIÇO</t>
        </is>
      </c>
      <c r="I1320" s="1750" t="inlineStr">
        <is>
          <t>11.005.004.002</t>
        </is>
      </c>
      <c r="J1320" s="1751" t="inlineStr">
        <is>
          <t>Exaustão de cozinha</t>
        </is>
      </c>
      <c r="K1320" s="1752" t="inlineStr">
        <is>
          <t>un</t>
        </is>
      </c>
      <c r="L1320" s="1753" t="n">
        <v>16</v>
      </c>
      <c r="M1320" s="1753" t="n">
        <v>1100</v>
      </c>
      <c r="N1320" s="1754" t="n">
        <v>17600</v>
      </c>
      <c r="O1320" s="1755" t="inlineStr">
        <is>
          <t>Considerado 1 por cozinha</t>
        </is>
      </c>
      <c r="P1320" s="1721" t="inlineStr">
        <is>
          <t>Pendente</t>
        </is>
      </c>
    </row>
    <row r="1321" hidden="1" outlineLevel="2" ht="13.9" customHeight="1">
      <c r="A1321" s="2117" t="n">
        <v>0</v>
      </c>
      <c r="B1321" s="2117" t="n">
        <v>11</v>
      </c>
      <c r="C1321" s="2117" t="n">
        <v>5</v>
      </c>
      <c r="D1321" s="2118" t="n">
        <v>5</v>
      </c>
      <c r="E1321" s="2118" t="n">
        <v>0</v>
      </c>
      <c r="G1321" s="1740" t="n"/>
      <c r="H1321" s="1741" t="inlineStr">
        <is>
          <t>SUBETAPA</t>
        </is>
      </c>
      <c r="I1321" s="1742" t="inlineStr">
        <is>
          <t>11.005.005</t>
        </is>
      </c>
      <c r="J1321" s="1743" t="inlineStr">
        <is>
          <t>Mão de obra</t>
        </is>
      </c>
      <c r="K1321" s="1744" t="n"/>
      <c r="L1321" s="1745" t="n"/>
      <c r="M1321" s="1745" t="n"/>
      <c r="N1321" s="1746" t="n">
        <v>5730.24957764351</v>
      </c>
      <c r="O1321" s="1747" t="n"/>
      <c r="P1321" s="1720" t="n"/>
    </row>
    <row r="1322" hidden="1" outlineLevel="3" ht="13.9" customHeight="1">
      <c r="A1322" s="2117" t="n">
        <v>0</v>
      </c>
      <c r="B1322" s="2117" t="n">
        <v>11</v>
      </c>
      <c r="C1322" s="2117" t="n">
        <v>5</v>
      </c>
      <c r="D1322" s="2118" t="n">
        <v>5</v>
      </c>
      <c r="E1322" s="2118" t="n">
        <v>1</v>
      </c>
      <c r="G1322" s="1790" t="inlineStr">
        <is>
          <t>CLIMATIZAÇÃO, EXAUSTÃO MECÂNICA</t>
        </is>
      </c>
      <c r="H1322" s="1749" t="inlineStr">
        <is>
          <t>SERVIÇO</t>
        </is>
      </c>
      <c r="I1322" s="1750" t="inlineStr">
        <is>
          <t>11.005.005.001</t>
        </is>
      </c>
      <c r="J1322" s="1751" t="inlineStr">
        <is>
          <t>Mão de obra de instalação de equipamentos</t>
        </is>
      </c>
      <c r="K1322" s="1752" t="inlineStr">
        <is>
          <t>vb</t>
        </is>
      </c>
      <c r="L1322" s="1753" t="n">
        <v>1</v>
      </c>
      <c r="M1322" s="1753" t="n">
        <v>5730.249577643513</v>
      </c>
      <c r="N1322" s="1754" t="n">
        <v>5730.24957764351</v>
      </c>
      <c r="O1322" s="1755" t="inlineStr">
        <is>
          <t>Considerado 1200 por equipamento (lazer) - retirado os outros itens da mão de obra, pois englobam nos valores repassados pela GESSELE</t>
        </is>
      </c>
      <c r="P1322" s="1721" t="inlineStr">
        <is>
          <t>Pendente</t>
        </is>
      </c>
    </row>
    <row r="1323" hidden="1" outlineLevel="1" ht="13.9" customHeight="1">
      <c r="A1323" s="2117" t="n">
        <v>0</v>
      </c>
      <c r="B1323" s="2117" t="n">
        <v>11</v>
      </c>
      <c r="C1323" s="2117" t="n">
        <v>6</v>
      </c>
      <c r="D1323" s="2118" t="n">
        <v>0</v>
      </c>
      <c r="E1323" s="2118" t="n">
        <v>1</v>
      </c>
      <c r="G1323" s="1733" t="n"/>
      <c r="H1323" s="1734" t="inlineStr">
        <is>
          <t>ETAPA</t>
        </is>
      </c>
      <c r="I1323" s="1735" t="inlineStr">
        <is>
          <t>11.006</t>
        </is>
      </c>
      <c r="J1323" s="1736" t="inlineStr">
        <is>
          <t>CLIMATIZAÇÃO, EXAUSTÃO MECÂNICA E PRESSURIZAÇÃO - Penthouse x22</t>
        </is>
      </c>
      <c r="K1323" s="1737" t="n"/>
      <c r="L1323" s="1738" t="n"/>
      <c r="M1323" s="1738" t="n"/>
      <c r="N1323" s="1739" t="n">
        <v>507678.249652893</v>
      </c>
      <c r="O1323" s="1722" t="n"/>
      <c r="P1323" s="1725" t="n"/>
    </row>
    <row r="1324" hidden="1" outlineLevel="2" ht="13.9" customHeight="1">
      <c r="A1324" s="2117" t="n">
        <v>0</v>
      </c>
      <c r="B1324" s="2117" t="n">
        <v>11</v>
      </c>
      <c r="C1324" s="2117" t="n">
        <v>6</v>
      </c>
      <c r="D1324" s="2118" t="n">
        <v>1</v>
      </c>
      <c r="E1324" s="2118" t="n">
        <v>0</v>
      </c>
      <c r="G1324" s="1740" t="n"/>
      <c r="H1324" s="1741" t="inlineStr">
        <is>
          <t>SUBETAPA</t>
        </is>
      </c>
      <c r="I1324" s="1742" t="inlineStr">
        <is>
          <t>11.006.001</t>
        </is>
      </c>
      <c r="J1324" s="1743" t="inlineStr">
        <is>
          <t>Climatização</t>
        </is>
      </c>
      <c r="K1324" s="1744" t="n"/>
      <c r="L1324" s="1745" t="n"/>
      <c r="M1324" s="1745" t="n"/>
      <c r="N1324" s="1746" t="n">
        <v>284220.657061284</v>
      </c>
      <c r="O1324" s="1747" t="n"/>
      <c r="P1324" s="1720" t="n"/>
    </row>
    <row r="1325" hidden="1" outlineLevel="3" ht="33.75" customHeight="1">
      <c r="A1325" s="2117" t="n">
        <v>0</v>
      </c>
      <c r="B1325" s="2117" t="n">
        <v>11</v>
      </c>
      <c r="C1325" s="2117" t="n">
        <v>6</v>
      </c>
      <c r="D1325" s="2118" t="n">
        <v>1</v>
      </c>
      <c r="E1325" s="2118" t="n">
        <v>1</v>
      </c>
      <c r="G1325" s="1790" t="inlineStr">
        <is>
          <t>CLIMATIZAÇÃO, EXAUSTÃO MECÂNICA</t>
        </is>
      </c>
      <c r="H1325" s="1749" t="inlineStr">
        <is>
          <t>SERVIÇO</t>
        </is>
      </c>
      <c r="I1325" s="1750" t="inlineStr">
        <is>
          <t>11.006.001.001</t>
        </is>
      </c>
      <c r="J1325" s="1751" t="inlineStr">
        <is>
          <t>Infraestrutura para instalação de ar condicionado</t>
        </is>
      </c>
      <c r="K1325" s="1752" t="inlineStr">
        <is>
          <t>vb</t>
        </is>
      </c>
      <c r="L1325" s="1753" t="n">
        <v>1</v>
      </c>
      <c r="M1325" s="1753" t="n">
        <v>218979.1145637372</v>
      </c>
      <c r="N1325" s="1754" t="n">
        <v>218979.114563737</v>
      </c>
      <c r="O1325" s="1761" t="inlineStr">
        <is>
          <t>Repessado pela Gessele na reunião do dia 05/03/2026 - temos orçamento climatização + aspiração: material + M.O - climatização: R$ 400k - aspiração: R$ 212k - exceto equipamentos e exaustão churrasqueiras</t>
        </is>
      </c>
      <c r="P1325" s="1721" t="inlineStr">
        <is>
          <t>Pendente</t>
        </is>
      </c>
    </row>
    <row r="1326" hidden="1" outlineLevel="3" ht="33" customHeight="1">
      <c r="A1326" s="2117" t="n">
        <v>0</v>
      </c>
      <c r="B1326" s="2117" t="n">
        <v>11</v>
      </c>
      <c r="C1326" s="2117" t="n">
        <v>6</v>
      </c>
      <c r="D1326" s="2118" t="n">
        <v>1</v>
      </c>
      <c r="E1326" s="2118" t="n">
        <v>2</v>
      </c>
      <c r="G1326" s="1790" t="inlineStr">
        <is>
          <t>CLIMATIZAÇÃO, EXAUSTÃO MECÂNICA</t>
        </is>
      </c>
      <c r="H1326" s="1749" t="inlineStr">
        <is>
          <t>SERVIÇO</t>
        </is>
      </c>
      <c r="I1326" s="1750" t="inlineStr">
        <is>
          <t>11.006.001.002</t>
        </is>
      </c>
      <c r="J1326" s="1751" t="inlineStr">
        <is>
          <t>Equipamento de ar condicionado</t>
        </is>
      </c>
      <c r="K1326" s="1752" t="inlineStr">
        <is>
          <t>vb</t>
        </is>
      </c>
      <c r="L1326" s="1753" t="n">
        <v>1</v>
      </c>
      <c r="M1326" s="1753" t="n">
        <v>65241.54249754705</v>
      </c>
      <c r="N1326" s="1754" t="n">
        <v>65241.5424975471</v>
      </c>
      <c r="O1326" s="1761" t="inlineStr">
        <is>
          <t xml:space="preserve">Repessado pela Gessele na reunião do dia 05/03/2026 - considerar equipamentos somente das áreas comum: hall, guarita, lazer 01 e 02 </t>
        </is>
      </c>
      <c r="P1326" s="1721" t="inlineStr">
        <is>
          <t>Pendente</t>
        </is>
      </c>
    </row>
    <row r="1327" hidden="1" outlineLevel="2" ht="13.9" customHeight="1">
      <c r="A1327" s="2117" t="n">
        <v>0</v>
      </c>
      <c r="B1327" s="2117" t="n">
        <v>11</v>
      </c>
      <c r="C1327" s="2117" t="n">
        <v>6</v>
      </c>
      <c r="D1327" s="2118" t="n">
        <v>2</v>
      </c>
      <c r="E1327" s="2118" t="n">
        <v>0</v>
      </c>
      <c r="G1327" s="1740" t="n"/>
      <c r="H1327" s="1741" t="inlineStr">
        <is>
          <t>SUBETAPA</t>
        </is>
      </c>
      <c r="I1327" s="1742" t="inlineStr">
        <is>
          <t>11.006.002</t>
        </is>
      </c>
      <c r="J1327" s="1743" t="inlineStr">
        <is>
          <t>Exaustão</t>
        </is>
      </c>
      <c r="K1327" s="1744" t="n"/>
      <c r="L1327" s="1745" t="n"/>
      <c r="M1327" s="1745" t="n"/>
      <c r="N1327" s="1746" t="n">
        <v>16616.2447026537</v>
      </c>
      <c r="O1327" s="1747" t="n"/>
      <c r="P1327" s="1720" t="n"/>
    </row>
    <row r="1328" hidden="1" outlineLevel="3" ht="13.9" customHeight="1">
      <c r="A1328" s="2117" t="n">
        <v>0</v>
      </c>
      <c r="B1328" s="2117" t="n">
        <v>11</v>
      </c>
      <c r="C1328" s="2117" t="n">
        <v>6</v>
      </c>
      <c r="D1328" s="2118" t="n">
        <v>2</v>
      </c>
      <c r="E1328" s="2118" t="n">
        <v>1</v>
      </c>
      <c r="G1328" s="1790" t="inlineStr">
        <is>
          <t>CLIMATIZAÇÃO, EXAUSTÃO MECÂNICA</t>
        </is>
      </c>
      <c r="H1328" s="1749" t="inlineStr">
        <is>
          <t>SERVIÇO</t>
        </is>
      </c>
      <c r="I1328" s="1750" t="inlineStr">
        <is>
          <t>11.006.002.001</t>
        </is>
      </c>
      <c r="J1328" s="1751" t="inlineStr">
        <is>
          <t>Equipamento de exaustão</t>
        </is>
      </c>
      <c r="K1328" s="1752" t="inlineStr">
        <is>
          <t>vb</t>
        </is>
      </c>
      <c r="L1328" s="1753" t="n">
        <v>1</v>
      </c>
      <c r="M1328" s="1753" t="n">
        <v>16616.24470265366</v>
      </c>
      <c r="N1328" s="1754" t="n">
        <v>16616.2447026537</v>
      </c>
      <c r="O1328" s="1755" t="inlineStr">
        <is>
          <t>Exaustor</t>
        </is>
      </c>
      <c r="P1328" s="1721" t="inlineStr">
        <is>
          <t>Pendente</t>
        </is>
      </c>
    </row>
    <row r="1329" hidden="1" outlineLevel="2" ht="13.9" customHeight="1">
      <c r="A1329" s="2117" t="n">
        <v>0</v>
      </c>
      <c r="B1329" s="2117" t="n">
        <v>11</v>
      </c>
      <c r="C1329" s="2117" t="n">
        <v>6</v>
      </c>
      <c r="D1329" s="2118" t="n">
        <v>3</v>
      </c>
      <c r="E1329" s="2118" t="n">
        <v>0</v>
      </c>
      <c r="G1329" s="1740" t="n"/>
      <c r="H1329" s="1741" t="inlineStr">
        <is>
          <t>SUBETAPA</t>
        </is>
      </c>
      <c r="I1329" s="1742" t="inlineStr">
        <is>
          <t>11.006.003</t>
        </is>
      </c>
      <c r="J1329" s="1743" t="inlineStr">
        <is>
          <t>Aspiração</t>
        </is>
      </c>
      <c r="K1329" s="1744" t="n"/>
      <c r="L1329" s="1745" t="n"/>
      <c r="M1329" s="1745" t="n"/>
      <c r="N1329" s="1746" t="n">
        <v>117110.851640366</v>
      </c>
      <c r="O1329" s="1747" t="n"/>
      <c r="P1329" s="1720" t="n"/>
    </row>
    <row r="1330" hidden="1" outlineLevel="3" ht="13.9" customHeight="1">
      <c r="A1330" s="2117" t="n">
        <v>0</v>
      </c>
      <c r="B1330" s="2117" t="n">
        <v>11</v>
      </c>
      <c r="C1330" s="2117" t="n">
        <v>6</v>
      </c>
      <c r="D1330" s="2118" t="n">
        <v>3</v>
      </c>
      <c r="E1330" s="2118" t="n">
        <v>1</v>
      </c>
      <c r="G1330" s="1790" t="inlineStr">
        <is>
          <t>CLIMATIZAÇÃO, EXAUSTÃO MECÂNICA</t>
        </is>
      </c>
      <c r="H1330" s="1749" t="inlineStr">
        <is>
          <t>SERVIÇO</t>
        </is>
      </c>
      <c r="I1330" s="1750" t="inlineStr">
        <is>
          <t>11.006.003.001</t>
        </is>
      </c>
      <c r="J1330" s="1751" t="inlineStr">
        <is>
          <t>Equipamento de Aspiração</t>
        </is>
      </c>
      <c r="K1330" s="1752" t="inlineStr">
        <is>
          <t>vb</t>
        </is>
      </c>
      <c r="L1330" s="1753" t="n">
        <v>1</v>
      </c>
      <c r="M1330" s="1753" t="n">
        <v>1051.920921585553</v>
      </c>
      <c r="N1330" s="1754" t="n">
        <v>1051.92092158555</v>
      </c>
      <c r="O1330" s="1755" t="inlineStr">
        <is>
          <t>Equipamento de aspiração + Considerado o material de aspiração localizado na planilha de iluminação</t>
        </is>
      </c>
      <c r="P1330" s="1721" t="inlineStr">
        <is>
          <t>Pendente</t>
        </is>
      </c>
    </row>
    <row r="1331" hidden="1" outlineLevel="3" ht="13.9" customHeight="1">
      <c r="A1331" s="2117" t="n">
        <v>0</v>
      </c>
      <c r="B1331" s="2117" t="n">
        <v>11</v>
      </c>
      <c r="C1331" s="2117" t="n">
        <v>6</v>
      </c>
      <c r="D1331" s="2118" t="n">
        <v>3</v>
      </c>
      <c r="E1331" s="2118" t="n">
        <v>2</v>
      </c>
      <c r="G1331" s="1790" t="inlineStr">
        <is>
          <t>CLIMATIZAÇÃO, EXAUSTÃO MECÂNICA</t>
        </is>
      </c>
      <c r="H1331" s="1749" t="inlineStr">
        <is>
          <t>SERVIÇO</t>
        </is>
      </c>
      <c r="I1331" s="1750" t="inlineStr">
        <is>
          <t>11.006.003.002</t>
        </is>
      </c>
      <c r="J1331" s="1751" t="inlineStr">
        <is>
          <t>Infraestrutua de Aspiração</t>
        </is>
      </c>
      <c r="K1331" s="1752" t="inlineStr">
        <is>
          <t>vb</t>
        </is>
      </c>
      <c r="L1331" s="1753" t="n">
        <v>1</v>
      </c>
      <c r="M1331" s="1753" t="n">
        <v>116058.9307187807</v>
      </c>
      <c r="N1331" s="1754" t="n">
        <v>116058.930718781</v>
      </c>
      <c r="O1331" s="1761" t="inlineStr">
        <is>
          <t>Repessado pela Gessele na reunião do dia 05/03/2026 - temos orçamento climatização + aspiração: material + M.O - climatização: R$ 400k - aspiração: R$ 212k - exceto equipamentos e exaustão churrasqueiras</t>
        </is>
      </c>
      <c r="P1331" s="1721" t="inlineStr">
        <is>
          <t>Pendente</t>
        </is>
      </c>
    </row>
    <row r="1332" hidden="1" outlineLevel="2" ht="13.9" customHeight="1">
      <c r="A1332" s="2117" t="n">
        <v>0</v>
      </c>
      <c r="B1332" s="2117" t="n">
        <v>11</v>
      </c>
      <c r="C1332" s="2117" t="n">
        <v>6</v>
      </c>
      <c r="D1332" s="2118" t="n">
        <v>4</v>
      </c>
      <c r="E1332" s="2118" t="n">
        <v>0</v>
      </c>
      <c r="G1332" s="1740" t="n"/>
      <c r="H1332" s="1741" t="inlineStr">
        <is>
          <t>SUBETAPA</t>
        </is>
      </c>
      <c r="I1332" s="1742" t="inlineStr">
        <is>
          <t>11.006.004</t>
        </is>
      </c>
      <c r="J1332" s="1743" t="inlineStr">
        <is>
          <t>Exaustão de churrasqueiras</t>
        </is>
      </c>
      <c r="K1332" s="1744" t="n"/>
      <c r="L1332" s="1745" t="n"/>
      <c r="M1332" s="1745" t="n"/>
      <c r="N1332" s="1746" t="n">
        <v>73964</v>
      </c>
      <c r="O1332" s="1747" t="n"/>
      <c r="P1332" s="1720" t="n"/>
    </row>
    <row r="1333" hidden="1" outlineLevel="3" ht="13.9" customHeight="1">
      <c r="A1333" s="2117" t="n">
        <v>0</v>
      </c>
      <c r="B1333" s="2117" t="n">
        <v>11</v>
      </c>
      <c r="C1333" s="2117" t="n">
        <v>6</v>
      </c>
      <c r="D1333" s="2118" t="n">
        <v>4</v>
      </c>
      <c r="E1333" s="2118" t="n">
        <v>1</v>
      </c>
      <c r="G1333" s="1790" t="inlineStr">
        <is>
          <t>CLIMATIZAÇÃO, EXAUSTÃO MECÂNICA</t>
        </is>
      </c>
      <c r="H1333" s="1749" t="inlineStr">
        <is>
          <t>SERVIÇO</t>
        </is>
      </c>
      <c r="I1333" s="1750" t="inlineStr">
        <is>
          <t>11.006.004.001</t>
        </is>
      </c>
      <c r="J1333" s="1751" t="inlineStr">
        <is>
          <t>Exaustão de churrasqueiras</t>
        </is>
      </c>
      <c r="K1333" s="1752" t="inlineStr">
        <is>
          <t>un</t>
        </is>
      </c>
      <c r="L1333" s="1753" t="n">
        <v>22</v>
      </c>
      <c r="M1333" s="1753" t="n">
        <v>2262</v>
      </c>
      <c r="N1333" s="1754" t="n">
        <v>49764</v>
      </c>
      <c r="O1333" s="1755" t="inlineStr">
        <is>
          <t>Considerado 1 por churrasqueira</t>
        </is>
      </c>
      <c r="P1333" s="1721" t="inlineStr">
        <is>
          <t>Pendente</t>
        </is>
      </c>
    </row>
    <row r="1334" hidden="1" outlineLevel="3" ht="13.9" customHeight="1">
      <c r="A1334" s="2117" t="n">
        <v>0</v>
      </c>
      <c r="B1334" s="2117" t="n">
        <v>11</v>
      </c>
      <c r="C1334" s="2117" t="n">
        <v>6</v>
      </c>
      <c r="D1334" s="2118" t="n">
        <v>4</v>
      </c>
      <c r="E1334" s="2118" t="n">
        <v>2</v>
      </c>
      <c r="G1334" s="1790" t="inlineStr">
        <is>
          <t>CLIMATIZAÇÃO, EXAUSTÃO MECÂNICA</t>
        </is>
      </c>
      <c r="H1334" s="1749" t="inlineStr">
        <is>
          <t>SERVIÇO</t>
        </is>
      </c>
      <c r="I1334" s="1750" t="inlineStr">
        <is>
          <t>11.006.004.002</t>
        </is>
      </c>
      <c r="J1334" s="1751" t="inlineStr">
        <is>
          <t>Exaustão de cozinha</t>
        </is>
      </c>
      <c r="K1334" s="1752" t="inlineStr">
        <is>
          <t>un</t>
        </is>
      </c>
      <c r="L1334" s="1753" t="n">
        <v>22</v>
      </c>
      <c r="M1334" s="1753" t="n">
        <v>1100</v>
      </c>
      <c r="N1334" s="1754" t="n">
        <v>24200</v>
      </c>
      <c r="O1334" s="1755" t="inlineStr">
        <is>
          <t>Considerado 1 por cozinha</t>
        </is>
      </c>
      <c r="P1334" s="1721" t="inlineStr">
        <is>
          <t>Pendente</t>
        </is>
      </c>
    </row>
    <row r="1335" hidden="1" outlineLevel="2" ht="13.9" customHeight="1">
      <c r="A1335" s="2117" t="n">
        <v>0</v>
      </c>
      <c r="B1335" s="2117" t="n">
        <v>11</v>
      </c>
      <c r="C1335" s="2117" t="n">
        <v>6</v>
      </c>
      <c r="D1335" s="2118" t="n">
        <v>5</v>
      </c>
      <c r="E1335" s="2118" t="n">
        <v>0</v>
      </c>
      <c r="G1335" s="1740" t="n"/>
      <c r="H1335" s="1741" t="inlineStr">
        <is>
          <t>SUBETAPA</t>
        </is>
      </c>
      <c r="I1335" s="1742" t="inlineStr">
        <is>
          <t>11.006.005</t>
        </is>
      </c>
      <c r="J1335" s="1743" t="inlineStr">
        <is>
          <t>Mão de obra</t>
        </is>
      </c>
      <c r="K1335" s="1744" t="n"/>
      <c r="L1335" s="1745" t="n"/>
      <c r="M1335" s="1745" t="n"/>
      <c r="N1335" s="1746" t="n">
        <v>15766.4962485891</v>
      </c>
      <c r="O1335" s="1747" t="n"/>
      <c r="P1335" s="1720" t="n"/>
    </row>
    <row r="1336" hidden="1" outlineLevel="3" ht="13.9" customHeight="1">
      <c r="A1336" s="2117" t="n">
        <v>0</v>
      </c>
      <c r="B1336" s="2117" t="n">
        <v>11</v>
      </c>
      <c r="C1336" s="2117" t="n">
        <v>6</v>
      </c>
      <c r="D1336" s="2118" t="n">
        <v>5</v>
      </c>
      <c r="E1336" s="2118" t="n">
        <v>1</v>
      </c>
      <c r="G1336" s="1790" t="inlineStr">
        <is>
          <t>CLIMATIZAÇÃO, EXAUSTÃO MECÂNICA</t>
        </is>
      </c>
      <c r="H1336" s="1749" t="inlineStr">
        <is>
          <t>SERVIÇO</t>
        </is>
      </c>
      <c r="I1336" s="1750" t="inlineStr">
        <is>
          <t>11.006.005.001</t>
        </is>
      </c>
      <c r="J1336" s="1751" t="inlineStr">
        <is>
          <t>Mão de obra de instalação de equipamentos</t>
        </is>
      </c>
      <c r="K1336" s="1752" t="inlineStr">
        <is>
          <t>vb</t>
        </is>
      </c>
      <c r="L1336" s="1753" t="n">
        <v>1</v>
      </c>
      <c r="M1336" s="1753" t="n">
        <v>15766.49624858909</v>
      </c>
      <c r="N1336" s="1754" t="n">
        <v>15766.4962485891</v>
      </c>
      <c r="O1336" s="1755" t="inlineStr">
        <is>
          <t>Considerado 1200 por equipamento (lazer) - retirado os outros itens da mão de obra, pois englobam nos valores repassados pela GESSELE</t>
        </is>
      </c>
      <c r="P1336" s="1721" t="inlineStr">
        <is>
          <t>Pendente</t>
        </is>
      </c>
    </row>
    <row r="1337" hidden="1" outlineLevel="1" ht="13.9" customHeight="1">
      <c r="A1337" s="2117" t="n">
        <v>0</v>
      </c>
      <c r="B1337" s="2117" t="n">
        <v>11</v>
      </c>
      <c r="C1337" s="2117" t="n">
        <v>7</v>
      </c>
      <c r="D1337" s="2118" t="n">
        <v>0</v>
      </c>
      <c r="E1337" s="2118" t="n">
        <v>1</v>
      </c>
      <c r="G1337" s="1733" t="n"/>
      <c r="H1337" s="1734" t="inlineStr">
        <is>
          <t>ETAPA</t>
        </is>
      </c>
      <c r="I1337" s="1735" t="inlineStr">
        <is>
          <t>11.007</t>
        </is>
      </c>
      <c r="J1337" s="1736" t="inlineStr">
        <is>
          <t>CLIMATIZAÇÃO, EXAUSTÃO MECÂNICA E PRESSURIZAÇÃO - Duplex Inferior</t>
        </is>
      </c>
      <c r="K1337" s="1737" t="n"/>
      <c r="L1337" s="1738" t="n"/>
      <c r="M1337" s="1738" t="n"/>
      <c r="N1337" s="1739" t="n">
        <v>22387.2550075782</v>
      </c>
      <c r="O1337" s="1722" t="n"/>
      <c r="P1337" s="1725" t="n"/>
    </row>
    <row r="1338" hidden="1" outlineLevel="2" ht="13.9" customHeight="1">
      <c r="A1338" s="2117" t="n">
        <v>0</v>
      </c>
      <c r="B1338" s="2117" t="n">
        <v>11</v>
      </c>
      <c r="C1338" s="2117" t="n">
        <v>7</v>
      </c>
      <c r="D1338" s="2118" t="n">
        <v>1</v>
      </c>
      <c r="E1338" s="2118" t="n">
        <v>0</v>
      </c>
      <c r="G1338" s="1740" t="n"/>
      <c r="H1338" s="1741" t="inlineStr">
        <is>
          <t>SUBETAPA</t>
        </is>
      </c>
      <c r="I1338" s="1742" t="inlineStr">
        <is>
          <t>11.007.001</t>
        </is>
      </c>
      <c r="J1338" s="1743" t="inlineStr">
        <is>
          <t>Climatização</t>
        </is>
      </c>
      <c r="K1338" s="1744" t="n"/>
      <c r="L1338" s="1745" t="n"/>
      <c r="M1338" s="1745" t="n"/>
      <c r="N1338" s="1746" t="n">
        <v>12467.5877800648</v>
      </c>
      <c r="O1338" s="1747" t="n"/>
      <c r="P1338" s="1720" t="n"/>
    </row>
    <row r="1339" hidden="1" outlineLevel="3" ht="33.75" customHeight="1">
      <c r="A1339" s="2117" t="n">
        <v>0</v>
      </c>
      <c r="B1339" s="2117" t="n">
        <v>11</v>
      </c>
      <c r="C1339" s="2117" t="n">
        <v>7</v>
      </c>
      <c r="D1339" s="2118" t="n">
        <v>1</v>
      </c>
      <c r="E1339" s="2118" t="n">
        <v>1</v>
      </c>
      <c r="G1339" s="1790" t="inlineStr">
        <is>
          <t>CLIMATIZAÇÃO, EXAUSTÃO MECÂNICA</t>
        </is>
      </c>
      <c r="H1339" s="1749" t="inlineStr">
        <is>
          <t>SERVIÇO</t>
        </is>
      </c>
      <c r="I1339" s="1750" t="inlineStr">
        <is>
          <t>11.007.001.001</t>
        </is>
      </c>
      <c r="J1339" s="1751" t="inlineStr">
        <is>
          <t>Infraestrutura para instalação de ar condicionado</t>
        </is>
      </c>
      <c r="K1339" s="1752" t="inlineStr">
        <is>
          <t>vb</t>
        </is>
      </c>
      <c r="L1339" s="1753" t="n">
        <v>1</v>
      </c>
      <c r="M1339" s="1753" t="n">
        <v>9605.710440095061</v>
      </c>
      <c r="N1339" s="1754" t="n">
        <v>9605.710440095059</v>
      </c>
      <c r="O1339" s="1761" t="inlineStr">
        <is>
          <t>Repessado pela Gessele na reunião do dia 05/03/2026 - temos orçamento climatização + aspiração: material + M.O - climatização: R$ 400k - aspiração: R$ 212k - exceto equipamentos e exaustão churrasqueiras</t>
        </is>
      </c>
      <c r="P1339" s="1721" t="inlineStr">
        <is>
          <t>Pendente</t>
        </is>
      </c>
    </row>
    <row r="1340" hidden="1" outlineLevel="3" ht="33" customHeight="1">
      <c r="A1340" s="2117" t="n">
        <v>0</v>
      </c>
      <c r="B1340" s="2117" t="n">
        <v>11</v>
      </c>
      <c r="C1340" s="2117" t="n">
        <v>7</v>
      </c>
      <c r="D1340" s="2118" t="n">
        <v>1</v>
      </c>
      <c r="E1340" s="2118" t="n">
        <v>2</v>
      </c>
      <c r="G1340" s="1790" t="inlineStr">
        <is>
          <t>CLIMATIZAÇÃO, EXAUSTÃO MECÂNICA</t>
        </is>
      </c>
      <c r="H1340" s="1749" t="inlineStr">
        <is>
          <t>SERVIÇO</t>
        </is>
      </c>
      <c r="I1340" s="1750" t="inlineStr">
        <is>
          <t>11.007.001.002</t>
        </is>
      </c>
      <c r="J1340" s="1751" t="inlineStr">
        <is>
          <t>Equipamento de ar condicionado</t>
        </is>
      </c>
      <c r="K1340" s="1752" t="inlineStr">
        <is>
          <t>vb</t>
        </is>
      </c>
      <c r="L1340" s="1753" t="n">
        <v>1</v>
      </c>
      <c r="M1340" s="1753" t="n">
        <v>2861.877339969722</v>
      </c>
      <c r="N1340" s="1754" t="n">
        <v>2861.87733996972</v>
      </c>
      <c r="O1340" s="1761" t="inlineStr">
        <is>
          <t xml:space="preserve">Repessado pela Gessele na reunião do dia 05/03/2026 - considerar equipamentos somente das áreas comum: hall, guarita, lazer 01 e 02 </t>
        </is>
      </c>
      <c r="P1340" s="1721" t="inlineStr">
        <is>
          <t>Pendente</t>
        </is>
      </c>
    </row>
    <row r="1341" hidden="1" outlineLevel="2" ht="13.9" customHeight="1">
      <c r="A1341" s="2117" t="n">
        <v>0</v>
      </c>
      <c r="B1341" s="2117" t="n">
        <v>11</v>
      </c>
      <c r="C1341" s="2117" t="n">
        <v>7</v>
      </c>
      <c r="D1341" s="2118" t="n">
        <v>2</v>
      </c>
      <c r="E1341" s="2118" t="n">
        <v>0</v>
      </c>
      <c r="G1341" s="1740" t="n"/>
      <c r="H1341" s="1741" t="inlineStr">
        <is>
          <t>SUBETAPA</t>
        </is>
      </c>
      <c r="I1341" s="1742" t="inlineStr">
        <is>
          <t>11.007.002</t>
        </is>
      </c>
      <c r="J1341" s="1743" t="inlineStr">
        <is>
          <t>Exaustão</t>
        </is>
      </c>
      <c r="K1341" s="1744" t="n"/>
      <c r="L1341" s="1745" t="n"/>
      <c r="M1341" s="1745" t="n"/>
      <c r="N1341" s="1746" t="n">
        <v>728.886111049633</v>
      </c>
      <c r="O1341" s="1747" t="n"/>
      <c r="P1341" s="1720" t="n"/>
    </row>
    <row r="1342" hidden="1" outlineLevel="3" ht="13.9" customHeight="1">
      <c r="A1342" s="2117" t="n">
        <v>0</v>
      </c>
      <c r="B1342" s="2117" t="n">
        <v>11</v>
      </c>
      <c r="C1342" s="2117" t="n">
        <v>7</v>
      </c>
      <c r="D1342" s="2118" t="n">
        <v>2</v>
      </c>
      <c r="E1342" s="2118" t="n">
        <v>1</v>
      </c>
      <c r="G1342" s="1790" t="inlineStr">
        <is>
          <t>CLIMATIZAÇÃO, EXAUSTÃO MECÂNICA</t>
        </is>
      </c>
      <c r="H1342" s="1749" t="inlineStr">
        <is>
          <t>SERVIÇO</t>
        </is>
      </c>
      <c r="I1342" s="1750" t="inlineStr">
        <is>
          <t>11.007.002.001</t>
        </is>
      </c>
      <c r="J1342" s="1751" t="inlineStr">
        <is>
          <t>Equipamento de exaustão</t>
        </is>
      </c>
      <c r="K1342" s="1752" t="inlineStr">
        <is>
          <t>vb</t>
        </is>
      </c>
      <c r="L1342" s="1753" t="n">
        <v>1</v>
      </c>
      <c r="M1342" s="1753" t="n">
        <v>728.8861110496333</v>
      </c>
      <c r="N1342" s="1754" t="n">
        <v>728.886111049633</v>
      </c>
      <c r="O1342" s="1755" t="inlineStr">
        <is>
          <t>Exaustor</t>
        </is>
      </c>
      <c r="P1342" s="1721" t="inlineStr">
        <is>
          <t>Pendente</t>
        </is>
      </c>
    </row>
    <row r="1343" hidden="1" outlineLevel="2" ht="13.9" customHeight="1">
      <c r="A1343" s="2117" t="n">
        <v>0</v>
      </c>
      <c r="B1343" s="2117" t="n">
        <v>11</v>
      </c>
      <c r="C1343" s="2117" t="n">
        <v>7</v>
      </c>
      <c r="D1343" s="2118" t="n">
        <v>3</v>
      </c>
      <c r="E1343" s="2118" t="n">
        <v>0</v>
      </c>
      <c r="G1343" s="1740" t="n"/>
      <c r="H1343" s="1741" t="inlineStr">
        <is>
          <t>SUBETAPA</t>
        </is>
      </c>
      <c r="I1343" s="1742" t="inlineStr">
        <is>
          <t>11.007.003</t>
        </is>
      </c>
      <c r="J1343" s="1743" t="inlineStr">
        <is>
          <t>Aspiração</t>
        </is>
      </c>
      <c r="K1343" s="1744" t="n"/>
      <c r="L1343" s="1745" t="n"/>
      <c r="M1343" s="1745" t="n"/>
      <c r="N1343" s="1746" t="n">
        <v>5137.16996477699</v>
      </c>
      <c r="O1343" s="1747" t="n"/>
      <c r="P1343" s="1720" t="n"/>
    </row>
    <row r="1344" hidden="1" outlineLevel="3" ht="13.9" customHeight="1">
      <c r="A1344" s="2117" t="n">
        <v>0</v>
      </c>
      <c r="B1344" s="2117" t="n">
        <v>11</v>
      </c>
      <c r="C1344" s="2117" t="n">
        <v>7</v>
      </c>
      <c r="D1344" s="2118" t="n">
        <v>3</v>
      </c>
      <c r="E1344" s="2118" t="n">
        <v>1</v>
      </c>
      <c r="G1344" s="1790" t="inlineStr">
        <is>
          <t>CLIMATIZAÇÃO, EXAUSTÃO MECÂNICA</t>
        </is>
      </c>
      <c r="H1344" s="1749" t="inlineStr">
        <is>
          <t>SERVIÇO</t>
        </is>
      </c>
      <c r="I1344" s="1750" t="inlineStr">
        <is>
          <t>11.007.003.001</t>
        </is>
      </c>
      <c r="J1344" s="1751" t="inlineStr">
        <is>
          <t>Equipamento de Aspiração</t>
        </is>
      </c>
      <c r="K1344" s="1752" t="inlineStr">
        <is>
          <t>vb</t>
        </is>
      </c>
      <c r="L1344" s="1753" t="n">
        <v>1</v>
      </c>
      <c r="M1344" s="1753" t="n">
        <v>46.14343152660665</v>
      </c>
      <c r="N1344" s="1754" t="n">
        <v>46.1434315266066</v>
      </c>
      <c r="O1344" s="1755" t="inlineStr">
        <is>
          <t>Equipamento de aspiração + Considerado o material de aspiração localizado na planilha de iluminação</t>
        </is>
      </c>
      <c r="P1344" s="1721" t="inlineStr">
        <is>
          <t>Pendente</t>
        </is>
      </c>
    </row>
    <row r="1345" hidden="1" outlineLevel="3" ht="13.9" customHeight="1">
      <c r="A1345" s="2117" t="n">
        <v>0</v>
      </c>
      <c r="B1345" s="2117" t="n">
        <v>11</v>
      </c>
      <c r="C1345" s="2117" t="n">
        <v>7</v>
      </c>
      <c r="D1345" s="2118" t="n">
        <v>3</v>
      </c>
      <c r="E1345" s="2118" t="n">
        <v>2</v>
      </c>
      <c r="G1345" s="1790" t="inlineStr">
        <is>
          <t>CLIMATIZAÇÃO, EXAUSTÃO MECÂNICA</t>
        </is>
      </c>
      <c r="H1345" s="1749" t="inlineStr">
        <is>
          <t>SERVIÇO</t>
        </is>
      </c>
      <c r="I1345" s="1750" t="inlineStr">
        <is>
          <t>11.007.003.002</t>
        </is>
      </c>
      <c r="J1345" s="1751" t="inlineStr">
        <is>
          <t>Infraestrutua de Aspiração</t>
        </is>
      </c>
      <c r="K1345" s="1752" t="inlineStr">
        <is>
          <t>vb</t>
        </is>
      </c>
      <c r="L1345" s="1753" t="n">
        <v>1</v>
      </c>
      <c r="M1345" s="1753" t="n">
        <v>5091.026533250382</v>
      </c>
      <c r="N1345" s="1754" t="n">
        <v>5091.02653325038</v>
      </c>
      <c r="O1345" s="1761" t="inlineStr">
        <is>
          <t>Repessado pela Gessele na reunião do dia 05/03/2026 - temos orçamento climatização + aspiração: material + M.O - climatização: R$ 400k - aspiração: R$ 212k - exceto equipamentos e exaustão churrasqueiras</t>
        </is>
      </c>
      <c r="P1345" s="1721" t="inlineStr">
        <is>
          <t>Pendente</t>
        </is>
      </c>
    </row>
    <row r="1346" hidden="1" outlineLevel="2" ht="13.9" customHeight="1">
      <c r="A1346" s="2117" t="n">
        <v>0</v>
      </c>
      <c r="B1346" s="2117" t="n">
        <v>11</v>
      </c>
      <c r="C1346" s="2117" t="n">
        <v>7</v>
      </c>
      <c r="D1346" s="2118" t="n">
        <v>4</v>
      </c>
      <c r="E1346" s="2118" t="n">
        <v>0</v>
      </c>
      <c r="G1346" s="1740" t="n"/>
      <c r="H1346" s="1741" t="inlineStr">
        <is>
          <t>SUBETAPA</t>
        </is>
      </c>
      <c r="I1346" s="1742" t="inlineStr">
        <is>
          <t>11.007.004</t>
        </is>
      </c>
      <c r="J1346" s="1743" t="inlineStr">
        <is>
          <t>Exaustão de churrasqueiras</t>
        </is>
      </c>
      <c r="K1346" s="1744" t="n"/>
      <c r="L1346" s="1745" t="n"/>
      <c r="M1346" s="1745" t="n"/>
      <c r="N1346" s="1746" t="n">
        <v>3362</v>
      </c>
      <c r="O1346" s="1747" t="n"/>
      <c r="P1346" s="1720" t="n"/>
    </row>
    <row r="1347" hidden="1" outlineLevel="3" ht="13.9" customHeight="1">
      <c r="A1347" s="2117" t="n">
        <v>0</v>
      </c>
      <c r="B1347" s="2117" t="n">
        <v>11</v>
      </c>
      <c r="C1347" s="2117" t="n">
        <v>7</v>
      </c>
      <c r="D1347" s="2118" t="n">
        <v>4</v>
      </c>
      <c r="E1347" s="2118" t="n">
        <v>1</v>
      </c>
      <c r="G1347" s="1790" t="inlineStr">
        <is>
          <t>CLIMATIZAÇÃO, EXAUSTÃO MECÂNICA</t>
        </is>
      </c>
      <c r="H1347" s="1749" t="inlineStr">
        <is>
          <t>SERVIÇO</t>
        </is>
      </c>
      <c r="I1347" s="1750" t="inlineStr">
        <is>
          <t>11.007.004.001</t>
        </is>
      </c>
      <c r="J1347" s="1751" t="inlineStr">
        <is>
          <t>Exaustão de churrasqueiras</t>
        </is>
      </c>
      <c r="K1347" s="1752" t="inlineStr">
        <is>
          <t>un</t>
        </is>
      </c>
      <c r="L1347" s="1753" t="n">
        <v>1</v>
      </c>
      <c r="M1347" s="1753" t="n">
        <v>2262</v>
      </c>
      <c r="N1347" s="1754" t="n">
        <v>2262</v>
      </c>
      <c r="O1347" s="1755" t="inlineStr">
        <is>
          <t>Considerado 1 por churrasqueira</t>
        </is>
      </c>
      <c r="P1347" s="1721" t="inlineStr">
        <is>
          <t>Pendente</t>
        </is>
      </c>
    </row>
    <row r="1348" hidden="1" outlineLevel="3" ht="13.9" customHeight="1">
      <c r="A1348" s="2117" t="n">
        <v>0</v>
      </c>
      <c r="B1348" s="2117" t="n">
        <v>11</v>
      </c>
      <c r="C1348" s="2117" t="n">
        <v>7</v>
      </c>
      <c r="D1348" s="2118" t="n">
        <v>4</v>
      </c>
      <c r="E1348" s="2118" t="n">
        <v>2</v>
      </c>
      <c r="G1348" s="1790" t="inlineStr">
        <is>
          <t>CLIMATIZAÇÃO, EXAUSTÃO MECÂNICA</t>
        </is>
      </c>
      <c r="H1348" s="1749" t="inlineStr">
        <is>
          <t>SERVIÇO</t>
        </is>
      </c>
      <c r="I1348" s="1750" t="inlineStr">
        <is>
          <t>11.007.004.002</t>
        </is>
      </c>
      <c r="J1348" s="1751" t="inlineStr">
        <is>
          <t>Exaustão de cozinha</t>
        </is>
      </c>
      <c r="K1348" s="1752" t="inlineStr">
        <is>
          <t>un</t>
        </is>
      </c>
      <c r="L1348" s="1753" t="n">
        <v>1</v>
      </c>
      <c r="M1348" s="1753" t="n">
        <v>1100</v>
      </c>
      <c r="N1348" s="1754" t="n">
        <v>1100</v>
      </c>
      <c r="O1348" s="1755" t="inlineStr">
        <is>
          <t>Considerado 1 por cozinha</t>
        </is>
      </c>
      <c r="P1348" s="1721" t="inlineStr">
        <is>
          <t>Pendente</t>
        </is>
      </c>
    </row>
    <row r="1349" hidden="1" outlineLevel="2" ht="13.9" customHeight="1">
      <c r="A1349" s="2117" t="n">
        <v>0</v>
      </c>
      <c r="B1349" s="2117" t="n">
        <v>11</v>
      </c>
      <c r="C1349" s="2117" t="n">
        <v>7</v>
      </c>
      <c r="D1349" s="2118" t="n">
        <v>5</v>
      </c>
      <c r="E1349" s="2118" t="n">
        <v>0</v>
      </c>
      <c r="G1349" s="1740" t="n"/>
      <c r="H1349" s="1741" t="inlineStr">
        <is>
          <t>SUBETAPA</t>
        </is>
      </c>
      <c r="I1349" s="1742" t="inlineStr">
        <is>
          <t>11.007.005</t>
        </is>
      </c>
      <c r="J1349" s="1743" t="inlineStr">
        <is>
          <t>Mão de obra</t>
        </is>
      </c>
      <c r="K1349" s="1744" t="n"/>
      <c r="L1349" s="1745" t="n"/>
      <c r="M1349" s="1745" t="n"/>
      <c r="N1349" s="1746" t="n">
        <v>691.611151686844</v>
      </c>
      <c r="O1349" s="1747" t="n"/>
      <c r="P1349" s="1720" t="n"/>
    </row>
    <row r="1350" hidden="1" outlineLevel="3" ht="13.9" customHeight="1">
      <c r="A1350" s="2117" t="n">
        <v>0</v>
      </c>
      <c r="B1350" s="2117" t="n">
        <v>11</v>
      </c>
      <c r="C1350" s="2117" t="n">
        <v>7</v>
      </c>
      <c r="D1350" s="2118" t="n">
        <v>5</v>
      </c>
      <c r="E1350" s="2118" t="n">
        <v>1</v>
      </c>
      <c r="G1350" s="1790" t="inlineStr">
        <is>
          <t>CLIMATIZAÇÃO, EXAUSTÃO MECÂNICA</t>
        </is>
      </c>
      <c r="H1350" s="1749" t="inlineStr">
        <is>
          <t>SERVIÇO</t>
        </is>
      </c>
      <c r="I1350" s="1750" t="inlineStr">
        <is>
          <t>11.007.005.001</t>
        </is>
      </c>
      <c r="J1350" s="1751" t="inlineStr">
        <is>
          <t>Mão de obra de instalação de equipamentos</t>
        </is>
      </c>
      <c r="K1350" s="1752" t="inlineStr">
        <is>
          <t>vb</t>
        </is>
      </c>
      <c r="L1350" s="1753" t="n">
        <v>1</v>
      </c>
      <c r="M1350" s="1753" t="n">
        <v>691.6111516868444</v>
      </c>
      <c r="N1350" s="1754" t="n">
        <v>691.611151686844</v>
      </c>
      <c r="O1350" s="1755" t="inlineStr">
        <is>
          <t>Considerado 1200 por equipamento (lazer) - retirado os outros itens da mão de obra, pois englobam nos valores repassados pela GESSELE</t>
        </is>
      </c>
      <c r="P1350" s="1721" t="inlineStr">
        <is>
          <t>Pendente</t>
        </is>
      </c>
    </row>
    <row r="1351" hidden="1" outlineLevel="1" ht="13.9" customHeight="1">
      <c r="A1351" s="2117" t="n">
        <v>0</v>
      </c>
      <c r="B1351" s="2117" t="n">
        <v>11</v>
      </c>
      <c r="C1351" s="2117" t="n">
        <v>8</v>
      </c>
      <c r="D1351" s="2118" t="n">
        <v>0</v>
      </c>
      <c r="E1351" s="2118" t="n">
        <v>1</v>
      </c>
      <c r="G1351" s="1733" t="n"/>
      <c r="H1351" s="1734" t="inlineStr">
        <is>
          <t>ETAPA</t>
        </is>
      </c>
      <c r="I1351" s="1735" t="inlineStr">
        <is>
          <t>11.008</t>
        </is>
      </c>
      <c r="J1351" s="1736" t="inlineStr">
        <is>
          <t>CLIMATIZAÇÃO, EXAUSTÃO MECÂNICA E PRESSURIZAÇÃO - Duplex Superior</t>
        </is>
      </c>
      <c r="K1351" s="1737" t="n"/>
      <c r="L1351" s="1738" t="n"/>
      <c r="M1351" s="1738" t="n"/>
      <c r="N1351" s="1739" t="n">
        <v>18105.6836978182</v>
      </c>
      <c r="O1351" s="1722" t="n"/>
      <c r="P1351" s="1725" t="n"/>
    </row>
    <row r="1352" hidden="1" outlineLevel="2" ht="13.9" customHeight="1">
      <c r="A1352" s="2117" t="n">
        <v>0</v>
      </c>
      <c r="B1352" s="2117" t="n">
        <v>11</v>
      </c>
      <c r="C1352" s="2117" t="n">
        <v>8</v>
      </c>
      <c r="D1352" s="2118" t="n">
        <v>1</v>
      </c>
      <c r="E1352" s="2118" t="n">
        <v>0</v>
      </c>
      <c r="G1352" s="1740" t="n"/>
      <c r="H1352" s="1741" t="inlineStr">
        <is>
          <t>SUBETAPA</t>
        </is>
      </c>
      <c r="I1352" s="1742" t="inlineStr">
        <is>
          <t>11.008.001</t>
        </is>
      </c>
      <c r="J1352" s="1743" t="inlineStr">
        <is>
          <t>Climatização</t>
        </is>
      </c>
      <c r="K1352" s="1744" t="n"/>
      <c r="L1352" s="1745" t="n"/>
      <c r="M1352" s="1745" t="n"/>
      <c r="N1352" s="1746" t="n">
        <v>11864.9763554139</v>
      </c>
      <c r="O1352" s="1747" t="n"/>
      <c r="P1352" s="1720" t="n"/>
    </row>
    <row r="1353" hidden="1" outlineLevel="3" ht="33.75" customHeight="1">
      <c r="A1353" s="2117" t="n">
        <v>0</v>
      </c>
      <c r="B1353" s="2117" t="n">
        <v>11</v>
      </c>
      <c r="C1353" s="2117" t="n">
        <v>8</v>
      </c>
      <c r="D1353" s="2118" t="n">
        <v>1</v>
      </c>
      <c r="E1353" s="2118" t="n">
        <v>1</v>
      </c>
      <c r="G1353" s="1790" t="inlineStr">
        <is>
          <t>CLIMATIZAÇÃO, EXAUSTÃO MECÂNICA</t>
        </is>
      </c>
      <c r="H1353" s="1749" t="inlineStr">
        <is>
          <t>SERVIÇO</t>
        </is>
      </c>
      <c r="I1353" s="1750" t="inlineStr">
        <is>
          <t>11.008.001.001</t>
        </is>
      </c>
      <c r="J1353" s="1751" t="inlineStr">
        <is>
          <t>Infraestrutura para instalação de ar condicionado</t>
        </is>
      </c>
      <c r="K1353" s="1752" t="inlineStr">
        <is>
          <t>vb</t>
        </is>
      </c>
      <c r="L1353" s="1753" t="n">
        <v>1</v>
      </c>
      <c r="M1353" s="1753" t="n">
        <v>9141.425691898223</v>
      </c>
      <c r="N1353" s="1754" t="n">
        <v>9141.425691898219</v>
      </c>
      <c r="O1353" s="1761" t="inlineStr">
        <is>
          <t>Repessado pela Gessele na reunião do dia 05/03/2026 - temos orçamento climatização + aspiração: material + M.O - climatização: R$ 400k - aspiração: R$ 212k - exceto equipamentos e exaustão churrasqueiras</t>
        </is>
      </c>
      <c r="P1353" s="1721" t="inlineStr">
        <is>
          <t>Pendente</t>
        </is>
      </c>
    </row>
    <row r="1354" hidden="1" outlineLevel="3" ht="33" customHeight="1">
      <c r="A1354" s="2117" t="n">
        <v>0</v>
      </c>
      <c r="B1354" s="2117" t="n">
        <v>11</v>
      </c>
      <c r="C1354" s="2117" t="n">
        <v>8</v>
      </c>
      <c r="D1354" s="2118" t="n">
        <v>1</v>
      </c>
      <c r="E1354" s="2118" t="n">
        <v>2</v>
      </c>
      <c r="G1354" s="1790" t="inlineStr">
        <is>
          <t>CLIMATIZAÇÃO, EXAUSTÃO MECÂNICA</t>
        </is>
      </c>
      <c r="H1354" s="1749" t="inlineStr">
        <is>
          <t>SERVIÇO</t>
        </is>
      </c>
      <c r="I1354" s="1750" t="inlineStr">
        <is>
          <t>11.008.001.002</t>
        </is>
      </c>
      <c r="J1354" s="1751" t="inlineStr">
        <is>
          <t>Equipamento de ar condicionado</t>
        </is>
      </c>
      <c r="K1354" s="1752" t="inlineStr">
        <is>
          <t>vb</t>
        </is>
      </c>
      <c r="L1354" s="1753" t="n">
        <v>1</v>
      </c>
      <c r="M1354" s="1753" t="n">
        <v>2723.550663515697</v>
      </c>
      <c r="N1354" s="1754" t="n">
        <v>2723.5506635157</v>
      </c>
      <c r="O1354" s="1761" t="inlineStr">
        <is>
          <t xml:space="preserve">Repessado pela Gessele na reunião do dia 05/03/2026 - considerar equipamentos somente das áreas comum: hall, guarita, lazer 01 e 02 </t>
        </is>
      </c>
      <c r="P1354" s="1721" t="inlineStr">
        <is>
          <t>Pendente</t>
        </is>
      </c>
    </row>
    <row r="1355" hidden="1" outlineLevel="2" ht="13.9" customHeight="1">
      <c r="A1355" s="2117" t="n">
        <v>0</v>
      </c>
      <c r="B1355" s="2117" t="n">
        <v>11</v>
      </c>
      <c r="C1355" s="2117" t="n">
        <v>8</v>
      </c>
      <c r="D1355" s="2118" t="n">
        <v>2</v>
      </c>
      <c r="E1355" s="2118" t="n">
        <v>0</v>
      </c>
      <c r="G1355" s="1740" t="n"/>
      <c r="H1355" s="1741" t="inlineStr">
        <is>
          <t>SUBETAPA</t>
        </is>
      </c>
      <c r="I1355" s="1742" t="inlineStr">
        <is>
          <t>11.008.002</t>
        </is>
      </c>
      <c r="J1355" s="1743" t="inlineStr">
        <is>
          <t>Exaustão</t>
        </is>
      </c>
      <c r="K1355" s="1744" t="n"/>
      <c r="L1355" s="1745" t="n"/>
      <c r="M1355" s="1745" t="n"/>
      <c r="N1355" s="1746" t="n">
        <v>693.655952214083</v>
      </c>
      <c r="O1355" s="1747" t="n"/>
      <c r="P1355" s="1720" t="n"/>
    </row>
    <row r="1356" hidden="1" outlineLevel="3" ht="13.9" customHeight="1">
      <c r="A1356" s="2117" t="n">
        <v>0</v>
      </c>
      <c r="B1356" s="2117" t="n">
        <v>11</v>
      </c>
      <c r="C1356" s="2117" t="n">
        <v>8</v>
      </c>
      <c r="D1356" s="2118" t="n">
        <v>2</v>
      </c>
      <c r="E1356" s="2118" t="n">
        <v>1</v>
      </c>
      <c r="G1356" s="1790" t="inlineStr">
        <is>
          <t>CLIMATIZAÇÃO, EXAUSTÃO MECÂNICA</t>
        </is>
      </c>
      <c r="H1356" s="1749" t="inlineStr">
        <is>
          <t>SERVIÇO</t>
        </is>
      </c>
      <c r="I1356" s="1750" t="inlineStr">
        <is>
          <t>11.008.002.001</t>
        </is>
      </c>
      <c r="J1356" s="1751" t="inlineStr">
        <is>
          <t>Equipamento de exaustão</t>
        </is>
      </c>
      <c r="K1356" s="1752" t="inlineStr">
        <is>
          <t>vb</t>
        </is>
      </c>
      <c r="L1356" s="1753" t="n">
        <v>1</v>
      </c>
      <c r="M1356" s="1753" t="n">
        <v>693.6559522140831</v>
      </c>
      <c r="N1356" s="1754" t="n">
        <v>693.655952214083</v>
      </c>
      <c r="O1356" s="1755" t="inlineStr">
        <is>
          <t>Exaustor</t>
        </is>
      </c>
      <c r="P1356" s="1721" t="inlineStr">
        <is>
          <t>Pendente</t>
        </is>
      </c>
    </row>
    <row r="1357" hidden="1" outlineLevel="2" ht="13.9" customHeight="1">
      <c r="A1357" s="2117" t="n">
        <v>0</v>
      </c>
      <c r="B1357" s="2117" t="n">
        <v>11</v>
      </c>
      <c r="C1357" s="2117" t="n">
        <v>8</v>
      </c>
      <c r="D1357" s="2118" t="n">
        <v>3</v>
      </c>
      <c r="E1357" s="2118" t="n">
        <v>0</v>
      </c>
      <c r="G1357" s="1740" t="n"/>
      <c r="H1357" s="1741" t="inlineStr">
        <is>
          <t>SUBETAPA</t>
        </is>
      </c>
      <c r="I1357" s="1742" t="inlineStr">
        <is>
          <t>11.008.003</t>
        </is>
      </c>
      <c r="J1357" s="1743" t="inlineStr">
        <is>
          <t>Aspiração</t>
        </is>
      </c>
      <c r="K1357" s="1744" t="n"/>
      <c r="L1357" s="1745" t="n"/>
      <c r="M1357" s="1745" t="n"/>
      <c r="N1357" s="1746" t="n">
        <v>4888.86874037351</v>
      </c>
      <c r="O1357" s="1747" t="n"/>
      <c r="P1357" s="1720" t="n"/>
    </row>
    <row r="1358" hidden="1" outlineLevel="3" ht="13.9" customHeight="1">
      <c r="A1358" s="2117" t="n">
        <v>0</v>
      </c>
      <c r="B1358" s="2117" t="n">
        <v>11</v>
      </c>
      <c r="C1358" s="2117" t="n">
        <v>8</v>
      </c>
      <c r="D1358" s="2118" t="n">
        <v>3</v>
      </c>
      <c r="E1358" s="2118" t="n">
        <v>1</v>
      </c>
      <c r="G1358" s="1790" t="inlineStr">
        <is>
          <t>CLIMATIZAÇÃO, EXAUSTÃO MECÂNICA</t>
        </is>
      </c>
      <c r="H1358" s="1749" t="inlineStr">
        <is>
          <t>SERVIÇO</t>
        </is>
      </c>
      <c r="I1358" s="1750" t="inlineStr">
        <is>
          <t>11.008.003.001</t>
        </is>
      </c>
      <c r="J1358" s="1751" t="inlineStr">
        <is>
          <t>Equipamento de Aspiração</t>
        </is>
      </c>
      <c r="K1358" s="1752" t="inlineStr">
        <is>
          <t>vb</t>
        </is>
      </c>
      <c r="L1358" s="1753" t="n">
        <v>1</v>
      </c>
      <c r="M1358" s="1753" t="n">
        <v>43.91312366745608</v>
      </c>
      <c r="N1358" s="1754" t="n">
        <v>43.9131236674561</v>
      </c>
      <c r="O1358" s="1755" t="inlineStr">
        <is>
          <t>Equipamento de aspiração + Considerado o material de aspiração localizado na planilha de iluminação</t>
        </is>
      </c>
      <c r="P1358" s="1721" t="inlineStr">
        <is>
          <t>Pendente</t>
        </is>
      </c>
    </row>
    <row r="1359" hidden="1" outlineLevel="3" ht="13.9" customHeight="1">
      <c r="A1359" s="2117" t="n">
        <v>0</v>
      </c>
      <c r="B1359" s="2117" t="n">
        <v>11</v>
      </c>
      <c r="C1359" s="2117" t="n">
        <v>8</v>
      </c>
      <c r="D1359" s="2118" t="n">
        <v>3</v>
      </c>
      <c r="E1359" s="2118" t="n">
        <v>2</v>
      </c>
      <c r="G1359" s="1790" t="inlineStr">
        <is>
          <t>CLIMATIZAÇÃO, EXAUSTÃO MECÂNICA</t>
        </is>
      </c>
      <c r="H1359" s="1749" t="inlineStr">
        <is>
          <t>SERVIÇO</t>
        </is>
      </c>
      <c r="I1359" s="1750" t="inlineStr">
        <is>
          <t>11.008.003.002</t>
        </is>
      </c>
      <c r="J1359" s="1751" t="inlineStr">
        <is>
          <t>Infraestrutua de Aspiração</t>
        </is>
      </c>
      <c r="K1359" s="1752" t="inlineStr">
        <is>
          <t>vb</t>
        </is>
      </c>
      <c r="L1359" s="1753" t="n">
        <v>1</v>
      </c>
      <c r="M1359" s="1753" t="n">
        <v>4844.955616706058</v>
      </c>
      <c r="N1359" s="1754" t="n">
        <v>4844.95561670606</v>
      </c>
      <c r="O1359" s="1761" t="inlineStr">
        <is>
          <t>Repessado pela Gessele na reunião do dia 05/03/2026 - temos orçamento climatização + aspiração: material + M.O - climatização: R$ 400k - aspiração: R$ 212k - exceto equipamentos e exaustão churrasqueiras</t>
        </is>
      </c>
      <c r="P1359" s="1721" t="inlineStr">
        <is>
          <t>Pendente</t>
        </is>
      </c>
    </row>
    <row r="1360" hidden="1" outlineLevel="2" ht="13.9" customHeight="1">
      <c r="A1360" s="2117" t="n">
        <v>0</v>
      </c>
      <c r="B1360" s="2117" t="n">
        <v>11</v>
      </c>
      <c r="C1360" s="2117" t="n">
        <v>8</v>
      </c>
      <c r="D1360" s="2118" t="n">
        <v>4</v>
      </c>
      <c r="E1360" s="2118" t="n">
        <v>0</v>
      </c>
      <c r="G1360" s="1740" t="n"/>
      <c r="H1360" s="1741" t="inlineStr">
        <is>
          <t>SUBETAPA</t>
        </is>
      </c>
      <c r="I1360" s="1742" t="inlineStr">
        <is>
          <t>11.008.004</t>
        </is>
      </c>
      <c r="J1360" s="1743" t="inlineStr">
        <is>
          <t>Exaustão de churrasqueiras</t>
        </is>
      </c>
      <c r="K1360" s="1744" t="n"/>
      <c r="L1360" s="1745" t="n"/>
      <c r="M1360" s="1745" t="n"/>
      <c r="N1360" s="1746" t="n">
        <v>0</v>
      </c>
      <c r="O1360" s="1747" t="n"/>
      <c r="P1360" s="1720" t="n"/>
    </row>
    <row r="1361" hidden="1" outlineLevel="3" ht="13.9" customHeight="1">
      <c r="A1361" s="2117" t="n">
        <v>0</v>
      </c>
      <c r="B1361" s="2117" t="n">
        <v>11</v>
      </c>
      <c r="C1361" s="2117" t="n">
        <v>8</v>
      </c>
      <c r="D1361" s="2118" t="n">
        <v>4</v>
      </c>
      <c r="E1361" s="2118" t="n">
        <v>1</v>
      </c>
      <c r="G1361" s="1790" t="inlineStr">
        <is>
          <t>CLIMATIZAÇÃO, EXAUSTÃO MECÂNICA</t>
        </is>
      </c>
      <c r="H1361" s="1749" t="inlineStr">
        <is>
          <t>SERVIÇO</t>
        </is>
      </c>
      <c r="I1361" s="1750" t="inlineStr">
        <is>
          <t>11.008.004.001</t>
        </is>
      </c>
      <c r="J1361" s="1751" t="inlineStr">
        <is>
          <t>Exaustão de churrasqueiras</t>
        </is>
      </c>
      <c r="K1361" s="1752" t="inlineStr">
        <is>
          <t>un</t>
        </is>
      </c>
      <c r="L1361" s="1753" t="n">
        <v>0</v>
      </c>
      <c r="M1361" s="1753" t="n">
        <v>2262</v>
      </c>
      <c r="N1361" s="1754" t="n">
        <v>0</v>
      </c>
      <c r="O1361" s="1755" t="inlineStr">
        <is>
          <t>Considerado 1 por churrasqueira</t>
        </is>
      </c>
      <c r="P1361" s="1721" t="inlineStr">
        <is>
          <t>Pendente</t>
        </is>
      </c>
    </row>
    <row r="1362" hidden="1" outlineLevel="3" ht="13.9" customHeight="1">
      <c r="A1362" s="2117" t="n">
        <v>0</v>
      </c>
      <c r="B1362" s="2117" t="n">
        <v>11</v>
      </c>
      <c r="C1362" s="2117" t="n">
        <v>8</v>
      </c>
      <c r="D1362" s="2118" t="n">
        <v>4</v>
      </c>
      <c r="E1362" s="2118" t="n">
        <v>2</v>
      </c>
      <c r="G1362" s="1790" t="inlineStr">
        <is>
          <t>CLIMATIZAÇÃO, EXAUSTÃO MECÂNICA</t>
        </is>
      </c>
      <c r="H1362" s="1749" t="inlineStr">
        <is>
          <t>SERVIÇO</t>
        </is>
      </c>
      <c r="I1362" s="1750" t="inlineStr">
        <is>
          <t>11.008.004.002</t>
        </is>
      </c>
      <c r="J1362" s="1751" t="inlineStr">
        <is>
          <t>Exaustão de cozinha</t>
        </is>
      </c>
      <c r="K1362" s="1752" t="inlineStr">
        <is>
          <t>un</t>
        </is>
      </c>
      <c r="L1362" s="1753" t="n">
        <v>0</v>
      </c>
      <c r="M1362" s="1753" t="n">
        <v>1100</v>
      </c>
      <c r="N1362" s="1754" t="n">
        <v>0</v>
      </c>
      <c r="O1362" s="1755" t="inlineStr">
        <is>
          <t>Considerado 1 por cozinha</t>
        </is>
      </c>
      <c r="P1362" s="1721" t="inlineStr">
        <is>
          <t>Pendente</t>
        </is>
      </c>
    </row>
    <row r="1363" hidden="1" outlineLevel="2" ht="13.9" customHeight="1">
      <c r="A1363" s="2117" t="n">
        <v>0</v>
      </c>
      <c r="B1363" s="2117" t="n">
        <v>11</v>
      </c>
      <c r="C1363" s="2117" t="n">
        <v>8</v>
      </c>
      <c r="D1363" s="2118" t="n">
        <v>5</v>
      </c>
      <c r="E1363" s="2118" t="n">
        <v>0</v>
      </c>
      <c r="G1363" s="1740" t="n"/>
      <c r="H1363" s="1741" t="inlineStr">
        <is>
          <t>SUBETAPA</t>
        </is>
      </c>
      <c r="I1363" s="1742" t="inlineStr">
        <is>
          <t>11.008.005</t>
        </is>
      </c>
      <c r="J1363" s="1743" t="inlineStr">
        <is>
          <t>Mão de obra</t>
        </is>
      </c>
      <c r="K1363" s="1744" t="n"/>
      <c r="L1363" s="1745" t="n"/>
      <c r="M1363" s="1745" t="n"/>
      <c r="N1363" s="1746" t="n">
        <v>658.182649816672</v>
      </c>
      <c r="O1363" s="1747" t="n"/>
      <c r="P1363" s="1720" t="n"/>
    </row>
    <row r="1364" hidden="1" outlineLevel="3" ht="13.9" customHeight="1">
      <c r="A1364" s="2117" t="n">
        <v>0</v>
      </c>
      <c r="B1364" s="2117" t="n">
        <v>11</v>
      </c>
      <c r="C1364" s="2117" t="n">
        <v>8</v>
      </c>
      <c r="D1364" s="2118" t="n">
        <v>5</v>
      </c>
      <c r="E1364" s="2118" t="n">
        <v>1</v>
      </c>
      <c r="G1364" s="1790" t="inlineStr">
        <is>
          <t>CLIMATIZAÇÃO, EXAUSTÃO MECÂNICA</t>
        </is>
      </c>
      <c r="H1364" s="1749" t="inlineStr">
        <is>
          <t>SERVIÇO</t>
        </is>
      </c>
      <c r="I1364" s="1750" t="inlineStr">
        <is>
          <t>11.008.005.001</t>
        </is>
      </c>
      <c r="J1364" s="1751" t="inlineStr">
        <is>
          <t>Mão de obra de instalação de equipamentos</t>
        </is>
      </c>
      <c r="K1364" s="1752" t="inlineStr">
        <is>
          <t>vb</t>
        </is>
      </c>
      <c r="L1364" s="1753" t="n">
        <v>1</v>
      </c>
      <c r="M1364" s="1753" t="n">
        <v>658.182649816672</v>
      </c>
      <c r="N1364" s="1754" t="n">
        <v>658.182649816672</v>
      </c>
      <c r="O1364" s="1755" t="inlineStr">
        <is>
          <t>Considerado 1200 por equipamento (lazer) - retirado os outros itens da mão de obra, pois englobam nos valores repassados pela GESSELE</t>
        </is>
      </c>
      <c r="P1364" s="1721" t="inlineStr">
        <is>
          <t>Pendente</t>
        </is>
      </c>
    </row>
    <row r="1365" collapsed="1" ht="13.9" customHeight="1">
      <c r="A1365" s="2117" t="n">
        <v>0</v>
      </c>
      <c r="B1365" s="2117" t="n">
        <v>12</v>
      </c>
      <c r="C1365" s="2117" t="n">
        <v>0</v>
      </c>
      <c r="D1365" s="2118" t="n">
        <v>5</v>
      </c>
      <c r="E1365" s="2118" t="n">
        <v>1</v>
      </c>
      <c r="F1365" s="474" t="n"/>
      <c r="G1365" s="1791" t="n"/>
      <c r="H1365" s="1727" t="inlineStr">
        <is>
          <t>CÉLULA CONSTRUTIVA</t>
        </is>
      </c>
      <c r="I1365" s="1728" t="inlineStr">
        <is>
          <t>12</t>
        </is>
      </c>
      <c r="J1365" s="1729" t="inlineStr">
        <is>
          <t>INSTALAÇÕES ESPECIAIS</t>
        </is>
      </c>
      <c r="K1365" s="1730" t="n"/>
      <c r="L1365" s="1731" t="n"/>
      <c r="M1365" s="1731" t="n"/>
      <c r="N1365" s="1732" t="n"/>
      <c r="O1365" s="1770" t="n"/>
      <c r="P1365" s="1724" t="n"/>
    </row>
    <row r="1366" hidden="1" outlineLevel="1" ht="13.9" customHeight="1">
      <c r="A1366" s="2117" t="n">
        <v>0</v>
      </c>
      <c r="B1366" s="2117" t="n">
        <v>12</v>
      </c>
      <c r="C1366" s="2117" t="n">
        <v>1</v>
      </c>
      <c r="D1366" s="2118" t="n">
        <v>0</v>
      </c>
      <c r="E1366" s="2118" t="n">
        <v>1</v>
      </c>
      <c r="G1366" s="1763" t="n"/>
      <c r="H1366" s="1734" t="inlineStr">
        <is>
          <t>ETAPA</t>
        </is>
      </c>
      <c r="I1366" s="1735" t="inlineStr">
        <is>
          <t>12.001</t>
        </is>
      </c>
      <c r="J1366" s="1736" t="inlineStr">
        <is>
          <t>AUTOMAÇÃO E SISTEMAS LÓGICOS E TELECOMUNICAÇÃO - Térreo</t>
        </is>
      </c>
      <c r="K1366" s="1737" t="n"/>
      <c r="L1366" s="1738" t="n"/>
      <c r="M1366" s="1738" t="n"/>
      <c r="N1366" s="1739" t="n"/>
      <c r="O1366" s="1722" t="n"/>
      <c r="P1366" s="1725" t="n"/>
    </row>
    <row r="1367" hidden="1" outlineLevel="2" ht="13.5" customHeight="1">
      <c r="A1367" s="2117" t="n">
        <v>0</v>
      </c>
      <c r="B1367" s="2117" t="n">
        <v>12</v>
      </c>
      <c r="C1367" s="2117" t="n">
        <v>1</v>
      </c>
      <c r="D1367" s="2118" t="n">
        <v>1</v>
      </c>
      <c r="E1367" s="2118" t="n">
        <v>0</v>
      </c>
      <c r="G1367" s="1764" t="n"/>
      <c r="H1367" s="1741" t="inlineStr">
        <is>
          <t>SUBETAPA</t>
        </is>
      </c>
      <c r="I1367" s="1742" t="inlineStr">
        <is>
          <t>12.001.001</t>
        </is>
      </c>
      <c r="J1367" s="1743" t="inlineStr">
        <is>
          <t>Sistema de interfone / controle de acesso</t>
        </is>
      </c>
      <c r="K1367" s="1744" t="n"/>
      <c r="L1367" s="1745" t="n"/>
      <c r="M1367" s="1745" t="n"/>
      <c r="N1367" s="1746" t="n">
        <v>2800</v>
      </c>
      <c r="O1367" s="1747" t="n"/>
      <c r="P1367" s="1720" t="n"/>
    </row>
    <row r="1368" hidden="1" outlineLevel="3" ht="13.5" customHeight="1">
      <c r="A1368" s="2117" t="n">
        <v>0</v>
      </c>
      <c r="B1368" s="2117" t="n">
        <v>12</v>
      </c>
      <c r="C1368" s="2117" t="n">
        <v>1</v>
      </c>
      <c r="D1368" s="2118" t="n">
        <v>1</v>
      </c>
      <c r="E1368" s="2118" t="n">
        <v>1</v>
      </c>
      <c r="F1368" s="130" t="n"/>
      <c r="G1368" s="1748" t="inlineStr">
        <is>
          <t>INSTALAÇÕES E EQUIPAMENTOS E SISTEMAS ESPECIAIS</t>
        </is>
      </c>
      <c r="H1368" s="1749" t="inlineStr">
        <is>
          <t>SERVIÇO</t>
        </is>
      </c>
      <c r="I1368" s="1750" t="inlineStr">
        <is>
          <t>12.001.001.001</t>
        </is>
      </c>
      <c r="J1368" s="1751" t="inlineStr">
        <is>
          <t>Sistema de interfone / controle de acesso</t>
        </is>
      </c>
      <c r="K1368" s="1752" t="inlineStr">
        <is>
          <t>vb</t>
        </is>
      </c>
      <c r="L1368" s="1753" t="n">
        <v>1</v>
      </c>
      <c r="M1368" s="1753" t="n">
        <v>2800</v>
      </c>
      <c r="N1368" s="1754" t="n">
        <v>2800</v>
      </c>
      <c r="O1368" s="1755" t="inlineStr">
        <is>
          <t>Custo estimado, devido ausência de quantitativo</t>
        </is>
      </c>
      <c r="P1368" s="1721" t="inlineStr">
        <is>
          <t>Pendente</t>
        </is>
      </c>
    </row>
    <row r="1369" hidden="1" outlineLevel="2" ht="13.5" customHeight="1">
      <c r="A1369" s="2117" t="n">
        <v>0</v>
      </c>
      <c r="B1369" s="2117" t="n">
        <v>12</v>
      </c>
      <c r="C1369" s="2117" t="n">
        <v>1</v>
      </c>
      <c r="D1369" s="2118" t="n">
        <v>2</v>
      </c>
      <c r="E1369" s="2118" t="n">
        <v>0</v>
      </c>
      <c r="F1369" s="130" t="n"/>
      <c r="G1369" s="1764" t="n"/>
      <c r="H1369" s="1741" t="inlineStr">
        <is>
          <t>SUBETAPA</t>
        </is>
      </c>
      <c r="I1369" s="1742" t="inlineStr">
        <is>
          <t>12.001.002</t>
        </is>
      </c>
      <c r="J1369" s="1743" t="inlineStr">
        <is>
          <t>Telefonia/lógica/internet</t>
        </is>
      </c>
      <c r="K1369" s="1744" t="n"/>
      <c r="L1369" s="1745" t="n"/>
      <c r="M1369" s="1745" t="n"/>
      <c r="N1369" s="1746" t="n"/>
      <c r="O1369" s="1793" t="n"/>
      <c r="P1369" s="1720" t="n"/>
    </row>
    <row r="1370" hidden="1" outlineLevel="3" ht="13.5" customHeight="1">
      <c r="A1370" s="2117" t="n">
        <v>0</v>
      </c>
      <c r="B1370" s="2117" t="n">
        <v>12</v>
      </c>
      <c r="C1370" s="2117" t="n">
        <v>1</v>
      </c>
      <c r="D1370" s="2118" t="n">
        <v>2</v>
      </c>
      <c r="E1370" s="2118" t="n">
        <v>1</v>
      </c>
      <c r="F1370" s="130" t="n"/>
      <c r="G1370" s="1748" t="inlineStr">
        <is>
          <t>INSTALAÇÕES E EQUIPAMENTOS E SISTEMAS ESPECIAIS</t>
        </is>
      </c>
      <c r="H1370" s="1749" t="inlineStr">
        <is>
          <t>SERVIÇO</t>
        </is>
      </c>
      <c r="I1370" s="1750" t="inlineStr">
        <is>
          <t>12.001.002.001</t>
        </is>
      </c>
      <c r="J1370" s="1751" t="inlineStr">
        <is>
          <t>Telefonia/lógica/internet</t>
        </is>
      </c>
      <c r="K1370" s="1752" t="inlineStr">
        <is>
          <t>vb</t>
        </is>
      </c>
      <c r="L1370" s="1753" t="n">
        <v>1</v>
      </c>
      <c r="M1370" s="1753" t="e">
        <v>#REF!</v>
      </c>
      <c r="N1370" s="1754" t="n"/>
      <c r="O1370" s="1761" t="inlineStr">
        <is>
          <t xml:space="preserve">Repessado pela Gessele na reunião do dia 05/03/2026 - adotar somente infra seca nas salas </t>
        </is>
      </c>
      <c r="P1370" s="1721" t="inlineStr">
        <is>
          <t>Pendente</t>
        </is>
      </c>
    </row>
    <row r="1371" hidden="1" outlineLevel="1" ht="13.9" customHeight="1">
      <c r="A1371" s="2117" t="n">
        <v>0</v>
      </c>
      <c r="B1371" s="2117" t="n">
        <v>12</v>
      </c>
      <c r="C1371" s="2117" t="n">
        <v>2</v>
      </c>
      <c r="D1371" s="2118" t="n">
        <v>0</v>
      </c>
      <c r="E1371" s="2118" t="n">
        <v>1</v>
      </c>
      <c r="G1371" s="1763" t="n"/>
      <c r="H1371" s="1734" t="inlineStr">
        <is>
          <t>ETAPA</t>
        </is>
      </c>
      <c r="I1371" s="1735" t="inlineStr">
        <is>
          <t>12.002</t>
        </is>
      </c>
      <c r="J1371" s="1736" t="inlineStr">
        <is>
          <t>AUTOMAÇÃO E SISTEMAS LÓGICOS E TELECOMUNICAÇÃO - Mezanino G1</t>
        </is>
      </c>
      <c r="K1371" s="1737" t="n"/>
      <c r="L1371" s="1738" t="n"/>
      <c r="M1371" s="1738" t="n"/>
      <c r="N1371" s="1739" t="n"/>
      <c r="O1371" s="1722" t="n"/>
      <c r="P1371" s="1725" t="n"/>
    </row>
    <row r="1372" hidden="1" outlineLevel="2" ht="13.5" customHeight="1">
      <c r="A1372" s="2117" t="n">
        <v>0</v>
      </c>
      <c r="B1372" s="2117" t="n">
        <v>12</v>
      </c>
      <c r="C1372" s="2117" t="n">
        <v>2</v>
      </c>
      <c r="D1372" s="2118" t="n">
        <v>1</v>
      </c>
      <c r="E1372" s="2118" t="n">
        <v>0</v>
      </c>
      <c r="F1372" s="130" t="n"/>
      <c r="G1372" s="1764" t="n"/>
      <c r="H1372" s="1741" t="inlineStr">
        <is>
          <t>SUBETAPA</t>
        </is>
      </c>
      <c r="I1372" s="1742" t="inlineStr">
        <is>
          <t>12.002.001</t>
        </is>
      </c>
      <c r="J1372" s="1743" t="inlineStr">
        <is>
          <t>Telefonia/lógica/internet</t>
        </is>
      </c>
      <c r="K1372" s="1744" t="n"/>
      <c r="L1372" s="1745" t="n"/>
      <c r="M1372" s="1745" t="n"/>
      <c r="N1372" s="1746" t="n"/>
      <c r="O1372" s="1793" t="n"/>
      <c r="P1372" s="1720" t="n"/>
    </row>
    <row r="1373" hidden="1" outlineLevel="3" ht="13.5" customHeight="1">
      <c r="A1373" s="2117" t="n">
        <v>0</v>
      </c>
      <c r="B1373" s="2117" t="n">
        <v>12</v>
      </c>
      <c r="C1373" s="2117" t="n">
        <v>2</v>
      </c>
      <c r="D1373" s="2118" t="n">
        <v>1</v>
      </c>
      <c r="E1373" s="2118" t="n">
        <v>1</v>
      </c>
      <c r="F1373" s="130" t="n"/>
      <c r="G1373" s="1748" t="inlineStr">
        <is>
          <t>INSTALAÇÕES E EQUIPAMENTOS E SISTEMAS ESPECIAIS</t>
        </is>
      </c>
      <c r="H1373" s="1749" t="inlineStr">
        <is>
          <t>SERVIÇO</t>
        </is>
      </c>
      <c r="I1373" s="1750" t="inlineStr">
        <is>
          <t>12.002.001.001</t>
        </is>
      </c>
      <c r="J1373" s="1751" t="inlineStr">
        <is>
          <t>Telefonia/lógica/internet</t>
        </is>
      </c>
      <c r="K1373" s="1752" t="inlineStr">
        <is>
          <t>vb</t>
        </is>
      </c>
      <c r="L1373" s="1753" t="n">
        <v>1</v>
      </c>
      <c r="M1373" s="1753" t="e">
        <v>#REF!</v>
      </c>
      <c r="N1373" s="1754" t="n"/>
      <c r="O1373" s="1761" t="inlineStr">
        <is>
          <t xml:space="preserve">Repessado pela Gessele na reunião do dia 05/03/2026 - adotar somente infra seca nas salas </t>
        </is>
      </c>
      <c r="P1373" s="1721" t="inlineStr">
        <is>
          <t>Pendente</t>
        </is>
      </c>
    </row>
    <row r="1374" hidden="1" outlineLevel="1" ht="13.9" customHeight="1">
      <c r="A1374" s="2117" t="n">
        <v>0</v>
      </c>
      <c r="B1374" s="2117" t="n">
        <v>12</v>
      </c>
      <c r="C1374" s="2117" t="n">
        <v>3</v>
      </c>
      <c r="D1374" s="2118" t="n">
        <v>0</v>
      </c>
      <c r="E1374" s="2118" t="n">
        <v>1</v>
      </c>
      <c r="G1374" s="1763" t="n"/>
      <c r="H1374" s="1734" t="inlineStr">
        <is>
          <t>ETAPA</t>
        </is>
      </c>
      <c r="I1374" s="1735" t="inlineStr">
        <is>
          <t>12.003</t>
        </is>
      </c>
      <c r="J1374" s="1736" t="inlineStr">
        <is>
          <t>AUTOMAÇÃO E SISTEMAS LÓGICOS E TELECOMUNICAÇÃO - G2</t>
        </is>
      </c>
      <c r="K1374" s="1737" t="n"/>
      <c r="L1374" s="1738" t="n"/>
      <c r="M1374" s="1738" t="n"/>
      <c r="N1374" s="1739" t="n"/>
      <c r="O1374" s="1722" t="n"/>
      <c r="P1374" s="1725" t="n"/>
    </row>
    <row r="1375" hidden="1" outlineLevel="2" ht="13.5" customHeight="1">
      <c r="A1375" s="2117" t="n">
        <v>0</v>
      </c>
      <c r="B1375" s="2117" t="n">
        <v>12</v>
      </c>
      <c r="C1375" s="2117" t="n">
        <v>3</v>
      </c>
      <c r="D1375" s="2118" t="n">
        <v>1</v>
      </c>
      <c r="E1375" s="2118" t="n">
        <v>0</v>
      </c>
      <c r="F1375" s="130" t="n"/>
      <c r="G1375" s="1764" t="n"/>
      <c r="H1375" s="1741" t="inlineStr">
        <is>
          <t>SUBETAPA</t>
        </is>
      </c>
      <c r="I1375" s="1742" t="inlineStr">
        <is>
          <t>12.003.001</t>
        </is>
      </c>
      <c r="J1375" s="1743" t="inlineStr">
        <is>
          <t>Telefonia/lógica/internet</t>
        </is>
      </c>
      <c r="K1375" s="1744" t="n"/>
      <c r="L1375" s="1745" t="n"/>
      <c r="M1375" s="1745" t="n"/>
      <c r="N1375" s="1746" t="n"/>
      <c r="O1375" s="1793" t="n"/>
      <c r="P1375" s="1720" t="n"/>
    </row>
    <row r="1376" hidden="1" outlineLevel="3" ht="13.5" customHeight="1">
      <c r="A1376" s="2117" t="n">
        <v>0</v>
      </c>
      <c r="B1376" s="2117" t="n">
        <v>12</v>
      </c>
      <c r="C1376" s="2117" t="n">
        <v>3</v>
      </c>
      <c r="D1376" s="2118" t="n">
        <v>1</v>
      </c>
      <c r="E1376" s="2118" t="n">
        <v>1</v>
      </c>
      <c r="F1376" s="130" t="n"/>
      <c r="G1376" s="1748" t="inlineStr">
        <is>
          <t>INSTALAÇÕES E EQUIPAMENTOS E SISTEMAS ESPECIAIS</t>
        </is>
      </c>
      <c r="H1376" s="1749" t="inlineStr">
        <is>
          <t>SERVIÇO</t>
        </is>
      </c>
      <c r="I1376" s="1750" t="inlineStr">
        <is>
          <t>12.003.001.001</t>
        </is>
      </c>
      <c r="J1376" s="1751" t="inlineStr">
        <is>
          <t>Telefonia/lógica/internet</t>
        </is>
      </c>
      <c r="K1376" s="1752" t="inlineStr">
        <is>
          <t>vb</t>
        </is>
      </c>
      <c r="L1376" s="1753" t="n">
        <v>1</v>
      </c>
      <c r="M1376" s="1753" t="e">
        <v>#REF!</v>
      </c>
      <c r="N1376" s="1754" t="n"/>
      <c r="O1376" s="1755" t="inlineStr">
        <is>
          <t>Telecomunicação utilizado a quantidade de infraestrutura do projetista, demais itens custo estimado, devido ausência de quantitativo</t>
        </is>
      </c>
      <c r="P1376" s="1721" t="inlineStr">
        <is>
          <t>Pendente</t>
        </is>
      </c>
    </row>
    <row r="1377" hidden="1" outlineLevel="1" ht="13.9" customHeight="1">
      <c r="A1377" s="2117" t="n">
        <v>0</v>
      </c>
      <c r="B1377" s="2117" t="n">
        <v>12</v>
      </c>
      <c r="C1377" s="2117" t="n">
        <v>4</v>
      </c>
      <c r="D1377" s="2118" t="n">
        <v>0</v>
      </c>
      <c r="E1377" s="2118" t="n">
        <v>1</v>
      </c>
      <c r="G1377" s="1763" t="n"/>
      <c r="H1377" s="1734" t="inlineStr">
        <is>
          <t>ETAPA</t>
        </is>
      </c>
      <c r="I1377" s="1735" t="inlineStr">
        <is>
          <t>12.004</t>
        </is>
      </c>
      <c r="J1377" s="1736" t="inlineStr">
        <is>
          <t>AUTOMAÇÃO E SISTEMAS LÓGICOS E TELECOMUNICAÇÃO - Mezanino G2</t>
        </is>
      </c>
      <c r="K1377" s="1737" t="n"/>
      <c r="L1377" s="1738" t="n"/>
      <c r="M1377" s="1738" t="n"/>
      <c r="N1377" s="1739" t="n"/>
      <c r="O1377" s="1722" t="n"/>
      <c r="P1377" s="1725" t="n"/>
    </row>
    <row r="1378" hidden="1" outlineLevel="2" ht="13.5" customHeight="1">
      <c r="A1378" s="2117" t="n">
        <v>0</v>
      </c>
      <c r="B1378" s="2117" t="n">
        <v>12</v>
      </c>
      <c r="C1378" s="2117" t="n">
        <v>4</v>
      </c>
      <c r="D1378" s="2118" t="n">
        <v>1</v>
      </c>
      <c r="E1378" s="2118" t="n">
        <v>0</v>
      </c>
      <c r="F1378" s="130" t="n"/>
      <c r="G1378" s="1764" t="n"/>
      <c r="H1378" s="1741" t="inlineStr">
        <is>
          <t>SUBETAPA</t>
        </is>
      </c>
      <c r="I1378" s="1742" t="inlineStr">
        <is>
          <t>12.004.001</t>
        </is>
      </c>
      <c r="J1378" s="1743" t="inlineStr">
        <is>
          <t>Telefonia/lógica/internet</t>
        </is>
      </c>
      <c r="K1378" s="1744" t="n"/>
      <c r="L1378" s="1745" t="n"/>
      <c r="M1378" s="1745" t="n"/>
      <c r="N1378" s="1746" t="n"/>
      <c r="O1378" s="1793" t="n"/>
      <c r="P1378" s="1720" t="n"/>
    </row>
    <row r="1379" hidden="1" outlineLevel="3" ht="13.5" customHeight="1">
      <c r="A1379" s="2117" t="n">
        <v>0</v>
      </c>
      <c r="B1379" s="2117" t="n">
        <v>12</v>
      </c>
      <c r="C1379" s="2117" t="n">
        <v>4</v>
      </c>
      <c r="D1379" s="2118" t="n">
        <v>1</v>
      </c>
      <c r="E1379" s="2118" t="n">
        <v>1</v>
      </c>
      <c r="F1379" s="130" t="n"/>
      <c r="G1379" s="1748" t="inlineStr">
        <is>
          <t>INSTALAÇÕES E EQUIPAMENTOS E SISTEMAS ESPECIAIS</t>
        </is>
      </c>
      <c r="H1379" s="1749" t="inlineStr">
        <is>
          <t>SERVIÇO</t>
        </is>
      </c>
      <c r="I1379" s="1750" t="inlineStr">
        <is>
          <t>12.004.001.001</t>
        </is>
      </c>
      <c r="J1379" s="1751" t="inlineStr">
        <is>
          <t>Telefonia/lógica/internet</t>
        </is>
      </c>
      <c r="K1379" s="1752" t="inlineStr">
        <is>
          <t>vb</t>
        </is>
      </c>
      <c r="L1379" s="1753" t="n">
        <v>1</v>
      </c>
      <c r="M1379" s="1753" t="e">
        <v>#REF!</v>
      </c>
      <c r="N1379" s="1754" t="n"/>
      <c r="O1379" s="1755" t="inlineStr">
        <is>
          <t>Telecomunicação utilizado a quantidade de infraestrutura do projetista, demais itens custo estimado, devido ausência de quantitativo</t>
        </is>
      </c>
      <c r="P1379" s="1721" t="inlineStr">
        <is>
          <t>Pendente</t>
        </is>
      </c>
    </row>
    <row r="1380" hidden="1" outlineLevel="1" ht="13.9" customHeight="1">
      <c r="A1380" s="2117" t="n">
        <v>0</v>
      </c>
      <c r="B1380" s="2117" t="n">
        <v>12</v>
      </c>
      <c r="C1380" s="2117" t="n">
        <v>5</v>
      </c>
      <c r="D1380" s="2118" t="n">
        <v>0</v>
      </c>
      <c r="E1380" s="2118" t="n">
        <v>1</v>
      </c>
      <c r="G1380" s="1763" t="n"/>
      <c r="H1380" s="1734" t="inlineStr">
        <is>
          <t>ETAPA</t>
        </is>
      </c>
      <c r="I1380" s="1735" t="inlineStr">
        <is>
          <t>12.005</t>
        </is>
      </c>
      <c r="J1380" s="1736" t="inlineStr">
        <is>
          <t>AUTOMAÇÃO E SISTEMAS LÓGICOS E TELECOMUNICAÇÃO - G3</t>
        </is>
      </c>
      <c r="K1380" s="1737" t="n"/>
      <c r="L1380" s="1738" t="n"/>
      <c r="M1380" s="1738" t="n"/>
      <c r="N1380" s="1739" t="n"/>
      <c r="O1380" s="1722" t="n"/>
      <c r="P1380" s="1725" t="n"/>
    </row>
    <row r="1381" hidden="1" outlineLevel="2" ht="13.5" customHeight="1">
      <c r="A1381" s="2117" t="n">
        <v>0</v>
      </c>
      <c r="B1381" s="2117" t="n">
        <v>12</v>
      </c>
      <c r="C1381" s="2117" t="n">
        <v>5</v>
      </c>
      <c r="D1381" s="2118" t="n">
        <v>1</v>
      </c>
      <c r="E1381" s="2118" t="n">
        <v>0</v>
      </c>
      <c r="F1381" s="130" t="n"/>
      <c r="G1381" s="1764" t="n"/>
      <c r="H1381" s="1741" t="inlineStr">
        <is>
          <t>SUBETAPA</t>
        </is>
      </c>
      <c r="I1381" s="1742" t="inlineStr">
        <is>
          <t>12.005.001</t>
        </is>
      </c>
      <c r="J1381" s="1743" t="inlineStr">
        <is>
          <t>Telefonia/lógica/internet</t>
        </is>
      </c>
      <c r="K1381" s="1744" t="n"/>
      <c r="L1381" s="1745" t="n"/>
      <c r="M1381" s="1745" t="n"/>
      <c r="N1381" s="1746" t="n"/>
      <c r="O1381" s="1793" t="n"/>
      <c r="P1381" s="1720" t="n"/>
    </row>
    <row r="1382" hidden="1" outlineLevel="3" ht="13.5" customHeight="1">
      <c r="A1382" s="2117" t="n">
        <v>0</v>
      </c>
      <c r="B1382" s="2117" t="n">
        <v>12</v>
      </c>
      <c r="C1382" s="2117" t="n">
        <v>5</v>
      </c>
      <c r="D1382" s="2118" t="n">
        <v>1</v>
      </c>
      <c r="E1382" s="2118" t="n">
        <v>1</v>
      </c>
      <c r="F1382" s="130" t="n"/>
      <c r="G1382" s="1748" t="inlineStr">
        <is>
          <t>INSTALAÇÕES E EQUIPAMENTOS E SISTEMAS ESPECIAIS</t>
        </is>
      </c>
      <c r="H1382" s="1749" t="inlineStr">
        <is>
          <t>SERVIÇO</t>
        </is>
      </c>
      <c r="I1382" s="1750" t="inlineStr">
        <is>
          <t>12.005.001.001</t>
        </is>
      </c>
      <c r="J1382" s="1751" t="inlineStr">
        <is>
          <t>Telefonia/lógica/internet</t>
        </is>
      </c>
      <c r="K1382" s="1752" t="inlineStr">
        <is>
          <t>vb</t>
        </is>
      </c>
      <c r="L1382" s="1753" t="n">
        <v>1</v>
      </c>
      <c r="M1382" s="1753" t="e">
        <v>#REF!</v>
      </c>
      <c r="N1382" s="1754" t="n"/>
      <c r="O1382" s="1755" t="inlineStr">
        <is>
          <t>Telecomunicação utilizado a quantidade de infraestrutura do projetista, demais itens custo estimado, devido ausência de quantitativo</t>
        </is>
      </c>
      <c r="P1382" s="1721" t="inlineStr">
        <is>
          <t>Pendente</t>
        </is>
      </c>
    </row>
    <row r="1383" hidden="1" outlineLevel="1" ht="13.9" customHeight="1">
      <c r="A1383" s="2117" t="n">
        <v>0</v>
      </c>
      <c r="B1383" s="2117" t="n">
        <v>12</v>
      </c>
      <c r="C1383" s="2117" t="n">
        <v>6</v>
      </c>
      <c r="D1383" s="2118" t="n">
        <v>0</v>
      </c>
      <c r="E1383" s="2118" t="n">
        <v>1</v>
      </c>
      <c r="G1383" s="1763" t="n"/>
      <c r="H1383" s="1734" t="inlineStr">
        <is>
          <t>ETAPA</t>
        </is>
      </c>
      <c r="I1383" s="1735" t="inlineStr">
        <is>
          <t>12.006</t>
        </is>
      </c>
      <c r="J1383" s="1736" t="inlineStr">
        <is>
          <t>AUTOMAÇÃO E SISTEMAS LÓGICOS E TELECOMUNICAÇÃO - Mezanino G3</t>
        </is>
      </c>
      <c r="K1383" s="1737" t="n"/>
      <c r="L1383" s="1738" t="n"/>
      <c r="M1383" s="1738" t="n"/>
      <c r="N1383" s="1739" t="n"/>
      <c r="O1383" s="1722" t="n"/>
      <c r="P1383" s="1725" t="n"/>
    </row>
    <row r="1384" hidden="1" outlineLevel="2" ht="13.5" customHeight="1">
      <c r="A1384" s="2117" t="n">
        <v>0</v>
      </c>
      <c r="B1384" s="2117" t="n">
        <v>12</v>
      </c>
      <c r="C1384" s="2117" t="n">
        <v>6</v>
      </c>
      <c r="D1384" s="2118" t="n">
        <v>1</v>
      </c>
      <c r="E1384" s="2118" t="n">
        <v>0</v>
      </c>
      <c r="F1384" s="130" t="n"/>
      <c r="G1384" s="1764" t="n"/>
      <c r="H1384" s="1741" t="inlineStr">
        <is>
          <t>SUBETAPA</t>
        </is>
      </c>
      <c r="I1384" s="1742" t="inlineStr">
        <is>
          <t>12.006.001</t>
        </is>
      </c>
      <c r="J1384" s="1743" t="inlineStr">
        <is>
          <t>Telefonia/lógica/internet</t>
        </is>
      </c>
      <c r="K1384" s="1744" t="n"/>
      <c r="L1384" s="1745" t="n"/>
      <c r="M1384" s="1745" t="n"/>
      <c r="N1384" s="1746" t="n"/>
      <c r="O1384" s="1793" t="n"/>
      <c r="P1384" s="1720" t="n"/>
    </row>
    <row r="1385" hidden="1" outlineLevel="3" ht="13.5" customHeight="1">
      <c r="A1385" s="2117" t="n">
        <v>0</v>
      </c>
      <c r="B1385" s="2117" t="n">
        <v>12</v>
      </c>
      <c r="C1385" s="2117" t="n">
        <v>6</v>
      </c>
      <c r="D1385" s="2118" t="n">
        <v>1</v>
      </c>
      <c r="E1385" s="2118" t="n">
        <v>1</v>
      </c>
      <c r="F1385" s="130" t="n"/>
      <c r="G1385" s="1748" t="inlineStr">
        <is>
          <t>INSTALAÇÕES E EQUIPAMENTOS E SISTEMAS ESPECIAIS</t>
        </is>
      </c>
      <c r="H1385" s="1749" t="inlineStr">
        <is>
          <t>SERVIÇO</t>
        </is>
      </c>
      <c r="I1385" s="1750" t="inlineStr">
        <is>
          <t>12.006.001.001</t>
        </is>
      </c>
      <c r="J1385" s="1751" t="inlineStr">
        <is>
          <t>Telefonia/lógica/internet</t>
        </is>
      </c>
      <c r="K1385" s="1752" t="inlineStr">
        <is>
          <t>vb</t>
        </is>
      </c>
      <c r="L1385" s="1753" t="n">
        <v>1</v>
      </c>
      <c r="M1385" s="1753" t="e">
        <v>#REF!</v>
      </c>
      <c r="N1385" s="1754" t="n"/>
      <c r="O1385" s="1755" t="inlineStr">
        <is>
          <t>Telecomunicação utilizado a quantidade de infraestrutura do projetista, demais itens custo estimado, devido ausência de quantitativo</t>
        </is>
      </c>
      <c r="P1385" s="1721" t="inlineStr">
        <is>
          <t>Pendente</t>
        </is>
      </c>
    </row>
    <row r="1386" hidden="1" outlineLevel="1" ht="13.9" customHeight="1">
      <c r="A1386" s="2117" t="n">
        <v>0</v>
      </c>
      <c r="B1386" s="2117" t="n">
        <v>12</v>
      </c>
      <c r="C1386" s="2117" t="n">
        <v>7</v>
      </c>
      <c r="D1386" s="2118" t="n">
        <v>0</v>
      </c>
      <c r="E1386" s="2118" t="n">
        <v>1</v>
      </c>
      <c r="G1386" s="1763" t="n"/>
      <c r="H1386" s="1734" t="inlineStr">
        <is>
          <t>ETAPA</t>
        </is>
      </c>
      <c r="I1386" s="1735" t="inlineStr">
        <is>
          <t>12.007</t>
        </is>
      </c>
      <c r="J1386" s="1736" t="inlineStr">
        <is>
          <t>AUTOMAÇÃO E SISTEMAS LÓGICOS E TELECOMUNICAÇÃO - Lazer | Garagem</t>
        </is>
      </c>
      <c r="K1386" s="1737" t="n"/>
      <c r="L1386" s="1738" t="n"/>
      <c r="M1386" s="1738" t="n"/>
      <c r="N1386" s="1739" t="n"/>
      <c r="O1386" s="1722" t="n"/>
      <c r="P1386" s="1725" t="n"/>
    </row>
    <row r="1387" hidden="1" outlineLevel="2" ht="13.5" customHeight="1">
      <c r="A1387" s="2117" t="n">
        <v>0</v>
      </c>
      <c r="B1387" s="2117" t="n">
        <v>12</v>
      </c>
      <c r="C1387" s="2117" t="n">
        <v>7</v>
      </c>
      <c r="D1387" s="2118" t="n">
        <v>1</v>
      </c>
      <c r="E1387" s="2118" t="n">
        <v>0</v>
      </c>
      <c r="G1387" s="1764" t="n"/>
      <c r="H1387" s="1741" t="inlineStr">
        <is>
          <t>SUBETAPA</t>
        </is>
      </c>
      <c r="I1387" s="1742" t="inlineStr">
        <is>
          <t>12.007.001</t>
        </is>
      </c>
      <c r="J1387" s="1743" t="inlineStr">
        <is>
          <t>Sistema de interfone / controle de acesso</t>
        </is>
      </c>
      <c r="K1387" s="1744" t="n"/>
      <c r="L1387" s="1745" t="n"/>
      <c r="M1387" s="1745" t="n"/>
      <c r="N1387" s="1746" t="n">
        <v>14910</v>
      </c>
      <c r="O1387" s="1747" t="n"/>
      <c r="P1387" s="1720" t="n"/>
    </row>
    <row r="1388" hidden="1" outlineLevel="3" ht="13.5" customHeight="1">
      <c r="A1388" s="2117" t="n">
        <v>0</v>
      </c>
      <c r="B1388" s="2117" t="n">
        <v>12</v>
      </c>
      <c r="C1388" s="2117" t="n">
        <v>7</v>
      </c>
      <c r="D1388" s="2118" t="n">
        <v>1</v>
      </c>
      <c r="E1388" s="2118" t="n">
        <v>1</v>
      </c>
      <c r="F1388" s="130" t="n"/>
      <c r="G1388" s="1748" t="inlineStr">
        <is>
          <t>INSTALAÇÕES E EQUIPAMENTOS E SISTEMAS ESPECIAIS</t>
        </is>
      </c>
      <c r="H1388" s="1749" t="inlineStr">
        <is>
          <t>SERVIÇO</t>
        </is>
      </c>
      <c r="I1388" s="1750" t="inlineStr">
        <is>
          <t>12.007.001.001</t>
        </is>
      </c>
      <c r="J1388" s="1751" t="inlineStr">
        <is>
          <t>Sistema de interfone / controle de acesso</t>
        </is>
      </c>
      <c r="K1388" s="1752" t="inlineStr">
        <is>
          <t>vb</t>
        </is>
      </c>
      <c r="L1388" s="1753" t="n">
        <v>1</v>
      </c>
      <c r="M1388" s="1753" t="n">
        <v>14910</v>
      </c>
      <c r="N1388" s="1754" t="n">
        <v>14910</v>
      </c>
      <c r="O1388" s="1755" t="inlineStr">
        <is>
          <t>Custo estimado, devido ausência de quantitativo</t>
        </is>
      </c>
      <c r="P1388" s="1721" t="inlineStr">
        <is>
          <t>Pendente</t>
        </is>
      </c>
    </row>
    <row r="1389" hidden="1" outlineLevel="2" ht="13.5" customHeight="1">
      <c r="A1389" s="2117" t="n">
        <v>0</v>
      </c>
      <c r="B1389" s="2117" t="n">
        <v>12</v>
      </c>
      <c r="C1389" s="2117" t="n">
        <v>7</v>
      </c>
      <c r="D1389" s="2118" t="n">
        <v>2</v>
      </c>
      <c r="E1389" s="2118" t="n">
        <v>0</v>
      </c>
      <c r="F1389" s="130" t="n"/>
      <c r="G1389" s="1764" t="n"/>
      <c r="H1389" s="1741" t="inlineStr">
        <is>
          <t>SUBETAPA</t>
        </is>
      </c>
      <c r="I1389" s="1742" t="inlineStr">
        <is>
          <t>12.007.002</t>
        </is>
      </c>
      <c r="J1389" s="1743" t="inlineStr">
        <is>
          <t>Telefonia/lógica/internet</t>
        </is>
      </c>
      <c r="K1389" s="1744" t="n"/>
      <c r="L1389" s="1745" t="n"/>
      <c r="M1389" s="1745" t="n"/>
      <c r="N1389" s="1746" t="n"/>
      <c r="O1389" s="1793" t="n"/>
      <c r="P1389" s="1720" t="n"/>
    </row>
    <row r="1390" hidden="1" outlineLevel="3" ht="13.5" customHeight="1">
      <c r="A1390" s="2117" t="n">
        <v>0</v>
      </c>
      <c r="B1390" s="2117" t="n">
        <v>12</v>
      </c>
      <c r="C1390" s="2117" t="n">
        <v>7</v>
      </c>
      <c r="D1390" s="2118" t="n">
        <v>2</v>
      </c>
      <c r="E1390" s="2118" t="n">
        <v>1</v>
      </c>
      <c r="F1390" s="130" t="n"/>
      <c r="G1390" s="1748" t="inlineStr">
        <is>
          <t>INSTALAÇÕES E EQUIPAMENTOS E SISTEMAS ESPECIAIS</t>
        </is>
      </c>
      <c r="H1390" s="1749" t="inlineStr">
        <is>
          <t>SERVIÇO</t>
        </is>
      </c>
      <c r="I1390" s="1750" t="inlineStr">
        <is>
          <t>12.007.002.001</t>
        </is>
      </c>
      <c r="J1390" s="1751" t="inlineStr">
        <is>
          <t>Telefonia/lógica/internet</t>
        </is>
      </c>
      <c r="K1390" s="1752" t="inlineStr">
        <is>
          <t>vb</t>
        </is>
      </c>
      <c r="L1390" s="1753" t="n">
        <v>1</v>
      </c>
      <c r="M1390" s="1753" t="e">
        <v>#REF!</v>
      </c>
      <c r="N1390" s="1754" t="n"/>
      <c r="O1390" s="1755" t="inlineStr">
        <is>
          <t>Telecomunicação utilizado a quantidade de infraestrutura do projetista, demais itens custo estimado, devido ausência de quantitativo</t>
        </is>
      </c>
      <c r="P1390" s="1721" t="inlineStr">
        <is>
          <t>Pendente</t>
        </is>
      </c>
    </row>
    <row r="1391" hidden="1" outlineLevel="2" ht="13.5" customHeight="1">
      <c r="A1391" s="2117" t="n">
        <v>0</v>
      </c>
      <c r="B1391" s="2117" t="n">
        <v>12</v>
      </c>
      <c r="C1391" s="2117" t="n">
        <v>7</v>
      </c>
      <c r="D1391" s="2118" t="n">
        <v>3</v>
      </c>
      <c r="E1391" s="2118" t="n">
        <v>0</v>
      </c>
      <c r="F1391" s="130" t="n"/>
      <c r="G1391" s="1764" t="n"/>
      <c r="H1391" s="1741" t="inlineStr">
        <is>
          <t>SUBETAPA</t>
        </is>
      </c>
      <c r="I1391" s="1742" t="inlineStr">
        <is>
          <t>12.007.003</t>
        </is>
      </c>
      <c r="J1391" s="1743" t="inlineStr">
        <is>
          <t>AUTOMAÇÕES</t>
        </is>
      </c>
      <c r="K1391" s="1744" t="n"/>
      <c r="L1391" s="1745" t="n"/>
      <c r="M1391" s="1745" t="n"/>
      <c r="N1391" s="1746" t="n">
        <v>42992.6957645572</v>
      </c>
      <c r="O1391" s="1747" t="n"/>
      <c r="P1391" s="1720" t="n"/>
    </row>
    <row r="1392" hidden="1" outlineLevel="3" ht="13.5" customHeight="1">
      <c r="A1392" s="2117" t="n">
        <v>0</v>
      </c>
      <c r="B1392" s="2117" t="n">
        <v>12</v>
      </c>
      <c r="C1392" s="2117" t="n">
        <v>7</v>
      </c>
      <c r="D1392" s="2118" t="n">
        <v>3</v>
      </c>
      <c r="E1392" s="2118" t="n">
        <v>1</v>
      </c>
      <c r="F1392" s="130" t="n"/>
      <c r="G1392" s="1748" t="inlineStr">
        <is>
          <t>INSTALAÇÕES E EQUIPAMENTOS E SISTEMAS ESPECIAIS</t>
        </is>
      </c>
      <c r="H1392" s="1749" t="inlineStr">
        <is>
          <t>SERVIÇO</t>
        </is>
      </c>
      <c r="I1392" s="1750" t="inlineStr">
        <is>
          <t>12.007.003.001</t>
        </is>
      </c>
      <c r="J1392" s="1751" t="inlineStr">
        <is>
          <t>Infraestrutura de automação dos apartamentos (Iluminação, cortinas, áudio, ar cond.)</t>
        </is>
      </c>
      <c r="K1392" s="1752" t="inlineStr">
        <is>
          <t>vb</t>
        </is>
      </c>
      <c r="L1392" s="1753" t="n">
        <v>1</v>
      </c>
      <c r="M1392" s="1753" t="n">
        <v>42992.69576455721</v>
      </c>
      <c r="N1392" s="1754" t="n">
        <v>42992.6957645572</v>
      </c>
      <c r="O1392" s="1755" t="inlineStr">
        <is>
          <t>Custo estimado, devido ausência de quantitativo</t>
        </is>
      </c>
      <c r="P1392" s="1721" t="inlineStr">
        <is>
          <t>Pendente</t>
        </is>
      </c>
    </row>
    <row r="1393" hidden="1" outlineLevel="1" ht="13.9" customHeight="1">
      <c r="A1393" s="2117" t="n">
        <v>0</v>
      </c>
      <c r="B1393" s="2117" t="n">
        <v>12</v>
      </c>
      <c r="C1393" s="2117" t="n">
        <v>8</v>
      </c>
      <c r="D1393" s="2118" t="n">
        <v>0</v>
      </c>
      <c r="E1393" s="2118" t="n">
        <v>1</v>
      </c>
      <c r="G1393" s="1763" t="n"/>
      <c r="H1393" s="1734" t="inlineStr">
        <is>
          <t>ETAPA</t>
        </is>
      </c>
      <c r="I1393" s="1735" t="inlineStr">
        <is>
          <t>12.008</t>
        </is>
      </c>
      <c r="J1393" s="1736" t="inlineStr">
        <is>
          <t>AUTOMAÇÃO E SISTEMAS LÓGICOS E TELECOMUNICAÇÃO - Lazer</t>
        </is>
      </c>
      <c r="K1393" s="1737" t="n"/>
      <c r="L1393" s="1738" t="n"/>
      <c r="M1393" s="1738" t="n"/>
      <c r="N1393" s="1739" t="n"/>
      <c r="O1393" s="1722" t="n"/>
      <c r="P1393" s="1725" t="n"/>
    </row>
    <row r="1394" hidden="1" outlineLevel="2" ht="13.5" customHeight="1">
      <c r="A1394" s="2117" t="n">
        <v>0</v>
      </c>
      <c r="B1394" s="2117" t="n">
        <v>12</v>
      </c>
      <c r="C1394" s="2117" t="n">
        <v>8</v>
      </c>
      <c r="D1394" s="2118" t="n">
        <v>1</v>
      </c>
      <c r="E1394" s="2118" t="n">
        <v>0</v>
      </c>
      <c r="G1394" s="1764" t="n"/>
      <c r="H1394" s="1741" t="inlineStr">
        <is>
          <t>SUBETAPA</t>
        </is>
      </c>
      <c r="I1394" s="1742" t="inlineStr">
        <is>
          <t>12.008.001</t>
        </is>
      </c>
      <c r="J1394" s="1743" t="inlineStr">
        <is>
          <t>Sistema de interfone / controle de acesso</t>
        </is>
      </c>
      <c r="K1394" s="1744" t="n"/>
      <c r="L1394" s="1745" t="n"/>
      <c r="M1394" s="1745" t="n"/>
      <c r="N1394" s="1746" t="n">
        <v>13700</v>
      </c>
      <c r="O1394" s="1747" t="n"/>
      <c r="P1394" s="1720" t="n"/>
    </row>
    <row r="1395" hidden="1" outlineLevel="3" ht="13.5" customHeight="1">
      <c r="A1395" s="2117" t="n">
        <v>0</v>
      </c>
      <c r="B1395" s="2117" t="n">
        <v>12</v>
      </c>
      <c r="C1395" s="2117" t="n">
        <v>8</v>
      </c>
      <c r="D1395" s="2118" t="n">
        <v>1</v>
      </c>
      <c r="E1395" s="2118" t="n">
        <v>1</v>
      </c>
      <c r="F1395" s="130" t="n"/>
      <c r="G1395" s="1748" t="inlineStr">
        <is>
          <t>INSTALAÇÕES E EQUIPAMENTOS E SISTEMAS ESPECIAIS</t>
        </is>
      </c>
      <c r="H1395" s="1749" t="inlineStr">
        <is>
          <t>SERVIÇO</t>
        </is>
      </c>
      <c r="I1395" s="1750" t="inlineStr">
        <is>
          <t>12.008.001.001</t>
        </is>
      </c>
      <c r="J1395" s="1751" t="inlineStr">
        <is>
          <t>Sistema de interfone / controle de acesso</t>
        </is>
      </c>
      <c r="K1395" s="1752" t="inlineStr">
        <is>
          <t>vb</t>
        </is>
      </c>
      <c r="L1395" s="1753" t="n">
        <v>1</v>
      </c>
      <c r="M1395" s="1753" t="n">
        <v>13700</v>
      </c>
      <c r="N1395" s="1754" t="n">
        <v>13700</v>
      </c>
      <c r="O1395" s="1755" t="inlineStr">
        <is>
          <t>Custo estimado, devido ausência de quantitativo</t>
        </is>
      </c>
      <c r="P1395" s="1721" t="inlineStr">
        <is>
          <t>Pendente</t>
        </is>
      </c>
    </row>
    <row r="1396" hidden="1" outlineLevel="2" ht="13.5" customHeight="1">
      <c r="A1396" s="2117" t="n">
        <v>0</v>
      </c>
      <c r="B1396" s="2117" t="n">
        <v>12</v>
      </c>
      <c r="C1396" s="2117" t="n">
        <v>8</v>
      </c>
      <c r="D1396" s="2118" t="n">
        <v>2</v>
      </c>
      <c r="E1396" s="2118" t="n">
        <v>0</v>
      </c>
      <c r="F1396" s="130" t="n"/>
      <c r="G1396" s="1764" t="n"/>
      <c r="H1396" s="1741" t="inlineStr">
        <is>
          <t>SUBETAPA</t>
        </is>
      </c>
      <c r="I1396" s="1742" t="inlineStr">
        <is>
          <t>12.008.002</t>
        </is>
      </c>
      <c r="J1396" s="1743" t="inlineStr">
        <is>
          <t>Telefonia/lógica/internet</t>
        </is>
      </c>
      <c r="K1396" s="1744" t="n"/>
      <c r="L1396" s="1745" t="n"/>
      <c r="M1396" s="1745" t="n"/>
      <c r="N1396" s="1746" t="n"/>
      <c r="O1396" s="1793" t="n"/>
      <c r="P1396" s="1720" t="n"/>
    </row>
    <row r="1397" hidden="1" outlineLevel="3" ht="13.5" customHeight="1">
      <c r="A1397" s="2117" t="n">
        <v>0</v>
      </c>
      <c r="B1397" s="2117" t="n">
        <v>12</v>
      </c>
      <c r="C1397" s="2117" t="n">
        <v>8</v>
      </c>
      <c r="D1397" s="2118" t="n">
        <v>2</v>
      </c>
      <c r="E1397" s="2118" t="n">
        <v>1</v>
      </c>
      <c r="F1397" s="130" t="n"/>
      <c r="G1397" s="1748" t="inlineStr">
        <is>
          <t>INSTALAÇÕES E EQUIPAMENTOS E SISTEMAS ESPECIAIS</t>
        </is>
      </c>
      <c r="H1397" s="1749" t="inlineStr">
        <is>
          <t>SERVIÇO</t>
        </is>
      </c>
      <c r="I1397" s="1750" t="inlineStr">
        <is>
          <t>12.008.002.001</t>
        </is>
      </c>
      <c r="J1397" s="1751" t="inlineStr">
        <is>
          <t>Telefonia/lógica/internet</t>
        </is>
      </c>
      <c r="K1397" s="1752" t="inlineStr">
        <is>
          <t>vb</t>
        </is>
      </c>
      <c r="L1397" s="1753" t="n">
        <v>1</v>
      </c>
      <c r="M1397" s="1753" t="e">
        <v>#REF!</v>
      </c>
      <c r="N1397" s="1754" t="n"/>
      <c r="O1397" s="1755" t="inlineStr">
        <is>
          <t>Telecomunicação utilizado a quantidade de infraestrutura do projetista, demais itens custo estimado, devido ausência de quantitativo</t>
        </is>
      </c>
      <c r="P1397" s="1721" t="inlineStr">
        <is>
          <t>Pendente</t>
        </is>
      </c>
    </row>
    <row r="1398" hidden="1" outlineLevel="2" ht="13.5" customHeight="1">
      <c r="A1398" s="2117" t="n">
        <v>0</v>
      </c>
      <c r="B1398" s="2117" t="n">
        <v>12</v>
      </c>
      <c r="C1398" s="2117" t="n">
        <v>8</v>
      </c>
      <c r="D1398" s="2118" t="n">
        <v>3</v>
      </c>
      <c r="E1398" s="2118" t="n">
        <v>0</v>
      </c>
      <c r="F1398" s="130" t="n"/>
      <c r="G1398" s="1764" t="n"/>
      <c r="H1398" s="1741" t="inlineStr">
        <is>
          <t>SUBETAPA</t>
        </is>
      </c>
      <c r="I1398" s="1742" t="inlineStr">
        <is>
          <t>12.008.003</t>
        </is>
      </c>
      <c r="J1398" s="1743" t="inlineStr">
        <is>
          <t>AUTOMAÇÕES</t>
        </is>
      </c>
      <c r="K1398" s="1744" t="n"/>
      <c r="L1398" s="1745" t="n"/>
      <c r="M1398" s="1745" t="n"/>
      <c r="N1398" s="1746" t="n">
        <v>42992.6957645572</v>
      </c>
      <c r="O1398" s="1747" t="n"/>
      <c r="P1398" s="1720" t="n"/>
    </row>
    <row r="1399" hidden="1" outlineLevel="3" ht="13.5" customHeight="1">
      <c r="A1399" s="2117" t="n">
        <v>0</v>
      </c>
      <c r="B1399" s="2117" t="n">
        <v>12</v>
      </c>
      <c r="C1399" s="2117" t="n">
        <v>8</v>
      </c>
      <c r="D1399" s="2118" t="n">
        <v>3</v>
      </c>
      <c r="E1399" s="2118" t="n">
        <v>1</v>
      </c>
      <c r="F1399" s="130" t="n"/>
      <c r="G1399" s="1748" t="inlineStr">
        <is>
          <t>INSTALAÇÕES E EQUIPAMENTOS E SISTEMAS ESPECIAIS</t>
        </is>
      </c>
      <c r="H1399" s="1749" t="inlineStr">
        <is>
          <t>SERVIÇO</t>
        </is>
      </c>
      <c r="I1399" s="1750" t="inlineStr">
        <is>
          <t>12.008.003.001</t>
        </is>
      </c>
      <c r="J1399" s="1751" t="inlineStr">
        <is>
          <t>Infraestrutura de automação dos apartamentos (Iluminação, cortinas, áudio, ar cond.)</t>
        </is>
      </c>
      <c r="K1399" s="1752" t="inlineStr">
        <is>
          <t>vb</t>
        </is>
      </c>
      <c r="L1399" s="1753" t="n">
        <v>1</v>
      </c>
      <c r="M1399" s="1753" t="n">
        <v>42992.69576455721</v>
      </c>
      <c r="N1399" s="1754" t="n">
        <v>42992.6957645572</v>
      </c>
      <c r="O1399" s="1755" t="inlineStr">
        <is>
          <t>Custo estimado, devido ausência de quantitativo</t>
        </is>
      </c>
      <c r="P1399" s="1721" t="inlineStr">
        <is>
          <t>Pendente</t>
        </is>
      </c>
    </row>
    <row r="1400" hidden="1" outlineLevel="1" ht="13.9" customHeight="1">
      <c r="A1400" s="2117" t="n">
        <v>0</v>
      </c>
      <c r="B1400" s="2117" t="n">
        <v>12</v>
      </c>
      <c r="C1400" s="2117" t="n">
        <v>9</v>
      </c>
      <c r="D1400" s="2118" t="n">
        <v>0</v>
      </c>
      <c r="E1400" s="2118" t="n">
        <v>1</v>
      </c>
      <c r="G1400" s="1763" t="n"/>
      <c r="H1400" s="1734" t="inlineStr">
        <is>
          <t>ETAPA</t>
        </is>
      </c>
      <c r="I1400" s="1735" t="inlineStr">
        <is>
          <t>12.009</t>
        </is>
      </c>
      <c r="J1400" s="1736" t="inlineStr">
        <is>
          <t>AUTOMAÇÃO E SISTEMAS LÓGICOS E TELECOMUNICAÇÃO - Tipo diferenciado</t>
        </is>
      </c>
      <c r="K1400" s="1737" t="n"/>
      <c r="L1400" s="1738" t="n"/>
      <c r="M1400" s="1738" t="n"/>
      <c r="N1400" s="1739" t="n"/>
      <c r="O1400" s="1722" t="n"/>
      <c r="P1400" s="1725" t="n"/>
    </row>
    <row r="1401" hidden="1" outlineLevel="2" ht="13.5" customHeight="1">
      <c r="A1401" s="2117" t="n">
        <v>0</v>
      </c>
      <c r="B1401" s="2117" t="n">
        <v>12</v>
      </c>
      <c r="C1401" s="2117" t="n">
        <v>9</v>
      </c>
      <c r="D1401" s="2118" t="n">
        <v>1</v>
      </c>
      <c r="E1401" s="2118" t="n">
        <v>0</v>
      </c>
      <c r="G1401" s="1764" t="n"/>
      <c r="H1401" s="1741" t="inlineStr">
        <is>
          <t>SUBETAPA</t>
        </is>
      </c>
      <c r="I1401" s="1742" t="inlineStr">
        <is>
          <t>12.009.001</t>
        </is>
      </c>
      <c r="J1401" s="1743" t="inlineStr">
        <is>
          <t>Sistema de interfone / controle de acesso</t>
        </is>
      </c>
      <c r="K1401" s="1744" t="n"/>
      <c r="L1401" s="1745" t="n"/>
      <c r="M1401" s="1745" t="n"/>
      <c r="N1401" s="1746" t="n">
        <v>1720</v>
      </c>
      <c r="O1401" s="1747" t="n"/>
      <c r="P1401" s="1720" t="n"/>
    </row>
    <row r="1402" hidden="1" outlineLevel="3" ht="13.5" customHeight="1">
      <c r="A1402" s="2117" t="n">
        <v>0</v>
      </c>
      <c r="B1402" s="2117" t="n">
        <v>12</v>
      </c>
      <c r="C1402" s="2117" t="n">
        <v>9</v>
      </c>
      <c r="D1402" s="2118" t="n">
        <v>1</v>
      </c>
      <c r="E1402" s="2118" t="n">
        <v>1</v>
      </c>
      <c r="F1402" s="130" t="n"/>
      <c r="G1402" s="1748" t="inlineStr">
        <is>
          <t>INSTALAÇÕES E EQUIPAMENTOS E SISTEMAS ESPECIAIS</t>
        </is>
      </c>
      <c r="H1402" s="1749" t="inlineStr">
        <is>
          <t>SERVIÇO</t>
        </is>
      </c>
      <c r="I1402" s="1750" t="inlineStr">
        <is>
          <t>12.009.001.001</t>
        </is>
      </c>
      <c r="J1402" s="1751" t="inlineStr">
        <is>
          <t>Sistema de interfone / controle de acesso</t>
        </is>
      </c>
      <c r="K1402" s="1752" t="inlineStr">
        <is>
          <t>vb</t>
        </is>
      </c>
      <c r="L1402" s="1753" t="n">
        <v>1</v>
      </c>
      <c r="M1402" s="1753" t="n">
        <v>1720</v>
      </c>
      <c r="N1402" s="1754" t="n">
        <v>1720</v>
      </c>
      <c r="O1402" s="1755" t="inlineStr">
        <is>
          <t>Custo estimado, devido ausência de quantitativo</t>
        </is>
      </c>
      <c r="P1402" s="1721" t="inlineStr">
        <is>
          <t>Pendente</t>
        </is>
      </c>
    </row>
    <row r="1403" hidden="1" outlineLevel="2" ht="13.5" customHeight="1">
      <c r="A1403" s="2117" t="n">
        <v>0</v>
      </c>
      <c r="B1403" s="2117" t="n">
        <v>12</v>
      </c>
      <c r="C1403" s="2117" t="n">
        <v>9</v>
      </c>
      <c r="D1403" s="2118" t="n">
        <v>2</v>
      </c>
      <c r="E1403" s="2118" t="n">
        <v>0</v>
      </c>
      <c r="F1403" s="130" t="n"/>
      <c r="G1403" s="1764" t="n"/>
      <c r="H1403" s="1741" t="inlineStr">
        <is>
          <t>SUBETAPA</t>
        </is>
      </c>
      <c r="I1403" s="1742" t="inlineStr">
        <is>
          <t>12.009.002</t>
        </is>
      </c>
      <c r="J1403" s="1743" t="inlineStr">
        <is>
          <t>Telefonia/lógica/internet</t>
        </is>
      </c>
      <c r="K1403" s="1744" t="n"/>
      <c r="L1403" s="1745" t="n"/>
      <c r="M1403" s="1745" t="n"/>
      <c r="N1403" s="1746" t="n"/>
      <c r="O1403" s="1793" t="n"/>
      <c r="P1403" s="1720" t="n"/>
    </row>
    <row r="1404" hidden="1" outlineLevel="3" ht="13.5" customHeight="1">
      <c r="A1404" s="2117" t="n">
        <v>0</v>
      </c>
      <c r="B1404" s="2117" t="n">
        <v>12</v>
      </c>
      <c r="C1404" s="2117" t="n">
        <v>9</v>
      </c>
      <c r="D1404" s="2118" t="n">
        <v>2</v>
      </c>
      <c r="E1404" s="2118" t="n">
        <v>1</v>
      </c>
      <c r="F1404" s="130" t="n"/>
      <c r="G1404" s="1748" t="inlineStr">
        <is>
          <t>INSTALAÇÕES E EQUIPAMENTOS E SISTEMAS ESPECIAIS</t>
        </is>
      </c>
      <c r="H1404" s="1749" t="inlineStr">
        <is>
          <t>SERVIÇO</t>
        </is>
      </c>
      <c r="I1404" s="1750" t="inlineStr">
        <is>
          <t>12.009.002.001</t>
        </is>
      </c>
      <c r="J1404" s="1751" t="inlineStr">
        <is>
          <t>Telefonia/lógica/internet</t>
        </is>
      </c>
      <c r="K1404" s="1752" t="inlineStr">
        <is>
          <t>vb</t>
        </is>
      </c>
      <c r="L1404" s="1753" t="n">
        <v>1</v>
      </c>
      <c r="M1404" s="1753" t="e">
        <v>#REF!</v>
      </c>
      <c r="N1404" s="1754" t="n"/>
      <c r="O1404" s="1761" t="inlineStr">
        <is>
          <t>Repessado pela Gessele na reunião do dia 05/03/2026 - adotar somente infra seca nos aptos</t>
        </is>
      </c>
      <c r="P1404" s="1721" t="inlineStr">
        <is>
          <t>Pendente</t>
        </is>
      </c>
    </row>
    <row r="1405" hidden="1" outlineLevel="1" ht="13.9" customHeight="1">
      <c r="A1405" s="2117" t="n">
        <v>0</v>
      </c>
      <c r="B1405" s="2117" t="n">
        <v>12</v>
      </c>
      <c r="C1405" s="2117" t="n">
        <v>10</v>
      </c>
      <c r="D1405" s="2118" t="n">
        <v>0</v>
      </c>
      <c r="E1405" s="2118" t="n">
        <v>1</v>
      </c>
      <c r="G1405" s="1763" t="n"/>
      <c r="H1405" s="1734" t="inlineStr">
        <is>
          <t>ETAPA</t>
        </is>
      </c>
      <c r="I1405" s="1735" t="inlineStr">
        <is>
          <t>12.010</t>
        </is>
      </c>
      <c r="J1405" s="1736" t="inlineStr">
        <is>
          <t>AUTOMAÇÃO E SISTEMAS LÓGICOS E TELECOMUNICAÇÃO - Tipo x8</t>
        </is>
      </c>
      <c r="K1405" s="1737" t="n"/>
      <c r="L1405" s="1738" t="n"/>
      <c r="M1405" s="1738" t="n"/>
      <c r="N1405" s="1739" t="n"/>
      <c r="O1405" s="1722" t="n"/>
      <c r="P1405" s="1725" t="n"/>
    </row>
    <row r="1406" hidden="1" outlineLevel="2" ht="13.5" customHeight="1">
      <c r="A1406" s="2117" t="n">
        <v>0</v>
      </c>
      <c r="B1406" s="2117" t="n">
        <v>12</v>
      </c>
      <c r="C1406" s="2117" t="n">
        <v>10</v>
      </c>
      <c r="D1406" s="2118" t="n">
        <v>1</v>
      </c>
      <c r="E1406" s="2118" t="n">
        <v>0</v>
      </c>
      <c r="G1406" s="1764" t="n"/>
      <c r="H1406" s="1741" t="inlineStr">
        <is>
          <t>SUBETAPA</t>
        </is>
      </c>
      <c r="I1406" s="1742" t="inlineStr">
        <is>
          <t>12.010.001</t>
        </is>
      </c>
      <c r="J1406" s="1743" t="inlineStr">
        <is>
          <t>Sistema de interfone / controle de acesso</t>
        </is>
      </c>
      <c r="K1406" s="1744" t="n"/>
      <c r="L1406" s="1745" t="n"/>
      <c r="M1406" s="1745" t="n"/>
      <c r="N1406" s="1746" t="n">
        <v>2560</v>
      </c>
      <c r="O1406" s="1747" t="n"/>
      <c r="P1406" s="1720" t="n"/>
    </row>
    <row r="1407" hidden="1" outlineLevel="3" ht="13.5" customHeight="1">
      <c r="A1407" s="2117" t="n">
        <v>0</v>
      </c>
      <c r="B1407" s="2117" t="n">
        <v>12</v>
      </c>
      <c r="C1407" s="2117" t="n">
        <v>10</v>
      </c>
      <c r="D1407" s="2118" t="n">
        <v>1</v>
      </c>
      <c r="E1407" s="2118" t="n">
        <v>1</v>
      </c>
      <c r="F1407" s="130" t="n"/>
      <c r="G1407" s="1748" t="inlineStr">
        <is>
          <t>INSTALAÇÕES E EQUIPAMENTOS E SISTEMAS ESPECIAIS</t>
        </is>
      </c>
      <c r="H1407" s="1749" t="inlineStr">
        <is>
          <t>SERVIÇO</t>
        </is>
      </c>
      <c r="I1407" s="1750" t="inlineStr">
        <is>
          <t>12.010.001.001</t>
        </is>
      </c>
      <c r="J1407" s="1751" t="inlineStr">
        <is>
          <t>Sistema de interfone / controle de acesso</t>
        </is>
      </c>
      <c r="K1407" s="1752" t="inlineStr">
        <is>
          <t>vb</t>
        </is>
      </c>
      <c r="L1407" s="1753" t="n">
        <v>1</v>
      </c>
      <c r="M1407" s="1753" t="n">
        <v>2560</v>
      </c>
      <c r="N1407" s="1754" t="n">
        <v>2560</v>
      </c>
      <c r="O1407" s="1761" t="inlineStr">
        <is>
          <t>Repessado pela Gessele na reunião do dia 05/03/2026 - adotar somente infra seca nos aptos</t>
        </is>
      </c>
      <c r="P1407" s="1721" t="inlineStr">
        <is>
          <t>Pendente</t>
        </is>
      </c>
    </row>
    <row r="1408" hidden="1" outlineLevel="2" ht="13.5" customHeight="1">
      <c r="A1408" s="2117" t="n">
        <v>0</v>
      </c>
      <c r="B1408" s="2117" t="n">
        <v>12</v>
      </c>
      <c r="C1408" s="2117" t="n">
        <v>10</v>
      </c>
      <c r="D1408" s="2118" t="n">
        <v>2</v>
      </c>
      <c r="E1408" s="2118" t="n">
        <v>0</v>
      </c>
      <c r="F1408" s="130" t="n"/>
      <c r="G1408" s="1764" t="n"/>
      <c r="H1408" s="1741" t="inlineStr">
        <is>
          <t>SUBETAPA</t>
        </is>
      </c>
      <c r="I1408" s="1742" t="inlineStr">
        <is>
          <t>12.010.002</t>
        </is>
      </c>
      <c r="J1408" s="1743" t="inlineStr">
        <is>
          <t>Telefonia/lógica/internet</t>
        </is>
      </c>
      <c r="K1408" s="1744" t="n"/>
      <c r="L1408" s="1745" t="n"/>
      <c r="M1408" s="1745" t="n"/>
      <c r="N1408" s="1746" t="n"/>
      <c r="O1408" s="1793" t="n"/>
      <c r="P1408" s="1720" t="n"/>
    </row>
    <row r="1409" hidden="1" outlineLevel="3" ht="13.5" customHeight="1">
      <c r="A1409" s="2117" t="n">
        <v>0</v>
      </c>
      <c r="B1409" s="2117" t="n">
        <v>12</v>
      </c>
      <c r="C1409" s="2117" t="n">
        <v>10</v>
      </c>
      <c r="D1409" s="2118" t="n">
        <v>2</v>
      </c>
      <c r="E1409" s="2118" t="n">
        <v>1</v>
      </c>
      <c r="F1409" s="130" t="n"/>
      <c r="G1409" s="1748" t="inlineStr">
        <is>
          <t>INSTALAÇÕES E EQUIPAMENTOS E SISTEMAS ESPECIAIS</t>
        </is>
      </c>
      <c r="H1409" s="1749" t="inlineStr">
        <is>
          <t>SERVIÇO</t>
        </is>
      </c>
      <c r="I1409" s="1750" t="inlineStr">
        <is>
          <t>12.010.002.001</t>
        </is>
      </c>
      <c r="J1409" s="1751" t="inlineStr">
        <is>
          <t>Telefonia/lógica/internet</t>
        </is>
      </c>
      <c r="K1409" s="1752" t="inlineStr">
        <is>
          <t>vb</t>
        </is>
      </c>
      <c r="L1409" s="1753" t="n">
        <v>1</v>
      </c>
      <c r="M1409" s="1753" t="e">
        <v>#REF!</v>
      </c>
      <c r="N1409" s="1754" t="n"/>
      <c r="O1409" s="1755" t="inlineStr">
        <is>
          <t>Telecomunicação utilizado a quantidade de infraestrutura do projetista, demais itens custo estimado, devido ausência de quantitativo</t>
        </is>
      </c>
      <c r="P1409" s="1721" t="inlineStr">
        <is>
          <t>Pendente</t>
        </is>
      </c>
    </row>
    <row r="1410" hidden="1" outlineLevel="1" ht="13.9" customHeight="1">
      <c r="A1410" s="2117" t="n">
        <v>0</v>
      </c>
      <c r="B1410" s="2117" t="n">
        <v>12</v>
      </c>
      <c r="C1410" s="2117" t="n">
        <v>11</v>
      </c>
      <c r="D1410" s="2118" t="n">
        <v>0</v>
      </c>
      <c r="E1410" s="2118" t="n">
        <v>1</v>
      </c>
      <c r="G1410" s="1763" t="n"/>
      <c r="H1410" s="1734" t="inlineStr">
        <is>
          <t>ETAPA</t>
        </is>
      </c>
      <c r="I1410" s="1735" t="inlineStr">
        <is>
          <t>12.011</t>
        </is>
      </c>
      <c r="J1410" s="1736" t="inlineStr">
        <is>
          <t>AUTOMAÇÃO E SISTEMAS LÓGICOS E TELECOMUNICAÇÃO - Penthouse x22</t>
        </is>
      </c>
      <c r="K1410" s="1737" t="n"/>
      <c r="L1410" s="1738" t="n"/>
      <c r="M1410" s="1738" t="n"/>
      <c r="N1410" s="1739" t="n"/>
      <c r="O1410" s="1722" t="n"/>
      <c r="P1410" s="1725" t="n"/>
    </row>
    <row r="1411" hidden="1" outlineLevel="2" ht="13.5" customHeight="1">
      <c r="A1411" s="2117" t="n">
        <v>0</v>
      </c>
      <c r="B1411" s="2117" t="n">
        <v>12</v>
      </c>
      <c r="C1411" s="2117" t="n">
        <v>11</v>
      </c>
      <c r="D1411" s="2118" t="n">
        <v>1</v>
      </c>
      <c r="E1411" s="2118" t="n">
        <v>0</v>
      </c>
      <c r="G1411" s="1764" t="n"/>
      <c r="H1411" s="1741" t="inlineStr">
        <is>
          <t>SUBETAPA</t>
        </is>
      </c>
      <c r="I1411" s="1742" t="inlineStr">
        <is>
          <t>12.011.001</t>
        </is>
      </c>
      <c r="J1411" s="1743" t="inlineStr">
        <is>
          <t>Sistema de interfone / controle de acesso</t>
        </is>
      </c>
      <c r="K1411" s="1744" t="n"/>
      <c r="L1411" s="1745" t="n"/>
      <c r="M1411" s="1745" t="n"/>
      <c r="N1411" s="1746" t="n">
        <v>3520</v>
      </c>
      <c r="O1411" s="1747" t="n"/>
      <c r="P1411" s="1720" t="n"/>
    </row>
    <row r="1412" hidden="1" outlineLevel="3" ht="13.5" customHeight="1">
      <c r="A1412" s="2117" t="n">
        <v>0</v>
      </c>
      <c r="B1412" s="2117" t="n">
        <v>12</v>
      </c>
      <c r="C1412" s="2117" t="n">
        <v>11</v>
      </c>
      <c r="D1412" s="2118" t="n">
        <v>1</v>
      </c>
      <c r="E1412" s="2118" t="n">
        <v>1</v>
      </c>
      <c r="F1412" s="130" t="n"/>
      <c r="G1412" s="1748" t="inlineStr">
        <is>
          <t>INSTALAÇÕES E EQUIPAMENTOS E SISTEMAS ESPECIAIS</t>
        </is>
      </c>
      <c r="H1412" s="1749" t="inlineStr">
        <is>
          <t>SERVIÇO</t>
        </is>
      </c>
      <c r="I1412" s="1750" t="inlineStr">
        <is>
          <t>12.011.001.001</t>
        </is>
      </c>
      <c r="J1412" s="1751" t="inlineStr">
        <is>
          <t>Sistema de interfone / controle de acesso</t>
        </is>
      </c>
      <c r="K1412" s="1752" t="inlineStr">
        <is>
          <t>vb</t>
        </is>
      </c>
      <c r="L1412" s="1753" t="n">
        <v>1</v>
      </c>
      <c r="M1412" s="1753" t="n">
        <v>3520</v>
      </c>
      <c r="N1412" s="1754" t="n">
        <v>3520</v>
      </c>
      <c r="O1412" s="1755" t="inlineStr">
        <is>
          <t>Custo estimado, devido ausência de quantitativo</t>
        </is>
      </c>
      <c r="P1412" s="1721" t="inlineStr">
        <is>
          <t>Pendente</t>
        </is>
      </c>
    </row>
    <row r="1413" hidden="1" outlineLevel="2" ht="13.5" customHeight="1">
      <c r="A1413" s="2117" t="n">
        <v>0</v>
      </c>
      <c r="B1413" s="2117" t="n">
        <v>12</v>
      </c>
      <c r="C1413" s="2117" t="n">
        <v>11</v>
      </c>
      <c r="D1413" s="2118" t="n">
        <v>2</v>
      </c>
      <c r="E1413" s="2118" t="n">
        <v>0</v>
      </c>
      <c r="F1413" s="130" t="n"/>
      <c r="G1413" s="1764" t="n"/>
      <c r="H1413" s="1741" t="inlineStr">
        <is>
          <t>SUBETAPA</t>
        </is>
      </c>
      <c r="I1413" s="1742" t="inlineStr">
        <is>
          <t>12.011.002</t>
        </is>
      </c>
      <c r="J1413" s="1743" t="inlineStr">
        <is>
          <t>Telefonia/lógica/internet</t>
        </is>
      </c>
      <c r="K1413" s="1744" t="n"/>
      <c r="L1413" s="1745" t="n"/>
      <c r="M1413" s="1745" t="n"/>
      <c r="N1413" s="1746" t="n"/>
      <c r="O1413" s="1793" t="n"/>
      <c r="P1413" s="1720" t="n"/>
    </row>
    <row r="1414" hidden="1" outlineLevel="3" ht="13.5" customHeight="1">
      <c r="A1414" s="2117" t="n">
        <v>0</v>
      </c>
      <c r="B1414" s="2117" t="n">
        <v>12</v>
      </c>
      <c r="C1414" s="2117" t="n">
        <v>11</v>
      </c>
      <c r="D1414" s="2118" t="n">
        <v>2</v>
      </c>
      <c r="E1414" s="2118" t="n">
        <v>1</v>
      </c>
      <c r="F1414" s="130" t="n"/>
      <c r="G1414" s="1748" t="inlineStr">
        <is>
          <t>INSTALAÇÕES E EQUIPAMENTOS E SISTEMAS ESPECIAIS</t>
        </is>
      </c>
      <c r="H1414" s="1749" t="inlineStr">
        <is>
          <t>SERVIÇO</t>
        </is>
      </c>
      <c r="I1414" s="1750" t="inlineStr">
        <is>
          <t>12.011.002.001</t>
        </is>
      </c>
      <c r="J1414" s="1751" t="inlineStr">
        <is>
          <t>Telefonia/lógica/internet</t>
        </is>
      </c>
      <c r="K1414" s="1752" t="inlineStr">
        <is>
          <t>vb</t>
        </is>
      </c>
      <c r="L1414" s="1753" t="n">
        <v>1</v>
      </c>
      <c r="M1414" s="1753" t="e">
        <v>#REF!</v>
      </c>
      <c r="N1414" s="1754" t="n"/>
      <c r="O1414" s="1761" t="inlineStr">
        <is>
          <t>Repessado pela Gessele na reunião do dia 05/03/2026 - adotar somente infra seca nos aptos</t>
        </is>
      </c>
      <c r="P1414" s="1721" t="inlineStr">
        <is>
          <t>Pendente</t>
        </is>
      </c>
    </row>
    <row r="1415" hidden="1" outlineLevel="1" ht="13.9" customHeight="1">
      <c r="A1415" s="2117" t="n">
        <v>0</v>
      </c>
      <c r="B1415" s="2117" t="n">
        <v>12</v>
      </c>
      <c r="C1415" s="2117" t="n">
        <v>12</v>
      </c>
      <c r="D1415" s="2118" t="n">
        <v>0</v>
      </c>
      <c r="E1415" s="2118" t="n">
        <v>1</v>
      </c>
      <c r="G1415" s="1763" t="n"/>
      <c r="H1415" s="1734" t="inlineStr">
        <is>
          <t>ETAPA</t>
        </is>
      </c>
      <c r="I1415" s="1735" t="inlineStr">
        <is>
          <t>12.012</t>
        </is>
      </c>
      <c r="J1415" s="1736" t="inlineStr">
        <is>
          <t>AUTOMAÇÃO E SISTEMAS LÓGICOS E TELECOMUNICAÇÃO - Duplex Inferior</t>
        </is>
      </c>
      <c r="K1415" s="1737" t="n"/>
      <c r="L1415" s="1738" t="n"/>
      <c r="M1415" s="1738" t="n"/>
      <c r="N1415" s="1739" t="n"/>
      <c r="O1415" s="1722" t="n"/>
      <c r="P1415" s="1725" t="n"/>
    </row>
    <row r="1416" hidden="1" outlineLevel="2" ht="13.5" customHeight="1">
      <c r="A1416" s="2117" t="n">
        <v>0</v>
      </c>
      <c r="B1416" s="2117" t="n">
        <v>12</v>
      </c>
      <c r="C1416" s="2117" t="n">
        <v>12</v>
      </c>
      <c r="D1416" s="2118" t="n">
        <v>1</v>
      </c>
      <c r="E1416" s="2118" t="n">
        <v>0</v>
      </c>
      <c r="G1416" s="1764" t="n"/>
      <c r="H1416" s="1741" t="inlineStr">
        <is>
          <t>SUBETAPA</t>
        </is>
      </c>
      <c r="I1416" s="1742" t="inlineStr">
        <is>
          <t>12.012.001</t>
        </is>
      </c>
      <c r="J1416" s="1743" t="inlineStr">
        <is>
          <t>Sistema de interfone / controle de acesso</t>
        </is>
      </c>
      <c r="K1416" s="1744" t="n"/>
      <c r="L1416" s="1745" t="n"/>
      <c r="M1416" s="1745" t="n"/>
      <c r="N1416" s="1746" t="n">
        <v>320</v>
      </c>
      <c r="O1416" s="1747" t="n"/>
      <c r="P1416" s="1720" t="n"/>
    </row>
    <row r="1417" hidden="1" outlineLevel="3" ht="13.5" customHeight="1">
      <c r="A1417" s="2117" t="n">
        <v>0</v>
      </c>
      <c r="B1417" s="2117" t="n">
        <v>12</v>
      </c>
      <c r="C1417" s="2117" t="n">
        <v>12</v>
      </c>
      <c r="D1417" s="2118" t="n">
        <v>1</v>
      </c>
      <c r="E1417" s="2118" t="n">
        <v>1</v>
      </c>
      <c r="F1417" s="130" t="n"/>
      <c r="G1417" s="1748" t="inlineStr">
        <is>
          <t>INSTALAÇÕES E EQUIPAMENTOS E SISTEMAS ESPECIAIS</t>
        </is>
      </c>
      <c r="H1417" s="1749" t="inlineStr">
        <is>
          <t>SERVIÇO</t>
        </is>
      </c>
      <c r="I1417" s="1750" t="inlineStr">
        <is>
          <t>12.012.001.001</t>
        </is>
      </c>
      <c r="J1417" s="1751" t="inlineStr">
        <is>
          <t>Sistema de interfone / controle de acesso</t>
        </is>
      </c>
      <c r="K1417" s="1752" t="inlineStr">
        <is>
          <t>vb</t>
        </is>
      </c>
      <c r="L1417" s="1753" t="n">
        <v>1</v>
      </c>
      <c r="M1417" s="1753" t="n">
        <v>320</v>
      </c>
      <c r="N1417" s="1754" t="n">
        <v>320</v>
      </c>
      <c r="O1417" s="1755" t="inlineStr">
        <is>
          <t>Custo estimado, devido ausência de quantitativo</t>
        </is>
      </c>
      <c r="P1417" s="1721" t="inlineStr">
        <is>
          <t>Pendente</t>
        </is>
      </c>
    </row>
    <row r="1418" hidden="1" outlineLevel="2" ht="13.5" customHeight="1">
      <c r="A1418" s="2117" t="n">
        <v>0</v>
      </c>
      <c r="B1418" s="2117" t="n">
        <v>12</v>
      </c>
      <c r="C1418" s="2117" t="n">
        <v>12</v>
      </c>
      <c r="D1418" s="2118" t="n">
        <v>2</v>
      </c>
      <c r="E1418" s="2118" t="n">
        <v>0</v>
      </c>
      <c r="F1418" s="130" t="n"/>
      <c r="G1418" s="1764" t="n"/>
      <c r="H1418" s="1741" t="inlineStr">
        <is>
          <t>SUBETAPA</t>
        </is>
      </c>
      <c r="I1418" s="1742" t="inlineStr">
        <is>
          <t>12.012.002</t>
        </is>
      </c>
      <c r="J1418" s="1743" t="inlineStr">
        <is>
          <t>Telefonia/lógica/internet</t>
        </is>
      </c>
      <c r="K1418" s="1744" t="n"/>
      <c r="L1418" s="1745" t="n"/>
      <c r="M1418" s="1745" t="n"/>
      <c r="N1418" s="1746" t="n"/>
      <c r="O1418" s="1793" t="n"/>
      <c r="P1418" s="1720" t="n"/>
    </row>
    <row r="1419" hidden="1" outlineLevel="3" ht="13.5" customHeight="1">
      <c r="A1419" s="2117" t="n">
        <v>0</v>
      </c>
      <c r="B1419" s="2117" t="n">
        <v>12</v>
      </c>
      <c r="C1419" s="2117" t="n">
        <v>12</v>
      </c>
      <c r="D1419" s="2118" t="n">
        <v>2</v>
      </c>
      <c r="E1419" s="2118" t="n">
        <v>1</v>
      </c>
      <c r="F1419" s="130" t="n"/>
      <c r="G1419" s="1748" t="inlineStr">
        <is>
          <t>INSTALAÇÕES E EQUIPAMENTOS E SISTEMAS ESPECIAIS</t>
        </is>
      </c>
      <c r="H1419" s="1749" t="inlineStr">
        <is>
          <t>SERVIÇO</t>
        </is>
      </c>
      <c r="I1419" s="1750" t="inlineStr">
        <is>
          <t>12.012.002.001</t>
        </is>
      </c>
      <c r="J1419" s="1751" t="inlineStr">
        <is>
          <t>Telefonia/lógica/internet</t>
        </is>
      </c>
      <c r="K1419" s="1752" t="inlineStr">
        <is>
          <t>vb</t>
        </is>
      </c>
      <c r="L1419" s="1753" t="n">
        <v>1</v>
      </c>
      <c r="M1419" s="1753" t="e">
        <v>#REF!</v>
      </c>
      <c r="N1419" s="1754" t="n"/>
      <c r="O1419" s="1761" t="inlineStr">
        <is>
          <t>Repessado pela Gessele na reunião do dia 05/03/2026 - adotar somente infra seca nos aptos</t>
        </is>
      </c>
      <c r="P1419" s="1721" t="inlineStr">
        <is>
          <t>Pendente</t>
        </is>
      </c>
    </row>
    <row r="1420" hidden="1" outlineLevel="1" ht="13.9" customHeight="1">
      <c r="A1420" s="2117" t="n">
        <v>0</v>
      </c>
      <c r="B1420" s="2117" t="n">
        <v>12</v>
      </c>
      <c r="C1420" s="2117" t="n">
        <v>13</v>
      </c>
      <c r="D1420" s="2118" t="n">
        <v>0</v>
      </c>
      <c r="E1420" s="2118" t="n">
        <v>1</v>
      </c>
      <c r="G1420" s="1763" t="n"/>
      <c r="H1420" s="1734" t="inlineStr">
        <is>
          <t>ETAPA</t>
        </is>
      </c>
      <c r="I1420" s="1735" t="inlineStr">
        <is>
          <t>12.013</t>
        </is>
      </c>
      <c r="J1420" s="1736" t="inlineStr">
        <is>
          <t>AUTOMAÇÃO E SISTEMAS LÓGICOS E TELECOMUNICAÇÃO - Duplex Superior</t>
        </is>
      </c>
      <c r="K1420" s="1737" t="n"/>
      <c r="L1420" s="1738" t="n"/>
      <c r="M1420" s="1738" t="n"/>
      <c r="N1420" s="1739" t="n"/>
      <c r="O1420" s="1722" t="n"/>
      <c r="P1420" s="1725" t="n"/>
    </row>
    <row r="1421" hidden="1" outlineLevel="2" ht="13.5" customHeight="1">
      <c r="A1421" s="2117" t="n">
        <v>0</v>
      </c>
      <c r="B1421" s="2117" t="n">
        <v>12</v>
      </c>
      <c r="C1421" s="2117" t="n">
        <v>13</v>
      </c>
      <c r="D1421" s="2118" t="n">
        <v>1</v>
      </c>
      <c r="E1421" s="2118" t="n">
        <v>0</v>
      </c>
      <c r="F1421" s="130" t="n"/>
      <c r="G1421" s="1764" t="n"/>
      <c r="H1421" s="1741" t="inlineStr">
        <is>
          <t>SUBETAPA</t>
        </is>
      </c>
      <c r="I1421" s="1742" t="inlineStr">
        <is>
          <t>12.013.001</t>
        </is>
      </c>
      <c r="J1421" s="1743" t="inlineStr">
        <is>
          <t>Telefonia/lógica/internet</t>
        </is>
      </c>
      <c r="K1421" s="1744" t="n"/>
      <c r="L1421" s="1745" t="n"/>
      <c r="M1421" s="1745" t="n"/>
      <c r="N1421" s="1746" t="n"/>
      <c r="O1421" s="1793" t="n"/>
      <c r="P1421" s="1720" t="n"/>
    </row>
    <row r="1422" hidden="1" outlineLevel="3" ht="13.5" customHeight="1">
      <c r="A1422" s="2117" t="n">
        <v>0</v>
      </c>
      <c r="B1422" s="2117" t="n">
        <v>12</v>
      </c>
      <c r="C1422" s="2117" t="n">
        <v>13</v>
      </c>
      <c r="D1422" s="2118" t="n">
        <v>1</v>
      </c>
      <c r="E1422" s="2118" t="n">
        <v>1</v>
      </c>
      <c r="F1422" s="130" t="n"/>
      <c r="G1422" s="1748" t="inlineStr">
        <is>
          <t>INSTALAÇÕES E EQUIPAMENTOS E SISTEMAS ESPECIAIS</t>
        </is>
      </c>
      <c r="H1422" s="1749" t="inlineStr">
        <is>
          <t>SERVIÇO</t>
        </is>
      </c>
      <c r="I1422" s="1750" t="inlineStr">
        <is>
          <t>12.013.001.001</t>
        </is>
      </c>
      <c r="J1422" s="1751" t="inlineStr">
        <is>
          <t>Telefonia/lógica/internet</t>
        </is>
      </c>
      <c r="K1422" s="1752" t="inlineStr">
        <is>
          <t>vb</t>
        </is>
      </c>
      <c r="L1422" s="1753" t="n">
        <v>1</v>
      </c>
      <c r="M1422" s="1753" t="e">
        <v>#REF!</v>
      </c>
      <c r="N1422" s="1754" t="n"/>
      <c r="O1422" s="1761" t="inlineStr">
        <is>
          <t>Repessado pela Gessele na reunião do dia 05/03/2026 - adotar somente infra seca nos aptos</t>
        </is>
      </c>
      <c r="P1422" s="1721" t="inlineStr">
        <is>
          <t>Pendente</t>
        </is>
      </c>
    </row>
    <row r="1423" collapsed="1" ht="13.5" customHeight="1">
      <c r="A1423" s="2117" t="n">
        <v>0</v>
      </c>
      <c r="B1423" s="2117" t="n">
        <v>13</v>
      </c>
      <c r="C1423" s="2117" t="n">
        <v>0</v>
      </c>
      <c r="D1423" s="2118" t="n">
        <v>1</v>
      </c>
      <c r="E1423" s="2118" t="n">
        <v>1</v>
      </c>
      <c r="F1423" s="474" t="n"/>
      <c r="G1423" s="1794" t="n"/>
      <c r="H1423" s="1766" t="inlineStr">
        <is>
          <t>CÉLULA CONSTRUTIVA</t>
        </is>
      </c>
      <c r="I1423" s="1728" t="inlineStr">
        <is>
          <t>13</t>
        </is>
      </c>
      <c r="J1423" s="1795" t="inlineStr">
        <is>
          <t>IMPERMEABILIZAÇÃO E TRATAMENTOS</t>
        </is>
      </c>
      <c r="K1423" s="1768" t="n"/>
      <c r="L1423" s="1769" t="n"/>
      <c r="M1423" s="1769" t="n"/>
      <c r="N1423" s="1732" t="n">
        <v>1076652.81713433</v>
      </c>
      <c r="O1423" s="1770" t="n">
        <v>64.27904652057821</v>
      </c>
      <c r="P1423" s="1718" t="n"/>
    </row>
    <row r="1424" hidden="1" outlineLevel="1" ht="13.5" customHeight="1">
      <c r="A1424" s="2117" t="n">
        <v>0</v>
      </c>
      <c r="B1424" s="2117" t="n">
        <v>13</v>
      </c>
      <c r="C1424" s="2117" t="n">
        <v>1</v>
      </c>
      <c r="D1424" s="2118" t="n">
        <v>0</v>
      </c>
      <c r="E1424" s="2118" t="n">
        <v>1</v>
      </c>
      <c r="G1424" s="1796" t="n"/>
      <c r="H1424" s="1771" t="inlineStr">
        <is>
          <t>ETAPA</t>
        </is>
      </c>
      <c r="I1424" s="1735" t="inlineStr">
        <is>
          <t>13.001</t>
        </is>
      </c>
      <c r="J1424" s="1773" t="inlineStr">
        <is>
          <t>IMPERMEABILIZAÇÃO E TRATAMENTOS - Térreo</t>
        </is>
      </c>
      <c r="K1424" s="1774" t="n"/>
      <c r="L1424" s="1775" t="n"/>
      <c r="M1424" s="1775" t="n"/>
      <c r="N1424" s="1739" t="n">
        <v>67700.351232</v>
      </c>
      <c r="O1424" s="1776" t="n">
        <v>4.04189164514883</v>
      </c>
      <c r="P1424" s="1719" t="n"/>
    </row>
    <row r="1425" hidden="1" outlineLevel="2" ht="13.5" customHeight="1">
      <c r="A1425" s="2117" t="n">
        <v>0</v>
      </c>
      <c r="B1425" s="2117" t="n">
        <v>13</v>
      </c>
      <c r="C1425" s="2117" t="n">
        <v>1</v>
      </c>
      <c r="D1425" s="2118" t="n">
        <v>1</v>
      </c>
      <c r="E1425" s="2118" t="n">
        <v>0</v>
      </c>
      <c r="G1425" s="1797" t="n"/>
      <c r="H1425" s="1777" t="inlineStr">
        <is>
          <t>SUBETAPA</t>
        </is>
      </c>
      <c r="I1425" s="1742" t="inlineStr">
        <is>
          <t>13.001.001</t>
        </is>
      </c>
      <c r="J1425" s="1779" t="inlineStr">
        <is>
          <t>Regularização e proteção mecânica</t>
        </is>
      </c>
      <c r="K1425" s="1780" t="n"/>
      <c r="L1425" s="1781" t="n"/>
      <c r="M1425" s="1781" t="n"/>
      <c r="N1425" s="1746" t="n">
        <v>2052.645332</v>
      </c>
      <c r="O1425" s="1782" t="n">
        <v>0.122548404356623</v>
      </c>
      <c r="P1425" s="1720" t="n"/>
    </row>
    <row r="1426" hidden="1" outlineLevel="3" ht="13.5" customHeight="1">
      <c r="A1426" s="2117" t="n">
        <v>0</v>
      </c>
      <c r="B1426" s="2117" t="n">
        <v>13</v>
      </c>
      <c r="C1426" s="2117" t="n">
        <v>1</v>
      </c>
      <c r="D1426" s="2118" t="n">
        <v>1</v>
      </c>
      <c r="E1426" s="2118" t="n">
        <v>1</v>
      </c>
      <c r="G1426" s="1798" t="inlineStr">
        <is>
          <t>IMPERMEABILIZAÇÃO</t>
        </is>
      </c>
      <c r="H1426" s="1783" t="inlineStr">
        <is>
          <t>SERVIÇO</t>
        </is>
      </c>
      <c r="I1426" s="1750" t="inlineStr">
        <is>
          <t>13.001.001.001</t>
        </is>
      </c>
      <c r="J1426" s="1785" t="inlineStr">
        <is>
          <t xml:space="preserve">Regularização de superfície para impermeabilização </t>
        </is>
      </c>
      <c r="K1426" s="1786" t="inlineStr">
        <is>
          <t>m2</t>
        </is>
      </c>
      <c r="L1426" s="1787" t="n">
        <v>242.58</v>
      </c>
      <c r="M1426" s="1787" t="n">
        <v>7.065899999999999</v>
      </c>
      <c r="N1426" s="1754" t="n">
        <v>1714.046022</v>
      </c>
      <c r="O1426" s="1788" t="inlineStr">
        <is>
          <t>Toda área de piso que recebe impermeabilização</t>
        </is>
      </c>
      <c r="P1426" s="1721" t="inlineStr">
        <is>
          <t>Pendente</t>
        </is>
      </c>
    </row>
    <row r="1427" hidden="1" outlineLevel="3" ht="13.5" customHeight="1">
      <c r="A1427" s="2117" t="n">
        <v>0</v>
      </c>
      <c r="B1427" s="2117" t="n">
        <v>13</v>
      </c>
      <c r="C1427" s="2117" t="n">
        <v>1</v>
      </c>
      <c r="D1427" s="2118" t="n">
        <v>1</v>
      </c>
      <c r="E1427" s="2118" t="n">
        <v>2</v>
      </c>
      <c r="G1427" s="1798" t="inlineStr">
        <is>
          <t>IMPERMEABILIZAÇÃO</t>
        </is>
      </c>
      <c r="H1427" s="1783" t="inlineStr">
        <is>
          <t>SERVIÇO</t>
        </is>
      </c>
      <c r="I1427" s="1750" t="inlineStr">
        <is>
          <t>13.001.001.002</t>
        </is>
      </c>
      <c r="J1427" s="1785" t="inlineStr">
        <is>
          <t>Proteção mecânica de superfície com argamassa de cimento e areia, traço 1:3 E=5cm</t>
        </is>
      </c>
      <c r="K1427" s="1786" t="inlineStr">
        <is>
          <t>m2</t>
        </is>
      </c>
      <c r="L1427" s="1787" t="n">
        <v>6.86</v>
      </c>
      <c r="M1427" s="1787" t="n">
        <v>49.3585</v>
      </c>
      <c r="N1427" s="1754" t="n">
        <v>338.59931</v>
      </c>
      <c r="O1427" s="1788" t="inlineStr">
        <is>
          <t>Toda área de piso que recebe impermeabilização de manta asfáltica</t>
        </is>
      </c>
      <c r="P1427" s="1721" t="inlineStr">
        <is>
          <t>Pendente</t>
        </is>
      </c>
    </row>
    <row r="1428" hidden="1" outlineLevel="2" ht="13.5" customHeight="1">
      <c r="A1428" s="2117" t="n">
        <v>0</v>
      </c>
      <c r="B1428" s="2117" t="n">
        <v>13</v>
      </c>
      <c r="C1428" s="2117" t="n">
        <v>1</v>
      </c>
      <c r="D1428" s="2118" t="n">
        <v>2</v>
      </c>
      <c r="E1428" s="2118" t="n">
        <v>0</v>
      </c>
      <c r="G1428" s="1797" t="n"/>
      <c r="H1428" s="1777" t="inlineStr">
        <is>
          <t>SUBETAPA</t>
        </is>
      </c>
      <c r="I1428" s="1742" t="inlineStr">
        <is>
          <t>13.001.002</t>
        </is>
      </c>
      <c r="J1428" s="1779" t="inlineStr">
        <is>
          <t>Impermeabilização de fundação e contenção</t>
        </is>
      </c>
      <c r="K1428" s="1780" t="n"/>
      <c r="L1428" s="1781" t="n"/>
      <c r="M1428" s="1781" t="n"/>
      <c r="N1428" s="1746" t="n">
        <v>20378.466</v>
      </c>
      <c r="O1428" s="1782" t="n"/>
      <c r="P1428" s="1720" t="n"/>
    </row>
    <row r="1429" hidden="1" outlineLevel="3" ht="13.5" customHeight="1">
      <c r="A1429" s="2117" t="n">
        <v>0</v>
      </c>
      <c r="B1429" s="2117" t="n">
        <v>13</v>
      </c>
      <c r="C1429" s="2117" t="n">
        <v>1</v>
      </c>
      <c r="D1429" s="2118" t="n">
        <v>2</v>
      </c>
      <c r="E1429" s="2118" t="n">
        <v>1</v>
      </c>
      <c r="G1429" s="1798" t="inlineStr">
        <is>
          <t>IMPERMEABILIZAÇÃO</t>
        </is>
      </c>
      <c r="H1429" s="1783" t="inlineStr">
        <is>
          <t>SERVIÇO</t>
        </is>
      </c>
      <c r="I1429" s="1750" t="inlineStr">
        <is>
          <t>13.001.002.001</t>
        </is>
      </c>
      <c r="J1429" s="1785" t="inlineStr">
        <is>
          <t>Impermeabilização de Baldrames com Tinta Asfáltica (Neutrol)</t>
        </is>
      </c>
      <c r="K1429" s="1786" t="inlineStr">
        <is>
          <t>m2</t>
        </is>
      </c>
      <c r="L1429" s="1787" t="n">
        <v>698.8499999999999</v>
      </c>
      <c r="M1429" s="1787" t="n">
        <v>29.16</v>
      </c>
      <c r="N1429" s="1754" t="n">
        <v>20378.466</v>
      </c>
      <c r="O1429" s="1788" t="n"/>
      <c r="P1429" s="1721" t="inlineStr">
        <is>
          <t>Pendente</t>
        </is>
      </c>
    </row>
    <row r="1430" hidden="1" outlineLevel="2" ht="13.5" customHeight="1">
      <c r="A1430" s="2117" t="n">
        <v>0</v>
      </c>
      <c r="B1430" s="2117" t="n">
        <v>13</v>
      </c>
      <c r="C1430" s="2117" t="n">
        <v>1</v>
      </c>
      <c r="D1430" s="2118" t="n">
        <v>3</v>
      </c>
      <c r="E1430" s="2118" t="n">
        <v>0</v>
      </c>
      <c r="G1430" s="1797" t="n"/>
      <c r="H1430" s="1777" t="inlineStr">
        <is>
          <t>SUBETAPA</t>
        </is>
      </c>
      <c r="I1430" s="1742" t="inlineStr">
        <is>
          <t>13.001.003</t>
        </is>
      </c>
      <c r="J1430" s="1779" t="inlineStr">
        <is>
          <t>Impermeabilização de banheiro, cozinha, área de serviço, área técnica, área comum, fosso do elevador e sacada</t>
        </is>
      </c>
      <c r="K1430" s="1780" t="n"/>
      <c r="L1430" s="1781" t="n"/>
      <c r="M1430" s="1781" t="n"/>
      <c r="N1430" s="1746" t="n">
        <v>6753.191274</v>
      </c>
      <c r="O1430" s="1782" t="n"/>
      <c r="P1430" s="1720" t="n"/>
    </row>
    <row r="1431" hidden="1" outlineLevel="3" ht="13.5" customHeight="1">
      <c r="A1431" s="2117" t="n">
        <v>0</v>
      </c>
      <c r="B1431" s="2117" t="n">
        <v>13</v>
      </c>
      <c r="C1431" s="2117" t="n">
        <v>1</v>
      </c>
      <c r="D1431" s="2118" t="n">
        <v>3</v>
      </c>
      <c r="E1431" s="2118" t="n">
        <v>1</v>
      </c>
      <c r="G1431" s="1798" t="inlineStr">
        <is>
          <t>IMPERMEABILIZAÇÃO</t>
        </is>
      </c>
      <c r="H1431" s="1783" t="inlineStr">
        <is>
          <t>SERVIÇO</t>
        </is>
      </c>
      <c r="I1431" s="1750" t="inlineStr">
        <is>
          <t>13.001.003.001</t>
        </is>
      </c>
      <c r="J1431" s="1785" t="inlineStr">
        <is>
          <t>Sistema 2.1.4:Argamassa polimérica para impermeabilização | Argamassa impermeabilizante bicomponente à base de aditivos minerais e polímeros (4,0 kg/m²) + Tela de poliéster nos pontos críticos</t>
        </is>
      </c>
      <c r="K1431" s="1786" t="inlineStr">
        <is>
          <t>m2</t>
        </is>
      </c>
      <c r="L1431" s="1787" t="n">
        <v>97.67</v>
      </c>
      <c r="M1431" s="1787" t="n">
        <v>46.2118</v>
      </c>
      <c r="N1431" s="1754" t="n">
        <v>4513.506506</v>
      </c>
      <c r="O1431" s="1788" t="inlineStr">
        <is>
          <t>Elevador + casa de bombas</t>
        </is>
      </c>
      <c r="P1431" s="1721" t="inlineStr">
        <is>
          <t>Pendente</t>
        </is>
      </c>
    </row>
    <row r="1432" hidden="1" outlineLevel="3" ht="13.5" customHeight="1">
      <c r="A1432" s="2117" t="n">
        <v>0</v>
      </c>
      <c r="B1432" s="2117" t="n">
        <v>13</v>
      </c>
      <c r="C1432" s="2117" t="n">
        <v>1</v>
      </c>
      <c r="D1432" s="2118" t="n">
        <v>3</v>
      </c>
      <c r="E1432" s="2118" t="n">
        <v>2</v>
      </c>
      <c r="G1432" s="1798" t="inlineStr">
        <is>
          <t>IMPERMEABILIZAÇÃO</t>
        </is>
      </c>
      <c r="H1432" s="1783" t="inlineStr">
        <is>
          <t>SERVIÇO</t>
        </is>
      </c>
      <c r="I1432" s="1750" t="inlineStr">
        <is>
          <t>13.001.003.002</t>
        </is>
      </c>
      <c r="J1432" s="1785" t="inlineStr">
        <is>
          <t>Sistema 2.5.3: Membrana de polímero acrílico com cimento e fibras sintéticas | Revestimento bicomponente à base de polímeros acrílicos com adição de cimento e fibras sintéticas (3,0 kg/m²) + Tela de poliéster nos pontos críticos</t>
        </is>
      </c>
      <c r="K1432" s="1786" t="inlineStr">
        <is>
          <t>m2</t>
        </is>
      </c>
      <c r="L1432" s="1787" t="n">
        <v>65.75999999999999</v>
      </c>
      <c r="M1432" s="1787" t="n">
        <v>34.05846666666666</v>
      </c>
      <c r="N1432" s="1754" t="n">
        <v>2239.684768</v>
      </c>
      <c r="O1432" s="1788" t="inlineStr">
        <is>
          <t>Banheiro + área de serviço + casa de máquinas</t>
        </is>
      </c>
      <c r="P1432" s="1721" t="inlineStr">
        <is>
          <t>Pendente</t>
        </is>
      </c>
    </row>
    <row r="1433" hidden="1" outlineLevel="2" ht="13.5" customHeight="1">
      <c r="A1433" s="2117" t="n">
        <v>0</v>
      </c>
      <c r="B1433" s="2117" t="n">
        <v>13</v>
      </c>
      <c r="C1433" s="2117" t="n">
        <v>1</v>
      </c>
      <c r="D1433" s="2118" t="n">
        <v>4</v>
      </c>
      <c r="E1433" s="2118" t="n">
        <v>0</v>
      </c>
      <c r="G1433" s="1797" t="n"/>
      <c r="H1433" s="1777" t="inlineStr">
        <is>
          <t>SUBETAPA</t>
        </is>
      </c>
      <c r="I1433" s="1742" t="inlineStr">
        <is>
          <t>13.001.004</t>
        </is>
      </c>
      <c r="J1433" s="1779" t="inlineStr">
        <is>
          <t>Impermeabilização de esquadrias</t>
        </is>
      </c>
      <c r="K1433" s="1780" t="n"/>
      <c r="L1433" s="1781" t="n"/>
      <c r="M1433" s="1781" t="n"/>
      <c r="N1433" s="1746" t="n">
        <v>19.413326</v>
      </c>
      <c r="O1433" s="1782" t="n"/>
      <c r="P1433" s="1720" t="n"/>
    </row>
    <row r="1434" hidden="1" outlineLevel="3" ht="13.5" customHeight="1">
      <c r="A1434" s="2117" t="n">
        <v>0</v>
      </c>
      <c r="B1434" s="2117" t="n">
        <v>13</v>
      </c>
      <c r="C1434" s="2117" t="n">
        <v>1</v>
      </c>
      <c r="D1434" s="2118" t="n">
        <v>4</v>
      </c>
      <c r="E1434" s="2118" t="n">
        <v>1</v>
      </c>
      <c r="G1434" s="1798" t="inlineStr">
        <is>
          <t>IMPERMEABILIZAÇÃO</t>
        </is>
      </c>
      <c r="H1434" s="1783" t="inlineStr">
        <is>
          <t>SERVIÇO</t>
        </is>
      </c>
      <c r="I1434" s="1750" t="inlineStr">
        <is>
          <t>13.001.004.001</t>
        </is>
      </c>
      <c r="J1434" s="1785" t="inlineStr">
        <is>
          <t>Sistema 2.5.3: Membrana de polímero acrílico com cimento e fibras sintéticas | Revestimento bicomponente à base de polímeros acrílicos com adição de cimento e fibras sintéticas (3,0 kg/m²) + Tela de poliéster nos pontos críticos</t>
        </is>
      </c>
      <c r="K1434" s="1786" t="inlineStr">
        <is>
          <t>m2</t>
        </is>
      </c>
      <c r="L1434" s="1787" t="n">
        <v>0.57</v>
      </c>
      <c r="M1434" s="1787" t="n">
        <v>34.05846666666666</v>
      </c>
      <c r="N1434" s="1754" t="n">
        <v>19.413326</v>
      </c>
      <c r="O1434" s="1788" t="n"/>
      <c r="P1434" s="1721" t="inlineStr">
        <is>
          <t>Pendente</t>
        </is>
      </c>
    </row>
    <row r="1435" hidden="1" outlineLevel="2" ht="13.5" customHeight="1">
      <c r="A1435" s="2117" t="n">
        <v>0</v>
      </c>
      <c r="B1435" s="2117" t="n">
        <v>13</v>
      </c>
      <c r="C1435" s="2117" t="n">
        <v>1</v>
      </c>
      <c r="D1435" s="2118" t="n">
        <v>5</v>
      </c>
      <c r="E1435" s="2118" t="n">
        <v>0</v>
      </c>
      <c r="G1435" s="1797" t="n"/>
      <c r="H1435" s="1777" t="inlineStr">
        <is>
          <t>SUBETAPA</t>
        </is>
      </c>
      <c r="I1435" s="1742" t="inlineStr">
        <is>
          <t>13.001.005</t>
        </is>
      </c>
      <c r="J1435" s="1779" t="inlineStr">
        <is>
          <t>Impermeabilização de ralos</t>
        </is>
      </c>
      <c r="K1435" s="1780" t="n"/>
      <c r="L1435" s="1781" t="n"/>
      <c r="M1435" s="1781" t="n"/>
      <c r="N1435" s="1746" t="n">
        <v>70.08011999999999</v>
      </c>
      <c r="O1435" s="1782" t="n"/>
      <c r="P1435" s="1720" t="n"/>
    </row>
    <row r="1436" hidden="1" outlineLevel="3" ht="13.5" customHeight="1">
      <c r="A1436" s="2117" t="n">
        <v>0</v>
      </c>
      <c r="B1436" s="2117" t="n">
        <v>13</v>
      </c>
      <c r="C1436" s="2117" t="n">
        <v>1</v>
      </c>
      <c r="D1436" s="2118" t="n">
        <v>5</v>
      </c>
      <c r="E1436" s="2118" t="n">
        <v>1</v>
      </c>
      <c r="G1436" s="1798" t="inlineStr">
        <is>
          <t>IMPERMEABILIZAÇÃO</t>
        </is>
      </c>
      <c r="H1436" s="1783" t="inlineStr">
        <is>
          <t>SERVIÇO</t>
        </is>
      </c>
      <c r="I1436" s="1750" t="inlineStr">
        <is>
          <t>13.001.005.001</t>
        </is>
      </c>
      <c r="J1436" s="1785" t="inlineStr">
        <is>
          <t>Tratamento De Ralo Ou Ponto Emergente Com Argamassa Polimérica Reforçado Com Tela De Poliéster</t>
        </is>
      </c>
      <c r="K1436" s="1786" t="inlineStr">
        <is>
          <t>un</t>
        </is>
      </c>
      <c r="L1436" s="1787" t="n">
        <v>8</v>
      </c>
      <c r="M1436" s="1787" t="n">
        <v>8.760015000000001</v>
      </c>
      <c r="N1436" s="1754" t="n">
        <v>70.08011999999999</v>
      </c>
      <c r="O1436" s="1788" t="inlineStr">
        <is>
          <t>2 por banheiro + 1 por lavabo + 2 por área de serviço + 1 por área técnica + 1 por cozinha + 1 por sacada + 1 por torneira de jardin</t>
        </is>
      </c>
      <c r="P1436" s="1721" t="inlineStr">
        <is>
          <t>Pendente</t>
        </is>
      </c>
    </row>
    <row r="1437" hidden="1" outlineLevel="2" ht="13.5" customHeight="1">
      <c r="A1437" s="2117" t="n">
        <v>0</v>
      </c>
      <c r="B1437" s="2117" t="n">
        <v>13</v>
      </c>
      <c r="C1437" s="2117" t="n">
        <v>1</v>
      </c>
      <c r="D1437" s="2118" t="n">
        <v>6</v>
      </c>
      <c r="E1437" s="2118" t="n">
        <v>0</v>
      </c>
      <c r="G1437" s="1797" t="n"/>
      <c r="H1437" s="1777" t="inlineStr">
        <is>
          <t>SUBETAPA</t>
        </is>
      </c>
      <c r="I1437" s="1742" t="inlineStr">
        <is>
          <t>13.001.006</t>
        </is>
      </c>
      <c r="J1437" s="1779" t="inlineStr">
        <is>
          <t>Impermeabilização de Floreiras</t>
        </is>
      </c>
      <c r="K1437" s="1780" t="n"/>
      <c r="L1437" s="1781" t="n"/>
      <c r="M1437" s="1781" t="n"/>
      <c r="N1437" s="1746" t="n">
        <v>6660.19518</v>
      </c>
      <c r="O1437" s="1782" t="n"/>
      <c r="P1437" s="1720" t="n"/>
    </row>
    <row r="1438" hidden="1" outlineLevel="3" ht="13.5" customHeight="1">
      <c r="A1438" s="2117" t="n">
        <v>0</v>
      </c>
      <c r="B1438" s="2117" t="n">
        <v>13</v>
      </c>
      <c r="C1438" s="2117" t="n">
        <v>1</v>
      </c>
      <c r="D1438" s="2118" t="n">
        <v>6</v>
      </c>
      <c r="E1438" s="2118" t="n">
        <v>1</v>
      </c>
      <c r="G1438" s="1798" t="inlineStr">
        <is>
          <t>IMPERMEABILIZAÇÃO</t>
        </is>
      </c>
      <c r="H1438" s="1783" t="inlineStr">
        <is>
          <t>SERVIÇO</t>
        </is>
      </c>
      <c r="I1438" s="1750" t="inlineStr">
        <is>
          <t>13.001.006.001</t>
        </is>
      </c>
      <c r="J1438" s="1785" t="inlineStr">
        <is>
          <t>Sistema 4.5.3:Primer asfáltico à base d'água (0,4 L/m²) + Asfalto oxidado modificado (2,5 kg/m²) + Manta asfáltica AA 4mm Tipo III Classe B + Banho de asfalto oxidado modificado (2,5 kg/m²) + Emulsão asfáltica antiraiz sobre a proteção mecânica (0,8 L/m²)</t>
        </is>
      </c>
      <c r="K1438" s="1786" t="inlineStr">
        <is>
          <t>m2</t>
        </is>
      </c>
      <c r="L1438" s="1787" t="n">
        <v>36.76</v>
      </c>
      <c r="M1438" s="1787" t="n">
        <v>181.1805</v>
      </c>
      <c r="N1438" s="1754" t="n">
        <v>6660.19518</v>
      </c>
      <c r="O1438" s="1788" t="inlineStr">
        <is>
          <t>Floreiras</t>
        </is>
      </c>
      <c r="P1438" s="1721" t="inlineStr">
        <is>
          <t>Pendente</t>
        </is>
      </c>
    </row>
    <row r="1439" hidden="1" outlineLevel="2" ht="13.5" customHeight="1">
      <c r="A1439" s="2117" t="n">
        <v>0</v>
      </c>
      <c r="B1439" s="2117" t="n">
        <v>13</v>
      </c>
      <c r="C1439" s="2117" t="n">
        <v>1</v>
      </c>
      <c r="D1439" s="2118" t="n">
        <v>7</v>
      </c>
      <c r="E1439" s="2118" t="n">
        <v>0</v>
      </c>
      <c r="G1439" s="1797" t="n"/>
      <c r="H1439" s="1777" t="inlineStr">
        <is>
          <t>SUBETAPA</t>
        </is>
      </c>
      <c r="I1439" s="1742" t="inlineStr">
        <is>
          <t>13.001.007</t>
        </is>
      </c>
      <c r="J1439" s="1779" t="inlineStr">
        <is>
          <t>Mão de Obra</t>
        </is>
      </c>
      <c r="K1439" s="1780" t="n"/>
      <c r="L1439" s="1781" t="n"/>
      <c r="M1439" s="1781" t="n"/>
      <c r="N1439" s="1746" t="n">
        <v>31766.36</v>
      </c>
      <c r="O1439" s="1782" t="n"/>
      <c r="P1439" s="1720" t="n"/>
    </row>
    <row r="1440" hidden="1" outlineLevel="3" ht="13.5" customHeight="1">
      <c r="A1440" s="2117" t="n">
        <v>0</v>
      </c>
      <c r="B1440" s="2117" t="n">
        <v>13</v>
      </c>
      <c r="C1440" s="2117" t="n">
        <v>1</v>
      </c>
      <c r="D1440" s="2118" t="n">
        <v>7</v>
      </c>
      <c r="E1440" s="2118" t="n">
        <v>1</v>
      </c>
      <c r="G1440" s="1798" t="inlineStr">
        <is>
          <t>IMPERMEABILIZAÇÃO</t>
        </is>
      </c>
      <c r="H1440" s="1783" t="inlineStr">
        <is>
          <t>SERVIÇO</t>
        </is>
      </c>
      <c r="I1440" s="1750" t="inlineStr">
        <is>
          <t>13.001.007.001</t>
        </is>
      </c>
      <c r="J1440" s="1785" t="inlineStr">
        <is>
          <t xml:space="preserve">Mão de obra para regularização de superfície </t>
        </is>
      </c>
      <c r="K1440" s="1786" t="inlineStr">
        <is>
          <t>m2</t>
        </is>
      </c>
      <c r="L1440" s="1787" t="n">
        <v>242.58</v>
      </c>
      <c r="M1440" s="1787" t="n">
        <v>20</v>
      </c>
      <c r="N1440" s="1754" t="n">
        <v>4851.6</v>
      </c>
      <c r="O1440" s="1788" t="n"/>
      <c r="P1440" s="1721" t="inlineStr">
        <is>
          <t>Pendente</t>
        </is>
      </c>
    </row>
    <row r="1441" hidden="1" outlineLevel="3" ht="13.5" customHeight="1">
      <c r="A1441" s="2117" t="n">
        <v>0</v>
      </c>
      <c r="B1441" s="2117" t="n">
        <v>13</v>
      </c>
      <c r="C1441" s="2117" t="n">
        <v>1</v>
      </c>
      <c r="D1441" s="2118" t="n">
        <v>7</v>
      </c>
      <c r="E1441" s="2118" t="n">
        <v>2</v>
      </c>
      <c r="G1441" s="1798" t="inlineStr">
        <is>
          <t>IMPERMEABILIZAÇÃO</t>
        </is>
      </c>
      <c r="H1441" s="1783" t="inlineStr">
        <is>
          <t>SERVIÇO</t>
        </is>
      </c>
      <c r="I1441" s="1750" t="inlineStr">
        <is>
          <t>13.001.007.002</t>
        </is>
      </c>
      <c r="J1441" s="1785" t="inlineStr">
        <is>
          <t>Mão de obra para proteção mecânica</t>
        </is>
      </c>
      <c r="K1441" s="1786" t="inlineStr">
        <is>
          <t>m2</t>
        </is>
      </c>
      <c r="L1441" s="1787" t="n">
        <v>6.86</v>
      </c>
      <c r="M1441" s="1787" t="n">
        <v>35</v>
      </c>
      <c r="N1441" s="1754" t="n">
        <v>240.1</v>
      </c>
      <c r="O1441" s="1788" t="n"/>
      <c r="P1441" s="1721" t="inlineStr">
        <is>
          <t>Pendente</t>
        </is>
      </c>
    </row>
    <row r="1442" hidden="1" outlineLevel="3" ht="13.5" customHeight="1">
      <c r="A1442" s="2117" t="n">
        <v>0</v>
      </c>
      <c r="B1442" s="2117" t="n">
        <v>13</v>
      </c>
      <c r="C1442" s="2117" t="n">
        <v>1</v>
      </c>
      <c r="D1442" s="2118" t="n">
        <v>7</v>
      </c>
      <c r="E1442" s="2118" t="n">
        <v>3</v>
      </c>
      <c r="G1442" s="1798" t="inlineStr">
        <is>
          <t>IMPERMEABILIZAÇÃO</t>
        </is>
      </c>
      <c r="H1442" s="1783" t="inlineStr">
        <is>
          <t>SERVIÇO</t>
        </is>
      </c>
      <c r="I1442" s="1750" t="inlineStr">
        <is>
          <t>13.001.007.003</t>
        </is>
      </c>
      <c r="J1442" s="1785" t="inlineStr">
        <is>
          <t>Mão de obra impermeabilização com emulsão Asfaltica</t>
        </is>
      </c>
      <c r="K1442" s="1786" t="inlineStr">
        <is>
          <t>m2</t>
        </is>
      </c>
      <c r="L1442" s="1787" t="n">
        <v>698.8499999999999</v>
      </c>
      <c r="M1442" s="1787" t="n">
        <v>28</v>
      </c>
      <c r="N1442" s="1754" t="n">
        <v>19567.8</v>
      </c>
      <c r="O1442" s="1788" t="n"/>
      <c r="P1442" s="1721" t="inlineStr">
        <is>
          <t>Pendente</t>
        </is>
      </c>
    </row>
    <row r="1443" hidden="1" outlineLevel="3" ht="13.5" customHeight="1">
      <c r="A1443" s="2117" t="n">
        <v>0</v>
      </c>
      <c r="B1443" s="2117" t="n">
        <v>13</v>
      </c>
      <c r="C1443" s="2117" t="n">
        <v>1</v>
      </c>
      <c r="D1443" s="2118" t="n">
        <v>7</v>
      </c>
      <c r="E1443" s="2118" t="n">
        <v>4</v>
      </c>
      <c r="G1443" s="1798" t="inlineStr">
        <is>
          <t>IMPERMEABILIZAÇÃO</t>
        </is>
      </c>
      <c r="H1443" s="1783" t="inlineStr">
        <is>
          <t>SERVIÇO</t>
        </is>
      </c>
      <c r="I1443" s="1750" t="inlineStr">
        <is>
          <t>13.001.007.004</t>
        </is>
      </c>
      <c r="J1443" s="1785" t="inlineStr">
        <is>
          <t>Mão de obra impermeabilização sistema 2.1.4</t>
        </is>
      </c>
      <c r="K1443" s="1786" t="inlineStr">
        <is>
          <t>m2</t>
        </is>
      </c>
      <c r="L1443" s="1787" t="n">
        <v>97.67</v>
      </c>
      <c r="M1443" s="1787" t="n">
        <v>30</v>
      </c>
      <c r="N1443" s="1754" t="n">
        <v>2930.1</v>
      </c>
      <c r="O1443" s="1788" t="n"/>
      <c r="P1443" s="1721" t="inlineStr">
        <is>
          <t>Pendente</t>
        </is>
      </c>
    </row>
    <row r="1444" hidden="1" outlineLevel="3" ht="13.5" customHeight="1">
      <c r="A1444" s="2117" t="n">
        <v>0</v>
      </c>
      <c r="B1444" s="2117" t="n">
        <v>13</v>
      </c>
      <c r="C1444" s="2117" t="n">
        <v>1</v>
      </c>
      <c r="D1444" s="2118" t="n">
        <v>7</v>
      </c>
      <c r="E1444" s="2118" t="n">
        <v>5</v>
      </c>
      <c r="G1444" s="1798" t="inlineStr">
        <is>
          <t>IMPERMEABILIZAÇÃO</t>
        </is>
      </c>
      <c r="H1444" s="1783" t="inlineStr">
        <is>
          <t>SERVIÇO</t>
        </is>
      </c>
      <c r="I1444" s="1750" t="inlineStr">
        <is>
          <t>13.001.007.005</t>
        </is>
      </c>
      <c r="J1444" s="1785" t="inlineStr">
        <is>
          <t>Mão de obra impermeabilização sistema 2.5.3</t>
        </is>
      </c>
      <c r="K1444" s="1786" t="inlineStr">
        <is>
          <t>m2</t>
        </is>
      </c>
      <c r="L1444" s="1787" t="n">
        <v>66.32999999999998</v>
      </c>
      <c r="M1444" s="1787" t="n">
        <v>32</v>
      </c>
      <c r="N1444" s="1754" t="n">
        <v>2122.56</v>
      </c>
      <c r="O1444" s="1788" t="inlineStr">
        <is>
          <t>Mão de obra aplicação (2 demãos + reforço pontos críticos)</t>
        </is>
      </c>
      <c r="P1444" s="1721" t="inlineStr">
        <is>
          <t>Pendente</t>
        </is>
      </c>
    </row>
    <row r="1445" hidden="1" outlineLevel="3" ht="13.5" customHeight="1">
      <c r="A1445" s="2117" t="n">
        <v>0</v>
      </c>
      <c r="B1445" s="2117" t="n">
        <v>13</v>
      </c>
      <c r="C1445" s="2117" t="n">
        <v>1</v>
      </c>
      <c r="D1445" s="2118" t="n">
        <v>7</v>
      </c>
      <c r="E1445" s="2118" t="n">
        <v>6</v>
      </c>
      <c r="G1445" s="1798" t="inlineStr">
        <is>
          <t>IMPERMEABILIZAÇÃO</t>
        </is>
      </c>
      <c r="H1445" s="1783" t="inlineStr">
        <is>
          <t>SERVIÇO</t>
        </is>
      </c>
      <c r="I1445" s="1750" t="inlineStr">
        <is>
          <t>13.001.007.006</t>
        </is>
      </c>
      <c r="J1445" s="1785" t="inlineStr">
        <is>
          <t>Mão de obra impermeabilização sistema 4.5.3</t>
        </is>
      </c>
      <c r="K1445" s="1786" t="inlineStr">
        <is>
          <t>m2</t>
        </is>
      </c>
      <c r="L1445" s="1787" t="n">
        <v>36.76</v>
      </c>
      <c r="M1445" s="1787" t="n">
        <v>45</v>
      </c>
      <c r="N1445" s="1754" t="n">
        <v>1654.2</v>
      </c>
      <c r="O1445" s="1788" t="inlineStr">
        <is>
          <t>Mão de obra maçarico + sobreposição</t>
        </is>
      </c>
      <c r="P1445" s="1721" t="inlineStr">
        <is>
          <t>Pendente</t>
        </is>
      </c>
    </row>
    <row r="1446" hidden="1" outlineLevel="3" ht="13.5" customHeight="1">
      <c r="A1446" s="2117" t="n">
        <v>0</v>
      </c>
      <c r="B1446" s="2117" t="n">
        <v>13</v>
      </c>
      <c r="C1446" s="2117" t="n">
        <v>1</v>
      </c>
      <c r="D1446" s="2118" t="n">
        <v>7</v>
      </c>
      <c r="E1446" s="2118" t="n">
        <v>7</v>
      </c>
      <c r="G1446" s="1798" t="inlineStr">
        <is>
          <t>IMPERMEABILIZAÇÃO</t>
        </is>
      </c>
      <c r="H1446" s="1783" t="inlineStr">
        <is>
          <t>SERVIÇO</t>
        </is>
      </c>
      <c r="I1446" s="1750" t="inlineStr">
        <is>
          <t>13.001.007.007</t>
        </is>
      </c>
      <c r="J1446" s="1751" t="inlineStr">
        <is>
          <t>Mão de obra tratamento de ralo com manta de poliéster</t>
        </is>
      </c>
      <c r="K1446" s="1786" t="inlineStr">
        <is>
          <t>un</t>
        </is>
      </c>
      <c r="L1446" s="1787" t="n">
        <v>8</v>
      </c>
      <c r="M1446" s="1787" t="n">
        <v>50</v>
      </c>
      <c r="N1446" s="1754" t="n">
        <v>400</v>
      </c>
      <c r="O1446" s="1788" t="n"/>
      <c r="P1446" s="1721" t="inlineStr">
        <is>
          <t>Pendente</t>
        </is>
      </c>
    </row>
    <row r="1447" hidden="1" outlineLevel="1" ht="13.5" customHeight="1">
      <c r="A1447" s="2117" t="n">
        <v>0</v>
      </c>
      <c r="B1447" s="2117" t="n">
        <v>13</v>
      </c>
      <c r="C1447" s="2117" t="n">
        <v>2</v>
      </c>
      <c r="D1447" s="2118" t="n">
        <v>0</v>
      </c>
      <c r="E1447" s="2118" t="n">
        <v>7</v>
      </c>
      <c r="G1447" s="1796" t="n"/>
      <c r="H1447" s="1771" t="inlineStr">
        <is>
          <t>ETAPA</t>
        </is>
      </c>
      <c r="I1447" s="1735" t="inlineStr">
        <is>
          <t>13.002</t>
        </is>
      </c>
      <c r="J1447" s="1773" t="inlineStr">
        <is>
          <t>IMPERMEABILIZAÇÃO E TRATAMENTOS - Mezanino G1</t>
        </is>
      </c>
      <c r="K1447" s="1774" t="n"/>
      <c r="L1447" s="1775" t="n"/>
      <c r="M1447" s="1775" t="n"/>
      <c r="N1447" s="1739" t="n">
        <v>840.608524666667</v>
      </c>
      <c r="O1447" s="1776" t="n">
        <v>0.0501865723125689</v>
      </c>
      <c r="P1447" s="1719" t="n"/>
    </row>
    <row r="1448" hidden="1" outlineLevel="2" ht="13.5" customHeight="1">
      <c r="A1448" s="2117" t="n">
        <v>0</v>
      </c>
      <c r="B1448" s="2117" t="n">
        <v>13</v>
      </c>
      <c r="C1448" s="2117" t="n">
        <v>2</v>
      </c>
      <c r="D1448" s="2118" t="n">
        <v>1</v>
      </c>
      <c r="E1448" s="2118" t="n">
        <v>0</v>
      </c>
      <c r="G1448" s="1797" t="n"/>
      <c r="H1448" s="1777" t="inlineStr">
        <is>
          <t>SUBETAPA</t>
        </is>
      </c>
      <c r="I1448" s="1742" t="inlineStr">
        <is>
          <t>13.002.001</t>
        </is>
      </c>
      <c r="J1448" s="1779" t="inlineStr">
        <is>
          <t>Impermeabilização de esquadrias</t>
        </is>
      </c>
      <c r="K1448" s="1780" t="n"/>
      <c r="L1448" s="1781" t="n"/>
      <c r="M1448" s="1781" t="n"/>
      <c r="N1448" s="1746" t="n">
        <v>424.368494666667</v>
      </c>
      <c r="O1448" s="1782" t="n"/>
      <c r="P1448" s="1720" t="n"/>
    </row>
    <row r="1449" hidden="1" outlineLevel="3" ht="13.5" customHeight="1">
      <c r="A1449" s="2117" t="n">
        <v>0</v>
      </c>
      <c r="B1449" s="2117" t="n">
        <v>13</v>
      </c>
      <c r="C1449" s="2117" t="n">
        <v>2</v>
      </c>
      <c r="D1449" s="2118" t="n">
        <v>1</v>
      </c>
      <c r="E1449" s="2118" t="n">
        <v>1</v>
      </c>
      <c r="G1449" s="1798" t="inlineStr">
        <is>
          <t>IMPERMEABILIZAÇÃO</t>
        </is>
      </c>
      <c r="H1449" s="1783" t="inlineStr">
        <is>
          <t>SERVIÇO</t>
        </is>
      </c>
      <c r="I1449" s="1750" t="inlineStr">
        <is>
          <t>13.002.001.001</t>
        </is>
      </c>
      <c r="J1449" s="1785" t="inlineStr">
        <is>
          <t>Sistema 2.5.3: Membrana de polímero acrílico com cimento e fibras sintéticas | Revestimento bicomponente à base de polímeros acrílicos com adição de cimento e fibras sintéticas (3,0 kg/m²) + Tela de poliéster nos pontos críticos</t>
        </is>
      </c>
      <c r="K1449" s="1786" t="inlineStr">
        <is>
          <t>m2</t>
        </is>
      </c>
      <c r="L1449" s="1787" t="n">
        <v>12.46</v>
      </c>
      <c r="M1449" s="1787" t="n">
        <v>34.05846666666666</v>
      </c>
      <c r="N1449" s="1754" t="n">
        <v>424.368494666667</v>
      </c>
      <c r="O1449" s="1788" t="n"/>
      <c r="P1449" s="1721" t="inlineStr">
        <is>
          <t>Pendente</t>
        </is>
      </c>
    </row>
    <row r="1450" hidden="1" outlineLevel="2" ht="13.5" customHeight="1">
      <c r="A1450" s="2117" t="n">
        <v>0</v>
      </c>
      <c r="B1450" s="2117" t="n">
        <v>13</v>
      </c>
      <c r="C1450" s="2117" t="n">
        <v>2</v>
      </c>
      <c r="D1450" s="2118" t="n">
        <v>2</v>
      </c>
      <c r="E1450" s="2118" t="n">
        <v>0</v>
      </c>
      <c r="G1450" s="1797" t="n"/>
      <c r="H1450" s="1777" t="inlineStr">
        <is>
          <t>SUBETAPA</t>
        </is>
      </c>
      <c r="I1450" s="1742" t="inlineStr">
        <is>
          <t>13.002.002</t>
        </is>
      </c>
      <c r="J1450" s="1779" t="inlineStr">
        <is>
          <t>Impermeabilização de ralos</t>
        </is>
      </c>
      <c r="K1450" s="1780" t="n"/>
      <c r="L1450" s="1781" t="n"/>
      <c r="M1450" s="1781" t="n"/>
      <c r="N1450" s="1746" t="n">
        <v>17.52003</v>
      </c>
      <c r="O1450" s="1782" t="n"/>
      <c r="P1450" s="1720" t="n"/>
    </row>
    <row r="1451" hidden="1" outlineLevel="3" ht="13.5" customHeight="1">
      <c r="A1451" s="2117" t="n">
        <v>0</v>
      </c>
      <c r="B1451" s="2117" t="n">
        <v>13</v>
      </c>
      <c r="C1451" s="2117" t="n">
        <v>2</v>
      </c>
      <c r="D1451" s="2118" t="n">
        <v>2</v>
      </c>
      <c r="E1451" s="2118" t="n">
        <v>1</v>
      </c>
      <c r="G1451" s="1798" t="inlineStr">
        <is>
          <t>IMPERMEABILIZAÇÃO</t>
        </is>
      </c>
      <c r="H1451" s="1783" t="inlineStr">
        <is>
          <t>SERVIÇO</t>
        </is>
      </c>
      <c r="I1451" s="1750" t="inlineStr">
        <is>
          <t>13.002.002.001</t>
        </is>
      </c>
      <c r="J1451" s="1785" t="inlineStr">
        <is>
          <t>Tratamento De Ralo Ou Ponto Emergente Com Argamassa Polimérica Reforçado Com Tela De Poliéster</t>
        </is>
      </c>
      <c r="K1451" s="1786" t="inlineStr">
        <is>
          <t>un</t>
        </is>
      </c>
      <c r="L1451" s="1787" t="n">
        <v>2</v>
      </c>
      <c r="M1451" s="1787" t="n">
        <v>8.760015000000001</v>
      </c>
      <c r="N1451" s="1754" t="n">
        <v>17.52003</v>
      </c>
      <c r="O1451" s="1788" t="inlineStr">
        <is>
          <t>2 por banheiro + 1 por lavabo + 2 por área de serviço + 1 por área técnica + 1 por cozinha + 1 por sacada + 1 por torneira de jardin</t>
        </is>
      </c>
      <c r="P1451" s="1721" t="inlineStr">
        <is>
          <t>Pendente</t>
        </is>
      </c>
    </row>
    <row r="1452" hidden="1" outlineLevel="2" ht="13.5" customHeight="1">
      <c r="A1452" s="2117" t="n">
        <v>0</v>
      </c>
      <c r="B1452" s="2117" t="n">
        <v>13</v>
      </c>
      <c r="C1452" s="2117" t="n">
        <v>2</v>
      </c>
      <c r="D1452" s="2118" t="n">
        <v>3</v>
      </c>
      <c r="E1452" s="2118" t="n">
        <v>0</v>
      </c>
      <c r="G1452" s="1797" t="n"/>
      <c r="H1452" s="1777" t="inlineStr">
        <is>
          <t>SUBETAPA</t>
        </is>
      </c>
      <c r="I1452" s="1742" t="inlineStr">
        <is>
          <t>13.002.003</t>
        </is>
      </c>
      <c r="J1452" s="1779" t="inlineStr">
        <is>
          <t>Mão de Obra</t>
        </is>
      </c>
      <c r="K1452" s="1780" t="n"/>
      <c r="L1452" s="1781" t="n"/>
      <c r="M1452" s="1781" t="n"/>
      <c r="N1452" s="1746" t="n">
        <v>398.72</v>
      </c>
      <c r="O1452" s="1782" t="n"/>
      <c r="P1452" s="1720" t="n"/>
    </row>
    <row r="1453" hidden="1" outlineLevel="3" ht="13.5" customHeight="1">
      <c r="A1453" s="2117" t="n">
        <v>0</v>
      </c>
      <c r="B1453" s="2117" t="n">
        <v>13</v>
      </c>
      <c r="C1453" s="2117" t="n">
        <v>2</v>
      </c>
      <c r="D1453" s="2118" t="n">
        <v>3</v>
      </c>
      <c r="E1453" s="2118" t="n">
        <v>1</v>
      </c>
      <c r="G1453" s="1798" t="inlineStr">
        <is>
          <t>IMPERMEABILIZAÇÃO</t>
        </is>
      </c>
      <c r="H1453" s="1783" t="inlineStr">
        <is>
          <t>SERVIÇO</t>
        </is>
      </c>
      <c r="I1453" s="1750" t="inlineStr">
        <is>
          <t>13.002.003.001</t>
        </is>
      </c>
      <c r="J1453" s="1785" t="inlineStr">
        <is>
          <t>Mão de obra impermeabilização sistema 2.5.3</t>
        </is>
      </c>
      <c r="K1453" s="1786" t="inlineStr">
        <is>
          <t>m2</t>
        </is>
      </c>
      <c r="L1453" s="1787" t="n">
        <v>12.46</v>
      </c>
      <c r="M1453" s="1787" t="n">
        <v>32</v>
      </c>
      <c r="N1453" s="1754" t="n">
        <v>398.72</v>
      </c>
      <c r="O1453" s="1788" t="n"/>
      <c r="P1453" s="1721" t="inlineStr">
        <is>
          <t>Pendente</t>
        </is>
      </c>
    </row>
    <row r="1454" hidden="1" outlineLevel="1" ht="13.5" customHeight="1">
      <c r="A1454" s="2117" t="n">
        <v>0</v>
      </c>
      <c r="B1454" s="2117" t="n">
        <v>13</v>
      </c>
      <c r="C1454" s="2117" t="n">
        <v>3</v>
      </c>
      <c r="D1454" s="2118" t="n">
        <v>0</v>
      </c>
      <c r="E1454" s="2118" t="n">
        <v>1</v>
      </c>
      <c r="G1454" s="1796" t="n"/>
      <c r="H1454" s="1771" t="inlineStr">
        <is>
          <t>ETAPA</t>
        </is>
      </c>
      <c r="I1454" s="1735" t="inlineStr">
        <is>
          <t>13.003</t>
        </is>
      </c>
      <c r="J1454" s="1773" t="inlineStr">
        <is>
          <t>IMPERMEABILIZAÇÃO E TRATAMENTOS - G2</t>
        </is>
      </c>
      <c r="K1454" s="1774" t="n"/>
      <c r="L1454" s="1775" t="n"/>
      <c r="M1454" s="1775" t="n"/>
      <c r="N1454" s="1739" t="n">
        <v>2061.36898866667</v>
      </c>
      <c r="O1454" s="1776" t="n">
        <v>0.123069229941048</v>
      </c>
      <c r="P1454" s="1719" t="n"/>
    </row>
    <row r="1455" hidden="1" outlineLevel="2" ht="13.5" customHeight="1">
      <c r="A1455" s="2117" t="n">
        <v>0</v>
      </c>
      <c r="B1455" s="2117" t="n">
        <v>13</v>
      </c>
      <c r="C1455" s="2117" t="n">
        <v>3</v>
      </c>
      <c r="D1455" s="2118" t="n">
        <v>1</v>
      </c>
      <c r="E1455" s="2118" t="n">
        <v>0</v>
      </c>
      <c r="G1455" s="1797" t="n"/>
      <c r="H1455" s="1777" t="inlineStr">
        <is>
          <t>SUBETAPA</t>
        </is>
      </c>
      <c r="I1455" s="1742" t="inlineStr">
        <is>
          <t>13.003.001</t>
        </is>
      </c>
      <c r="J1455" s="1779" t="inlineStr">
        <is>
          <t>Impermeabilização de esquadrias</t>
        </is>
      </c>
      <c r="K1455" s="1780" t="n"/>
      <c r="L1455" s="1781" t="n"/>
      <c r="M1455" s="1781" t="n"/>
      <c r="N1455" s="1746" t="n">
        <v>1053.76895866667</v>
      </c>
      <c r="O1455" s="1782" t="n"/>
      <c r="P1455" s="1720" t="n"/>
    </row>
    <row r="1456" hidden="1" outlineLevel="3" ht="13.5" customHeight="1">
      <c r="A1456" s="2117" t="n">
        <v>0</v>
      </c>
      <c r="B1456" s="2117" t="n">
        <v>13</v>
      </c>
      <c r="C1456" s="2117" t="n">
        <v>3</v>
      </c>
      <c r="D1456" s="2118" t="n">
        <v>1</v>
      </c>
      <c r="E1456" s="2118" t="n">
        <v>1</v>
      </c>
      <c r="G1456" s="1798" t="inlineStr">
        <is>
          <t>IMPERMEABILIZAÇÃO</t>
        </is>
      </c>
      <c r="H1456" s="1783" t="inlineStr">
        <is>
          <t>SERVIÇO</t>
        </is>
      </c>
      <c r="I1456" s="1750" t="inlineStr">
        <is>
          <t>13.003.001.001</t>
        </is>
      </c>
      <c r="J1456" s="1785" t="inlineStr">
        <is>
          <t>Sistema 2.5.3: Membrana de polímero acrílico com cimento e fibras sintéticas | Revestimento bicomponente à base de polímeros acrílicos com adição de cimento e fibras sintéticas (3,0 kg/m²) + Tela de poliéster nos pontos críticos</t>
        </is>
      </c>
      <c r="K1456" s="1786" t="inlineStr">
        <is>
          <t>m2</t>
        </is>
      </c>
      <c r="L1456" s="1787" t="n">
        <v>30.94</v>
      </c>
      <c r="M1456" s="1787" t="n">
        <v>34.05846666666666</v>
      </c>
      <c r="N1456" s="1754" t="n">
        <v>1053.76895866667</v>
      </c>
      <c r="O1456" s="1788" t="n"/>
      <c r="P1456" s="1721" t="inlineStr">
        <is>
          <t>Pendente</t>
        </is>
      </c>
    </row>
    <row r="1457" hidden="1" outlineLevel="2" ht="13.5" customHeight="1">
      <c r="A1457" s="2117" t="n">
        <v>0</v>
      </c>
      <c r="B1457" s="2117" t="n">
        <v>13</v>
      </c>
      <c r="C1457" s="2117" t="n">
        <v>3</v>
      </c>
      <c r="D1457" s="2118" t="n">
        <v>2</v>
      </c>
      <c r="E1457" s="2118" t="n">
        <v>0</v>
      </c>
      <c r="G1457" s="1797" t="n"/>
      <c r="H1457" s="1777" t="inlineStr">
        <is>
          <t>SUBETAPA</t>
        </is>
      </c>
      <c r="I1457" s="1742" t="inlineStr">
        <is>
          <t>13.003.002</t>
        </is>
      </c>
      <c r="J1457" s="1779" t="inlineStr">
        <is>
          <t>Impermeabilização de ralos</t>
        </is>
      </c>
      <c r="K1457" s="1780" t="n"/>
      <c r="L1457" s="1781" t="n"/>
      <c r="M1457" s="1781" t="n"/>
      <c r="N1457" s="1746" t="n">
        <v>17.52003</v>
      </c>
      <c r="O1457" s="1782" t="n"/>
      <c r="P1457" s="1720" t="n"/>
    </row>
    <row r="1458" hidden="1" outlineLevel="3" ht="13.5" customHeight="1">
      <c r="A1458" s="2117" t="n">
        <v>0</v>
      </c>
      <c r="B1458" s="2117" t="n">
        <v>13</v>
      </c>
      <c r="C1458" s="2117" t="n">
        <v>3</v>
      </c>
      <c r="D1458" s="2118" t="n">
        <v>2</v>
      </c>
      <c r="E1458" s="2118" t="n">
        <v>1</v>
      </c>
      <c r="G1458" s="1798" t="inlineStr">
        <is>
          <t>IMPERMEABILIZAÇÃO</t>
        </is>
      </c>
      <c r="H1458" s="1783" t="inlineStr">
        <is>
          <t>SERVIÇO</t>
        </is>
      </c>
      <c r="I1458" s="1750" t="inlineStr">
        <is>
          <t>13.003.002.001</t>
        </is>
      </c>
      <c r="J1458" s="1785" t="inlineStr">
        <is>
          <t>Tratamento De Ralo Ou Ponto Emergente Com Argamassa Polimérica Reforçado Com Tela De Poliéster</t>
        </is>
      </c>
      <c r="K1458" s="1786" t="inlineStr">
        <is>
          <t>un</t>
        </is>
      </c>
      <c r="L1458" s="1787" t="n">
        <v>2</v>
      </c>
      <c r="M1458" s="1787" t="n">
        <v>8.760015000000001</v>
      </c>
      <c r="N1458" s="1754" t="n">
        <v>17.52003</v>
      </c>
      <c r="O1458" s="1788" t="inlineStr">
        <is>
          <t>2 por banheiro + 1 por lavabo + 2 por área de serviço + 1 por área técnica + 1 por cozinha + 1 por sacada + 1 por torneira de jardin</t>
        </is>
      </c>
      <c r="P1458" s="1721" t="inlineStr">
        <is>
          <t>Pendente</t>
        </is>
      </c>
    </row>
    <row r="1459" hidden="1" outlineLevel="2" ht="13.5" customHeight="1">
      <c r="A1459" s="2117" t="n">
        <v>0</v>
      </c>
      <c r="B1459" s="2117" t="n">
        <v>13</v>
      </c>
      <c r="C1459" s="2117" t="n">
        <v>3</v>
      </c>
      <c r="D1459" s="2118" t="n">
        <v>3</v>
      </c>
      <c r="E1459" s="2118" t="n">
        <v>0</v>
      </c>
      <c r="G1459" s="1797" t="n"/>
      <c r="H1459" s="1777" t="inlineStr">
        <is>
          <t>SUBETAPA</t>
        </is>
      </c>
      <c r="I1459" s="1742" t="inlineStr">
        <is>
          <t>13.003.003</t>
        </is>
      </c>
      <c r="J1459" s="1779" t="inlineStr">
        <is>
          <t>Mão de Obra</t>
        </is>
      </c>
      <c r="K1459" s="1780" t="n"/>
      <c r="L1459" s="1781" t="n"/>
      <c r="M1459" s="1781" t="n"/>
      <c r="N1459" s="1746" t="n">
        <v>990.08</v>
      </c>
      <c r="O1459" s="1782" t="n"/>
      <c r="P1459" s="1720" t="n"/>
    </row>
    <row r="1460" hidden="1" outlineLevel="3" ht="13.5" customHeight="1">
      <c r="A1460" s="2117" t="n">
        <v>0</v>
      </c>
      <c r="B1460" s="2117" t="n">
        <v>13</v>
      </c>
      <c r="C1460" s="2117" t="n">
        <v>3</v>
      </c>
      <c r="D1460" s="2118" t="n">
        <v>3</v>
      </c>
      <c r="E1460" s="2118" t="n">
        <v>1</v>
      </c>
      <c r="G1460" s="1798" t="inlineStr">
        <is>
          <t>IMPERMEABILIZAÇÃO</t>
        </is>
      </c>
      <c r="H1460" s="1783" t="inlineStr">
        <is>
          <t>SERVIÇO</t>
        </is>
      </c>
      <c r="I1460" s="1750" t="inlineStr">
        <is>
          <t>13.003.003.001</t>
        </is>
      </c>
      <c r="J1460" s="1785" t="inlineStr">
        <is>
          <t>Mão de obra impermeabilização sistema 2.5.3</t>
        </is>
      </c>
      <c r="K1460" s="1786" t="inlineStr">
        <is>
          <t>m2</t>
        </is>
      </c>
      <c r="L1460" s="1787" t="n">
        <v>30.94</v>
      </c>
      <c r="M1460" s="1787" t="n">
        <v>32</v>
      </c>
      <c r="N1460" s="1754" t="n">
        <v>990.08</v>
      </c>
      <c r="O1460" s="1788" t="n"/>
      <c r="P1460" s="1721" t="inlineStr">
        <is>
          <t>Pendente</t>
        </is>
      </c>
    </row>
    <row r="1461" hidden="1" outlineLevel="1" ht="13.5" customHeight="1">
      <c r="A1461" s="2117" t="n">
        <v>0</v>
      </c>
      <c r="B1461" s="2117" t="n">
        <v>13</v>
      </c>
      <c r="C1461" s="2117" t="n">
        <v>4</v>
      </c>
      <c r="D1461" s="2118" t="n">
        <v>0</v>
      </c>
      <c r="E1461" s="2118" t="n">
        <v>1</v>
      </c>
      <c r="G1461" s="1796" t="n"/>
      <c r="H1461" s="1771" t="inlineStr">
        <is>
          <t>ETAPA</t>
        </is>
      </c>
      <c r="I1461" s="1735" t="inlineStr">
        <is>
          <t>13.004</t>
        </is>
      </c>
      <c r="J1461" s="1773" t="inlineStr">
        <is>
          <t>IMPERMEABILIZAÇÃO E TRATAMENTOS - Mezanino G2</t>
        </is>
      </c>
      <c r="K1461" s="1774" t="n"/>
      <c r="L1461" s="1775" t="n"/>
      <c r="M1461" s="1775" t="n"/>
      <c r="N1461" s="1739" t="n">
        <v>1688.79923666667</v>
      </c>
      <c r="O1461" s="1776" t="n">
        <v>0.100825821444044</v>
      </c>
      <c r="P1461" s="1719" t="n"/>
    </row>
    <row r="1462" hidden="1" outlineLevel="2" ht="13.5" customHeight="1">
      <c r="A1462" s="2117" t="n">
        <v>0</v>
      </c>
      <c r="B1462" s="2117" t="n">
        <v>13</v>
      </c>
      <c r="C1462" s="2117" t="n">
        <v>4</v>
      </c>
      <c r="D1462" s="2118" t="n">
        <v>1</v>
      </c>
      <c r="E1462" s="2118" t="n">
        <v>0</v>
      </c>
      <c r="G1462" s="1797" t="n"/>
      <c r="H1462" s="1777" t="inlineStr">
        <is>
          <t>SUBETAPA</t>
        </is>
      </c>
      <c r="I1462" s="1742" t="inlineStr">
        <is>
          <t>13.004.001</t>
        </is>
      </c>
      <c r="J1462" s="1779" t="inlineStr">
        <is>
          <t>Impermeabilização de esquadrias</t>
        </is>
      </c>
      <c r="K1462" s="1780" t="n"/>
      <c r="L1462" s="1781" t="n"/>
      <c r="M1462" s="1781" t="n"/>
      <c r="N1462" s="1746" t="n">
        <v>861.679206666667</v>
      </c>
      <c r="O1462" s="1782" t="n"/>
      <c r="P1462" s="1720" t="n"/>
    </row>
    <row r="1463" hidden="1" outlineLevel="3" ht="13.5" customHeight="1">
      <c r="A1463" s="2117" t="n">
        <v>0</v>
      </c>
      <c r="B1463" s="2117" t="n">
        <v>13</v>
      </c>
      <c r="C1463" s="2117" t="n">
        <v>4</v>
      </c>
      <c r="D1463" s="2118" t="n">
        <v>1</v>
      </c>
      <c r="E1463" s="2118" t="n">
        <v>1</v>
      </c>
      <c r="G1463" s="1798" t="inlineStr">
        <is>
          <t>IMPERMEABILIZAÇÃO</t>
        </is>
      </c>
      <c r="H1463" s="1783" t="inlineStr">
        <is>
          <t>SERVIÇO</t>
        </is>
      </c>
      <c r="I1463" s="1750" t="inlineStr">
        <is>
          <t>13.004.001.001</t>
        </is>
      </c>
      <c r="J1463" s="1785" t="inlineStr">
        <is>
          <t>Sistema 2.5.3: Membrana de polímero acrílico com cimento e fibras sintéticas | Revestimento bicomponente à base de polímeros acrílicos com adição de cimento e fibras sintéticas (3,0 kg/m²) + Tela de poliéster nos pontos críticos</t>
        </is>
      </c>
      <c r="K1463" s="1786" t="inlineStr">
        <is>
          <t>m2</t>
        </is>
      </c>
      <c r="L1463" s="1787" t="n">
        <v>25.3</v>
      </c>
      <c r="M1463" s="1787" t="n">
        <v>34.05846666666666</v>
      </c>
      <c r="N1463" s="1754" t="n">
        <v>861.679206666667</v>
      </c>
      <c r="O1463" s="1788" t="n"/>
      <c r="P1463" s="1721" t="inlineStr">
        <is>
          <t>Pendente</t>
        </is>
      </c>
    </row>
    <row r="1464" hidden="1" outlineLevel="2" ht="13.5" customHeight="1">
      <c r="A1464" s="2117" t="n">
        <v>0</v>
      </c>
      <c r="B1464" s="2117" t="n">
        <v>13</v>
      </c>
      <c r="C1464" s="2117" t="n">
        <v>4</v>
      </c>
      <c r="D1464" s="2118" t="n">
        <v>2</v>
      </c>
      <c r="E1464" s="2118" t="n">
        <v>0</v>
      </c>
      <c r="G1464" s="1797" t="n"/>
      <c r="H1464" s="1777" t="inlineStr">
        <is>
          <t>SUBETAPA</t>
        </is>
      </c>
      <c r="I1464" s="1742" t="inlineStr">
        <is>
          <t>13.004.002</t>
        </is>
      </c>
      <c r="J1464" s="1779" t="inlineStr">
        <is>
          <t>Impermeabilização de ralos</t>
        </is>
      </c>
      <c r="K1464" s="1780" t="n"/>
      <c r="L1464" s="1781" t="n"/>
      <c r="M1464" s="1781" t="n"/>
      <c r="N1464" s="1746" t="n">
        <v>17.52003</v>
      </c>
      <c r="O1464" s="1782" t="n"/>
      <c r="P1464" s="1720" t="n"/>
    </row>
    <row r="1465" hidden="1" outlineLevel="3" ht="13.5" customHeight="1">
      <c r="A1465" s="2117" t="n">
        <v>0</v>
      </c>
      <c r="B1465" s="2117" t="n">
        <v>13</v>
      </c>
      <c r="C1465" s="2117" t="n">
        <v>4</v>
      </c>
      <c r="D1465" s="2118" t="n">
        <v>2</v>
      </c>
      <c r="E1465" s="2118" t="n">
        <v>1</v>
      </c>
      <c r="G1465" s="1798" t="inlineStr">
        <is>
          <t>IMPERMEABILIZAÇÃO</t>
        </is>
      </c>
      <c r="H1465" s="1783" t="inlineStr">
        <is>
          <t>SERVIÇO</t>
        </is>
      </c>
      <c r="I1465" s="1750" t="inlineStr">
        <is>
          <t>13.004.002.001</t>
        </is>
      </c>
      <c r="J1465" s="1785" t="inlineStr">
        <is>
          <t>Tratamento De Ralo Ou Ponto Emergente Com Argamassa Polimérica Reforçado Com Tela De Poliéster</t>
        </is>
      </c>
      <c r="K1465" s="1786" t="inlineStr">
        <is>
          <t>un</t>
        </is>
      </c>
      <c r="L1465" s="1787" t="n">
        <v>2</v>
      </c>
      <c r="M1465" s="1787" t="n">
        <v>8.760015000000001</v>
      </c>
      <c r="N1465" s="1754" t="n">
        <v>17.52003</v>
      </c>
      <c r="O1465" s="1788" t="inlineStr">
        <is>
          <t>2 por banheiro + 1 por lavabo + 2 por área de serviço + 1 por área técnica + 1 por cozinha + 1 por sacada + 1 por torneira de jardin</t>
        </is>
      </c>
      <c r="P1465" s="1721" t="inlineStr">
        <is>
          <t>Pendente</t>
        </is>
      </c>
    </row>
    <row r="1466" hidden="1" outlineLevel="2" ht="13.5" customHeight="1">
      <c r="A1466" s="2117" t="n">
        <v>0</v>
      </c>
      <c r="B1466" s="2117" t="n">
        <v>13</v>
      </c>
      <c r="C1466" s="2117" t="n">
        <v>4</v>
      </c>
      <c r="D1466" s="2118" t="n">
        <v>3</v>
      </c>
      <c r="E1466" s="2118" t="n">
        <v>0</v>
      </c>
      <c r="G1466" s="1797" t="n"/>
      <c r="H1466" s="1777" t="inlineStr">
        <is>
          <t>SUBETAPA</t>
        </is>
      </c>
      <c r="I1466" s="1742" t="inlineStr">
        <is>
          <t>13.004.003</t>
        </is>
      </c>
      <c r="J1466" s="1779" t="inlineStr">
        <is>
          <t>Mão de Obra</t>
        </is>
      </c>
      <c r="K1466" s="1780" t="n"/>
      <c r="L1466" s="1781" t="n"/>
      <c r="M1466" s="1781" t="n"/>
      <c r="N1466" s="1746" t="n">
        <v>809.6</v>
      </c>
      <c r="O1466" s="1782" t="n"/>
      <c r="P1466" s="1720" t="n"/>
    </row>
    <row r="1467" hidden="1" outlineLevel="3" ht="13.5" customHeight="1">
      <c r="A1467" s="2117" t="n">
        <v>0</v>
      </c>
      <c r="B1467" s="2117" t="n">
        <v>13</v>
      </c>
      <c r="C1467" s="2117" t="n">
        <v>4</v>
      </c>
      <c r="D1467" s="2118" t="n">
        <v>3</v>
      </c>
      <c r="E1467" s="2118" t="n">
        <v>1</v>
      </c>
      <c r="G1467" s="1798" t="inlineStr">
        <is>
          <t>IMPERMEABILIZAÇÃO</t>
        </is>
      </c>
      <c r="H1467" s="1783" t="inlineStr">
        <is>
          <t>SERVIÇO</t>
        </is>
      </c>
      <c r="I1467" s="1750" t="inlineStr">
        <is>
          <t>13.004.003.001</t>
        </is>
      </c>
      <c r="J1467" s="1785" t="inlineStr">
        <is>
          <t>Mão de obra impermeabilização sistema 2.5.3</t>
        </is>
      </c>
      <c r="K1467" s="1786" t="inlineStr">
        <is>
          <t>m2</t>
        </is>
      </c>
      <c r="L1467" s="1787" t="n">
        <v>25.3</v>
      </c>
      <c r="M1467" s="1787" t="n">
        <v>32</v>
      </c>
      <c r="N1467" s="1754" t="n">
        <v>809.6</v>
      </c>
      <c r="O1467" s="1788" t="n"/>
      <c r="P1467" s="1721" t="inlineStr">
        <is>
          <t>Pendente</t>
        </is>
      </c>
    </row>
    <row r="1468" hidden="1" outlineLevel="1" ht="13.5" customHeight="1">
      <c r="A1468" s="2117" t="n">
        <v>0</v>
      </c>
      <c r="B1468" s="2117" t="n">
        <v>13</v>
      </c>
      <c r="C1468" s="2117" t="n">
        <v>5</v>
      </c>
      <c r="D1468" s="2118" t="n">
        <v>0</v>
      </c>
      <c r="E1468" s="2118" t="n">
        <v>1</v>
      </c>
      <c r="G1468" s="1796" t="n"/>
      <c r="H1468" s="1771" t="inlineStr">
        <is>
          <t>ETAPA</t>
        </is>
      </c>
      <c r="I1468" s="1735" t="inlineStr">
        <is>
          <t>13.005</t>
        </is>
      </c>
      <c r="J1468" s="1773" t="inlineStr">
        <is>
          <t>IMPERMEABILIZAÇÃO E TRATAMENTOS - G3</t>
        </is>
      </c>
      <c r="K1468" s="1774" t="n"/>
      <c r="L1468" s="1775" t="n"/>
      <c r="M1468" s="1775" t="n"/>
      <c r="N1468" s="1739" t="n">
        <v>5211.58356866667</v>
      </c>
      <c r="O1468" s="1776" t="n">
        <v>0.311145447562051</v>
      </c>
      <c r="P1468" s="1719" t="n"/>
    </row>
    <row r="1469" hidden="1" outlineLevel="2" ht="13.5" customHeight="1">
      <c r="A1469" s="2117" t="n">
        <v>0</v>
      </c>
      <c r="B1469" s="2117" t="n">
        <v>13</v>
      </c>
      <c r="C1469" s="2117" t="n">
        <v>5</v>
      </c>
      <c r="D1469" s="2118" t="n">
        <v>1</v>
      </c>
      <c r="E1469" s="2118" t="n">
        <v>0</v>
      </c>
      <c r="G1469" s="1797" t="n"/>
      <c r="H1469" s="1777" t="inlineStr">
        <is>
          <t>SUBETAPA</t>
        </is>
      </c>
      <c r="I1469" s="1742" t="inlineStr">
        <is>
          <t>13.005.001</t>
        </is>
      </c>
      <c r="J1469" s="1779" t="inlineStr">
        <is>
          <t>Regularização e proteção mecânica</t>
        </is>
      </c>
      <c r="K1469" s="1780" t="n"/>
      <c r="L1469" s="1781" t="n"/>
      <c r="M1469" s="1781" t="n"/>
      <c r="N1469" s="1746" t="n">
        <v>281.557756</v>
      </c>
      <c r="O1469" s="1782" t="n">
        <v>0.01680974944581</v>
      </c>
      <c r="P1469" s="1720" t="n"/>
    </row>
    <row r="1470" hidden="1" outlineLevel="3" ht="13.5" customHeight="1">
      <c r="A1470" s="2117" t="n">
        <v>0</v>
      </c>
      <c r="B1470" s="2117" t="n">
        <v>13</v>
      </c>
      <c r="C1470" s="2117" t="n">
        <v>5</v>
      </c>
      <c r="D1470" s="2118" t="n">
        <v>1</v>
      </c>
      <c r="E1470" s="2118" t="n">
        <v>1</v>
      </c>
      <c r="G1470" s="1798" t="inlineStr">
        <is>
          <t>IMPERMEABILIZAÇÃO</t>
        </is>
      </c>
      <c r="H1470" s="1783" t="inlineStr">
        <is>
          <t>SERVIÇO</t>
        </is>
      </c>
      <c r="I1470" s="1750" t="inlineStr">
        <is>
          <t>13.005.001.001</t>
        </is>
      </c>
      <c r="J1470" s="1785" t="inlineStr">
        <is>
          <t xml:space="preserve">Regularização de superfície para impermeabilização </t>
        </is>
      </c>
      <c r="K1470" s="1786" t="inlineStr">
        <is>
          <t>m2</t>
        </is>
      </c>
      <c r="L1470" s="1787" t="n">
        <v>4.99</v>
      </c>
      <c r="M1470" s="1787" t="n">
        <v>7.065899999999999</v>
      </c>
      <c r="N1470" s="1754" t="n">
        <v>35.258841</v>
      </c>
      <c r="O1470" s="1788" t="inlineStr">
        <is>
          <t>Toda área de piso que recebe impermeabilização</t>
        </is>
      </c>
      <c r="P1470" s="1721" t="inlineStr">
        <is>
          <t>Pendente</t>
        </is>
      </c>
    </row>
    <row r="1471" hidden="1" outlineLevel="3" ht="13.5" customHeight="1">
      <c r="A1471" s="2117" t="n">
        <v>0</v>
      </c>
      <c r="B1471" s="2117" t="n">
        <v>13</v>
      </c>
      <c r="C1471" s="2117" t="n">
        <v>5</v>
      </c>
      <c r="D1471" s="2118" t="n">
        <v>1</v>
      </c>
      <c r="E1471" s="2118" t="n">
        <v>2</v>
      </c>
      <c r="G1471" s="1798" t="inlineStr">
        <is>
          <t>IMPERMEABILIZAÇÃO</t>
        </is>
      </c>
      <c r="H1471" s="1783" t="inlineStr">
        <is>
          <t>SERVIÇO</t>
        </is>
      </c>
      <c r="I1471" s="1750" t="inlineStr">
        <is>
          <t>13.005.001.002</t>
        </is>
      </c>
      <c r="J1471" s="1785" t="inlineStr">
        <is>
          <t>Proteção mecânica de superfície com argamassa de cimento e areia, traço 1:3 E=5cm</t>
        </is>
      </c>
      <c r="K1471" s="1786" t="inlineStr">
        <is>
          <t>m2</t>
        </is>
      </c>
      <c r="L1471" s="1787" t="n">
        <v>4.99</v>
      </c>
      <c r="M1471" s="1787" t="n">
        <v>49.3585</v>
      </c>
      <c r="N1471" s="1754" t="n">
        <v>246.298915</v>
      </c>
      <c r="O1471" s="1788" t="inlineStr">
        <is>
          <t>Toda área de piso que recebe impermeabilização de manta asfáltica</t>
        </is>
      </c>
      <c r="P1471" s="1721" t="inlineStr">
        <is>
          <t>Pendente</t>
        </is>
      </c>
    </row>
    <row r="1472" hidden="1" outlineLevel="2" ht="13.5" customHeight="1">
      <c r="A1472" s="2117" t="n">
        <v>0</v>
      </c>
      <c r="B1472" s="2117" t="n">
        <v>13</v>
      </c>
      <c r="C1472" s="2117" t="n">
        <v>5</v>
      </c>
      <c r="D1472" s="2118" t="n">
        <v>2</v>
      </c>
      <c r="E1472" s="2118" t="n">
        <v>0</v>
      </c>
      <c r="G1472" s="1797" t="n"/>
      <c r="H1472" s="1777" t="inlineStr">
        <is>
          <t>SUBETAPA</t>
        </is>
      </c>
      <c r="I1472" s="1742" t="inlineStr">
        <is>
          <t>13.005.002</t>
        </is>
      </c>
      <c r="J1472" s="1779" t="inlineStr">
        <is>
          <t>Impermeabilização de esquadrias</t>
        </is>
      </c>
      <c r="K1472" s="1780" t="n"/>
      <c r="L1472" s="1781" t="n"/>
      <c r="M1472" s="1781" t="n"/>
      <c r="N1472" s="1746" t="n">
        <v>861.679206666667</v>
      </c>
      <c r="O1472" s="1782" t="n"/>
      <c r="P1472" s="1720" t="n"/>
    </row>
    <row r="1473" hidden="1" outlineLevel="3" ht="13.5" customHeight="1">
      <c r="A1473" s="2117" t="n">
        <v>0</v>
      </c>
      <c r="B1473" s="2117" t="n">
        <v>13</v>
      </c>
      <c r="C1473" s="2117" t="n">
        <v>5</v>
      </c>
      <c r="D1473" s="2118" t="n">
        <v>2</v>
      </c>
      <c r="E1473" s="2118" t="n">
        <v>1</v>
      </c>
      <c r="G1473" s="1798" t="inlineStr">
        <is>
          <t>IMPERMEABILIZAÇÃO</t>
        </is>
      </c>
      <c r="H1473" s="1783" t="inlineStr">
        <is>
          <t>SERVIÇO</t>
        </is>
      </c>
      <c r="I1473" s="1750" t="inlineStr">
        <is>
          <t>13.005.002.001</t>
        </is>
      </c>
      <c r="J1473" s="1785" t="inlineStr">
        <is>
          <t>Sistema 2.5.3: Membrana de polímero acrílico com cimento e fibras sintéticas | Revestimento bicomponente à base de polímeros acrílicos com adição de cimento e fibras sintéticas (3,0 kg/m²) + Tela de poliéster nos pontos críticos</t>
        </is>
      </c>
      <c r="K1473" s="1786" t="inlineStr">
        <is>
          <t>m2</t>
        </is>
      </c>
      <c r="L1473" s="1787" t="n">
        <v>25.3</v>
      </c>
      <c r="M1473" s="1787" t="n">
        <v>34.05846666666666</v>
      </c>
      <c r="N1473" s="1754" t="n">
        <v>861.679206666667</v>
      </c>
      <c r="O1473" s="1788" t="n"/>
      <c r="P1473" s="1721" t="inlineStr">
        <is>
          <t>Pendente</t>
        </is>
      </c>
    </row>
    <row r="1474" hidden="1" outlineLevel="2" ht="13.5" customHeight="1">
      <c r="A1474" s="2117" t="n">
        <v>0</v>
      </c>
      <c r="B1474" s="2117" t="n">
        <v>13</v>
      </c>
      <c r="C1474" s="2117" t="n">
        <v>5</v>
      </c>
      <c r="D1474" s="2118" t="n">
        <v>3</v>
      </c>
      <c r="E1474" s="2118" t="n">
        <v>0</v>
      </c>
      <c r="G1474" s="1797" t="n"/>
      <c r="H1474" s="1777" t="inlineStr">
        <is>
          <t>SUBETAPA</t>
        </is>
      </c>
      <c r="I1474" s="1742" t="inlineStr">
        <is>
          <t>13.005.003</t>
        </is>
      </c>
      <c r="J1474" s="1779" t="inlineStr">
        <is>
          <t>Impermeabilização de ralos</t>
        </is>
      </c>
      <c r="K1474" s="1780" t="n"/>
      <c r="L1474" s="1781" t="n"/>
      <c r="M1474" s="1781" t="n"/>
      <c r="N1474" s="1746" t="n">
        <v>17.52003</v>
      </c>
      <c r="O1474" s="1782" t="n"/>
      <c r="P1474" s="1720" t="n"/>
    </row>
    <row r="1475" hidden="1" outlineLevel="3" ht="13.5" customHeight="1">
      <c r="A1475" s="2117" t="n">
        <v>0</v>
      </c>
      <c r="B1475" s="2117" t="n">
        <v>13</v>
      </c>
      <c r="C1475" s="2117" t="n">
        <v>5</v>
      </c>
      <c r="D1475" s="2118" t="n">
        <v>3</v>
      </c>
      <c r="E1475" s="2118" t="n">
        <v>1</v>
      </c>
      <c r="G1475" s="1798" t="inlineStr">
        <is>
          <t>IMPERMEABILIZAÇÃO</t>
        </is>
      </c>
      <c r="H1475" s="1783" t="inlineStr">
        <is>
          <t>SERVIÇO</t>
        </is>
      </c>
      <c r="I1475" s="1750" t="inlineStr">
        <is>
          <t>13.005.003.001</t>
        </is>
      </c>
      <c r="J1475" s="1785" t="inlineStr">
        <is>
          <t>Tratamento De Ralo Ou Ponto Emergente Com Argamassa Polimérica Reforçado Com Tela De Poliéster</t>
        </is>
      </c>
      <c r="K1475" s="1786" t="inlineStr">
        <is>
          <t>un</t>
        </is>
      </c>
      <c r="L1475" s="1787" t="n">
        <v>2</v>
      </c>
      <c r="M1475" s="1787" t="n">
        <v>8.760015000000001</v>
      </c>
      <c r="N1475" s="1754" t="n">
        <v>17.52003</v>
      </c>
      <c r="O1475" s="1788" t="inlineStr">
        <is>
          <t>2 por banheiro + 1 por lavabo + 2 por área de serviço + 1 por área técnica + 1 por cozinha + 1 por sacada + 1 por torneira de jardin</t>
        </is>
      </c>
      <c r="P1475" s="1721" t="inlineStr">
        <is>
          <t>Pendente</t>
        </is>
      </c>
    </row>
    <row r="1476" hidden="1" outlineLevel="2" ht="13.5" customHeight="1">
      <c r="A1476" s="2117" t="n">
        <v>0</v>
      </c>
      <c r="B1476" s="2117" t="n">
        <v>13</v>
      </c>
      <c r="C1476" s="2117" t="n">
        <v>5</v>
      </c>
      <c r="D1476" s="2118" t="n">
        <v>4</v>
      </c>
      <c r="E1476" s="2118" t="n">
        <v>0</v>
      </c>
      <c r="G1476" s="1797" t="n"/>
      <c r="H1476" s="1777" t="inlineStr">
        <is>
          <t>SUBETAPA</t>
        </is>
      </c>
      <c r="I1476" s="1742" t="inlineStr">
        <is>
          <t>13.005.004</t>
        </is>
      </c>
      <c r="J1476" s="1779" t="inlineStr">
        <is>
          <t>Impermeabilização de reservatórios e cisternas</t>
        </is>
      </c>
      <c r="K1476" s="1780" t="n"/>
      <c r="L1476" s="1781" t="n"/>
      <c r="M1476" s="1781" t="n"/>
      <c r="N1476" s="1746" t="n">
        <v>1900.586576</v>
      </c>
      <c r="O1476" s="1782" t="n"/>
      <c r="P1476" s="1720" t="n"/>
    </row>
    <row r="1477" hidden="1" outlineLevel="3" ht="13.5" customHeight="1">
      <c r="A1477" s="2117" t="n">
        <v>0</v>
      </c>
      <c r="B1477" s="2117" t="n">
        <v>13</v>
      </c>
      <c r="C1477" s="2117" t="n">
        <v>5</v>
      </c>
      <c r="D1477" s="2118" t="n">
        <v>4</v>
      </c>
      <c r="E1477" s="2118" t="n">
        <v>1</v>
      </c>
      <c r="G1477" s="1798" t="inlineStr">
        <is>
          <t>IMPERMEABILIZAÇÃO</t>
        </is>
      </c>
      <c r="H1477" s="1783" t="inlineStr">
        <is>
          <t>SERVIÇO</t>
        </is>
      </c>
      <c r="I1477" s="1750" t="inlineStr">
        <is>
          <t>13.005.004.001</t>
        </is>
      </c>
      <c r="J1477" s="1785" t="inlineStr">
        <is>
          <t>Sistema 7.1.2:Argamassa impermeabilizante sem cimento - MK-FEN 30 (F) | Argamassa não cimentícia com agentes incorporadores de ar (4,0 kg/m²) + Tela de poliéster nos pontos críticos</t>
        </is>
      </c>
      <c r="K1477" s="1786" t="inlineStr">
        <is>
          <t>m2</t>
        </is>
      </c>
      <c r="L1477" s="1787" t="n">
        <v>4.99</v>
      </c>
      <c r="M1477" s="1787" t="n">
        <v>74.8918</v>
      </c>
      <c r="N1477" s="1754" t="n">
        <v>373.710082</v>
      </c>
      <c r="O1477" s="1788" t="inlineStr">
        <is>
          <t>Reservatório + cisterna</t>
        </is>
      </c>
      <c r="P1477" s="1721" t="inlineStr">
        <is>
          <t>Pendente</t>
        </is>
      </c>
    </row>
    <row r="1478" hidden="1" outlineLevel="3" ht="13.5" customHeight="1">
      <c r="A1478" s="2117" t="n">
        <v>0</v>
      </c>
      <c r="B1478" s="2117" t="n">
        <v>13</v>
      </c>
      <c r="C1478" s="2117" t="n">
        <v>5</v>
      </c>
      <c r="D1478" s="2118" t="n">
        <v>4</v>
      </c>
      <c r="E1478" s="2118" t="n">
        <v>2</v>
      </c>
      <c r="G1478" s="1798" t="inlineStr">
        <is>
          <t>IMPERMEABILIZAÇÃO</t>
        </is>
      </c>
      <c r="H1478" s="1783" t="inlineStr">
        <is>
          <t>SERVIÇO</t>
        </is>
      </c>
      <c r="I1478" s="1750" t="inlineStr">
        <is>
          <t>13.005.004.002</t>
        </is>
      </c>
      <c r="J1478" s="1785" t="inlineStr">
        <is>
          <t>Sistema 2.8.6: Argamassa impermeabilizante bicomponente à base de aditivos minerais (2,0 kg/m²) + Revestimento bicomponente à base de polímeros acrílicos com adição de cimento e fibras sintéticas (4,5 kg/m²) + Tela de poliéster nos pontos críticos</t>
        </is>
      </c>
      <c r="K1478" s="1786" t="inlineStr">
        <is>
          <t>m2</t>
        </is>
      </c>
      <c r="L1478" s="1787" t="n">
        <v>20.83</v>
      </c>
      <c r="M1478" s="1787" t="n">
        <v>73.3018</v>
      </c>
      <c r="N1478" s="1754" t="n">
        <v>1526.876494</v>
      </c>
      <c r="O1478" s="1788" t="inlineStr">
        <is>
          <t>Reservatório + cisterna</t>
        </is>
      </c>
      <c r="P1478" s="1721" t="inlineStr">
        <is>
          <t>Pendente</t>
        </is>
      </c>
    </row>
    <row r="1479" hidden="1" outlineLevel="2" ht="13.5" customHeight="1">
      <c r="A1479" s="2117" t="n">
        <v>0</v>
      </c>
      <c r="B1479" s="2117" t="n">
        <v>13</v>
      </c>
      <c r="C1479" s="2117" t="n">
        <v>5</v>
      </c>
      <c r="D1479" s="2118" t="n">
        <v>5</v>
      </c>
      <c r="E1479" s="2118" t="n">
        <v>0</v>
      </c>
      <c r="G1479" s="1797" t="n"/>
      <c r="H1479" s="1777" t="inlineStr">
        <is>
          <t>SUBETAPA</t>
        </is>
      </c>
      <c r="I1479" s="1742" t="inlineStr">
        <is>
          <t>13.005.005</t>
        </is>
      </c>
      <c r="J1479" s="1779" t="inlineStr">
        <is>
          <t>Mão de Obra</t>
        </is>
      </c>
      <c r="K1479" s="1780" t="n"/>
      <c r="L1479" s="1781" t="n"/>
      <c r="M1479" s="1781" t="n"/>
      <c r="N1479" s="1746" t="n">
        <v>2150.24</v>
      </c>
      <c r="O1479" s="1782" t="n"/>
      <c r="P1479" s="1720" t="n"/>
    </row>
    <row r="1480" hidden="1" outlineLevel="3" ht="13.5" customHeight="1">
      <c r="A1480" s="2117" t="n">
        <v>0</v>
      </c>
      <c r="B1480" s="2117" t="n">
        <v>13</v>
      </c>
      <c r="C1480" s="2117" t="n">
        <v>5</v>
      </c>
      <c r="D1480" s="2118" t="n">
        <v>5</v>
      </c>
      <c r="E1480" s="2118" t="n">
        <v>1</v>
      </c>
      <c r="G1480" s="1798" t="inlineStr">
        <is>
          <t>IMPERMEABILIZAÇÃO</t>
        </is>
      </c>
      <c r="H1480" s="1783" t="inlineStr">
        <is>
          <t>SERVIÇO</t>
        </is>
      </c>
      <c r="I1480" s="1750" t="inlineStr">
        <is>
          <t>13.005.005.001</t>
        </is>
      </c>
      <c r="J1480" s="1785" t="inlineStr">
        <is>
          <t xml:space="preserve">Mão de obra para regularização de superfície </t>
        </is>
      </c>
      <c r="K1480" s="1786" t="inlineStr">
        <is>
          <t>m2</t>
        </is>
      </c>
      <c r="L1480" s="1787" t="n">
        <v>4.99</v>
      </c>
      <c r="M1480" s="1787" t="n">
        <v>20</v>
      </c>
      <c r="N1480" s="1754" t="n">
        <v>99.8</v>
      </c>
      <c r="O1480" s="1788" t="n"/>
      <c r="P1480" s="1721" t="inlineStr">
        <is>
          <t>Pendente</t>
        </is>
      </c>
    </row>
    <row r="1481" hidden="1" outlineLevel="3" ht="13.5" customHeight="1">
      <c r="A1481" s="2117" t="n">
        <v>0</v>
      </c>
      <c r="B1481" s="2117" t="n">
        <v>13</v>
      </c>
      <c r="C1481" s="2117" t="n">
        <v>5</v>
      </c>
      <c r="D1481" s="2118" t="n">
        <v>5</v>
      </c>
      <c r="E1481" s="2118" t="n">
        <v>2</v>
      </c>
      <c r="G1481" s="1798" t="inlineStr">
        <is>
          <t>IMPERMEABILIZAÇÃO</t>
        </is>
      </c>
      <c r="H1481" s="1783" t="inlineStr">
        <is>
          <t>SERVIÇO</t>
        </is>
      </c>
      <c r="I1481" s="1750" t="inlineStr">
        <is>
          <t>13.005.005.002</t>
        </is>
      </c>
      <c r="J1481" s="1785" t="inlineStr">
        <is>
          <t>Mão de obra para proteção mecânica</t>
        </is>
      </c>
      <c r="K1481" s="1786" t="inlineStr">
        <is>
          <t>m2</t>
        </is>
      </c>
      <c r="L1481" s="1787" t="n">
        <v>4.99</v>
      </c>
      <c r="M1481" s="1787" t="n">
        <v>35</v>
      </c>
      <c r="N1481" s="1754" t="n">
        <v>174.65</v>
      </c>
      <c r="O1481" s="1788" t="n"/>
      <c r="P1481" s="1721" t="inlineStr">
        <is>
          <t>Pendente</t>
        </is>
      </c>
    </row>
    <row r="1482" hidden="1" outlineLevel="3" ht="13.5" customHeight="1">
      <c r="A1482" s="2117" t="n">
        <v>0</v>
      </c>
      <c r="B1482" s="2117" t="n">
        <v>13</v>
      </c>
      <c r="C1482" s="2117" t="n">
        <v>5</v>
      </c>
      <c r="D1482" s="2118" t="n">
        <v>5</v>
      </c>
      <c r="E1482" s="2118" t="n">
        <v>3</v>
      </c>
      <c r="G1482" s="1798" t="inlineStr">
        <is>
          <t>IMPERMEABILIZAÇÃO</t>
        </is>
      </c>
      <c r="H1482" s="1783" t="inlineStr">
        <is>
          <t>SERVIÇO</t>
        </is>
      </c>
      <c r="I1482" s="1750" t="inlineStr">
        <is>
          <t>13.005.005.003</t>
        </is>
      </c>
      <c r="J1482" s="1785" t="inlineStr">
        <is>
          <t>Mão de obra impermeabilização sistema 2.8.6</t>
        </is>
      </c>
      <c r="K1482" s="1786" t="inlineStr">
        <is>
          <t>m2</t>
        </is>
      </c>
      <c r="L1482" s="1787" t="n">
        <v>20.83</v>
      </c>
      <c r="M1482" s="1787" t="n">
        <v>38</v>
      </c>
      <c r="N1482" s="1754" t="n">
        <v>791.54</v>
      </c>
      <c r="O1482" s="1788" t="n"/>
      <c r="P1482" s="1721" t="inlineStr">
        <is>
          <t>Pendente</t>
        </is>
      </c>
    </row>
    <row r="1483" hidden="1" outlineLevel="3" ht="13.5" customHeight="1">
      <c r="A1483" s="2117" t="n">
        <v>0</v>
      </c>
      <c r="B1483" s="2117" t="n">
        <v>13</v>
      </c>
      <c r="C1483" s="2117" t="n">
        <v>5</v>
      </c>
      <c r="D1483" s="2118" t="n">
        <v>5</v>
      </c>
      <c r="E1483" s="2118" t="n">
        <v>4</v>
      </c>
      <c r="G1483" s="1798" t="inlineStr">
        <is>
          <t>IMPERMEABILIZAÇÃO</t>
        </is>
      </c>
      <c r="H1483" s="1783" t="inlineStr">
        <is>
          <t>SERVIÇO</t>
        </is>
      </c>
      <c r="I1483" s="1750" t="inlineStr">
        <is>
          <t>13.005.005.004</t>
        </is>
      </c>
      <c r="J1483" s="1785" t="inlineStr">
        <is>
          <t>Mão de obra impermeabilização sistema 2.5.3</t>
        </is>
      </c>
      <c r="K1483" s="1786" t="inlineStr">
        <is>
          <t>m2</t>
        </is>
      </c>
      <c r="L1483" s="1787" t="n">
        <v>25.3</v>
      </c>
      <c r="M1483" s="1787" t="n">
        <v>32</v>
      </c>
      <c r="N1483" s="1754" t="n">
        <v>809.6</v>
      </c>
      <c r="O1483" s="1788" t="n"/>
      <c r="P1483" s="1721" t="inlineStr">
        <is>
          <t>Pendente</t>
        </is>
      </c>
    </row>
    <row r="1484" hidden="1" outlineLevel="3" ht="13.5" customHeight="1">
      <c r="A1484" s="2117" t="n">
        <v>0</v>
      </c>
      <c r="B1484" s="2117" t="n">
        <v>13</v>
      </c>
      <c r="C1484" s="2117" t="n">
        <v>5</v>
      </c>
      <c r="D1484" s="2118" t="n">
        <v>5</v>
      </c>
      <c r="E1484" s="2118" t="n">
        <v>5</v>
      </c>
      <c r="G1484" s="1798" t="inlineStr">
        <is>
          <t>IMPERMEABILIZAÇÃO</t>
        </is>
      </c>
      <c r="H1484" s="1783" t="inlineStr">
        <is>
          <t>SERVIÇO</t>
        </is>
      </c>
      <c r="I1484" s="1750" t="inlineStr">
        <is>
          <t>13.005.005.005</t>
        </is>
      </c>
      <c r="J1484" s="1785" t="inlineStr">
        <is>
          <t>Mão de obra impermeabilização sistema 7.1.2</t>
        </is>
      </c>
      <c r="K1484" s="1786" t="inlineStr">
        <is>
          <t>m2</t>
        </is>
      </c>
      <c r="L1484" s="1787" t="n">
        <v>4.99</v>
      </c>
      <c r="M1484" s="1787" t="n">
        <v>35</v>
      </c>
      <c r="N1484" s="1754" t="n">
        <v>174.65</v>
      </c>
      <c r="O1484" s="1788" t="n"/>
      <c r="P1484" s="1721" t="inlineStr">
        <is>
          <t>Pendente</t>
        </is>
      </c>
    </row>
    <row r="1485" hidden="1" outlineLevel="3" ht="13.5" customHeight="1">
      <c r="A1485" s="2117" t="n">
        <v>0</v>
      </c>
      <c r="B1485" s="2117" t="n">
        <v>13</v>
      </c>
      <c r="C1485" s="2117" t="n">
        <v>5</v>
      </c>
      <c r="D1485" s="2118" t="n">
        <v>5</v>
      </c>
      <c r="E1485" s="2118" t="n">
        <v>6</v>
      </c>
      <c r="G1485" s="1798" t="inlineStr">
        <is>
          <t>IMPERMEABILIZAÇÃO</t>
        </is>
      </c>
      <c r="H1485" s="1783" t="inlineStr">
        <is>
          <t>SERVIÇO</t>
        </is>
      </c>
      <c r="I1485" s="1750" t="inlineStr">
        <is>
          <t>13.005.005.006</t>
        </is>
      </c>
      <c r="J1485" s="1751" t="inlineStr">
        <is>
          <t>Mão de obra tratamento de ralo com manta de poliéster</t>
        </is>
      </c>
      <c r="K1485" s="1786" t="inlineStr">
        <is>
          <t>un</t>
        </is>
      </c>
      <c r="L1485" s="1787" t="n">
        <v>2</v>
      </c>
      <c r="M1485" s="1787" t="n">
        <v>50</v>
      </c>
      <c r="N1485" s="1754" t="n">
        <v>100</v>
      </c>
      <c r="O1485" s="1788" t="n"/>
      <c r="P1485" s="1721" t="inlineStr">
        <is>
          <t>Pendente</t>
        </is>
      </c>
    </row>
    <row r="1486" hidden="1" outlineLevel="1" ht="13.5" customHeight="1">
      <c r="A1486" s="2117" t="n">
        <v>0</v>
      </c>
      <c r="B1486" s="2117" t="n">
        <v>13</v>
      </c>
      <c r="C1486" s="2117" t="n">
        <v>6</v>
      </c>
      <c r="D1486" s="2118" t="n">
        <v>0</v>
      </c>
      <c r="E1486" s="2118" t="n">
        <v>6</v>
      </c>
      <c r="G1486" s="1796" t="n"/>
      <c r="H1486" s="1771" t="inlineStr">
        <is>
          <t>ETAPA</t>
        </is>
      </c>
      <c r="I1486" s="1735" t="inlineStr">
        <is>
          <t>13.006</t>
        </is>
      </c>
      <c r="J1486" s="1773" t="inlineStr">
        <is>
          <t>IMPERMEABILIZAÇÃO E TRATAMENTOS - Mezanino G3</t>
        </is>
      </c>
      <c r="K1486" s="1774" t="n"/>
      <c r="L1486" s="1775" t="n"/>
      <c r="M1486" s="1775" t="n"/>
      <c r="N1486" s="1739" t="n">
        <v>2131.64267866667</v>
      </c>
      <c r="O1486" s="1776" t="n">
        <v>0.127264756778293</v>
      </c>
      <c r="P1486" s="1719" t="n"/>
    </row>
    <row r="1487" hidden="1" outlineLevel="2" ht="13.5" customHeight="1">
      <c r="A1487" s="2117" t="n">
        <v>0</v>
      </c>
      <c r="B1487" s="2117" t="n">
        <v>13</v>
      </c>
      <c r="C1487" s="2117" t="n">
        <v>6</v>
      </c>
      <c r="D1487" s="2118" t="n">
        <v>1</v>
      </c>
      <c r="E1487" s="2118" t="n">
        <v>0</v>
      </c>
      <c r="G1487" s="1797" t="n"/>
      <c r="H1487" s="1777" t="inlineStr">
        <is>
          <t>SUBETAPA</t>
        </is>
      </c>
      <c r="I1487" s="1742" t="inlineStr">
        <is>
          <t>13.006.001</t>
        </is>
      </c>
      <c r="J1487" s="1779" t="inlineStr">
        <is>
          <t>Impermeabilização de esquadrias</t>
        </is>
      </c>
      <c r="K1487" s="1780" t="n"/>
      <c r="L1487" s="1781" t="n"/>
      <c r="M1487" s="1781" t="n"/>
      <c r="N1487" s="1746" t="n">
        <v>1038.44264866667</v>
      </c>
      <c r="O1487" s="1782" t="n"/>
      <c r="P1487" s="1720" t="n"/>
    </row>
    <row r="1488" hidden="1" outlineLevel="3" ht="13.5" customHeight="1">
      <c r="A1488" s="2117" t="n">
        <v>0</v>
      </c>
      <c r="B1488" s="2117" t="n">
        <v>13</v>
      </c>
      <c r="C1488" s="2117" t="n">
        <v>6</v>
      </c>
      <c r="D1488" s="2118" t="n">
        <v>1</v>
      </c>
      <c r="E1488" s="2118" t="n">
        <v>1</v>
      </c>
      <c r="G1488" s="1798" t="inlineStr">
        <is>
          <t>IMPERMEABILIZAÇÃO</t>
        </is>
      </c>
      <c r="H1488" s="1783" t="inlineStr">
        <is>
          <t>SERVIÇO</t>
        </is>
      </c>
      <c r="I1488" s="1750" t="inlineStr">
        <is>
          <t>13.006.001.001</t>
        </is>
      </c>
      <c r="J1488" s="1785" t="inlineStr">
        <is>
          <t>Sistema 2.5.3: Membrana de polímero acrílico com cimento e fibras sintéticas | Revestimento bicomponente à base de polímeros acrílicos com adição de cimento e fibras sintéticas (3,0 kg/m²) + Tela de poliéster nos pontos críticos</t>
        </is>
      </c>
      <c r="K1488" s="1786" t="inlineStr">
        <is>
          <t>m2</t>
        </is>
      </c>
      <c r="L1488" s="1787" t="n">
        <v>30.49</v>
      </c>
      <c r="M1488" s="1787" t="n">
        <v>34.05846666666666</v>
      </c>
      <c r="N1488" s="1754" t="n">
        <v>1038.44264866667</v>
      </c>
      <c r="O1488" s="1788" t="n"/>
      <c r="P1488" s="1721" t="inlineStr">
        <is>
          <t>Pendente</t>
        </is>
      </c>
    </row>
    <row r="1489" hidden="1" outlineLevel="2" ht="13.5" customHeight="1">
      <c r="A1489" s="2117" t="n">
        <v>0</v>
      </c>
      <c r="B1489" s="2117" t="n">
        <v>13</v>
      </c>
      <c r="C1489" s="2117" t="n">
        <v>6</v>
      </c>
      <c r="D1489" s="2118" t="n">
        <v>2</v>
      </c>
      <c r="E1489" s="2118" t="n">
        <v>0</v>
      </c>
      <c r="G1489" s="1797" t="n"/>
      <c r="H1489" s="1777" t="inlineStr">
        <is>
          <t>SUBETAPA</t>
        </is>
      </c>
      <c r="I1489" s="1742" t="inlineStr">
        <is>
          <t>13.006.002</t>
        </is>
      </c>
      <c r="J1489" s="1779" t="inlineStr">
        <is>
          <t>Impermeabilização de ralos</t>
        </is>
      </c>
      <c r="K1489" s="1780" t="n"/>
      <c r="L1489" s="1781" t="n"/>
      <c r="M1489" s="1781" t="n"/>
      <c r="N1489" s="1746" t="n">
        <v>17.52003</v>
      </c>
      <c r="O1489" s="1782" t="n"/>
      <c r="P1489" s="1720" t="n"/>
    </row>
    <row r="1490" hidden="1" outlineLevel="3" ht="13.5" customHeight="1">
      <c r="A1490" s="2117" t="n">
        <v>0</v>
      </c>
      <c r="B1490" s="2117" t="n">
        <v>13</v>
      </c>
      <c r="C1490" s="2117" t="n">
        <v>6</v>
      </c>
      <c r="D1490" s="2118" t="n">
        <v>2</v>
      </c>
      <c r="E1490" s="2118" t="n">
        <v>1</v>
      </c>
      <c r="G1490" s="1798" t="inlineStr">
        <is>
          <t>IMPERMEABILIZAÇÃO</t>
        </is>
      </c>
      <c r="H1490" s="1783" t="inlineStr">
        <is>
          <t>SERVIÇO</t>
        </is>
      </c>
      <c r="I1490" s="1750" t="inlineStr">
        <is>
          <t>13.006.002.001</t>
        </is>
      </c>
      <c r="J1490" s="1785" t="inlineStr">
        <is>
          <t>Tratamento De Ralo Ou Ponto Emergente Com Argamassa Polimérica Reforçado Com Tela De Poliéster</t>
        </is>
      </c>
      <c r="K1490" s="1786" t="inlineStr">
        <is>
          <t>un</t>
        </is>
      </c>
      <c r="L1490" s="1787" t="n">
        <v>2</v>
      </c>
      <c r="M1490" s="1787" t="n">
        <v>8.760015000000001</v>
      </c>
      <c r="N1490" s="1754" t="n">
        <v>17.52003</v>
      </c>
      <c r="O1490" s="1788" t="inlineStr">
        <is>
          <t>2 por banheiro + 1 por lavabo + 2 por área de serviço + 1 por área técnica + 1 por cozinha + 1 por sacada + 1 por torneira de jardin</t>
        </is>
      </c>
      <c r="P1490" s="1721" t="inlineStr">
        <is>
          <t>Pendente</t>
        </is>
      </c>
    </row>
    <row r="1491" hidden="1" outlineLevel="2" ht="13.5" customHeight="1">
      <c r="A1491" s="2117" t="n">
        <v>0</v>
      </c>
      <c r="B1491" s="2117" t="n">
        <v>13</v>
      </c>
      <c r="C1491" s="2117" t="n">
        <v>6</v>
      </c>
      <c r="D1491" s="2118" t="n">
        <v>3</v>
      </c>
      <c r="E1491" s="2118" t="n">
        <v>0</v>
      </c>
      <c r="G1491" s="1797" t="n"/>
      <c r="H1491" s="1777" t="inlineStr">
        <is>
          <t>SUBETAPA</t>
        </is>
      </c>
      <c r="I1491" s="1742" t="inlineStr">
        <is>
          <t>13.006.003</t>
        </is>
      </c>
      <c r="J1491" s="1779" t="inlineStr">
        <is>
          <t>Mão de Obra</t>
        </is>
      </c>
      <c r="K1491" s="1780" t="n"/>
      <c r="L1491" s="1781" t="n"/>
      <c r="M1491" s="1781" t="n"/>
      <c r="N1491" s="1746" t="n">
        <v>1075.68</v>
      </c>
      <c r="O1491" s="1782" t="n"/>
      <c r="P1491" s="1720" t="n"/>
    </row>
    <row r="1492" hidden="1" outlineLevel="3" ht="13.5" customHeight="1">
      <c r="A1492" s="2117" t="n">
        <v>0</v>
      </c>
      <c r="B1492" s="2117" t="n">
        <v>13</v>
      </c>
      <c r="C1492" s="2117" t="n">
        <v>6</v>
      </c>
      <c r="D1492" s="2118" t="n">
        <v>3</v>
      </c>
      <c r="E1492" s="2118" t="n">
        <v>1</v>
      </c>
      <c r="G1492" s="1798" t="inlineStr">
        <is>
          <t>IMPERMEABILIZAÇÃO</t>
        </is>
      </c>
      <c r="H1492" s="1783" t="inlineStr">
        <is>
          <t>SERVIÇO</t>
        </is>
      </c>
      <c r="I1492" s="1750" t="inlineStr">
        <is>
          <t>13.006.003.001</t>
        </is>
      </c>
      <c r="J1492" s="1785" t="inlineStr">
        <is>
          <t>Mão de obra impermeabilização sistema 2.5.3</t>
        </is>
      </c>
      <c r="K1492" s="1786" t="inlineStr">
        <is>
          <t>m2</t>
        </is>
      </c>
      <c r="L1492" s="1787" t="n">
        <v>30.49</v>
      </c>
      <c r="M1492" s="1787" t="n">
        <v>32</v>
      </c>
      <c r="N1492" s="1754" t="n">
        <v>975.6799999999999</v>
      </c>
      <c r="O1492" s="1788" t="n"/>
      <c r="P1492" s="1721" t="inlineStr">
        <is>
          <t>Pendente</t>
        </is>
      </c>
    </row>
    <row r="1493" hidden="1" outlineLevel="3" ht="13.5" customHeight="1">
      <c r="A1493" s="2117" t="n">
        <v>0</v>
      </c>
      <c r="B1493" s="2117" t="n">
        <v>13</v>
      </c>
      <c r="C1493" s="2117" t="n">
        <v>6</v>
      </c>
      <c r="D1493" s="2118" t="n">
        <v>3</v>
      </c>
      <c r="E1493" s="2118" t="n">
        <v>2</v>
      </c>
      <c r="G1493" s="1798" t="inlineStr">
        <is>
          <t>IMPERMEABILIZAÇÃO</t>
        </is>
      </c>
      <c r="H1493" s="1783" t="inlineStr">
        <is>
          <t>SERVIÇO</t>
        </is>
      </c>
      <c r="I1493" s="1750" t="inlineStr">
        <is>
          <t>13.006.003.002</t>
        </is>
      </c>
      <c r="J1493" s="1751" t="inlineStr">
        <is>
          <t>Mão de obra tratamento de ralo com manta de poliéster</t>
        </is>
      </c>
      <c r="K1493" s="1786" t="inlineStr">
        <is>
          <t>un</t>
        </is>
      </c>
      <c r="L1493" s="1787" t="n">
        <v>2</v>
      </c>
      <c r="M1493" s="1787" t="n">
        <v>50</v>
      </c>
      <c r="N1493" s="1754" t="n">
        <v>100</v>
      </c>
      <c r="O1493" s="1788" t="n"/>
      <c r="P1493" s="1721" t="inlineStr">
        <is>
          <t>Pendente</t>
        </is>
      </c>
    </row>
    <row r="1494" hidden="1" outlineLevel="1" ht="13.5" customHeight="1">
      <c r="A1494" s="2117" t="n">
        <v>0</v>
      </c>
      <c r="B1494" s="2117" t="n">
        <v>13</v>
      </c>
      <c r="C1494" s="2117" t="n">
        <v>7</v>
      </c>
      <c r="D1494" s="2118" t="n">
        <v>0</v>
      </c>
      <c r="E1494" s="2118" t="n">
        <v>2</v>
      </c>
      <c r="G1494" s="1796" t="n"/>
      <c r="H1494" s="1771" t="inlineStr">
        <is>
          <t>ETAPA</t>
        </is>
      </c>
      <c r="I1494" s="1735" t="inlineStr">
        <is>
          <t>13.007</t>
        </is>
      </c>
      <c r="J1494" s="1773" t="inlineStr">
        <is>
          <t>IMPERMEABILIZAÇÃO E TRATAMENTOS - Lazer | Garagem</t>
        </is>
      </c>
      <c r="K1494" s="1774" t="n"/>
      <c r="L1494" s="1775" t="n"/>
      <c r="M1494" s="1775" t="n"/>
      <c r="N1494" s="1739" t="n">
        <v>157022.473058667</v>
      </c>
      <c r="O1494" s="1776" t="n">
        <v>9.37466069831027</v>
      </c>
      <c r="P1494" s="1719" t="n"/>
    </row>
    <row r="1495" hidden="1" outlineLevel="2" ht="13.5" customHeight="1">
      <c r="A1495" s="2117" t="n">
        <v>0</v>
      </c>
      <c r="B1495" s="2117" t="n">
        <v>13</v>
      </c>
      <c r="C1495" s="2117" t="n">
        <v>7</v>
      </c>
      <c r="D1495" s="2118" t="n">
        <v>1</v>
      </c>
      <c r="E1495" s="2118" t="n">
        <v>0</v>
      </c>
      <c r="G1495" s="1797" t="n"/>
      <c r="H1495" s="1777" t="inlineStr">
        <is>
          <t>SUBETAPA</t>
        </is>
      </c>
      <c r="I1495" s="1742" t="inlineStr">
        <is>
          <t>13.007.001</t>
        </is>
      </c>
      <c r="J1495" s="1779" t="inlineStr">
        <is>
          <t>Regularização e proteção mecânica</t>
        </is>
      </c>
      <c r="K1495" s="1780" t="n"/>
      <c r="L1495" s="1781" t="n"/>
      <c r="M1495" s="1781" t="n"/>
      <c r="N1495" s="1746" t="n">
        <v>16197.604813</v>
      </c>
      <c r="O1495" s="1782" t="n">
        <v>0.967040235001645</v>
      </c>
      <c r="P1495" s="1720" t="n"/>
    </row>
    <row r="1496" hidden="1" outlineLevel="3" ht="13.5" customHeight="1">
      <c r="A1496" s="2117" t="n">
        <v>0</v>
      </c>
      <c r="B1496" s="2117" t="n">
        <v>13</v>
      </c>
      <c r="C1496" s="2117" t="n">
        <v>7</v>
      </c>
      <c r="D1496" s="2118" t="n">
        <v>1</v>
      </c>
      <c r="E1496" s="2118" t="n">
        <v>1</v>
      </c>
      <c r="G1496" s="1798" t="inlineStr">
        <is>
          <t>IMPERMEABILIZAÇÃO</t>
        </is>
      </c>
      <c r="H1496" s="1783" t="inlineStr">
        <is>
          <t>SERVIÇO</t>
        </is>
      </c>
      <c r="I1496" s="1750" t="inlineStr">
        <is>
          <t>13.007.001.001</t>
        </is>
      </c>
      <c r="J1496" s="1785" t="inlineStr">
        <is>
          <t xml:space="preserve">Regularização de superfície para impermeabilização </t>
        </is>
      </c>
      <c r="K1496" s="1786" t="inlineStr">
        <is>
          <t>m2</t>
        </is>
      </c>
      <c r="L1496" s="1787" t="n">
        <v>301.02</v>
      </c>
      <c r="M1496" s="1787" t="n">
        <v>7.065899999999999</v>
      </c>
      <c r="N1496" s="1754" t="n">
        <v>2126.977218</v>
      </c>
      <c r="O1496" s="1788" t="inlineStr">
        <is>
          <t>Toda área de piso que recebe impermeabilização</t>
        </is>
      </c>
      <c r="P1496" s="1721" t="inlineStr">
        <is>
          <t>Pendente</t>
        </is>
      </c>
    </row>
    <row r="1497" hidden="1" outlineLevel="3" ht="13.5" customHeight="1">
      <c r="A1497" s="2117" t="n">
        <v>0</v>
      </c>
      <c r="B1497" s="2117" t="n">
        <v>13</v>
      </c>
      <c r="C1497" s="2117" t="n">
        <v>7</v>
      </c>
      <c r="D1497" s="2118" t="n">
        <v>1</v>
      </c>
      <c r="E1497" s="2118" t="n">
        <v>2</v>
      </c>
      <c r="G1497" s="1798" t="inlineStr">
        <is>
          <t>IMPERMEABILIZAÇÃO</t>
        </is>
      </c>
      <c r="H1497" s="1783" t="inlineStr">
        <is>
          <t>SERVIÇO</t>
        </is>
      </c>
      <c r="I1497" s="1750" t="inlineStr">
        <is>
          <t>13.007.001.002</t>
        </is>
      </c>
      <c r="J1497" s="1785" t="inlineStr">
        <is>
          <t>Proteção mecânica de superfície com argamassa de cimento e areia, traço 1:3 E=5cm</t>
        </is>
      </c>
      <c r="K1497" s="1786" t="inlineStr">
        <is>
          <t>m2</t>
        </is>
      </c>
      <c r="L1497" s="1787" t="n">
        <v>285.07</v>
      </c>
      <c r="M1497" s="1787" t="n">
        <v>49.3585</v>
      </c>
      <c r="N1497" s="1754" t="n">
        <v>14070.627595</v>
      </c>
      <c r="O1497" s="1788" t="inlineStr">
        <is>
          <t>Toda área de piso que recebe impermeabilização de manta asfáltica</t>
        </is>
      </c>
      <c r="P1497" s="1721" t="inlineStr">
        <is>
          <t>Pendente</t>
        </is>
      </c>
    </row>
    <row r="1498" hidden="1" outlineLevel="2" ht="13.5" customHeight="1">
      <c r="A1498" s="2117" t="n">
        <v>0</v>
      </c>
      <c r="B1498" s="2117" t="n">
        <v>13</v>
      </c>
      <c r="C1498" s="2117" t="n">
        <v>7</v>
      </c>
      <c r="D1498" s="2118" t="n">
        <v>2</v>
      </c>
      <c r="E1498" s="2118" t="n">
        <v>0</v>
      </c>
      <c r="G1498" s="1797" t="n"/>
      <c r="H1498" s="1777" t="inlineStr">
        <is>
          <t>SUBETAPA</t>
        </is>
      </c>
      <c r="I1498" s="1742" t="inlineStr">
        <is>
          <t>13.007.002</t>
        </is>
      </c>
      <c r="J1498" s="1779" t="inlineStr">
        <is>
          <t>Impermeabilização de piscinas e espelhos d´água</t>
        </is>
      </c>
      <c r="K1498" s="1780" t="n"/>
      <c r="L1498" s="1781" t="n"/>
      <c r="M1498" s="1781" t="n"/>
      <c r="N1498" s="1746" t="n">
        <v>64619.94644</v>
      </c>
      <c r="O1498" s="1782" t="n"/>
      <c r="P1498" s="1720" t="n"/>
    </row>
    <row r="1499" hidden="1" outlineLevel="3" ht="13.5" customHeight="1">
      <c r="A1499" s="2117" t="n">
        <v>0</v>
      </c>
      <c r="B1499" s="2117" t="n">
        <v>13</v>
      </c>
      <c r="C1499" s="2117" t="n">
        <v>7</v>
      </c>
      <c r="D1499" s="2118" t="n">
        <v>2</v>
      </c>
      <c r="E1499" s="2118" t="n">
        <v>1</v>
      </c>
      <c r="G1499" s="1798" t="inlineStr">
        <is>
          <t>IMPERMEABILIZAÇÃO</t>
        </is>
      </c>
      <c r="H1499" s="1783" t="inlineStr">
        <is>
          <t>SERVIÇO</t>
        </is>
      </c>
      <c r="I1499" s="1750" t="inlineStr">
        <is>
          <t>13.007.002.001</t>
        </is>
      </c>
      <c r="J1499" s="1785" t="inlineStr">
        <is>
          <t>Sistema 4.9.2:Primer asfáltico à base d'água (0,4 L/m²)+Asfalto oxidado modificado (5kg/m²)+Manta asfáltica AA 3mm Tipo III Classe B+Manta asfáltica AA 4mm Tipo III Classe B+Argamassa polimérica para impermeabilização sobre a proteção mecânica (2,0 kg/m²)</t>
        </is>
      </c>
      <c r="K1499" s="1786" t="inlineStr">
        <is>
          <t>m2</t>
        </is>
      </c>
      <c r="L1499" s="1787" t="n">
        <v>241.13</v>
      </c>
      <c r="M1499" s="1787" t="n">
        <v>267.988</v>
      </c>
      <c r="N1499" s="1754" t="n">
        <v>64619.94644</v>
      </c>
      <c r="O1499" s="1788" t="inlineStr">
        <is>
          <t>Piscina</t>
        </is>
      </c>
      <c r="P1499" s="1721" t="inlineStr">
        <is>
          <t>Pendente</t>
        </is>
      </c>
    </row>
    <row r="1500" hidden="1" outlineLevel="2" ht="13.5" customHeight="1">
      <c r="A1500" s="2117" t="n">
        <v>0</v>
      </c>
      <c r="B1500" s="2117" t="n">
        <v>13</v>
      </c>
      <c r="C1500" s="2117" t="n">
        <v>7</v>
      </c>
      <c r="D1500" s="2118" t="n">
        <v>3</v>
      </c>
      <c r="E1500" s="2118" t="n">
        <v>0</v>
      </c>
      <c r="G1500" s="1797" t="n"/>
      <c r="H1500" s="1777" t="inlineStr">
        <is>
          <t>SUBETAPA</t>
        </is>
      </c>
      <c r="I1500" s="1742" t="inlineStr">
        <is>
          <t>13.007.003</t>
        </is>
      </c>
      <c r="J1500" s="1779" t="inlineStr">
        <is>
          <t>Impermeabilização de banheiro, cozinha, área de serviço, área técnica, área comum, fosso do elevador e sacada</t>
        </is>
      </c>
      <c r="K1500" s="1780" t="n"/>
      <c r="L1500" s="1781" t="n"/>
      <c r="M1500" s="1781" t="n"/>
      <c r="N1500" s="1746" t="n">
        <v>30639.5018636667</v>
      </c>
      <c r="O1500" s="1782" t="n"/>
      <c r="P1500" s="1720" t="n"/>
    </row>
    <row r="1501" hidden="1" outlineLevel="3" ht="13.5" customHeight="1">
      <c r="A1501" s="2117" t="n">
        <v>0</v>
      </c>
      <c r="B1501" s="2117" t="n">
        <v>13</v>
      </c>
      <c r="C1501" s="2117" t="n">
        <v>7</v>
      </c>
      <c r="D1501" s="2118" t="n">
        <v>3</v>
      </c>
      <c r="E1501" s="2118" t="n">
        <v>1</v>
      </c>
      <c r="G1501" s="1798" t="inlineStr">
        <is>
          <t>IMPERMEABILIZAÇÃO</t>
        </is>
      </c>
      <c r="H1501" s="1783" t="inlineStr">
        <is>
          <t>SERVIÇO</t>
        </is>
      </c>
      <c r="I1501" s="1750" t="inlineStr">
        <is>
          <t>13.007.003.001</t>
        </is>
      </c>
      <c r="J1501" s="1785" t="inlineStr">
        <is>
          <t>Sistema 2.5.3: Membrana de polímero acrílico com cimento e fibras sintéticas | Revestimento bicomponente à base de polímeros acrílicos com adição de cimento e fibras sintéticas (3,0 kg/m²) + Tela de poliéster nos pontos críticos</t>
        </is>
      </c>
      <c r="K1501" s="1786" t="inlineStr">
        <is>
          <t>m2</t>
        </is>
      </c>
      <c r="L1501" s="1787" t="n">
        <v>26.41</v>
      </c>
      <c r="M1501" s="1787" t="n">
        <v>34.05846666666666</v>
      </c>
      <c r="N1501" s="1754" t="n">
        <v>899.484104666667</v>
      </c>
      <c r="O1501" s="1788" t="inlineStr">
        <is>
          <t>Banheiro + área de serviço + casa de máquinas</t>
        </is>
      </c>
      <c r="P1501" s="1721" t="inlineStr">
        <is>
          <t>Pendente</t>
        </is>
      </c>
    </row>
    <row r="1502" hidden="1" outlineLevel="3" ht="13.5" customHeight="1">
      <c r="A1502" s="2117" t="n">
        <v>0</v>
      </c>
      <c r="B1502" s="2117" t="n">
        <v>13</v>
      </c>
      <c r="C1502" s="2117" t="n">
        <v>7</v>
      </c>
      <c r="D1502" s="2118" t="n">
        <v>3</v>
      </c>
      <c r="E1502" s="2118" t="n">
        <v>2</v>
      </c>
      <c r="G1502" s="1798" t="inlineStr">
        <is>
          <t>IMPERMEABILIZAÇÃO</t>
        </is>
      </c>
      <c r="H1502" s="1783" t="inlineStr">
        <is>
          <t>SERVIÇO</t>
        </is>
      </c>
      <c r="I1502" s="1750" t="inlineStr">
        <is>
          <t>13.007.003.002</t>
        </is>
      </c>
      <c r="J1502" s="1785" t="inlineStr">
        <is>
          <t>Sistema 7.1.6:Argamassa impermeabilizante sem cimento - MK-FEN 30 (F) | Argamassa não cimentícia com agentes incorporadores de ar (8,0 kg/m²) + Tela de poliéster nos pontos críticos</t>
        </is>
      </c>
      <c r="K1502" s="1786" t="inlineStr">
        <is>
          <t>m2</t>
        </is>
      </c>
      <c r="L1502" s="1787" t="n">
        <v>48.03</v>
      </c>
      <c r="M1502" s="1787" t="n">
        <v>148.8918</v>
      </c>
      <c r="N1502" s="1754" t="n">
        <v>7151.273154</v>
      </c>
      <c r="O1502" s="1788" t="inlineStr">
        <is>
          <t>área técnica + sauna</t>
        </is>
      </c>
      <c r="P1502" s="1721" t="inlineStr">
        <is>
          <t>Pendente</t>
        </is>
      </c>
    </row>
    <row r="1503" hidden="1" outlineLevel="3" ht="13.5" customHeight="1">
      <c r="A1503" s="2117" t="n">
        <v>0</v>
      </c>
      <c r="B1503" s="2117" t="n">
        <v>13</v>
      </c>
      <c r="C1503" s="2117" t="n">
        <v>7</v>
      </c>
      <c r="D1503" s="2118" t="n">
        <v>3</v>
      </c>
      <c r="E1503" s="2118" t="n">
        <v>3</v>
      </c>
      <c r="G1503" s="1798" t="inlineStr">
        <is>
          <t>IMPERMEABILIZAÇÃO</t>
        </is>
      </c>
      <c r="H1503" s="1783" t="inlineStr">
        <is>
          <t>SERVIÇO</t>
        </is>
      </c>
      <c r="I1503" s="1750" t="inlineStr">
        <is>
          <t>13.007.003.003</t>
        </is>
      </c>
      <c r="J1503" s="1785" t="inlineStr">
        <is>
          <t>Sistema 4.2.4:Primer asfáltico à base d'água (0,4 L/m²) + Asfalto oxidado modificado (2,5 kg/m²) + Manta asfáltica AA 4mm Tipo III Classe B + Banho de asfalto oxidado modificado (2,5 kg/m²)</t>
        </is>
      </c>
      <c r="K1503" s="1786" t="inlineStr">
        <is>
          <t>m2</t>
        </is>
      </c>
      <c r="L1503" s="1787" t="n">
        <v>169.61</v>
      </c>
      <c r="M1503" s="1787" t="n">
        <v>133.1805</v>
      </c>
      <c r="N1503" s="1754" t="n">
        <v>22588.744605</v>
      </c>
      <c r="O1503" s="1788" t="inlineStr">
        <is>
          <t>Sacada + circulação lazer + espaço crossfit</t>
        </is>
      </c>
      <c r="P1503" s="1721" t="inlineStr">
        <is>
          <t>Pendente</t>
        </is>
      </c>
    </row>
    <row r="1504" hidden="1" outlineLevel="2" ht="13.5" customHeight="1">
      <c r="A1504" s="2117" t="n">
        <v>0</v>
      </c>
      <c r="B1504" s="2117" t="n">
        <v>13</v>
      </c>
      <c r="C1504" s="2117" t="n">
        <v>7</v>
      </c>
      <c r="D1504" s="2118" t="n">
        <v>4</v>
      </c>
      <c r="E1504" s="2118" t="n">
        <v>0</v>
      </c>
      <c r="G1504" s="1797" t="n"/>
      <c r="H1504" s="1777" t="inlineStr">
        <is>
          <t>SUBETAPA</t>
        </is>
      </c>
      <c r="I1504" s="1742" t="inlineStr">
        <is>
          <t>13.007.004</t>
        </is>
      </c>
      <c r="J1504" s="1779" t="inlineStr">
        <is>
          <t>Impermeabilização de esquadrias</t>
        </is>
      </c>
      <c r="K1504" s="1780" t="n"/>
      <c r="L1504" s="1781" t="n"/>
      <c r="M1504" s="1781" t="n"/>
      <c r="N1504" s="1746" t="n">
        <v>1213.843752</v>
      </c>
      <c r="O1504" s="1782" t="n"/>
      <c r="P1504" s="1720" t="n"/>
    </row>
    <row r="1505" hidden="1" outlineLevel="3" ht="13.5" customHeight="1">
      <c r="A1505" s="2117" t="n">
        <v>0</v>
      </c>
      <c r="B1505" s="2117" t="n">
        <v>13</v>
      </c>
      <c r="C1505" s="2117" t="n">
        <v>7</v>
      </c>
      <c r="D1505" s="2118" t="n">
        <v>4</v>
      </c>
      <c r="E1505" s="2118" t="n">
        <v>1</v>
      </c>
      <c r="G1505" s="1798" t="inlineStr">
        <is>
          <t>IMPERMEABILIZAÇÃO</t>
        </is>
      </c>
      <c r="H1505" s="1783" t="inlineStr">
        <is>
          <t>SERVIÇO</t>
        </is>
      </c>
      <c r="I1505" s="1750" t="inlineStr">
        <is>
          <t>13.007.004.001</t>
        </is>
      </c>
      <c r="J1505" s="1785" t="inlineStr">
        <is>
          <t>Sistema 2.5.3: Membrana de polímero acrílico com cimento e fibras sintéticas | Revestimento bicomponente à base de polímeros acrílicos com adição de cimento e fibras sintéticas (3,0 kg/m²) + Tela de poliéster nos pontos críticos</t>
        </is>
      </c>
      <c r="K1505" s="1786" t="inlineStr">
        <is>
          <t>m2</t>
        </is>
      </c>
      <c r="L1505" s="1787" t="n">
        <v>35.64</v>
      </c>
      <c r="M1505" s="1787" t="n">
        <v>34.05846666666666</v>
      </c>
      <c r="N1505" s="1754" t="n">
        <v>1213.843752</v>
      </c>
      <c r="O1505" s="1788" t="n"/>
      <c r="P1505" s="1721" t="inlineStr">
        <is>
          <t>Pendente</t>
        </is>
      </c>
    </row>
    <row r="1506" hidden="1" outlineLevel="2" ht="13.5" customHeight="1">
      <c r="A1506" s="2117" t="n">
        <v>0</v>
      </c>
      <c r="B1506" s="2117" t="n">
        <v>13</v>
      </c>
      <c r="C1506" s="2117" t="n">
        <v>7</v>
      </c>
      <c r="D1506" s="2118" t="n">
        <v>5</v>
      </c>
      <c r="E1506" s="2118" t="n">
        <v>0</v>
      </c>
      <c r="G1506" s="1797" t="n"/>
      <c r="H1506" s="1777" t="inlineStr">
        <is>
          <t>SUBETAPA</t>
        </is>
      </c>
      <c r="I1506" s="1742" t="inlineStr">
        <is>
          <t>13.007.005</t>
        </is>
      </c>
      <c r="J1506" s="1779" t="inlineStr">
        <is>
          <t>Impermeabilização de ralos</t>
        </is>
      </c>
      <c r="K1506" s="1780" t="n"/>
      <c r="L1506" s="1781" t="n"/>
      <c r="M1506" s="1781" t="n"/>
      <c r="N1506" s="1746" t="n">
        <v>70.08011999999999</v>
      </c>
      <c r="O1506" s="1782" t="n"/>
      <c r="P1506" s="1720" t="n"/>
    </row>
    <row r="1507" hidden="1" outlineLevel="3" ht="13.5" customHeight="1">
      <c r="A1507" s="2117" t="n">
        <v>0</v>
      </c>
      <c r="B1507" s="2117" t="n">
        <v>13</v>
      </c>
      <c r="C1507" s="2117" t="n">
        <v>7</v>
      </c>
      <c r="D1507" s="2118" t="n">
        <v>5</v>
      </c>
      <c r="E1507" s="2118" t="n">
        <v>1</v>
      </c>
      <c r="G1507" s="1798" t="inlineStr">
        <is>
          <t>IMPERMEABILIZAÇÃO</t>
        </is>
      </c>
      <c r="H1507" s="1783" t="inlineStr">
        <is>
          <t>SERVIÇO</t>
        </is>
      </c>
      <c r="I1507" s="1750" t="inlineStr">
        <is>
          <t>13.007.005.001</t>
        </is>
      </c>
      <c r="J1507" s="1785" t="inlineStr">
        <is>
          <t>Tratamento De Ralo Ou Ponto Emergente Com Argamassa Polimérica Reforçado Com Tela De Poliéster</t>
        </is>
      </c>
      <c r="K1507" s="1786" t="inlineStr">
        <is>
          <t>un</t>
        </is>
      </c>
      <c r="L1507" s="1787" t="n">
        <v>8</v>
      </c>
      <c r="M1507" s="1787" t="n">
        <v>8.760015000000001</v>
      </c>
      <c r="N1507" s="1754" t="n">
        <v>70.08011999999999</v>
      </c>
      <c r="O1507" s="1788" t="inlineStr">
        <is>
          <t>2 por banheiro + 1 por lavabo + 2 por área de serviço + 1 por área técnica + 1 por cozinha + 1 por sacada + 1 por torneira de jardin</t>
        </is>
      </c>
      <c r="P1507" s="1721" t="inlineStr">
        <is>
          <t>Pendente</t>
        </is>
      </c>
    </row>
    <row r="1508" hidden="1" outlineLevel="2" ht="13.5" customHeight="1">
      <c r="A1508" s="2117" t="n">
        <v>0</v>
      </c>
      <c r="B1508" s="2117" t="n">
        <v>13</v>
      </c>
      <c r="C1508" s="2117" t="n">
        <v>7</v>
      </c>
      <c r="D1508" s="2118" t="n">
        <v>6</v>
      </c>
      <c r="E1508" s="2118" t="n">
        <v>0</v>
      </c>
      <c r="G1508" s="1797" t="n"/>
      <c r="H1508" s="1777" t="inlineStr">
        <is>
          <t>SUBETAPA</t>
        </is>
      </c>
      <c r="I1508" s="1742" t="inlineStr">
        <is>
          <t>13.007.006</t>
        </is>
      </c>
      <c r="J1508" s="1779" t="inlineStr">
        <is>
          <t>Impermeabilização de Floreiras</t>
        </is>
      </c>
      <c r="K1508" s="1780" t="n"/>
      <c r="L1508" s="1781" t="n"/>
      <c r="M1508" s="1781" t="n"/>
      <c r="N1508" s="1746" t="n">
        <v>1039.97607</v>
      </c>
      <c r="O1508" s="1782" t="n"/>
      <c r="P1508" s="1720" t="n"/>
    </row>
    <row r="1509" hidden="1" outlineLevel="3" ht="13.5" customHeight="1">
      <c r="A1509" s="2117" t="n">
        <v>0</v>
      </c>
      <c r="B1509" s="2117" t="n">
        <v>13</v>
      </c>
      <c r="C1509" s="2117" t="n">
        <v>7</v>
      </c>
      <c r="D1509" s="2118" t="n">
        <v>6</v>
      </c>
      <c r="E1509" s="2118" t="n">
        <v>1</v>
      </c>
      <c r="G1509" s="1798" t="inlineStr">
        <is>
          <t>IMPERMEABILIZAÇÃO</t>
        </is>
      </c>
      <c r="H1509" s="1783" t="inlineStr">
        <is>
          <t>SERVIÇO</t>
        </is>
      </c>
      <c r="I1509" s="1750" t="inlineStr">
        <is>
          <t>13.007.006.001</t>
        </is>
      </c>
      <c r="J1509" s="1785" t="inlineStr">
        <is>
          <t>Sistema 4.5.3:Primer asfáltico à base d'água (0,4 L/m²) + Asfalto oxidado modificado (2,5 kg/m²) + Manta asfáltica AA 4mm Tipo III Classe B + Banho de asfalto oxidado modificado (2,5 kg/m²) + Emulsão asfáltica antiraiz sobre a proteção mecânica (0,8 L/m²)</t>
        </is>
      </c>
      <c r="K1509" s="1786" t="inlineStr">
        <is>
          <t>m2</t>
        </is>
      </c>
      <c r="L1509" s="1787" t="n">
        <v>5.739999999999999</v>
      </c>
      <c r="M1509" s="1787" t="n">
        <v>181.1805</v>
      </c>
      <c r="N1509" s="1754" t="n">
        <v>1039.97607</v>
      </c>
      <c r="O1509" s="1788" t="inlineStr">
        <is>
          <t>Floreiras</t>
        </is>
      </c>
      <c r="P1509" s="1721" t="inlineStr">
        <is>
          <t>Pendente</t>
        </is>
      </c>
    </row>
    <row r="1510" hidden="1" outlineLevel="2" ht="13.5" customHeight="1">
      <c r="A1510" s="2117" t="n">
        <v>0</v>
      </c>
      <c r="B1510" s="2117" t="n">
        <v>13</v>
      </c>
      <c r="C1510" s="2117" t="n">
        <v>7</v>
      </c>
      <c r="D1510" s="2118" t="n">
        <v>7</v>
      </c>
      <c r="E1510" s="2118" t="n">
        <v>0</v>
      </c>
      <c r="G1510" s="1797" t="n"/>
      <c r="H1510" s="1777" t="inlineStr">
        <is>
          <t>SUBETAPA</t>
        </is>
      </c>
      <c r="I1510" s="1742" t="inlineStr">
        <is>
          <t>13.007.007</t>
        </is>
      </c>
      <c r="J1510" s="1779" t="inlineStr">
        <is>
          <t>Mão de Obra</t>
        </is>
      </c>
      <c r="K1510" s="1780" t="n"/>
      <c r="L1510" s="1781" t="n"/>
      <c r="M1510" s="1781" t="n"/>
      <c r="N1510" s="1746" t="n">
        <v>43241.52</v>
      </c>
      <c r="O1510" s="1782" t="n"/>
      <c r="P1510" s="1720" t="n"/>
    </row>
    <row r="1511" hidden="1" outlineLevel="3" ht="13.5" customHeight="1">
      <c r="A1511" s="2117" t="n">
        <v>0</v>
      </c>
      <c r="B1511" s="2117" t="n">
        <v>13</v>
      </c>
      <c r="C1511" s="2117" t="n">
        <v>7</v>
      </c>
      <c r="D1511" s="2118" t="n">
        <v>7</v>
      </c>
      <c r="E1511" s="2118" t="n">
        <v>1</v>
      </c>
      <c r="G1511" s="1798" t="inlineStr">
        <is>
          <t>IMPERMEABILIZAÇÃO</t>
        </is>
      </c>
      <c r="H1511" s="1783" t="inlineStr">
        <is>
          <t>SERVIÇO</t>
        </is>
      </c>
      <c r="I1511" s="1750" t="inlineStr">
        <is>
          <t>13.007.007.001</t>
        </is>
      </c>
      <c r="J1511" s="1785" t="inlineStr">
        <is>
          <t xml:space="preserve">Mão de obra para regularização de superfície </t>
        </is>
      </c>
      <c r="K1511" s="1786" t="inlineStr">
        <is>
          <t>m2</t>
        </is>
      </c>
      <c r="L1511" s="1787" t="n">
        <v>301.02</v>
      </c>
      <c r="M1511" s="1787" t="n">
        <v>20</v>
      </c>
      <c r="N1511" s="1754" t="n">
        <v>6020.4</v>
      </c>
      <c r="O1511" s="1788" t="n"/>
      <c r="P1511" s="1721" t="inlineStr">
        <is>
          <t>Pendente</t>
        </is>
      </c>
    </row>
    <row r="1512" hidden="1" outlineLevel="3" ht="13.5" customHeight="1">
      <c r="A1512" s="2117" t="n">
        <v>0</v>
      </c>
      <c r="B1512" s="2117" t="n">
        <v>13</v>
      </c>
      <c r="C1512" s="2117" t="n">
        <v>7</v>
      </c>
      <c r="D1512" s="2118" t="n">
        <v>7</v>
      </c>
      <c r="E1512" s="2118" t="n">
        <v>2</v>
      </c>
      <c r="G1512" s="1798" t="inlineStr">
        <is>
          <t>IMPERMEABILIZAÇÃO</t>
        </is>
      </c>
      <c r="H1512" s="1783" t="inlineStr">
        <is>
          <t>SERVIÇO</t>
        </is>
      </c>
      <c r="I1512" s="1750" t="inlineStr">
        <is>
          <t>13.007.007.002</t>
        </is>
      </c>
      <c r="J1512" s="1785" t="inlineStr">
        <is>
          <t>Mão de obra para proteção mecânica</t>
        </is>
      </c>
      <c r="K1512" s="1786" t="inlineStr">
        <is>
          <t>m2</t>
        </is>
      </c>
      <c r="L1512" s="1787" t="n">
        <v>285.07</v>
      </c>
      <c r="M1512" s="1787" t="n">
        <v>35</v>
      </c>
      <c r="N1512" s="1754" t="n">
        <v>9977.450000000001</v>
      </c>
      <c r="O1512" s="1788" t="n"/>
      <c r="P1512" s="1721" t="inlineStr">
        <is>
          <t>Pendente</t>
        </is>
      </c>
    </row>
    <row r="1513" hidden="1" outlineLevel="3" ht="13.5" customHeight="1">
      <c r="A1513" s="2117" t="n">
        <v>0</v>
      </c>
      <c r="B1513" s="2117" t="n">
        <v>13</v>
      </c>
      <c r="C1513" s="2117" t="n">
        <v>7</v>
      </c>
      <c r="D1513" s="2118" t="n">
        <v>7</v>
      </c>
      <c r="E1513" s="2118" t="n">
        <v>3</v>
      </c>
      <c r="G1513" s="1798" t="inlineStr">
        <is>
          <t>IMPERMEABILIZAÇÃO</t>
        </is>
      </c>
      <c r="H1513" s="1783" t="inlineStr">
        <is>
          <t>SERVIÇO</t>
        </is>
      </c>
      <c r="I1513" s="1750" t="inlineStr">
        <is>
          <t>13.007.007.003</t>
        </is>
      </c>
      <c r="J1513" s="1785" t="inlineStr">
        <is>
          <t>Mão de obra impermeabilização sistema 2.5.3</t>
        </is>
      </c>
      <c r="K1513" s="1786" t="inlineStr">
        <is>
          <t>m2</t>
        </is>
      </c>
      <c r="L1513" s="1787" t="n">
        <v>62.05</v>
      </c>
      <c r="M1513" s="1787" t="n">
        <v>32</v>
      </c>
      <c r="N1513" s="1754" t="n">
        <v>1985.6</v>
      </c>
      <c r="O1513" s="1788" t="n"/>
      <c r="P1513" s="1721" t="inlineStr">
        <is>
          <t>Pendente</t>
        </is>
      </c>
    </row>
    <row r="1514" hidden="1" outlineLevel="3" ht="13.5" customHeight="1">
      <c r="A1514" s="2117" t="n">
        <v>0</v>
      </c>
      <c r="B1514" s="2117" t="n">
        <v>13</v>
      </c>
      <c r="C1514" s="2117" t="n">
        <v>7</v>
      </c>
      <c r="D1514" s="2118" t="n">
        <v>7</v>
      </c>
      <c r="E1514" s="2118" t="n">
        <v>4</v>
      </c>
      <c r="G1514" s="1798" t="inlineStr">
        <is>
          <t>IMPERMEABILIZAÇÃO</t>
        </is>
      </c>
      <c r="H1514" s="1783" t="inlineStr">
        <is>
          <t>SERVIÇO</t>
        </is>
      </c>
      <c r="I1514" s="1750" t="inlineStr">
        <is>
          <t>13.007.007.004</t>
        </is>
      </c>
      <c r="J1514" s="1785" t="inlineStr">
        <is>
          <t>Mão de obra impermeabilização sistema 4.2.4</t>
        </is>
      </c>
      <c r="K1514" s="1786" t="inlineStr">
        <is>
          <t>m2</t>
        </is>
      </c>
      <c r="L1514" s="1787" t="n">
        <v>169.61</v>
      </c>
      <c r="M1514" s="1787" t="n">
        <v>45</v>
      </c>
      <c r="N1514" s="1754" t="n">
        <v>7632.45</v>
      </c>
      <c r="O1514" s="1788" t="n"/>
      <c r="P1514" s="1721" t="inlineStr">
        <is>
          <t>Pendente</t>
        </is>
      </c>
    </row>
    <row r="1515" hidden="1" outlineLevel="3" ht="13.5" customHeight="1">
      <c r="A1515" s="2117" t="n">
        <v>0</v>
      </c>
      <c r="B1515" s="2117" t="n">
        <v>13</v>
      </c>
      <c r="C1515" s="2117" t="n">
        <v>7</v>
      </c>
      <c r="D1515" s="2118" t="n">
        <v>7</v>
      </c>
      <c r="E1515" s="2118" t="n">
        <v>5</v>
      </c>
      <c r="G1515" s="1798" t="inlineStr">
        <is>
          <t>IMPERMEABILIZAÇÃO</t>
        </is>
      </c>
      <c r="H1515" s="1783" t="inlineStr">
        <is>
          <t>SERVIÇO</t>
        </is>
      </c>
      <c r="I1515" s="1750" t="inlineStr">
        <is>
          <t>13.007.007.005</t>
        </is>
      </c>
      <c r="J1515" s="1785" t="inlineStr">
        <is>
          <t>Mão de obra impermeabilização sistema 4.5.3</t>
        </is>
      </c>
      <c r="K1515" s="1786" t="inlineStr">
        <is>
          <t>m2</t>
        </is>
      </c>
      <c r="L1515" s="1787" t="n">
        <v>5.739999999999999</v>
      </c>
      <c r="M1515" s="1787" t="n">
        <v>45</v>
      </c>
      <c r="N1515" s="1754" t="n">
        <v>258.3</v>
      </c>
      <c r="O1515" s="1788" t="n"/>
      <c r="P1515" s="1721" t="inlineStr">
        <is>
          <t>Pendente</t>
        </is>
      </c>
    </row>
    <row r="1516" hidden="1" outlineLevel="3" ht="13.5" customHeight="1">
      <c r="A1516" s="2117" t="n">
        <v>0</v>
      </c>
      <c r="B1516" s="2117" t="n">
        <v>13</v>
      </c>
      <c r="C1516" s="2117" t="n">
        <v>7</v>
      </c>
      <c r="D1516" s="2118" t="n">
        <v>7</v>
      </c>
      <c r="E1516" s="2118" t="n">
        <v>6</v>
      </c>
      <c r="G1516" s="1798" t="inlineStr">
        <is>
          <t>IMPERMEABILIZAÇÃO</t>
        </is>
      </c>
      <c r="H1516" s="1783" t="inlineStr">
        <is>
          <t>SERVIÇO</t>
        </is>
      </c>
      <c r="I1516" s="1750" t="inlineStr">
        <is>
          <t>13.007.007.006</t>
        </is>
      </c>
      <c r="J1516" s="1785" t="inlineStr">
        <is>
          <t>Mão de obra impermeabilização sistema 4.9.2</t>
        </is>
      </c>
      <c r="K1516" s="1786" t="inlineStr">
        <is>
          <t>m2</t>
        </is>
      </c>
      <c r="L1516" s="1787" t="n">
        <v>241.13</v>
      </c>
      <c r="M1516" s="1787" t="n">
        <v>62</v>
      </c>
      <c r="N1516" s="1754" t="n">
        <v>14950.06</v>
      </c>
      <c r="O1516" s="1788" t="n"/>
      <c r="P1516" s="1721" t="inlineStr">
        <is>
          <t>Pendente</t>
        </is>
      </c>
    </row>
    <row r="1517" hidden="1" outlineLevel="3" ht="13.5" customHeight="1">
      <c r="A1517" s="2117" t="n">
        <v>0</v>
      </c>
      <c r="B1517" s="2117" t="n">
        <v>13</v>
      </c>
      <c r="C1517" s="2117" t="n">
        <v>7</v>
      </c>
      <c r="D1517" s="2118" t="n">
        <v>7</v>
      </c>
      <c r="E1517" s="2118" t="n">
        <v>7</v>
      </c>
      <c r="G1517" s="1798" t="inlineStr">
        <is>
          <t>IMPERMEABILIZAÇÃO</t>
        </is>
      </c>
      <c r="H1517" s="1783" t="inlineStr">
        <is>
          <t>SERVIÇO</t>
        </is>
      </c>
      <c r="I1517" s="1750" t="inlineStr">
        <is>
          <t>13.007.007.007</t>
        </is>
      </c>
      <c r="J1517" s="1785" t="inlineStr">
        <is>
          <t>Mão de obra impermeabilização sistema 7.1.6</t>
        </is>
      </c>
      <c r="K1517" s="1786" t="inlineStr">
        <is>
          <t>m2</t>
        </is>
      </c>
      <c r="L1517" s="1787" t="n">
        <v>48.03</v>
      </c>
      <c r="M1517" s="1787" t="n">
        <v>42</v>
      </c>
      <c r="N1517" s="1754" t="n">
        <v>2017.26</v>
      </c>
      <c r="O1517" s="1788" t="n"/>
      <c r="P1517" s="1721" t="inlineStr">
        <is>
          <t>Pendente</t>
        </is>
      </c>
    </row>
    <row r="1518" hidden="1" outlineLevel="3" ht="13.5" customHeight="1">
      <c r="A1518" s="2117" t="n">
        <v>0</v>
      </c>
      <c r="B1518" s="2117" t="n">
        <v>13</v>
      </c>
      <c r="C1518" s="2117" t="n">
        <v>7</v>
      </c>
      <c r="D1518" s="2118" t="n">
        <v>7</v>
      </c>
      <c r="E1518" s="2118" t="n">
        <v>8</v>
      </c>
      <c r="G1518" s="1798" t="inlineStr">
        <is>
          <t>IMPERMEABILIZAÇÃO</t>
        </is>
      </c>
      <c r="H1518" s="1783" t="inlineStr">
        <is>
          <t>SERVIÇO</t>
        </is>
      </c>
      <c r="I1518" s="1750" t="inlineStr">
        <is>
          <t>13.007.007.008</t>
        </is>
      </c>
      <c r="J1518" s="1751" t="inlineStr">
        <is>
          <t>Mão de obra tratamento de ralo com manta de poliéster</t>
        </is>
      </c>
      <c r="K1518" s="1786" t="inlineStr">
        <is>
          <t>un</t>
        </is>
      </c>
      <c r="L1518" s="1787" t="n">
        <v>8</v>
      </c>
      <c r="M1518" s="1787" t="n">
        <v>50</v>
      </c>
      <c r="N1518" s="1754" t="n">
        <v>400</v>
      </c>
      <c r="O1518" s="1788" t="n"/>
      <c r="P1518" s="1721" t="inlineStr">
        <is>
          <t>Pendente</t>
        </is>
      </c>
    </row>
    <row r="1519" hidden="1" outlineLevel="1" ht="13.5" customHeight="1">
      <c r="A1519" s="2117" t="n">
        <v>0</v>
      </c>
      <c r="B1519" s="2117" t="n">
        <v>13</v>
      </c>
      <c r="C1519" s="2117" t="n">
        <v>8</v>
      </c>
      <c r="D1519" s="2118" t="n">
        <v>0</v>
      </c>
      <c r="E1519" s="2118" t="n">
        <v>8</v>
      </c>
      <c r="G1519" s="1796" t="n"/>
      <c r="H1519" s="1771" t="inlineStr">
        <is>
          <t>ETAPA</t>
        </is>
      </c>
      <c r="I1519" s="1735" t="inlineStr">
        <is>
          <t>13.008</t>
        </is>
      </c>
      <c r="J1519" s="1773" t="inlineStr">
        <is>
          <t>IMPERMEABILIZAÇÃO E TRATAMENTOS - Lazer</t>
        </is>
      </c>
      <c r="K1519" s="1774" t="n"/>
      <c r="L1519" s="1775" t="n"/>
      <c r="M1519" s="1775" t="n"/>
      <c r="N1519" s="1739" t="n">
        <v>131918.560874333</v>
      </c>
      <c r="O1519" s="1776" t="n">
        <v>7.87589014436304</v>
      </c>
      <c r="P1519" s="1719" t="n"/>
    </row>
    <row r="1520" hidden="1" outlineLevel="2" ht="13.5" customHeight="1">
      <c r="A1520" s="2117" t="n">
        <v>0</v>
      </c>
      <c r="B1520" s="2117" t="n">
        <v>13</v>
      </c>
      <c r="C1520" s="2117" t="n">
        <v>8</v>
      </c>
      <c r="D1520" s="2118" t="n">
        <v>1</v>
      </c>
      <c r="E1520" s="2118" t="n">
        <v>0</v>
      </c>
      <c r="G1520" s="1797" t="n"/>
      <c r="H1520" s="1777" t="inlineStr">
        <is>
          <t>SUBETAPA</t>
        </is>
      </c>
      <c r="I1520" s="1742" t="inlineStr">
        <is>
          <t>13.008.001</t>
        </is>
      </c>
      <c r="J1520" s="1779" t="inlineStr">
        <is>
          <t>Regularização e proteção mecânica</t>
        </is>
      </c>
      <c r="K1520" s="1780" t="n"/>
      <c r="L1520" s="1781" t="n"/>
      <c r="M1520" s="1781" t="n"/>
      <c r="N1520" s="1746" t="n">
        <v>19906.993667</v>
      </c>
      <c r="O1520" s="1782" t="n">
        <v>1.18850064908741</v>
      </c>
      <c r="P1520" s="1720" t="n"/>
    </row>
    <row r="1521" hidden="1" outlineLevel="3" ht="13.5" customHeight="1">
      <c r="A1521" s="2117" t="n">
        <v>0</v>
      </c>
      <c r="B1521" s="2117" t="n">
        <v>13</v>
      </c>
      <c r="C1521" s="2117" t="n">
        <v>8</v>
      </c>
      <c r="D1521" s="2118" t="n">
        <v>1</v>
      </c>
      <c r="E1521" s="2118" t="n">
        <v>1</v>
      </c>
      <c r="G1521" s="1798" t="inlineStr">
        <is>
          <t>IMPERMEABILIZAÇÃO</t>
        </is>
      </c>
      <c r="H1521" s="1783" t="inlineStr">
        <is>
          <t>SERVIÇO</t>
        </is>
      </c>
      <c r="I1521" s="1750" t="inlineStr">
        <is>
          <t>13.008.001.001</t>
        </is>
      </c>
      <c r="J1521" s="1785" t="inlineStr">
        <is>
          <t xml:space="preserve">Regularização de superfície para impermeabilização </t>
        </is>
      </c>
      <c r="K1521" s="1786" t="inlineStr">
        <is>
          <t>m2</t>
        </is>
      </c>
      <c r="L1521" s="1787" t="n">
        <v>360.48</v>
      </c>
      <c r="M1521" s="1787" t="n">
        <v>7.065899999999999</v>
      </c>
      <c r="N1521" s="1754" t="n">
        <v>2547.115632</v>
      </c>
      <c r="O1521" s="1788" t="inlineStr">
        <is>
          <t>Toda área de piso que recebe impermeabilização</t>
        </is>
      </c>
      <c r="P1521" s="1721" t="inlineStr">
        <is>
          <t>Pendente</t>
        </is>
      </c>
    </row>
    <row r="1522" hidden="1" outlineLevel="3" ht="13.5" customHeight="1">
      <c r="A1522" s="2117" t="n">
        <v>0</v>
      </c>
      <c r="B1522" s="2117" t="n">
        <v>13</v>
      </c>
      <c r="C1522" s="2117" t="n">
        <v>8</v>
      </c>
      <c r="D1522" s="2118" t="n">
        <v>1</v>
      </c>
      <c r="E1522" s="2118" t="n">
        <v>2</v>
      </c>
      <c r="G1522" s="1798" t="inlineStr">
        <is>
          <t>IMPERMEABILIZAÇÃO</t>
        </is>
      </c>
      <c r="H1522" s="1783" t="inlineStr">
        <is>
          <t>SERVIÇO</t>
        </is>
      </c>
      <c r="I1522" s="1750" t="inlineStr">
        <is>
          <t>13.008.001.002</t>
        </is>
      </c>
      <c r="J1522" s="1785" t="inlineStr">
        <is>
          <t>Proteção mecânica de superfície com argamassa de cimento e areia, traço 1:3 E=5cm</t>
        </is>
      </c>
      <c r="K1522" s="1786" t="inlineStr">
        <is>
          <t>m2</t>
        </is>
      </c>
      <c r="L1522" s="1787" t="n">
        <v>351.71</v>
      </c>
      <c r="M1522" s="1787" t="n">
        <v>49.3585</v>
      </c>
      <c r="N1522" s="1754" t="n">
        <v>17359.878035</v>
      </c>
      <c r="O1522" s="1788" t="inlineStr">
        <is>
          <t>Toda área de piso que recebe impermeabilização de manta asfáltica</t>
        </is>
      </c>
      <c r="P1522" s="1721" t="inlineStr">
        <is>
          <t>Pendente</t>
        </is>
      </c>
    </row>
    <row r="1523" hidden="1" outlineLevel="2" ht="13.5" customHeight="1">
      <c r="A1523" s="2117" t="n">
        <v>0</v>
      </c>
      <c r="B1523" s="2117" t="n">
        <v>13</v>
      </c>
      <c r="C1523" s="2117" t="n">
        <v>8</v>
      </c>
      <c r="D1523" s="2118" t="n">
        <v>2</v>
      </c>
      <c r="E1523" s="2118" t="n">
        <v>0</v>
      </c>
      <c r="G1523" s="1797" t="n"/>
      <c r="H1523" s="1777" t="inlineStr">
        <is>
          <t>SUBETAPA</t>
        </is>
      </c>
      <c r="I1523" s="1742" t="inlineStr">
        <is>
          <t>13.008.002</t>
        </is>
      </c>
      <c r="J1523" s="1779" t="inlineStr">
        <is>
          <t>Impermeabilização de banheiro, cozinha, área de serviço, área técnica, área comum, fosso do elevador e sacada</t>
        </is>
      </c>
      <c r="K1523" s="1780" t="n"/>
      <c r="L1523" s="1781" t="n"/>
      <c r="M1523" s="1781" t="n"/>
      <c r="N1523" s="1746" t="n">
        <v>16717.7903136667</v>
      </c>
      <c r="O1523" s="1782" t="n"/>
      <c r="P1523" s="1720" t="n"/>
    </row>
    <row r="1524" hidden="1" outlineLevel="3" ht="13.5" customHeight="1">
      <c r="A1524" s="2117" t="n">
        <v>0</v>
      </c>
      <c r="B1524" s="2117" t="n">
        <v>13</v>
      </c>
      <c r="C1524" s="2117" t="n">
        <v>8</v>
      </c>
      <c r="D1524" s="2118" t="n">
        <v>2</v>
      </c>
      <c r="E1524" s="2118" t="n">
        <v>1</v>
      </c>
      <c r="G1524" s="1798" t="inlineStr">
        <is>
          <t>IMPERMEABILIZAÇÃO</t>
        </is>
      </c>
      <c r="H1524" s="1783" t="inlineStr">
        <is>
          <t>SERVIÇO</t>
        </is>
      </c>
      <c r="I1524" s="1750" t="inlineStr">
        <is>
          <t>13.008.002.001</t>
        </is>
      </c>
      <c r="J1524" s="1785" t="inlineStr">
        <is>
          <t>Sistema 2.5.3: Membrana de polímero acrílico com cimento e fibras sintéticas | Revestimento bicomponente à base de polímeros acrílicos com adição de cimento e fibras sintéticas (3,0 kg/m²) + Tela de poliéster nos pontos críticos</t>
        </is>
      </c>
      <c r="K1524" s="1786" t="inlineStr">
        <is>
          <t>m2</t>
        </is>
      </c>
      <c r="L1524" s="1787" t="n">
        <v>21.34</v>
      </c>
      <c r="M1524" s="1787" t="n">
        <v>34.05846666666666</v>
      </c>
      <c r="N1524" s="1754" t="n">
        <v>726.807678666667</v>
      </c>
      <c r="O1524" s="1788" t="inlineStr">
        <is>
          <t>Banheiro + área de serviço + casa de máquinas</t>
        </is>
      </c>
      <c r="P1524" s="1721" t="inlineStr">
        <is>
          <t>Pendente</t>
        </is>
      </c>
    </row>
    <row r="1525" hidden="1" outlineLevel="3" ht="13.5" customHeight="1">
      <c r="A1525" s="2117" t="n">
        <v>0</v>
      </c>
      <c r="B1525" s="2117" t="n">
        <v>13</v>
      </c>
      <c r="C1525" s="2117" t="n">
        <v>8</v>
      </c>
      <c r="D1525" s="2118" t="n">
        <v>2</v>
      </c>
      <c r="E1525" s="2118" t="n">
        <v>2</v>
      </c>
      <c r="G1525" s="1798" t="inlineStr">
        <is>
          <t>IMPERMEABILIZAÇÃO</t>
        </is>
      </c>
      <c r="H1525" s="1783" t="inlineStr">
        <is>
          <t>SERVIÇO</t>
        </is>
      </c>
      <c r="I1525" s="1750" t="inlineStr">
        <is>
          <t>13.008.002.002</t>
        </is>
      </c>
      <c r="J1525" s="1785" t="inlineStr">
        <is>
          <t>Sistema 4.2.4:Primer asfáltico à base d'água (0,4 L/m²) + Asfalto oxidado modificado (2,5 kg/m²) + Manta asfáltica AA 4mm Tipo III Classe B + Banho de asfalto oxidado modificado (2,5 kg/m²)</t>
        </is>
      </c>
      <c r="K1525" s="1786" t="inlineStr">
        <is>
          <t>m2</t>
        </is>
      </c>
      <c r="L1525" s="1787" t="n">
        <v>120.07</v>
      </c>
      <c r="M1525" s="1787" t="n">
        <v>133.1805</v>
      </c>
      <c r="N1525" s="1754" t="n">
        <v>15990.982635</v>
      </c>
      <c r="O1525" s="1788" t="inlineStr">
        <is>
          <t>Sacada + circulação lazer + espaço crossfit</t>
        </is>
      </c>
      <c r="P1525" s="1721" t="inlineStr">
        <is>
          <t>Pendente</t>
        </is>
      </c>
    </row>
    <row r="1526" hidden="1" outlineLevel="2" ht="13.5" customHeight="1">
      <c r="A1526" s="2117" t="n">
        <v>0</v>
      </c>
      <c r="B1526" s="2117" t="n">
        <v>13</v>
      </c>
      <c r="C1526" s="2117" t="n">
        <v>8</v>
      </c>
      <c r="D1526" s="2118" t="n">
        <v>3</v>
      </c>
      <c r="E1526" s="2118" t="n">
        <v>0</v>
      </c>
      <c r="G1526" s="1797" t="n"/>
      <c r="H1526" s="1777" t="inlineStr">
        <is>
          <t>SUBETAPA</t>
        </is>
      </c>
      <c r="I1526" s="1742" t="inlineStr">
        <is>
          <t>13.008.003</t>
        </is>
      </c>
      <c r="J1526" s="1779" t="inlineStr">
        <is>
          <t>Impermeabilização de esquadrias</t>
        </is>
      </c>
      <c r="K1526" s="1780" t="n"/>
      <c r="L1526" s="1781" t="n"/>
      <c r="M1526" s="1781" t="n"/>
      <c r="N1526" s="1746" t="n">
        <v>777.895378666666</v>
      </c>
      <c r="O1526" s="1782" t="n"/>
      <c r="P1526" s="1720" t="n"/>
    </row>
    <row r="1527" hidden="1" outlineLevel="3" ht="13.5" customHeight="1">
      <c r="A1527" s="2117" t="n">
        <v>0</v>
      </c>
      <c r="B1527" s="2117" t="n">
        <v>13</v>
      </c>
      <c r="C1527" s="2117" t="n">
        <v>8</v>
      </c>
      <c r="D1527" s="2118" t="n">
        <v>3</v>
      </c>
      <c r="E1527" s="2118" t="n">
        <v>1</v>
      </c>
      <c r="G1527" s="1798" t="inlineStr">
        <is>
          <t>IMPERMEABILIZAÇÃO</t>
        </is>
      </c>
      <c r="H1527" s="1783" t="inlineStr">
        <is>
          <t>SERVIÇO</t>
        </is>
      </c>
      <c r="I1527" s="1750" t="inlineStr">
        <is>
          <t>13.008.003.001</t>
        </is>
      </c>
      <c r="J1527" s="1785" t="inlineStr">
        <is>
          <t>Sistema 2.5.3: Membrana de polímero acrílico com cimento e fibras sintéticas | Revestimento bicomponente à base de polímeros acrílicos com adição de cimento e fibras sintéticas (3,0 kg/m²) + Tela de poliéster nos pontos críticos</t>
        </is>
      </c>
      <c r="K1527" s="1786" t="inlineStr">
        <is>
          <t>m2</t>
        </is>
      </c>
      <c r="L1527" s="1787" t="n">
        <v>22.84</v>
      </c>
      <c r="M1527" s="1787" t="n">
        <v>34.05846666666666</v>
      </c>
      <c r="N1527" s="1754" t="n">
        <v>777.895378666666</v>
      </c>
      <c r="O1527" s="1788" t="n"/>
      <c r="P1527" s="1721" t="inlineStr">
        <is>
          <t>Pendente</t>
        </is>
      </c>
    </row>
    <row r="1528" hidden="1" outlineLevel="2" ht="13.5" customHeight="1">
      <c r="A1528" s="2117" t="n">
        <v>0</v>
      </c>
      <c r="B1528" s="2117" t="n">
        <v>13</v>
      </c>
      <c r="C1528" s="2117" t="n">
        <v>8</v>
      </c>
      <c r="D1528" s="2118" t="n">
        <v>4</v>
      </c>
      <c r="E1528" s="2118" t="n">
        <v>0</v>
      </c>
      <c r="G1528" s="1797" t="n"/>
      <c r="H1528" s="1777" t="inlineStr">
        <is>
          <t>SUBETAPA</t>
        </is>
      </c>
      <c r="I1528" s="1742" t="inlineStr">
        <is>
          <t>13.008.004</t>
        </is>
      </c>
      <c r="J1528" s="1779" t="inlineStr">
        <is>
          <t>Impermeabilização de ralos</t>
        </is>
      </c>
      <c r="K1528" s="1780" t="n"/>
      <c r="L1528" s="1781" t="n"/>
      <c r="M1528" s="1781" t="n"/>
      <c r="N1528" s="1746" t="n">
        <v>61.320105</v>
      </c>
      <c r="O1528" s="1782" t="n"/>
      <c r="P1528" s="1720" t="n"/>
    </row>
    <row r="1529" hidden="1" outlineLevel="3" ht="13.5" customHeight="1">
      <c r="A1529" s="2117" t="n">
        <v>0</v>
      </c>
      <c r="B1529" s="2117" t="n">
        <v>13</v>
      </c>
      <c r="C1529" s="2117" t="n">
        <v>8</v>
      </c>
      <c r="D1529" s="2118" t="n">
        <v>4</v>
      </c>
      <c r="E1529" s="2118" t="n">
        <v>1</v>
      </c>
      <c r="G1529" s="1798" t="inlineStr">
        <is>
          <t>IMPERMEABILIZAÇÃO</t>
        </is>
      </c>
      <c r="H1529" s="1783" t="inlineStr">
        <is>
          <t>SERVIÇO</t>
        </is>
      </c>
      <c r="I1529" s="1750" t="inlineStr">
        <is>
          <t>13.008.004.001</t>
        </is>
      </c>
      <c r="J1529" s="1785" t="inlineStr">
        <is>
          <t>Tratamento De Ralo Ou Ponto Emergente Com Argamassa Polimérica Reforçado Com Tela De Poliéster</t>
        </is>
      </c>
      <c r="K1529" s="1786" t="inlineStr">
        <is>
          <t>un</t>
        </is>
      </c>
      <c r="L1529" s="1787" t="n">
        <v>7</v>
      </c>
      <c r="M1529" s="1787" t="n">
        <v>8.760015000000001</v>
      </c>
      <c r="N1529" s="1754" t="n">
        <v>61.320105</v>
      </c>
      <c r="O1529" s="1788" t="inlineStr">
        <is>
          <t>2 por banheiro + 1 por lavabo + 2 por área de serviço + 1 por área técnica + 1 por cozinha + 1 por sacada + 1 por torneira de jardin</t>
        </is>
      </c>
      <c r="P1529" s="1721" t="inlineStr">
        <is>
          <t>Pendente</t>
        </is>
      </c>
    </row>
    <row r="1530" hidden="1" outlineLevel="2" ht="13.5" customHeight="1">
      <c r="A1530" s="2117" t="n">
        <v>0</v>
      </c>
      <c r="B1530" s="2117" t="n">
        <v>13</v>
      </c>
      <c r="C1530" s="2117" t="n">
        <v>8</v>
      </c>
      <c r="D1530" s="2118" t="n">
        <v>5</v>
      </c>
      <c r="E1530" s="2118" t="n">
        <v>0</v>
      </c>
      <c r="G1530" s="1797" t="n"/>
      <c r="H1530" s="1777" t="inlineStr">
        <is>
          <t>SUBETAPA</t>
        </is>
      </c>
      <c r="I1530" s="1742" t="inlineStr">
        <is>
          <t>13.008.005</t>
        </is>
      </c>
      <c r="J1530" s="1779" t="inlineStr">
        <is>
          <t>Impermeabilização de Floreiras</t>
        </is>
      </c>
      <c r="K1530" s="1780" t="n"/>
      <c r="L1530" s="1781" t="n"/>
      <c r="M1530" s="1781" t="n"/>
      <c r="N1530" s="1746" t="n">
        <v>54285.30141</v>
      </c>
      <c r="O1530" s="1782" t="n"/>
      <c r="P1530" s="1720" t="n"/>
    </row>
    <row r="1531" hidden="1" outlineLevel="3" ht="13.5" customHeight="1">
      <c r="A1531" s="2117" t="n">
        <v>0</v>
      </c>
      <c r="B1531" s="2117" t="n">
        <v>13</v>
      </c>
      <c r="C1531" s="2117" t="n">
        <v>8</v>
      </c>
      <c r="D1531" s="2118" t="n">
        <v>5</v>
      </c>
      <c r="E1531" s="2118" t="n">
        <v>1</v>
      </c>
      <c r="G1531" s="1798" t="inlineStr">
        <is>
          <t>IMPERMEABILIZAÇÃO</t>
        </is>
      </c>
      <c r="H1531" s="1783" t="inlineStr">
        <is>
          <t>SERVIÇO</t>
        </is>
      </c>
      <c r="I1531" s="1750" t="inlineStr">
        <is>
          <t>13.008.005.001</t>
        </is>
      </c>
      <c r="J1531" s="1785" t="inlineStr">
        <is>
          <t>Sistema 4.5.3:Primer asfáltico à base d'água (0,4 L/m²) + Asfalto oxidado modificado (2,5 kg/m²) + Manta asfáltica AA 4mm Tipo III Classe B + Banho de asfalto oxidado modificado (2,5 kg/m²) + Emulsão asfáltica antiraiz sobre a proteção mecânica (0,8 L/m²)</t>
        </is>
      </c>
      <c r="K1531" s="1786" t="inlineStr">
        <is>
          <t>m2</t>
        </is>
      </c>
      <c r="L1531" s="1787" t="n">
        <v>299.62</v>
      </c>
      <c r="M1531" s="1787" t="n">
        <v>181.1805</v>
      </c>
      <c r="N1531" s="1754" t="n">
        <v>54285.30141</v>
      </c>
      <c r="O1531" s="1788" t="inlineStr">
        <is>
          <t>Floreiras</t>
        </is>
      </c>
      <c r="P1531" s="1721" t="inlineStr">
        <is>
          <t>Pendente</t>
        </is>
      </c>
    </row>
    <row r="1532" hidden="1" outlineLevel="2" ht="13.5" customHeight="1">
      <c r="A1532" s="2117" t="n">
        <v>0</v>
      </c>
      <c r="B1532" s="2117" t="n">
        <v>13</v>
      </c>
      <c r="C1532" s="2117" t="n">
        <v>8</v>
      </c>
      <c r="D1532" s="2118" t="n">
        <v>6</v>
      </c>
      <c r="E1532" s="2118" t="n">
        <v>0</v>
      </c>
      <c r="G1532" s="1797" t="n"/>
      <c r="H1532" s="1777" t="inlineStr">
        <is>
          <t>SUBETAPA</t>
        </is>
      </c>
      <c r="I1532" s="1742" t="inlineStr">
        <is>
          <t>13.008.006</t>
        </is>
      </c>
      <c r="J1532" s="1779" t="inlineStr">
        <is>
          <t>Mão de Obra</t>
        </is>
      </c>
      <c r="K1532" s="1780" t="n"/>
      <c r="L1532" s="1781" t="n"/>
      <c r="M1532" s="1781" t="n"/>
      <c r="N1532" s="1746" t="n">
        <v>40169.26</v>
      </c>
      <c r="O1532" s="1782" t="n"/>
      <c r="P1532" s="1720" t="n"/>
    </row>
    <row r="1533" hidden="1" outlineLevel="3" ht="13.5" customHeight="1">
      <c r="A1533" s="2117" t="n">
        <v>0</v>
      </c>
      <c r="B1533" s="2117" t="n">
        <v>13</v>
      </c>
      <c r="C1533" s="2117" t="n">
        <v>8</v>
      </c>
      <c r="D1533" s="2118" t="n">
        <v>6</v>
      </c>
      <c r="E1533" s="2118" t="n">
        <v>1</v>
      </c>
      <c r="G1533" s="1798" t="inlineStr">
        <is>
          <t>IMPERMEABILIZAÇÃO</t>
        </is>
      </c>
      <c r="H1533" s="1783" t="inlineStr">
        <is>
          <t>SERVIÇO</t>
        </is>
      </c>
      <c r="I1533" s="1750" t="inlineStr">
        <is>
          <t>13.008.006.001</t>
        </is>
      </c>
      <c r="J1533" s="1785" t="inlineStr">
        <is>
          <t xml:space="preserve">Mão de obra para regularização de superfície </t>
        </is>
      </c>
      <c r="K1533" s="1786" t="inlineStr">
        <is>
          <t>m2</t>
        </is>
      </c>
      <c r="L1533" s="1787" t="n">
        <v>360.48</v>
      </c>
      <c r="M1533" s="1787" t="n">
        <v>20</v>
      </c>
      <c r="N1533" s="1754" t="n">
        <v>7209.6</v>
      </c>
      <c r="O1533" s="1788" t="n"/>
      <c r="P1533" s="1721" t="inlineStr">
        <is>
          <t>Pendente</t>
        </is>
      </c>
    </row>
    <row r="1534" hidden="1" outlineLevel="3" ht="13.5" customHeight="1">
      <c r="A1534" s="2117" t="n">
        <v>0</v>
      </c>
      <c r="B1534" s="2117" t="n">
        <v>13</v>
      </c>
      <c r="C1534" s="2117" t="n">
        <v>8</v>
      </c>
      <c r="D1534" s="2118" t="n">
        <v>6</v>
      </c>
      <c r="E1534" s="2118" t="n">
        <v>2</v>
      </c>
      <c r="G1534" s="1798" t="inlineStr">
        <is>
          <t>IMPERMEABILIZAÇÃO</t>
        </is>
      </c>
      <c r="H1534" s="1783" t="inlineStr">
        <is>
          <t>SERVIÇO</t>
        </is>
      </c>
      <c r="I1534" s="1750" t="inlineStr">
        <is>
          <t>13.008.006.002</t>
        </is>
      </c>
      <c r="J1534" s="1785" t="inlineStr">
        <is>
          <t>Mão de obra para proteção mecânica</t>
        </is>
      </c>
      <c r="K1534" s="1786" t="inlineStr">
        <is>
          <t>m2</t>
        </is>
      </c>
      <c r="L1534" s="1787" t="n">
        <v>351.71</v>
      </c>
      <c r="M1534" s="1787" t="n">
        <v>35</v>
      </c>
      <c r="N1534" s="1754" t="n">
        <v>12309.85</v>
      </c>
      <c r="O1534" s="1788" t="n"/>
      <c r="P1534" s="1721" t="inlineStr">
        <is>
          <t>Pendente</t>
        </is>
      </c>
    </row>
    <row r="1535" hidden="1" outlineLevel="3" ht="13.5" customHeight="1">
      <c r="A1535" s="2117" t="n">
        <v>0</v>
      </c>
      <c r="B1535" s="2117" t="n">
        <v>13</v>
      </c>
      <c r="C1535" s="2117" t="n">
        <v>8</v>
      </c>
      <c r="D1535" s="2118" t="n">
        <v>6</v>
      </c>
      <c r="E1535" s="2118" t="n">
        <v>3</v>
      </c>
      <c r="G1535" s="1798" t="inlineStr">
        <is>
          <t>IMPERMEABILIZAÇÃO</t>
        </is>
      </c>
      <c r="H1535" s="1783" t="inlineStr">
        <is>
          <t>SERVIÇO</t>
        </is>
      </c>
      <c r="I1535" s="1750" t="inlineStr">
        <is>
          <t>13.008.006.003</t>
        </is>
      </c>
      <c r="J1535" s="1785" t="inlineStr">
        <is>
          <t>Mão de obra impermeabilização sistema 2.5.3</t>
        </is>
      </c>
      <c r="K1535" s="1786" t="inlineStr">
        <is>
          <t>m2</t>
        </is>
      </c>
      <c r="L1535" s="1787" t="n">
        <v>44.18</v>
      </c>
      <c r="M1535" s="1787" t="n">
        <v>32</v>
      </c>
      <c r="N1535" s="1754" t="n">
        <v>1413.76</v>
      </c>
      <c r="O1535" s="1788" t="n"/>
      <c r="P1535" s="1721" t="inlineStr">
        <is>
          <t>Pendente</t>
        </is>
      </c>
    </row>
    <row r="1536" hidden="1" outlineLevel="3" ht="13.5" customHeight="1">
      <c r="A1536" s="2117" t="n">
        <v>0</v>
      </c>
      <c r="B1536" s="2117" t="n">
        <v>13</v>
      </c>
      <c r="C1536" s="2117" t="n">
        <v>8</v>
      </c>
      <c r="D1536" s="2118" t="n">
        <v>6</v>
      </c>
      <c r="E1536" s="2118" t="n">
        <v>4</v>
      </c>
      <c r="G1536" s="1798" t="inlineStr">
        <is>
          <t>IMPERMEABILIZAÇÃO</t>
        </is>
      </c>
      <c r="H1536" s="1783" t="inlineStr">
        <is>
          <t>SERVIÇO</t>
        </is>
      </c>
      <c r="I1536" s="1750" t="inlineStr">
        <is>
          <t>13.008.006.004</t>
        </is>
      </c>
      <c r="J1536" s="1785" t="inlineStr">
        <is>
          <t>Mão de obra impermeabilização sistema 4.2.4</t>
        </is>
      </c>
      <c r="K1536" s="1786" t="inlineStr">
        <is>
          <t>m2</t>
        </is>
      </c>
      <c r="L1536" s="1787" t="n">
        <v>120.07</v>
      </c>
      <c r="M1536" s="1787" t="n">
        <v>45</v>
      </c>
      <c r="N1536" s="1754" t="n">
        <v>5403.15</v>
      </c>
      <c r="O1536" s="1788" t="n"/>
      <c r="P1536" s="1721" t="inlineStr">
        <is>
          <t>Pendente</t>
        </is>
      </c>
    </row>
    <row r="1537" hidden="1" outlineLevel="3" ht="13.5" customHeight="1">
      <c r="A1537" s="2117" t="n">
        <v>0</v>
      </c>
      <c r="B1537" s="2117" t="n">
        <v>13</v>
      </c>
      <c r="C1537" s="2117" t="n">
        <v>8</v>
      </c>
      <c r="D1537" s="2118" t="n">
        <v>6</v>
      </c>
      <c r="E1537" s="2118" t="n">
        <v>5</v>
      </c>
      <c r="G1537" s="1798" t="inlineStr">
        <is>
          <t>IMPERMEABILIZAÇÃO</t>
        </is>
      </c>
      <c r="H1537" s="1783" t="inlineStr">
        <is>
          <t>SERVIÇO</t>
        </is>
      </c>
      <c r="I1537" s="1750" t="inlineStr">
        <is>
          <t>13.008.006.005</t>
        </is>
      </c>
      <c r="J1537" s="1785" t="inlineStr">
        <is>
          <t>Mão de obra impermeabilização sistema 4.5.3</t>
        </is>
      </c>
      <c r="K1537" s="1786" t="inlineStr">
        <is>
          <t>m2</t>
        </is>
      </c>
      <c r="L1537" s="1787" t="n">
        <v>299.62</v>
      </c>
      <c r="M1537" s="1787" t="n">
        <v>45</v>
      </c>
      <c r="N1537" s="1754" t="n">
        <v>13482.9</v>
      </c>
      <c r="O1537" s="1788" t="n"/>
      <c r="P1537" s="1721" t="inlineStr">
        <is>
          <t>Pendente</t>
        </is>
      </c>
    </row>
    <row r="1538" hidden="1" outlineLevel="3" ht="13.5" customHeight="1">
      <c r="A1538" s="2117" t="n">
        <v>0</v>
      </c>
      <c r="B1538" s="2117" t="n">
        <v>13</v>
      </c>
      <c r="C1538" s="2117" t="n">
        <v>8</v>
      </c>
      <c r="D1538" s="2118" t="n">
        <v>6</v>
      </c>
      <c r="E1538" s="2118" t="n">
        <v>6</v>
      </c>
      <c r="G1538" s="1798" t="inlineStr">
        <is>
          <t>IMPERMEABILIZAÇÃO</t>
        </is>
      </c>
      <c r="H1538" s="1783" t="inlineStr">
        <is>
          <t>SERVIÇO</t>
        </is>
      </c>
      <c r="I1538" s="1750" t="inlineStr">
        <is>
          <t>13.008.006.006</t>
        </is>
      </c>
      <c r="J1538" s="1751" t="inlineStr">
        <is>
          <t>Mão de obra tratamento de ralo com manta de poliéster</t>
        </is>
      </c>
      <c r="K1538" s="1786" t="inlineStr">
        <is>
          <t>un</t>
        </is>
      </c>
      <c r="L1538" s="1787" t="n">
        <v>7</v>
      </c>
      <c r="M1538" s="1787" t="n">
        <v>50</v>
      </c>
      <c r="N1538" s="1754" t="n">
        <v>350</v>
      </c>
      <c r="O1538" s="1788" t="n"/>
      <c r="P1538" s="1721" t="inlineStr">
        <is>
          <t>Pendente</t>
        </is>
      </c>
    </row>
    <row r="1539" hidden="1" outlineLevel="1" ht="13.5" customHeight="1">
      <c r="A1539" s="2117" t="n">
        <v>0</v>
      </c>
      <c r="B1539" s="2117" t="n">
        <v>13</v>
      </c>
      <c r="C1539" s="2117" t="n">
        <v>9</v>
      </c>
      <c r="D1539" s="2118" t="n">
        <v>0</v>
      </c>
      <c r="E1539" s="2118" t="n">
        <v>6</v>
      </c>
      <c r="G1539" s="1796" t="n"/>
      <c r="H1539" s="1771" t="inlineStr">
        <is>
          <t>ETAPA</t>
        </is>
      </c>
      <c r="I1539" s="1735" t="inlineStr">
        <is>
          <t>13.009</t>
        </is>
      </c>
      <c r="J1539" s="1773" t="inlineStr">
        <is>
          <t>IMPERMEABILIZAÇÃO E TRATAMENTOS - Tipo diferenciado</t>
        </is>
      </c>
      <c r="K1539" s="1774" t="n"/>
      <c r="L1539" s="1775" t="n"/>
      <c r="M1539" s="1775" t="n"/>
      <c r="N1539" s="1739" t="n">
        <v>35844.704781</v>
      </c>
      <c r="O1539" s="1776" t="n">
        <v>2.14002453666251</v>
      </c>
      <c r="P1539" s="1719" t="n"/>
    </row>
    <row r="1540" hidden="1" outlineLevel="2" ht="13.5" customHeight="1">
      <c r="A1540" s="2117" t="n">
        <v>0</v>
      </c>
      <c r="B1540" s="2117" t="n">
        <v>13</v>
      </c>
      <c r="C1540" s="2117" t="n">
        <v>9</v>
      </c>
      <c r="D1540" s="2118" t="n">
        <v>1</v>
      </c>
      <c r="E1540" s="2118" t="n">
        <v>0</v>
      </c>
      <c r="G1540" s="1797" t="n"/>
      <c r="H1540" s="1777" t="inlineStr">
        <is>
          <t>SUBETAPA</t>
        </is>
      </c>
      <c r="I1540" s="1742" t="inlineStr">
        <is>
          <t>13.009.001</t>
        </is>
      </c>
      <c r="J1540" s="1779" t="inlineStr">
        <is>
          <t>Regularização e proteção mecânica</t>
        </is>
      </c>
      <c r="K1540" s="1780" t="n"/>
      <c r="L1540" s="1781" t="n"/>
      <c r="M1540" s="1781" t="n"/>
      <c r="N1540" s="1746" t="n">
        <v>3086.794413</v>
      </c>
      <c r="O1540" s="1782" t="n">
        <v>0.184289864397328</v>
      </c>
      <c r="P1540" s="1720" t="n"/>
    </row>
    <row r="1541" hidden="1" outlineLevel="3" ht="13.5" customHeight="1">
      <c r="A1541" s="2117" t="n">
        <v>0</v>
      </c>
      <c r="B1541" s="2117" t="n">
        <v>13</v>
      </c>
      <c r="C1541" s="2117" t="n">
        <v>9</v>
      </c>
      <c r="D1541" s="2118" t="n">
        <v>1</v>
      </c>
      <c r="E1541" s="2118" t="n">
        <v>1</v>
      </c>
      <c r="G1541" s="1798" t="inlineStr">
        <is>
          <t>IMPERMEABILIZAÇÃO</t>
        </is>
      </c>
      <c r="H1541" s="1783" t="inlineStr">
        <is>
          <t>SERVIÇO</t>
        </is>
      </c>
      <c r="I1541" s="1750" t="inlineStr">
        <is>
          <t>13.009.001.001</t>
        </is>
      </c>
      <c r="J1541" s="1785" t="inlineStr">
        <is>
          <t xml:space="preserve">Regularização de superfície para impermeabilização </t>
        </is>
      </c>
      <c r="K1541" s="1786" t="inlineStr">
        <is>
          <t>m2</t>
        </is>
      </c>
      <c r="L1541" s="1787" t="n">
        <v>123.77</v>
      </c>
      <c r="M1541" s="1787" t="n">
        <v>7.065899999999999</v>
      </c>
      <c r="N1541" s="1754" t="n">
        <v>874.546443</v>
      </c>
      <c r="O1541" s="1788" t="inlineStr">
        <is>
          <t>Toda área de piso que recebe impermeabilização</t>
        </is>
      </c>
      <c r="P1541" s="1721" t="inlineStr">
        <is>
          <t>Pendente</t>
        </is>
      </c>
    </row>
    <row r="1542" hidden="1" outlineLevel="3" ht="13.5" customHeight="1">
      <c r="A1542" s="2117" t="n">
        <v>0</v>
      </c>
      <c r="B1542" s="2117" t="n">
        <v>13</v>
      </c>
      <c r="C1542" s="2117" t="n">
        <v>9</v>
      </c>
      <c r="D1542" s="2118" t="n">
        <v>1</v>
      </c>
      <c r="E1542" s="2118" t="n">
        <v>2</v>
      </c>
      <c r="G1542" s="1798" t="inlineStr">
        <is>
          <t>IMPERMEABILIZAÇÃO</t>
        </is>
      </c>
      <c r="H1542" s="1783" t="inlineStr">
        <is>
          <t>SERVIÇO</t>
        </is>
      </c>
      <c r="I1542" s="1750" t="inlineStr">
        <is>
          <t>13.009.001.002</t>
        </is>
      </c>
      <c r="J1542" s="1785" t="inlineStr">
        <is>
          <t>Proteção mecânica de superfície com argamassa de cimento e areia, traço 1:3 E=5cm</t>
        </is>
      </c>
      <c r="K1542" s="1786" t="inlineStr">
        <is>
          <t>m2</t>
        </is>
      </c>
      <c r="L1542" s="1787" t="n">
        <v>44.82</v>
      </c>
      <c r="M1542" s="1787" t="n">
        <v>49.3585</v>
      </c>
      <c r="N1542" s="1754" t="n">
        <v>2212.24797</v>
      </c>
      <c r="O1542" s="1788" t="inlineStr">
        <is>
          <t>Toda área de piso que recebe impermeabilização de manta asfáltica</t>
        </is>
      </c>
      <c r="P1542" s="1721" t="inlineStr">
        <is>
          <t>Pendente</t>
        </is>
      </c>
    </row>
    <row r="1543" hidden="1" outlineLevel="2" ht="13.5" customHeight="1">
      <c r="A1543" s="2117" t="n">
        <v>0</v>
      </c>
      <c r="B1543" s="2117" t="n">
        <v>13</v>
      </c>
      <c r="C1543" s="2117" t="n">
        <v>9</v>
      </c>
      <c r="D1543" s="2118" t="n">
        <v>2</v>
      </c>
      <c r="E1543" s="2118" t="n">
        <v>0</v>
      </c>
      <c r="G1543" s="1797" t="n"/>
      <c r="H1543" s="1777" t="inlineStr">
        <is>
          <t>SUBETAPA</t>
        </is>
      </c>
      <c r="I1543" s="1742" t="inlineStr">
        <is>
          <t>13.009.002</t>
        </is>
      </c>
      <c r="J1543" s="1779" t="inlineStr">
        <is>
          <t>Impermeabilização de lajes, cobertura, rufos, moldura da fachada e terraços</t>
        </is>
      </c>
      <c r="K1543" s="1780" t="n"/>
      <c r="L1543" s="1781" t="n"/>
      <c r="M1543" s="1781" t="n"/>
      <c r="N1543" s="1746" t="n">
        <v>5714.467284</v>
      </c>
      <c r="O1543" s="1782" t="n"/>
      <c r="P1543" s="1720" t="n"/>
    </row>
    <row r="1544" hidden="1" outlineLevel="3" ht="13.5" customHeight="1">
      <c r="A1544" s="2117" t="n">
        <v>0</v>
      </c>
      <c r="B1544" s="2117" t="n">
        <v>13</v>
      </c>
      <c r="C1544" s="2117" t="n">
        <v>9</v>
      </c>
      <c r="D1544" s="2118" t="n">
        <v>2</v>
      </c>
      <c r="E1544" s="2118" t="n">
        <v>1</v>
      </c>
      <c r="G1544" s="1798" t="inlineStr">
        <is>
          <t>IMPERMEABILIZAÇÃO</t>
        </is>
      </c>
      <c r="H1544" s="1783" t="inlineStr">
        <is>
          <t>SERVIÇO</t>
        </is>
      </c>
      <c r="I1544" s="1750" t="inlineStr">
        <is>
          <t>13.009.002.001</t>
        </is>
      </c>
      <c r="J1544" s="1785" t="inlineStr">
        <is>
          <t>Sistema 4.2.4:Primer asfáltico à base d'água (0,4 L/m²) + Asfalto oxidado modificado (2,5 kg/m²) + Manta asfáltica AA 4mm Tipo III Classe B + Banho de asfalto oxidado modificado (2,5 kg/m²)</t>
        </is>
      </c>
      <c r="K1544" s="1786" t="inlineStr">
        <is>
          <t>m2</t>
        </is>
      </c>
      <c r="L1544" s="1787" t="n"/>
      <c r="M1544" s="1787" t="n">
        <v>133.1805</v>
      </c>
      <c r="N1544" s="1754" t="n">
        <v>0</v>
      </c>
      <c r="O1544" s="1788" t="inlineStr">
        <is>
          <t>Cobertura + terraço</t>
        </is>
      </c>
      <c r="P1544" s="1721" t="inlineStr">
        <is>
          <t>Pendente</t>
        </is>
      </c>
    </row>
    <row r="1545" hidden="1" outlineLevel="3" ht="13.5" customHeight="1">
      <c r="A1545" s="2117" t="n">
        <v>0</v>
      </c>
      <c r="B1545" s="2117" t="n">
        <v>13</v>
      </c>
      <c r="C1545" s="2117" t="n">
        <v>9</v>
      </c>
      <c r="D1545" s="2118" t="n">
        <v>2</v>
      </c>
      <c r="E1545" s="2118" t="n">
        <v>2</v>
      </c>
      <c r="G1545" s="1798" t="inlineStr">
        <is>
          <t>IMPERMEABILIZAÇÃO</t>
        </is>
      </c>
      <c r="H1545" s="1783" t="inlineStr">
        <is>
          <t>SERVIÇO</t>
        </is>
      </c>
      <c r="I1545" s="1750" t="inlineStr">
        <is>
          <t>13.009.002.002</t>
        </is>
      </c>
      <c r="J1545" s="1785" t="inlineStr">
        <is>
          <t>Sistema 7.1.6:Argamassa impermeabilizante sem cimento - MK-FEN 30 (F) | Argamassa não cimentícia com agentes incorporadores de ar (8,0 kg/m²) + Tela de poliéster nos pontos críticos</t>
        </is>
      </c>
      <c r="K1545" s="1786" t="inlineStr">
        <is>
          <t>m2</t>
        </is>
      </c>
      <c r="L1545" s="1787" t="n">
        <v>38.38</v>
      </c>
      <c r="M1545" s="1787" t="n">
        <v>148.8918</v>
      </c>
      <c r="N1545" s="1754" t="n">
        <v>5714.467284</v>
      </c>
      <c r="O1545" s="1788" t="inlineStr">
        <is>
          <t>Moldura de fachada + rufos</t>
        </is>
      </c>
      <c r="P1545" s="1721" t="inlineStr">
        <is>
          <t>Pendente</t>
        </is>
      </c>
    </row>
    <row r="1546" hidden="1" outlineLevel="2" ht="13.5" customHeight="1">
      <c r="A1546" s="2117" t="n">
        <v>0</v>
      </c>
      <c r="B1546" s="2117" t="n">
        <v>13</v>
      </c>
      <c r="C1546" s="2117" t="n">
        <v>9</v>
      </c>
      <c r="D1546" s="2118" t="n">
        <v>3</v>
      </c>
      <c r="E1546" s="2118" t="n">
        <v>0</v>
      </c>
      <c r="G1546" s="1797" t="n"/>
      <c r="H1546" s="1777" t="inlineStr">
        <is>
          <t>SUBETAPA</t>
        </is>
      </c>
      <c r="I1546" s="1742" t="inlineStr">
        <is>
          <t>13.009.003</t>
        </is>
      </c>
      <c r="J1546" s="1779" t="inlineStr">
        <is>
          <t>Impermeabilização de banheiro, cozinha, área de serviço, área técnica, área comum, fosso do elevador e sacada</t>
        </is>
      </c>
      <c r="K1546" s="1780" t="n"/>
      <c r="L1546" s="1781" t="n"/>
      <c r="M1546" s="1781" t="n"/>
      <c r="N1546" s="1746" t="n">
        <v>11127.6923133333</v>
      </c>
      <c r="O1546" s="1782" t="n"/>
      <c r="P1546" s="1720" t="n"/>
    </row>
    <row r="1547" hidden="1" outlineLevel="3" ht="13.5" customHeight="1">
      <c r="A1547" s="2117" t="n">
        <v>0</v>
      </c>
      <c r="B1547" s="2117" t="n">
        <v>13</v>
      </c>
      <c r="C1547" s="2117" t="n">
        <v>9</v>
      </c>
      <c r="D1547" s="2118" t="n">
        <v>3</v>
      </c>
      <c r="E1547" s="2118" t="n">
        <v>1</v>
      </c>
      <c r="G1547" s="1798" t="inlineStr">
        <is>
          <t>IMPERMEABILIZAÇÃO</t>
        </is>
      </c>
      <c r="H1547" s="1783" t="inlineStr">
        <is>
          <t>SERVIÇO</t>
        </is>
      </c>
      <c r="I1547" s="1750" t="inlineStr">
        <is>
          <t>13.009.003.001</t>
        </is>
      </c>
      <c r="J1547" s="1785" t="inlineStr">
        <is>
          <t>Sistema 2.5.3: Membrana de polímero acrílico com cimento e fibras sintéticas | Revestimento bicomponente à base de polímeros acrílicos com adição de cimento e fibras sintéticas (3,0 kg/m²) + Tela de poliéster nos pontos críticos</t>
        </is>
      </c>
      <c r="K1547" s="1786" t="inlineStr">
        <is>
          <t>m2</t>
        </is>
      </c>
      <c r="L1547" s="1787" t="n">
        <v>103.01</v>
      </c>
      <c r="M1547" s="1787" t="n">
        <v>34.05846666666666</v>
      </c>
      <c r="N1547" s="1754" t="n">
        <v>3508.36265133333</v>
      </c>
      <c r="O1547" s="1788" t="inlineStr">
        <is>
          <t>Banheiro + área de serviço + casa de máquinas</t>
        </is>
      </c>
      <c r="P1547" s="1721" t="inlineStr">
        <is>
          <t>Pendente</t>
        </is>
      </c>
    </row>
    <row r="1548" hidden="1" outlineLevel="3" ht="13.5" customHeight="1">
      <c r="A1548" s="2117" t="n">
        <v>0</v>
      </c>
      <c r="B1548" s="2117" t="n">
        <v>13</v>
      </c>
      <c r="C1548" s="2117" t="n">
        <v>9</v>
      </c>
      <c r="D1548" s="2118" t="n">
        <v>3</v>
      </c>
      <c r="E1548" s="2118" t="n">
        <v>2</v>
      </c>
      <c r="G1548" s="1798" t="inlineStr">
        <is>
          <t>IMPERMEABILIZAÇÃO</t>
        </is>
      </c>
      <c r="H1548" s="1783" t="inlineStr">
        <is>
          <t>SERVIÇO</t>
        </is>
      </c>
      <c r="I1548" s="1750" t="inlineStr">
        <is>
          <t>13.009.003.002</t>
        </is>
      </c>
      <c r="J1548" s="1785" t="inlineStr">
        <is>
          <t>Sistema 7.1.6:Argamassa impermeabilizante sem cimento - MK-FEN 30 (F) | Argamassa não cimentícia com agentes incorporadores de ar (8,0 kg/m²) + Tela de poliéster nos pontos críticos</t>
        </is>
      </c>
      <c r="K1548" s="1786" t="inlineStr">
        <is>
          <t>m2</t>
        </is>
      </c>
      <c r="L1548" s="1787" t="n">
        <v>8.99</v>
      </c>
      <c r="M1548" s="1787" t="n">
        <v>148.8918</v>
      </c>
      <c r="N1548" s="1754" t="n">
        <v>1338.537282</v>
      </c>
      <c r="O1548" s="1788" t="inlineStr">
        <is>
          <t>área técnica + sauna</t>
        </is>
      </c>
      <c r="P1548" s="1721" t="inlineStr">
        <is>
          <t>Pendente</t>
        </is>
      </c>
    </row>
    <row r="1549" hidden="1" outlineLevel="3" ht="13.5" customHeight="1">
      <c r="A1549" s="2117" t="n">
        <v>0</v>
      </c>
      <c r="B1549" s="2117" t="n">
        <v>13</v>
      </c>
      <c r="C1549" s="2117" t="n">
        <v>9</v>
      </c>
      <c r="D1549" s="2118" t="n">
        <v>3</v>
      </c>
      <c r="E1549" s="2118" t="n">
        <v>3</v>
      </c>
      <c r="G1549" s="1798" t="inlineStr">
        <is>
          <t>IMPERMEABILIZAÇÃO</t>
        </is>
      </c>
      <c r="H1549" s="1783" t="inlineStr">
        <is>
          <t>SERVIÇO</t>
        </is>
      </c>
      <c r="I1549" s="1750" t="inlineStr">
        <is>
          <t>13.009.003.003</t>
        </is>
      </c>
      <c r="J1549" s="1785" t="inlineStr">
        <is>
          <t>Sistema 4.2.4:Primer asfáltico à base d'água (0,4 L/m²) + Asfalto oxidado modificado (2,5 kg/m²) + Manta asfáltica AA 4mm Tipo III Classe B + Banho de asfalto oxidado modificado (2,5 kg/m²)</t>
        </is>
      </c>
      <c r="K1549" s="1786" t="inlineStr">
        <is>
          <t>m2</t>
        </is>
      </c>
      <c r="L1549" s="1787" t="n">
        <v>47.16</v>
      </c>
      <c r="M1549" s="1787" t="n">
        <v>133.1805</v>
      </c>
      <c r="N1549" s="1754" t="n">
        <v>6280.79238</v>
      </c>
      <c r="O1549" s="1788" t="inlineStr">
        <is>
          <t>Sacada + circulação lazer + espaço crossfit</t>
        </is>
      </c>
      <c r="P1549" s="1721" t="inlineStr">
        <is>
          <t>Pendente</t>
        </is>
      </c>
    </row>
    <row r="1550" hidden="1" outlineLevel="2" ht="13.5" customHeight="1">
      <c r="A1550" s="2117" t="n">
        <v>0</v>
      </c>
      <c r="B1550" s="2117" t="n">
        <v>13</v>
      </c>
      <c r="C1550" s="2117" t="n">
        <v>9</v>
      </c>
      <c r="D1550" s="2118" t="n">
        <v>4</v>
      </c>
      <c r="E1550" s="2118" t="n">
        <v>0</v>
      </c>
      <c r="G1550" s="1797" t="n"/>
      <c r="H1550" s="1777" t="inlineStr">
        <is>
          <t>SUBETAPA</t>
        </is>
      </c>
      <c r="I1550" s="1742" t="inlineStr">
        <is>
          <t>13.009.004</t>
        </is>
      </c>
      <c r="J1550" s="1779" t="inlineStr">
        <is>
          <t>Impermeabilização de esquadrias</t>
        </is>
      </c>
      <c r="K1550" s="1780" t="n"/>
      <c r="L1550" s="1781" t="n"/>
      <c r="M1550" s="1781" t="n"/>
      <c r="N1550" s="1746" t="n">
        <v>1695.43047066667</v>
      </c>
      <c r="O1550" s="1782" t="n"/>
      <c r="P1550" s="1720" t="n"/>
    </row>
    <row r="1551" hidden="1" outlineLevel="3" ht="13.5" customHeight="1">
      <c r="A1551" s="2117" t="n">
        <v>0</v>
      </c>
      <c r="B1551" s="2117" t="n">
        <v>13</v>
      </c>
      <c r="C1551" s="2117" t="n">
        <v>9</v>
      </c>
      <c r="D1551" s="2118" t="n">
        <v>4</v>
      </c>
      <c r="E1551" s="2118" t="n">
        <v>1</v>
      </c>
      <c r="G1551" s="1798" t="inlineStr">
        <is>
          <t>IMPERMEABILIZAÇÃO</t>
        </is>
      </c>
      <c r="H1551" s="1783" t="inlineStr">
        <is>
          <t>SERVIÇO</t>
        </is>
      </c>
      <c r="I1551" s="1750" t="inlineStr">
        <is>
          <t>13.009.004.001</t>
        </is>
      </c>
      <c r="J1551" s="1785" t="inlineStr">
        <is>
          <t>Sistema 2.5.3: Membrana de polímero acrílico com cimento e fibras sintéticas | Revestimento bicomponente à base de polímeros acrílicos com adição de cimento e fibras sintéticas (3,0 kg/m²) + Tela de poliéster nos pontos críticos</t>
        </is>
      </c>
      <c r="K1551" s="1786" t="inlineStr">
        <is>
          <t>m2</t>
        </is>
      </c>
      <c r="L1551" s="1787" t="n">
        <v>49.78</v>
      </c>
      <c r="M1551" s="1787" t="n">
        <v>34.05846666666666</v>
      </c>
      <c r="N1551" s="1754" t="n">
        <v>1695.43047066667</v>
      </c>
      <c r="O1551" s="1788" t="n"/>
      <c r="P1551" s="1721" t="inlineStr">
        <is>
          <t>Pendente</t>
        </is>
      </c>
    </row>
    <row r="1552" hidden="1" outlineLevel="2" ht="13.5" customHeight="1">
      <c r="A1552" s="2117" t="n">
        <v>0</v>
      </c>
      <c r="B1552" s="2117" t="n">
        <v>13</v>
      </c>
      <c r="C1552" s="2117" t="n">
        <v>9</v>
      </c>
      <c r="D1552" s="2118" t="n">
        <v>5</v>
      </c>
      <c r="E1552" s="2118" t="n">
        <v>0</v>
      </c>
      <c r="G1552" s="1797" t="n"/>
      <c r="H1552" s="1777" t="inlineStr">
        <is>
          <t>SUBETAPA</t>
        </is>
      </c>
      <c r="I1552" s="1742" t="inlineStr">
        <is>
          <t>13.009.005</t>
        </is>
      </c>
      <c r="J1552" s="1779" t="inlineStr">
        <is>
          <t>Impermeabilização de ralos</t>
        </is>
      </c>
      <c r="K1552" s="1780" t="n"/>
      <c r="L1552" s="1781" t="n"/>
      <c r="M1552" s="1781" t="n"/>
      <c r="N1552" s="1746" t="n">
        <v>175.2003</v>
      </c>
      <c r="O1552" s="1782" t="n"/>
      <c r="P1552" s="1720" t="n"/>
    </row>
    <row r="1553" hidden="1" outlineLevel="3" ht="13.5" customHeight="1">
      <c r="A1553" s="2117" t="n">
        <v>0</v>
      </c>
      <c r="B1553" s="2117" t="n">
        <v>13</v>
      </c>
      <c r="C1553" s="2117" t="n">
        <v>9</v>
      </c>
      <c r="D1553" s="2118" t="n">
        <v>5</v>
      </c>
      <c r="E1553" s="2118" t="n">
        <v>1</v>
      </c>
      <c r="G1553" s="1798" t="inlineStr">
        <is>
          <t>IMPERMEABILIZAÇÃO</t>
        </is>
      </c>
      <c r="H1553" s="1783" t="inlineStr">
        <is>
          <t>SERVIÇO</t>
        </is>
      </c>
      <c r="I1553" s="1750" t="inlineStr">
        <is>
          <t>13.009.005.001</t>
        </is>
      </c>
      <c r="J1553" s="1785" t="inlineStr">
        <is>
          <t>Tratamento De Ralo Ou Ponto Emergente Com Argamassa Polimérica Reforçado Com Tela De Poliéster</t>
        </is>
      </c>
      <c r="K1553" s="1786" t="inlineStr">
        <is>
          <t>un</t>
        </is>
      </c>
      <c r="L1553" s="1787" t="n">
        <v>20</v>
      </c>
      <c r="M1553" s="1787" t="n">
        <v>8.760015000000001</v>
      </c>
      <c r="N1553" s="1754" t="n">
        <v>175.2003</v>
      </c>
      <c r="O1553" s="1788" t="inlineStr">
        <is>
          <t>2 por banheiro + 1 por lavabo + 2 por área de serviço + 1 por área técnica + 1 por cozinha + 1 por sacada + 1 por torneira de jardin</t>
        </is>
      </c>
      <c r="P1553" s="1721" t="inlineStr">
        <is>
          <t>Pendente</t>
        </is>
      </c>
    </row>
    <row r="1554" hidden="1" outlineLevel="2" ht="13.5" customHeight="1">
      <c r="A1554" s="2117" t="n">
        <v>0</v>
      </c>
      <c r="B1554" s="2117" t="n">
        <v>13</v>
      </c>
      <c r="C1554" s="2117" t="n">
        <v>9</v>
      </c>
      <c r="D1554" s="2118" t="n">
        <v>6</v>
      </c>
      <c r="E1554" s="2118" t="n">
        <v>0</v>
      </c>
      <c r="G1554" s="1797" t="n"/>
      <c r="H1554" s="1777" t="inlineStr">
        <is>
          <t>SUBETAPA</t>
        </is>
      </c>
      <c r="I1554" s="1742" t="inlineStr">
        <is>
          <t>13.009.006</t>
        </is>
      </c>
      <c r="J1554" s="1779" t="inlineStr">
        <is>
          <t>Mão de Obra</t>
        </is>
      </c>
      <c r="K1554" s="1780" t="n"/>
      <c r="L1554" s="1781" t="n"/>
      <c r="M1554" s="1781" t="n"/>
      <c r="N1554" s="1746" t="n">
        <v>14045.12</v>
      </c>
      <c r="O1554" s="1782" t="n"/>
      <c r="P1554" s="1720" t="n"/>
    </row>
    <row r="1555" hidden="1" outlineLevel="3" ht="13.5" customHeight="1">
      <c r="A1555" s="2117" t="n">
        <v>0</v>
      </c>
      <c r="B1555" s="2117" t="n">
        <v>13</v>
      </c>
      <c r="C1555" s="2117" t="n">
        <v>9</v>
      </c>
      <c r="D1555" s="2118" t="n">
        <v>6</v>
      </c>
      <c r="E1555" s="2118" t="n">
        <v>1</v>
      </c>
      <c r="G1555" s="1798" t="inlineStr">
        <is>
          <t>IMPERMEABILIZAÇÃO</t>
        </is>
      </c>
      <c r="H1555" s="1783" t="inlineStr">
        <is>
          <t>SERVIÇO</t>
        </is>
      </c>
      <c r="I1555" s="1750" t="inlineStr">
        <is>
          <t>13.009.006.001</t>
        </is>
      </c>
      <c r="J1555" s="1785" t="inlineStr">
        <is>
          <t xml:space="preserve">Mão de obra para regularização de superfície </t>
        </is>
      </c>
      <c r="K1555" s="1786" t="inlineStr">
        <is>
          <t>m2</t>
        </is>
      </c>
      <c r="L1555" s="1787" t="n">
        <v>123.77</v>
      </c>
      <c r="M1555" s="1787" t="n">
        <v>20</v>
      </c>
      <c r="N1555" s="1754" t="n">
        <v>2475.4</v>
      </c>
      <c r="O1555" s="1788" t="n"/>
      <c r="P1555" s="1721" t="inlineStr">
        <is>
          <t>Pendente</t>
        </is>
      </c>
    </row>
    <row r="1556" hidden="1" outlineLevel="3" ht="13.5" customHeight="1">
      <c r="A1556" s="2117" t="n">
        <v>0</v>
      </c>
      <c r="B1556" s="2117" t="n">
        <v>13</v>
      </c>
      <c r="C1556" s="2117" t="n">
        <v>9</v>
      </c>
      <c r="D1556" s="2118" t="n">
        <v>6</v>
      </c>
      <c r="E1556" s="2118" t="n">
        <v>2</v>
      </c>
      <c r="G1556" s="1798" t="inlineStr">
        <is>
          <t>IMPERMEABILIZAÇÃO</t>
        </is>
      </c>
      <c r="H1556" s="1783" t="inlineStr">
        <is>
          <t>SERVIÇO</t>
        </is>
      </c>
      <c r="I1556" s="1750" t="inlineStr">
        <is>
          <t>13.009.006.002</t>
        </is>
      </c>
      <c r="J1556" s="1785" t="inlineStr">
        <is>
          <t>Mão de obra para proteção mecânica</t>
        </is>
      </c>
      <c r="K1556" s="1786" t="inlineStr">
        <is>
          <t>m2</t>
        </is>
      </c>
      <c r="L1556" s="1787" t="n">
        <v>44.82</v>
      </c>
      <c r="M1556" s="1787" t="n">
        <v>35</v>
      </c>
      <c r="N1556" s="1754" t="n">
        <v>1568.7</v>
      </c>
      <c r="O1556" s="1788" t="n"/>
      <c r="P1556" s="1721" t="inlineStr">
        <is>
          <t>Pendente</t>
        </is>
      </c>
    </row>
    <row r="1557" hidden="1" outlineLevel="3" ht="13.5" customHeight="1">
      <c r="A1557" s="2117" t="n">
        <v>0</v>
      </c>
      <c r="B1557" s="2117" t="n">
        <v>13</v>
      </c>
      <c r="C1557" s="2117" t="n">
        <v>9</v>
      </c>
      <c r="D1557" s="2118" t="n">
        <v>6</v>
      </c>
      <c r="E1557" s="2118" t="n">
        <v>3</v>
      </c>
      <c r="G1557" s="1798" t="inlineStr">
        <is>
          <t>IMPERMEABILIZAÇÃO</t>
        </is>
      </c>
      <c r="H1557" s="1783" t="inlineStr">
        <is>
          <t>SERVIÇO</t>
        </is>
      </c>
      <c r="I1557" s="1750" t="inlineStr">
        <is>
          <t>13.009.006.003</t>
        </is>
      </c>
      <c r="J1557" s="1785" t="inlineStr">
        <is>
          <t>Mão de obra impermeabilização sistema 2.5.3</t>
        </is>
      </c>
      <c r="K1557" s="1786" t="inlineStr">
        <is>
          <t>m2</t>
        </is>
      </c>
      <c r="L1557" s="1787" t="n">
        <v>152.79</v>
      </c>
      <c r="M1557" s="1787" t="n">
        <v>32</v>
      </c>
      <c r="N1557" s="1754" t="n">
        <v>4889.28</v>
      </c>
      <c r="O1557" s="1788" t="n"/>
      <c r="P1557" s="1721" t="inlineStr">
        <is>
          <t>Pendente</t>
        </is>
      </c>
    </row>
    <row r="1558" hidden="1" outlineLevel="3" ht="13.5" customHeight="1">
      <c r="A1558" s="2117" t="n">
        <v>0</v>
      </c>
      <c r="B1558" s="2117" t="n">
        <v>13</v>
      </c>
      <c r="C1558" s="2117" t="n">
        <v>9</v>
      </c>
      <c r="D1558" s="2118" t="n">
        <v>6</v>
      </c>
      <c r="E1558" s="2118" t="n">
        <v>4</v>
      </c>
      <c r="G1558" s="1798" t="inlineStr">
        <is>
          <t>IMPERMEABILIZAÇÃO</t>
        </is>
      </c>
      <c r="H1558" s="1783" t="inlineStr">
        <is>
          <t>SERVIÇO</t>
        </is>
      </c>
      <c r="I1558" s="1750" t="inlineStr">
        <is>
          <t>13.009.006.004</t>
        </is>
      </c>
      <c r="J1558" s="1785" t="inlineStr">
        <is>
          <t>Mão de obra impermeabilização sistema 4.2.4</t>
        </is>
      </c>
      <c r="K1558" s="1786" t="inlineStr">
        <is>
          <t>m2</t>
        </is>
      </c>
      <c r="L1558" s="1787" t="n">
        <v>47.16</v>
      </c>
      <c r="M1558" s="1787" t="n">
        <v>45</v>
      </c>
      <c r="N1558" s="1754" t="n">
        <v>2122.2</v>
      </c>
      <c r="O1558" s="1788" t="n"/>
      <c r="P1558" s="1721" t="inlineStr">
        <is>
          <t>Pendente</t>
        </is>
      </c>
    </row>
    <row r="1559" hidden="1" outlineLevel="3" ht="13.5" customHeight="1">
      <c r="A1559" s="2117" t="n">
        <v>0</v>
      </c>
      <c r="B1559" s="2117" t="n">
        <v>13</v>
      </c>
      <c r="C1559" s="2117" t="n">
        <v>9</v>
      </c>
      <c r="D1559" s="2118" t="n">
        <v>6</v>
      </c>
      <c r="E1559" s="2118" t="n">
        <v>5</v>
      </c>
      <c r="G1559" s="1798" t="inlineStr">
        <is>
          <t>IMPERMEABILIZAÇÃO</t>
        </is>
      </c>
      <c r="H1559" s="1783" t="inlineStr">
        <is>
          <t>SERVIÇO</t>
        </is>
      </c>
      <c r="I1559" s="1750" t="inlineStr">
        <is>
          <t>13.009.006.005</t>
        </is>
      </c>
      <c r="J1559" s="1785" t="inlineStr">
        <is>
          <t>Mão de obra impermeabilização sistema 7.1.6</t>
        </is>
      </c>
      <c r="K1559" s="1786" t="inlineStr">
        <is>
          <t>m2</t>
        </is>
      </c>
      <c r="L1559" s="1787" t="n">
        <v>47.37</v>
      </c>
      <c r="M1559" s="1787" t="n">
        <v>42</v>
      </c>
      <c r="N1559" s="1754" t="n">
        <v>1989.54</v>
      </c>
      <c r="O1559" s="1788" t="n"/>
      <c r="P1559" s="1721" t="inlineStr">
        <is>
          <t>Pendente</t>
        </is>
      </c>
    </row>
    <row r="1560" hidden="1" outlineLevel="3" ht="13.5" customHeight="1">
      <c r="A1560" s="2117" t="n">
        <v>0</v>
      </c>
      <c r="B1560" s="2117" t="n">
        <v>13</v>
      </c>
      <c r="C1560" s="2117" t="n">
        <v>9</v>
      </c>
      <c r="D1560" s="2118" t="n">
        <v>6</v>
      </c>
      <c r="E1560" s="2118" t="n">
        <v>6</v>
      </c>
      <c r="G1560" s="1798" t="inlineStr">
        <is>
          <t>IMPERMEABILIZAÇÃO</t>
        </is>
      </c>
      <c r="H1560" s="1783" t="inlineStr">
        <is>
          <t>SERVIÇO</t>
        </is>
      </c>
      <c r="I1560" s="1750" t="inlineStr">
        <is>
          <t>13.009.006.006</t>
        </is>
      </c>
      <c r="J1560" s="1751" t="inlineStr">
        <is>
          <t>Mão de obra tratamento de ralo com manta de poliéster</t>
        </is>
      </c>
      <c r="K1560" s="1786" t="inlineStr">
        <is>
          <t>un</t>
        </is>
      </c>
      <c r="L1560" s="1787" t="n">
        <v>20</v>
      </c>
      <c r="M1560" s="1787" t="n">
        <v>50</v>
      </c>
      <c r="N1560" s="1754" t="n">
        <v>1000</v>
      </c>
      <c r="O1560" s="1788" t="n"/>
      <c r="P1560" s="1721" t="inlineStr">
        <is>
          <t>Pendente</t>
        </is>
      </c>
    </row>
    <row r="1561" hidden="1" outlineLevel="1" ht="13.5" customHeight="1">
      <c r="A1561" s="2117" t="n">
        <v>0</v>
      </c>
      <c r="B1561" s="2117" t="n">
        <v>13</v>
      </c>
      <c r="C1561" s="2117" t="n">
        <v>10</v>
      </c>
      <c r="D1561" s="2118" t="n">
        <v>0</v>
      </c>
      <c r="E1561" s="2118" t="n">
        <v>6</v>
      </c>
      <c r="G1561" s="1796" t="n"/>
      <c r="H1561" s="1771" t="inlineStr">
        <is>
          <t>ETAPA</t>
        </is>
      </c>
      <c r="I1561" s="1735" t="inlineStr">
        <is>
          <t>13.010</t>
        </is>
      </c>
      <c r="J1561" s="1773" t="inlineStr">
        <is>
          <t>IMPERMEABILIZAÇÃO E TRATAMENTOS - Tipo x8</t>
        </is>
      </c>
      <c r="K1561" s="1774" t="n"/>
      <c r="L1561" s="1775" t="n"/>
      <c r="M1561" s="1775" t="n"/>
      <c r="N1561" s="1739" t="n">
        <v>161272.162232</v>
      </c>
      <c r="O1561" s="1776" t="n">
        <v>9.62837848339699</v>
      </c>
      <c r="P1561" s="1719" t="n"/>
    </row>
    <row r="1562" hidden="1" outlineLevel="2" ht="13.5" customHeight="1">
      <c r="A1562" s="2117" t="n">
        <v>0</v>
      </c>
      <c r="B1562" s="2117" t="n">
        <v>13</v>
      </c>
      <c r="C1562" s="2117" t="n">
        <v>10</v>
      </c>
      <c r="D1562" s="2118" t="n">
        <v>1</v>
      </c>
      <c r="E1562" s="2118" t="n">
        <v>0</v>
      </c>
      <c r="G1562" s="1797" t="n"/>
      <c r="H1562" s="1777" t="inlineStr">
        <is>
          <t>SUBETAPA</t>
        </is>
      </c>
      <c r="I1562" s="1742" t="inlineStr">
        <is>
          <t>13.010.001</t>
        </is>
      </c>
      <c r="J1562" s="1779" t="inlineStr">
        <is>
          <t>Regularização e proteção mecânica</t>
        </is>
      </c>
      <c r="K1562" s="1780" t="n"/>
      <c r="L1562" s="1781" t="n"/>
      <c r="M1562" s="1781" t="n"/>
      <c r="N1562" s="1746" t="n">
        <v>3499.598952</v>
      </c>
      <c r="O1562" s="1782" t="n">
        <v>0.208935397055584</v>
      </c>
      <c r="P1562" s="1720" t="n"/>
    </row>
    <row r="1563" hidden="1" outlineLevel="3" ht="13.5" customHeight="1">
      <c r="A1563" s="2117" t="n">
        <v>0</v>
      </c>
      <c r="B1563" s="2117" t="n">
        <v>13</v>
      </c>
      <c r="C1563" s="2117" t="n">
        <v>10</v>
      </c>
      <c r="D1563" s="2118" t="n">
        <v>1</v>
      </c>
      <c r="E1563" s="2118" t="n">
        <v>1</v>
      </c>
      <c r="G1563" s="1798" t="inlineStr">
        <is>
          <t>IMPERMEABILIZAÇÃO</t>
        </is>
      </c>
      <c r="H1563" s="1783" t="inlineStr">
        <is>
          <t>SERVIÇO</t>
        </is>
      </c>
      <c r="I1563" s="1750" t="inlineStr">
        <is>
          <t>13.010.001.001</t>
        </is>
      </c>
      <c r="J1563" s="1785" t="inlineStr">
        <is>
          <t xml:space="preserve">Regularização de superfície para impermeabilização </t>
        </is>
      </c>
      <c r="K1563" s="1786" t="inlineStr">
        <is>
          <t>m2</t>
        </is>
      </c>
      <c r="L1563" s="1787" t="n">
        <v>495.28</v>
      </c>
      <c r="M1563" s="1787" t="n">
        <v>7.065899999999999</v>
      </c>
      <c r="N1563" s="1754" t="n">
        <v>3499.598952</v>
      </c>
      <c r="O1563" s="1788" t="inlineStr">
        <is>
          <t>Toda área de piso que recebe impermeabilização</t>
        </is>
      </c>
      <c r="P1563" s="1721" t="inlineStr">
        <is>
          <t>Pendente</t>
        </is>
      </c>
    </row>
    <row r="1564" hidden="1" outlineLevel="2" ht="13.5" customHeight="1">
      <c r="A1564" s="2117" t="n">
        <v>0</v>
      </c>
      <c r="B1564" s="2117" t="n">
        <v>13</v>
      </c>
      <c r="C1564" s="2117" t="n">
        <v>10</v>
      </c>
      <c r="D1564" s="2118" t="n">
        <v>2</v>
      </c>
      <c r="E1564" s="2118" t="n">
        <v>0</v>
      </c>
      <c r="G1564" s="1797" t="n"/>
      <c r="H1564" s="1777" t="inlineStr">
        <is>
          <t>SUBETAPA</t>
        </is>
      </c>
      <c r="I1564" s="1742" t="inlineStr">
        <is>
          <t>13.010.002</t>
        </is>
      </c>
      <c r="J1564" s="1779" t="inlineStr">
        <is>
          <t>Impermeabilização de lajes, cobertura, rufos, moldura da fachada e terraços</t>
        </is>
      </c>
      <c r="K1564" s="1780" t="n"/>
      <c r="L1564" s="1781" t="n"/>
      <c r="M1564" s="1781" t="n"/>
      <c r="N1564" s="1746" t="n">
        <v>23858.422032</v>
      </c>
      <c r="O1564" s="1782" t="n"/>
      <c r="P1564" s="1720" t="n"/>
    </row>
    <row r="1565" hidden="1" outlineLevel="3" ht="13.5" customHeight="1">
      <c r="A1565" s="2117" t="n">
        <v>0</v>
      </c>
      <c r="B1565" s="2117" t="n">
        <v>13</v>
      </c>
      <c r="C1565" s="2117" t="n">
        <v>10</v>
      </c>
      <c r="D1565" s="2118" t="n">
        <v>2</v>
      </c>
      <c r="E1565" s="2118" t="n">
        <v>1</v>
      </c>
      <c r="G1565" s="1798" t="inlineStr">
        <is>
          <t>IMPERMEABILIZAÇÃO</t>
        </is>
      </c>
      <c r="H1565" s="1783" t="inlineStr">
        <is>
          <t>SERVIÇO</t>
        </is>
      </c>
      <c r="I1565" s="1750" t="inlineStr">
        <is>
          <t>13.010.002.001</t>
        </is>
      </c>
      <c r="J1565" s="1785" t="inlineStr">
        <is>
          <t>Sistema 7.1.6:Argamassa impermeabilizante sem cimento - MK-FEN 30 (F) | Argamassa não cimentícia com agentes incorporadores de ar (8,0 kg/m²) + Tela de poliéster nos pontos críticos</t>
        </is>
      </c>
      <c r="K1565" s="1786" t="inlineStr">
        <is>
          <t>m2</t>
        </is>
      </c>
      <c r="L1565" s="1787" t="n">
        <v>160.24</v>
      </c>
      <c r="M1565" s="1787" t="n">
        <v>148.8918</v>
      </c>
      <c r="N1565" s="1754" t="n">
        <v>23858.422032</v>
      </c>
      <c r="O1565" s="1788" t="inlineStr">
        <is>
          <t>Moldura de fachada + rufos</t>
        </is>
      </c>
      <c r="P1565" s="1721" t="inlineStr">
        <is>
          <t>Pendente</t>
        </is>
      </c>
    </row>
    <row r="1566" hidden="1" outlineLevel="2" ht="13.5" customHeight="1">
      <c r="A1566" s="2117" t="n">
        <v>0</v>
      </c>
      <c r="B1566" s="2117" t="n">
        <v>13</v>
      </c>
      <c r="C1566" s="2117" t="n">
        <v>10</v>
      </c>
      <c r="D1566" s="2118" t="n">
        <v>3</v>
      </c>
      <c r="E1566" s="2118" t="n">
        <v>0</v>
      </c>
      <c r="G1566" s="1797" t="n"/>
      <c r="H1566" s="1777" t="inlineStr">
        <is>
          <t>SUBETAPA</t>
        </is>
      </c>
      <c r="I1566" s="1742" t="inlineStr">
        <is>
          <t>13.010.003</t>
        </is>
      </c>
      <c r="J1566" s="1779" t="inlineStr">
        <is>
          <t>Impermeabilização de banheiro, cozinha, área de serviço, área técnica, área comum, fosso do elevador e sacada</t>
        </is>
      </c>
      <c r="K1566" s="1780" t="n"/>
      <c r="L1566" s="1781" t="n"/>
      <c r="M1566" s="1781" t="n"/>
      <c r="N1566" s="1746" t="n">
        <v>47660.9589973333</v>
      </c>
      <c r="O1566" s="1782" t="n"/>
      <c r="P1566" s="1720" t="n"/>
    </row>
    <row r="1567" hidden="1" outlineLevel="3" ht="13.5" customHeight="1">
      <c r="A1567" s="2117" t="n">
        <v>0</v>
      </c>
      <c r="B1567" s="2117" t="n">
        <v>13</v>
      </c>
      <c r="C1567" s="2117" t="n">
        <v>10</v>
      </c>
      <c r="D1567" s="2118" t="n">
        <v>3</v>
      </c>
      <c r="E1567" s="2118" t="n">
        <v>1</v>
      </c>
      <c r="G1567" s="1798" t="inlineStr">
        <is>
          <t>IMPERMEABILIZAÇÃO</t>
        </is>
      </c>
      <c r="H1567" s="1783" t="inlineStr">
        <is>
          <t>SERVIÇO</t>
        </is>
      </c>
      <c r="I1567" s="1750" t="inlineStr">
        <is>
          <t>13.010.003.001</t>
        </is>
      </c>
      <c r="J1567" s="1785" t="inlineStr">
        <is>
          <t>Sistema 2.5.3: Membrana de polímero acrílico com cimento e fibras sintéticas | Revestimento bicomponente à base de polímeros acrílicos com adição de cimento e fibras sintéticas (3,0 kg/m²) + Tela de poliéster nos pontos críticos</t>
        </is>
      </c>
      <c r="K1567" s="1786" t="inlineStr">
        <is>
          <t>m2</t>
        </is>
      </c>
      <c r="L1567" s="1787" t="n">
        <v>794.0000000000001</v>
      </c>
      <c r="M1567" s="1787" t="n">
        <v>34.05846666666666</v>
      </c>
      <c r="N1567" s="1754" t="n">
        <v>27042.4225333333</v>
      </c>
      <c r="O1567" s="1788" t="inlineStr">
        <is>
          <t>Banheiro + área de serviço + casa de máquinas</t>
        </is>
      </c>
      <c r="P1567" s="1721" t="inlineStr">
        <is>
          <t>Pendente</t>
        </is>
      </c>
    </row>
    <row r="1568" hidden="1" outlineLevel="3" ht="13.5" customHeight="1">
      <c r="A1568" s="2117" t="n">
        <v>0</v>
      </c>
      <c r="B1568" s="2117" t="n">
        <v>13</v>
      </c>
      <c r="C1568" s="2117" t="n">
        <v>10</v>
      </c>
      <c r="D1568" s="2118" t="n">
        <v>3</v>
      </c>
      <c r="E1568" s="2118" t="n">
        <v>2</v>
      </c>
      <c r="G1568" s="1798" t="inlineStr">
        <is>
          <t>IMPERMEABILIZAÇÃO</t>
        </is>
      </c>
      <c r="H1568" s="1783" t="inlineStr">
        <is>
          <t>SERVIÇO</t>
        </is>
      </c>
      <c r="I1568" s="1750" t="inlineStr">
        <is>
          <t>13.010.003.002</t>
        </is>
      </c>
      <c r="J1568" s="1785" t="inlineStr">
        <is>
          <t>Sistema 7.1.6:Argamassa impermeabilizante sem cimento - MK-FEN 30 (F) | Argamassa não cimentícia com agentes incorporadores de ar (8,0 kg/m²) + Tela de poliéster nos pontos críticos</t>
        </is>
      </c>
      <c r="K1568" s="1786" t="inlineStr">
        <is>
          <t>m2</t>
        </is>
      </c>
      <c r="L1568" s="1787" t="n">
        <v>138.48</v>
      </c>
      <c r="M1568" s="1787" t="n">
        <v>148.8918</v>
      </c>
      <c r="N1568" s="1754" t="n">
        <v>20618.536464</v>
      </c>
      <c r="O1568" s="1788" t="inlineStr">
        <is>
          <t>área técnica + sauna</t>
        </is>
      </c>
      <c r="P1568" s="1721" t="inlineStr">
        <is>
          <t>Pendente</t>
        </is>
      </c>
    </row>
    <row r="1569" hidden="1" outlineLevel="2" ht="13.5" customHeight="1">
      <c r="A1569" s="2117" t="n">
        <v>0</v>
      </c>
      <c r="B1569" s="2117" t="n">
        <v>13</v>
      </c>
      <c r="C1569" s="2117" t="n">
        <v>10</v>
      </c>
      <c r="D1569" s="2118" t="n">
        <v>4</v>
      </c>
      <c r="E1569" s="2118" t="n">
        <v>0</v>
      </c>
      <c r="G1569" s="1797" t="n"/>
      <c r="H1569" s="1777" t="inlineStr">
        <is>
          <t>SUBETAPA</t>
        </is>
      </c>
      <c r="I1569" s="1742" t="inlineStr">
        <is>
          <t>13.010.004</t>
        </is>
      </c>
      <c r="J1569" s="1779" t="inlineStr">
        <is>
          <t>Impermeabilização de esquadrias</t>
        </is>
      </c>
      <c r="K1569" s="1780" t="n"/>
      <c r="L1569" s="1781" t="n"/>
      <c r="M1569" s="1781" t="n"/>
      <c r="N1569" s="1746" t="n">
        <v>14947.5798506667</v>
      </c>
      <c r="O1569" s="1782" t="n"/>
      <c r="P1569" s="1720" t="n"/>
    </row>
    <row r="1570" hidden="1" outlineLevel="3" ht="13.5" customHeight="1">
      <c r="A1570" s="2117" t="n">
        <v>0</v>
      </c>
      <c r="B1570" s="2117" t="n">
        <v>13</v>
      </c>
      <c r="C1570" s="2117" t="n">
        <v>10</v>
      </c>
      <c r="D1570" s="2118" t="n">
        <v>4</v>
      </c>
      <c r="E1570" s="2118" t="n">
        <v>1</v>
      </c>
      <c r="G1570" s="1798" t="inlineStr">
        <is>
          <t>IMPERMEABILIZAÇÃO</t>
        </is>
      </c>
      <c r="H1570" s="1783" t="inlineStr">
        <is>
          <t>SERVIÇO</t>
        </is>
      </c>
      <c r="I1570" s="1750" t="inlineStr">
        <is>
          <t>13.010.004.001</t>
        </is>
      </c>
      <c r="J1570" s="1785" t="inlineStr">
        <is>
          <t>Sistema 2.5.3: Membrana de polímero acrílico com cimento e fibras sintéticas | Revestimento bicomponente à base de polímeros acrílicos com adição de cimento e fibras sintéticas (3,0 kg/m²) + Tela de poliéster nos pontos críticos</t>
        </is>
      </c>
      <c r="K1570" s="1786" t="inlineStr">
        <is>
          <t>m2</t>
        </is>
      </c>
      <c r="L1570" s="1787" t="n">
        <v>438.88</v>
      </c>
      <c r="M1570" s="1787" t="n">
        <v>34.05846666666666</v>
      </c>
      <c r="N1570" s="1754" t="n">
        <v>14947.5798506667</v>
      </c>
      <c r="O1570" s="1788" t="n"/>
      <c r="P1570" s="1721" t="inlineStr">
        <is>
          <t>Pendente</t>
        </is>
      </c>
    </row>
    <row r="1571" hidden="1" outlineLevel="2" ht="13.5" customHeight="1">
      <c r="A1571" s="2117" t="n">
        <v>0</v>
      </c>
      <c r="B1571" s="2117" t="n">
        <v>13</v>
      </c>
      <c r="C1571" s="2117" t="n">
        <v>10</v>
      </c>
      <c r="D1571" s="2118" t="n">
        <v>5</v>
      </c>
      <c r="E1571" s="2118" t="n">
        <v>0</v>
      </c>
      <c r="G1571" s="1797" t="n"/>
      <c r="H1571" s="1777" t="inlineStr">
        <is>
          <t>SUBETAPA</t>
        </is>
      </c>
      <c r="I1571" s="1742" t="inlineStr">
        <is>
          <t>13.010.005</t>
        </is>
      </c>
      <c r="J1571" s="1779" t="inlineStr">
        <is>
          <t>Impermeabilização de ralos</t>
        </is>
      </c>
      <c r="K1571" s="1780" t="n"/>
      <c r="L1571" s="1781" t="n"/>
      <c r="M1571" s="1781" t="n"/>
      <c r="N1571" s="1746" t="n">
        <v>1401.6024</v>
      </c>
      <c r="O1571" s="1782" t="n"/>
      <c r="P1571" s="1720" t="n"/>
    </row>
    <row r="1572" hidden="1" outlineLevel="3" ht="13.5" customHeight="1">
      <c r="A1572" s="2117" t="n">
        <v>0</v>
      </c>
      <c r="B1572" s="2117" t="n">
        <v>13</v>
      </c>
      <c r="C1572" s="2117" t="n">
        <v>10</v>
      </c>
      <c r="D1572" s="2118" t="n">
        <v>5</v>
      </c>
      <c r="E1572" s="2118" t="n">
        <v>1</v>
      </c>
      <c r="G1572" s="1798" t="inlineStr">
        <is>
          <t>IMPERMEABILIZAÇÃO</t>
        </is>
      </c>
      <c r="H1572" s="1783" t="inlineStr">
        <is>
          <t>SERVIÇO</t>
        </is>
      </c>
      <c r="I1572" s="1750" t="inlineStr">
        <is>
          <t>13.010.005.001</t>
        </is>
      </c>
      <c r="J1572" s="1785" t="inlineStr">
        <is>
          <t>Tratamento De Ralo Ou Ponto Emergente Com Argamassa Polimérica Reforçado Com Tela De Poliéster</t>
        </is>
      </c>
      <c r="K1572" s="1786" t="inlineStr">
        <is>
          <t>un</t>
        </is>
      </c>
      <c r="L1572" s="1787" t="n">
        <v>160</v>
      </c>
      <c r="M1572" s="1787" t="n">
        <v>8.760015000000001</v>
      </c>
      <c r="N1572" s="1754" t="n">
        <v>1401.6024</v>
      </c>
      <c r="O1572" s="1788" t="inlineStr">
        <is>
          <t>2 por banheiro + 1 por lavabo + 2 por área de serviço + 1 por área técnica + 1 por cozinha + 1 por sacada + 1 por torneira de jardin</t>
        </is>
      </c>
      <c r="P1572" s="1721" t="inlineStr">
        <is>
          <t>Pendente</t>
        </is>
      </c>
    </row>
    <row r="1573" hidden="1" outlineLevel="2" ht="13.5" customHeight="1">
      <c r="A1573" s="2117" t="n">
        <v>0</v>
      </c>
      <c r="B1573" s="2117" t="n">
        <v>13</v>
      </c>
      <c r="C1573" s="2117" t="n">
        <v>10</v>
      </c>
      <c r="D1573" s="2118" t="n">
        <v>6</v>
      </c>
      <c r="E1573" s="2118" t="n">
        <v>0</v>
      </c>
      <c r="G1573" s="1797" t="n"/>
      <c r="H1573" s="1777" t="inlineStr">
        <is>
          <t>SUBETAPA</t>
        </is>
      </c>
      <c r="I1573" s="1742" t="inlineStr">
        <is>
          <t>13.010.006</t>
        </is>
      </c>
      <c r="J1573" s="1779" t="inlineStr">
        <is>
          <t>Mão de Obra</t>
        </is>
      </c>
      <c r="K1573" s="1780" t="n"/>
      <c r="L1573" s="1781" t="n"/>
      <c r="M1573" s="1781" t="n"/>
      <c r="N1573" s="1746" t="n">
        <v>69904</v>
      </c>
      <c r="O1573" s="1782" t="n"/>
      <c r="P1573" s="1720" t="n"/>
    </row>
    <row r="1574" hidden="1" outlineLevel="3" ht="13.5" customHeight="1">
      <c r="A1574" s="2117" t="n">
        <v>0</v>
      </c>
      <c r="B1574" s="2117" t="n">
        <v>13</v>
      </c>
      <c r="C1574" s="2117" t="n">
        <v>10</v>
      </c>
      <c r="D1574" s="2118" t="n">
        <v>6</v>
      </c>
      <c r="E1574" s="2118" t="n">
        <v>1</v>
      </c>
      <c r="G1574" s="1798" t="inlineStr">
        <is>
          <t>IMPERMEABILIZAÇÃO</t>
        </is>
      </c>
      <c r="H1574" s="1783" t="inlineStr">
        <is>
          <t>SERVIÇO</t>
        </is>
      </c>
      <c r="I1574" s="1750" t="inlineStr">
        <is>
          <t>13.010.006.001</t>
        </is>
      </c>
      <c r="J1574" s="1785" t="inlineStr">
        <is>
          <t xml:space="preserve">Mão de obra para regularização de superfície </t>
        </is>
      </c>
      <c r="K1574" s="1786" t="inlineStr">
        <is>
          <t>m2</t>
        </is>
      </c>
      <c r="L1574" s="1787" t="n">
        <v>495.28</v>
      </c>
      <c r="M1574" s="1787" t="n">
        <v>20</v>
      </c>
      <c r="N1574" s="1754" t="n">
        <v>9905.6</v>
      </c>
      <c r="O1574" s="1788" t="n"/>
      <c r="P1574" s="1721" t="inlineStr">
        <is>
          <t>Pendente</t>
        </is>
      </c>
    </row>
    <row r="1575" hidden="1" outlineLevel="3" ht="13.5" customHeight="1">
      <c r="A1575" s="2117" t="n">
        <v>0</v>
      </c>
      <c r="B1575" s="2117" t="n">
        <v>13</v>
      </c>
      <c r="C1575" s="2117" t="n">
        <v>10</v>
      </c>
      <c r="D1575" s="2118" t="n">
        <v>6</v>
      </c>
      <c r="E1575" s="2118" t="n">
        <v>2</v>
      </c>
      <c r="G1575" s="1798" t="inlineStr">
        <is>
          <t>IMPERMEABILIZAÇÃO</t>
        </is>
      </c>
      <c r="H1575" s="1783" t="inlineStr">
        <is>
          <t>SERVIÇO</t>
        </is>
      </c>
      <c r="I1575" s="1750" t="inlineStr">
        <is>
          <t>13.010.006.002</t>
        </is>
      </c>
      <c r="J1575" s="1785" t="inlineStr">
        <is>
          <t>Mão de obra impermeabilização sistema 2.5.3</t>
        </is>
      </c>
      <c r="K1575" s="1786" t="inlineStr">
        <is>
          <t>m2</t>
        </is>
      </c>
      <c r="L1575" s="1787" t="n">
        <v>1232.88</v>
      </c>
      <c r="M1575" s="1787" t="n">
        <v>32</v>
      </c>
      <c r="N1575" s="1754" t="n">
        <v>39452.16</v>
      </c>
      <c r="O1575" s="1788" t="n"/>
      <c r="P1575" s="1721" t="inlineStr">
        <is>
          <t>Pendente</t>
        </is>
      </c>
    </row>
    <row r="1576" hidden="1" outlineLevel="3" ht="13.5" customHeight="1">
      <c r="A1576" s="2117" t="n">
        <v>0</v>
      </c>
      <c r="B1576" s="2117" t="n">
        <v>13</v>
      </c>
      <c r="C1576" s="2117" t="n">
        <v>10</v>
      </c>
      <c r="D1576" s="2118" t="n">
        <v>6</v>
      </c>
      <c r="E1576" s="2118" t="n">
        <v>3</v>
      </c>
      <c r="G1576" s="1798" t="inlineStr">
        <is>
          <t>IMPERMEABILIZAÇÃO</t>
        </is>
      </c>
      <c r="H1576" s="1783" t="inlineStr">
        <is>
          <t>SERVIÇO</t>
        </is>
      </c>
      <c r="I1576" s="1750" t="inlineStr">
        <is>
          <t>13.010.006.003</t>
        </is>
      </c>
      <c r="J1576" s="1785" t="inlineStr">
        <is>
          <t>Mão de obra impermeabilização sistema 7.1.6</t>
        </is>
      </c>
      <c r="K1576" s="1786" t="inlineStr">
        <is>
          <t>m2</t>
        </is>
      </c>
      <c r="L1576" s="1787" t="n">
        <v>298.72</v>
      </c>
      <c r="M1576" s="1787" t="n">
        <v>42</v>
      </c>
      <c r="N1576" s="1754" t="n">
        <v>12546.24</v>
      </c>
      <c r="O1576" s="1788" t="n"/>
      <c r="P1576" s="1721" t="inlineStr">
        <is>
          <t>Pendente</t>
        </is>
      </c>
    </row>
    <row r="1577" hidden="1" outlineLevel="3" ht="13.5" customHeight="1">
      <c r="A1577" s="2117" t="n">
        <v>0</v>
      </c>
      <c r="B1577" s="2117" t="n">
        <v>13</v>
      </c>
      <c r="C1577" s="2117" t="n">
        <v>10</v>
      </c>
      <c r="D1577" s="2118" t="n">
        <v>6</v>
      </c>
      <c r="E1577" s="2118" t="n">
        <v>4</v>
      </c>
      <c r="G1577" s="1798" t="inlineStr">
        <is>
          <t>IMPERMEABILIZAÇÃO</t>
        </is>
      </c>
      <c r="H1577" s="1783" t="inlineStr">
        <is>
          <t>SERVIÇO</t>
        </is>
      </c>
      <c r="I1577" s="1750" t="inlineStr">
        <is>
          <t>13.010.006.004</t>
        </is>
      </c>
      <c r="J1577" s="1751" t="inlineStr">
        <is>
          <t>Mão de obra tratamento de ralo com manta de poliéster</t>
        </is>
      </c>
      <c r="K1577" s="1786" t="inlineStr">
        <is>
          <t>un</t>
        </is>
      </c>
      <c r="L1577" s="1787" t="n">
        <v>160</v>
      </c>
      <c r="M1577" s="1787" t="n">
        <v>50</v>
      </c>
      <c r="N1577" s="1754" t="n">
        <v>8000</v>
      </c>
      <c r="O1577" s="1788" t="n"/>
      <c r="P1577" s="1721" t="inlineStr">
        <is>
          <t>Pendente</t>
        </is>
      </c>
    </row>
    <row r="1578" hidden="1" outlineLevel="1" ht="13.5" customHeight="1">
      <c r="A1578" s="2117" t="n">
        <v>0</v>
      </c>
      <c r="B1578" s="2117" t="n">
        <v>13</v>
      </c>
      <c r="C1578" s="2117" t="n">
        <v>11</v>
      </c>
      <c r="D1578" s="2118" t="n">
        <v>0</v>
      </c>
      <c r="E1578" s="2118" t="n">
        <v>4</v>
      </c>
      <c r="G1578" s="1796" t="n"/>
      <c r="H1578" s="1771" t="inlineStr">
        <is>
          <t>ETAPA</t>
        </is>
      </c>
      <c r="I1578" s="1735" t="inlineStr">
        <is>
          <t>13.011</t>
        </is>
      </c>
      <c r="J1578" s="1773" t="inlineStr">
        <is>
          <t>IMPERMEABILIZAÇÃO E TRATAMENTOS - Penthouse x22</t>
        </is>
      </c>
      <c r="K1578" s="1774" t="n"/>
      <c r="L1578" s="1775" t="n"/>
      <c r="M1578" s="1775" t="n"/>
      <c r="N1578" s="1739" t="n">
        <v>345442.800552</v>
      </c>
      <c r="O1578" s="1776" t="n">
        <v>20.6238570999906</v>
      </c>
      <c r="P1578" s="1719" t="n"/>
    </row>
    <row r="1579" hidden="1" outlineLevel="2" ht="13.5" customHeight="1">
      <c r="A1579" s="2117" t="n">
        <v>0</v>
      </c>
      <c r="B1579" s="2117" t="n">
        <v>13</v>
      </c>
      <c r="C1579" s="2117" t="n">
        <v>11</v>
      </c>
      <c r="D1579" s="2118" t="n">
        <v>1</v>
      </c>
      <c r="E1579" s="2118" t="n">
        <v>0</v>
      </c>
      <c r="G1579" s="1797" t="n"/>
      <c r="H1579" s="1777" t="inlineStr">
        <is>
          <t>SUBETAPA</t>
        </is>
      </c>
      <c r="I1579" s="1742" t="inlineStr">
        <is>
          <t>13.011.001</t>
        </is>
      </c>
      <c r="J1579" s="1779" t="inlineStr">
        <is>
          <t>Regularização e proteção mecânica</t>
        </is>
      </c>
      <c r="K1579" s="1780" t="n"/>
      <c r="L1579" s="1781" t="n"/>
      <c r="M1579" s="1781" t="n"/>
      <c r="N1579" s="1746" t="n">
        <v>12669.457634</v>
      </c>
      <c r="O1579" s="1782" t="n">
        <v>0.756400432605538</v>
      </c>
      <c r="P1579" s="1720" t="n"/>
    </row>
    <row r="1580" hidden="1" outlineLevel="3" ht="13.5" customHeight="1">
      <c r="A1580" s="2117" t="n">
        <v>0</v>
      </c>
      <c r="B1580" s="2117" t="n">
        <v>13</v>
      </c>
      <c r="C1580" s="2117" t="n">
        <v>11</v>
      </c>
      <c r="D1580" s="2118" t="n">
        <v>1</v>
      </c>
      <c r="E1580" s="2118" t="n">
        <v>1</v>
      </c>
      <c r="G1580" s="1798" t="inlineStr">
        <is>
          <t>IMPERMEABILIZAÇÃO</t>
        </is>
      </c>
      <c r="H1580" s="1783" t="inlineStr">
        <is>
          <t>SERVIÇO</t>
        </is>
      </c>
      <c r="I1580" s="1750" t="inlineStr">
        <is>
          <t>13.011.001.001</t>
        </is>
      </c>
      <c r="J1580" s="1785" t="inlineStr">
        <is>
          <t xml:space="preserve">Regularização de superfície para impermeabilização </t>
        </is>
      </c>
      <c r="K1580" s="1786" t="inlineStr">
        <is>
          <t>m2</t>
        </is>
      </c>
      <c r="L1580" s="1787" t="n">
        <v>977.9099999999999</v>
      </c>
      <c r="M1580" s="1787" t="n">
        <v>7.065899999999999</v>
      </c>
      <c r="N1580" s="1754" t="n">
        <v>6909.814269</v>
      </c>
      <c r="O1580" s="1788" t="inlineStr">
        <is>
          <t>Toda área de piso que recebe impermeabilização</t>
        </is>
      </c>
      <c r="P1580" s="1721" t="inlineStr">
        <is>
          <t>Pendente</t>
        </is>
      </c>
    </row>
    <row r="1581" hidden="1" outlineLevel="3" ht="13.5" customHeight="1">
      <c r="A1581" s="2117" t="n">
        <v>0</v>
      </c>
      <c r="B1581" s="2117" t="n">
        <v>13</v>
      </c>
      <c r="C1581" s="2117" t="n">
        <v>11</v>
      </c>
      <c r="D1581" s="2118" t="n">
        <v>1</v>
      </c>
      <c r="E1581" s="2118" t="n">
        <v>2</v>
      </c>
      <c r="G1581" s="1798" t="inlineStr">
        <is>
          <t>IMPERMEABILIZAÇÃO</t>
        </is>
      </c>
      <c r="H1581" s="1783" t="inlineStr">
        <is>
          <t>SERVIÇO</t>
        </is>
      </c>
      <c r="I1581" s="1750" t="inlineStr">
        <is>
          <t>13.011.001.002</t>
        </is>
      </c>
      <c r="J1581" s="1785" t="inlineStr">
        <is>
          <t>Proteção mecânica de superfície com argamassa de cimento e areia, traço 1:3 E=5cm</t>
        </is>
      </c>
      <c r="K1581" s="1786" t="inlineStr">
        <is>
          <t>m2</t>
        </is>
      </c>
      <c r="L1581" s="1787" t="n">
        <v>116.69</v>
      </c>
      <c r="M1581" s="1787" t="n">
        <v>49.3585</v>
      </c>
      <c r="N1581" s="1754" t="n">
        <v>5759.643365</v>
      </c>
      <c r="O1581" s="1788" t="inlineStr">
        <is>
          <t>Toda área de piso que recebe impermeabilização de manta asfáltica</t>
        </is>
      </c>
      <c r="P1581" s="1721" t="inlineStr">
        <is>
          <t>Pendente</t>
        </is>
      </c>
    </row>
    <row r="1582" hidden="1" outlineLevel="2" ht="13.5" customHeight="1">
      <c r="A1582" s="2117" t="n">
        <v>0</v>
      </c>
      <c r="B1582" s="2117" t="n">
        <v>13</v>
      </c>
      <c r="C1582" s="2117" t="n">
        <v>11</v>
      </c>
      <c r="D1582" s="2118" t="n">
        <v>2</v>
      </c>
      <c r="E1582" s="2118" t="n">
        <v>0</v>
      </c>
      <c r="G1582" s="1797" t="n"/>
      <c r="H1582" s="1777" t="inlineStr">
        <is>
          <t>SUBETAPA</t>
        </is>
      </c>
      <c r="I1582" s="1742" t="inlineStr">
        <is>
          <t>13.011.002</t>
        </is>
      </c>
      <c r="J1582" s="1779" t="inlineStr">
        <is>
          <t>Impermeabilização de lajes, cobertura, rufos, moldura da fachada e terraços</t>
        </is>
      </c>
      <c r="K1582" s="1780" t="n"/>
      <c r="L1582" s="1781" t="n"/>
      <c r="M1582" s="1781" t="n"/>
      <c r="N1582" s="1746" t="n">
        <v>16247.073216</v>
      </c>
      <c r="O1582" s="1782" t="n"/>
      <c r="P1582" s="1720" t="n"/>
    </row>
    <row r="1583" hidden="1" outlineLevel="3" ht="13.5" customHeight="1">
      <c r="A1583" s="2117" t="n">
        <v>0</v>
      </c>
      <c r="B1583" s="2117" t="n">
        <v>13</v>
      </c>
      <c r="C1583" s="2117" t="n">
        <v>11</v>
      </c>
      <c r="D1583" s="2118" t="n">
        <v>2</v>
      </c>
      <c r="E1583" s="2118" t="n">
        <v>1</v>
      </c>
      <c r="G1583" s="1798" t="inlineStr">
        <is>
          <t>IMPERMEABILIZAÇÃO</t>
        </is>
      </c>
      <c r="H1583" s="1783" t="inlineStr">
        <is>
          <t>SERVIÇO</t>
        </is>
      </c>
      <c r="I1583" s="1750" t="inlineStr">
        <is>
          <t>13.011.002.001</t>
        </is>
      </c>
      <c r="J1583" s="1785" t="inlineStr">
        <is>
          <t>Sistema 7.1.6:Argamassa impermeabilizante sem cimento - MK-FEN 30 (F) | Argamassa não cimentícia com agentes incorporadores de ar (8,0 kg/m²) + Tela de poliéster nos pontos críticos</t>
        </is>
      </c>
      <c r="K1583" s="1786" t="inlineStr">
        <is>
          <t>m2</t>
        </is>
      </c>
      <c r="L1583" s="1787" t="n">
        <v>109.12</v>
      </c>
      <c r="M1583" s="1787" t="n">
        <v>148.8918</v>
      </c>
      <c r="N1583" s="1754" t="n">
        <v>16247.073216</v>
      </c>
      <c r="O1583" s="1788" t="inlineStr">
        <is>
          <t>Moldura de fachada + rufos</t>
        </is>
      </c>
      <c r="P1583" s="1721" t="inlineStr">
        <is>
          <t>Pendente</t>
        </is>
      </c>
    </row>
    <row r="1584" hidden="1" outlineLevel="2" ht="13.5" customHeight="1">
      <c r="A1584" s="2117" t="n">
        <v>0</v>
      </c>
      <c r="B1584" s="2117" t="n">
        <v>13</v>
      </c>
      <c r="C1584" s="2117" t="n">
        <v>11</v>
      </c>
      <c r="D1584" s="2118" t="n">
        <v>3</v>
      </c>
      <c r="E1584" s="2118" t="n">
        <v>0</v>
      </c>
      <c r="G1584" s="1797" t="n"/>
      <c r="H1584" s="1777" t="inlineStr">
        <is>
          <t>SUBETAPA</t>
        </is>
      </c>
      <c r="I1584" s="1742" t="inlineStr">
        <is>
          <t>13.011.003</t>
        </is>
      </c>
      <c r="J1584" s="1779" t="inlineStr">
        <is>
          <t>Impermeabilização de banheiro, cozinha, área de serviço, área técnica, área comum, fosso do elevador e sacada</t>
        </is>
      </c>
      <c r="K1584" s="1780" t="n"/>
      <c r="L1584" s="1781" t="n"/>
      <c r="M1584" s="1781" t="n"/>
      <c r="N1584" s="1746" t="n">
        <v>116469.794299333</v>
      </c>
      <c r="O1584" s="1782" t="n"/>
      <c r="P1584" s="1720" t="n"/>
    </row>
    <row r="1585" hidden="1" outlineLevel="3" ht="13.5" customHeight="1">
      <c r="A1585" s="2117" t="n">
        <v>0</v>
      </c>
      <c r="B1585" s="2117" t="n">
        <v>13</v>
      </c>
      <c r="C1585" s="2117" t="n">
        <v>11</v>
      </c>
      <c r="D1585" s="2118" t="n">
        <v>3</v>
      </c>
      <c r="E1585" s="2118" t="n">
        <v>1</v>
      </c>
      <c r="G1585" s="1798" t="inlineStr">
        <is>
          <t>IMPERMEABILIZAÇÃO</t>
        </is>
      </c>
      <c r="H1585" s="1783" t="inlineStr">
        <is>
          <t>SERVIÇO</t>
        </is>
      </c>
      <c r="I1585" s="1750" t="inlineStr">
        <is>
          <t>13.011.003.001</t>
        </is>
      </c>
      <c r="J1585" s="1785" t="inlineStr">
        <is>
          <t>Sistema 2.5.3: Membrana de polímero acrílico com cimento e fibras sintéticas | Revestimento bicomponente à base de polímeros acrílicos com adição de cimento e fibras sintéticas (3,0 kg/m²) + Tela de poliéster nos pontos críticos</t>
        </is>
      </c>
      <c r="K1585" s="1786" t="inlineStr">
        <is>
          <t>m2</t>
        </is>
      </c>
      <c r="L1585" s="1787" t="n">
        <v>1936.19</v>
      </c>
      <c r="M1585" s="1787" t="n">
        <v>34.05846666666666</v>
      </c>
      <c r="N1585" s="1754" t="n">
        <v>65943.66257533331</v>
      </c>
      <c r="O1585" s="1788" t="inlineStr">
        <is>
          <t>Banheiro + área de serviço + casa de máquinas</t>
        </is>
      </c>
      <c r="P1585" s="1721" t="inlineStr">
        <is>
          <t>Pendente</t>
        </is>
      </c>
    </row>
    <row r="1586" hidden="1" outlineLevel="3" ht="13.5" customHeight="1">
      <c r="A1586" s="2117" t="n">
        <v>0</v>
      </c>
      <c r="B1586" s="2117" t="n">
        <v>13</v>
      </c>
      <c r="C1586" s="2117" t="n">
        <v>11</v>
      </c>
      <c r="D1586" s="2118" t="n">
        <v>3</v>
      </c>
      <c r="E1586" s="2118" t="n">
        <v>2</v>
      </c>
      <c r="G1586" s="1798" t="inlineStr">
        <is>
          <t>IMPERMEABILIZAÇÃO</t>
        </is>
      </c>
      <c r="H1586" s="1783" t="inlineStr">
        <is>
          <t>SERVIÇO</t>
        </is>
      </c>
      <c r="I1586" s="1750" t="inlineStr">
        <is>
          <t>13.011.003.002</t>
        </is>
      </c>
      <c r="J1586" s="1785" t="inlineStr">
        <is>
          <t>Sistema 7.1.6:Argamassa impermeabilizante sem cimento - MK-FEN 30 (F) | Argamassa não cimentícia com agentes incorporadores de ar (8,0 kg/m²) + Tela de poliéster nos pontos críticos</t>
        </is>
      </c>
      <c r="K1586" s="1786" t="inlineStr">
        <is>
          <t>m2</t>
        </is>
      </c>
      <c r="L1586" s="1787" t="n">
        <v>199.38</v>
      </c>
      <c r="M1586" s="1787" t="n">
        <v>148.8918</v>
      </c>
      <c r="N1586" s="1754" t="n">
        <v>29686.047084</v>
      </c>
      <c r="O1586" s="1788" t="inlineStr">
        <is>
          <t>área técnica + sauna</t>
        </is>
      </c>
      <c r="P1586" s="1721" t="inlineStr">
        <is>
          <t>Pendente</t>
        </is>
      </c>
    </row>
    <row r="1587" hidden="1" outlineLevel="3" ht="13.5" customHeight="1">
      <c r="A1587" s="2117" t="n">
        <v>0</v>
      </c>
      <c r="B1587" s="2117" t="n">
        <v>13</v>
      </c>
      <c r="C1587" s="2117" t="n">
        <v>11</v>
      </c>
      <c r="D1587" s="2118" t="n">
        <v>3</v>
      </c>
      <c r="E1587" s="2118" t="n">
        <v>3</v>
      </c>
      <c r="G1587" s="1798" t="inlineStr">
        <is>
          <t>IMPERMEABILIZAÇÃO</t>
        </is>
      </c>
      <c r="H1587" s="1783" t="inlineStr">
        <is>
          <t>SERVIÇO</t>
        </is>
      </c>
      <c r="I1587" s="1750" t="inlineStr">
        <is>
          <t>13.011.003.003</t>
        </is>
      </c>
      <c r="J1587" s="1785" t="inlineStr">
        <is>
          <t>Sistema 4.2.4:Primer asfáltico à base d'água (0,4 L/m²) + Asfalto oxidado modificado (2,5 kg/m²) + Manta asfáltica AA 4mm Tipo III Classe B + Banho de asfalto oxidado modificado (2,5 kg/m²)</t>
        </is>
      </c>
      <c r="K1587" s="1786" t="inlineStr">
        <is>
          <t>m2</t>
        </is>
      </c>
      <c r="L1587" s="1787" t="n">
        <v>156.48</v>
      </c>
      <c r="M1587" s="1787" t="n">
        <v>133.1805</v>
      </c>
      <c r="N1587" s="1754" t="n">
        <v>20840.08464</v>
      </c>
      <c r="O1587" s="1788" t="inlineStr">
        <is>
          <t>Sacada + circulação lazer + espaço crossfit</t>
        </is>
      </c>
      <c r="P1587" s="1721" t="inlineStr">
        <is>
          <t>Pendente</t>
        </is>
      </c>
    </row>
    <row r="1588" hidden="1" outlineLevel="2" ht="13.5" customHeight="1">
      <c r="A1588" s="2117" t="n">
        <v>0</v>
      </c>
      <c r="B1588" s="2117" t="n">
        <v>13</v>
      </c>
      <c r="C1588" s="2117" t="n">
        <v>11</v>
      </c>
      <c r="D1588" s="2118" t="n">
        <v>4</v>
      </c>
      <c r="E1588" s="2118" t="n">
        <v>0</v>
      </c>
      <c r="G1588" s="1797" t="n"/>
      <c r="H1588" s="1777" t="inlineStr">
        <is>
          <t>SUBETAPA</t>
        </is>
      </c>
      <c r="I1588" s="1742" t="inlineStr">
        <is>
          <t>13.011.004</t>
        </is>
      </c>
      <c r="J1588" s="1779" t="inlineStr">
        <is>
          <t>Impermeabilização de esquadrias</t>
        </is>
      </c>
      <c r="K1588" s="1780" t="n"/>
      <c r="L1588" s="1781" t="n"/>
      <c r="M1588" s="1781" t="n"/>
      <c r="N1588" s="1746" t="n">
        <v>35370.3988026667</v>
      </c>
      <c r="O1588" s="1782" t="n"/>
      <c r="P1588" s="1720" t="n"/>
    </row>
    <row r="1589" hidden="1" outlineLevel="3" ht="13.5" customHeight="1">
      <c r="A1589" s="2117" t="n">
        <v>0</v>
      </c>
      <c r="B1589" s="2117" t="n">
        <v>13</v>
      </c>
      <c r="C1589" s="2117" t="n">
        <v>11</v>
      </c>
      <c r="D1589" s="2118" t="n">
        <v>4</v>
      </c>
      <c r="E1589" s="2118" t="n">
        <v>1</v>
      </c>
      <c r="G1589" s="1798" t="inlineStr">
        <is>
          <t>IMPERMEABILIZAÇÃO</t>
        </is>
      </c>
      <c r="H1589" s="1783" t="inlineStr">
        <is>
          <t>SERVIÇO</t>
        </is>
      </c>
      <c r="I1589" s="1750" t="inlineStr">
        <is>
          <t>13.011.004.001</t>
        </is>
      </c>
      <c r="J1589" s="1785" t="inlineStr">
        <is>
          <t>Sistema 2.5.3: Membrana de polímero acrílico com cimento e fibras sintéticas | Revestimento bicomponente à base de polímeros acrílicos com adição de cimento e fibras sintéticas (3,0 kg/m²) + Tela de poliéster nos pontos críticos</t>
        </is>
      </c>
      <c r="K1589" s="1786" t="inlineStr">
        <is>
          <t>m2</t>
        </is>
      </c>
      <c r="L1589" s="1787" t="n">
        <v>1038.52</v>
      </c>
      <c r="M1589" s="1787" t="n">
        <v>34.05846666666666</v>
      </c>
      <c r="N1589" s="1754" t="n">
        <v>35370.3988026667</v>
      </c>
      <c r="O1589" s="1788" t="n"/>
      <c r="P1589" s="1721" t="inlineStr">
        <is>
          <t>Pendente</t>
        </is>
      </c>
    </row>
    <row r="1590" hidden="1" outlineLevel="2" ht="13.5" customHeight="1">
      <c r="A1590" s="2117" t="n">
        <v>0</v>
      </c>
      <c r="B1590" s="2117" t="n">
        <v>13</v>
      </c>
      <c r="C1590" s="2117" t="n">
        <v>11</v>
      </c>
      <c r="D1590" s="2118" t="n">
        <v>5</v>
      </c>
      <c r="E1590" s="2118" t="n">
        <v>0</v>
      </c>
      <c r="G1590" s="1797" t="n"/>
      <c r="H1590" s="1777" t="inlineStr">
        <is>
          <t>SUBETAPA</t>
        </is>
      </c>
      <c r="I1590" s="1742" t="inlineStr">
        <is>
          <t>13.011.005</t>
        </is>
      </c>
      <c r="J1590" s="1779" t="inlineStr">
        <is>
          <t>Impermeabilização de ralos</t>
        </is>
      </c>
      <c r="K1590" s="1780" t="n"/>
      <c r="L1590" s="1781" t="n"/>
      <c r="M1590" s="1781" t="n"/>
      <c r="N1590" s="1746" t="n">
        <v>3854.4066</v>
      </c>
      <c r="O1590" s="1782" t="n"/>
      <c r="P1590" s="1720" t="n"/>
    </row>
    <row r="1591" hidden="1" outlineLevel="3" ht="13.5" customHeight="1">
      <c r="A1591" s="2117" t="n">
        <v>0</v>
      </c>
      <c r="B1591" s="2117" t="n">
        <v>13</v>
      </c>
      <c r="C1591" s="2117" t="n">
        <v>11</v>
      </c>
      <c r="D1591" s="2118" t="n">
        <v>5</v>
      </c>
      <c r="E1591" s="2118" t="n">
        <v>1</v>
      </c>
      <c r="G1591" s="1798" t="inlineStr">
        <is>
          <t>IMPERMEABILIZAÇÃO</t>
        </is>
      </c>
      <c r="H1591" s="1783" t="inlineStr">
        <is>
          <t>SERVIÇO</t>
        </is>
      </c>
      <c r="I1591" s="1750" t="inlineStr">
        <is>
          <t>13.011.005.001</t>
        </is>
      </c>
      <c r="J1591" s="1785" t="inlineStr">
        <is>
          <t>Tratamento De Ralo Ou Ponto Emergente Com Argamassa Polimérica Reforçado Com Tela De Poliéster</t>
        </is>
      </c>
      <c r="K1591" s="1786" t="inlineStr">
        <is>
          <t>un</t>
        </is>
      </c>
      <c r="L1591" s="1787" t="n">
        <v>440</v>
      </c>
      <c r="M1591" s="1787" t="n">
        <v>8.760015000000001</v>
      </c>
      <c r="N1591" s="1754" t="n">
        <v>3854.4066</v>
      </c>
      <c r="O1591" s="1788" t="inlineStr">
        <is>
          <t>2 por banheiro + 1 por lavabo + 2 por área de serviço + 1 por área técnica + 1 por cozinha + 1 por sacada + 1 por torneira de jardin</t>
        </is>
      </c>
      <c r="P1591" s="1721" t="inlineStr">
        <is>
          <t>Pendente</t>
        </is>
      </c>
    </row>
    <row r="1592" hidden="1" outlineLevel="2" ht="13.5" customHeight="1">
      <c r="A1592" s="2117" t="n">
        <v>0</v>
      </c>
      <c r="B1592" s="2117" t="n">
        <v>13</v>
      </c>
      <c r="C1592" s="2117" t="n">
        <v>11</v>
      </c>
      <c r="D1592" s="2118" t="n">
        <v>6</v>
      </c>
      <c r="E1592" s="2118" t="n">
        <v>0</v>
      </c>
      <c r="G1592" s="1797" t="n"/>
      <c r="H1592" s="1777" t="inlineStr">
        <is>
          <t>SUBETAPA</t>
        </is>
      </c>
      <c r="I1592" s="1742" t="inlineStr">
        <is>
          <t>13.011.006</t>
        </is>
      </c>
      <c r="J1592" s="1779" t="inlineStr">
        <is>
          <t>Mão de Obra</t>
        </is>
      </c>
      <c r="K1592" s="1780" t="n"/>
      <c r="L1592" s="1781" t="n"/>
      <c r="M1592" s="1781" t="n"/>
      <c r="N1592" s="1746" t="n">
        <v>160831.67</v>
      </c>
      <c r="O1592" s="1782" t="n"/>
      <c r="P1592" s="1720" t="n"/>
    </row>
    <row r="1593" hidden="1" outlineLevel="3" ht="13.5" customHeight="1">
      <c r="A1593" s="2117" t="n">
        <v>0</v>
      </c>
      <c r="B1593" s="2117" t="n">
        <v>13</v>
      </c>
      <c r="C1593" s="2117" t="n">
        <v>11</v>
      </c>
      <c r="D1593" s="2118" t="n">
        <v>6</v>
      </c>
      <c r="E1593" s="2118" t="n">
        <v>1</v>
      </c>
      <c r="G1593" s="1798" t="inlineStr">
        <is>
          <t>IMPERMEABILIZAÇÃO</t>
        </is>
      </c>
      <c r="H1593" s="1783" t="inlineStr">
        <is>
          <t>SERVIÇO</t>
        </is>
      </c>
      <c r="I1593" s="1750" t="inlineStr">
        <is>
          <t>13.011.006.001</t>
        </is>
      </c>
      <c r="J1593" s="1785" t="inlineStr">
        <is>
          <t xml:space="preserve">Mão de obra para regularização de superfície </t>
        </is>
      </c>
      <c r="K1593" s="1786" t="inlineStr">
        <is>
          <t>m2</t>
        </is>
      </c>
      <c r="L1593" s="1787" t="n">
        <v>977.9099999999999</v>
      </c>
      <c r="M1593" s="1787" t="n">
        <v>20</v>
      </c>
      <c r="N1593" s="1754" t="n">
        <v>19558.2</v>
      </c>
      <c r="O1593" s="1788" t="n"/>
      <c r="P1593" s="1721" t="inlineStr">
        <is>
          <t>Pendente</t>
        </is>
      </c>
    </row>
    <row r="1594" hidden="1" outlineLevel="3" ht="13.5" customHeight="1">
      <c r="A1594" s="2117" t="n">
        <v>0</v>
      </c>
      <c r="B1594" s="2117" t="n">
        <v>13</v>
      </c>
      <c r="C1594" s="2117" t="n">
        <v>11</v>
      </c>
      <c r="D1594" s="2118" t="n">
        <v>6</v>
      </c>
      <c r="E1594" s="2118" t="n">
        <v>2</v>
      </c>
      <c r="G1594" s="1798" t="inlineStr">
        <is>
          <t>IMPERMEABILIZAÇÃO</t>
        </is>
      </c>
      <c r="H1594" s="1783" t="inlineStr">
        <is>
          <t>SERVIÇO</t>
        </is>
      </c>
      <c r="I1594" s="1750" t="inlineStr">
        <is>
          <t>13.011.006.002</t>
        </is>
      </c>
      <c r="J1594" s="1785" t="inlineStr">
        <is>
          <t>Mão de obra para proteção mecânica</t>
        </is>
      </c>
      <c r="K1594" s="1786" t="inlineStr">
        <is>
          <t>m2</t>
        </is>
      </c>
      <c r="L1594" s="1787" t="n">
        <v>116.69</v>
      </c>
      <c r="M1594" s="1787" t="n">
        <v>35</v>
      </c>
      <c r="N1594" s="1754" t="n">
        <v>4084.15</v>
      </c>
      <c r="O1594" s="1788" t="n"/>
      <c r="P1594" s="1721" t="inlineStr">
        <is>
          <t>Pendente</t>
        </is>
      </c>
    </row>
    <row r="1595" hidden="1" outlineLevel="3" ht="13.5" customHeight="1">
      <c r="A1595" s="2117" t="n">
        <v>0</v>
      </c>
      <c r="B1595" s="2117" t="n">
        <v>13</v>
      </c>
      <c r="C1595" s="2117" t="n">
        <v>11</v>
      </c>
      <c r="D1595" s="2118" t="n">
        <v>6</v>
      </c>
      <c r="E1595" s="2118" t="n">
        <v>3</v>
      </c>
      <c r="G1595" s="1798" t="inlineStr">
        <is>
          <t>IMPERMEABILIZAÇÃO</t>
        </is>
      </c>
      <c r="H1595" s="1783" t="inlineStr">
        <is>
          <t>SERVIÇO</t>
        </is>
      </c>
      <c r="I1595" s="1750" t="inlineStr">
        <is>
          <t>13.011.006.003</t>
        </is>
      </c>
      <c r="J1595" s="1785" t="inlineStr">
        <is>
          <t>Mão de obra impermeabilização sistema 2.5.3</t>
        </is>
      </c>
      <c r="K1595" s="1786" t="inlineStr">
        <is>
          <t>m2</t>
        </is>
      </c>
      <c r="L1595" s="1787" t="n">
        <v>2974.71</v>
      </c>
      <c r="M1595" s="1787" t="n">
        <v>32</v>
      </c>
      <c r="N1595" s="1754" t="n">
        <v>95190.72</v>
      </c>
      <c r="O1595" s="1788" t="n"/>
      <c r="P1595" s="1721" t="inlineStr">
        <is>
          <t>Pendente</t>
        </is>
      </c>
    </row>
    <row r="1596" hidden="1" outlineLevel="3" ht="13.5" customHeight="1">
      <c r="A1596" s="2117" t="n">
        <v>0</v>
      </c>
      <c r="B1596" s="2117" t="n">
        <v>13</v>
      </c>
      <c r="C1596" s="2117" t="n">
        <v>11</v>
      </c>
      <c r="D1596" s="2118" t="n">
        <v>6</v>
      </c>
      <c r="E1596" s="2118" t="n">
        <v>4</v>
      </c>
      <c r="G1596" s="1798" t="inlineStr">
        <is>
          <t>IMPERMEABILIZAÇÃO</t>
        </is>
      </c>
      <c r="H1596" s="1783" t="inlineStr">
        <is>
          <t>SERVIÇO</t>
        </is>
      </c>
      <c r="I1596" s="1750" t="inlineStr">
        <is>
          <t>13.011.006.004</t>
        </is>
      </c>
      <c r="J1596" s="1785" t="inlineStr">
        <is>
          <t>Mão de obra impermeabilização sistema 4.2.4</t>
        </is>
      </c>
      <c r="K1596" s="1786" t="inlineStr">
        <is>
          <t>m2</t>
        </is>
      </c>
      <c r="L1596" s="1787" t="n">
        <v>156.48</v>
      </c>
      <c r="M1596" s="1787" t="n">
        <v>45</v>
      </c>
      <c r="N1596" s="1754" t="n">
        <v>7041.6</v>
      </c>
      <c r="O1596" s="1788" t="n"/>
      <c r="P1596" s="1721" t="inlineStr">
        <is>
          <t>Pendente</t>
        </is>
      </c>
    </row>
    <row r="1597" hidden="1" outlineLevel="3" ht="13.5" customHeight="1">
      <c r="A1597" s="2117" t="n">
        <v>0</v>
      </c>
      <c r="B1597" s="2117" t="n">
        <v>13</v>
      </c>
      <c r="C1597" s="2117" t="n">
        <v>11</v>
      </c>
      <c r="D1597" s="2118" t="n">
        <v>6</v>
      </c>
      <c r="E1597" s="2118" t="n">
        <v>5</v>
      </c>
      <c r="G1597" s="1798" t="inlineStr">
        <is>
          <t>IMPERMEABILIZAÇÃO</t>
        </is>
      </c>
      <c r="H1597" s="1783" t="inlineStr">
        <is>
          <t>SERVIÇO</t>
        </is>
      </c>
      <c r="I1597" s="1750" t="inlineStr">
        <is>
          <t>13.011.006.005</t>
        </is>
      </c>
      <c r="J1597" s="1785" t="inlineStr">
        <is>
          <t>Mão de obra impermeabilização sistema 7.1.6</t>
        </is>
      </c>
      <c r="K1597" s="1786" t="inlineStr">
        <is>
          <t>m2</t>
        </is>
      </c>
      <c r="L1597" s="1787" t="n">
        <v>308.5</v>
      </c>
      <c r="M1597" s="1787" t="n">
        <v>42</v>
      </c>
      <c r="N1597" s="1754" t="n">
        <v>12957</v>
      </c>
      <c r="O1597" s="1788" t="n"/>
      <c r="P1597" s="1721" t="inlineStr">
        <is>
          <t>Pendente</t>
        </is>
      </c>
    </row>
    <row r="1598" hidden="1" outlineLevel="3" ht="13.5" customHeight="1">
      <c r="A1598" s="2117" t="n">
        <v>0</v>
      </c>
      <c r="B1598" s="2117" t="n">
        <v>13</v>
      </c>
      <c r="C1598" s="2117" t="n">
        <v>11</v>
      </c>
      <c r="D1598" s="2118" t="n">
        <v>6</v>
      </c>
      <c r="E1598" s="2118" t="n">
        <v>6</v>
      </c>
      <c r="G1598" s="1798" t="inlineStr">
        <is>
          <t>IMPERMEABILIZAÇÃO</t>
        </is>
      </c>
      <c r="H1598" s="1783" t="inlineStr">
        <is>
          <t>SERVIÇO</t>
        </is>
      </c>
      <c r="I1598" s="1750" t="inlineStr">
        <is>
          <t>13.011.006.006</t>
        </is>
      </c>
      <c r="J1598" s="1751" t="inlineStr">
        <is>
          <t>Mão de obra tratamento de ralo com manta de poliéster</t>
        </is>
      </c>
      <c r="K1598" s="1786" t="inlineStr">
        <is>
          <t>un</t>
        </is>
      </c>
      <c r="L1598" s="1787" t="n">
        <v>440</v>
      </c>
      <c r="M1598" s="1787" t="n">
        <v>50</v>
      </c>
      <c r="N1598" s="1754" t="n">
        <v>22000</v>
      </c>
      <c r="O1598" s="1788" t="n"/>
      <c r="P1598" s="1721" t="inlineStr">
        <is>
          <t>Pendente</t>
        </is>
      </c>
    </row>
    <row r="1599" hidden="1" outlineLevel="1" ht="13.5" customHeight="1">
      <c r="A1599" s="2117" t="n">
        <v>0</v>
      </c>
      <c r="B1599" s="2117" t="n">
        <v>13</v>
      </c>
      <c r="C1599" s="2117" t="n">
        <v>12</v>
      </c>
      <c r="D1599" s="2118" t="n">
        <v>0</v>
      </c>
      <c r="E1599" s="2118" t="n">
        <v>6</v>
      </c>
      <c r="G1599" s="1796" t="n"/>
      <c r="H1599" s="1771" t="inlineStr">
        <is>
          <t>ETAPA</t>
        </is>
      </c>
      <c r="I1599" s="1735" t="inlineStr">
        <is>
          <t>13.012</t>
        </is>
      </c>
      <c r="J1599" s="1773" t="inlineStr">
        <is>
          <t>IMPERMEABILIZAÇÃO E TRATAMENTOS - Duplex Inferior</t>
        </is>
      </c>
      <c r="K1599" s="1774" t="n"/>
      <c r="L1599" s="1775" t="n"/>
      <c r="M1599" s="1775" t="n"/>
      <c r="N1599" s="1739" t="n">
        <v>29621.327888</v>
      </c>
      <c r="O1599" s="1776" t="n">
        <v>1.76847232739511</v>
      </c>
      <c r="P1599" s="1719" t="n"/>
    </row>
    <row r="1600" hidden="1" outlineLevel="2" ht="13.5" customHeight="1">
      <c r="A1600" s="2117" t="n">
        <v>0</v>
      </c>
      <c r="B1600" s="2117" t="n">
        <v>13</v>
      </c>
      <c r="C1600" s="2117" t="n">
        <v>12</v>
      </c>
      <c r="D1600" s="2118" t="n">
        <v>1</v>
      </c>
      <c r="E1600" s="2118" t="n">
        <v>0</v>
      </c>
      <c r="G1600" s="1797" t="n"/>
      <c r="H1600" s="1777" t="inlineStr">
        <is>
          <t>SUBETAPA</t>
        </is>
      </c>
      <c r="I1600" s="1742" t="inlineStr">
        <is>
          <t>13.012.001</t>
        </is>
      </c>
      <c r="J1600" s="1779" t="inlineStr">
        <is>
          <t>Regularização e proteção mecânica</t>
        </is>
      </c>
      <c r="K1600" s="1780" t="n"/>
      <c r="L1600" s="1781" t="n"/>
      <c r="M1600" s="1781" t="n"/>
      <c r="N1600" s="1746" t="n">
        <v>1327.886107</v>
      </c>
      <c r="O1600" s="1782" t="n">
        <v>0.0792783444091734</v>
      </c>
      <c r="P1600" s="1720" t="n"/>
    </row>
    <row r="1601" hidden="1" outlineLevel="3" ht="13.5" customHeight="1">
      <c r="A1601" s="2117" t="n">
        <v>0</v>
      </c>
      <c r="B1601" s="2117" t="n">
        <v>13</v>
      </c>
      <c r="C1601" s="2117" t="n">
        <v>12</v>
      </c>
      <c r="D1601" s="2118" t="n">
        <v>1</v>
      </c>
      <c r="E1601" s="2118" t="n">
        <v>1</v>
      </c>
      <c r="G1601" s="1798" t="inlineStr">
        <is>
          <t>IMPERMEABILIZAÇÃO</t>
        </is>
      </c>
      <c r="H1601" s="1783" t="inlineStr">
        <is>
          <t>SERVIÇO</t>
        </is>
      </c>
      <c r="I1601" s="1750" t="inlineStr">
        <is>
          <t>13.012.001.001</t>
        </is>
      </c>
      <c r="J1601" s="1785" t="inlineStr">
        <is>
          <t xml:space="preserve">Regularização de superfície para impermeabilização </t>
        </is>
      </c>
      <c r="K1601" s="1786" t="inlineStr">
        <is>
          <t>m2</t>
        </is>
      </c>
      <c r="L1601" s="1787" t="n">
        <v>110.53</v>
      </c>
      <c r="M1601" s="1787" t="n">
        <v>7.065899999999999</v>
      </c>
      <c r="N1601" s="1754" t="n">
        <v>780.993927</v>
      </c>
      <c r="O1601" s="1788" t="inlineStr">
        <is>
          <t>Toda área de piso que recebe impermeabilização</t>
        </is>
      </c>
      <c r="P1601" s="1721" t="inlineStr">
        <is>
          <t>Pendente</t>
        </is>
      </c>
    </row>
    <row r="1602" hidden="1" outlineLevel="3" ht="13.5" customHeight="1">
      <c r="A1602" s="2117" t="n">
        <v>0</v>
      </c>
      <c r="B1602" s="2117" t="n">
        <v>13</v>
      </c>
      <c r="C1602" s="2117" t="n">
        <v>12</v>
      </c>
      <c r="D1602" s="2118" t="n">
        <v>1</v>
      </c>
      <c r="E1602" s="2118" t="n">
        <v>2</v>
      </c>
      <c r="G1602" s="1798" t="inlineStr">
        <is>
          <t>IMPERMEABILIZAÇÃO</t>
        </is>
      </c>
      <c r="H1602" s="1783" t="inlineStr">
        <is>
          <t>SERVIÇO</t>
        </is>
      </c>
      <c r="I1602" s="1750" t="inlineStr">
        <is>
          <t>13.012.001.002</t>
        </is>
      </c>
      <c r="J1602" s="1785" t="inlineStr">
        <is>
          <t>Proteção mecânica de superfície com argamassa de cimento e areia, traço 1:3 E=5cm</t>
        </is>
      </c>
      <c r="K1602" s="1786" t="inlineStr">
        <is>
          <t>m2</t>
        </is>
      </c>
      <c r="L1602" s="1787" t="n">
        <v>11.08</v>
      </c>
      <c r="M1602" s="1787" t="n">
        <v>49.3585</v>
      </c>
      <c r="N1602" s="1754" t="n">
        <v>546.8921800000001</v>
      </c>
      <c r="O1602" s="1788" t="inlineStr">
        <is>
          <t>Toda área de piso que recebe impermeabilização de manta asfáltica</t>
        </is>
      </c>
      <c r="P1602" s="1721" t="inlineStr">
        <is>
          <t>Pendente</t>
        </is>
      </c>
    </row>
    <row r="1603" hidden="1" outlineLevel="2" ht="13.5" customHeight="1">
      <c r="A1603" s="2117" t="n">
        <v>0</v>
      </c>
      <c r="B1603" s="2117" t="n">
        <v>13</v>
      </c>
      <c r="C1603" s="2117" t="n">
        <v>12</v>
      </c>
      <c r="D1603" s="2118" t="n">
        <v>2</v>
      </c>
      <c r="E1603" s="2118" t="n">
        <v>0</v>
      </c>
      <c r="G1603" s="1797" t="n"/>
      <c r="H1603" s="1777" t="inlineStr">
        <is>
          <t>SUBETAPA</t>
        </is>
      </c>
      <c r="I1603" s="1742" t="inlineStr">
        <is>
          <t>13.012.002</t>
        </is>
      </c>
      <c r="J1603" s="1779" t="inlineStr">
        <is>
          <t>Impermeabilização de lajes, cobertura, rufos, moldura da fachada e terraços</t>
        </is>
      </c>
      <c r="K1603" s="1780" t="n"/>
      <c r="L1603" s="1781" t="n"/>
      <c r="M1603" s="1781" t="n"/>
      <c r="N1603" s="1746" t="n">
        <v>9561.831396</v>
      </c>
      <c r="O1603" s="1782" t="n"/>
      <c r="P1603" s="1720" t="n"/>
    </row>
    <row r="1604" hidden="1" outlineLevel="3" ht="13.5" customHeight="1">
      <c r="A1604" s="2117" t="n">
        <v>0</v>
      </c>
      <c r="B1604" s="2117" t="n">
        <v>13</v>
      </c>
      <c r="C1604" s="2117" t="n">
        <v>12</v>
      </c>
      <c r="D1604" s="2118" t="n">
        <v>2</v>
      </c>
      <c r="E1604" s="2118" t="n">
        <v>1</v>
      </c>
      <c r="G1604" s="1798" t="inlineStr">
        <is>
          <t>IMPERMEABILIZAÇÃO</t>
        </is>
      </c>
      <c r="H1604" s="1783" t="inlineStr">
        <is>
          <t>SERVIÇO</t>
        </is>
      </c>
      <c r="I1604" s="1750" t="inlineStr">
        <is>
          <t>13.012.002.001</t>
        </is>
      </c>
      <c r="J1604" s="1785" t="inlineStr">
        <is>
          <t>Sistema 7.1.6:Argamassa impermeabilizante sem cimento - MK-FEN 30 (F) | Argamassa não cimentícia com agentes incorporadores de ar (8,0 kg/m²) + Tela de poliéster nos pontos críticos</t>
        </is>
      </c>
      <c r="K1604" s="1786" t="inlineStr">
        <is>
          <t>m2</t>
        </is>
      </c>
      <c r="L1604" s="1787" t="n">
        <v>64.22</v>
      </c>
      <c r="M1604" s="1787" t="n">
        <v>148.8918</v>
      </c>
      <c r="N1604" s="1754" t="n">
        <v>9561.831396</v>
      </c>
      <c r="O1604" s="1788" t="inlineStr">
        <is>
          <t>Moldura de fachada + rufos</t>
        </is>
      </c>
      <c r="P1604" s="1721" t="inlineStr">
        <is>
          <t>Pendente</t>
        </is>
      </c>
    </row>
    <row r="1605" hidden="1" outlineLevel="2" ht="13.5" customHeight="1">
      <c r="A1605" s="2117" t="n">
        <v>0</v>
      </c>
      <c r="B1605" s="2117" t="n">
        <v>13</v>
      </c>
      <c r="C1605" s="2117" t="n">
        <v>12</v>
      </c>
      <c r="D1605" s="2118" t="n">
        <v>3</v>
      </c>
      <c r="E1605" s="2118" t="n">
        <v>0</v>
      </c>
      <c r="G1605" s="1797" t="n"/>
      <c r="H1605" s="1777" t="inlineStr">
        <is>
          <t>SUBETAPA</t>
        </is>
      </c>
      <c r="I1605" s="1742" t="inlineStr">
        <is>
          <t>13.012.003</t>
        </is>
      </c>
      <c r="J1605" s="1779" t="inlineStr">
        <is>
          <t>Impermeabilização de banheiro, cozinha, área de serviço, área técnica, área comum, fosso do elevador e sacada</t>
        </is>
      </c>
      <c r="K1605" s="1780" t="n"/>
      <c r="L1605" s="1781" t="n"/>
      <c r="M1605" s="1781" t="n"/>
      <c r="N1605" s="1746" t="n">
        <v>5521.32176166667</v>
      </c>
      <c r="O1605" s="1782" t="n"/>
      <c r="P1605" s="1720" t="n"/>
    </row>
    <row r="1606" hidden="1" outlineLevel="3" ht="13.5" customHeight="1">
      <c r="A1606" s="2117" t="n">
        <v>0</v>
      </c>
      <c r="B1606" s="2117" t="n">
        <v>13</v>
      </c>
      <c r="C1606" s="2117" t="n">
        <v>12</v>
      </c>
      <c r="D1606" s="2118" t="n">
        <v>3</v>
      </c>
      <c r="E1606" s="2118" t="n">
        <v>1</v>
      </c>
      <c r="G1606" s="1798" t="inlineStr">
        <is>
          <t>IMPERMEABILIZAÇÃO</t>
        </is>
      </c>
      <c r="H1606" s="1783" t="inlineStr">
        <is>
          <t>SERVIÇO</t>
        </is>
      </c>
      <c r="I1606" s="1750" t="inlineStr">
        <is>
          <t>13.012.003.001</t>
        </is>
      </c>
      <c r="J1606" s="1785" t="inlineStr">
        <is>
          <t>Sistema 2.5.3: Membrana de polímero acrílico com cimento e fibras sintéticas | Revestimento bicomponente à base de polímeros acrílicos com adição de cimento e fibras sintéticas (3,0 kg/m²) + Tela de poliéster nos pontos críticos</t>
        </is>
      </c>
      <c r="K1606" s="1786" t="inlineStr">
        <is>
          <t>m2</t>
        </is>
      </c>
      <c r="L1606" s="1787" t="n">
        <v>93.61</v>
      </c>
      <c r="M1606" s="1787" t="n">
        <v>34.05846666666666</v>
      </c>
      <c r="N1606" s="1754" t="n">
        <v>3188.21306466667</v>
      </c>
      <c r="O1606" s="1788" t="inlineStr">
        <is>
          <t>Banheiro + área de serviço + casa de máquinas</t>
        </is>
      </c>
      <c r="P1606" s="1721" t="inlineStr">
        <is>
          <t>Pendente</t>
        </is>
      </c>
    </row>
    <row r="1607" hidden="1" outlineLevel="3" ht="13.5" customHeight="1">
      <c r="A1607" s="2117" t="n">
        <v>0</v>
      </c>
      <c r="B1607" s="2117" t="n">
        <v>13</v>
      </c>
      <c r="C1607" s="2117" t="n">
        <v>12</v>
      </c>
      <c r="D1607" s="2118" t="n">
        <v>3</v>
      </c>
      <c r="E1607" s="2118" t="n">
        <v>2</v>
      </c>
      <c r="G1607" s="1798" t="inlineStr">
        <is>
          <t>IMPERMEABILIZAÇÃO</t>
        </is>
      </c>
      <c r="H1607" s="1783" t="inlineStr">
        <is>
          <t>SERVIÇO</t>
        </is>
      </c>
      <c r="I1607" s="1750" t="inlineStr">
        <is>
          <t>13.012.003.002</t>
        </is>
      </c>
      <c r="J1607" s="1785" t="inlineStr">
        <is>
          <t>Sistema 7.1.6:Argamassa impermeabilizante sem cimento - MK-FEN 30 (F) | Argamassa não cimentícia com agentes incorporadores de ar (8,0 kg/m²) + Tela de poliéster nos pontos críticos</t>
        </is>
      </c>
      <c r="K1607" s="1786" t="inlineStr">
        <is>
          <t>m2</t>
        </is>
      </c>
      <c r="L1607" s="1787" t="n">
        <v>4.140000000000001</v>
      </c>
      <c r="M1607" s="1787" t="n">
        <v>148.8918</v>
      </c>
      <c r="N1607" s="1754" t="n">
        <v>616.412052</v>
      </c>
      <c r="O1607" s="1788" t="inlineStr">
        <is>
          <t>área técnica + sauna</t>
        </is>
      </c>
      <c r="P1607" s="1721" t="inlineStr">
        <is>
          <t>Pendente</t>
        </is>
      </c>
    </row>
    <row r="1608" hidden="1" outlineLevel="3" ht="13.5" customHeight="1">
      <c r="A1608" s="2117" t="n">
        <v>0</v>
      </c>
      <c r="B1608" s="2117" t="n">
        <v>13</v>
      </c>
      <c r="C1608" s="2117" t="n">
        <v>12</v>
      </c>
      <c r="D1608" s="2118" t="n">
        <v>3</v>
      </c>
      <c r="E1608" s="2118" t="n">
        <v>3</v>
      </c>
      <c r="G1608" s="1798" t="inlineStr">
        <is>
          <t>IMPERMEABILIZAÇÃO</t>
        </is>
      </c>
      <c r="H1608" s="1783" t="inlineStr">
        <is>
          <t>SERVIÇO</t>
        </is>
      </c>
      <c r="I1608" s="1750" t="inlineStr">
        <is>
          <t>13.012.003.003</t>
        </is>
      </c>
      <c r="J1608" s="1785" t="inlineStr">
        <is>
          <t>Sistema 4.2.4:Primer asfáltico à base d'água (0,4 L/m²) + Asfalto oxidado modificado (2,5 kg/m²) + Manta asfáltica AA 4mm Tipo III Classe B + Banho de asfalto oxidado modificado (2,5 kg/m²)</t>
        </is>
      </c>
      <c r="K1608" s="1786" t="inlineStr">
        <is>
          <t>m2</t>
        </is>
      </c>
      <c r="L1608" s="1787" t="n">
        <v>12.89</v>
      </c>
      <c r="M1608" s="1787" t="n">
        <v>133.1805</v>
      </c>
      <c r="N1608" s="1754" t="n">
        <v>1716.696645</v>
      </c>
      <c r="O1608" s="1788" t="inlineStr">
        <is>
          <t>Sacada + circulação lazer + espaço crossfit</t>
        </is>
      </c>
      <c r="P1608" s="1721" t="inlineStr">
        <is>
          <t>Pendente</t>
        </is>
      </c>
    </row>
    <row r="1609" hidden="1" outlineLevel="2" ht="13.5" customHeight="1">
      <c r="A1609" s="2117" t="n">
        <v>0</v>
      </c>
      <c r="B1609" s="2117" t="n">
        <v>13</v>
      </c>
      <c r="C1609" s="2117" t="n">
        <v>12</v>
      </c>
      <c r="D1609" s="2118" t="n">
        <v>4</v>
      </c>
      <c r="E1609" s="2118" t="n">
        <v>0</v>
      </c>
      <c r="G1609" s="1797" t="n"/>
      <c r="H1609" s="1777" t="inlineStr">
        <is>
          <t>SUBETAPA</t>
        </is>
      </c>
      <c r="I1609" s="1742" t="inlineStr">
        <is>
          <t>13.012.004</t>
        </is>
      </c>
      <c r="J1609" s="1779" t="inlineStr">
        <is>
          <t>Impermeabilização de esquadrias</t>
        </is>
      </c>
      <c r="K1609" s="1780" t="n"/>
      <c r="L1609" s="1781" t="n"/>
      <c r="M1609" s="1781" t="n"/>
      <c r="N1609" s="1746" t="n">
        <v>1723.35841333333</v>
      </c>
      <c r="O1609" s="1782" t="n"/>
      <c r="P1609" s="1720" t="n"/>
    </row>
    <row r="1610" hidden="1" outlineLevel="3" ht="13.5" customHeight="1">
      <c r="A1610" s="2117" t="n">
        <v>0</v>
      </c>
      <c r="B1610" s="2117" t="n">
        <v>13</v>
      </c>
      <c r="C1610" s="2117" t="n">
        <v>12</v>
      </c>
      <c r="D1610" s="2118" t="n">
        <v>4</v>
      </c>
      <c r="E1610" s="2118" t="n">
        <v>1</v>
      </c>
      <c r="G1610" s="1798" t="inlineStr">
        <is>
          <t>IMPERMEABILIZAÇÃO</t>
        </is>
      </c>
      <c r="H1610" s="1783" t="inlineStr">
        <is>
          <t>SERVIÇO</t>
        </is>
      </c>
      <c r="I1610" s="1750" t="inlineStr">
        <is>
          <t>13.012.004.001</t>
        </is>
      </c>
      <c r="J1610" s="1785" t="inlineStr">
        <is>
          <t>Sistema 2.5.3: Membrana de polímero acrílico com cimento e fibras sintéticas | Revestimento bicomponente à base de polímeros acrílicos com adição de cimento e fibras sintéticas (3,0 kg/m²) + Tela de poliéster nos pontos críticos</t>
        </is>
      </c>
      <c r="K1610" s="1786" t="inlineStr">
        <is>
          <t>m2</t>
        </is>
      </c>
      <c r="L1610" s="1787" t="n">
        <v>50.6</v>
      </c>
      <c r="M1610" s="1787" t="n">
        <v>34.05846666666666</v>
      </c>
      <c r="N1610" s="1754" t="n">
        <v>1723.35841333333</v>
      </c>
      <c r="O1610" s="1788" t="n"/>
      <c r="P1610" s="1721" t="inlineStr">
        <is>
          <t>Pendente</t>
        </is>
      </c>
    </row>
    <row r="1611" hidden="1" outlineLevel="2" ht="13.5" customHeight="1">
      <c r="A1611" s="2117" t="n">
        <v>0</v>
      </c>
      <c r="B1611" s="2117" t="n">
        <v>13</v>
      </c>
      <c r="C1611" s="2117" t="n">
        <v>12</v>
      </c>
      <c r="D1611" s="2118" t="n">
        <v>5</v>
      </c>
      <c r="E1611" s="2118" t="n">
        <v>0</v>
      </c>
      <c r="G1611" s="1797" t="n"/>
      <c r="H1611" s="1777" t="inlineStr">
        <is>
          <t>SUBETAPA</t>
        </is>
      </c>
      <c r="I1611" s="1742" t="inlineStr">
        <is>
          <t>13.012.005</t>
        </is>
      </c>
      <c r="J1611" s="1779" t="inlineStr">
        <is>
          <t>Impermeabilização de ralos</t>
        </is>
      </c>
      <c r="K1611" s="1780" t="n"/>
      <c r="L1611" s="1781" t="n"/>
      <c r="M1611" s="1781" t="n"/>
      <c r="N1611" s="1746" t="n">
        <v>122.64021</v>
      </c>
      <c r="O1611" s="1782" t="n"/>
      <c r="P1611" s="1720" t="n"/>
    </row>
    <row r="1612" hidden="1" outlineLevel="3" ht="13.5" customHeight="1">
      <c r="A1612" s="2117" t="n">
        <v>0</v>
      </c>
      <c r="B1612" s="2117" t="n">
        <v>13</v>
      </c>
      <c r="C1612" s="2117" t="n">
        <v>12</v>
      </c>
      <c r="D1612" s="2118" t="n">
        <v>5</v>
      </c>
      <c r="E1612" s="2118" t="n">
        <v>1</v>
      </c>
      <c r="G1612" s="1798" t="inlineStr">
        <is>
          <t>IMPERMEABILIZAÇÃO</t>
        </is>
      </c>
      <c r="H1612" s="1783" t="inlineStr">
        <is>
          <t>SERVIÇO</t>
        </is>
      </c>
      <c r="I1612" s="1750" t="inlineStr">
        <is>
          <t>13.012.005.001</t>
        </is>
      </c>
      <c r="J1612" s="1785" t="inlineStr">
        <is>
          <t>Tratamento De Ralo Ou Ponto Emergente Com Argamassa Polimérica Reforçado Com Tela De Poliéster</t>
        </is>
      </c>
      <c r="K1612" s="1786" t="inlineStr">
        <is>
          <t>un</t>
        </is>
      </c>
      <c r="L1612" s="1787" t="n">
        <v>14</v>
      </c>
      <c r="M1612" s="1787" t="n">
        <v>8.760015000000001</v>
      </c>
      <c r="N1612" s="1754" t="n">
        <v>122.64021</v>
      </c>
      <c r="O1612" s="1788" t="n"/>
      <c r="P1612" s="1721" t="inlineStr">
        <is>
          <t>Pendente</t>
        </is>
      </c>
    </row>
    <row r="1613" hidden="1" outlineLevel="2" ht="13.5" customHeight="1">
      <c r="A1613" s="2117" t="n">
        <v>0</v>
      </c>
      <c r="B1613" s="2117" t="n">
        <v>13</v>
      </c>
      <c r="C1613" s="2117" t="n">
        <v>12</v>
      </c>
      <c r="D1613" s="2118" t="n">
        <v>6</v>
      </c>
      <c r="E1613" s="2118" t="n">
        <v>0</v>
      </c>
      <c r="G1613" s="1797" t="n"/>
      <c r="H1613" s="1777" t="inlineStr">
        <is>
          <t>SUBETAPA</t>
        </is>
      </c>
      <c r="I1613" s="1742" t="inlineStr">
        <is>
          <t>13.012.006</t>
        </is>
      </c>
      <c r="J1613" s="1779" t="inlineStr">
        <is>
          <t>Mão de Obra</t>
        </is>
      </c>
      <c r="K1613" s="1780" t="n"/>
      <c r="L1613" s="1781" t="n"/>
      <c r="M1613" s="1781" t="n"/>
      <c r="N1613" s="1746" t="n">
        <v>11364.29</v>
      </c>
      <c r="O1613" s="1782" t="n"/>
      <c r="P1613" s="1720" t="n"/>
    </row>
    <row r="1614" hidden="1" outlineLevel="3" ht="13.5" customHeight="1">
      <c r="A1614" s="2117" t="n">
        <v>0</v>
      </c>
      <c r="B1614" s="2117" t="n">
        <v>13</v>
      </c>
      <c r="C1614" s="2117" t="n">
        <v>12</v>
      </c>
      <c r="D1614" s="2118" t="n">
        <v>6</v>
      </c>
      <c r="E1614" s="2118" t="n">
        <v>1</v>
      </c>
      <c r="G1614" s="1798" t="inlineStr">
        <is>
          <t>IMPERMEABILIZAÇÃO</t>
        </is>
      </c>
      <c r="H1614" s="1783" t="inlineStr">
        <is>
          <t>SERVIÇO</t>
        </is>
      </c>
      <c r="I1614" s="1750" t="inlineStr">
        <is>
          <t>13.012.006.001</t>
        </is>
      </c>
      <c r="J1614" s="1785" t="inlineStr">
        <is>
          <t xml:space="preserve">Mão de obra para regularização de superfície </t>
        </is>
      </c>
      <c r="K1614" s="1786" t="inlineStr">
        <is>
          <t>m2</t>
        </is>
      </c>
      <c r="L1614" s="1787" t="n">
        <v>110.53</v>
      </c>
      <c r="M1614" s="1787" t="n">
        <v>20</v>
      </c>
      <c r="N1614" s="1754" t="n">
        <v>2210.6</v>
      </c>
      <c r="O1614" s="1788" t="n"/>
      <c r="P1614" s="1721" t="inlineStr">
        <is>
          <t>Pendente</t>
        </is>
      </c>
    </row>
    <row r="1615" hidden="1" outlineLevel="3" ht="13.5" customHeight="1">
      <c r="A1615" s="2117" t="n">
        <v>0</v>
      </c>
      <c r="B1615" s="2117" t="n">
        <v>13</v>
      </c>
      <c r="C1615" s="2117" t="n">
        <v>12</v>
      </c>
      <c r="D1615" s="2118" t="n">
        <v>6</v>
      </c>
      <c r="E1615" s="2118" t="n">
        <v>2</v>
      </c>
      <c r="G1615" s="1798" t="inlineStr">
        <is>
          <t>IMPERMEABILIZAÇÃO</t>
        </is>
      </c>
      <c r="H1615" s="1783" t="inlineStr">
        <is>
          <t>SERVIÇO</t>
        </is>
      </c>
      <c r="I1615" s="1750" t="inlineStr">
        <is>
          <t>13.012.006.002</t>
        </is>
      </c>
      <c r="J1615" s="1785" t="inlineStr">
        <is>
          <t>Mão de obra para proteção mecânica</t>
        </is>
      </c>
      <c r="K1615" s="1786" t="inlineStr">
        <is>
          <t>m2</t>
        </is>
      </c>
      <c r="L1615" s="1787" t="n">
        <v>11.08</v>
      </c>
      <c r="M1615" s="1787" t="n">
        <v>35</v>
      </c>
      <c r="N1615" s="1754" t="n">
        <v>387.8</v>
      </c>
      <c r="O1615" s="1788" t="n"/>
      <c r="P1615" s="1721" t="inlineStr">
        <is>
          <t>Pendente</t>
        </is>
      </c>
    </row>
    <row r="1616" hidden="1" outlineLevel="3" ht="13.5" customHeight="1">
      <c r="A1616" s="2117" t="n">
        <v>0</v>
      </c>
      <c r="B1616" s="2117" t="n">
        <v>13</v>
      </c>
      <c r="C1616" s="2117" t="n">
        <v>12</v>
      </c>
      <c r="D1616" s="2118" t="n">
        <v>6</v>
      </c>
      <c r="E1616" s="2118" t="n">
        <v>3</v>
      </c>
      <c r="G1616" s="1798" t="inlineStr">
        <is>
          <t>IMPERMEABILIZAÇÃO</t>
        </is>
      </c>
      <c r="H1616" s="1783" t="inlineStr">
        <is>
          <t>SERVIÇO</t>
        </is>
      </c>
      <c r="I1616" s="1750" t="inlineStr">
        <is>
          <t>13.012.006.003</t>
        </is>
      </c>
      <c r="J1616" s="1785" t="inlineStr">
        <is>
          <t>Mão de obra impermeabilização sistema 2.5.3</t>
        </is>
      </c>
      <c r="K1616" s="1786" t="inlineStr">
        <is>
          <t>m2</t>
        </is>
      </c>
      <c r="L1616" s="1787" t="n">
        <v>144.21</v>
      </c>
      <c r="M1616" s="1787" t="n">
        <v>32</v>
      </c>
      <c r="N1616" s="1754" t="n">
        <v>4614.72</v>
      </c>
      <c r="O1616" s="1788" t="n"/>
      <c r="P1616" s="1721" t="inlineStr">
        <is>
          <t>Pendente</t>
        </is>
      </c>
    </row>
    <row r="1617" hidden="1" outlineLevel="3" ht="13.5" customHeight="1">
      <c r="A1617" s="2117" t="n">
        <v>0</v>
      </c>
      <c r="B1617" s="2117" t="n">
        <v>13</v>
      </c>
      <c r="C1617" s="2117" t="n">
        <v>12</v>
      </c>
      <c r="D1617" s="2118" t="n">
        <v>6</v>
      </c>
      <c r="E1617" s="2118" t="n">
        <v>4</v>
      </c>
      <c r="G1617" s="1798" t="inlineStr">
        <is>
          <t>IMPERMEABILIZAÇÃO</t>
        </is>
      </c>
      <c r="H1617" s="1783" t="inlineStr">
        <is>
          <t>SERVIÇO</t>
        </is>
      </c>
      <c r="I1617" s="1750" t="inlineStr">
        <is>
          <t>13.012.006.004</t>
        </is>
      </c>
      <c r="J1617" s="1785" t="inlineStr">
        <is>
          <t>Mão de obra impermeabilização sistema 4.2.4</t>
        </is>
      </c>
      <c r="K1617" s="1786" t="inlineStr">
        <is>
          <t>m2</t>
        </is>
      </c>
      <c r="L1617" s="1787" t="n">
        <v>12.89</v>
      </c>
      <c r="M1617" s="1787" t="n">
        <v>45</v>
      </c>
      <c r="N1617" s="1754" t="n">
        <v>580.05</v>
      </c>
      <c r="O1617" s="1788" t="n"/>
      <c r="P1617" s="1721" t="inlineStr">
        <is>
          <t>Pendente</t>
        </is>
      </c>
    </row>
    <row r="1618" hidden="1" outlineLevel="3" ht="13.5" customHeight="1">
      <c r="A1618" s="2117" t="n">
        <v>0</v>
      </c>
      <c r="B1618" s="2117" t="n">
        <v>13</v>
      </c>
      <c r="C1618" s="2117" t="n">
        <v>12</v>
      </c>
      <c r="D1618" s="2118" t="n">
        <v>6</v>
      </c>
      <c r="E1618" s="2118" t="n">
        <v>5</v>
      </c>
      <c r="G1618" s="1798" t="inlineStr">
        <is>
          <t>IMPERMEABILIZAÇÃO</t>
        </is>
      </c>
      <c r="H1618" s="1783" t="inlineStr">
        <is>
          <t>SERVIÇO</t>
        </is>
      </c>
      <c r="I1618" s="1750" t="inlineStr">
        <is>
          <t>13.012.006.005</t>
        </is>
      </c>
      <c r="J1618" s="1785" t="inlineStr">
        <is>
          <t>Mão de obra impermeabilização sistema 7.1.6</t>
        </is>
      </c>
      <c r="K1618" s="1786" t="inlineStr">
        <is>
          <t>m2</t>
        </is>
      </c>
      <c r="L1618" s="1787" t="n">
        <v>68.36</v>
      </c>
      <c r="M1618" s="1787" t="n">
        <v>42</v>
      </c>
      <c r="N1618" s="1754" t="n">
        <v>2871.12</v>
      </c>
      <c r="O1618" s="1788" t="n"/>
      <c r="P1618" s="1721" t="inlineStr">
        <is>
          <t>Pendente</t>
        </is>
      </c>
    </row>
    <row r="1619" hidden="1" outlineLevel="3" ht="13.5" customHeight="1">
      <c r="A1619" s="2117" t="n">
        <v>0</v>
      </c>
      <c r="B1619" s="2117" t="n">
        <v>13</v>
      </c>
      <c r="C1619" s="2117" t="n">
        <v>12</v>
      </c>
      <c r="D1619" s="2118" t="n">
        <v>6</v>
      </c>
      <c r="E1619" s="2118" t="n">
        <v>6</v>
      </c>
      <c r="G1619" s="1798" t="inlineStr">
        <is>
          <t>IMPERMEABILIZAÇÃO</t>
        </is>
      </c>
      <c r="H1619" s="1783" t="inlineStr">
        <is>
          <t>SERVIÇO</t>
        </is>
      </c>
      <c r="I1619" s="1750" t="inlineStr">
        <is>
          <t>13.012.006.006</t>
        </is>
      </c>
      <c r="J1619" s="1751" t="inlineStr">
        <is>
          <t>Mão de obra tratamento de ralo com manta de poliéster</t>
        </is>
      </c>
      <c r="K1619" s="1786" t="inlineStr">
        <is>
          <t>un</t>
        </is>
      </c>
      <c r="L1619" s="1787" t="n">
        <v>14</v>
      </c>
      <c r="M1619" s="1787" t="n">
        <v>50</v>
      </c>
      <c r="N1619" s="1754" t="n">
        <v>700</v>
      </c>
      <c r="O1619" s="1788" t="n"/>
      <c r="P1619" s="1721" t="inlineStr">
        <is>
          <t>Pendente</t>
        </is>
      </c>
    </row>
    <row r="1620" hidden="1" outlineLevel="1" ht="13.5" customHeight="1">
      <c r="A1620" s="2117" t="n">
        <v>0</v>
      </c>
      <c r="B1620" s="2117" t="n">
        <v>13</v>
      </c>
      <c r="C1620" s="2117" t="n">
        <v>13</v>
      </c>
      <c r="D1620" s="2118" t="n">
        <v>0</v>
      </c>
      <c r="E1620" s="2118" t="n">
        <v>6</v>
      </c>
      <c r="G1620" s="1796" t="n"/>
      <c r="H1620" s="1771" t="inlineStr">
        <is>
          <t>ETAPA</t>
        </is>
      </c>
      <c r="I1620" s="1735" t="inlineStr">
        <is>
          <t>13.013</t>
        </is>
      </c>
      <c r="J1620" s="1773" t="inlineStr">
        <is>
          <t>IMPERMEABILIZAÇÃO E TRATAMENTOS - Duplex Superior</t>
        </is>
      </c>
      <c r="K1620" s="1774" t="n"/>
      <c r="L1620" s="1775" t="n"/>
      <c r="M1620" s="1775" t="n"/>
      <c r="N1620" s="1739" t="n">
        <v>36625.2022433333</v>
      </c>
      <c r="O1620" s="1776" t="n">
        <v>2.18662231813124</v>
      </c>
      <c r="P1620" s="1719" t="n"/>
    </row>
    <row r="1621" hidden="1" outlineLevel="2" ht="13.5" customHeight="1">
      <c r="A1621" s="2117" t="n">
        <v>0</v>
      </c>
      <c r="B1621" s="2117" t="n">
        <v>13</v>
      </c>
      <c r="C1621" s="2117" t="n">
        <v>13</v>
      </c>
      <c r="D1621" s="2118" t="n">
        <v>1</v>
      </c>
      <c r="E1621" s="2118" t="n">
        <v>0</v>
      </c>
      <c r="G1621" s="1797" t="n"/>
      <c r="H1621" s="1777" t="inlineStr">
        <is>
          <t>SUBETAPA</t>
        </is>
      </c>
      <c r="I1621" s="1742" t="inlineStr">
        <is>
          <t>13.013.001</t>
        </is>
      </c>
      <c r="J1621" s="1779" t="inlineStr">
        <is>
          <t>Regularização e proteção mecânica</t>
        </is>
      </c>
      <c r="K1621" s="1780" t="n"/>
      <c r="L1621" s="1781" t="n"/>
      <c r="M1621" s="1781" t="n"/>
      <c r="N1621" s="1746" t="n">
        <v>3218.144772</v>
      </c>
      <c r="O1621" s="1782" t="n">
        <v>0.192131831373394</v>
      </c>
      <c r="P1621" s="1720" t="n"/>
    </row>
    <row r="1622" hidden="1" outlineLevel="3" ht="13.5" customHeight="1">
      <c r="A1622" s="2117" t="n">
        <v>0</v>
      </c>
      <c r="B1622" s="2117" t="n">
        <v>13</v>
      </c>
      <c r="C1622" s="2117" t="n">
        <v>13</v>
      </c>
      <c r="D1622" s="2118" t="n">
        <v>1</v>
      </c>
      <c r="E1622" s="2118" t="n">
        <v>1</v>
      </c>
      <c r="G1622" s="1798" t="inlineStr">
        <is>
          <t>IMPERMEABILIZAÇÃO</t>
        </is>
      </c>
      <c r="H1622" s="1783" t="inlineStr">
        <is>
          <t>SERVIÇO</t>
        </is>
      </c>
      <c r="I1622" s="1750" t="inlineStr">
        <is>
          <t>13.013.001.001</t>
        </is>
      </c>
      <c r="J1622" s="1785" t="inlineStr">
        <is>
          <t xml:space="preserve">Regularização de superfície para impermeabilização </t>
        </is>
      </c>
      <c r="K1622" s="1786" t="inlineStr">
        <is>
          <t>m2</t>
        </is>
      </c>
      <c r="L1622" s="1787" t="n">
        <v>113.23</v>
      </c>
      <c r="M1622" s="1787" t="n">
        <v>7.065899999999999</v>
      </c>
      <c r="N1622" s="1754" t="n">
        <v>800.071857</v>
      </c>
      <c r="O1622" s="1788" t="inlineStr">
        <is>
          <t>Toda área de piso que recebe impermeabilização</t>
        </is>
      </c>
      <c r="P1622" s="1721" t="inlineStr">
        <is>
          <t>Pendente</t>
        </is>
      </c>
    </row>
    <row r="1623" hidden="1" outlineLevel="3" ht="13.5" customHeight="1">
      <c r="A1623" s="2117" t="n">
        <v>0</v>
      </c>
      <c r="B1623" s="2117" t="n">
        <v>13</v>
      </c>
      <c r="C1623" s="2117" t="n">
        <v>13</v>
      </c>
      <c r="D1623" s="2118" t="n">
        <v>1</v>
      </c>
      <c r="E1623" s="2118" t="n">
        <v>2</v>
      </c>
      <c r="G1623" s="1798" t="inlineStr">
        <is>
          <t>IMPERMEABILIZAÇÃO</t>
        </is>
      </c>
      <c r="H1623" s="1783" t="inlineStr">
        <is>
          <t>SERVIÇO</t>
        </is>
      </c>
      <c r="I1623" s="1750" t="inlineStr">
        <is>
          <t>13.013.001.002</t>
        </is>
      </c>
      <c r="J1623" s="1785" t="inlineStr">
        <is>
          <t>Proteção mecânica de superfície com argamassa de cimento e areia, traço 1:3 E=5cm</t>
        </is>
      </c>
      <c r="K1623" s="1786" t="inlineStr">
        <is>
          <t>m2</t>
        </is>
      </c>
      <c r="L1623" s="1787" t="n">
        <v>48.99</v>
      </c>
      <c r="M1623" s="1787" t="n">
        <v>49.3585</v>
      </c>
      <c r="N1623" s="1754" t="n">
        <v>2418.072915</v>
      </c>
      <c r="O1623" s="1788" t="inlineStr">
        <is>
          <t>Toda área de piso que recebe impermeabilização de manta asfáltica</t>
        </is>
      </c>
      <c r="P1623" s="1721" t="inlineStr">
        <is>
          <t>Pendente</t>
        </is>
      </c>
    </row>
    <row r="1624" hidden="1" outlineLevel="2" ht="13.5" customHeight="1">
      <c r="A1624" s="2117" t="n">
        <v>0</v>
      </c>
      <c r="B1624" s="2117" t="n">
        <v>13</v>
      </c>
      <c r="C1624" s="2117" t="n">
        <v>13</v>
      </c>
      <c r="D1624" s="2118" t="n">
        <v>2</v>
      </c>
      <c r="E1624" s="2118" t="n">
        <v>0</v>
      </c>
      <c r="G1624" s="1797" t="n"/>
      <c r="H1624" s="1777" t="inlineStr">
        <is>
          <t>SUBETAPA</t>
        </is>
      </c>
      <c r="I1624" s="1742" t="inlineStr">
        <is>
          <t>13.013.002</t>
        </is>
      </c>
      <c r="J1624" s="1779" t="inlineStr">
        <is>
          <t>Impermeabilização de lajes, cobertura, rufos, moldura da fachada e terraços</t>
        </is>
      </c>
      <c r="K1624" s="1780" t="n"/>
      <c r="L1624" s="1781" t="n"/>
      <c r="M1624" s="1781" t="n"/>
      <c r="N1624" s="1746" t="n">
        <v>13811.860182</v>
      </c>
      <c r="O1624" s="1782" t="n"/>
      <c r="P1624" s="1720" t="n"/>
    </row>
    <row r="1625" hidden="1" outlineLevel="3" ht="13.5" customHeight="1">
      <c r="A1625" s="2117" t="n">
        <v>0</v>
      </c>
      <c r="B1625" s="2117" t="n">
        <v>13</v>
      </c>
      <c r="C1625" s="2117" t="n">
        <v>13</v>
      </c>
      <c r="D1625" s="2118" t="n">
        <v>2</v>
      </c>
      <c r="E1625" s="2118" t="n">
        <v>1</v>
      </c>
      <c r="G1625" s="1798" t="inlineStr">
        <is>
          <t>IMPERMEABILIZAÇÃO</t>
        </is>
      </c>
      <c r="H1625" s="1783" t="inlineStr">
        <is>
          <t>SERVIÇO</t>
        </is>
      </c>
      <c r="I1625" s="1750" t="inlineStr">
        <is>
          <t>13.013.002.001</t>
        </is>
      </c>
      <c r="J1625" s="1785" t="inlineStr">
        <is>
          <t>Sistema 4.2.4:Primer asfáltico à base d'água (0,4 L/m²) + Asfalto oxidado modificado (2,5 kg/m²) + Manta asfáltica AA 4mm Tipo III Classe B + Banho de asfalto oxidado modificado (2,5 kg/m²)</t>
        </is>
      </c>
      <c r="K1625" s="1786" t="inlineStr">
        <is>
          <t>m2</t>
        </is>
      </c>
      <c r="L1625" s="1787" t="n">
        <v>48.1</v>
      </c>
      <c r="M1625" s="1787" t="n">
        <v>133.1805</v>
      </c>
      <c r="N1625" s="1754" t="n">
        <v>6405.98205</v>
      </c>
      <c r="O1625" s="1788" t="inlineStr">
        <is>
          <t>Cobertura + terraço</t>
        </is>
      </c>
      <c r="P1625" s="1721" t="inlineStr">
        <is>
          <t>Pendente</t>
        </is>
      </c>
    </row>
    <row r="1626" hidden="1" outlineLevel="3" ht="13.5" customHeight="1">
      <c r="A1626" s="2117" t="n">
        <v>0</v>
      </c>
      <c r="B1626" s="2117" t="n">
        <v>13</v>
      </c>
      <c r="C1626" s="2117" t="n">
        <v>13</v>
      </c>
      <c r="D1626" s="2118" t="n">
        <v>2</v>
      </c>
      <c r="E1626" s="2118" t="n">
        <v>2</v>
      </c>
      <c r="G1626" s="1798" t="inlineStr">
        <is>
          <t>IMPERMEABILIZAÇÃO</t>
        </is>
      </c>
      <c r="H1626" s="1783" t="inlineStr">
        <is>
          <t>SERVIÇO</t>
        </is>
      </c>
      <c r="I1626" s="1750" t="inlineStr">
        <is>
          <t>13.013.002.002</t>
        </is>
      </c>
      <c r="J1626" s="1785" t="inlineStr">
        <is>
          <t>Sistema 7.1.6:Argamassa impermeabilizante sem cimento - MK-FEN 30 (F) | Argamassa não cimentícia com agentes incorporadores de ar (8,0 kg/m²) + Tela de poliéster nos pontos críticos</t>
        </is>
      </c>
      <c r="K1626" s="1786" t="inlineStr">
        <is>
          <t>m2</t>
        </is>
      </c>
      <c r="L1626" s="1787" t="n">
        <v>49.74</v>
      </c>
      <c r="M1626" s="1787" t="n">
        <v>148.8918</v>
      </c>
      <c r="N1626" s="1754" t="n">
        <v>7405.878132</v>
      </c>
      <c r="O1626" s="1788" t="inlineStr">
        <is>
          <t>Moldura de fachada + rufos</t>
        </is>
      </c>
      <c r="P1626" s="1721" t="inlineStr">
        <is>
          <t>Pendente</t>
        </is>
      </c>
    </row>
    <row r="1627" hidden="1" outlineLevel="2" ht="13.5" customHeight="1">
      <c r="A1627" s="2117" t="n">
        <v>0</v>
      </c>
      <c r="B1627" s="2117" t="n">
        <v>13</v>
      </c>
      <c r="C1627" s="2117" t="n">
        <v>13</v>
      </c>
      <c r="D1627" s="2118" t="n">
        <v>3</v>
      </c>
      <c r="E1627" s="2118" t="n">
        <v>0</v>
      </c>
      <c r="G1627" s="1797" t="n"/>
      <c r="H1627" s="1777" t="inlineStr">
        <is>
          <t>SUBETAPA</t>
        </is>
      </c>
      <c r="I1627" s="1742" t="inlineStr">
        <is>
          <t>13.013.003</t>
        </is>
      </c>
      <c r="J1627" s="1779" t="inlineStr">
        <is>
          <t>Impermeabilização de piscinas e espelhos d´água</t>
        </is>
      </c>
      <c r="K1627" s="1780" t="n"/>
      <c r="L1627" s="1781" t="n"/>
      <c r="M1627" s="1781" t="n"/>
      <c r="N1627" s="1746" t="n">
        <v>3346.825965</v>
      </c>
      <c r="O1627" s="1782" t="n"/>
      <c r="P1627" s="1720" t="n"/>
    </row>
    <row r="1628" hidden="1" outlineLevel="3" ht="13.5" customHeight="1">
      <c r="A1628" s="2117" t="n">
        <v>0</v>
      </c>
      <c r="B1628" s="2117" t="n">
        <v>13</v>
      </c>
      <c r="C1628" s="2117" t="n">
        <v>13</v>
      </c>
      <c r="D1628" s="2118" t="n">
        <v>3</v>
      </c>
      <c r="E1628" s="2118" t="n">
        <v>1</v>
      </c>
      <c r="G1628" s="1798" t="inlineStr">
        <is>
          <t>IMPERMEABILIZAÇÃO</t>
        </is>
      </c>
      <c r="H1628" s="1783" t="inlineStr">
        <is>
          <t>SERVIÇO</t>
        </is>
      </c>
      <c r="I1628" s="1750" t="inlineStr">
        <is>
          <t>13.013.003.001</t>
        </is>
      </c>
      <c r="J1628" s="1785" t="inlineStr">
        <is>
          <t>Sistema 4.2.4:Primer asfáltico à base d'água (0,4 L/m²) + Asfalto oxidado modificado (2,5 kg/m²) + Manta asfáltica AA 4mm Tipo III Classe B + Banho de asfalto oxidado modificado (2,5 kg/m²)</t>
        </is>
      </c>
      <c r="K1628" s="1786" t="inlineStr">
        <is>
          <t>m2</t>
        </is>
      </c>
      <c r="L1628" s="1787" t="n">
        <v>25.13</v>
      </c>
      <c r="M1628" s="1787" t="n">
        <v>133.1805</v>
      </c>
      <c r="N1628" s="1754" t="n">
        <v>3346.825965</v>
      </c>
      <c r="O1628" s="1788" t="inlineStr">
        <is>
          <t>Piscina</t>
        </is>
      </c>
      <c r="P1628" s="1721" t="inlineStr">
        <is>
          <t>Pendente</t>
        </is>
      </c>
    </row>
    <row r="1629" hidden="1" outlineLevel="2" ht="13.5" customHeight="1">
      <c r="A1629" s="2117" t="n">
        <v>0</v>
      </c>
      <c r="B1629" s="2117" t="n">
        <v>13</v>
      </c>
      <c r="C1629" s="2117" t="n">
        <v>13</v>
      </c>
      <c r="D1629" s="2118" t="n">
        <v>4</v>
      </c>
      <c r="E1629" s="2118" t="n">
        <v>0</v>
      </c>
      <c r="G1629" s="1797" t="n"/>
      <c r="H1629" s="1777" t="inlineStr">
        <is>
          <t>SUBETAPA</t>
        </is>
      </c>
      <c r="I1629" s="1742" t="inlineStr">
        <is>
          <t>13.013.004</t>
        </is>
      </c>
      <c r="J1629" s="1779" t="inlineStr">
        <is>
          <t>Impermeabilização de banheiro, cozinha, área de serviço, área técnica, área comum, fosso do elevador e sacada</t>
        </is>
      </c>
      <c r="K1629" s="1780" t="n"/>
      <c r="L1629" s="1781" t="n"/>
      <c r="M1629" s="1781" t="n"/>
      <c r="N1629" s="1746" t="n">
        <v>2361.25691166667</v>
      </c>
      <c r="O1629" s="1782" t="n"/>
      <c r="P1629" s="1720" t="n"/>
    </row>
    <row r="1630" hidden="1" outlineLevel="3" ht="13.5" customHeight="1">
      <c r="A1630" s="2117" t="n">
        <v>0</v>
      </c>
      <c r="B1630" s="2117" t="n">
        <v>13</v>
      </c>
      <c r="C1630" s="2117" t="n">
        <v>13</v>
      </c>
      <c r="D1630" s="2118" t="n">
        <v>4</v>
      </c>
      <c r="E1630" s="2118" t="n">
        <v>1</v>
      </c>
      <c r="G1630" s="1798" t="inlineStr">
        <is>
          <t>IMPERMEABILIZAÇÃO</t>
        </is>
      </c>
      <c r="H1630" s="1783" t="inlineStr">
        <is>
          <t>SERVIÇO</t>
        </is>
      </c>
      <c r="I1630" s="1750" t="inlineStr">
        <is>
          <t>13.013.004.001</t>
        </is>
      </c>
      <c r="J1630" s="1785" t="inlineStr">
        <is>
          <t>Sistema 2.5.3: Membrana de polímero acrílico com cimento e fibras sintéticas | Revestimento bicomponente à base de polímeros acrílicos com adição de cimento e fibras sintéticas (3,0 kg/m²) + Tela de poliéster nos pontos críticos</t>
        </is>
      </c>
      <c r="K1630" s="1786" t="inlineStr">
        <is>
          <t>m2</t>
        </is>
      </c>
      <c r="L1630" s="1787" t="n">
        <v>34.66</v>
      </c>
      <c r="M1630" s="1787" t="n">
        <v>34.05846666666666</v>
      </c>
      <c r="N1630" s="1754" t="n">
        <v>1180.46645466667</v>
      </c>
      <c r="O1630" s="1788" t="inlineStr">
        <is>
          <t>Banheiro + área de serviço + casa de máquinas</t>
        </is>
      </c>
      <c r="P1630" s="1721" t="inlineStr">
        <is>
          <t>Pendente</t>
        </is>
      </c>
    </row>
    <row r="1631" hidden="1" outlineLevel="3" ht="13.5" customHeight="1">
      <c r="A1631" s="2117" t="n">
        <v>0</v>
      </c>
      <c r="B1631" s="2117" t="n">
        <v>13</v>
      </c>
      <c r="C1631" s="2117" t="n">
        <v>13</v>
      </c>
      <c r="D1631" s="2118" t="n">
        <v>4</v>
      </c>
      <c r="E1631" s="2118" t="n">
        <v>2</v>
      </c>
      <c r="G1631" s="1798" t="inlineStr">
        <is>
          <t>IMPERMEABILIZAÇÃO</t>
        </is>
      </c>
      <c r="H1631" s="1783" t="inlineStr">
        <is>
          <t>SERVIÇO</t>
        </is>
      </c>
      <c r="I1631" s="1750" t="inlineStr">
        <is>
          <t>13.013.004.002</t>
        </is>
      </c>
      <c r="J1631" s="1785" t="inlineStr">
        <is>
          <t>Sistema 7.1.6:Argamassa impermeabilizante sem cimento - MK-FEN 30 (F) | Argamassa não cimentícia com agentes incorporadores de ar (8,0 kg/m²) + Tela de poliéster nos pontos críticos</t>
        </is>
      </c>
      <c r="K1631" s="1786" t="inlineStr">
        <is>
          <t>m2</t>
        </is>
      </c>
      <c r="L1631" s="1787" t="n">
        <v>4.29</v>
      </c>
      <c r="M1631" s="1787" t="n">
        <v>148.8918</v>
      </c>
      <c r="N1631" s="1754" t="n">
        <v>638.745822</v>
      </c>
      <c r="O1631" s="1788" t="inlineStr">
        <is>
          <t>área técnica + sauna</t>
        </is>
      </c>
      <c r="P1631" s="1721" t="inlineStr">
        <is>
          <t>Pendente</t>
        </is>
      </c>
    </row>
    <row r="1632" hidden="1" outlineLevel="3" ht="13.5" customHeight="1">
      <c r="A1632" s="2117" t="n">
        <v>0</v>
      </c>
      <c r="B1632" s="2117" t="n">
        <v>13</v>
      </c>
      <c r="C1632" s="2117" t="n">
        <v>13</v>
      </c>
      <c r="D1632" s="2118" t="n">
        <v>4</v>
      </c>
      <c r="E1632" s="2118" t="n">
        <v>3</v>
      </c>
      <c r="G1632" s="1798" t="inlineStr">
        <is>
          <t>IMPERMEABILIZAÇÃO</t>
        </is>
      </c>
      <c r="H1632" s="1783" t="inlineStr">
        <is>
          <t>SERVIÇO</t>
        </is>
      </c>
      <c r="I1632" s="1750" t="inlineStr">
        <is>
          <t>13.013.004.003</t>
        </is>
      </c>
      <c r="J1632" s="1785" t="inlineStr">
        <is>
          <t>Sistema 4.2.4:Primer asfáltico à base d'água (0,4 L/m²) + Asfalto oxidado modificado (2,5 kg/m²) + Manta asfáltica AA 4mm Tipo III Classe B + Banho de asfalto oxidado modificado (2,5 kg/m²)</t>
        </is>
      </c>
      <c r="K1632" s="1786" t="inlineStr">
        <is>
          <t>m2</t>
        </is>
      </c>
      <c r="L1632" s="1787" t="n">
        <v>4.07</v>
      </c>
      <c r="M1632" s="1787" t="n">
        <v>133.1805</v>
      </c>
      <c r="N1632" s="1754" t="n">
        <v>542.044635</v>
      </c>
      <c r="O1632" s="1788" t="inlineStr">
        <is>
          <t>Sacada + circulação lazer + espaço crossfit</t>
        </is>
      </c>
      <c r="P1632" s="1721" t="inlineStr">
        <is>
          <t>Pendente</t>
        </is>
      </c>
    </row>
    <row r="1633" hidden="1" outlineLevel="2" ht="13.5" customHeight="1">
      <c r="A1633" s="2117" t="n">
        <v>0</v>
      </c>
      <c r="B1633" s="2117" t="n">
        <v>13</v>
      </c>
      <c r="C1633" s="2117" t="n">
        <v>13</v>
      </c>
      <c r="D1633" s="2118" t="n">
        <v>5</v>
      </c>
      <c r="E1633" s="2118" t="n">
        <v>0</v>
      </c>
      <c r="G1633" s="1797" t="n"/>
      <c r="H1633" s="1777" t="inlineStr">
        <is>
          <t>SUBETAPA</t>
        </is>
      </c>
      <c r="I1633" s="1742" t="inlineStr">
        <is>
          <t>13.013.005</t>
        </is>
      </c>
      <c r="J1633" s="1779" t="inlineStr">
        <is>
          <t>Impermeabilização de esquadrias</t>
        </is>
      </c>
      <c r="K1633" s="1780" t="n"/>
      <c r="L1633" s="1781" t="n"/>
      <c r="M1633" s="1781" t="n"/>
      <c r="N1633" s="1746" t="n">
        <v>1330.66429266667</v>
      </c>
      <c r="O1633" s="1782" t="n"/>
      <c r="P1633" s="1720" t="n"/>
    </row>
    <row r="1634" hidden="1" outlineLevel="3" ht="13.5" customHeight="1">
      <c r="A1634" s="2117" t="n">
        <v>0</v>
      </c>
      <c r="B1634" s="2117" t="n">
        <v>13</v>
      </c>
      <c r="C1634" s="2117" t="n">
        <v>13</v>
      </c>
      <c r="D1634" s="2118" t="n">
        <v>5</v>
      </c>
      <c r="E1634" s="2118" t="n">
        <v>1</v>
      </c>
      <c r="G1634" s="1798" t="inlineStr">
        <is>
          <t>IMPERMEABILIZAÇÃO</t>
        </is>
      </c>
      <c r="H1634" s="1783" t="inlineStr">
        <is>
          <t>SERVIÇO</t>
        </is>
      </c>
      <c r="I1634" s="1750" t="inlineStr">
        <is>
          <t>13.013.005.001</t>
        </is>
      </c>
      <c r="J1634" s="1785" t="inlineStr">
        <is>
          <t>Sistema 2.5.3: Membrana de polímero acrílico com cimento e fibras sintéticas | Revestimento bicomponente à base de polímeros acrílicos com adição de cimento e fibras sintéticas (3,0 kg/m²) + Tela de poliéster nos pontos críticos</t>
        </is>
      </c>
      <c r="K1634" s="1786" t="inlineStr">
        <is>
          <t>m2</t>
        </is>
      </c>
      <c r="L1634" s="1787" t="n">
        <v>39.07</v>
      </c>
      <c r="M1634" s="1787" t="n">
        <v>34.05846666666666</v>
      </c>
      <c r="N1634" s="1754" t="n">
        <v>1330.66429266667</v>
      </c>
      <c r="O1634" s="1788" t="n"/>
      <c r="P1634" s="1721" t="inlineStr">
        <is>
          <t>Pendente</t>
        </is>
      </c>
    </row>
    <row r="1635" hidden="1" outlineLevel="2" ht="13.5" customHeight="1">
      <c r="A1635" s="2117" t="n">
        <v>0</v>
      </c>
      <c r="B1635" s="2117" t="n">
        <v>13</v>
      </c>
      <c r="C1635" s="2117" t="n">
        <v>13</v>
      </c>
      <c r="D1635" s="2118" t="n">
        <v>6</v>
      </c>
      <c r="E1635" s="2118" t="n">
        <v>0</v>
      </c>
      <c r="G1635" s="1797" t="n"/>
      <c r="H1635" s="1777" t="inlineStr">
        <is>
          <t>SUBETAPA</t>
        </is>
      </c>
      <c r="I1635" s="1742" t="inlineStr">
        <is>
          <t>13.013.006</t>
        </is>
      </c>
      <c r="J1635" s="1779" t="inlineStr">
        <is>
          <t>Impermeabilização de ralos</t>
        </is>
      </c>
      <c r="K1635" s="1780" t="n"/>
      <c r="L1635" s="1781" t="n"/>
      <c r="M1635" s="1781" t="n"/>
      <c r="N1635" s="1746" t="n">
        <v>70.08011999999999</v>
      </c>
      <c r="O1635" s="1782" t="n"/>
      <c r="P1635" s="1720" t="n"/>
    </row>
    <row r="1636" hidden="1" outlineLevel="3" ht="13.5" customHeight="1">
      <c r="A1636" s="2117" t="n">
        <v>0</v>
      </c>
      <c r="B1636" s="2117" t="n">
        <v>13</v>
      </c>
      <c r="C1636" s="2117" t="n">
        <v>13</v>
      </c>
      <c r="D1636" s="2118" t="n">
        <v>6</v>
      </c>
      <c r="E1636" s="2118" t="n">
        <v>1</v>
      </c>
      <c r="G1636" s="1798" t="inlineStr">
        <is>
          <t>IMPERMEABILIZAÇÃO</t>
        </is>
      </c>
      <c r="H1636" s="1783" t="inlineStr">
        <is>
          <t>SERVIÇO</t>
        </is>
      </c>
      <c r="I1636" s="1750" t="inlineStr">
        <is>
          <t>13.013.006.001</t>
        </is>
      </c>
      <c r="J1636" s="1785" t="inlineStr">
        <is>
          <t>Tratamento De Ralo Ou Ponto Emergente Com Argamassa Polimérica Reforçado Com Tela De Poliéster</t>
        </is>
      </c>
      <c r="K1636" s="1786" t="inlineStr">
        <is>
          <t>un</t>
        </is>
      </c>
      <c r="L1636" s="1787" t="n">
        <v>8</v>
      </c>
      <c r="M1636" s="1787" t="n">
        <v>8.760015000000001</v>
      </c>
      <c r="N1636" s="1754" t="n">
        <v>70.08011999999999</v>
      </c>
      <c r="O1636" s="1788" t="n"/>
      <c r="P1636" s="1721" t="inlineStr">
        <is>
          <t>Pendente</t>
        </is>
      </c>
    </row>
    <row r="1637" hidden="1" outlineLevel="2" ht="13.5" customHeight="1">
      <c r="A1637" s="2117" t="n">
        <v>0</v>
      </c>
      <c r="B1637" s="2117" t="n">
        <v>13</v>
      </c>
      <c r="C1637" s="2117" t="n">
        <v>13</v>
      </c>
      <c r="D1637" s="2118" t="n">
        <v>7</v>
      </c>
      <c r="E1637" s="2118" t="n">
        <v>0</v>
      </c>
      <c r="G1637" s="1797" t="n"/>
      <c r="H1637" s="1777" t="inlineStr">
        <is>
          <t>SUBETAPA</t>
        </is>
      </c>
      <c r="I1637" s="1742" t="inlineStr">
        <is>
          <t>13.013.007</t>
        </is>
      </c>
      <c r="J1637" s="1779" t="inlineStr">
        <is>
          <t>Mão de Obra</t>
        </is>
      </c>
      <c r="K1637" s="1780" t="n"/>
      <c r="L1637" s="1781" t="n"/>
      <c r="M1637" s="1781" t="n"/>
      <c r="N1637" s="1746" t="n">
        <v>12486.37</v>
      </c>
      <c r="O1637" s="1782" t="n"/>
      <c r="P1637" s="1720" t="n"/>
    </row>
    <row r="1638" hidden="1" outlineLevel="3" ht="13.5" customHeight="1">
      <c r="A1638" s="2117" t="n">
        <v>0</v>
      </c>
      <c r="B1638" s="2117" t="n">
        <v>13</v>
      </c>
      <c r="C1638" s="2117" t="n">
        <v>13</v>
      </c>
      <c r="D1638" s="2118" t="n">
        <v>7</v>
      </c>
      <c r="E1638" s="2118" t="n">
        <v>1</v>
      </c>
      <c r="G1638" s="1798" t="inlineStr">
        <is>
          <t>IMPERMEABILIZAÇÃO</t>
        </is>
      </c>
      <c r="H1638" s="1783" t="inlineStr">
        <is>
          <t>SERVIÇO</t>
        </is>
      </c>
      <c r="I1638" s="1750" t="inlineStr">
        <is>
          <t>13.013.007.001</t>
        </is>
      </c>
      <c r="J1638" s="1785" t="inlineStr">
        <is>
          <t xml:space="preserve">Mão de obra para regularização de superfície </t>
        </is>
      </c>
      <c r="K1638" s="1786" t="inlineStr">
        <is>
          <t>m2</t>
        </is>
      </c>
      <c r="L1638" s="1787" t="n">
        <v>113.23</v>
      </c>
      <c r="M1638" s="1787" t="n">
        <v>20</v>
      </c>
      <c r="N1638" s="1754" t="n">
        <v>2264.6</v>
      </c>
      <c r="O1638" s="1788" t="n"/>
      <c r="P1638" s="1721" t="inlineStr">
        <is>
          <t>Pendente</t>
        </is>
      </c>
    </row>
    <row r="1639" hidden="1" outlineLevel="3" ht="13.5" customHeight="1">
      <c r="A1639" s="2117" t="n">
        <v>0</v>
      </c>
      <c r="B1639" s="2117" t="n">
        <v>13</v>
      </c>
      <c r="C1639" s="2117" t="n">
        <v>13</v>
      </c>
      <c r="D1639" s="2118" t="n">
        <v>7</v>
      </c>
      <c r="E1639" s="2118" t="n">
        <v>2</v>
      </c>
      <c r="G1639" s="1798" t="inlineStr">
        <is>
          <t>IMPERMEABILIZAÇÃO</t>
        </is>
      </c>
      <c r="H1639" s="1783" t="inlineStr">
        <is>
          <t>SERVIÇO</t>
        </is>
      </c>
      <c r="I1639" s="1750" t="inlineStr">
        <is>
          <t>13.013.007.002</t>
        </is>
      </c>
      <c r="J1639" s="1785" t="inlineStr">
        <is>
          <t>Mão de obra para proteção mecânica</t>
        </is>
      </c>
      <c r="K1639" s="1786" t="inlineStr">
        <is>
          <t>m2</t>
        </is>
      </c>
      <c r="L1639" s="1787" t="n">
        <v>48.99</v>
      </c>
      <c r="M1639" s="1787" t="n">
        <v>35</v>
      </c>
      <c r="N1639" s="1754" t="n">
        <v>1714.65</v>
      </c>
      <c r="O1639" s="1788" t="n"/>
      <c r="P1639" s="1721" t="inlineStr">
        <is>
          <t>Pendente</t>
        </is>
      </c>
    </row>
    <row r="1640" hidden="1" outlineLevel="3" ht="13.5" customHeight="1">
      <c r="A1640" s="2117" t="n">
        <v>0</v>
      </c>
      <c r="B1640" s="2117" t="n">
        <v>13</v>
      </c>
      <c r="C1640" s="2117" t="n">
        <v>13</v>
      </c>
      <c r="D1640" s="2118" t="n">
        <v>7</v>
      </c>
      <c r="E1640" s="2118" t="n">
        <v>3</v>
      </c>
      <c r="G1640" s="1798" t="inlineStr">
        <is>
          <t>IMPERMEABILIZAÇÃO</t>
        </is>
      </c>
      <c r="H1640" s="1783" t="inlineStr">
        <is>
          <t>SERVIÇO</t>
        </is>
      </c>
      <c r="I1640" s="1750" t="inlineStr">
        <is>
          <t>13.013.007.003</t>
        </is>
      </c>
      <c r="J1640" s="1785" t="inlineStr">
        <is>
          <t>Mão de obra impermeabilização sistema 2.5.3</t>
        </is>
      </c>
      <c r="K1640" s="1786" t="inlineStr">
        <is>
          <t>m2</t>
        </is>
      </c>
      <c r="L1640" s="1787" t="n">
        <v>73.73</v>
      </c>
      <c r="M1640" s="1787" t="n">
        <v>32</v>
      </c>
      <c r="N1640" s="1754" t="n">
        <v>2359.36</v>
      </c>
      <c r="O1640" s="1788" t="n"/>
      <c r="P1640" s="1721" t="inlineStr">
        <is>
          <t>Pendente</t>
        </is>
      </c>
    </row>
    <row r="1641" hidden="1" outlineLevel="3" ht="13.5" customHeight="1">
      <c r="A1641" s="2117" t="n">
        <v>0</v>
      </c>
      <c r="B1641" s="2117" t="n">
        <v>13</v>
      </c>
      <c r="C1641" s="2117" t="n">
        <v>13</v>
      </c>
      <c r="D1641" s="2118" t="n">
        <v>7</v>
      </c>
      <c r="E1641" s="2118" t="n">
        <v>4</v>
      </c>
      <c r="G1641" s="1798" t="inlineStr">
        <is>
          <t>IMPERMEABILIZAÇÃO</t>
        </is>
      </c>
      <c r="H1641" s="1783" t="inlineStr">
        <is>
          <t>SERVIÇO</t>
        </is>
      </c>
      <c r="I1641" s="1750" t="inlineStr">
        <is>
          <t>13.013.007.004</t>
        </is>
      </c>
      <c r="J1641" s="1785" t="inlineStr">
        <is>
          <t>Mão de obra impermeabilização sistema 4.2.4</t>
        </is>
      </c>
      <c r="K1641" s="1786" t="inlineStr">
        <is>
          <t>m2</t>
        </is>
      </c>
      <c r="L1641" s="1787" t="n">
        <v>77.30000000000001</v>
      </c>
      <c r="M1641" s="1787" t="n">
        <v>45</v>
      </c>
      <c r="N1641" s="1754" t="n">
        <v>3478.5</v>
      </c>
      <c r="O1641" s="1788" t="n"/>
      <c r="P1641" s="1721" t="inlineStr">
        <is>
          <t>Pendente</t>
        </is>
      </c>
    </row>
    <row r="1642" hidden="1" outlineLevel="3" ht="13.5" customHeight="1">
      <c r="A1642" s="2117" t="n">
        <v>0</v>
      </c>
      <c r="B1642" s="2117" t="n">
        <v>13</v>
      </c>
      <c r="C1642" s="2117" t="n">
        <v>13</v>
      </c>
      <c r="D1642" s="2118" t="n">
        <v>7</v>
      </c>
      <c r="E1642" s="2118" t="n">
        <v>5</v>
      </c>
      <c r="G1642" s="1798" t="inlineStr">
        <is>
          <t>IMPERMEABILIZAÇÃO</t>
        </is>
      </c>
      <c r="H1642" s="1783" t="inlineStr">
        <is>
          <t>SERVIÇO</t>
        </is>
      </c>
      <c r="I1642" s="1750" t="inlineStr">
        <is>
          <t>13.013.007.005</t>
        </is>
      </c>
      <c r="J1642" s="1785" t="inlineStr">
        <is>
          <t>Mão de obra impermeabilização sistema 7.1.6</t>
        </is>
      </c>
      <c r="K1642" s="1786" t="inlineStr">
        <is>
          <t>m2</t>
        </is>
      </c>
      <c r="L1642" s="1787" t="n">
        <v>54.03</v>
      </c>
      <c r="M1642" s="1787" t="n">
        <v>42</v>
      </c>
      <c r="N1642" s="1754" t="n">
        <v>2269.26</v>
      </c>
      <c r="O1642" s="1788" t="n"/>
      <c r="P1642" s="1721" t="inlineStr">
        <is>
          <t>Pendente</t>
        </is>
      </c>
    </row>
    <row r="1643" hidden="1" outlineLevel="3" ht="13.5" customHeight="1">
      <c r="A1643" s="2117" t="n">
        <v>0</v>
      </c>
      <c r="B1643" s="2117" t="n">
        <v>13</v>
      </c>
      <c r="C1643" s="2117" t="n">
        <v>13</v>
      </c>
      <c r="D1643" s="2118" t="n">
        <v>7</v>
      </c>
      <c r="E1643" s="2118" t="n">
        <v>6</v>
      </c>
      <c r="G1643" s="1798" t="inlineStr">
        <is>
          <t>IMPERMEABILIZAÇÃO</t>
        </is>
      </c>
      <c r="H1643" s="1783" t="inlineStr">
        <is>
          <t>SERVIÇO</t>
        </is>
      </c>
      <c r="I1643" s="1750" t="inlineStr">
        <is>
          <t>13.013.007.006</t>
        </is>
      </c>
      <c r="J1643" s="1751" t="inlineStr">
        <is>
          <t>Mão de obra tratamento de ralo com manta de poliéster</t>
        </is>
      </c>
      <c r="K1643" s="1786" t="inlineStr">
        <is>
          <t>un</t>
        </is>
      </c>
      <c r="L1643" s="1787" t="n">
        <v>8</v>
      </c>
      <c r="M1643" s="1787" t="n">
        <v>50</v>
      </c>
      <c r="N1643" s="1754" t="n">
        <v>400</v>
      </c>
      <c r="O1643" s="1788" t="n"/>
      <c r="P1643" s="1721" t="inlineStr">
        <is>
          <t>Pendente</t>
        </is>
      </c>
    </row>
    <row r="1644" hidden="1" outlineLevel="1" ht="13.5" customHeight="1">
      <c r="A1644" s="2117" t="n">
        <v>0</v>
      </c>
      <c r="B1644" s="2117" t="n">
        <v>13</v>
      </c>
      <c r="C1644" s="2117" t="n">
        <v>14</v>
      </c>
      <c r="D1644" s="2118" t="n">
        <v>0</v>
      </c>
      <c r="E1644" s="2118" t="n">
        <v>6</v>
      </c>
      <c r="G1644" s="1796" t="n"/>
      <c r="H1644" s="1771" t="inlineStr">
        <is>
          <t>ETAPA</t>
        </is>
      </c>
      <c r="I1644" s="1735" t="inlineStr">
        <is>
          <t>13.014</t>
        </is>
      </c>
      <c r="J1644" s="1773" t="inlineStr">
        <is>
          <t>IMPERMEABILIZAÇÃO E TRATAMENTOS - Cobertura | Barrilete</t>
        </is>
      </c>
      <c r="K1644" s="1774" t="n"/>
      <c r="L1644" s="1775" t="n"/>
      <c r="M1644" s="1775" t="n"/>
      <c r="N1644" s="1739" t="n">
        <v>52519.7318906667</v>
      </c>
      <c r="O1644" s="1776" t="n">
        <v>3.13556815690498</v>
      </c>
      <c r="P1644" s="1719" t="n"/>
    </row>
    <row r="1645" hidden="1" outlineLevel="2" ht="13.5" customHeight="1">
      <c r="A1645" s="2117" t="n">
        <v>0</v>
      </c>
      <c r="B1645" s="2117" t="n">
        <v>13</v>
      </c>
      <c r="C1645" s="2117" t="n">
        <v>14</v>
      </c>
      <c r="D1645" s="2118" t="n">
        <v>1</v>
      </c>
      <c r="E1645" s="2118" t="n">
        <v>0</v>
      </c>
      <c r="G1645" s="1797" t="n"/>
      <c r="H1645" s="1777" t="inlineStr">
        <is>
          <t>SUBETAPA</t>
        </is>
      </c>
      <c r="I1645" s="1742" t="inlineStr">
        <is>
          <t>13.014.001</t>
        </is>
      </c>
      <c r="J1645" s="1779" t="inlineStr">
        <is>
          <t>Regularização e proteção mecânica</t>
        </is>
      </c>
      <c r="K1645" s="1780" t="n"/>
      <c r="L1645" s="1781" t="n"/>
      <c r="M1645" s="1781" t="n"/>
      <c r="N1645" s="1746" t="n">
        <v>8242.170891</v>
      </c>
      <c r="O1645" s="1782" t="n">
        <v>0.492079598642839</v>
      </c>
      <c r="P1645" s="1720" t="n"/>
    </row>
    <row r="1646" hidden="1" outlineLevel="3" ht="13.5" customHeight="1">
      <c r="A1646" s="2117" t="n">
        <v>0</v>
      </c>
      <c r="B1646" s="2117" t="n">
        <v>13</v>
      </c>
      <c r="C1646" s="2117" t="n">
        <v>14</v>
      </c>
      <c r="D1646" s="2118" t="n">
        <v>1</v>
      </c>
      <c r="E1646" s="2118" t="n">
        <v>1</v>
      </c>
      <c r="G1646" s="1798" t="inlineStr">
        <is>
          <t>IMPERMEABILIZAÇÃO</t>
        </is>
      </c>
      <c r="H1646" s="1783" t="inlineStr">
        <is>
          <t>SERVIÇO</t>
        </is>
      </c>
      <c r="I1646" s="1750" t="inlineStr">
        <is>
          <t>13.014.001.001</t>
        </is>
      </c>
      <c r="J1646" s="1785" t="inlineStr">
        <is>
          <t xml:space="preserve">Regularização de superfície para impermeabilização </t>
        </is>
      </c>
      <c r="K1646" s="1786" t="inlineStr">
        <is>
          <t>m2</t>
        </is>
      </c>
      <c r="L1646" s="1787" t="n">
        <v>158.89</v>
      </c>
      <c r="M1646" s="1787" t="n">
        <v>7.065899999999999</v>
      </c>
      <c r="N1646" s="1754" t="n">
        <v>1122.700851</v>
      </c>
      <c r="O1646" s="1788" t="inlineStr">
        <is>
          <t>Toda área de piso que recebe impermeabilização</t>
        </is>
      </c>
      <c r="P1646" s="1721" t="inlineStr">
        <is>
          <t>Pendente</t>
        </is>
      </c>
    </row>
    <row r="1647" hidden="1" outlineLevel="3" ht="13.5" customHeight="1">
      <c r="A1647" s="2117" t="n">
        <v>0</v>
      </c>
      <c r="B1647" s="2117" t="n">
        <v>13</v>
      </c>
      <c r="C1647" s="2117" t="n">
        <v>14</v>
      </c>
      <c r="D1647" s="2118" t="n">
        <v>1</v>
      </c>
      <c r="E1647" s="2118" t="n">
        <v>2</v>
      </c>
      <c r="G1647" s="1798" t="inlineStr">
        <is>
          <t>IMPERMEABILIZAÇÃO</t>
        </is>
      </c>
      <c r="H1647" s="1783" t="inlineStr">
        <is>
          <t>SERVIÇO</t>
        </is>
      </c>
      <c r="I1647" s="1750" t="inlineStr">
        <is>
          <t>13.014.001.002</t>
        </is>
      </c>
      <c r="J1647" s="1785" t="inlineStr">
        <is>
          <t>Proteção mecânica de superfície com argamassa de cimento e areia, traço 1:3 E=5cm</t>
        </is>
      </c>
      <c r="K1647" s="1786" t="inlineStr">
        <is>
          <t>m2</t>
        </is>
      </c>
      <c r="L1647" s="1787" t="n">
        <v>144.24</v>
      </c>
      <c r="M1647" s="1787" t="n">
        <v>49.3585</v>
      </c>
      <c r="N1647" s="1754" t="n">
        <v>7119.47004</v>
      </c>
      <c r="O1647" s="1788" t="inlineStr">
        <is>
          <t>Toda área de piso que recebe impermeabilização de manta asfáltica</t>
        </is>
      </c>
      <c r="P1647" s="1721" t="inlineStr">
        <is>
          <t>Pendente</t>
        </is>
      </c>
    </row>
    <row r="1648" hidden="1" outlineLevel="2" ht="13.5" customHeight="1">
      <c r="A1648" s="2117" t="n">
        <v>0</v>
      </c>
      <c r="B1648" s="2117" t="n">
        <v>13</v>
      </c>
      <c r="C1648" s="2117" t="n">
        <v>14</v>
      </c>
      <c r="D1648" s="2118" t="n">
        <v>2</v>
      </c>
      <c r="E1648" s="2118" t="n">
        <v>0</v>
      </c>
      <c r="G1648" s="1797" t="n"/>
      <c r="H1648" s="1777" t="inlineStr">
        <is>
          <t>SUBETAPA</t>
        </is>
      </c>
      <c r="I1648" s="1742" t="inlineStr">
        <is>
          <t>13.014.002</t>
        </is>
      </c>
      <c r="J1648" s="1779" t="inlineStr">
        <is>
          <t>Impermeabilização de lajes, cobertura, rufos, moldura da fachada e terraços</t>
        </is>
      </c>
      <c r="K1648" s="1780" t="n"/>
      <c r="L1648" s="1781" t="n"/>
      <c r="M1648" s="1781" t="n"/>
      <c r="N1648" s="1746" t="n">
        <v>24517.525449</v>
      </c>
      <c r="O1648" s="1782" t="n"/>
      <c r="P1648" s="1720" t="n"/>
    </row>
    <row r="1649" hidden="1" outlineLevel="3" ht="13.5" customHeight="1">
      <c r="A1649" s="2117" t="n">
        <v>0</v>
      </c>
      <c r="B1649" s="2117" t="n">
        <v>13</v>
      </c>
      <c r="C1649" s="2117" t="n">
        <v>14</v>
      </c>
      <c r="D1649" s="2118" t="n">
        <v>2</v>
      </c>
      <c r="E1649" s="2118" t="n">
        <v>1</v>
      </c>
      <c r="G1649" s="1798" t="inlineStr">
        <is>
          <t>IMPERMEABILIZAÇÃO</t>
        </is>
      </c>
      <c r="H1649" s="1783" t="inlineStr">
        <is>
          <t>SERVIÇO</t>
        </is>
      </c>
      <c r="I1649" s="1750" t="inlineStr">
        <is>
          <t>13.014.002.001</t>
        </is>
      </c>
      <c r="J1649" s="1785" t="inlineStr">
        <is>
          <t>Sistema 4.2.4:Primer asfáltico à base d'água (0,4 L/m²) + Asfalto oxidado modificado (2,5 kg/m²) + Manta asfáltica AA 4mm Tipo III Classe B + Banho de asfalto oxidado modificado (2,5 kg/m²)</t>
        </is>
      </c>
      <c r="K1649" s="1786" t="inlineStr">
        <is>
          <t>m2</t>
        </is>
      </c>
      <c r="L1649" s="1787" t="n">
        <v>173.55</v>
      </c>
      <c r="M1649" s="1787" t="n">
        <v>133.1805</v>
      </c>
      <c r="N1649" s="1754" t="n">
        <v>23113.475775</v>
      </c>
      <c r="O1649" s="1788" t="inlineStr">
        <is>
          <t>Cobertura + terraço</t>
        </is>
      </c>
      <c r="P1649" s="1721" t="inlineStr">
        <is>
          <t>Pendente</t>
        </is>
      </c>
    </row>
    <row r="1650" hidden="1" outlineLevel="3" ht="13.5" customHeight="1">
      <c r="A1650" s="2117" t="n">
        <v>0</v>
      </c>
      <c r="B1650" s="2117" t="n">
        <v>13</v>
      </c>
      <c r="C1650" s="2117" t="n">
        <v>14</v>
      </c>
      <c r="D1650" s="2118" t="n">
        <v>2</v>
      </c>
      <c r="E1650" s="2118" t="n">
        <v>2</v>
      </c>
      <c r="G1650" s="1798" t="inlineStr">
        <is>
          <t>IMPERMEABILIZAÇÃO</t>
        </is>
      </c>
      <c r="H1650" s="1783" t="inlineStr">
        <is>
          <t>SERVIÇO</t>
        </is>
      </c>
      <c r="I1650" s="1750" t="inlineStr">
        <is>
          <t>13.014.002.002</t>
        </is>
      </c>
      <c r="J1650" s="1785" t="inlineStr">
        <is>
          <t>Sistema 7.1.6:Argamassa impermeabilizante sem cimento - MK-FEN 30 (F) | Argamassa não cimentícia com agentes incorporadores de ar (8,0 kg/m²) + Tela de poliéster nos pontos críticos</t>
        </is>
      </c>
      <c r="K1650" s="1786" t="inlineStr">
        <is>
          <t>m2</t>
        </is>
      </c>
      <c r="L1650" s="1787" t="n">
        <v>9.43</v>
      </c>
      <c r="M1650" s="1787" t="n">
        <v>148.8918</v>
      </c>
      <c r="N1650" s="1754" t="n">
        <v>1404.049674</v>
      </c>
      <c r="O1650" s="1788" t="inlineStr">
        <is>
          <t>Moldura de fachada + rufos</t>
        </is>
      </c>
      <c r="P1650" s="1721" t="inlineStr">
        <is>
          <t>Pendente</t>
        </is>
      </c>
    </row>
    <row r="1651" hidden="1" outlineLevel="2" ht="13.5" customHeight="1">
      <c r="A1651" s="2117" t="n">
        <v>0</v>
      </c>
      <c r="B1651" s="2117" t="n">
        <v>13</v>
      </c>
      <c r="C1651" s="2117" t="n">
        <v>14</v>
      </c>
      <c r="D1651" s="2118" t="n">
        <v>3</v>
      </c>
      <c r="E1651" s="2118" t="n">
        <v>0</v>
      </c>
      <c r="G1651" s="1797" t="n"/>
      <c r="H1651" s="1777" t="inlineStr">
        <is>
          <t>SUBETAPA</t>
        </is>
      </c>
      <c r="I1651" s="1742" t="inlineStr">
        <is>
          <t>13.014.003</t>
        </is>
      </c>
      <c r="J1651" s="1779" t="inlineStr">
        <is>
          <t>Impermeabilização de banheiro, cozinha, área de serviço, área técnica, área comum, fosso do elevador e sacada</t>
        </is>
      </c>
      <c r="K1651" s="1780" t="n"/>
      <c r="L1651" s="1781" t="n"/>
      <c r="M1651" s="1781" t="n"/>
      <c r="N1651" s="1746" t="n">
        <v>1663.75609666667</v>
      </c>
      <c r="O1651" s="1782" t="n"/>
      <c r="P1651" s="1720" t="n"/>
    </row>
    <row r="1652" hidden="1" outlineLevel="3" ht="13.5" customHeight="1">
      <c r="A1652" s="2117" t="n">
        <v>0</v>
      </c>
      <c r="B1652" s="2117" t="n">
        <v>13</v>
      </c>
      <c r="C1652" s="2117" t="n">
        <v>14</v>
      </c>
      <c r="D1652" s="2118" t="n">
        <v>3</v>
      </c>
      <c r="E1652" s="2118" t="n">
        <v>1</v>
      </c>
      <c r="G1652" s="1798" t="inlineStr">
        <is>
          <t>IMPERMEABILIZAÇÃO</t>
        </is>
      </c>
      <c r="H1652" s="1783" t="inlineStr">
        <is>
          <t>SERVIÇO</t>
        </is>
      </c>
      <c r="I1652" s="1750" t="inlineStr">
        <is>
          <t>13.014.003.001</t>
        </is>
      </c>
      <c r="J1652" s="1785" t="inlineStr">
        <is>
          <t>Sistema 2.5.3: Membrana de polímero acrílico com cimento e fibras sintéticas | Revestimento bicomponente à base de polímeros acrílicos com adição de cimento e fibras sintéticas (3,0 kg/m²) + Tela de poliéster nos pontos críticos</t>
        </is>
      </c>
      <c r="K1652" s="1786" t="inlineStr">
        <is>
          <t>m2</t>
        </is>
      </c>
      <c r="L1652" s="1787" t="n">
        <v>48.84999999999999</v>
      </c>
      <c r="M1652" s="1787" t="n">
        <v>34.05846666666666</v>
      </c>
      <c r="N1652" s="1754" t="n">
        <v>1663.75609666667</v>
      </c>
      <c r="O1652" s="1788" t="inlineStr">
        <is>
          <t>Banheiro + área de serviço + casa de máquinas</t>
        </is>
      </c>
      <c r="P1652" s="1721" t="inlineStr">
        <is>
          <t>Pendente</t>
        </is>
      </c>
    </row>
    <row r="1653" hidden="1" outlineLevel="2" ht="13.5" customHeight="1">
      <c r="A1653" s="2117" t="n">
        <v>0</v>
      </c>
      <c r="B1653" s="2117" t="n">
        <v>13</v>
      </c>
      <c r="C1653" s="2117" t="n">
        <v>14</v>
      </c>
      <c r="D1653" s="2118" t="n">
        <v>4</v>
      </c>
      <c r="E1653" s="2118" t="n">
        <v>0</v>
      </c>
      <c r="G1653" s="1797" t="n"/>
      <c r="H1653" s="1777" t="inlineStr">
        <is>
          <t>SUBETAPA</t>
        </is>
      </c>
      <c r="I1653" s="1742" t="inlineStr">
        <is>
          <t>13.014.004</t>
        </is>
      </c>
      <c r="J1653" s="1779" t="inlineStr">
        <is>
          <t>Impermeabilização de esquadrias</t>
        </is>
      </c>
      <c r="K1653" s="1780" t="n"/>
      <c r="L1653" s="1781" t="n"/>
      <c r="M1653" s="1781" t="n"/>
      <c r="N1653" s="1746" t="n">
        <v>52.109454</v>
      </c>
      <c r="O1653" s="1782" t="n"/>
      <c r="P1653" s="1720" t="n"/>
    </row>
    <row r="1654" hidden="1" outlineLevel="3" ht="13.5" customHeight="1">
      <c r="A1654" s="2117" t="n">
        <v>0</v>
      </c>
      <c r="B1654" s="2117" t="n">
        <v>13</v>
      </c>
      <c r="C1654" s="2117" t="n">
        <v>14</v>
      </c>
      <c r="D1654" s="2118" t="n">
        <v>4</v>
      </c>
      <c r="E1654" s="2118" t="n">
        <v>1</v>
      </c>
      <c r="G1654" s="1798" t="inlineStr">
        <is>
          <t>IMPERMEABILIZAÇÃO</t>
        </is>
      </c>
      <c r="H1654" s="1783" t="inlineStr">
        <is>
          <t>SERVIÇO</t>
        </is>
      </c>
      <c r="I1654" s="1750" t="inlineStr">
        <is>
          <t>13.014.004.001</t>
        </is>
      </c>
      <c r="J1654" s="1785" t="inlineStr">
        <is>
          <t>Sistema 2.5.3: Membrana de polímero acrílico com cimento e fibras sintéticas | Revestimento bicomponente à base de polímeros acrílicos com adição de cimento e fibras sintéticas (3,0 kg/m²) + Tela de poliéster nos pontos críticos</t>
        </is>
      </c>
      <c r="K1654" s="1786" t="inlineStr">
        <is>
          <t>m2</t>
        </is>
      </c>
      <c r="L1654" s="1787" t="n">
        <v>1.53</v>
      </c>
      <c r="M1654" s="1787" t="n">
        <v>34.05846666666666</v>
      </c>
      <c r="N1654" s="1754" t="n">
        <v>52.109454</v>
      </c>
      <c r="O1654" s="1788" t="n"/>
      <c r="P1654" s="1721" t="inlineStr">
        <is>
          <t>Pendente</t>
        </is>
      </c>
    </row>
    <row r="1655" hidden="1" outlineLevel="2" ht="13.5" customHeight="1">
      <c r="A1655" s="2117" t="n">
        <v>0</v>
      </c>
      <c r="B1655" s="2117" t="n">
        <v>13</v>
      </c>
      <c r="C1655" s="2117" t="n">
        <v>14</v>
      </c>
      <c r="D1655" s="2118" t="n">
        <v>5</v>
      </c>
      <c r="E1655" s="2118" t="n">
        <v>0</v>
      </c>
      <c r="G1655" s="1797" t="n"/>
      <c r="H1655" s="1777" t="inlineStr">
        <is>
          <t>SUBETAPA</t>
        </is>
      </c>
      <c r="I1655" s="1742" t="inlineStr">
        <is>
          <t>13.014.005</t>
        </is>
      </c>
      <c r="J1655" s="1779" t="inlineStr">
        <is>
          <t>Mão de Obra</t>
        </is>
      </c>
      <c r="K1655" s="1780" t="n"/>
      <c r="L1655" s="1781" t="n"/>
      <c r="M1655" s="1781" t="n"/>
      <c r="N1655" s="1746" t="n">
        <v>18044.17</v>
      </c>
      <c r="O1655" s="1782" t="n"/>
      <c r="P1655" s="1720" t="n"/>
    </row>
    <row r="1656" hidden="1" outlineLevel="3" ht="13.5" customHeight="1">
      <c r="A1656" s="2117" t="n">
        <v>0</v>
      </c>
      <c r="B1656" s="2117" t="n">
        <v>13</v>
      </c>
      <c r="C1656" s="2117" t="n">
        <v>14</v>
      </c>
      <c r="D1656" s="2118" t="n">
        <v>5</v>
      </c>
      <c r="E1656" s="2118" t="n">
        <v>1</v>
      </c>
      <c r="G1656" s="1798" t="inlineStr">
        <is>
          <t>IMPERMEABILIZAÇÃO</t>
        </is>
      </c>
      <c r="H1656" s="1783" t="inlineStr">
        <is>
          <t>SERVIÇO</t>
        </is>
      </c>
      <c r="I1656" s="1750" t="inlineStr">
        <is>
          <t>13.014.005.001</t>
        </is>
      </c>
      <c r="J1656" s="1785" t="inlineStr">
        <is>
          <t xml:space="preserve">Mão de obra para regularização de superfície </t>
        </is>
      </c>
      <c r="K1656" s="1786" t="inlineStr">
        <is>
          <t>m2</t>
        </is>
      </c>
      <c r="L1656" s="1787" t="n">
        <v>158.89</v>
      </c>
      <c r="M1656" s="1787" t="n">
        <v>20</v>
      </c>
      <c r="N1656" s="1754" t="n">
        <v>3177.8</v>
      </c>
      <c r="O1656" s="1788" t="n"/>
      <c r="P1656" s="1721" t="inlineStr">
        <is>
          <t>Pendente</t>
        </is>
      </c>
    </row>
    <row r="1657" hidden="1" outlineLevel="3" ht="13.5" customHeight="1">
      <c r="A1657" s="2117" t="n">
        <v>0</v>
      </c>
      <c r="B1657" s="2117" t="n">
        <v>13</v>
      </c>
      <c r="C1657" s="2117" t="n">
        <v>14</v>
      </c>
      <c r="D1657" s="2118" t="n">
        <v>5</v>
      </c>
      <c r="E1657" s="2118" t="n">
        <v>2</v>
      </c>
      <c r="G1657" s="1798" t="inlineStr">
        <is>
          <t>IMPERMEABILIZAÇÃO</t>
        </is>
      </c>
      <c r="H1657" s="1783" t="inlineStr">
        <is>
          <t>SERVIÇO</t>
        </is>
      </c>
      <c r="I1657" s="1750" t="inlineStr">
        <is>
          <t>13.014.005.002</t>
        </is>
      </c>
      <c r="J1657" s="1785" t="inlineStr">
        <is>
          <t>Mão de obra para proteção mecânica</t>
        </is>
      </c>
      <c r="K1657" s="1786" t="inlineStr">
        <is>
          <t>m2</t>
        </is>
      </c>
      <c r="L1657" s="1787" t="n">
        <v>144.24</v>
      </c>
      <c r="M1657" s="1787" t="n">
        <v>35</v>
      </c>
      <c r="N1657" s="1754" t="n">
        <v>5048.4</v>
      </c>
      <c r="O1657" s="1788" t="n"/>
      <c r="P1657" s="1721" t="inlineStr">
        <is>
          <t>Pendente</t>
        </is>
      </c>
    </row>
    <row r="1658" hidden="1" outlineLevel="3" ht="13.5" customHeight="1">
      <c r="A1658" s="2117" t="n">
        <v>0</v>
      </c>
      <c r="B1658" s="2117" t="n">
        <v>13</v>
      </c>
      <c r="C1658" s="2117" t="n">
        <v>14</v>
      </c>
      <c r="D1658" s="2118" t="n">
        <v>5</v>
      </c>
      <c r="E1658" s="2118" t="n">
        <v>3</v>
      </c>
      <c r="G1658" s="1798" t="inlineStr">
        <is>
          <t>IMPERMEABILIZAÇÃO</t>
        </is>
      </c>
      <c r="H1658" s="1783" t="inlineStr">
        <is>
          <t>SERVIÇO</t>
        </is>
      </c>
      <c r="I1658" s="1750" t="inlineStr">
        <is>
          <t>13.014.005.003</t>
        </is>
      </c>
      <c r="J1658" s="1785" t="inlineStr">
        <is>
          <t>Mão de obra impermeabilização sistema 2.5.3</t>
        </is>
      </c>
      <c r="K1658" s="1786" t="inlineStr">
        <is>
          <t>m2</t>
        </is>
      </c>
      <c r="L1658" s="1787" t="n">
        <v>50.38</v>
      </c>
      <c r="M1658" s="1787" t="n">
        <v>32</v>
      </c>
      <c r="N1658" s="1754" t="n">
        <v>1612.16</v>
      </c>
      <c r="O1658" s="1788" t="n"/>
      <c r="P1658" s="1721" t="inlineStr">
        <is>
          <t>Pendente</t>
        </is>
      </c>
    </row>
    <row r="1659" hidden="1" outlineLevel="3" ht="13.5" customHeight="1">
      <c r="A1659" s="2117" t="n">
        <v>0</v>
      </c>
      <c r="B1659" s="2117" t="n">
        <v>13</v>
      </c>
      <c r="C1659" s="2117" t="n">
        <v>14</v>
      </c>
      <c r="D1659" s="2118" t="n">
        <v>5</v>
      </c>
      <c r="E1659" s="2118" t="n">
        <v>4</v>
      </c>
      <c r="G1659" s="1798" t="inlineStr">
        <is>
          <t>IMPERMEABILIZAÇÃO</t>
        </is>
      </c>
      <c r="H1659" s="1783" t="inlineStr">
        <is>
          <t>SERVIÇO</t>
        </is>
      </c>
      <c r="I1659" s="1750" t="inlineStr">
        <is>
          <t>13.014.005.004</t>
        </is>
      </c>
      <c r="J1659" s="1785" t="inlineStr">
        <is>
          <t>Mão de obra impermeabilização sistema 4.2.4</t>
        </is>
      </c>
      <c r="K1659" s="1786" t="inlineStr">
        <is>
          <t>m2</t>
        </is>
      </c>
      <c r="L1659" s="1787" t="n">
        <v>173.55</v>
      </c>
      <c r="M1659" s="1787" t="n">
        <v>45</v>
      </c>
      <c r="N1659" s="1754" t="n">
        <v>7809.75</v>
      </c>
      <c r="O1659" s="1788" t="n"/>
      <c r="P1659" s="1721" t="inlineStr">
        <is>
          <t>Pendente</t>
        </is>
      </c>
    </row>
    <row r="1660" hidden="1" outlineLevel="3" ht="13.5" customHeight="1">
      <c r="A1660" s="2117" t="n">
        <v>0</v>
      </c>
      <c r="B1660" s="2117" t="n">
        <v>13</v>
      </c>
      <c r="C1660" s="2117" t="n">
        <v>14</v>
      </c>
      <c r="D1660" s="2118" t="n">
        <v>5</v>
      </c>
      <c r="E1660" s="2118" t="n">
        <v>5</v>
      </c>
      <c r="G1660" s="1798" t="inlineStr">
        <is>
          <t>IMPERMEABILIZAÇÃO</t>
        </is>
      </c>
      <c r="H1660" s="1783" t="inlineStr">
        <is>
          <t>SERVIÇO</t>
        </is>
      </c>
      <c r="I1660" s="1750" t="inlineStr">
        <is>
          <t>13.014.005.005</t>
        </is>
      </c>
      <c r="J1660" s="1785" t="inlineStr">
        <is>
          <t>Mão de obra impermeabilização sistema 7.1.6</t>
        </is>
      </c>
      <c r="K1660" s="1786" t="inlineStr">
        <is>
          <t>m2</t>
        </is>
      </c>
      <c r="L1660" s="1787" t="n">
        <v>9.43</v>
      </c>
      <c r="M1660" s="1787" t="n">
        <v>42</v>
      </c>
      <c r="N1660" s="1754" t="n">
        <v>396.06</v>
      </c>
      <c r="O1660" s="1788" t="n"/>
      <c r="P1660" s="1721" t="inlineStr">
        <is>
          <t>Pendente</t>
        </is>
      </c>
    </row>
    <row r="1661" hidden="1" outlineLevel="1" ht="13.5" customHeight="1">
      <c r="A1661" s="2117" t="n">
        <v>0</v>
      </c>
      <c r="B1661" s="2117" t="n">
        <v>13</v>
      </c>
      <c r="C1661" s="2117" t="n">
        <v>15</v>
      </c>
      <c r="D1661" s="2118" t="n">
        <v>0</v>
      </c>
      <c r="E1661" s="2118" t="n">
        <v>5</v>
      </c>
      <c r="G1661" s="1796" t="n"/>
      <c r="H1661" s="1771" t="inlineStr">
        <is>
          <t>ETAPA</t>
        </is>
      </c>
      <c r="I1661" s="1735" t="inlineStr">
        <is>
          <t>13.015</t>
        </is>
      </c>
      <c r="J1661" s="1773" t="inlineStr">
        <is>
          <t>IMPERMEABILIZAÇÃO E TRATAMENTOS - Reservatório</t>
        </is>
      </c>
      <c r="K1661" s="1774" t="n"/>
      <c r="L1661" s="1775" t="n"/>
      <c r="M1661" s="1775" t="n"/>
      <c r="N1661" s="1739" t="n">
        <v>46751.499385</v>
      </c>
      <c r="O1661" s="1776" t="n">
        <v>2.7911892822366</v>
      </c>
      <c r="P1661" s="1719" t="n"/>
    </row>
    <row r="1662" hidden="1" outlineLevel="2" ht="13.5" customHeight="1">
      <c r="A1662" s="2117" t="n">
        <v>0</v>
      </c>
      <c r="B1662" s="2117" t="n">
        <v>13</v>
      </c>
      <c r="C1662" s="2117" t="n">
        <v>15</v>
      </c>
      <c r="D1662" s="2118" t="n">
        <v>1</v>
      </c>
      <c r="E1662" s="2118" t="n">
        <v>0</v>
      </c>
      <c r="G1662" s="1797" t="n"/>
      <c r="H1662" s="1777" t="inlineStr">
        <is>
          <t>SUBETAPA</t>
        </is>
      </c>
      <c r="I1662" s="1742" t="inlineStr">
        <is>
          <t>13.015.001</t>
        </is>
      </c>
      <c r="J1662" s="1779" t="inlineStr">
        <is>
          <t>Regularização e proteção mecânica</t>
        </is>
      </c>
      <c r="K1662" s="1780" t="n"/>
      <c r="L1662" s="1781" t="n"/>
      <c r="M1662" s="1781" t="n"/>
      <c r="N1662" s="1746" t="n">
        <v>916.517889</v>
      </c>
      <c r="O1662" s="1782" t="n">
        <v>0.054718563947827</v>
      </c>
      <c r="P1662" s="1720" t="n"/>
    </row>
    <row r="1663" hidden="1" outlineLevel="3" ht="13.5" customHeight="1">
      <c r="A1663" s="2117" t="n">
        <v>0</v>
      </c>
      <c r="B1663" s="2117" t="n">
        <v>13</v>
      </c>
      <c r="C1663" s="2117" t="n">
        <v>15</v>
      </c>
      <c r="D1663" s="2118" t="n">
        <v>1</v>
      </c>
      <c r="E1663" s="2118" t="n">
        <v>1</v>
      </c>
      <c r="G1663" s="1798" t="inlineStr">
        <is>
          <t>IMPERMEABILIZAÇÃO</t>
        </is>
      </c>
      <c r="H1663" s="1783" t="inlineStr">
        <is>
          <t>SERVIÇO</t>
        </is>
      </c>
      <c r="I1663" s="1750" t="inlineStr">
        <is>
          <t>13.015.001.001</t>
        </is>
      </c>
      <c r="J1663" s="1785" t="inlineStr">
        <is>
          <t xml:space="preserve">Regularização de superfície para impermeabilização </t>
        </is>
      </c>
      <c r="K1663" s="1786" t="inlineStr">
        <is>
          <t>m2</t>
        </is>
      </c>
      <c r="L1663" s="1787" t="n">
        <v>129.71</v>
      </c>
      <c r="M1663" s="1787" t="n">
        <v>7.065899999999999</v>
      </c>
      <c r="N1663" s="1754" t="n">
        <v>916.517889</v>
      </c>
      <c r="O1663" s="1788" t="inlineStr">
        <is>
          <t>Toda área de piso que recebe impermeabilização</t>
        </is>
      </c>
      <c r="P1663" s="1721" t="inlineStr">
        <is>
          <t>Pendente</t>
        </is>
      </c>
    </row>
    <row r="1664" hidden="1" outlineLevel="2" ht="13.5" customHeight="1">
      <c r="A1664" s="2117" t="n">
        <v>0</v>
      </c>
      <c r="B1664" s="2117" t="n">
        <v>13</v>
      </c>
      <c r="C1664" s="2117" t="n">
        <v>15</v>
      </c>
      <c r="D1664" s="2118" t="n">
        <v>2</v>
      </c>
      <c r="E1664" s="2118" t="n">
        <v>0</v>
      </c>
      <c r="G1664" s="1797" t="n"/>
      <c r="H1664" s="1777" t="inlineStr">
        <is>
          <t>SUBETAPA</t>
        </is>
      </c>
      <c r="I1664" s="1742" t="inlineStr">
        <is>
          <t>13.015.002</t>
        </is>
      </c>
      <c r="J1664" s="1779" t="inlineStr">
        <is>
          <t>Impermeabilização de reservatórios e cisternas</t>
        </is>
      </c>
      <c r="K1664" s="1780" t="n"/>
      <c r="L1664" s="1781" t="n"/>
      <c r="M1664" s="1781" t="n"/>
      <c r="N1664" s="1746" t="n">
        <v>30162.691496</v>
      </c>
      <c r="O1664" s="1782" t="n"/>
      <c r="P1664" s="1720" t="n"/>
    </row>
    <row r="1665" hidden="1" outlineLevel="3" ht="13.5" customHeight="1">
      <c r="A1665" s="2117" t="n">
        <v>0</v>
      </c>
      <c r="B1665" s="2117" t="n">
        <v>13</v>
      </c>
      <c r="C1665" s="2117" t="n">
        <v>15</v>
      </c>
      <c r="D1665" s="2118" t="n">
        <v>2</v>
      </c>
      <c r="E1665" s="2118" t="n">
        <v>1</v>
      </c>
      <c r="G1665" s="1798" t="inlineStr">
        <is>
          <t>IMPERMEABILIZAÇÃO</t>
        </is>
      </c>
      <c r="H1665" s="1783" t="inlineStr">
        <is>
          <t>SERVIÇO</t>
        </is>
      </c>
      <c r="I1665" s="1750" t="inlineStr">
        <is>
          <t>13.015.002.001</t>
        </is>
      </c>
      <c r="J1665" s="1785" t="inlineStr">
        <is>
          <t>Sistema 7.1.6:Argamassa impermeabilizante sem cimento - MK-FEN 30 (F) | Argamassa não cimentícia com agentes incorporadores de ar (8,0 kg/m²) + Tela de poliéster nos pontos críticos</t>
        </is>
      </c>
      <c r="K1665" s="1786" t="inlineStr">
        <is>
          <t>m2</t>
        </is>
      </c>
      <c r="L1665" s="1787" t="n">
        <v>65.84</v>
      </c>
      <c r="M1665" s="1787" t="n">
        <v>148.8918</v>
      </c>
      <c r="N1665" s="1754" t="n">
        <v>9803.036112</v>
      </c>
      <c r="O1665" s="1788" t="inlineStr">
        <is>
          <t>Tampa de Reservatório</t>
        </is>
      </c>
      <c r="P1665" s="1721" t="inlineStr">
        <is>
          <t>Pendente</t>
        </is>
      </c>
    </row>
    <row r="1666" hidden="1" outlineLevel="3" ht="13.5" customHeight="1">
      <c r="A1666" s="2117" t="n">
        <v>0</v>
      </c>
      <c r="B1666" s="2117" t="n">
        <v>13</v>
      </c>
      <c r="C1666" s="2117" t="n">
        <v>15</v>
      </c>
      <c r="D1666" s="2118" t="n">
        <v>2</v>
      </c>
      <c r="E1666" s="2118" t="n">
        <v>2</v>
      </c>
      <c r="G1666" s="1798" t="inlineStr">
        <is>
          <t>IMPERMEABILIZAÇÃO</t>
        </is>
      </c>
      <c r="H1666" s="1783" t="inlineStr">
        <is>
          <t>SERVIÇO</t>
        </is>
      </c>
      <c r="I1666" s="1750" t="inlineStr">
        <is>
          <t>13.015.002.002</t>
        </is>
      </c>
      <c r="J1666" s="1785" t="inlineStr">
        <is>
          <t>Sistema 7.1.2:Argamassa impermeabilizante sem cimento - MK-FEN 30 (F) | Argamassa não cimentícia com agentes incorporadores de ar (4,0 kg/m²) + Tela de poliéster nos pontos críticos</t>
        </is>
      </c>
      <c r="K1666" s="1786" t="inlineStr">
        <is>
          <t>m2</t>
        </is>
      </c>
      <c r="L1666" s="1787" t="n">
        <v>63.21</v>
      </c>
      <c r="M1666" s="1787" t="n">
        <v>74.8918</v>
      </c>
      <c r="N1666" s="1754" t="n">
        <v>4733.910678</v>
      </c>
      <c r="O1666" s="1788" t="inlineStr">
        <is>
          <t>Reservatório + cisterna</t>
        </is>
      </c>
      <c r="P1666" s="1721" t="inlineStr">
        <is>
          <t>Pendente</t>
        </is>
      </c>
    </row>
    <row r="1667" hidden="1" outlineLevel="3" ht="13.5" customHeight="1">
      <c r="A1667" s="2117" t="n">
        <v>0</v>
      </c>
      <c r="B1667" s="2117" t="n">
        <v>13</v>
      </c>
      <c r="C1667" s="2117" t="n">
        <v>15</v>
      </c>
      <c r="D1667" s="2118" t="n">
        <v>2</v>
      </c>
      <c r="E1667" s="2118" t="n">
        <v>3</v>
      </c>
      <c r="G1667" s="1798" t="inlineStr">
        <is>
          <t>IMPERMEABILIZAÇÃO</t>
        </is>
      </c>
      <c r="H1667" s="1783" t="inlineStr">
        <is>
          <t>SERVIÇO</t>
        </is>
      </c>
      <c r="I1667" s="1750" t="inlineStr">
        <is>
          <t>13.015.002.003</t>
        </is>
      </c>
      <c r="J1667" s="1785" t="inlineStr">
        <is>
          <t>Sistema 2.8.6: Argamassa impermeabilizante bicomponente à base de aditivos minerais (2,0 kg/m²) + Revestimento bicomponente à base de polímeros acrílicos com adição de cimento e fibras sintéticas (4,5 kg/m²) + Tela de poliéster nos pontos críticos</t>
        </is>
      </c>
      <c r="K1667" s="1786" t="inlineStr">
        <is>
          <t>m2</t>
        </is>
      </c>
      <c r="L1667" s="1787" t="n">
        <v>213.17</v>
      </c>
      <c r="M1667" s="1787" t="n">
        <v>73.3018</v>
      </c>
      <c r="N1667" s="1754" t="n">
        <v>15625.744706</v>
      </c>
      <c r="O1667" s="1788" t="inlineStr">
        <is>
          <t>Reservatório + cisterna</t>
        </is>
      </c>
      <c r="P1667" s="1721" t="inlineStr">
        <is>
          <t>Pendente</t>
        </is>
      </c>
    </row>
    <row r="1668" hidden="1" outlineLevel="2" ht="13.5" customHeight="1">
      <c r="A1668" s="2117" t="n">
        <v>0</v>
      </c>
      <c r="B1668" s="2117" t="n">
        <v>13</v>
      </c>
      <c r="C1668" s="2117" t="n">
        <v>15</v>
      </c>
      <c r="D1668" s="2118" t="n">
        <v>3</v>
      </c>
      <c r="E1668" s="2118" t="n">
        <v>0</v>
      </c>
      <c r="G1668" s="1797" t="n"/>
      <c r="H1668" s="1777" t="inlineStr">
        <is>
          <t>SUBETAPA</t>
        </is>
      </c>
      <c r="I1668" s="1742" t="inlineStr">
        <is>
          <t>13.015.003</t>
        </is>
      </c>
      <c r="J1668" s="1779" t="inlineStr">
        <is>
          <t>Mão de Obra</t>
        </is>
      </c>
      <c r="K1668" s="1780" t="n"/>
      <c r="L1668" s="1781" t="n"/>
      <c r="M1668" s="1781" t="n"/>
      <c r="N1668" s="1746" t="n">
        <v>15672.29</v>
      </c>
      <c r="O1668" s="1782" t="n"/>
      <c r="P1668" s="1720" t="n"/>
    </row>
    <row r="1669" hidden="1" outlineLevel="3" ht="13.5" customHeight="1">
      <c r="A1669" s="2117" t="n">
        <v>0</v>
      </c>
      <c r="B1669" s="2117" t="n">
        <v>13</v>
      </c>
      <c r="C1669" s="2117" t="n">
        <v>15</v>
      </c>
      <c r="D1669" s="2118" t="n">
        <v>3</v>
      </c>
      <c r="E1669" s="2118" t="n">
        <v>1</v>
      </c>
      <c r="G1669" s="1798" t="inlineStr">
        <is>
          <t>IMPERMEABILIZAÇÃO</t>
        </is>
      </c>
      <c r="H1669" s="1783" t="inlineStr">
        <is>
          <t>SERVIÇO</t>
        </is>
      </c>
      <c r="I1669" s="1750" t="inlineStr">
        <is>
          <t>13.015.003.001</t>
        </is>
      </c>
      <c r="J1669" s="1785" t="inlineStr">
        <is>
          <t xml:space="preserve">Mão de obra para regularização de superfície </t>
        </is>
      </c>
      <c r="K1669" s="1786" t="inlineStr">
        <is>
          <t>m2</t>
        </is>
      </c>
      <c r="L1669" s="1787" t="n">
        <v>129.71</v>
      </c>
      <c r="M1669" s="1787" t="n">
        <v>20</v>
      </c>
      <c r="N1669" s="1754" t="n">
        <v>2594.2</v>
      </c>
      <c r="O1669" s="1788" t="n"/>
      <c r="P1669" s="1721" t="inlineStr">
        <is>
          <t>Pendente</t>
        </is>
      </c>
    </row>
    <row r="1670" hidden="1" outlineLevel="3" ht="13.5" customHeight="1">
      <c r="A1670" s="2117" t="n">
        <v>0</v>
      </c>
      <c r="B1670" s="2117" t="n">
        <v>13</v>
      </c>
      <c r="C1670" s="2117" t="n">
        <v>15</v>
      </c>
      <c r="D1670" s="2118" t="n">
        <v>3</v>
      </c>
      <c r="E1670" s="2118" t="n">
        <v>2</v>
      </c>
      <c r="G1670" s="1798" t="inlineStr">
        <is>
          <t>IMPERMEABILIZAÇÃO</t>
        </is>
      </c>
      <c r="H1670" s="1783" t="inlineStr">
        <is>
          <t>SERVIÇO</t>
        </is>
      </c>
      <c r="I1670" s="1750" t="inlineStr">
        <is>
          <t>13.015.003.002</t>
        </is>
      </c>
      <c r="J1670" s="1785" t="inlineStr">
        <is>
          <t>Mão de obra impermeabilização sistema 2.8.6</t>
        </is>
      </c>
      <c r="K1670" s="1786" t="inlineStr">
        <is>
          <t>m2</t>
        </is>
      </c>
      <c r="L1670" s="1787" t="n">
        <v>213.17</v>
      </c>
      <c r="M1670" s="1787" t="n">
        <v>38</v>
      </c>
      <c r="N1670" s="1754" t="n">
        <v>8100.46</v>
      </c>
      <c r="O1670" s="1788" t="n"/>
      <c r="P1670" s="1721" t="inlineStr">
        <is>
          <t>Pendente</t>
        </is>
      </c>
    </row>
    <row r="1671" hidden="1" outlineLevel="3" ht="13.5" customHeight="1">
      <c r="A1671" s="2117" t="n">
        <v>0</v>
      </c>
      <c r="B1671" s="2117" t="n">
        <v>13</v>
      </c>
      <c r="C1671" s="2117" t="n">
        <v>15</v>
      </c>
      <c r="D1671" s="2118" t="n">
        <v>3</v>
      </c>
      <c r="E1671" s="2118" t="n">
        <v>3</v>
      </c>
      <c r="G1671" s="1798" t="inlineStr">
        <is>
          <t>IMPERMEABILIZAÇÃO</t>
        </is>
      </c>
      <c r="H1671" s="1783" t="inlineStr">
        <is>
          <t>SERVIÇO</t>
        </is>
      </c>
      <c r="I1671" s="1750" t="inlineStr">
        <is>
          <t>13.015.003.003</t>
        </is>
      </c>
      <c r="J1671" s="1785" t="inlineStr">
        <is>
          <t>Mão de obra impermeabilização sistema 7.1.2</t>
        </is>
      </c>
      <c r="K1671" s="1786" t="inlineStr">
        <is>
          <t>m2</t>
        </is>
      </c>
      <c r="L1671" s="1787" t="n">
        <v>63.21</v>
      </c>
      <c r="M1671" s="1787" t="n">
        <v>35</v>
      </c>
      <c r="N1671" s="1754" t="n">
        <v>2212.35</v>
      </c>
      <c r="O1671" s="1788" t="n"/>
      <c r="P1671" s="1721" t="inlineStr">
        <is>
          <t>Pendente</t>
        </is>
      </c>
    </row>
    <row r="1672" hidden="1" outlineLevel="3" ht="13.5" customHeight="1">
      <c r="A1672" s="2117" t="n">
        <v>0</v>
      </c>
      <c r="B1672" s="2117" t="n">
        <v>13</v>
      </c>
      <c r="C1672" s="2117" t="n">
        <v>15</v>
      </c>
      <c r="D1672" s="2118" t="n">
        <v>3</v>
      </c>
      <c r="E1672" s="2118" t="n">
        <v>4</v>
      </c>
      <c r="G1672" s="1798" t="inlineStr">
        <is>
          <t>IMPERMEABILIZAÇÃO</t>
        </is>
      </c>
      <c r="H1672" s="1783" t="inlineStr">
        <is>
          <t>SERVIÇO</t>
        </is>
      </c>
      <c r="I1672" s="1750" t="inlineStr">
        <is>
          <t>13.015.003.004</t>
        </is>
      </c>
      <c r="J1672" s="1785" t="inlineStr">
        <is>
          <t>Mão de obra impermeabilização sistema 7.1.6</t>
        </is>
      </c>
      <c r="K1672" s="1786" t="inlineStr">
        <is>
          <t>m2</t>
        </is>
      </c>
      <c r="L1672" s="1787" t="n">
        <v>65.84</v>
      </c>
      <c r="M1672" s="1787" t="n">
        <v>42</v>
      </c>
      <c r="N1672" s="1754" t="n">
        <v>2765.28</v>
      </c>
      <c r="O1672" s="1788" t="n"/>
      <c r="P1672" s="1721" t="inlineStr">
        <is>
          <t>Pendente</t>
        </is>
      </c>
    </row>
    <row r="1673" collapsed="1" ht="13.5" customHeight="1">
      <c r="A1673" s="2117" t="n">
        <v>0</v>
      </c>
      <c r="B1673" s="2117" t="n">
        <v>14</v>
      </c>
      <c r="C1673" s="2117" t="n">
        <v>0</v>
      </c>
      <c r="D1673" s="2118" t="n">
        <v>3</v>
      </c>
      <c r="E1673" s="2118" t="n">
        <v>4</v>
      </c>
      <c r="F1673" s="474" t="n"/>
      <c r="G1673" s="1794" t="n"/>
      <c r="H1673" s="1766" t="inlineStr">
        <is>
          <t>CÉLULA CONSTRUTIVA</t>
        </is>
      </c>
      <c r="I1673" s="1728" t="inlineStr">
        <is>
          <t>14</t>
        </is>
      </c>
      <c r="J1673" s="1795" t="inlineStr">
        <is>
          <t>REVESTIMENTOS INTERNOS DE PAREDE</t>
        </is>
      </c>
      <c r="K1673" s="1768" t="n"/>
      <c r="L1673" s="1769" t="n"/>
      <c r="M1673" s="1769" t="n"/>
      <c r="N1673" s="1732" t="n"/>
      <c r="O1673" s="1770" t="n"/>
      <c r="P1673" s="1718" t="n"/>
    </row>
    <row r="1674" hidden="1" outlineLevel="1" ht="13.5" customHeight="1">
      <c r="A1674" s="2117" t="n">
        <v>0</v>
      </c>
      <c r="B1674" s="2117" t="n">
        <v>14</v>
      </c>
      <c r="C1674" s="2117" t="n">
        <v>1</v>
      </c>
      <c r="D1674" s="2118" t="n">
        <v>0</v>
      </c>
      <c r="E1674" s="2118" t="n">
        <v>4</v>
      </c>
      <c r="G1674" s="1796" t="n"/>
      <c r="H1674" s="1771" t="inlineStr">
        <is>
          <t>ETAPA</t>
        </is>
      </c>
      <c r="I1674" s="1735" t="inlineStr">
        <is>
          <t>14.001</t>
        </is>
      </c>
      <c r="J1674" s="1773" t="inlineStr">
        <is>
          <t>REVESTIMENTOS INTERNOS DE PAREDE - Térreo</t>
        </is>
      </c>
      <c r="K1674" s="1774" t="n"/>
      <c r="L1674" s="1775" t="n"/>
      <c r="M1674" s="1775" t="n"/>
      <c r="N1674" s="1739" t="n"/>
      <c r="O1674" s="1776" t="n"/>
      <c r="P1674" s="1719" t="n"/>
    </row>
    <row r="1675" hidden="1" outlineLevel="2" ht="13.5" customHeight="1">
      <c r="A1675" s="2117" t="n">
        <v>0</v>
      </c>
      <c r="B1675" s="2117" t="n">
        <v>14</v>
      </c>
      <c r="C1675" s="2117" t="n">
        <v>1</v>
      </c>
      <c r="D1675" s="2118" t="n">
        <v>1</v>
      </c>
      <c r="E1675" s="2118" t="n">
        <v>0</v>
      </c>
      <c r="G1675" s="1797" t="n"/>
      <c r="H1675" s="1777" t="inlineStr">
        <is>
          <t>SUBETAPA</t>
        </is>
      </c>
      <c r="I1675" s="1742" t="inlineStr">
        <is>
          <t>14.001.001</t>
        </is>
      </c>
      <c r="J1675" s="1779" t="inlineStr">
        <is>
          <t>Argamassado interno em parede</t>
        </is>
      </c>
      <c r="K1675" s="1780" t="n"/>
      <c r="L1675" s="1781" t="n"/>
      <c r="M1675" s="1781" t="n"/>
      <c r="N1675" s="1746" t="n"/>
      <c r="O1675" s="1782" t="n"/>
      <c r="P1675" s="1720" t="n"/>
    </row>
    <row r="1676" hidden="1" outlineLevel="3" ht="13.5" customHeight="1">
      <c r="A1676" s="2117" t="n">
        <v>0</v>
      </c>
      <c r="B1676" s="2117" t="n">
        <v>14</v>
      </c>
      <c r="C1676" s="2117" t="n">
        <v>1</v>
      </c>
      <c r="D1676" s="2118" t="n">
        <v>1</v>
      </c>
      <c r="E1676" s="2118" t="n">
        <v>1</v>
      </c>
      <c r="G1676" s="1798" t="inlineStr">
        <is>
          <t>REVESTIMENTOS ARGAMASSADOS PAREDE</t>
        </is>
      </c>
      <c r="H1676" s="1783" t="inlineStr">
        <is>
          <t>SERVIÇO</t>
        </is>
      </c>
      <c r="I1676" s="1750" t="inlineStr">
        <is>
          <t>14.001.001.001</t>
        </is>
      </c>
      <c r="J1676" s="1785" t="inlineStr">
        <is>
          <t>Chapisco aplicado em estruturas de concreto, com argamassa pré-fabricada adesiva de cimento colante, aplicação convencional</t>
        </is>
      </c>
      <c r="K1676" s="1786" t="inlineStr">
        <is>
          <t>m2</t>
        </is>
      </c>
      <c r="L1676" s="1787" t="e">
        <v>#REF!</v>
      </c>
      <c r="M1676" s="1787" t="n">
        <v>10.11778</v>
      </c>
      <c r="N1676" s="1754" t="n"/>
      <c r="O1676" s="1788" t="n"/>
      <c r="P1676" s="1721" t="inlineStr">
        <is>
          <t>Pendente</t>
        </is>
      </c>
    </row>
    <row r="1677" hidden="1" outlineLevel="3" ht="13.5" customHeight="1">
      <c r="A1677" s="2117" t="n">
        <v>0</v>
      </c>
      <c r="B1677" s="2117" t="n">
        <v>14</v>
      </c>
      <c r="C1677" s="2117" t="n">
        <v>1</v>
      </c>
      <c r="D1677" s="2118" t="n">
        <v>1</v>
      </c>
      <c r="E1677" s="2118" t="n">
        <v>2</v>
      </c>
      <c r="G1677" s="1798" t="inlineStr">
        <is>
          <t>REVESTIMENTOS ARGAMASSADOS PAREDE</t>
        </is>
      </c>
      <c r="H1677" s="1783" t="inlineStr">
        <is>
          <t>SERVIÇO</t>
        </is>
      </c>
      <c r="I1677" s="1750" t="inlineStr">
        <is>
          <t>14.001.001.002</t>
        </is>
      </c>
      <c r="J1677" s="1785" t="inlineStr">
        <is>
          <t>Chapisco interno de argamassa preparada em obra de cimento e areia - traço 1:4 - aplicação em paredes internas</t>
        </is>
      </c>
      <c r="K1677" s="1786" t="inlineStr">
        <is>
          <t>m2</t>
        </is>
      </c>
      <c r="L1677" s="1787" t="e">
        <v>#REF!</v>
      </c>
      <c r="M1677" s="1787" t="n">
        <v>3.28945</v>
      </c>
      <c r="N1677" s="1754" t="n"/>
      <c r="O1677" s="1788" t="n"/>
      <c r="P1677" s="1721" t="inlineStr">
        <is>
          <t>Pendente</t>
        </is>
      </c>
    </row>
    <row r="1678" hidden="1" outlineLevel="3" ht="13.5" customHeight="1">
      <c r="A1678" s="2117" t="n">
        <v>0</v>
      </c>
      <c r="B1678" s="2117" t="n">
        <v>14</v>
      </c>
      <c r="C1678" s="2117" t="n">
        <v>1</v>
      </c>
      <c r="D1678" s="2118" t="n">
        <v>1</v>
      </c>
      <c r="E1678" s="2118" t="n">
        <v>3</v>
      </c>
      <c r="G1678" s="1798" t="inlineStr">
        <is>
          <t>REVESTIMENTOS ARGAMASSADOS PAREDE</t>
        </is>
      </c>
      <c r="H1678" s="1783" t="inlineStr">
        <is>
          <t>SERVIÇO</t>
        </is>
      </c>
      <c r="I1678" s="1750" t="inlineStr">
        <is>
          <t>14.001.001.003</t>
        </is>
      </c>
      <c r="J1678" s="1785" t="inlineStr">
        <is>
          <t>Massa unica para reboco interno em argamassa estabilizada, espessura de 2,5cm, com execução desempenado fino</t>
        </is>
      </c>
      <c r="K1678" s="1786" t="inlineStr">
        <is>
          <t>m2</t>
        </is>
      </c>
      <c r="L1678" s="1787" t="e">
        <v>#REF!</v>
      </c>
      <c r="M1678" s="1787" t="n">
        <v>12.075</v>
      </c>
      <c r="N1678" s="1754" t="n"/>
      <c r="O1678" s="1761" t="inlineStr">
        <is>
          <t>Repessado pela Gessele na reunião do dia 05/03/2026 - Massa única 36 / 72h --&gt; 415 R$ / m3 + bombeamento: R$ 45 / m3</t>
        </is>
      </c>
      <c r="P1678" s="1721" t="inlineStr">
        <is>
          <t>Pendente</t>
        </is>
      </c>
    </row>
    <row r="1679" hidden="1" outlineLevel="3" ht="13.5" customHeight="1">
      <c r="A1679" s="2117" t="n">
        <v>0</v>
      </c>
      <c r="B1679" s="2117" t="n">
        <v>14</v>
      </c>
      <c r="C1679" s="2117" t="n">
        <v>1</v>
      </c>
      <c r="D1679" s="2118" t="n">
        <v>1</v>
      </c>
      <c r="E1679" s="2118" t="n">
        <v>4</v>
      </c>
      <c r="G1679" s="1798" t="inlineStr">
        <is>
          <t>REVESTIMENTOS ARGAMASSADOS PAREDE</t>
        </is>
      </c>
      <c r="H1679" s="1783" t="inlineStr">
        <is>
          <t>SERVIÇO</t>
        </is>
      </c>
      <c r="I1679" s="1750" t="inlineStr">
        <is>
          <t>14.001.001.004</t>
        </is>
      </c>
      <c r="J1679" s="1785" t="inlineStr">
        <is>
          <t>Estucamento de estrutura de concreto em pilares e vigas</t>
        </is>
      </c>
      <c r="K1679" s="1786" t="inlineStr">
        <is>
          <t>m2</t>
        </is>
      </c>
      <c r="L1679" s="1787" t="e">
        <v>#REF!</v>
      </c>
      <c r="M1679" s="1787" t="n">
        <v>5.102916666666666</v>
      </c>
      <c r="N1679" s="1754" t="n"/>
      <c r="O1679" s="1788" t="n"/>
      <c r="P1679" s="1721" t="inlineStr">
        <is>
          <t>Pendente</t>
        </is>
      </c>
    </row>
    <row r="1680" hidden="1" outlineLevel="2" ht="13.5" customHeight="1">
      <c r="A1680" s="2117" t="n">
        <v>0</v>
      </c>
      <c r="B1680" s="2117" t="n">
        <v>14</v>
      </c>
      <c r="C1680" s="2117" t="n">
        <v>1</v>
      </c>
      <c r="D1680" s="2118" t="n">
        <v>2</v>
      </c>
      <c r="E1680" s="2118" t="n">
        <v>0</v>
      </c>
      <c r="G1680" s="1797" t="n"/>
      <c r="H1680" s="1777" t="inlineStr">
        <is>
          <t>SUBETAPA</t>
        </is>
      </c>
      <c r="I1680" s="1742" t="inlineStr">
        <is>
          <t>14.001.002</t>
        </is>
      </c>
      <c r="J1680" s="1779" t="inlineStr">
        <is>
          <t>Acabamentos cerâmicos</t>
        </is>
      </c>
      <c r="K1680" s="1780" t="n"/>
      <c r="L1680" s="1781" t="n"/>
      <c r="M1680" s="1781" t="n"/>
      <c r="N1680" s="1746" t="n"/>
      <c r="O1680" s="1782" t="n"/>
      <c r="P1680" s="1720" t="n"/>
    </row>
    <row r="1681" hidden="1" outlineLevel="3" ht="13.5" customHeight="1">
      <c r="A1681" s="2117" t="n">
        <v>0</v>
      </c>
      <c r="B1681" s="2117" t="n">
        <v>14</v>
      </c>
      <c r="C1681" s="2117" t="n">
        <v>1</v>
      </c>
      <c r="D1681" s="2118" t="n">
        <v>2</v>
      </c>
      <c r="E1681" s="2118" t="n">
        <v>1</v>
      </c>
      <c r="G1681" s="1798" t="inlineStr">
        <is>
          <t>ACABAMENTOS INTERNOS EM PAREDE</t>
        </is>
      </c>
      <c r="H1681" s="1783" t="inlineStr">
        <is>
          <t>SERVIÇO</t>
        </is>
      </c>
      <c r="I1681" s="1750" t="inlineStr">
        <is>
          <t>14.001.002.001</t>
        </is>
      </c>
      <c r="J1681" s="1785" t="inlineStr">
        <is>
          <t>Revestimento em Cerâmicas Vulcano Cinza em paredes, 61x 61cm com Junta de 3mm</t>
        </is>
      </c>
      <c r="K1681" s="1786" t="inlineStr">
        <is>
          <t>m2</t>
        </is>
      </c>
      <c r="L1681" s="1787" t="e">
        <v>#REF!</v>
      </c>
      <c r="M1681" s="1787" t="n">
        <v>79.11900000000001</v>
      </c>
      <c r="N1681" s="1754" t="n"/>
      <c r="O1681" s="1788" t="inlineStr">
        <is>
          <t>Box nas garagens</t>
        </is>
      </c>
      <c r="P1681" s="1721" t="inlineStr">
        <is>
          <t>Pendente</t>
        </is>
      </c>
    </row>
    <row r="1682" hidden="1" outlineLevel="3" ht="13.5" customHeight="1">
      <c r="A1682" s="2117" t="n">
        <v>0</v>
      </c>
      <c r="B1682" s="2117" t="n">
        <v>14</v>
      </c>
      <c r="C1682" s="2117" t="n">
        <v>1</v>
      </c>
      <c r="D1682" s="2118" t="n">
        <v>2</v>
      </c>
      <c r="E1682" s="2118" t="n">
        <v>2</v>
      </c>
      <c r="G1682" s="1798" t="inlineStr">
        <is>
          <t>ACABAMENTOS INTERNOS EM PAREDE</t>
        </is>
      </c>
      <c r="H1682" s="1783" t="inlineStr">
        <is>
          <t>SERVIÇO</t>
        </is>
      </c>
      <c r="I1682" s="1750" t="inlineStr">
        <is>
          <t>14.001.002.002</t>
        </is>
      </c>
      <c r="J1682" s="1751" t="inlineStr">
        <is>
          <t>Revestimento de cerâmico retificado em Paredes, Placa 60 x 60cm com Junta de 2mm e rejunte acrilico</t>
        </is>
      </c>
      <c r="K1682" s="1786" t="inlineStr">
        <is>
          <t>m2</t>
        </is>
      </c>
      <c r="L1682" s="1787" t="e">
        <v>#REF!</v>
      </c>
      <c r="M1682" s="1787" t="n">
        <v>61.78060000000001</v>
      </c>
      <c r="N1682" s="1754" t="n"/>
      <c r="O1682" s="1788" t="inlineStr">
        <is>
          <t>Lixeira</t>
        </is>
      </c>
      <c r="P1682" s="1721" t="inlineStr">
        <is>
          <t>Pendente</t>
        </is>
      </c>
    </row>
    <row r="1683" hidden="1" outlineLevel="2" ht="13.5" customHeight="1">
      <c r="A1683" s="2117" t="n">
        <v>0</v>
      </c>
      <c r="B1683" s="2117" t="n">
        <v>14</v>
      </c>
      <c r="C1683" s="2117" t="n">
        <v>1</v>
      </c>
      <c r="D1683" s="2118" t="n">
        <v>3</v>
      </c>
      <c r="E1683" s="2118" t="n">
        <v>0</v>
      </c>
      <c r="G1683" s="1797" t="n"/>
      <c r="H1683" s="1777" t="inlineStr">
        <is>
          <t>SUBETAPA</t>
        </is>
      </c>
      <c r="I1683" s="1742" t="inlineStr">
        <is>
          <t>14.001.003</t>
        </is>
      </c>
      <c r="J1683" s="1779" t="inlineStr">
        <is>
          <t>Acabamentos em pedra</t>
        </is>
      </c>
      <c r="K1683" s="1780" t="n"/>
      <c r="L1683" s="1781" t="n"/>
      <c r="M1683" s="1781" t="n"/>
      <c r="N1683" s="1746" t="n"/>
      <c r="O1683" s="1782" t="n"/>
      <c r="P1683" s="1720" t="n"/>
    </row>
    <row r="1684" hidden="1" outlineLevel="3" ht="13.5" customHeight="1">
      <c r="A1684" s="2117" t="n">
        <v>0</v>
      </c>
      <c r="B1684" s="2117" t="n">
        <v>14</v>
      </c>
      <c r="C1684" s="2117" t="n">
        <v>1</v>
      </c>
      <c r="D1684" s="2118" t="n">
        <v>3</v>
      </c>
      <c r="E1684" s="2118" t="n">
        <v>1</v>
      </c>
      <c r="G1684" s="1798" t="inlineStr">
        <is>
          <t>ACABAMENTOS INTERNOS EM PAREDE</t>
        </is>
      </c>
      <c r="H1684" s="1783" t="inlineStr">
        <is>
          <t>SERVIÇO</t>
        </is>
      </c>
      <c r="I1684" s="1750" t="inlineStr">
        <is>
          <t>14.001.003.001</t>
        </is>
      </c>
      <c r="J1684" s="1785" t="inlineStr">
        <is>
          <t>Revestimento de Mármore Travertino Romano em Paredes</t>
        </is>
      </c>
      <c r="K1684" s="1786" t="inlineStr">
        <is>
          <t>m2</t>
        </is>
      </c>
      <c r="L1684" s="1787" t="e">
        <v>#REF!</v>
      </c>
      <c r="M1684" s="1787" t="n">
        <v>1448.2455</v>
      </c>
      <c r="N1684" s="1754" t="n"/>
      <c r="O1684" s="1788" t="inlineStr">
        <is>
          <t>Hall do elevador</t>
        </is>
      </c>
      <c r="P1684" s="1721" t="inlineStr">
        <is>
          <t>Pendente</t>
        </is>
      </c>
    </row>
    <row r="1685" hidden="1" outlineLevel="3" ht="13.5" customHeight="1">
      <c r="A1685" s="2117" t="n">
        <v>0</v>
      </c>
      <c r="B1685" s="2117" t="n">
        <v>14</v>
      </c>
      <c r="C1685" s="2117" t="n">
        <v>1</v>
      </c>
      <c r="D1685" s="2118" t="n">
        <v>3</v>
      </c>
      <c r="E1685" s="2118" t="n">
        <v>2</v>
      </c>
      <c r="G1685" s="1798" t="inlineStr">
        <is>
          <t>ACABAMENTOS INTERNOS EM PAREDE</t>
        </is>
      </c>
      <c r="H1685" s="1783" t="inlineStr">
        <is>
          <t>SERVIÇO</t>
        </is>
      </c>
      <c r="I1685" s="1750" t="inlineStr">
        <is>
          <t>14.001.003.002</t>
        </is>
      </c>
      <c r="J1685" s="1785" t="inlineStr">
        <is>
          <t>Revestimento de Pedras Quartzito Van Gogh em Paredes</t>
        </is>
      </c>
      <c r="K1685" s="1786" t="inlineStr">
        <is>
          <t>m2</t>
        </is>
      </c>
      <c r="L1685" s="1787" t="e">
        <v>#REF!</v>
      </c>
      <c r="M1685" s="1787" t="n">
        <v>3538.2455</v>
      </c>
      <c r="N1685" s="1754" t="n"/>
      <c r="O1685" s="1788" t="n"/>
      <c r="P1685" s="1721" t="inlineStr">
        <is>
          <t>Pendente</t>
        </is>
      </c>
    </row>
    <row r="1686" hidden="1" outlineLevel="2" ht="13.5" customHeight="1">
      <c r="A1686" s="2117" t="n">
        <v>0</v>
      </c>
      <c r="B1686" s="2117" t="n">
        <v>14</v>
      </c>
      <c r="C1686" s="2117" t="n">
        <v>1</v>
      </c>
      <c r="D1686" s="2118" t="n">
        <v>4</v>
      </c>
      <c r="E1686" s="2118" t="n">
        <v>0</v>
      </c>
      <c r="G1686" s="1797" t="n"/>
      <c r="H1686" s="1777" t="inlineStr">
        <is>
          <t>SUBETAPA</t>
        </is>
      </c>
      <c r="I1686" s="1742" t="inlineStr">
        <is>
          <t>14.001.004</t>
        </is>
      </c>
      <c r="J1686" s="1779" t="inlineStr">
        <is>
          <t>Peitoris</t>
        </is>
      </c>
      <c r="K1686" s="1780" t="n"/>
      <c r="L1686" s="1781" t="n"/>
      <c r="M1686" s="1781" t="n"/>
      <c r="N1686" s="1746" t="n"/>
      <c r="O1686" s="1782" t="n"/>
      <c r="P1686" s="1720" t="n"/>
    </row>
    <row r="1687" hidden="1" outlineLevel="3" ht="13.5" customHeight="1">
      <c r="A1687" s="2117" t="n">
        <v>0</v>
      </c>
      <c r="B1687" s="2117" t="n">
        <v>14</v>
      </c>
      <c r="C1687" s="2117" t="n">
        <v>1</v>
      </c>
      <c r="D1687" s="2118" t="n">
        <v>4</v>
      </c>
      <c r="E1687" s="2118" t="n">
        <v>1</v>
      </c>
      <c r="G1687" s="1798" t="inlineStr">
        <is>
          <t>ACABAMENTOS INTERNOS EM PAREDE</t>
        </is>
      </c>
      <c r="H1687" s="1783" t="inlineStr">
        <is>
          <t>SERVIÇO</t>
        </is>
      </c>
      <c r="I1687" s="1750" t="inlineStr">
        <is>
          <t>14.001.004.001</t>
        </is>
      </c>
      <c r="J1687" s="1785" t="inlineStr">
        <is>
          <t>Peitoril em pedra natural,  esp. 2cm</t>
        </is>
      </c>
      <c r="K1687" s="1786" t="inlineStr">
        <is>
          <t>m2</t>
        </is>
      </c>
      <c r="L1687" s="1787" t="e">
        <v>#REF!</v>
      </c>
      <c r="M1687" s="1787" t="n">
        <v>849.1547</v>
      </c>
      <c r="N1687" s="1754" t="n"/>
      <c r="O1687" s="1788" t="n"/>
      <c r="P1687" s="1721" t="inlineStr">
        <is>
          <t>Pendente</t>
        </is>
      </c>
    </row>
    <row r="1688" hidden="1" outlineLevel="2" ht="13.5" customHeight="1">
      <c r="A1688" s="2117" t="n">
        <v>0</v>
      </c>
      <c r="B1688" s="2117" t="n">
        <v>14</v>
      </c>
      <c r="C1688" s="2117" t="n">
        <v>1</v>
      </c>
      <c r="D1688" s="2118" t="n">
        <v>5</v>
      </c>
      <c r="E1688" s="2118" t="n">
        <v>0</v>
      </c>
      <c r="G1688" s="1797" t="n"/>
      <c r="H1688" s="1777" t="inlineStr">
        <is>
          <t>SUBETAPA</t>
        </is>
      </c>
      <c r="I1688" s="1742" t="inlineStr">
        <is>
          <t>14.001.005</t>
        </is>
      </c>
      <c r="J1688" s="1779" t="inlineStr">
        <is>
          <t>Mão de obra - Revestimentos</t>
        </is>
      </c>
      <c r="K1688" s="1780" t="n"/>
      <c r="L1688" s="1781" t="n"/>
      <c r="M1688" s="1781" t="n"/>
      <c r="N1688" s="1746" t="n"/>
      <c r="O1688" s="1782" t="n"/>
      <c r="P1688" s="1720" t="n"/>
    </row>
    <row r="1689" hidden="1" outlineLevel="3" ht="13.5" customHeight="1">
      <c r="A1689" s="2117" t="n">
        <v>0</v>
      </c>
      <c r="B1689" s="2117" t="n">
        <v>14</v>
      </c>
      <c r="C1689" s="2117" t="n">
        <v>1</v>
      </c>
      <c r="D1689" s="2118" t="n">
        <v>5</v>
      </c>
      <c r="E1689" s="2118" t="n">
        <v>1</v>
      </c>
      <c r="G1689" s="1798" t="inlineStr">
        <is>
          <t>REVESTIMENTOS ARGAMASSADOS PAREDE</t>
        </is>
      </c>
      <c r="H1689" s="1783" t="inlineStr">
        <is>
          <t>SERVIÇO</t>
        </is>
      </c>
      <c r="I1689" s="1750" t="inlineStr">
        <is>
          <t>14.001.005.001</t>
        </is>
      </c>
      <c r="J1689" s="1785" t="inlineStr">
        <is>
          <t>Mão de obra execução de massa única em paredes interna, incluindo chapisco</t>
        </is>
      </c>
      <c r="K1689" s="1786" t="inlineStr">
        <is>
          <t>m2</t>
        </is>
      </c>
      <c r="L1689" s="1787" t="e">
        <v>#REF!</v>
      </c>
      <c r="M1689" s="1787" t="n">
        <v>42</v>
      </c>
      <c r="N1689" s="1754" t="n"/>
      <c r="O1689" s="1788" t="n"/>
      <c r="P1689" s="1721" t="inlineStr">
        <is>
          <t>Pendente</t>
        </is>
      </c>
    </row>
    <row r="1690" hidden="1" outlineLevel="3" ht="13.5" customHeight="1">
      <c r="A1690" s="2117" t="n">
        <v>0</v>
      </c>
      <c r="B1690" s="2117" t="n">
        <v>14</v>
      </c>
      <c r="C1690" s="2117" t="n">
        <v>1</v>
      </c>
      <c r="D1690" s="2118" t="n">
        <v>5</v>
      </c>
      <c r="E1690" s="2118" t="n">
        <v>2</v>
      </c>
      <c r="G1690" s="1798" t="inlineStr">
        <is>
          <t>REVESTIMENTOS ARGAMASSADOS PAREDE</t>
        </is>
      </c>
      <c r="H1690" s="1783" t="inlineStr">
        <is>
          <t>SERVIÇO</t>
        </is>
      </c>
      <c r="I1690" s="1750" t="inlineStr">
        <is>
          <t>14.001.005.002</t>
        </is>
      </c>
      <c r="J1690" s="1785" t="inlineStr">
        <is>
          <t>Mão de obra estucamento de paredes</t>
        </is>
      </c>
      <c r="K1690" s="1786" t="inlineStr">
        <is>
          <t>m2</t>
        </is>
      </c>
      <c r="L1690" s="1787" t="e">
        <v>#REF!</v>
      </c>
      <c r="M1690" s="1787" t="n">
        <v>30</v>
      </c>
      <c r="N1690" s="1754" t="n"/>
      <c r="O1690" s="1788" t="n"/>
      <c r="P1690" s="1721" t="inlineStr">
        <is>
          <t>Pendente</t>
        </is>
      </c>
    </row>
    <row r="1691" hidden="1" outlineLevel="3" ht="13.5" customHeight="1">
      <c r="A1691" s="2117" t="n">
        <v>0</v>
      </c>
      <c r="B1691" s="2117" t="n">
        <v>14</v>
      </c>
      <c r="C1691" s="2117" t="n">
        <v>1</v>
      </c>
      <c r="D1691" s="2118" t="n">
        <v>5</v>
      </c>
      <c r="E1691" s="2118" t="n">
        <v>3</v>
      </c>
      <c r="G1691" s="1798" t="inlineStr">
        <is>
          <t>ACABAMENTOS INTERNOS EM PAREDE</t>
        </is>
      </c>
      <c r="H1691" s="1783" t="inlineStr">
        <is>
          <t>SERVIÇO</t>
        </is>
      </c>
      <c r="I1691" s="1750" t="inlineStr">
        <is>
          <t>14.001.005.003</t>
        </is>
      </c>
      <c r="J1691" s="1785" t="inlineStr">
        <is>
          <t>Mão de obra para assentamento de revestimento cerâmico em parede</t>
        </is>
      </c>
      <c r="K1691" s="1786" t="inlineStr">
        <is>
          <t>m2</t>
        </is>
      </c>
      <c r="L1691" s="1787" t="e">
        <v>#REF!</v>
      </c>
      <c r="M1691" s="1787" t="n">
        <v>75</v>
      </c>
      <c r="N1691" s="1754" t="n"/>
      <c r="O1691" s="1788" t="n"/>
      <c r="P1691" s="1721" t="inlineStr">
        <is>
          <t>Pendente</t>
        </is>
      </c>
    </row>
    <row r="1692" hidden="1" outlineLevel="3" ht="13.5" customHeight="1">
      <c r="A1692" s="2117" t="n">
        <v>0</v>
      </c>
      <c r="B1692" s="2117" t="n">
        <v>14</v>
      </c>
      <c r="C1692" s="2117" t="n">
        <v>1</v>
      </c>
      <c r="D1692" s="2118" t="n">
        <v>5</v>
      </c>
      <c r="E1692" s="2118" t="n">
        <v>4</v>
      </c>
      <c r="G1692" s="1798" t="inlineStr">
        <is>
          <t>ACABAMENTOS INTERNOS EM PAREDE</t>
        </is>
      </c>
      <c r="H1692" s="1783" t="inlineStr">
        <is>
          <t>SERVIÇO</t>
        </is>
      </c>
      <c r="I1692" s="1750" t="inlineStr">
        <is>
          <t>14.001.005.004</t>
        </is>
      </c>
      <c r="J1692" s="1785" t="inlineStr">
        <is>
          <t>Mão de obra para assentamento de Pedras Naturais em parede</t>
        </is>
      </c>
      <c r="K1692" s="1786" t="inlineStr">
        <is>
          <t>m2</t>
        </is>
      </c>
      <c r="L1692" s="1787" t="e">
        <v>#REF!</v>
      </c>
      <c r="M1692" s="1787" t="n">
        <v>75</v>
      </c>
      <c r="N1692" s="1754" t="n"/>
      <c r="O1692" s="1788" t="n"/>
      <c r="P1692" s="1721" t="inlineStr">
        <is>
          <t>Pendente</t>
        </is>
      </c>
    </row>
    <row r="1693" hidden="1" outlineLevel="3" ht="13.5" customHeight="1">
      <c r="A1693" s="2117" t="n">
        <v>0</v>
      </c>
      <c r="B1693" s="2117" t="n">
        <v>14</v>
      </c>
      <c r="C1693" s="2117" t="n">
        <v>1</v>
      </c>
      <c r="D1693" s="2118" t="n">
        <v>5</v>
      </c>
      <c r="E1693" s="2118" t="n">
        <v>5</v>
      </c>
      <c r="G1693" s="1798" t="inlineStr">
        <is>
          <t>ACABAMENTOS INTERNOS EM PAREDE</t>
        </is>
      </c>
      <c r="H1693" s="1783" t="inlineStr">
        <is>
          <t>SERVIÇO</t>
        </is>
      </c>
      <c r="I1693" s="1750" t="inlineStr">
        <is>
          <t>14.001.005.005</t>
        </is>
      </c>
      <c r="J1693" s="1785" t="inlineStr">
        <is>
          <t>Mão de obra para colocação de peitoril e pingadeira</t>
        </is>
      </c>
      <c r="K1693" s="1786" t="inlineStr">
        <is>
          <t>m2</t>
        </is>
      </c>
      <c r="L1693" s="1787" t="e">
        <v>#REF!</v>
      </c>
      <c r="M1693" s="1787" t="n">
        <v>50</v>
      </c>
      <c r="N1693" s="1754" t="n"/>
      <c r="O1693" s="1788" t="n"/>
      <c r="P1693" s="1721" t="inlineStr">
        <is>
          <t>Pendente</t>
        </is>
      </c>
    </row>
    <row r="1694" hidden="1" outlineLevel="1" ht="13.5" customHeight="1">
      <c r="A1694" s="2117" t="n">
        <v>0</v>
      </c>
      <c r="B1694" s="2117" t="n">
        <v>14</v>
      </c>
      <c r="C1694" s="2117" t="n">
        <v>2</v>
      </c>
      <c r="D1694" s="2118" t="n">
        <v>0</v>
      </c>
      <c r="E1694" s="2118" t="n">
        <v>5</v>
      </c>
      <c r="G1694" s="1796" t="n"/>
      <c r="H1694" s="1771" t="inlineStr">
        <is>
          <t>ETAPA</t>
        </is>
      </c>
      <c r="I1694" s="1735" t="inlineStr">
        <is>
          <t>14.002</t>
        </is>
      </c>
      <c r="J1694" s="1773" t="inlineStr">
        <is>
          <t>REVESTIMENTOS INTERNOS DE PAREDE - Mezanino G1</t>
        </is>
      </c>
      <c r="K1694" s="1774" t="n"/>
      <c r="L1694" s="1775" t="n"/>
      <c r="M1694" s="1775" t="n"/>
      <c r="N1694" s="1739" t="n"/>
      <c r="O1694" s="1776" t="n"/>
      <c r="P1694" s="1719" t="n"/>
    </row>
    <row r="1695" hidden="1" outlineLevel="2" ht="13.5" customHeight="1">
      <c r="A1695" s="2117" t="n">
        <v>0</v>
      </c>
      <c r="B1695" s="2117" t="n">
        <v>14</v>
      </c>
      <c r="C1695" s="2117" t="n">
        <v>2</v>
      </c>
      <c r="D1695" s="2118" t="n">
        <v>1</v>
      </c>
      <c r="E1695" s="2118" t="n">
        <v>0</v>
      </c>
      <c r="G1695" s="1797" t="n"/>
      <c r="H1695" s="1777" t="inlineStr">
        <is>
          <t>SUBETAPA</t>
        </is>
      </c>
      <c r="I1695" s="1742" t="inlineStr">
        <is>
          <t>14.002.001</t>
        </is>
      </c>
      <c r="J1695" s="1779" t="inlineStr">
        <is>
          <t>Argamassado interno em parede</t>
        </is>
      </c>
      <c r="K1695" s="1780" t="n"/>
      <c r="L1695" s="1781" t="n"/>
      <c r="M1695" s="1781" t="n"/>
      <c r="N1695" s="1746" t="n"/>
      <c r="O1695" s="1782" t="n"/>
      <c r="P1695" s="1720" t="n"/>
    </row>
    <row r="1696" hidden="1" outlineLevel="3" ht="13.5" customHeight="1">
      <c r="A1696" s="2117" t="n">
        <v>0</v>
      </c>
      <c r="B1696" s="2117" t="n">
        <v>14</v>
      </c>
      <c r="C1696" s="2117" t="n">
        <v>2</v>
      </c>
      <c r="D1696" s="2118" t="n">
        <v>1</v>
      </c>
      <c r="E1696" s="2118" t="n">
        <v>1</v>
      </c>
      <c r="G1696" s="1798" t="inlineStr">
        <is>
          <t>REVESTIMENTOS ARGAMASSADOS PAREDE</t>
        </is>
      </c>
      <c r="H1696" s="1783" t="inlineStr">
        <is>
          <t>SERVIÇO</t>
        </is>
      </c>
      <c r="I1696" s="1750" t="inlineStr">
        <is>
          <t>14.002.001.001</t>
        </is>
      </c>
      <c r="J1696" s="1785" t="inlineStr">
        <is>
          <t>Chapisco aplicado em estruturas de concreto, com argamassa pré-fabricada adesiva de cimento colante, aplicação convencional</t>
        </is>
      </c>
      <c r="K1696" s="1786" t="inlineStr">
        <is>
          <t>m2</t>
        </is>
      </c>
      <c r="L1696" s="1787" t="e">
        <v>#REF!</v>
      </c>
      <c r="M1696" s="1787" t="n">
        <v>10.11778</v>
      </c>
      <c r="N1696" s="1754" t="n"/>
      <c r="O1696" s="1788" t="n"/>
      <c r="P1696" s="1721" t="inlineStr">
        <is>
          <t>Pendente</t>
        </is>
      </c>
    </row>
    <row r="1697" hidden="1" outlineLevel="3" ht="13.5" customHeight="1">
      <c r="A1697" s="2117" t="n">
        <v>0</v>
      </c>
      <c r="B1697" s="2117" t="n">
        <v>14</v>
      </c>
      <c r="C1697" s="2117" t="n">
        <v>2</v>
      </c>
      <c r="D1697" s="2118" t="n">
        <v>1</v>
      </c>
      <c r="E1697" s="2118" t="n">
        <v>2</v>
      </c>
      <c r="G1697" s="1798" t="inlineStr">
        <is>
          <t>REVESTIMENTOS ARGAMASSADOS PAREDE</t>
        </is>
      </c>
      <c r="H1697" s="1783" t="inlineStr">
        <is>
          <t>SERVIÇO</t>
        </is>
      </c>
      <c r="I1697" s="1750" t="inlineStr">
        <is>
          <t>14.002.001.002</t>
        </is>
      </c>
      <c r="J1697" s="1785" t="inlineStr">
        <is>
          <t>Chapisco interno de argamassa preparada em obra de cimento e areia - traço 1:4 - aplicação em paredes internas</t>
        </is>
      </c>
      <c r="K1697" s="1786" t="inlineStr">
        <is>
          <t>m2</t>
        </is>
      </c>
      <c r="L1697" s="1787" t="e">
        <v>#REF!</v>
      </c>
      <c r="M1697" s="1787" t="n">
        <v>3.28945</v>
      </c>
      <c r="N1697" s="1754" t="n"/>
      <c r="O1697" s="1788" t="n"/>
      <c r="P1697" s="1721" t="inlineStr">
        <is>
          <t>Pendente</t>
        </is>
      </c>
    </row>
    <row r="1698" hidden="1" outlineLevel="3" ht="13.5" customHeight="1">
      <c r="A1698" s="2117" t="n">
        <v>0</v>
      </c>
      <c r="B1698" s="2117" t="n">
        <v>14</v>
      </c>
      <c r="C1698" s="2117" t="n">
        <v>2</v>
      </c>
      <c r="D1698" s="2118" t="n">
        <v>1</v>
      </c>
      <c r="E1698" s="2118" t="n">
        <v>3</v>
      </c>
      <c r="G1698" s="1798" t="inlineStr">
        <is>
          <t>REVESTIMENTOS ARGAMASSADOS PAREDE</t>
        </is>
      </c>
      <c r="H1698" s="1783" t="inlineStr">
        <is>
          <t>SERVIÇO</t>
        </is>
      </c>
      <c r="I1698" s="1750" t="inlineStr">
        <is>
          <t>14.002.001.003</t>
        </is>
      </c>
      <c r="J1698" s="1785" t="inlineStr">
        <is>
          <t>Massa unica para reboco interno em argamassa estabilizada, espessura de 2,5cm, com execução desempenado fino</t>
        </is>
      </c>
      <c r="K1698" s="1786" t="inlineStr">
        <is>
          <t>m2</t>
        </is>
      </c>
      <c r="L1698" s="1787" t="e">
        <v>#REF!</v>
      </c>
      <c r="M1698" s="1787" t="n">
        <v>12.075</v>
      </c>
      <c r="N1698" s="1754" t="n"/>
      <c r="O1698" s="1788" t="n"/>
      <c r="P1698" s="1721" t="inlineStr">
        <is>
          <t>Pendente</t>
        </is>
      </c>
    </row>
    <row r="1699" hidden="1" outlineLevel="3" ht="13.5" customHeight="1">
      <c r="A1699" s="2117" t="n">
        <v>0</v>
      </c>
      <c r="B1699" s="2117" t="n">
        <v>14</v>
      </c>
      <c r="C1699" s="2117" t="n">
        <v>2</v>
      </c>
      <c r="D1699" s="2118" t="n">
        <v>1</v>
      </c>
      <c r="E1699" s="2118" t="n">
        <v>4</v>
      </c>
      <c r="G1699" s="1798" t="inlineStr">
        <is>
          <t>REVESTIMENTOS ARGAMASSADOS PAREDE</t>
        </is>
      </c>
      <c r="H1699" s="1783" t="inlineStr">
        <is>
          <t>SERVIÇO</t>
        </is>
      </c>
      <c r="I1699" s="1750" t="inlineStr">
        <is>
          <t>14.002.001.004</t>
        </is>
      </c>
      <c r="J1699" s="1785" t="inlineStr">
        <is>
          <t>Estucamento de estrutura de concreto em pilares e vigas</t>
        </is>
      </c>
      <c r="K1699" s="1786" t="inlineStr">
        <is>
          <t>m2</t>
        </is>
      </c>
      <c r="L1699" s="1787" t="e">
        <v>#REF!</v>
      </c>
      <c r="M1699" s="1787" t="n">
        <v>5.102916666666666</v>
      </c>
      <c r="N1699" s="1754" t="n"/>
      <c r="O1699" s="1788" t="n"/>
      <c r="P1699" s="1721" t="inlineStr">
        <is>
          <t>Pendente</t>
        </is>
      </c>
    </row>
    <row r="1700" hidden="1" outlineLevel="2" ht="13.5" customHeight="1">
      <c r="A1700" s="2117" t="n">
        <v>0</v>
      </c>
      <c r="B1700" s="2117" t="n">
        <v>14</v>
      </c>
      <c r="C1700" s="2117" t="n">
        <v>2</v>
      </c>
      <c r="D1700" s="2118" t="n">
        <v>2</v>
      </c>
      <c r="E1700" s="2118" t="n">
        <v>0</v>
      </c>
      <c r="G1700" s="1797" t="n"/>
      <c r="H1700" s="1777" t="inlineStr">
        <is>
          <t>SUBETAPA</t>
        </is>
      </c>
      <c r="I1700" s="1742" t="inlineStr">
        <is>
          <t>14.002.002</t>
        </is>
      </c>
      <c r="J1700" s="1779" t="inlineStr">
        <is>
          <t>Acabamentos em pedra</t>
        </is>
      </c>
      <c r="K1700" s="1780" t="n"/>
      <c r="L1700" s="1781" t="n"/>
      <c r="M1700" s="1781" t="n"/>
      <c r="N1700" s="1746" t="n"/>
      <c r="O1700" s="1782" t="n"/>
      <c r="P1700" s="1720" t="n"/>
    </row>
    <row r="1701" hidden="1" outlineLevel="3" ht="13.5" customHeight="1">
      <c r="A1701" s="2117" t="n">
        <v>0</v>
      </c>
      <c r="B1701" s="2117" t="n">
        <v>14</v>
      </c>
      <c r="C1701" s="2117" t="n">
        <v>2</v>
      </c>
      <c r="D1701" s="2118" t="n">
        <v>2</v>
      </c>
      <c r="E1701" s="2118" t="n">
        <v>1</v>
      </c>
      <c r="G1701" s="1798" t="inlineStr">
        <is>
          <t>ACABAMENTOS INTERNOS EM PAREDE</t>
        </is>
      </c>
      <c r="H1701" s="1783" t="inlineStr">
        <is>
          <t>SERVIÇO</t>
        </is>
      </c>
      <c r="I1701" s="1750" t="inlineStr">
        <is>
          <t>14.002.002.001</t>
        </is>
      </c>
      <c r="J1701" s="1785" t="inlineStr">
        <is>
          <t>Revestimento de Mármore Travertino Romano em Paredes</t>
        </is>
      </c>
      <c r="K1701" s="1786" t="inlineStr">
        <is>
          <t>m2</t>
        </is>
      </c>
      <c r="L1701" s="1787" t="e">
        <v>#REF!</v>
      </c>
      <c r="M1701" s="1787" t="n">
        <v>1448.2455</v>
      </c>
      <c r="N1701" s="1754" t="n"/>
      <c r="O1701" s="1788" t="inlineStr">
        <is>
          <t>Hall do elevador</t>
        </is>
      </c>
      <c r="P1701" s="1721" t="inlineStr">
        <is>
          <t>Pendente</t>
        </is>
      </c>
    </row>
    <row r="1702" hidden="1" outlineLevel="3" ht="13.5" customHeight="1">
      <c r="A1702" s="2117" t="n">
        <v>0</v>
      </c>
      <c r="B1702" s="2117" t="n">
        <v>14</v>
      </c>
      <c r="C1702" s="2117" t="n">
        <v>2</v>
      </c>
      <c r="D1702" s="2118" t="n">
        <v>2</v>
      </c>
      <c r="E1702" s="2118" t="n">
        <v>2</v>
      </c>
      <c r="G1702" s="1798" t="inlineStr">
        <is>
          <t>ACABAMENTOS INTERNOS EM PAREDE</t>
        </is>
      </c>
      <c r="H1702" s="1783" t="inlineStr">
        <is>
          <t>SERVIÇO</t>
        </is>
      </c>
      <c r="I1702" s="1750" t="inlineStr">
        <is>
          <t>14.002.002.002</t>
        </is>
      </c>
      <c r="J1702" s="1785" t="inlineStr">
        <is>
          <t>Revestimento de Pedras Quartzito Van Gogh em Paredes</t>
        </is>
      </c>
      <c r="K1702" s="1786" t="inlineStr">
        <is>
          <t>m2</t>
        </is>
      </c>
      <c r="L1702" s="1787" t="e">
        <v>#REF!</v>
      </c>
      <c r="M1702" s="1787" t="n">
        <v>3538.2455</v>
      </c>
      <c r="N1702" s="1754" t="n"/>
      <c r="O1702" s="1788" t="n"/>
      <c r="P1702" s="1721" t="inlineStr">
        <is>
          <t>Pendente</t>
        </is>
      </c>
    </row>
    <row r="1703" hidden="1" outlineLevel="2" ht="13.5" customHeight="1">
      <c r="A1703" s="2117" t="n">
        <v>0</v>
      </c>
      <c r="B1703" s="2117" t="n">
        <v>14</v>
      </c>
      <c r="C1703" s="2117" t="n">
        <v>2</v>
      </c>
      <c r="D1703" s="2118" t="n">
        <v>3</v>
      </c>
      <c r="E1703" s="2118" t="n">
        <v>0</v>
      </c>
      <c r="G1703" s="1797" t="n"/>
      <c r="H1703" s="1777" t="inlineStr">
        <is>
          <t>SUBETAPA</t>
        </is>
      </c>
      <c r="I1703" s="1742" t="inlineStr">
        <is>
          <t>14.002.003</t>
        </is>
      </c>
      <c r="J1703" s="1779" t="inlineStr">
        <is>
          <t>Peitoris</t>
        </is>
      </c>
      <c r="K1703" s="1780" t="n"/>
      <c r="L1703" s="1781" t="n"/>
      <c r="M1703" s="1781" t="n"/>
      <c r="N1703" s="1746" t="n"/>
      <c r="O1703" s="1782" t="n"/>
      <c r="P1703" s="1720" t="n"/>
    </row>
    <row r="1704" hidden="1" outlineLevel="3" ht="13.5" customHeight="1">
      <c r="A1704" s="2117" t="n">
        <v>0</v>
      </c>
      <c r="B1704" s="2117" t="n">
        <v>14</v>
      </c>
      <c r="C1704" s="2117" t="n">
        <v>2</v>
      </c>
      <c r="D1704" s="2118" t="n">
        <v>3</v>
      </c>
      <c r="E1704" s="2118" t="n">
        <v>1</v>
      </c>
      <c r="G1704" s="1798" t="inlineStr">
        <is>
          <t>ACABAMENTOS INTERNOS EM PAREDE</t>
        </is>
      </c>
      <c r="H1704" s="1783" t="inlineStr">
        <is>
          <t>SERVIÇO</t>
        </is>
      </c>
      <c r="I1704" s="1750" t="inlineStr">
        <is>
          <t>14.002.003.001</t>
        </is>
      </c>
      <c r="J1704" s="1785" t="inlineStr">
        <is>
          <t>Peitoril em pedra natural,  esp. 2cm</t>
        </is>
      </c>
      <c r="K1704" s="1786" t="inlineStr">
        <is>
          <t>m2</t>
        </is>
      </c>
      <c r="L1704" s="1787" t="e">
        <v>#REF!</v>
      </c>
      <c r="M1704" s="1787" t="n">
        <v>849.1547</v>
      </c>
      <c r="N1704" s="1754" t="n"/>
      <c r="O1704" s="1788" t="n"/>
      <c r="P1704" s="1721" t="inlineStr">
        <is>
          <t>Pendente</t>
        </is>
      </c>
    </row>
    <row r="1705" hidden="1" outlineLevel="2" ht="13.5" customHeight="1">
      <c r="A1705" s="2117" t="n">
        <v>0</v>
      </c>
      <c r="B1705" s="2117" t="n">
        <v>14</v>
      </c>
      <c r="C1705" s="2117" t="n">
        <v>2</v>
      </c>
      <c r="D1705" s="2118" t="n">
        <v>4</v>
      </c>
      <c r="E1705" s="2118" t="n">
        <v>0</v>
      </c>
      <c r="G1705" s="1797" t="n"/>
      <c r="H1705" s="1777" t="inlineStr">
        <is>
          <t>SUBETAPA</t>
        </is>
      </c>
      <c r="I1705" s="1742" t="inlineStr">
        <is>
          <t>14.002.004</t>
        </is>
      </c>
      <c r="J1705" s="1779" t="inlineStr">
        <is>
          <t>Mão de obra - Revestimentos</t>
        </is>
      </c>
      <c r="K1705" s="1780" t="n"/>
      <c r="L1705" s="1781" t="n"/>
      <c r="M1705" s="1781" t="n"/>
      <c r="N1705" s="1746" t="n"/>
      <c r="O1705" s="1782" t="n"/>
      <c r="P1705" s="1720" t="n"/>
    </row>
    <row r="1706" hidden="1" outlineLevel="3" ht="13.5" customHeight="1">
      <c r="A1706" s="2117" t="n">
        <v>0</v>
      </c>
      <c r="B1706" s="2117" t="n">
        <v>14</v>
      </c>
      <c r="C1706" s="2117" t="n">
        <v>2</v>
      </c>
      <c r="D1706" s="2118" t="n">
        <v>4</v>
      </c>
      <c r="E1706" s="2118" t="n">
        <v>1</v>
      </c>
      <c r="G1706" s="1798" t="inlineStr">
        <is>
          <t>REVESTIMENTOS ARGAMASSADOS PAREDE</t>
        </is>
      </c>
      <c r="H1706" s="1783" t="inlineStr">
        <is>
          <t>SERVIÇO</t>
        </is>
      </c>
      <c r="I1706" s="1750" t="inlineStr">
        <is>
          <t>14.002.004.001</t>
        </is>
      </c>
      <c r="J1706" s="1785" t="inlineStr">
        <is>
          <t>Mão de obra execução de massa única em paredes interna, incluindo chapisco</t>
        </is>
      </c>
      <c r="K1706" s="1786" t="inlineStr">
        <is>
          <t>m2</t>
        </is>
      </c>
      <c r="L1706" s="1787" t="e">
        <v>#REF!</v>
      </c>
      <c r="M1706" s="1787" t="n">
        <v>42</v>
      </c>
      <c r="N1706" s="1754" t="n"/>
      <c r="O1706" s="1788" t="n"/>
      <c r="P1706" s="1721" t="inlineStr">
        <is>
          <t>Pendente</t>
        </is>
      </c>
    </row>
    <row r="1707" hidden="1" outlineLevel="3" ht="13.5" customHeight="1">
      <c r="A1707" s="2117" t="n">
        <v>0</v>
      </c>
      <c r="B1707" s="2117" t="n">
        <v>14</v>
      </c>
      <c r="C1707" s="2117" t="n">
        <v>2</v>
      </c>
      <c r="D1707" s="2118" t="n">
        <v>4</v>
      </c>
      <c r="E1707" s="2118" t="n">
        <v>2</v>
      </c>
      <c r="G1707" s="1798" t="inlineStr">
        <is>
          <t>REVESTIMENTOS ARGAMASSADOS PAREDE</t>
        </is>
      </c>
      <c r="H1707" s="1783" t="inlineStr">
        <is>
          <t>SERVIÇO</t>
        </is>
      </c>
      <c r="I1707" s="1750" t="inlineStr">
        <is>
          <t>14.002.004.002</t>
        </is>
      </c>
      <c r="J1707" s="1785" t="inlineStr">
        <is>
          <t>Mão de obra estucamento de paredes</t>
        </is>
      </c>
      <c r="K1707" s="1786" t="inlineStr">
        <is>
          <t>m2</t>
        </is>
      </c>
      <c r="L1707" s="1787" t="e">
        <v>#REF!</v>
      </c>
      <c r="M1707" s="1787" t="n">
        <v>30</v>
      </c>
      <c r="N1707" s="1754" t="n"/>
      <c r="O1707" s="1788" t="n"/>
      <c r="P1707" s="1721" t="inlineStr">
        <is>
          <t>Pendente</t>
        </is>
      </c>
    </row>
    <row r="1708" hidden="1" outlineLevel="3" ht="13.5" customHeight="1">
      <c r="A1708" s="2117" t="n">
        <v>0</v>
      </c>
      <c r="B1708" s="2117" t="n">
        <v>14</v>
      </c>
      <c r="C1708" s="2117" t="n">
        <v>2</v>
      </c>
      <c r="D1708" s="2118" t="n">
        <v>4</v>
      </c>
      <c r="E1708" s="2118" t="n">
        <v>3</v>
      </c>
      <c r="G1708" s="1798" t="inlineStr">
        <is>
          <t>ACABAMENTOS INTERNOS EM PAREDE</t>
        </is>
      </c>
      <c r="H1708" s="1783" t="inlineStr">
        <is>
          <t>SERVIÇO</t>
        </is>
      </c>
      <c r="I1708" s="1750" t="inlineStr">
        <is>
          <t>14.002.004.003</t>
        </is>
      </c>
      <c r="J1708" s="1785" t="inlineStr">
        <is>
          <t>Mão de obra para assentamento de Pedras Naturais em parede</t>
        </is>
      </c>
      <c r="K1708" s="1786" t="inlineStr">
        <is>
          <t>m2</t>
        </is>
      </c>
      <c r="L1708" s="1787" t="e">
        <v>#REF!</v>
      </c>
      <c r="M1708" s="1787" t="n">
        <v>75</v>
      </c>
      <c r="N1708" s="1754" t="n"/>
      <c r="O1708" s="1788" t="n"/>
      <c r="P1708" s="1721" t="inlineStr">
        <is>
          <t>Pendente</t>
        </is>
      </c>
    </row>
    <row r="1709" hidden="1" outlineLevel="3" ht="13.5" customHeight="1">
      <c r="A1709" s="2117" t="n">
        <v>0</v>
      </c>
      <c r="B1709" s="2117" t="n">
        <v>14</v>
      </c>
      <c r="C1709" s="2117" t="n">
        <v>2</v>
      </c>
      <c r="D1709" s="2118" t="n">
        <v>4</v>
      </c>
      <c r="E1709" s="2118" t="n">
        <v>4</v>
      </c>
      <c r="G1709" s="1798" t="inlineStr">
        <is>
          <t>ACABAMENTOS INTERNOS EM PAREDE</t>
        </is>
      </c>
      <c r="H1709" s="1783" t="inlineStr">
        <is>
          <t>SERVIÇO</t>
        </is>
      </c>
      <c r="I1709" s="1750" t="inlineStr">
        <is>
          <t>14.002.004.004</t>
        </is>
      </c>
      <c r="J1709" s="1785" t="inlineStr">
        <is>
          <t>Mão de obra para colocação de peitoril e pingadeira</t>
        </is>
      </c>
      <c r="K1709" s="1786" t="inlineStr">
        <is>
          <t>m2</t>
        </is>
      </c>
      <c r="L1709" s="1787" t="e">
        <v>#REF!</v>
      </c>
      <c r="M1709" s="1787" t="n">
        <v>50</v>
      </c>
      <c r="N1709" s="1754" t="n"/>
      <c r="O1709" s="1788" t="n"/>
      <c r="P1709" s="1721" t="inlineStr">
        <is>
          <t>Pendente</t>
        </is>
      </c>
    </row>
    <row r="1710" hidden="1" outlineLevel="1" ht="13.5" customHeight="1">
      <c r="A1710" s="2117" t="n">
        <v>0</v>
      </c>
      <c r="B1710" s="2117" t="n">
        <v>14</v>
      </c>
      <c r="C1710" s="2117" t="n">
        <v>3</v>
      </c>
      <c r="D1710" s="2118" t="n">
        <v>0</v>
      </c>
      <c r="E1710" s="2118" t="n">
        <v>4</v>
      </c>
      <c r="G1710" s="1796" t="n"/>
      <c r="H1710" s="1771" t="inlineStr">
        <is>
          <t>ETAPA</t>
        </is>
      </c>
      <c r="I1710" s="1735" t="inlineStr">
        <is>
          <t>14.003</t>
        </is>
      </c>
      <c r="J1710" s="1773" t="inlineStr">
        <is>
          <t>REVESTIMENTOS INTERNOS DE PAREDE - G2</t>
        </is>
      </c>
      <c r="K1710" s="1774" t="n"/>
      <c r="L1710" s="1775" t="n"/>
      <c r="M1710" s="1775" t="n"/>
      <c r="N1710" s="1739" t="n"/>
      <c r="O1710" s="1776" t="n"/>
      <c r="P1710" s="1719" t="n"/>
    </row>
    <row r="1711" hidden="1" outlineLevel="2" ht="13.5" customHeight="1">
      <c r="A1711" s="2117" t="n">
        <v>0</v>
      </c>
      <c r="B1711" s="2117" t="n">
        <v>14</v>
      </c>
      <c r="C1711" s="2117" t="n">
        <v>3</v>
      </c>
      <c r="D1711" s="2118" t="n">
        <v>1</v>
      </c>
      <c r="E1711" s="2118" t="n">
        <v>0</v>
      </c>
      <c r="G1711" s="1797" t="n"/>
      <c r="H1711" s="1777" t="inlineStr">
        <is>
          <t>SUBETAPA</t>
        </is>
      </c>
      <c r="I1711" s="1742" t="inlineStr">
        <is>
          <t>14.003.001</t>
        </is>
      </c>
      <c r="J1711" s="1779" t="inlineStr">
        <is>
          <t>Argamassado interno em parede</t>
        </is>
      </c>
      <c r="K1711" s="1780" t="n"/>
      <c r="L1711" s="1781" t="n"/>
      <c r="M1711" s="1781" t="n"/>
      <c r="N1711" s="1746" t="n"/>
      <c r="O1711" s="1782" t="n"/>
      <c r="P1711" s="1720" t="n"/>
    </row>
    <row r="1712" hidden="1" outlineLevel="3" ht="13.5" customHeight="1">
      <c r="A1712" s="2117" t="n">
        <v>0</v>
      </c>
      <c r="B1712" s="2117" t="n">
        <v>14</v>
      </c>
      <c r="C1712" s="2117" t="n">
        <v>3</v>
      </c>
      <c r="D1712" s="2118" t="n">
        <v>1</v>
      </c>
      <c r="E1712" s="2118" t="n">
        <v>1</v>
      </c>
      <c r="G1712" s="1798" t="inlineStr">
        <is>
          <t>REVESTIMENTOS ARGAMASSADOS PAREDE</t>
        </is>
      </c>
      <c r="H1712" s="1783" t="inlineStr">
        <is>
          <t>SERVIÇO</t>
        </is>
      </c>
      <c r="I1712" s="1750" t="inlineStr">
        <is>
          <t>14.003.001.001</t>
        </is>
      </c>
      <c r="J1712" s="1785" t="inlineStr">
        <is>
          <t>Chapisco aplicado em estruturas de concreto, com argamassa pré-fabricada adesiva de cimento colante, aplicação convencional</t>
        </is>
      </c>
      <c r="K1712" s="1786" t="inlineStr">
        <is>
          <t>m2</t>
        </is>
      </c>
      <c r="L1712" s="1787" t="e">
        <v>#REF!</v>
      </c>
      <c r="M1712" s="1787" t="n">
        <v>10.11778</v>
      </c>
      <c r="N1712" s="1754" t="n"/>
      <c r="O1712" s="1788" t="n"/>
      <c r="P1712" s="1721" t="inlineStr">
        <is>
          <t>Pendente</t>
        </is>
      </c>
    </row>
    <row r="1713" hidden="1" outlineLevel="3" ht="13.5" customHeight="1">
      <c r="A1713" s="2117" t="n">
        <v>0</v>
      </c>
      <c r="B1713" s="2117" t="n">
        <v>14</v>
      </c>
      <c r="C1713" s="2117" t="n">
        <v>3</v>
      </c>
      <c r="D1713" s="2118" t="n">
        <v>1</v>
      </c>
      <c r="E1713" s="2118" t="n">
        <v>2</v>
      </c>
      <c r="G1713" s="1798" t="inlineStr">
        <is>
          <t>REVESTIMENTOS ARGAMASSADOS PAREDE</t>
        </is>
      </c>
      <c r="H1713" s="1783" t="inlineStr">
        <is>
          <t>SERVIÇO</t>
        </is>
      </c>
      <c r="I1713" s="1750" t="inlineStr">
        <is>
          <t>14.003.001.002</t>
        </is>
      </c>
      <c r="J1713" s="1785" t="inlineStr">
        <is>
          <t>Chapisco interno de argamassa preparada em obra de cimento e areia - traço 1:4 - aplicação em paredes internas</t>
        </is>
      </c>
      <c r="K1713" s="1786" t="inlineStr">
        <is>
          <t>m2</t>
        </is>
      </c>
      <c r="L1713" s="1787" t="e">
        <v>#REF!</v>
      </c>
      <c r="M1713" s="1787" t="n">
        <v>3.28945</v>
      </c>
      <c r="N1713" s="1754" t="n"/>
      <c r="O1713" s="1788" t="n"/>
      <c r="P1713" s="1721" t="inlineStr">
        <is>
          <t>Pendente</t>
        </is>
      </c>
    </row>
    <row r="1714" hidden="1" outlineLevel="3" ht="13.5" customHeight="1">
      <c r="A1714" s="2117" t="n">
        <v>0</v>
      </c>
      <c r="B1714" s="2117" t="n">
        <v>14</v>
      </c>
      <c r="C1714" s="2117" t="n">
        <v>3</v>
      </c>
      <c r="D1714" s="2118" t="n">
        <v>1</v>
      </c>
      <c r="E1714" s="2118" t="n">
        <v>3</v>
      </c>
      <c r="G1714" s="1798" t="inlineStr">
        <is>
          <t>REVESTIMENTOS ARGAMASSADOS PAREDE</t>
        </is>
      </c>
      <c r="H1714" s="1783" t="inlineStr">
        <is>
          <t>SERVIÇO</t>
        </is>
      </c>
      <c r="I1714" s="1750" t="inlineStr">
        <is>
          <t>14.003.001.003</t>
        </is>
      </c>
      <c r="J1714" s="1785" t="inlineStr">
        <is>
          <t>Massa unica para reboco interno em argamassa estabilizada, espessura de 2,5cm, com execução desempenado fino</t>
        </is>
      </c>
      <c r="K1714" s="1786" t="inlineStr">
        <is>
          <t>m2</t>
        </is>
      </c>
      <c r="L1714" s="1787" t="e">
        <v>#REF!</v>
      </c>
      <c r="M1714" s="1787" t="n">
        <v>12.075</v>
      </c>
      <c r="N1714" s="1754" t="n"/>
      <c r="O1714" s="1788" t="n"/>
      <c r="P1714" s="1721" t="inlineStr">
        <is>
          <t>Pendente</t>
        </is>
      </c>
    </row>
    <row r="1715" hidden="1" outlineLevel="3" ht="13.5" customHeight="1">
      <c r="A1715" s="2117" t="n">
        <v>0</v>
      </c>
      <c r="B1715" s="2117" t="n">
        <v>14</v>
      </c>
      <c r="C1715" s="2117" t="n">
        <v>3</v>
      </c>
      <c r="D1715" s="2118" t="n">
        <v>1</v>
      </c>
      <c r="E1715" s="2118" t="n">
        <v>4</v>
      </c>
      <c r="G1715" s="1798" t="inlineStr">
        <is>
          <t>REVESTIMENTOS ARGAMASSADOS PAREDE</t>
        </is>
      </c>
      <c r="H1715" s="1783" t="inlineStr">
        <is>
          <t>SERVIÇO</t>
        </is>
      </c>
      <c r="I1715" s="1750" t="inlineStr">
        <is>
          <t>14.003.001.004</t>
        </is>
      </c>
      <c r="J1715" s="1785" t="inlineStr">
        <is>
          <t>Estucamento de estrutura de concreto em pilares e vigas</t>
        </is>
      </c>
      <c r="K1715" s="1786" t="inlineStr">
        <is>
          <t>m2</t>
        </is>
      </c>
      <c r="L1715" s="1787" t="e">
        <v>#REF!</v>
      </c>
      <c r="M1715" s="1787" t="n">
        <v>5.102916666666666</v>
      </c>
      <c r="N1715" s="1754" t="n"/>
      <c r="O1715" s="1788" t="n"/>
      <c r="P1715" s="1721" t="inlineStr">
        <is>
          <t>Pendente</t>
        </is>
      </c>
    </row>
    <row r="1716" hidden="1" outlineLevel="2" ht="13.5" customHeight="1">
      <c r="A1716" s="2117" t="n">
        <v>0</v>
      </c>
      <c r="B1716" s="2117" t="n">
        <v>14</v>
      </c>
      <c r="C1716" s="2117" t="n">
        <v>3</v>
      </c>
      <c r="D1716" s="2118" t="n">
        <v>2</v>
      </c>
      <c r="E1716" s="2118" t="n">
        <v>0</v>
      </c>
      <c r="G1716" s="1797" t="n"/>
      <c r="H1716" s="1777" t="inlineStr">
        <is>
          <t>SUBETAPA</t>
        </is>
      </c>
      <c r="I1716" s="1742" t="inlineStr">
        <is>
          <t>14.003.002</t>
        </is>
      </c>
      <c r="J1716" s="1779" t="inlineStr">
        <is>
          <t>Acabamentos em pedra</t>
        </is>
      </c>
      <c r="K1716" s="1780" t="n"/>
      <c r="L1716" s="1781" t="n"/>
      <c r="M1716" s="1781" t="n"/>
      <c r="N1716" s="1746" t="n"/>
      <c r="O1716" s="1782" t="n"/>
      <c r="P1716" s="1720" t="n"/>
    </row>
    <row r="1717" hidden="1" outlineLevel="3" ht="13.5" customHeight="1">
      <c r="A1717" s="2117" t="n">
        <v>0</v>
      </c>
      <c r="B1717" s="2117" t="n">
        <v>14</v>
      </c>
      <c r="C1717" s="2117" t="n">
        <v>3</v>
      </c>
      <c r="D1717" s="2118" t="n">
        <v>2</v>
      </c>
      <c r="E1717" s="2118" t="n">
        <v>1</v>
      </c>
      <c r="G1717" s="1798" t="inlineStr">
        <is>
          <t>ACABAMENTOS INTERNOS EM PAREDE</t>
        </is>
      </c>
      <c r="H1717" s="1783" t="inlineStr">
        <is>
          <t>SERVIÇO</t>
        </is>
      </c>
      <c r="I1717" s="1750" t="inlineStr">
        <is>
          <t>14.003.002.001</t>
        </is>
      </c>
      <c r="J1717" s="1785" t="inlineStr">
        <is>
          <t>Revestimento de Mármore Travertino Romano em Paredes</t>
        </is>
      </c>
      <c r="K1717" s="1786" t="inlineStr">
        <is>
          <t>m2</t>
        </is>
      </c>
      <c r="L1717" s="1787" t="e">
        <v>#REF!</v>
      </c>
      <c r="M1717" s="1787" t="n">
        <v>1448.2455</v>
      </c>
      <c r="N1717" s="1754" t="n"/>
      <c r="O1717" s="1788" t="inlineStr">
        <is>
          <t>Hall do elevador</t>
        </is>
      </c>
      <c r="P1717" s="1721" t="inlineStr">
        <is>
          <t>Pendente</t>
        </is>
      </c>
    </row>
    <row r="1718" hidden="1" outlineLevel="2" ht="13.5" customHeight="1">
      <c r="A1718" s="2117" t="n">
        <v>0</v>
      </c>
      <c r="B1718" s="2117" t="n">
        <v>14</v>
      </c>
      <c r="C1718" s="2117" t="n">
        <v>3</v>
      </c>
      <c r="D1718" s="2118" t="n">
        <v>3</v>
      </c>
      <c r="E1718" s="2118" t="n">
        <v>0</v>
      </c>
      <c r="G1718" s="1797" t="n"/>
      <c r="H1718" s="1777" t="inlineStr">
        <is>
          <t>SUBETAPA</t>
        </is>
      </c>
      <c r="I1718" s="1742" t="inlineStr">
        <is>
          <t>14.003.003</t>
        </is>
      </c>
      <c r="J1718" s="1779" t="inlineStr">
        <is>
          <t>Peitoris</t>
        </is>
      </c>
      <c r="K1718" s="1780" t="n"/>
      <c r="L1718" s="1781" t="n"/>
      <c r="M1718" s="1781" t="n"/>
      <c r="N1718" s="1746" t="n"/>
      <c r="O1718" s="1782" t="n"/>
      <c r="P1718" s="1720" t="n"/>
    </row>
    <row r="1719" hidden="1" outlineLevel="3" ht="13.5" customHeight="1">
      <c r="A1719" s="2117" t="n">
        <v>0</v>
      </c>
      <c r="B1719" s="2117" t="n">
        <v>14</v>
      </c>
      <c r="C1719" s="2117" t="n">
        <v>3</v>
      </c>
      <c r="D1719" s="2118" t="n">
        <v>3</v>
      </c>
      <c r="E1719" s="2118" t="n">
        <v>1</v>
      </c>
      <c r="G1719" s="1798" t="inlineStr">
        <is>
          <t>ACABAMENTOS INTERNOS EM PAREDE</t>
        </is>
      </c>
      <c r="H1719" s="1783" t="inlineStr">
        <is>
          <t>SERVIÇO</t>
        </is>
      </c>
      <c r="I1719" s="1750" t="inlineStr">
        <is>
          <t>14.003.003.001</t>
        </is>
      </c>
      <c r="J1719" s="1785" t="inlineStr">
        <is>
          <t>Peitoril em pedra natural,  esp. 2cm</t>
        </is>
      </c>
      <c r="K1719" s="1786" t="inlineStr">
        <is>
          <t>m2</t>
        </is>
      </c>
      <c r="L1719" s="1787" t="e">
        <v>#REF!</v>
      </c>
      <c r="M1719" s="1787" t="n">
        <v>849.1547</v>
      </c>
      <c r="N1719" s="1754" t="n"/>
      <c r="O1719" s="1788" t="n"/>
      <c r="P1719" s="1721" t="inlineStr">
        <is>
          <t>Pendente</t>
        </is>
      </c>
    </row>
    <row r="1720" hidden="1" outlineLevel="2" ht="13.5" customHeight="1">
      <c r="A1720" s="2117" t="n">
        <v>0</v>
      </c>
      <c r="B1720" s="2117" t="n">
        <v>14</v>
      </c>
      <c r="C1720" s="2117" t="n">
        <v>3</v>
      </c>
      <c r="D1720" s="2118" t="n">
        <v>4</v>
      </c>
      <c r="E1720" s="2118" t="n">
        <v>0</v>
      </c>
      <c r="G1720" s="1797" t="n"/>
      <c r="H1720" s="1777" t="inlineStr">
        <is>
          <t>SUBETAPA</t>
        </is>
      </c>
      <c r="I1720" s="1742" t="inlineStr">
        <is>
          <t>14.003.004</t>
        </is>
      </c>
      <c r="J1720" s="1779" t="inlineStr">
        <is>
          <t>Mão de obra - Revestimentos</t>
        </is>
      </c>
      <c r="K1720" s="1780" t="n"/>
      <c r="L1720" s="1781" t="n"/>
      <c r="M1720" s="1781" t="n"/>
      <c r="N1720" s="1746" t="n"/>
      <c r="O1720" s="1782" t="n"/>
      <c r="P1720" s="1720" t="n"/>
    </row>
    <row r="1721" hidden="1" outlineLevel="3" ht="13.5" customHeight="1">
      <c r="A1721" s="2117" t="n">
        <v>0</v>
      </c>
      <c r="B1721" s="2117" t="n">
        <v>14</v>
      </c>
      <c r="C1721" s="2117" t="n">
        <v>3</v>
      </c>
      <c r="D1721" s="2118" t="n">
        <v>4</v>
      </c>
      <c r="E1721" s="2118" t="n">
        <v>1</v>
      </c>
      <c r="G1721" s="1798" t="inlineStr">
        <is>
          <t>REVESTIMENTOS ARGAMASSADOS PAREDE</t>
        </is>
      </c>
      <c r="H1721" s="1783" t="inlineStr">
        <is>
          <t>SERVIÇO</t>
        </is>
      </c>
      <c r="I1721" s="1750" t="inlineStr">
        <is>
          <t>14.003.004.001</t>
        </is>
      </c>
      <c r="J1721" s="1785" t="inlineStr">
        <is>
          <t>Mão de obra execução de massa única em paredes interna, incluindo chapisco</t>
        </is>
      </c>
      <c r="K1721" s="1786" t="inlineStr">
        <is>
          <t>m2</t>
        </is>
      </c>
      <c r="L1721" s="1787" t="e">
        <v>#REF!</v>
      </c>
      <c r="M1721" s="1787" t="n">
        <v>42</v>
      </c>
      <c r="N1721" s="1754" t="n"/>
      <c r="O1721" s="1788" t="n"/>
      <c r="P1721" s="1721" t="inlineStr">
        <is>
          <t>Pendente</t>
        </is>
      </c>
    </row>
    <row r="1722" hidden="1" outlineLevel="3" ht="13.5" customHeight="1">
      <c r="A1722" s="2117" t="n">
        <v>0</v>
      </c>
      <c r="B1722" s="2117" t="n">
        <v>14</v>
      </c>
      <c r="C1722" s="2117" t="n">
        <v>3</v>
      </c>
      <c r="D1722" s="2118" t="n">
        <v>4</v>
      </c>
      <c r="E1722" s="2118" t="n">
        <v>2</v>
      </c>
      <c r="G1722" s="1798" t="inlineStr">
        <is>
          <t>REVESTIMENTOS ARGAMASSADOS PAREDE</t>
        </is>
      </c>
      <c r="H1722" s="1783" t="inlineStr">
        <is>
          <t>SERVIÇO</t>
        </is>
      </c>
      <c r="I1722" s="1750" t="inlineStr">
        <is>
          <t>14.003.004.002</t>
        </is>
      </c>
      <c r="J1722" s="1785" t="inlineStr">
        <is>
          <t>Mão de obra estucamento de paredes</t>
        </is>
      </c>
      <c r="K1722" s="1786" t="inlineStr">
        <is>
          <t>m2</t>
        </is>
      </c>
      <c r="L1722" s="1787" t="e">
        <v>#REF!</v>
      </c>
      <c r="M1722" s="1787" t="n">
        <v>30</v>
      </c>
      <c r="N1722" s="1754" t="n"/>
      <c r="O1722" s="1788" t="n"/>
      <c r="P1722" s="1721" t="inlineStr">
        <is>
          <t>Pendente</t>
        </is>
      </c>
    </row>
    <row r="1723" hidden="1" outlineLevel="3" ht="13.5" customHeight="1">
      <c r="A1723" s="2117" t="n">
        <v>0</v>
      </c>
      <c r="B1723" s="2117" t="n">
        <v>14</v>
      </c>
      <c r="C1723" s="2117" t="n">
        <v>3</v>
      </c>
      <c r="D1723" s="2118" t="n">
        <v>4</v>
      </c>
      <c r="E1723" s="2118" t="n">
        <v>3</v>
      </c>
      <c r="G1723" s="1798" t="inlineStr">
        <is>
          <t>ACABAMENTOS INTERNOS EM PAREDE</t>
        </is>
      </c>
      <c r="H1723" s="1783" t="inlineStr">
        <is>
          <t>SERVIÇO</t>
        </is>
      </c>
      <c r="I1723" s="1750" t="inlineStr">
        <is>
          <t>14.003.004.003</t>
        </is>
      </c>
      <c r="J1723" s="1785" t="inlineStr">
        <is>
          <t>Mão de obra para assentamento de Pedras Naturais em parede</t>
        </is>
      </c>
      <c r="K1723" s="1786" t="inlineStr">
        <is>
          <t>m2</t>
        </is>
      </c>
      <c r="L1723" s="1787" t="e">
        <v>#REF!</v>
      </c>
      <c r="M1723" s="1787" t="n">
        <v>75</v>
      </c>
      <c r="N1723" s="1754" t="n"/>
      <c r="O1723" s="1788" t="n"/>
      <c r="P1723" s="1721" t="inlineStr">
        <is>
          <t>Pendente</t>
        </is>
      </c>
    </row>
    <row r="1724" hidden="1" outlineLevel="3" ht="13.5" customHeight="1">
      <c r="A1724" s="2117" t="n">
        <v>0</v>
      </c>
      <c r="B1724" s="2117" t="n">
        <v>14</v>
      </c>
      <c r="C1724" s="2117" t="n">
        <v>3</v>
      </c>
      <c r="D1724" s="2118" t="n">
        <v>4</v>
      </c>
      <c r="E1724" s="2118" t="n">
        <v>4</v>
      </c>
      <c r="G1724" s="1798" t="inlineStr">
        <is>
          <t>ACABAMENTOS INTERNOS EM PAREDE</t>
        </is>
      </c>
      <c r="H1724" s="1783" t="inlineStr">
        <is>
          <t>SERVIÇO</t>
        </is>
      </c>
      <c r="I1724" s="1750" t="inlineStr">
        <is>
          <t>14.003.004.004</t>
        </is>
      </c>
      <c r="J1724" s="1785" t="inlineStr">
        <is>
          <t>Mão de obra para colocação de peitoril e pingadeira</t>
        </is>
      </c>
      <c r="K1724" s="1786" t="inlineStr">
        <is>
          <t>m2</t>
        </is>
      </c>
      <c r="L1724" s="1787" t="e">
        <v>#REF!</v>
      </c>
      <c r="M1724" s="1787" t="n">
        <v>50</v>
      </c>
      <c r="N1724" s="1754" t="n"/>
      <c r="O1724" s="1788" t="n"/>
      <c r="P1724" s="1721" t="inlineStr">
        <is>
          <t>Pendente</t>
        </is>
      </c>
    </row>
    <row r="1725" hidden="1" outlineLevel="1" ht="13.5" customHeight="1">
      <c r="A1725" s="2117" t="n">
        <v>0</v>
      </c>
      <c r="B1725" s="2117" t="n">
        <v>14</v>
      </c>
      <c r="C1725" s="2117" t="n">
        <v>4</v>
      </c>
      <c r="D1725" s="2118" t="n">
        <v>0</v>
      </c>
      <c r="E1725" s="2118" t="n">
        <v>4</v>
      </c>
      <c r="G1725" s="1796" t="n"/>
      <c r="H1725" s="1771" t="inlineStr">
        <is>
          <t>ETAPA</t>
        </is>
      </c>
      <c r="I1725" s="1735" t="inlineStr">
        <is>
          <t>14.004</t>
        </is>
      </c>
      <c r="J1725" s="1773" t="inlineStr">
        <is>
          <t>REVESTIMENTOS INTERNOS DE PAREDE - Mezanino G2</t>
        </is>
      </c>
      <c r="K1725" s="1774" t="n"/>
      <c r="L1725" s="1775" t="n"/>
      <c r="M1725" s="1775" t="n"/>
      <c r="N1725" s="1739" t="n"/>
      <c r="O1725" s="1776" t="n"/>
      <c r="P1725" s="1719" t="n"/>
    </row>
    <row r="1726" hidden="1" outlineLevel="2" ht="13.5" customHeight="1">
      <c r="A1726" s="2117" t="n">
        <v>0</v>
      </c>
      <c r="B1726" s="2117" t="n">
        <v>14</v>
      </c>
      <c r="C1726" s="2117" t="n">
        <v>4</v>
      </c>
      <c r="D1726" s="2118" t="n">
        <v>1</v>
      </c>
      <c r="E1726" s="2118" t="n">
        <v>0</v>
      </c>
      <c r="G1726" s="1797" t="n"/>
      <c r="H1726" s="1777" t="inlineStr">
        <is>
          <t>SUBETAPA</t>
        </is>
      </c>
      <c r="I1726" s="1742" t="inlineStr">
        <is>
          <t>14.004.001</t>
        </is>
      </c>
      <c r="J1726" s="1779" t="inlineStr">
        <is>
          <t>Argamassado interno em parede</t>
        </is>
      </c>
      <c r="K1726" s="1780" t="n"/>
      <c r="L1726" s="1781" t="n"/>
      <c r="M1726" s="1781" t="n"/>
      <c r="N1726" s="1746" t="n"/>
      <c r="O1726" s="1782" t="n"/>
      <c r="P1726" s="1720" t="n"/>
    </row>
    <row r="1727" hidden="1" outlineLevel="3" ht="13.5" customHeight="1">
      <c r="A1727" s="2117" t="n">
        <v>0</v>
      </c>
      <c r="B1727" s="2117" t="n">
        <v>14</v>
      </c>
      <c r="C1727" s="2117" t="n">
        <v>4</v>
      </c>
      <c r="D1727" s="2118" t="n">
        <v>1</v>
      </c>
      <c r="E1727" s="2118" t="n">
        <v>1</v>
      </c>
      <c r="G1727" s="1798" t="inlineStr">
        <is>
          <t>REVESTIMENTOS ARGAMASSADOS PAREDE</t>
        </is>
      </c>
      <c r="H1727" s="1783" t="inlineStr">
        <is>
          <t>SERVIÇO</t>
        </is>
      </c>
      <c r="I1727" s="1750" t="inlineStr">
        <is>
          <t>14.004.001.001</t>
        </is>
      </c>
      <c r="J1727" s="1785" t="inlineStr">
        <is>
          <t>Chapisco aplicado em estruturas de concreto, com argamassa pré-fabricada adesiva de cimento colante, aplicação convencional</t>
        </is>
      </c>
      <c r="K1727" s="1786" t="inlineStr">
        <is>
          <t>m2</t>
        </is>
      </c>
      <c r="L1727" s="1787" t="e">
        <v>#REF!</v>
      </c>
      <c r="M1727" s="1787" t="n">
        <v>10.11778</v>
      </c>
      <c r="N1727" s="1754" t="n"/>
      <c r="O1727" s="1788" t="n"/>
      <c r="P1727" s="1721" t="inlineStr">
        <is>
          <t>Pendente</t>
        </is>
      </c>
    </row>
    <row r="1728" hidden="1" outlineLevel="3" ht="13.5" customHeight="1">
      <c r="A1728" s="2117" t="n">
        <v>0</v>
      </c>
      <c r="B1728" s="2117" t="n">
        <v>14</v>
      </c>
      <c r="C1728" s="2117" t="n">
        <v>4</v>
      </c>
      <c r="D1728" s="2118" t="n">
        <v>1</v>
      </c>
      <c r="E1728" s="2118" t="n">
        <v>2</v>
      </c>
      <c r="G1728" s="1798" t="inlineStr">
        <is>
          <t>REVESTIMENTOS ARGAMASSADOS PAREDE</t>
        </is>
      </c>
      <c r="H1728" s="1783" t="inlineStr">
        <is>
          <t>SERVIÇO</t>
        </is>
      </c>
      <c r="I1728" s="1750" t="inlineStr">
        <is>
          <t>14.004.001.002</t>
        </is>
      </c>
      <c r="J1728" s="1785" t="inlineStr">
        <is>
          <t>Chapisco interno de argamassa preparada em obra de cimento e areia - traço 1:4 - aplicação em paredes internas</t>
        </is>
      </c>
      <c r="K1728" s="1786" t="inlineStr">
        <is>
          <t>m2</t>
        </is>
      </c>
      <c r="L1728" s="1787" t="e">
        <v>#REF!</v>
      </c>
      <c r="M1728" s="1787" t="n">
        <v>3.28945</v>
      </c>
      <c r="N1728" s="1754" t="n"/>
      <c r="O1728" s="1788" t="n"/>
      <c r="P1728" s="1721" t="inlineStr">
        <is>
          <t>Pendente</t>
        </is>
      </c>
    </row>
    <row r="1729" hidden="1" outlineLevel="3" ht="13.5" customHeight="1">
      <c r="A1729" s="2117" t="n">
        <v>0</v>
      </c>
      <c r="B1729" s="2117" t="n">
        <v>14</v>
      </c>
      <c r="C1729" s="2117" t="n">
        <v>4</v>
      </c>
      <c r="D1729" s="2118" t="n">
        <v>1</v>
      </c>
      <c r="E1729" s="2118" t="n">
        <v>3</v>
      </c>
      <c r="G1729" s="1798" t="inlineStr">
        <is>
          <t>REVESTIMENTOS ARGAMASSADOS PAREDE</t>
        </is>
      </c>
      <c r="H1729" s="1783" t="inlineStr">
        <is>
          <t>SERVIÇO</t>
        </is>
      </c>
      <c r="I1729" s="1750" t="inlineStr">
        <is>
          <t>14.004.001.003</t>
        </is>
      </c>
      <c r="J1729" s="1785" t="inlineStr">
        <is>
          <t>Massa unica para reboco interno em argamassa estabilizada, espessura de 2,5cm, com execução desempenado fino</t>
        </is>
      </c>
      <c r="K1729" s="1786" t="inlineStr">
        <is>
          <t>m2</t>
        </is>
      </c>
      <c r="L1729" s="1787" t="e">
        <v>#REF!</v>
      </c>
      <c r="M1729" s="1787" t="n">
        <v>12.075</v>
      </c>
      <c r="N1729" s="1754" t="n"/>
      <c r="O1729" s="1788" t="n"/>
      <c r="P1729" s="1721" t="inlineStr">
        <is>
          <t>Pendente</t>
        </is>
      </c>
    </row>
    <row r="1730" hidden="1" outlineLevel="3" ht="13.5" customHeight="1">
      <c r="A1730" s="2117" t="n">
        <v>0</v>
      </c>
      <c r="B1730" s="2117" t="n">
        <v>14</v>
      </c>
      <c r="C1730" s="2117" t="n">
        <v>4</v>
      </c>
      <c r="D1730" s="2118" t="n">
        <v>1</v>
      </c>
      <c r="E1730" s="2118" t="n">
        <v>4</v>
      </c>
      <c r="G1730" s="1798" t="inlineStr">
        <is>
          <t>REVESTIMENTOS ARGAMASSADOS PAREDE</t>
        </is>
      </c>
      <c r="H1730" s="1783" t="inlineStr">
        <is>
          <t>SERVIÇO</t>
        </is>
      </c>
      <c r="I1730" s="1750" t="inlineStr">
        <is>
          <t>14.004.001.004</t>
        </is>
      </c>
      <c r="J1730" s="1785" t="inlineStr">
        <is>
          <t>Estucamento de estrutura de concreto em pilares e vigas</t>
        </is>
      </c>
      <c r="K1730" s="1786" t="inlineStr">
        <is>
          <t>m2</t>
        </is>
      </c>
      <c r="L1730" s="1787" t="e">
        <v>#REF!</v>
      </c>
      <c r="M1730" s="1787" t="n">
        <v>5.102916666666666</v>
      </c>
      <c r="N1730" s="1754" t="n"/>
      <c r="O1730" s="1788" t="n"/>
      <c r="P1730" s="1721" t="inlineStr">
        <is>
          <t>Pendente</t>
        </is>
      </c>
    </row>
    <row r="1731" hidden="1" outlineLevel="2" ht="13.5" customHeight="1">
      <c r="A1731" s="2117" t="n">
        <v>0</v>
      </c>
      <c r="B1731" s="2117" t="n">
        <v>14</v>
      </c>
      <c r="C1731" s="2117" t="n">
        <v>4</v>
      </c>
      <c r="D1731" s="2118" t="n">
        <v>2</v>
      </c>
      <c r="E1731" s="2118" t="n">
        <v>0</v>
      </c>
      <c r="G1731" s="1797" t="n"/>
      <c r="H1731" s="1777" t="inlineStr">
        <is>
          <t>SUBETAPA</t>
        </is>
      </c>
      <c r="I1731" s="1742" t="inlineStr">
        <is>
          <t>14.004.002</t>
        </is>
      </c>
      <c r="J1731" s="1779" t="inlineStr">
        <is>
          <t>Acabamentos em pedra</t>
        </is>
      </c>
      <c r="K1731" s="1780" t="n"/>
      <c r="L1731" s="1781" t="n"/>
      <c r="M1731" s="1781" t="n"/>
      <c r="N1731" s="1746" t="n"/>
      <c r="O1731" s="1782" t="n"/>
      <c r="P1731" s="1720" t="n"/>
    </row>
    <row r="1732" hidden="1" outlineLevel="3" ht="13.5" customHeight="1">
      <c r="A1732" s="2117" t="n">
        <v>0</v>
      </c>
      <c r="B1732" s="2117" t="n">
        <v>14</v>
      </c>
      <c r="C1732" s="2117" t="n">
        <v>4</v>
      </c>
      <c r="D1732" s="2118" t="n">
        <v>2</v>
      </c>
      <c r="E1732" s="2118" t="n">
        <v>1</v>
      </c>
      <c r="G1732" s="1798" t="inlineStr">
        <is>
          <t>ACABAMENTOS INTERNOS EM PAREDE</t>
        </is>
      </c>
      <c r="H1732" s="1783" t="inlineStr">
        <is>
          <t>SERVIÇO</t>
        </is>
      </c>
      <c r="I1732" s="1750" t="inlineStr">
        <is>
          <t>14.004.002.001</t>
        </is>
      </c>
      <c r="J1732" s="1785" t="inlineStr">
        <is>
          <t>Revestimento de Mármore Travertino Romano em Paredes</t>
        </is>
      </c>
      <c r="K1732" s="1786" t="inlineStr">
        <is>
          <t>m2</t>
        </is>
      </c>
      <c r="L1732" s="1787" t="e">
        <v>#REF!</v>
      </c>
      <c r="M1732" s="1787" t="n">
        <v>1448.2455</v>
      </c>
      <c r="N1732" s="1754" t="n"/>
      <c r="O1732" s="1788" t="inlineStr">
        <is>
          <t>Hall do elevador</t>
        </is>
      </c>
      <c r="P1732" s="1721" t="inlineStr">
        <is>
          <t>Pendente</t>
        </is>
      </c>
    </row>
    <row r="1733" hidden="1" outlineLevel="2" ht="13.5" customHeight="1">
      <c r="A1733" s="2117" t="n">
        <v>0</v>
      </c>
      <c r="B1733" s="2117" t="n">
        <v>14</v>
      </c>
      <c r="C1733" s="2117" t="n">
        <v>4</v>
      </c>
      <c r="D1733" s="2118" t="n">
        <v>3</v>
      </c>
      <c r="E1733" s="2118" t="n">
        <v>0</v>
      </c>
      <c r="G1733" s="1797" t="n"/>
      <c r="H1733" s="1777" t="inlineStr">
        <is>
          <t>SUBETAPA</t>
        </is>
      </c>
      <c r="I1733" s="1742" t="inlineStr">
        <is>
          <t>14.004.003</t>
        </is>
      </c>
      <c r="J1733" s="1779" t="inlineStr">
        <is>
          <t>Mão de obra - Revestimentos</t>
        </is>
      </c>
      <c r="K1733" s="1780" t="n"/>
      <c r="L1733" s="1781" t="n"/>
      <c r="M1733" s="1781" t="n"/>
      <c r="N1733" s="1746" t="n"/>
      <c r="O1733" s="1782" t="n"/>
      <c r="P1733" s="1720" t="n"/>
    </row>
    <row r="1734" hidden="1" outlineLevel="3" ht="13.5" customHeight="1">
      <c r="A1734" s="2117" t="n">
        <v>0</v>
      </c>
      <c r="B1734" s="2117" t="n">
        <v>14</v>
      </c>
      <c r="C1734" s="2117" t="n">
        <v>4</v>
      </c>
      <c r="D1734" s="2118" t="n">
        <v>3</v>
      </c>
      <c r="E1734" s="2118" t="n">
        <v>1</v>
      </c>
      <c r="G1734" s="1798" t="inlineStr">
        <is>
          <t>REVESTIMENTOS ARGAMASSADOS PAREDE</t>
        </is>
      </c>
      <c r="H1734" s="1783" t="inlineStr">
        <is>
          <t>SERVIÇO</t>
        </is>
      </c>
      <c r="I1734" s="1750" t="inlineStr">
        <is>
          <t>14.004.003.001</t>
        </is>
      </c>
      <c r="J1734" s="1785" t="inlineStr">
        <is>
          <t>Mão de obra execução de massa única em paredes interna, incluindo chapisco</t>
        </is>
      </c>
      <c r="K1734" s="1786" t="inlineStr">
        <is>
          <t>m2</t>
        </is>
      </c>
      <c r="L1734" s="1787" t="e">
        <v>#REF!</v>
      </c>
      <c r="M1734" s="1787" t="n">
        <v>42</v>
      </c>
      <c r="N1734" s="1754" t="n"/>
      <c r="O1734" s="1788" t="n"/>
      <c r="P1734" s="1721" t="inlineStr">
        <is>
          <t>Pendente</t>
        </is>
      </c>
    </row>
    <row r="1735" hidden="1" outlineLevel="3" ht="13.5" customHeight="1">
      <c r="A1735" s="2117" t="n">
        <v>0</v>
      </c>
      <c r="B1735" s="2117" t="n">
        <v>14</v>
      </c>
      <c r="C1735" s="2117" t="n">
        <v>4</v>
      </c>
      <c r="D1735" s="2118" t="n">
        <v>3</v>
      </c>
      <c r="E1735" s="2118" t="n">
        <v>2</v>
      </c>
      <c r="G1735" s="1798" t="inlineStr">
        <is>
          <t>REVESTIMENTOS ARGAMASSADOS PAREDE</t>
        </is>
      </c>
      <c r="H1735" s="1783" t="inlineStr">
        <is>
          <t>SERVIÇO</t>
        </is>
      </c>
      <c r="I1735" s="1750" t="inlineStr">
        <is>
          <t>14.004.003.002</t>
        </is>
      </c>
      <c r="J1735" s="1785" t="inlineStr">
        <is>
          <t>Mão de obra estucamento de paredes</t>
        </is>
      </c>
      <c r="K1735" s="1786" t="inlineStr">
        <is>
          <t>m2</t>
        </is>
      </c>
      <c r="L1735" s="1787" t="e">
        <v>#REF!</v>
      </c>
      <c r="M1735" s="1787" t="n">
        <v>30</v>
      </c>
      <c r="N1735" s="1754" t="n"/>
      <c r="O1735" s="1788" t="n"/>
      <c r="P1735" s="1721" t="inlineStr">
        <is>
          <t>Pendente</t>
        </is>
      </c>
    </row>
    <row r="1736" hidden="1" outlineLevel="3" ht="13.5" customHeight="1">
      <c r="A1736" s="2117" t="n">
        <v>0</v>
      </c>
      <c r="B1736" s="2117" t="n">
        <v>14</v>
      </c>
      <c r="C1736" s="2117" t="n">
        <v>4</v>
      </c>
      <c r="D1736" s="2118" t="n">
        <v>3</v>
      </c>
      <c r="E1736" s="2118" t="n">
        <v>3</v>
      </c>
      <c r="G1736" s="1798" t="inlineStr">
        <is>
          <t>ACABAMENTOS INTERNOS EM PAREDE</t>
        </is>
      </c>
      <c r="H1736" s="1783" t="inlineStr">
        <is>
          <t>SERVIÇO</t>
        </is>
      </c>
      <c r="I1736" s="1750" t="inlineStr">
        <is>
          <t>14.004.003.003</t>
        </is>
      </c>
      <c r="J1736" s="1785" t="inlineStr">
        <is>
          <t>Mão de obra para assentamento de Pedras Naturais em parede</t>
        </is>
      </c>
      <c r="K1736" s="1786" t="inlineStr">
        <is>
          <t>m2</t>
        </is>
      </c>
      <c r="L1736" s="1787" t="e">
        <v>#REF!</v>
      </c>
      <c r="M1736" s="1787" t="n">
        <v>75</v>
      </c>
      <c r="N1736" s="1754" t="n"/>
      <c r="O1736" s="1788" t="n"/>
      <c r="P1736" s="1721" t="inlineStr">
        <is>
          <t>Pendente</t>
        </is>
      </c>
    </row>
    <row r="1737" hidden="1" outlineLevel="1" ht="13.5" customHeight="1">
      <c r="A1737" s="2117" t="n">
        <v>0</v>
      </c>
      <c r="B1737" s="2117" t="n">
        <v>14</v>
      </c>
      <c r="C1737" s="2117" t="n">
        <v>5</v>
      </c>
      <c r="D1737" s="2118" t="n">
        <v>0</v>
      </c>
      <c r="E1737" s="2118" t="n">
        <v>3</v>
      </c>
      <c r="G1737" s="1796" t="n"/>
      <c r="H1737" s="1771" t="inlineStr">
        <is>
          <t>ETAPA</t>
        </is>
      </c>
      <c r="I1737" s="1735" t="inlineStr">
        <is>
          <t>14.005</t>
        </is>
      </c>
      <c r="J1737" s="1773" t="inlineStr">
        <is>
          <t>REVESTIMENTOS INTERNOS DE PAREDE - G3</t>
        </is>
      </c>
      <c r="K1737" s="1774" t="n"/>
      <c r="L1737" s="1775" t="n"/>
      <c r="M1737" s="1775" t="n"/>
      <c r="N1737" s="1739" t="n"/>
      <c r="O1737" s="1776" t="n"/>
      <c r="P1737" s="1719" t="n"/>
    </row>
    <row r="1738" hidden="1" outlineLevel="2" ht="13.5" customHeight="1">
      <c r="A1738" s="2117" t="n">
        <v>0</v>
      </c>
      <c r="B1738" s="2117" t="n">
        <v>14</v>
      </c>
      <c r="C1738" s="2117" t="n">
        <v>5</v>
      </c>
      <c r="D1738" s="2118" t="n">
        <v>1</v>
      </c>
      <c r="E1738" s="2118" t="n">
        <v>0</v>
      </c>
      <c r="G1738" s="1797" t="n"/>
      <c r="H1738" s="1777" t="inlineStr">
        <is>
          <t>SUBETAPA</t>
        </is>
      </c>
      <c r="I1738" s="1742" t="inlineStr">
        <is>
          <t>14.005.001</t>
        </is>
      </c>
      <c r="J1738" s="1779" t="inlineStr">
        <is>
          <t>Argamassado interno em parede</t>
        </is>
      </c>
      <c r="K1738" s="1780" t="n"/>
      <c r="L1738" s="1781" t="n"/>
      <c r="M1738" s="1781" t="n"/>
      <c r="N1738" s="1746" t="n"/>
      <c r="O1738" s="1782" t="n"/>
      <c r="P1738" s="1720" t="n"/>
    </row>
    <row r="1739" hidden="1" outlineLevel="3" ht="13.5" customHeight="1">
      <c r="A1739" s="2117" t="n">
        <v>0</v>
      </c>
      <c r="B1739" s="2117" t="n">
        <v>14</v>
      </c>
      <c r="C1739" s="2117" t="n">
        <v>5</v>
      </c>
      <c r="D1739" s="2118" t="n">
        <v>1</v>
      </c>
      <c r="E1739" s="2118" t="n">
        <v>1</v>
      </c>
      <c r="G1739" s="1798" t="inlineStr">
        <is>
          <t>REVESTIMENTOS ARGAMASSADOS PAREDE</t>
        </is>
      </c>
      <c r="H1739" s="1783" t="inlineStr">
        <is>
          <t>SERVIÇO</t>
        </is>
      </c>
      <c r="I1739" s="1750" t="inlineStr">
        <is>
          <t>14.005.001.001</t>
        </is>
      </c>
      <c r="J1739" s="1785" t="inlineStr">
        <is>
          <t>Chapisco aplicado em estruturas de concreto, com argamassa pré-fabricada adesiva de cimento colante, aplicação convencional</t>
        </is>
      </c>
      <c r="K1739" s="1786" t="inlineStr">
        <is>
          <t>m2</t>
        </is>
      </c>
      <c r="L1739" s="1787" t="e">
        <v>#REF!</v>
      </c>
      <c r="M1739" s="1787" t="n">
        <v>10.11778</v>
      </c>
      <c r="N1739" s="1754" t="n"/>
      <c r="O1739" s="1788" t="n"/>
      <c r="P1739" s="1721" t="inlineStr">
        <is>
          <t>Pendente</t>
        </is>
      </c>
    </row>
    <row r="1740" hidden="1" outlineLevel="3" ht="13.5" customHeight="1">
      <c r="A1740" s="2117" t="n">
        <v>0</v>
      </c>
      <c r="B1740" s="2117" t="n">
        <v>14</v>
      </c>
      <c r="C1740" s="2117" t="n">
        <v>5</v>
      </c>
      <c r="D1740" s="2118" t="n">
        <v>1</v>
      </c>
      <c r="E1740" s="2118" t="n">
        <v>2</v>
      </c>
      <c r="G1740" s="1798" t="inlineStr">
        <is>
          <t>REVESTIMENTOS ARGAMASSADOS PAREDE</t>
        </is>
      </c>
      <c r="H1740" s="1783" t="inlineStr">
        <is>
          <t>SERVIÇO</t>
        </is>
      </c>
      <c r="I1740" s="1750" t="inlineStr">
        <is>
          <t>14.005.001.002</t>
        </is>
      </c>
      <c r="J1740" s="1785" t="inlineStr">
        <is>
          <t>Chapisco interno de argamassa preparada em obra de cimento e areia - traço 1:4 - aplicação em paredes internas</t>
        </is>
      </c>
      <c r="K1740" s="1786" t="inlineStr">
        <is>
          <t>m2</t>
        </is>
      </c>
      <c r="L1740" s="1787" t="e">
        <v>#REF!</v>
      </c>
      <c r="M1740" s="1787" t="n">
        <v>3.28945</v>
      </c>
      <c r="N1740" s="1754" t="n"/>
      <c r="O1740" s="1788" t="n"/>
      <c r="P1740" s="1721" t="inlineStr">
        <is>
          <t>Pendente</t>
        </is>
      </c>
    </row>
    <row r="1741" hidden="1" outlineLevel="3" ht="13.5" customHeight="1">
      <c r="A1741" s="2117" t="n">
        <v>0</v>
      </c>
      <c r="B1741" s="2117" t="n">
        <v>14</v>
      </c>
      <c r="C1741" s="2117" t="n">
        <v>5</v>
      </c>
      <c r="D1741" s="2118" t="n">
        <v>1</v>
      </c>
      <c r="E1741" s="2118" t="n">
        <v>3</v>
      </c>
      <c r="G1741" s="1798" t="inlineStr">
        <is>
          <t>REVESTIMENTOS ARGAMASSADOS PAREDE</t>
        </is>
      </c>
      <c r="H1741" s="1783" t="inlineStr">
        <is>
          <t>SERVIÇO</t>
        </is>
      </c>
      <c r="I1741" s="1750" t="inlineStr">
        <is>
          <t>14.005.001.003</t>
        </is>
      </c>
      <c r="J1741" s="1785" t="inlineStr">
        <is>
          <t>Massa unica para reboco interno em argamassa estabilizada, espessura de 2,5cm, com execução desempenado fino</t>
        </is>
      </c>
      <c r="K1741" s="1786" t="inlineStr">
        <is>
          <t>m2</t>
        </is>
      </c>
      <c r="L1741" s="1787" t="e">
        <v>#REF!</v>
      </c>
      <c r="M1741" s="1787" t="n">
        <v>12.075</v>
      </c>
      <c r="N1741" s="1754" t="n"/>
      <c r="O1741" s="1788" t="n"/>
      <c r="P1741" s="1721" t="inlineStr">
        <is>
          <t>Pendente</t>
        </is>
      </c>
    </row>
    <row r="1742" hidden="1" outlineLevel="3" ht="13.5" customHeight="1">
      <c r="A1742" s="2117" t="n">
        <v>0</v>
      </c>
      <c r="B1742" s="2117" t="n">
        <v>14</v>
      </c>
      <c r="C1742" s="2117" t="n">
        <v>5</v>
      </c>
      <c r="D1742" s="2118" t="n">
        <v>1</v>
      </c>
      <c r="E1742" s="2118" t="n">
        <v>4</v>
      </c>
      <c r="G1742" s="1798" t="inlineStr">
        <is>
          <t>REVESTIMENTOS ARGAMASSADOS PAREDE</t>
        </is>
      </c>
      <c r="H1742" s="1783" t="inlineStr">
        <is>
          <t>SERVIÇO</t>
        </is>
      </c>
      <c r="I1742" s="1750" t="inlineStr">
        <is>
          <t>14.005.001.004</t>
        </is>
      </c>
      <c r="J1742" s="1785" t="inlineStr">
        <is>
          <t>Estucamento de estrutura de concreto em pilares e vigas</t>
        </is>
      </c>
      <c r="K1742" s="1786" t="inlineStr">
        <is>
          <t>m2</t>
        </is>
      </c>
      <c r="L1742" s="1787" t="e">
        <v>#REF!</v>
      </c>
      <c r="M1742" s="1787" t="n">
        <v>5.102916666666666</v>
      </c>
      <c r="N1742" s="1754" t="n"/>
      <c r="O1742" s="1788" t="n"/>
      <c r="P1742" s="1721" t="inlineStr">
        <is>
          <t>Pendente</t>
        </is>
      </c>
    </row>
    <row r="1743" hidden="1" outlineLevel="2" ht="13.5" customHeight="1">
      <c r="A1743" s="2117" t="n">
        <v>0</v>
      </c>
      <c r="B1743" s="2117" t="n">
        <v>14</v>
      </c>
      <c r="C1743" s="2117" t="n">
        <v>5</v>
      </c>
      <c r="D1743" s="2118" t="n">
        <v>2</v>
      </c>
      <c r="E1743" s="2118" t="n">
        <v>0</v>
      </c>
      <c r="G1743" s="1797" t="n"/>
      <c r="H1743" s="1777" t="inlineStr">
        <is>
          <t>SUBETAPA</t>
        </is>
      </c>
      <c r="I1743" s="1742" t="inlineStr">
        <is>
          <t>14.005.002</t>
        </is>
      </c>
      <c r="J1743" s="1779" t="inlineStr">
        <is>
          <t>Acabamentos em pedra</t>
        </is>
      </c>
      <c r="K1743" s="1780" t="n"/>
      <c r="L1743" s="1781" t="n"/>
      <c r="M1743" s="1781" t="n"/>
      <c r="N1743" s="1746" t="n"/>
      <c r="O1743" s="1782" t="n"/>
      <c r="P1743" s="1720" t="n"/>
    </row>
    <row r="1744" hidden="1" outlineLevel="3" ht="13.5" customHeight="1">
      <c r="A1744" s="2117" t="n">
        <v>0</v>
      </c>
      <c r="B1744" s="2117" t="n">
        <v>14</v>
      </c>
      <c r="C1744" s="2117" t="n">
        <v>5</v>
      </c>
      <c r="D1744" s="2118" t="n">
        <v>2</v>
      </c>
      <c r="E1744" s="2118" t="n">
        <v>1</v>
      </c>
      <c r="G1744" s="1798" t="inlineStr">
        <is>
          <t>ACABAMENTOS INTERNOS EM PAREDE</t>
        </is>
      </c>
      <c r="H1744" s="1783" t="inlineStr">
        <is>
          <t>SERVIÇO</t>
        </is>
      </c>
      <c r="I1744" s="1750" t="inlineStr">
        <is>
          <t>14.005.002.001</t>
        </is>
      </c>
      <c r="J1744" s="1785" t="inlineStr">
        <is>
          <t>Revestimento de Mármore Travertino Romano em Paredes</t>
        </is>
      </c>
      <c r="K1744" s="1786" t="inlineStr">
        <is>
          <t>m2</t>
        </is>
      </c>
      <c r="L1744" s="1787" t="e">
        <v>#REF!</v>
      </c>
      <c r="M1744" s="1787" t="n">
        <v>1448.2455</v>
      </c>
      <c r="N1744" s="1754" t="n"/>
      <c r="O1744" s="1788" t="inlineStr">
        <is>
          <t>Hall do elevador</t>
        </is>
      </c>
      <c r="P1744" s="1721" t="inlineStr">
        <is>
          <t>Pendente</t>
        </is>
      </c>
    </row>
    <row r="1745" hidden="1" outlineLevel="2" ht="13.5" customHeight="1">
      <c r="A1745" s="2117" t="n">
        <v>0</v>
      </c>
      <c r="B1745" s="2117" t="n">
        <v>14</v>
      </c>
      <c r="C1745" s="2117" t="n">
        <v>5</v>
      </c>
      <c r="D1745" s="2118" t="n">
        <v>3</v>
      </c>
      <c r="E1745" s="2118" t="n">
        <v>0</v>
      </c>
      <c r="G1745" s="1797" t="n"/>
      <c r="H1745" s="1777" t="inlineStr">
        <is>
          <t>SUBETAPA</t>
        </is>
      </c>
      <c r="I1745" s="1742" t="inlineStr">
        <is>
          <t>14.005.003</t>
        </is>
      </c>
      <c r="J1745" s="1779" t="inlineStr">
        <is>
          <t>Mão de obra - Revestimentos</t>
        </is>
      </c>
      <c r="K1745" s="1780" t="n"/>
      <c r="L1745" s="1781" t="n"/>
      <c r="M1745" s="1781" t="n"/>
      <c r="N1745" s="1746" t="n"/>
      <c r="O1745" s="1782" t="n"/>
      <c r="P1745" s="1720" t="n"/>
    </row>
    <row r="1746" hidden="1" outlineLevel="3" ht="13.5" customHeight="1">
      <c r="A1746" s="2117" t="n">
        <v>0</v>
      </c>
      <c r="B1746" s="2117" t="n">
        <v>14</v>
      </c>
      <c r="C1746" s="2117" t="n">
        <v>5</v>
      </c>
      <c r="D1746" s="2118" t="n">
        <v>3</v>
      </c>
      <c r="E1746" s="2118" t="n">
        <v>1</v>
      </c>
      <c r="G1746" s="1798" t="inlineStr">
        <is>
          <t>REVESTIMENTOS ARGAMASSADOS PAREDE</t>
        </is>
      </c>
      <c r="H1746" s="1783" t="inlineStr">
        <is>
          <t>SERVIÇO</t>
        </is>
      </c>
      <c r="I1746" s="1750" t="inlineStr">
        <is>
          <t>14.005.003.001</t>
        </is>
      </c>
      <c r="J1746" s="1785" t="inlineStr">
        <is>
          <t>Mão de obra execução de massa única em paredes interna, incluindo chapisco</t>
        </is>
      </c>
      <c r="K1746" s="1786" t="inlineStr">
        <is>
          <t>m2</t>
        </is>
      </c>
      <c r="L1746" s="1787" t="e">
        <v>#REF!</v>
      </c>
      <c r="M1746" s="1787" t="n">
        <v>42</v>
      </c>
      <c r="N1746" s="1754" t="n"/>
      <c r="O1746" s="1788" t="n"/>
      <c r="P1746" s="1721" t="inlineStr">
        <is>
          <t>Pendente</t>
        </is>
      </c>
    </row>
    <row r="1747" hidden="1" outlineLevel="3" ht="13.5" customHeight="1">
      <c r="A1747" s="2117" t="n">
        <v>0</v>
      </c>
      <c r="B1747" s="2117" t="n">
        <v>14</v>
      </c>
      <c r="C1747" s="2117" t="n">
        <v>5</v>
      </c>
      <c r="D1747" s="2118" t="n">
        <v>3</v>
      </c>
      <c r="E1747" s="2118" t="n">
        <v>2</v>
      </c>
      <c r="G1747" s="1798" t="inlineStr">
        <is>
          <t>REVESTIMENTOS ARGAMASSADOS PAREDE</t>
        </is>
      </c>
      <c r="H1747" s="1783" t="inlineStr">
        <is>
          <t>SERVIÇO</t>
        </is>
      </c>
      <c r="I1747" s="1750" t="inlineStr">
        <is>
          <t>14.005.003.002</t>
        </is>
      </c>
      <c r="J1747" s="1785" t="inlineStr">
        <is>
          <t>Mão de obra estucamento de paredes</t>
        </is>
      </c>
      <c r="K1747" s="1786" t="inlineStr">
        <is>
          <t>m2</t>
        </is>
      </c>
      <c r="L1747" s="1787" t="e">
        <v>#REF!</v>
      </c>
      <c r="M1747" s="1787" t="n">
        <v>30</v>
      </c>
      <c r="N1747" s="1754" t="n"/>
      <c r="O1747" s="1788" t="n"/>
      <c r="P1747" s="1721" t="inlineStr">
        <is>
          <t>Pendente</t>
        </is>
      </c>
    </row>
    <row r="1748" hidden="1" outlineLevel="3" ht="13.5" customHeight="1">
      <c r="A1748" s="2117" t="n">
        <v>0</v>
      </c>
      <c r="B1748" s="2117" t="n">
        <v>14</v>
      </c>
      <c r="C1748" s="2117" t="n">
        <v>5</v>
      </c>
      <c r="D1748" s="2118" t="n">
        <v>3</v>
      </c>
      <c r="E1748" s="2118" t="n">
        <v>3</v>
      </c>
      <c r="G1748" s="1798" t="inlineStr">
        <is>
          <t>ACABAMENTOS INTERNOS EM PAREDE</t>
        </is>
      </c>
      <c r="H1748" s="1783" t="inlineStr">
        <is>
          <t>SERVIÇO</t>
        </is>
      </c>
      <c r="I1748" s="1750" t="inlineStr">
        <is>
          <t>14.005.003.003</t>
        </is>
      </c>
      <c r="J1748" s="1785" t="inlineStr">
        <is>
          <t>Mão de obra para assentamento de Pedras Naturais em parede</t>
        </is>
      </c>
      <c r="K1748" s="1786" t="inlineStr">
        <is>
          <t>m2</t>
        </is>
      </c>
      <c r="L1748" s="1787" t="e">
        <v>#REF!</v>
      </c>
      <c r="M1748" s="1787" t="n">
        <v>75</v>
      </c>
      <c r="N1748" s="1754" t="n"/>
      <c r="O1748" s="1788" t="n"/>
      <c r="P1748" s="1721" t="inlineStr">
        <is>
          <t>Pendente</t>
        </is>
      </c>
    </row>
    <row r="1749" hidden="1" outlineLevel="1" ht="13.5" customHeight="1">
      <c r="A1749" s="2117" t="n">
        <v>0</v>
      </c>
      <c r="B1749" s="2117" t="n">
        <v>14</v>
      </c>
      <c r="C1749" s="2117" t="n">
        <v>6</v>
      </c>
      <c r="D1749" s="2118" t="n">
        <v>0</v>
      </c>
      <c r="E1749" s="2118" t="n">
        <v>3</v>
      </c>
      <c r="G1749" s="1796" t="n"/>
      <c r="H1749" s="1771" t="inlineStr">
        <is>
          <t>ETAPA</t>
        </is>
      </c>
      <c r="I1749" s="1735" t="inlineStr">
        <is>
          <t>14.006</t>
        </is>
      </c>
      <c r="J1749" s="1773" t="inlineStr">
        <is>
          <t>REVESTIMENTOS INTERNOS DE PAREDE - Mezanino G3</t>
        </is>
      </c>
      <c r="K1749" s="1774" t="n"/>
      <c r="L1749" s="1775" t="n"/>
      <c r="M1749" s="1775" t="n"/>
      <c r="N1749" s="1739" t="n"/>
      <c r="O1749" s="1776" t="n"/>
      <c r="P1749" s="1719" t="n"/>
    </row>
    <row r="1750" hidden="1" outlineLevel="2" ht="13.5" customHeight="1">
      <c r="A1750" s="2117" t="n">
        <v>0</v>
      </c>
      <c r="B1750" s="2117" t="n">
        <v>14</v>
      </c>
      <c r="C1750" s="2117" t="n">
        <v>6</v>
      </c>
      <c r="D1750" s="2118" t="n">
        <v>1</v>
      </c>
      <c r="E1750" s="2118" t="n">
        <v>0</v>
      </c>
      <c r="G1750" s="1797" t="n"/>
      <c r="H1750" s="1777" t="inlineStr">
        <is>
          <t>SUBETAPA</t>
        </is>
      </c>
      <c r="I1750" s="1742" t="inlineStr">
        <is>
          <t>14.006.001</t>
        </is>
      </c>
      <c r="J1750" s="1779" t="inlineStr">
        <is>
          <t>Argamassado interno em parede</t>
        </is>
      </c>
      <c r="K1750" s="1780" t="n"/>
      <c r="L1750" s="1781" t="n"/>
      <c r="M1750" s="1781" t="n"/>
      <c r="N1750" s="1746" t="n"/>
      <c r="O1750" s="1782" t="n"/>
      <c r="P1750" s="1720" t="n"/>
    </row>
    <row r="1751" hidden="1" outlineLevel="3" ht="13.5" customHeight="1">
      <c r="A1751" s="2117" t="n">
        <v>0</v>
      </c>
      <c r="B1751" s="2117" t="n">
        <v>14</v>
      </c>
      <c r="C1751" s="2117" t="n">
        <v>6</v>
      </c>
      <c r="D1751" s="2118" t="n">
        <v>1</v>
      </c>
      <c r="E1751" s="2118" t="n">
        <v>1</v>
      </c>
      <c r="G1751" s="1798" t="inlineStr">
        <is>
          <t>REVESTIMENTOS ARGAMASSADOS PAREDE</t>
        </is>
      </c>
      <c r="H1751" s="1783" t="inlineStr">
        <is>
          <t>SERVIÇO</t>
        </is>
      </c>
      <c r="I1751" s="1750" t="inlineStr">
        <is>
          <t>14.006.001.001</t>
        </is>
      </c>
      <c r="J1751" s="1785" t="inlineStr">
        <is>
          <t>Chapisco aplicado em estruturas de concreto, com argamassa pré-fabricada adesiva de cimento colante, aplicação convencional</t>
        </is>
      </c>
      <c r="K1751" s="1786" t="inlineStr">
        <is>
          <t>m2</t>
        </is>
      </c>
      <c r="L1751" s="1787" t="e">
        <v>#REF!</v>
      </c>
      <c r="M1751" s="1787" t="n">
        <v>10.11778</v>
      </c>
      <c r="N1751" s="1754" t="n"/>
      <c r="O1751" s="1788" t="n"/>
      <c r="P1751" s="1721" t="inlineStr">
        <is>
          <t>Pendente</t>
        </is>
      </c>
    </row>
    <row r="1752" hidden="1" outlineLevel="3" ht="13.5" customHeight="1">
      <c r="A1752" s="2117" t="n">
        <v>0</v>
      </c>
      <c r="B1752" s="2117" t="n">
        <v>14</v>
      </c>
      <c r="C1752" s="2117" t="n">
        <v>6</v>
      </c>
      <c r="D1752" s="2118" t="n">
        <v>1</v>
      </c>
      <c r="E1752" s="2118" t="n">
        <v>2</v>
      </c>
      <c r="G1752" s="1798" t="inlineStr">
        <is>
          <t>REVESTIMENTOS ARGAMASSADOS PAREDE</t>
        </is>
      </c>
      <c r="H1752" s="1783" t="inlineStr">
        <is>
          <t>SERVIÇO</t>
        </is>
      </c>
      <c r="I1752" s="1750" t="inlineStr">
        <is>
          <t>14.006.001.002</t>
        </is>
      </c>
      <c r="J1752" s="1785" t="inlineStr">
        <is>
          <t>Chapisco interno de argamassa preparada em obra de cimento e areia - traço 1:4 - aplicação em paredes internas</t>
        </is>
      </c>
      <c r="K1752" s="1786" t="inlineStr">
        <is>
          <t>m2</t>
        </is>
      </c>
      <c r="L1752" s="1787" t="e">
        <v>#REF!</v>
      </c>
      <c r="M1752" s="1787" t="n">
        <v>3.28945</v>
      </c>
      <c r="N1752" s="1754" t="n"/>
      <c r="O1752" s="1788" t="n"/>
      <c r="P1752" s="1721" t="inlineStr">
        <is>
          <t>Pendente</t>
        </is>
      </c>
    </row>
    <row r="1753" hidden="1" outlineLevel="3" ht="13.5" customHeight="1">
      <c r="A1753" s="2117" t="n">
        <v>0</v>
      </c>
      <c r="B1753" s="2117" t="n">
        <v>14</v>
      </c>
      <c r="C1753" s="2117" t="n">
        <v>6</v>
      </c>
      <c r="D1753" s="2118" t="n">
        <v>1</v>
      </c>
      <c r="E1753" s="2118" t="n">
        <v>3</v>
      </c>
      <c r="G1753" s="1798" t="inlineStr">
        <is>
          <t>REVESTIMENTOS ARGAMASSADOS PAREDE</t>
        </is>
      </c>
      <c r="H1753" s="1783" t="inlineStr">
        <is>
          <t>SERVIÇO</t>
        </is>
      </c>
      <c r="I1753" s="1750" t="inlineStr">
        <is>
          <t>14.006.001.003</t>
        </is>
      </c>
      <c r="J1753" s="1785" t="inlineStr">
        <is>
          <t>Massa unica para reboco interno em argamassa estabilizada, espessura de 2,5cm, com execução desempenado fino</t>
        </is>
      </c>
      <c r="K1753" s="1786" t="inlineStr">
        <is>
          <t>m2</t>
        </is>
      </c>
      <c r="L1753" s="1787" t="e">
        <v>#REF!</v>
      </c>
      <c r="M1753" s="1787" t="n">
        <v>12.075</v>
      </c>
      <c r="N1753" s="1754" t="n"/>
      <c r="O1753" s="1788" t="n"/>
      <c r="P1753" s="1721" t="inlineStr">
        <is>
          <t>Pendente</t>
        </is>
      </c>
    </row>
    <row r="1754" hidden="1" outlineLevel="3" ht="13.5" customHeight="1">
      <c r="A1754" s="2117" t="n">
        <v>0</v>
      </c>
      <c r="B1754" s="2117" t="n">
        <v>14</v>
      </c>
      <c r="C1754" s="2117" t="n">
        <v>6</v>
      </c>
      <c r="D1754" s="2118" t="n">
        <v>1</v>
      </c>
      <c r="E1754" s="2118" t="n">
        <v>4</v>
      </c>
      <c r="G1754" s="1798" t="inlineStr">
        <is>
          <t>REVESTIMENTOS ARGAMASSADOS PAREDE</t>
        </is>
      </c>
      <c r="H1754" s="1783" t="inlineStr">
        <is>
          <t>SERVIÇO</t>
        </is>
      </c>
      <c r="I1754" s="1750" t="inlineStr">
        <is>
          <t>14.006.001.004</t>
        </is>
      </c>
      <c r="J1754" s="1785" t="inlineStr">
        <is>
          <t>Estucamento de estrutura de concreto em pilares e vigas</t>
        </is>
      </c>
      <c r="K1754" s="1786" t="inlineStr">
        <is>
          <t>m2</t>
        </is>
      </c>
      <c r="L1754" s="1787" t="e">
        <v>#REF!</v>
      </c>
      <c r="M1754" s="1787" t="n">
        <v>5.102916666666666</v>
      </c>
      <c r="N1754" s="1754" t="n"/>
      <c r="O1754" s="1788" t="n"/>
      <c r="P1754" s="1721" t="inlineStr">
        <is>
          <t>Pendente</t>
        </is>
      </c>
    </row>
    <row r="1755" hidden="1" outlineLevel="2" ht="13.5" customHeight="1">
      <c r="A1755" s="2117" t="n">
        <v>0</v>
      </c>
      <c r="B1755" s="2117" t="n">
        <v>14</v>
      </c>
      <c r="C1755" s="2117" t="n">
        <v>6</v>
      </c>
      <c r="D1755" s="2118" t="n">
        <v>2</v>
      </c>
      <c r="E1755" s="2118" t="n">
        <v>0</v>
      </c>
      <c r="G1755" s="1797" t="n"/>
      <c r="H1755" s="1777" t="inlineStr">
        <is>
          <t>SUBETAPA</t>
        </is>
      </c>
      <c r="I1755" s="1742" t="inlineStr">
        <is>
          <t>14.006.002</t>
        </is>
      </c>
      <c r="J1755" s="1779" t="inlineStr">
        <is>
          <t>Acabamentos em pedra</t>
        </is>
      </c>
      <c r="K1755" s="1780" t="n"/>
      <c r="L1755" s="1781" t="n"/>
      <c r="M1755" s="1781" t="n"/>
      <c r="N1755" s="1746" t="n"/>
      <c r="O1755" s="1782" t="n"/>
      <c r="P1755" s="1720" t="n"/>
    </row>
    <row r="1756" hidden="1" outlineLevel="3" ht="13.5" customHeight="1">
      <c r="A1756" s="2117" t="n">
        <v>0</v>
      </c>
      <c r="B1756" s="2117" t="n">
        <v>14</v>
      </c>
      <c r="C1756" s="2117" t="n">
        <v>6</v>
      </c>
      <c r="D1756" s="2118" t="n">
        <v>2</v>
      </c>
      <c r="E1756" s="2118" t="n">
        <v>1</v>
      </c>
      <c r="G1756" s="1798" t="inlineStr">
        <is>
          <t>ACABAMENTOS INTERNOS EM PAREDE</t>
        </is>
      </c>
      <c r="H1756" s="1783" t="inlineStr">
        <is>
          <t>SERVIÇO</t>
        </is>
      </c>
      <c r="I1756" s="1750" t="inlineStr">
        <is>
          <t>14.006.002.001</t>
        </is>
      </c>
      <c r="J1756" s="1785" t="inlineStr">
        <is>
          <t>Revestimento de Mármore Travertino Romano em Paredes</t>
        </is>
      </c>
      <c r="K1756" s="1786" t="inlineStr">
        <is>
          <t>m2</t>
        </is>
      </c>
      <c r="L1756" s="1787" t="e">
        <v>#REF!</v>
      </c>
      <c r="M1756" s="1787" t="n">
        <v>1448.2455</v>
      </c>
      <c r="N1756" s="1754" t="n"/>
      <c r="O1756" s="1788" t="inlineStr">
        <is>
          <t>Hall do elevador</t>
        </is>
      </c>
      <c r="P1756" s="1721" t="inlineStr">
        <is>
          <t>Pendente</t>
        </is>
      </c>
    </row>
    <row r="1757" hidden="1" outlineLevel="2" ht="13.5" customHeight="1">
      <c r="A1757" s="2117" t="n">
        <v>0</v>
      </c>
      <c r="B1757" s="2117" t="n">
        <v>14</v>
      </c>
      <c r="C1757" s="2117" t="n">
        <v>6</v>
      </c>
      <c r="D1757" s="2118" t="n">
        <v>3</v>
      </c>
      <c r="E1757" s="2118" t="n">
        <v>0</v>
      </c>
      <c r="G1757" s="1797" t="n"/>
      <c r="H1757" s="1777" t="inlineStr">
        <is>
          <t>SUBETAPA</t>
        </is>
      </c>
      <c r="I1757" s="1742" t="inlineStr">
        <is>
          <t>14.006.003</t>
        </is>
      </c>
      <c r="J1757" s="1779" t="inlineStr">
        <is>
          <t>Mão de obra - Revestimentos</t>
        </is>
      </c>
      <c r="K1757" s="1780" t="n"/>
      <c r="L1757" s="1781" t="n"/>
      <c r="M1757" s="1781" t="n"/>
      <c r="N1757" s="1746" t="n"/>
      <c r="O1757" s="1782" t="n"/>
      <c r="P1757" s="1720" t="n"/>
    </row>
    <row r="1758" hidden="1" outlineLevel="3" ht="13.5" customHeight="1">
      <c r="A1758" s="2117" t="n">
        <v>0</v>
      </c>
      <c r="B1758" s="2117" t="n">
        <v>14</v>
      </c>
      <c r="C1758" s="2117" t="n">
        <v>6</v>
      </c>
      <c r="D1758" s="2118" t="n">
        <v>3</v>
      </c>
      <c r="E1758" s="2118" t="n">
        <v>1</v>
      </c>
      <c r="G1758" s="1798" t="inlineStr">
        <is>
          <t>REVESTIMENTOS ARGAMASSADOS PAREDE</t>
        </is>
      </c>
      <c r="H1758" s="1783" t="inlineStr">
        <is>
          <t>SERVIÇO</t>
        </is>
      </c>
      <c r="I1758" s="1750" t="inlineStr">
        <is>
          <t>14.006.003.001</t>
        </is>
      </c>
      <c r="J1758" s="1785" t="inlineStr">
        <is>
          <t>Mão de obra execução de massa única em paredes interna, incluindo chapisco</t>
        </is>
      </c>
      <c r="K1758" s="1786" t="inlineStr">
        <is>
          <t>m2</t>
        </is>
      </c>
      <c r="L1758" s="1787" t="e">
        <v>#REF!</v>
      </c>
      <c r="M1758" s="1787" t="n">
        <v>42</v>
      </c>
      <c r="N1758" s="1754" t="n"/>
      <c r="O1758" s="1788" t="n"/>
      <c r="P1758" s="1721" t="inlineStr">
        <is>
          <t>Pendente</t>
        </is>
      </c>
    </row>
    <row r="1759" hidden="1" outlineLevel="3" ht="13.5" customHeight="1">
      <c r="A1759" s="2117" t="n">
        <v>0</v>
      </c>
      <c r="B1759" s="2117" t="n">
        <v>14</v>
      </c>
      <c r="C1759" s="2117" t="n">
        <v>6</v>
      </c>
      <c r="D1759" s="2118" t="n">
        <v>3</v>
      </c>
      <c r="E1759" s="2118" t="n">
        <v>2</v>
      </c>
      <c r="G1759" s="1798" t="inlineStr">
        <is>
          <t>REVESTIMENTOS ARGAMASSADOS PAREDE</t>
        </is>
      </c>
      <c r="H1759" s="1783" t="inlineStr">
        <is>
          <t>SERVIÇO</t>
        </is>
      </c>
      <c r="I1759" s="1750" t="inlineStr">
        <is>
          <t>14.006.003.002</t>
        </is>
      </c>
      <c r="J1759" s="1785" t="inlineStr">
        <is>
          <t>Mão de obra estucamento de paredes</t>
        </is>
      </c>
      <c r="K1759" s="1786" t="inlineStr">
        <is>
          <t>m2</t>
        </is>
      </c>
      <c r="L1759" s="1787" t="e">
        <v>#REF!</v>
      </c>
      <c r="M1759" s="1787" t="n">
        <v>30</v>
      </c>
      <c r="N1759" s="1754" t="n"/>
      <c r="O1759" s="1788" t="n"/>
      <c r="P1759" s="1721" t="inlineStr">
        <is>
          <t>Pendente</t>
        </is>
      </c>
    </row>
    <row r="1760" hidden="1" outlineLevel="3" ht="13.5" customHeight="1">
      <c r="A1760" s="2117" t="n">
        <v>0</v>
      </c>
      <c r="B1760" s="2117" t="n">
        <v>14</v>
      </c>
      <c r="C1760" s="2117" t="n">
        <v>6</v>
      </c>
      <c r="D1760" s="2118" t="n">
        <v>3</v>
      </c>
      <c r="E1760" s="2118" t="n">
        <v>3</v>
      </c>
      <c r="G1760" s="1798" t="inlineStr">
        <is>
          <t>ACABAMENTOS INTERNOS EM PAREDE</t>
        </is>
      </c>
      <c r="H1760" s="1783" t="inlineStr">
        <is>
          <t>SERVIÇO</t>
        </is>
      </c>
      <c r="I1760" s="1750" t="inlineStr">
        <is>
          <t>14.006.003.003</t>
        </is>
      </c>
      <c r="J1760" s="1785" t="inlineStr">
        <is>
          <t>Mão de obra para assentamento de Pedras Naturais em parede</t>
        </is>
      </c>
      <c r="K1760" s="1786" t="inlineStr">
        <is>
          <t>m2</t>
        </is>
      </c>
      <c r="L1760" s="1787" t="e">
        <v>#REF!</v>
      </c>
      <c r="M1760" s="1787" t="n">
        <v>75</v>
      </c>
      <c r="N1760" s="1754" t="n"/>
      <c r="O1760" s="1788" t="n"/>
      <c r="P1760" s="1721" t="inlineStr">
        <is>
          <t>Pendente</t>
        </is>
      </c>
    </row>
    <row r="1761" hidden="1" outlineLevel="1" ht="13.5" customHeight="1">
      <c r="A1761" s="2117" t="n">
        <v>0</v>
      </c>
      <c r="B1761" s="2117" t="n">
        <v>14</v>
      </c>
      <c r="C1761" s="2117" t="n">
        <v>7</v>
      </c>
      <c r="D1761" s="2118" t="n">
        <v>0</v>
      </c>
      <c r="E1761" s="2118" t="n">
        <v>3</v>
      </c>
      <c r="G1761" s="1796" t="n"/>
      <c r="H1761" s="1771" t="inlineStr">
        <is>
          <t>ETAPA</t>
        </is>
      </c>
      <c r="I1761" s="1735" t="inlineStr">
        <is>
          <t>14.007</t>
        </is>
      </c>
      <c r="J1761" s="1773" t="inlineStr">
        <is>
          <t>REVESTIMENTOS INTERNOS DE PAREDE - Lazer | Garagem</t>
        </is>
      </c>
      <c r="K1761" s="1774" t="n"/>
      <c r="L1761" s="1775" t="n"/>
      <c r="M1761" s="1775" t="n"/>
      <c r="N1761" s="1739" t="n"/>
      <c r="O1761" s="1776" t="n"/>
      <c r="P1761" s="1719" t="n"/>
    </row>
    <row r="1762" hidden="1" outlineLevel="2" ht="13.5" customHeight="1">
      <c r="A1762" s="2117" t="n">
        <v>0</v>
      </c>
      <c r="B1762" s="2117" t="n">
        <v>14</v>
      </c>
      <c r="C1762" s="2117" t="n">
        <v>7</v>
      </c>
      <c r="D1762" s="2118" t="n">
        <v>1</v>
      </c>
      <c r="E1762" s="2118" t="n">
        <v>0</v>
      </c>
      <c r="G1762" s="1797" t="n"/>
      <c r="H1762" s="1777" t="inlineStr">
        <is>
          <t>SUBETAPA</t>
        </is>
      </c>
      <c r="I1762" s="1742" t="inlineStr">
        <is>
          <t>14.007.001</t>
        </is>
      </c>
      <c r="J1762" s="1779" t="inlineStr">
        <is>
          <t>Argamassado interno em parede</t>
        </is>
      </c>
      <c r="K1762" s="1780" t="n"/>
      <c r="L1762" s="1781" t="n"/>
      <c r="M1762" s="1781" t="n"/>
      <c r="N1762" s="1746" t="n"/>
      <c r="O1762" s="1782" t="n"/>
      <c r="P1762" s="1720" t="n"/>
    </row>
    <row r="1763" hidden="1" outlineLevel="3" ht="13.5" customHeight="1">
      <c r="A1763" s="2117" t="n">
        <v>0</v>
      </c>
      <c r="B1763" s="2117" t="n">
        <v>14</v>
      </c>
      <c r="C1763" s="2117" t="n">
        <v>7</v>
      </c>
      <c r="D1763" s="2118" t="n">
        <v>1</v>
      </c>
      <c r="E1763" s="2118" t="n">
        <v>1</v>
      </c>
      <c r="G1763" s="1798" t="inlineStr">
        <is>
          <t>REVESTIMENTOS ARGAMASSADOS PAREDE</t>
        </is>
      </c>
      <c r="H1763" s="1783" t="inlineStr">
        <is>
          <t>SERVIÇO</t>
        </is>
      </c>
      <c r="I1763" s="1750" t="inlineStr">
        <is>
          <t>14.007.001.001</t>
        </is>
      </c>
      <c r="J1763" s="1785" t="inlineStr">
        <is>
          <t>Chapisco aplicado em estruturas de concreto, com argamassa pré-fabricada adesiva de cimento colante, aplicação convencional</t>
        </is>
      </c>
      <c r="K1763" s="1786" t="inlineStr">
        <is>
          <t>m2</t>
        </is>
      </c>
      <c r="L1763" s="1787" t="e">
        <v>#REF!</v>
      </c>
      <c r="M1763" s="1787" t="n">
        <v>10.11778</v>
      </c>
      <c r="N1763" s="1754" t="n"/>
      <c r="O1763" s="1788" t="n"/>
      <c r="P1763" s="1721" t="inlineStr">
        <is>
          <t>Pendente</t>
        </is>
      </c>
    </row>
    <row r="1764" hidden="1" outlineLevel="3" ht="13.5" customHeight="1">
      <c r="A1764" s="2117" t="n">
        <v>0</v>
      </c>
      <c r="B1764" s="2117" t="n">
        <v>14</v>
      </c>
      <c r="C1764" s="2117" t="n">
        <v>7</v>
      </c>
      <c r="D1764" s="2118" t="n">
        <v>1</v>
      </c>
      <c r="E1764" s="2118" t="n">
        <v>2</v>
      </c>
      <c r="G1764" s="1798" t="inlineStr">
        <is>
          <t>REVESTIMENTOS ARGAMASSADOS PAREDE</t>
        </is>
      </c>
      <c r="H1764" s="1783" t="inlineStr">
        <is>
          <t>SERVIÇO</t>
        </is>
      </c>
      <c r="I1764" s="1750" t="inlineStr">
        <is>
          <t>14.007.001.002</t>
        </is>
      </c>
      <c r="J1764" s="1785" t="inlineStr">
        <is>
          <t>Chapisco interno de argamassa preparada em obra de cimento e areia - traço 1:4 - aplicação em paredes internas</t>
        </is>
      </c>
      <c r="K1764" s="1786" t="inlineStr">
        <is>
          <t>m2</t>
        </is>
      </c>
      <c r="L1764" s="1787" t="e">
        <v>#REF!</v>
      </c>
      <c r="M1764" s="1787" t="n">
        <v>3.28945</v>
      </c>
      <c r="N1764" s="1754" t="n"/>
      <c r="O1764" s="1788" t="n"/>
      <c r="P1764" s="1721" t="inlineStr">
        <is>
          <t>Pendente</t>
        </is>
      </c>
    </row>
    <row r="1765" hidden="1" outlineLevel="3" ht="13.5" customHeight="1">
      <c r="A1765" s="2117" t="n">
        <v>0</v>
      </c>
      <c r="B1765" s="2117" t="n">
        <v>14</v>
      </c>
      <c r="C1765" s="2117" t="n">
        <v>7</v>
      </c>
      <c r="D1765" s="2118" t="n">
        <v>1</v>
      </c>
      <c r="E1765" s="2118" t="n">
        <v>3</v>
      </c>
      <c r="G1765" s="1798" t="inlineStr">
        <is>
          <t>REVESTIMENTOS ARGAMASSADOS PAREDE</t>
        </is>
      </c>
      <c r="H1765" s="1783" t="inlineStr">
        <is>
          <t>SERVIÇO</t>
        </is>
      </c>
      <c r="I1765" s="1750" t="inlineStr">
        <is>
          <t>14.007.001.003</t>
        </is>
      </c>
      <c r="J1765" s="1785" t="inlineStr">
        <is>
          <t>Massa unica para reboco interno em argamassa estabilizada, espessura de 2,5cm, com execução desempenado fino</t>
        </is>
      </c>
      <c r="K1765" s="1786" t="inlineStr">
        <is>
          <t>m2</t>
        </is>
      </c>
      <c r="L1765" s="1787" t="e">
        <v>#REF!</v>
      </c>
      <c r="M1765" s="1787" t="n">
        <v>12.075</v>
      </c>
      <c r="N1765" s="1754" t="n"/>
      <c r="O1765" s="1788" t="n"/>
      <c r="P1765" s="1721" t="inlineStr">
        <is>
          <t>Pendente</t>
        </is>
      </c>
    </row>
    <row r="1766" hidden="1" outlineLevel="3" ht="13.5" customHeight="1">
      <c r="A1766" s="2117" t="n">
        <v>0</v>
      </c>
      <c r="B1766" s="2117" t="n">
        <v>14</v>
      </c>
      <c r="C1766" s="2117" t="n">
        <v>7</v>
      </c>
      <c r="D1766" s="2118" t="n">
        <v>1</v>
      </c>
      <c r="E1766" s="2118" t="n">
        <v>4</v>
      </c>
      <c r="G1766" s="1798" t="inlineStr">
        <is>
          <t>REVESTIMENTOS ARGAMASSADOS PAREDE</t>
        </is>
      </c>
      <c r="H1766" s="1783" t="inlineStr">
        <is>
          <t>SERVIÇO</t>
        </is>
      </c>
      <c r="I1766" s="1750" t="inlineStr">
        <is>
          <t>14.007.001.004</t>
        </is>
      </c>
      <c r="J1766" s="1785" t="inlineStr">
        <is>
          <t>Estucamento de estrutura de concreto em pilares e vigas</t>
        </is>
      </c>
      <c r="K1766" s="1786" t="inlineStr">
        <is>
          <t>m2</t>
        </is>
      </c>
      <c r="L1766" s="1787" t="e">
        <v>#REF!</v>
      </c>
      <c r="M1766" s="1787" t="n">
        <v>5.102916666666666</v>
      </c>
      <c r="N1766" s="1754" t="n"/>
      <c r="O1766" s="1788" t="n"/>
      <c r="P1766" s="1721" t="inlineStr">
        <is>
          <t>Pendente</t>
        </is>
      </c>
    </row>
    <row r="1767" hidden="1" outlineLevel="2" ht="13.5" customHeight="1">
      <c r="A1767" s="2117" t="n">
        <v>0</v>
      </c>
      <c r="B1767" s="2117" t="n">
        <v>14</v>
      </c>
      <c r="C1767" s="2117" t="n">
        <v>7</v>
      </c>
      <c r="D1767" s="2118" t="n">
        <v>2</v>
      </c>
      <c r="E1767" s="2118" t="n">
        <v>0</v>
      </c>
      <c r="G1767" s="1797" t="n"/>
      <c r="H1767" s="1777" t="inlineStr">
        <is>
          <t>SUBETAPA</t>
        </is>
      </c>
      <c r="I1767" s="1742" t="inlineStr">
        <is>
          <t>14.007.002</t>
        </is>
      </c>
      <c r="J1767" s="1779" t="inlineStr">
        <is>
          <t>Acabamentos cerâmicos</t>
        </is>
      </c>
      <c r="K1767" s="1780" t="n"/>
      <c r="L1767" s="1781" t="n"/>
      <c r="M1767" s="1781" t="n"/>
      <c r="N1767" s="1746" t="n"/>
      <c r="O1767" s="1782" t="n"/>
      <c r="P1767" s="1720" t="n"/>
    </row>
    <row r="1768" hidden="1" outlineLevel="3" ht="13.5" customHeight="1">
      <c r="A1768" s="2117" t="n">
        <v>0</v>
      </c>
      <c r="B1768" s="2117" t="n">
        <v>14</v>
      </c>
      <c r="C1768" s="2117" t="n">
        <v>7</v>
      </c>
      <c r="D1768" s="2118" t="n">
        <v>2</v>
      </c>
      <c r="E1768" s="2118" t="n">
        <v>1</v>
      </c>
      <c r="G1768" s="1798" t="inlineStr">
        <is>
          <t>ACABAMENTOS INTERNOS EM PAREDE</t>
        </is>
      </c>
      <c r="H1768" s="1783" t="inlineStr">
        <is>
          <t>SERVIÇO</t>
        </is>
      </c>
      <c r="I1768" s="1750" t="inlineStr">
        <is>
          <t>14.007.002.001</t>
        </is>
      </c>
      <c r="J1768" s="1751" t="inlineStr">
        <is>
          <t>Revestimento de parede em Porcelanato Portobello – Posto 10 90x90 Externo Retificado - Linha Ipanema - Padrão Alto</t>
        </is>
      </c>
      <c r="K1768" s="1786" t="inlineStr">
        <is>
          <t>m2</t>
        </is>
      </c>
      <c r="L1768" s="1787" t="e">
        <v>#REF!</v>
      </c>
      <c r="M1768" s="1787" t="n">
        <v>229.8276</v>
      </c>
      <c r="N1768" s="1754" t="n"/>
      <c r="O1768" s="1788" t="inlineStr">
        <is>
          <t>Sauna</t>
        </is>
      </c>
      <c r="P1768" s="1721" t="inlineStr">
        <is>
          <t>Pendente</t>
        </is>
      </c>
    </row>
    <row r="1769" hidden="1" outlineLevel="3" ht="13.5" customHeight="1">
      <c r="A1769" s="2117" t="n">
        <v>0</v>
      </c>
      <c r="B1769" s="2117" t="n">
        <v>14</v>
      </c>
      <c r="C1769" s="2117" t="n">
        <v>7</v>
      </c>
      <c r="D1769" s="2118" t="n">
        <v>2</v>
      </c>
      <c r="E1769" s="2118" t="n">
        <v>2</v>
      </c>
      <c r="G1769" s="1798" t="inlineStr">
        <is>
          <t>ACABAMENTOS INTERNOS EM PAREDE</t>
        </is>
      </c>
      <c r="H1769" s="1783" t="inlineStr">
        <is>
          <t>SERVIÇO</t>
        </is>
      </c>
      <c r="I1769" s="1750" t="inlineStr">
        <is>
          <t>14.007.002.002</t>
        </is>
      </c>
      <c r="J1769" s="1785" t="inlineStr">
        <is>
          <t>Revestimento em Ladrilho Hidráulico 10x20cm - Cor: mostarda e off-white - Marca: Ladrilar, com junta de 2 cm e rejunte acrilico cinza platina</t>
        </is>
      </c>
      <c r="K1769" s="1786" t="inlineStr">
        <is>
          <t>m2</t>
        </is>
      </c>
      <c r="L1769" s="1787" t="e">
        <v>#REF!</v>
      </c>
      <c r="M1769" s="1787" t="n">
        <v>353.989275</v>
      </c>
      <c r="N1769" s="1754" t="n"/>
      <c r="O1769" s="1788" t="inlineStr">
        <is>
          <t>Fire Place + Banheiros lazer - Ladrilar é metade do valor/m²</t>
        </is>
      </c>
      <c r="P1769" s="1721" t="inlineStr">
        <is>
          <t>Pendente</t>
        </is>
      </c>
    </row>
    <row r="1770" hidden="1" outlineLevel="3" ht="13.5" customHeight="1">
      <c r="A1770" s="2117" t="n">
        <v>0</v>
      </c>
      <c r="B1770" s="2117" t="n">
        <v>14</v>
      </c>
      <c r="C1770" s="2117" t="n">
        <v>7</v>
      </c>
      <c r="D1770" s="2118" t="n">
        <v>2</v>
      </c>
      <c r="E1770" s="2118" t="n">
        <v>3</v>
      </c>
      <c r="G1770" s="1798" t="inlineStr">
        <is>
          <t>ACABAMENTOS INTERNOS EM PAREDE</t>
        </is>
      </c>
      <c r="H1770" s="1783" t="inlineStr">
        <is>
          <t>SERVIÇO</t>
        </is>
      </c>
      <c r="I1770" s="1750" t="inlineStr">
        <is>
          <t>14.007.002.003</t>
        </is>
      </c>
      <c r="J1770" s="1785" t="inlineStr">
        <is>
          <t>Revestimento em Ladrilho Hidráulico 5x5cm - Cor: terracota escuro e azul escuro - Marca: Ladrilar, com junta de 2 cm e rejunte acrilico cinza platina</t>
        </is>
      </c>
      <c r="K1770" s="1786" t="inlineStr">
        <is>
          <t>m2</t>
        </is>
      </c>
      <c r="L1770" s="1787" t="e">
        <v>#REF!</v>
      </c>
      <c r="M1770" s="1787" t="n">
        <v>546.489275</v>
      </c>
      <c r="N1770" s="1754" t="n"/>
      <c r="O1770" s="1788" t="inlineStr">
        <is>
          <t>Piscinas - Ladrilar é metade do valor/m²</t>
        </is>
      </c>
      <c r="P1770" s="1721" t="inlineStr">
        <is>
          <t>Pendente</t>
        </is>
      </c>
    </row>
    <row r="1771" hidden="1" outlineLevel="2" ht="13.5" customHeight="1">
      <c r="A1771" s="2117" t="n">
        <v>0</v>
      </c>
      <c r="B1771" s="2117" t="n">
        <v>14</v>
      </c>
      <c r="C1771" s="2117" t="n">
        <v>7</v>
      </c>
      <c r="D1771" s="2118" t="n">
        <v>3</v>
      </c>
      <c r="E1771" s="2118" t="n">
        <v>0</v>
      </c>
      <c r="G1771" s="1797" t="n"/>
      <c r="H1771" s="1777" t="inlineStr">
        <is>
          <t>SUBETAPA</t>
        </is>
      </c>
      <c r="I1771" s="1742" t="inlineStr">
        <is>
          <t>14.007.003</t>
        </is>
      </c>
      <c r="J1771" s="1779" t="inlineStr">
        <is>
          <t>Acabamentos em pedra</t>
        </is>
      </c>
      <c r="K1771" s="1780" t="n"/>
      <c r="L1771" s="1781" t="n"/>
      <c r="M1771" s="1781" t="n"/>
      <c r="N1771" s="1746" t="n"/>
      <c r="O1771" s="1782" t="n"/>
      <c r="P1771" s="1720" t="n"/>
    </row>
    <row r="1772" hidden="1" outlineLevel="3" ht="13.5" customHeight="1">
      <c r="A1772" s="2117" t="n">
        <v>0</v>
      </c>
      <c r="B1772" s="2117" t="n">
        <v>14</v>
      </c>
      <c r="C1772" s="2117" t="n">
        <v>7</v>
      </c>
      <c r="D1772" s="2118" t="n">
        <v>3</v>
      </c>
      <c r="E1772" s="2118" t="n">
        <v>1</v>
      </c>
      <c r="G1772" s="1798" t="inlineStr">
        <is>
          <t>ACABAMENTOS INTERNOS EM PAREDE</t>
        </is>
      </c>
      <c r="H1772" s="1783" t="inlineStr">
        <is>
          <t>SERVIÇO</t>
        </is>
      </c>
      <c r="I1772" s="1750" t="inlineStr">
        <is>
          <t>14.007.003.001</t>
        </is>
      </c>
      <c r="J1772" s="1785" t="inlineStr">
        <is>
          <t>Revestimento de Mármore Travertino Romano em Paredes</t>
        </is>
      </c>
      <c r="K1772" s="1786" t="inlineStr">
        <is>
          <t>m2</t>
        </is>
      </c>
      <c r="L1772" s="1787" t="e">
        <v>#REF!</v>
      </c>
      <c r="M1772" s="1787" t="n">
        <v>1448.2455</v>
      </c>
      <c r="N1772" s="1754" t="n"/>
      <c r="O1772" s="1788" t="inlineStr">
        <is>
          <t>Hall do elevador e Sauna</t>
        </is>
      </c>
      <c r="P1772" s="1721" t="inlineStr">
        <is>
          <t>Pendente</t>
        </is>
      </c>
    </row>
    <row r="1773" hidden="1" outlineLevel="2" ht="13.5" customHeight="1">
      <c r="A1773" s="2117" t="n">
        <v>0</v>
      </c>
      <c r="B1773" s="2117" t="n">
        <v>14</v>
      </c>
      <c r="C1773" s="2117" t="n">
        <v>7</v>
      </c>
      <c r="D1773" s="2118" t="n">
        <v>4</v>
      </c>
      <c r="E1773" s="2118" t="n">
        <v>0</v>
      </c>
      <c r="G1773" s="1797" t="n"/>
      <c r="H1773" s="1777" t="inlineStr">
        <is>
          <t>SUBETAPA</t>
        </is>
      </c>
      <c r="I1773" s="1742" t="inlineStr">
        <is>
          <t>14.007.004</t>
        </is>
      </c>
      <c r="J1773" s="1779" t="inlineStr">
        <is>
          <t>Acabamentos especiais</t>
        </is>
      </c>
      <c r="K1773" s="1780" t="n"/>
      <c r="L1773" s="1781" t="n"/>
      <c r="M1773" s="1781" t="n"/>
      <c r="N1773" s="1746" t="n"/>
      <c r="O1773" s="1782" t="n"/>
      <c r="P1773" s="1720" t="n"/>
    </row>
    <row r="1774" hidden="1" outlineLevel="3" ht="13.5" customHeight="1">
      <c r="A1774" s="2117" t="n">
        <v>0</v>
      </c>
      <c r="B1774" s="2117" t="n">
        <v>14</v>
      </c>
      <c r="C1774" s="2117" t="n">
        <v>7</v>
      </c>
      <c r="D1774" s="2118" t="n">
        <v>4</v>
      </c>
      <c r="E1774" s="2118" t="n">
        <v>1</v>
      </c>
      <c r="G1774" s="1798" t="inlineStr">
        <is>
          <t>ACABAMENTOS INTERNOS EM PAREDE</t>
        </is>
      </c>
      <c r="H1774" s="1783" t="inlineStr">
        <is>
          <t>SERVIÇO</t>
        </is>
      </c>
      <c r="I1774" s="1750" t="inlineStr">
        <is>
          <t>14.007.004.001</t>
        </is>
      </c>
      <c r="J1774" s="1785" t="inlineStr">
        <is>
          <t xml:space="preserve">Revestimento em Paredes, Marcenaria, incluindo chapa de 18mm, acessorios para instalação - Material e Mão de Obra </t>
        </is>
      </c>
      <c r="K1774" s="1786" t="inlineStr">
        <is>
          <t>m2</t>
        </is>
      </c>
      <c r="L1774" s="1787" t="e">
        <v>#REF!</v>
      </c>
      <c r="M1774" s="1787" t="n">
        <v>919.5</v>
      </c>
      <c r="N1774" s="1754" t="n"/>
      <c r="O1774" s="1788" t="n"/>
      <c r="P1774" s="1721" t="inlineStr">
        <is>
          <t>Pendente</t>
        </is>
      </c>
    </row>
    <row r="1775" hidden="1" outlineLevel="2" ht="13.5" customHeight="1">
      <c r="A1775" s="2117" t="n">
        <v>0</v>
      </c>
      <c r="B1775" s="2117" t="n">
        <v>14</v>
      </c>
      <c r="C1775" s="2117" t="n">
        <v>7</v>
      </c>
      <c r="D1775" s="2118" t="n">
        <v>5</v>
      </c>
      <c r="E1775" s="2118" t="n">
        <v>0</v>
      </c>
      <c r="G1775" s="1797" t="n"/>
      <c r="H1775" s="1777" t="inlineStr">
        <is>
          <t>SUBETAPA</t>
        </is>
      </c>
      <c r="I1775" s="1742" t="inlineStr">
        <is>
          <t>14.007.005</t>
        </is>
      </c>
      <c r="J1775" s="1779" t="inlineStr">
        <is>
          <t>Peitoris</t>
        </is>
      </c>
      <c r="K1775" s="1780" t="n"/>
      <c r="L1775" s="1781" t="n"/>
      <c r="M1775" s="1781" t="n"/>
      <c r="N1775" s="1746" t="n"/>
      <c r="O1775" s="1782" t="n"/>
      <c r="P1775" s="1720" t="n"/>
    </row>
    <row r="1776" hidden="1" outlineLevel="3" ht="13.5" customHeight="1">
      <c r="A1776" s="2117" t="n">
        <v>0</v>
      </c>
      <c r="B1776" s="2117" t="n">
        <v>14</v>
      </c>
      <c r="C1776" s="2117" t="n">
        <v>7</v>
      </c>
      <c r="D1776" s="2118" t="n">
        <v>5</v>
      </c>
      <c r="E1776" s="2118" t="n">
        <v>1</v>
      </c>
      <c r="G1776" s="1798" t="inlineStr">
        <is>
          <t>ACABAMENTOS INTERNOS EM PAREDE</t>
        </is>
      </c>
      <c r="H1776" s="1783" t="inlineStr">
        <is>
          <t>SERVIÇO</t>
        </is>
      </c>
      <c r="I1776" s="1750" t="inlineStr">
        <is>
          <t>14.007.005.001</t>
        </is>
      </c>
      <c r="J1776" s="1785" t="inlineStr">
        <is>
          <t>Peitoril em pedra natural,  esp. 2cm</t>
        </is>
      </c>
      <c r="K1776" s="1786" t="inlineStr">
        <is>
          <t>m2</t>
        </is>
      </c>
      <c r="L1776" s="1787" t="e">
        <v>#REF!</v>
      </c>
      <c r="M1776" s="1787" t="n">
        <v>849.1547</v>
      </c>
      <c r="N1776" s="1754" t="n"/>
      <c r="O1776" s="1788" t="n"/>
      <c r="P1776" s="1721" t="inlineStr">
        <is>
          <t>Pendente</t>
        </is>
      </c>
    </row>
    <row r="1777" hidden="1" outlineLevel="3" ht="13.5" customHeight="1">
      <c r="A1777" s="2117" t="n">
        <v>0</v>
      </c>
      <c r="B1777" s="2117" t="n">
        <v>14</v>
      </c>
      <c r="C1777" s="2117" t="n">
        <v>7</v>
      </c>
      <c r="D1777" s="2118" t="n">
        <v>5</v>
      </c>
      <c r="E1777" s="2118" t="n">
        <v>2</v>
      </c>
      <c r="G1777" s="1798" t="inlineStr">
        <is>
          <t>ACABAMENTOS INTERNOS EM PAREDE</t>
        </is>
      </c>
      <c r="H1777" s="1783" t="inlineStr">
        <is>
          <t>SERVIÇO</t>
        </is>
      </c>
      <c r="I1777" s="1750" t="inlineStr">
        <is>
          <t>14.007.005.002</t>
        </is>
      </c>
      <c r="J1777" s="1785" t="inlineStr">
        <is>
          <t>Peitoril em Mármore Travertino Romano,  esp. 2cm</t>
        </is>
      </c>
      <c r="K1777" s="1786" t="inlineStr">
        <is>
          <t>m2</t>
        </is>
      </c>
      <c r="L1777" s="1787" t="e">
        <v>#REF!</v>
      </c>
      <c r="M1777" s="1787" t="n">
        <v>1374.1547</v>
      </c>
      <c r="N1777" s="1754" t="n"/>
      <c r="O1777" s="1788" t="n"/>
      <c r="P1777" s="1721" t="inlineStr">
        <is>
          <t>Pendente</t>
        </is>
      </c>
    </row>
    <row r="1778" hidden="1" outlineLevel="2" ht="13.5" customHeight="1">
      <c r="A1778" s="2117" t="n">
        <v>0</v>
      </c>
      <c r="B1778" s="2117" t="n">
        <v>14</v>
      </c>
      <c r="C1778" s="2117" t="n">
        <v>7</v>
      </c>
      <c r="D1778" s="2118" t="n">
        <v>6</v>
      </c>
      <c r="E1778" s="2118" t="n">
        <v>0</v>
      </c>
      <c r="G1778" s="1797" t="n"/>
      <c r="H1778" s="1777" t="inlineStr">
        <is>
          <t>SUBETAPA</t>
        </is>
      </c>
      <c r="I1778" s="1742" t="inlineStr">
        <is>
          <t>14.007.006</t>
        </is>
      </c>
      <c r="J1778" s="1779" t="inlineStr">
        <is>
          <t>Mão de obra - Revestimentos</t>
        </is>
      </c>
      <c r="K1778" s="1780" t="n"/>
      <c r="L1778" s="1781" t="n"/>
      <c r="M1778" s="1781" t="n"/>
      <c r="N1778" s="1746" t="n"/>
      <c r="O1778" s="1782" t="n"/>
      <c r="P1778" s="1720" t="n"/>
    </row>
    <row r="1779" hidden="1" outlineLevel="3" ht="13.5" customHeight="1">
      <c r="A1779" s="2117" t="n">
        <v>0</v>
      </c>
      <c r="B1779" s="2117" t="n">
        <v>14</v>
      </c>
      <c r="C1779" s="2117" t="n">
        <v>7</v>
      </c>
      <c r="D1779" s="2118" t="n">
        <v>6</v>
      </c>
      <c r="E1779" s="2118" t="n">
        <v>1</v>
      </c>
      <c r="G1779" s="1798" t="inlineStr">
        <is>
          <t>REVESTIMENTOS ARGAMASSADOS PAREDE</t>
        </is>
      </c>
      <c r="H1779" s="1783" t="inlineStr">
        <is>
          <t>SERVIÇO</t>
        </is>
      </c>
      <c r="I1779" s="1750" t="inlineStr">
        <is>
          <t>14.007.006.001</t>
        </is>
      </c>
      <c r="J1779" s="1785" t="inlineStr">
        <is>
          <t>Mão de obra execução de massa única em paredes interna, incluindo chapisco</t>
        </is>
      </c>
      <c r="K1779" s="1786" t="inlineStr">
        <is>
          <t>m2</t>
        </is>
      </c>
      <c r="L1779" s="1787" t="e">
        <v>#REF!</v>
      </c>
      <c r="M1779" s="1787" t="n">
        <v>42</v>
      </c>
      <c r="N1779" s="1754" t="n"/>
      <c r="O1779" s="1788" t="n"/>
      <c r="P1779" s="1721" t="inlineStr">
        <is>
          <t>Pendente</t>
        </is>
      </c>
    </row>
    <row r="1780" hidden="1" outlineLevel="3" ht="13.5" customHeight="1">
      <c r="A1780" s="2117" t="n">
        <v>0</v>
      </c>
      <c r="B1780" s="2117" t="n">
        <v>14</v>
      </c>
      <c r="C1780" s="2117" t="n">
        <v>7</v>
      </c>
      <c r="D1780" s="2118" t="n">
        <v>6</v>
      </c>
      <c r="E1780" s="2118" t="n">
        <v>2</v>
      </c>
      <c r="G1780" s="1798" t="inlineStr">
        <is>
          <t>REVESTIMENTOS ARGAMASSADOS PAREDE</t>
        </is>
      </c>
      <c r="H1780" s="1783" t="inlineStr">
        <is>
          <t>SERVIÇO</t>
        </is>
      </c>
      <c r="I1780" s="1750" t="inlineStr">
        <is>
          <t>14.007.006.002</t>
        </is>
      </c>
      <c r="J1780" s="1785" t="inlineStr">
        <is>
          <t>Mão de obra estucamento de paredes</t>
        </is>
      </c>
      <c r="K1780" s="1786" t="inlineStr">
        <is>
          <t>m2</t>
        </is>
      </c>
      <c r="L1780" s="1787" t="e">
        <v>#REF!</v>
      </c>
      <c r="M1780" s="1787" t="n">
        <v>30</v>
      </c>
      <c r="N1780" s="1754" t="n"/>
      <c r="O1780" s="1788" t="n"/>
      <c r="P1780" s="1721" t="inlineStr">
        <is>
          <t>Pendente</t>
        </is>
      </c>
    </row>
    <row r="1781" hidden="1" outlineLevel="3" ht="13.5" customHeight="1">
      <c r="A1781" s="2117" t="n">
        <v>0</v>
      </c>
      <c r="B1781" s="2117" t="n">
        <v>14</v>
      </c>
      <c r="C1781" s="2117" t="n">
        <v>7</v>
      </c>
      <c r="D1781" s="2118" t="n">
        <v>6</v>
      </c>
      <c r="E1781" s="2118" t="n">
        <v>3</v>
      </c>
      <c r="G1781" s="1798" t="inlineStr">
        <is>
          <t>ACABAMENTOS INTERNOS EM PAREDE</t>
        </is>
      </c>
      <c r="H1781" s="1783" t="inlineStr">
        <is>
          <t>SERVIÇO</t>
        </is>
      </c>
      <c r="I1781" s="1750" t="inlineStr">
        <is>
          <t>14.007.006.003</t>
        </is>
      </c>
      <c r="J1781" s="1785" t="inlineStr">
        <is>
          <t>Mão de obra para assentamento de revestimento cerâmico em parede</t>
        </is>
      </c>
      <c r="K1781" s="1786" t="inlineStr">
        <is>
          <t>m2</t>
        </is>
      </c>
      <c r="L1781" s="1787" t="e">
        <v>#REF!</v>
      </c>
      <c r="M1781" s="1787" t="n">
        <v>75</v>
      </c>
      <c r="N1781" s="1754" t="n"/>
      <c r="O1781" s="1788" t="n"/>
      <c r="P1781" s="1721" t="inlineStr">
        <is>
          <t>Pendente</t>
        </is>
      </c>
    </row>
    <row r="1782" hidden="1" outlineLevel="3" ht="13.5" customHeight="1">
      <c r="A1782" s="2117" t="n">
        <v>0</v>
      </c>
      <c r="B1782" s="2117" t="n">
        <v>14</v>
      </c>
      <c r="C1782" s="2117" t="n">
        <v>7</v>
      </c>
      <c r="D1782" s="2118" t="n">
        <v>6</v>
      </c>
      <c r="E1782" s="2118" t="n">
        <v>4</v>
      </c>
      <c r="G1782" s="1798" t="inlineStr">
        <is>
          <t>ACABAMENTOS INTERNOS EM PAREDE</t>
        </is>
      </c>
      <c r="H1782" s="1783" t="inlineStr">
        <is>
          <t>SERVIÇO</t>
        </is>
      </c>
      <c r="I1782" s="1750" t="inlineStr">
        <is>
          <t>14.007.006.004</t>
        </is>
      </c>
      <c r="J1782" s="1785" t="inlineStr">
        <is>
          <t>Mão de obra para assentamento de Ladrilhos</t>
        </is>
      </c>
      <c r="K1782" s="1786" t="inlineStr">
        <is>
          <t>m2</t>
        </is>
      </c>
      <c r="L1782" s="1787" t="e">
        <v>#REF!</v>
      </c>
      <c r="M1782" s="1787" t="n">
        <v>75</v>
      </c>
      <c r="N1782" s="1754" t="n"/>
      <c r="O1782" s="1788" t="n"/>
      <c r="P1782" s="1721" t="inlineStr">
        <is>
          <t>Pendente</t>
        </is>
      </c>
    </row>
    <row r="1783" hidden="1" outlineLevel="3" ht="13.5" customHeight="1">
      <c r="A1783" s="2117" t="n">
        <v>0</v>
      </c>
      <c r="B1783" s="2117" t="n">
        <v>14</v>
      </c>
      <c r="C1783" s="2117" t="n">
        <v>7</v>
      </c>
      <c r="D1783" s="2118" t="n">
        <v>6</v>
      </c>
      <c r="E1783" s="2118" t="n">
        <v>5</v>
      </c>
      <c r="G1783" s="1798" t="inlineStr">
        <is>
          <t>ACABAMENTOS INTERNOS EM PAREDE</t>
        </is>
      </c>
      <c r="H1783" s="1783" t="inlineStr">
        <is>
          <t>SERVIÇO</t>
        </is>
      </c>
      <c r="I1783" s="1750" t="inlineStr">
        <is>
          <t>14.007.006.005</t>
        </is>
      </c>
      <c r="J1783" s="1785" t="inlineStr">
        <is>
          <t>Mão de obra para assentamento de Pedras Naturais em parede</t>
        </is>
      </c>
      <c r="K1783" s="1786" t="inlineStr">
        <is>
          <t>m2</t>
        </is>
      </c>
      <c r="L1783" s="1787" t="e">
        <v>#REF!</v>
      </c>
      <c r="M1783" s="1787" t="n">
        <v>75</v>
      </c>
      <c r="N1783" s="1754" t="n"/>
      <c r="O1783" s="1788" t="n"/>
      <c r="P1783" s="1721" t="inlineStr">
        <is>
          <t>Pendente</t>
        </is>
      </c>
    </row>
    <row r="1784" hidden="1" outlineLevel="3" ht="13.5" customHeight="1">
      <c r="A1784" s="2117" t="n">
        <v>0</v>
      </c>
      <c r="B1784" s="2117" t="n">
        <v>14</v>
      </c>
      <c r="C1784" s="2117" t="n">
        <v>7</v>
      </c>
      <c r="D1784" s="2118" t="n">
        <v>6</v>
      </c>
      <c r="E1784" s="2118" t="n">
        <v>6</v>
      </c>
      <c r="G1784" s="1798" t="inlineStr">
        <is>
          <t>ACABAMENTOS INTERNOS EM PAREDE</t>
        </is>
      </c>
      <c r="H1784" s="1783" t="inlineStr">
        <is>
          <t>SERVIÇO</t>
        </is>
      </c>
      <c r="I1784" s="1750" t="inlineStr">
        <is>
          <t>14.007.006.006</t>
        </is>
      </c>
      <c r="J1784" s="1785" t="inlineStr">
        <is>
          <t>Mão de obra para colocação de peitoril e pingadeira</t>
        </is>
      </c>
      <c r="K1784" s="1786" t="inlineStr">
        <is>
          <t>m2</t>
        </is>
      </c>
      <c r="L1784" s="1787" t="e">
        <v>#REF!</v>
      </c>
      <c r="M1784" s="1787" t="n">
        <v>50</v>
      </c>
      <c r="N1784" s="1754" t="n"/>
      <c r="O1784" s="1788" t="n"/>
      <c r="P1784" s="1721" t="inlineStr">
        <is>
          <t>Pendente</t>
        </is>
      </c>
    </row>
    <row r="1785" hidden="1" outlineLevel="1" ht="13.5" customHeight="1">
      <c r="A1785" s="2117" t="n">
        <v>0</v>
      </c>
      <c r="B1785" s="2117" t="n">
        <v>14</v>
      </c>
      <c r="C1785" s="2117" t="n">
        <v>8</v>
      </c>
      <c r="D1785" s="2118" t="n">
        <v>0</v>
      </c>
      <c r="E1785" s="2118" t="n">
        <v>6</v>
      </c>
      <c r="G1785" s="1796" t="n"/>
      <c r="H1785" s="1771" t="inlineStr">
        <is>
          <t>ETAPA</t>
        </is>
      </c>
      <c r="I1785" s="1735" t="inlineStr">
        <is>
          <t>14.008</t>
        </is>
      </c>
      <c r="J1785" s="1773" t="inlineStr">
        <is>
          <t>REVESTIMENTOS INTERNOS DE PAREDE - Lazer</t>
        </is>
      </c>
      <c r="K1785" s="1774" t="n"/>
      <c r="L1785" s="1775" t="n"/>
      <c r="M1785" s="1775" t="n"/>
      <c r="N1785" s="1739" t="n"/>
      <c r="O1785" s="1776" t="n"/>
      <c r="P1785" s="1719" t="n"/>
    </row>
    <row r="1786" hidden="1" outlineLevel="2" ht="13.5" customHeight="1">
      <c r="A1786" s="2117" t="n">
        <v>0</v>
      </c>
      <c r="B1786" s="2117" t="n">
        <v>14</v>
      </c>
      <c r="C1786" s="2117" t="n">
        <v>8</v>
      </c>
      <c r="D1786" s="2118" t="n">
        <v>1</v>
      </c>
      <c r="E1786" s="2118" t="n">
        <v>0</v>
      </c>
      <c r="G1786" s="1797" t="n"/>
      <c r="H1786" s="1777" t="inlineStr">
        <is>
          <t>SUBETAPA</t>
        </is>
      </c>
      <c r="I1786" s="1742" t="inlineStr">
        <is>
          <t>14.008.001</t>
        </is>
      </c>
      <c r="J1786" s="1779" t="inlineStr">
        <is>
          <t>Argamassado interno em parede</t>
        </is>
      </c>
      <c r="K1786" s="1780" t="n"/>
      <c r="L1786" s="1781" t="n"/>
      <c r="M1786" s="1781" t="n"/>
      <c r="N1786" s="1746" t="n"/>
      <c r="O1786" s="1782" t="n"/>
      <c r="P1786" s="1720" t="n"/>
    </row>
    <row r="1787" hidden="1" outlineLevel="3" ht="13.5" customHeight="1">
      <c r="A1787" s="2117" t="n">
        <v>0</v>
      </c>
      <c r="B1787" s="2117" t="n">
        <v>14</v>
      </c>
      <c r="C1787" s="2117" t="n">
        <v>8</v>
      </c>
      <c r="D1787" s="2118" t="n">
        <v>1</v>
      </c>
      <c r="E1787" s="2118" t="n">
        <v>1</v>
      </c>
      <c r="G1787" s="1798" t="inlineStr">
        <is>
          <t>REVESTIMENTOS ARGAMASSADOS PAREDE</t>
        </is>
      </c>
      <c r="H1787" s="1783" t="inlineStr">
        <is>
          <t>SERVIÇO</t>
        </is>
      </c>
      <c r="I1787" s="1750" t="inlineStr">
        <is>
          <t>14.008.001.001</t>
        </is>
      </c>
      <c r="J1787" s="1785" t="inlineStr">
        <is>
          <t>Chapisco aplicado em estruturas de concreto, com argamassa pré-fabricada adesiva de cimento colante, aplicação convencional</t>
        </is>
      </c>
      <c r="K1787" s="1786" t="inlineStr">
        <is>
          <t>m2</t>
        </is>
      </c>
      <c r="L1787" s="1787" t="e">
        <v>#REF!</v>
      </c>
      <c r="M1787" s="1787" t="n">
        <v>10.11778</v>
      </c>
      <c r="N1787" s="1754" t="n"/>
      <c r="O1787" s="1788" t="n"/>
      <c r="P1787" s="1721" t="inlineStr">
        <is>
          <t>Pendente</t>
        </is>
      </c>
    </row>
    <row r="1788" hidden="1" outlineLevel="3" ht="13.5" customHeight="1">
      <c r="A1788" s="2117" t="n">
        <v>0</v>
      </c>
      <c r="B1788" s="2117" t="n">
        <v>14</v>
      </c>
      <c r="C1788" s="2117" t="n">
        <v>8</v>
      </c>
      <c r="D1788" s="2118" t="n">
        <v>1</v>
      </c>
      <c r="E1788" s="2118" t="n">
        <v>2</v>
      </c>
      <c r="G1788" s="1798" t="inlineStr">
        <is>
          <t>REVESTIMENTOS ARGAMASSADOS PAREDE</t>
        </is>
      </c>
      <c r="H1788" s="1783" t="inlineStr">
        <is>
          <t>SERVIÇO</t>
        </is>
      </c>
      <c r="I1788" s="1750" t="inlineStr">
        <is>
          <t>14.008.001.002</t>
        </is>
      </c>
      <c r="J1788" s="1785" t="inlineStr">
        <is>
          <t>Chapisco interno de argamassa preparada em obra de cimento e areia - traço 1:4 - aplicação em paredes internas</t>
        </is>
      </c>
      <c r="K1788" s="1786" t="inlineStr">
        <is>
          <t>m2</t>
        </is>
      </c>
      <c r="L1788" s="1787" t="e">
        <v>#REF!</v>
      </c>
      <c r="M1788" s="1787" t="n">
        <v>3.28945</v>
      </c>
      <c r="N1788" s="1754" t="n"/>
      <c r="O1788" s="1788" t="n"/>
      <c r="P1788" s="1721" t="inlineStr">
        <is>
          <t>Pendente</t>
        </is>
      </c>
    </row>
    <row r="1789" hidden="1" outlineLevel="3" ht="13.5" customHeight="1">
      <c r="A1789" s="2117" t="n">
        <v>0</v>
      </c>
      <c r="B1789" s="2117" t="n">
        <v>14</v>
      </c>
      <c r="C1789" s="2117" t="n">
        <v>8</v>
      </c>
      <c r="D1789" s="2118" t="n">
        <v>1</v>
      </c>
      <c r="E1789" s="2118" t="n">
        <v>3</v>
      </c>
      <c r="G1789" s="1798" t="inlineStr">
        <is>
          <t>REVESTIMENTOS ARGAMASSADOS PAREDE</t>
        </is>
      </c>
      <c r="H1789" s="1783" t="inlineStr">
        <is>
          <t>SERVIÇO</t>
        </is>
      </c>
      <c r="I1789" s="1750" t="inlineStr">
        <is>
          <t>14.008.001.003</t>
        </is>
      </c>
      <c r="J1789" s="1785" t="inlineStr">
        <is>
          <t>Massa unica para reboco interno em argamassa estabilizada, espessura de 2,5cm, com execução desempenado fino</t>
        </is>
      </c>
      <c r="K1789" s="1786" t="inlineStr">
        <is>
          <t>m2</t>
        </is>
      </c>
      <c r="L1789" s="1787" t="e">
        <v>#REF!</v>
      </c>
      <c r="M1789" s="1787" t="n">
        <v>12.075</v>
      </c>
      <c r="N1789" s="1754" t="n"/>
      <c r="O1789" s="1788" t="n"/>
      <c r="P1789" s="1721" t="inlineStr">
        <is>
          <t>Pendente</t>
        </is>
      </c>
    </row>
    <row r="1790" hidden="1" outlineLevel="3" ht="13.5" customHeight="1">
      <c r="A1790" s="2117" t="n">
        <v>0</v>
      </c>
      <c r="B1790" s="2117" t="n">
        <v>14</v>
      </c>
      <c r="C1790" s="2117" t="n">
        <v>8</v>
      </c>
      <c r="D1790" s="2118" t="n">
        <v>1</v>
      </c>
      <c r="E1790" s="2118" t="n">
        <v>4</v>
      </c>
      <c r="G1790" s="1798" t="inlineStr">
        <is>
          <t>REVESTIMENTOS ARGAMASSADOS PAREDE</t>
        </is>
      </c>
      <c r="H1790" s="1783" t="inlineStr">
        <is>
          <t>SERVIÇO</t>
        </is>
      </c>
      <c r="I1790" s="1750" t="inlineStr">
        <is>
          <t>14.008.001.004</t>
        </is>
      </c>
      <c r="J1790" s="1785" t="inlineStr">
        <is>
          <t>Estucamento de estrutura de concreto em pilares e vigas</t>
        </is>
      </c>
      <c r="K1790" s="1786" t="inlineStr">
        <is>
          <t>m2</t>
        </is>
      </c>
      <c r="L1790" s="1787" t="e">
        <v>#REF!</v>
      </c>
      <c r="M1790" s="1787" t="n">
        <v>5.102916666666666</v>
      </c>
      <c r="N1790" s="1754" t="n"/>
      <c r="O1790" s="1788" t="n"/>
      <c r="P1790" s="1721" t="inlineStr">
        <is>
          <t>Pendente</t>
        </is>
      </c>
    </row>
    <row r="1791" hidden="1" outlineLevel="2" ht="13.5" customHeight="1">
      <c r="A1791" s="2117" t="n">
        <v>0</v>
      </c>
      <c r="B1791" s="2117" t="n">
        <v>14</v>
      </c>
      <c r="C1791" s="2117" t="n">
        <v>8</v>
      </c>
      <c r="D1791" s="2118" t="n">
        <v>2</v>
      </c>
      <c r="E1791" s="2118" t="n">
        <v>0</v>
      </c>
      <c r="G1791" s="1797" t="n"/>
      <c r="H1791" s="1777" t="inlineStr">
        <is>
          <t>SUBETAPA</t>
        </is>
      </c>
      <c r="I1791" s="1742" t="inlineStr">
        <is>
          <t>14.008.002</t>
        </is>
      </c>
      <c r="J1791" s="1779" t="inlineStr">
        <is>
          <t>Acabamentos cerâmicos</t>
        </is>
      </c>
      <c r="K1791" s="1780" t="n"/>
      <c r="L1791" s="1781" t="n"/>
      <c r="M1791" s="1781" t="n"/>
      <c r="N1791" s="1746" t="n"/>
      <c r="O1791" s="1782" t="n"/>
      <c r="P1791" s="1720" t="n"/>
    </row>
    <row r="1792" hidden="1" outlineLevel="3" ht="13.5" customHeight="1">
      <c r="A1792" s="2117" t="n">
        <v>0</v>
      </c>
      <c r="B1792" s="2117" t="n">
        <v>14</v>
      </c>
      <c r="C1792" s="2117" t="n">
        <v>8</v>
      </c>
      <c r="D1792" s="2118" t="n">
        <v>2</v>
      </c>
      <c r="E1792" s="2118" t="n">
        <v>1</v>
      </c>
      <c r="G1792" s="1798" t="inlineStr">
        <is>
          <t>ACABAMENTOS INTERNOS EM PAREDE</t>
        </is>
      </c>
      <c r="H1792" s="1783" t="inlineStr">
        <is>
          <t>SERVIÇO</t>
        </is>
      </c>
      <c r="I1792" s="1750" t="inlineStr">
        <is>
          <t>14.008.002.001</t>
        </is>
      </c>
      <c r="J1792" s="1785" t="inlineStr">
        <is>
          <t>Revestimento em Ladrilho Hidráulico 10x20cm - Cor: mostarda e off-white - Marca: Ladrilar, com junta de 2 cm e rejunte acrilico cinza platina</t>
        </is>
      </c>
      <c r="K1792" s="1786" t="inlineStr">
        <is>
          <t>m2</t>
        </is>
      </c>
      <c r="L1792" s="1787" t="e">
        <v>#REF!</v>
      </c>
      <c r="M1792" s="1787" t="n">
        <v>353.989275</v>
      </c>
      <c r="N1792" s="1754" t="n"/>
      <c r="O1792" s="1788" t="inlineStr">
        <is>
          <t>Fire Place + Banheiros lazer - Ladrilar é metade do valor/m²</t>
        </is>
      </c>
      <c r="P1792" s="1721" t="inlineStr">
        <is>
          <t>Pendente</t>
        </is>
      </c>
    </row>
    <row r="1793" hidden="1" outlineLevel="2" ht="13.5" customHeight="1">
      <c r="A1793" s="2117" t="n">
        <v>0</v>
      </c>
      <c r="B1793" s="2117" t="n">
        <v>14</v>
      </c>
      <c r="C1793" s="2117" t="n">
        <v>8</v>
      </c>
      <c r="D1793" s="2118" t="n">
        <v>3</v>
      </c>
      <c r="E1793" s="2118" t="n">
        <v>0</v>
      </c>
      <c r="G1793" s="1797" t="n"/>
      <c r="H1793" s="1777" t="inlineStr">
        <is>
          <t>SUBETAPA</t>
        </is>
      </c>
      <c r="I1793" s="1742" t="inlineStr">
        <is>
          <t>14.008.003</t>
        </is>
      </c>
      <c r="J1793" s="1779" t="inlineStr">
        <is>
          <t>Acabamentos em pedra</t>
        </is>
      </c>
      <c r="K1793" s="1780" t="n"/>
      <c r="L1793" s="1781" t="n"/>
      <c r="M1793" s="1781" t="n"/>
      <c r="N1793" s="1746" t="n"/>
      <c r="O1793" s="1782" t="n"/>
      <c r="P1793" s="1720" t="n"/>
    </row>
    <row r="1794" hidden="1" outlineLevel="3" ht="13.5" customHeight="1">
      <c r="A1794" s="2117" t="n">
        <v>0</v>
      </c>
      <c r="B1794" s="2117" t="n">
        <v>14</v>
      </c>
      <c r="C1794" s="2117" t="n">
        <v>8</v>
      </c>
      <c r="D1794" s="2118" t="n">
        <v>3</v>
      </c>
      <c r="E1794" s="2118" t="n">
        <v>1</v>
      </c>
      <c r="G1794" s="1798" t="inlineStr">
        <is>
          <t>ACABAMENTOS INTERNOS EM PAREDE</t>
        </is>
      </c>
      <c r="H1794" s="1783" t="inlineStr">
        <is>
          <t>SERVIÇO</t>
        </is>
      </c>
      <c r="I1794" s="1750" t="inlineStr">
        <is>
          <t>14.008.003.001</t>
        </is>
      </c>
      <c r="J1794" s="1785" t="inlineStr">
        <is>
          <t>Revestimento de Mármore Travertino Romano em Paredes</t>
        </is>
      </c>
      <c r="K1794" s="1786" t="inlineStr">
        <is>
          <t>m2</t>
        </is>
      </c>
      <c r="L1794" s="1787" t="e">
        <v>#REF!</v>
      </c>
      <c r="M1794" s="1787" t="n">
        <v>1448.2455</v>
      </c>
      <c r="N1794" s="1754" t="n"/>
      <c r="O1794" s="1788" t="inlineStr">
        <is>
          <t>Hall do elevador + Lavabos</t>
        </is>
      </c>
      <c r="P1794" s="1721" t="inlineStr">
        <is>
          <t>Pendente</t>
        </is>
      </c>
    </row>
    <row r="1795" hidden="1" outlineLevel="2" ht="13.5" customHeight="1">
      <c r="A1795" s="2117" t="n">
        <v>0</v>
      </c>
      <c r="B1795" s="2117" t="n">
        <v>14</v>
      </c>
      <c r="C1795" s="2117" t="n">
        <v>8</v>
      </c>
      <c r="D1795" s="2118" t="n">
        <v>4</v>
      </c>
      <c r="E1795" s="2118" t="n">
        <v>0</v>
      </c>
      <c r="G1795" s="1797" t="n"/>
      <c r="H1795" s="1777" t="inlineStr">
        <is>
          <t>SUBETAPA</t>
        </is>
      </c>
      <c r="I1795" s="1742" t="inlineStr">
        <is>
          <t>14.008.004</t>
        </is>
      </c>
      <c r="J1795" s="1779" t="inlineStr">
        <is>
          <t>Acabamentos especiais</t>
        </is>
      </c>
      <c r="K1795" s="1780" t="n"/>
      <c r="L1795" s="1781" t="n"/>
      <c r="M1795" s="1781" t="n"/>
      <c r="N1795" s="1746" t="n"/>
      <c r="O1795" s="1782" t="n"/>
      <c r="P1795" s="1720" t="n"/>
    </row>
    <row r="1796" hidden="1" outlineLevel="3" ht="13.5" customHeight="1">
      <c r="A1796" s="2117" t="n">
        <v>0</v>
      </c>
      <c r="B1796" s="2117" t="n">
        <v>14</v>
      </c>
      <c r="C1796" s="2117" t="n">
        <v>8</v>
      </c>
      <c r="D1796" s="2118" t="n">
        <v>4</v>
      </c>
      <c r="E1796" s="2118" t="n">
        <v>1</v>
      </c>
      <c r="G1796" s="1798" t="inlineStr">
        <is>
          <t>ACABAMENTOS INTERNOS EM PAREDE</t>
        </is>
      </c>
      <c r="H1796" s="1783" t="inlineStr">
        <is>
          <t>SERVIÇO</t>
        </is>
      </c>
      <c r="I1796" s="1750" t="inlineStr">
        <is>
          <t>14.008.004.001</t>
        </is>
      </c>
      <c r="J1796" s="1785" t="inlineStr">
        <is>
          <t xml:space="preserve">Revestimento em Paredes, Marcenaria, incluindo chapa de 18mm, acessorios para instalação - Material e Mão de Obra </t>
        </is>
      </c>
      <c r="K1796" s="1786" t="inlineStr">
        <is>
          <t>m2</t>
        </is>
      </c>
      <c r="L1796" s="1787" t="e">
        <v>#REF!</v>
      </c>
      <c r="M1796" s="1787" t="n">
        <v>919.5</v>
      </c>
      <c r="N1796" s="1754" t="n"/>
      <c r="O1796" s="1788" t="n"/>
      <c r="P1796" s="1721" t="inlineStr">
        <is>
          <t>Pendente</t>
        </is>
      </c>
    </row>
    <row r="1797" hidden="1" outlineLevel="3" ht="13.5" customHeight="1">
      <c r="A1797" s="2117" t="n">
        <v>0</v>
      </c>
      <c r="B1797" s="2117" t="n">
        <v>14</v>
      </c>
      <c r="C1797" s="2117" t="n">
        <v>8</v>
      </c>
      <c r="D1797" s="2118" t="n">
        <v>4</v>
      </c>
      <c r="E1797" s="2118" t="n">
        <v>2</v>
      </c>
      <c r="G1797" s="1798" t="inlineStr">
        <is>
          <t>ACABAMENTOS INTERNOS EM PAREDE</t>
        </is>
      </c>
      <c r="H1797" s="1783" t="inlineStr">
        <is>
          <t>SERVIÇO</t>
        </is>
      </c>
      <c r="I1797" s="1750" t="inlineStr">
        <is>
          <t>14.008.004.002</t>
        </is>
      </c>
      <c r="J1797" s="1785" t="inlineStr">
        <is>
          <t xml:space="preserve">Revestimento em Paredes, Papel de parede, Degradê Laranja 114, acessorios para instalação - Material e Mão de Obra </t>
        </is>
      </c>
      <c r="K1797" s="1786" t="inlineStr">
        <is>
          <t>m2</t>
        </is>
      </c>
      <c r="L1797" s="1787" t="e">
        <v>#REF!</v>
      </c>
      <c r="M1797" s="1787" t="n">
        <v>286.6037735849056</v>
      </c>
      <c r="N1797" s="1754" t="n"/>
      <c r="O1797" s="1788" t="inlineStr">
        <is>
          <t>Brinquedoteca</t>
        </is>
      </c>
      <c r="P1797" s="1721" t="inlineStr">
        <is>
          <t>Pendente</t>
        </is>
      </c>
    </row>
    <row r="1798" hidden="1" outlineLevel="3" ht="13.5" customHeight="1">
      <c r="A1798" s="2117" t="n">
        <v>0</v>
      </c>
      <c r="B1798" s="2117" t="n">
        <v>14</v>
      </c>
      <c r="C1798" s="2117" t="n">
        <v>8</v>
      </c>
      <c r="D1798" s="2118" t="n">
        <v>4</v>
      </c>
      <c r="E1798" s="2118" t="n">
        <v>3</v>
      </c>
      <c r="G1798" s="1798" t="inlineStr">
        <is>
          <t>ACABAMENTOS INTERNOS EM PAREDE</t>
        </is>
      </c>
      <c r="H1798" s="1783" t="inlineStr">
        <is>
          <t>SERVIÇO</t>
        </is>
      </c>
      <c r="I1798" s="1750" t="inlineStr">
        <is>
          <t>14.008.004.003</t>
        </is>
      </c>
      <c r="J1798" s="1785" t="inlineStr">
        <is>
          <t xml:space="preserve">Revestimento em Paredes, Papel de parede,  Jeans Cinza 246, acessorios para instalação - Material e Mão de Obra </t>
        </is>
      </c>
      <c r="K1798" s="1786" t="inlineStr">
        <is>
          <t>m2</t>
        </is>
      </c>
      <c r="L1798" s="1787" t="e">
        <v>#REF!</v>
      </c>
      <c r="M1798" s="1787" t="n">
        <v>268.6163522012579</v>
      </c>
      <c r="N1798" s="1754" t="n"/>
      <c r="O1798" s="1788" t="inlineStr">
        <is>
          <t>Game Center</t>
        </is>
      </c>
      <c r="P1798" s="1721" t="inlineStr">
        <is>
          <t>Pendente</t>
        </is>
      </c>
    </row>
    <row r="1799" hidden="1" outlineLevel="3" ht="13.5" customHeight="1">
      <c r="A1799" s="2117" t="n">
        <v>0</v>
      </c>
      <c r="B1799" s="2117" t="n">
        <v>14</v>
      </c>
      <c r="C1799" s="2117" t="n">
        <v>8</v>
      </c>
      <c r="D1799" s="2118" t="n">
        <v>4</v>
      </c>
      <c r="E1799" s="2118" t="n">
        <v>4</v>
      </c>
      <c r="G1799" s="1798" t="inlineStr">
        <is>
          <t>ACABAMENTOS INTERNOS EM PAREDE</t>
        </is>
      </c>
      <c r="H1799" s="1783" t="inlineStr">
        <is>
          <t>SERVIÇO</t>
        </is>
      </c>
      <c r="I1799" s="1750" t="inlineStr">
        <is>
          <t>14.008.004.004</t>
        </is>
      </c>
      <c r="J1799" s="1785" t="inlineStr">
        <is>
          <t xml:space="preserve">Revestimento em Paredes, Papel de parede, Mata Atlântica Azul, acessorios para instalação - Material e Mão de Obra </t>
        </is>
      </c>
      <c r="K1799" s="1786" t="inlineStr">
        <is>
          <t>m2</t>
        </is>
      </c>
      <c r="L1799" s="1787" t="e">
        <v>#REF!</v>
      </c>
      <c r="M1799" s="1787" t="n">
        <v>328.1132075471698</v>
      </c>
      <c r="N1799" s="1754" t="n"/>
      <c r="O1799" s="1788" t="inlineStr">
        <is>
          <t>Salão de Festas</t>
        </is>
      </c>
      <c r="P1799" s="1721" t="inlineStr">
        <is>
          <t>Pendente</t>
        </is>
      </c>
    </row>
    <row r="1800" hidden="1" outlineLevel="3" ht="13.5" customHeight="1">
      <c r="A1800" s="2117" t="n">
        <v>0</v>
      </c>
      <c r="B1800" s="2117" t="n">
        <v>14</v>
      </c>
      <c r="C1800" s="2117" t="n">
        <v>8</v>
      </c>
      <c r="D1800" s="2118" t="n">
        <v>4</v>
      </c>
      <c r="E1800" s="2118" t="n">
        <v>5</v>
      </c>
      <c r="G1800" s="1798" t="inlineStr">
        <is>
          <t>ACABAMENTOS INTERNOS EM PAREDE</t>
        </is>
      </c>
      <c r="H1800" s="1783" t="inlineStr">
        <is>
          <t>SERVIÇO</t>
        </is>
      </c>
      <c r="I1800" s="1750" t="inlineStr">
        <is>
          <t>14.008.004.005</t>
        </is>
      </c>
      <c r="J1800" s="1785" t="inlineStr">
        <is>
          <t xml:space="preserve">Revestimento em Paredes, Papel de parede, Paisagem Suave Escuro, acessorios para instalação - Material e Mão de Obra </t>
        </is>
      </c>
      <c r="K1800" s="1786" t="inlineStr">
        <is>
          <t>m2</t>
        </is>
      </c>
      <c r="L1800" s="1787" t="e">
        <v>#REF!</v>
      </c>
      <c r="M1800" s="1787" t="n">
        <v>328.0143755615454</v>
      </c>
      <c r="N1800" s="1754" t="n"/>
      <c r="O1800" s="1788" t="inlineStr">
        <is>
          <t>Wine Bar</t>
        </is>
      </c>
      <c r="P1800" s="1721" t="inlineStr">
        <is>
          <t>Pendente</t>
        </is>
      </c>
    </row>
    <row r="1801" hidden="1" outlineLevel="3" ht="13.5" customHeight="1">
      <c r="A1801" s="2117" t="n">
        <v>0</v>
      </c>
      <c r="B1801" s="2117" t="n">
        <v>14</v>
      </c>
      <c r="C1801" s="2117" t="n">
        <v>8</v>
      </c>
      <c r="D1801" s="2118" t="n">
        <v>4</v>
      </c>
      <c r="E1801" s="2118" t="n">
        <v>6</v>
      </c>
      <c r="G1801" s="1798" t="inlineStr">
        <is>
          <t>ACABAMENTOS INTERNOS EM PAREDE</t>
        </is>
      </c>
      <c r="H1801" s="1783" t="inlineStr">
        <is>
          <t>SERVIÇO</t>
        </is>
      </c>
      <c r="I1801" s="1750" t="inlineStr">
        <is>
          <t>14.008.004.006</t>
        </is>
      </c>
      <c r="J1801" s="1785" t="inlineStr">
        <is>
          <t xml:space="preserve">Revestimento em Paredes, Papel de parede, Solar, acessorios para instalação - Material e Mão de Obra </t>
        </is>
      </c>
      <c r="K1801" s="1786" t="inlineStr">
        <is>
          <t>m2</t>
        </is>
      </c>
      <c r="L1801" s="1787" t="e">
        <v>#REF!</v>
      </c>
      <c r="M1801" s="1787" t="n">
        <v>346.7638036809816</v>
      </c>
      <c r="N1801" s="1754" t="n"/>
      <c r="O1801" s="1788" t="inlineStr">
        <is>
          <t>Circulação</t>
        </is>
      </c>
      <c r="P1801" s="1721" t="inlineStr">
        <is>
          <t>Pendente</t>
        </is>
      </c>
    </row>
    <row r="1802" hidden="1" outlineLevel="2" ht="13.5" customHeight="1">
      <c r="A1802" s="2117" t="n">
        <v>0</v>
      </c>
      <c r="B1802" s="2117" t="n">
        <v>14</v>
      </c>
      <c r="C1802" s="2117" t="n">
        <v>8</v>
      </c>
      <c r="D1802" s="2118" t="n">
        <v>5</v>
      </c>
      <c r="E1802" s="2118" t="n">
        <v>0</v>
      </c>
      <c r="G1802" s="1797" t="n"/>
      <c r="H1802" s="1777" t="inlineStr">
        <is>
          <t>SUBETAPA</t>
        </is>
      </c>
      <c r="I1802" s="1742" t="inlineStr">
        <is>
          <t>14.008.005</t>
        </is>
      </c>
      <c r="J1802" s="1779" t="inlineStr">
        <is>
          <t>Peitoris</t>
        </is>
      </c>
      <c r="K1802" s="1780" t="n"/>
      <c r="L1802" s="1781" t="n"/>
      <c r="M1802" s="1781" t="n"/>
      <c r="N1802" s="1746" t="n"/>
      <c r="O1802" s="1782" t="n"/>
      <c r="P1802" s="1720" t="n"/>
    </row>
    <row r="1803" hidden="1" outlineLevel="3" ht="13.5" customHeight="1">
      <c r="A1803" s="2117" t="n">
        <v>0</v>
      </c>
      <c r="B1803" s="2117" t="n">
        <v>14</v>
      </c>
      <c r="C1803" s="2117" t="n">
        <v>8</v>
      </c>
      <c r="D1803" s="2118" t="n">
        <v>5</v>
      </c>
      <c r="E1803" s="2118" t="n">
        <v>1</v>
      </c>
      <c r="G1803" s="1798" t="inlineStr">
        <is>
          <t>ACABAMENTOS INTERNOS EM PAREDE</t>
        </is>
      </c>
      <c r="H1803" s="1783" t="inlineStr">
        <is>
          <t>SERVIÇO</t>
        </is>
      </c>
      <c r="I1803" s="1750" t="inlineStr">
        <is>
          <t>14.008.005.001</t>
        </is>
      </c>
      <c r="J1803" s="1785" t="inlineStr">
        <is>
          <t>Peitoril em pedra natural,  esp. 2cm</t>
        </is>
      </c>
      <c r="K1803" s="1786" t="inlineStr">
        <is>
          <t>m2</t>
        </is>
      </c>
      <c r="L1803" s="1787" t="e">
        <v>#REF!</v>
      </c>
      <c r="M1803" s="1787" t="n">
        <v>849.1547</v>
      </c>
      <c r="N1803" s="1754" t="n"/>
      <c r="O1803" s="1788" t="n"/>
      <c r="P1803" s="1721" t="inlineStr">
        <is>
          <t>Pendente</t>
        </is>
      </c>
    </row>
    <row r="1804" hidden="1" outlineLevel="3" ht="13.5" customHeight="1">
      <c r="A1804" s="2117" t="n">
        <v>0</v>
      </c>
      <c r="B1804" s="2117" t="n">
        <v>14</v>
      </c>
      <c r="C1804" s="2117" t="n">
        <v>8</v>
      </c>
      <c r="D1804" s="2118" t="n">
        <v>5</v>
      </c>
      <c r="E1804" s="2118" t="n">
        <v>2</v>
      </c>
      <c r="G1804" s="1798" t="inlineStr">
        <is>
          <t>ACABAMENTOS INTERNOS EM PAREDE</t>
        </is>
      </c>
      <c r="H1804" s="1783" t="inlineStr">
        <is>
          <t>SERVIÇO</t>
        </is>
      </c>
      <c r="I1804" s="1750" t="inlineStr">
        <is>
          <t>14.008.005.002</t>
        </is>
      </c>
      <c r="J1804" s="1785" t="inlineStr">
        <is>
          <t>Peitoril em Mármore Travertino Romano,  esp. 2cm</t>
        </is>
      </c>
      <c r="K1804" s="1786" t="inlineStr">
        <is>
          <t>m2</t>
        </is>
      </c>
      <c r="L1804" s="1787" t="e">
        <v>#REF!</v>
      </c>
      <c r="M1804" s="1787" t="n">
        <v>1374.1547</v>
      </c>
      <c r="N1804" s="1754" t="n"/>
      <c r="O1804" s="1788" t="n"/>
      <c r="P1804" s="1721" t="inlineStr">
        <is>
          <t>Pendente</t>
        </is>
      </c>
    </row>
    <row r="1805" hidden="1" outlineLevel="2" ht="13.5" customHeight="1">
      <c r="A1805" s="2117" t="n">
        <v>0</v>
      </c>
      <c r="B1805" s="2117" t="n">
        <v>14</v>
      </c>
      <c r="C1805" s="2117" t="n">
        <v>8</v>
      </c>
      <c r="D1805" s="2118" t="n">
        <v>6</v>
      </c>
      <c r="E1805" s="2118" t="n">
        <v>0</v>
      </c>
      <c r="G1805" s="1797" t="n"/>
      <c r="H1805" s="1777" t="inlineStr">
        <is>
          <t>SUBETAPA</t>
        </is>
      </c>
      <c r="I1805" s="1742" t="inlineStr">
        <is>
          <t>14.008.006</t>
        </is>
      </c>
      <c r="J1805" s="1779" t="inlineStr">
        <is>
          <t>Mão de obra - Revestimentos</t>
        </is>
      </c>
      <c r="K1805" s="1780" t="n"/>
      <c r="L1805" s="1781" t="n"/>
      <c r="M1805" s="1781" t="n"/>
      <c r="N1805" s="1746" t="n"/>
      <c r="O1805" s="1782" t="n"/>
      <c r="P1805" s="1720" t="n"/>
    </row>
    <row r="1806" hidden="1" outlineLevel="3" ht="13.5" customHeight="1">
      <c r="A1806" s="2117" t="n">
        <v>0</v>
      </c>
      <c r="B1806" s="2117" t="n">
        <v>14</v>
      </c>
      <c r="C1806" s="2117" t="n">
        <v>8</v>
      </c>
      <c r="D1806" s="2118" t="n">
        <v>6</v>
      </c>
      <c r="E1806" s="2118" t="n">
        <v>1</v>
      </c>
      <c r="G1806" s="1798" t="inlineStr">
        <is>
          <t>REVESTIMENTOS ARGAMASSADOS PAREDE</t>
        </is>
      </c>
      <c r="H1806" s="1783" t="inlineStr">
        <is>
          <t>SERVIÇO</t>
        </is>
      </c>
      <c r="I1806" s="1750" t="inlineStr">
        <is>
          <t>14.008.006.001</t>
        </is>
      </c>
      <c r="J1806" s="1785" t="inlineStr">
        <is>
          <t>Mão de obra execução de massa única em paredes interna, incluindo chapisco</t>
        </is>
      </c>
      <c r="K1806" s="1786" t="inlineStr">
        <is>
          <t>m2</t>
        </is>
      </c>
      <c r="L1806" s="1787" t="e">
        <v>#REF!</v>
      </c>
      <c r="M1806" s="1787" t="n">
        <v>42</v>
      </c>
      <c r="N1806" s="1754" t="n"/>
      <c r="O1806" s="1788" t="n"/>
      <c r="P1806" s="1721" t="inlineStr">
        <is>
          <t>Pendente</t>
        </is>
      </c>
    </row>
    <row r="1807" hidden="1" outlineLevel="3" ht="13.5" customHeight="1">
      <c r="A1807" s="2117" t="n">
        <v>0</v>
      </c>
      <c r="B1807" s="2117" t="n">
        <v>14</v>
      </c>
      <c r="C1807" s="2117" t="n">
        <v>8</v>
      </c>
      <c r="D1807" s="2118" t="n">
        <v>6</v>
      </c>
      <c r="E1807" s="2118" t="n">
        <v>2</v>
      </c>
      <c r="G1807" s="1798" t="inlineStr">
        <is>
          <t>REVESTIMENTOS ARGAMASSADOS PAREDE</t>
        </is>
      </c>
      <c r="H1807" s="1783" t="inlineStr">
        <is>
          <t>SERVIÇO</t>
        </is>
      </c>
      <c r="I1807" s="1750" t="inlineStr">
        <is>
          <t>14.008.006.002</t>
        </is>
      </c>
      <c r="J1807" s="1785" t="inlineStr">
        <is>
          <t>Mão de obra estucamento de paredes</t>
        </is>
      </c>
      <c r="K1807" s="1786" t="inlineStr">
        <is>
          <t>m2</t>
        </is>
      </c>
      <c r="L1807" s="1787" t="e">
        <v>#REF!</v>
      </c>
      <c r="M1807" s="1787" t="n">
        <v>30</v>
      </c>
      <c r="N1807" s="1754" t="n"/>
      <c r="O1807" s="1788" t="n"/>
      <c r="P1807" s="1721" t="inlineStr">
        <is>
          <t>Pendente</t>
        </is>
      </c>
    </row>
    <row r="1808" hidden="1" outlineLevel="3" ht="13.5" customHeight="1">
      <c r="A1808" s="2117" t="n">
        <v>0</v>
      </c>
      <c r="B1808" s="2117" t="n">
        <v>14</v>
      </c>
      <c r="C1808" s="2117" t="n">
        <v>8</v>
      </c>
      <c r="D1808" s="2118" t="n">
        <v>6</v>
      </c>
      <c r="E1808" s="2118" t="n">
        <v>3</v>
      </c>
      <c r="G1808" s="1798" t="inlineStr">
        <is>
          <t>ACABAMENTOS INTERNOS EM PAREDE</t>
        </is>
      </c>
      <c r="H1808" s="1783" t="inlineStr">
        <is>
          <t>SERVIÇO</t>
        </is>
      </c>
      <c r="I1808" s="1750" t="inlineStr">
        <is>
          <t>14.008.006.003</t>
        </is>
      </c>
      <c r="J1808" s="1785" t="inlineStr">
        <is>
          <t>Mão de obra para assentamento de Ladrilhos</t>
        </is>
      </c>
      <c r="K1808" s="1786" t="inlineStr">
        <is>
          <t>m2</t>
        </is>
      </c>
      <c r="L1808" s="1787" t="e">
        <v>#REF!</v>
      </c>
      <c r="M1808" s="1787" t="n">
        <v>75</v>
      </c>
      <c r="N1808" s="1754" t="n"/>
      <c r="O1808" s="1788" t="n"/>
      <c r="P1808" s="1721" t="inlineStr">
        <is>
          <t>Pendente</t>
        </is>
      </c>
    </row>
    <row r="1809" hidden="1" outlineLevel="3" ht="13.5" customHeight="1">
      <c r="A1809" s="2117" t="n">
        <v>0</v>
      </c>
      <c r="B1809" s="2117" t="n">
        <v>14</v>
      </c>
      <c r="C1809" s="2117" t="n">
        <v>8</v>
      </c>
      <c r="D1809" s="2118" t="n">
        <v>6</v>
      </c>
      <c r="E1809" s="2118" t="n">
        <v>4</v>
      </c>
      <c r="G1809" s="1798" t="inlineStr">
        <is>
          <t>ACABAMENTOS INTERNOS EM PAREDE</t>
        </is>
      </c>
      <c r="H1809" s="1783" t="inlineStr">
        <is>
          <t>SERVIÇO</t>
        </is>
      </c>
      <c r="I1809" s="1750" t="inlineStr">
        <is>
          <t>14.008.006.004</t>
        </is>
      </c>
      <c r="J1809" s="1785" t="inlineStr">
        <is>
          <t>Mão de obra para assentamento de Pedras Naturais em parede</t>
        </is>
      </c>
      <c r="K1809" s="1786" t="inlineStr">
        <is>
          <t>m2</t>
        </is>
      </c>
      <c r="L1809" s="1787" t="e">
        <v>#REF!</v>
      </c>
      <c r="M1809" s="1787" t="n">
        <v>75</v>
      </c>
      <c r="N1809" s="1754" t="n"/>
      <c r="O1809" s="1788" t="n"/>
      <c r="P1809" s="1721" t="inlineStr">
        <is>
          <t>Pendente</t>
        </is>
      </c>
    </row>
    <row r="1810" hidden="1" outlineLevel="3" ht="13.5" customHeight="1">
      <c r="A1810" s="2117" t="n">
        <v>0</v>
      </c>
      <c r="B1810" s="2117" t="n">
        <v>14</v>
      </c>
      <c r="C1810" s="2117" t="n">
        <v>8</v>
      </c>
      <c r="D1810" s="2118" t="n">
        <v>6</v>
      </c>
      <c r="E1810" s="2118" t="n">
        <v>5</v>
      </c>
      <c r="G1810" s="1798" t="inlineStr">
        <is>
          <t>ACABAMENTOS INTERNOS EM PAREDE</t>
        </is>
      </c>
      <c r="H1810" s="1783" t="inlineStr">
        <is>
          <t>SERVIÇO</t>
        </is>
      </c>
      <c r="I1810" s="1750" t="inlineStr">
        <is>
          <t>14.008.006.005</t>
        </is>
      </c>
      <c r="J1810" s="1785" t="inlineStr">
        <is>
          <t>Mão de obra para colocação de peitoril e pingadeira</t>
        </is>
      </c>
      <c r="K1810" s="1786" t="inlineStr">
        <is>
          <t>m2</t>
        </is>
      </c>
      <c r="L1810" s="1787" t="e">
        <v>#REF!</v>
      </c>
      <c r="M1810" s="1787" t="n">
        <v>50</v>
      </c>
      <c r="N1810" s="1754" t="n"/>
      <c r="O1810" s="1788" t="n"/>
      <c r="P1810" s="1721" t="inlineStr">
        <is>
          <t>Pendente</t>
        </is>
      </c>
    </row>
    <row r="1811" hidden="1" outlineLevel="1" ht="13.5" customHeight="1">
      <c r="A1811" s="2117" t="n">
        <v>0</v>
      </c>
      <c r="B1811" s="2117" t="n">
        <v>14</v>
      </c>
      <c r="C1811" s="2117" t="n">
        <v>9</v>
      </c>
      <c r="D1811" s="2118" t="n">
        <v>0</v>
      </c>
      <c r="E1811" s="2118" t="n">
        <v>5</v>
      </c>
      <c r="G1811" s="1796" t="n"/>
      <c r="H1811" s="1771" t="inlineStr">
        <is>
          <t>ETAPA</t>
        </is>
      </c>
      <c r="I1811" s="1735" t="inlineStr">
        <is>
          <t>14.009</t>
        </is>
      </c>
      <c r="J1811" s="1773" t="inlineStr">
        <is>
          <t>REVESTIMENTOS INTERNOS DE PAREDE - Tipo diferenciado</t>
        </is>
      </c>
      <c r="K1811" s="1774" t="n"/>
      <c r="L1811" s="1775" t="n"/>
      <c r="M1811" s="1775" t="n"/>
      <c r="N1811" s="1739" t="n"/>
      <c r="O1811" s="1776" t="n"/>
      <c r="P1811" s="1719" t="n"/>
    </row>
    <row r="1812" hidden="1" outlineLevel="2" ht="13.5" customHeight="1">
      <c r="A1812" s="2117" t="n">
        <v>0</v>
      </c>
      <c r="B1812" s="2117" t="n">
        <v>14</v>
      </c>
      <c r="C1812" s="2117" t="n">
        <v>9</v>
      </c>
      <c r="D1812" s="2118" t="n">
        <v>1</v>
      </c>
      <c r="E1812" s="2118" t="n">
        <v>0</v>
      </c>
      <c r="G1812" s="1797" t="n"/>
      <c r="H1812" s="1777" t="inlineStr">
        <is>
          <t>SUBETAPA</t>
        </is>
      </c>
      <c r="I1812" s="1742" t="inlineStr">
        <is>
          <t>14.009.001</t>
        </is>
      </c>
      <c r="J1812" s="1779" t="inlineStr">
        <is>
          <t>Argamassado interno em parede</t>
        </is>
      </c>
      <c r="K1812" s="1780" t="n"/>
      <c r="L1812" s="1781" t="n"/>
      <c r="M1812" s="1781" t="n"/>
      <c r="N1812" s="1746" t="n"/>
      <c r="O1812" s="1782" t="n"/>
      <c r="P1812" s="1720" t="n"/>
    </row>
    <row r="1813" hidden="1" outlineLevel="3" ht="13.5" customHeight="1">
      <c r="A1813" s="2117" t="n">
        <v>0</v>
      </c>
      <c r="B1813" s="2117" t="n">
        <v>14</v>
      </c>
      <c r="C1813" s="2117" t="n">
        <v>9</v>
      </c>
      <c r="D1813" s="2118" t="n">
        <v>1</v>
      </c>
      <c r="E1813" s="2118" t="n">
        <v>1</v>
      </c>
      <c r="G1813" s="1798" t="inlineStr">
        <is>
          <t>REVESTIMENTOS ARGAMASSADOS PAREDE</t>
        </is>
      </c>
      <c r="H1813" s="1783" t="inlineStr">
        <is>
          <t>SERVIÇO</t>
        </is>
      </c>
      <c r="I1813" s="1750" t="inlineStr">
        <is>
          <t>14.009.001.001</t>
        </is>
      </c>
      <c r="J1813" s="1785" t="inlineStr">
        <is>
          <t>Chapisco aplicado em estruturas de concreto, com argamassa pré-fabricada adesiva de cimento colante, aplicação convencional</t>
        </is>
      </c>
      <c r="K1813" s="1786" t="inlineStr">
        <is>
          <t>m2</t>
        </is>
      </c>
      <c r="L1813" s="1787" t="e">
        <v>#REF!</v>
      </c>
      <c r="M1813" s="1787" t="n">
        <v>10.11778</v>
      </c>
      <c r="N1813" s="1754" t="n"/>
      <c r="O1813" s="1788" t="n"/>
      <c r="P1813" s="1721" t="inlineStr">
        <is>
          <t>Pendente</t>
        </is>
      </c>
    </row>
    <row r="1814" hidden="1" outlineLevel="3" ht="13.5" customHeight="1">
      <c r="A1814" s="2117" t="n">
        <v>0</v>
      </c>
      <c r="B1814" s="2117" t="n">
        <v>14</v>
      </c>
      <c r="C1814" s="2117" t="n">
        <v>9</v>
      </c>
      <c r="D1814" s="2118" t="n">
        <v>1</v>
      </c>
      <c r="E1814" s="2118" t="n">
        <v>2</v>
      </c>
      <c r="G1814" s="1798" t="inlineStr">
        <is>
          <t>REVESTIMENTOS ARGAMASSADOS PAREDE</t>
        </is>
      </c>
      <c r="H1814" s="1783" t="inlineStr">
        <is>
          <t>SERVIÇO</t>
        </is>
      </c>
      <c r="I1814" s="1750" t="inlineStr">
        <is>
          <t>14.009.001.002</t>
        </is>
      </c>
      <c r="J1814" s="1785" t="inlineStr">
        <is>
          <t>Chapisco interno de argamassa preparada em obra de cimento e areia - traço 1:4 - aplicação em paredes internas</t>
        </is>
      </c>
      <c r="K1814" s="1786" t="inlineStr">
        <is>
          <t>m2</t>
        </is>
      </c>
      <c r="L1814" s="1787" t="e">
        <v>#REF!</v>
      </c>
      <c r="M1814" s="1787" t="n">
        <v>3.28945</v>
      </c>
      <c r="N1814" s="1754" t="n"/>
      <c r="O1814" s="1788" t="n"/>
      <c r="P1814" s="1721" t="inlineStr">
        <is>
          <t>Pendente</t>
        </is>
      </c>
    </row>
    <row r="1815" hidden="1" outlineLevel="3" ht="13.5" customHeight="1">
      <c r="A1815" s="2117" t="n">
        <v>0</v>
      </c>
      <c r="B1815" s="2117" t="n">
        <v>14</v>
      </c>
      <c r="C1815" s="2117" t="n">
        <v>9</v>
      </c>
      <c r="D1815" s="2118" t="n">
        <v>1</v>
      </c>
      <c r="E1815" s="2118" t="n">
        <v>3</v>
      </c>
      <c r="G1815" s="1798" t="inlineStr">
        <is>
          <t>REVESTIMENTOS ARGAMASSADOS PAREDE</t>
        </is>
      </c>
      <c r="H1815" s="1783" t="inlineStr">
        <is>
          <t>SERVIÇO</t>
        </is>
      </c>
      <c r="I1815" s="1750" t="inlineStr">
        <is>
          <t>14.009.001.003</t>
        </is>
      </c>
      <c r="J1815" s="1785" t="inlineStr">
        <is>
          <t>Massa unica para reboco interno em argamassa estabilizada, espessura de 2,5cm, com execução desempenado fino</t>
        </is>
      </c>
      <c r="K1815" s="1786" t="inlineStr">
        <is>
          <t>m2</t>
        </is>
      </c>
      <c r="L1815" s="1787" t="e">
        <v>#REF!</v>
      </c>
      <c r="M1815" s="1787" t="n">
        <v>12.075</v>
      </c>
      <c r="N1815" s="1754" t="n"/>
      <c r="O1815" s="1788" t="n"/>
      <c r="P1815" s="1721" t="inlineStr">
        <is>
          <t>Pendente</t>
        </is>
      </c>
    </row>
    <row r="1816" hidden="1" outlineLevel="2" ht="13.5" customHeight="1">
      <c r="A1816" s="2117" t="n">
        <v>0</v>
      </c>
      <c r="B1816" s="2117" t="n">
        <v>14</v>
      </c>
      <c r="C1816" s="2117" t="n">
        <v>9</v>
      </c>
      <c r="D1816" s="2118" t="n">
        <v>2</v>
      </c>
      <c r="E1816" s="2118" t="n">
        <v>0</v>
      </c>
      <c r="G1816" s="1797" t="n"/>
      <c r="H1816" s="1777" t="inlineStr">
        <is>
          <t>SUBETAPA</t>
        </is>
      </c>
      <c r="I1816" s="1742" t="inlineStr">
        <is>
          <t>14.009.002</t>
        </is>
      </c>
      <c r="J1816" s="1779" t="inlineStr">
        <is>
          <t>Acabamentos cerâmicos</t>
        </is>
      </c>
      <c r="K1816" s="1780" t="n"/>
      <c r="L1816" s="1781" t="n"/>
      <c r="M1816" s="1781" t="n"/>
      <c r="N1816" s="1746" t="n"/>
      <c r="O1816" s="1782" t="n"/>
      <c r="P1816" s="1720" t="n"/>
    </row>
    <row r="1817" hidden="1" outlineLevel="3" ht="13.5" customHeight="1">
      <c r="A1817" s="2117" t="n">
        <v>0</v>
      </c>
      <c r="B1817" s="2117" t="n">
        <v>14</v>
      </c>
      <c r="C1817" s="2117" t="n">
        <v>9</v>
      </c>
      <c r="D1817" s="2118" t="n">
        <v>2</v>
      </c>
      <c r="E1817" s="2118" t="n">
        <v>1</v>
      </c>
      <c r="G1817" s="1798" t="inlineStr">
        <is>
          <t>ACABAMENTOS INTERNOS EM PAREDE</t>
        </is>
      </c>
      <c r="H1817" s="1783" t="inlineStr">
        <is>
          <t>SERVIÇO</t>
        </is>
      </c>
      <c r="I1817" s="1750" t="inlineStr">
        <is>
          <t>14.009.002.001</t>
        </is>
      </c>
      <c r="J1817" s="1785" t="inlineStr">
        <is>
          <t>Revestimento de parede em Porcelanato Portobello –  90x90 - Padrão Alto</t>
        </is>
      </c>
      <c r="K1817" s="1786" t="inlineStr">
        <is>
          <t>m2</t>
        </is>
      </c>
      <c r="L1817" s="1787" t="e">
        <v>#REF!</v>
      </c>
      <c r="M1817" s="1787" t="n">
        <v>141.8276</v>
      </c>
      <c r="N1817" s="1754" t="n"/>
      <c r="O1817" s="1788" t="inlineStr">
        <is>
          <t>Banheiros</t>
        </is>
      </c>
      <c r="P1817" s="1721" t="inlineStr">
        <is>
          <t>Pendente</t>
        </is>
      </c>
    </row>
    <row r="1818" hidden="1" outlineLevel="2" ht="13.5" customHeight="1">
      <c r="A1818" s="2117" t="n">
        <v>0</v>
      </c>
      <c r="B1818" s="2117" t="n">
        <v>14</v>
      </c>
      <c r="C1818" s="2117" t="n">
        <v>9</v>
      </c>
      <c r="D1818" s="2118" t="n">
        <v>3</v>
      </c>
      <c r="E1818" s="2118" t="n">
        <v>0</v>
      </c>
      <c r="G1818" s="1797" t="n"/>
      <c r="H1818" s="1777" t="inlineStr">
        <is>
          <t>SUBETAPA</t>
        </is>
      </c>
      <c r="I1818" s="1742" t="inlineStr">
        <is>
          <t>14.009.003</t>
        </is>
      </c>
      <c r="J1818" s="1779" t="inlineStr">
        <is>
          <t>Peitoris</t>
        </is>
      </c>
      <c r="K1818" s="1780" t="n"/>
      <c r="L1818" s="1781" t="n"/>
      <c r="M1818" s="1781" t="n"/>
      <c r="N1818" s="1746" t="n"/>
      <c r="O1818" s="1782" t="n"/>
      <c r="P1818" s="1720" t="n"/>
    </row>
    <row r="1819" hidden="1" outlineLevel="3" ht="13.5" customHeight="1">
      <c r="A1819" s="2117" t="n">
        <v>0</v>
      </c>
      <c r="B1819" s="2117" t="n">
        <v>14</v>
      </c>
      <c r="C1819" s="2117" t="n">
        <v>9</v>
      </c>
      <c r="D1819" s="2118" t="n">
        <v>3</v>
      </c>
      <c r="E1819" s="2118" t="n">
        <v>1</v>
      </c>
      <c r="G1819" s="1798" t="inlineStr">
        <is>
          <t>ACABAMENTOS INTERNOS EM PAREDE</t>
        </is>
      </c>
      <c r="H1819" s="1783" t="inlineStr">
        <is>
          <t>SERVIÇO</t>
        </is>
      </c>
      <c r="I1819" s="1750" t="inlineStr">
        <is>
          <t>14.009.003.001</t>
        </is>
      </c>
      <c r="J1819" s="1785" t="inlineStr">
        <is>
          <t>Peitoril em pedra natural,  esp. 2cm</t>
        </is>
      </c>
      <c r="K1819" s="1786" t="inlineStr">
        <is>
          <t>m2</t>
        </is>
      </c>
      <c r="L1819" s="1787" t="e">
        <v>#REF!</v>
      </c>
      <c r="M1819" s="1787" t="n">
        <v>849.1547</v>
      </c>
      <c r="N1819" s="1754" t="n"/>
      <c r="O1819" s="1788" t="n"/>
      <c r="P1819" s="1721" t="inlineStr">
        <is>
          <t>Pendente</t>
        </is>
      </c>
    </row>
    <row r="1820" hidden="1" outlineLevel="2" ht="13.5" customHeight="1">
      <c r="A1820" s="2117" t="n">
        <v>0</v>
      </c>
      <c r="B1820" s="2117" t="n">
        <v>14</v>
      </c>
      <c r="C1820" s="2117" t="n">
        <v>9</v>
      </c>
      <c r="D1820" s="2118" t="n">
        <v>4</v>
      </c>
      <c r="E1820" s="2118" t="n">
        <v>0</v>
      </c>
      <c r="G1820" s="1797" t="n"/>
      <c r="H1820" s="1777" t="inlineStr">
        <is>
          <t>SUBETAPA</t>
        </is>
      </c>
      <c r="I1820" s="1742" t="inlineStr">
        <is>
          <t>14.009.004</t>
        </is>
      </c>
      <c r="J1820" s="1779" t="inlineStr">
        <is>
          <t>Mão de obra - Revestimentos</t>
        </is>
      </c>
      <c r="K1820" s="1780" t="n"/>
      <c r="L1820" s="1781" t="n"/>
      <c r="M1820" s="1781" t="n"/>
      <c r="N1820" s="1746" t="n"/>
      <c r="O1820" s="1782" t="n"/>
      <c r="P1820" s="1720" t="n"/>
    </row>
    <row r="1821" hidden="1" outlineLevel="3" ht="13.5" customHeight="1">
      <c r="A1821" s="2117" t="n">
        <v>0</v>
      </c>
      <c r="B1821" s="2117" t="n">
        <v>14</v>
      </c>
      <c r="C1821" s="2117" t="n">
        <v>9</v>
      </c>
      <c r="D1821" s="2118" t="n">
        <v>4</v>
      </c>
      <c r="E1821" s="2118" t="n">
        <v>1</v>
      </c>
      <c r="G1821" s="1798" t="inlineStr">
        <is>
          <t>REVESTIMENTOS ARGAMASSADOS PAREDE</t>
        </is>
      </c>
      <c r="H1821" s="1783" t="inlineStr">
        <is>
          <t>SERVIÇO</t>
        </is>
      </c>
      <c r="I1821" s="1750" t="inlineStr">
        <is>
          <t>14.009.004.001</t>
        </is>
      </c>
      <c r="J1821" s="1785" t="inlineStr">
        <is>
          <t>Mão de obra execução de massa única em paredes interna, incluindo chapisco</t>
        </is>
      </c>
      <c r="K1821" s="1786" t="inlineStr">
        <is>
          <t>m2</t>
        </is>
      </c>
      <c r="L1821" s="1787" t="e">
        <v>#REF!</v>
      </c>
      <c r="M1821" s="1787" t="n">
        <v>42</v>
      </c>
      <c r="N1821" s="1754" t="n"/>
      <c r="O1821" s="1788" t="n"/>
      <c r="P1821" s="1721" t="inlineStr">
        <is>
          <t>Pendente</t>
        </is>
      </c>
    </row>
    <row r="1822" hidden="1" outlineLevel="3" ht="13.5" customHeight="1">
      <c r="A1822" s="2117" t="n">
        <v>0</v>
      </c>
      <c r="B1822" s="2117" t="n">
        <v>14</v>
      </c>
      <c r="C1822" s="2117" t="n">
        <v>9</v>
      </c>
      <c r="D1822" s="2118" t="n">
        <v>4</v>
      </c>
      <c r="E1822" s="2118" t="n">
        <v>2</v>
      </c>
      <c r="G1822" s="1798" t="inlineStr">
        <is>
          <t>ACABAMENTOS INTERNOS EM PAREDE</t>
        </is>
      </c>
      <c r="H1822" s="1783" t="inlineStr">
        <is>
          <t>SERVIÇO</t>
        </is>
      </c>
      <c r="I1822" s="1750" t="inlineStr">
        <is>
          <t>14.009.004.002</t>
        </is>
      </c>
      <c r="J1822" s="1785" t="inlineStr">
        <is>
          <t>Mão de obra para assentamento de revestimento cerâmico em parede</t>
        </is>
      </c>
      <c r="K1822" s="1786" t="inlineStr">
        <is>
          <t>m2</t>
        </is>
      </c>
      <c r="L1822" s="1787" t="e">
        <v>#REF!</v>
      </c>
      <c r="M1822" s="1787" t="n">
        <v>75</v>
      </c>
      <c r="N1822" s="1754" t="n"/>
      <c r="O1822" s="1788" t="n"/>
      <c r="P1822" s="1721" t="inlineStr">
        <is>
          <t>Pendente</t>
        </is>
      </c>
    </row>
    <row r="1823" hidden="1" outlineLevel="3" ht="13.5" customHeight="1">
      <c r="A1823" s="2117" t="n">
        <v>0</v>
      </c>
      <c r="B1823" s="2117" t="n">
        <v>14</v>
      </c>
      <c r="C1823" s="2117" t="n">
        <v>9</v>
      </c>
      <c r="D1823" s="2118" t="n">
        <v>4</v>
      </c>
      <c r="E1823" s="2118" t="n">
        <v>3</v>
      </c>
      <c r="G1823" s="1798" t="inlineStr">
        <is>
          <t>ACABAMENTOS INTERNOS EM PAREDE</t>
        </is>
      </c>
      <c r="H1823" s="1783" t="inlineStr">
        <is>
          <t>SERVIÇO</t>
        </is>
      </c>
      <c r="I1823" s="1750" t="inlineStr">
        <is>
          <t>14.009.004.003</t>
        </is>
      </c>
      <c r="J1823" s="1785" t="inlineStr">
        <is>
          <t>Mão de obra para colocação de peitoril e pingadeira</t>
        </is>
      </c>
      <c r="K1823" s="1786" t="inlineStr">
        <is>
          <t>m2</t>
        </is>
      </c>
      <c r="L1823" s="1787" t="e">
        <v>#REF!</v>
      </c>
      <c r="M1823" s="1787" t="n">
        <v>50</v>
      </c>
      <c r="N1823" s="1754" t="n"/>
      <c r="O1823" s="1788" t="n"/>
      <c r="P1823" s="1721" t="inlineStr">
        <is>
          <t>Pendente</t>
        </is>
      </c>
    </row>
    <row r="1824" hidden="1" outlineLevel="1" ht="13.5" customHeight="1">
      <c r="A1824" s="2117" t="n">
        <v>0</v>
      </c>
      <c r="B1824" s="2117" t="n">
        <v>14</v>
      </c>
      <c r="C1824" s="2117" t="n">
        <v>10</v>
      </c>
      <c r="D1824" s="2118" t="n">
        <v>0</v>
      </c>
      <c r="E1824" s="2118" t="n">
        <v>3</v>
      </c>
      <c r="G1824" s="1796" t="n"/>
      <c r="H1824" s="1771" t="inlineStr">
        <is>
          <t>ETAPA</t>
        </is>
      </c>
      <c r="I1824" s="1735" t="inlineStr">
        <is>
          <t>14.010</t>
        </is>
      </c>
      <c r="J1824" s="1773" t="inlineStr">
        <is>
          <t>REVESTIMENTOS INTERNOS DE PAREDE - Tipo x8</t>
        </is>
      </c>
      <c r="K1824" s="1774" t="n"/>
      <c r="L1824" s="1775" t="n"/>
      <c r="M1824" s="1775" t="n"/>
      <c r="N1824" s="1739" t="n"/>
      <c r="O1824" s="1776" t="n"/>
      <c r="P1824" s="1719" t="n"/>
    </row>
    <row r="1825" hidden="1" outlineLevel="2" ht="13.5" customHeight="1">
      <c r="A1825" s="2117" t="n">
        <v>0</v>
      </c>
      <c r="B1825" s="2117" t="n">
        <v>14</v>
      </c>
      <c r="C1825" s="2117" t="n">
        <v>10</v>
      </c>
      <c r="D1825" s="2118" t="n">
        <v>1</v>
      </c>
      <c r="E1825" s="2118" t="n">
        <v>0</v>
      </c>
      <c r="G1825" s="1797" t="n"/>
      <c r="H1825" s="1777" t="inlineStr">
        <is>
          <t>SUBETAPA</t>
        </is>
      </c>
      <c r="I1825" s="1742" t="inlineStr">
        <is>
          <t>14.010.001</t>
        </is>
      </c>
      <c r="J1825" s="1779" t="inlineStr">
        <is>
          <t>Argamassado interno em parede</t>
        </is>
      </c>
      <c r="K1825" s="1780" t="n"/>
      <c r="L1825" s="1781" t="n"/>
      <c r="M1825" s="1781" t="n"/>
      <c r="N1825" s="1746" t="n"/>
      <c r="O1825" s="1782" t="n"/>
      <c r="P1825" s="1720" t="n"/>
    </row>
    <row r="1826" hidden="1" outlineLevel="3" ht="13.5" customHeight="1">
      <c r="A1826" s="2117" t="n">
        <v>0</v>
      </c>
      <c r="B1826" s="2117" t="n">
        <v>14</v>
      </c>
      <c r="C1826" s="2117" t="n">
        <v>10</v>
      </c>
      <c r="D1826" s="2118" t="n">
        <v>1</v>
      </c>
      <c r="E1826" s="2118" t="n">
        <v>1</v>
      </c>
      <c r="G1826" s="1798" t="inlineStr">
        <is>
          <t>REVESTIMENTOS ARGAMASSADOS PAREDE</t>
        </is>
      </c>
      <c r="H1826" s="1783" t="inlineStr">
        <is>
          <t>SERVIÇO</t>
        </is>
      </c>
      <c r="I1826" s="1750" t="inlineStr">
        <is>
          <t>14.010.001.001</t>
        </is>
      </c>
      <c r="J1826" s="1785" t="inlineStr">
        <is>
          <t>Chapisco aplicado em estruturas de concreto, com argamassa pré-fabricada adesiva de cimento colante, aplicação convencional</t>
        </is>
      </c>
      <c r="K1826" s="1786" t="inlineStr">
        <is>
          <t>m2</t>
        </is>
      </c>
      <c r="L1826" s="1787" t="e">
        <v>#REF!</v>
      </c>
      <c r="M1826" s="1787" t="n">
        <v>10.11778</v>
      </c>
      <c r="N1826" s="1754" t="n"/>
      <c r="O1826" s="1788" t="n"/>
      <c r="P1826" s="1721" t="inlineStr">
        <is>
          <t>Pendente</t>
        </is>
      </c>
    </row>
    <row r="1827" hidden="1" outlineLevel="3" ht="13.5" customHeight="1">
      <c r="A1827" s="2117" t="n">
        <v>0</v>
      </c>
      <c r="B1827" s="2117" t="n">
        <v>14</v>
      </c>
      <c r="C1827" s="2117" t="n">
        <v>10</v>
      </c>
      <c r="D1827" s="2118" t="n">
        <v>1</v>
      </c>
      <c r="E1827" s="2118" t="n">
        <v>2</v>
      </c>
      <c r="G1827" s="1798" t="inlineStr">
        <is>
          <t>REVESTIMENTOS ARGAMASSADOS PAREDE</t>
        </is>
      </c>
      <c r="H1827" s="1783" t="inlineStr">
        <is>
          <t>SERVIÇO</t>
        </is>
      </c>
      <c r="I1827" s="1750" t="inlineStr">
        <is>
          <t>14.010.001.002</t>
        </is>
      </c>
      <c r="J1827" s="1785" t="inlineStr">
        <is>
          <t>Chapisco interno de argamassa preparada em obra de cimento e areia - traço 1:4 - aplicação em paredes internas</t>
        </is>
      </c>
      <c r="K1827" s="1786" t="inlineStr">
        <is>
          <t>m2</t>
        </is>
      </c>
      <c r="L1827" s="1787" t="e">
        <v>#REF!</v>
      </c>
      <c r="M1827" s="1787" t="n">
        <v>3.28945</v>
      </c>
      <c r="N1827" s="1754" t="n"/>
      <c r="O1827" s="1788" t="n"/>
      <c r="P1827" s="1721" t="inlineStr">
        <is>
          <t>Pendente</t>
        </is>
      </c>
    </row>
    <row r="1828" hidden="1" outlineLevel="3" ht="13.5" customHeight="1">
      <c r="A1828" s="2117" t="n">
        <v>0</v>
      </c>
      <c r="B1828" s="2117" t="n">
        <v>14</v>
      </c>
      <c r="C1828" s="2117" t="n">
        <v>10</v>
      </c>
      <c r="D1828" s="2118" t="n">
        <v>1</v>
      </c>
      <c r="E1828" s="2118" t="n">
        <v>3</v>
      </c>
      <c r="G1828" s="1798" t="inlineStr">
        <is>
          <t>REVESTIMENTOS ARGAMASSADOS PAREDE</t>
        </is>
      </c>
      <c r="H1828" s="1783" t="inlineStr">
        <is>
          <t>SERVIÇO</t>
        </is>
      </c>
      <c r="I1828" s="1750" t="inlineStr">
        <is>
          <t>14.010.001.003</t>
        </is>
      </c>
      <c r="J1828" s="1785" t="inlineStr">
        <is>
          <t>Massa unica para reboco interno em argamassa estabilizada, espessura de 2,5cm, com execução desempenado fino</t>
        </is>
      </c>
      <c r="K1828" s="1786" t="inlineStr">
        <is>
          <t>m2</t>
        </is>
      </c>
      <c r="L1828" s="1787" t="e">
        <v>#REF!</v>
      </c>
      <c r="M1828" s="1787" t="n">
        <v>12.075</v>
      </c>
      <c r="N1828" s="1754" t="n"/>
      <c r="O1828" s="1788" t="n"/>
      <c r="P1828" s="1721" t="inlineStr">
        <is>
          <t>Pendente</t>
        </is>
      </c>
    </row>
    <row r="1829" hidden="1" outlineLevel="2" ht="13.5" customHeight="1">
      <c r="A1829" s="2117" t="n">
        <v>0</v>
      </c>
      <c r="B1829" s="2117" t="n">
        <v>14</v>
      </c>
      <c r="C1829" s="2117" t="n">
        <v>10</v>
      </c>
      <c r="D1829" s="2118" t="n">
        <v>2</v>
      </c>
      <c r="E1829" s="2118" t="n">
        <v>0</v>
      </c>
      <c r="G1829" s="1797" t="n"/>
      <c r="H1829" s="1777" t="inlineStr">
        <is>
          <t>SUBETAPA</t>
        </is>
      </c>
      <c r="I1829" s="1742" t="inlineStr">
        <is>
          <t>14.010.002</t>
        </is>
      </c>
      <c r="J1829" s="1779" t="inlineStr">
        <is>
          <t>Acabamentos cerâmicos</t>
        </is>
      </c>
      <c r="K1829" s="1780" t="n"/>
      <c r="L1829" s="1781" t="n"/>
      <c r="M1829" s="1781" t="n"/>
      <c r="N1829" s="1746" t="n"/>
      <c r="O1829" s="1782" t="n"/>
      <c r="P1829" s="1720" t="n"/>
    </row>
    <row r="1830" hidden="1" outlineLevel="3" ht="13.5" customHeight="1">
      <c r="A1830" s="2117" t="n">
        <v>0</v>
      </c>
      <c r="B1830" s="2117" t="n">
        <v>14</v>
      </c>
      <c r="C1830" s="2117" t="n">
        <v>10</v>
      </c>
      <c r="D1830" s="2118" t="n">
        <v>2</v>
      </c>
      <c r="E1830" s="2118" t="n">
        <v>1</v>
      </c>
      <c r="G1830" s="1798" t="inlineStr">
        <is>
          <t>ACABAMENTOS INTERNOS EM PAREDE</t>
        </is>
      </c>
      <c r="H1830" s="1783" t="inlineStr">
        <is>
          <t>SERVIÇO</t>
        </is>
      </c>
      <c r="I1830" s="1750" t="inlineStr">
        <is>
          <t>14.010.002.001</t>
        </is>
      </c>
      <c r="J1830" s="1785" t="inlineStr">
        <is>
          <t>Revestimento de parede em Porcelanato Portobello –  90x90 - Padrão Alto</t>
        </is>
      </c>
      <c r="K1830" s="1786" t="inlineStr">
        <is>
          <t>m2</t>
        </is>
      </c>
      <c r="L1830" s="1787" t="e">
        <v>#REF!</v>
      </c>
      <c r="M1830" s="1787" t="n">
        <v>141.8276</v>
      </c>
      <c r="N1830" s="1754" t="n"/>
      <c r="O1830" s="1788" t="inlineStr">
        <is>
          <t>Banheiros</t>
        </is>
      </c>
      <c r="P1830" s="1721" t="inlineStr">
        <is>
          <t>Pendente</t>
        </is>
      </c>
    </row>
    <row r="1831" hidden="1" outlineLevel="2" ht="13.5" customHeight="1">
      <c r="A1831" s="2117" t="n">
        <v>0</v>
      </c>
      <c r="B1831" s="2117" t="n">
        <v>14</v>
      </c>
      <c r="C1831" s="2117" t="n">
        <v>10</v>
      </c>
      <c r="D1831" s="2118" t="n">
        <v>3</v>
      </c>
      <c r="E1831" s="2118" t="n">
        <v>0</v>
      </c>
      <c r="G1831" s="1797" t="n"/>
      <c r="H1831" s="1777" t="inlineStr">
        <is>
          <t>SUBETAPA</t>
        </is>
      </c>
      <c r="I1831" s="1742" t="inlineStr">
        <is>
          <t>14.010.003</t>
        </is>
      </c>
      <c r="J1831" s="1779" t="inlineStr">
        <is>
          <t>Peitoris</t>
        </is>
      </c>
      <c r="K1831" s="1780" t="n"/>
      <c r="L1831" s="1781" t="n"/>
      <c r="M1831" s="1781" t="n"/>
      <c r="N1831" s="1746" t="n"/>
      <c r="O1831" s="1782" t="n"/>
      <c r="P1831" s="1720" t="n"/>
    </row>
    <row r="1832" hidden="1" outlineLevel="3" ht="13.5" customHeight="1">
      <c r="A1832" s="2117" t="n">
        <v>0</v>
      </c>
      <c r="B1832" s="2117" t="n">
        <v>14</v>
      </c>
      <c r="C1832" s="2117" t="n">
        <v>10</v>
      </c>
      <c r="D1832" s="2118" t="n">
        <v>3</v>
      </c>
      <c r="E1832" s="2118" t="n">
        <v>1</v>
      </c>
      <c r="G1832" s="1798" t="inlineStr">
        <is>
          <t>ACABAMENTOS INTERNOS EM PAREDE</t>
        </is>
      </c>
      <c r="H1832" s="1783" t="inlineStr">
        <is>
          <t>SERVIÇO</t>
        </is>
      </c>
      <c r="I1832" s="1750" t="inlineStr">
        <is>
          <t>14.010.003.001</t>
        </is>
      </c>
      <c r="J1832" s="1785" t="inlineStr">
        <is>
          <t>Peitoril em pedra natural,  esp. 2cm</t>
        </is>
      </c>
      <c r="K1832" s="1786" t="inlineStr">
        <is>
          <t>m2</t>
        </is>
      </c>
      <c r="L1832" s="1787" t="e">
        <v>#REF!</v>
      </c>
      <c r="M1832" s="1787" t="n">
        <v>849.1547</v>
      </c>
      <c r="N1832" s="1754" t="n"/>
      <c r="O1832" s="1788" t="n"/>
      <c r="P1832" s="1721" t="inlineStr">
        <is>
          <t>Pendente</t>
        </is>
      </c>
    </row>
    <row r="1833" hidden="1" outlineLevel="2" ht="13.5" customHeight="1">
      <c r="A1833" s="2117" t="n">
        <v>0</v>
      </c>
      <c r="B1833" s="2117" t="n">
        <v>14</v>
      </c>
      <c r="C1833" s="2117" t="n">
        <v>10</v>
      </c>
      <c r="D1833" s="2118" t="n">
        <v>4</v>
      </c>
      <c r="E1833" s="2118" t="n">
        <v>0</v>
      </c>
      <c r="G1833" s="1797" t="n"/>
      <c r="H1833" s="1777" t="inlineStr">
        <is>
          <t>SUBETAPA</t>
        </is>
      </c>
      <c r="I1833" s="1742" t="inlineStr">
        <is>
          <t>14.010.004</t>
        </is>
      </c>
      <c r="J1833" s="1779" t="inlineStr">
        <is>
          <t>Mão de obra - Revestimentos</t>
        </is>
      </c>
      <c r="K1833" s="1780" t="n"/>
      <c r="L1833" s="1781" t="n"/>
      <c r="M1833" s="1781" t="n"/>
      <c r="N1833" s="1746" t="n"/>
      <c r="O1833" s="1782" t="n"/>
      <c r="P1833" s="1720" t="n"/>
    </row>
    <row r="1834" hidden="1" outlineLevel="3" ht="13.5" customHeight="1">
      <c r="A1834" s="2117" t="n">
        <v>0</v>
      </c>
      <c r="B1834" s="2117" t="n">
        <v>14</v>
      </c>
      <c r="C1834" s="2117" t="n">
        <v>10</v>
      </c>
      <c r="D1834" s="2118" t="n">
        <v>4</v>
      </c>
      <c r="E1834" s="2118" t="n">
        <v>1</v>
      </c>
      <c r="G1834" s="1798" t="inlineStr">
        <is>
          <t>REVESTIMENTOS ARGAMASSADOS PAREDE</t>
        </is>
      </c>
      <c r="H1834" s="1783" t="inlineStr">
        <is>
          <t>SERVIÇO</t>
        </is>
      </c>
      <c r="I1834" s="1750" t="inlineStr">
        <is>
          <t>14.010.004.001</t>
        </is>
      </c>
      <c r="J1834" s="1785" t="inlineStr">
        <is>
          <t>Mão de obra execução de massa única em paredes interna, incluindo chapisco</t>
        </is>
      </c>
      <c r="K1834" s="1786" t="inlineStr">
        <is>
          <t>m2</t>
        </is>
      </c>
      <c r="L1834" s="1787" t="e">
        <v>#REF!</v>
      </c>
      <c r="M1834" s="1787" t="n">
        <v>42</v>
      </c>
      <c r="N1834" s="1754" t="n"/>
      <c r="O1834" s="1788" t="n"/>
      <c r="P1834" s="1721" t="inlineStr">
        <is>
          <t>Pendente</t>
        </is>
      </c>
    </row>
    <row r="1835" hidden="1" outlineLevel="3" ht="13.5" customHeight="1">
      <c r="A1835" s="2117" t="n">
        <v>0</v>
      </c>
      <c r="B1835" s="2117" t="n">
        <v>14</v>
      </c>
      <c r="C1835" s="2117" t="n">
        <v>10</v>
      </c>
      <c r="D1835" s="2118" t="n">
        <v>4</v>
      </c>
      <c r="E1835" s="2118" t="n">
        <v>2</v>
      </c>
      <c r="G1835" s="1798" t="inlineStr">
        <is>
          <t>ACABAMENTOS INTERNOS EM PAREDE</t>
        </is>
      </c>
      <c r="H1835" s="1783" t="inlineStr">
        <is>
          <t>SERVIÇO</t>
        </is>
      </c>
      <c r="I1835" s="1750" t="inlineStr">
        <is>
          <t>14.010.004.002</t>
        </is>
      </c>
      <c r="J1835" s="1785" t="inlineStr">
        <is>
          <t>Mão de obra para assentamento de revestimento cerâmico em parede</t>
        </is>
      </c>
      <c r="K1835" s="1786" t="inlineStr">
        <is>
          <t>m2</t>
        </is>
      </c>
      <c r="L1835" s="1787" t="e">
        <v>#REF!</v>
      </c>
      <c r="M1835" s="1787" t="n">
        <v>75</v>
      </c>
      <c r="N1835" s="1754" t="n"/>
      <c r="O1835" s="1788" t="n"/>
      <c r="P1835" s="1721" t="inlineStr">
        <is>
          <t>Pendente</t>
        </is>
      </c>
    </row>
    <row r="1836" hidden="1" outlineLevel="3" ht="13.5" customHeight="1">
      <c r="A1836" s="2117" t="n">
        <v>0</v>
      </c>
      <c r="B1836" s="2117" t="n">
        <v>14</v>
      </c>
      <c r="C1836" s="2117" t="n">
        <v>10</v>
      </c>
      <c r="D1836" s="2118" t="n">
        <v>4</v>
      </c>
      <c r="E1836" s="2118" t="n">
        <v>3</v>
      </c>
      <c r="G1836" s="1798" t="inlineStr">
        <is>
          <t>ACABAMENTOS INTERNOS EM PAREDE</t>
        </is>
      </c>
      <c r="H1836" s="1783" t="inlineStr">
        <is>
          <t>SERVIÇO</t>
        </is>
      </c>
      <c r="I1836" s="1750" t="inlineStr">
        <is>
          <t>14.010.004.003</t>
        </is>
      </c>
      <c r="J1836" s="1785" t="inlineStr">
        <is>
          <t>Mão de obra para colocação de peitoril e pingadeira</t>
        </is>
      </c>
      <c r="K1836" s="1786" t="inlineStr">
        <is>
          <t>m2</t>
        </is>
      </c>
      <c r="L1836" s="1787" t="e">
        <v>#REF!</v>
      </c>
      <c r="M1836" s="1787" t="n">
        <v>50</v>
      </c>
      <c r="N1836" s="1754" t="n"/>
      <c r="O1836" s="1788" t="n"/>
      <c r="P1836" s="1721" t="inlineStr">
        <is>
          <t>Pendente</t>
        </is>
      </c>
    </row>
    <row r="1837" hidden="1" outlineLevel="1" ht="13.5" customHeight="1">
      <c r="A1837" s="2117" t="n">
        <v>0</v>
      </c>
      <c r="B1837" s="2117" t="n">
        <v>14</v>
      </c>
      <c r="C1837" s="2117" t="n">
        <v>11</v>
      </c>
      <c r="D1837" s="2118" t="n">
        <v>0</v>
      </c>
      <c r="E1837" s="2118" t="n">
        <v>3</v>
      </c>
      <c r="G1837" s="1796" t="n"/>
      <c r="H1837" s="1771" t="inlineStr">
        <is>
          <t>ETAPA</t>
        </is>
      </c>
      <c r="I1837" s="1735" t="inlineStr">
        <is>
          <t>14.011</t>
        </is>
      </c>
      <c r="J1837" s="1773" t="inlineStr">
        <is>
          <t>REVESTIMENTOS INTERNOS DE PAREDE - Penthouse x22</t>
        </is>
      </c>
      <c r="K1837" s="1774" t="n"/>
      <c r="L1837" s="1775" t="n"/>
      <c r="M1837" s="1775" t="n"/>
      <c r="N1837" s="1739" t="n"/>
      <c r="O1837" s="1776" t="n"/>
      <c r="P1837" s="1719" t="n"/>
    </row>
    <row r="1838" hidden="1" outlineLevel="2" ht="13.5" customHeight="1">
      <c r="A1838" s="2117" t="n">
        <v>0</v>
      </c>
      <c r="B1838" s="2117" t="n">
        <v>14</v>
      </c>
      <c r="C1838" s="2117" t="n">
        <v>11</v>
      </c>
      <c r="D1838" s="2118" t="n">
        <v>1</v>
      </c>
      <c r="E1838" s="2118" t="n">
        <v>0</v>
      </c>
      <c r="G1838" s="1797" t="n"/>
      <c r="H1838" s="1777" t="inlineStr">
        <is>
          <t>SUBETAPA</t>
        </is>
      </c>
      <c r="I1838" s="1742" t="inlineStr">
        <is>
          <t>14.011.001</t>
        </is>
      </c>
      <c r="J1838" s="1779" t="inlineStr">
        <is>
          <t>Argamassado interno em parede</t>
        </is>
      </c>
      <c r="K1838" s="1780" t="n"/>
      <c r="L1838" s="1781" t="n"/>
      <c r="M1838" s="1781" t="n"/>
      <c r="N1838" s="1746" t="n"/>
      <c r="O1838" s="1782" t="n"/>
      <c r="P1838" s="1720" t="n"/>
    </row>
    <row r="1839" hidden="1" outlineLevel="3" ht="13.5" customHeight="1">
      <c r="A1839" s="2117" t="n">
        <v>0</v>
      </c>
      <c r="B1839" s="2117" t="n">
        <v>14</v>
      </c>
      <c r="C1839" s="2117" t="n">
        <v>11</v>
      </c>
      <c r="D1839" s="2118" t="n">
        <v>1</v>
      </c>
      <c r="E1839" s="2118" t="n">
        <v>1</v>
      </c>
      <c r="G1839" s="1798" t="inlineStr">
        <is>
          <t>REVESTIMENTOS ARGAMASSADOS PAREDE</t>
        </is>
      </c>
      <c r="H1839" s="1783" t="inlineStr">
        <is>
          <t>SERVIÇO</t>
        </is>
      </c>
      <c r="I1839" s="1750" t="inlineStr">
        <is>
          <t>14.011.001.001</t>
        </is>
      </c>
      <c r="J1839" s="1785" t="inlineStr">
        <is>
          <t>Chapisco aplicado em estruturas de concreto, com argamassa pré-fabricada adesiva de cimento colante, aplicação convencional</t>
        </is>
      </c>
      <c r="K1839" s="1786" t="inlineStr">
        <is>
          <t>m2</t>
        </is>
      </c>
      <c r="L1839" s="1787" t="e">
        <v>#REF!</v>
      </c>
      <c r="M1839" s="1787" t="n">
        <v>10.11778</v>
      </c>
      <c r="N1839" s="1754" t="n"/>
      <c r="O1839" s="1788" t="n"/>
      <c r="P1839" s="1721" t="inlineStr">
        <is>
          <t>Pendente</t>
        </is>
      </c>
    </row>
    <row r="1840" hidden="1" outlineLevel="3" ht="13.5" customHeight="1">
      <c r="A1840" s="2117" t="n">
        <v>0</v>
      </c>
      <c r="B1840" s="2117" t="n">
        <v>14</v>
      </c>
      <c r="C1840" s="2117" t="n">
        <v>11</v>
      </c>
      <c r="D1840" s="2118" t="n">
        <v>1</v>
      </c>
      <c r="E1840" s="2118" t="n">
        <v>2</v>
      </c>
      <c r="G1840" s="1798" t="inlineStr">
        <is>
          <t>REVESTIMENTOS ARGAMASSADOS PAREDE</t>
        </is>
      </c>
      <c r="H1840" s="1783" t="inlineStr">
        <is>
          <t>SERVIÇO</t>
        </is>
      </c>
      <c r="I1840" s="1750" t="inlineStr">
        <is>
          <t>14.011.001.002</t>
        </is>
      </c>
      <c r="J1840" s="1785" t="inlineStr">
        <is>
          <t>Chapisco interno de argamassa preparada em obra de cimento e areia - traço 1:4 - aplicação em paredes internas</t>
        </is>
      </c>
      <c r="K1840" s="1786" t="inlineStr">
        <is>
          <t>m2</t>
        </is>
      </c>
      <c r="L1840" s="1787" t="e">
        <v>#REF!</v>
      </c>
      <c r="M1840" s="1787" t="n">
        <v>3.28945</v>
      </c>
      <c r="N1840" s="1754" t="n"/>
      <c r="O1840" s="1788" t="n"/>
      <c r="P1840" s="1721" t="inlineStr">
        <is>
          <t>Pendente</t>
        </is>
      </c>
    </row>
    <row r="1841" hidden="1" outlineLevel="3" ht="13.5" customHeight="1">
      <c r="A1841" s="2117" t="n">
        <v>0</v>
      </c>
      <c r="B1841" s="2117" t="n">
        <v>14</v>
      </c>
      <c r="C1841" s="2117" t="n">
        <v>11</v>
      </c>
      <c r="D1841" s="2118" t="n">
        <v>1</v>
      </c>
      <c r="E1841" s="2118" t="n">
        <v>3</v>
      </c>
      <c r="G1841" s="1798" t="inlineStr">
        <is>
          <t>REVESTIMENTOS ARGAMASSADOS PAREDE</t>
        </is>
      </c>
      <c r="H1841" s="1783" t="inlineStr">
        <is>
          <t>SERVIÇO</t>
        </is>
      </c>
      <c r="I1841" s="1750" t="inlineStr">
        <is>
          <t>14.011.001.003</t>
        </is>
      </c>
      <c r="J1841" s="1785" t="inlineStr">
        <is>
          <t>Massa unica para reboco interno em argamassa estabilizada, espessura de 2,5cm, com execução desempenado fino</t>
        </is>
      </c>
      <c r="K1841" s="1786" t="inlineStr">
        <is>
          <t>m2</t>
        </is>
      </c>
      <c r="L1841" s="1787" t="e">
        <v>#REF!</v>
      </c>
      <c r="M1841" s="1787" t="n">
        <v>12.075</v>
      </c>
      <c r="N1841" s="1754" t="n"/>
      <c r="O1841" s="1788" t="n"/>
      <c r="P1841" s="1721" t="inlineStr">
        <is>
          <t>Pendente</t>
        </is>
      </c>
    </row>
    <row r="1842" hidden="1" outlineLevel="2" ht="13.5" customHeight="1">
      <c r="A1842" s="2117" t="n">
        <v>0</v>
      </c>
      <c r="B1842" s="2117" t="n">
        <v>14</v>
      </c>
      <c r="C1842" s="2117" t="n">
        <v>11</v>
      </c>
      <c r="D1842" s="2118" t="n">
        <v>2</v>
      </c>
      <c r="E1842" s="2118" t="n">
        <v>0</v>
      </c>
      <c r="G1842" s="1797" t="n"/>
      <c r="H1842" s="1777" t="inlineStr">
        <is>
          <t>SUBETAPA</t>
        </is>
      </c>
      <c r="I1842" s="1742" t="inlineStr">
        <is>
          <t>14.011.002</t>
        </is>
      </c>
      <c r="J1842" s="1779" t="inlineStr">
        <is>
          <t>Acabamentos cerâmicos</t>
        </is>
      </c>
      <c r="K1842" s="1780" t="n"/>
      <c r="L1842" s="1781" t="n"/>
      <c r="M1842" s="1781" t="n"/>
      <c r="N1842" s="1746" t="n"/>
      <c r="O1842" s="1782" t="n"/>
      <c r="P1842" s="1720" t="n"/>
    </row>
    <row r="1843" hidden="1" outlineLevel="3" ht="13.5" customHeight="1">
      <c r="A1843" s="2117" t="n">
        <v>0</v>
      </c>
      <c r="B1843" s="2117" t="n">
        <v>14</v>
      </c>
      <c r="C1843" s="2117" t="n">
        <v>11</v>
      </c>
      <c r="D1843" s="2118" t="n">
        <v>2</v>
      </c>
      <c r="E1843" s="2118" t="n">
        <v>1</v>
      </c>
      <c r="G1843" s="1798" t="inlineStr">
        <is>
          <t>ACABAMENTOS INTERNOS EM PAREDE</t>
        </is>
      </c>
      <c r="H1843" s="1783" t="inlineStr">
        <is>
          <t>SERVIÇO</t>
        </is>
      </c>
      <c r="I1843" s="1750" t="inlineStr">
        <is>
          <t>14.011.002.001</t>
        </is>
      </c>
      <c r="J1843" s="1785" t="inlineStr">
        <is>
          <t>Revestimento de parede em Porcelanato Portobello –  90x90 - Padrão Alto</t>
        </is>
      </c>
      <c r="K1843" s="1786" t="inlineStr">
        <is>
          <t>m2</t>
        </is>
      </c>
      <c r="L1843" s="1787" t="e">
        <v>#REF!</v>
      </c>
      <c r="M1843" s="1787" t="n">
        <v>141.8276</v>
      </c>
      <c r="N1843" s="1754" t="n"/>
      <c r="O1843" s="1788" t="inlineStr">
        <is>
          <t>Banheiros</t>
        </is>
      </c>
      <c r="P1843" s="1721" t="inlineStr">
        <is>
          <t>Pendente</t>
        </is>
      </c>
    </row>
    <row r="1844" hidden="1" outlineLevel="2" ht="13.5" customHeight="1">
      <c r="A1844" s="2117" t="n">
        <v>0</v>
      </c>
      <c r="B1844" s="2117" t="n">
        <v>14</v>
      </c>
      <c r="C1844" s="2117" t="n">
        <v>11</v>
      </c>
      <c r="D1844" s="2118" t="n">
        <v>3</v>
      </c>
      <c r="E1844" s="2118" t="n">
        <v>0</v>
      </c>
      <c r="G1844" s="1797" t="n"/>
      <c r="H1844" s="1777" t="inlineStr">
        <is>
          <t>SUBETAPA</t>
        </is>
      </c>
      <c r="I1844" s="1742" t="inlineStr">
        <is>
          <t>14.011.003</t>
        </is>
      </c>
      <c r="J1844" s="1779" t="inlineStr">
        <is>
          <t>Acabamentos em pedra</t>
        </is>
      </c>
      <c r="K1844" s="1780" t="n"/>
      <c r="L1844" s="1781" t="n"/>
      <c r="M1844" s="1781" t="n"/>
      <c r="N1844" s="1746" t="n"/>
      <c r="O1844" s="1782" t="n"/>
      <c r="P1844" s="1720" t="n"/>
    </row>
    <row r="1845" hidden="1" outlineLevel="3" ht="13.5" customHeight="1">
      <c r="A1845" s="2117" t="n">
        <v>0</v>
      </c>
      <c r="B1845" s="2117" t="n">
        <v>14</v>
      </c>
      <c r="C1845" s="2117" t="n">
        <v>11</v>
      </c>
      <c r="D1845" s="2118" t="n">
        <v>3</v>
      </c>
      <c r="E1845" s="2118" t="n">
        <v>1</v>
      </c>
      <c r="G1845" s="1798" t="inlineStr">
        <is>
          <t>ACABAMENTOS INTERNOS EM PAREDE</t>
        </is>
      </c>
      <c r="H1845" s="1783" t="inlineStr">
        <is>
          <t>SERVIÇO</t>
        </is>
      </c>
      <c r="I1845" s="1750" t="inlineStr">
        <is>
          <t>14.011.003.001</t>
        </is>
      </c>
      <c r="J1845" s="1785" t="inlineStr">
        <is>
          <t>Revestimento de Mármore Natural em Paredes</t>
        </is>
      </c>
      <c r="K1845" s="1786" t="inlineStr">
        <is>
          <t>m2</t>
        </is>
      </c>
      <c r="L1845" s="1787" t="e">
        <v>#REF!</v>
      </c>
      <c r="M1845" s="1787" t="n">
        <v>898.2455000000001</v>
      </c>
      <c r="N1845" s="1754" t="n"/>
      <c r="O1845" s="1788" t="n"/>
      <c r="P1845" s="1721" t="inlineStr">
        <is>
          <t>Pendente</t>
        </is>
      </c>
    </row>
    <row r="1846" hidden="1" outlineLevel="2" ht="13.5" customHeight="1">
      <c r="A1846" s="2117" t="n">
        <v>0</v>
      </c>
      <c r="B1846" s="2117" t="n">
        <v>14</v>
      </c>
      <c r="C1846" s="2117" t="n">
        <v>11</v>
      </c>
      <c r="D1846" s="2118" t="n">
        <v>4</v>
      </c>
      <c r="E1846" s="2118" t="n">
        <v>0</v>
      </c>
      <c r="G1846" s="1797" t="n"/>
      <c r="H1846" s="1777" t="inlineStr">
        <is>
          <t>SUBETAPA</t>
        </is>
      </c>
      <c r="I1846" s="1742" t="inlineStr">
        <is>
          <t>14.011.004</t>
        </is>
      </c>
      <c r="J1846" s="1779" t="inlineStr">
        <is>
          <t>Peitoris</t>
        </is>
      </c>
      <c r="K1846" s="1780" t="n"/>
      <c r="L1846" s="1781" t="n"/>
      <c r="M1846" s="1781" t="n"/>
      <c r="N1846" s="1746" t="n"/>
      <c r="O1846" s="1782" t="n"/>
      <c r="P1846" s="1720" t="n"/>
    </row>
    <row r="1847" hidden="1" outlineLevel="3" ht="13.5" customHeight="1">
      <c r="A1847" s="2117" t="n">
        <v>0</v>
      </c>
      <c r="B1847" s="2117" t="n">
        <v>14</v>
      </c>
      <c r="C1847" s="2117" t="n">
        <v>11</v>
      </c>
      <c r="D1847" s="2118" t="n">
        <v>4</v>
      </c>
      <c r="E1847" s="2118" t="n">
        <v>1</v>
      </c>
      <c r="G1847" s="1798" t="inlineStr">
        <is>
          <t>ACABAMENTOS INTERNOS EM PAREDE</t>
        </is>
      </c>
      <c r="H1847" s="1783" t="inlineStr">
        <is>
          <t>SERVIÇO</t>
        </is>
      </c>
      <c r="I1847" s="1750" t="inlineStr">
        <is>
          <t>14.011.004.001</t>
        </is>
      </c>
      <c r="J1847" s="1785" t="inlineStr">
        <is>
          <t>Peitoril em pedra natural,  esp. 2cm</t>
        </is>
      </c>
      <c r="K1847" s="1786" t="inlineStr">
        <is>
          <t>m2</t>
        </is>
      </c>
      <c r="L1847" s="1787" t="e">
        <v>#REF!</v>
      </c>
      <c r="M1847" s="1787" t="n">
        <v>849.1547</v>
      </c>
      <c r="N1847" s="1754" t="n"/>
      <c r="O1847" s="1788" t="n"/>
      <c r="P1847" s="1721" t="inlineStr">
        <is>
          <t>Pendente</t>
        </is>
      </c>
    </row>
    <row r="1848" hidden="1" outlineLevel="2" ht="13.5" customHeight="1">
      <c r="A1848" s="2117" t="n">
        <v>0</v>
      </c>
      <c r="B1848" s="2117" t="n">
        <v>14</v>
      </c>
      <c r="C1848" s="2117" t="n">
        <v>11</v>
      </c>
      <c r="D1848" s="2118" t="n">
        <v>5</v>
      </c>
      <c r="E1848" s="2118" t="n">
        <v>0</v>
      </c>
      <c r="G1848" s="1797" t="n"/>
      <c r="H1848" s="1777" t="inlineStr">
        <is>
          <t>SUBETAPA</t>
        </is>
      </c>
      <c r="I1848" s="1742" t="inlineStr">
        <is>
          <t>14.011.005</t>
        </is>
      </c>
      <c r="J1848" s="1779" t="inlineStr">
        <is>
          <t>Mão de obra - Revestimentos</t>
        </is>
      </c>
      <c r="K1848" s="1780" t="n"/>
      <c r="L1848" s="1781" t="n"/>
      <c r="M1848" s="1781" t="n"/>
      <c r="N1848" s="1746" t="n"/>
      <c r="O1848" s="1782" t="n"/>
      <c r="P1848" s="1720" t="n"/>
    </row>
    <row r="1849" hidden="1" outlineLevel="3" ht="13.5" customHeight="1">
      <c r="A1849" s="2117" t="n">
        <v>0</v>
      </c>
      <c r="B1849" s="2117" t="n">
        <v>14</v>
      </c>
      <c r="C1849" s="2117" t="n">
        <v>11</v>
      </c>
      <c r="D1849" s="2118" t="n">
        <v>5</v>
      </c>
      <c r="E1849" s="2118" t="n">
        <v>1</v>
      </c>
      <c r="G1849" s="1798" t="inlineStr">
        <is>
          <t>REVESTIMENTOS ARGAMASSADOS PAREDE</t>
        </is>
      </c>
      <c r="H1849" s="1783" t="inlineStr">
        <is>
          <t>SERVIÇO</t>
        </is>
      </c>
      <c r="I1849" s="1750" t="inlineStr">
        <is>
          <t>14.011.005.001</t>
        </is>
      </c>
      <c r="J1849" s="1785" t="inlineStr">
        <is>
          <t>Mão de obra execução de massa única em paredes interna, incluindo chapisco</t>
        </is>
      </c>
      <c r="K1849" s="1786" t="inlineStr">
        <is>
          <t>m2</t>
        </is>
      </c>
      <c r="L1849" s="1787" t="e">
        <v>#REF!</v>
      </c>
      <c r="M1849" s="1787" t="n">
        <v>42</v>
      </c>
      <c r="N1849" s="1754" t="n"/>
      <c r="O1849" s="1788" t="n"/>
      <c r="P1849" s="1721" t="inlineStr">
        <is>
          <t>Pendente</t>
        </is>
      </c>
    </row>
    <row r="1850" hidden="1" outlineLevel="3" ht="13.5" customHeight="1">
      <c r="A1850" s="2117" t="n">
        <v>0</v>
      </c>
      <c r="B1850" s="2117" t="n">
        <v>14</v>
      </c>
      <c r="C1850" s="2117" t="n">
        <v>11</v>
      </c>
      <c r="D1850" s="2118" t="n">
        <v>5</v>
      </c>
      <c r="E1850" s="2118" t="n">
        <v>2</v>
      </c>
      <c r="G1850" s="1798" t="inlineStr">
        <is>
          <t>ACABAMENTOS INTERNOS EM PAREDE</t>
        </is>
      </c>
      <c r="H1850" s="1783" t="inlineStr">
        <is>
          <t>SERVIÇO</t>
        </is>
      </c>
      <c r="I1850" s="1750" t="inlineStr">
        <is>
          <t>14.011.005.002</t>
        </is>
      </c>
      <c r="J1850" s="1785" t="inlineStr">
        <is>
          <t>Mão de obra para assentamento de revestimento cerâmico em parede</t>
        </is>
      </c>
      <c r="K1850" s="1786" t="inlineStr">
        <is>
          <t>m2</t>
        </is>
      </c>
      <c r="L1850" s="1787" t="e">
        <v>#REF!</v>
      </c>
      <c r="M1850" s="1787" t="n">
        <v>75</v>
      </c>
      <c r="N1850" s="1754" t="n"/>
      <c r="O1850" s="1788" t="n"/>
      <c r="P1850" s="1721" t="inlineStr">
        <is>
          <t>Pendente</t>
        </is>
      </c>
    </row>
    <row r="1851" hidden="1" outlineLevel="3" ht="13.5" customHeight="1">
      <c r="A1851" s="2117" t="n">
        <v>0</v>
      </c>
      <c r="B1851" s="2117" t="n">
        <v>14</v>
      </c>
      <c r="C1851" s="2117" t="n">
        <v>11</v>
      </c>
      <c r="D1851" s="2118" t="n">
        <v>5</v>
      </c>
      <c r="E1851" s="2118" t="n">
        <v>3</v>
      </c>
      <c r="G1851" s="1798" t="inlineStr">
        <is>
          <t>ACABAMENTOS INTERNOS EM PAREDE</t>
        </is>
      </c>
      <c r="H1851" s="1783" t="inlineStr">
        <is>
          <t>SERVIÇO</t>
        </is>
      </c>
      <c r="I1851" s="1750" t="inlineStr">
        <is>
          <t>14.011.005.003</t>
        </is>
      </c>
      <c r="J1851" s="1785" t="inlineStr">
        <is>
          <t>Mão de obra para assentamento de Pedras Naturais em parede</t>
        </is>
      </c>
      <c r="K1851" s="1786" t="inlineStr">
        <is>
          <t>m2</t>
        </is>
      </c>
      <c r="L1851" s="1787" t="e">
        <v>#REF!</v>
      </c>
      <c r="M1851" s="1787" t="n">
        <v>75</v>
      </c>
      <c r="N1851" s="1754" t="n"/>
      <c r="O1851" s="1788" t="n"/>
      <c r="P1851" s="1721" t="inlineStr">
        <is>
          <t>Pendente</t>
        </is>
      </c>
    </row>
    <row r="1852" hidden="1" outlineLevel="3" ht="13.5" customHeight="1">
      <c r="A1852" s="2117" t="n">
        <v>0</v>
      </c>
      <c r="B1852" s="2117" t="n">
        <v>14</v>
      </c>
      <c r="C1852" s="2117" t="n">
        <v>11</v>
      </c>
      <c r="D1852" s="2118" t="n">
        <v>5</v>
      </c>
      <c r="E1852" s="2118" t="n">
        <v>4</v>
      </c>
      <c r="G1852" s="1798" t="inlineStr">
        <is>
          <t>ACABAMENTOS INTERNOS EM PAREDE</t>
        </is>
      </c>
      <c r="H1852" s="1783" t="inlineStr">
        <is>
          <t>SERVIÇO</t>
        </is>
      </c>
      <c r="I1852" s="1750" t="inlineStr">
        <is>
          <t>14.011.005.004</t>
        </is>
      </c>
      <c r="J1852" s="1785" t="inlineStr">
        <is>
          <t>Mão de obra para colocação de peitoril e pingadeira</t>
        </is>
      </c>
      <c r="K1852" s="1786" t="inlineStr">
        <is>
          <t>m2</t>
        </is>
      </c>
      <c r="L1852" s="1787" t="e">
        <v>#REF!</v>
      </c>
      <c r="M1852" s="1787" t="n">
        <v>50</v>
      </c>
      <c r="N1852" s="1754" t="n"/>
      <c r="O1852" s="1788" t="n"/>
      <c r="P1852" s="1721" t="inlineStr">
        <is>
          <t>Pendente</t>
        </is>
      </c>
    </row>
    <row r="1853" hidden="1" outlineLevel="1" ht="13.5" customHeight="1">
      <c r="A1853" s="2117" t="n">
        <v>0</v>
      </c>
      <c r="B1853" s="2117" t="n">
        <v>14</v>
      </c>
      <c r="C1853" s="2117" t="n">
        <v>12</v>
      </c>
      <c r="D1853" s="2118" t="n">
        <v>0</v>
      </c>
      <c r="E1853" s="2118" t="n">
        <v>4</v>
      </c>
      <c r="G1853" s="1796" t="n"/>
      <c r="H1853" s="1771" t="inlineStr">
        <is>
          <t>ETAPA</t>
        </is>
      </c>
      <c r="I1853" s="1735" t="inlineStr">
        <is>
          <t>14.012</t>
        </is>
      </c>
      <c r="J1853" s="1773" t="inlineStr">
        <is>
          <t>REVESTIMENTOS INTERNOS DE PAREDE - Duplex Inferior</t>
        </is>
      </c>
      <c r="K1853" s="1774" t="n"/>
      <c r="L1853" s="1775" t="n"/>
      <c r="M1853" s="1775" t="n"/>
      <c r="N1853" s="1739" t="n"/>
      <c r="O1853" s="1776" t="n"/>
      <c r="P1853" s="1719" t="n"/>
    </row>
    <row r="1854" hidden="1" outlineLevel="2" ht="13.5" customHeight="1">
      <c r="A1854" s="2117" t="n">
        <v>0</v>
      </c>
      <c r="B1854" s="2117" t="n">
        <v>14</v>
      </c>
      <c r="C1854" s="2117" t="n">
        <v>12</v>
      </c>
      <c r="D1854" s="2118" t="n">
        <v>1</v>
      </c>
      <c r="E1854" s="2118" t="n">
        <v>0</v>
      </c>
      <c r="G1854" s="1797" t="n"/>
      <c r="H1854" s="1777" t="inlineStr">
        <is>
          <t>SUBETAPA</t>
        </is>
      </c>
      <c r="I1854" s="1742" t="inlineStr">
        <is>
          <t>14.012.001</t>
        </is>
      </c>
      <c r="J1854" s="1779" t="inlineStr">
        <is>
          <t>Argamassado interno em parede</t>
        </is>
      </c>
      <c r="K1854" s="1780" t="n"/>
      <c r="L1854" s="1781" t="n"/>
      <c r="M1854" s="1781" t="n"/>
      <c r="N1854" s="1746" t="n"/>
      <c r="O1854" s="1782" t="n"/>
      <c r="P1854" s="1720" t="n"/>
    </row>
    <row r="1855" hidden="1" outlineLevel="3" ht="13.5" customHeight="1">
      <c r="A1855" s="2117" t="n">
        <v>0</v>
      </c>
      <c r="B1855" s="2117" t="n">
        <v>14</v>
      </c>
      <c r="C1855" s="2117" t="n">
        <v>12</v>
      </c>
      <c r="D1855" s="2118" t="n">
        <v>1</v>
      </c>
      <c r="E1855" s="2118" t="n">
        <v>1</v>
      </c>
      <c r="G1855" s="1798" t="inlineStr">
        <is>
          <t>REVESTIMENTOS ARGAMASSADOS PAREDE</t>
        </is>
      </c>
      <c r="H1855" s="1783" t="inlineStr">
        <is>
          <t>SERVIÇO</t>
        </is>
      </c>
      <c r="I1855" s="1750" t="inlineStr">
        <is>
          <t>14.012.001.001</t>
        </is>
      </c>
      <c r="J1855" s="1785" t="inlineStr">
        <is>
          <t>Chapisco aplicado em estruturas de concreto, com argamassa pré-fabricada adesiva de cimento colante, aplicação convencional</t>
        </is>
      </c>
      <c r="K1855" s="1786" t="inlineStr">
        <is>
          <t>m2</t>
        </is>
      </c>
      <c r="L1855" s="1787" t="e">
        <v>#REF!</v>
      </c>
      <c r="M1855" s="1787" t="n">
        <v>10.11778</v>
      </c>
      <c r="N1855" s="1754" t="n"/>
      <c r="O1855" s="1788" t="n"/>
      <c r="P1855" s="1721" t="inlineStr">
        <is>
          <t>Pendente</t>
        </is>
      </c>
    </row>
    <row r="1856" hidden="1" outlineLevel="3" ht="13.5" customHeight="1">
      <c r="A1856" s="2117" t="n">
        <v>0</v>
      </c>
      <c r="B1856" s="2117" t="n">
        <v>14</v>
      </c>
      <c r="C1856" s="2117" t="n">
        <v>12</v>
      </c>
      <c r="D1856" s="2118" t="n">
        <v>1</v>
      </c>
      <c r="E1856" s="2118" t="n">
        <v>2</v>
      </c>
      <c r="G1856" s="1798" t="inlineStr">
        <is>
          <t>REVESTIMENTOS ARGAMASSADOS PAREDE</t>
        </is>
      </c>
      <c r="H1856" s="1783" t="inlineStr">
        <is>
          <t>SERVIÇO</t>
        </is>
      </c>
      <c r="I1856" s="1750" t="inlineStr">
        <is>
          <t>14.012.001.002</t>
        </is>
      </c>
      <c r="J1856" s="1785" t="inlineStr">
        <is>
          <t>Chapisco interno de argamassa preparada em obra de cimento e areia - traço 1:4 - aplicação em paredes internas</t>
        </is>
      </c>
      <c r="K1856" s="1786" t="inlineStr">
        <is>
          <t>m2</t>
        </is>
      </c>
      <c r="L1856" s="1787" t="e">
        <v>#REF!</v>
      </c>
      <c r="M1856" s="1787" t="n">
        <v>3.28945</v>
      </c>
      <c r="N1856" s="1754" t="n"/>
      <c r="O1856" s="1788" t="n"/>
      <c r="P1856" s="1721" t="inlineStr">
        <is>
          <t>Pendente</t>
        </is>
      </c>
    </row>
    <row r="1857" hidden="1" outlineLevel="3" ht="13.5" customHeight="1">
      <c r="A1857" s="2117" t="n">
        <v>0</v>
      </c>
      <c r="B1857" s="2117" t="n">
        <v>14</v>
      </c>
      <c r="C1857" s="2117" t="n">
        <v>12</v>
      </c>
      <c r="D1857" s="2118" t="n">
        <v>1</v>
      </c>
      <c r="E1857" s="2118" t="n">
        <v>3</v>
      </c>
      <c r="G1857" s="1798" t="inlineStr">
        <is>
          <t>REVESTIMENTOS ARGAMASSADOS PAREDE</t>
        </is>
      </c>
      <c r="H1857" s="1783" t="inlineStr">
        <is>
          <t>SERVIÇO</t>
        </is>
      </c>
      <c r="I1857" s="1750" t="inlineStr">
        <is>
          <t>14.012.001.003</t>
        </is>
      </c>
      <c r="J1857" s="1785" t="inlineStr">
        <is>
          <t>Massa unica para reboco interno em argamassa estabilizada, espessura de 2,5cm, com execução desempenado fino</t>
        </is>
      </c>
      <c r="K1857" s="1786" t="inlineStr">
        <is>
          <t>m2</t>
        </is>
      </c>
      <c r="L1857" s="1787" t="e">
        <v>#REF!</v>
      </c>
      <c r="M1857" s="1787" t="n">
        <v>12.075</v>
      </c>
      <c r="N1857" s="1754" t="n"/>
      <c r="O1857" s="1788" t="n"/>
      <c r="P1857" s="1721" t="inlineStr">
        <is>
          <t>Pendente</t>
        </is>
      </c>
    </row>
    <row r="1858" hidden="1" outlineLevel="2" ht="13.5" customHeight="1">
      <c r="A1858" s="2117" t="n">
        <v>0</v>
      </c>
      <c r="B1858" s="2117" t="n">
        <v>14</v>
      </c>
      <c r="C1858" s="2117" t="n">
        <v>12</v>
      </c>
      <c r="D1858" s="2118" t="n">
        <v>2</v>
      </c>
      <c r="E1858" s="2118" t="n">
        <v>0</v>
      </c>
      <c r="G1858" s="1797" t="n"/>
      <c r="H1858" s="1777" t="inlineStr">
        <is>
          <t>SUBETAPA</t>
        </is>
      </c>
      <c r="I1858" s="1742" t="inlineStr">
        <is>
          <t>14.012.002</t>
        </is>
      </c>
      <c r="J1858" s="1779" t="inlineStr">
        <is>
          <t>Acabamentos cerâmicos</t>
        </is>
      </c>
      <c r="K1858" s="1780" t="n"/>
      <c r="L1858" s="1781" t="n"/>
      <c r="M1858" s="1781" t="n"/>
      <c r="N1858" s="1746" t="n"/>
      <c r="O1858" s="1782" t="n"/>
      <c r="P1858" s="1720" t="n"/>
    </row>
    <row r="1859" hidden="1" outlineLevel="3" ht="13.5" customHeight="1">
      <c r="A1859" s="2117" t="n">
        <v>0</v>
      </c>
      <c r="B1859" s="2117" t="n">
        <v>14</v>
      </c>
      <c r="C1859" s="2117" t="n">
        <v>12</v>
      </c>
      <c r="D1859" s="2118" t="n">
        <v>2</v>
      </c>
      <c r="E1859" s="2118" t="n">
        <v>1</v>
      </c>
      <c r="G1859" s="1798" t="inlineStr">
        <is>
          <t>ACABAMENTOS INTERNOS EM PAREDE</t>
        </is>
      </c>
      <c r="H1859" s="1783" t="inlineStr">
        <is>
          <t>SERVIÇO</t>
        </is>
      </c>
      <c r="I1859" s="1750" t="inlineStr">
        <is>
          <t>14.012.002.001</t>
        </is>
      </c>
      <c r="J1859" s="1785" t="inlineStr">
        <is>
          <t>Revestimento de parede em Porcelanato Portobello –  90x90 - Padrão Alto</t>
        </is>
      </c>
      <c r="K1859" s="1786" t="inlineStr">
        <is>
          <t>m2</t>
        </is>
      </c>
      <c r="L1859" s="1787" t="e">
        <v>#REF!</v>
      </c>
      <c r="M1859" s="1787" t="n">
        <v>141.8276</v>
      </c>
      <c r="N1859" s="1754" t="n"/>
      <c r="O1859" s="1788" t="inlineStr">
        <is>
          <t>Banheiros</t>
        </is>
      </c>
      <c r="P1859" s="1721" t="inlineStr">
        <is>
          <t>Pendente</t>
        </is>
      </c>
    </row>
    <row r="1860" hidden="1" outlineLevel="2" ht="13.5" customHeight="1">
      <c r="A1860" s="2117" t="n">
        <v>0</v>
      </c>
      <c r="B1860" s="2117" t="n">
        <v>14</v>
      </c>
      <c r="C1860" s="2117" t="n">
        <v>12</v>
      </c>
      <c r="D1860" s="2118" t="n">
        <v>3</v>
      </c>
      <c r="E1860" s="2118" t="n">
        <v>0</v>
      </c>
      <c r="G1860" s="1797" t="n"/>
      <c r="H1860" s="1777" t="inlineStr">
        <is>
          <t>SUBETAPA</t>
        </is>
      </c>
      <c r="I1860" s="1742" t="inlineStr">
        <is>
          <t>14.012.003</t>
        </is>
      </c>
      <c r="J1860" s="1779" t="inlineStr">
        <is>
          <t>Acabamentos em pedra</t>
        </is>
      </c>
      <c r="K1860" s="1780" t="n"/>
      <c r="L1860" s="1781" t="n"/>
      <c r="M1860" s="1781" t="n"/>
      <c r="N1860" s="1746" t="n"/>
      <c r="O1860" s="1782" t="n"/>
      <c r="P1860" s="1720" t="n"/>
    </row>
    <row r="1861" hidden="1" outlineLevel="3" ht="13.5" customHeight="1">
      <c r="A1861" s="2117" t="n">
        <v>0</v>
      </c>
      <c r="B1861" s="2117" t="n">
        <v>14</v>
      </c>
      <c r="C1861" s="2117" t="n">
        <v>12</v>
      </c>
      <c r="D1861" s="2118" t="n">
        <v>3</v>
      </c>
      <c r="E1861" s="2118" t="n">
        <v>1</v>
      </c>
      <c r="G1861" s="1798" t="inlineStr">
        <is>
          <t>ACABAMENTOS INTERNOS EM PAREDE</t>
        </is>
      </c>
      <c r="H1861" s="1783" t="inlineStr">
        <is>
          <t>SERVIÇO</t>
        </is>
      </c>
      <c r="I1861" s="1750" t="inlineStr">
        <is>
          <t>14.012.003.001</t>
        </is>
      </c>
      <c r="J1861" s="1785" t="inlineStr">
        <is>
          <t>Revestimento de Mármore Natural em Paredes</t>
        </is>
      </c>
      <c r="K1861" s="1786" t="inlineStr">
        <is>
          <t>m2</t>
        </is>
      </c>
      <c r="L1861" s="1787" t="e">
        <v>#REF!</v>
      </c>
      <c r="M1861" s="1787" t="n">
        <v>898.2455000000001</v>
      </c>
      <c r="N1861" s="1754" t="n"/>
      <c r="O1861" s="1788" t="n"/>
      <c r="P1861" s="1721" t="inlineStr">
        <is>
          <t>Pendente</t>
        </is>
      </c>
    </row>
    <row r="1862" hidden="1" outlineLevel="2" ht="13.5" customHeight="1">
      <c r="A1862" s="2117" t="n">
        <v>0</v>
      </c>
      <c r="B1862" s="2117" t="n">
        <v>14</v>
      </c>
      <c r="C1862" s="2117" t="n">
        <v>12</v>
      </c>
      <c r="D1862" s="2118" t="n">
        <v>4</v>
      </c>
      <c r="E1862" s="2118" t="n">
        <v>0</v>
      </c>
      <c r="G1862" s="1797" t="n"/>
      <c r="H1862" s="1777" t="inlineStr">
        <is>
          <t>SUBETAPA</t>
        </is>
      </c>
      <c r="I1862" s="1742" t="inlineStr">
        <is>
          <t>14.012.004</t>
        </is>
      </c>
      <c r="J1862" s="1779" t="inlineStr">
        <is>
          <t>Peitoris</t>
        </is>
      </c>
      <c r="K1862" s="1780" t="n"/>
      <c r="L1862" s="1781" t="n"/>
      <c r="M1862" s="1781" t="n"/>
      <c r="N1862" s="1746" t="n"/>
      <c r="O1862" s="1782" t="n"/>
      <c r="P1862" s="1720" t="n"/>
    </row>
    <row r="1863" hidden="1" outlineLevel="3" ht="13.5" customHeight="1">
      <c r="A1863" s="2117" t="n">
        <v>0</v>
      </c>
      <c r="B1863" s="2117" t="n">
        <v>14</v>
      </c>
      <c r="C1863" s="2117" t="n">
        <v>12</v>
      </c>
      <c r="D1863" s="2118" t="n">
        <v>4</v>
      </c>
      <c r="E1863" s="2118" t="n">
        <v>1</v>
      </c>
      <c r="G1863" s="1798" t="inlineStr">
        <is>
          <t>ACABAMENTOS INTERNOS EM PAREDE</t>
        </is>
      </c>
      <c r="H1863" s="1783" t="inlineStr">
        <is>
          <t>SERVIÇO</t>
        </is>
      </c>
      <c r="I1863" s="1750" t="inlineStr">
        <is>
          <t>14.012.004.001</t>
        </is>
      </c>
      <c r="J1863" s="1785" t="inlineStr">
        <is>
          <t>Peitoril em pedra natural,  esp. 2cm</t>
        </is>
      </c>
      <c r="K1863" s="1786" t="inlineStr">
        <is>
          <t>m2</t>
        </is>
      </c>
      <c r="L1863" s="1787" t="e">
        <v>#REF!</v>
      </c>
      <c r="M1863" s="1787" t="n">
        <v>849.1547</v>
      </c>
      <c r="N1863" s="1754" t="n"/>
      <c r="O1863" s="1788" t="n"/>
      <c r="P1863" s="1721" t="inlineStr">
        <is>
          <t>Pendente</t>
        </is>
      </c>
    </row>
    <row r="1864" hidden="1" outlineLevel="2" ht="13.5" customHeight="1">
      <c r="A1864" s="2117" t="n">
        <v>0</v>
      </c>
      <c r="B1864" s="2117" t="n">
        <v>14</v>
      </c>
      <c r="C1864" s="2117" t="n">
        <v>12</v>
      </c>
      <c r="D1864" s="2118" t="n">
        <v>5</v>
      </c>
      <c r="E1864" s="2118" t="n">
        <v>0</v>
      </c>
      <c r="G1864" s="1797" t="n"/>
      <c r="H1864" s="1777" t="inlineStr">
        <is>
          <t>SUBETAPA</t>
        </is>
      </c>
      <c r="I1864" s="1742" t="inlineStr">
        <is>
          <t>14.012.005</t>
        </is>
      </c>
      <c r="J1864" s="1779" t="inlineStr">
        <is>
          <t>Mão de obra - Revestimentos</t>
        </is>
      </c>
      <c r="K1864" s="1780" t="n"/>
      <c r="L1864" s="1781" t="n"/>
      <c r="M1864" s="1781" t="n"/>
      <c r="N1864" s="1746" t="n"/>
      <c r="O1864" s="1782" t="n"/>
      <c r="P1864" s="1720" t="n"/>
    </row>
    <row r="1865" hidden="1" outlineLevel="3" ht="13.5" customHeight="1">
      <c r="A1865" s="2117" t="n">
        <v>0</v>
      </c>
      <c r="B1865" s="2117" t="n">
        <v>14</v>
      </c>
      <c r="C1865" s="2117" t="n">
        <v>12</v>
      </c>
      <c r="D1865" s="2118" t="n">
        <v>5</v>
      </c>
      <c r="E1865" s="2118" t="n">
        <v>1</v>
      </c>
      <c r="G1865" s="1798" t="inlineStr">
        <is>
          <t>REVESTIMENTOS ARGAMASSADOS PAREDE</t>
        </is>
      </c>
      <c r="H1865" s="1783" t="inlineStr">
        <is>
          <t>SERVIÇO</t>
        </is>
      </c>
      <c r="I1865" s="1750" t="inlineStr">
        <is>
          <t>14.012.005.001</t>
        </is>
      </c>
      <c r="J1865" s="1785" t="inlineStr">
        <is>
          <t>Mão de obra execução de massa única em paredes interna, incluindo chapisco</t>
        </is>
      </c>
      <c r="K1865" s="1786" t="inlineStr">
        <is>
          <t>m2</t>
        </is>
      </c>
      <c r="L1865" s="1787" t="e">
        <v>#REF!</v>
      </c>
      <c r="M1865" s="1787" t="n">
        <v>42</v>
      </c>
      <c r="N1865" s="1754" t="n"/>
      <c r="O1865" s="1788" t="n"/>
      <c r="P1865" s="1721" t="inlineStr">
        <is>
          <t>Pendente</t>
        </is>
      </c>
    </row>
    <row r="1866" hidden="1" outlineLevel="3" ht="13.5" customHeight="1">
      <c r="A1866" s="2117" t="n">
        <v>0</v>
      </c>
      <c r="B1866" s="2117" t="n">
        <v>14</v>
      </c>
      <c r="C1866" s="2117" t="n">
        <v>12</v>
      </c>
      <c r="D1866" s="2118" t="n">
        <v>5</v>
      </c>
      <c r="E1866" s="2118" t="n">
        <v>2</v>
      </c>
      <c r="G1866" s="1798" t="inlineStr">
        <is>
          <t>ACABAMENTOS INTERNOS EM PAREDE</t>
        </is>
      </c>
      <c r="H1866" s="1783" t="inlineStr">
        <is>
          <t>SERVIÇO</t>
        </is>
      </c>
      <c r="I1866" s="1750" t="inlineStr">
        <is>
          <t>14.012.005.002</t>
        </is>
      </c>
      <c r="J1866" s="1785" t="inlineStr">
        <is>
          <t>Mão de obra para assentamento de revestimento cerâmico em parede</t>
        </is>
      </c>
      <c r="K1866" s="1786" t="inlineStr">
        <is>
          <t>m2</t>
        </is>
      </c>
      <c r="L1866" s="1787" t="e">
        <v>#REF!</v>
      </c>
      <c r="M1866" s="1787" t="n">
        <v>75</v>
      </c>
      <c r="N1866" s="1754" t="n"/>
      <c r="O1866" s="1788" t="n"/>
      <c r="P1866" s="1721" t="inlineStr">
        <is>
          <t>Pendente</t>
        </is>
      </c>
    </row>
    <row r="1867" hidden="1" outlineLevel="3" ht="13.5" customHeight="1">
      <c r="A1867" s="2117" t="n">
        <v>0</v>
      </c>
      <c r="B1867" s="2117" t="n">
        <v>14</v>
      </c>
      <c r="C1867" s="2117" t="n">
        <v>12</v>
      </c>
      <c r="D1867" s="2118" t="n">
        <v>5</v>
      </c>
      <c r="E1867" s="2118" t="n">
        <v>3</v>
      </c>
      <c r="G1867" s="1798" t="inlineStr">
        <is>
          <t>ACABAMENTOS INTERNOS EM PAREDE</t>
        </is>
      </c>
      <c r="H1867" s="1783" t="inlineStr">
        <is>
          <t>SERVIÇO</t>
        </is>
      </c>
      <c r="I1867" s="1750" t="inlineStr">
        <is>
          <t>14.012.005.003</t>
        </is>
      </c>
      <c r="J1867" s="1785" t="inlineStr">
        <is>
          <t>Mão de obra para assentamento de Pedras Naturais em parede</t>
        </is>
      </c>
      <c r="K1867" s="1786" t="inlineStr">
        <is>
          <t>m2</t>
        </is>
      </c>
      <c r="L1867" s="1787" t="e">
        <v>#REF!</v>
      </c>
      <c r="M1867" s="1787" t="n">
        <v>75</v>
      </c>
      <c r="N1867" s="1754" t="n"/>
      <c r="O1867" s="1788" t="n"/>
      <c r="P1867" s="1721" t="inlineStr">
        <is>
          <t>Pendente</t>
        </is>
      </c>
    </row>
    <row r="1868" hidden="1" outlineLevel="3" ht="13.5" customHeight="1">
      <c r="A1868" s="2117" t="n">
        <v>0</v>
      </c>
      <c r="B1868" s="2117" t="n">
        <v>14</v>
      </c>
      <c r="C1868" s="2117" t="n">
        <v>12</v>
      </c>
      <c r="D1868" s="2118" t="n">
        <v>5</v>
      </c>
      <c r="E1868" s="2118" t="n">
        <v>4</v>
      </c>
      <c r="G1868" s="1798" t="inlineStr">
        <is>
          <t>ACABAMENTOS INTERNOS EM PAREDE</t>
        </is>
      </c>
      <c r="H1868" s="1783" t="inlineStr">
        <is>
          <t>SERVIÇO</t>
        </is>
      </c>
      <c r="I1868" s="1750" t="inlineStr">
        <is>
          <t>14.012.005.004</t>
        </is>
      </c>
      <c r="J1868" s="1785" t="inlineStr">
        <is>
          <t>Mão de obra para colocação de peitoril e pingadeira</t>
        </is>
      </c>
      <c r="K1868" s="1786" t="inlineStr">
        <is>
          <t>m2</t>
        </is>
      </c>
      <c r="L1868" s="1787" t="e">
        <v>#REF!</v>
      </c>
      <c r="M1868" s="1787" t="n">
        <v>50</v>
      </c>
      <c r="N1868" s="1754" t="n"/>
      <c r="O1868" s="1788" t="n"/>
      <c r="P1868" s="1721" t="inlineStr">
        <is>
          <t>Pendente</t>
        </is>
      </c>
    </row>
    <row r="1869" hidden="1" outlineLevel="1" ht="13.5" customHeight="1">
      <c r="A1869" s="2117" t="n">
        <v>0</v>
      </c>
      <c r="B1869" s="2117" t="n">
        <v>14</v>
      </c>
      <c r="C1869" s="2117" t="n">
        <v>13</v>
      </c>
      <c r="D1869" s="2118" t="n">
        <v>0</v>
      </c>
      <c r="E1869" s="2118" t="n">
        <v>4</v>
      </c>
      <c r="G1869" s="1796" t="n"/>
      <c r="H1869" s="1771" t="inlineStr">
        <is>
          <t>ETAPA</t>
        </is>
      </c>
      <c r="I1869" s="1735" t="inlineStr">
        <is>
          <t>14.013</t>
        </is>
      </c>
      <c r="J1869" s="1773" t="inlineStr">
        <is>
          <t>REVESTIMENTOS INTERNOS DE PAREDE - Duplex Superior</t>
        </is>
      </c>
      <c r="K1869" s="1774" t="n"/>
      <c r="L1869" s="1775" t="n"/>
      <c r="M1869" s="1775" t="n"/>
      <c r="N1869" s="1739" t="n"/>
      <c r="O1869" s="1776" t="n"/>
      <c r="P1869" s="1719" t="n"/>
    </row>
    <row r="1870" hidden="1" outlineLevel="2" ht="13.5" customHeight="1">
      <c r="A1870" s="2117" t="n">
        <v>0</v>
      </c>
      <c r="B1870" s="2117" t="n">
        <v>14</v>
      </c>
      <c r="C1870" s="2117" t="n">
        <v>13</v>
      </c>
      <c r="D1870" s="2118" t="n">
        <v>1</v>
      </c>
      <c r="E1870" s="2118" t="n">
        <v>0</v>
      </c>
      <c r="G1870" s="1797" t="n"/>
      <c r="H1870" s="1777" t="inlineStr">
        <is>
          <t>SUBETAPA</t>
        </is>
      </c>
      <c r="I1870" s="1742" t="inlineStr">
        <is>
          <t>14.013.001</t>
        </is>
      </c>
      <c r="J1870" s="1779" t="inlineStr">
        <is>
          <t>Argamassado interno em parede</t>
        </is>
      </c>
      <c r="K1870" s="1780" t="n"/>
      <c r="L1870" s="1781" t="n"/>
      <c r="M1870" s="1781" t="n"/>
      <c r="N1870" s="1746" t="n"/>
      <c r="O1870" s="1782" t="n"/>
      <c r="P1870" s="1720" t="n"/>
    </row>
    <row r="1871" hidden="1" outlineLevel="3" ht="13.5" customHeight="1">
      <c r="A1871" s="2117" t="n">
        <v>0</v>
      </c>
      <c r="B1871" s="2117" t="n">
        <v>14</v>
      </c>
      <c r="C1871" s="2117" t="n">
        <v>13</v>
      </c>
      <c r="D1871" s="2118" t="n">
        <v>1</v>
      </c>
      <c r="E1871" s="2118" t="n">
        <v>1</v>
      </c>
      <c r="G1871" s="1798" t="inlineStr">
        <is>
          <t>REVESTIMENTOS ARGAMASSADOS PAREDE</t>
        </is>
      </c>
      <c r="H1871" s="1783" t="inlineStr">
        <is>
          <t>SERVIÇO</t>
        </is>
      </c>
      <c r="I1871" s="1750" t="inlineStr">
        <is>
          <t>14.013.001.001</t>
        </is>
      </c>
      <c r="J1871" s="1785" t="inlineStr">
        <is>
          <t>Chapisco aplicado em estruturas de concreto, com argamassa pré-fabricada adesiva de cimento colante, aplicação convencional</t>
        </is>
      </c>
      <c r="K1871" s="1786" t="inlineStr">
        <is>
          <t>m2</t>
        </is>
      </c>
      <c r="L1871" s="1787" t="e">
        <v>#REF!</v>
      </c>
      <c r="M1871" s="1787" t="n">
        <v>10.11778</v>
      </c>
      <c r="N1871" s="1754" t="n"/>
      <c r="O1871" s="1788" t="n"/>
      <c r="P1871" s="1721" t="inlineStr">
        <is>
          <t>Pendente</t>
        </is>
      </c>
    </row>
    <row r="1872" hidden="1" outlineLevel="3" ht="13.5" customHeight="1">
      <c r="A1872" s="2117" t="n">
        <v>0</v>
      </c>
      <c r="B1872" s="2117" t="n">
        <v>14</v>
      </c>
      <c r="C1872" s="2117" t="n">
        <v>13</v>
      </c>
      <c r="D1872" s="2118" t="n">
        <v>1</v>
      </c>
      <c r="E1872" s="2118" t="n">
        <v>2</v>
      </c>
      <c r="G1872" s="1798" t="inlineStr">
        <is>
          <t>REVESTIMENTOS ARGAMASSADOS PAREDE</t>
        </is>
      </c>
      <c r="H1872" s="1783" t="inlineStr">
        <is>
          <t>SERVIÇO</t>
        </is>
      </c>
      <c r="I1872" s="1750" t="inlineStr">
        <is>
          <t>14.013.001.002</t>
        </is>
      </c>
      <c r="J1872" s="1785" t="inlineStr">
        <is>
          <t>Chapisco interno de argamassa preparada em obra de cimento e areia - traço 1:4 - aplicação em paredes internas</t>
        </is>
      </c>
      <c r="K1872" s="1786" t="inlineStr">
        <is>
          <t>m2</t>
        </is>
      </c>
      <c r="L1872" s="1787" t="e">
        <v>#REF!</v>
      </c>
      <c r="M1872" s="1787" t="n">
        <v>3.28945</v>
      </c>
      <c r="N1872" s="1754" t="n"/>
      <c r="O1872" s="1788" t="n"/>
      <c r="P1872" s="1721" t="inlineStr">
        <is>
          <t>Pendente</t>
        </is>
      </c>
    </row>
    <row r="1873" hidden="1" outlineLevel="3" ht="13.5" customHeight="1">
      <c r="A1873" s="2117" t="n">
        <v>0</v>
      </c>
      <c r="B1873" s="2117" t="n">
        <v>14</v>
      </c>
      <c r="C1873" s="2117" t="n">
        <v>13</v>
      </c>
      <c r="D1873" s="2118" t="n">
        <v>1</v>
      </c>
      <c r="E1873" s="2118" t="n">
        <v>3</v>
      </c>
      <c r="G1873" s="1798" t="inlineStr">
        <is>
          <t>REVESTIMENTOS ARGAMASSADOS PAREDE</t>
        </is>
      </c>
      <c r="H1873" s="1783" t="inlineStr">
        <is>
          <t>SERVIÇO</t>
        </is>
      </c>
      <c r="I1873" s="1750" t="inlineStr">
        <is>
          <t>14.013.001.003</t>
        </is>
      </c>
      <c r="J1873" s="1785" t="inlineStr">
        <is>
          <t>Massa unica para reboco interno em argamassa estabilizada, espessura de 2,5cm, com execução desempenado fino</t>
        </is>
      </c>
      <c r="K1873" s="1786" t="inlineStr">
        <is>
          <t>m2</t>
        </is>
      </c>
      <c r="L1873" s="1787" t="e">
        <v>#REF!</v>
      </c>
      <c r="M1873" s="1787" t="n">
        <v>12.075</v>
      </c>
      <c r="N1873" s="1754" t="n"/>
      <c r="O1873" s="1788" t="n"/>
      <c r="P1873" s="1721" t="inlineStr">
        <is>
          <t>Pendente</t>
        </is>
      </c>
    </row>
    <row r="1874" hidden="1" outlineLevel="2" ht="13.5" customHeight="1">
      <c r="A1874" s="2117" t="n">
        <v>0</v>
      </c>
      <c r="B1874" s="2117" t="n">
        <v>14</v>
      </c>
      <c r="C1874" s="2117" t="n">
        <v>13</v>
      </c>
      <c r="D1874" s="2118" t="n">
        <v>2</v>
      </c>
      <c r="E1874" s="2118" t="n">
        <v>0</v>
      </c>
      <c r="G1874" s="1797" t="n"/>
      <c r="H1874" s="1777" t="inlineStr">
        <is>
          <t>SUBETAPA</t>
        </is>
      </c>
      <c r="I1874" s="1742" t="inlineStr">
        <is>
          <t>14.013.002</t>
        </is>
      </c>
      <c r="J1874" s="1779" t="inlineStr">
        <is>
          <t>Acabamentos em pedra</t>
        </is>
      </c>
      <c r="K1874" s="1780" t="n"/>
      <c r="L1874" s="1781" t="n"/>
      <c r="M1874" s="1781" t="n"/>
      <c r="N1874" s="1746" t="n"/>
      <c r="O1874" s="1782" t="n"/>
      <c r="P1874" s="1720" t="n"/>
    </row>
    <row r="1875" hidden="1" outlineLevel="3" ht="13.5" customHeight="1">
      <c r="A1875" s="2117" t="n">
        <v>0</v>
      </c>
      <c r="B1875" s="2117" t="n">
        <v>14</v>
      </c>
      <c r="C1875" s="2117" t="n">
        <v>13</v>
      </c>
      <c r="D1875" s="2118" t="n">
        <v>2</v>
      </c>
      <c r="E1875" s="2118" t="n">
        <v>1</v>
      </c>
      <c r="G1875" s="1798" t="inlineStr">
        <is>
          <t>ACABAMENTOS INTERNOS EM PAREDE</t>
        </is>
      </c>
      <c r="H1875" s="1783" t="inlineStr">
        <is>
          <t>SERVIÇO</t>
        </is>
      </c>
      <c r="I1875" s="1750" t="inlineStr">
        <is>
          <t>14.013.002.001</t>
        </is>
      </c>
      <c r="J1875" s="1785" t="inlineStr">
        <is>
          <t>Revestimento de Mármore Natural em Paredes</t>
        </is>
      </c>
      <c r="K1875" s="1786" t="inlineStr">
        <is>
          <t>m2</t>
        </is>
      </c>
      <c r="L1875" s="1787" t="e">
        <v>#REF!</v>
      </c>
      <c r="M1875" s="1787" t="n">
        <v>898.2455000000001</v>
      </c>
      <c r="N1875" s="1754" t="n"/>
      <c r="O1875" s="1788" t="n"/>
      <c r="P1875" s="1721" t="inlineStr">
        <is>
          <t>Pendente</t>
        </is>
      </c>
    </row>
    <row r="1876" hidden="1" outlineLevel="2" ht="13.5" customHeight="1">
      <c r="A1876" s="2117" t="n">
        <v>0</v>
      </c>
      <c r="B1876" s="2117" t="n">
        <v>14</v>
      </c>
      <c r="C1876" s="2117" t="n">
        <v>13</v>
      </c>
      <c r="D1876" s="2118" t="n">
        <v>3</v>
      </c>
      <c r="E1876" s="2118" t="n">
        <v>0</v>
      </c>
      <c r="G1876" s="1797" t="n"/>
      <c r="H1876" s="1777" t="inlineStr">
        <is>
          <t>SUBETAPA</t>
        </is>
      </c>
      <c r="I1876" s="1742" t="inlineStr">
        <is>
          <t>14.013.003</t>
        </is>
      </c>
      <c r="J1876" s="1779" t="inlineStr">
        <is>
          <t>Peitoris</t>
        </is>
      </c>
      <c r="K1876" s="1780" t="n"/>
      <c r="L1876" s="1781" t="n"/>
      <c r="M1876" s="1781" t="n"/>
      <c r="N1876" s="1746" t="n"/>
      <c r="O1876" s="1782" t="n"/>
      <c r="P1876" s="1720" t="n"/>
    </row>
    <row r="1877" hidden="1" outlineLevel="3" ht="13.5" customHeight="1">
      <c r="A1877" s="2117" t="n">
        <v>0</v>
      </c>
      <c r="B1877" s="2117" t="n">
        <v>14</v>
      </c>
      <c r="C1877" s="2117" t="n">
        <v>13</v>
      </c>
      <c r="D1877" s="2118" t="n">
        <v>3</v>
      </c>
      <c r="E1877" s="2118" t="n">
        <v>1</v>
      </c>
      <c r="G1877" s="1798" t="inlineStr">
        <is>
          <t>ACABAMENTOS INTERNOS EM PAREDE</t>
        </is>
      </c>
      <c r="H1877" s="1783" t="inlineStr">
        <is>
          <t>SERVIÇO</t>
        </is>
      </c>
      <c r="I1877" s="1750" t="inlineStr">
        <is>
          <t>14.013.003.001</t>
        </is>
      </c>
      <c r="J1877" s="1785" t="inlineStr">
        <is>
          <t>Peitoril em pedra natural,  esp. 2cm</t>
        </is>
      </c>
      <c r="K1877" s="1786" t="inlineStr">
        <is>
          <t>m2</t>
        </is>
      </c>
      <c r="L1877" s="1787" t="e">
        <v>#REF!</v>
      </c>
      <c r="M1877" s="1787" t="n">
        <v>849.1547</v>
      </c>
      <c r="N1877" s="1754" t="n"/>
      <c r="O1877" s="1788" t="n"/>
      <c r="P1877" s="1721" t="inlineStr">
        <is>
          <t>Pendente</t>
        </is>
      </c>
    </row>
    <row r="1878" hidden="1" outlineLevel="2" ht="13.5" customHeight="1">
      <c r="A1878" s="2117" t="n">
        <v>0</v>
      </c>
      <c r="B1878" s="2117" t="n">
        <v>14</v>
      </c>
      <c r="C1878" s="2117" t="n">
        <v>13</v>
      </c>
      <c r="D1878" s="2118" t="n">
        <v>4</v>
      </c>
      <c r="E1878" s="2118" t="n">
        <v>0</v>
      </c>
      <c r="G1878" s="1797" t="n"/>
      <c r="H1878" s="1777" t="inlineStr">
        <is>
          <t>SUBETAPA</t>
        </is>
      </c>
      <c r="I1878" s="1742" t="inlineStr">
        <is>
          <t>14.013.004</t>
        </is>
      </c>
      <c r="J1878" s="1779" t="inlineStr">
        <is>
          <t>Mão de obra - Revestimentos</t>
        </is>
      </c>
      <c r="K1878" s="1780" t="n"/>
      <c r="L1878" s="1781" t="n"/>
      <c r="M1878" s="1781" t="n"/>
      <c r="N1878" s="1746" t="n"/>
      <c r="O1878" s="1782" t="n"/>
      <c r="P1878" s="1720" t="n"/>
    </row>
    <row r="1879" hidden="1" outlineLevel="3" ht="13.5" customHeight="1">
      <c r="A1879" s="2117" t="n">
        <v>0</v>
      </c>
      <c r="B1879" s="2117" t="n">
        <v>14</v>
      </c>
      <c r="C1879" s="2117" t="n">
        <v>13</v>
      </c>
      <c r="D1879" s="2118" t="n">
        <v>4</v>
      </c>
      <c r="E1879" s="2118" t="n">
        <v>1</v>
      </c>
      <c r="G1879" s="1798" t="inlineStr">
        <is>
          <t>REVESTIMENTOS ARGAMASSADOS PAREDE</t>
        </is>
      </c>
      <c r="H1879" s="1783" t="inlineStr">
        <is>
          <t>SERVIÇO</t>
        </is>
      </c>
      <c r="I1879" s="1750" t="inlineStr">
        <is>
          <t>14.013.004.001</t>
        </is>
      </c>
      <c r="J1879" s="1785" t="inlineStr">
        <is>
          <t>Mão de obra execução de massa única em paredes interna, incluindo chapisco</t>
        </is>
      </c>
      <c r="K1879" s="1786" t="inlineStr">
        <is>
          <t>m2</t>
        </is>
      </c>
      <c r="L1879" s="1787" t="e">
        <v>#REF!</v>
      </c>
      <c r="M1879" s="1787" t="n">
        <v>42</v>
      </c>
      <c r="N1879" s="1754" t="n"/>
      <c r="O1879" s="1788" t="n"/>
      <c r="P1879" s="1721" t="inlineStr">
        <is>
          <t>Pendente</t>
        </is>
      </c>
    </row>
    <row r="1880" hidden="1" outlineLevel="3" ht="13.5" customHeight="1">
      <c r="A1880" s="2117" t="n">
        <v>0</v>
      </c>
      <c r="B1880" s="2117" t="n">
        <v>14</v>
      </c>
      <c r="C1880" s="2117" t="n">
        <v>13</v>
      </c>
      <c r="D1880" s="2118" t="n">
        <v>4</v>
      </c>
      <c r="E1880" s="2118" t="n">
        <v>2</v>
      </c>
      <c r="G1880" s="1798" t="inlineStr">
        <is>
          <t>ACABAMENTOS INTERNOS EM PAREDE</t>
        </is>
      </c>
      <c r="H1880" s="1783" t="inlineStr">
        <is>
          <t>SERVIÇO</t>
        </is>
      </c>
      <c r="I1880" s="1750" t="inlineStr">
        <is>
          <t>14.013.004.002</t>
        </is>
      </c>
      <c r="J1880" s="1785" t="inlineStr">
        <is>
          <t>Mão de obra para assentamento de Pedras Naturais em parede</t>
        </is>
      </c>
      <c r="K1880" s="1786" t="inlineStr">
        <is>
          <t>m2</t>
        </is>
      </c>
      <c r="L1880" s="1787" t="e">
        <v>#REF!</v>
      </c>
      <c r="M1880" s="1787" t="n">
        <v>75</v>
      </c>
      <c r="N1880" s="1754" t="n"/>
      <c r="O1880" s="1788" t="n"/>
      <c r="P1880" s="1721" t="inlineStr">
        <is>
          <t>Pendente</t>
        </is>
      </c>
    </row>
    <row r="1881" hidden="1" outlineLevel="3" ht="13.5" customHeight="1">
      <c r="A1881" s="2117" t="n">
        <v>0</v>
      </c>
      <c r="B1881" s="2117" t="n">
        <v>14</v>
      </c>
      <c r="C1881" s="2117" t="n">
        <v>13</v>
      </c>
      <c r="D1881" s="2118" t="n">
        <v>4</v>
      </c>
      <c r="E1881" s="2118" t="n">
        <v>3</v>
      </c>
      <c r="G1881" s="1798" t="inlineStr">
        <is>
          <t>ACABAMENTOS INTERNOS EM PAREDE</t>
        </is>
      </c>
      <c r="H1881" s="1783" t="inlineStr">
        <is>
          <t>SERVIÇO</t>
        </is>
      </c>
      <c r="I1881" s="1750" t="inlineStr">
        <is>
          <t>14.013.004.003</t>
        </is>
      </c>
      <c r="J1881" s="1785" t="inlineStr">
        <is>
          <t>Mão de obra para colocação de peitoril e pingadeira</t>
        </is>
      </c>
      <c r="K1881" s="1786" t="inlineStr">
        <is>
          <t>m2</t>
        </is>
      </c>
      <c r="L1881" s="1787" t="e">
        <v>#REF!</v>
      </c>
      <c r="M1881" s="1787" t="n">
        <v>50</v>
      </c>
      <c r="N1881" s="1754" t="n"/>
      <c r="O1881" s="1788" t="n"/>
      <c r="P1881" s="1721" t="inlineStr">
        <is>
          <t>Pendente</t>
        </is>
      </c>
    </row>
    <row r="1882" hidden="1" outlineLevel="1" ht="13.5" customHeight="1">
      <c r="A1882" s="2117" t="n">
        <v>0</v>
      </c>
      <c r="B1882" s="2117" t="n">
        <v>14</v>
      </c>
      <c r="C1882" s="2117" t="n">
        <v>14</v>
      </c>
      <c r="D1882" s="2118" t="n">
        <v>0</v>
      </c>
      <c r="E1882" s="2118" t="n">
        <v>3</v>
      </c>
      <c r="G1882" s="1796" t="n"/>
      <c r="H1882" s="1771" t="inlineStr">
        <is>
          <t>ETAPA</t>
        </is>
      </c>
      <c r="I1882" s="1735" t="inlineStr">
        <is>
          <t>14.014</t>
        </is>
      </c>
      <c r="J1882" s="1773" t="inlineStr">
        <is>
          <t>REVESTIMENTOS INTERNOS DE PAREDE - Cobertura | Barrilete</t>
        </is>
      </c>
      <c r="K1882" s="1774" t="n"/>
      <c r="L1882" s="1775" t="n"/>
      <c r="M1882" s="1775" t="n"/>
      <c r="N1882" s="1739" t="n"/>
      <c r="O1882" s="1776" t="n"/>
      <c r="P1882" s="1719" t="n"/>
    </row>
    <row r="1883" hidden="1" outlineLevel="2" ht="13.5" customHeight="1">
      <c r="A1883" s="2117" t="n">
        <v>0</v>
      </c>
      <c r="B1883" s="2117" t="n">
        <v>14</v>
      </c>
      <c r="C1883" s="2117" t="n">
        <v>14</v>
      </c>
      <c r="D1883" s="2118" t="n">
        <v>1</v>
      </c>
      <c r="E1883" s="2118" t="n">
        <v>0</v>
      </c>
      <c r="G1883" s="1797" t="n"/>
      <c r="H1883" s="1777" t="inlineStr">
        <is>
          <t>SUBETAPA</t>
        </is>
      </c>
      <c r="I1883" s="1742" t="inlineStr">
        <is>
          <t>14.014.001</t>
        </is>
      </c>
      <c r="J1883" s="1779" t="inlineStr">
        <is>
          <t>Argamassado interno em parede</t>
        </is>
      </c>
      <c r="K1883" s="1780" t="n"/>
      <c r="L1883" s="1781" t="n"/>
      <c r="M1883" s="1781" t="n"/>
      <c r="N1883" s="1746" t="n"/>
      <c r="O1883" s="1782" t="n"/>
      <c r="P1883" s="1720" t="n"/>
    </row>
    <row r="1884" hidden="1" outlineLevel="3" ht="13.5" customHeight="1">
      <c r="A1884" s="2117" t="n">
        <v>0</v>
      </c>
      <c r="B1884" s="2117" t="n">
        <v>14</v>
      </c>
      <c r="C1884" s="2117" t="n">
        <v>14</v>
      </c>
      <c r="D1884" s="2118" t="n">
        <v>1</v>
      </c>
      <c r="E1884" s="2118" t="n">
        <v>1</v>
      </c>
      <c r="G1884" s="1798" t="inlineStr">
        <is>
          <t>REVESTIMENTOS ARGAMASSADOS PAREDE</t>
        </is>
      </c>
      <c r="H1884" s="1783" t="inlineStr">
        <is>
          <t>SERVIÇO</t>
        </is>
      </c>
      <c r="I1884" s="1750" t="inlineStr">
        <is>
          <t>14.014.001.001</t>
        </is>
      </c>
      <c r="J1884" s="1785" t="inlineStr">
        <is>
          <t>Chapisco aplicado em estruturas de concreto, com argamassa pré-fabricada adesiva de cimento colante, aplicação convencional</t>
        </is>
      </c>
      <c r="K1884" s="1786" t="inlineStr">
        <is>
          <t>m2</t>
        </is>
      </c>
      <c r="L1884" s="1787" t="e">
        <v>#REF!</v>
      </c>
      <c r="M1884" s="1787" t="n">
        <v>10.11778</v>
      </c>
      <c r="N1884" s="1754" t="n"/>
      <c r="O1884" s="1788" t="n"/>
      <c r="P1884" s="1721" t="inlineStr">
        <is>
          <t>Pendente</t>
        </is>
      </c>
    </row>
    <row r="1885" hidden="1" outlineLevel="3" ht="13.5" customHeight="1">
      <c r="A1885" s="2117" t="n">
        <v>0</v>
      </c>
      <c r="B1885" s="2117" t="n">
        <v>14</v>
      </c>
      <c r="C1885" s="2117" t="n">
        <v>14</v>
      </c>
      <c r="D1885" s="2118" t="n">
        <v>1</v>
      </c>
      <c r="E1885" s="2118" t="n">
        <v>2</v>
      </c>
      <c r="G1885" s="1798" t="inlineStr">
        <is>
          <t>REVESTIMENTOS ARGAMASSADOS PAREDE</t>
        </is>
      </c>
      <c r="H1885" s="1783" t="inlineStr">
        <is>
          <t>SERVIÇO</t>
        </is>
      </c>
      <c r="I1885" s="1750" t="inlineStr">
        <is>
          <t>14.014.001.002</t>
        </is>
      </c>
      <c r="J1885" s="1785" t="inlineStr">
        <is>
          <t>Chapisco interno de argamassa preparada em obra de cimento e areia - traço 1:4 - aplicação em paredes internas</t>
        </is>
      </c>
      <c r="K1885" s="1786" t="inlineStr">
        <is>
          <t>m2</t>
        </is>
      </c>
      <c r="L1885" s="1787" t="e">
        <v>#REF!</v>
      </c>
      <c r="M1885" s="1787" t="n">
        <v>3.28945</v>
      </c>
      <c r="N1885" s="1754" t="n"/>
      <c r="O1885" s="1788" t="n"/>
      <c r="P1885" s="1721" t="inlineStr">
        <is>
          <t>Pendente</t>
        </is>
      </c>
    </row>
    <row r="1886" hidden="1" outlineLevel="3" ht="13.5" customHeight="1">
      <c r="A1886" s="2117" t="n">
        <v>0</v>
      </c>
      <c r="B1886" s="2117" t="n">
        <v>14</v>
      </c>
      <c r="C1886" s="2117" t="n">
        <v>14</v>
      </c>
      <c r="D1886" s="2118" t="n">
        <v>1</v>
      </c>
      <c r="E1886" s="2118" t="n">
        <v>3</v>
      </c>
      <c r="G1886" s="1798" t="inlineStr">
        <is>
          <t>REVESTIMENTOS ARGAMASSADOS PAREDE</t>
        </is>
      </c>
      <c r="H1886" s="1783" t="inlineStr">
        <is>
          <t>SERVIÇO</t>
        </is>
      </c>
      <c r="I1886" s="1750" t="inlineStr">
        <is>
          <t>14.014.001.003</t>
        </is>
      </c>
      <c r="J1886" s="1785" t="inlineStr">
        <is>
          <t>Massa unica para reboco interno em argamassa estabilizada, espessura de 2,5cm, com execução desempenado fino</t>
        </is>
      </c>
      <c r="K1886" s="1786" t="inlineStr">
        <is>
          <t>m2</t>
        </is>
      </c>
      <c r="L1886" s="1787" t="e">
        <v>#REF!</v>
      </c>
      <c r="M1886" s="1787" t="n">
        <v>12.075</v>
      </c>
      <c r="N1886" s="1754" t="n"/>
      <c r="O1886" s="1788" t="n"/>
      <c r="P1886" s="1721" t="inlineStr">
        <is>
          <t>Pendente</t>
        </is>
      </c>
    </row>
    <row r="1887" hidden="1" outlineLevel="2" ht="13.5" customHeight="1">
      <c r="A1887" s="2117" t="n">
        <v>0</v>
      </c>
      <c r="B1887" s="2117" t="n">
        <v>14</v>
      </c>
      <c r="C1887" s="2117" t="n">
        <v>14</v>
      </c>
      <c r="D1887" s="2118" t="n">
        <v>2</v>
      </c>
      <c r="E1887" s="2118" t="n">
        <v>0</v>
      </c>
      <c r="G1887" s="1797" t="n"/>
      <c r="H1887" s="1777" t="inlineStr">
        <is>
          <t>SUBETAPA</t>
        </is>
      </c>
      <c r="I1887" s="1742" t="inlineStr">
        <is>
          <t>14.014.002</t>
        </is>
      </c>
      <c r="J1887" s="1779" t="inlineStr">
        <is>
          <t>Peitoris</t>
        </is>
      </c>
      <c r="K1887" s="1780" t="n"/>
      <c r="L1887" s="1781" t="n"/>
      <c r="M1887" s="1781" t="n"/>
      <c r="N1887" s="1746" t="n"/>
      <c r="O1887" s="1782" t="n"/>
      <c r="P1887" s="1720" t="n"/>
    </row>
    <row r="1888" hidden="1" outlineLevel="3" ht="13.5" customHeight="1">
      <c r="A1888" s="2117" t="n">
        <v>0</v>
      </c>
      <c r="B1888" s="2117" t="n">
        <v>14</v>
      </c>
      <c r="C1888" s="2117" t="n">
        <v>14</v>
      </c>
      <c r="D1888" s="2118" t="n">
        <v>2</v>
      </c>
      <c r="E1888" s="2118" t="n">
        <v>1</v>
      </c>
      <c r="G1888" s="1798" t="inlineStr">
        <is>
          <t>ACABAMENTOS INTERNOS EM PAREDE</t>
        </is>
      </c>
      <c r="H1888" s="1783" t="inlineStr">
        <is>
          <t>SERVIÇO</t>
        </is>
      </c>
      <c r="I1888" s="1750" t="inlineStr">
        <is>
          <t>14.014.002.001</t>
        </is>
      </c>
      <c r="J1888" s="1785" t="inlineStr">
        <is>
          <t>Peitoril em pedra natural,  esp. 2cm</t>
        </is>
      </c>
      <c r="K1888" s="1786" t="inlineStr">
        <is>
          <t>m2</t>
        </is>
      </c>
      <c r="L1888" s="1787" t="e">
        <v>#REF!</v>
      </c>
      <c r="M1888" s="1787" t="n">
        <v>849.1547</v>
      </c>
      <c r="N1888" s="1754" t="n"/>
      <c r="O1888" s="1788" t="n"/>
      <c r="P1888" s="1721" t="inlineStr">
        <is>
          <t>Pendente</t>
        </is>
      </c>
    </row>
    <row r="1889" hidden="1" outlineLevel="2" ht="13.5" customHeight="1">
      <c r="A1889" s="2117" t="n">
        <v>0</v>
      </c>
      <c r="B1889" s="2117" t="n">
        <v>14</v>
      </c>
      <c r="C1889" s="2117" t="n">
        <v>14</v>
      </c>
      <c r="D1889" s="2118" t="n">
        <v>3</v>
      </c>
      <c r="E1889" s="2118" t="n">
        <v>0</v>
      </c>
      <c r="G1889" s="1797" t="n"/>
      <c r="H1889" s="1777" t="inlineStr">
        <is>
          <t>SUBETAPA</t>
        </is>
      </c>
      <c r="I1889" s="1742" t="inlineStr">
        <is>
          <t>14.014.003</t>
        </is>
      </c>
      <c r="J1889" s="1779" t="inlineStr">
        <is>
          <t>Mão de obra - Revestimentos</t>
        </is>
      </c>
      <c r="K1889" s="1780" t="n"/>
      <c r="L1889" s="1781" t="n"/>
      <c r="M1889" s="1781" t="n"/>
      <c r="N1889" s="1746" t="n"/>
      <c r="O1889" s="1782" t="n"/>
      <c r="P1889" s="1720" t="n"/>
    </row>
    <row r="1890" hidden="1" outlineLevel="3" ht="13.5" customHeight="1">
      <c r="A1890" s="2117" t="n">
        <v>0</v>
      </c>
      <c r="B1890" s="2117" t="n">
        <v>14</v>
      </c>
      <c r="C1890" s="2117" t="n">
        <v>14</v>
      </c>
      <c r="D1890" s="2118" t="n">
        <v>3</v>
      </c>
      <c r="E1890" s="2118" t="n">
        <v>1</v>
      </c>
      <c r="G1890" s="1798" t="inlineStr">
        <is>
          <t>REVESTIMENTOS ARGAMASSADOS PAREDE</t>
        </is>
      </c>
      <c r="H1890" s="1783" t="inlineStr">
        <is>
          <t>SERVIÇO</t>
        </is>
      </c>
      <c r="I1890" s="1750" t="inlineStr">
        <is>
          <t>14.014.003.001</t>
        </is>
      </c>
      <c r="J1890" s="1785" t="inlineStr">
        <is>
          <t>Mão de obra execução de massa única em paredes interna, incluindo chapisco</t>
        </is>
      </c>
      <c r="K1890" s="1786" t="inlineStr">
        <is>
          <t>m2</t>
        </is>
      </c>
      <c r="L1890" s="1787" t="e">
        <v>#REF!</v>
      </c>
      <c r="M1890" s="1787" t="n">
        <v>42</v>
      </c>
      <c r="N1890" s="1754" t="n"/>
      <c r="O1890" s="1788" t="n"/>
      <c r="P1890" s="1721" t="inlineStr">
        <is>
          <t>Pendente</t>
        </is>
      </c>
    </row>
    <row r="1891" hidden="1" outlineLevel="3" ht="13.5" customHeight="1">
      <c r="A1891" s="2117" t="n">
        <v>0</v>
      </c>
      <c r="B1891" s="2117" t="n">
        <v>14</v>
      </c>
      <c r="C1891" s="2117" t="n">
        <v>14</v>
      </c>
      <c r="D1891" s="2118" t="n">
        <v>3</v>
      </c>
      <c r="E1891" s="2118" t="n">
        <v>2</v>
      </c>
      <c r="G1891" s="1798" t="inlineStr">
        <is>
          <t>ACABAMENTOS INTERNOS EM PAREDE</t>
        </is>
      </c>
      <c r="H1891" s="1783" t="inlineStr">
        <is>
          <t>SERVIÇO</t>
        </is>
      </c>
      <c r="I1891" s="1750" t="inlineStr">
        <is>
          <t>14.014.003.002</t>
        </is>
      </c>
      <c r="J1891" s="1785" t="inlineStr">
        <is>
          <t>Mão de obra para colocação de peitoril e pingadeira</t>
        </is>
      </c>
      <c r="K1891" s="1786" t="inlineStr">
        <is>
          <t>m2</t>
        </is>
      </c>
      <c r="L1891" s="1787" t="e">
        <v>#REF!</v>
      </c>
      <c r="M1891" s="1787" t="n">
        <v>50</v>
      </c>
      <c r="N1891" s="1754" t="n"/>
      <c r="O1891" s="1788" t="n"/>
      <c r="P1891" s="1721" t="inlineStr">
        <is>
          <t>Pendente</t>
        </is>
      </c>
    </row>
    <row r="1892" hidden="1" outlineLevel="1" ht="13.5" customHeight="1">
      <c r="A1892" s="2117" t="n">
        <v>0</v>
      </c>
      <c r="B1892" s="2117" t="n">
        <v>14</v>
      </c>
      <c r="C1892" s="2117" t="n">
        <v>15</v>
      </c>
      <c r="D1892" s="2118" t="n">
        <v>0</v>
      </c>
      <c r="E1892" s="2118" t="n">
        <v>2</v>
      </c>
      <c r="G1892" s="1796" t="n"/>
      <c r="H1892" s="1771" t="inlineStr">
        <is>
          <t>ETAPA</t>
        </is>
      </c>
      <c r="I1892" s="1735" t="inlineStr">
        <is>
          <t>14.015</t>
        </is>
      </c>
      <c r="J1892" s="1773" t="inlineStr">
        <is>
          <t>REVESTIMENTOS INTERNOS DE PAREDE - Reservatório</t>
        </is>
      </c>
      <c r="K1892" s="1774" t="n"/>
      <c r="L1892" s="1775" t="n"/>
      <c r="M1892" s="1775" t="n"/>
      <c r="N1892" s="1739" t="n"/>
      <c r="O1892" s="1776" t="n"/>
      <c r="P1892" s="1719" t="n"/>
    </row>
    <row r="1893" hidden="1" outlineLevel="2" ht="13.5" customHeight="1">
      <c r="A1893" s="2117" t="n">
        <v>0</v>
      </c>
      <c r="B1893" s="2117" t="n">
        <v>14</v>
      </c>
      <c r="C1893" s="2117" t="n">
        <v>15</v>
      </c>
      <c r="D1893" s="2118" t="n">
        <v>1</v>
      </c>
      <c r="E1893" s="2118" t="n">
        <v>0</v>
      </c>
      <c r="G1893" s="1797" t="n"/>
      <c r="H1893" s="1777" t="inlineStr">
        <is>
          <t>SUBETAPA</t>
        </is>
      </c>
      <c r="I1893" s="1742" t="inlineStr">
        <is>
          <t>14.015.001</t>
        </is>
      </c>
      <c r="J1893" s="1779" t="inlineStr">
        <is>
          <t>Peitoris</t>
        </is>
      </c>
      <c r="K1893" s="1780" t="n"/>
      <c r="L1893" s="1781" t="n"/>
      <c r="M1893" s="1781" t="n"/>
      <c r="N1893" s="1746" t="n"/>
      <c r="O1893" s="1782" t="n"/>
      <c r="P1893" s="1720" t="n"/>
    </row>
    <row r="1894" hidden="1" outlineLevel="3" ht="13.5" customHeight="1">
      <c r="A1894" s="2117" t="n">
        <v>0</v>
      </c>
      <c r="B1894" s="2117" t="n">
        <v>14</v>
      </c>
      <c r="C1894" s="2117" t="n">
        <v>15</v>
      </c>
      <c r="D1894" s="2118" t="n">
        <v>1</v>
      </c>
      <c r="E1894" s="2118" t="n">
        <v>1</v>
      </c>
      <c r="G1894" s="1798" t="inlineStr">
        <is>
          <t>ACABAMENTOS INTERNOS EM PAREDE</t>
        </is>
      </c>
      <c r="H1894" s="1783" t="inlineStr">
        <is>
          <t>SERVIÇO</t>
        </is>
      </c>
      <c r="I1894" s="1750" t="inlineStr">
        <is>
          <t>14.015.001.001</t>
        </is>
      </c>
      <c r="J1894" s="1785" t="inlineStr">
        <is>
          <t>Peitoril em pedra natural,  esp. 2cm</t>
        </is>
      </c>
      <c r="K1894" s="1786" t="inlineStr">
        <is>
          <t>m2</t>
        </is>
      </c>
      <c r="L1894" s="1787" t="e">
        <v>#REF!</v>
      </c>
      <c r="M1894" s="1787" t="n">
        <v>849.1547</v>
      </c>
      <c r="N1894" s="1754" t="n"/>
      <c r="O1894" s="1788" t="n"/>
      <c r="P1894" s="1721" t="inlineStr">
        <is>
          <t>Pendente</t>
        </is>
      </c>
    </row>
    <row r="1895" hidden="1" outlineLevel="2" ht="13.5" customHeight="1">
      <c r="A1895" s="2117" t="n">
        <v>0</v>
      </c>
      <c r="B1895" s="2117" t="n">
        <v>14</v>
      </c>
      <c r="C1895" s="2117" t="n">
        <v>15</v>
      </c>
      <c r="D1895" s="2118" t="n">
        <v>2</v>
      </c>
      <c r="E1895" s="2118" t="n">
        <v>0</v>
      </c>
      <c r="G1895" s="1797" t="n"/>
      <c r="H1895" s="1777" t="inlineStr">
        <is>
          <t>SUBETAPA</t>
        </is>
      </c>
      <c r="I1895" s="1742" t="inlineStr">
        <is>
          <t>14.015.002</t>
        </is>
      </c>
      <c r="J1895" s="1779" t="inlineStr">
        <is>
          <t>Mão de obra - Revestimentos</t>
        </is>
      </c>
      <c r="K1895" s="1780" t="n"/>
      <c r="L1895" s="1781" t="n"/>
      <c r="M1895" s="1781" t="n"/>
      <c r="N1895" s="1746" t="n"/>
      <c r="O1895" s="1782" t="n"/>
      <c r="P1895" s="1720" t="n"/>
    </row>
    <row r="1896" hidden="1" outlineLevel="3" ht="13.5" customHeight="1">
      <c r="A1896" s="2117" t="n">
        <v>0</v>
      </c>
      <c r="B1896" s="2117" t="n">
        <v>14</v>
      </c>
      <c r="C1896" s="2117" t="n">
        <v>15</v>
      </c>
      <c r="D1896" s="2118" t="n">
        <v>2</v>
      </c>
      <c r="E1896" s="2118" t="n">
        <v>1</v>
      </c>
      <c r="G1896" s="1798" t="inlineStr">
        <is>
          <t>ACABAMENTOS INTERNOS EM PAREDE</t>
        </is>
      </c>
      <c r="H1896" s="1783" t="inlineStr">
        <is>
          <t>SERVIÇO</t>
        </is>
      </c>
      <c r="I1896" s="1750" t="inlineStr">
        <is>
          <t>14.015.002.001</t>
        </is>
      </c>
      <c r="J1896" s="1785" t="inlineStr">
        <is>
          <t>Mão de obra para colocação de peitoril e pingadeira</t>
        </is>
      </c>
      <c r="K1896" s="1786" t="inlineStr">
        <is>
          <t>m2</t>
        </is>
      </c>
      <c r="L1896" s="1787" t="e">
        <v>#REF!</v>
      </c>
      <c r="M1896" s="1787" t="n">
        <v>50</v>
      </c>
      <c r="N1896" s="1754" t="n"/>
      <c r="O1896" s="1788" t="n"/>
      <c r="P1896" s="1721" t="inlineStr">
        <is>
          <t>Pendente</t>
        </is>
      </c>
    </row>
    <row r="1897" collapsed="1" ht="13.5" customHeight="1">
      <c r="A1897" s="2117" t="n">
        <v>0</v>
      </c>
      <c r="B1897" s="2117" t="n">
        <v>15</v>
      </c>
      <c r="C1897" s="2117" t="n">
        <v>0</v>
      </c>
      <c r="D1897" s="2118" t="n">
        <v>2</v>
      </c>
      <c r="E1897" s="2118" t="n">
        <v>1</v>
      </c>
      <c r="F1897" s="474" t="n"/>
      <c r="G1897" s="1794" t="n"/>
      <c r="H1897" s="1766" t="inlineStr">
        <is>
          <t>CÉLULA CONSTRUTIVA</t>
        </is>
      </c>
      <c r="I1897" s="1728" t="inlineStr">
        <is>
          <t>15</t>
        </is>
      </c>
      <c r="J1897" s="1795" t="inlineStr">
        <is>
          <t>REVESTIMENTOS E ACABAMENTOS INTERNOS EM TETO</t>
        </is>
      </c>
      <c r="K1897" s="1768" t="n"/>
      <c r="L1897" s="1769" t="n"/>
      <c r="M1897" s="1769" t="n"/>
      <c r="N1897" s="1732" t="n"/>
      <c r="O1897" s="1770" t="n"/>
      <c r="P1897" s="1718" t="n"/>
    </row>
    <row r="1898" hidden="1" outlineLevel="1" ht="13.5" customHeight="1">
      <c r="A1898" s="2117" t="n">
        <v>0</v>
      </c>
      <c r="B1898" s="2117" t="n">
        <v>15</v>
      </c>
      <c r="C1898" s="2117" t="n">
        <v>1</v>
      </c>
      <c r="D1898" s="2118" t="n">
        <v>0</v>
      </c>
      <c r="E1898" s="2118" t="n">
        <v>1</v>
      </c>
      <c r="G1898" s="1796" t="n"/>
      <c r="H1898" s="1771" t="inlineStr">
        <is>
          <t>ETAPA</t>
        </is>
      </c>
      <c r="I1898" s="1735" t="inlineStr">
        <is>
          <t>15.001</t>
        </is>
      </c>
      <c r="J1898" s="1773" t="inlineStr">
        <is>
          <t>REVESTIMENTOS E ACABAMENTOS INTERNOS EM TETO - Térreo</t>
        </is>
      </c>
      <c r="K1898" s="1774" t="n"/>
      <c r="L1898" s="1775" t="n"/>
      <c r="M1898" s="1775" t="n"/>
      <c r="N1898" s="1739" t="n"/>
      <c r="O1898" s="1776" t="n"/>
      <c r="P1898" s="1719" t="n"/>
    </row>
    <row r="1899" hidden="1" outlineLevel="2" ht="13.5" customHeight="1">
      <c r="A1899" s="2117" t="n">
        <v>0</v>
      </c>
      <c r="B1899" s="2117" t="n">
        <v>15</v>
      </c>
      <c r="C1899" s="2117" t="n">
        <v>1</v>
      </c>
      <c r="D1899" s="2118" t="n">
        <v>1</v>
      </c>
      <c r="E1899" s="2118" t="n">
        <v>0</v>
      </c>
      <c r="G1899" s="1797" t="n"/>
      <c r="H1899" s="1777" t="inlineStr">
        <is>
          <t>SUBETAPA</t>
        </is>
      </c>
      <c r="I1899" s="1742" t="inlineStr">
        <is>
          <t>15.001.001</t>
        </is>
      </c>
      <c r="J1899" s="1779" t="inlineStr">
        <is>
          <t>Revestimento interno argamassado em teto</t>
        </is>
      </c>
      <c r="K1899" s="1780" t="n"/>
      <c r="L1899" s="1781" t="n"/>
      <c r="M1899" s="1781" t="n"/>
      <c r="N1899" s="1746" t="n"/>
      <c r="O1899" s="1782" t="n"/>
      <c r="P1899" s="1720" t="n"/>
    </row>
    <row r="1900" hidden="1" outlineLevel="3" ht="13.5" customHeight="1">
      <c r="A1900" s="2117" t="n">
        <v>0</v>
      </c>
      <c r="B1900" s="2117" t="n">
        <v>15</v>
      </c>
      <c r="C1900" s="2117" t="n">
        <v>1</v>
      </c>
      <c r="D1900" s="2118" t="n">
        <v>1</v>
      </c>
      <c r="E1900" s="2118" t="n">
        <v>1</v>
      </c>
      <c r="G1900" s="1798" t="inlineStr">
        <is>
          <t>REVESTIMENTOS ARGAMASSADOS TETO</t>
        </is>
      </c>
      <c r="H1900" s="1783" t="inlineStr">
        <is>
          <t>SERVIÇO</t>
        </is>
      </c>
      <c r="I1900" s="1750" t="inlineStr">
        <is>
          <t>15.001.001.001</t>
        </is>
      </c>
      <c r="J1900" s="1785" t="inlineStr">
        <is>
          <t>Chapisco aplicado em teto, com argamassa pré-fabricada adesiva de cimento colante, aplicação convencional</t>
        </is>
      </c>
      <c r="K1900" s="1786" t="inlineStr">
        <is>
          <t>m2</t>
        </is>
      </c>
      <c r="L1900" s="1787" t="e">
        <v>#REF!</v>
      </c>
      <c r="M1900" s="1787" t="n">
        <v>10.11778</v>
      </c>
      <c r="N1900" s="1754" t="n"/>
      <c r="O1900" s="1788" t="n"/>
      <c r="P1900" s="1721" t="inlineStr">
        <is>
          <t>Pendente</t>
        </is>
      </c>
    </row>
    <row r="1901" hidden="1" outlineLevel="3" ht="13.5" customHeight="1">
      <c r="A1901" s="2117" t="n">
        <v>0</v>
      </c>
      <c r="B1901" s="2117" t="n">
        <v>15</v>
      </c>
      <c r="C1901" s="2117" t="n">
        <v>1</v>
      </c>
      <c r="D1901" s="2118" t="n">
        <v>1</v>
      </c>
      <c r="E1901" s="2118" t="n">
        <v>2</v>
      </c>
      <c r="G1901" s="1798" t="inlineStr">
        <is>
          <t>REVESTIMENTOS ARGAMASSADOS TETO</t>
        </is>
      </c>
      <c r="H1901" s="1783" t="inlineStr">
        <is>
          <t>SERVIÇO</t>
        </is>
      </c>
      <c r="I1901" s="1750" t="inlineStr">
        <is>
          <t>15.001.001.002</t>
        </is>
      </c>
      <c r="J1901" s="1785" t="inlineStr">
        <is>
          <t>Massa unica para reboco interno em Tetos com argamassa estabilizada, espessura de 2,5cm, com execução desempenado fino</t>
        </is>
      </c>
      <c r="K1901" s="1786" t="inlineStr">
        <is>
          <t>m2</t>
        </is>
      </c>
      <c r="L1901" s="1787" t="e">
        <v>#REF!</v>
      </c>
      <c r="M1901" s="1787" t="n">
        <v>10.89375</v>
      </c>
      <c r="N1901" s="1754" t="n"/>
      <c r="O1901" s="1788" t="n"/>
      <c r="P1901" s="1721" t="inlineStr">
        <is>
          <t>Pendente</t>
        </is>
      </c>
    </row>
    <row r="1902" hidden="1" outlineLevel="2" ht="13.5" customHeight="1">
      <c r="A1902" s="2117" t="n">
        <v>0</v>
      </c>
      <c r="B1902" s="2117" t="n">
        <v>15</v>
      </c>
      <c r="C1902" s="2117" t="n">
        <v>1</v>
      </c>
      <c r="D1902" s="2118" t="n">
        <v>2</v>
      </c>
      <c r="E1902" s="2118" t="n">
        <v>0</v>
      </c>
      <c r="G1902" s="1797" t="n"/>
      <c r="H1902" s="1777" t="inlineStr">
        <is>
          <t>SUBETAPA</t>
        </is>
      </c>
      <c r="I1902" s="1742" t="inlineStr">
        <is>
          <t>15.001.002</t>
        </is>
      </c>
      <c r="J1902" s="1779" t="inlineStr">
        <is>
          <t>Acabamento de gesso em teto</t>
        </is>
      </c>
      <c r="K1902" s="1780" t="n"/>
      <c r="L1902" s="1781" t="n"/>
      <c r="M1902" s="1781" t="n"/>
      <c r="N1902" s="1746" t="n"/>
      <c r="O1902" s="1782" t="n"/>
      <c r="P1902" s="1720" t="n"/>
    </row>
    <row r="1903" hidden="1" outlineLevel="3" ht="12.75" customHeight="1">
      <c r="A1903" s="2117" t="n">
        <v>0</v>
      </c>
      <c r="B1903" s="2117" t="n">
        <v>15</v>
      </c>
      <c r="C1903" s="2117" t="n">
        <v>1</v>
      </c>
      <c r="D1903" s="2118" t="n">
        <v>2</v>
      </c>
      <c r="E1903" s="2118" t="n">
        <v>1</v>
      </c>
      <c r="G1903" s="1798" t="inlineStr">
        <is>
          <t>ACABAMENTOS INTERNOS EM TETO</t>
        </is>
      </c>
      <c r="H1903" s="1783" t="inlineStr">
        <is>
          <t>SERVIÇO</t>
        </is>
      </c>
      <c r="I1903" s="1750" t="inlineStr">
        <is>
          <t>15.001.002.001</t>
        </is>
      </c>
      <c r="J1903" s="1785" t="inlineStr">
        <is>
          <t>Forro de gesso acartonado - áreas secas - Material e Mão de Obra</t>
        </is>
      </c>
      <c r="K1903" s="1786" t="inlineStr">
        <is>
          <t>m2</t>
        </is>
      </c>
      <c r="L1903" s="1787" t="e">
        <v>#REF!</v>
      </c>
      <c r="M1903" s="1787" t="n">
        <v>137.29</v>
      </c>
      <c r="N1903" s="1754" t="n"/>
      <c r="O1903" s="1788" t="n"/>
      <c r="P1903" s="1721" t="inlineStr">
        <is>
          <t>Pendente</t>
        </is>
      </c>
    </row>
    <row r="1904" hidden="1" outlineLevel="3" ht="13.5" customHeight="1">
      <c r="A1904" s="2117" t="n">
        <v>0</v>
      </c>
      <c r="B1904" s="2117" t="n">
        <v>15</v>
      </c>
      <c r="C1904" s="2117" t="n">
        <v>1</v>
      </c>
      <c r="D1904" s="2118" t="n">
        <v>2</v>
      </c>
      <c r="E1904" s="2118" t="n">
        <v>2</v>
      </c>
      <c r="G1904" s="1798" t="inlineStr">
        <is>
          <t>ACABAMENTOS INTERNOS EM TETO</t>
        </is>
      </c>
      <c r="H1904" s="1783" t="inlineStr">
        <is>
          <t>SERVIÇO</t>
        </is>
      </c>
      <c r="I1904" s="1750" t="inlineStr">
        <is>
          <t>15.001.002.002</t>
        </is>
      </c>
      <c r="J1904" s="1785" t="inlineStr">
        <is>
          <t>Forro de gesso acartonado - áreas úmidas - Material e Mão de Obra</t>
        </is>
      </c>
      <c r="K1904" s="1786" t="inlineStr">
        <is>
          <t>m2</t>
        </is>
      </c>
      <c r="L1904" s="1787" t="e">
        <v>#REF!</v>
      </c>
      <c r="M1904" s="1787" t="n">
        <v>164.748</v>
      </c>
      <c r="N1904" s="1754" t="n"/>
      <c r="O1904" s="1788" t="n"/>
      <c r="P1904" s="1721" t="inlineStr">
        <is>
          <t>Pendente</t>
        </is>
      </c>
    </row>
    <row r="1905" hidden="1" outlineLevel="3" ht="13.5" customHeight="1">
      <c r="A1905" s="2117" t="n">
        <v>0</v>
      </c>
      <c r="B1905" s="2117" t="n">
        <v>15</v>
      </c>
      <c r="C1905" s="2117" t="n">
        <v>1</v>
      </c>
      <c r="D1905" s="2118" t="n">
        <v>2</v>
      </c>
      <c r="E1905" s="2118" t="n">
        <v>3</v>
      </c>
      <c r="G1905" s="1798" t="inlineStr">
        <is>
          <t>ACABAMENTOS INTERNOS EM TETO</t>
        </is>
      </c>
      <c r="H1905" s="1783" t="inlineStr">
        <is>
          <t>SERVIÇO</t>
        </is>
      </c>
      <c r="I1905" s="1750" t="inlineStr">
        <is>
          <t>15.001.002.003</t>
        </is>
      </c>
      <c r="J1905" s="1785" t="inlineStr">
        <is>
          <t>Negativo de forro de gesso acartonado - área umida</t>
        </is>
      </c>
      <c r="K1905" s="1786" t="inlineStr">
        <is>
          <t>m</t>
        </is>
      </c>
      <c r="L1905" s="1787" t="e">
        <v>#REF!</v>
      </c>
      <c r="M1905" s="1787" t="n">
        <v>49.4244</v>
      </c>
      <c r="N1905" s="1754" t="n"/>
      <c r="O1905" s="1788" t="n"/>
      <c r="P1905" s="1721" t="inlineStr">
        <is>
          <t>Pendente</t>
        </is>
      </c>
    </row>
    <row r="1906" hidden="1" outlineLevel="3" ht="13.5" customHeight="1">
      <c r="A1906" s="2117" t="n">
        <v>0</v>
      </c>
      <c r="B1906" s="2117" t="n">
        <v>15</v>
      </c>
      <c r="C1906" s="2117" t="n">
        <v>1</v>
      </c>
      <c r="D1906" s="2118" t="n">
        <v>2</v>
      </c>
      <c r="E1906" s="2118" t="n">
        <v>4</v>
      </c>
      <c r="G1906" s="1798" t="inlineStr">
        <is>
          <t>ACABAMENTOS INTERNOS EM TETO</t>
        </is>
      </c>
      <c r="H1906" s="1783" t="inlineStr">
        <is>
          <t>SERVIÇO</t>
        </is>
      </c>
      <c r="I1906" s="1750" t="inlineStr">
        <is>
          <t>15.001.002.004</t>
        </is>
      </c>
      <c r="J1906" s="1785" t="inlineStr">
        <is>
          <t>Negativo de forro de gesso acartonado - área seca</t>
        </is>
      </c>
      <c r="K1906" s="1786" t="inlineStr">
        <is>
          <t>m</t>
        </is>
      </c>
      <c r="L1906" s="1787" t="e">
        <v>#REF!</v>
      </c>
      <c r="M1906" s="1787" t="n">
        <v>49.4244</v>
      </c>
      <c r="N1906" s="1754" t="n"/>
      <c r="O1906" s="1788" t="n"/>
      <c r="P1906" s="1721" t="inlineStr">
        <is>
          <t>Pendente</t>
        </is>
      </c>
    </row>
    <row r="1907" hidden="1" outlineLevel="2" ht="13.5" customHeight="1">
      <c r="A1907" s="2117" t="n">
        <v>0</v>
      </c>
      <c r="B1907" s="2117" t="n">
        <v>15</v>
      </c>
      <c r="C1907" s="2117" t="n">
        <v>1</v>
      </c>
      <c r="D1907" s="2118" t="n">
        <v>3</v>
      </c>
      <c r="E1907" s="2118" t="n">
        <v>0</v>
      </c>
      <c r="G1907" s="1797" t="n"/>
      <c r="H1907" s="1777" t="inlineStr">
        <is>
          <t>SUBETAPA</t>
        </is>
      </c>
      <c r="I1907" s="1742" t="inlineStr">
        <is>
          <t>15.001.003</t>
        </is>
      </c>
      <c r="J1907" s="1779" t="inlineStr">
        <is>
          <t>Acabamento especiais em teto</t>
        </is>
      </c>
      <c r="K1907" s="1780" t="n"/>
      <c r="L1907" s="1781" t="n"/>
      <c r="M1907" s="1781" t="n"/>
      <c r="N1907" s="1746" t="n"/>
      <c r="O1907" s="1782" t="n"/>
      <c r="P1907" s="1720" t="n"/>
    </row>
    <row r="1908" hidden="1" outlineLevel="3" ht="13.5" customHeight="1">
      <c r="A1908" s="2117" t="n">
        <v>0</v>
      </c>
      <c r="B1908" s="2117" t="n">
        <v>15</v>
      </c>
      <c r="C1908" s="2117" t="n">
        <v>1</v>
      </c>
      <c r="D1908" s="2118" t="n">
        <v>3</v>
      </c>
      <c r="E1908" s="2118" t="n">
        <v>1</v>
      </c>
      <c r="G1908" s="1798" t="inlineStr">
        <is>
          <t>ACABAMENTOS INTERNOS EM TETO</t>
        </is>
      </c>
      <c r="H1908" s="1783" t="inlineStr">
        <is>
          <t>SERVIÇO</t>
        </is>
      </c>
      <c r="I1908" s="1750" t="inlineStr">
        <is>
          <t>15.001.003.001</t>
        </is>
      </c>
      <c r="J1908" s="1785" t="inlineStr">
        <is>
          <t>Revestimento em Cerâmicas Vulcano Cinza em Teto, 61x 61cm com Junta de 3mm</t>
        </is>
      </c>
      <c r="K1908" s="1786" t="inlineStr">
        <is>
          <t>m2</t>
        </is>
      </c>
      <c r="L1908" s="1787" t="e">
        <v>#REF!</v>
      </c>
      <c r="M1908" s="1787" t="n">
        <v>78.58200000000001</v>
      </c>
      <c r="N1908" s="1754" t="n"/>
      <c r="O1908" s="1788" t="inlineStr">
        <is>
          <t>Box nas garagens</t>
        </is>
      </c>
      <c r="P1908" s="1721" t="inlineStr">
        <is>
          <t>Pendente</t>
        </is>
      </c>
    </row>
    <row r="1909" hidden="1" outlineLevel="3" ht="13.5" customHeight="1">
      <c r="A1909" s="2117" t="n">
        <v>0</v>
      </c>
      <c r="B1909" s="2117" t="n">
        <v>15</v>
      </c>
      <c r="C1909" s="2117" t="n">
        <v>1</v>
      </c>
      <c r="D1909" s="2118" t="n">
        <v>3</v>
      </c>
      <c r="E1909" s="2118" t="n">
        <v>2</v>
      </c>
      <c r="G1909" s="1798" t="inlineStr">
        <is>
          <t>ACABAMENTOS INTERNOS EM TETO</t>
        </is>
      </c>
      <c r="H1909" s="1783" t="inlineStr">
        <is>
          <t>SERVIÇO</t>
        </is>
      </c>
      <c r="I1909" s="1750" t="inlineStr">
        <is>
          <t>15.001.003.002</t>
        </is>
      </c>
      <c r="J1909" s="1751" t="inlineStr">
        <is>
          <t>Revestimento de cerâmico retificado em Teto, Placa 60 x 60cm com Junta de 2mm e rejunte acrilico</t>
        </is>
      </c>
      <c r="K1909" s="1786" t="inlineStr">
        <is>
          <t>m2</t>
        </is>
      </c>
      <c r="L1909" s="1787" t="e">
        <v>#REF!</v>
      </c>
      <c r="M1909" s="1787" t="n">
        <v>61.83860000000001</v>
      </c>
      <c r="N1909" s="1754" t="n"/>
      <c r="O1909" s="1788" t="inlineStr">
        <is>
          <t>Lixeira</t>
        </is>
      </c>
      <c r="P1909" s="1721" t="inlineStr">
        <is>
          <t>Pendente</t>
        </is>
      </c>
    </row>
    <row r="1910" hidden="1" outlineLevel="2" ht="13.5" customHeight="1">
      <c r="A1910" s="2117" t="n">
        <v>0</v>
      </c>
      <c r="B1910" s="2117" t="n">
        <v>15</v>
      </c>
      <c r="C1910" s="2117" t="n">
        <v>1</v>
      </c>
      <c r="D1910" s="2118" t="n">
        <v>4</v>
      </c>
      <c r="E1910" s="2118" t="n">
        <v>0</v>
      </c>
      <c r="G1910" s="1797" t="n"/>
      <c r="H1910" s="1777" t="inlineStr">
        <is>
          <t>SUBETAPA</t>
        </is>
      </c>
      <c r="I1910" s="1742" t="inlineStr">
        <is>
          <t>15.001.004</t>
        </is>
      </c>
      <c r="J1910" s="1779" t="inlineStr">
        <is>
          <t>Mão de obra</t>
        </is>
      </c>
      <c r="K1910" s="1780" t="n"/>
      <c r="L1910" s="1781" t="n"/>
      <c r="M1910" s="1781" t="n"/>
      <c r="N1910" s="1746" t="n"/>
      <c r="O1910" s="1782" t="n"/>
      <c r="P1910" s="1720" t="n"/>
    </row>
    <row r="1911" hidden="1" outlineLevel="3" ht="13.5" customHeight="1">
      <c r="A1911" s="2117" t="n">
        <v>0</v>
      </c>
      <c r="B1911" s="2117" t="n">
        <v>15</v>
      </c>
      <c r="C1911" s="2117" t="n">
        <v>1</v>
      </c>
      <c r="D1911" s="2118" t="n">
        <v>4</v>
      </c>
      <c r="E1911" s="2118" t="n">
        <v>1</v>
      </c>
      <c r="G1911" s="1798" t="inlineStr">
        <is>
          <t>REVESTIMENTOS ARGAMASSADOS TETO</t>
        </is>
      </c>
      <c r="H1911" s="1783" t="inlineStr">
        <is>
          <t>SERVIÇO</t>
        </is>
      </c>
      <c r="I1911" s="1750" t="inlineStr">
        <is>
          <t>15.001.004.001</t>
        </is>
      </c>
      <c r="J1911" s="1785" t="inlineStr">
        <is>
          <t>Mão de obra execução de Reboco em teto</t>
        </is>
      </c>
      <c r="K1911" s="1786" t="inlineStr">
        <is>
          <t>m2</t>
        </is>
      </c>
      <c r="L1911" s="1787" t="e">
        <v>#REF!</v>
      </c>
      <c r="M1911" s="1787" t="n">
        <v>40</v>
      </c>
      <c r="N1911" s="1754" t="n"/>
      <c r="O1911" s="1788" t="n"/>
      <c r="P1911" s="1721" t="inlineStr">
        <is>
          <t>Pendente</t>
        </is>
      </c>
    </row>
    <row r="1912" hidden="1" outlineLevel="1" ht="13.5" customHeight="1">
      <c r="A1912" s="2117" t="n">
        <v>0</v>
      </c>
      <c r="B1912" s="2117" t="n">
        <v>15</v>
      </c>
      <c r="C1912" s="2117" t="n">
        <v>2</v>
      </c>
      <c r="D1912" s="2118" t="n">
        <v>0</v>
      </c>
      <c r="E1912" s="2118" t="n">
        <v>1</v>
      </c>
      <c r="G1912" s="1796" t="n"/>
      <c r="H1912" s="1771" t="inlineStr">
        <is>
          <t>ETAPA</t>
        </is>
      </c>
      <c r="I1912" s="1735" t="inlineStr">
        <is>
          <t>15.002</t>
        </is>
      </c>
      <c r="J1912" s="1773" t="inlineStr">
        <is>
          <t>REVESTIMENTOS E ACABAMENTOS INTERNOS EM TETO - Mezanino G1</t>
        </is>
      </c>
      <c r="K1912" s="1774" t="n"/>
      <c r="L1912" s="1775" t="n"/>
      <c r="M1912" s="1775" t="n"/>
      <c r="N1912" s="1739" t="n"/>
      <c r="O1912" s="1776" t="n"/>
      <c r="P1912" s="1719" t="n"/>
    </row>
    <row r="1913" hidden="1" outlineLevel="2" ht="13.5" customHeight="1">
      <c r="A1913" s="2117" t="n">
        <v>0</v>
      </c>
      <c r="B1913" s="2117" t="n">
        <v>15</v>
      </c>
      <c r="C1913" s="2117" t="n">
        <v>2</v>
      </c>
      <c r="D1913" s="2118" t="n">
        <v>1</v>
      </c>
      <c r="E1913" s="2118" t="n">
        <v>0</v>
      </c>
      <c r="G1913" s="1797" t="n"/>
      <c r="H1913" s="1777" t="inlineStr">
        <is>
          <t>SUBETAPA</t>
        </is>
      </c>
      <c r="I1913" s="1742" t="inlineStr">
        <is>
          <t>15.002.001</t>
        </is>
      </c>
      <c r="J1913" s="1779" t="inlineStr">
        <is>
          <t>Revestimento interno argamassado em teto</t>
        </is>
      </c>
      <c r="K1913" s="1780" t="n"/>
      <c r="L1913" s="1781" t="n"/>
      <c r="M1913" s="1781" t="n"/>
      <c r="N1913" s="1746" t="n"/>
      <c r="O1913" s="1782" t="n"/>
      <c r="P1913" s="1720" t="n"/>
    </row>
    <row r="1914" hidden="1" outlineLevel="3" ht="13.5" customHeight="1">
      <c r="A1914" s="2117" t="n">
        <v>0</v>
      </c>
      <c r="B1914" s="2117" t="n">
        <v>15</v>
      </c>
      <c r="C1914" s="2117" t="n">
        <v>2</v>
      </c>
      <c r="D1914" s="2118" t="n">
        <v>1</v>
      </c>
      <c r="E1914" s="2118" t="n">
        <v>1</v>
      </c>
      <c r="G1914" s="1798" t="inlineStr">
        <is>
          <t>REVESTIMENTOS ARGAMASSADOS TETO</t>
        </is>
      </c>
      <c r="H1914" s="1783" t="inlineStr">
        <is>
          <t>SERVIÇO</t>
        </is>
      </c>
      <c r="I1914" s="1750" t="inlineStr">
        <is>
          <t>15.002.001.001</t>
        </is>
      </c>
      <c r="J1914" s="1785" t="inlineStr">
        <is>
          <t>Estucamento de teto</t>
        </is>
      </c>
      <c r="K1914" s="1786" t="inlineStr">
        <is>
          <t>m2</t>
        </is>
      </c>
      <c r="L1914" s="1787" t="e">
        <v>#REF!</v>
      </c>
      <c r="M1914" s="1787" t="n">
        <v>5.102916666666666</v>
      </c>
      <c r="N1914" s="1754" t="n"/>
      <c r="O1914" s="1788" t="n"/>
      <c r="P1914" s="1721" t="inlineStr">
        <is>
          <t>Pendente</t>
        </is>
      </c>
    </row>
    <row r="1915" hidden="1" outlineLevel="2" ht="13.5" customHeight="1">
      <c r="A1915" s="2117" t="n">
        <v>0</v>
      </c>
      <c r="B1915" s="2117" t="n">
        <v>15</v>
      </c>
      <c r="C1915" s="2117" t="n">
        <v>2</v>
      </c>
      <c r="D1915" s="2118" t="n">
        <v>2</v>
      </c>
      <c r="E1915" s="2118" t="n">
        <v>0</v>
      </c>
      <c r="G1915" s="1797" t="n"/>
      <c r="H1915" s="1777" t="inlineStr">
        <is>
          <t>SUBETAPA</t>
        </is>
      </c>
      <c r="I1915" s="1742" t="inlineStr">
        <is>
          <t>15.002.002</t>
        </is>
      </c>
      <c r="J1915" s="1779" t="inlineStr">
        <is>
          <t>Acabamento de gesso em teto</t>
        </is>
      </c>
      <c r="K1915" s="1780" t="n"/>
      <c r="L1915" s="1781" t="n"/>
      <c r="M1915" s="1781" t="n"/>
      <c r="N1915" s="1746" t="n"/>
      <c r="O1915" s="1782" t="n"/>
      <c r="P1915" s="1720" t="n"/>
    </row>
    <row r="1916" hidden="1" outlineLevel="3" ht="12.75" customHeight="1">
      <c r="A1916" s="2117" t="n">
        <v>0</v>
      </c>
      <c r="B1916" s="2117" t="n">
        <v>15</v>
      </c>
      <c r="C1916" s="2117" t="n">
        <v>2</v>
      </c>
      <c r="D1916" s="2118" t="n">
        <v>2</v>
      </c>
      <c r="E1916" s="2118" t="n">
        <v>1</v>
      </c>
      <c r="G1916" s="1798" t="inlineStr">
        <is>
          <t>ACABAMENTOS INTERNOS EM TETO</t>
        </is>
      </c>
      <c r="H1916" s="1783" t="inlineStr">
        <is>
          <t>SERVIÇO</t>
        </is>
      </c>
      <c r="I1916" s="1750" t="inlineStr">
        <is>
          <t>15.002.002.001</t>
        </is>
      </c>
      <c r="J1916" s="1785" t="inlineStr">
        <is>
          <t>Forro de gesso acartonado - áreas secas - Material e Mão de Obra</t>
        </is>
      </c>
      <c r="K1916" s="1786" t="inlineStr">
        <is>
          <t>m2</t>
        </is>
      </c>
      <c r="L1916" s="1787" t="e">
        <v>#REF!</v>
      </c>
      <c r="M1916" s="1787" t="n">
        <v>137.29</v>
      </c>
      <c r="N1916" s="1754" t="n"/>
      <c r="O1916" s="1788" t="n"/>
      <c r="P1916" s="1721" t="inlineStr">
        <is>
          <t>Pendente</t>
        </is>
      </c>
    </row>
    <row r="1917" hidden="1" outlineLevel="3" ht="13.5" customHeight="1">
      <c r="A1917" s="2117" t="n">
        <v>0</v>
      </c>
      <c r="B1917" s="2117" t="n">
        <v>15</v>
      </c>
      <c r="C1917" s="2117" t="n">
        <v>2</v>
      </c>
      <c r="D1917" s="2118" t="n">
        <v>2</v>
      </c>
      <c r="E1917" s="2118" t="n">
        <v>2</v>
      </c>
      <c r="G1917" s="1798" t="inlineStr">
        <is>
          <t>ACABAMENTOS INTERNOS EM TETO</t>
        </is>
      </c>
      <c r="H1917" s="1783" t="inlineStr">
        <is>
          <t>SERVIÇO</t>
        </is>
      </c>
      <c r="I1917" s="1750" t="inlineStr">
        <is>
          <t>15.002.002.002</t>
        </is>
      </c>
      <c r="J1917" s="1785" t="inlineStr">
        <is>
          <t>Forro de gesso acartonado - áreas úmidas - Material e Mão de Obra</t>
        </is>
      </c>
      <c r="K1917" s="1786" t="inlineStr">
        <is>
          <t>m2</t>
        </is>
      </c>
      <c r="L1917" s="1787" t="e">
        <v>#REF!</v>
      </c>
      <c r="M1917" s="1787" t="n">
        <v>164.748</v>
      </c>
      <c r="N1917" s="1754" t="n"/>
      <c r="O1917" s="1788" t="n"/>
      <c r="P1917" s="1721" t="inlineStr">
        <is>
          <t>Pendente</t>
        </is>
      </c>
    </row>
    <row r="1918" hidden="1" outlineLevel="3" ht="13.5" customHeight="1">
      <c r="A1918" s="2117" t="n">
        <v>0</v>
      </c>
      <c r="B1918" s="2117" t="n">
        <v>15</v>
      </c>
      <c r="C1918" s="2117" t="n">
        <v>2</v>
      </c>
      <c r="D1918" s="2118" t="n">
        <v>2</v>
      </c>
      <c r="E1918" s="2118" t="n">
        <v>3</v>
      </c>
      <c r="G1918" s="1798" t="inlineStr">
        <is>
          <t>ACABAMENTOS INTERNOS EM TETO</t>
        </is>
      </c>
      <c r="H1918" s="1783" t="inlineStr">
        <is>
          <t>SERVIÇO</t>
        </is>
      </c>
      <c r="I1918" s="1750" t="inlineStr">
        <is>
          <t>15.002.002.003</t>
        </is>
      </c>
      <c r="J1918" s="1785" t="inlineStr">
        <is>
          <t>Negativo de forro de gesso acartonado - área umida</t>
        </is>
      </c>
      <c r="K1918" s="1786" t="inlineStr">
        <is>
          <t>m</t>
        </is>
      </c>
      <c r="L1918" s="1787" t="e">
        <v>#REF!</v>
      </c>
      <c r="M1918" s="1787" t="n">
        <v>49.4244</v>
      </c>
      <c r="N1918" s="1754" t="n"/>
      <c r="O1918" s="1788" t="n"/>
      <c r="P1918" s="1721" t="inlineStr">
        <is>
          <t>Pendente</t>
        </is>
      </c>
    </row>
    <row r="1919" hidden="1" outlineLevel="3" ht="13.5" customHeight="1">
      <c r="A1919" s="2117" t="n">
        <v>0</v>
      </c>
      <c r="B1919" s="2117" t="n">
        <v>15</v>
      </c>
      <c r="C1919" s="2117" t="n">
        <v>2</v>
      </c>
      <c r="D1919" s="2118" t="n">
        <v>2</v>
      </c>
      <c r="E1919" s="2118" t="n">
        <v>4</v>
      </c>
      <c r="G1919" s="1798" t="inlineStr">
        <is>
          <t>ACABAMENTOS INTERNOS EM TETO</t>
        </is>
      </c>
      <c r="H1919" s="1783" t="inlineStr">
        <is>
          <t>SERVIÇO</t>
        </is>
      </c>
      <c r="I1919" s="1750" t="inlineStr">
        <is>
          <t>15.002.002.004</t>
        </is>
      </c>
      <c r="J1919" s="1785" t="inlineStr">
        <is>
          <t>Negativo de forro de gesso acartonado - área seca</t>
        </is>
      </c>
      <c r="K1919" s="1786" t="inlineStr">
        <is>
          <t>m</t>
        </is>
      </c>
      <c r="L1919" s="1787" t="e">
        <v>#REF!</v>
      </c>
      <c r="M1919" s="1787" t="n">
        <v>49.4244</v>
      </c>
      <c r="N1919" s="1754" t="n"/>
      <c r="O1919" s="1788" t="n"/>
      <c r="P1919" s="1721" t="inlineStr">
        <is>
          <t>Pendente</t>
        </is>
      </c>
    </row>
    <row r="1920" hidden="1" outlineLevel="3" ht="13.5" customHeight="1">
      <c r="A1920" s="2117" t="n">
        <v>0</v>
      </c>
      <c r="B1920" s="2117" t="n">
        <v>15</v>
      </c>
      <c r="C1920" s="2117" t="n">
        <v>2</v>
      </c>
      <c r="D1920" s="2118" t="n">
        <v>2</v>
      </c>
      <c r="E1920" s="2118" t="n">
        <v>5</v>
      </c>
      <c r="G1920" s="1798" t="inlineStr">
        <is>
          <t>ACABAMENTOS INTERNOS EM TETO</t>
        </is>
      </c>
      <c r="H1920" s="1783" t="inlineStr">
        <is>
          <t>SERVIÇO</t>
        </is>
      </c>
      <c r="I1920" s="1750" t="inlineStr">
        <is>
          <t>15.002.002.005</t>
        </is>
      </c>
      <c r="J1920" s="1785" t="inlineStr">
        <is>
          <t>Gesso corrido em tetos - Material e Mão de Obra</t>
        </is>
      </c>
      <c r="K1920" s="1786" t="inlineStr">
        <is>
          <t>m2</t>
        </is>
      </c>
      <c r="L1920" s="1787" t="e">
        <v>#REF!</v>
      </c>
      <c r="M1920" s="1787" t="n">
        <v>80.54213215777621</v>
      </c>
      <c r="N1920" s="1754" t="n"/>
      <c r="O1920" s="1788" t="n"/>
      <c r="P1920" s="1721" t="inlineStr">
        <is>
          <t>Pendente</t>
        </is>
      </c>
    </row>
    <row r="1921" hidden="1" outlineLevel="2" ht="13.5" customHeight="1">
      <c r="A1921" s="2117" t="n">
        <v>0</v>
      </c>
      <c r="B1921" s="2117" t="n">
        <v>15</v>
      </c>
      <c r="C1921" s="2117" t="n">
        <v>2</v>
      </c>
      <c r="D1921" s="2118" t="n">
        <v>3</v>
      </c>
      <c r="E1921" s="2118" t="n">
        <v>0</v>
      </c>
      <c r="G1921" s="1797" t="n"/>
      <c r="H1921" s="1777" t="inlineStr">
        <is>
          <t>SUBETAPA</t>
        </is>
      </c>
      <c r="I1921" s="1742" t="inlineStr">
        <is>
          <t>15.002.003</t>
        </is>
      </c>
      <c r="J1921" s="1779" t="inlineStr">
        <is>
          <t>Acabamento especiais em teto</t>
        </is>
      </c>
      <c r="K1921" s="1780" t="n"/>
      <c r="L1921" s="1781" t="n"/>
      <c r="M1921" s="1781" t="n"/>
      <c r="N1921" s="1746" t="n"/>
      <c r="O1921" s="1782" t="n"/>
      <c r="P1921" s="1720" t="n"/>
    </row>
    <row r="1922" hidden="1" outlineLevel="3" ht="13.5" customHeight="1">
      <c r="A1922" s="2117" t="n">
        <v>0</v>
      </c>
      <c r="B1922" s="2117" t="n">
        <v>15</v>
      </c>
      <c r="C1922" s="2117" t="n">
        <v>2</v>
      </c>
      <c r="D1922" s="2118" t="n">
        <v>3</v>
      </c>
      <c r="E1922" s="2118" t="n">
        <v>1</v>
      </c>
      <c r="G1922" s="1798" t="inlineStr">
        <is>
          <t>ACABAMENTOS INTERNOS EM TETO</t>
        </is>
      </c>
      <c r="H1922" s="1783" t="inlineStr">
        <is>
          <t>SERVIÇO</t>
        </is>
      </c>
      <c r="I1922" s="1750" t="inlineStr">
        <is>
          <t>15.002.003.001</t>
        </is>
      </c>
      <c r="J1922" s="1785" t="inlineStr">
        <is>
          <t>Forro de Mármore Natural - Material e Mão de Obra</t>
        </is>
      </c>
      <c r="K1922" s="1786" t="inlineStr">
        <is>
          <t>m2</t>
        </is>
      </c>
      <c r="L1922" s="1787" t="e">
        <v>#REF!</v>
      </c>
      <c r="M1922" s="1787" t="n">
        <v>1080</v>
      </c>
      <c r="N1922" s="1754" t="n"/>
      <c r="O1922" s="1788" t="inlineStr">
        <is>
          <t>Hall do elevador e Sauna</t>
        </is>
      </c>
      <c r="P1922" s="1721" t="inlineStr">
        <is>
          <t>Pendente</t>
        </is>
      </c>
    </row>
    <row r="1923" hidden="1" outlineLevel="2" ht="13.5" customHeight="1">
      <c r="A1923" s="2117" t="n">
        <v>0</v>
      </c>
      <c r="B1923" s="2117" t="n">
        <v>15</v>
      </c>
      <c r="C1923" s="2117" t="n">
        <v>2</v>
      </c>
      <c r="D1923" s="2118" t="n">
        <v>4</v>
      </c>
      <c r="E1923" s="2118" t="n">
        <v>0</v>
      </c>
      <c r="G1923" s="1797" t="n"/>
      <c r="H1923" s="1777" t="inlineStr">
        <is>
          <t>SUBETAPA</t>
        </is>
      </c>
      <c r="I1923" s="1742" t="inlineStr">
        <is>
          <t>15.002.004</t>
        </is>
      </c>
      <c r="J1923" s="1779" t="inlineStr">
        <is>
          <t>Mão de obra</t>
        </is>
      </c>
      <c r="K1923" s="1780" t="n"/>
      <c r="L1923" s="1781" t="n"/>
      <c r="M1923" s="1781" t="n"/>
      <c r="N1923" s="1746" t="n"/>
      <c r="O1923" s="1782" t="n"/>
      <c r="P1923" s="1720" t="n"/>
    </row>
    <row r="1924" hidden="1" outlineLevel="3" ht="13.5" customHeight="1">
      <c r="A1924" s="2117" t="n">
        <v>0</v>
      </c>
      <c r="B1924" s="2117" t="n">
        <v>15</v>
      </c>
      <c r="C1924" s="2117" t="n">
        <v>2</v>
      </c>
      <c r="D1924" s="2118" t="n">
        <v>4</v>
      </c>
      <c r="E1924" s="2118" t="n">
        <v>1</v>
      </c>
      <c r="G1924" s="1798" t="inlineStr">
        <is>
          <t>REVESTIMENTOS ARGAMASSADOS TETO</t>
        </is>
      </c>
      <c r="H1924" s="1783" t="inlineStr">
        <is>
          <t>SERVIÇO</t>
        </is>
      </c>
      <c r="I1924" s="1750" t="inlineStr">
        <is>
          <t>15.002.004.001</t>
        </is>
      </c>
      <c r="J1924" s="1785" t="inlineStr">
        <is>
          <t>Mão de obra execução de estucamento em teto</t>
        </is>
      </c>
      <c r="K1924" s="1786" t="inlineStr">
        <is>
          <t>m2</t>
        </is>
      </c>
      <c r="L1924" s="1787" t="e">
        <v>#REF!</v>
      </c>
      <c r="M1924" s="1787" t="n">
        <v>25</v>
      </c>
      <c r="N1924" s="1754" t="n"/>
      <c r="O1924" s="1788" t="n"/>
      <c r="P1924" s="1721" t="inlineStr">
        <is>
          <t>Pendente</t>
        </is>
      </c>
    </row>
    <row r="1925" hidden="1" outlineLevel="1" ht="13.5" customHeight="1">
      <c r="A1925" s="2117" t="n">
        <v>0</v>
      </c>
      <c r="B1925" s="2117" t="n">
        <v>15</v>
      </c>
      <c r="C1925" s="2117" t="n">
        <v>3</v>
      </c>
      <c r="D1925" s="2118" t="n">
        <v>0</v>
      </c>
      <c r="E1925" s="2118" t="n">
        <v>1</v>
      </c>
      <c r="G1925" s="1796" t="n"/>
      <c r="H1925" s="1771" t="inlineStr">
        <is>
          <t>ETAPA</t>
        </is>
      </c>
      <c r="I1925" s="1735" t="inlineStr">
        <is>
          <t>15.003</t>
        </is>
      </c>
      <c r="J1925" s="1773" t="inlineStr">
        <is>
          <t>REVESTIMENTOS E ACABAMENTOS INTERNOS EM TETO - G2</t>
        </is>
      </c>
      <c r="K1925" s="1774" t="n"/>
      <c r="L1925" s="1775" t="n"/>
      <c r="M1925" s="1775" t="n"/>
      <c r="N1925" s="1739" t="n"/>
      <c r="O1925" s="1776" t="n"/>
      <c r="P1925" s="1719" t="n"/>
    </row>
    <row r="1926" hidden="1" outlineLevel="2" ht="13.5" customHeight="1">
      <c r="A1926" s="2117" t="n">
        <v>0</v>
      </c>
      <c r="B1926" s="2117" t="n">
        <v>15</v>
      </c>
      <c r="C1926" s="2117" t="n">
        <v>3</v>
      </c>
      <c r="D1926" s="2118" t="n">
        <v>1</v>
      </c>
      <c r="E1926" s="2118" t="n">
        <v>0</v>
      </c>
      <c r="G1926" s="1797" t="n"/>
      <c r="H1926" s="1777" t="inlineStr">
        <is>
          <t>SUBETAPA</t>
        </is>
      </c>
      <c r="I1926" s="1742" t="inlineStr">
        <is>
          <t>15.003.001</t>
        </is>
      </c>
      <c r="J1926" s="1779" t="inlineStr">
        <is>
          <t>Revestimento interno argamassado em teto</t>
        </is>
      </c>
      <c r="K1926" s="1780" t="n"/>
      <c r="L1926" s="1781" t="n"/>
      <c r="M1926" s="1781" t="n"/>
      <c r="N1926" s="1746" t="n"/>
      <c r="O1926" s="1782" t="n"/>
      <c r="P1926" s="1720" t="n"/>
    </row>
    <row r="1927" hidden="1" outlineLevel="3" ht="13.5" customHeight="1">
      <c r="A1927" s="2117" t="n">
        <v>0</v>
      </c>
      <c r="B1927" s="2117" t="n">
        <v>15</v>
      </c>
      <c r="C1927" s="2117" t="n">
        <v>3</v>
      </c>
      <c r="D1927" s="2118" t="n">
        <v>1</v>
      </c>
      <c r="E1927" s="2118" t="n">
        <v>1</v>
      </c>
      <c r="G1927" s="1798" t="inlineStr">
        <is>
          <t>REVESTIMENTOS ARGAMASSADOS TETO</t>
        </is>
      </c>
      <c r="H1927" s="1783" t="inlineStr">
        <is>
          <t>SERVIÇO</t>
        </is>
      </c>
      <c r="I1927" s="1750" t="inlineStr">
        <is>
          <t>15.003.001.001</t>
        </is>
      </c>
      <c r="J1927" s="1785" t="inlineStr">
        <is>
          <t>Estucamento de teto</t>
        </is>
      </c>
      <c r="K1927" s="1786" t="inlineStr">
        <is>
          <t>m2</t>
        </is>
      </c>
      <c r="L1927" s="1787" t="e">
        <v>#REF!</v>
      </c>
      <c r="M1927" s="1787" t="n">
        <v>5.102916666666666</v>
      </c>
      <c r="N1927" s="1754" t="n"/>
      <c r="O1927" s="1788" t="n"/>
      <c r="P1927" s="1721" t="inlineStr">
        <is>
          <t>Pendente</t>
        </is>
      </c>
    </row>
    <row r="1928" hidden="1" outlineLevel="2" ht="13.5" customHeight="1">
      <c r="A1928" s="2117" t="n">
        <v>0</v>
      </c>
      <c r="B1928" s="2117" t="n">
        <v>15</v>
      </c>
      <c r="C1928" s="2117" t="n">
        <v>3</v>
      </c>
      <c r="D1928" s="2118" t="n">
        <v>2</v>
      </c>
      <c r="E1928" s="2118" t="n">
        <v>0</v>
      </c>
      <c r="G1928" s="1797" t="n"/>
      <c r="H1928" s="1777" t="inlineStr">
        <is>
          <t>SUBETAPA</t>
        </is>
      </c>
      <c r="I1928" s="1742" t="inlineStr">
        <is>
          <t>15.003.002</t>
        </is>
      </c>
      <c r="J1928" s="1779" t="inlineStr">
        <is>
          <t>Acabamento de gesso em teto</t>
        </is>
      </c>
      <c r="K1928" s="1780" t="n"/>
      <c r="L1928" s="1781" t="n"/>
      <c r="M1928" s="1781" t="n"/>
      <c r="N1928" s="1746" t="n"/>
      <c r="O1928" s="1782" t="n"/>
      <c r="P1928" s="1720" t="n"/>
    </row>
    <row r="1929" hidden="1" outlineLevel="3" ht="12.75" customHeight="1">
      <c r="A1929" s="2117" t="n">
        <v>0</v>
      </c>
      <c r="B1929" s="2117" t="n">
        <v>15</v>
      </c>
      <c r="C1929" s="2117" t="n">
        <v>3</v>
      </c>
      <c r="D1929" s="2118" t="n">
        <v>2</v>
      </c>
      <c r="E1929" s="2118" t="n">
        <v>1</v>
      </c>
      <c r="G1929" s="1798" t="inlineStr">
        <is>
          <t>ACABAMENTOS INTERNOS EM TETO</t>
        </is>
      </c>
      <c r="H1929" s="1783" t="inlineStr">
        <is>
          <t>SERVIÇO</t>
        </is>
      </c>
      <c r="I1929" s="1750" t="inlineStr">
        <is>
          <t>15.003.002.001</t>
        </is>
      </c>
      <c r="J1929" s="1785" t="inlineStr">
        <is>
          <t>Forro de gesso acartonado - áreas secas - Material e Mão de Obra</t>
        </is>
      </c>
      <c r="K1929" s="1786" t="inlineStr">
        <is>
          <t>m2</t>
        </is>
      </c>
      <c r="L1929" s="1787" t="e">
        <v>#REF!</v>
      </c>
      <c r="M1929" s="1787" t="n">
        <v>137.29</v>
      </c>
      <c r="N1929" s="1754" t="n"/>
      <c r="O1929" s="1788" t="n"/>
      <c r="P1929" s="1721" t="inlineStr">
        <is>
          <t>Pendente</t>
        </is>
      </c>
    </row>
    <row r="1930" hidden="1" outlineLevel="3" ht="13.5" customHeight="1">
      <c r="A1930" s="2117" t="n">
        <v>0</v>
      </c>
      <c r="B1930" s="2117" t="n">
        <v>15</v>
      </c>
      <c r="C1930" s="2117" t="n">
        <v>3</v>
      </c>
      <c r="D1930" s="2118" t="n">
        <v>2</v>
      </c>
      <c r="E1930" s="2118" t="n">
        <v>2</v>
      </c>
      <c r="G1930" s="1798" t="inlineStr">
        <is>
          <t>ACABAMENTOS INTERNOS EM TETO</t>
        </is>
      </c>
      <c r="H1930" s="1783" t="inlineStr">
        <is>
          <t>SERVIÇO</t>
        </is>
      </c>
      <c r="I1930" s="1750" t="inlineStr">
        <is>
          <t>15.003.002.002</t>
        </is>
      </c>
      <c r="J1930" s="1785" t="inlineStr">
        <is>
          <t>Negativo de forro de gesso acartonado - área seca</t>
        </is>
      </c>
      <c r="K1930" s="1786" t="inlineStr">
        <is>
          <t>m</t>
        </is>
      </c>
      <c r="L1930" s="1787" t="e">
        <v>#REF!</v>
      </c>
      <c r="M1930" s="1787" t="n">
        <v>49.4244</v>
      </c>
      <c r="N1930" s="1754" t="n"/>
      <c r="O1930" s="1788" t="n"/>
      <c r="P1930" s="1721" t="inlineStr">
        <is>
          <t>Pendente</t>
        </is>
      </c>
    </row>
    <row r="1931" hidden="1" outlineLevel="2" ht="13.5" customHeight="1">
      <c r="A1931" s="2117" t="n">
        <v>0</v>
      </c>
      <c r="B1931" s="2117" t="n">
        <v>15</v>
      </c>
      <c r="C1931" s="2117" t="n">
        <v>3</v>
      </c>
      <c r="D1931" s="2118" t="n">
        <v>3</v>
      </c>
      <c r="E1931" s="2118" t="n">
        <v>0</v>
      </c>
      <c r="G1931" s="1797" t="n"/>
      <c r="H1931" s="1777" t="inlineStr">
        <is>
          <t>SUBETAPA</t>
        </is>
      </c>
      <c r="I1931" s="1742" t="inlineStr">
        <is>
          <t>15.003.003</t>
        </is>
      </c>
      <c r="J1931" s="1779" t="inlineStr">
        <is>
          <t>Mão de obra</t>
        </is>
      </c>
      <c r="K1931" s="1780" t="n"/>
      <c r="L1931" s="1781" t="n"/>
      <c r="M1931" s="1781" t="n"/>
      <c r="N1931" s="1746" t="n"/>
      <c r="O1931" s="1782" t="n"/>
      <c r="P1931" s="1720" t="n"/>
    </row>
    <row r="1932" hidden="1" outlineLevel="3" ht="13.5" customHeight="1">
      <c r="A1932" s="2117" t="n">
        <v>0</v>
      </c>
      <c r="B1932" s="2117" t="n">
        <v>15</v>
      </c>
      <c r="C1932" s="2117" t="n">
        <v>3</v>
      </c>
      <c r="D1932" s="2118" t="n">
        <v>3</v>
      </c>
      <c r="E1932" s="2118" t="n">
        <v>1</v>
      </c>
      <c r="G1932" s="1798" t="inlineStr">
        <is>
          <t>REVESTIMENTOS ARGAMASSADOS TETO</t>
        </is>
      </c>
      <c r="H1932" s="1783" t="inlineStr">
        <is>
          <t>SERVIÇO</t>
        </is>
      </c>
      <c r="I1932" s="1750" t="inlineStr">
        <is>
          <t>15.003.003.001</t>
        </is>
      </c>
      <c r="J1932" s="1785" t="inlineStr">
        <is>
          <t>Mão de obra execução de estucamento em teto</t>
        </is>
      </c>
      <c r="K1932" s="1786" t="inlineStr">
        <is>
          <t>m2</t>
        </is>
      </c>
      <c r="L1932" s="1787" t="e">
        <v>#REF!</v>
      </c>
      <c r="M1932" s="1787" t="n">
        <v>25</v>
      </c>
      <c r="N1932" s="1754" t="n"/>
      <c r="O1932" s="1788" t="n"/>
      <c r="P1932" s="1721" t="inlineStr">
        <is>
          <t>Pendente</t>
        </is>
      </c>
    </row>
    <row r="1933" hidden="1" outlineLevel="1" ht="13.5" customHeight="1">
      <c r="A1933" s="2117" t="n">
        <v>0</v>
      </c>
      <c r="B1933" s="2117" t="n">
        <v>15</v>
      </c>
      <c r="C1933" s="2117" t="n">
        <v>4</v>
      </c>
      <c r="D1933" s="2118" t="n">
        <v>0</v>
      </c>
      <c r="E1933" s="2118" t="n">
        <v>1</v>
      </c>
      <c r="G1933" s="1796" t="n"/>
      <c r="H1933" s="1771" t="inlineStr">
        <is>
          <t>ETAPA</t>
        </is>
      </c>
      <c r="I1933" s="1735" t="inlineStr">
        <is>
          <t>15.004</t>
        </is>
      </c>
      <c r="J1933" s="1773" t="inlineStr">
        <is>
          <t>REVESTIMENTOS E ACABAMENTOS INTERNOS EM TETO - Mezanino G2</t>
        </is>
      </c>
      <c r="K1933" s="1774" t="n"/>
      <c r="L1933" s="1775" t="n"/>
      <c r="M1933" s="1775" t="n"/>
      <c r="N1933" s="1739" t="n"/>
      <c r="O1933" s="1776" t="n"/>
      <c r="P1933" s="1719" t="n"/>
    </row>
    <row r="1934" hidden="1" outlineLevel="2" ht="13.5" customHeight="1">
      <c r="A1934" s="2117" t="n">
        <v>0</v>
      </c>
      <c r="B1934" s="2117" t="n">
        <v>15</v>
      </c>
      <c r="C1934" s="2117" t="n">
        <v>4</v>
      </c>
      <c r="D1934" s="2118" t="n">
        <v>1</v>
      </c>
      <c r="E1934" s="2118" t="n">
        <v>0</v>
      </c>
      <c r="G1934" s="1797" t="n"/>
      <c r="H1934" s="1777" t="inlineStr">
        <is>
          <t>SUBETAPA</t>
        </is>
      </c>
      <c r="I1934" s="1742" t="inlineStr">
        <is>
          <t>15.004.001</t>
        </is>
      </c>
      <c r="J1934" s="1779" t="inlineStr">
        <is>
          <t>Revestimento interno argamassado em teto</t>
        </is>
      </c>
      <c r="K1934" s="1780" t="n"/>
      <c r="L1934" s="1781" t="n"/>
      <c r="M1934" s="1781" t="n"/>
      <c r="N1934" s="1746" t="n"/>
      <c r="O1934" s="1782" t="n"/>
      <c r="P1934" s="1720" t="n"/>
    </row>
    <row r="1935" hidden="1" outlineLevel="3" ht="13.5" customHeight="1">
      <c r="A1935" s="2117" t="n">
        <v>0</v>
      </c>
      <c r="B1935" s="2117" t="n">
        <v>15</v>
      </c>
      <c r="C1935" s="2117" t="n">
        <v>4</v>
      </c>
      <c r="D1935" s="2118" t="n">
        <v>1</v>
      </c>
      <c r="E1935" s="2118" t="n">
        <v>1</v>
      </c>
      <c r="G1935" s="1798" t="inlineStr">
        <is>
          <t>REVESTIMENTOS ARGAMASSADOS TETO</t>
        </is>
      </c>
      <c r="H1935" s="1783" t="inlineStr">
        <is>
          <t>SERVIÇO</t>
        </is>
      </c>
      <c r="I1935" s="1750" t="inlineStr">
        <is>
          <t>15.004.001.001</t>
        </is>
      </c>
      <c r="J1935" s="1785" t="inlineStr">
        <is>
          <t>Estucamento de teto</t>
        </is>
      </c>
      <c r="K1935" s="1786" t="inlineStr">
        <is>
          <t>m2</t>
        </is>
      </c>
      <c r="L1935" s="1787" t="e">
        <v>#REF!</v>
      </c>
      <c r="M1935" s="1787" t="n">
        <v>5.102916666666666</v>
      </c>
      <c r="N1935" s="1754" t="n"/>
      <c r="O1935" s="1788" t="n"/>
      <c r="P1935" s="1721" t="inlineStr">
        <is>
          <t>Pendente</t>
        </is>
      </c>
    </row>
    <row r="1936" hidden="1" outlineLevel="2" ht="13.5" customHeight="1">
      <c r="A1936" s="2117" t="n">
        <v>0</v>
      </c>
      <c r="B1936" s="2117" t="n">
        <v>15</v>
      </c>
      <c r="C1936" s="2117" t="n">
        <v>4</v>
      </c>
      <c r="D1936" s="2118" t="n">
        <v>2</v>
      </c>
      <c r="E1936" s="2118" t="n">
        <v>0</v>
      </c>
      <c r="G1936" s="1797" t="n"/>
      <c r="H1936" s="1777" t="inlineStr">
        <is>
          <t>SUBETAPA</t>
        </is>
      </c>
      <c r="I1936" s="1742" t="inlineStr">
        <is>
          <t>15.004.002</t>
        </is>
      </c>
      <c r="J1936" s="1779" t="inlineStr">
        <is>
          <t>Mão de obra</t>
        </is>
      </c>
      <c r="K1936" s="1780" t="n"/>
      <c r="L1936" s="1781" t="n"/>
      <c r="M1936" s="1781" t="n"/>
      <c r="N1936" s="1746" t="n"/>
      <c r="O1936" s="1782" t="n"/>
      <c r="P1936" s="1720" t="n"/>
    </row>
    <row r="1937" hidden="1" outlineLevel="3" ht="13.5" customHeight="1">
      <c r="A1937" s="2117" t="n">
        <v>0</v>
      </c>
      <c r="B1937" s="2117" t="n">
        <v>15</v>
      </c>
      <c r="C1937" s="2117" t="n">
        <v>4</v>
      </c>
      <c r="D1937" s="2118" t="n">
        <v>2</v>
      </c>
      <c r="E1937" s="2118" t="n">
        <v>1</v>
      </c>
      <c r="G1937" s="1798" t="inlineStr">
        <is>
          <t>REVESTIMENTOS ARGAMASSADOS TETO</t>
        </is>
      </c>
      <c r="H1937" s="1783" t="inlineStr">
        <is>
          <t>SERVIÇO</t>
        </is>
      </c>
      <c r="I1937" s="1750" t="inlineStr">
        <is>
          <t>15.004.002.001</t>
        </is>
      </c>
      <c r="J1937" s="1785" t="inlineStr">
        <is>
          <t>Mão de obra execução de estucamento em teto</t>
        </is>
      </c>
      <c r="K1937" s="1786" t="inlineStr">
        <is>
          <t>m2</t>
        </is>
      </c>
      <c r="L1937" s="1787" t="e">
        <v>#REF!</v>
      </c>
      <c r="M1937" s="1787" t="n">
        <v>25</v>
      </c>
      <c r="N1937" s="1754" t="n"/>
      <c r="O1937" s="1788" t="n"/>
      <c r="P1937" s="1721" t="inlineStr">
        <is>
          <t>Pendente</t>
        </is>
      </c>
    </row>
    <row r="1938" hidden="1" outlineLevel="1" ht="13.5" customHeight="1">
      <c r="A1938" s="2117" t="n">
        <v>0</v>
      </c>
      <c r="B1938" s="2117" t="n">
        <v>15</v>
      </c>
      <c r="C1938" s="2117" t="n">
        <v>5</v>
      </c>
      <c r="D1938" s="2118" t="n">
        <v>0</v>
      </c>
      <c r="E1938" s="2118" t="n">
        <v>1</v>
      </c>
      <c r="G1938" s="1796" t="n"/>
      <c r="H1938" s="1771" t="inlineStr">
        <is>
          <t>ETAPA</t>
        </is>
      </c>
      <c r="I1938" s="1735" t="inlineStr">
        <is>
          <t>15.005</t>
        </is>
      </c>
      <c r="J1938" s="1773" t="inlineStr">
        <is>
          <t>REVESTIMENTOS E ACABAMENTOS INTERNOS EM TETO - G3</t>
        </is>
      </c>
      <c r="K1938" s="1774" t="n"/>
      <c r="L1938" s="1775" t="n"/>
      <c r="M1938" s="1775" t="n"/>
      <c r="N1938" s="1739" t="n"/>
      <c r="O1938" s="1776" t="n"/>
      <c r="P1938" s="1719" t="n"/>
    </row>
    <row r="1939" hidden="1" outlineLevel="2" ht="13.5" customHeight="1">
      <c r="A1939" s="2117" t="n">
        <v>0</v>
      </c>
      <c r="B1939" s="2117" t="n">
        <v>15</v>
      </c>
      <c r="C1939" s="2117" t="n">
        <v>5</v>
      </c>
      <c r="D1939" s="2118" t="n">
        <v>1</v>
      </c>
      <c r="E1939" s="2118" t="n">
        <v>0</v>
      </c>
      <c r="G1939" s="1797" t="n"/>
      <c r="H1939" s="1777" t="inlineStr">
        <is>
          <t>SUBETAPA</t>
        </is>
      </c>
      <c r="I1939" s="1742" t="inlineStr">
        <is>
          <t>15.005.001</t>
        </is>
      </c>
      <c r="J1939" s="1779" t="inlineStr">
        <is>
          <t>Revestimento interno argamassado em teto</t>
        </is>
      </c>
      <c r="K1939" s="1780" t="n"/>
      <c r="L1939" s="1781" t="n"/>
      <c r="M1939" s="1781" t="n"/>
      <c r="N1939" s="1746" t="n"/>
      <c r="O1939" s="1782" t="n"/>
      <c r="P1939" s="1720" t="n"/>
    </row>
    <row r="1940" hidden="1" outlineLevel="3" ht="13.5" customHeight="1">
      <c r="A1940" s="2117" t="n">
        <v>0</v>
      </c>
      <c r="B1940" s="2117" t="n">
        <v>15</v>
      </c>
      <c r="C1940" s="2117" t="n">
        <v>5</v>
      </c>
      <c r="D1940" s="2118" t="n">
        <v>1</v>
      </c>
      <c r="E1940" s="2118" t="n">
        <v>1</v>
      </c>
      <c r="G1940" s="1798" t="inlineStr">
        <is>
          <t>REVESTIMENTOS ARGAMASSADOS TETO</t>
        </is>
      </c>
      <c r="H1940" s="1783" t="inlineStr">
        <is>
          <t>SERVIÇO</t>
        </is>
      </c>
      <c r="I1940" s="1750" t="inlineStr">
        <is>
          <t>15.005.001.001</t>
        </is>
      </c>
      <c r="J1940" s="1785" t="inlineStr">
        <is>
          <t>Estucamento de teto</t>
        </is>
      </c>
      <c r="K1940" s="1786" t="inlineStr">
        <is>
          <t>m2</t>
        </is>
      </c>
      <c r="L1940" s="1787" t="e">
        <v>#REF!</v>
      </c>
      <c r="M1940" s="1787" t="n">
        <v>5.102916666666666</v>
      </c>
      <c r="N1940" s="1754" t="n"/>
      <c r="O1940" s="1788" t="n"/>
      <c r="P1940" s="1721" t="inlineStr">
        <is>
          <t>Pendente</t>
        </is>
      </c>
    </row>
    <row r="1941" hidden="1" outlineLevel="2" ht="13.5" customHeight="1">
      <c r="A1941" s="2117" t="n">
        <v>0</v>
      </c>
      <c r="B1941" s="2117" t="n">
        <v>15</v>
      </c>
      <c r="C1941" s="2117" t="n">
        <v>5</v>
      </c>
      <c r="D1941" s="2118" t="n">
        <v>2</v>
      </c>
      <c r="E1941" s="2118" t="n">
        <v>0</v>
      </c>
      <c r="G1941" s="1797" t="n"/>
      <c r="H1941" s="1777" t="inlineStr">
        <is>
          <t>SUBETAPA</t>
        </is>
      </c>
      <c r="I1941" s="1742" t="inlineStr">
        <is>
          <t>15.005.002</t>
        </is>
      </c>
      <c r="J1941" s="1779" t="inlineStr">
        <is>
          <t>Acabamento de gesso em teto</t>
        </is>
      </c>
      <c r="K1941" s="1780" t="n"/>
      <c r="L1941" s="1781" t="n"/>
      <c r="M1941" s="1781" t="n"/>
      <c r="N1941" s="1746" t="n"/>
      <c r="O1941" s="1782" t="n"/>
      <c r="P1941" s="1720" t="n"/>
    </row>
    <row r="1942" hidden="1" outlineLevel="3" ht="13.5" customHeight="1">
      <c r="A1942" s="2117" t="n">
        <v>0</v>
      </c>
      <c r="B1942" s="2117" t="n">
        <v>15</v>
      </c>
      <c r="C1942" s="2117" t="n">
        <v>5</v>
      </c>
      <c r="D1942" s="2118" t="n">
        <v>2</v>
      </c>
      <c r="E1942" s="2118" t="n">
        <v>1</v>
      </c>
      <c r="G1942" s="1798" t="inlineStr">
        <is>
          <t>ACABAMENTOS INTERNOS EM TETO</t>
        </is>
      </c>
      <c r="H1942" s="1783" t="inlineStr">
        <is>
          <t>SERVIÇO</t>
        </is>
      </c>
      <c r="I1942" s="1750" t="inlineStr">
        <is>
          <t>15.005.002.001</t>
        </is>
      </c>
      <c r="J1942" s="1785" t="inlineStr">
        <is>
          <t>Forro de gesso acartonado - áreas úmidas - Material e Mão de Obra</t>
        </is>
      </c>
      <c r="K1942" s="1786" t="inlineStr">
        <is>
          <t>m2</t>
        </is>
      </c>
      <c r="L1942" s="1787" t="e">
        <v>#REF!</v>
      </c>
      <c r="M1942" s="1787" t="n">
        <v>164.748</v>
      </c>
      <c r="N1942" s="1754" t="n"/>
      <c r="O1942" s="1788" t="n"/>
      <c r="P1942" s="1721" t="inlineStr">
        <is>
          <t>Pendente</t>
        </is>
      </c>
    </row>
    <row r="1943" hidden="1" outlineLevel="3" ht="13.5" customHeight="1">
      <c r="A1943" s="2117" t="n">
        <v>0</v>
      </c>
      <c r="B1943" s="2117" t="n">
        <v>15</v>
      </c>
      <c r="C1943" s="2117" t="n">
        <v>5</v>
      </c>
      <c r="D1943" s="2118" t="n">
        <v>2</v>
      </c>
      <c r="E1943" s="2118" t="n">
        <v>2</v>
      </c>
      <c r="G1943" s="1798" t="inlineStr">
        <is>
          <t>ACABAMENTOS INTERNOS EM TETO</t>
        </is>
      </c>
      <c r="H1943" s="1783" t="inlineStr">
        <is>
          <t>SERVIÇO</t>
        </is>
      </c>
      <c r="I1943" s="1750" t="inlineStr">
        <is>
          <t>15.005.002.002</t>
        </is>
      </c>
      <c r="J1943" s="1785" t="inlineStr">
        <is>
          <t>Negativo de forro de gesso acartonado - área umida</t>
        </is>
      </c>
      <c r="K1943" s="1786" t="inlineStr">
        <is>
          <t>m</t>
        </is>
      </c>
      <c r="L1943" s="1787" t="e">
        <v>#REF!</v>
      </c>
      <c r="M1943" s="1787" t="n">
        <v>49.4244</v>
      </c>
      <c r="N1943" s="1754" t="n"/>
      <c r="O1943" s="1788" t="n"/>
      <c r="P1943" s="1721" t="inlineStr">
        <is>
          <t>Pendente</t>
        </is>
      </c>
    </row>
    <row r="1944" hidden="1" outlineLevel="2" ht="13.5" customHeight="1">
      <c r="A1944" s="2117" t="n">
        <v>0</v>
      </c>
      <c r="B1944" s="2117" t="n">
        <v>15</v>
      </c>
      <c r="C1944" s="2117" t="n">
        <v>5</v>
      </c>
      <c r="D1944" s="2118" t="n">
        <v>3</v>
      </c>
      <c r="E1944" s="2118" t="n">
        <v>0</v>
      </c>
      <c r="G1944" s="1797" t="n"/>
      <c r="H1944" s="1777" t="inlineStr">
        <is>
          <t>SUBETAPA</t>
        </is>
      </c>
      <c r="I1944" s="1742" t="inlineStr">
        <is>
          <t>15.005.003</t>
        </is>
      </c>
      <c r="J1944" s="1779" t="inlineStr">
        <is>
          <t>Mão de obra</t>
        </is>
      </c>
      <c r="K1944" s="1780" t="n"/>
      <c r="L1944" s="1781" t="n"/>
      <c r="M1944" s="1781" t="n"/>
      <c r="N1944" s="1746" t="n"/>
      <c r="O1944" s="1782" t="n"/>
      <c r="P1944" s="1720" t="n"/>
    </row>
    <row r="1945" hidden="1" outlineLevel="3" ht="13.5" customHeight="1">
      <c r="A1945" s="2117" t="n">
        <v>0</v>
      </c>
      <c r="B1945" s="2117" t="n">
        <v>15</v>
      </c>
      <c r="C1945" s="2117" t="n">
        <v>5</v>
      </c>
      <c r="D1945" s="2118" t="n">
        <v>3</v>
      </c>
      <c r="E1945" s="2118" t="n">
        <v>1</v>
      </c>
      <c r="G1945" s="1798" t="inlineStr">
        <is>
          <t>REVESTIMENTOS ARGAMASSADOS TETO</t>
        </is>
      </c>
      <c r="H1945" s="1783" t="inlineStr">
        <is>
          <t>SERVIÇO</t>
        </is>
      </c>
      <c r="I1945" s="1750" t="inlineStr">
        <is>
          <t>15.005.003.001</t>
        </is>
      </c>
      <c r="J1945" s="1785" t="inlineStr">
        <is>
          <t>Mão de obra execução de estucamento em teto</t>
        </is>
      </c>
      <c r="K1945" s="1786" t="inlineStr">
        <is>
          <t>m2</t>
        </is>
      </c>
      <c r="L1945" s="1787" t="e">
        <v>#REF!</v>
      </c>
      <c r="M1945" s="1787" t="n">
        <v>25</v>
      </c>
      <c r="N1945" s="1754" t="n"/>
      <c r="O1945" s="1788" t="n"/>
      <c r="P1945" s="1721" t="inlineStr">
        <is>
          <t>Pendente</t>
        </is>
      </c>
    </row>
    <row r="1946" hidden="1" outlineLevel="1" ht="13.5" customHeight="1">
      <c r="A1946" s="2117" t="n">
        <v>0</v>
      </c>
      <c r="B1946" s="2117" t="n">
        <v>15</v>
      </c>
      <c r="C1946" s="2117" t="n">
        <v>6</v>
      </c>
      <c r="D1946" s="2118" t="n">
        <v>0</v>
      </c>
      <c r="E1946" s="2118" t="n">
        <v>1</v>
      </c>
      <c r="G1946" s="1796" t="n"/>
      <c r="H1946" s="1771" t="inlineStr">
        <is>
          <t>ETAPA</t>
        </is>
      </c>
      <c r="I1946" s="1735" t="inlineStr">
        <is>
          <t>15.006</t>
        </is>
      </c>
      <c r="J1946" s="1773" t="inlineStr">
        <is>
          <t>REVESTIMENTOS E ACABAMENTOS INTERNOS EM TETO - Mezanino G3</t>
        </is>
      </c>
      <c r="K1946" s="1774" t="n"/>
      <c r="L1946" s="1775" t="n"/>
      <c r="M1946" s="1775" t="n"/>
      <c r="N1946" s="1739" t="n"/>
      <c r="O1946" s="1776" t="n"/>
      <c r="P1946" s="1719" t="n"/>
    </row>
    <row r="1947" hidden="1" outlineLevel="2" ht="13.5" customHeight="1">
      <c r="A1947" s="2117" t="n">
        <v>0</v>
      </c>
      <c r="B1947" s="2117" t="n">
        <v>15</v>
      </c>
      <c r="C1947" s="2117" t="n">
        <v>6</v>
      </c>
      <c r="D1947" s="2118" t="n">
        <v>1</v>
      </c>
      <c r="E1947" s="2118" t="n">
        <v>0</v>
      </c>
      <c r="G1947" s="1797" t="n"/>
      <c r="H1947" s="1777" t="inlineStr">
        <is>
          <t>SUBETAPA</t>
        </is>
      </c>
      <c r="I1947" s="1742" t="inlineStr">
        <is>
          <t>15.006.001</t>
        </is>
      </c>
      <c r="J1947" s="1779" t="inlineStr">
        <is>
          <t>Revestimento interno argamassado em teto</t>
        </is>
      </c>
      <c r="K1947" s="1780" t="n"/>
      <c r="L1947" s="1781" t="n"/>
      <c r="M1947" s="1781" t="n"/>
      <c r="N1947" s="1746" t="n"/>
      <c r="O1947" s="1782" t="n"/>
      <c r="P1947" s="1720" t="n"/>
    </row>
    <row r="1948" hidden="1" outlineLevel="3" ht="13.5" customHeight="1">
      <c r="A1948" s="2117" t="n">
        <v>0</v>
      </c>
      <c r="B1948" s="2117" t="n">
        <v>15</v>
      </c>
      <c r="C1948" s="2117" t="n">
        <v>6</v>
      </c>
      <c r="D1948" s="2118" t="n">
        <v>1</v>
      </c>
      <c r="E1948" s="2118" t="n">
        <v>1</v>
      </c>
      <c r="G1948" s="1798" t="inlineStr">
        <is>
          <t>REVESTIMENTOS ARGAMASSADOS TETO</t>
        </is>
      </c>
      <c r="H1948" s="1783" t="inlineStr">
        <is>
          <t>SERVIÇO</t>
        </is>
      </c>
      <c r="I1948" s="1750" t="inlineStr">
        <is>
          <t>15.006.001.001</t>
        </is>
      </c>
      <c r="J1948" s="1785" t="inlineStr">
        <is>
          <t>Estucamento de teto</t>
        </is>
      </c>
      <c r="K1948" s="1786" t="inlineStr">
        <is>
          <t>m2</t>
        </is>
      </c>
      <c r="L1948" s="1787" t="e">
        <v>#REF!</v>
      </c>
      <c r="M1948" s="1787" t="n">
        <v>5.102916666666666</v>
      </c>
      <c r="N1948" s="1754" t="n"/>
      <c r="O1948" s="1788" t="n"/>
      <c r="P1948" s="1721" t="inlineStr">
        <is>
          <t>Pendente</t>
        </is>
      </c>
    </row>
    <row r="1949" hidden="1" outlineLevel="2" ht="13.5" customHeight="1">
      <c r="A1949" s="2117" t="n">
        <v>0</v>
      </c>
      <c r="B1949" s="2117" t="n">
        <v>15</v>
      </c>
      <c r="C1949" s="2117" t="n">
        <v>6</v>
      </c>
      <c r="D1949" s="2118" t="n">
        <v>2</v>
      </c>
      <c r="E1949" s="2118" t="n">
        <v>0</v>
      </c>
      <c r="G1949" s="1797" t="n"/>
      <c r="H1949" s="1777" t="inlineStr">
        <is>
          <t>SUBETAPA</t>
        </is>
      </c>
      <c r="I1949" s="1742" t="inlineStr">
        <is>
          <t>15.006.002</t>
        </is>
      </c>
      <c r="J1949" s="1779" t="inlineStr">
        <is>
          <t>Acabamento de gesso em teto</t>
        </is>
      </c>
      <c r="K1949" s="1780" t="n"/>
      <c r="L1949" s="1781" t="n"/>
      <c r="M1949" s="1781" t="n"/>
      <c r="N1949" s="1746" t="n"/>
      <c r="O1949" s="1782" t="n"/>
      <c r="P1949" s="1720" t="n"/>
    </row>
    <row r="1950" hidden="1" outlineLevel="3" ht="12.75" customHeight="1">
      <c r="A1950" s="2117" t="n">
        <v>0</v>
      </c>
      <c r="B1950" s="2117" t="n">
        <v>15</v>
      </c>
      <c r="C1950" s="2117" t="n">
        <v>6</v>
      </c>
      <c r="D1950" s="2118" t="n">
        <v>2</v>
      </c>
      <c r="E1950" s="2118" t="n">
        <v>1</v>
      </c>
      <c r="G1950" s="1798" t="inlineStr">
        <is>
          <t>ACABAMENTOS INTERNOS EM TETO</t>
        </is>
      </c>
      <c r="H1950" s="1783" t="inlineStr">
        <is>
          <t>SERVIÇO</t>
        </is>
      </c>
      <c r="I1950" s="1750" t="inlineStr">
        <is>
          <t>15.006.002.001</t>
        </is>
      </c>
      <c r="J1950" s="1785" t="inlineStr">
        <is>
          <t>Forro de gesso acartonado - áreas secas - Material e Mão de Obra</t>
        </is>
      </c>
      <c r="K1950" s="1786" t="inlineStr">
        <is>
          <t>m2</t>
        </is>
      </c>
      <c r="L1950" s="1787" t="e">
        <v>#REF!</v>
      </c>
      <c r="M1950" s="1787" t="n">
        <v>137.29</v>
      </c>
      <c r="N1950" s="1754" t="n"/>
      <c r="O1950" s="1788" t="n"/>
      <c r="P1950" s="1721" t="inlineStr">
        <is>
          <t>Pendente</t>
        </is>
      </c>
    </row>
    <row r="1951" hidden="1" outlineLevel="3" ht="13.5" customHeight="1">
      <c r="A1951" s="2117" t="n">
        <v>0</v>
      </c>
      <c r="B1951" s="2117" t="n">
        <v>15</v>
      </c>
      <c r="C1951" s="2117" t="n">
        <v>6</v>
      </c>
      <c r="D1951" s="2118" t="n">
        <v>2</v>
      </c>
      <c r="E1951" s="2118" t="n">
        <v>2</v>
      </c>
      <c r="G1951" s="1798" t="inlineStr">
        <is>
          <t>ACABAMENTOS INTERNOS EM TETO</t>
        </is>
      </c>
      <c r="H1951" s="1783" t="inlineStr">
        <is>
          <t>SERVIÇO</t>
        </is>
      </c>
      <c r="I1951" s="1750" t="inlineStr">
        <is>
          <t>15.006.002.002</t>
        </is>
      </c>
      <c r="J1951" s="1785" t="inlineStr">
        <is>
          <t>Negativo de forro de gesso acartonado - área seca</t>
        </is>
      </c>
      <c r="K1951" s="1786" t="inlineStr">
        <is>
          <t>m</t>
        </is>
      </c>
      <c r="L1951" s="1787" t="e">
        <v>#REF!</v>
      </c>
      <c r="M1951" s="1787" t="n">
        <v>49.4244</v>
      </c>
      <c r="N1951" s="1754" t="n"/>
      <c r="O1951" s="1788" t="n"/>
      <c r="P1951" s="1721" t="inlineStr">
        <is>
          <t>Pendente</t>
        </is>
      </c>
    </row>
    <row r="1952" hidden="1" outlineLevel="3" ht="12.75" customHeight="1">
      <c r="A1952" s="2117" t="n">
        <v>0</v>
      </c>
      <c r="B1952" s="2117" t="n">
        <v>15</v>
      </c>
      <c r="C1952" s="2117" t="n">
        <v>6</v>
      </c>
      <c r="D1952" s="2118" t="n">
        <v>2</v>
      </c>
      <c r="E1952" s="2118" t="n">
        <v>3</v>
      </c>
      <c r="G1952" s="1798" t="inlineStr">
        <is>
          <t>ACABAMENTOS INTERNOS EM TETO</t>
        </is>
      </c>
      <c r="H1952" s="1783" t="inlineStr">
        <is>
          <t>SERVIÇO</t>
        </is>
      </c>
      <c r="I1952" s="1750" t="inlineStr">
        <is>
          <t>15.006.002.003</t>
        </is>
      </c>
      <c r="J1952" s="1785" t="inlineStr">
        <is>
          <t>Forro de gesso acartonado RF - anti chamas - Material e Mão de Obra</t>
        </is>
      </c>
      <c r="K1952" s="1786" t="inlineStr">
        <is>
          <t>m2</t>
        </is>
      </c>
      <c r="L1952" s="1787" t="e">
        <v>#REF!</v>
      </c>
      <c r="M1952" s="1787" t="n">
        <v>233.393</v>
      </c>
      <c r="N1952" s="1754" t="n"/>
      <c r="O1952" s="1788" t="n"/>
      <c r="P1952" s="1721" t="inlineStr">
        <is>
          <t>Pendente</t>
        </is>
      </c>
    </row>
    <row r="1953" hidden="1" outlineLevel="2" ht="13.5" customHeight="1">
      <c r="A1953" s="2117" t="n">
        <v>0</v>
      </c>
      <c r="B1953" s="2117" t="n">
        <v>15</v>
      </c>
      <c r="C1953" s="2117" t="n">
        <v>6</v>
      </c>
      <c r="D1953" s="2118" t="n">
        <v>3</v>
      </c>
      <c r="E1953" s="2118" t="n">
        <v>0</v>
      </c>
      <c r="G1953" s="1797" t="n"/>
      <c r="H1953" s="1777" t="inlineStr">
        <is>
          <t>SUBETAPA</t>
        </is>
      </c>
      <c r="I1953" s="1742" t="inlineStr">
        <is>
          <t>15.006.003</t>
        </is>
      </c>
      <c r="J1953" s="1779" t="inlineStr">
        <is>
          <t>Mão de obra</t>
        </is>
      </c>
      <c r="K1953" s="1780" t="n"/>
      <c r="L1953" s="1781" t="n"/>
      <c r="M1953" s="1781" t="n"/>
      <c r="N1953" s="1746" t="n"/>
      <c r="O1953" s="1782" t="n"/>
      <c r="P1953" s="1720" t="n"/>
    </row>
    <row r="1954" hidden="1" outlineLevel="3" ht="13.5" customHeight="1">
      <c r="A1954" s="2117" t="n">
        <v>0</v>
      </c>
      <c r="B1954" s="2117" t="n">
        <v>15</v>
      </c>
      <c r="C1954" s="2117" t="n">
        <v>6</v>
      </c>
      <c r="D1954" s="2118" t="n">
        <v>3</v>
      </c>
      <c r="E1954" s="2118" t="n">
        <v>1</v>
      </c>
      <c r="G1954" s="1798" t="inlineStr">
        <is>
          <t>REVESTIMENTOS ARGAMASSADOS TETO</t>
        </is>
      </c>
      <c r="H1954" s="1783" t="inlineStr">
        <is>
          <t>SERVIÇO</t>
        </is>
      </c>
      <c r="I1954" s="1750" t="inlineStr">
        <is>
          <t>15.006.003.001</t>
        </is>
      </c>
      <c r="J1954" s="1785" t="inlineStr">
        <is>
          <t>Mão de obra execução de estucamento em teto</t>
        </is>
      </c>
      <c r="K1954" s="1786" t="inlineStr">
        <is>
          <t>m2</t>
        </is>
      </c>
      <c r="L1954" s="1787" t="e">
        <v>#REF!</v>
      </c>
      <c r="M1954" s="1787" t="n">
        <v>25</v>
      </c>
      <c r="N1954" s="1754" t="n"/>
      <c r="O1954" s="1788" t="n"/>
      <c r="P1954" s="1721" t="inlineStr">
        <is>
          <t>Pendente</t>
        </is>
      </c>
    </row>
    <row r="1955" hidden="1" outlineLevel="1" ht="13.5" customHeight="1">
      <c r="A1955" s="2117" t="n">
        <v>0</v>
      </c>
      <c r="B1955" s="2117" t="n">
        <v>15</v>
      </c>
      <c r="C1955" s="2117" t="n">
        <v>7</v>
      </c>
      <c r="D1955" s="2118" t="n">
        <v>0</v>
      </c>
      <c r="E1955" s="2118" t="n">
        <v>1</v>
      </c>
      <c r="G1955" s="1796" t="n"/>
      <c r="H1955" s="1771" t="inlineStr">
        <is>
          <t>ETAPA</t>
        </is>
      </c>
      <c r="I1955" s="1735" t="inlineStr">
        <is>
          <t>15.007</t>
        </is>
      </c>
      <c r="J1955" s="1773" t="inlineStr">
        <is>
          <t>REVESTIMENTOS E ACABAMENTOS INTERNOS EM TETO - Lazer | Garagem</t>
        </is>
      </c>
      <c r="K1955" s="1774" t="n"/>
      <c r="L1955" s="1775" t="n"/>
      <c r="M1955" s="1775" t="n"/>
      <c r="N1955" s="1739" t="n"/>
      <c r="O1955" s="1776" t="n"/>
      <c r="P1955" s="1719" t="n"/>
    </row>
    <row r="1956" hidden="1" outlineLevel="2" ht="13.5" customHeight="1">
      <c r="A1956" s="2117" t="n">
        <v>0</v>
      </c>
      <c r="B1956" s="2117" t="n">
        <v>15</v>
      </c>
      <c r="C1956" s="2117" t="n">
        <v>7</v>
      </c>
      <c r="D1956" s="2118" t="n">
        <v>1</v>
      </c>
      <c r="E1956" s="2118" t="n">
        <v>0</v>
      </c>
      <c r="G1956" s="1797" t="n"/>
      <c r="H1956" s="1777" t="inlineStr">
        <is>
          <t>SUBETAPA</t>
        </is>
      </c>
      <c r="I1956" s="1742" t="inlineStr">
        <is>
          <t>15.007.001</t>
        </is>
      </c>
      <c r="J1956" s="1779" t="inlineStr">
        <is>
          <t>Revestimento interno argamassado em teto</t>
        </is>
      </c>
      <c r="K1956" s="1780" t="n"/>
      <c r="L1956" s="1781" t="n"/>
      <c r="M1956" s="1781" t="n"/>
      <c r="N1956" s="1746" t="n"/>
      <c r="O1956" s="1782" t="n"/>
      <c r="P1956" s="1720" t="n"/>
    </row>
    <row r="1957" hidden="1" outlineLevel="3" ht="13.5" customHeight="1">
      <c r="A1957" s="2117" t="n">
        <v>0</v>
      </c>
      <c r="B1957" s="2117" t="n">
        <v>15</v>
      </c>
      <c r="C1957" s="2117" t="n">
        <v>7</v>
      </c>
      <c r="D1957" s="2118" t="n">
        <v>1</v>
      </c>
      <c r="E1957" s="2118" t="n">
        <v>1</v>
      </c>
      <c r="G1957" s="1798" t="inlineStr">
        <is>
          <t>REVESTIMENTOS ARGAMASSADOS TETO</t>
        </is>
      </c>
      <c r="H1957" s="1783" t="inlineStr">
        <is>
          <t>SERVIÇO</t>
        </is>
      </c>
      <c r="I1957" s="1750" t="inlineStr">
        <is>
          <t>15.007.001.001</t>
        </is>
      </c>
      <c r="J1957" s="1785" t="inlineStr">
        <is>
          <t>Estucamento de teto</t>
        </is>
      </c>
      <c r="K1957" s="1786" t="inlineStr">
        <is>
          <t>m2</t>
        </is>
      </c>
      <c r="L1957" s="1787" t="e">
        <v>#REF!</v>
      </c>
      <c r="M1957" s="1787" t="n">
        <v>5.102916666666666</v>
      </c>
      <c r="N1957" s="1754" t="n"/>
      <c r="O1957" s="1788" t="n"/>
      <c r="P1957" s="1721" t="inlineStr">
        <is>
          <t>Pendente</t>
        </is>
      </c>
    </row>
    <row r="1958" hidden="1" outlineLevel="2" ht="13.5" customHeight="1">
      <c r="A1958" s="2117" t="n">
        <v>0</v>
      </c>
      <c r="B1958" s="2117" t="n">
        <v>15</v>
      </c>
      <c r="C1958" s="2117" t="n">
        <v>7</v>
      </c>
      <c r="D1958" s="2118" t="n">
        <v>2</v>
      </c>
      <c r="E1958" s="2118" t="n">
        <v>0</v>
      </c>
      <c r="G1958" s="1797" t="n"/>
      <c r="H1958" s="1777" t="inlineStr">
        <is>
          <t>SUBETAPA</t>
        </is>
      </c>
      <c r="I1958" s="1742" t="inlineStr">
        <is>
          <t>15.007.002</t>
        </is>
      </c>
      <c r="J1958" s="1779" t="inlineStr">
        <is>
          <t>Acabamento de gesso em teto</t>
        </is>
      </c>
      <c r="K1958" s="1780" t="n"/>
      <c r="L1958" s="1781" t="n"/>
      <c r="M1958" s="1781" t="n"/>
      <c r="N1958" s="1746" t="n"/>
      <c r="O1958" s="1782" t="n"/>
      <c r="P1958" s="1720" t="n"/>
    </row>
    <row r="1959" hidden="1" outlineLevel="3" ht="12.75" customHeight="1">
      <c r="A1959" s="2117" t="n">
        <v>0</v>
      </c>
      <c r="B1959" s="2117" t="n">
        <v>15</v>
      </c>
      <c r="C1959" s="2117" t="n">
        <v>7</v>
      </c>
      <c r="D1959" s="2118" t="n">
        <v>2</v>
      </c>
      <c r="E1959" s="2118" t="n">
        <v>1</v>
      </c>
      <c r="G1959" s="1798" t="inlineStr">
        <is>
          <t>ACABAMENTOS INTERNOS EM TETO</t>
        </is>
      </c>
      <c r="H1959" s="1783" t="inlineStr">
        <is>
          <t>SERVIÇO</t>
        </is>
      </c>
      <c r="I1959" s="1750" t="inlineStr">
        <is>
          <t>15.007.002.001</t>
        </is>
      </c>
      <c r="J1959" s="1785" t="inlineStr">
        <is>
          <t>Forro de gesso acartonado - áreas secas - Material e Mão de Obra</t>
        </is>
      </c>
      <c r="K1959" s="1786" t="inlineStr">
        <is>
          <t>m2</t>
        </is>
      </c>
      <c r="L1959" s="1787" t="e">
        <v>#REF!</v>
      </c>
      <c r="M1959" s="1787" t="n">
        <v>137.29</v>
      </c>
      <c r="N1959" s="1754" t="n"/>
      <c r="O1959" s="1788" t="n"/>
      <c r="P1959" s="1721" t="inlineStr">
        <is>
          <t>Pendente</t>
        </is>
      </c>
    </row>
    <row r="1960" hidden="1" outlineLevel="3" ht="13.5" customHeight="1">
      <c r="A1960" s="2117" t="n">
        <v>0</v>
      </c>
      <c r="B1960" s="2117" t="n">
        <v>15</v>
      </c>
      <c r="C1960" s="2117" t="n">
        <v>7</v>
      </c>
      <c r="D1960" s="2118" t="n">
        <v>2</v>
      </c>
      <c r="E1960" s="2118" t="n">
        <v>2</v>
      </c>
      <c r="G1960" s="1798" t="inlineStr">
        <is>
          <t>ACABAMENTOS INTERNOS EM TETO</t>
        </is>
      </c>
      <c r="H1960" s="1783" t="inlineStr">
        <is>
          <t>SERVIÇO</t>
        </is>
      </c>
      <c r="I1960" s="1750" t="inlineStr">
        <is>
          <t>15.007.002.002</t>
        </is>
      </c>
      <c r="J1960" s="1785" t="inlineStr">
        <is>
          <t>Forro de gesso acartonado - áreas úmidas - Material e Mão de Obra</t>
        </is>
      </c>
      <c r="K1960" s="1786" t="inlineStr">
        <is>
          <t>m2</t>
        </is>
      </c>
      <c r="L1960" s="1787" t="e">
        <v>#REF!</v>
      </c>
      <c r="M1960" s="1787" t="n">
        <v>164.748</v>
      </c>
      <c r="N1960" s="1754" t="n"/>
      <c r="O1960" s="1788" t="n"/>
      <c r="P1960" s="1721" t="inlineStr">
        <is>
          <t>Pendente</t>
        </is>
      </c>
    </row>
    <row r="1961" hidden="1" outlineLevel="3" ht="13.5" customHeight="1">
      <c r="A1961" s="2117" t="n">
        <v>0</v>
      </c>
      <c r="B1961" s="2117" t="n">
        <v>15</v>
      </c>
      <c r="C1961" s="2117" t="n">
        <v>7</v>
      </c>
      <c r="D1961" s="2118" t="n">
        <v>2</v>
      </c>
      <c r="E1961" s="2118" t="n">
        <v>3</v>
      </c>
      <c r="G1961" s="1798" t="inlineStr">
        <is>
          <t>ACABAMENTOS INTERNOS EM TETO</t>
        </is>
      </c>
      <c r="H1961" s="1783" t="inlineStr">
        <is>
          <t>SERVIÇO</t>
        </is>
      </c>
      <c r="I1961" s="1750" t="inlineStr">
        <is>
          <t>15.007.002.003</t>
        </is>
      </c>
      <c r="J1961" s="1785" t="inlineStr">
        <is>
          <t>Negativo de forro de gesso acartonado - área umida</t>
        </is>
      </c>
      <c r="K1961" s="1786" t="inlineStr">
        <is>
          <t>m</t>
        </is>
      </c>
      <c r="L1961" s="1787" t="e">
        <v>#REF!</v>
      </c>
      <c r="M1961" s="1787" t="n">
        <v>49.4244</v>
      </c>
      <c r="N1961" s="1754" t="n"/>
      <c r="O1961" s="1788" t="n"/>
      <c r="P1961" s="1721" t="inlineStr">
        <is>
          <t>Pendente</t>
        </is>
      </c>
    </row>
    <row r="1962" hidden="1" outlineLevel="3" ht="13.5" customHeight="1">
      <c r="A1962" s="2117" t="n">
        <v>0</v>
      </c>
      <c r="B1962" s="2117" t="n">
        <v>15</v>
      </c>
      <c r="C1962" s="2117" t="n">
        <v>7</v>
      </c>
      <c r="D1962" s="2118" t="n">
        <v>2</v>
      </c>
      <c r="E1962" s="2118" t="n">
        <v>4</v>
      </c>
      <c r="G1962" s="1798" t="inlineStr">
        <is>
          <t>ACABAMENTOS INTERNOS EM TETO</t>
        </is>
      </c>
      <c r="H1962" s="1783" t="inlineStr">
        <is>
          <t>SERVIÇO</t>
        </is>
      </c>
      <c r="I1962" s="1750" t="inlineStr">
        <is>
          <t>15.007.002.004</t>
        </is>
      </c>
      <c r="J1962" s="1785" t="inlineStr">
        <is>
          <t>Gesso corrido em tetos - Material e Mão de Obra</t>
        </is>
      </c>
      <c r="K1962" s="1786" t="inlineStr">
        <is>
          <t>m2</t>
        </is>
      </c>
      <c r="L1962" s="1787" t="e">
        <v>#REF!</v>
      </c>
      <c r="M1962" s="1787" t="n">
        <v>80.54213215777621</v>
      </c>
      <c r="N1962" s="1754" t="n"/>
      <c r="O1962" s="1788" t="n"/>
      <c r="P1962" s="1721" t="inlineStr">
        <is>
          <t>Pendente</t>
        </is>
      </c>
    </row>
    <row r="1963" hidden="1" outlineLevel="3" ht="12.75" customHeight="1">
      <c r="A1963" s="2117" t="n">
        <v>0</v>
      </c>
      <c r="B1963" s="2117" t="n">
        <v>15</v>
      </c>
      <c r="C1963" s="2117" t="n">
        <v>7</v>
      </c>
      <c r="D1963" s="2118" t="n">
        <v>2</v>
      </c>
      <c r="E1963" s="2118" t="n">
        <v>5</v>
      </c>
      <c r="G1963" s="1798" t="inlineStr">
        <is>
          <t>ACABAMENTOS INTERNOS EM TETO</t>
        </is>
      </c>
      <c r="H1963" s="1783" t="inlineStr">
        <is>
          <t>SERVIÇO</t>
        </is>
      </c>
      <c r="I1963" s="1750" t="inlineStr">
        <is>
          <t>15.007.002.005</t>
        </is>
      </c>
      <c r="J1963" s="1785" t="inlineStr">
        <is>
          <t>Forro de gesso em forma de vigotas, imitando madeira - áreas úmidas - Material e Mão de Obra</t>
        </is>
      </c>
      <c r="K1963" s="1786" t="inlineStr">
        <is>
          <t>m</t>
        </is>
      </c>
      <c r="L1963" s="1787" t="e">
        <v>#REF!</v>
      </c>
      <c r="M1963" s="1787" t="n">
        <v>343.225</v>
      </c>
      <c r="N1963" s="1754" t="n"/>
      <c r="O1963" s="1788" t="inlineStr">
        <is>
          <t>Teto da piscina coberta no lazer</t>
        </is>
      </c>
      <c r="P1963" s="1721" t="inlineStr">
        <is>
          <t>Pendente</t>
        </is>
      </c>
    </row>
    <row r="1964" hidden="1" outlineLevel="3" ht="13.5" customHeight="1">
      <c r="A1964" s="2117" t="n">
        <v>0</v>
      </c>
      <c r="B1964" s="2117" t="n">
        <v>15</v>
      </c>
      <c r="C1964" s="2117" t="n">
        <v>7</v>
      </c>
      <c r="D1964" s="2118" t="n">
        <v>2</v>
      </c>
      <c r="E1964" s="2118" t="n">
        <v>6</v>
      </c>
      <c r="G1964" s="1798" t="inlineStr">
        <is>
          <t>ACABAMENTOS INTERNOS EM TETO</t>
        </is>
      </c>
      <c r="H1964" s="1783" t="inlineStr">
        <is>
          <t>SERVIÇO</t>
        </is>
      </c>
      <c r="I1964" s="1750" t="inlineStr">
        <is>
          <t>15.007.002.006</t>
        </is>
      </c>
      <c r="J1964" s="1785" t="inlineStr">
        <is>
          <t>Tabica em gesso com perfil metálico LED</t>
        </is>
      </c>
      <c r="K1964" s="1786" t="inlineStr">
        <is>
          <t>m</t>
        </is>
      </c>
      <c r="L1964" s="1787" t="e">
        <v>#REF!</v>
      </c>
      <c r="M1964" s="1787" t="n">
        <v>61.7805</v>
      </c>
      <c r="N1964" s="1754" t="n"/>
      <c r="O1964" s="1788" t="n"/>
      <c r="P1964" s="1721" t="inlineStr">
        <is>
          <t>Pendente</t>
        </is>
      </c>
    </row>
    <row r="1965" hidden="1" outlineLevel="3" ht="13.5" customHeight="1">
      <c r="A1965" s="2117" t="n">
        <v>0</v>
      </c>
      <c r="B1965" s="2117" t="n">
        <v>15</v>
      </c>
      <c r="C1965" s="2117" t="n">
        <v>7</v>
      </c>
      <c r="D1965" s="2118" t="n">
        <v>2</v>
      </c>
      <c r="E1965" s="2118" t="n">
        <v>7</v>
      </c>
      <c r="G1965" s="1798" t="inlineStr">
        <is>
          <t>ACABAMENTOS INTERNOS EM TETO</t>
        </is>
      </c>
      <c r="H1965" s="1783" t="inlineStr">
        <is>
          <t>SERVIÇO</t>
        </is>
      </c>
      <c r="I1965" s="1750" t="inlineStr">
        <is>
          <t>15.007.002.007</t>
        </is>
      </c>
      <c r="J1965" s="1785" t="inlineStr">
        <is>
          <t>Sanca em gesso com iluminação indireta + LED + perfil</t>
        </is>
      </c>
      <c r="K1965" s="1786" t="inlineStr">
        <is>
          <t>m</t>
        </is>
      </c>
      <c r="L1965" s="1787" t="e">
        <v>#REF!</v>
      </c>
      <c r="M1965" s="1787" t="n">
        <v>116.6965</v>
      </c>
      <c r="N1965" s="1754" t="n"/>
      <c r="O1965" s="1788" t="n"/>
      <c r="P1965" s="1721" t="inlineStr">
        <is>
          <t>Pendente</t>
        </is>
      </c>
    </row>
    <row r="1966" hidden="1" outlineLevel="2" ht="13.5" customHeight="1">
      <c r="A1966" s="2117" t="n">
        <v>0</v>
      </c>
      <c r="B1966" s="2117" t="n">
        <v>15</v>
      </c>
      <c r="C1966" s="2117" t="n">
        <v>7</v>
      </c>
      <c r="D1966" s="2118" t="n">
        <v>3</v>
      </c>
      <c r="E1966" s="2118" t="n">
        <v>0</v>
      </c>
      <c r="G1966" s="1797" t="n"/>
      <c r="H1966" s="1777" t="inlineStr">
        <is>
          <t>SUBETAPA</t>
        </is>
      </c>
      <c r="I1966" s="1742" t="inlineStr">
        <is>
          <t>15.007.003</t>
        </is>
      </c>
      <c r="J1966" s="1779" t="inlineStr">
        <is>
          <t>Acabamento especiais em teto</t>
        </is>
      </c>
      <c r="K1966" s="1780" t="n"/>
      <c r="L1966" s="1781" t="n"/>
      <c r="M1966" s="1781" t="n"/>
      <c r="N1966" s="1746" t="n"/>
      <c r="O1966" s="1782" t="n"/>
      <c r="P1966" s="1720" t="n"/>
    </row>
    <row r="1967" hidden="1" outlineLevel="3" ht="13.5" customHeight="1">
      <c r="A1967" s="2117" t="n">
        <v>0</v>
      </c>
      <c r="B1967" s="2117" t="n">
        <v>15</v>
      </c>
      <c r="C1967" s="2117" t="n">
        <v>7</v>
      </c>
      <c r="D1967" s="2118" t="n">
        <v>3</v>
      </c>
      <c r="E1967" s="2118" t="n">
        <v>1</v>
      </c>
      <c r="G1967" s="1798" t="inlineStr">
        <is>
          <t>ACABAMENTOS INTERNOS EM TETO</t>
        </is>
      </c>
      <c r="H1967" s="1783" t="inlineStr">
        <is>
          <t>SERVIÇO</t>
        </is>
      </c>
      <c r="I1967" s="1750" t="inlineStr">
        <is>
          <t>15.007.003.001</t>
        </is>
      </c>
      <c r="J1967" s="1785" t="inlineStr">
        <is>
          <t>Forro de madeira Itauba - Material e Mão de Obra</t>
        </is>
      </c>
      <c r="K1967" s="1786" t="inlineStr">
        <is>
          <t>m2</t>
        </is>
      </c>
      <c r="L1967" s="1787" t="e">
        <v>#REF!</v>
      </c>
      <c r="M1967" s="1787" t="n">
        <v>788</v>
      </c>
      <c r="N1967" s="1754" t="n"/>
      <c r="O1967" s="1788" t="inlineStr">
        <is>
          <t>Sala de Massagem + Academia</t>
        </is>
      </c>
      <c r="P1967" s="1721" t="inlineStr">
        <is>
          <t>Pendente</t>
        </is>
      </c>
    </row>
    <row r="1968" hidden="1" outlineLevel="3" ht="13.5" customHeight="1">
      <c r="A1968" s="2117" t="n">
        <v>0</v>
      </c>
      <c r="B1968" s="2117" t="n">
        <v>15</v>
      </c>
      <c r="C1968" s="2117" t="n">
        <v>7</v>
      </c>
      <c r="D1968" s="2118" t="n">
        <v>3</v>
      </c>
      <c r="E1968" s="2118" t="n">
        <v>2</v>
      </c>
      <c r="G1968" s="1798" t="inlineStr">
        <is>
          <t>ACABAMENTOS INTERNOS EM TETO</t>
        </is>
      </c>
      <c r="H1968" s="1783" t="inlineStr">
        <is>
          <t>SERVIÇO</t>
        </is>
      </c>
      <c r="I1968" s="1750" t="inlineStr">
        <is>
          <t>15.007.003.002</t>
        </is>
      </c>
      <c r="J1968" s="1785" t="inlineStr">
        <is>
          <t>Forro de Mármore Natural - Material e Mão de Obra</t>
        </is>
      </c>
      <c r="K1968" s="1786" t="inlineStr">
        <is>
          <t>m2</t>
        </is>
      </c>
      <c r="L1968" s="1787" t="e">
        <v>#REF!</v>
      </c>
      <c r="M1968" s="1787" t="n">
        <v>1080</v>
      </c>
      <c r="N1968" s="1754" t="n"/>
      <c r="O1968" s="1788" t="inlineStr">
        <is>
          <t>Hall do elevador e Sauna</t>
        </is>
      </c>
      <c r="P1968" s="1721" t="inlineStr">
        <is>
          <t>Pendente</t>
        </is>
      </c>
    </row>
    <row r="1969" hidden="1" outlineLevel="2" ht="13.5" customHeight="1">
      <c r="A1969" s="2117" t="n">
        <v>0</v>
      </c>
      <c r="B1969" s="2117" t="n">
        <v>15</v>
      </c>
      <c r="C1969" s="2117" t="n">
        <v>7</v>
      </c>
      <c r="D1969" s="2118" t="n">
        <v>4</v>
      </c>
      <c r="E1969" s="2118" t="n">
        <v>0</v>
      </c>
      <c r="G1969" s="1797" t="n"/>
      <c r="H1969" s="1777" t="inlineStr">
        <is>
          <t>SUBETAPA</t>
        </is>
      </c>
      <c r="I1969" s="1742" t="inlineStr">
        <is>
          <t>15.007.004</t>
        </is>
      </c>
      <c r="J1969" s="1779" t="inlineStr">
        <is>
          <t>Mão de obra</t>
        </is>
      </c>
      <c r="K1969" s="1780" t="n"/>
      <c r="L1969" s="1781" t="n"/>
      <c r="M1969" s="1781" t="n"/>
      <c r="N1969" s="1746" t="n"/>
      <c r="O1969" s="1782" t="n"/>
      <c r="P1969" s="1720" t="n"/>
    </row>
    <row r="1970" hidden="1" outlineLevel="3" ht="13.5" customHeight="1">
      <c r="A1970" s="2117" t="n">
        <v>0</v>
      </c>
      <c r="B1970" s="2117" t="n">
        <v>15</v>
      </c>
      <c r="C1970" s="2117" t="n">
        <v>7</v>
      </c>
      <c r="D1970" s="2118" t="n">
        <v>4</v>
      </c>
      <c r="E1970" s="2118" t="n">
        <v>1</v>
      </c>
      <c r="G1970" s="1798" t="inlineStr">
        <is>
          <t>REVESTIMENTOS ARGAMASSADOS TETO</t>
        </is>
      </c>
      <c r="H1970" s="1783" t="inlineStr">
        <is>
          <t>SERVIÇO</t>
        </is>
      </c>
      <c r="I1970" s="1750" t="inlineStr">
        <is>
          <t>15.007.004.001</t>
        </is>
      </c>
      <c r="J1970" s="1785" t="inlineStr">
        <is>
          <t>Mão de obra execução de estucamento em teto</t>
        </is>
      </c>
      <c r="K1970" s="1786" t="inlineStr">
        <is>
          <t>m2</t>
        </is>
      </c>
      <c r="L1970" s="1787" t="e">
        <v>#REF!</v>
      </c>
      <c r="M1970" s="1787" t="n">
        <v>25</v>
      </c>
      <c r="N1970" s="1754" t="n"/>
      <c r="O1970" s="1788" t="n"/>
      <c r="P1970" s="1721" t="inlineStr">
        <is>
          <t>Pendente</t>
        </is>
      </c>
    </row>
    <row r="1971" hidden="1" outlineLevel="1" ht="13.5" customHeight="1">
      <c r="A1971" s="2117" t="n">
        <v>0</v>
      </c>
      <c r="B1971" s="2117" t="n">
        <v>15</v>
      </c>
      <c r="C1971" s="2117" t="n">
        <v>8</v>
      </c>
      <c r="D1971" s="2118" t="n">
        <v>0</v>
      </c>
      <c r="E1971" s="2118" t="n">
        <v>1</v>
      </c>
      <c r="G1971" s="1796" t="n"/>
      <c r="H1971" s="1771" t="inlineStr">
        <is>
          <t>ETAPA</t>
        </is>
      </c>
      <c r="I1971" s="1735" t="inlineStr">
        <is>
          <t>15.008</t>
        </is>
      </c>
      <c r="J1971" s="1773" t="inlineStr">
        <is>
          <t>REVESTIMENTOS E ACABAMENTOS INTERNOS EM TETO - Lazer</t>
        </is>
      </c>
      <c r="K1971" s="1774" t="n"/>
      <c r="L1971" s="1775" t="n"/>
      <c r="M1971" s="1775" t="n"/>
      <c r="N1971" s="1739" t="n"/>
      <c r="O1971" s="1776" t="n"/>
      <c r="P1971" s="1719" t="n"/>
    </row>
    <row r="1972" hidden="1" outlineLevel="2" ht="13.5" customHeight="1">
      <c r="A1972" s="2117" t="n">
        <v>0</v>
      </c>
      <c r="B1972" s="2117" t="n">
        <v>15</v>
      </c>
      <c r="C1972" s="2117" t="n">
        <v>8</v>
      </c>
      <c r="D1972" s="2118" t="n">
        <v>1</v>
      </c>
      <c r="E1972" s="2118" t="n">
        <v>0</v>
      </c>
      <c r="G1972" s="1797" t="n"/>
      <c r="H1972" s="1777" t="inlineStr">
        <is>
          <t>SUBETAPA</t>
        </is>
      </c>
      <c r="I1972" s="1742" t="inlineStr">
        <is>
          <t>15.008.001</t>
        </is>
      </c>
      <c r="J1972" s="1779" t="inlineStr">
        <is>
          <t>Acabamento de gesso em teto</t>
        </is>
      </c>
      <c r="K1972" s="1780" t="n"/>
      <c r="L1972" s="1781" t="n"/>
      <c r="M1972" s="1781" t="n"/>
      <c r="N1972" s="1746" t="n"/>
      <c r="O1972" s="1782" t="n"/>
      <c r="P1972" s="1720" t="n"/>
    </row>
    <row r="1973" hidden="1" outlineLevel="3" ht="12.75" customHeight="1">
      <c r="A1973" s="2117" t="n">
        <v>0</v>
      </c>
      <c r="B1973" s="2117" t="n">
        <v>15</v>
      </c>
      <c r="C1973" s="2117" t="n">
        <v>8</v>
      </c>
      <c r="D1973" s="2118" t="n">
        <v>1</v>
      </c>
      <c r="E1973" s="2118" t="n">
        <v>1</v>
      </c>
      <c r="G1973" s="1798" t="inlineStr">
        <is>
          <t>ACABAMENTOS INTERNOS EM TETO</t>
        </is>
      </c>
      <c r="H1973" s="1783" t="inlineStr">
        <is>
          <t>SERVIÇO</t>
        </is>
      </c>
      <c r="I1973" s="1750" t="inlineStr">
        <is>
          <t>15.008.001.001</t>
        </is>
      </c>
      <c r="J1973" s="1785" t="inlineStr">
        <is>
          <t>Forro de gesso acartonado - áreas secas - Material e Mão de Obra</t>
        </is>
      </c>
      <c r="K1973" s="1786" t="inlineStr">
        <is>
          <t>m2</t>
        </is>
      </c>
      <c r="L1973" s="1787" t="e">
        <v>#REF!</v>
      </c>
      <c r="M1973" s="1787" t="n">
        <v>137.29</v>
      </c>
      <c r="N1973" s="1754" t="n"/>
      <c r="O1973" s="1788" t="n"/>
      <c r="P1973" s="1721" t="inlineStr">
        <is>
          <t>Pendente</t>
        </is>
      </c>
    </row>
    <row r="1974" hidden="1" outlineLevel="3" ht="13.5" customHeight="1">
      <c r="A1974" s="2117" t="n">
        <v>0</v>
      </c>
      <c r="B1974" s="2117" t="n">
        <v>15</v>
      </c>
      <c r="C1974" s="2117" t="n">
        <v>8</v>
      </c>
      <c r="D1974" s="2118" t="n">
        <v>1</v>
      </c>
      <c r="E1974" s="2118" t="n">
        <v>2</v>
      </c>
      <c r="G1974" s="1798" t="inlineStr">
        <is>
          <t>ACABAMENTOS INTERNOS EM TETO</t>
        </is>
      </c>
      <c r="H1974" s="1783" t="inlineStr">
        <is>
          <t>SERVIÇO</t>
        </is>
      </c>
      <c r="I1974" s="1750" t="inlineStr">
        <is>
          <t>15.008.001.002</t>
        </is>
      </c>
      <c r="J1974" s="1785" t="inlineStr">
        <is>
          <t>Negativo de forro de gesso acartonado - área seca</t>
        </is>
      </c>
      <c r="K1974" s="1786" t="inlineStr">
        <is>
          <t>m</t>
        </is>
      </c>
      <c r="L1974" s="1787" t="e">
        <v>#REF!</v>
      </c>
      <c r="M1974" s="1787" t="n">
        <v>49.4244</v>
      </c>
      <c r="N1974" s="1754" t="n"/>
      <c r="O1974" s="1788" t="n"/>
      <c r="P1974" s="1721" t="inlineStr">
        <is>
          <t>Pendente</t>
        </is>
      </c>
    </row>
    <row r="1975" hidden="1" outlineLevel="3" ht="13.5" customHeight="1">
      <c r="A1975" s="2117" t="n">
        <v>0</v>
      </c>
      <c r="B1975" s="2117" t="n">
        <v>15</v>
      </c>
      <c r="C1975" s="2117" t="n">
        <v>8</v>
      </c>
      <c r="D1975" s="2118" t="n">
        <v>1</v>
      </c>
      <c r="E1975" s="2118" t="n">
        <v>3</v>
      </c>
      <c r="G1975" s="1798" t="inlineStr">
        <is>
          <t>ACABAMENTOS INTERNOS EM TETO</t>
        </is>
      </c>
      <c r="H1975" s="1783" t="inlineStr">
        <is>
          <t>SERVIÇO</t>
        </is>
      </c>
      <c r="I1975" s="1750" t="inlineStr">
        <is>
          <t>15.008.001.003</t>
        </is>
      </c>
      <c r="J1975" s="1785" t="inlineStr">
        <is>
          <t>Tabica em gesso com perfil metálico LED</t>
        </is>
      </c>
      <c r="K1975" s="1786" t="inlineStr">
        <is>
          <t>m</t>
        </is>
      </c>
      <c r="L1975" s="1787" t="e">
        <v>#REF!</v>
      </c>
      <c r="M1975" s="1787" t="n">
        <v>61.7805</v>
      </c>
      <c r="N1975" s="1754" t="n"/>
      <c r="O1975" s="1788" t="n"/>
      <c r="P1975" s="1721" t="inlineStr">
        <is>
          <t>Pendente</t>
        </is>
      </c>
    </row>
    <row r="1976" hidden="1" outlineLevel="3" ht="13.5" customHeight="1">
      <c r="A1976" s="2117" t="n">
        <v>0</v>
      </c>
      <c r="B1976" s="2117" t="n">
        <v>15</v>
      </c>
      <c r="C1976" s="2117" t="n">
        <v>8</v>
      </c>
      <c r="D1976" s="2118" t="n">
        <v>1</v>
      </c>
      <c r="E1976" s="2118" t="n">
        <v>4</v>
      </c>
      <c r="G1976" s="1798" t="inlineStr">
        <is>
          <t>ACABAMENTOS INTERNOS EM TETO</t>
        </is>
      </c>
      <c r="H1976" s="1783" t="inlineStr">
        <is>
          <t>SERVIÇO</t>
        </is>
      </c>
      <c r="I1976" s="1750" t="inlineStr">
        <is>
          <t>15.008.001.004</t>
        </is>
      </c>
      <c r="J1976" s="1785" t="inlineStr">
        <is>
          <t>Sanca em gesso com iluminação indireta + LED + perfil</t>
        </is>
      </c>
      <c r="K1976" s="1786" t="inlineStr">
        <is>
          <t>m</t>
        </is>
      </c>
      <c r="L1976" s="1787" t="e">
        <v>#REF!</v>
      </c>
      <c r="M1976" s="1787" t="n">
        <v>116.6965</v>
      </c>
      <c r="N1976" s="1754" t="n"/>
      <c r="O1976" s="1788" t="n"/>
      <c r="P1976" s="1721" t="inlineStr">
        <is>
          <t>Pendente</t>
        </is>
      </c>
    </row>
    <row r="1977" hidden="1" outlineLevel="2" ht="13.5" customHeight="1">
      <c r="A1977" s="2117" t="n">
        <v>0</v>
      </c>
      <c r="B1977" s="2117" t="n">
        <v>15</v>
      </c>
      <c r="C1977" s="2117" t="n">
        <v>8</v>
      </c>
      <c r="D1977" s="2118" t="n">
        <v>2</v>
      </c>
      <c r="E1977" s="2118" t="n">
        <v>0</v>
      </c>
      <c r="G1977" s="1797" t="n"/>
      <c r="H1977" s="1777" t="inlineStr">
        <is>
          <t>SUBETAPA</t>
        </is>
      </c>
      <c r="I1977" s="1742" t="inlineStr">
        <is>
          <t>15.008.002</t>
        </is>
      </c>
      <c r="J1977" s="1779" t="inlineStr">
        <is>
          <t>Acabamento especiais em teto</t>
        </is>
      </c>
      <c r="K1977" s="1780" t="n"/>
      <c r="L1977" s="1781" t="n"/>
      <c r="M1977" s="1781" t="n"/>
      <c r="N1977" s="1746" t="n"/>
      <c r="O1977" s="1782" t="n"/>
      <c r="P1977" s="1720" t="n"/>
    </row>
    <row r="1978" hidden="1" outlineLevel="3" ht="13.5" customHeight="1">
      <c r="A1978" s="2117" t="n">
        <v>0</v>
      </c>
      <c r="B1978" s="2117" t="n">
        <v>15</v>
      </c>
      <c r="C1978" s="2117" t="n">
        <v>8</v>
      </c>
      <c r="D1978" s="2118" t="n">
        <v>2</v>
      </c>
      <c r="E1978" s="2118" t="n">
        <v>1</v>
      </c>
      <c r="G1978" s="1798" t="inlineStr">
        <is>
          <t>ACABAMENTOS INTERNOS EM TETO</t>
        </is>
      </c>
      <c r="H1978" s="1783" t="inlineStr">
        <is>
          <t>SERVIÇO</t>
        </is>
      </c>
      <c r="I1978" s="1750" t="inlineStr">
        <is>
          <t>15.008.002.001</t>
        </is>
      </c>
      <c r="J1978" s="1785" t="inlineStr">
        <is>
          <t>Forro de MDF Liso com Alto relevo personalizado e pintura laca verde - Material e Mão de Obra</t>
        </is>
      </c>
      <c r="K1978" s="1786" t="inlineStr">
        <is>
          <t>m2</t>
        </is>
      </c>
      <c r="L1978" s="1787" t="e">
        <v>#REF!</v>
      </c>
      <c r="M1978" s="1787" t="n">
        <v>1056</v>
      </c>
      <c r="N1978" s="1754" t="n"/>
      <c r="O1978" s="1788" t="inlineStr">
        <is>
          <t>Wine Bar</t>
        </is>
      </c>
      <c r="P1978" s="1721" t="inlineStr">
        <is>
          <t>Pendente</t>
        </is>
      </c>
    </row>
    <row r="1979" hidden="1" outlineLevel="3" ht="13.5" customHeight="1">
      <c r="A1979" s="2117" t="n">
        <v>0</v>
      </c>
      <c r="B1979" s="2117" t="n">
        <v>15</v>
      </c>
      <c r="C1979" s="2117" t="n">
        <v>8</v>
      </c>
      <c r="D1979" s="2118" t="n">
        <v>2</v>
      </c>
      <c r="E1979" s="2118" t="n">
        <v>2</v>
      </c>
      <c r="G1979" s="1798" t="inlineStr">
        <is>
          <t>ACABAMENTOS INTERNOS EM TETO</t>
        </is>
      </c>
      <c r="H1979" s="1783" t="inlineStr">
        <is>
          <t>SERVIÇO</t>
        </is>
      </c>
      <c r="I1979" s="1750" t="inlineStr">
        <is>
          <t>15.008.002.002</t>
        </is>
      </c>
      <c r="J1979" s="1785" t="inlineStr">
        <is>
          <t>Forro de MDF Régua com Nuvens em MDF em alto relevo personalizado e pintura azul - Material e Mão de Obra</t>
        </is>
      </c>
      <c r="K1979" s="1786" t="inlineStr">
        <is>
          <t>m2</t>
        </is>
      </c>
      <c r="L1979" s="1787" t="e">
        <v>#REF!</v>
      </c>
      <c r="M1979" s="1787" t="n">
        <v>737</v>
      </c>
      <c r="N1979" s="1754" t="n"/>
      <c r="O1979" s="1788" t="inlineStr">
        <is>
          <t>Brinquedteca</t>
        </is>
      </c>
      <c r="P1979" s="1721" t="inlineStr">
        <is>
          <t>Pendente</t>
        </is>
      </c>
    </row>
    <row r="1980" hidden="1" outlineLevel="3" ht="13.5" customHeight="1">
      <c r="A1980" s="2117" t="n">
        <v>0</v>
      </c>
      <c r="B1980" s="2117" t="n">
        <v>15</v>
      </c>
      <c r="C1980" s="2117" t="n">
        <v>8</v>
      </c>
      <c r="D1980" s="2118" t="n">
        <v>2</v>
      </c>
      <c r="E1980" s="2118" t="n">
        <v>3</v>
      </c>
      <c r="G1980" s="1798" t="inlineStr">
        <is>
          <t>ACABAMENTOS INTERNOS EM TETO</t>
        </is>
      </c>
      <c r="H1980" s="1783" t="inlineStr">
        <is>
          <t>SERVIÇO</t>
        </is>
      </c>
      <c r="I1980" s="1750" t="inlineStr">
        <is>
          <t>15.008.002.003</t>
        </is>
      </c>
      <c r="J1980" s="1785" t="inlineStr">
        <is>
          <t>Forro de MDF Liso  - Material e Mão de Obra</t>
        </is>
      </c>
      <c r="K1980" s="1786" t="inlineStr">
        <is>
          <t>m2</t>
        </is>
      </c>
      <c r="L1980" s="1787" t="e">
        <v>#REF!</v>
      </c>
      <c r="M1980" s="1787" t="n">
        <v>330</v>
      </c>
      <c r="N1980" s="1754" t="n"/>
      <c r="O1980" s="1788" t="inlineStr">
        <is>
          <t>Brinquedteca</t>
        </is>
      </c>
      <c r="P1980" s="1721" t="inlineStr">
        <is>
          <t>Pendente</t>
        </is>
      </c>
    </row>
    <row r="1981" hidden="1" outlineLevel="3" ht="13.5" customHeight="1">
      <c r="A1981" s="2117" t="n">
        <v>0</v>
      </c>
      <c r="B1981" s="2117" t="n">
        <v>15</v>
      </c>
      <c r="C1981" s="2117" t="n">
        <v>8</v>
      </c>
      <c r="D1981" s="2118" t="n">
        <v>2</v>
      </c>
      <c r="E1981" s="2118" t="n">
        <v>4</v>
      </c>
      <c r="G1981" s="1798" t="inlineStr">
        <is>
          <t>ACABAMENTOS INTERNOS EM TETO</t>
        </is>
      </c>
      <c r="H1981" s="1783" t="inlineStr">
        <is>
          <t>SERVIÇO</t>
        </is>
      </c>
      <c r="I1981" s="1750" t="inlineStr">
        <is>
          <t>15.008.002.004</t>
        </is>
      </c>
      <c r="J1981" s="1785" t="inlineStr">
        <is>
          <t>Forro de madeira Itauba - Material e Mão de Obra</t>
        </is>
      </c>
      <c r="K1981" s="1786" t="inlineStr">
        <is>
          <t>m2</t>
        </is>
      </c>
      <c r="L1981" s="1787" t="e">
        <v>#REF!</v>
      </c>
      <c r="M1981" s="1787" t="n">
        <v>788</v>
      </c>
      <c r="N1981" s="1754" t="n"/>
      <c r="O1981" s="1788" t="inlineStr">
        <is>
          <t>Sala de Massagem + Academia</t>
        </is>
      </c>
      <c r="P1981" s="1721" t="inlineStr">
        <is>
          <t>Pendente</t>
        </is>
      </c>
    </row>
    <row r="1982" hidden="1" outlineLevel="3" ht="13.5" customHeight="1">
      <c r="A1982" s="2117" t="n">
        <v>0</v>
      </c>
      <c r="B1982" s="2117" t="n">
        <v>15</v>
      </c>
      <c r="C1982" s="2117" t="n">
        <v>8</v>
      </c>
      <c r="D1982" s="2118" t="n">
        <v>2</v>
      </c>
      <c r="E1982" s="2118" t="n">
        <v>5</v>
      </c>
      <c r="G1982" s="1798" t="inlineStr">
        <is>
          <t>ACABAMENTOS INTERNOS EM TETO</t>
        </is>
      </c>
      <c r="H1982" s="1783" t="inlineStr">
        <is>
          <t>SERVIÇO</t>
        </is>
      </c>
      <c r="I1982" s="1750" t="inlineStr">
        <is>
          <t>15.008.002.005</t>
        </is>
      </c>
      <c r="J1982" s="1785" t="inlineStr">
        <is>
          <t>Forro Tensoflex - Material e Mão de Obra</t>
        </is>
      </c>
      <c r="K1982" s="1786" t="inlineStr">
        <is>
          <t>m2</t>
        </is>
      </c>
      <c r="L1982" s="1787" t="e">
        <v>#REF!</v>
      </c>
      <c r="M1982" s="1787" t="n">
        <v>985.164835164835</v>
      </c>
      <c r="N1982" s="1754" t="n"/>
      <c r="O1982" s="1788" t="inlineStr">
        <is>
          <t>Circulação do Elevador</t>
        </is>
      </c>
      <c r="P1982" s="1721" t="inlineStr">
        <is>
          <t>Pendente</t>
        </is>
      </c>
    </row>
    <row r="1983" hidden="1" outlineLevel="3" ht="13.5" customHeight="1">
      <c r="A1983" s="2117" t="n">
        <v>0</v>
      </c>
      <c r="B1983" s="2117" t="n">
        <v>15</v>
      </c>
      <c r="C1983" s="2117" t="n">
        <v>8</v>
      </c>
      <c r="D1983" s="2118" t="n">
        <v>2</v>
      </c>
      <c r="E1983" s="2118" t="n">
        <v>6</v>
      </c>
      <c r="G1983" s="1798" t="inlineStr">
        <is>
          <t>ACABAMENTOS INTERNOS EM TETO</t>
        </is>
      </c>
      <c r="H1983" s="1783" t="inlineStr">
        <is>
          <t>SERVIÇO</t>
        </is>
      </c>
      <c r="I1983" s="1750" t="inlineStr">
        <is>
          <t>15.008.002.006</t>
        </is>
      </c>
      <c r="J1983" s="1785" t="inlineStr">
        <is>
          <t xml:space="preserve">Revestimento em Tetos, Papel de parede,  Jeans Cinza 246, acessorios para instalação - Material e Mão de Obra </t>
        </is>
      </c>
      <c r="K1983" s="1786" t="inlineStr">
        <is>
          <t>m2</t>
        </is>
      </c>
      <c r="L1983" s="1787" t="e">
        <v>#REF!</v>
      </c>
      <c r="M1983" s="1787" t="n">
        <v>283.6163522012579</v>
      </c>
      <c r="N1983" s="1754" t="n"/>
      <c r="O1983" s="1788" t="inlineStr">
        <is>
          <t>Game center</t>
        </is>
      </c>
      <c r="P1983" s="1721" t="inlineStr">
        <is>
          <t>Pendente</t>
        </is>
      </c>
    </row>
    <row r="1984" hidden="1" outlineLevel="1" ht="13.5" customHeight="1">
      <c r="A1984" s="2117" t="n">
        <v>0</v>
      </c>
      <c r="B1984" s="2117" t="n">
        <v>15</v>
      </c>
      <c r="C1984" s="2117" t="n">
        <v>9</v>
      </c>
      <c r="D1984" s="2118" t="n">
        <v>0</v>
      </c>
      <c r="E1984" s="2118" t="n">
        <v>6</v>
      </c>
      <c r="G1984" s="1796" t="n"/>
      <c r="H1984" s="1771" t="inlineStr">
        <is>
          <t>ETAPA</t>
        </is>
      </c>
      <c r="I1984" s="1735" t="inlineStr">
        <is>
          <t>15.009</t>
        </is>
      </c>
      <c r="J1984" s="1773" t="inlineStr">
        <is>
          <t>REVESTIMENTOS E ACABAMENTOS INTERNOS EM TETO - Tipo diferenciado</t>
        </is>
      </c>
      <c r="K1984" s="1774" t="n"/>
      <c r="L1984" s="1775" t="n"/>
      <c r="M1984" s="1775" t="n"/>
      <c r="N1984" s="1739" t="n"/>
      <c r="O1984" s="1776" t="n"/>
      <c r="P1984" s="1719" t="n"/>
    </row>
    <row r="1985" hidden="1" outlineLevel="2" ht="13.5" customHeight="1">
      <c r="A1985" s="2117" t="n">
        <v>0</v>
      </c>
      <c r="B1985" s="2117" t="n">
        <v>15</v>
      </c>
      <c r="C1985" s="2117" t="n">
        <v>9</v>
      </c>
      <c r="D1985" s="2118" t="n">
        <v>1</v>
      </c>
      <c r="E1985" s="2118" t="n">
        <v>0</v>
      </c>
      <c r="G1985" s="1797" t="n"/>
      <c r="H1985" s="1777" t="inlineStr">
        <is>
          <t>SUBETAPA</t>
        </is>
      </c>
      <c r="I1985" s="1742" t="inlineStr">
        <is>
          <t>15.009.001</t>
        </is>
      </c>
      <c r="J1985" s="1779" t="inlineStr">
        <is>
          <t>Acabamento de gesso em teto</t>
        </is>
      </c>
      <c r="K1985" s="1780" t="n"/>
      <c r="L1985" s="1781" t="n"/>
      <c r="M1985" s="1781" t="n"/>
      <c r="N1985" s="1746" t="n"/>
      <c r="O1985" s="1782" t="n"/>
      <c r="P1985" s="1720" t="n"/>
    </row>
    <row r="1986" hidden="1" outlineLevel="3" ht="12.75" customHeight="1">
      <c r="A1986" s="2117" t="n">
        <v>0</v>
      </c>
      <c r="B1986" s="2117" t="n">
        <v>15</v>
      </c>
      <c r="C1986" s="2117" t="n">
        <v>9</v>
      </c>
      <c r="D1986" s="2118" t="n">
        <v>1</v>
      </c>
      <c r="E1986" s="2118" t="n">
        <v>1</v>
      </c>
      <c r="G1986" s="1798" t="inlineStr">
        <is>
          <t>ACABAMENTOS INTERNOS EM TETO</t>
        </is>
      </c>
      <c r="H1986" s="1783" t="inlineStr">
        <is>
          <t>SERVIÇO</t>
        </is>
      </c>
      <c r="I1986" s="1750" t="inlineStr">
        <is>
          <t>15.009.001.001</t>
        </is>
      </c>
      <c r="J1986" s="1785" t="inlineStr">
        <is>
          <t>Forro de gesso acartonado - áreas secas - Material e Mão de Obra</t>
        </is>
      </c>
      <c r="K1986" s="1786" t="inlineStr">
        <is>
          <t>m2</t>
        </is>
      </c>
      <c r="L1986" s="1787" t="e">
        <v>#REF!</v>
      </c>
      <c r="M1986" s="1787" t="n">
        <v>137.29</v>
      </c>
      <c r="N1986" s="1754" t="n"/>
      <c r="O1986" s="1788" t="n"/>
      <c r="P1986" s="1721" t="inlineStr">
        <is>
          <t>Pendente</t>
        </is>
      </c>
    </row>
    <row r="1987" hidden="1" outlineLevel="3" ht="13.5" customHeight="1">
      <c r="A1987" s="2117" t="n">
        <v>0</v>
      </c>
      <c r="B1987" s="2117" t="n">
        <v>15</v>
      </c>
      <c r="C1987" s="2117" t="n">
        <v>9</v>
      </c>
      <c r="D1987" s="2118" t="n">
        <v>1</v>
      </c>
      <c r="E1987" s="2118" t="n">
        <v>2</v>
      </c>
      <c r="G1987" s="1798" t="inlineStr">
        <is>
          <t>ACABAMENTOS INTERNOS EM TETO</t>
        </is>
      </c>
      <c r="H1987" s="1783" t="inlineStr">
        <is>
          <t>SERVIÇO</t>
        </is>
      </c>
      <c r="I1987" s="1750" t="inlineStr">
        <is>
          <t>15.009.001.002</t>
        </is>
      </c>
      <c r="J1987" s="1785" t="inlineStr">
        <is>
          <t>Forro de gesso acartonado - áreas úmidas - Material e Mão de Obra</t>
        </is>
      </c>
      <c r="K1987" s="1786" t="inlineStr">
        <is>
          <t>m2</t>
        </is>
      </c>
      <c r="L1987" s="1787" t="e">
        <v>#REF!</v>
      </c>
      <c r="M1987" s="1787" t="n">
        <v>164.748</v>
      </c>
      <c r="N1987" s="1754" t="n"/>
      <c r="O1987" s="1788" t="n"/>
      <c r="P1987" s="1721" t="inlineStr">
        <is>
          <t>Pendente</t>
        </is>
      </c>
    </row>
    <row r="1988" hidden="1" outlineLevel="3" ht="13.5" customHeight="1">
      <c r="A1988" s="2117" t="n">
        <v>0</v>
      </c>
      <c r="B1988" s="2117" t="n">
        <v>15</v>
      </c>
      <c r="C1988" s="2117" t="n">
        <v>9</v>
      </c>
      <c r="D1988" s="2118" t="n">
        <v>1</v>
      </c>
      <c r="E1988" s="2118" t="n">
        <v>3</v>
      </c>
      <c r="G1988" s="1798" t="inlineStr">
        <is>
          <t>ACABAMENTOS INTERNOS EM TETO</t>
        </is>
      </c>
      <c r="H1988" s="1783" t="inlineStr">
        <is>
          <t>SERVIÇO</t>
        </is>
      </c>
      <c r="I1988" s="1750" t="inlineStr">
        <is>
          <t>15.009.001.003</t>
        </is>
      </c>
      <c r="J1988" s="1785" t="inlineStr">
        <is>
          <t>Negativo de forro de gesso acartonado - área umida</t>
        </is>
      </c>
      <c r="K1988" s="1786" t="inlineStr">
        <is>
          <t>m</t>
        </is>
      </c>
      <c r="L1988" s="1787" t="e">
        <v>#REF!</v>
      </c>
      <c r="M1988" s="1787" t="n">
        <v>49.4244</v>
      </c>
      <c r="N1988" s="1754" t="n"/>
      <c r="O1988" s="1788" t="n"/>
      <c r="P1988" s="1721" t="inlineStr">
        <is>
          <t>Pendente</t>
        </is>
      </c>
    </row>
    <row r="1989" hidden="1" outlineLevel="3" ht="13.5" customHeight="1">
      <c r="A1989" s="2117" t="n">
        <v>0</v>
      </c>
      <c r="B1989" s="2117" t="n">
        <v>15</v>
      </c>
      <c r="C1989" s="2117" t="n">
        <v>9</v>
      </c>
      <c r="D1989" s="2118" t="n">
        <v>1</v>
      </c>
      <c r="E1989" s="2118" t="n">
        <v>4</v>
      </c>
      <c r="G1989" s="1798" t="inlineStr">
        <is>
          <t>ACABAMENTOS INTERNOS EM TETO</t>
        </is>
      </c>
      <c r="H1989" s="1783" t="inlineStr">
        <is>
          <t>SERVIÇO</t>
        </is>
      </c>
      <c r="I1989" s="1750" t="inlineStr">
        <is>
          <t>15.009.001.004</t>
        </is>
      </c>
      <c r="J1989" s="1785" t="inlineStr">
        <is>
          <t>Negativo de forro de gesso acartonado - área seca</t>
        </is>
      </c>
      <c r="K1989" s="1786" t="inlineStr">
        <is>
          <t>m</t>
        </is>
      </c>
      <c r="L1989" s="1787" t="e">
        <v>#REF!</v>
      </c>
      <c r="M1989" s="1787" t="n">
        <v>49.4244</v>
      </c>
      <c r="N1989" s="1754" t="n"/>
      <c r="O1989" s="1788" t="n"/>
      <c r="P1989" s="1721" t="inlineStr">
        <is>
          <t>Pendente</t>
        </is>
      </c>
    </row>
    <row r="1990" hidden="1" outlineLevel="3" ht="12.75" customHeight="1">
      <c r="A1990" s="2117" t="n">
        <v>0</v>
      </c>
      <c r="B1990" s="2117" t="n">
        <v>15</v>
      </c>
      <c r="C1990" s="2117" t="n">
        <v>9</v>
      </c>
      <c r="D1990" s="2118" t="n">
        <v>1</v>
      </c>
      <c r="E1990" s="2118" t="n">
        <v>5</v>
      </c>
      <c r="G1990" s="1798" t="inlineStr">
        <is>
          <t>ACABAMENTOS INTERNOS EM TETO</t>
        </is>
      </c>
      <c r="H1990" s="1783" t="inlineStr">
        <is>
          <t>SERVIÇO</t>
        </is>
      </c>
      <c r="I1990" s="1750" t="inlineStr">
        <is>
          <t>15.009.001.005</t>
        </is>
      </c>
      <c r="J1990" s="1785" t="inlineStr">
        <is>
          <t>Cortineiro em gesso com rasgo iluminado</t>
        </is>
      </c>
      <c r="K1990" s="1786" t="inlineStr">
        <is>
          <t>m</t>
        </is>
      </c>
      <c r="L1990" s="1787" t="e">
        <v>#REF!</v>
      </c>
      <c r="M1990" s="1787" t="n">
        <v>82.374</v>
      </c>
      <c r="N1990" s="1754" t="n"/>
      <c r="O1990" s="1788" t="n"/>
      <c r="P1990" s="1721" t="inlineStr">
        <is>
          <t>Pendente</t>
        </is>
      </c>
    </row>
    <row r="1991" hidden="1" outlineLevel="1" ht="13.5" customHeight="1">
      <c r="A1991" s="2117" t="n">
        <v>0</v>
      </c>
      <c r="B1991" s="2117" t="n">
        <v>15</v>
      </c>
      <c r="C1991" s="2117" t="n">
        <v>10</v>
      </c>
      <c r="D1991" s="2118" t="n">
        <v>0</v>
      </c>
      <c r="E1991" s="2118" t="n">
        <v>5</v>
      </c>
      <c r="G1991" s="1796" t="n"/>
      <c r="H1991" s="1771" t="inlineStr">
        <is>
          <t>ETAPA</t>
        </is>
      </c>
      <c r="I1991" s="1735" t="inlineStr">
        <is>
          <t>15.010</t>
        </is>
      </c>
      <c r="J1991" s="1773" t="inlineStr">
        <is>
          <t>REVESTIMENTOS E ACABAMENTOS INTERNOS EM TETO - Tipo x8</t>
        </is>
      </c>
      <c r="K1991" s="1774" t="n"/>
      <c r="L1991" s="1775" t="n"/>
      <c r="M1991" s="1775" t="n"/>
      <c r="N1991" s="1739" t="n"/>
      <c r="O1991" s="1776" t="n"/>
      <c r="P1991" s="1719" t="n"/>
    </row>
    <row r="1992" hidden="1" outlineLevel="2" ht="13.5" customHeight="1">
      <c r="A1992" s="2117" t="n">
        <v>0</v>
      </c>
      <c r="B1992" s="2117" t="n">
        <v>15</v>
      </c>
      <c r="C1992" s="2117" t="n">
        <v>10</v>
      </c>
      <c r="D1992" s="2118" t="n">
        <v>1</v>
      </c>
      <c r="E1992" s="2118" t="n">
        <v>0</v>
      </c>
      <c r="G1992" s="1797" t="n"/>
      <c r="H1992" s="1777" t="inlineStr">
        <is>
          <t>SUBETAPA</t>
        </is>
      </c>
      <c r="I1992" s="1742" t="inlineStr">
        <is>
          <t>15.010.001</t>
        </is>
      </c>
      <c r="J1992" s="1779" t="inlineStr">
        <is>
          <t>Acabamento de gesso em teto</t>
        </is>
      </c>
      <c r="K1992" s="1780" t="n"/>
      <c r="L1992" s="1781" t="n"/>
      <c r="M1992" s="1781" t="n"/>
      <c r="N1992" s="1746" t="n"/>
      <c r="O1992" s="1782" t="n"/>
      <c r="P1992" s="1720" t="n"/>
    </row>
    <row r="1993" hidden="1" outlineLevel="3" ht="12.75" customHeight="1">
      <c r="A1993" s="2117" t="n">
        <v>0</v>
      </c>
      <c r="B1993" s="2117" t="n">
        <v>15</v>
      </c>
      <c r="C1993" s="2117" t="n">
        <v>10</v>
      </c>
      <c r="D1993" s="2118" t="n">
        <v>1</v>
      </c>
      <c r="E1993" s="2118" t="n">
        <v>1</v>
      </c>
      <c r="G1993" s="1798" t="inlineStr">
        <is>
          <t>ACABAMENTOS INTERNOS EM TETO</t>
        </is>
      </c>
      <c r="H1993" s="1783" t="inlineStr">
        <is>
          <t>SERVIÇO</t>
        </is>
      </c>
      <c r="I1993" s="1750" t="inlineStr">
        <is>
          <t>15.010.001.001</t>
        </is>
      </c>
      <c r="J1993" s="1785" t="inlineStr">
        <is>
          <t>Forro de gesso acartonado - áreas secas - Material e Mão de Obra</t>
        </is>
      </c>
      <c r="K1993" s="1786" t="inlineStr">
        <is>
          <t>m2</t>
        </is>
      </c>
      <c r="L1993" s="1787" t="e">
        <v>#REF!</v>
      </c>
      <c r="M1993" s="1787" t="n">
        <v>137.29</v>
      </c>
      <c r="N1993" s="1754" t="n"/>
      <c r="O1993" s="1788" t="n"/>
      <c r="P1993" s="1721" t="inlineStr">
        <is>
          <t>Pendente</t>
        </is>
      </c>
    </row>
    <row r="1994" hidden="1" outlineLevel="3" ht="13.5" customHeight="1">
      <c r="A1994" s="2117" t="n">
        <v>0</v>
      </c>
      <c r="B1994" s="2117" t="n">
        <v>15</v>
      </c>
      <c r="C1994" s="2117" t="n">
        <v>10</v>
      </c>
      <c r="D1994" s="2118" t="n">
        <v>1</v>
      </c>
      <c r="E1994" s="2118" t="n">
        <v>2</v>
      </c>
      <c r="G1994" s="1798" t="inlineStr">
        <is>
          <t>ACABAMENTOS INTERNOS EM TETO</t>
        </is>
      </c>
      <c r="H1994" s="1783" t="inlineStr">
        <is>
          <t>SERVIÇO</t>
        </is>
      </c>
      <c r="I1994" s="1750" t="inlineStr">
        <is>
          <t>15.010.001.002</t>
        </is>
      </c>
      <c r="J1994" s="1785" t="inlineStr">
        <is>
          <t>Forro de gesso acartonado - áreas úmidas - Material e Mão de Obra</t>
        </is>
      </c>
      <c r="K1994" s="1786" t="inlineStr">
        <is>
          <t>m2</t>
        </is>
      </c>
      <c r="L1994" s="1787" t="e">
        <v>#REF!</v>
      </c>
      <c r="M1994" s="1787" t="n">
        <v>164.748</v>
      </c>
      <c r="N1994" s="1754" t="n"/>
      <c r="O1994" s="1788" t="n"/>
      <c r="P1994" s="1721" t="inlineStr">
        <is>
          <t>Pendente</t>
        </is>
      </c>
    </row>
    <row r="1995" hidden="1" outlineLevel="3" ht="13.5" customHeight="1">
      <c r="A1995" s="2117" t="n">
        <v>0</v>
      </c>
      <c r="B1995" s="2117" t="n">
        <v>15</v>
      </c>
      <c r="C1995" s="2117" t="n">
        <v>10</v>
      </c>
      <c r="D1995" s="2118" t="n">
        <v>1</v>
      </c>
      <c r="E1995" s="2118" t="n">
        <v>3</v>
      </c>
      <c r="G1995" s="1798" t="inlineStr">
        <is>
          <t>ACABAMENTOS INTERNOS EM TETO</t>
        </is>
      </c>
      <c r="H1995" s="1783" t="inlineStr">
        <is>
          <t>SERVIÇO</t>
        </is>
      </c>
      <c r="I1995" s="1750" t="inlineStr">
        <is>
          <t>15.010.001.003</t>
        </is>
      </c>
      <c r="J1995" s="1785" t="inlineStr">
        <is>
          <t>Negativo de forro de gesso acartonado - área umida</t>
        </is>
      </c>
      <c r="K1995" s="1786" t="inlineStr">
        <is>
          <t>m</t>
        </is>
      </c>
      <c r="L1995" s="1787" t="e">
        <v>#REF!</v>
      </c>
      <c r="M1995" s="1787" t="n">
        <v>49.4244</v>
      </c>
      <c r="N1995" s="1754" t="n"/>
      <c r="O1995" s="1788" t="n"/>
      <c r="P1995" s="1721" t="inlineStr">
        <is>
          <t>Pendente</t>
        </is>
      </c>
    </row>
    <row r="1996" hidden="1" outlineLevel="3" ht="13.5" customHeight="1">
      <c r="A1996" s="2117" t="n">
        <v>0</v>
      </c>
      <c r="B1996" s="2117" t="n">
        <v>15</v>
      </c>
      <c r="C1996" s="2117" t="n">
        <v>10</v>
      </c>
      <c r="D1996" s="2118" t="n">
        <v>1</v>
      </c>
      <c r="E1996" s="2118" t="n">
        <v>4</v>
      </c>
      <c r="G1996" s="1798" t="inlineStr">
        <is>
          <t>ACABAMENTOS INTERNOS EM TETO</t>
        </is>
      </c>
      <c r="H1996" s="1783" t="inlineStr">
        <is>
          <t>SERVIÇO</t>
        </is>
      </c>
      <c r="I1996" s="1750" t="inlineStr">
        <is>
          <t>15.010.001.004</t>
        </is>
      </c>
      <c r="J1996" s="1785" t="inlineStr">
        <is>
          <t>Negativo de forro de gesso acartonado - área seca</t>
        </is>
      </c>
      <c r="K1996" s="1786" t="inlineStr">
        <is>
          <t>m</t>
        </is>
      </c>
      <c r="L1996" s="1787" t="e">
        <v>#REF!</v>
      </c>
      <c r="M1996" s="1787" t="n">
        <v>49.4244</v>
      </c>
      <c r="N1996" s="1754" t="n"/>
      <c r="O1996" s="1788" t="n"/>
      <c r="P1996" s="1721" t="inlineStr">
        <is>
          <t>Pendente</t>
        </is>
      </c>
    </row>
    <row r="1997" hidden="1" outlineLevel="3" ht="12.75" customHeight="1">
      <c r="A1997" s="2117" t="n">
        <v>0</v>
      </c>
      <c r="B1997" s="2117" t="n">
        <v>15</v>
      </c>
      <c r="C1997" s="2117" t="n">
        <v>10</v>
      </c>
      <c r="D1997" s="2118" t="n">
        <v>1</v>
      </c>
      <c r="E1997" s="2118" t="n">
        <v>5</v>
      </c>
      <c r="G1997" s="1798" t="inlineStr">
        <is>
          <t>ACABAMENTOS INTERNOS EM TETO</t>
        </is>
      </c>
      <c r="H1997" s="1783" t="inlineStr">
        <is>
          <t>SERVIÇO</t>
        </is>
      </c>
      <c r="I1997" s="1750" t="inlineStr">
        <is>
          <t>15.010.001.005</t>
        </is>
      </c>
      <c r="J1997" s="1785" t="inlineStr">
        <is>
          <t>Cortineiro em gesso com rasgo iluminado</t>
        </is>
      </c>
      <c r="K1997" s="1786" t="inlineStr">
        <is>
          <t>m</t>
        </is>
      </c>
      <c r="L1997" s="1787" t="e">
        <v>#REF!</v>
      </c>
      <c r="M1997" s="1787" t="n">
        <v>82.374</v>
      </c>
      <c r="N1997" s="1754" t="n"/>
      <c r="O1997" s="1788" t="n"/>
      <c r="P1997" s="1721" t="inlineStr">
        <is>
          <t>Pendente</t>
        </is>
      </c>
    </row>
    <row r="1998" hidden="1" outlineLevel="1" ht="13.5" customHeight="1">
      <c r="A1998" s="2117" t="n">
        <v>0</v>
      </c>
      <c r="B1998" s="2117" t="n">
        <v>15</v>
      </c>
      <c r="C1998" s="2117" t="n">
        <v>11</v>
      </c>
      <c r="D1998" s="2118" t="n">
        <v>0</v>
      </c>
      <c r="E1998" s="2118" t="n">
        <v>5</v>
      </c>
      <c r="G1998" s="1796" t="n"/>
      <c r="H1998" s="1771" t="inlineStr">
        <is>
          <t>ETAPA</t>
        </is>
      </c>
      <c r="I1998" s="1735" t="inlineStr">
        <is>
          <t>15.011</t>
        </is>
      </c>
      <c r="J1998" s="1773" t="inlineStr">
        <is>
          <t>REVESTIMENTOS E ACABAMENTOS INTERNOS EM TETO - Penthouse x22</t>
        </is>
      </c>
      <c r="K1998" s="1774" t="n"/>
      <c r="L1998" s="1775" t="n"/>
      <c r="M1998" s="1775" t="n"/>
      <c r="N1998" s="1739" t="n"/>
      <c r="O1998" s="1776" t="n"/>
      <c r="P1998" s="1719" t="n"/>
    </row>
    <row r="1999" hidden="1" outlineLevel="2" ht="13.5" customHeight="1">
      <c r="A1999" s="2117" t="n">
        <v>0</v>
      </c>
      <c r="B1999" s="2117" t="n">
        <v>15</v>
      </c>
      <c r="C1999" s="2117" t="n">
        <v>11</v>
      </c>
      <c r="D1999" s="2118" t="n">
        <v>1</v>
      </c>
      <c r="E1999" s="2118" t="n">
        <v>0</v>
      </c>
      <c r="G1999" s="1797" t="n"/>
      <c r="H1999" s="1777" t="inlineStr">
        <is>
          <t>SUBETAPA</t>
        </is>
      </c>
      <c r="I1999" s="1742" t="inlineStr">
        <is>
          <t>15.011.001</t>
        </is>
      </c>
      <c r="J1999" s="1779" t="inlineStr">
        <is>
          <t>Acabamento de gesso em teto</t>
        </is>
      </c>
      <c r="K1999" s="1780" t="n"/>
      <c r="L1999" s="1781" t="n"/>
      <c r="M1999" s="1781" t="n"/>
      <c r="N1999" s="1746" t="n"/>
      <c r="O1999" s="1782" t="n"/>
      <c r="P1999" s="1720" t="n"/>
    </row>
    <row r="2000" hidden="1" outlineLevel="3" ht="12.75" customHeight="1">
      <c r="A2000" s="2117" t="n">
        <v>0</v>
      </c>
      <c r="B2000" s="2117" t="n">
        <v>15</v>
      </c>
      <c r="C2000" s="2117" t="n">
        <v>11</v>
      </c>
      <c r="D2000" s="2118" t="n">
        <v>1</v>
      </c>
      <c r="E2000" s="2118" t="n">
        <v>1</v>
      </c>
      <c r="G2000" s="1798" t="inlineStr">
        <is>
          <t>ACABAMENTOS INTERNOS EM TETO</t>
        </is>
      </c>
      <c r="H2000" s="1783" t="inlineStr">
        <is>
          <t>SERVIÇO</t>
        </is>
      </c>
      <c r="I2000" s="1750" t="inlineStr">
        <is>
          <t>15.011.001.001</t>
        </is>
      </c>
      <c r="J2000" s="1785" t="inlineStr">
        <is>
          <t>Forro de gesso acartonado - áreas secas - Material e Mão de Obra</t>
        </is>
      </c>
      <c r="K2000" s="1786" t="inlineStr">
        <is>
          <t>m2</t>
        </is>
      </c>
      <c r="L2000" s="1787" t="e">
        <v>#REF!</v>
      </c>
      <c r="M2000" s="1787" t="n">
        <v>137.29</v>
      </c>
      <c r="N2000" s="1754" t="n"/>
      <c r="O2000" s="1788" t="n"/>
      <c r="P2000" s="1721" t="inlineStr">
        <is>
          <t>Pendente</t>
        </is>
      </c>
    </row>
    <row r="2001" hidden="1" outlineLevel="3" ht="13.5" customHeight="1">
      <c r="A2001" s="2117" t="n">
        <v>0</v>
      </c>
      <c r="B2001" s="2117" t="n">
        <v>15</v>
      </c>
      <c r="C2001" s="2117" t="n">
        <v>11</v>
      </c>
      <c r="D2001" s="2118" t="n">
        <v>1</v>
      </c>
      <c r="E2001" s="2118" t="n">
        <v>2</v>
      </c>
      <c r="G2001" s="1798" t="inlineStr">
        <is>
          <t>ACABAMENTOS INTERNOS EM TETO</t>
        </is>
      </c>
      <c r="H2001" s="1783" t="inlineStr">
        <is>
          <t>SERVIÇO</t>
        </is>
      </c>
      <c r="I2001" s="1750" t="inlineStr">
        <is>
          <t>15.011.001.002</t>
        </is>
      </c>
      <c r="J2001" s="1785" t="inlineStr">
        <is>
          <t>Forro de gesso acartonado - áreas úmidas - Material e Mão de Obra</t>
        </is>
      </c>
      <c r="K2001" s="1786" t="inlineStr">
        <is>
          <t>m2</t>
        </is>
      </c>
      <c r="L2001" s="1787" t="e">
        <v>#REF!</v>
      </c>
      <c r="M2001" s="1787" t="n">
        <v>164.748</v>
      </c>
      <c r="N2001" s="1754" t="n"/>
      <c r="O2001" s="1788" t="n"/>
      <c r="P2001" s="1721" t="inlineStr">
        <is>
          <t>Pendente</t>
        </is>
      </c>
    </row>
    <row r="2002" hidden="1" outlineLevel="3" ht="13.5" customHeight="1">
      <c r="A2002" s="2117" t="n">
        <v>0</v>
      </c>
      <c r="B2002" s="2117" t="n">
        <v>15</v>
      </c>
      <c r="C2002" s="2117" t="n">
        <v>11</v>
      </c>
      <c r="D2002" s="2118" t="n">
        <v>1</v>
      </c>
      <c r="E2002" s="2118" t="n">
        <v>3</v>
      </c>
      <c r="G2002" s="1798" t="inlineStr">
        <is>
          <t>ACABAMENTOS INTERNOS EM TETO</t>
        </is>
      </c>
      <c r="H2002" s="1783" t="inlineStr">
        <is>
          <t>SERVIÇO</t>
        </is>
      </c>
      <c r="I2002" s="1750" t="inlineStr">
        <is>
          <t>15.011.001.003</t>
        </is>
      </c>
      <c r="J2002" s="1785" t="inlineStr">
        <is>
          <t>Negativo de forro de gesso acartonado - área umida</t>
        </is>
      </c>
      <c r="K2002" s="1786" t="inlineStr">
        <is>
          <t>m</t>
        </is>
      </c>
      <c r="L2002" s="1787" t="e">
        <v>#REF!</v>
      </c>
      <c r="M2002" s="1787" t="n">
        <v>49.4244</v>
      </c>
      <c r="N2002" s="1754" t="n"/>
      <c r="O2002" s="1788" t="n"/>
      <c r="P2002" s="1721" t="inlineStr">
        <is>
          <t>Pendente</t>
        </is>
      </c>
    </row>
    <row r="2003" hidden="1" outlineLevel="3" ht="13.5" customHeight="1">
      <c r="A2003" s="2117" t="n">
        <v>0</v>
      </c>
      <c r="B2003" s="2117" t="n">
        <v>15</v>
      </c>
      <c r="C2003" s="2117" t="n">
        <v>11</v>
      </c>
      <c r="D2003" s="2118" t="n">
        <v>1</v>
      </c>
      <c r="E2003" s="2118" t="n">
        <v>4</v>
      </c>
      <c r="G2003" s="1798" t="inlineStr">
        <is>
          <t>ACABAMENTOS INTERNOS EM TETO</t>
        </is>
      </c>
      <c r="H2003" s="1783" t="inlineStr">
        <is>
          <t>SERVIÇO</t>
        </is>
      </c>
      <c r="I2003" s="1750" t="inlineStr">
        <is>
          <t>15.011.001.004</t>
        </is>
      </c>
      <c r="J2003" s="1785" t="inlineStr">
        <is>
          <t>Negativo de forro de gesso acartonado - área seca</t>
        </is>
      </c>
      <c r="K2003" s="1786" t="inlineStr">
        <is>
          <t>m</t>
        </is>
      </c>
      <c r="L2003" s="1787" t="e">
        <v>#REF!</v>
      </c>
      <c r="M2003" s="1787" t="n">
        <v>49.4244</v>
      </c>
      <c r="N2003" s="1754" t="n"/>
      <c r="O2003" s="1788" t="n"/>
      <c r="P2003" s="1721" t="inlineStr">
        <is>
          <t>Pendente</t>
        </is>
      </c>
    </row>
    <row r="2004" hidden="1" outlineLevel="3" ht="12.75" customHeight="1">
      <c r="A2004" s="2117" t="n">
        <v>0</v>
      </c>
      <c r="B2004" s="2117" t="n">
        <v>15</v>
      </c>
      <c r="C2004" s="2117" t="n">
        <v>11</v>
      </c>
      <c r="D2004" s="2118" t="n">
        <v>1</v>
      </c>
      <c r="E2004" s="2118" t="n">
        <v>5</v>
      </c>
      <c r="G2004" s="1798" t="inlineStr">
        <is>
          <t>ACABAMENTOS INTERNOS EM TETO</t>
        </is>
      </c>
      <c r="H2004" s="1783" t="inlineStr">
        <is>
          <t>SERVIÇO</t>
        </is>
      </c>
      <c r="I2004" s="1750" t="inlineStr">
        <is>
          <t>15.011.001.005</t>
        </is>
      </c>
      <c r="J2004" s="1785" t="inlineStr">
        <is>
          <t>Cortineiro em gesso com rasgo iluminado</t>
        </is>
      </c>
      <c r="K2004" s="1786" t="inlineStr">
        <is>
          <t>m</t>
        </is>
      </c>
      <c r="L2004" s="1787" t="e">
        <v>#REF!</v>
      </c>
      <c r="M2004" s="1787" t="n">
        <v>82.374</v>
      </c>
      <c r="N2004" s="1754" t="n"/>
      <c r="O2004" s="1788" t="n"/>
      <c r="P2004" s="1721" t="inlineStr">
        <is>
          <t>Pendente</t>
        </is>
      </c>
    </row>
    <row r="2005" hidden="1" outlineLevel="1" ht="13.5" customHeight="1">
      <c r="A2005" s="2117" t="n">
        <v>0</v>
      </c>
      <c r="B2005" s="2117" t="n">
        <v>15</v>
      </c>
      <c r="C2005" s="2117" t="n">
        <v>12</v>
      </c>
      <c r="D2005" s="2118" t="n">
        <v>0</v>
      </c>
      <c r="E2005" s="2118" t="n">
        <v>5</v>
      </c>
      <c r="G2005" s="1796" t="n"/>
      <c r="H2005" s="1771" t="inlineStr">
        <is>
          <t>ETAPA</t>
        </is>
      </c>
      <c r="I2005" s="1735" t="inlineStr">
        <is>
          <t>15.012</t>
        </is>
      </c>
      <c r="J2005" s="1773" t="inlineStr">
        <is>
          <t>REVESTIMENTOS E ACABAMENTOS INTERNOS EM TETO - Duplex Inferior</t>
        </is>
      </c>
      <c r="K2005" s="1774" t="n"/>
      <c r="L2005" s="1775" t="n"/>
      <c r="M2005" s="1775" t="n"/>
      <c r="N2005" s="1739" t="n"/>
      <c r="O2005" s="1776" t="n"/>
      <c r="P2005" s="1719" t="n"/>
    </row>
    <row r="2006" hidden="1" outlineLevel="2" ht="13.5" customHeight="1">
      <c r="A2006" s="2117" t="n">
        <v>0</v>
      </c>
      <c r="B2006" s="2117" t="n">
        <v>15</v>
      </c>
      <c r="C2006" s="2117" t="n">
        <v>12</v>
      </c>
      <c r="D2006" s="2118" t="n">
        <v>1</v>
      </c>
      <c r="E2006" s="2118" t="n">
        <v>0</v>
      </c>
      <c r="G2006" s="1797" t="n"/>
      <c r="H2006" s="1777" t="inlineStr">
        <is>
          <t>SUBETAPA</t>
        </is>
      </c>
      <c r="I2006" s="1742" t="inlineStr">
        <is>
          <t>15.012.001</t>
        </is>
      </c>
      <c r="J2006" s="1779" t="inlineStr">
        <is>
          <t>Acabamento de gesso em teto</t>
        </is>
      </c>
      <c r="K2006" s="1780" t="n"/>
      <c r="L2006" s="1781" t="n"/>
      <c r="M2006" s="1781" t="n"/>
      <c r="N2006" s="1746" t="n"/>
      <c r="O2006" s="1782" t="n"/>
      <c r="P2006" s="1720" t="n"/>
    </row>
    <row r="2007" hidden="1" outlineLevel="3" ht="12.75" customHeight="1">
      <c r="A2007" s="2117" t="n">
        <v>0</v>
      </c>
      <c r="B2007" s="2117" t="n">
        <v>15</v>
      </c>
      <c r="C2007" s="2117" t="n">
        <v>12</v>
      </c>
      <c r="D2007" s="2118" t="n">
        <v>1</v>
      </c>
      <c r="E2007" s="2118" t="n">
        <v>1</v>
      </c>
      <c r="G2007" s="1798" t="inlineStr">
        <is>
          <t>ACABAMENTOS INTERNOS EM TETO</t>
        </is>
      </c>
      <c r="H2007" s="1783" t="inlineStr">
        <is>
          <t>SERVIÇO</t>
        </is>
      </c>
      <c r="I2007" s="1750" t="inlineStr">
        <is>
          <t>15.012.001.001</t>
        </is>
      </c>
      <c r="J2007" s="1785" t="inlineStr">
        <is>
          <t>Forro de gesso acartonado - áreas secas - Material e Mão de Obra</t>
        </is>
      </c>
      <c r="K2007" s="1786" t="inlineStr">
        <is>
          <t>m2</t>
        </is>
      </c>
      <c r="L2007" s="1787" t="e">
        <v>#REF!</v>
      </c>
      <c r="M2007" s="1787" t="n">
        <v>137.29</v>
      </c>
      <c r="N2007" s="1754" t="n"/>
      <c r="O2007" s="1788" t="n"/>
      <c r="P2007" s="1721" t="inlineStr">
        <is>
          <t>Pendente</t>
        </is>
      </c>
    </row>
    <row r="2008" hidden="1" outlineLevel="3" ht="13.5" customHeight="1">
      <c r="A2008" s="2117" t="n">
        <v>0</v>
      </c>
      <c r="B2008" s="2117" t="n">
        <v>15</v>
      </c>
      <c r="C2008" s="2117" t="n">
        <v>12</v>
      </c>
      <c r="D2008" s="2118" t="n">
        <v>1</v>
      </c>
      <c r="E2008" s="2118" t="n">
        <v>2</v>
      </c>
      <c r="G2008" s="1798" t="inlineStr">
        <is>
          <t>ACABAMENTOS INTERNOS EM TETO</t>
        </is>
      </c>
      <c r="H2008" s="1783" t="inlineStr">
        <is>
          <t>SERVIÇO</t>
        </is>
      </c>
      <c r="I2008" s="1750" t="inlineStr">
        <is>
          <t>15.012.001.002</t>
        </is>
      </c>
      <c r="J2008" s="1785" t="inlineStr">
        <is>
          <t>Forro de gesso acartonado - áreas úmidas - Material e Mão de Obra</t>
        </is>
      </c>
      <c r="K2008" s="1786" t="inlineStr">
        <is>
          <t>m2</t>
        </is>
      </c>
      <c r="L2008" s="1787" t="e">
        <v>#REF!</v>
      </c>
      <c r="M2008" s="1787" t="n">
        <v>164.748</v>
      </c>
      <c r="N2008" s="1754" t="n"/>
      <c r="O2008" s="1788" t="n"/>
      <c r="P2008" s="1721" t="inlineStr">
        <is>
          <t>Pendente</t>
        </is>
      </c>
    </row>
    <row r="2009" hidden="1" outlineLevel="3" ht="13.5" customHeight="1">
      <c r="A2009" s="2117" t="n">
        <v>0</v>
      </c>
      <c r="B2009" s="2117" t="n">
        <v>15</v>
      </c>
      <c r="C2009" s="2117" t="n">
        <v>12</v>
      </c>
      <c r="D2009" s="2118" t="n">
        <v>1</v>
      </c>
      <c r="E2009" s="2118" t="n">
        <v>3</v>
      </c>
      <c r="G2009" s="1798" t="inlineStr">
        <is>
          <t>ACABAMENTOS INTERNOS EM TETO</t>
        </is>
      </c>
      <c r="H2009" s="1783" t="inlineStr">
        <is>
          <t>SERVIÇO</t>
        </is>
      </c>
      <c r="I2009" s="1750" t="inlineStr">
        <is>
          <t>15.012.001.003</t>
        </is>
      </c>
      <c r="J2009" s="1785" t="inlineStr">
        <is>
          <t>Negativo de forro de gesso acartonado - área umida</t>
        </is>
      </c>
      <c r="K2009" s="1786" t="inlineStr">
        <is>
          <t>m</t>
        </is>
      </c>
      <c r="L2009" s="1787" t="e">
        <v>#REF!</v>
      </c>
      <c r="M2009" s="1787" t="n">
        <v>49.4244</v>
      </c>
      <c r="N2009" s="1754" t="n"/>
      <c r="O2009" s="1788" t="n"/>
      <c r="P2009" s="1721" t="inlineStr">
        <is>
          <t>Pendente</t>
        </is>
      </c>
    </row>
    <row r="2010" hidden="1" outlineLevel="3" ht="13.5" customHeight="1">
      <c r="A2010" s="2117" t="n">
        <v>0</v>
      </c>
      <c r="B2010" s="2117" t="n">
        <v>15</v>
      </c>
      <c r="C2010" s="2117" t="n">
        <v>12</v>
      </c>
      <c r="D2010" s="2118" t="n">
        <v>1</v>
      </c>
      <c r="E2010" s="2118" t="n">
        <v>4</v>
      </c>
      <c r="G2010" s="1798" t="inlineStr">
        <is>
          <t>ACABAMENTOS INTERNOS EM TETO</t>
        </is>
      </c>
      <c r="H2010" s="1783" t="inlineStr">
        <is>
          <t>SERVIÇO</t>
        </is>
      </c>
      <c r="I2010" s="1750" t="inlineStr">
        <is>
          <t>15.012.001.004</t>
        </is>
      </c>
      <c r="J2010" s="1785" t="inlineStr">
        <is>
          <t>Negativo de forro de gesso acartonado - área seca</t>
        </is>
      </c>
      <c r="K2010" s="1786" t="inlineStr">
        <is>
          <t>m</t>
        </is>
      </c>
      <c r="L2010" s="1787" t="e">
        <v>#REF!</v>
      </c>
      <c r="M2010" s="1787" t="n">
        <v>49.4244</v>
      </c>
      <c r="N2010" s="1754" t="n"/>
      <c r="O2010" s="1788" t="n"/>
      <c r="P2010" s="1721" t="inlineStr">
        <is>
          <t>Pendente</t>
        </is>
      </c>
    </row>
    <row r="2011" hidden="1" outlineLevel="3" ht="12.75" customHeight="1">
      <c r="A2011" s="2117" t="n">
        <v>0</v>
      </c>
      <c r="B2011" s="2117" t="n">
        <v>15</v>
      </c>
      <c r="C2011" s="2117" t="n">
        <v>12</v>
      </c>
      <c r="D2011" s="2118" t="n">
        <v>1</v>
      </c>
      <c r="E2011" s="2118" t="n">
        <v>5</v>
      </c>
      <c r="G2011" s="1798" t="inlineStr">
        <is>
          <t>ACABAMENTOS INTERNOS EM TETO</t>
        </is>
      </c>
      <c r="H2011" s="1783" t="inlineStr">
        <is>
          <t>SERVIÇO</t>
        </is>
      </c>
      <c r="I2011" s="1750" t="inlineStr">
        <is>
          <t>15.012.001.005</t>
        </is>
      </c>
      <c r="J2011" s="1785" t="inlineStr">
        <is>
          <t>Cortineiro em gesso com rasgo iluminado</t>
        </is>
      </c>
      <c r="K2011" s="1786" t="inlineStr">
        <is>
          <t>m</t>
        </is>
      </c>
      <c r="L2011" s="1787" t="e">
        <v>#REF!</v>
      </c>
      <c r="M2011" s="1787" t="n">
        <v>82.374</v>
      </c>
      <c r="N2011" s="1754" t="n"/>
      <c r="O2011" s="1788" t="n"/>
      <c r="P2011" s="1721" t="inlineStr">
        <is>
          <t>Pendente</t>
        </is>
      </c>
    </row>
    <row r="2012" hidden="1" outlineLevel="1" ht="13.5" customHeight="1">
      <c r="A2012" s="2117" t="n">
        <v>0</v>
      </c>
      <c r="B2012" s="2117" t="n">
        <v>15</v>
      </c>
      <c r="C2012" s="2117" t="n">
        <v>13</v>
      </c>
      <c r="D2012" s="2118" t="n">
        <v>0</v>
      </c>
      <c r="E2012" s="2118" t="n">
        <v>5</v>
      </c>
      <c r="G2012" s="1796" t="n"/>
      <c r="H2012" s="1771" t="inlineStr">
        <is>
          <t>ETAPA</t>
        </is>
      </c>
      <c r="I2012" s="1735" t="inlineStr">
        <is>
          <t>15.013</t>
        </is>
      </c>
      <c r="J2012" s="1773" t="inlineStr">
        <is>
          <t>REVESTIMENTOS E ACABAMENTOS INTERNOS EM TETO - Duplex Superior</t>
        </is>
      </c>
      <c r="K2012" s="1774" t="n"/>
      <c r="L2012" s="1775" t="n"/>
      <c r="M2012" s="1775" t="n"/>
      <c r="N2012" s="1739" t="n"/>
      <c r="O2012" s="1776" t="n"/>
      <c r="P2012" s="1719" t="n"/>
    </row>
    <row r="2013" hidden="1" outlineLevel="2" ht="13.5" customHeight="1">
      <c r="A2013" s="2117" t="n">
        <v>0</v>
      </c>
      <c r="B2013" s="2117" t="n">
        <v>15</v>
      </c>
      <c r="C2013" s="2117" t="n">
        <v>13</v>
      </c>
      <c r="D2013" s="2118" t="n">
        <v>1</v>
      </c>
      <c r="E2013" s="2118" t="n">
        <v>0</v>
      </c>
      <c r="G2013" s="1797" t="n"/>
      <c r="H2013" s="1777" t="inlineStr">
        <is>
          <t>SUBETAPA</t>
        </is>
      </c>
      <c r="I2013" s="1742" t="inlineStr">
        <is>
          <t>15.013.001</t>
        </is>
      </c>
      <c r="J2013" s="1779" t="inlineStr">
        <is>
          <t>Revestimento interno argamassado em teto</t>
        </is>
      </c>
      <c r="K2013" s="1780" t="n"/>
      <c r="L2013" s="1781" t="n"/>
      <c r="M2013" s="1781" t="n"/>
      <c r="N2013" s="1746" t="n"/>
      <c r="O2013" s="1782" t="n"/>
      <c r="P2013" s="1720" t="n"/>
    </row>
    <row r="2014" hidden="1" outlineLevel="3" ht="13.5" customHeight="1">
      <c r="A2014" s="2117" t="n">
        <v>0</v>
      </c>
      <c r="B2014" s="2117" t="n">
        <v>15</v>
      </c>
      <c r="C2014" s="2117" t="n">
        <v>13</v>
      </c>
      <c r="D2014" s="2118" t="n">
        <v>1</v>
      </c>
      <c r="E2014" s="2118" t="n">
        <v>1</v>
      </c>
      <c r="G2014" s="1798" t="inlineStr">
        <is>
          <t>REVESTIMENTOS ARGAMASSADOS TETO</t>
        </is>
      </c>
      <c r="H2014" s="1783" t="inlineStr">
        <is>
          <t>SERVIÇO</t>
        </is>
      </c>
      <c r="I2014" s="1750" t="inlineStr">
        <is>
          <t>15.013.001.001</t>
        </is>
      </c>
      <c r="J2014" s="1785" t="inlineStr">
        <is>
          <t>Estucamento de teto</t>
        </is>
      </c>
      <c r="K2014" s="1786" t="inlineStr">
        <is>
          <t>m2</t>
        </is>
      </c>
      <c r="L2014" s="1787" t="e">
        <v>#REF!</v>
      </c>
      <c r="M2014" s="1787" t="n">
        <v>5.102916666666666</v>
      </c>
      <c r="N2014" s="1754" t="n"/>
      <c r="O2014" s="1788" t="n"/>
      <c r="P2014" s="1721" t="inlineStr">
        <is>
          <t>Pendente</t>
        </is>
      </c>
    </row>
    <row r="2015" hidden="1" outlineLevel="2" ht="13.5" customHeight="1">
      <c r="A2015" s="2117" t="n">
        <v>0</v>
      </c>
      <c r="B2015" s="2117" t="n">
        <v>15</v>
      </c>
      <c r="C2015" s="2117" t="n">
        <v>13</v>
      </c>
      <c r="D2015" s="2118" t="n">
        <v>2</v>
      </c>
      <c r="E2015" s="2118" t="n">
        <v>0</v>
      </c>
      <c r="G2015" s="1797" t="n"/>
      <c r="H2015" s="1777" t="inlineStr">
        <is>
          <t>SUBETAPA</t>
        </is>
      </c>
      <c r="I2015" s="1742" t="inlineStr">
        <is>
          <t>15.013.002</t>
        </is>
      </c>
      <c r="J2015" s="1779" t="inlineStr">
        <is>
          <t>Acabamento de gesso em teto</t>
        </is>
      </c>
      <c r="K2015" s="1780" t="n"/>
      <c r="L2015" s="1781" t="n"/>
      <c r="M2015" s="1781" t="n"/>
      <c r="N2015" s="1746" t="n"/>
      <c r="O2015" s="1782" t="n"/>
      <c r="P2015" s="1720" t="n"/>
    </row>
    <row r="2016" hidden="1" outlineLevel="3" ht="12.75" customHeight="1">
      <c r="A2016" s="2117" t="n">
        <v>0</v>
      </c>
      <c r="B2016" s="2117" t="n">
        <v>15</v>
      </c>
      <c r="C2016" s="2117" t="n">
        <v>13</v>
      </c>
      <c r="D2016" s="2118" t="n">
        <v>2</v>
      </c>
      <c r="E2016" s="2118" t="n">
        <v>1</v>
      </c>
      <c r="G2016" s="1798" t="inlineStr">
        <is>
          <t>ACABAMENTOS INTERNOS EM TETO</t>
        </is>
      </c>
      <c r="H2016" s="1783" t="inlineStr">
        <is>
          <t>SERVIÇO</t>
        </is>
      </c>
      <c r="I2016" s="1750" t="inlineStr">
        <is>
          <t>15.013.002.001</t>
        </is>
      </c>
      <c r="J2016" s="1785" t="inlineStr">
        <is>
          <t>Forro de gesso acartonado - áreas secas - Material e Mão de Obra</t>
        </is>
      </c>
      <c r="K2016" s="1786" t="inlineStr">
        <is>
          <t>m2</t>
        </is>
      </c>
      <c r="L2016" s="1787" t="e">
        <v>#REF!</v>
      </c>
      <c r="M2016" s="1787" t="n">
        <v>137.29</v>
      </c>
      <c r="N2016" s="1754" t="n"/>
      <c r="O2016" s="1788" t="n"/>
      <c r="P2016" s="1721" t="inlineStr">
        <is>
          <t>Pendente</t>
        </is>
      </c>
    </row>
    <row r="2017" hidden="1" outlineLevel="3" ht="13.5" customHeight="1">
      <c r="A2017" s="2117" t="n">
        <v>0</v>
      </c>
      <c r="B2017" s="2117" t="n">
        <v>15</v>
      </c>
      <c r="C2017" s="2117" t="n">
        <v>13</v>
      </c>
      <c r="D2017" s="2118" t="n">
        <v>2</v>
      </c>
      <c r="E2017" s="2118" t="n">
        <v>2</v>
      </c>
      <c r="G2017" s="1798" t="inlineStr">
        <is>
          <t>ACABAMENTOS INTERNOS EM TETO</t>
        </is>
      </c>
      <c r="H2017" s="1783" t="inlineStr">
        <is>
          <t>SERVIÇO</t>
        </is>
      </c>
      <c r="I2017" s="1750" t="inlineStr">
        <is>
          <t>15.013.002.002</t>
        </is>
      </c>
      <c r="J2017" s="1785" t="inlineStr">
        <is>
          <t>Forro de gesso acartonado - áreas úmidas - Material e Mão de Obra</t>
        </is>
      </c>
      <c r="K2017" s="1786" t="inlineStr">
        <is>
          <t>m2</t>
        </is>
      </c>
      <c r="L2017" s="1787" t="e">
        <v>#REF!</v>
      </c>
      <c r="M2017" s="1787" t="n">
        <v>164.748</v>
      </c>
      <c r="N2017" s="1754" t="n"/>
      <c r="O2017" s="1788" t="n"/>
      <c r="P2017" s="1721" t="inlineStr">
        <is>
          <t>Pendente</t>
        </is>
      </c>
    </row>
    <row r="2018" hidden="1" outlineLevel="3" ht="13.5" customHeight="1">
      <c r="A2018" s="2117" t="n">
        <v>0</v>
      </c>
      <c r="B2018" s="2117" t="n">
        <v>15</v>
      </c>
      <c r="C2018" s="2117" t="n">
        <v>13</v>
      </c>
      <c r="D2018" s="2118" t="n">
        <v>2</v>
      </c>
      <c r="E2018" s="2118" t="n">
        <v>3</v>
      </c>
      <c r="G2018" s="1798" t="inlineStr">
        <is>
          <t>ACABAMENTOS INTERNOS EM TETO</t>
        </is>
      </c>
      <c r="H2018" s="1783" t="inlineStr">
        <is>
          <t>SERVIÇO</t>
        </is>
      </c>
      <c r="I2018" s="1750" t="inlineStr">
        <is>
          <t>15.013.002.003</t>
        </is>
      </c>
      <c r="J2018" s="1785" t="inlineStr">
        <is>
          <t>Negativo de forro de gesso acartonado - área umida</t>
        </is>
      </c>
      <c r="K2018" s="1786" t="inlineStr">
        <is>
          <t>m</t>
        </is>
      </c>
      <c r="L2018" s="1787" t="e">
        <v>#REF!</v>
      </c>
      <c r="M2018" s="1787" t="n">
        <v>49.4244</v>
      </c>
      <c r="N2018" s="1754" t="n"/>
      <c r="O2018" s="1788" t="n"/>
      <c r="P2018" s="1721" t="inlineStr">
        <is>
          <t>Pendente</t>
        </is>
      </c>
    </row>
    <row r="2019" hidden="1" outlineLevel="3" ht="13.5" customHeight="1">
      <c r="A2019" s="2117" t="n">
        <v>0</v>
      </c>
      <c r="B2019" s="2117" t="n">
        <v>15</v>
      </c>
      <c r="C2019" s="2117" t="n">
        <v>13</v>
      </c>
      <c r="D2019" s="2118" t="n">
        <v>2</v>
      </c>
      <c r="E2019" s="2118" t="n">
        <v>4</v>
      </c>
      <c r="G2019" s="1798" t="inlineStr">
        <is>
          <t>ACABAMENTOS INTERNOS EM TETO</t>
        </is>
      </c>
      <c r="H2019" s="1783" t="inlineStr">
        <is>
          <t>SERVIÇO</t>
        </is>
      </c>
      <c r="I2019" s="1750" t="inlineStr">
        <is>
          <t>15.013.002.004</t>
        </is>
      </c>
      <c r="J2019" s="1785" t="inlineStr">
        <is>
          <t>Negativo de forro de gesso acartonado - área seca</t>
        </is>
      </c>
      <c r="K2019" s="1786" t="inlineStr">
        <is>
          <t>m</t>
        </is>
      </c>
      <c r="L2019" s="1787" t="e">
        <v>#REF!</v>
      </c>
      <c r="M2019" s="1787" t="n">
        <v>49.4244</v>
      </c>
      <c r="N2019" s="1754" t="n"/>
      <c r="O2019" s="1788" t="n"/>
      <c r="P2019" s="1721" t="inlineStr">
        <is>
          <t>Pendente</t>
        </is>
      </c>
    </row>
    <row r="2020" hidden="1" outlineLevel="3" ht="12.75" customHeight="1">
      <c r="A2020" s="2117" t="n">
        <v>0</v>
      </c>
      <c r="B2020" s="2117" t="n">
        <v>15</v>
      </c>
      <c r="C2020" s="2117" t="n">
        <v>13</v>
      </c>
      <c r="D2020" s="2118" t="n">
        <v>2</v>
      </c>
      <c r="E2020" s="2118" t="n">
        <v>5</v>
      </c>
      <c r="G2020" s="1798" t="inlineStr">
        <is>
          <t>ACABAMENTOS INTERNOS EM TETO</t>
        </is>
      </c>
      <c r="H2020" s="1783" t="inlineStr">
        <is>
          <t>SERVIÇO</t>
        </is>
      </c>
      <c r="I2020" s="1750" t="inlineStr">
        <is>
          <t>15.013.002.005</t>
        </is>
      </c>
      <c r="J2020" s="1785" t="inlineStr">
        <is>
          <t>Cortineiro em gesso com rasgo iluminado</t>
        </is>
      </c>
      <c r="K2020" s="1786" t="inlineStr">
        <is>
          <t>m</t>
        </is>
      </c>
      <c r="L2020" s="1787" t="e">
        <v>#REF!</v>
      </c>
      <c r="M2020" s="1787" t="n">
        <v>82.374</v>
      </c>
      <c r="N2020" s="1754" t="n"/>
      <c r="O2020" s="1788" t="n"/>
      <c r="P2020" s="1721" t="inlineStr">
        <is>
          <t>Pendente</t>
        </is>
      </c>
    </row>
    <row r="2021" hidden="1" outlineLevel="2" ht="13.5" customHeight="1">
      <c r="A2021" s="2117" t="n">
        <v>0</v>
      </c>
      <c r="B2021" s="2117" t="n">
        <v>15</v>
      </c>
      <c r="C2021" s="2117" t="n">
        <v>13</v>
      </c>
      <c r="D2021" s="2118" t="n">
        <v>3</v>
      </c>
      <c r="E2021" s="2118" t="n">
        <v>0</v>
      </c>
      <c r="G2021" s="1797" t="n"/>
      <c r="H2021" s="1777" t="inlineStr">
        <is>
          <t>SUBETAPA</t>
        </is>
      </c>
      <c r="I2021" s="1742" t="inlineStr">
        <is>
          <t>15.013.003</t>
        </is>
      </c>
      <c r="J2021" s="1779" t="inlineStr">
        <is>
          <t>Mão de obra</t>
        </is>
      </c>
      <c r="K2021" s="1780" t="n"/>
      <c r="L2021" s="1781" t="n"/>
      <c r="M2021" s="1781" t="n"/>
      <c r="N2021" s="1746" t="n"/>
      <c r="O2021" s="1782" t="n"/>
      <c r="P2021" s="1720" t="n"/>
    </row>
    <row r="2022" hidden="1" outlineLevel="3" ht="13.5" customHeight="1">
      <c r="A2022" s="2117" t="n">
        <v>0</v>
      </c>
      <c r="B2022" s="2117" t="n">
        <v>15</v>
      </c>
      <c r="C2022" s="2117" t="n">
        <v>13</v>
      </c>
      <c r="D2022" s="2118" t="n">
        <v>3</v>
      </c>
      <c r="E2022" s="2118" t="n">
        <v>1</v>
      </c>
      <c r="G2022" s="1798" t="inlineStr">
        <is>
          <t>REVESTIMENTOS ARGAMASSADOS TETO</t>
        </is>
      </c>
      <c r="H2022" s="1783" t="inlineStr">
        <is>
          <t>SERVIÇO</t>
        </is>
      </c>
      <c r="I2022" s="1750" t="inlineStr">
        <is>
          <t>15.013.003.001</t>
        </is>
      </c>
      <c r="J2022" s="1785" t="inlineStr">
        <is>
          <t>Mão de obra execução de estucamento em teto</t>
        </is>
      </c>
      <c r="K2022" s="1786" t="inlineStr">
        <is>
          <t>m2</t>
        </is>
      </c>
      <c r="L2022" s="1787" t="e">
        <v>#REF!</v>
      </c>
      <c r="M2022" s="1787" t="n">
        <v>25</v>
      </c>
      <c r="N2022" s="1754" t="n"/>
      <c r="O2022" s="1788" t="n"/>
      <c r="P2022" s="1721" t="inlineStr">
        <is>
          <t>Pendente</t>
        </is>
      </c>
    </row>
    <row r="2023" hidden="1" outlineLevel="1" ht="13.5" customHeight="1">
      <c r="A2023" s="2117" t="n">
        <v>0</v>
      </c>
      <c r="B2023" s="2117" t="n">
        <v>15</v>
      </c>
      <c r="C2023" s="2117" t="n">
        <v>14</v>
      </c>
      <c r="D2023" s="2118" t="n">
        <v>0</v>
      </c>
      <c r="E2023" s="2118" t="n">
        <v>1</v>
      </c>
      <c r="G2023" s="1796" t="n"/>
      <c r="H2023" s="1771" t="inlineStr">
        <is>
          <t>ETAPA</t>
        </is>
      </c>
      <c r="I2023" s="1735" t="inlineStr">
        <is>
          <t>15.014</t>
        </is>
      </c>
      <c r="J2023" s="1773" t="inlineStr">
        <is>
          <t>REVESTIMENTOS E ACABAMENTOS INTERNOS EM TETO - Cobertura | Barrilete</t>
        </is>
      </c>
      <c r="K2023" s="1774" t="n"/>
      <c r="L2023" s="1775" t="n"/>
      <c r="M2023" s="1775" t="n"/>
      <c r="N2023" s="1739" t="n"/>
      <c r="O2023" s="1776" t="n"/>
      <c r="P2023" s="1719" t="n"/>
    </row>
    <row r="2024" hidden="1" outlineLevel="2" ht="13.5" customHeight="1">
      <c r="A2024" s="2117" t="n">
        <v>0</v>
      </c>
      <c r="B2024" s="2117" t="n">
        <v>15</v>
      </c>
      <c r="C2024" s="2117" t="n">
        <v>14</v>
      </c>
      <c r="D2024" s="2118" t="n">
        <v>1</v>
      </c>
      <c r="E2024" s="2118" t="n">
        <v>0</v>
      </c>
      <c r="G2024" s="1797" t="n"/>
      <c r="H2024" s="1777" t="inlineStr">
        <is>
          <t>SUBETAPA</t>
        </is>
      </c>
      <c r="I2024" s="1742" t="inlineStr">
        <is>
          <t>15.014.001</t>
        </is>
      </c>
      <c r="J2024" s="1779" t="inlineStr">
        <is>
          <t>Revestimento interno argamassado em teto</t>
        </is>
      </c>
      <c r="K2024" s="1780" t="n"/>
      <c r="L2024" s="1781" t="n"/>
      <c r="M2024" s="1781" t="n"/>
      <c r="N2024" s="1746" t="n"/>
      <c r="O2024" s="1782" t="n"/>
      <c r="P2024" s="1720" t="n"/>
    </row>
    <row r="2025" hidden="1" outlineLevel="3" ht="13.5" customHeight="1">
      <c r="A2025" s="2117" t="n">
        <v>0</v>
      </c>
      <c r="B2025" s="2117" t="n">
        <v>15</v>
      </c>
      <c r="C2025" s="2117" t="n">
        <v>14</v>
      </c>
      <c r="D2025" s="2118" t="n">
        <v>1</v>
      </c>
      <c r="E2025" s="2118" t="n">
        <v>1</v>
      </c>
      <c r="G2025" s="1798" t="inlineStr">
        <is>
          <t>REVESTIMENTOS ARGAMASSADOS TETO</t>
        </is>
      </c>
      <c r="H2025" s="1783" t="inlineStr">
        <is>
          <t>SERVIÇO</t>
        </is>
      </c>
      <c r="I2025" s="1750" t="inlineStr">
        <is>
          <t>15.014.001.001</t>
        </is>
      </c>
      <c r="J2025" s="1785" t="inlineStr">
        <is>
          <t>Estucamento de teto</t>
        </is>
      </c>
      <c r="K2025" s="1786" t="inlineStr">
        <is>
          <t>m2</t>
        </is>
      </c>
      <c r="L2025" s="1787" t="e">
        <v>#REF!</v>
      </c>
      <c r="M2025" s="1787" t="n">
        <v>5.102916666666666</v>
      </c>
      <c r="N2025" s="1754" t="n"/>
      <c r="O2025" s="1788" t="n"/>
      <c r="P2025" s="1721" t="inlineStr">
        <is>
          <t>Pendente</t>
        </is>
      </c>
    </row>
    <row r="2026" hidden="1" outlineLevel="2" ht="13.5" customHeight="1">
      <c r="A2026" s="2117" t="n">
        <v>0</v>
      </c>
      <c r="B2026" s="2117" t="n">
        <v>15</v>
      </c>
      <c r="C2026" s="2117" t="n">
        <v>14</v>
      </c>
      <c r="D2026" s="2118" t="n">
        <v>2</v>
      </c>
      <c r="E2026" s="2118" t="n">
        <v>0</v>
      </c>
      <c r="G2026" s="1797" t="n"/>
      <c r="H2026" s="1777" t="inlineStr">
        <is>
          <t>SUBETAPA</t>
        </is>
      </c>
      <c r="I2026" s="1742" t="inlineStr">
        <is>
          <t>15.014.002</t>
        </is>
      </c>
      <c r="J2026" s="1779" t="inlineStr">
        <is>
          <t>Acabamento de gesso em teto</t>
        </is>
      </c>
      <c r="K2026" s="1780" t="n"/>
      <c r="L2026" s="1781" t="n"/>
      <c r="M2026" s="1781" t="n"/>
      <c r="N2026" s="1746" t="n"/>
      <c r="O2026" s="1782" t="n"/>
      <c r="P2026" s="1720" t="n"/>
    </row>
    <row r="2027" hidden="1" outlineLevel="3" ht="12.75" customHeight="1">
      <c r="A2027" s="2117" t="n">
        <v>0</v>
      </c>
      <c r="B2027" s="2117" t="n">
        <v>15</v>
      </c>
      <c r="C2027" s="2117" t="n">
        <v>14</v>
      </c>
      <c r="D2027" s="2118" t="n">
        <v>2</v>
      </c>
      <c r="E2027" s="2118" t="n">
        <v>1</v>
      </c>
      <c r="G2027" s="1798" t="inlineStr">
        <is>
          <t>ACABAMENTOS INTERNOS EM TETO</t>
        </is>
      </c>
      <c r="H2027" s="1783" t="inlineStr">
        <is>
          <t>SERVIÇO</t>
        </is>
      </c>
      <c r="I2027" s="1750" t="inlineStr">
        <is>
          <t>15.014.002.001</t>
        </is>
      </c>
      <c r="J2027" s="1785" t="inlineStr">
        <is>
          <t>Forro de gesso acartonado - áreas secas - Material e Mão de Obra</t>
        </is>
      </c>
      <c r="K2027" s="1786" t="inlineStr">
        <is>
          <t>m2</t>
        </is>
      </c>
      <c r="L2027" s="1787" t="e">
        <v>#REF!</v>
      </c>
      <c r="M2027" s="1787" t="n">
        <v>137.29</v>
      </c>
      <c r="N2027" s="1754" t="n"/>
      <c r="O2027" s="1788" t="n"/>
      <c r="P2027" s="1721" t="inlineStr">
        <is>
          <t>Pendente</t>
        </is>
      </c>
    </row>
    <row r="2028" hidden="1" outlineLevel="3" ht="13.5" customHeight="1">
      <c r="A2028" s="2117" t="n">
        <v>0</v>
      </c>
      <c r="B2028" s="2117" t="n">
        <v>15</v>
      </c>
      <c r="C2028" s="2117" t="n">
        <v>14</v>
      </c>
      <c r="D2028" s="2118" t="n">
        <v>2</v>
      </c>
      <c r="E2028" s="2118" t="n">
        <v>2</v>
      </c>
      <c r="G2028" s="1798" t="inlineStr">
        <is>
          <t>ACABAMENTOS INTERNOS EM TETO</t>
        </is>
      </c>
      <c r="H2028" s="1783" t="inlineStr">
        <is>
          <t>SERVIÇO</t>
        </is>
      </c>
      <c r="I2028" s="1750" t="inlineStr">
        <is>
          <t>15.014.002.002</t>
        </is>
      </c>
      <c r="J2028" s="1785" t="inlineStr">
        <is>
          <t>Negativo de forro de gesso acartonado - área seca</t>
        </is>
      </c>
      <c r="K2028" s="1786" t="inlineStr">
        <is>
          <t>m</t>
        </is>
      </c>
      <c r="L2028" s="1787" t="e">
        <v>#REF!</v>
      </c>
      <c r="M2028" s="1787" t="n">
        <v>49.4244</v>
      </c>
      <c r="N2028" s="1754" t="n"/>
      <c r="O2028" s="1788" t="n"/>
      <c r="P2028" s="1721" t="inlineStr">
        <is>
          <t>Pendente</t>
        </is>
      </c>
    </row>
    <row r="2029" hidden="1" outlineLevel="2" ht="13.5" customHeight="1">
      <c r="A2029" s="2117" t="n">
        <v>0</v>
      </c>
      <c r="B2029" s="2117" t="n">
        <v>15</v>
      </c>
      <c r="C2029" s="2117" t="n">
        <v>14</v>
      </c>
      <c r="D2029" s="2118" t="n">
        <v>3</v>
      </c>
      <c r="E2029" s="2118" t="n">
        <v>0</v>
      </c>
      <c r="G2029" s="1797" t="n"/>
      <c r="H2029" s="1777" t="inlineStr">
        <is>
          <t>SUBETAPA</t>
        </is>
      </c>
      <c r="I2029" s="1742" t="inlineStr">
        <is>
          <t>15.014.003</t>
        </is>
      </c>
      <c r="J2029" s="1779" t="inlineStr">
        <is>
          <t>Mão de obra</t>
        </is>
      </c>
      <c r="K2029" s="1780" t="n"/>
      <c r="L2029" s="1781" t="n"/>
      <c r="M2029" s="1781" t="n"/>
      <c r="N2029" s="1746" t="n"/>
      <c r="O2029" s="1782" t="n"/>
      <c r="P2029" s="1720" t="n"/>
    </row>
    <row r="2030" hidden="1" outlineLevel="3" ht="13.5" customHeight="1">
      <c r="A2030" s="2117" t="n">
        <v>0</v>
      </c>
      <c r="B2030" s="2117" t="n">
        <v>15</v>
      </c>
      <c r="C2030" s="2117" t="n">
        <v>14</v>
      </c>
      <c r="D2030" s="2118" t="n">
        <v>3</v>
      </c>
      <c r="E2030" s="2118" t="n">
        <v>1</v>
      </c>
      <c r="G2030" s="1798" t="inlineStr">
        <is>
          <t>REVESTIMENTOS ARGAMASSADOS TETO</t>
        </is>
      </c>
      <c r="H2030" s="1783" t="inlineStr">
        <is>
          <t>SERVIÇO</t>
        </is>
      </c>
      <c r="I2030" s="1750" t="inlineStr">
        <is>
          <t>15.014.003.001</t>
        </is>
      </c>
      <c r="J2030" s="1785" t="inlineStr">
        <is>
          <t>Mão de obra execução de estucamento em teto</t>
        </is>
      </c>
      <c r="K2030" s="1786" t="inlineStr">
        <is>
          <t>m2</t>
        </is>
      </c>
      <c r="L2030" s="1787" t="e">
        <v>#REF!</v>
      </c>
      <c r="M2030" s="1787" t="n">
        <v>25</v>
      </c>
      <c r="N2030" s="1754" t="n"/>
      <c r="O2030" s="1788" t="n"/>
      <c r="P2030" s="1721" t="inlineStr">
        <is>
          <t>Pendente</t>
        </is>
      </c>
    </row>
    <row r="2031" collapsed="1" ht="13.5" customHeight="1">
      <c r="A2031" s="2117" t="n">
        <v>0</v>
      </c>
      <c r="B2031" s="2117" t="n">
        <v>16</v>
      </c>
      <c r="C2031" s="2117" t="n">
        <v>0</v>
      </c>
      <c r="D2031" s="2118" t="n">
        <v>3</v>
      </c>
      <c r="E2031" s="2118" t="n">
        <v>1</v>
      </c>
      <c r="F2031" s="474" t="n"/>
      <c r="G2031" s="1794" t="n"/>
      <c r="H2031" s="1766" t="inlineStr">
        <is>
          <t>CÉLULA CONSTRUTIVA</t>
        </is>
      </c>
      <c r="I2031" s="1728" t="inlineStr">
        <is>
          <t>16</t>
        </is>
      </c>
      <c r="J2031" s="1795" t="inlineStr">
        <is>
          <t>PISOS E PAVIMENTAÇÕES</t>
        </is>
      </c>
      <c r="K2031" s="1768" t="n"/>
      <c r="L2031" s="1769" t="n"/>
      <c r="M2031" s="1769" t="n"/>
      <c r="N2031" s="1732" t="n"/>
      <c r="O2031" s="1770" t="n"/>
      <c r="P2031" s="1718" t="n"/>
    </row>
    <row r="2032" hidden="1" outlineLevel="1" ht="12.75" customHeight="1">
      <c r="A2032" s="2117" t="n">
        <v>0</v>
      </c>
      <c r="B2032" s="2117" t="n">
        <v>16</v>
      </c>
      <c r="C2032" s="2117" t="n">
        <v>1</v>
      </c>
      <c r="D2032" s="2118" t="n">
        <v>0</v>
      </c>
      <c r="E2032" s="2118" t="n">
        <v>1</v>
      </c>
      <c r="G2032" s="1796" t="n"/>
      <c r="H2032" s="1771" t="inlineStr">
        <is>
          <t>ETAPA</t>
        </is>
      </c>
      <c r="I2032" s="1735" t="inlineStr">
        <is>
          <t>16.001</t>
        </is>
      </c>
      <c r="J2032" s="1773" t="inlineStr">
        <is>
          <t>PISOS E PAVIMENTAÇÕES - Térreo</t>
        </is>
      </c>
      <c r="K2032" s="1774" t="n"/>
      <c r="L2032" s="1775" t="n"/>
      <c r="M2032" s="1775" t="n"/>
      <c r="N2032" s="1739" t="n"/>
      <c r="O2032" s="1776" t="n"/>
      <c r="P2032" s="1719" t="n"/>
    </row>
    <row r="2033" hidden="1" outlineLevel="2" ht="12.75" customHeight="1">
      <c r="A2033" s="2117" t="n">
        <v>0</v>
      </c>
      <c r="B2033" s="2117" t="n">
        <v>16</v>
      </c>
      <c r="C2033" s="2117" t="n">
        <v>1</v>
      </c>
      <c r="D2033" s="2118" t="n">
        <v>1</v>
      </c>
      <c r="E2033" s="2118" t="n">
        <v>0</v>
      </c>
      <c r="G2033" s="1797" t="n"/>
      <c r="H2033" s="1777" t="inlineStr">
        <is>
          <t>SUBETAPA</t>
        </is>
      </c>
      <c r="I2033" s="1742" t="inlineStr">
        <is>
          <t>16.001.001</t>
        </is>
      </c>
      <c r="J2033" s="1779" t="inlineStr">
        <is>
          <t>Contrapiso</t>
        </is>
      </c>
      <c r="K2033" s="1780" t="n"/>
      <c r="L2033" s="1781" t="n"/>
      <c r="M2033" s="1781" t="n"/>
      <c r="N2033" s="1746" t="n"/>
      <c r="O2033" s="1782" t="n"/>
      <c r="P2033" s="1720" t="n"/>
    </row>
    <row r="2034" hidden="1" outlineLevel="3" ht="12.75" customHeight="1">
      <c r="A2034" s="2117" t="n">
        <v>0</v>
      </c>
      <c r="B2034" s="2117" t="n">
        <v>16</v>
      </c>
      <c r="C2034" s="2117" t="n">
        <v>1</v>
      </c>
      <c r="D2034" s="2118" t="n">
        <v>1</v>
      </c>
      <c r="E2034" s="2118" t="n">
        <v>1</v>
      </c>
      <c r="G2034" s="1798" t="inlineStr">
        <is>
          <t>REVESTIMENTOS ARGAMASSADOS PISO</t>
        </is>
      </c>
      <c r="H2034" s="1783" t="inlineStr">
        <is>
          <t>SERVIÇO</t>
        </is>
      </c>
      <c r="I2034" s="1750" t="inlineStr">
        <is>
          <t>16.001.001.001</t>
        </is>
      </c>
      <c r="J2034" s="1785" t="inlineStr">
        <is>
          <t>Contrapiso comum em argamassa estabilizada, auto nivelado, espessura 5cm</t>
        </is>
      </c>
      <c r="K2034" s="1786" t="inlineStr">
        <is>
          <t>m2</t>
        </is>
      </c>
      <c r="L2034" s="1787" t="e">
        <v>#REF!</v>
      </c>
      <c r="M2034" s="1787" t="n">
        <v>44.58523333333333</v>
      </c>
      <c r="N2034" s="1754" t="n"/>
      <c r="O2034" s="1761" t="inlineStr">
        <is>
          <t>Repessado pela Gessele na reunião do dia 05/03/2026 - argamassa contrapiso nivelante: R$ 515 / m3</t>
        </is>
      </c>
      <c r="P2034" s="1721" t="inlineStr">
        <is>
          <t>Pendente</t>
        </is>
      </c>
    </row>
    <row r="2035" hidden="1" outlineLevel="2" ht="12.75" customHeight="1">
      <c r="A2035" s="2117" t="n">
        <v>0</v>
      </c>
      <c r="B2035" s="2117" t="n">
        <v>16</v>
      </c>
      <c r="C2035" s="2117" t="n">
        <v>1</v>
      </c>
      <c r="D2035" s="2118" t="n">
        <v>2</v>
      </c>
      <c r="E2035" s="2118" t="n">
        <v>0</v>
      </c>
      <c r="G2035" s="1797" t="n"/>
      <c r="H2035" s="1777" t="inlineStr">
        <is>
          <t>SUBETAPA</t>
        </is>
      </c>
      <c r="I2035" s="1742" t="inlineStr">
        <is>
          <t>16.001.002</t>
        </is>
      </c>
      <c r="J2035" s="1779" t="inlineStr">
        <is>
          <t>Acabamentos cimentados em piso</t>
        </is>
      </c>
      <c r="K2035" s="1780" t="n"/>
      <c r="L2035" s="1781" t="n"/>
      <c r="M2035" s="1781" t="n"/>
      <c r="N2035" s="1746" t="n"/>
      <c r="O2035" s="1782" t="n"/>
      <c r="P2035" s="1720" t="n"/>
    </row>
    <row r="2036" hidden="1" outlineLevel="3" ht="12.75" customHeight="1">
      <c r="A2036" s="2117" t="n">
        <v>0</v>
      </c>
      <c r="B2036" s="2117" t="n">
        <v>16</v>
      </c>
      <c r="C2036" s="2117" t="n">
        <v>1</v>
      </c>
      <c r="D2036" s="2118" t="n">
        <v>2</v>
      </c>
      <c r="E2036" s="2118" t="n">
        <v>1</v>
      </c>
      <c r="G2036" s="1798" t="inlineStr">
        <is>
          <t>REVESTIMENTOS ARGAMASSADOS PISO</t>
        </is>
      </c>
      <c r="H2036" s="1783" t="inlineStr">
        <is>
          <t>SERVIÇO</t>
        </is>
      </c>
      <c r="I2036" s="1750" t="inlineStr">
        <is>
          <t>16.001.002.001</t>
        </is>
      </c>
      <c r="J2036" s="1785" t="inlineStr">
        <is>
          <t>Piso de concreto, acabamento estampado, espessura 6 cm</t>
        </is>
      </c>
      <c r="K2036" s="1786" t="inlineStr">
        <is>
          <t>m2</t>
        </is>
      </c>
      <c r="L2036" s="1787" t="e">
        <v>#REF!</v>
      </c>
      <c r="M2036" s="1787" t="n">
        <v>77.36682066666667</v>
      </c>
      <c r="N2036" s="1754" t="n"/>
      <c r="O2036" s="1788" t="inlineStr">
        <is>
          <t>ERMU + Piso podotatil + rampa externa</t>
        </is>
      </c>
      <c r="P2036" s="1721" t="inlineStr">
        <is>
          <t>Pendente</t>
        </is>
      </c>
    </row>
    <row r="2037" hidden="1" outlineLevel="2" ht="12.75" customHeight="1">
      <c r="A2037" s="2117" t="n">
        <v>0</v>
      </c>
      <c r="B2037" s="2117" t="n">
        <v>16</v>
      </c>
      <c r="C2037" s="2117" t="n">
        <v>1</v>
      </c>
      <c r="D2037" s="2118" t="n">
        <v>3</v>
      </c>
      <c r="E2037" s="2118" t="n">
        <v>0</v>
      </c>
      <c r="G2037" s="1797" t="n"/>
      <c r="H2037" s="1777" t="inlineStr">
        <is>
          <t>SUBETAPA</t>
        </is>
      </c>
      <c r="I2037" s="1742" t="inlineStr">
        <is>
          <t>16.001.003</t>
        </is>
      </c>
      <c r="J2037" s="1779" t="inlineStr">
        <is>
          <t>Acabamentos cerâmicos em piso</t>
        </is>
      </c>
      <c r="K2037" s="1780" t="n"/>
      <c r="L2037" s="1781" t="n"/>
      <c r="M2037" s="1781" t="n"/>
      <c r="N2037" s="1746" t="n"/>
      <c r="O2037" s="1782" t="n"/>
      <c r="P2037" s="1720" t="n"/>
    </row>
    <row r="2038" hidden="1" outlineLevel="3" ht="12.75" customHeight="1">
      <c r="A2038" s="2117" t="n">
        <v>0</v>
      </c>
      <c r="B2038" s="2117" t="n">
        <v>16</v>
      </c>
      <c r="C2038" s="2117" t="n">
        <v>1</v>
      </c>
      <c r="D2038" s="2118" t="n">
        <v>3</v>
      </c>
      <c r="E2038" s="2118" t="n">
        <v>1</v>
      </c>
      <c r="G2038" s="1798" t="inlineStr">
        <is>
          <t>ACABAMENTOS EM PISOS E PAVIMENTAÇÕES</t>
        </is>
      </c>
      <c r="H2038" s="1783" t="inlineStr">
        <is>
          <t>SERVIÇO</t>
        </is>
      </c>
      <c r="I2038" s="1750" t="inlineStr">
        <is>
          <t>16.001.003.001</t>
        </is>
      </c>
      <c r="J2038" s="1785" t="inlineStr">
        <is>
          <t>Revestimento de cerâmico retificado em Piso, Placa 60 x 60cm com Junta de 2mm e rejunte acrilico</t>
        </is>
      </c>
      <c r="K2038" s="1786" t="inlineStr">
        <is>
          <t>m2</t>
        </is>
      </c>
      <c r="L2038" s="1787" t="e">
        <v>#REF!</v>
      </c>
      <c r="M2038" s="1787" t="n">
        <v>61.83860000000001</v>
      </c>
      <c r="N2038" s="1754" t="n"/>
      <c r="O2038" s="1788" t="n"/>
      <c r="P2038" s="1721" t="inlineStr">
        <is>
          <t>Pendente</t>
        </is>
      </c>
    </row>
    <row r="2039" hidden="1" outlineLevel="3" ht="12.75" customHeight="1">
      <c r="A2039" s="2117" t="n">
        <v>0</v>
      </c>
      <c r="B2039" s="2117" t="n">
        <v>16</v>
      </c>
      <c r="C2039" s="2117" t="n">
        <v>1</v>
      </c>
      <c r="D2039" s="2118" t="n">
        <v>3</v>
      </c>
      <c r="E2039" s="2118" t="n">
        <v>2</v>
      </c>
      <c r="G2039" s="1798" t="inlineStr">
        <is>
          <t>ACABAMENTOS EM PISOS E PAVIMENTAÇÕES</t>
        </is>
      </c>
      <c r="H2039" s="1783" t="inlineStr">
        <is>
          <t>SERVIÇO</t>
        </is>
      </c>
      <c r="I2039" s="1750" t="inlineStr">
        <is>
          <t>16.001.003.002</t>
        </is>
      </c>
      <c r="J2039" s="1785" t="inlineStr">
        <is>
          <t>Revestimento em Cerâmicas Pisos Internos, 45x 45cm com Junta de 3mm</t>
        </is>
      </c>
      <c r="K2039" s="1786" t="inlineStr">
        <is>
          <t>m2</t>
        </is>
      </c>
      <c r="L2039" s="1787" t="e">
        <v>#REF!</v>
      </c>
      <c r="M2039" s="1787" t="n">
        <v>58.073</v>
      </c>
      <c r="N2039" s="1754" t="n"/>
      <c r="O2039" s="1788" t="n"/>
      <c r="P2039" s="1721" t="inlineStr">
        <is>
          <t>Pendente</t>
        </is>
      </c>
    </row>
    <row r="2040" hidden="1" outlineLevel="3" ht="12.75" customHeight="1">
      <c r="A2040" s="2117" t="n">
        <v>0</v>
      </c>
      <c r="B2040" s="2117" t="n">
        <v>16</v>
      </c>
      <c r="C2040" s="2117" t="n">
        <v>1</v>
      </c>
      <c r="D2040" s="2118" t="n">
        <v>3</v>
      </c>
      <c r="E2040" s="2118" t="n">
        <v>3</v>
      </c>
      <c r="G2040" s="1798" t="inlineStr">
        <is>
          <t>ACABAMENTOS EM PISOS E PAVIMENTAÇÕES</t>
        </is>
      </c>
      <c r="H2040" s="1783" t="inlineStr">
        <is>
          <t>SERVIÇO</t>
        </is>
      </c>
      <c r="I2040" s="1750" t="inlineStr">
        <is>
          <t>16.001.003.003</t>
        </is>
      </c>
      <c r="J2040" s="1785" t="inlineStr">
        <is>
          <t>Revestimento de Piso, Porcelanato Portobello – Posto 10 90x90 Externo Retificado - Linha Ipanema - Padrão Alto</t>
        </is>
      </c>
      <c r="K2040" s="1786" t="inlineStr">
        <is>
          <t>m2</t>
        </is>
      </c>
      <c r="L2040" s="1787" t="e">
        <v>#REF!</v>
      </c>
      <c r="M2040" s="1787" t="n">
        <v>229.8276</v>
      </c>
      <c r="N2040" s="1754" t="n"/>
      <c r="O2040" s="1788" t="n"/>
      <c r="P2040" s="1721" t="inlineStr">
        <is>
          <t>Pendente</t>
        </is>
      </c>
    </row>
    <row r="2041" hidden="1" outlineLevel="3" ht="12.75" customHeight="1">
      <c r="A2041" s="2117" t="n">
        <v>0</v>
      </c>
      <c r="B2041" s="2117" t="n">
        <v>16</v>
      </c>
      <c r="C2041" s="2117" t="n">
        <v>1</v>
      </c>
      <c r="D2041" s="2118" t="n">
        <v>3</v>
      </c>
      <c r="E2041" s="2118" t="n">
        <v>4</v>
      </c>
      <c r="G2041" s="1798" t="inlineStr">
        <is>
          <t>ACABAMENTOS EM PISOS E PAVIMENTAÇÕES</t>
        </is>
      </c>
      <c r="H2041" s="1783" t="inlineStr">
        <is>
          <t>SERVIÇO</t>
        </is>
      </c>
      <c r="I2041" s="1750" t="inlineStr">
        <is>
          <t>16.001.003.004</t>
        </is>
      </c>
      <c r="J2041" s="1785" t="inlineStr">
        <is>
          <t>Revestimento de Piso, Porcelanato Portobello –  90x90 - Padrão Alto</t>
        </is>
      </c>
      <c r="K2041" s="1786" t="inlineStr">
        <is>
          <t>m2</t>
        </is>
      </c>
      <c r="L2041" s="1787" t="e">
        <v>#REF!</v>
      </c>
      <c r="M2041" s="1787" t="n">
        <v>141.8276</v>
      </c>
      <c r="N2041" s="1754" t="n"/>
      <c r="O2041" s="1761" t="inlineStr">
        <is>
          <t>Repessado pela Gessele na reunião do dia 05/03/2026 - considerar piso de aprox. R$ 120 / m2</t>
        </is>
      </c>
      <c r="P2041" s="1721" t="inlineStr">
        <is>
          <t>Pendente</t>
        </is>
      </c>
    </row>
    <row r="2042" hidden="1" outlineLevel="3" ht="12.75" customHeight="1">
      <c r="A2042" s="2117" t="n">
        <v>0</v>
      </c>
      <c r="B2042" s="2117" t="n">
        <v>16</v>
      </c>
      <c r="C2042" s="2117" t="n">
        <v>1</v>
      </c>
      <c r="D2042" s="2118" t="n">
        <v>3</v>
      </c>
      <c r="E2042" s="2118" t="n">
        <v>5</v>
      </c>
      <c r="G2042" s="1798" t="inlineStr">
        <is>
          <t>ACABAMENTOS EM PISOS E PAVIMENTAÇÕES</t>
        </is>
      </c>
      <c r="H2042" s="1783" t="inlineStr">
        <is>
          <t>SERVIÇO</t>
        </is>
      </c>
      <c r="I2042" s="1750" t="inlineStr">
        <is>
          <t>16.001.003.005</t>
        </is>
      </c>
      <c r="J2042" s="1785" t="inlineStr">
        <is>
          <t>Revestimento de Piso Porcelanato, Placa 90x90cm, antiderrapante com junta 5mm e rejunte acrilico cinza platina</t>
        </is>
      </c>
      <c r="K2042" s="1786" t="inlineStr">
        <is>
          <t>m2</t>
        </is>
      </c>
      <c r="L2042" s="1787" t="e">
        <v>#REF!</v>
      </c>
      <c r="M2042" s="1787" t="n">
        <v>102.7886</v>
      </c>
      <c r="N2042" s="1754" t="n"/>
      <c r="O2042" s="1788" t="n"/>
      <c r="P2042" s="1721" t="inlineStr">
        <is>
          <t>Pendente</t>
        </is>
      </c>
    </row>
    <row r="2043" hidden="1" outlineLevel="2" ht="12.75" customHeight="1">
      <c r="A2043" s="2117" t="n">
        <v>0</v>
      </c>
      <c r="B2043" s="2117" t="n">
        <v>16</v>
      </c>
      <c r="C2043" s="2117" t="n">
        <v>1</v>
      </c>
      <c r="D2043" s="2118" t="n">
        <v>4</v>
      </c>
      <c r="E2043" s="2118" t="n">
        <v>0</v>
      </c>
      <c r="G2043" s="1797" t="n"/>
      <c r="H2043" s="1777" t="inlineStr">
        <is>
          <t>SUBETAPA</t>
        </is>
      </c>
      <c r="I2043" s="1742" t="inlineStr">
        <is>
          <t>16.001.004</t>
        </is>
      </c>
      <c r="J2043" s="1779" t="inlineStr">
        <is>
          <t>Acabamentos em pedra</t>
        </is>
      </c>
      <c r="K2043" s="1780" t="n"/>
      <c r="L2043" s="1781" t="n"/>
      <c r="M2043" s="1781" t="n"/>
      <c r="N2043" s="1746" t="n"/>
      <c r="O2043" s="1782" t="n"/>
      <c r="P2043" s="1720" t="n"/>
    </row>
    <row r="2044" hidden="1" outlineLevel="3" ht="12.75" customHeight="1">
      <c r="A2044" s="2117" t="n">
        <v>0</v>
      </c>
      <c r="B2044" s="2117" t="n">
        <v>16</v>
      </c>
      <c r="C2044" s="2117" t="n">
        <v>1</v>
      </c>
      <c r="D2044" s="2118" t="n">
        <v>4</v>
      </c>
      <c r="E2044" s="2118" t="n">
        <v>1</v>
      </c>
      <c r="G2044" s="1798" t="inlineStr">
        <is>
          <t>ACABAMENTOS EM PISOS E PAVIMENTAÇÕES</t>
        </is>
      </c>
      <c r="H2044" s="1783" t="inlineStr">
        <is>
          <t>SERVIÇO</t>
        </is>
      </c>
      <c r="I2044" s="1750" t="inlineStr">
        <is>
          <t>16.001.004.001</t>
        </is>
      </c>
      <c r="J2044" s="1785" t="inlineStr">
        <is>
          <t>Revestimento de Mármore Natural em Piso</t>
        </is>
      </c>
      <c r="K2044" s="1786" t="inlineStr">
        <is>
          <t>m2</t>
        </is>
      </c>
      <c r="L2044" s="1787" t="e">
        <v>#REF!</v>
      </c>
      <c r="M2044" s="1787" t="n">
        <v>898.2455000000001</v>
      </c>
      <c r="N2044" s="1754" t="n"/>
      <c r="O2044" s="1788" t="n"/>
      <c r="P2044" s="1721" t="inlineStr">
        <is>
          <t>Pendente</t>
        </is>
      </c>
    </row>
    <row r="2045" hidden="1" outlineLevel="3" ht="12.75" customHeight="1">
      <c r="A2045" s="2117" t="n">
        <v>0</v>
      </c>
      <c r="B2045" s="2117" t="n">
        <v>16</v>
      </c>
      <c r="C2045" s="2117" t="n">
        <v>1</v>
      </c>
      <c r="D2045" s="2118" t="n">
        <v>4</v>
      </c>
      <c r="E2045" s="2118" t="n">
        <v>2</v>
      </c>
      <c r="G2045" s="1798" t="inlineStr">
        <is>
          <t>ACABAMENTOS EM PISOS E PAVIMENTAÇÕES</t>
        </is>
      </c>
      <c r="H2045" s="1783" t="inlineStr">
        <is>
          <t>SERVIÇO</t>
        </is>
      </c>
      <c r="I2045" s="1750" t="inlineStr">
        <is>
          <t>16.001.004.002</t>
        </is>
      </c>
      <c r="J2045" s="1785" t="inlineStr">
        <is>
          <t>Revestimento de Mármore Travertino Romano em Piso</t>
        </is>
      </c>
      <c r="K2045" s="1786" t="inlineStr">
        <is>
          <t>m2</t>
        </is>
      </c>
      <c r="L2045" s="1787" t="e">
        <v>#REF!</v>
      </c>
      <c r="M2045" s="1787" t="n">
        <v>1448.2455</v>
      </c>
      <c r="N2045" s="1754" t="n"/>
      <c r="O2045" s="1788" t="n"/>
      <c r="P2045" s="1721" t="inlineStr">
        <is>
          <t>Pendente</t>
        </is>
      </c>
    </row>
    <row r="2046" hidden="1" outlineLevel="3" ht="12.75" customHeight="1">
      <c r="A2046" s="2117" t="n">
        <v>0</v>
      </c>
      <c r="B2046" s="2117" t="n">
        <v>16</v>
      </c>
      <c r="C2046" s="2117" t="n">
        <v>1</v>
      </c>
      <c r="D2046" s="2118" t="n">
        <v>4</v>
      </c>
      <c r="E2046" s="2118" t="n">
        <v>3</v>
      </c>
      <c r="G2046" s="1798" t="inlineStr">
        <is>
          <t>ACABAMENTOS EM PISOS E PAVIMENTAÇÕES</t>
        </is>
      </c>
      <c r="H2046" s="1783" t="inlineStr">
        <is>
          <t>SERVIÇO</t>
        </is>
      </c>
      <c r="I2046" s="1750" t="inlineStr">
        <is>
          <t>16.001.004.003</t>
        </is>
      </c>
      <c r="J2046" s="1785" t="inlineStr">
        <is>
          <t>Revestimento de Pedras Quartzito Van Gogh em Piso</t>
        </is>
      </c>
      <c r="K2046" s="1786" t="inlineStr">
        <is>
          <t>m2</t>
        </is>
      </c>
      <c r="L2046" s="1787" t="e">
        <v>#REF!</v>
      </c>
      <c r="M2046" s="1787" t="n">
        <v>3538.2455</v>
      </c>
      <c r="N2046" s="1754" t="n"/>
      <c r="O2046" s="1788" t="n"/>
      <c r="P2046" s="1721" t="inlineStr">
        <is>
          <t>Pendente</t>
        </is>
      </c>
    </row>
    <row r="2047" hidden="1" outlineLevel="2" ht="12.75" customHeight="1">
      <c r="A2047" s="2117" t="n">
        <v>0</v>
      </c>
      <c r="B2047" s="2117" t="n">
        <v>16</v>
      </c>
      <c r="C2047" s="2117" t="n">
        <v>1</v>
      </c>
      <c r="D2047" s="2118" t="n">
        <v>5</v>
      </c>
      <c r="E2047" s="2118" t="n">
        <v>0</v>
      </c>
      <c r="G2047" s="1797" t="n"/>
      <c r="H2047" s="1777" t="inlineStr">
        <is>
          <t>SUBETAPA</t>
        </is>
      </c>
      <c r="I2047" s="1742" t="inlineStr">
        <is>
          <t>16.001.005</t>
        </is>
      </c>
      <c r="J2047" s="1779" t="inlineStr">
        <is>
          <t>Acabamentos especiais</t>
        </is>
      </c>
      <c r="K2047" s="1780" t="n"/>
      <c r="L2047" s="1781" t="n"/>
      <c r="M2047" s="1781" t="n"/>
      <c r="N2047" s="1746" t="n"/>
      <c r="O2047" s="1782" t="n"/>
      <c r="P2047" s="1720" t="n"/>
    </row>
    <row r="2048" hidden="1" outlineLevel="3" ht="12.75" customHeight="1">
      <c r="A2048" s="2117" t="n">
        <v>0</v>
      </c>
      <c r="B2048" s="2117" t="n">
        <v>16</v>
      </c>
      <c r="C2048" s="2117" t="n">
        <v>1</v>
      </c>
      <c r="D2048" s="2118" t="n">
        <v>5</v>
      </c>
      <c r="E2048" s="2118" t="n">
        <v>1</v>
      </c>
      <c r="G2048" s="1798" t="inlineStr">
        <is>
          <t>ACABAMENTOS EM PISOS E PAVIMENTAÇÕES</t>
        </is>
      </c>
      <c r="H2048" s="1783" t="inlineStr">
        <is>
          <t>SERVIÇO</t>
        </is>
      </c>
      <c r="I2048" s="1750" t="inlineStr">
        <is>
          <t>16.001.005.001</t>
        </is>
      </c>
      <c r="J2048" s="1751" t="inlineStr">
        <is>
          <t xml:space="preserve">Piso de madeira escura Tauari Naturalle - material e mão de obra </t>
        </is>
      </c>
      <c r="K2048" s="1786" t="inlineStr">
        <is>
          <t>m2</t>
        </is>
      </c>
      <c r="L2048" s="1787" t="e">
        <v>#REF!</v>
      </c>
      <c r="M2048" s="1787" t="n">
        <v>859</v>
      </c>
      <c r="N2048" s="1754" t="n"/>
      <c r="O2048" s="1788" t="inlineStr">
        <is>
          <t>Considerado 80% do piso do térreo</t>
        </is>
      </c>
      <c r="P2048" s="1721" t="inlineStr">
        <is>
          <t>Pendente</t>
        </is>
      </c>
    </row>
    <row r="2049" hidden="1" outlineLevel="3" ht="12.75" customHeight="1">
      <c r="A2049" s="2117" t="n">
        <v>0</v>
      </c>
      <c r="B2049" s="2117" t="n">
        <v>16</v>
      </c>
      <c r="C2049" s="2117" t="n">
        <v>1</v>
      </c>
      <c r="D2049" s="2118" t="n">
        <v>5</v>
      </c>
      <c r="E2049" s="2118" t="n">
        <v>2</v>
      </c>
      <c r="G2049" s="1798" t="inlineStr">
        <is>
          <t>ACABAMENTOS EM PISOS E PAVIMENTAÇÕES</t>
        </is>
      </c>
      <c r="H2049" s="1783" t="inlineStr">
        <is>
          <t>SERVIÇO</t>
        </is>
      </c>
      <c r="I2049" s="1750" t="inlineStr">
        <is>
          <t>16.001.005.002</t>
        </is>
      </c>
      <c r="J2049" s="1751" t="inlineStr">
        <is>
          <t xml:space="preserve">Piso de madeira clara Tauari Naturalle Cremme - material e mão de obra </t>
        </is>
      </c>
      <c r="K2049" s="1786" t="inlineStr">
        <is>
          <t>m2</t>
        </is>
      </c>
      <c r="L2049" s="1787" t="e">
        <v>#REF!</v>
      </c>
      <c r="M2049" s="1787" t="n">
        <v>859</v>
      </c>
      <c r="N2049" s="1754" t="n"/>
      <c r="O2049" s="1788" t="inlineStr">
        <is>
          <t>Considerado 20% do piso do térreo</t>
        </is>
      </c>
      <c r="P2049" s="1721" t="inlineStr">
        <is>
          <t>Pendente</t>
        </is>
      </c>
    </row>
    <row r="2050" hidden="1" outlineLevel="3" ht="12.75" customHeight="1">
      <c r="A2050" s="2117" t="n">
        <v>0</v>
      </c>
      <c r="B2050" s="2117" t="n">
        <v>16</v>
      </c>
      <c r="C2050" s="2117" t="n">
        <v>1</v>
      </c>
      <c r="D2050" s="2118" t="n">
        <v>5</v>
      </c>
      <c r="E2050" s="2118" t="n">
        <v>3</v>
      </c>
      <c r="G2050" s="1798" t="inlineStr">
        <is>
          <t>ACABAMENTOS EM PISOS E PAVIMENTAÇÕES</t>
        </is>
      </c>
      <c r="H2050" s="1783" t="inlineStr">
        <is>
          <t>SERVIÇO</t>
        </is>
      </c>
      <c r="I2050" s="1750" t="inlineStr">
        <is>
          <t>16.001.005.003</t>
        </is>
      </c>
      <c r="J2050" s="1785" t="inlineStr">
        <is>
          <t>Friso metálico entre pisos / Largura 1,5 cm / Cor: dourado escovado - Material e Mão de obra</t>
        </is>
      </c>
      <c r="K2050" s="1786" t="inlineStr">
        <is>
          <t>m</t>
        </is>
      </c>
      <c r="L2050" s="1787" t="e">
        <v>#REF!</v>
      </c>
      <c r="M2050" s="1787" t="n">
        <v>150</v>
      </c>
      <c r="N2050" s="1754" t="n"/>
      <c r="O2050" s="1788" t="n"/>
      <c r="P2050" s="1721" t="inlineStr">
        <is>
          <t>Pendente</t>
        </is>
      </c>
    </row>
    <row r="2051" hidden="1" outlineLevel="2" ht="12.75" customHeight="1">
      <c r="A2051" s="2117" t="n">
        <v>0</v>
      </c>
      <c r="B2051" s="2117" t="n">
        <v>16</v>
      </c>
      <c r="C2051" s="2117" t="n">
        <v>1</v>
      </c>
      <c r="D2051" s="2118" t="n">
        <v>6</v>
      </c>
      <c r="E2051" s="2118" t="n">
        <v>0</v>
      </c>
      <c r="G2051" s="1797" t="n"/>
      <c r="H2051" s="1777" t="inlineStr">
        <is>
          <t>SUBETAPA</t>
        </is>
      </c>
      <c r="I2051" s="1742" t="inlineStr">
        <is>
          <t>16.001.006</t>
        </is>
      </c>
      <c r="J2051" s="1779" t="inlineStr">
        <is>
          <t>Rodapés</t>
        </is>
      </c>
      <c r="K2051" s="1780" t="n"/>
      <c r="L2051" s="1781" t="n"/>
      <c r="M2051" s="1781" t="n"/>
      <c r="N2051" s="1746" t="n"/>
      <c r="O2051" s="1782" t="n"/>
      <c r="P2051" s="1720" t="n"/>
    </row>
    <row r="2052" hidden="1" outlineLevel="3" ht="12.75" customHeight="1">
      <c r="A2052" s="2117" t="n">
        <v>0</v>
      </c>
      <c r="B2052" s="2117" t="n">
        <v>16</v>
      </c>
      <c r="C2052" s="2117" t="n">
        <v>1</v>
      </c>
      <c r="D2052" s="2118" t="n">
        <v>6</v>
      </c>
      <c r="E2052" s="2118" t="n">
        <v>1</v>
      </c>
      <c r="G2052" s="1798" t="inlineStr">
        <is>
          <t>ACABAMENTOS EM PISOS E PAVIMENTAÇÕES</t>
        </is>
      </c>
      <c r="H2052" s="1783" t="inlineStr">
        <is>
          <t>SERVIÇO</t>
        </is>
      </c>
      <c r="I2052" s="1750" t="inlineStr">
        <is>
          <t>16.001.006.001</t>
        </is>
      </c>
      <c r="J2052" s="1785" t="inlineStr">
        <is>
          <t>Rodapé de Cerâmico h=15cm</t>
        </is>
      </c>
      <c r="K2052" s="1786" t="inlineStr">
        <is>
          <t>m</t>
        </is>
      </c>
      <c r="L2052" s="1787" t="e">
        <v>#REF!</v>
      </c>
      <c r="M2052" s="1787" t="n">
        <v>10.114275</v>
      </c>
      <c r="N2052" s="1754" t="n"/>
      <c r="O2052" s="1788" t="n"/>
      <c r="P2052" s="1721" t="inlineStr">
        <is>
          <t>Pendente</t>
        </is>
      </c>
    </row>
    <row r="2053" hidden="1" outlineLevel="3" ht="12.75" customHeight="1">
      <c r="A2053" s="2117" t="n">
        <v>0</v>
      </c>
      <c r="B2053" s="2117" t="n">
        <v>16</v>
      </c>
      <c r="C2053" s="2117" t="n">
        <v>1</v>
      </c>
      <c r="D2053" s="2118" t="n">
        <v>6</v>
      </c>
      <c r="E2053" s="2118" t="n">
        <v>2</v>
      </c>
      <c r="G2053" s="1798" t="inlineStr">
        <is>
          <t>ACABAMENTOS EM PISOS E PAVIMENTAÇÕES</t>
        </is>
      </c>
      <c r="H2053" s="1783" t="inlineStr">
        <is>
          <t>SERVIÇO</t>
        </is>
      </c>
      <c r="I2053" s="1750" t="inlineStr">
        <is>
          <t>16.001.006.002</t>
        </is>
      </c>
      <c r="J2053" s="1785" t="inlineStr">
        <is>
          <t>Rodapé de Poliestireno h=15cm</t>
        </is>
      </c>
      <c r="K2053" s="1786" t="inlineStr">
        <is>
          <t>m</t>
        </is>
      </c>
      <c r="L2053" s="1787" t="e">
        <v>#REF!</v>
      </c>
      <c r="M2053" s="1787" t="n">
        <v>43.82058333333333</v>
      </c>
      <c r="N2053" s="1754" t="n"/>
      <c r="O2053" s="1788" t="n"/>
      <c r="P2053" s="1721" t="inlineStr">
        <is>
          <t>Pendente</t>
        </is>
      </c>
    </row>
    <row r="2054" hidden="1" outlineLevel="3" ht="12.75" customHeight="1">
      <c r="A2054" s="2117" t="n">
        <v>0</v>
      </c>
      <c r="B2054" s="2117" t="n">
        <v>16</v>
      </c>
      <c r="C2054" s="2117" t="n">
        <v>1</v>
      </c>
      <c r="D2054" s="2118" t="n">
        <v>6</v>
      </c>
      <c r="E2054" s="2118" t="n">
        <v>3</v>
      </c>
      <c r="G2054" s="1798" t="inlineStr">
        <is>
          <t>ACABAMENTOS EM PISOS E PAVIMENTAÇÕES</t>
        </is>
      </c>
      <c r="H2054" s="1783" t="inlineStr">
        <is>
          <t>SERVIÇO</t>
        </is>
      </c>
      <c r="I2054" s="1750" t="inlineStr">
        <is>
          <t>16.001.006.003</t>
        </is>
      </c>
      <c r="J2054" s="1785" t="inlineStr">
        <is>
          <t>Rodapé de porcelanato h=15cm, Padrão Alto</t>
        </is>
      </c>
      <c r="K2054" s="1786" t="inlineStr">
        <is>
          <t>m</t>
        </is>
      </c>
      <c r="L2054" s="1787" t="e">
        <v>#REF!</v>
      </c>
      <c r="M2054" s="1787" t="n">
        <v>22.121325</v>
      </c>
      <c r="N2054" s="1754" t="n"/>
      <c r="O2054" s="1788" t="n"/>
      <c r="P2054" s="1721" t="inlineStr">
        <is>
          <t>Pendente</t>
        </is>
      </c>
    </row>
    <row r="2055" hidden="1" outlineLevel="2" ht="12.75" customHeight="1">
      <c r="A2055" s="2117" t="n">
        <v>0</v>
      </c>
      <c r="B2055" s="2117" t="n">
        <v>16</v>
      </c>
      <c r="C2055" s="2117" t="n">
        <v>1</v>
      </c>
      <c r="D2055" s="2118" t="n">
        <v>7</v>
      </c>
      <c r="E2055" s="2118" t="n">
        <v>0</v>
      </c>
      <c r="G2055" s="1797" t="n"/>
      <c r="H2055" s="1777" t="inlineStr">
        <is>
          <t>SUBETAPA</t>
        </is>
      </c>
      <c r="I2055" s="1742" t="inlineStr">
        <is>
          <t>16.001.007</t>
        </is>
      </c>
      <c r="J2055" s="1779" t="inlineStr">
        <is>
          <t>Mão de obra - Revestimentos</t>
        </is>
      </c>
      <c r="K2055" s="1780" t="n"/>
      <c r="L2055" s="1781" t="n"/>
      <c r="M2055" s="1781" t="n"/>
      <c r="N2055" s="1746" t="n"/>
      <c r="O2055" s="1782" t="n"/>
      <c r="P2055" s="1720" t="n"/>
    </row>
    <row r="2056" hidden="1" outlineLevel="3" ht="12.75" customHeight="1">
      <c r="A2056" s="2117" t="n">
        <v>0</v>
      </c>
      <c r="B2056" s="2117" t="n">
        <v>16</v>
      </c>
      <c r="C2056" s="2117" t="n">
        <v>1</v>
      </c>
      <c r="D2056" s="2118" t="n">
        <v>7</v>
      </c>
      <c r="E2056" s="2118" t="n">
        <v>1</v>
      </c>
      <c r="G2056" s="1798" t="inlineStr">
        <is>
          <t>REVESTIMENTOS ARGAMASSADOS PISO</t>
        </is>
      </c>
      <c r="H2056" s="1783" t="inlineStr">
        <is>
          <t>SERVIÇO</t>
        </is>
      </c>
      <c r="I2056" s="1750" t="inlineStr">
        <is>
          <t>16.001.007.001</t>
        </is>
      </c>
      <c r="J2056" s="1785" t="inlineStr">
        <is>
          <t>Mão de obra execução de contrapiso comum e Acústico</t>
        </is>
      </c>
      <c r="K2056" s="1786" t="inlineStr">
        <is>
          <t>m2</t>
        </is>
      </c>
      <c r="L2056" s="1787" t="e">
        <v>#REF!</v>
      </c>
      <c r="M2056" s="1787" t="n">
        <v>40</v>
      </c>
      <c r="N2056" s="1754" t="n"/>
      <c r="O2056" s="1788" t="n"/>
      <c r="P2056" s="1721" t="inlineStr">
        <is>
          <t>Pendente</t>
        </is>
      </c>
    </row>
    <row r="2057" hidden="1" outlineLevel="3" ht="12.75" customHeight="1">
      <c r="A2057" s="2117" t="n">
        <v>0</v>
      </c>
      <c r="B2057" s="2117" t="n">
        <v>16</v>
      </c>
      <c r="C2057" s="2117" t="n">
        <v>1</v>
      </c>
      <c r="D2057" s="2118" t="n">
        <v>7</v>
      </c>
      <c r="E2057" s="2118" t="n">
        <v>2</v>
      </c>
      <c r="G2057" s="1798" t="inlineStr">
        <is>
          <t>REVESTIMENTOS ARGAMASSADOS PISO</t>
        </is>
      </c>
      <c r="H2057" s="1783" t="inlineStr">
        <is>
          <t>SERVIÇO</t>
        </is>
      </c>
      <c r="I2057" s="1750" t="inlineStr">
        <is>
          <t>16.001.007.002</t>
        </is>
      </c>
      <c r="J2057" s="1785" t="inlineStr">
        <is>
          <t>Mão de obra execução Piso de concreto</t>
        </is>
      </c>
      <c r="K2057" s="1786" t="inlineStr">
        <is>
          <t>m2</t>
        </is>
      </c>
      <c r="L2057" s="1787" t="e">
        <v>#REF!</v>
      </c>
      <c r="M2057" s="1787" t="n">
        <v>25</v>
      </c>
      <c r="N2057" s="1754" t="n"/>
      <c r="O2057" s="1788" t="n"/>
      <c r="P2057" s="1721" t="inlineStr">
        <is>
          <t>Pendente</t>
        </is>
      </c>
    </row>
    <row r="2058" hidden="1" outlineLevel="3" ht="12.75" customHeight="1">
      <c r="A2058" s="2117" t="n">
        <v>0</v>
      </c>
      <c r="B2058" s="2117" t="n">
        <v>16</v>
      </c>
      <c r="C2058" s="2117" t="n">
        <v>1</v>
      </c>
      <c r="D2058" s="2118" t="n">
        <v>7</v>
      </c>
      <c r="E2058" s="2118" t="n">
        <v>3</v>
      </c>
      <c r="G2058" s="1798" t="inlineStr">
        <is>
          <t>ACABAMENTOS EM PISOS E PAVIMENTAÇÕES</t>
        </is>
      </c>
      <c r="H2058" s="1783" t="inlineStr">
        <is>
          <t>SERVIÇO</t>
        </is>
      </c>
      <c r="I2058" s="1750" t="inlineStr">
        <is>
          <t>16.001.007.003</t>
        </is>
      </c>
      <c r="J2058" s="1785" t="inlineStr">
        <is>
          <t>Mão de Obra Piso Porcenato/ Cerâmico</t>
        </is>
      </c>
      <c r="K2058" s="1786" t="inlineStr">
        <is>
          <t>m2</t>
        </is>
      </c>
      <c r="L2058" s="1787" t="e">
        <v>#REF!</v>
      </c>
      <c r="M2058" s="1787" t="n">
        <v>75</v>
      </c>
      <c r="N2058" s="1754" t="n"/>
      <c r="O2058" s="1788" t="n"/>
      <c r="P2058" s="1721" t="inlineStr">
        <is>
          <t>Pendente</t>
        </is>
      </c>
    </row>
    <row r="2059" hidden="1" outlineLevel="3" ht="12.75" customHeight="1">
      <c r="A2059" s="2117" t="n">
        <v>0</v>
      </c>
      <c r="B2059" s="2117" t="n">
        <v>16</v>
      </c>
      <c r="C2059" s="2117" t="n">
        <v>1</v>
      </c>
      <c r="D2059" s="2118" t="n">
        <v>7</v>
      </c>
      <c r="E2059" s="2118" t="n">
        <v>4</v>
      </c>
      <c r="G2059" s="1798" t="inlineStr">
        <is>
          <t>ACABAMENTOS EM PISOS E PAVIMENTAÇÕES</t>
        </is>
      </c>
      <c r="H2059" s="1783" t="inlineStr">
        <is>
          <t>SERVIÇO</t>
        </is>
      </c>
      <c r="I2059" s="1750" t="inlineStr">
        <is>
          <t>16.001.007.004</t>
        </is>
      </c>
      <c r="J2059" s="1785" t="inlineStr">
        <is>
          <t>Mão de obra para assentamento de Pedras Naturais e Mármores em piso</t>
        </is>
      </c>
      <c r="K2059" s="1786" t="inlineStr">
        <is>
          <t>m2</t>
        </is>
      </c>
      <c r="L2059" s="1787" t="e">
        <v>#REF!</v>
      </c>
      <c r="M2059" s="1787" t="n">
        <v>85</v>
      </c>
      <c r="N2059" s="1754" t="n"/>
      <c r="O2059" s="1788" t="n"/>
      <c r="P2059" s="1721" t="inlineStr">
        <is>
          <t>Pendente</t>
        </is>
      </c>
    </row>
    <row r="2060" hidden="1" outlineLevel="3" ht="12.75" customHeight="1">
      <c r="A2060" s="2117" t="n">
        <v>0</v>
      </c>
      <c r="B2060" s="2117" t="n">
        <v>16</v>
      </c>
      <c r="C2060" s="2117" t="n">
        <v>1</v>
      </c>
      <c r="D2060" s="2118" t="n">
        <v>7</v>
      </c>
      <c r="E2060" s="2118" t="n">
        <v>5</v>
      </c>
      <c r="G2060" s="1798" t="inlineStr">
        <is>
          <t>ACABAMENTOS EM PISOS E PAVIMENTAÇÕES</t>
        </is>
      </c>
      <c r="H2060" s="1783" t="inlineStr">
        <is>
          <t>SERVIÇO</t>
        </is>
      </c>
      <c r="I2060" s="1750" t="inlineStr">
        <is>
          <t>16.001.007.005</t>
        </is>
      </c>
      <c r="J2060" s="1785" t="inlineStr">
        <is>
          <t>Mão de obra para assentamento de Travertino em piso</t>
        </is>
      </c>
      <c r="K2060" s="1786" t="inlineStr">
        <is>
          <t>m2</t>
        </is>
      </c>
      <c r="L2060" s="1787" t="e">
        <v>#REF!</v>
      </c>
      <c r="M2060" s="1787" t="n">
        <v>85</v>
      </c>
      <c r="N2060" s="1754" t="n"/>
      <c r="O2060" s="1788" t="n"/>
      <c r="P2060" s="1721" t="inlineStr">
        <is>
          <t>Pendente</t>
        </is>
      </c>
    </row>
    <row r="2061" hidden="1" outlineLevel="3" ht="12.75" customHeight="1">
      <c r="A2061" s="2117" t="n">
        <v>0</v>
      </c>
      <c r="B2061" s="2117" t="n">
        <v>16</v>
      </c>
      <c r="C2061" s="2117" t="n">
        <v>1</v>
      </c>
      <c r="D2061" s="2118" t="n">
        <v>7</v>
      </c>
      <c r="E2061" s="2118" t="n">
        <v>6</v>
      </c>
      <c r="G2061" s="1798" t="inlineStr">
        <is>
          <t>ACABAMENTOS EM PISOS E PAVIMENTAÇÕES</t>
        </is>
      </c>
      <c r="H2061" s="1783" t="inlineStr">
        <is>
          <t>SERVIÇO</t>
        </is>
      </c>
      <c r="I2061" s="1750" t="inlineStr">
        <is>
          <t>16.001.007.006</t>
        </is>
      </c>
      <c r="J2061" s="1785" t="inlineStr">
        <is>
          <t>Mão de obra de rodapé Poliestireno</t>
        </is>
      </c>
      <c r="K2061" s="1786" t="inlineStr">
        <is>
          <t>m</t>
        </is>
      </c>
      <c r="L2061" s="1787" t="e">
        <v>#REF!</v>
      </c>
      <c r="M2061" s="1787" t="n">
        <v>28</v>
      </c>
      <c r="N2061" s="1754" t="n"/>
      <c r="O2061" s="1788" t="n"/>
      <c r="P2061" s="1721" t="inlineStr">
        <is>
          <t>Pendente</t>
        </is>
      </c>
    </row>
    <row r="2062" hidden="1" outlineLevel="3" ht="12.75" customHeight="1">
      <c r="A2062" s="2117" t="n">
        <v>0</v>
      </c>
      <c r="B2062" s="2117" t="n">
        <v>16</v>
      </c>
      <c r="C2062" s="2117" t="n">
        <v>1</v>
      </c>
      <c r="D2062" s="2118" t="n">
        <v>7</v>
      </c>
      <c r="E2062" s="2118" t="n">
        <v>7</v>
      </c>
      <c r="G2062" s="1798" t="inlineStr">
        <is>
          <t>ACABAMENTOS EM PISOS E PAVIMENTAÇÕES</t>
        </is>
      </c>
      <c r="H2062" s="1783" t="inlineStr">
        <is>
          <t>SERVIÇO</t>
        </is>
      </c>
      <c r="I2062" s="1750" t="inlineStr">
        <is>
          <t>16.001.007.007</t>
        </is>
      </c>
      <c r="J2062" s="1785" t="inlineStr">
        <is>
          <t>Mão de obra de rodapé Porcelanato</t>
        </is>
      </c>
      <c r="K2062" s="1786" t="inlineStr">
        <is>
          <t>m</t>
        </is>
      </c>
      <c r="L2062" s="1787" t="e">
        <v>#REF!</v>
      </c>
      <c r="M2062" s="1787" t="n">
        <v>24</v>
      </c>
      <c r="N2062" s="1754" t="n"/>
      <c r="O2062" s="1788" t="n"/>
      <c r="P2062" s="1721" t="inlineStr">
        <is>
          <t>Pendente</t>
        </is>
      </c>
    </row>
    <row r="2063" hidden="1" outlineLevel="1" ht="12.75" customHeight="1">
      <c r="A2063" s="2117" t="n">
        <v>0</v>
      </c>
      <c r="B2063" s="2117" t="n">
        <v>16</v>
      </c>
      <c r="C2063" s="2117" t="n">
        <v>2</v>
      </c>
      <c r="D2063" s="2118" t="n">
        <v>0</v>
      </c>
      <c r="E2063" s="2118" t="n">
        <v>7</v>
      </c>
      <c r="G2063" s="1796" t="n"/>
      <c r="H2063" s="1771" t="inlineStr">
        <is>
          <t>ETAPA</t>
        </is>
      </c>
      <c r="I2063" s="1735" t="inlineStr">
        <is>
          <t>16.002</t>
        </is>
      </c>
      <c r="J2063" s="1773" t="inlineStr">
        <is>
          <t>PISOS E PAVIMENTAÇÕES - Mezanino G1</t>
        </is>
      </c>
      <c r="K2063" s="1774" t="n"/>
      <c r="L2063" s="1775" t="n"/>
      <c r="M2063" s="1775" t="n"/>
      <c r="N2063" s="1739" t="n"/>
      <c r="O2063" s="1776" t="n"/>
      <c r="P2063" s="1719" t="n"/>
    </row>
    <row r="2064" hidden="1" outlineLevel="2" ht="12.75" customHeight="1">
      <c r="A2064" s="2117" t="n">
        <v>0</v>
      </c>
      <c r="B2064" s="2117" t="n">
        <v>16</v>
      </c>
      <c r="C2064" s="2117" t="n">
        <v>2</v>
      </c>
      <c r="D2064" s="2118" t="n">
        <v>1</v>
      </c>
      <c r="E2064" s="2118" t="n">
        <v>0</v>
      </c>
      <c r="G2064" s="1797" t="n"/>
      <c r="H2064" s="1777" t="inlineStr">
        <is>
          <t>SUBETAPA</t>
        </is>
      </c>
      <c r="I2064" s="1742" t="inlineStr">
        <is>
          <t>16.002.001</t>
        </is>
      </c>
      <c r="J2064" s="1779" t="inlineStr">
        <is>
          <t>Contrapiso</t>
        </is>
      </c>
      <c r="K2064" s="1780" t="n"/>
      <c r="L2064" s="1781" t="n"/>
      <c r="M2064" s="1781" t="n"/>
      <c r="N2064" s="1746" t="n"/>
      <c r="O2064" s="1782" t="n"/>
      <c r="P2064" s="1720" t="n"/>
    </row>
    <row r="2065" hidden="1" outlineLevel="3" ht="12.75" customHeight="1">
      <c r="A2065" s="2117" t="n">
        <v>0</v>
      </c>
      <c r="B2065" s="2117" t="n">
        <v>16</v>
      </c>
      <c r="C2065" s="2117" t="n">
        <v>2</v>
      </c>
      <c r="D2065" s="2118" t="n">
        <v>1</v>
      </c>
      <c r="E2065" s="2118" t="n">
        <v>1</v>
      </c>
      <c r="G2065" s="1798" t="inlineStr">
        <is>
          <t>REVESTIMENTOS ARGAMASSADOS PISO</t>
        </is>
      </c>
      <c r="H2065" s="1783" t="inlineStr">
        <is>
          <t>SERVIÇO</t>
        </is>
      </c>
      <c r="I2065" s="1750" t="inlineStr">
        <is>
          <t>16.002.001.001</t>
        </is>
      </c>
      <c r="J2065" s="1785" t="inlineStr">
        <is>
          <t>Contrapiso comum em argamassa estabilizada, auto nivelado, espessura 5cm</t>
        </is>
      </c>
      <c r="K2065" s="1786" t="inlineStr">
        <is>
          <t>m2</t>
        </is>
      </c>
      <c r="L2065" s="1787" t="e">
        <v>#REF!</v>
      </c>
      <c r="M2065" s="1787" t="n">
        <v>44.58523333333333</v>
      </c>
      <c r="N2065" s="1754" t="n"/>
      <c r="O2065" s="1788" t="n"/>
      <c r="P2065" s="1721" t="inlineStr">
        <is>
          <t>Pendente</t>
        </is>
      </c>
    </row>
    <row r="2066" hidden="1" outlineLevel="2" ht="12.75" customHeight="1">
      <c r="A2066" s="2117" t="n">
        <v>0</v>
      </c>
      <c r="B2066" s="2117" t="n">
        <v>16</v>
      </c>
      <c r="C2066" s="2117" t="n">
        <v>2</v>
      </c>
      <c r="D2066" s="2118" t="n">
        <v>2</v>
      </c>
      <c r="E2066" s="2118" t="n">
        <v>0</v>
      </c>
      <c r="G2066" s="1797" t="n"/>
      <c r="H2066" s="1777" t="inlineStr">
        <is>
          <t>SUBETAPA</t>
        </is>
      </c>
      <c r="I2066" s="1742" t="inlineStr">
        <is>
          <t>16.002.002</t>
        </is>
      </c>
      <c r="J2066" s="1779" t="inlineStr">
        <is>
          <t>Acabamentos cimentados em piso</t>
        </is>
      </c>
      <c r="K2066" s="1780" t="n"/>
      <c r="L2066" s="1781" t="n"/>
      <c r="M2066" s="1781" t="n"/>
      <c r="N2066" s="1746" t="n"/>
      <c r="O2066" s="1782" t="n"/>
      <c r="P2066" s="1720" t="n"/>
    </row>
    <row r="2067" hidden="1" outlineLevel="3" ht="12.75" customHeight="1">
      <c r="A2067" s="2117" t="n">
        <v>0</v>
      </c>
      <c r="B2067" s="2117" t="n">
        <v>16</v>
      </c>
      <c r="C2067" s="2117" t="n">
        <v>2</v>
      </c>
      <c r="D2067" s="2118" t="n">
        <v>2</v>
      </c>
      <c r="E2067" s="2118" t="n">
        <v>1</v>
      </c>
      <c r="G2067" s="1798" t="inlineStr">
        <is>
          <t>REVESTIMENTOS ARGAMASSADOS PISO</t>
        </is>
      </c>
      <c r="H2067" s="1783" t="inlineStr">
        <is>
          <t>SERVIÇO</t>
        </is>
      </c>
      <c r="I2067" s="1750" t="inlineStr">
        <is>
          <t>16.002.002.001</t>
        </is>
      </c>
      <c r="J2067" s="1785" t="inlineStr">
        <is>
          <t xml:space="preserve">Piso de concreto polido, espessura 2cm </t>
        </is>
      </c>
      <c r="K2067" s="1786" t="inlineStr">
        <is>
          <t>m2</t>
        </is>
      </c>
      <c r="L2067" s="1787" t="e">
        <v>#REF!</v>
      </c>
      <c r="M2067" s="1787" t="n">
        <v>61.444939</v>
      </c>
      <c r="N2067" s="1754" t="n"/>
      <c r="O2067" s="1788" t="inlineStr">
        <is>
          <t>Garagem</t>
        </is>
      </c>
      <c r="P2067" s="1721" t="inlineStr">
        <is>
          <t>Pendente</t>
        </is>
      </c>
    </row>
    <row r="2068" hidden="1" outlineLevel="3" ht="12.75" customHeight="1">
      <c r="A2068" s="2117" t="n">
        <v>0</v>
      </c>
      <c r="B2068" s="2117" t="n">
        <v>16</v>
      </c>
      <c r="C2068" s="2117" t="n">
        <v>2</v>
      </c>
      <c r="D2068" s="2118" t="n">
        <v>2</v>
      </c>
      <c r="E2068" s="2118" t="n">
        <v>2</v>
      </c>
      <c r="G2068" s="1798" t="inlineStr">
        <is>
          <t>REVESTIMENTOS ARGAMASSADOS PISO</t>
        </is>
      </c>
      <c r="H2068" s="1783" t="inlineStr">
        <is>
          <t>SERVIÇO</t>
        </is>
      </c>
      <c r="I2068" s="1750" t="inlineStr">
        <is>
          <t>16.002.002.002</t>
        </is>
      </c>
      <c r="J2068" s="1785" t="inlineStr">
        <is>
          <t xml:space="preserve">Piso concreto Queimado </t>
        </is>
      </c>
      <c r="K2068" s="1786" t="inlineStr">
        <is>
          <t>m2</t>
        </is>
      </c>
      <c r="L2068" s="1787" t="e">
        <v>#REF!</v>
      </c>
      <c r="M2068" s="1787" t="n">
        <v>12.62409333333333</v>
      </c>
      <c r="N2068" s="1754" t="n"/>
      <c r="O2068" s="1788" t="inlineStr">
        <is>
          <t>Subestação</t>
        </is>
      </c>
      <c r="P2068" s="1721" t="inlineStr">
        <is>
          <t>Pendente</t>
        </is>
      </c>
    </row>
    <row r="2069" hidden="1" outlineLevel="2" ht="12.75" customHeight="1">
      <c r="A2069" s="2117" t="n">
        <v>0</v>
      </c>
      <c r="B2069" s="2117" t="n">
        <v>16</v>
      </c>
      <c r="C2069" s="2117" t="n">
        <v>2</v>
      </c>
      <c r="D2069" s="2118" t="n">
        <v>3</v>
      </c>
      <c r="E2069" s="2118" t="n">
        <v>0</v>
      </c>
      <c r="G2069" s="1797" t="n"/>
      <c r="H2069" s="1777" t="inlineStr">
        <is>
          <t>SUBETAPA</t>
        </is>
      </c>
      <c r="I2069" s="1742" t="inlineStr">
        <is>
          <t>16.002.003</t>
        </is>
      </c>
      <c r="J2069" s="1779" t="inlineStr">
        <is>
          <t>Acabamentos cerâmicos em piso</t>
        </is>
      </c>
      <c r="K2069" s="1780" t="n"/>
      <c r="L2069" s="1781" t="n"/>
      <c r="M2069" s="1781" t="n"/>
      <c r="N2069" s="1746" t="n"/>
      <c r="O2069" s="1782" t="n"/>
      <c r="P2069" s="1720" t="n"/>
    </row>
    <row r="2070" hidden="1" outlineLevel="3" ht="12.75" customHeight="1">
      <c r="A2070" s="2117" t="n">
        <v>0</v>
      </c>
      <c r="B2070" s="2117" t="n">
        <v>16</v>
      </c>
      <c r="C2070" s="2117" t="n">
        <v>2</v>
      </c>
      <c r="D2070" s="2118" t="n">
        <v>3</v>
      </c>
      <c r="E2070" s="2118" t="n">
        <v>1</v>
      </c>
      <c r="G2070" s="1798" t="inlineStr">
        <is>
          <t>ACABAMENTOS EM PISOS E PAVIMENTAÇÕES</t>
        </is>
      </c>
      <c r="H2070" s="1783" t="inlineStr">
        <is>
          <t>SERVIÇO</t>
        </is>
      </c>
      <c r="I2070" s="1750" t="inlineStr">
        <is>
          <t>16.002.003.001</t>
        </is>
      </c>
      <c r="J2070" s="1785" t="inlineStr">
        <is>
          <t>Revestimento em Cerâmicas Pisos Internos, 45x 45cm com Junta de 3mm</t>
        </is>
      </c>
      <c r="K2070" s="1786" t="inlineStr">
        <is>
          <t>m2</t>
        </is>
      </c>
      <c r="L2070" s="1787" t="e">
        <v>#REF!</v>
      </c>
      <c r="M2070" s="1787" t="n">
        <v>58.073</v>
      </c>
      <c r="N2070" s="1754" t="n"/>
      <c r="O2070" s="1788" t="n"/>
      <c r="P2070" s="1721" t="inlineStr">
        <is>
          <t>Pendente</t>
        </is>
      </c>
    </row>
    <row r="2071" hidden="1" outlineLevel="3" ht="12.75" customHeight="1">
      <c r="A2071" s="2117" t="n">
        <v>0</v>
      </c>
      <c r="B2071" s="2117" t="n">
        <v>16</v>
      </c>
      <c r="C2071" s="2117" t="n">
        <v>2</v>
      </c>
      <c r="D2071" s="2118" t="n">
        <v>3</v>
      </c>
      <c r="E2071" s="2118" t="n">
        <v>2</v>
      </c>
      <c r="G2071" s="1798" t="inlineStr">
        <is>
          <t>ACABAMENTOS EM PISOS E PAVIMENTAÇÕES</t>
        </is>
      </c>
      <c r="H2071" s="1783" t="inlineStr">
        <is>
          <t>SERVIÇO</t>
        </is>
      </c>
      <c r="I2071" s="1750" t="inlineStr">
        <is>
          <t>16.002.003.002</t>
        </is>
      </c>
      <c r="J2071" s="1785" t="inlineStr">
        <is>
          <t>Revestimento de Piso, Porcelanato Portobello – Posto 10 90x90 Externo Retificado - Linha Ipanema - Padrão Alto</t>
        </is>
      </c>
      <c r="K2071" s="1786" t="inlineStr">
        <is>
          <t>m2</t>
        </is>
      </c>
      <c r="L2071" s="1787" t="e">
        <v>#REF!</v>
      </c>
      <c r="M2071" s="1787" t="n">
        <v>229.8276</v>
      </c>
      <c r="N2071" s="1754" t="n"/>
      <c r="O2071" s="1788" t="n"/>
      <c r="P2071" s="1721" t="inlineStr">
        <is>
          <t>Pendente</t>
        </is>
      </c>
    </row>
    <row r="2072" hidden="1" outlineLevel="3" ht="12.75" customHeight="1">
      <c r="A2072" s="2117" t="n">
        <v>0</v>
      </c>
      <c r="B2072" s="2117" t="n">
        <v>16</v>
      </c>
      <c r="C2072" s="2117" t="n">
        <v>2</v>
      </c>
      <c r="D2072" s="2118" t="n">
        <v>3</v>
      </c>
      <c r="E2072" s="2118" t="n">
        <v>3</v>
      </c>
      <c r="G2072" s="1798" t="inlineStr">
        <is>
          <t>ACABAMENTOS EM PISOS E PAVIMENTAÇÕES</t>
        </is>
      </c>
      <c r="H2072" s="1783" t="inlineStr">
        <is>
          <t>SERVIÇO</t>
        </is>
      </c>
      <c r="I2072" s="1750" t="inlineStr">
        <is>
          <t>16.002.003.003</t>
        </is>
      </c>
      <c r="J2072" s="1785" t="inlineStr">
        <is>
          <t>Revestimento de Piso, Porcelanato Portobello –  90x90 - Padrão Alto</t>
        </is>
      </c>
      <c r="K2072" s="1786" t="inlineStr">
        <is>
          <t>m2</t>
        </is>
      </c>
      <c r="L2072" s="1787" t="e">
        <v>#REF!</v>
      </c>
      <c r="M2072" s="1787" t="n">
        <v>141.8276</v>
      </c>
      <c r="N2072" s="1754" t="n"/>
      <c r="O2072" s="1788" t="n"/>
      <c r="P2072" s="1721" t="inlineStr">
        <is>
          <t>Pendente</t>
        </is>
      </c>
    </row>
    <row r="2073" hidden="1" outlineLevel="2" ht="12.75" customHeight="1">
      <c r="A2073" s="2117" t="n">
        <v>0</v>
      </c>
      <c r="B2073" s="2117" t="n">
        <v>16</v>
      </c>
      <c r="C2073" s="2117" t="n">
        <v>2</v>
      </c>
      <c r="D2073" s="2118" t="n">
        <v>4</v>
      </c>
      <c r="E2073" s="2118" t="n">
        <v>0</v>
      </c>
      <c r="G2073" s="1797" t="n"/>
      <c r="H2073" s="1777" t="inlineStr">
        <is>
          <t>SUBETAPA</t>
        </is>
      </c>
      <c r="I2073" s="1742" t="inlineStr">
        <is>
          <t>16.002.004</t>
        </is>
      </c>
      <c r="J2073" s="1779" t="inlineStr">
        <is>
          <t>Rodapés</t>
        </is>
      </c>
      <c r="K2073" s="1780" t="n"/>
      <c r="L2073" s="1781" t="n"/>
      <c r="M2073" s="1781" t="n"/>
      <c r="N2073" s="1746" t="n"/>
      <c r="O2073" s="1782" t="n"/>
      <c r="P2073" s="1720" t="n"/>
    </row>
    <row r="2074" hidden="1" outlineLevel="3" ht="12.75" customHeight="1">
      <c r="A2074" s="2117" t="n">
        <v>0</v>
      </c>
      <c r="B2074" s="2117" t="n">
        <v>16</v>
      </c>
      <c r="C2074" s="2117" t="n">
        <v>2</v>
      </c>
      <c r="D2074" s="2118" t="n">
        <v>4</v>
      </c>
      <c r="E2074" s="2118" t="n">
        <v>1</v>
      </c>
      <c r="G2074" s="1798" t="inlineStr">
        <is>
          <t>ACABAMENTOS EM PISOS E PAVIMENTAÇÕES</t>
        </is>
      </c>
      <c r="H2074" s="1783" t="inlineStr">
        <is>
          <t>SERVIÇO</t>
        </is>
      </c>
      <c r="I2074" s="1750" t="inlineStr">
        <is>
          <t>16.002.004.001</t>
        </is>
      </c>
      <c r="J2074" s="1785" t="inlineStr">
        <is>
          <t>Rodapé de Cerâmico h=15cm</t>
        </is>
      </c>
      <c r="K2074" s="1786" t="inlineStr">
        <is>
          <t>m</t>
        </is>
      </c>
      <c r="L2074" s="1787" t="e">
        <v>#REF!</v>
      </c>
      <c r="M2074" s="1787" t="n">
        <v>10.114275</v>
      </c>
      <c r="N2074" s="1754" t="n"/>
      <c r="O2074" s="1788" t="n"/>
      <c r="P2074" s="1721" t="inlineStr">
        <is>
          <t>Pendente</t>
        </is>
      </c>
    </row>
    <row r="2075" hidden="1" outlineLevel="3" ht="12.75" customHeight="1">
      <c r="A2075" s="2117" t="n">
        <v>0</v>
      </c>
      <c r="B2075" s="2117" t="n">
        <v>16</v>
      </c>
      <c r="C2075" s="2117" t="n">
        <v>2</v>
      </c>
      <c r="D2075" s="2118" t="n">
        <v>4</v>
      </c>
      <c r="E2075" s="2118" t="n">
        <v>2</v>
      </c>
      <c r="G2075" s="1798" t="inlineStr">
        <is>
          <t>ACABAMENTOS EM PISOS E PAVIMENTAÇÕES</t>
        </is>
      </c>
      <c r="H2075" s="1783" t="inlineStr">
        <is>
          <t>SERVIÇO</t>
        </is>
      </c>
      <c r="I2075" s="1750" t="inlineStr">
        <is>
          <t>16.002.004.002</t>
        </is>
      </c>
      <c r="J2075" s="1785" t="inlineStr">
        <is>
          <t>Rodapé de Poliestireno h=15cm</t>
        </is>
      </c>
      <c r="K2075" s="1786" t="inlineStr">
        <is>
          <t>m</t>
        </is>
      </c>
      <c r="L2075" s="1787" t="e">
        <v>#REF!</v>
      </c>
      <c r="M2075" s="1787" t="n">
        <v>43.82058333333333</v>
      </c>
      <c r="N2075" s="1754" t="n"/>
      <c r="O2075" s="1788" t="n"/>
      <c r="P2075" s="1721" t="inlineStr">
        <is>
          <t>Pendente</t>
        </is>
      </c>
    </row>
    <row r="2076" hidden="1" outlineLevel="3" ht="12.75" customHeight="1">
      <c r="A2076" s="2117" t="n">
        <v>0</v>
      </c>
      <c r="B2076" s="2117" t="n">
        <v>16</v>
      </c>
      <c r="C2076" s="2117" t="n">
        <v>2</v>
      </c>
      <c r="D2076" s="2118" t="n">
        <v>4</v>
      </c>
      <c r="E2076" s="2118" t="n">
        <v>3</v>
      </c>
      <c r="G2076" s="1798" t="inlineStr">
        <is>
          <t>ACABAMENTOS EM PISOS E PAVIMENTAÇÕES</t>
        </is>
      </c>
      <c r="H2076" s="1783" t="inlineStr">
        <is>
          <t>SERVIÇO</t>
        </is>
      </c>
      <c r="I2076" s="1750" t="inlineStr">
        <is>
          <t>16.002.004.003</t>
        </is>
      </c>
      <c r="J2076" s="1785" t="inlineStr">
        <is>
          <t>Rodapé de porcelanato h=15cm, Padrão Alto</t>
        </is>
      </c>
      <c r="K2076" s="1786" t="inlineStr">
        <is>
          <t>m</t>
        </is>
      </c>
      <c r="L2076" s="1787" t="e">
        <v>#REF!</v>
      </c>
      <c r="M2076" s="1787" t="n">
        <v>22.121325</v>
      </c>
      <c r="N2076" s="1754" t="n"/>
      <c r="O2076" s="1788" t="n"/>
      <c r="P2076" s="1721" t="inlineStr">
        <is>
          <t>Pendente</t>
        </is>
      </c>
    </row>
    <row r="2077" hidden="1" outlineLevel="2" ht="12.75" customHeight="1">
      <c r="A2077" s="2117" t="n">
        <v>0</v>
      </c>
      <c r="B2077" s="2117" t="n">
        <v>16</v>
      </c>
      <c r="C2077" s="2117" t="n">
        <v>2</v>
      </c>
      <c r="D2077" s="2118" t="n">
        <v>5</v>
      </c>
      <c r="E2077" s="2118" t="n">
        <v>0</v>
      </c>
      <c r="G2077" s="1797" t="n"/>
      <c r="H2077" s="1777" t="inlineStr">
        <is>
          <t>SUBETAPA</t>
        </is>
      </c>
      <c r="I2077" s="1742" t="inlineStr">
        <is>
          <t>16.002.005</t>
        </is>
      </c>
      <c r="J2077" s="1779" t="inlineStr">
        <is>
          <t>Mão de obra - Revestimentos</t>
        </is>
      </c>
      <c r="K2077" s="1780" t="n"/>
      <c r="L2077" s="1781" t="n"/>
      <c r="M2077" s="1781" t="n"/>
      <c r="N2077" s="1746" t="n"/>
      <c r="O2077" s="1782" t="n"/>
      <c r="P2077" s="1720" t="n"/>
    </row>
    <row r="2078" hidden="1" outlineLevel="3" ht="12.75" customHeight="1">
      <c r="A2078" s="2117" t="n">
        <v>0</v>
      </c>
      <c r="B2078" s="2117" t="n">
        <v>16</v>
      </c>
      <c r="C2078" s="2117" t="n">
        <v>2</v>
      </c>
      <c r="D2078" s="2118" t="n">
        <v>5</v>
      </c>
      <c r="E2078" s="2118" t="n">
        <v>1</v>
      </c>
      <c r="G2078" s="1798" t="inlineStr">
        <is>
          <t>REVESTIMENTOS ARGAMASSADOS PISO</t>
        </is>
      </c>
      <c r="H2078" s="1783" t="inlineStr">
        <is>
          <t>SERVIÇO</t>
        </is>
      </c>
      <c r="I2078" s="1750" t="inlineStr">
        <is>
          <t>16.002.005.001</t>
        </is>
      </c>
      <c r="J2078" s="1785" t="inlineStr">
        <is>
          <t>Mão de obra execução de contrapiso comum e Acústico</t>
        </is>
      </c>
      <c r="K2078" s="1786" t="inlineStr">
        <is>
          <t>m2</t>
        </is>
      </c>
      <c r="L2078" s="1787" t="e">
        <v>#REF!</v>
      </c>
      <c r="M2078" s="1787" t="n">
        <v>40</v>
      </c>
      <c r="N2078" s="1754" t="n"/>
      <c r="O2078" s="1788" t="n"/>
      <c r="P2078" s="1721" t="inlineStr">
        <is>
          <t>Pendente</t>
        </is>
      </c>
    </row>
    <row r="2079" hidden="1" outlineLevel="3" ht="12.75" customHeight="1">
      <c r="A2079" s="2117" t="n">
        <v>0</v>
      </c>
      <c r="B2079" s="2117" t="n">
        <v>16</v>
      </c>
      <c r="C2079" s="2117" t="n">
        <v>2</v>
      </c>
      <c r="D2079" s="2118" t="n">
        <v>5</v>
      </c>
      <c r="E2079" s="2118" t="n">
        <v>2</v>
      </c>
      <c r="G2079" s="1798" t="inlineStr">
        <is>
          <t>REVESTIMENTOS ARGAMASSADOS PISO</t>
        </is>
      </c>
      <c r="H2079" s="1783" t="inlineStr">
        <is>
          <t>SERVIÇO</t>
        </is>
      </c>
      <c r="I2079" s="1750" t="inlineStr">
        <is>
          <t>16.002.005.002</t>
        </is>
      </c>
      <c r="J2079" s="1785" t="inlineStr">
        <is>
          <t>Mão de obra execução Piso de concreto polido</t>
        </is>
      </c>
      <c r="K2079" s="1786" t="inlineStr">
        <is>
          <t>m2</t>
        </is>
      </c>
      <c r="L2079" s="1787" t="e">
        <v>#REF!</v>
      </c>
      <c r="M2079" s="1787" t="n">
        <v>40</v>
      </c>
      <c r="N2079" s="1754" t="n"/>
      <c r="O2079" s="1788" t="n"/>
      <c r="P2079" s="1721" t="inlineStr">
        <is>
          <t>Pendente</t>
        </is>
      </c>
    </row>
    <row r="2080" hidden="1" outlineLevel="3" ht="12.75" customHeight="1">
      <c r="A2080" s="2117" t="n">
        <v>0</v>
      </c>
      <c r="B2080" s="2117" t="n">
        <v>16</v>
      </c>
      <c r="C2080" s="2117" t="n">
        <v>2</v>
      </c>
      <c r="D2080" s="2118" t="n">
        <v>5</v>
      </c>
      <c r="E2080" s="2118" t="n">
        <v>3</v>
      </c>
      <c r="G2080" s="1798" t="inlineStr">
        <is>
          <t>REVESTIMENTOS ARGAMASSADOS PISO</t>
        </is>
      </c>
      <c r="H2080" s="1783" t="inlineStr">
        <is>
          <t>SERVIÇO</t>
        </is>
      </c>
      <c r="I2080" s="1750" t="inlineStr">
        <is>
          <t>16.002.005.003</t>
        </is>
      </c>
      <c r="J2080" s="1785" t="inlineStr">
        <is>
          <t>Mão de obra execução Piso de concreto</t>
        </is>
      </c>
      <c r="K2080" s="1786" t="inlineStr">
        <is>
          <t>m2</t>
        </is>
      </c>
      <c r="L2080" s="1787" t="e">
        <v>#REF!</v>
      </c>
      <c r="M2080" s="1787" t="n">
        <v>25</v>
      </c>
      <c r="N2080" s="1754" t="n"/>
      <c r="O2080" s="1788" t="n"/>
      <c r="P2080" s="1721" t="inlineStr">
        <is>
          <t>Pendente</t>
        </is>
      </c>
    </row>
    <row r="2081" hidden="1" outlineLevel="3" ht="12.75" customHeight="1">
      <c r="A2081" s="2117" t="n">
        <v>0</v>
      </c>
      <c r="B2081" s="2117" t="n">
        <v>16</v>
      </c>
      <c r="C2081" s="2117" t="n">
        <v>2</v>
      </c>
      <c r="D2081" s="2118" t="n">
        <v>5</v>
      </c>
      <c r="E2081" s="2118" t="n">
        <v>4</v>
      </c>
      <c r="G2081" s="1798" t="inlineStr">
        <is>
          <t>ACABAMENTOS EM PISOS E PAVIMENTAÇÕES</t>
        </is>
      </c>
      <c r="H2081" s="1783" t="inlineStr">
        <is>
          <t>SERVIÇO</t>
        </is>
      </c>
      <c r="I2081" s="1750" t="inlineStr">
        <is>
          <t>16.002.005.004</t>
        </is>
      </c>
      <c r="J2081" s="1785" t="inlineStr">
        <is>
          <t>Mão de Obra Piso Porcenato/ Cerâmico</t>
        </is>
      </c>
      <c r="K2081" s="1786" t="inlineStr">
        <is>
          <t>m2</t>
        </is>
      </c>
      <c r="L2081" s="1787" t="e">
        <v>#REF!</v>
      </c>
      <c r="M2081" s="1787" t="n">
        <v>75</v>
      </c>
      <c r="N2081" s="1754" t="n"/>
      <c r="O2081" s="1788" t="n"/>
      <c r="P2081" s="1721" t="inlineStr">
        <is>
          <t>Pendente</t>
        </is>
      </c>
    </row>
    <row r="2082" hidden="1" outlineLevel="3" ht="12.75" customHeight="1">
      <c r="A2082" s="2117" t="n">
        <v>0</v>
      </c>
      <c r="B2082" s="2117" t="n">
        <v>16</v>
      </c>
      <c r="C2082" s="2117" t="n">
        <v>2</v>
      </c>
      <c r="D2082" s="2118" t="n">
        <v>5</v>
      </c>
      <c r="E2082" s="2118" t="n">
        <v>5</v>
      </c>
      <c r="G2082" s="1798" t="inlineStr">
        <is>
          <t>ACABAMENTOS EM PISOS E PAVIMENTAÇÕES</t>
        </is>
      </c>
      <c r="H2082" s="1783" t="inlineStr">
        <is>
          <t>SERVIÇO</t>
        </is>
      </c>
      <c r="I2082" s="1750" t="inlineStr">
        <is>
          <t>16.002.005.005</t>
        </is>
      </c>
      <c r="J2082" s="1785" t="inlineStr">
        <is>
          <t>Mão de obra de rodapé Poliestireno</t>
        </is>
      </c>
      <c r="K2082" s="1786" t="inlineStr">
        <is>
          <t>m</t>
        </is>
      </c>
      <c r="L2082" s="1787" t="e">
        <v>#REF!</v>
      </c>
      <c r="M2082" s="1787" t="n">
        <v>28</v>
      </c>
      <c r="N2082" s="1754" t="n"/>
      <c r="O2082" s="1788" t="n"/>
      <c r="P2082" s="1721" t="inlineStr">
        <is>
          <t>Pendente</t>
        </is>
      </c>
    </row>
    <row r="2083" hidden="1" outlineLevel="3" ht="12.75" customHeight="1">
      <c r="A2083" s="2117" t="n">
        <v>0</v>
      </c>
      <c r="B2083" s="2117" t="n">
        <v>16</v>
      </c>
      <c r="C2083" s="2117" t="n">
        <v>2</v>
      </c>
      <c r="D2083" s="2118" t="n">
        <v>5</v>
      </c>
      <c r="E2083" s="2118" t="n">
        <v>6</v>
      </c>
      <c r="G2083" s="1798" t="inlineStr">
        <is>
          <t>ACABAMENTOS EM PISOS E PAVIMENTAÇÕES</t>
        </is>
      </c>
      <c r="H2083" s="1783" t="inlineStr">
        <is>
          <t>SERVIÇO</t>
        </is>
      </c>
      <c r="I2083" s="1750" t="inlineStr">
        <is>
          <t>16.002.005.006</t>
        </is>
      </c>
      <c r="J2083" s="1785" t="inlineStr">
        <is>
          <t>Mão de obra de rodapé Porcelanato</t>
        </is>
      </c>
      <c r="K2083" s="1786" t="inlineStr">
        <is>
          <t>m</t>
        </is>
      </c>
      <c r="L2083" s="1787" t="e">
        <v>#REF!</v>
      </c>
      <c r="M2083" s="1787" t="n">
        <v>24</v>
      </c>
      <c r="N2083" s="1754" t="n"/>
      <c r="O2083" s="1788" t="n"/>
      <c r="P2083" s="1721" t="inlineStr">
        <is>
          <t>Pendente</t>
        </is>
      </c>
    </row>
    <row r="2084" hidden="1" outlineLevel="1" ht="12.75" customHeight="1">
      <c r="A2084" s="2117" t="n">
        <v>0</v>
      </c>
      <c r="B2084" s="2117" t="n">
        <v>16</v>
      </c>
      <c r="C2084" s="2117" t="n">
        <v>3</v>
      </c>
      <c r="D2084" s="2118" t="n">
        <v>0</v>
      </c>
      <c r="E2084" s="2118" t="n">
        <v>6</v>
      </c>
      <c r="G2084" s="1796" t="n"/>
      <c r="H2084" s="1771" t="inlineStr">
        <is>
          <t>ETAPA</t>
        </is>
      </c>
      <c r="I2084" s="1735" t="inlineStr">
        <is>
          <t>16.003</t>
        </is>
      </c>
      <c r="J2084" s="1773" t="inlineStr">
        <is>
          <t>PISOS E PAVIMENTAÇÕES - G2</t>
        </is>
      </c>
      <c r="K2084" s="1774" t="n"/>
      <c r="L2084" s="1775" t="n"/>
      <c r="M2084" s="1775" t="n"/>
      <c r="N2084" s="1739" t="n"/>
      <c r="O2084" s="1776" t="n"/>
      <c r="P2084" s="1719" t="n"/>
    </row>
    <row r="2085" hidden="1" outlineLevel="2" ht="12.75" customHeight="1">
      <c r="A2085" s="2117" t="n">
        <v>0</v>
      </c>
      <c r="B2085" s="2117" t="n">
        <v>16</v>
      </c>
      <c r="C2085" s="2117" t="n">
        <v>3</v>
      </c>
      <c r="D2085" s="2118" t="n">
        <v>1</v>
      </c>
      <c r="E2085" s="2118" t="n">
        <v>0</v>
      </c>
      <c r="G2085" s="1797" t="n"/>
      <c r="H2085" s="1777" t="inlineStr">
        <is>
          <t>SUBETAPA</t>
        </is>
      </c>
      <c r="I2085" s="1742" t="inlineStr">
        <is>
          <t>16.003.001</t>
        </is>
      </c>
      <c r="J2085" s="1779" t="inlineStr">
        <is>
          <t>Contrapiso</t>
        </is>
      </c>
      <c r="K2085" s="1780" t="n"/>
      <c r="L2085" s="1781" t="n"/>
      <c r="M2085" s="1781" t="n"/>
      <c r="N2085" s="1746" t="n"/>
      <c r="O2085" s="1782" t="n"/>
      <c r="P2085" s="1720" t="n"/>
    </row>
    <row r="2086" hidden="1" outlineLevel="3" ht="12.75" customHeight="1">
      <c r="A2086" s="2117" t="n">
        <v>0</v>
      </c>
      <c r="B2086" s="2117" t="n">
        <v>16</v>
      </c>
      <c r="C2086" s="2117" t="n">
        <v>3</v>
      </c>
      <c r="D2086" s="2118" t="n">
        <v>1</v>
      </c>
      <c r="E2086" s="2118" t="n">
        <v>1</v>
      </c>
      <c r="G2086" s="1798" t="inlineStr">
        <is>
          <t>REVESTIMENTOS ARGAMASSADOS PISO</t>
        </is>
      </c>
      <c r="H2086" s="1783" t="inlineStr">
        <is>
          <t>SERVIÇO</t>
        </is>
      </c>
      <c r="I2086" s="1750" t="inlineStr">
        <is>
          <t>16.003.001.001</t>
        </is>
      </c>
      <c r="J2086" s="1785" t="inlineStr">
        <is>
          <t>Contrapiso comum em argamassa estabilizada, auto nivelado, espessura 5cm</t>
        </is>
      </c>
      <c r="K2086" s="1786" t="inlineStr">
        <is>
          <t>m2</t>
        </is>
      </c>
      <c r="L2086" s="1787" t="e">
        <v>#REF!</v>
      </c>
      <c r="M2086" s="1787" t="n">
        <v>44.58523333333333</v>
      </c>
      <c r="N2086" s="1754" t="n"/>
      <c r="O2086" s="1788" t="n"/>
      <c r="P2086" s="1721" t="inlineStr">
        <is>
          <t>Pendente</t>
        </is>
      </c>
    </row>
    <row r="2087" hidden="1" outlineLevel="2" ht="12.75" customHeight="1">
      <c r="A2087" s="2117" t="n">
        <v>0</v>
      </c>
      <c r="B2087" s="2117" t="n">
        <v>16</v>
      </c>
      <c r="C2087" s="2117" t="n">
        <v>3</v>
      </c>
      <c r="D2087" s="2118" t="n">
        <v>2</v>
      </c>
      <c r="E2087" s="2118" t="n">
        <v>0</v>
      </c>
      <c r="G2087" s="1797" t="n"/>
      <c r="H2087" s="1777" t="inlineStr">
        <is>
          <t>SUBETAPA</t>
        </is>
      </c>
      <c r="I2087" s="1742" t="inlineStr">
        <is>
          <t>16.003.002</t>
        </is>
      </c>
      <c r="J2087" s="1779" t="inlineStr">
        <is>
          <t>Acabamentos cimentados em piso</t>
        </is>
      </c>
      <c r="K2087" s="1780" t="n"/>
      <c r="L2087" s="1781" t="n"/>
      <c r="M2087" s="1781" t="n"/>
      <c r="N2087" s="1746" t="n"/>
      <c r="O2087" s="1782" t="n"/>
      <c r="P2087" s="1720" t="n"/>
    </row>
    <row r="2088" hidden="1" outlineLevel="3" ht="12.75" customHeight="1">
      <c r="A2088" s="2117" t="n">
        <v>0</v>
      </c>
      <c r="B2088" s="2117" t="n">
        <v>16</v>
      </c>
      <c r="C2088" s="2117" t="n">
        <v>3</v>
      </c>
      <c r="D2088" s="2118" t="n">
        <v>2</v>
      </c>
      <c r="E2088" s="2118" t="n">
        <v>1</v>
      </c>
      <c r="G2088" s="1798" t="inlineStr">
        <is>
          <t>REVESTIMENTOS ARGAMASSADOS PISO</t>
        </is>
      </c>
      <c r="H2088" s="1783" t="inlineStr">
        <is>
          <t>SERVIÇO</t>
        </is>
      </c>
      <c r="I2088" s="1750" t="inlineStr">
        <is>
          <t>16.003.002.001</t>
        </is>
      </c>
      <c r="J2088" s="1785" t="inlineStr">
        <is>
          <t xml:space="preserve">Piso de concreto polido, espessura 2cm </t>
        </is>
      </c>
      <c r="K2088" s="1786" t="inlineStr">
        <is>
          <t>m2</t>
        </is>
      </c>
      <c r="L2088" s="1787" t="e">
        <v>#REF!</v>
      </c>
      <c r="M2088" s="1787" t="n">
        <v>61.444939</v>
      </c>
      <c r="N2088" s="1754" t="n"/>
      <c r="O2088" s="1788" t="inlineStr">
        <is>
          <t>Garagem</t>
        </is>
      </c>
      <c r="P2088" s="1721" t="inlineStr">
        <is>
          <t>Pendente</t>
        </is>
      </c>
    </row>
    <row r="2089" hidden="1" outlineLevel="2" ht="12.75" customHeight="1">
      <c r="A2089" s="2117" t="n">
        <v>0</v>
      </c>
      <c r="B2089" s="2117" t="n">
        <v>16</v>
      </c>
      <c r="C2089" s="2117" t="n">
        <v>3</v>
      </c>
      <c r="D2089" s="2118" t="n">
        <v>3</v>
      </c>
      <c r="E2089" s="2118" t="n">
        <v>0</v>
      </c>
      <c r="G2089" s="1797" t="n"/>
      <c r="H2089" s="1777" t="inlineStr">
        <is>
          <t>SUBETAPA</t>
        </is>
      </c>
      <c r="I2089" s="1742" t="inlineStr">
        <is>
          <t>16.003.003</t>
        </is>
      </c>
      <c r="J2089" s="1779" t="inlineStr">
        <is>
          <t>Acabamentos cerâmicos em piso</t>
        </is>
      </c>
      <c r="K2089" s="1780" t="n"/>
      <c r="L2089" s="1781" t="n"/>
      <c r="M2089" s="1781" t="n"/>
      <c r="N2089" s="1746" t="n"/>
      <c r="O2089" s="1782" t="n"/>
      <c r="P2089" s="1720" t="n"/>
    </row>
    <row r="2090" hidden="1" outlineLevel="3" ht="12.75" customHeight="1">
      <c r="A2090" s="2117" t="n">
        <v>0</v>
      </c>
      <c r="B2090" s="2117" t="n">
        <v>16</v>
      </c>
      <c r="C2090" s="2117" t="n">
        <v>3</v>
      </c>
      <c r="D2090" s="2118" t="n">
        <v>3</v>
      </c>
      <c r="E2090" s="2118" t="n">
        <v>1</v>
      </c>
      <c r="G2090" s="1798" t="inlineStr">
        <is>
          <t>ACABAMENTOS EM PISOS E PAVIMENTAÇÕES</t>
        </is>
      </c>
      <c r="H2090" s="1783" t="inlineStr">
        <is>
          <t>SERVIÇO</t>
        </is>
      </c>
      <c r="I2090" s="1750" t="inlineStr">
        <is>
          <t>16.003.003.001</t>
        </is>
      </c>
      <c r="J2090" s="1785" t="inlineStr">
        <is>
          <t>Revestimento em Cerâmicas Pisos Internos, 45x 45cm com Junta de 3mm</t>
        </is>
      </c>
      <c r="K2090" s="1786" t="inlineStr">
        <is>
          <t>m2</t>
        </is>
      </c>
      <c r="L2090" s="1787" t="e">
        <v>#REF!</v>
      </c>
      <c r="M2090" s="1787" t="n">
        <v>58.073</v>
      </c>
      <c r="N2090" s="1754" t="n"/>
      <c r="O2090" s="1788" t="n"/>
      <c r="P2090" s="1721" t="inlineStr">
        <is>
          <t>Pendente</t>
        </is>
      </c>
    </row>
    <row r="2091" hidden="1" outlineLevel="3" ht="12.75" customHeight="1">
      <c r="A2091" s="2117" t="n">
        <v>0</v>
      </c>
      <c r="B2091" s="2117" t="n">
        <v>16</v>
      </c>
      <c r="C2091" s="2117" t="n">
        <v>3</v>
      </c>
      <c r="D2091" s="2118" t="n">
        <v>3</v>
      </c>
      <c r="E2091" s="2118" t="n">
        <v>2</v>
      </c>
      <c r="G2091" s="1798" t="inlineStr">
        <is>
          <t>ACABAMENTOS EM PISOS E PAVIMENTAÇÕES</t>
        </is>
      </c>
      <c r="H2091" s="1783" t="inlineStr">
        <is>
          <t>SERVIÇO</t>
        </is>
      </c>
      <c r="I2091" s="1750" t="inlineStr">
        <is>
          <t>16.003.003.002</t>
        </is>
      </c>
      <c r="J2091" s="1785" t="inlineStr">
        <is>
          <t>Revestimento de Piso, Porcelanato Portobello – Posto 10 90x90 Externo Retificado - Linha Ipanema - Padrão Alto</t>
        </is>
      </c>
      <c r="K2091" s="1786" t="inlineStr">
        <is>
          <t>m2</t>
        </is>
      </c>
      <c r="L2091" s="1787" t="e">
        <v>#REF!</v>
      </c>
      <c r="M2091" s="1787" t="n">
        <v>229.8276</v>
      </c>
      <c r="N2091" s="1754" t="n"/>
      <c r="O2091" s="1788" t="n"/>
      <c r="P2091" s="1721" t="inlineStr">
        <is>
          <t>Pendente</t>
        </is>
      </c>
    </row>
    <row r="2092" hidden="1" outlineLevel="3" ht="12.75" customHeight="1">
      <c r="A2092" s="2117" t="n">
        <v>0</v>
      </c>
      <c r="B2092" s="2117" t="n">
        <v>16</v>
      </c>
      <c r="C2092" s="2117" t="n">
        <v>3</v>
      </c>
      <c r="D2092" s="2118" t="n">
        <v>3</v>
      </c>
      <c r="E2092" s="2118" t="n">
        <v>3</v>
      </c>
      <c r="G2092" s="1798" t="inlineStr">
        <is>
          <t>ACABAMENTOS EM PISOS E PAVIMENTAÇÕES</t>
        </is>
      </c>
      <c r="H2092" s="1783" t="inlineStr">
        <is>
          <t>SERVIÇO</t>
        </is>
      </c>
      <c r="I2092" s="1750" t="inlineStr">
        <is>
          <t>16.003.003.003</t>
        </is>
      </c>
      <c r="J2092" s="1785" t="inlineStr">
        <is>
          <t>Revestimento de Piso, Porcelanato Portobello –  90x90 - Padrão Alto</t>
        </is>
      </c>
      <c r="K2092" s="1786" t="inlineStr">
        <is>
          <t>m2</t>
        </is>
      </c>
      <c r="L2092" s="1787" t="e">
        <v>#REF!</v>
      </c>
      <c r="M2092" s="1787" t="n">
        <v>141.8276</v>
      </c>
      <c r="N2092" s="1754" t="n"/>
      <c r="O2092" s="1788" t="n"/>
      <c r="P2092" s="1721" t="inlineStr">
        <is>
          <t>Pendente</t>
        </is>
      </c>
    </row>
    <row r="2093" hidden="1" outlineLevel="2" ht="12.75" customHeight="1">
      <c r="A2093" s="2117" t="n">
        <v>0</v>
      </c>
      <c r="B2093" s="2117" t="n">
        <v>16</v>
      </c>
      <c r="C2093" s="2117" t="n">
        <v>3</v>
      </c>
      <c r="D2093" s="2118" t="n">
        <v>4</v>
      </c>
      <c r="E2093" s="2118" t="n">
        <v>0</v>
      </c>
      <c r="G2093" s="1797" t="n"/>
      <c r="H2093" s="1777" t="inlineStr">
        <is>
          <t>SUBETAPA</t>
        </is>
      </c>
      <c r="I2093" s="1742" t="inlineStr">
        <is>
          <t>16.003.004</t>
        </is>
      </c>
      <c r="J2093" s="1779" t="inlineStr">
        <is>
          <t>Rodapés</t>
        </is>
      </c>
      <c r="K2093" s="1780" t="n"/>
      <c r="L2093" s="1781" t="n"/>
      <c r="M2093" s="1781" t="n"/>
      <c r="N2093" s="1746" t="n"/>
      <c r="O2093" s="1782" t="n"/>
      <c r="P2093" s="1720" t="n"/>
    </row>
    <row r="2094" hidden="1" outlineLevel="3" ht="12.75" customHeight="1">
      <c r="A2094" s="2117" t="n">
        <v>0</v>
      </c>
      <c r="B2094" s="2117" t="n">
        <v>16</v>
      </c>
      <c r="C2094" s="2117" t="n">
        <v>3</v>
      </c>
      <c r="D2094" s="2118" t="n">
        <v>4</v>
      </c>
      <c r="E2094" s="2118" t="n">
        <v>1</v>
      </c>
      <c r="G2094" s="1798" t="inlineStr">
        <is>
          <t>ACABAMENTOS EM PISOS E PAVIMENTAÇÕES</t>
        </is>
      </c>
      <c r="H2094" s="1783" t="inlineStr">
        <is>
          <t>SERVIÇO</t>
        </is>
      </c>
      <c r="I2094" s="1750" t="inlineStr">
        <is>
          <t>16.003.004.001</t>
        </is>
      </c>
      <c r="J2094" s="1785" t="inlineStr">
        <is>
          <t>Rodapé de Cerâmico h=15cm</t>
        </is>
      </c>
      <c r="K2094" s="1786" t="inlineStr">
        <is>
          <t>m</t>
        </is>
      </c>
      <c r="L2094" s="1787" t="e">
        <v>#REF!</v>
      </c>
      <c r="M2094" s="1787" t="n">
        <v>10.114275</v>
      </c>
      <c r="N2094" s="1754" t="n"/>
      <c r="O2094" s="1788" t="n"/>
      <c r="P2094" s="1721" t="inlineStr">
        <is>
          <t>Pendente</t>
        </is>
      </c>
    </row>
    <row r="2095" hidden="1" outlineLevel="3" ht="12.75" customHeight="1">
      <c r="A2095" s="2117" t="n">
        <v>0</v>
      </c>
      <c r="B2095" s="2117" t="n">
        <v>16</v>
      </c>
      <c r="C2095" s="2117" t="n">
        <v>3</v>
      </c>
      <c r="D2095" s="2118" t="n">
        <v>4</v>
      </c>
      <c r="E2095" s="2118" t="n">
        <v>2</v>
      </c>
      <c r="G2095" s="1798" t="inlineStr">
        <is>
          <t>ACABAMENTOS EM PISOS E PAVIMENTAÇÕES</t>
        </is>
      </c>
      <c r="H2095" s="1783" t="inlineStr">
        <is>
          <t>SERVIÇO</t>
        </is>
      </c>
      <c r="I2095" s="1750" t="inlineStr">
        <is>
          <t>16.003.004.002</t>
        </is>
      </c>
      <c r="J2095" s="1785" t="inlineStr">
        <is>
          <t>Rodapé de porcelanato h=15cm, Padrão Alto</t>
        </is>
      </c>
      <c r="K2095" s="1786" t="inlineStr">
        <is>
          <t>m</t>
        </is>
      </c>
      <c r="L2095" s="1787" t="e">
        <v>#REF!</v>
      </c>
      <c r="M2095" s="1787" t="n">
        <v>22.121325</v>
      </c>
      <c r="N2095" s="1754" t="n"/>
      <c r="O2095" s="1788" t="n"/>
      <c r="P2095" s="1721" t="inlineStr">
        <is>
          <t>Pendente</t>
        </is>
      </c>
    </row>
    <row r="2096" hidden="1" outlineLevel="2" ht="12.75" customHeight="1">
      <c r="A2096" s="2117" t="n">
        <v>0</v>
      </c>
      <c r="B2096" s="2117" t="n">
        <v>16</v>
      </c>
      <c r="C2096" s="2117" t="n">
        <v>3</v>
      </c>
      <c r="D2096" s="2118" t="n">
        <v>5</v>
      </c>
      <c r="E2096" s="2118" t="n">
        <v>0</v>
      </c>
      <c r="G2096" s="1797" t="n"/>
      <c r="H2096" s="1777" t="inlineStr">
        <is>
          <t>SUBETAPA</t>
        </is>
      </c>
      <c r="I2096" s="1742" t="inlineStr">
        <is>
          <t>16.003.005</t>
        </is>
      </c>
      <c r="J2096" s="1779" t="inlineStr">
        <is>
          <t>Mão de obra - Revestimentos</t>
        </is>
      </c>
      <c r="K2096" s="1780" t="n"/>
      <c r="L2096" s="1781" t="n"/>
      <c r="M2096" s="1781" t="n"/>
      <c r="N2096" s="1746" t="n"/>
      <c r="O2096" s="1782" t="n"/>
      <c r="P2096" s="1720" t="n"/>
    </row>
    <row r="2097" hidden="1" outlineLevel="3" ht="12.75" customHeight="1">
      <c r="A2097" s="2117" t="n">
        <v>0</v>
      </c>
      <c r="B2097" s="2117" t="n">
        <v>16</v>
      </c>
      <c r="C2097" s="2117" t="n">
        <v>3</v>
      </c>
      <c r="D2097" s="2118" t="n">
        <v>5</v>
      </c>
      <c r="E2097" s="2118" t="n">
        <v>1</v>
      </c>
      <c r="G2097" s="1798" t="inlineStr">
        <is>
          <t>REVESTIMENTOS ARGAMASSADOS PISO</t>
        </is>
      </c>
      <c r="H2097" s="1783" t="inlineStr">
        <is>
          <t>SERVIÇO</t>
        </is>
      </c>
      <c r="I2097" s="1750" t="inlineStr">
        <is>
          <t>16.003.005.001</t>
        </is>
      </c>
      <c r="J2097" s="1785" t="inlineStr">
        <is>
          <t>Mão de obra execução de contrapiso comum e Acústico</t>
        </is>
      </c>
      <c r="K2097" s="1786" t="inlineStr">
        <is>
          <t>m2</t>
        </is>
      </c>
      <c r="L2097" s="1787" t="e">
        <v>#REF!</v>
      </c>
      <c r="M2097" s="1787" t="n">
        <v>40</v>
      </c>
      <c r="N2097" s="1754" t="n"/>
      <c r="O2097" s="1788" t="n"/>
      <c r="P2097" s="1721" t="inlineStr">
        <is>
          <t>Pendente</t>
        </is>
      </c>
    </row>
    <row r="2098" hidden="1" outlineLevel="3" ht="12.75" customHeight="1">
      <c r="A2098" s="2117" t="n">
        <v>0</v>
      </c>
      <c r="B2098" s="2117" t="n">
        <v>16</v>
      </c>
      <c r="C2098" s="2117" t="n">
        <v>3</v>
      </c>
      <c r="D2098" s="2118" t="n">
        <v>5</v>
      </c>
      <c r="E2098" s="2118" t="n">
        <v>2</v>
      </c>
      <c r="G2098" s="1798" t="inlineStr">
        <is>
          <t>REVESTIMENTOS ARGAMASSADOS PISO</t>
        </is>
      </c>
      <c r="H2098" s="1783" t="inlineStr">
        <is>
          <t>SERVIÇO</t>
        </is>
      </c>
      <c r="I2098" s="1750" t="inlineStr">
        <is>
          <t>16.003.005.002</t>
        </is>
      </c>
      <c r="J2098" s="1785" t="inlineStr">
        <is>
          <t>Mão de obra execução Piso de concreto polido</t>
        </is>
      </c>
      <c r="K2098" s="1786" t="inlineStr">
        <is>
          <t>m2</t>
        </is>
      </c>
      <c r="L2098" s="1787" t="e">
        <v>#REF!</v>
      </c>
      <c r="M2098" s="1787" t="n">
        <v>40</v>
      </c>
      <c r="N2098" s="1754" t="n"/>
      <c r="O2098" s="1788" t="n"/>
      <c r="P2098" s="1721" t="inlineStr">
        <is>
          <t>Pendente</t>
        </is>
      </c>
    </row>
    <row r="2099" hidden="1" outlineLevel="3" ht="12.75" customHeight="1">
      <c r="A2099" s="2117" t="n">
        <v>0</v>
      </c>
      <c r="B2099" s="2117" t="n">
        <v>16</v>
      </c>
      <c r="C2099" s="2117" t="n">
        <v>3</v>
      </c>
      <c r="D2099" s="2118" t="n">
        <v>5</v>
      </c>
      <c r="E2099" s="2118" t="n">
        <v>3</v>
      </c>
      <c r="G2099" s="1798" t="inlineStr">
        <is>
          <t>ACABAMENTOS EM PISOS E PAVIMENTAÇÕES</t>
        </is>
      </c>
      <c r="H2099" s="1783" t="inlineStr">
        <is>
          <t>SERVIÇO</t>
        </is>
      </c>
      <c r="I2099" s="1750" t="inlineStr">
        <is>
          <t>16.003.005.003</t>
        </is>
      </c>
      <c r="J2099" s="1785" t="inlineStr">
        <is>
          <t>Mão de Obra Piso Porcenato/ Cerâmico</t>
        </is>
      </c>
      <c r="K2099" s="1786" t="inlineStr">
        <is>
          <t>m2</t>
        </is>
      </c>
      <c r="L2099" s="1787" t="e">
        <v>#REF!</v>
      </c>
      <c r="M2099" s="1787" t="n">
        <v>75</v>
      </c>
      <c r="N2099" s="1754" t="n"/>
      <c r="O2099" s="1788" t="n"/>
      <c r="P2099" s="1721" t="inlineStr">
        <is>
          <t>Pendente</t>
        </is>
      </c>
    </row>
    <row r="2100" hidden="1" outlineLevel="3" ht="12.75" customHeight="1">
      <c r="A2100" s="2117" t="n">
        <v>0</v>
      </c>
      <c r="B2100" s="2117" t="n">
        <v>16</v>
      </c>
      <c r="C2100" s="2117" t="n">
        <v>3</v>
      </c>
      <c r="D2100" s="2118" t="n">
        <v>5</v>
      </c>
      <c r="E2100" s="2118" t="n">
        <v>4</v>
      </c>
      <c r="G2100" s="1798" t="inlineStr">
        <is>
          <t>ACABAMENTOS EM PISOS E PAVIMENTAÇÕES</t>
        </is>
      </c>
      <c r="H2100" s="1783" t="inlineStr">
        <is>
          <t>SERVIÇO</t>
        </is>
      </c>
      <c r="I2100" s="1750" t="inlineStr">
        <is>
          <t>16.003.005.004</t>
        </is>
      </c>
      <c r="J2100" s="1785" t="inlineStr">
        <is>
          <t>Mão de obra de rodapé Porcelanato</t>
        </is>
      </c>
      <c r="K2100" s="1786" t="inlineStr">
        <is>
          <t>m</t>
        </is>
      </c>
      <c r="L2100" s="1787" t="e">
        <v>#REF!</v>
      </c>
      <c r="M2100" s="1787" t="n">
        <v>24</v>
      </c>
      <c r="N2100" s="1754" t="n"/>
      <c r="O2100" s="1788" t="n"/>
      <c r="P2100" s="1721" t="inlineStr">
        <is>
          <t>Pendente</t>
        </is>
      </c>
    </row>
    <row r="2101" hidden="1" outlineLevel="1" ht="12.75" customHeight="1">
      <c r="A2101" s="2117" t="n">
        <v>0</v>
      </c>
      <c r="B2101" s="2117" t="n">
        <v>16</v>
      </c>
      <c r="C2101" s="2117" t="n">
        <v>4</v>
      </c>
      <c r="D2101" s="2118" t="n">
        <v>0</v>
      </c>
      <c r="E2101" s="2118" t="n">
        <v>4</v>
      </c>
      <c r="G2101" s="1796" t="n"/>
      <c r="H2101" s="1771" t="inlineStr">
        <is>
          <t>ETAPA</t>
        </is>
      </c>
      <c r="I2101" s="1735" t="inlineStr">
        <is>
          <t>16.004</t>
        </is>
      </c>
      <c r="J2101" s="1773" t="inlineStr">
        <is>
          <t>PISOS E PAVIMENTAÇÕES - Mezanino G2</t>
        </is>
      </c>
      <c r="K2101" s="1774" t="n"/>
      <c r="L2101" s="1775" t="n"/>
      <c r="M2101" s="1775" t="n"/>
      <c r="N2101" s="1739" t="n"/>
      <c r="O2101" s="1776" t="n"/>
      <c r="P2101" s="1719" t="n"/>
    </row>
    <row r="2102" hidden="1" outlineLevel="2" ht="12.75" customHeight="1">
      <c r="A2102" s="2117" t="n">
        <v>0</v>
      </c>
      <c r="B2102" s="2117" t="n">
        <v>16</v>
      </c>
      <c r="C2102" s="2117" t="n">
        <v>4</v>
      </c>
      <c r="D2102" s="2118" t="n">
        <v>1</v>
      </c>
      <c r="E2102" s="2118" t="n">
        <v>0</v>
      </c>
      <c r="G2102" s="1797" t="n"/>
      <c r="H2102" s="1777" t="inlineStr">
        <is>
          <t>SUBETAPA</t>
        </is>
      </c>
      <c r="I2102" s="1742" t="inlineStr">
        <is>
          <t>16.004.001</t>
        </is>
      </c>
      <c r="J2102" s="1779" t="inlineStr">
        <is>
          <t>Contrapiso</t>
        </is>
      </c>
      <c r="K2102" s="1780" t="n"/>
      <c r="L2102" s="1781" t="n"/>
      <c r="M2102" s="1781" t="n"/>
      <c r="N2102" s="1746" t="n"/>
      <c r="O2102" s="1782" t="n"/>
      <c r="P2102" s="1720" t="n"/>
    </row>
    <row r="2103" hidden="1" outlineLevel="3" ht="12.75" customHeight="1">
      <c r="A2103" s="2117" t="n">
        <v>0</v>
      </c>
      <c r="B2103" s="2117" t="n">
        <v>16</v>
      </c>
      <c r="C2103" s="2117" t="n">
        <v>4</v>
      </c>
      <c r="D2103" s="2118" t="n">
        <v>1</v>
      </c>
      <c r="E2103" s="2118" t="n">
        <v>1</v>
      </c>
      <c r="G2103" s="1798" t="inlineStr">
        <is>
          <t>REVESTIMENTOS ARGAMASSADOS PISO</t>
        </is>
      </c>
      <c r="H2103" s="1783" t="inlineStr">
        <is>
          <t>SERVIÇO</t>
        </is>
      </c>
      <c r="I2103" s="1750" t="inlineStr">
        <is>
          <t>16.004.001.001</t>
        </is>
      </c>
      <c r="J2103" s="1785" t="inlineStr">
        <is>
          <t>Contrapiso comum em argamassa estabilizada, auto nivelado, espessura 5cm</t>
        </is>
      </c>
      <c r="K2103" s="1786" t="inlineStr">
        <is>
          <t>m2</t>
        </is>
      </c>
      <c r="L2103" s="1787" t="e">
        <v>#REF!</v>
      </c>
      <c r="M2103" s="1787" t="n">
        <v>44.58523333333333</v>
      </c>
      <c r="N2103" s="1754" t="n"/>
      <c r="O2103" s="1788" t="n"/>
      <c r="P2103" s="1721" t="inlineStr">
        <is>
          <t>Pendente</t>
        </is>
      </c>
    </row>
    <row r="2104" hidden="1" outlineLevel="2" ht="12.75" customHeight="1">
      <c r="A2104" s="2117" t="n">
        <v>0</v>
      </c>
      <c r="B2104" s="2117" t="n">
        <v>16</v>
      </c>
      <c r="C2104" s="2117" t="n">
        <v>4</v>
      </c>
      <c r="D2104" s="2118" t="n">
        <v>2</v>
      </c>
      <c r="E2104" s="2118" t="n">
        <v>0</v>
      </c>
      <c r="G2104" s="1797" t="n"/>
      <c r="H2104" s="1777" t="inlineStr">
        <is>
          <t>SUBETAPA</t>
        </is>
      </c>
      <c r="I2104" s="1742" t="inlineStr">
        <is>
          <t>16.004.002</t>
        </is>
      </c>
      <c r="J2104" s="1779" t="inlineStr">
        <is>
          <t>Acabamentos cimentados em piso</t>
        </is>
      </c>
      <c r="K2104" s="1780" t="n"/>
      <c r="L2104" s="1781" t="n"/>
      <c r="M2104" s="1781" t="n"/>
      <c r="N2104" s="1746" t="n"/>
      <c r="O2104" s="1782" t="n"/>
      <c r="P2104" s="1720" t="n"/>
    </row>
    <row r="2105" hidden="1" outlineLevel="3" ht="12.75" customHeight="1">
      <c r="A2105" s="2117" t="n">
        <v>0</v>
      </c>
      <c r="B2105" s="2117" t="n">
        <v>16</v>
      </c>
      <c r="C2105" s="2117" t="n">
        <v>4</v>
      </c>
      <c r="D2105" s="2118" t="n">
        <v>2</v>
      </c>
      <c r="E2105" s="2118" t="n">
        <v>1</v>
      </c>
      <c r="G2105" s="1798" t="inlineStr">
        <is>
          <t>REVESTIMENTOS ARGAMASSADOS PISO</t>
        </is>
      </c>
      <c r="H2105" s="1783" t="inlineStr">
        <is>
          <t>SERVIÇO</t>
        </is>
      </c>
      <c r="I2105" s="1750" t="inlineStr">
        <is>
          <t>16.004.002.001</t>
        </is>
      </c>
      <c r="J2105" s="1785" t="inlineStr">
        <is>
          <t xml:space="preserve">Piso de concreto polido, espessura 2cm </t>
        </is>
      </c>
      <c r="K2105" s="1786" t="inlineStr">
        <is>
          <t>m2</t>
        </is>
      </c>
      <c r="L2105" s="1787" t="e">
        <v>#REF!</v>
      </c>
      <c r="M2105" s="1787" t="n">
        <v>61.444939</v>
      </c>
      <c r="N2105" s="1754" t="n"/>
      <c r="O2105" s="1788" t="inlineStr">
        <is>
          <t>Garagem</t>
        </is>
      </c>
      <c r="P2105" s="1721" t="inlineStr">
        <is>
          <t>Pendente</t>
        </is>
      </c>
    </row>
    <row r="2106" hidden="1" outlineLevel="2" ht="12.75" customHeight="1">
      <c r="A2106" s="2117" t="n">
        <v>0</v>
      </c>
      <c r="B2106" s="2117" t="n">
        <v>16</v>
      </c>
      <c r="C2106" s="2117" t="n">
        <v>4</v>
      </c>
      <c r="D2106" s="2118" t="n">
        <v>3</v>
      </c>
      <c r="E2106" s="2118" t="n">
        <v>0</v>
      </c>
      <c r="G2106" s="1797" t="n"/>
      <c r="H2106" s="1777" t="inlineStr">
        <is>
          <t>SUBETAPA</t>
        </is>
      </c>
      <c r="I2106" s="1742" t="inlineStr">
        <is>
          <t>16.004.003</t>
        </is>
      </c>
      <c r="J2106" s="1779" t="inlineStr">
        <is>
          <t>Acabamentos cerâmicos em piso</t>
        </is>
      </c>
      <c r="K2106" s="1780" t="n"/>
      <c r="L2106" s="1781" t="n"/>
      <c r="M2106" s="1781" t="n"/>
      <c r="N2106" s="1746" t="n"/>
      <c r="O2106" s="1782" t="n"/>
      <c r="P2106" s="1720" t="n"/>
    </row>
    <row r="2107" hidden="1" outlineLevel="3" ht="12.75" customHeight="1">
      <c r="A2107" s="2117" t="n">
        <v>0</v>
      </c>
      <c r="B2107" s="2117" t="n">
        <v>16</v>
      </c>
      <c r="C2107" s="2117" t="n">
        <v>4</v>
      </c>
      <c r="D2107" s="2118" t="n">
        <v>3</v>
      </c>
      <c r="E2107" s="2118" t="n">
        <v>1</v>
      </c>
      <c r="G2107" s="1798" t="inlineStr">
        <is>
          <t>ACABAMENTOS EM PISOS E PAVIMENTAÇÕES</t>
        </is>
      </c>
      <c r="H2107" s="1783" t="inlineStr">
        <is>
          <t>SERVIÇO</t>
        </is>
      </c>
      <c r="I2107" s="1750" t="inlineStr">
        <is>
          <t>16.004.003.001</t>
        </is>
      </c>
      <c r="J2107" s="1785" t="inlineStr">
        <is>
          <t>Revestimento em Cerâmicas Pisos Internos, 45x 45cm com Junta de 3mm</t>
        </is>
      </c>
      <c r="K2107" s="1786" t="inlineStr">
        <is>
          <t>m2</t>
        </is>
      </c>
      <c r="L2107" s="1787" t="e">
        <v>#REF!</v>
      </c>
      <c r="M2107" s="1787" t="n">
        <v>58.073</v>
      </c>
      <c r="N2107" s="1754" t="n"/>
      <c r="O2107" s="1788" t="n"/>
      <c r="P2107" s="1721" t="inlineStr">
        <is>
          <t>Pendente</t>
        </is>
      </c>
    </row>
    <row r="2108" hidden="1" outlineLevel="3" ht="12.75" customHeight="1">
      <c r="A2108" s="2117" t="n">
        <v>0</v>
      </c>
      <c r="B2108" s="2117" t="n">
        <v>16</v>
      </c>
      <c r="C2108" s="2117" t="n">
        <v>4</v>
      </c>
      <c r="D2108" s="2118" t="n">
        <v>3</v>
      </c>
      <c r="E2108" s="2118" t="n">
        <v>2</v>
      </c>
      <c r="G2108" s="1798" t="inlineStr">
        <is>
          <t>ACABAMENTOS EM PISOS E PAVIMENTAÇÕES</t>
        </is>
      </c>
      <c r="H2108" s="1783" t="inlineStr">
        <is>
          <t>SERVIÇO</t>
        </is>
      </c>
      <c r="I2108" s="1750" t="inlineStr">
        <is>
          <t>16.004.003.002</t>
        </is>
      </c>
      <c r="J2108" s="1785" t="inlineStr">
        <is>
          <t>Revestimento de Piso, Porcelanato Portobello – Posto 10 90x90 Externo Retificado - Linha Ipanema - Padrão Alto</t>
        </is>
      </c>
      <c r="K2108" s="1786" t="inlineStr">
        <is>
          <t>m2</t>
        </is>
      </c>
      <c r="L2108" s="1787" t="e">
        <v>#REF!</v>
      </c>
      <c r="M2108" s="1787" t="n">
        <v>229.8276</v>
      </c>
      <c r="N2108" s="1754" t="n"/>
      <c r="O2108" s="1788" t="n"/>
      <c r="P2108" s="1721" t="inlineStr">
        <is>
          <t>Pendente</t>
        </is>
      </c>
    </row>
    <row r="2109" hidden="1" outlineLevel="2" ht="12.75" customHeight="1">
      <c r="A2109" s="2117" t="n">
        <v>0</v>
      </c>
      <c r="B2109" s="2117" t="n">
        <v>16</v>
      </c>
      <c r="C2109" s="2117" t="n">
        <v>4</v>
      </c>
      <c r="D2109" s="2118" t="n">
        <v>4</v>
      </c>
      <c r="E2109" s="2118" t="n">
        <v>0</v>
      </c>
      <c r="G2109" s="1797" t="n"/>
      <c r="H2109" s="1777" t="inlineStr">
        <is>
          <t>SUBETAPA</t>
        </is>
      </c>
      <c r="I2109" s="1742" t="inlineStr">
        <is>
          <t>16.004.004</t>
        </is>
      </c>
      <c r="J2109" s="1779" t="inlineStr">
        <is>
          <t>Rodapés</t>
        </is>
      </c>
      <c r="K2109" s="1780" t="n"/>
      <c r="L2109" s="1781" t="n"/>
      <c r="M2109" s="1781" t="n"/>
      <c r="N2109" s="1746" t="n"/>
      <c r="O2109" s="1782" t="n"/>
      <c r="P2109" s="1720" t="n"/>
    </row>
    <row r="2110" hidden="1" outlineLevel="3" ht="12.75" customHeight="1">
      <c r="A2110" s="2117" t="n">
        <v>0</v>
      </c>
      <c r="B2110" s="2117" t="n">
        <v>16</v>
      </c>
      <c r="C2110" s="2117" t="n">
        <v>4</v>
      </c>
      <c r="D2110" s="2118" t="n">
        <v>4</v>
      </c>
      <c r="E2110" s="2118" t="n">
        <v>1</v>
      </c>
      <c r="G2110" s="1798" t="inlineStr">
        <is>
          <t>ACABAMENTOS EM PISOS E PAVIMENTAÇÕES</t>
        </is>
      </c>
      <c r="H2110" s="1783" t="inlineStr">
        <is>
          <t>SERVIÇO</t>
        </is>
      </c>
      <c r="I2110" s="1750" t="inlineStr">
        <is>
          <t>16.004.004.001</t>
        </is>
      </c>
      <c r="J2110" s="1785" t="inlineStr">
        <is>
          <t>Rodapé de Cerâmico h=15cm</t>
        </is>
      </c>
      <c r="K2110" s="1786" t="inlineStr">
        <is>
          <t>m</t>
        </is>
      </c>
      <c r="L2110" s="1787" t="e">
        <v>#REF!</v>
      </c>
      <c r="M2110" s="1787" t="n">
        <v>10.114275</v>
      </c>
      <c r="N2110" s="1754" t="n"/>
      <c r="O2110" s="1788" t="n"/>
      <c r="P2110" s="1721" t="inlineStr">
        <is>
          <t>Pendente</t>
        </is>
      </c>
    </row>
    <row r="2111" hidden="1" outlineLevel="3" ht="12.75" customHeight="1">
      <c r="A2111" s="2117" t="n">
        <v>0</v>
      </c>
      <c r="B2111" s="2117" t="n">
        <v>16</v>
      </c>
      <c r="C2111" s="2117" t="n">
        <v>4</v>
      </c>
      <c r="D2111" s="2118" t="n">
        <v>4</v>
      </c>
      <c r="E2111" s="2118" t="n">
        <v>2</v>
      </c>
      <c r="G2111" s="1798" t="inlineStr">
        <is>
          <t>ACABAMENTOS EM PISOS E PAVIMENTAÇÕES</t>
        </is>
      </c>
      <c r="H2111" s="1783" t="inlineStr">
        <is>
          <t>SERVIÇO</t>
        </is>
      </c>
      <c r="I2111" s="1750" t="inlineStr">
        <is>
          <t>16.004.004.002</t>
        </is>
      </c>
      <c r="J2111" s="1785" t="inlineStr">
        <is>
          <t>Rodapé de porcelanato h=15cm, Padrão Alto</t>
        </is>
      </c>
      <c r="K2111" s="1786" t="inlineStr">
        <is>
          <t>m</t>
        </is>
      </c>
      <c r="L2111" s="1787" t="e">
        <v>#REF!</v>
      </c>
      <c r="M2111" s="1787" t="n">
        <v>22.121325</v>
      </c>
      <c r="N2111" s="1754" t="n"/>
      <c r="O2111" s="1788" t="n"/>
      <c r="P2111" s="1721" t="inlineStr">
        <is>
          <t>Pendente</t>
        </is>
      </c>
    </row>
    <row r="2112" hidden="1" outlineLevel="2" ht="12.75" customHeight="1">
      <c r="A2112" s="2117" t="n">
        <v>0</v>
      </c>
      <c r="B2112" s="2117" t="n">
        <v>16</v>
      </c>
      <c r="C2112" s="2117" t="n">
        <v>4</v>
      </c>
      <c r="D2112" s="2118" t="n">
        <v>5</v>
      </c>
      <c r="E2112" s="2118" t="n">
        <v>0</v>
      </c>
      <c r="G2112" s="1797" t="n"/>
      <c r="H2112" s="1777" t="inlineStr">
        <is>
          <t>SUBETAPA</t>
        </is>
      </c>
      <c r="I2112" s="1742" t="inlineStr">
        <is>
          <t>16.004.005</t>
        </is>
      </c>
      <c r="J2112" s="1779" t="inlineStr">
        <is>
          <t>Mão de obra - Revestimentos</t>
        </is>
      </c>
      <c r="K2112" s="1780" t="n"/>
      <c r="L2112" s="1781" t="n"/>
      <c r="M2112" s="1781" t="n"/>
      <c r="N2112" s="1746" t="n"/>
      <c r="O2112" s="1782" t="n"/>
      <c r="P2112" s="1720" t="n"/>
    </row>
    <row r="2113" hidden="1" outlineLevel="3" ht="12.75" customHeight="1">
      <c r="A2113" s="2117" t="n">
        <v>0</v>
      </c>
      <c r="B2113" s="2117" t="n">
        <v>16</v>
      </c>
      <c r="C2113" s="2117" t="n">
        <v>4</v>
      </c>
      <c r="D2113" s="2118" t="n">
        <v>5</v>
      </c>
      <c r="E2113" s="2118" t="n">
        <v>1</v>
      </c>
      <c r="G2113" s="1798" t="inlineStr">
        <is>
          <t>REVESTIMENTOS ARGAMASSADOS PISO</t>
        </is>
      </c>
      <c r="H2113" s="1783" t="inlineStr">
        <is>
          <t>SERVIÇO</t>
        </is>
      </c>
      <c r="I2113" s="1750" t="inlineStr">
        <is>
          <t>16.004.005.001</t>
        </is>
      </c>
      <c r="J2113" s="1785" t="inlineStr">
        <is>
          <t>Mão de obra execução de contrapiso comum e Acústico</t>
        </is>
      </c>
      <c r="K2113" s="1786" t="inlineStr">
        <is>
          <t>m2</t>
        </is>
      </c>
      <c r="L2113" s="1787" t="e">
        <v>#REF!</v>
      </c>
      <c r="M2113" s="1787" t="n">
        <v>40</v>
      </c>
      <c r="N2113" s="1754" t="n"/>
      <c r="O2113" s="1788" t="n"/>
      <c r="P2113" s="1721" t="inlineStr">
        <is>
          <t>Pendente</t>
        </is>
      </c>
    </row>
    <row r="2114" hidden="1" outlineLevel="3" ht="12.75" customHeight="1">
      <c r="A2114" s="2117" t="n">
        <v>0</v>
      </c>
      <c r="B2114" s="2117" t="n">
        <v>16</v>
      </c>
      <c r="C2114" s="2117" t="n">
        <v>4</v>
      </c>
      <c r="D2114" s="2118" t="n">
        <v>5</v>
      </c>
      <c r="E2114" s="2118" t="n">
        <v>2</v>
      </c>
      <c r="G2114" s="1798" t="inlineStr">
        <is>
          <t>REVESTIMENTOS ARGAMASSADOS PISO</t>
        </is>
      </c>
      <c r="H2114" s="1783" t="inlineStr">
        <is>
          <t>SERVIÇO</t>
        </is>
      </c>
      <c r="I2114" s="1750" t="inlineStr">
        <is>
          <t>16.004.005.002</t>
        </is>
      </c>
      <c r="J2114" s="1785" t="inlineStr">
        <is>
          <t>Mão de obra execução Piso de concreto polido</t>
        </is>
      </c>
      <c r="K2114" s="1786" t="inlineStr">
        <is>
          <t>m2</t>
        </is>
      </c>
      <c r="L2114" s="1787" t="e">
        <v>#REF!</v>
      </c>
      <c r="M2114" s="1787" t="n">
        <v>40</v>
      </c>
      <c r="N2114" s="1754" t="n"/>
      <c r="O2114" s="1788" t="n"/>
      <c r="P2114" s="1721" t="inlineStr">
        <is>
          <t>Pendente</t>
        </is>
      </c>
    </row>
    <row r="2115" hidden="1" outlineLevel="3" ht="12.75" customHeight="1">
      <c r="A2115" s="2117" t="n">
        <v>0</v>
      </c>
      <c r="B2115" s="2117" t="n">
        <v>16</v>
      </c>
      <c r="C2115" s="2117" t="n">
        <v>4</v>
      </c>
      <c r="D2115" s="2118" t="n">
        <v>5</v>
      </c>
      <c r="E2115" s="2118" t="n">
        <v>3</v>
      </c>
      <c r="G2115" s="1798" t="inlineStr">
        <is>
          <t>ACABAMENTOS EM PISOS E PAVIMENTAÇÕES</t>
        </is>
      </c>
      <c r="H2115" s="1783" t="inlineStr">
        <is>
          <t>SERVIÇO</t>
        </is>
      </c>
      <c r="I2115" s="1750" t="inlineStr">
        <is>
          <t>16.004.005.003</t>
        </is>
      </c>
      <c r="J2115" s="1785" t="inlineStr">
        <is>
          <t>Mão de Obra Piso Porcenato/ Cerâmico</t>
        </is>
      </c>
      <c r="K2115" s="1786" t="inlineStr">
        <is>
          <t>m2</t>
        </is>
      </c>
      <c r="L2115" s="1787" t="e">
        <v>#REF!</v>
      </c>
      <c r="M2115" s="1787" t="n">
        <v>75</v>
      </c>
      <c r="N2115" s="1754" t="n"/>
      <c r="O2115" s="1788" t="n"/>
      <c r="P2115" s="1721" t="inlineStr">
        <is>
          <t>Pendente</t>
        </is>
      </c>
    </row>
    <row r="2116" hidden="1" outlineLevel="3" ht="12.75" customHeight="1">
      <c r="A2116" s="2117" t="n">
        <v>0</v>
      </c>
      <c r="B2116" s="2117" t="n">
        <v>16</v>
      </c>
      <c r="C2116" s="2117" t="n">
        <v>4</v>
      </c>
      <c r="D2116" s="2118" t="n">
        <v>5</v>
      </c>
      <c r="E2116" s="2118" t="n">
        <v>4</v>
      </c>
      <c r="G2116" s="1798" t="inlineStr">
        <is>
          <t>ACABAMENTOS EM PISOS E PAVIMENTAÇÕES</t>
        </is>
      </c>
      <c r="H2116" s="1783" t="inlineStr">
        <is>
          <t>SERVIÇO</t>
        </is>
      </c>
      <c r="I2116" s="1750" t="inlineStr">
        <is>
          <t>16.004.005.004</t>
        </is>
      </c>
      <c r="J2116" s="1785" t="inlineStr">
        <is>
          <t>Mão de obra de rodapé Porcelanato</t>
        </is>
      </c>
      <c r="K2116" s="1786" t="inlineStr">
        <is>
          <t>m</t>
        </is>
      </c>
      <c r="L2116" s="1787" t="e">
        <v>#REF!</v>
      </c>
      <c r="M2116" s="1787" t="n">
        <v>24</v>
      </c>
      <c r="N2116" s="1754" t="n"/>
      <c r="O2116" s="1788" t="n"/>
      <c r="P2116" s="1721" t="inlineStr">
        <is>
          <t>Pendente</t>
        </is>
      </c>
    </row>
    <row r="2117" hidden="1" outlineLevel="1" ht="12.75" customHeight="1">
      <c r="A2117" s="2117" t="n">
        <v>0</v>
      </c>
      <c r="B2117" s="2117" t="n">
        <v>16</v>
      </c>
      <c r="C2117" s="2117" t="n">
        <v>5</v>
      </c>
      <c r="D2117" s="2118" t="n">
        <v>0</v>
      </c>
      <c r="E2117" s="2118" t="n">
        <v>4</v>
      </c>
      <c r="G2117" s="1796" t="n"/>
      <c r="H2117" s="1771" t="inlineStr">
        <is>
          <t>ETAPA</t>
        </is>
      </c>
      <c r="I2117" s="1735" t="inlineStr">
        <is>
          <t>16.005</t>
        </is>
      </c>
      <c r="J2117" s="1773" t="inlineStr">
        <is>
          <t>PISOS E PAVIMENTAÇÕES - G3</t>
        </is>
      </c>
      <c r="K2117" s="1774" t="n"/>
      <c r="L2117" s="1775" t="n"/>
      <c r="M2117" s="1775" t="n"/>
      <c r="N2117" s="1739" t="n"/>
      <c r="O2117" s="1776" t="n"/>
      <c r="P2117" s="1719" t="n"/>
    </row>
    <row r="2118" hidden="1" outlineLevel="2" ht="12.75" customHeight="1">
      <c r="A2118" s="2117" t="n">
        <v>0</v>
      </c>
      <c r="B2118" s="2117" t="n">
        <v>16</v>
      </c>
      <c r="C2118" s="2117" t="n">
        <v>5</v>
      </c>
      <c r="D2118" s="2118" t="n">
        <v>1</v>
      </c>
      <c r="E2118" s="2118" t="n">
        <v>0</v>
      </c>
      <c r="G2118" s="1797" t="n"/>
      <c r="H2118" s="1777" t="inlineStr">
        <is>
          <t>SUBETAPA</t>
        </is>
      </c>
      <c r="I2118" s="1742" t="inlineStr">
        <is>
          <t>16.005.001</t>
        </is>
      </c>
      <c r="J2118" s="1779" t="inlineStr">
        <is>
          <t>Contrapiso</t>
        </is>
      </c>
      <c r="K2118" s="1780" t="n"/>
      <c r="L2118" s="1781" t="n"/>
      <c r="M2118" s="1781" t="n"/>
      <c r="N2118" s="1746" t="n"/>
      <c r="O2118" s="1782" t="n"/>
      <c r="P2118" s="1720" t="n"/>
    </row>
    <row r="2119" hidden="1" outlineLevel="3" ht="12.75" customHeight="1">
      <c r="A2119" s="2117" t="n">
        <v>0</v>
      </c>
      <c r="B2119" s="2117" t="n">
        <v>16</v>
      </c>
      <c r="C2119" s="2117" t="n">
        <v>5</v>
      </c>
      <c r="D2119" s="2118" t="n">
        <v>1</v>
      </c>
      <c r="E2119" s="2118" t="n">
        <v>1</v>
      </c>
      <c r="G2119" s="1798" t="inlineStr">
        <is>
          <t>REVESTIMENTOS ARGAMASSADOS PISO</t>
        </is>
      </c>
      <c r="H2119" s="1783" t="inlineStr">
        <is>
          <t>SERVIÇO</t>
        </is>
      </c>
      <c r="I2119" s="1750" t="inlineStr">
        <is>
          <t>16.005.001.001</t>
        </is>
      </c>
      <c r="J2119" s="1785" t="inlineStr">
        <is>
          <t>Contrapiso comum em argamassa estabilizada, auto nivelado, espessura 5cm</t>
        </is>
      </c>
      <c r="K2119" s="1786" t="inlineStr">
        <is>
          <t>m2</t>
        </is>
      </c>
      <c r="L2119" s="1787" t="e">
        <v>#REF!</v>
      </c>
      <c r="M2119" s="1787" t="n">
        <v>44.58523333333333</v>
      </c>
      <c r="N2119" s="1754" t="n"/>
      <c r="O2119" s="1788" t="n"/>
      <c r="P2119" s="1721" t="inlineStr">
        <is>
          <t>Pendente</t>
        </is>
      </c>
    </row>
    <row r="2120" hidden="1" outlineLevel="2" ht="12.75" customHeight="1">
      <c r="A2120" s="2117" t="n">
        <v>0</v>
      </c>
      <c r="B2120" s="2117" t="n">
        <v>16</v>
      </c>
      <c r="C2120" s="2117" t="n">
        <v>5</v>
      </c>
      <c r="D2120" s="2118" t="n">
        <v>2</v>
      </c>
      <c r="E2120" s="2118" t="n">
        <v>0</v>
      </c>
      <c r="G2120" s="1797" t="n"/>
      <c r="H2120" s="1777" t="inlineStr">
        <is>
          <t>SUBETAPA</t>
        </is>
      </c>
      <c r="I2120" s="1742" t="inlineStr">
        <is>
          <t>16.005.002</t>
        </is>
      </c>
      <c r="J2120" s="1779" t="inlineStr">
        <is>
          <t>Acabamentos cimentados em piso</t>
        </is>
      </c>
      <c r="K2120" s="1780" t="n"/>
      <c r="L2120" s="1781" t="n"/>
      <c r="M2120" s="1781" t="n"/>
      <c r="N2120" s="1746" t="n"/>
      <c r="O2120" s="1782" t="n"/>
      <c r="P2120" s="1720" t="n"/>
    </row>
    <row r="2121" hidden="1" outlineLevel="3" ht="12.75" customHeight="1">
      <c r="A2121" s="2117" t="n">
        <v>0</v>
      </c>
      <c r="B2121" s="2117" t="n">
        <v>16</v>
      </c>
      <c r="C2121" s="2117" t="n">
        <v>5</v>
      </c>
      <c r="D2121" s="2118" t="n">
        <v>2</v>
      </c>
      <c r="E2121" s="2118" t="n">
        <v>1</v>
      </c>
      <c r="G2121" s="1798" t="inlineStr">
        <is>
          <t>REVESTIMENTOS ARGAMASSADOS PISO</t>
        </is>
      </c>
      <c r="H2121" s="1783" t="inlineStr">
        <is>
          <t>SERVIÇO</t>
        </is>
      </c>
      <c r="I2121" s="1750" t="inlineStr">
        <is>
          <t>16.005.002.001</t>
        </is>
      </c>
      <c r="J2121" s="1785" t="inlineStr">
        <is>
          <t xml:space="preserve">Piso de concreto polido, espessura 2cm </t>
        </is>
      </c>
      <c r="K2121" s="1786" t="inlineStr">
        <is>
          <t>m2</t>
        </is>
      </c>
      <c r="L2121" s="1787" t="e">
        <v>#REF!</v>
      </c>
      <c r="M2121" s="1787" t="n">
        <v>61.444939</v>
      </c>
      <c r="N2121" s="1754" t="n"/>
      <c r="O2121" s="1788" t="inlineStr">
        <is>
          <t>Garagem</t>
        </is>
      </c>
      <c r="P2121" s="1721" t="inlineStr">
        <is>
          <t>Pendente</t>
        </is>
      </c>
    </row>
    <row r="2122" hidden="1" outlineLevel="2" ht="12.75" customHeight="1">
      <c r="A2122" s="2117" t="n">
        <v>0</v>
      </c>
      <c r="B2122" s="2117" t="n">
        <v>16</v>
      </c>
      <c r="C2122" s="2117" t="n">
        <v>5</v>
      </c>
      <c r="D2122" s="2118" t="n">
        <v>3</v>
      </c>
      <c r="E2122" s="2118" t="n">
        <v>0</v>
      </c>
      <c r="G2122" s="1797" t="n"/>
      <c r="H2122" s="1777" t="inlineStr">
        <is>
          <t>SUBETAPA</t>
        </is>
      </c>
      <c r="I2122" s="1742" t="inlineStr">
        <is>
          <t>16.005.003</t>
        </is>
      </c>
      <c r="J2122" s="1779" t="inlineStr">
        <is>
          <t>Acabamentos cerâmicos em piso</t>
        </is>
      </c>
      <c r="K2122" s="1780" t="n"/>
      <c r="L2122" s="1781" t="n"/>
      <c r="M2122" s="1781" t="n"/>
      <c r="N2122" s="1746" t="n"/>
      <c r="O2122" s="1782" t="n"/>
      <c r="P2122" s="1720" t="n"/>
    </row>
    <row r="2123" hidden="1" outlineLevel="3" ht="12.75" customHeight="1">
      <c r="A2123" s="2117" t="n">
        <v>0</v>
      </c>
      <c r="B2123" s="2117" t="n">
        <v>16</v>
      </c>
      <c r="C2123" s="2117" t="n">
        <v>5</v>
      </c>
      <c r="D2123" s="2118" t="n">
        <v>3</v>
      </c>
      <c r="E2123" s="2118" t="n">
        <v>1</v>
      </c>
      <c r="G2123" s="1798" t="inlineStr">
        <is>
          <t>ACABAMENTOS EM PISOS E PAVIMENTAÇÕES</t>
        </is>
      </c>
      <c r="H2123" s="1783" t="inlineStr">
        <is>
          <t>SERVIÇO</t>
        </is>
      </c>
      <c r="I2123" s="1750" t="inlineStr">
        <is>
          <t>16.005.003.001</t>
        </is>
      </c>
      <c r="J2123" s="1785" t="inlineStr">
        <is>
          <t>Revestimento em Cerâmicas Pisos Internos, 45x 45cm com Junta de 3mm</t>
        </is>
      </c>
      <c r="K2123" s="1786" t="inlineStr">
        <is>
          <t>m2</t>
        </is>
      </c>
      <c r="L2123" s="1787" t="e">
        <v>#REF!</v>
      </c>
      <c r="M2123" s="1787" t="n">
        <v>58.073</v>
      </c>
      <c r="N2123" s="1754" t="n"/>
      <c r="O2123" s="1788" t="n"/>
      <c r="P2123" s="1721" t="inlineStr">
        <is>
          <t>Pendente</t>
        </is>
      </c>
    </row>
    <row r="2124" hidden="1" outlineLevel="3" ht="12.75" customHeight="1">
      <c r="A2124" s="2117" t="n">
        <v>0</v>
      </c>
      <c r="B2124" s="2117" t="n">
        <v>16</v>
      </c>
      <c r="C2124" s="2117" t="n">
        <v>5</v>
      </c>
      <c r="D2124" s="2118" t="n">
        <v>3</v>
      </c>
      <c r="E2124" s="2118" t="n">
        <v>2</v>
      </c>
      <c r="G2124" s="1798" t="inlineStr">
        <is>
          <t>ACABAMENTOS EM PISOS E PAVIMENTAÇÕES</t>
        </is>
      </c>
      <c r="H2124" s="1783" t="inlineStr">
        <is>
          <t>SERVIÇO</t>
        </is>
      </c>
      <c r="I2124" s="1750" t="inlineStr">
        <is>
          <t>16.005.003.002</t>
        </is>
      </c>
      <c r="J2124" s="1785" t="inlineStr">
        <is>
          <t>Revestimento de Piso, Porcelanato Portobello – Posto 10 90x90 Externo Retificado - Linha Ipanema - Padrão Alto</t>
        </is>
      </c>
      <c r="K2124" s="1786" t="inlineStr">
        <is>
          <t>m2</t>
        </is>
      </c>
      <c r="L2124" s="1787" t="e">
        <v>#REF!</v>
      </c>
      <c r="M2124" s="1787" t="n">
        <v>229.8276</v>
      </c>
      <c r="N2124" s="1754" t="n"/>
      <c r="O2124" s="1788" t="n"/>
      <c r="P2124" s="1721" t="inlineStr">
        <is>
          <t>Pendente</t>
        </is>
      </c>
    </row>
    <row r="2125" hidden="1" outlineLevel="3" ht="12.75" customHeight="1">
      <c r="A2125" s="2117" t="n">
        <v>0</v>
      </c>
      <c r="B2125" s="2117" t="n">
        <v>16</v>
      </c>
      <c r="C2125" s="2117" t="n">
        <v>5</v>
      </c>
      <c r="D2125" s="2118" t="n">
        <v>3</v>
      </c>
      <c r="E2125" s="2118" t="n">
        <v>3</v>
      </c>
      <c r="G2125" s="1798" t="inlineStr">
        <is>
          <t>ACABAMENTOS EM PISOS E PAVIMENTAÇÕES</t>
        </is>
      </c>
      <c r="H2125" s="1783" t="inlineStr">
        <is>
          <t>SERVIÇO</t>
        </is>
      </c>
      <c r="I2125" s="1750" t="inlineStr">
        <is>
          <t>16.005.003.003</t>
        </is>
      </c>
      <c r="J2125" s="1785" t="inlineStr">
        <is>
          <t>Revestimento de Piso, Porcelanato Portobello –  90x90 - Padrão Alto</t>
        </is>
      </c>
      <c r="K2125" s="1786" t="inlineStr">
        <is>
          <t>m2</t>
        </is>
      </c>
      <c r="L2125" s="1787" t="e">
        <v>#REF!</v>
      </c>
      <c r="M2125" s="1787" t="n">
        <v>141.8276</v>
      </c>
      <c r="N2125" s="1754" t="n"/>
      <c r="O2125" s="1788" t="n"/>
      <c r="P2125" s="1721" t="inlineStr">
        <is>
          <t>Pendente</t>
        </is>
      </c>
    </row>
    <row r="2126" hidden="1" outlineLevel="2" ht="12.75" customHeight="1">
      <c r="A2126" s="2117" t="n">
        <v>0</v>
      </c>
      <c r="B2126" s="2117" t="n">
        <v>16</v>
      </c>
      <c r="C2126" s="2117" t="n">
        <v>5</v>
      </c>
      <c r="D2126" s="2118" t="n">
        <v>4</v>
      </c>
      <c r="E2126" s="2118" t="n">
        <v>0</v>
      </c>
      <c r="G2126" s="1797" t="n"/>
      <c r="H2126" s="1777" t="inlineStr">
        <is>
          <t>SUBETAPA</t>
        </is>
      </c>
      <c r="I2126" s="1742" t="inlineStr">
        <is>
          <t>16.005.004</t>
        </is>
      </c>
      <c r="J2126" s="1779" t="inlineStr">
        <is>
          <t>Rodapés</t>
        </is>
      </c>
      <c r="K2126" s="1780" t="n"/>
      <c r="L2126" s="1781" t="n"/>
      <c r="M2126" s="1781" t="n"/>
      <c r="N2126" s="1746" t="n"/>
      <c r="O2126" s="1782" t="n"/>
      <c r="P2126" s="1720" t="n"/>
    </row>
    <row r="2127" hidden="1" outlineLevel="3" ht="12.75" customHeight="1">
      <c r="A2127" s="2117" t="n">
        <v>0</v>
      </c>
      <c r="B2127" s="2117" t="n">
        <v>16</v>
      </c>
      <c r="C2127" s="2117" t="n">
        <v>5</v>
      </c>
      <c r="D2127" s="2118" t="n">
        <v>4</v>
      </c>
      <c r="E2127" s="2118" t="n">
        <v>1</v>
      </c>
      <c r="G2127" s="1798" t="inlineStr">
        <is>
          <t>ACABAMENTOS EM PISOS E PAVIMENTAÇÕES</t>
        </is>
      </c>
      <c r="H2127" s="1783" t="inlineStr">
        <is>
          <t>SERVIÇO</t>
        </is>
      </c>
      <c r="I2127" s="1750" t="inlineStr">
        <is>
          <t>16.005.004.001</t>
        </is>
      </c>
      <c r="J2127" s="1785" t="inlineStr">
        <is>
          <t>Rodapé de Cerâmico h=15cm</t>
        </is>
      </c>
      <c r="K2127" s="1786" t="inlineStr">
        <is>
          <t>m</t>
        </is>
      </c>
      <c r="L2127" s="1787" t="e">
        <v>#REF!</v>
      </c>
      <c r="M2127" s="1787" t="n">
        <v>10.114275</v>
      </c>
      <c r="N2127" s="1754" t="n"/>
      <c r="O2127" s="1788" t="n"/>
      <c r="P2127" s="1721" t="inlineStr">
        <is>
          <t>Pendente</t>
        </is>
      </c>
    </row>
    <row r="2128" hidden="1" outlineLevel="3" ht="12.75" customHeight="1">
      <c r="A2128" s="2117" t="n">
        <v>0</v>
      </c>
      <c r="B2128" s="2117" t="n">
        <v>16</v>
      </c>
      <c r="C2128" s="2117" t="n">
        <v>5</v>
      </c>
      <c r="D2128" s="2118" t="n">
        <v>4</v>
      </c>
      <c r="E2128" s="2118" t="n">
        <v>2</v>
      </c>
      <c r="G2128" s="1798" t="inlineStr">
        <is>
          <t>ACABAMENTOS EM PISOS E PAVIMENTAÇÕES</t>
        </is>
      </c>
      <c r="H2128" s="1783" t="inlineStr">
        <is>
          <t>SERVIÇO</t>
        </is>
      </c>
      <c r="I2128" s="1750" t="inlineStr">
        <is>
          <t>16.005.004.002</t>
        </is>
      </c>
      <c r="J2128" s="1785" t="inlineStr">
        <is>
          <t>Rodapé de porcelanato h=15cm, Padrão Alto</t>
        </is>
      </c>
      <c r="K2128" s="1786" t="inlineStr">
        <is>
          <t>m</t>
        </is>
      </c>
      <c r="L2128" s="1787" t="e">
        <v>#REF!</v>
      </c>
      <c r="M2128" s="1787" t="n">
        <v>22.121325</v>
      </c>
      <c r="N2128" s="1754" t="n"/>
      <c r="O2128" s="1788" t="n"/>
      <c r="P2128" s="1721" t="inlineStr">
        <is>
          <t>Pendente</t>
        </is>
      </c>
    </row>
    <row r="2129" hidden="1" outlineLevel="2" ht="12.75" customHeight="1">
      <c r="A2129" s="2117" t="n">
        <v>0</v>
      </c>
      <c r="B2129" s="2117" t="n">
        <v>16</v>
      </c>
      <c r="C2129" s="2117" t="n">
        <v>5</v>
      </c>
      <c r="D2129" s="2118" t="n">
        <v>5</v>
      </c>
      <c r="E2129" s="2118" t="n">
        <v>0</v>
      </c>
      <c r="G2129" s="1797" t="n"/>
      <c r="H2129" s="1777" t="inlineStr">
        <is>
          <t>SUBETAPA</t>
        </is>
      </c>
      <c r="I2129" s="1742" t="inlineStr">
        <is>
          <t>16.005.005</t>
        </is>
      </c>
      <c r="J2129" s="1779" t="inlineStr">
        <is>
          <t>Mão de obra - Revestimentos</t>
        </is>
      </c>
      <c r="K2129" s="1780" t="n"/>
      <c r="L2129" s="1781" t="n"/>
      <c r="M2129" s="1781" t="n"/>
      <c r="N2129" s="1746" t="n"/>
      <c r="O2129" s="1782" t="n"/>
      <c r="P2129" s="1720" t="n"/>
    </row>
    <row r="2130" hidden="1" outlineLevel="3" ht="12.75" customHeight="1">
      <c r="A2130" s="2117" t="n">
        <v>0</v>
      </c>
      <c r="B2130" s="2117" t="n">
        <v>16</v>
      </c>
      <c r="C2130" s="2117" t="n">
        <v>5</v>
      </c>
      <c r="D2130" s="2118" t="n">
        <v>5</v>
      </c>
      <c r="E2130" s="2118" t="n">
        <v>1</v>
      </c>
      <c r="G2130" s="1798" t="inlineStr">
        <is>
          <t>REVESTIMENTOS ARGAMASSADOS PISO</t>
        </is>
      </c>
      <c r="H2130" s="1783" t="inlineStr">
        <is>
          <t>SERVIÇO</t>
        </is>
      </c>
      <c r="I2130" s="1750" t="inlineStr">
        <is>
          <t>16.005.005.001</t>
        </is>
      </c>
      <c r="J2130" s="1785" t="inlineStr">
        <is>
          <t>Mão de obra execução de contrapiso comum e Acústico</t>
        </is>
      </c>
      <c r="K2130" s="1786" t="inlineStr">
        <is>
          <t>m2</t>
        </is>
      </c>
      <c r="L2130" s="1787" t="e">
        <v>#REF!</v>
      </c>
      <c r="M2130" s="1787" t="n">
        <v>40</v>
      </c>
      <c r="N2130" s="1754" t="n"/>
      <c r="O2130" s="1788" t="n"/>
      <c r="P2130" s="1721" t="inlineStr">
        <is>
          <t>Pendente</t>
        </is>
      </c>
    </row>
    <row r="2131" hidden="1" outlineLevel="3" ht="12.75" customHeight="1">
      <c r="A2131" s="2117" t="n">
        <v>0</v>
      </c>
      <c r="B2131" s="2117" t="n">
        <v>16</v>
      </c>
      <c r="C2131" s="2117" t="n">
        <v>5</v>
      </c>
      <c r="D2131" s="2118" t="n">
        <v>5</v>
      </c>
      <c r="E2131" s="2118" t="n">
        <v>2</v>
      </c>
      <c r="G2131" s="1798" t="inlineStr">
        <is>
          <t>REVESTIMENTOS ARGAMASSADOS PISO</t>
        </is>
      </c>
      <c r="H2131" s="1783" t="inlineStr">
        <is>
          <t>SERVIÇO</t>
        </is>
      </c>
      <c r="I2131" s="1750" t="inlineStr">
        <is>
          <t>16.005.005.002</t>
        </is>
      </c>
      <c r="J2131" s="1785" t="inlineStr">
        <is>
          <t>Mão de obra execução Piso de concreto polido</t>
        </is>
      </c>
      <c r="K2131" s="1786" t="inlineStr">
        <is>
          <t>m2</t>
        </is>
      </c>
      <c r="L2131" s="1787" t="e">
        <v>#REF!</v>
      </c>
      <c r="M2131" s="1787" t="n">
        <v>40</v>
      </c>
      <c r="N2131" s="1754" t="n"/>
      <c r="O2131" s="1788" t="n"/>
      <c r="P2131" s="1721" t="inlineStr">
        <is>
          <t>Pendente</t>
        </is>
      </c>
    </row>
    <row r="2132" hidden="1" outlineLevel="3" ht="12.75" customHeight="1">
      <c r="A2132" s="2117" t="n">
        <v>0</v>
      </c>
      <c r="B2132" s="2117" t="n">
        <v>16</v>
      </c>
      <c r="C2132" s="2117" t="n">
        <v>5</v>
      </c>
      <c r="D2132" s="2118" t="n">
        <v>5</v>
      </c>
      <c r="E2132" s="2118" t="n">
        <v>3</v>
      </c>
      <c r="G2132" s="1798" t="inlineStr">
        <is>
          <t>ACABAMENTOS EM PISOS E PAVIMENTAÇÕES</t>
        </is>
      </c>
      <c r="H2132" s="1783" t="inlineStr">
        <is>
          <t>SERVIÇO</t>
        </is>
      </c>
      <c r="I2132" s="1750" t="inlineStr">
        <is>
          <t>16.005.005.003</t>
        </is>
      </c>
      <c r="J2132" s="1785" t="inlineStr">
        <is>
          <t>Mão de Obra Piso Porcenato/ Cerâmico</t>
        </is>
      </c>
      <c r="K2132" s="1786" t="inlineStr">
        <is>
          <t>m2</t>
        </is>
      </c>
      <c r="L2132" s="1787" t="e">
        <v>#REF!</v>
      </c>
      <c r="M2132" s="1787" t="n">
        <v>75</v>
      </c>
      <c r="N2132" s="1754" t="n"/>
      <c r="O2132" s="1788" t="n"/>
      <c r="P2132" s="1721" t="inlineStr">
        <is>
          <t>Pendente</t>
        </is>
      </c>
    </row>
    <row r="2133" hidden="1" outlineLevel="3" ht="12.75" customHeight="1">
      <c r="A2133" s="2117" t="n">
        <v>0</v>
      </c>
      <c r="B2133" s="2117" t="n">
        <v>16</v>
      </c>
      <c r="C2133" s="2117" t="n">
        <v>5</v>
      </c>
      <c r="D2133" s="2118" t="n">
        <v>5</v>
      </c>
      <c r="E2133" s="2118" t="n">
        <v>4</v>
      </c>
      <c r="G2133" s="1798" t="inlineStr">
        <is>
          <t>ACABAMENTOS EM PISOS E PAVIMENTAÇÕES</t>
        </is>
      </c>
      <c r="H2133" s="1783" t="inlineStr">
        <is>
          <t>SERVIÇO</t>
        </is>
      </c>
      <c r="I2133" s="1750" t="inlineStr">
        <is>
          <t>16.005.005.004</t>
        </is>
      </c>
      <c r="J2133" s="1785" t="inlineStr">
        <is>
          <t>Mão de obra de rodapé Porcelanato</t>
        </is>
      </c>
      <c r="K2133" s="1786" t="inlineStr">
        <is>
          <t>m</t>
        </is>
      </c>
      <c r="L2133" s="1787" t="e">
        <v>#REF!</v>
      </c>
      <c r="M2133" s="1787" t="n">
        <v>24</v>
      </c>
      <c r="N2133" s="1754" t="n"/>
      <c r="O2133" s="1788" t="n"/>
      <c r="P2133" s="1721" t="inlineStr">
        <is>
          <t>Pendente</t>
        </is>
      </c>
    </row>
    <row r="2134" hidden="1" outlineLevel="1" ht="12.75" customHeight="1">
      <c r="A2134" s="2117" t="n">
        <v>0</v>
      </c>
      <c r="B2134" s="2117" t="n">
        <v>16</v>
      </c>
      <c r="C2134" s="2117" t="n">
        <v>6</v>
      </c>
      <c r="D2134" s="2118" t="n">
        <v>0</v>
      </c>
      <c r="E2134" s="2118" t="n">
        <v>4</v>
      </c>
      <c r="G2134" s="1796" t="n"/>
      <c r="H2134" s="1771" t="inlineStr">
        <is>
          <t>ETAPA</t>
        </is>
      </c>
      <c r="I2134" s="1735" t="inlineStr">
        <is>
          <t>16.006</t>
        </is>
      </c>
      <c r="J2134" s="1773" t="inlineStr">
        <is>
          <t>PISOS E PAVIMENTAÇÕES - Mezanino G3</t>
        </is>
      </c>
      <c r="K2134" s="1774" t="n"/>
      <c r="L2134" s="1775" t="n"/>
      <c r="M2134" s="1775" t="n"/>
      <c r="N2134" s="1739" t="n"/>
      <c r="O2134" s="1776" t="n"/>
      <c r="P2134" s="1719" t="n"/>
    </row>
    <row r="2135" hidden="1" outlineLevel="2" ht="12.75" customHeight="1">
      <c r="A2135" s="2117" t="n">
        <v>0</v>
      </c>
      <c r="B2135" s="2117" t="n">
        <v>16</v>
      </c>
      <c r="C2135" s="2117" t="n">
        <v>6</v>
      </c>
      <c r="D2135" s="2118" t="n">
        <v>1</v>
      </c>
      <c r="E2135" s="2118" t="n">
        <v>0</v>
      </c>
      <c r="G2135" s="1797" t="n"/>
      <c r="H2135" s="1777" t="inlineStr">
        <is>
          <t>SUBETAPA</t>
        </is>
      </c>
      <c r="I2135" s="1742" t="inlineStr">
        <is>
          <t>16.006.001</t>
        </is>
      </c>
      <c r="J2135" s="1779" t="inlineStr">
        <is>
          <t>Contrapiso</t>
        </is>
      </c>
      <c r="K2135" s="1780" t="n"/>
      <c r="L2135" s="1781" t="n"/>
      <c r="M2135" s="1781" t="n"/>
      <c r="N2135" s="1746" t="n"/>
      <c r="O2135" s="1782" t="n"/>
      <c r="P2135" s="1720" t="n"/>
    </row>
    <row r="2136" hidden="1" outlineLevel="3" ht="12.75" customHeight="1">
      <c r="A2136" s="2117" t="n">
        <v>0</v>
      </c>
      <c r="B2136" s="2117" t="n">
        <v>16</v>
      </c>
      <c r="C2136" s="2117" t="n">
        <v>6</v>
      </c>
      <c r="D2136" s="2118" t="n">
        <v>1</v>
      </c>
      <c r="E2136" s="2118" t="n">
        <v>1</v>
      </c>
      <c r="G2136" s="1798" t="inlineStr">
        <is>
          <t>REVESTIMENTOS ARGAMASSADOS PISO</t>
        </is>
      </c>
      <c r="H2136" s="1783" t="inlineStr">
        <is>
          <t>SERVIÇO</t>
        </is>
      </c>
      <c r="I2136" s="1750" t="inlineStr">
        <is>
          <t>16.006.001.001</t>
        </is>
      </c>
      <c r="J2136" s="1785" t="inlineStr">
        <is>
          <t>Contrapiso comum em argamassa estabilizada, auto nivelado, espessura 5cm</t>
        </is>
      </c>
      <c r="K2136" s="1786" t="inlineStr">
        <is>
          <t>m2</t>
        </is>
      </c>
      <c r="L2136" s="1787" t="e">
        <v>#REF!</v>
      </c>
      <c r="M2136" s="1787" t="n">
        <v>44.58523333333333</v>
      </c>
      <c r="N2136" s="1754" t="n"/>
      <c r="O2136" s="1788" t="n"/>
      <c r="P2136" s="1721" t="inlineStr">
        <is>
          <t>Pendente</t>
        </is>
      </c>
    </row>
    <row r="2137" hidden="1" outlineLevel="2" ht="12.75" customHeight="1">
      <c r="A2137" s="2117" t="n">
        <v>0</v>
      </c>
      <c r="B2137" s="2117" t="n">
        <v>16</v>
      </c>
      <c r="C2137" s="2117" t="n">
        <v>6</v>
      </c>
      <c r="D2137" s="2118" t="n">
        <v>2</v>
      </c>
      <c r="E2137" s="2118" t="n">
        <v>0</v>
      </c>
      <c r="G2137" s="1797" t="n"/>
      <c r="H2137" s="1777" t="inlineStr">
        <is>
          <t>SUBETAPA</t>
        </is>
      </c>
      <c r="I2137" s="1742" t="inlineStr">
        <is>
          <t>16.006.002</t>
        </is>
      </c>
      <c r="J2137" s="1779" t="inlineStr">
        <is>
          <t>Acabamentos cimentados em piso</t>
        </is>
      </c>
      <c r="K2137" s="1780" t="n"/>
      <c r="L2137" s="1781" t="n"/>
      <c r="M2137" s="1781" t="n"/>
      <c r="N2137" s="1746" t="n"/>
      <c r="O2137" s="1782" t="n"/>
      <c r="P2137" s="1720" t="n"/>
    </row>
    <row r="2138" hidden="1" outlineLevel="3" ht="12.75" customHeight="1">
      <c r="A2138" s="2117" t="n">
        <v>0</v>
      </c>
      <c r="B2138" s="2117" t="n">
        <v>16</v>
      </c>
      <c r="C2138" s="2117" t="n">
        <v>6</v>
      </c>
      <c r="D2138" s="2118" t="n">
        <v>2</v>
      </c>
      <c r="E2138" s="2118" t="n">
        <v>1</v>
      </c>
      <c r="G2138" s="1798" t="inlineStr">
        <is>
          <t>REVESTIMENTOS ARGAMASSADOS PISO</t>
        </is>
      </c>
      <c r="H2138" s="1783" t="inlineStr">
        <is>
          <t>SERVIÇO</t>
        </is>
      </c>
      <c r="I2138" s="1750" t="inlineStr">
        <is>
          <t>16.006.002.001</t>
        </is>
      </c>
      <c r="J2138" s="1785" t="inlineStr">
        <is>
          <t xml:space="preserve">Piso de concreto polido, espessura 2cm </t>
        </is>
      </c>
      <c r="K2138" s="1786" t="inlineStr">
        <is>
          <t>m2</t>
        </is>
      </c>
      <c r="L2138" s="1787" t="e">
        <v>#REF!</v>
      </c>
      <c r="M2138" s="1787" t="n">
        <v>61.444939</v>
      </c>
      <c r="N2138" s="1754" t="n"/>
      <c r="O2138" s="1788" t="inlineStr">
        <is>
          <t>Garagem</t>
        </is>
      </c>
      <c r="P2138" s="1721" t="inlineStr">
        <is>
          <t>Pendente</t>
        </is>
      </c>
    </row>
    <row r="2139" hidden="1" outlineLevel="2" ht="12.75" customHeight="1">
      <c r="A2139" s="2117" t="n">
        <v>0</v>
      </c>
      <c r="B2139" s="2117" t="n">
        <v>16</v>
      </c>
      <c r="C2139" s="2117" t="n">
        <v>6</v>
      </c>
      <c r="D2139" s="2118" t="n">
        <v>3</v>
      </c>
      <c r="E2139" s="2118" t="n">
        <v>0</v>
      </c>
      <c r="G2139" s="1797" t="n"/>
      <c r="H2139" s="1777" t="inlineStr">
        <is>
          <t>SUBETAPA</t>
        </is>
      </c>
      <c r="I2139" s="1742" t="inlineStr">
        <is>
          <t>16.006.003</t>
        </is>
      </c>
      <c r="J2139" s="1779" t="inlineStr">
        <is>
          <t>Acabamentos cerâmicos em piso</t>
        </is>
      </c>
      <c r="K2139" s="1780" t="n"/>
      <c r="L2139" s="1781" t="n"/>
      <c r="M2139" s="1781" t="n"/>
      <c r="N2139" s="1746" t="n"/>
      <c r="O2139" s="1782" t="n"/>
      <c r="P2139" s="1720" t="n"/>
    </row>
    <row r="2140" hidden="1" outlineLevel="3" ht="12.75" customHeight="1">
      <c r="A2140" s="2117" t="n">
        <v>0</v>
      </c>
      <c r="B2140" s="2117" t="n">
        <v>16</v>
      </c>
      <c r="C2140" s="2117" t="n">
        <v>6</v>
      </c>
      <c r="D2140" s="2118" t="n">
        <v>3</v>
      </c>
      <c r="E2140" s="2118" t="n">
        <v>1</v>
      </c>
      <c r="G2140" s="1798" t="inlineStr">
        <is>
          <t>ACABAMENTOS EM PISOS E PAVIMENTAÇÕES</t>
        </is>
      </c>
      <c r="H2140" s="1783" t="inlineStr">
        <is>
          <t>SERVIÇO</t>
        </is>
      </c>
      <c r="I2140" s="1750" t="inlineStr">
        <is>
          <t>16.006.003.001</t>
        </is>
      </c>
      <c r="J2140" s="1785" t="inlineStr">
        <is>
          <t>Revestimento de cerâmico retificado em Piso, Placa 60 x 60cm com Junta de 2mm e rejunte acrilico</t>
        </is>
      </c>
      <c r="K2140" s="1786" t="inlineStr">
        <is>
          <t>m2</t>
        </is>
      </c>
      <c r="L2140" s="1787" t="e">
        <v>#REF!</v>
      </c>
      <c r="M2140" s="1787" t="n">
        <v>61.83860000000001</v>
      </c>
      <c r="N2140" s="1754" t="n"/>
      <c r="O2140" s="1788" t="n"/>
      <c r="P2140" s="1721" t="inlineStr">
        <is>
          <t>Pendente</t>
        </is>
      </c>
    </row>
    <row r="2141" hidden="1" outlineLevel="3" ht="12.75" customHeight="1">
      <c r="A2141" s="2117" t="n">
        <v>0</v>
      </c>
      <c r="B2141" s="2117" t="n">
        <v>16</v>
      </c>
      <c r="C2141" s="2117" t="n">
        <v>6</v>
      </c>
      <c r="D2141" s="2118" t="n">
        <v>3</v>
      </c>
      <c r="E2141" s="2118" t="n">
        <v>2</v>
      </c>
      <c r="G2141" s="1798" t="inlineStr">
        <is>
          <t>ACABAMENTOS EM PISOS E PAVIMENTAÇÕES</t>
        </is>
      </c>
      <c r="H2141" s="1783" t="inlineStr">
        <is>
          <t>SERVIÇO</t>
        </is>
      </c>
      <c r="I2141" s="1750" t="inlineStr">
        <is>
          <t>16.006.003.002</t>
        </is>
      </c>
      <c r="J2141" s="1785" t="inlineStr">
        <is>
          <t>Revestimento em Cerâmicas Pisos Internos, 45x 45cm com Junta de 3mm</t>
        </is>
      </c>
      <c r="K2141" s="1786" t="inlineStr">
        <is>
          <t>m2</t>
        </is>
      </c>
      <c r="L2141" s="1787" t="e">
        <v>#REF!</v>
      </c>
      <c r="M2141" s="1787" t="n">
        <v>58.073</v>
      </c>
      <c r="N2141" s="1754" t="n"/>
      <c r="O2141" s="1788" t="n"/>
      <c r="P2141" s="1721" t="inlineStr">
        <is>
          <t>Pendente</t>
        </is>
      </c>
    </row>
    <row r="2142" hidden="1" outlineLevel="3" ht="12.75" customHeight="1">
      <c r="A2142" s="2117" t="n">
        <v>0</v>
      </c>
      <c r="B2142" s="2117" t="n">
        <v>16</v>
      </c>
      <c r="C2142" s="2117" t="n">
        <v>6</v>
      </c>
      <c r="D2142" s="2118" t="n">
        <v>3</v>
      </c>
      <c r="E2142" s="2118" t="n">
        <v>3</v>
      </c>
      <c r="G2142" s="1798" t="inlineStr">
        <is>
          <t>ACABAMENTOS EM PISOS E PAVIMENTAÇÕES</t>
        </is>
      </c>
      <c r="H2142" s="1783" t="inlineStr">
        <is>
          <t>SERVIÇO</t>
        </is>
      </c>
      <c r="I2142" s="1750" t="inlineStr">
        <is>
          <t>16.006.003.003</t>
        </is>
      </c>
      <c r="J2142" s="1785" t="inlineStr">
        <is>
          <t>Revestimento de Piso, Porcelanato Portobello – Posto 10 90x90 Externo Retificado - Linha Ipanema - Padrão Alto</t>
        </is>
      </c>
      <c r="K2142" s="1786" t="inlineStr">
        <is>
          <t>m2</t>
        </is>
      </c>
      <c r="L2142" s="1787" t="e">
        <v>#REF!</v>
      </c>
      <c r="M2142" s="1787" t="n">
        <v>229.8276</v>
      </c>
      <c r="N2142" s="1754" t="n"/>
      <c r="O2142" s="1788" t="n"/>
      <c r="P2142" s="1721" t="inlineStr">
        <is>
          <t>Pendente</t>
        </is>
      </c>
    </row>
    <row r="2143" hidden="1" outlineLevel="3" ht="12.75" customHeight="1">
      <c r="A2143" s="2117" t="n">
        <v>0</v>
      </c>
      <c r="B2143" s="2117" t="n">
        <v>16</v>
      </c>
      <c r="C2143" s="2117" t="n">
        <v>6</v>
      </c>
      <c r="D2143" s="2118" t="n">
        <v>3</v>
      </c>
      <c r="E2143" s="2118" t="n">
        <v>4</v>
      </c>
      <c r="G2143" s="1798" t="inlineStr">
        <is>
          <t>ACABAMENTOS EM PISOS E PAVIMENTAÇÕES</t>
        </is>
      </c>
      <c r="H2143" s="1783" t="inlineStr">
        <is>
          <t>SERVIÇO</t>
        </is>
      </c>
      <c r="I2143" s="1750" t="inlineStr">
        <is>
          <t>16.006.003.004</t>
        </is>
      </c>
      <c r="J2143" s="1785" t="inlineStr">
        <is>
          <t>Revestimento de Piso, Porcelanato Portobello –  90x90 - Padrão Alto</t>
        </is>
      </c>
      <c r="K2143" s="1786" t="inlineStr">
        <is>
          <t>m2</t>
        </is>
      </c>
      <c r="L2143" s="1787" t="e">
        <v>#REF!</v>
      </c>
      <c r="M2143" s="1787" t="n">
        <v>141.8276</v>
      </c>
      <c r="N2143" s="1754" t="n"/>
      <c r="O2143" s="1788" t="n"/>
      <c r="P2143" s="1721" t="inlineStr">
        <is>
          <t>Pendente</t>
        </is>
      </c>
    </row>
    <row r="2144" hidden="1" outlineLevel="2" ht="12.75" customHeight="1">
      <c r="A2144" s="2117" t="n">
        <v>0</v>
      </c>
      <c r="B2144" s="2117" t="n">
        <v>16</v>
      </c>
      <c r="C2144" s="2117" t="n">
        <v>6</v>
      </c>
      <c r="D2144" s="2118" t="n">
        <v>4</v>
      </c>
      <c r="E2144" s="2118" t="n">
        <v>0</v>
      </c>
      <c r="G2144" s="1797" t="n"/>
      <c r="H2144" s="1777" t="inlineStr">
        <is>
          <t>SUBETAPA</t>
        </is>
      </c>
      <c r="I2144" s="1742" t="inlineStr">
        <is>
          <t>16.006.004</t>
        </is>
      </c>
      <c r="J2144" s="1779" t="inlineStr">
        <is>
          <t>Rodapés</t>
        </is>
      </c>
      <c r="K2144" s="1780" t="n"/>
      <c r="L2144" s="1781" t="n"/>
      <c r="M2144" s="1781" t="n"/>
      <c r="N2144" s="1746" t="n"/>
      <c r="O2144" s="1782" t="n"/>
      <c r="P2144" s="1720" t="n"/>
    </row>
    <row r="2145" hidden="1" outlineLevel="3" ht="12.75" customHeight="1">
      <c r="A2145" s="2117" t="n">
        <v>0</v>
      </c>
      <c r="B2145" s="2117" t="n">
        <v>16</v>
      </c>
      <c r="C2145" s="2117" t="n">
        <v>6</v>
      </c>
      <c r="D2145" s="2118" t="n">
        <v>4</v>
      </c>
      <c r="E2145" s="2118" t="n">
        <v>1</v>
      </c>
      <c r="G2145" s="1798" t="inlineStr">
        <is>
          <t>ACABAMENTOS EM PISOS E PAVIMENTAÇÕES</t>
        </is>
      </c>
      <c r="H2145" s="1783" t="inlineStr">
        <is>
          <t>SERVIÇO</t>
        </is>
      </c>
      <c r="I2145" s="1750" t="inlineStr">
        <is>
          <t>16.006.004.001</t>
        </is>
      </c>
      <c r="J2145" s="1785" t="inlineStr">
        <is>
          <t>Rodapé de Cerâmico h=15cm</t>
        </is>
      </c>
      <c r="K2145" s="1786" t="inlineStr">
        <is>
          <t>m</t>
        </is>
      </c>
      <c r="L2145" s="1787" t="e">
        <v>#REF!</v>
      </c>
      <c r="M2145" s="1787" t="n">
        <v>10.114275</v>
      </c>
      <c r="N2145" s="1754" t="n"/>
      <c r="O2145" s="1788" t="n"/>
      <c r="P2145" s="1721" t="inlineStr">
        <is>
          <t>Pendente</t>
        </is>
      </c>
    </row>
    <row r="2146" hidden="1" outlineLevel="3" ht="12.75" customHeight="1">
      <c r="A2146" s="2117" t="n">
        <v>0</v>
      </c>
      <c r="B2146" s="2117" t="n">
        <v>16</v>
      </c>
      <c r="C2146" s="2117" t="n">
        <v>6</v>
      </c>
      <c r="D2146" s="2118" t="n">
        <v>4</v>
      </c>
      <c r="E2146" s="2118" t="n">
        <v>2</v>
      </c>
      <c r="G2146" s="1798" t="inlineStr">
        <is>
          <t>ACABAMENTOS EM PISOS E PAVIMENTAÇÕES</t>
        </is>
      </c>
      <c r="H2146" s="1783" t="inlineStr">
        <is>
          <t>SERVIÇO</t>
        </is>
      </c>
      <c r="I2146" s="1750" t="inlineStr">
        <is>
          <t>16.006.004.002</t>
        </is>
      </c>
      <c r="J2146" s="1785" t="inlineStr">
        <is>
          <t>Rodapé de porcelanato h=15cm, Padrão Alto</t>
        </is>
      </c>
      <c r="K2146" s="1786" t="inlineStr">
        <is>
          <t>m</t>
        </is>
      </c>
      <c r="L2146" s="1787" t="e">
        <v>#REF!</v>
      </c>
      <c r="M2146" s="1787" t="n">
        <v>22.121325</v>
      </c>
      <c r="N2146" s="1754" t="n"/>
      <c r="O2146" s="1788" t="n"/>
      <c r="P2146" s="1721" t="inlineStr">
        <is>
          <t>Pendente</t>
        </is>
      </c>
    </row>
    <row r="2147" hidden="1" outlineLevel="2" ht="12.75" customHeight="1">
      <c r="A2147" s="2117" t="n">
        <v>0</v>
      </c>
      <c r="B2147" s="2117" t="n">
        <v>16</v>
      </c>
      <c r="C2147" s="2117" t="n">
        <v>6</v>
      </c>
      <c r="D2147" s="2118" t="n">
        <v>5</v>
      </c>
      <c r="E2147" s="2118" t="n">
        <v>0</v>
      </c>
      <c r="G2147" s="1797" t="n"/>
      <c r="H2147" s="1777" t="inlineStr">
        <is>
          <t>SUBETAPA</t>
        </is>
      </c>
      <c r="I2147" s="1742" t="inlineStr">
        <is>
          <t>16.006.005</t>
        </is>
      </c>
      <c r="J2147" s="1779" t="inlineStr">
        <is>
          <t>Mão de obra - Revestimentos</t>
        </is>
      </c>
      <c r="K2147" s="1780" t="n"/>
      <c r="L2147" s="1781" t="n"/>
      <c r="M2147" s="1781" t="n"/>
      <c r="N2147" s="1746" t="n"/>
      <c r="O2147" s="1782" t="n"/>
      <c r="P2147" s="1720" t="n"/>
    </row>
    <row r="2148" hidden="1" outlineLevel="3" ht="12.75" customHeight="1">
      <c r="A2148" s="2117" t="n">
        <v>0</v>
      </c>
      <c r="B2148" s="2117" t="n">
        <v>16</v>
      </c>
      <c r="C2148" s="2117" t="n">
        <v>6</v>
      </c>
      <c r="D2148" s="2118" t="n">
        <v>5</v>
      </c>
      <c r="E2148" s="2118" t="n">
        <v>1</v>
      </c>
      <c r="G2148" s="1798" t="inlineStr">
        <is>
          <t>REVESTIMENTOS ARGAMASSADOS PISO</t>
        </is>
      </c>
      <c r="H2148" s="1783" t="inlineStr">
        <is>
          <t>SERVIÇO</t>
        </is>
      </c>
      <c r="I2148" s="1750" t="inlineStr">
        <is>
          <t>16.006.005.001</t>
        </is>
      </c>
      <c r="J2148" s="1785" t="inlineStr">
        <is>
          <t>Mão de obra execução de contrapiso comum e Acústico</t>
        </is>
      </c>
      <c r="K2148" s="1786" t="inlineStr">
        <is>
          <t>m2</t>
        </is>
      </c>
      <c r="L2148" s="1787" t="e">
        <v>#REF!</v>
      </c>
      <c r="M2148" s="1787" t="n">
        <v>40</v>
      </c>
      <c r="N2148" s="1754" t="n"/>
      <c r="O2148" s="1788" t="n"/>
      <c r="P2148" s="1721" t="inlineStr">
        <is>
          <t>Pendente</t>
        </is>
      </c>
    </row>
    <row r="2149" hidden="1" outlineLevel="3" ht="12.75" customHeight="1">
      <c r="A2149" s="2117" t="n">
        <v>0</v>
      </c>
      <c r="B2149" s="2117" t="n">
        <v>16</v>
      </c>
      <c r="C2149" s="2117" t="n">
        <v>6</v>
      </c>
      <c r="D2149" s="2118" t="n">
        <v>5</v>
      </c>
      <c r="E2149" s="2118" t="n">
        <v>2</v>
      </c>
      <c r="G2149" s="1798" t="inlineStr">
        <is>
          <t>REVESTIMENTOS ARGAMASSADOS PISO</t>
        </is>
      </c>
      <c r="H2149" s="1783" t="inlineStr">
        <is>
          <t>SERVIÇO</t>
        </is>
      </c>
      <c r="I2149" s="1750" t="inlineStr">
        <is>
          <t>16.006.005.002</t>
        </is>
      </c>
      <c r="J2149" s="1785" t="inlineStr">
        <is>
          <t>Mão de obra execução Piso de concreto polido</t>
        </is>
      </c>
      <c r="K2149" s="1786" t="inlineStr">
        <is>
          <t>m2</t>
        </is>
      </c>
      <c r="L2149" s="1787" t="e">
        <v>#REF!</v>
      </c>
      <c r="M2149" s="1787" t="n">
        <v>40</v>
      </c>
      <c r="N2149" s="1754" t="n"/>
      <c r="O2149" s="1788" t="n"/>
      <c r="P2149" s="1721" t="inlineStr">
        <is>
          <t>Pendente</t>
        </is>
      </c>
    </row>
    <row r="2150" hidden="1" outlineLevel="3" ht="12.75" customHeight="1">
      <c r="A2150" s="2117" t="n">
        <v>0</v>
      </c>
      <c r="B2150" s="2117" t="n">
        <v>16</v>
      </c>
      <c r="C2150" s="2117" t="n">
        <v>6</v>
      </c>
      <c r="D2150" s="2118" t="n">
        <v>5</v>
      </c>
      <c r="E2150" s="2118" t="n">
        <v>3</v>
      </c>
      <c r="G2150" s="1798" t="inlineStr">
        <is>
          <t>ACABAMENTOS EM PISOS E PAVIMENTAÇÕES</t>
        </is>
      </c>
      <c r="H2150" s="1783" t="inlineStr">
        <is>
          <t>SERVIÇO</t>
        </is>
      </c>
      <c r="I2150" s="1750" t="inlineStr">
        <is>
          <t>16.006.005.003</t>
        </is>
      </c>
      <c r="J2150" s="1785" t="inlineStr">
        <is>
          <t>Mão de Obra Piso Porcenato/ Cerâmico</t>
        </is>
      </c>
      <c r="K2150" s="1786" t="inlineStr">
        <is>
          <t>m2</t>
        </is>
      </c>
      <c r="L2150" s="1787" t="e">
        <v>#REF!</v>
      </c>
      <c r="M2150" s="1787" t="n">
        <v>75</v>
      </c>
      <c r="N2150" s="1754" t="n"/>
      <c r="O2150" s="1788" t="n"/>
      <c r="P2150" s="1721" t="inlineStr">
        <is>
          <t>Pendente</t>
        </is>
      </c>
    </row>
    <row r="2151" hidden="1" outlineLevel="3" ht="12.75" customHeight="1">
      <c r="A2151" s="2117" t="n">
        <v>0</v>
      </c>
      <c r="B2151" s="2117" t="n">
        <v>16</v>
      </c>
      <c r="C2151" s="2117" t="n">
        <v>6</v>
      </c>
      <c r="D2151" s="2118" t="n">
        <v>5</v>
      </c>
      <c r="E2151" s="2118" t="n">
        <v>4</v>
      </c>
      <c r="G2151" s="1798" t="inlineStr">
        <is>
          <t>ACABAMENTOS EM PISOS E PAVIMENTAÇÕES</t>
        </is>
      </c>
      <c r="H2151" s="1783" t="inlineStr">
        <is>
          <t>SERVIÇO</t>
        </is>
      </c>
      <c r="I2151" s="1750" t="inlineStr">
        <is>
          <t>16.006.005.004</t>
        </is>
      </c>
      <c r="J2151" s="1785" t="inlineStr">
        <is>
          <t>Mão de obra de rodapé Porcelanato</t>
        </is>
      </c>
      <c r="K2151" s="1786" t="inlineStr">
        <is>
          <t>m</t>
        </is>
      </c>
      <c r="L2151" s="1787" t="e">
        <v>#REF!</v>
      </c>
      <c r="M2151" s="1787" t="n">
        <v>24</v>
      </c>
      <c r="N2151" s="1754" t="n"/>
      <c r="O2151" s="1788" t="n"/>
      <c r="P2151" s="1721" t="inlineStr">
        <is>
          <t>Pendente</t>
        </is>
      </c>
    </row>
    <row r="2152" hidden="1" outlineLevel="1" ht="12.75" customHeight="1">
      <c r="A2152" s="2117" t="n">
        <v>0</v>
      </c>
      <c r="B2152" s="2117" t="n">
        <v>16</v>
      </c>
      <c r="C2152" s="2117" t="n">
        <v>7</v>
      </c>
      <c r="D2152" s="2118" t="n">
        <v>0</v>
      </c>
      <c r="E2152" s="2118" t="n">
        <v>4</v>
      </c>
      <c r="G2152" s="1796" t="n"/>
      <c r="H2152" s="1771" t="inlineStr">
        <is>
          <t>ETAPA</t>
        </is>
      </c>
      <c r="I2152" s="1735" t="inlineStr">
        <is>
          <t>16.007</t>
        </is>
      </c>
      <c r="J2152" s="1773" t="inlineStr">
        <is>
          <t>PISOS E PAVIMENTAÇÕES - Lazer | Garagem</t>
        </is>
      </c>
      <c r="K2152" s="1774" t="n"/>
      <c r="L2152" s="1775" t="n"/>
      <c r="M2152" s="1775" t="n"/>
      <c r="N2152" s="1739" t="n"/>
      <c r="O2152" s="1776" t="n"/>
      <c r="P2152" s="1719" t="n"/>
    </row>
    <row r="2153" hidden="1" outlineLevel="2" ht="13.5" customHeight="1">
      <c r="A2153" s="2117" t="n">
        <v>0</v>
      </c>
      <c r="B2153" s="2117" t="n">
        <v>16</v>
      </c>
      <c r="C2153" s="2117" t="n">
        <v>7</v>
      </c>
      <c r="D2153" s="2118" t="n">
        <v>1</v>
      </c>
      <c r="E2153" s="2118" t="n">
        <v>0</v>
      </c>
      <c r="G2153" s="1797" t="n"/>
      <c r="H2153" s="1777" t="inlineStr">
        <is>
          <t>SUBETAPA</t>
        </is>
      </c>
      <c r="I2153" s="1742" t="inlineStr">
        <is>
          <t>16.007.001</t>
        </is>
      </c>
      <c r="J2153" s="1779" t="inlineStr">
        <is>
          <t>Contrapiso</t>
        </is>
      </c>
      <c r="K2153" s="1780" t="n"/>
      <c r="L2153" s="1781" t="n"/>
      <c r="M2153" s="1781" t="n"/>
      <c r="N2153" s="1746" t="n"/>
      <c r="O2153" s="1782" t="n"/>
      <c r="P2153" s="1720" t="n"/>
    </row>
    <row r="2154" hidden="1" outlineLevel="3" ht="13.5" customHeight="1">
      <c r="A2154" s="2117" t="n">
        <v>0</v>
      </c>
      <c r="B2154" s="2117" t="n">
        <v>16</v>
      </c>
      <c r="C2154" s="2117" t="n">
        <v>7</v>
      </c>
      <c r="D2154" s="2118" t="n">
        <v>1</v>
      </c>
      <c r="E2154" s="2118" t="n">
        <v>1</v>
      </c>
      <c r="G2154" s="1798" t="inlineStr">
        <is>
          <t>REVESTIMENTOS ARGAMASSADOS PISO</t>
        </is>
      </c>
      <c r="H2154" s="1783" t="inlineStr">
        <is>
          <t>SERVIÇO</t>
        </is>
      </c>
      <c r="I2154" s="1750" t="inlineStr">
        <is>
          <t>16.007.001.001</t>
        </is>
      </c>
      <c r="J2154" s="1785" t="inlineStr">
        <is>
          <t>Contrapiso comum em argamassa estabilizada, auto nivelado, espessura 5cm</t>
        </is>
      </c>
      <c r="K2154" s="1786" t="inlineStr">
        <is>
          <t>m2</t>
        </is>
      </c>
      <c r="L2154" s="1787" t="e">
        <v>#REF!</v>
      </c>
      <c r="M2154" s="1787" t="n">
        <v>44.58523333333333</v>
      </c>
      <c r="N2154" s="1754" t="n"/>
      <c r="O2154" s="1788" t="n"/>
      <c r="P2154" s="1721" t="inlineStr">
        <is>
          <t>Pendente</t>
        </is>
      </c>
    </row>
    <row r="2155" hidden="1" outlineLevel="2" ht="13.5" customHeight="1">
      <c r="A2155" s="2117" t="n">
        <v>0</v>
      </c>
      <c r="B2155" s="2117" t="n">
        <v>16</v>
      </c>
      <c r="C2155" s="2117" t="n">
        <v>7</v>
      </c>
      <c r="D2155" s="2118" t="n">
        <v>2</v>
      </c>
      <c r="E2155" s="2118" t="n">
        <v>0</v>
      </c>
      <c r="G2155" s="1797" t="n"/>
      <c r="H2155" s="1777" t="inlineStr">
        <is>
          <t>SUBETAPA</t>
        </is>
      </c>
      <c r="I2155" s="1742" t="inlineStr">
        <is>
          <t>16.007.002</t>
        </is>
      </c>
      <c r="J2155" s="1779" t="inlineStr">
        <is>
          <t>Acabamentos cimentados em piso</t>
        </is>
      </c>
      <c r="K2155" s="1780" t="n"/>
      <c r="L2155" s="1781" t="n"/>
      <c r="M2155" s="1781" t="n"/>
      <c r="N2155" s="1746" t="n"/>
      <c r="O2155" s="1782" t="n"/>
      <c r="P2155" s="1720" t="n"/>
    </row>
    <row r="2156" hidden="1" outlineLevel="3" ht="13.5" customHeight="1">
      <c r="A2156" s="2117" t="n">
        <v>0</v>
      </c>
      <c r="B2156" s="2117" t="n">
        <v>16</v>
      </c>
      <c r="C2156" s="2117" t="n">
        <v>7</v>
      </c>
      <c r="D2156" s="2118" t="n">
        <v>2</v>
      </c>
      <c r="E2156" s="2118" t="n">
        <v>1</v>
      </c>
      <c r="G2156" s="1798" t="inlineStr">
        <is>
          <t>REVESTIMENTOS ARGAMASSADOS PISO</t>
        </is>
      </c>
      <c r="H2156" s="1783" t="inlineStr">
        <is>
          <t>SERVIÇO</t>
        </is>
      </c>
      <c r="I2156" s="1750" t="inlineStr">
        <is>
          <t>16.007.002.001</t>
        </is>
      </c>
      <c r="J2156" s="1785" t="inlineStr">
        <is>
          <t xml:space="preserve">Piso de concreto polido, espessura 2cm </t>
        </is>
      </c>
      <c r="K2156" s="1786" t="inlineStr">
        <is>
          <t>m2</t>
        </is>
      </c>
      <c r="L2156" s="1787" t="e">
        <v>#REF!</v>
      </c>
      <c r="M2156" s="1787" t="n">
        <v>61.444939</v>
      </c>
      <c r="N2156" s="1754" t="n"/>
      <c r="O2156" s="1788" t="inlineStr">
        <is>
          <t>Garagem</t>
        </is>
      </c>
      <c r="P2156" s="1721" t="inlineStr">
        <is>
          <t>Pendente</t>
        </is>
      </c>
    </row>
    <row r="2157" hidden="1" outlineLevel="2" ht="13.5" customHeight="1">
      <c r="A2157" s="2117" t="n">
        <v>0</v>
      </c>
      <c r="B2157" s="2117" t="n">
        <v>16</v>
      </c>
      <c r="C2157" s="2117" t="n">
        <v>7</v>
      </c>
      <c r="D2157" s="2118" t="n">
        <v>3</v>
      </c>
      <c r="E2157" s="2118" t="n">
        <v>0</v>
      </c>
      <c r="G2157" s="1797" t="n"/>
      <c r="H2157" s="1777" t="inlineStr">
        <is>
          <t>SUBETAPA</t>
        </is>
      </c>
      <c r="I2157" s="1742" t="inlineStr">
        <is>
          <t>16.007.003</t>
        </is>
      </c>
      <c r="J2157" s="1779" t="inlineStr">
        <is>
          <t>Acabamentos cerâmicos em piso</t>
        </is>
      </c>
      <c r="K2157" s="1780" t="n"/>
      <c r="L2157" s="1781" t="n"/>
      <c r="M2157" s="1781" t="n"/>
      <c r="N2157" s="1746" t="n"/>
      <c r="O2157" s="1782" t="n"/>
      <c r="P2157" s="1720" t="n"/>
    </row>
    <row r="2158" hidden="1" outlineLevel="3" ht="13.5" customHeight="1">
      <c r="A2158" s="2117" t="n">
        <v>0</v>
      </c>
      <c r="B2158" s="2117" t="n">
        <v>16</v>
      </c>
      <c r="C2158" s="2117" t="n">
        <v>7</v>
      </c>
      <c r="D2158" s="2118" t="n">
        <v>3</v>
      </c>
      <c r="E2158" s="2118" t="n">
        <v>1</v>
      </c>
      <c r="G2158" s="1798" t="inlineStr">
        <is>
          <t>ACABAMENTOS EM PISOS E PAVIMENTAÇÕES</t>
        </is>
      </c>
      <c r="H2158" s="1783" t="inlineStr">
        <is>
          <t>SERVIÇO</t>
        </is>
      </c>
      <c r="I2158" s="1750" t="inlineStr">
        <is>
          <t>16.007.003.001</t>
        </is>
      </c>
      <c r="J2158" s="1785" t="inlineStr">
        <is>
          <t>Revestimento em Cerâmicas Pisos Internos, 45x 45cm com Junta de 3mm</t>
        </is>
      </c>
      <c r="K2158" s="1786" t="inlineStr">
        <is>
          <t>m2</t>
        </is>
      </c>
      <c r="L2158" s="1787" t="e">
        <v>#REF!</v>
      </c>
      <c r="M2158" s="1787" t="n">
        <v>58.073</v>
      </c>
      <c r="N2158" s="1754" t="n"/>
      <c r="O2158" s="1788" t="n"/>
      <c r="P2158" s="1721" t="inlineStr">
        <is>
          <t>Pendente</t>
        </is>
      </c>
    </row>
    <row r="2159" hidden="1" outlineLevel="3" ht="13.5" customHeight="1">
      <c r="A2159" s="2117" t="n">
        <v>0</v>
      </c>
      <c r="B2159" s="2117" t="n">
        <v>16</v>
      </c>
      <c r="C2159" s="2117" t="n">
        <v>7</v>
      </c>
      <c r="D2159" s="2118" t="n">
        <v>3</v>
      </c>
      <c r="E2159" s="2118" t="n">
        <v>2</v>
      </c>
      <c r="G2159" s="1798" t="inlineStr">
        <is>
          <t>ACABAMENTOS EM PISOS E PAVIMENTAÇÕES</t>
        </is>
      </c>
      <c r="H2159" s="1783" t="inlineStr">
        <is>
          <t>SERVIÇO</t>
        </is>
      </c>
      <c r="I2159" s="1750" t="inlineStr">
        <is>
          <t>16.007.003.002</t>
        </is>
      </c>
      <c r="J2159" s="1785" t="inlineStr">
        <is>
          <t>Revestimento de Piso, Porcelanato Portobello – Posto 10 90x90 Externo Retificado - Linha Ipanema - Padrão Alto</t>
        </is>
      </c>
      <c r="K2159" s="1786" t="inlineStr">
        <is>
          <t>m2</t>
        </is>
      </c>
      <c r="L2159" s="1787" t="e">
        <v>#REF!</v>
      </c>
      <c r="M2159" s="1787" t="n">
        <v>229.8276</v>
      </c>
      <c r="N2159" s="1754" t="n"/>
      <c r="O2159" s="1788" t="n"/>
      <c r="P2159" s="1721" t="inlineStr">
        <is>
          <t>Pendente</t>
        </is>
      </c>
    </row>
    <row r="2160" hidden="1" outlineLevel="3" ht="13.5" customHeight="1">
      <c r="A2160" s="2117" t="n">
        <v>0</v>
      </c>
      <c r="B2160" s="2117" t="n">
        <v>16</v>
      </c>
      <c r="C2160" s="2117" t="n">
        <v>7</v>
      </c>
      <c r="D2160" s="2118" t="n">
        <v>3</v>
      </c>
      <c r="E2160" s="2118" t="n">
        <v>3</v>
      </c>
      <c r="G2160" s="1798" t="inlineStr">
        <is>
          <t>ACABAMENTOS EM PISOS E PAVIMENTAÇÕES</t>
        </is>
      </c>
      <c r="H2160" s="1783" t="inlineStr">
        <is>
          <t>SERVIÇO</t>
        </is>
      </c>
      <c r="I2160" s="1750" t="inlineStr">
        <is>
          <t>16.007.003.003</t>
        </is>
      </c>
      <c r="J2160" s="1785" t="inlineStr">
        <is>
          <t>Revestimento de Piso, Porcelanato Portobello –  90x90 - Padrão Alto</t>
        </is>
      </c>
      <c r="K2160" s="1786" t="inlineStr">
        <is>
          <t>m2</t>
        </is>
      </c>
      <c r="L2160" s="1787" t="e">
        <v>#REF!</v>
      </c>
      <c r="M2160" s="1787" t="n">
        <v>141.8276</v>
      </c>
      <c r="N2160" s="1754" t="n"/>
      <c r="O2160" s="1788" t="n"/>
      <c r="P2160" s="1721" t="inlineStr">
        <is>
          <t>Pendente</t>
        </is>
      </c>
    </row>
    <row r="2161" hidden="1" outlineLevel="3" ht="13.5" customHeight="1">
      <c r="A2161" s="2117" t="n">
        <v>0</v>
      </c>
      <c r="B2161" s="2117" t="n">
        <v>16</v>
      </c>
      <c r="C2161" s="2117" t="n">
        <v>7</v>
      </c>
      <c r="D2161" s="2118" t="n">
        <v>3</v>
      </c>
      <c r="E2161" s="2118" t="n">
        <v>4</v>
      </c>
      <c r="G2161" s="1798" t="inlineStr">
        <is>
          <t>ACABAMENTOS EM PISOS E PAVIMENTAÇÕES</t>
        </is>
      </c>
      <c r="H2161" s="1783" t="inlineStr">
        <is>
          <t>SERVIÇO</t>
        </is>
      </c>
      <c r="I2161" s="1750" t="inlineStr">
        <is>
          <t>16.007.003.004</t>
        </is>
      </c>
      <c r="J2161" s="1785" t="inlineStr">
        <is>
          <t>Revestimento em Ladrilho Hidráulico 20x20cm - Cores: craft claro - Marca: Dalle Piagge, com junta de 2 cm e rejunte acrilico cinza platina</t>
        </is>
      </c>
      <c r="K2161" s="1786" t="inlineStr">
        <is>
          <t>m2</t>
        </is>
      </c>
      <c r="L2161" s="1787" t="e">
        <v>#REF!</v>
      </c>
      <c r="M2161" s="1787" t="n">
        <v>282.489275</v>
      </c>
      <c r="N2161" s="1754" t="n"/>
      <c r="O2161" s="1788" t="n"/>
      <c r="P2161" s="1721" t="inlineStr">
        <is>
          <t>Pendente</t>
        </is>
      </c>
    </row>
    <row r="2162" hidden="1" outlineLevel="3" ht="13.5" customHeight="1">
      <c r="A2162" s="2117" t="n">
        <v>0</v>
      </c>
      <c r="B2162" s="2117" t="n">
        <v>16</v>
      </c>
      <c r="C2162" s="2117" t="n">
        <v>7</v>
      </c>
      <c r="D2162" s="2118" t="n">
        <v>3</v>
      </c>
      <c r="E2162" s="2118" t="n">
        <v>5</v>
      </c>
      <c r="G2162" s="1798" t="inlineStr">
        <is>
          <t>ACABAMENTOS EM PISOS E PAVIMENTAÇÕES</t>
        </is>
      </c>
      <c r="H2162" s="1783" t="inlineStr">
        <is>
          <t>SERVIÇO</t>
        </is>
      </c>
      <c r="I2162" s="1750" t="inlineStr">
        <is>
          <t>16.007.003.005</t>
        </is>
      </c>
      <c r="J2162" s="1785" t="inlineStr">
        <is>
          <t>Revestimento em Ladrilho Hidráulico 5x5cm - Cor: terracota escuro e off-white - Marca: Dalle Piagge, com junta de 2 cm e rejunte acrilico cinza platina</t>
        </is>
      </c>
      <c r="K2162" s="1786" t="inlineStr">
        <is>
          <t>m2</t>
        </is>
      </c>
      <c r="L2162" s="1787" t="e">
        <v>#REF!</v>
      </c>
      <c r="M2162" s="1787" t="n">
        <v>865.4892750000001</v>
      </c>
      <c r="N2162" s="1754" t="n"/>
      <c r="O2162" s="1788" t="n"/>
      <c r="P2162" s="1721" t="inlineStr">
        <is>
          <t>Pendente</t>
        </is>
      </c>
    </row>
    <row r="2163" hidden="1" outlineLevel="3" ht="13.5" customHeight="1">
      <c r="A2163" s="2117" t="n">
        <v>0</v>
      </c>
      <c r="B2163" s="2117" t="n">
        <v>16</v>
      </c>
      <c r="C2163" s="2117" t="n">
        <v>7</v>
      </c>
      <c r="D2163" s="2118" t="n">
        <v>3</v>
      </c>
      <c r="E2163" s="2118" t="n">
        <v>6</v>
      </c>
      <c r="G2163" s="1798" t="inlineStr">
        <is>
          <t>ACABAMENTOS EM PISOS E PAVIMENTAÇÕES</t>
        </is>
      </c>
      <c r="H2163" s="1783" t="inlineStr">
        <is>
          <t>SERVIÇO</t>
        </is>
      </c>
      <c r="I2163" s="1750" t="inlineStr">
        <is>
          <t>16.007.003.006</t>
        </is>
      </c>
      <c r="J2163" s="1785" t="inlineStr">
        <is>
          <t>Revestimento em Ladrilho Hidráulico 10x20cm - Cor: mostarda e off-white - Marca: Dalle Piagge, com junta de 2 cm e rejunte acrilico cinza platina</t>
        </is>
      </c>
      <c r="K2163" s="1786" t="inlineStr">
        <is>
          <t>m2</t>
        </is>
      </c>
      <c r="L2163" s="1787" t="e">
        <v>#REF!</v>
      </c>
      <c r="M2163" s="1787" t="n">
        <v>655.169275</v>
      </c>
      <c r="N2163" s="1754" t="n"/>
      <c r="O2163" s="1788" t="n"/>
      <c r="P2163" s="1721" t="inlineStr">
        <is>
          <t>Pendente</t>
        </is>
      </c>
    </row>
    <row r="2164" hidden="1" outlineLevel="3" ht="13.5" customHeight="1">
      <c r="A2164" s="2117" t="n">
        <v>0</v>
      </c>
      <c r="B2164" s="2117" t="n">
        <v>16</v>
      </c>
      <c r="C2164" s="2117" t="n">
        <v>7</v>
      </c>
      <c r="D2164" s="2118" t="n">
        <v>3</v>
      </c>
      <c r="E2164" s="2118" t="n">
        <v>7</v>
      </c>
      <c r="G2164" s="1798" t="inlineStr">
        <is>
          <t>ACABAMENTOS EM PISOS E PAVIMENTAÇÕES</t>
        </is>
      </c>
      <c r="H2164" s="1783" t="inlineStr">
        <is>
          <t>SERVIÇO</t>
        </is>
      </c>
      <c r="I2164" s="1750" t="inlineStr">
        <is>
          <t>16.007.003.007</t>
        </is>
      </c>
      <c r="J2164" s="1785" t="inlineStr">
        <is>
          <t>Revestimento em Ladrilho Hidráulico 5x5cm - Cor: terracota escuro e azul escuro - Marca: Dalle Piagge, com junta de 2 cm e rejunte acrilico cinza platina</t>
        </is>
      </c>
      <c r="K2164" s="1786" t="inlineStr">
        <is>
          <t>m2</t>
        </is>
      </c>
      <c r="L2164" s="1787" t="e">
        <v>#REF!</v>
      </c>
      <c r="M2164" s="1787" t="n">
        <v>865.4892750000001</v>
      </c>
      <c r="N2164" s="1754" t="n"/>
      <c r="O2164" s="1788" t="n"/>
      <c r="P2164" s="1721" t="inlineStr">
        <is>
          <t>Pendente</t>
        </is>
      </c>
    </row>
    <row r="2165" hidden="1" outlineLevel="3" ht="13.5" customHeight="1">
      <c r="A2165" s="2117" t="n">
        <v>0</v>
      </c>
      <c r="B2165" s="2117" t="n">
        <v>16</v>
      </c>
      <c r="C2165" s="2117" t="n">
        <v>7</v>
      </c>
      <c r="D2165" s="2118" t="n">
        <v>3</v>
      </c>
      <c r="E2165" s="2118" t="n">
        <v>8</v>
      </c>
      <c r="G2165" s="1798" t="inlineStr">
        <is>
          <t>ACABAMENTOS EM PISOS E PAVIMENTAÇÕES</t>
        </is>
      </c>
      <c r="H2165" s="1783" t="inlineStr">
        <is>
          <t>SERVIÇO</t>
        </is>
      </c>
      <c r="I2165" s="1750" t="inlineStr">
        <is>
          <t>16.007.003.008</t>
        </is>
      </c>
      <c r="J2165" s="1785" t="inlineStr">
        <is>
          <t>Revestimento em Ladrilho Hidráulico 5x5cm - Cores: terracota escuro, azul escuro, off-white ou branco - Marca: Dalle Piagge, com junta de 2 cm e rejunte acrilico cinza platina</t>
        </is>
      </c>
      <c r="K2165" s="1786" t="inlineStr">
        <is>
          <t>m2</t>
        </is>
      </c>
      <c r="L2165" s="1787" t="e">
        <v>#REF!</v>
      </c>
      <c r="M2165" s="1787" t="n">
        <v>865.4892750000001</v>
      </c>
      <c r="N2165" s="1754" t="n"/>
      <c r="O2165" s="1788" t="n"/>
      <c r="P2165" s="1721" t="inlineStr">
        <is>
          <t>Pendente</t>
        </is>
      </c>
    </row>
    <row r="2166" hidden="1" outlineLevel="2" ht="13.5" customHeight="1">
      <c r="A2166" s="2117" t="n">
        <v>0</v>
      </c>
      <c r="B2166" s="2117" t="n">
        <v>16</v>
      </c>
      <c r="C2166" s="2117" t="n">
        <v>7</v>
      </c>
      <c r="D2166" s="2118" t="n">
        <v>4</v>
      </c>
      <c r="E2166" s="2118" t="n">
        <v>0</v>
      </c>
      <c r="G2166" s="1797" t="n"/>
      <c r="H2166" s="1777" t="inlineStr">
        <is>
          <t>SUBETAPA</t>
        </is>
      </c>
      <c r="I2166" s="1742" t="inlineStr">
        <is>
          <t>16.007.004</t>
        </is>
      </c>
      <c r="J2166" s="1779" t="inlineStr">
        <is>
          <t>Acabamentos especiais</t>
        </is>
      </c>
      <c r="K2166" s="1780" t="n"/>
      <c r="L2166" s="1781" t="n"/>
      <c r="M2166" s="1781" t="n"/>
      <c r="N2166" s="1746" t="n"/>
      <c r="O2166" s="1782" t="n"/>
      <c r="P2166" s="1720" t="n"/>
    </row>
    <row r="2167" hidden="1" outlineLevel="3" ht="13.5" customHeight="1">
      <c r="A2167" s="2117" t="n">
        <v>0</v>
      </c>
      <c r="B2167" s="2117" t="n">
        <v>16</v>
      </c>
      <c r="C2167" s="2117" t="n">
        <v>7</v>
      </c>
      <c r="D2167" s="2118" t="n">
        <v>4</v>
      </c>
      <c r="E2167" s="2118" t="n">
        <v>1</v>
      </c>
      <c r="G2167" s="1798" t="inlineStr">
        <is>
          <t>ACABAMENTOS EM PISOS E PAVIMENTAÇÕES</t>
        </is>
      </c>
      <c r="H2167" s="1783" t="inlineStr">
        <is>
          <t>SERVIÇO</t>
        </is>
      </c>
      <c r="I2167" s="1750" t="inlineStr">
        <is>
          <t>16.007.004.001</t>
        </is>
      </c>
      <c r="J2167" s="1785" t="inlineStr">
        <is>
          <t>Friso metálico entre pisos / Largura 1,5 cm / Cor: dourado escovado - Material e Mão de obra</t>
        </is>
      </c>
      <c r="K2167" s="1786" t="inlineStr">
        <is>
          <t>m</t>
        </is>
      </c>
      <c r="L2167" s="1787" t="e">
        <v>#REF!</v>
      </c>
      <c r="M2167" s="1787" t="n">
        <v>150</v>
      </c>
      <c r="N2167" s="1754" t="n"/>
      <c r="O2167" s="1788" t="n"/>
      <c r="P2167" s="1721" t="inlineStr">
        <is>
          <t>Pendente</t>
        </is>
      </c>
    </row>
    <row r="2168" hidden="1" outlineLevel="2" ht="13.5" customHeight="1">
      <c r="A2168" s="2117" t="n">
        <v>0</v>
      </c>
      <c r="B2168" s="2117" t="n">
        <v>16</v>
      </c>
      <c r="C2168" s="2117" t="n">
        <v>7</v>
      </c>
      <c r="D2168" s="2118" t="n">
        <v>5</v>
      </c>
      <c r="E2168" s="2118" t="n">
        <v>0</v>
      </c>
      <c r="G2168" s="1797" t="n"/>
      <c r="H2168" s="1777" t="inlineStr">
        <is>
          <t>SUBETAPA</t>
        </is>
      </c>
      <c r="I2168" s="1742" t="inlineStr">
        <is>
          <t>16.007.005</t>
        </is>
      </c>
      <c r="J2168" s="1779" t="inlineStr">
        <is>
          <t>Rodapés</t>
        </is>
      </c>
      <c r="K2168" s="1780" t="n"/>
      <c r="L2168" s="1781" t="n"/>
      <c r="M2168" s="1781" t="n"/>
      <c r="N2168" s="1746" t="n"/>
      <c r="O2168" s="1782" t="n"/>
      <c r="P2168" s="1720" t="n"/>
    </row>
    <row r="2169" hidden="1" outlineLevel="3" ht="13.5" customHeight="1">
      <c r="A2169" s="2117" t="n">
        <v>0</v>
      </c>
      <c r="B2169" s="2117" t="n">
        <v>16</v>
      </c>
      <c r="C2169" s="2117" t="n">
        <v>7</v>
      </c>
      <c r="D2169" s="2118" t="n">
        <v>5</v>
      </c>
      <c r="E2169" s="2118" t="n">
        <v>1</v>
      </c>
      <c r="G2169" s="1798" t="inlineStr">
        <is>
          <t>ACABAMENTOS EM PISOS E PAVIMENTAÇÕES</t>
        </is>
      </c>
      <c r="H2169" s="1783" t="inlineStr">
        <is>
          <t>SERVIÇO</t>
        </is>
      </c>
      <c r="I2169" s="1750" t="inlineStr">
        <is>
          <t>16.007.005.001</t>
        </is>
      </c>
      <c r="J2169" s="1785" t="inlineStr">
        <is>
          <t>Rodapé de Cerâmico h=15cm</t>
        </is>
      </c>
      <c r="K2169" s="1786" t="inlineStr">
        <is>
          <t>m</t>
        </is>
      </c>
      <c r="L2169" s="1787" t="e">
        <v>#REF!</v>
      </c>
      <c r="M2169" s="1787" t="n">
        <v>10.114275</v>
      </c>
      <c r="N2169" s="1754" t="n"/>
      <c r="O2169" s="1788" t="n"/>
      <c r="P2169" s="1721" t="inlineStr">
        <is>
          <t>Pendente</t>
        </is>
      </c>
    </row>
    <row r="2170" hidden="1" outlineLevel="3" ht="13.5" customHeight="1">
      <c r="A2170" s="2117" t="n">
        <v>0</v>
      </c>
      <c r="B2170" s="2117" t="n">
        <v>16</v>
      </c>
      <c r="C2170" s="2117" t="n">
        <v>7</v>
      </c>
      <c r="D2170" s="2118" t="n">
        <v>5</v>
      </c>
      <c r="E2170" s="2118" t="n">
        <v>2</v>
      </c>
      <c r="G2170" s="1798" t="inlineStr">
        <is>
          <t>ACABAMENTOS EM PISOS E PAVIMENTAÇÕES</t>
        </is>
      </c>
      <c r="H2170" s="1783" t="inlineStr">
        <is>
          <t>SERVIÇO</t>
        </is>
      </c>
      <c r="I2170" s="1750" t="inlineStr">
        <is>
          <t>16.007.005.002</t>
        </is>
      </c>
      <c r="J2170" s="1785" t="inlineStr">
        <is>
          <t>Rodapé de Poliestireno h=15cm</t>
        </is>
      </c>
      <c r="K2170" s="1786" t="inlineStr">
        <is>
          <t>m</t>
        </is>
      </c>
      <c r="L2170" s="1787" t="e">
        <v>#REF!</v>
      </c>
      <c r="M2170" s="1787" t="n">
        <v>43.82058333333333</v>
      </c>
      <c r="N2170" s="1754" t="n"/>
      <c r="O2170" s="1788" t="n"/>
      <c r="P2170" s="1721" t="inlineStr">
        <is>
          <t>Pendente</t>
        </is>
      </c>
    </row>
    <row r="2171" hidden="1" outlineLevel="3" ht="13.5" customHeight="1">
      <c r="A2171" s="2117" t="n">
        <v>0</v>
      </c>
      <c r="B2171" s="2117" t="n">
        <v>16</v>
      </c>
      <c r="C2171" s="2117" t="n">
        <v>7</v>
      </c>
      <c r="D2171" s="2118" t="n">
        <v>5</v>
      </c>
      <c r="E2171" s="2118" t="n">
        <v>3</v>
      </c>
      <c r="G2171" s="1798" t="inlineStr">
        <is>
          <t>ACABAMENTOS EM PISOS E PAVIMENTAÇÕES</t>
        </is>
      </c>
      <c r="H2171" s="1783" t="inlineStr">
        <is>
          <t>SERVIÇO</t>
        </is>
      </c>
      <c r="I2171" s="1750" t="inlineStr">
        <is>
          <t>16.007.005.003</t>
        </is>
      </c>
      <c r="J2171" s="1785" t="inlineStr">
        <is>
          <t>Rodapé de porcelanato h=15cm, Padrão Alto</t>
        </is>
      </c>
      <c r="K2171" s="1786" t="inlineStr">
        <is>
          <t>m</t>
        </is>
      </c>
      <c r="L2171" s="1787" t="e">
        <v>#REF!</v>
      </c>
      <c r="M2171" s="1787" t="n">
        <v>22.121325</v>
      </c>
      <c r="N2171" s="1754" t="n"/>
      <c r="O2171" s="1788" t="n"/>
      <c r="P2171" s="1721" t="inlineStr">
        <is>
          <t>Pendente</t>
        </is>
      </c>
    </row>
    <row r="2172" hidden="1" outlineLevel="3" ht="13.5" customHeight="1">
      <c r="A2172" s="2117" t="n">
        <v>0</v>
      </c>
      <c r="B2172" s="2117" t="n">
        <v>16</v>
      </c>
      <c r="C2172" s="2117" t="n">
        <v>7</v>
      </c>
      <c r="D2172" s="2118" t="n">
        <v>5</v>
      </c>
      <c r="E2172" s="2118" t="n">
        <v>4</v>
      </c>
      <c r="G2172" s="1798" t="inlineStr">
        <is>
          <t>ACABAMENTOS EM PISOS E PAVIMENTAÇÕES</t>
        </is>
      </c>
      <c r="H2172" s="1783" t="inlineStr">
        <is>
          <t>SERVIÇO</t>
        </is>
      </c>
      <c r="I2172" s="1750" t="inlineStr">
        <is>
          <t>16.007.005.004</t>
        </is>
      </c>
      <c r="J2172" s="1785" t="inlineStr">
        <is>
          <t>Rodapé de Pedra Ônix Cristal Rose h=35cm</t>
        </is>
      </c>
      <c r="K2172" s="1786" t="inlineStr">
        <is>
          <t>m</t>
        </is>
      </c>
      <c r="L2172" s="1787" t="e">
        <v>#REF!</v>
      </c>
      <c r="M2172" s="1787" t="n">
        <v>1768.652925</v>
      </c>
      <c r="N2172" s="1754" t="n"/>
      <c r="O2172" s="1788" t="n"/>
      <c r="P2172" s="1721" t="inlineStr">
        <is>
          <t>Pendente</t>
        </is>
      </c>
    </row>
    <row r="2173" hidden="1" outlineLevel="2" ht="13.5" customHeight="1">
      <c r="A2173" s="2117" t="n">
        <v>0</v>
      </c>
      <c r="B2173" s="2117" t="n">
        <v>16</v>
      </c>
      <c r="C2173" s="2117" t="n">
        <v>7</v>
      </c>
      <c r="D2173" s="2118" t="n">
        <v>6</v>
      </c>
      <c r="E2173" s="2118" t="n">
        <v>0</v>
      </c>
      <c r="G2173" s="1797" t="n"/>
      <c r="H2173" s="1777" t="inlineStr">
        <is>
          <t>SUBETAPA</t>
        </is>
      </c>
      <c r="I2173" s="1742" t="inlineStr">
        <is>
          <t>16.007.006</t>
        </is>
      </c>
      <c r="J2173" s="1779" t="inlineStr">
        <is>
          <t>Mão de obra - Revestimentos</t>
        </is>
      </c>
      <c r="K2173" s="1780" t="n"/>
      <c r="L2173" s="1781" t="n"/>
      <c r="M2173" s="1781" t="n"/>
      <c r="N2173" s="1746" t="n"/>
      <c r="O2173" s="1782" t="n"/>
      <c r="P2173" s="1720" t="n"/>
    </row>
    <row r="2174" hidden="1" outlineLevel="3" ht="13.5" customHeight="1">
      <c r="A2174" s="2117" t="n">
        <v>0</v>
      </c>
      <c r="B2174" s="2117" t="n">
        <v>16</v>
      </c>
      <c r="C2174" s="2117" t="n">
        <v>7</v>
      </c>
      <c r="D2174" s="2118" t="n">
        <v>6</v>
      </c>
      <c r="E2174" s="2118" t="n">
        <v>1</v>
      </c>
      <c r="G2174" s="1798" t="inlineStr">
        <is>
          <t>REVESTIMENTOS ARGAMASSADOS PISO</t>
        </is>
      </c>
      <c r="H2174" s="1783" t="inlineStr">
        <is>
          <t>SERVIÇO</t>
        </is>
      </c>
      <c r="I2174" s="1750" t="inlineStr">
        <is>
          <t>16.007.006.001</t>
        </is>
      </c>
      <c r="J2174" s="1785" t="inlineStr">
        <is>
          <t>Mão de obra execução de contrapiso comum e Acústico</t>
        </is>
      </c>
      <c r="K2174" s="1786" t="inlineStr">
        <is>
          <t>m2</t>
        </is>
      </c>
      <c r="L2174" s="1787" t="e">
        <v>#REF!</v>
      </c>
      <c r="M2174" s="1787" t="n">
        <v>40</v>
      </c>
      <c r="N2174" s="1754" t="n"/>
      <c r="O2174" s="1788" t="n"/>
      <c r="P2174" s="1721" t="inlineStr">
        <is>
          <t>Pendente</t>
        </is>
      </c>
    </row>
    <row r="2175" hidden="1" outlineLevel="3" ht="13.5" customHeight="1">
      <c r="A2175" s="2117" t="n">
        <v>0</v>
      </c>
      <c r="B2175" s="2117" t="n">
        <v>16</v>
      </c>
      <c r="C2175" s="2117" t="n">
        <v>7</v>
      </c>
      <c r="D2175" s="2118" t="n">
        <v>6</v>
      </c>
      <c r="E2175" s="2118" t="n">
        <v>2</v>
      </c>
      <c r="G2175" s="1798" t="inlineStr">
        <is>
          <t>REVESTIMENTOS ARGAMASSADOS PISO</t>
        </is>
      </c>
      <c r="H2175" s="1783" t="inlineStr">
        <is>
          <t>SERVIÇO</t>
        </is>
      </c>
      <c r="I2175" s="1750" t="inlineStr">
        <is>
          <t>16.007.006.002</t>
        </is>
      </c>
      <c r="J2175" s="1785" t="inlineStr">
        <is>
          <t>Mão de obra execução Piso de concreto polido</t>
        </is>
      </c>
      <c r="K2175" s="1786" t="inlineStr">
        <is>
          <t>m2</t>
        </is>
      </c>
      <c r="L2175" s="1787" t="e">
        <v>#REF!</v>
      </c>
      <c r="M2175" s="1787" t="n">
        <v>40</v>
      </c>
      <c r="N2175" s="1754" t="n"/>
      <c r="O2175" s="1788" t="n"/>
      <c r="P2175" s="1721" t="inlineStr">
        <is>
          <t>Pendente</t>
        </is>
      </c>
    </row>
    <row r="2176" hidden="1" outlineLevel="3" ht="13.5" customHeight="1">
      <c r="A2176" s="2117" t="n">
        <v>0</v>
      </c>
      <c r="B2176" s="2117" t="n">
        <v>16</v>
      </c>
      <c r="C2176" s="2117" t="n">
        <v>7</v>
      </c>
      <c r="D2176" s="2118" t="n">
        <v>6</v>
      </c>
      <c r="E2176" s="2118" t="n">
        <v>3</v>
      </c>
      <c r="G2176" s="1798" t="inlineStr">
        <is>
          <t>ACABAMENTOS EM PISOS E PAVIMENTAÇÕES</t>
        </is>
      </c>
      <c r="H2176" s="1783" t="inlineStr">
        <is>
          <t>SERVIÇO</t>
        </is>
      </c>
      <c r="I2176" s="1750" t="inlineStr">
        <is>
          <t>16.007.006.003</t>
        </is>
      </c>
      <c r="J2176" s="1785" t="inlineStr">
        <is>
          <t>Mão de Obra Piso Porcenato/ Cerâmico</t>
        </is>
      </c>
      <c r="K2176" s="1786" t="inlineStr">
        <is>
          <t>m2</t>
        </is>
      </c>
      <c r="L2176" s="1787" t="e">
        <v>#REF!</v>
      </c>
      <c r="M2176" s="1787" t="n">
        <v>75</v>
      </c>
      <c r="N2176" s="1754" t="n"/>
      <c r="O2176" s="1788" t="n"/>
      <c r="P2176" s="1721" t="inlineStr">
        <is>
          <t>Pendente</t>
        </is>
      </c>
    </row>
    <row r="2177" hidden="1" outlineLevel="3" ht="13.5" customHeight="1">
      <c r="A2177" s="2117" t="n">
        <v>0</v>
      </c>
      <c r="B2177" s="2117" t="n">
        <v>16</v>
      </c>
      <c r="C2177" s="2117" t="n">
        <v>7</v>
      </c>
      <c r="D2177" s="2118" t="n">
        <v>6</v>
      </c>
      <c r="E2177" s="2118" t="n">
        <v>4</v>
      </c>
      <c r="G2177" s="1798" t="inlineStr">
        <is>
          <t>ACABAMENTOS EM PISOS E PAVIMENTAÇÕES</t>
        </is>
      </c>
      <c r="H2177" s="1783" t="inlineStr">
        <is>
          <t>SERVIÇO</t>
        </is>
      </c>
      <c r="I2177" s="1750" t="inlineStr">
        <is>
          <t>16.007.006.004</t>
        </is>
      </c>
      <c r="J2177" s="1785" t="inlineStr">
        <is>
          <t>Mão de obra para assentamento de Ladrilhos</t>
        </is>
      </c>
      <c r="K2177" s="1786" t="inlineStr">
        <is>
          <t>m2</t>
        </is>
      </c>
      <c r="L2177" s="1787" t="e">
        <v>#REF!</v>
      </c>
      <c r="M2177" s="1787" t="n">
        <v>75</v>
      </c>
      <c r="N2177" s="1754" t="n"/>
      <c r="O2177" s="1788" t="n"/>
      <c r="P2177" s="1721" t="inlineStr">
        <is>
          <t>Pendente</t>
        </is>
      </c>
    </row>
    <row r="2178" hidden="1" outlineLevel="3" ht="13.5" customHeight="1">
      <c r="A2178" s="2117" t="n">
        <v>0</v>
      </c>
      <c r="B2178" s="2117" t="n">
        <v>16</v>
      </c>
      <c r="C2178" s="2117" t="n">
        <v>7</v>
      </c>
      <c r="D2178" s="2118" t="n">
        <v>6</v>
      </c>
      <c r="E2178" s="2118" t="n">
        <v>5</v>
      </c>
      <c r="G2178" s="1798" t="inlineStr">
        <is>
          <t>ACABAMENTOS EM PISOS E PAVIMENTAÇÕES</t>
        </is>
      </c>
      <c r="H2178" s="1783" t="inlineStr">
        <is>
          <t>SERVIÇO</t>
        </is>
      </c>
      <c r="I2178" s="1750" t="inlineStr">
        <is>
          <t>16.007.006.005</t>
        </is>
      </c>
      <c r="J2178" s="1785" t="inlineStr">
        <is>
          <t>Mão de obra de rodapé Poliestireno</t>
        </is>
      </c>
      <c r="K2178" s="1786" t="inlineStr">
        <is>
          <t>m</t>
        </is>
      </c>
      <c r="L2178" s="1787" t="e">
        <v>#REF!</v>
      </c>
      <c r="M2178" s="1787" t="n">
        <v>28</v>
      </c>
      <c r="N2178" s="1754" t="n"/>
      <c r="O2178" s="1788" t="n"/>
      <c r="P2178" s="1721" t="inlineStr">
        <is>
          <t>Pendente</t>
        </is>
      </c>
    </row>
    <row r="2179" hidden="1" outlineLevel="3" ht="13.5" customHeight="1">
      <c r="A2179" s="2117" t="n">
        <v>0</v>
      </c>
      <c r="B2179" s="2117" t="n">
        <v>16</v>
      </c>
      <c r="C2179" s="2117" t="n">
        <v>7</v>
      </c>
      <c r="D2179" s="2118" t="n">
        <v>6</v>
      </c>
      <c r="E2179" s="2118" t="n">
        <v>6</v>
      </c>
      <c r="G2179" s="1798" t="inlineStr">
        <is>
          <t>ACABAMENTOS EM PISOS E PAVIMENTAÇÕES</t>
        </is>
      </c>
      <c r="H2179" s="1783" t="inlineStr">
        <is>
          <t>SERVIÇO</t>
        </is>
      </c>
      <c r="I2179" s="1750" t="inlineStr">
        <is>
          <t>16.007.006.006</t>
        </is>
      </c>
      <c r="J2179" s="1785" t="inlineStr">
        <is>
          <t>Mão de obra de rodapé Porcelanato</t>
        </is>
      </c>
      <c r="K2179" s="1786" t="inlineStr">
        <is>
          <t>m</t>
        </is>
      </c>
      <c r="L2179" s="1787" t="e">
        <v>#REF!</v>
      </c>
      <c r="M2179" s="1787" t="n">
        <v>24</v>
      </c>
      <c r="N2179" s="1754" t="n"/>
      <c r="O2179" s="1788" t="n"/>
      <c r="P2179" s="1721" t="inlineStr">
        <is>
          <t>Pendente</t>
        </is>
      </c>
    </row>
    <row r="2180" hidden="1" outlineLevel="3" ht="13.5" customHeight="1">
      <c r="A2180" s="2117" t="n">
        <v>0</v>
      </c>
      <c r="B2180" s="2117" t="n">
        <v>16</v>
      </c>
      <c r="C2180" s="2117" t="n">
        <v>7</v>
      </c>
      <c r="D2180" s="2118" t="n">
        <v>6</v>
      </c>
      <c r="E2180" s="2118" t="n">
        <v>7</v>
      </c>
      <c r="G2180" s="1798" t="inlineStr">
        <is>
          <t>ACABAMENTOS EM PISOS E PAVIMENTAÇÕES</t>
        </is>
      </c>
      <c r="H2180" s="1783" t="inlineStr">
        <is>
          <t>SERVIÇO</t>
        </is>
      </c>
      <c r="I2180" s="1750" t="inlineStr">
        <is>
          <t>16.007.006.007</t>
        </is>
      </c>
      <c r="J2180" s="1785" t="inlineStr">
        <is>
          <t>Mão de obra de rodapé Pedra</t>
        </is>
      </c>
      <c r="K2180" s="1786" t="inlineStr">
        <is>
          <t>m</t>
        </is>
      </c>
      <c r="L2180" s="1787" t="e">
        <v>#REF!</v>
      </c>
      <c r="M2180" s="1787" t="n">
        <v>24</v>
      </c>
      <c r="N2180" s="1754" t="n"/>
      <c r="O2180" s="1788" t="n"/>
      <c r="P2180" s="1721" t="inlineStr">
        <is>
          <t>Pendente</t>
        </is>
      </c>
    </row>
    <row r="2181" hidden="1" outlineLevel="1" ht="13.5" customHeight="1">
      <c r="A2181" s="2117" t="n">
        <v>0</v>
      </c>
      <c r="B2181" s="2117" t="n">
        <v>16</v>
      </c>
      <c r="C2181" s="2117" t="n">
        <v>8</v>
      </c>
      <c r="D2181" s="2118" t="n">
        <v>0</v>
      </c>
      <c r="E2181" s="2118" t="n">
        <v>7</v>
      </c>
      <c r="G2181" s="1796" t="n"/>
      <c r="H2181" s="1771" t="inlineStr">
        <is>
          <t>ETAPA</t>
        </is>
      </c>
      <c r="I2181" s="1735" t="inlineStr">
        <is>
          <t>16.008</t>
        </is>
      </c>
      <c r="J2181" s="1773" t="inlineStr">
        <is>
          <t>PISOS E PAVIMENTAÇÕES - Lazer</t>
        </is>
      </c>
      <c r="K2181" s="1774" t="n"/>
      <c r="L2181" s="1775" t="n"/>
      <c r="M2181" s="1775" t="n"/>
      <c r="N2181" s="1739" t="n"/>
      <c r="O2181" s="1776" t="n"/>
      <c r="P2181" s="1719" t="n"/>
    </row>
    <row r="2182" hidden="1" outlineLevel="2" ht="13.5" customHeight="1">
      <c r="A2182" s="2117" t="n">
        <v>0</v>
      </c>
      <c r="B2182" s="2117" t="n">
        <v>16</v>
      </c>
      <c r="C2182" s="2117" t="n">
        <v>8</v>
      </c>
      <c r="D2182" s="2118" t="n">
        <v>1</v>
      </c>
      <c r="E2182" s="2118" t="n">
        <v>0</v>
      </c>
      <c r="G2182" s="1797" t="n"/>
      <c r="H2182" s="1777" t="inlineStr">
        <is>
          <t>SUBETAPA</t>
        </is>
      </c>
      <c r="I2182" s="1742" t="inlineStr">
        <is>
          <t>16.008.001</t>
        </is>
      </c>
      <c r="J2182" s="1779" t="inlineStr">
        <is>
          <t>Contrapiso</t>
        </is>
      </c>
      <c r="K2182" s="1780" t="n"/>
      <c r="L2182" s="1781" t="n"/>
      <c r="M2182" s="1781" t="n"/>
      <c r="N2182" s="1746" t="n"/>
      <c r="O2182" s="1782" t="n"/>
      <c r="P2182" s="1720" t="n"/>
    </row>
    <row r="2183" hidden="1" outlineLevel="3" ht="13.5" customHeight="1">
      <c r="A2183" s="2117" t="n">
        <v>0</v>
      </c>
      <c r="B2183" s="2117" t="n">
        <v>16</v>
      </c>
      <c r="C2183" s="2117" t="n">
        <v>8</v>
      </c>
      <c r="D2183" s="2118" t="n">
        <v>1</v>
      </c>
      <c r="E2183" s="2118" t="n">
        <v>1</v>
      </c>
      <c r="G2183" s="1798" t="inlineStr">
        <is>
          <t>REVESTIMENTOS ARGAMASSADOS PISO</t>
        </is>
      </c>
      <c r="H2183" s="1783" t="inlineStr">
        <is>
          <t>SERVIÇO</t>
        </is>
      </c>
      <c r="I2183" s="1750" t="inlineStr">
        <is>
          <t>16.008.001.001</t>
        </is>
      </c>
      <c r="J2183" s="1785" t="inlineStr">
        <is>
          <t>Contrapiso comum em argamassa estabilizada, auto nivelado, espessura 5cm</t>
        </is>
      </c>
      <c r="K2183" s="1786" t="inlineStr">
        <is>
          <t>m2</t>
        </is>
      </c>
      <c r="L2183" s="1787" t="e">
        <v>#REF!</v>
      </c>
      <c r="M2183" s="1787" t="n">
        <v>44.58523333333333</v>
      </c>
      <c r="N2183" s="1754" t="n"/>
      <c r="O2183" s="1788" t="n"/>
      <c r="P2183" s="1721" t="inlineStr">
        <is>
          <t>Pendente</t>
        </is>
      </c>
    </row>
    <row r="2184" hidden="1" outlineLevel="2" ht="13.5" customHeight="1">
      <c r="A2184" s="2117" t="n">
        <v>0</v>
      </c>
      <c r="B2184" s="2117" t="n">
        <v>16</v>
      </c>
      <c r="C2184" s="2117" t="n">
        <v>8</v>
      </c>
      <c r="D2184" s="2118" t="n">
        <v>2</v>
      </c>
      <c r="E2184" s="2118" t="n">
        <v>0</v>
      </c>
      <c r="G2184" s="1797" t="n"/>
      <c r="H2184" s="1777" t="inlineStr">
        <is>
          <t>SUBETAPA</t>
        </is>
      </c>
      <c r="I2184" s="1742" t="inlineStr">
        <is>
          <t>16.008.002</t>
        </is>
      </c>
      <c r="J2184" s="1779" t="inlineStr">
        <is>
          <t>Acabamentos cerâmicos em piso</t>
        </is>
      </c>
      <c r="K2184" s="1780" t="n"/>
      <c r="L2184" s="1781" t="n"/>
      <c r="M2184" s="1781" t="n"/>
      <c r="N2184" s="1746" t="n"/>
      <c r="O2184" s="1782" t="n"/>
      <c r="P2184" s="1720" t="n"/>
    </row>
    <row r="2185" hidden="1" outlineLevel="3" ht="13.5" customHeight="1">
      <c r="A2185" s="2117" t="n">
        <v>0</v>
      </c>
      <c r="B2185" s="2117" t="n">
        <v>16</v>
      </c>
      <c r="C2185" s="2117" t="n">
        <v>8</v>
      </c>
      <c r="D2185" s="2118" t="n">
        <v>2</v>
      </c>
      <c r="E2185" s="2118" t="n">
        <v>1</v>
      </c>
      <c r="G2185" s="1798" t="inlineStr">
        <is>
          <t>ACABAMENTOS EM PISOS E PAVIMENTAÇÕES</t>
        </is>
      </c>
      <c r="H2185" s="1783" t="inlineStr">
        <is>
          <t>SERVIÇO</t>
        </is>
      </c>
      <c r="I2185" s="1750" t="inlineStr">
        <is>
          <t>16.008.002.001</t>
        </is>
      </c>
      <c r="J2185" s="1785" t="inlineStr">
        <is>
          <t>Revestimento em Cerâmicas Pisos Internos, 45x 45cm com Junta de 3mm</t>
        </is>
      </c>
      <c r="K2185" s="1786" t="inlineStr">
        <is>
          <t>m2</t>
        </is>
      </c>
      <c r="L2185" s="1787" t="e">
        <v>#REF!</v>
      </c>
      <c r="M2185" s="1787" t="n">
        <v>58.073</v>
      </c>
      <c r="N2185" s="1754" t="n"/>
      <c r="O2185" s="1788" t="n"/>
      <c r="P2185" s="1721" t="inlineStr">
        <is>
          <t>Pendente</t>
        </is>
      </c>
    </row>
    <row r="2186" hidden="1" outlineLevel="3" ht="13.5" customHeight="1">
      <c r="A2186" s="2117" t="n">
        <v>0</v>
      </c>
      <c r="B2186" s="2117" t="n">
        <v>16</v>
      </c>
      <c r="C2186" s="2117" t="n">
        <v>8</v>
      </c>
      <c r="D2186" s="2118" t="n">
        <v>2</v>
      </c>
      <c r="E2186" s="2118" t="n">
        <v>2</v>
      </c>
      <c r="G2186" s="1798" t="inlineStr">
        <is>
          <t>ACABAMENTOS EM PISOS E PAVIMENTAÇÕES</t>
        </is>
      </c>
      <c r="H2186" s="1783" t="inlineStr">
        <is>
          <t>SERVIÇO</t>
        </is>
      </c>
      <c r="I2186" s="1750" t="inlineStr">
        <is>
          <t>16.008.002.002</t>
        </is>
      </c>
      <c r="J2186" s="1785" t="inlineStr">
        <is>
          <t>Revestimento de Piso, Porcelanato Portobello – Posto 10 90x90 Externo Retificado - Linha Ipanema - Padrão Alto</t>
        </is>
      </c>
      <c r="K2186" s="1786" t="inlineStr">
        <is>
          <t>m2</t>
        </is>
      </c>
      <c r="L2186" s="1787" t="e">
        <v>#REF!</v>
      </c>
      <c r="M2186" s="1787" t="n">
        <v>229.8276</v>
      </c>
      <c r="N2186" s="1754" t="n"/>
      <c r="O2186" s="1788" t="n"/>
      <c r="P2186" s="1721" t="inlineStr">
        <is>
          <t>Pendente</t>
        </is>
      </c>
    </row>
    <row r="2187" hidden="1" outlineLevel="3" ht="13.5" customHeight="1">
      <c r="A2187" s="2117" t="n">
        <v>0</v>
      </c>
      <c r="B2187" s="2117" t="n">
        <v>16</v>
      </c>
      <c r="C2187" s="2117" t="n">
        <v>8</v>
      </c>
      <c r="D2187" s="2118" t="n">
        <v>2</v>
      </c>
      <c r="E2187" s="2118" t="n">
        <v>3</v>
      </c>
      <c r="G2187" s="1798" t="inlineStr">
        <is>
          <t>ACABAMENTOS EM PISOS E PAVIMENTAÇÕES</t>
        </is>
      </c>
      <c r="H2187" s="1783" t="inlineStr">
        <is>
          <t>SERVIÇO</t>
        </is>
      </c>
      <c r="I2187" s="1750" t="inlineStr">
        <is>
          <t>16.008.002.003</t>
        </is>
      </c>
      <c r="J2187" s="1785" t="inlineStr">
        <is>
          <t>Revestimento de Piso, Porcelanato Portobello –  90x90 - Padrão Alto</t>
        </is>
      </c>
      <c r="K2187" s="1786" t="inlineStr">
        <is>
          <t>m2</t>
        </is>
      </c>
      <c r="L2187" s="1787" t="e">
        <v>#REF!</v>
      </c>
      <c r="M2187" s="1787" t="n">
        <v>141.8276</v>
      </c>
      <c r="N2187" s="1754" t="n"/>
      <c r="O2187" s="1788" t="n"/>
      <c r="P2187" s="1721" t="inlineStr">
        <is>
          <t>Pendente</t>
        </is>
      </c>
    </row>
    <row r="2188" hidden="1" outlineLevel="3" ht="13.5" customHeight="1">
      <c r="A2188" s="2117" t="n">
        <v>0</v>
      </c>
      <c r="B2188" s="2117" t="n">
        <v>16</v>
      </c>
      <c r="C2188" s="2117" t="n">
        <v>8</v>
      </c>
      <c r="D2188" s="2118" t="n">
        <v>2</v>
      </c>
      <c r="E2188" s="2118" t="n">
        <v>4</v>
      </c>
      <c r="G2188" s="1798" t="inlineStr">
        <is>
          <t>ACABAMENTOS EM PISOS E PAVIMENTAÇÕES</t>
        </is>
      </c>
      <c r="H2188" s="1783" t="inlineStr">
        <is>
          <t>SERVIÇO</t>
        </is>
      </c>
      <c r="I2188" s="1750" t="inlineStr">
        <is>
          <t>16.008.002.004</t>
        </is>
      </c>
      <c r="J2188" s="1785" t="inlineStr">
        <is>
          <t>Revestimento em Ladrilho Hidráulico 20x20cm - Cores: craft claro, craft comum, fendi, cana e terracota escuro - Marca: Dalle Piagge, com junta de 2 cm e rejunte acrilico cinza platina</t>
        </is>
      </c>
      <c r="K2188" s="1786" t="inlineStr">
        <is>
          <t>m2</t>
        </is>
      </c>
      <c r="L2188" s="1787" t="e">
        <v>#REF!</v>
      </c>
      <c r="M2188" s="1787" t="n">
        <v>623.489275</v>
      </c>
      <c r="N2188" s="1754" t="n"/>
      <c r="O2188" s="1788" t="n"/>
      <c r="P2188" s="1721" t="inlineStr">
        <is>
          <t>Pendente</t>
        </is>
      </c>
    </row>
    <row r="2189" hidden="1" outlineLevel="3" ht="13.5" customHeight="1">
      <c r="A2189" s="2117" t="n">
        <v>0</v>
      </c>
      <c r="B2189" s="2117" t="n">
        <v>16</v>
      </c>
      <c r="C2189" s="2117" t="n">
        <v>8</v>
      </c>
      <c r="D2189" s="2118" t="n">
        <v>2</v>
      </c>
      <c r="E2189" s="2118" t="n">
        <v>5</v>
      </c>
      <c r="G2189" s="1798" t="inlineStr">
        <is>
          <t>ACABAMENTOS EM PISOS E PAVIMENTAÇÕES</t>
        </is>
      </c>
      <c r="H2189" s="1783" t="inlineStr">
        <is>
          <t>SERVIÇO</t>
        </is>
      </c>
      <c r="I2189" s="1750" t="inlineStr">
        <is>
          <t>16.008.002.005</t>
        </is>
      </c>
      <c r="J2189" s="1785" t="inlineStr">
        <is>
          <t>Revestimento em Ladrilho Hidráulico 20x20cm - Cores: craft claro e craft comum - Marca: Dalle Piagge, com junta de 2 cm e rejunte acrilico cinza platina</t>
        </is>
      </c>
      <c r="K2189" s="1786" t="inlineStr">
        <is>
          <t>m2</t>
        </is>
      </c>
      <c r="L2189" s="1787" t="e">
        <v>#REF!</v>
      </c>
      <c r="M2189" s="1787" t="n">
        <v>535.489275</v>
      </c>
      <c r="N2189" s="1754" t="n"/>
      <c r="O2189" s="1788" t="n"/>
      <c r="P2189" s="1721" t="inlineStr">
        <is>
          <t>Pendente</t>
        </is>
      </c>
    </row>
    <row r="2190" hidden="1" outlineLevel="2" ht="13.5" customHeight="1">
      <c r="A2190" s="2117" t="n">
        <v>0</v>
      </c>
      <c r="B2190" s="2117" t="n">
        <v>16</v>
      </c>
      <c r="C2190" s="2117" t="n">
        <v>8</v>
      </c>
      <c r="D2190" s="2118" t="n">
        <v>3</v>
      </c>
      <c r="E2190" s="2118" t="n">
        <v>0</v>
      </c>
      <c r="G2190" s="1797" t="n"/>
      <c r="H2190" s="1777" t="inlineStr">
        <is>
          <t>SUBETAPA</t>
        </is>
      </c>
      <c r="I2190" s="1742" t="inlineStr">
        <is>
          <t>16.008.003</t>
        </is>
      </c>
      <c r="J2190" s="1779" t="inlineStr">
        <is>
          <t>Acabamentos especiais</t>
        </is>
      </c>
      <c r="K2190" s="1780" t="n"/>
      <c r="L2190" s="1781" t="n"/>
      <c r="M2190" s="1781" t="n"/>
      <c r="N2190" s="1746" t="n"/>
      <c r="O2190" s="1782" t="n"/>
      <c r="P2190" s="1720" t="n"/>
    </row>
    <row r="2191" hidden="1" outlineLevel="3" ht="13.5" customHeight="1">
      <c r="A2191" s="2117" t="n">
        <v>0</v>
      </c>
      <c r="B2191" s="2117" t="n">
        <v>16</v>
      </c>
      <c r="C2191" s="2117" t="n">
        <v>8</v>
      </c>
      <c r="D2191" s="2118" t="n">
        <v>3</v>
      </c>
      <c r="E2191" s="2118" t="n">
        <v>1</v>
      </c>
      <c r="G2191" s="1798" t="inlineStr">
        <is>
          <t>ACABAMENTOS EM PISOS E PAVIMENTAÇÕES</t>
        </is>
      </c>
      <c r="H2191" s="1783" t="inlineStr">
        <is>
          <t>SERVIÇO</t>
        </is>
      </c>
      <c r="I2191" s="1750" t="inlineStr">
        <is>
          <t>16.008.003.001</t>
        </is>
      </c>
      <c r="J2191" s="1785" t="inlineStr">
        <is>
          <t xml:space="preserve">Deck de madeira Cumaru - Tábuas: 10 x 200 cm - material e mão de obra </t>
        </is>
      </c>
      <c r="K2191" s="1786" t="inlineStr">
        <is>
          <t>m2</t>
        </is>
      </c>
      <c r="L2191" s="1787" t="e">
        <v>#REF!</v>
      </c>
      <c r="M2191" s="1787" t="n">
        <v>935.0000000000001</v>
      </c>
      <c r="N2191" s="1754" t="n"/>
      <c r="O2191" s="1788" t="n"/>
      <c r="P2191" s="1721" t="inlineStr">
        <is>
          <t>Pendente</t>
        </is>
      </c>
    </row>
    <row r="2192" hidden="1" outlineLevel="3" ht="13.5" customHeight="1">
      <c r="A2192" s="2117" t="n">
        <v>0</v>
      </c>
      <c r="B2192" s="2117" t="n">
        <v>16</v>
      </c>
      <c r="C2192" s="2117" t="n">
        <v>8</v>
      </c>
      <c r="D2192" s="2118" t="n">
        <v>3</v>
      </c>
      <c r="E2192" s="2118" t="n">
        <v>2</v>
      </c>
      <c r="G2192" s="1798" t="inlineStr">
        <is>
          <t>ACABAMENTOS EM PISOS E PAVIMENTAÇÕES</t>
        </is>
      </c>
      <c r="H2192" s="1783" t="inlineStr">
        <is>
          <t>SERVIÇO</t>
        </is>
      </c>
      <c r="I2192" s="1750" t="inlineStr">
        <is>
          <t>16.008.003.002</t>
        </is>
      </c>
      <c r="J2192" s="1751" t="inlineStr">
        <is>
          <t xml:space="preserve">Piso de madeira Cumaru Chevron 45°  - material e mão de obra </t>
        </is>
      </c>
      <c r="K2192" s="1786" t="inlineStr">
        <is>
          <t>m2</t>
        </is>
      </c>
      <c r="L2192" s="1787" t="e">
        <v>#REF!</v>
      </c>
      <c r="M2192" s="1787" t="n">
        <v>1200</v>
      </c>
      <c r="N2192" s="1754" t="n"/>
      <c r="O2192" s="1788" t="n"/>
      <c r="P2192" s="1721" t="inlineStr">
        <is>
          <t>Pendente</t>
        </is>
      </c>
    </row>
    <row r="2193" hidden="1" outlineLevel="3" ht="13.5" customHeight="1">
      <c r="A2193" s="2117" t="n">
        <v>0</v>
      </c>
      <c r="B2193" s="2117" t="n">
        <v>16</v>
      </c>
      <c r="C2193" s="2117" t="n">
        <v>8</v>
      </c>
      <c r="D2193" s="2118" t="n">
        <v>3</v>
      </c>
      <c r="E2193" s="2118" t="n">
        <v>3</v>
      </c>
      <c r="G2193" s="1798" t="inlineStr">
        <is>
          <t>ACABAMENTOS EM PISOS E PAVIMENTAÇÕES</t>
        </is>
      </c>
      <c r="H2193" s="1783" t="inlineStr">
        <is>
          <t>SERVIÇO</t>
        </is>
      </c>
      <c r="I2193" s="1750" t="inlineStr">
        <is>
          <t>16.008.003.003</t>
        </is>
      </c>
      <c r="J2193" s="1785" t="inlineStr">
        <is>
          <t>Revestimento de Piso vinílico cinza e cinza claro 92x92cm / Linha Ambienta Coleção Stone / Marca: Tarkett</t>
        </is>
      </c>
      <c r="K2193" s="1786" t="inlineStr">
        <is>
          <t>m2</t>
        </is>
      </c>
      <c r="L2193" s="1787" t="e">
        <v>#REF!</v>
      </c>
      <c r="M2193" s="1787" t="n">
        <v>590</v>
      </c>
      <c r="N2193" s="1754" t="n"/>
      <c r="O2193" s="1788" t="inlineStr">
        <is>
          <t>Academia</t>
        </is>
      </c>
      <c r="P2193" s="1721" t="inlineStr">
        <is>
          <t>Pendente</t>
        </is>
      </c>
    </row>
    <row r="2194" hidden="1" outlineLevel="3" ht="13.5" customHeight="1">
      <c r="A2194" s="2117" t="n">
        <v>0</v>
      </c>
      <c r="B2194" s="2117" t="n">
        <v>16</v>
      </c>
      <c r="C2194" s="2117" t="n">
        <v>8</v>
      </c>
      <c r="D2194" s="2118" t="n">
        <v>3</v>
      </c>
      <c r="E2194" s="2118" t="n">
        <v>4</v>
      </c>
      <c r="G2194" s="1798" t="inlineStr">
        <is>
          <t>ACABAMENTOS EM PISOS E PAVIMENTAÇÕES</t>
        </is>
      </c>
      <c r="H2194" s="1783" t="inlineStr">
        <is>
          <t>SERVIÇO</t>
        </is>
      </c>
      <c r="I2194" s="1750" t="inlineStr">
        <is>
          <t>16.008.003.004</t>
        </is>
      </c>
      <c r="J2194" s="1785" t="inlineStr">
        <is>
          <t>Revestimento de Piso vinílico cinza claro 92x92cm / Linha Ambienta Coleção Stone / Marca: Tarkett</t>
        </is>
      </c>
      <c r="K2194" s="1786" t="inlineStr">
        <is>
          <t>m2</t>
        </is>
      </c>
      <c r="L2194" s="1787" t="e">
        <v>#REF!</v>
      </c>
      <c r="M2194" s="1787" t="n">
        <v>590</v>
      </c>
      <c r="N2194" s="1754" t="n"/>
      <c r="O2194" s="1788" t="inlineStr">
        <is>
          <t>Academia</t>
        </is>
      </c>
      <c r="P2194" s="1721" t="inlineStr">
        <is>
          <t>Pendente</t>
        </is>
      </c>
    </row>
    <row r="2195" hidden="1" outlineLevel="3" ht="13.5" customHeight="1">
      <c r="A2195" s="2117" t="n">
        <v>0</v>
      </c>
      <c r="B2195" s="2117" t="n">
        <v>16</v>
      </c>
      <c r="C2195" s="2117" t="n">
        <v>8</v>
      </c>
      <c r="D2195" s="2118" t="n">
        <v>3</v>
      </c>
      <c r="E2195" s="2118" t="n">
        <v>5</v>
      </c>
      <c r="G2195" s="1798" t="inlineStr">
        <is>
          <t>ACABAMENTOS EM PISOS E PAVIMENTAÇÕES</t>
        </is>
      </c>
      <c r="H2195" s="1783" t="inlineStr">
        <is>
          <t>SERVIÇO</t>
        </is>
      </c>
      <c r="I2195" s="1750" t="inlineStr">
        <is>
          <t>16.008.003.005</t>
        </is>
      </c>
      <c r="J2195" s="1785" t="inlineStr">
        <is>
          <t>Revestimento de Piso vinílico cinza 92x92cm / Linha Ambienta Coleção Stone / Marca: Tarkett</t>
        </is>
      </c>
      <c r="K2195" s="1786" t="inlineStr">
        <is>
          <t>m2</t>
        </is>
      </c>
      <c r="L2195" s="1787" t="e">
        <v>#REF!</v>
      </c>
      <c r="M2195" s="1787" t="n">
        <v>590</v>
      </c>
      <c r="N2195" s="1754" t="n"/>
      <c r="O2195" s="1788" t="inlineStr">
        <is>
          <t>Game Center</t>
        </is>
      </c>
      <c r="P2195" s="1721" t="inlineStr">
        <is>
          <t>Pendente</t>
        </is>
      </c>
    </row>
    <row r="2196" hidden="1" outlineLevel="3" ht="13.5" customHeight="1">
      <c r="A2196" s="2117" t="n">
        <v>0</v>
      </c>
      <c r="B2196" s="2117" t="n">
        <v>16</v>
      </c>
      <c r="C2196" s="2117" t="n">
        <v>8</v>
      </c>
      <c r="D2196" s="2118" t="n">
        <v>3</v>
      </c>
      <c r="E2196" s="2118" t="n">
        <v>6</v>
      </c>
      <c r="G2196" s="1798" t="inlineStr">
        <is>
          <t>ACABAMENTOS EM PISOS E PAVIMENTAÇÕES</t>
        </is>
      </c>
      <c r="H2196" s="1783" t="inlineStr">
        <is>
          <t>SERVIÇO</t>
        </is>
      </c>
      <c r="I2196" s="1750" t="inlineStr">
        <is>
          <t>16.008.003.006</t>
        </is>
      </c>
      <c r="J2196" s="1785" t="inlineStr">
        <is>
          <t>Pisos Para Academia Emborrachado EPDM  20x20 cm/ Cor: azul e branco / Marca: Rubber - Material e Mão de obra</t>
        </is>
      </c>
      <c r="K2196" s="1786" t="inlineStr">
        <is>
          <t>m2</t>
        </is>
      </c>
      <c r="L2196" s="1787" t="e">
        <v>#REF!</v>
      </c>
      <c r="M2196" s="1787" t="n">
        <v>540</v>
      </c>
      <c r="N2196" s="1754" t="n"/>
      <c r="O2196" s="1788" t="inlineStr">
        <is>
          <t>Brinquedoteca</t>
        </is>
      </c>
      <c r="P2196" s="1721" t="inlineStr">
        <is>
          <t>Pendente</t>
        </is>
      </c>
    </row>
    <row r="2197" hidden="1" outlineLevel="3" ht="13.5" customHeight="1">
      <c r="A2197" s="2117" t="n">
        <v>0</v>
      </c>
      <c r="B2197" s="2117" t="n">
        <v>16</v>
      </c>
      <c r="C2197" s="2117" t="n">
        <v>8</v>
      </c>
      <c r="D2197" s="2118" t="n">
        <v>3</v>
      </c>
      <c r="E2197" s="2118" t="n">
        <v>7</v>
      </c>
      <c r="G2197" s="1798" t="inlineStr">
        <is>
          <t>ACABAMENTOS EM PISOS E PAVIMENTAÇÕES</t>
        </is>
      </c>
      <c r="H2197" s="1783" t="inlineStr">
        <is>
          <t>SERVIÇO</t>
        </is>
      </c>
      <c r="I2197" s="1750" t="inlineStr">
        <is>
          <t>16.008.003.007</t>
        </is>
      </c>
      <c r="J2197" s="1785" t="inlineStr">
        <is>
          <t>Pisos Para Academia Emborrachado Impact Soft  100x100 cm/ Peso Livre - Material e Mão de obra</t>
        </is>
      </c>
      <c r="K2197" s="1786" t="inlineStr">
        <is>
          <t>m2</t>
        </is>
      </c>
      <c r="L2197" s="1787" t="e">
        <v>#REF!</v>
      </c>
      <c r="M2197" s="1787" t="n">
        <v>610</v>
      </c>
      <c r="N2197" s="1754" t="n"/>
      <c r="O2197" s="1788" t="inlineStr">
        <is>
          <t>Espaço Crossfit</t>
        </is>
      </c>
      <c r="P2197" s="1721" t="inlineStr">
        <is>
          <t>Pendente</t>
        </is>
      </c>
    </row>
    <row r="2198" hidden="1" outlineLevel="3" ht="13.5" customHeight="1">
      <c r="A2198" s="2117" t="n">
        <v>0</v>
      </c>
      <c r="B2198" s="2117" t="n">
        <v>16</v>
      </c>
      <c r="C2198" s="2117" t="n">
        <v>8</v>
      </c>
      <c r="D2198" s="2118" t="n">
        <v>3</v>
      </c>
      <c r="E2198" s="2118" t="n">
        <v>8</v>
      </c>
      <c r="G2198" s="1798" t="inlineStr">
        <is>
          <t>ACABAMENTOS EM PISOS E PAVIMENTAÇÕES</t>
        </is>
      </c>
      <c r="H2198" s="1783" t="inlineStr">
        <is>
          <t>SERVIÇO</t>
        </is>
      </c>
      <c r="I2198" s="1750" t="inlineStr">
        <is>
          <t>16.008.003.008</t>
        </is>
      </c>
      <c r="J2198" s="1785" t="inlineStr">
        <is>
          <t>Laje verde intensiva sobre steel deck - Material e Mão de obra</t>
        </is>
      </c>
      <c r="K2198" s="1786" t="inlineStr">
        <is>
          <t>m2</t>
        </is>
      </c>
      <c r="L2198" s="1787" t="e">
        <v>#REF!</v>
      </c>
      <c r="M2198" s="1787" t="n">
        <v>1525</v>
      </c>
      <c r="N2198" s="1754" t="n"/>
      <c r="O2198" s="1788" t="n"/>
      <c r="P2198" s="1721" t="inlineStr">
        <is>
          <t>Pendente</t>
        </is>
      </c>
    </row>
    <row r="2199" hidden="1" outlineLevel="3" ht="13.5" customHeight="1">
      <c r="A2199" s="2117" t="n">
        <v>0</v>
      </c>
      <c r="B2199" s="2117" t="n">
        <v>16</v>
      </c>
      <c r="C2199" s="2117" t="n">
        <v>8</v>
      </c>
      <c r="D2199" s="2118" t="n">
        <v>3</v>
      </c>
      <c r="E2199" s="2118" t="n">
        <v>9</v>
      </c>
      <c r="G2199" s="1798" t="inlineStr">
        <is>
          <t>ACABAMENTOS EM PISOS E PAVIMENTAÇÕES</t>
        </is>
      </c>
      <c r="H2199" s="1783" t="inlineStr">
        <is>
          <t>SERVIÇO</t>
        </is>
      </c>
      <c r="I2199" s="1750" t="inlineStr">
        <is>
          <t>16.008.003.009</t>
        </is>
      </c>
      <c r="J2199" s="1785" t="inlineStr">
        <is>
          <t>Friso metálico entre pisos / Largura 1,5 cm / Cor: dourado escovado - Material e Mão de obra</t>
        </is>
      </c>
      <c r="K2199" s="1786" t="inlineStr">
        <is>
          <t>m</t>
        </is>
      </c>
      <c r="L2199" s="1787" t="e">
        <v>#REF!</v>
      </c>
      <c r="M2199" s="1787" t="n">
        <v>150</v>
      </c>
      <c r="N2199" s="1754" t="n"/>
      <c r="O2199" s="1788" t="n"/>
      <c r="P2199" s="1721" t="inlineStr">
        <is>
          <t>Pendente</t>
        </is>
      </c>
    </row>
    <row r="2200" hidden="1" outlineLevel="2" ht="13.5" customHeight="1">
      <c r="A2200" s="2117" t="n">
        <v>0</v>
      </c>
      <c r="B2200" s="2117" t="n">
        <v>16</v>
      </c>
      <c r="C2200" s="2117" t="n">
        <v>8</v>
      </c>
      <c r="D2200" s="2118" t="n">
        <v>4</v>
      </c>
      <c r="E2200" s="2118" t="n">
        <v>0</v>
      </c>
      <c r="G2200" s="1797" t="n"/>
      <c r="H2200" s="1777" t="inlineStr">
        <is>
          <t>SUBETAPA</t>
        </is>
      </c>
      <c r="I2200" s="1742" t="inlineStr">
        <is>
          <t>16.008.004</t>
        </is>
      </c>
      <c r="J2200" s="1779" t="inlineStr">
        <is>
          <t>Rodapés</t>
        </is>
      </c>
      <c r="K2200" s="1780" t="n"/>
      <c r="L2200" s="1781" t="n"/>
      <c r="M2200" s="1781" t="n"/>
      <c r="N2200" s="1746" t="n"/>
      <c r="O2200" s="1782" t="n"/>
      <c r="P2200" s="1720" t="n"/>
    </row>
    <row r="2201" hidden="1" outlineLevel="3" ht="13.5" customHeight="1">
      <c r="A2201" s="2117" t="n">
        <v>0</v>
      </c>
      <c r="B2201" s="2117" t="n">
        <v>16</v>
      </c>
      <c r="C2201" s="2117" t="n">
        <v>8</v>
      </c>
      <c r="D2201" s="2118" t="n">
        <v>4</v>
      </c>
      <c r="E2201" s="2118" t="n">
        <v>1</v>
      </c>
      <c r="G2201" s="1798" t="inlineStr">
        <is>
          <t>ACABAMENTOS EM PISOS E PAVIMENTAÇÕES</t>
        </is>
      </c>
      <c r="H2201" s="1783" t="inlineStr">
        <is>
          <t>SERVIÇO</t>
        </is>
      </c>
      <c r="I2201" s="1750" t="inlineStr">
        <is>
          <t>16.008.004.001</t>
        </is>
      </c>
      <c r="J2201" s="1785" t="inlineStr">
        <is>
          <t>Rodapé de Cerâmico h=15cm</t>
        </is>
      </c>
      <c r="K2201" s="1786" t="inlineStr">
        <is>
          <t>m</t>
        </is>
      </c>
      <c r="L2201" s="1787" t="e">
        <v>#REF!</v>
      </c>
      <c r="M2201" s="1787" t="n">
        <v>10.114275</v>
      </c>
      <c r="N2201" s="1754" t="n"/>
      <c r="O2201" s="1788" t="n"/>
      <c r="P2201" s="1721" t="inlineStr">
        <is>
          <t>Pendente</t>
        </is>
      </c>
    </row>
    <row r="2202" hidden="1" outlineLevel="3" ht="13.5" customHeight="1">
      <c r="A2202" s="2117" t="n">
        <v>0</v>
      </c>
      <c r="B2202" s="2117" t="n">
        <v>16</v>
      </c>
      <c r="C2202" s="2117" t="n">
        <v>8</v>
      </c>
      <c r="D2202" s="2118" t="n">
        <v>4</v>
      </c>
      <c r="E2202" s="2118" t="n">
        <v>2</v>
      </c>
      <c r="G2202" s="1798" t="inlineStr">
        <is>
          <t>ACABAMENTOS EM PISOS E PAVIMENTAÇÕES</t>
        </is>
      </c>
      <c r="H2202" s="1783" t="inlineStr">
        <is>
          <t>SERVIÇO</t>
        </is>
      </c>
      <c r="I2202" s="1750" t="inlineStr">
        <is>
          <t>16.008.004.002</t>
        </is>
      </c>
      <c r="J2202" s="1785" t="inlineStr">
        <is>
          <t>Rodapé de Poliestireno h=15cm</t>
        </is>
      </c>
      <c r="K2202" s="1786" t="inlineStr">
        <is>
          <t>m</t>
        </is>
      </c>
      <c r="L2202" s="1787" t="e">
        <v>#REF!</v>
      </c>
      <c r="M2202" s="1787" t="n">
        <v>43.82058333333333</v>
      </c>
      <c r="N2202" s="1754" t="n"/>
      <c r="O2202" s="1788" t="n"/>
      <c r="P2202" s="1721" t="inlineStr">
        <is>
          <t>Pendente</t>
        </is>
      </c>
    </row>
    <row r="2203" hidden="1" outlineLevel="3" ht="13.5" customHeight="1">
      <c r="A2203" s="2117" t="n">
        <v>0</v>
      </c>
      <c r="B2203" s="2117" t="n">
        <v>16</v>
      </c>
      <c r="C2203" s="2117" t="n">
        <v>8</v>
      </c>
      <c r="D2203" s="2118" t="n">
        <v>4</v>
      </c>
      <c r="E2203" s="2118" t="n">
        <v>3</v>
      </c>
      <c r="G2203" s="1798" t="inlineStr">
        <is>
          <t>ACABAMENTOS EM PISOS E PAVIMENTAÇÕES</t>
        </is>
      </c>
      <c r="H2203" s="1783" t="inlineStr">
        <is>
          <t>SERVIÇO</t>
        </is>
      </c>
      <c r="I2203" s="1750" t="inlineStr">
        <is>
          <t>16.008.004.003</t>
        </is>
      </c>
      <c r="J2203" s="1785" t="inlineStr">
        <is>
          <t>Rodapé de porcelanato h=15cm, Padrão Alto</t>
        </is>
      </c>
      <c r="K2203" s="1786" t="inlineStr">
        <is>
          <t>m</t>
        </is>
      </c>
      <c r="L2203" s="1787" t="e">
        <v>#REF!</v>
      </c>
      <c r="M2203" s="1787" t="n">
        <v>22.121325</v>
      </c>
      <c r="N2203" s="1754" t="n"/>
      <c r="O2203" s="1788" t="n"/>
      <c r="P2203" s="1721" t="inlineStr">
        <is>
          <t>Pendente</t>
        </is>
      </c>
    </row>
    <row r="2204" hidden="1" outlineLevel="2" ht="13.5" customHeight="1">
      <c r="A2204" s="2117" t="n">
        <v>0</v>
      </c>
      <c r="B2204" s="2117" t="n">
        <v>16</v>
      </c>
      <c r="C2204" s="2117" t="n">
        <v>8</v>
      </c>
      <c r="D2204" s="2118" t="n">
        <v>5</v>
      </c>
      <c r="E2204" s="2118" t="n">
        <v>0</v>
      </c>
      <c r="G2204" s="1797" t="n"/>
      <c r="H2204" s="1777" t="inlineStr">
        <is>
          <t>SUBETAPA</t>
        </is>
      </c>
      <c r="I2204" s="1742" t="inlineStr">
        <is>
          <t>16.008.005</t>
        </is>
      </c>
      <c r="J2204" s="1779" t="inlineStr">
        <is>
          <t>Mão de obra - Revestimentos</t>
        </is>
      </c>
      <c r="K2204" s="1780" t="n"/>
      <c r="L2204" s="1781" t="n"/>
      <c r="M2204" s="1781" t="n"/>
      <c r="N2204" s="1746" t="n"/>
      <c r="O2204" s="1782" t="n"/>
      <c r="P2204" s="1720" t="n"/>
    </row>
    <row r="2205" hidden="1" outlineLevel="3" ht="13.5" customHeight="1">
      <c r="A2205" s="2117" t="n">
        <v>0</v>
      </c>
      <c r="B2205" s="2117" t="n">
        <v>16</v>
      </c>
      <c r="C2205" s="2117" t="n">
        <v>8</v>
      </c>
      <c r="D2205" s="2118" t="n">
        <v>5</v>
      </c>
      <c r="E2205" s="2118" t="n">
        <v>1</v>
      </c>
      <c r="G2205" s="1798" t="inlineStr">
        <is>
          <t>REVESTIMENTOS ARGAMASSADOS PISO</t>
        </is>
      </c>
      <c r="H2205" s="1783" t="inlineStr">
        <is>
          <t>SERVIÇO</t>
        </is>
      </c>
      <c r="I2205" s="1750" t="inlineStr">
        <is>
          <t>16.008.005.001</t>
        </is>
      </c>
      <c r="J2205" s="1785" t="inlineStr">
        <is>
          <t>Mão de obra execução de contrapiso comum e Acústico</t>
        </is>
      </c>
      <c r="K2205" s="1786" t="inlineStr">
        <is>
          <t>m2</t>
        </is>
      </c>
      <c r="L2205" s="1787" t="e">
        <v>#REF!</v>
      </c>
      <c r="M2205" s="1787" t="n">
        <v>40</v>
      </c>
      <c r="N2205" s="1754" t="n"/>
      <c r="O2205" s="1788" t="n"/>
      <c r="P2205" s="1721" t="inlineStr">
        <is>
          <t>Pendente</t>
        </is>
      </c>
    </row>
    <row r="2206" hidden="1" outlineLevel="3" ht="13.5" customHeight="1">
      <c r="A2206" s="2117" t="n">
        <v>0</v>
      </c>
      <c r="B2206" s="2117" t="n">
        <v>16</v>
      </c>
      <c r="C2206" s="2117" t="n">
        <v>8</v>
      </c>
      <c r="D2206" s="2118" t="n">
        <v>5</v>
      </c>
      <c r="E2206" s="2118" t="n">
        <v>2</v>
      </c>
      <c r="G2206" s="1798" t="inlineStr">
        <is>
          <t>ACABAMENTOS EM PISOS E PAVIMENTAÇÕES</t>
        </is>
      </c>
      <c r="H2206" s="1783" t="inlineStr">
        <is>
          <t>SERVIÇO</t>
        </is>
      </c>
      <c r="I2206" s="1750" t="inlineStr">
        <is>
          <t>16.008.005.002</t>
        </is>
      </c>
      <c r="J2206" s="1785" t="inlineStr">
        <is>
          <t>Mão de Obra Piso Porcenato/ Cerâmico</t>
        </is>
      </c>
      <c r="K2206" s="1786" t="inlineStr">
        <is>
          <t>m2</t>
        </is>
      </c>
      <c r="L2206" s="1787" t="e">
        <v>#REF!</v>
      </c>
      <c r="M2206" s="1787" t="n">
        <v>75</v>
      </c>
      <c r="N2206" s="1754" t="n"/>
      <c r="O2206" s="1788" t="n"/>
      <c r="P2206" s="1721" t="inlineStr">
        <is>
          <t>Pendente</t>
        </is>
      </c>
    </row>
    <row r="2207" hidden="1" outlineLevel="3" ht="13.5" customHeight="1">
      <c r="A2207" s="2117" t="n">
        <v>0</v>
      </c>
      <c r="B2207" s="2117" t="n">
        <v>16</v>
      </c>
      <c r="C2207" s="2117" t="n">
        <v>8</v>
      </c>
      <c r="D2207" s="2118" t="n">
        <v>5</v>
      </c>
      <c r="E2207" s="2118" t="n">
        <v>3</v>
      </c>
      <c r="G2207" s="1798" t="inlineStr">
        <is>
          <t>ACABAMENTOS EM PISOS E PAVIMENTAÇÕES</t>
        </is>
      </c>
      <c r="H2207" s="1783" t="inlineStr">
        <is>
          <t>SERVIÇO</t>
        </is>
      </c>
      <c r="I2207" s="1750" t="inlineStr">
        <is>
          <t>16.008.005.003</t>
        </is>
      </c>
      <c r="J2207" s="1785" t="inlineStr">
        <is>
          <t>Mão de obra para assentamento de Ladrilhos</t>
        </is>
      </c>
      <c r="K2207" s="1786" t="inlineStr">
        <is>
          <t>m2</t>
        </is>
      </c>
      <c r="L2207" s="1787" t="e">
        <v>#REF!</v>
      </c>
      <c r="M2207" s="1787" t="n">
        <v>75</v>
      </c>
      <c r="N2207" s="1754" t="n"/>
      <c r="O2207" s="1788" t="n"/>
      <c r="P2207" s="1721" t="inlineStr">
        <is>
          <t>Pendente</t>
        </is>
      </c>
    </row>
    <row r="2208" hidden="1" outlineLevel="3" ht="13.5" customHeight="1">
      <c r="A2208" s="2117" t="n">
        <v>0</v>
      </c>
      <c r="B2208" s="2117" t="n">
        <v>16</v>
      </c>
      <c r="C2208" s="2117" t="n">
        <v>8</v>
      </c>
      <c r="D2208" s="2118" t="n">
        <v>5</v>
      </c>
      <c r="E2208" s="2118" t="n">
        <v>4</v>
      </c>
      <c r="G2208" s="1798" t="inlineStr">
        <is>
          <t>ACABAMENTOS EM PISOS E PAVIMENTAÇÕES</t>
        </is>
      </c>
      <c r="H2208" s="1783" t="inlineStr">
        <is>
          <t>SERVIÇO</t>
        </is>
      </c>
      <c r="I2208" s="1750" t="inlineStr">
        <is>
          <t>16.008.005.004</t>
        </is>
      </c>
      <c r="J2208" s="1785" t="inlineStr">
        <is>
          <t>Mão de obra de rodapé Poliestireno</t>
        </is>
      </c>
      <c r="K2208" s="1786" t="inlineStr">
        <is>
          <t>m</t>
        </is>
      </c>
      <c r="L2208" s="1787" t="e">
        <v>#REF!</v>
      </c>
      <c r="M2208" s="1787" t="n">
        <v>28</v>
      </c>
      <c r="N2208" s="1754" t="n"/>
      <c r="O2208" s="1788" t="n"/>
      <c r="P2208" s="1721" t="inlineStr">
        <is>
          <t>Pendente</t>
        </is>
      </c>
    </row>
    <row r="2209" hidden="1" outlineLevel="3" ht="13.5" customHeight="1">
      <c r="A2209" s="2117" t="n">
        <v>0</v>
      </c>
      <c r="B2209" s="2117" t="n">
        <v>16</v>
      </c>
      <c r="C2209" s="2117" t="n">
        <v>8</v>
      </c>
      <c r="D2209" s="2118" t="n">
        <v>5</v>
      </c>
      <c r="E2209" s="2118" t="n">
        <v>5</v>
      </c>
      <c r="G2209" s="1798" t="inlineStr">
        <is>
          <t>ACABAMENTOS EM PISOS E PAVIMENTAÇÕES</t>
        </is>
      </c>
      <c r="H2209" s="1783" t="inlineStr">
        <is>
          <t>SERVIÇO</t>
        </is>
      </c>
      <c r="I2209" s="1750" t="inlineStr">
        <is>
          <t>16.008.005.005</t>
        </is>
      </c>
      <c r="J2209" s="1785" t="inlineStr">
        <is>
          <t>Mão de obra de rodapé Porcelanato</t>
        </is>
      </c>
      <c r="K2209" s="1786" t="inlineStr">
        <is>
          <t>m</t>
        </is>
      </c>
      <c r="L2209" s="1787" t="e">
        <v>#REF!</v>
      </c>
      <c r="M2209" s="1787" t="n">
        <v>24</v>
      </c>
      <c r="N2209" s="1754" t="n"/>
      <c r="O2209" s="1788" t="n"/>
      <c r="P2209" s="1721" t="inlineStr">
        <is>
          <t>Pendente</t>
        </is>
      </c>
    </row>
    <row r="2210" hidden="1" outlineLevel="1" ht="13.5" customHeight="1">
      <c r="A2210" s="2117" t="n">
        <v>0</v>
      </c>
      <c r="B2210" s="2117" t="n">
        <v>16</v>
      </c>
      <c r="C2210" s="2117" t="n">
        <v>9</v>
      </c>
      <c r="D2210" s="2118" t="n">
        <v>0</v>
      </c>
      <c r="E2210" s="2118" t="n">
        <v>5</v>
      </c>
      <c r="G2210" s="1796" t="n"/>
      <c r="H2210" s="1771" t="inlineStr">
        <is>
          <t>ETAPA</t>
        </is>
      </c>
      <c r="I2210" s="1735" t="inlineStr">
        <is>
          <t>16.009</t>
        </is>
      </c>
      <c r="J2210" s="1773" t="inlineStr">
        <is>
          <t>PISOS E PAVIMENTAÇÕES - Tipo diferenciado</t>
        </is>
      </c>
      <c r="K2210" s="1774" t="n"/>
      <c r="L2210" s="1775" t="n"/>
      <c r="M2210" s="1775" t="n"/>
      <c r="N2210" s="1739" t="n"/>
      <c r="O2210" s="1776" t="n"/>
      <c r="P2210" s="1719" t="n"/>
    </row>
    <row r="2211" hidden="1" outlineLevel="2" ht="13.5" customHeight="1">
      <c r="A2211" s="2117" t="n">
        <v>0</v>
      </c>
      <c r="B2211" s="2117" t="n">
        <v>16</v>
      </c>
      <c r="C2211" s="2117" t="n">
        <v>9</v>
      </c>
      <c r="D2211" s="2118" t="n">
        <v>1</v>
      </c>
      <c r="E2211" s="2118" t="n">
        <v>0</v>
      </c>
      <c r="G2211" s="1797" t="n"/>
      <c r="H2211" s="1777" t="inlineStr">
        <is>
          <t>SUBETAPA</t>
        </is>
      </c>
      <c r="I2211" s="1742" t="inlineStr">
        <is>
          <t>16.009.001</t>
        </is>
      </c>
      <c r="J2211" s="1779" t="inlineStr">
        <is>
          <t>Contrapiso</t>
        </is>
      </c>
      <c r="K2211" s="1780" t="n"/>
      <c r="L2211" s="1781" t="n"/>
      <c r="M2211" s="1781" t="n"/>
      <c r="N2211" s="1746" t="n"/>
      <c r="O2211" s="1782" t="n"/>
      <c r="P2211" s="1720" t="n"/>
    </row>
    <row r="2212" hidden="1" outlineLevel="3" ht="13.5" customHeight="1">
      <c r="A2212" s="2117" t="n">
        <v>0</v>
      </c>
      <c r="B2212" s="2117" t="n">
        <v>16</v>
      </c>
      <c r="C2212" s="2117" t="n">
        <v>9</v>
      </c>
      <c r="D2212" s="2118" t="n">
        <v>1</v>
      </c>
      <c r="E2212" s="2118" t="n">
        <v>1</v>
      </c>
      <c r="G2212" s="1798" t="inlineStr">
        <is>
          <t>REVESTIMENTOS ARGAMASSADOS PISO</t>
        </is>
      </c>
      <c r="H2212" s="1783" t="inlineStr">
        <is>
          <t>SERVIÇO</t>
        </is>
      </c>
      <c r="I2212" s="1750" t="inlineStr">
        <is>
          <t>16.009.001.001</t>
        </is>
      </c>
      <c r="J2212" s="1785" t="inlineStr">
        <is>
          <t>Contrapiso comum em argamassa estabilizada, auto nivelado, espessura 5cm</t>
        </is>
      </c>
      <c r="K2212" s="1786" t="inlineStr">
        <is>
          <t>m2</t>
        </is>
      </c>
      <c r="L2212" s="1787" t="e">
        <v>#REF!</v>
      </c>
      <c r="M2212" s="1787" t="n">
        <v>44.58523333333333</v>
      </c>
      <c r="N2212" s="1754" t="n"/>
      <c r="O2212" s="1788" t="n"/>
      <c r="P2212" s="1721" t="inlineStr">
        <is>
          <t>Pendente</t>
        </is>
      </c>
    </row>
    <row r="2213" hidden="1" outlineLevel="2" ht="13.5" customHeight="1">
      <c r="A2213" s="2117" t="n">
        <v>0</v>
      </c>
      <c r="B2213" s="2117" t="n">
        <v>16</v>
      </c>
      <c r="C2213" s="2117" t="n">
        <v>9</v>
      </c>
      <c r="D2213" s="2118" t="n">
        <v>2</v>
      </c>
      <c r="E2213" s="2118" t="n">
        <v>0</v>
      </c>
      <c r="G2213" s="1797" t="n"/>
      <c r="H2213" s="1777" t="inlineStr">
        <is>
          <t>SUBETAPA</t>
        </is>
      </c>
      <c r="I2213" s="1742" t="inlineStr">
        <is>
          <t>16.009.002</t>
        </is>
      </c>
      <c r="J2213" s="1743" t="inlineStr">
        <is>
          <t>Isolamento térmico</t>
        </is>
      </c>
      <c r="K2213" s="1780" t="n"/>
      <c r="L2213" s="1781" t="n"/>
      <c r="M2213" s="1781" t="n"/>
      <c r="N2213" s="1746" t="n">
        <v>8786.22291555556</v>
      </c>
      <c r="O2213" s="1782" t="n"/>
      <c r="P2213" s="1720" t="n"/>
    </row>
    <row r="2214" hidden="1" outlineLevel="3" ht="13.5" customHeight="1">
      <c r="A2214" s="2117" t="n">
        <v>0</v>
      </c>
      <c r="B2214" s="2117" t="n">
        <v>16</v>
      </c>
      <c r="C2214" s="2117" t="n">
        <v>9</v>
      </c>
      <c r="D2214" s="2118" t="n">
        <v>2</v>
      </c>
      <c r="E2214" s="2118" t="n">
        <v>1</v>
      </c>
      <c r="G2214" s="1798" t="inlineStr">
        <is>
          <t>REVESTIMENTOS ARGAMASSADOS PISO</t>
        </is>
      </c>
      <c r="H2214" s="1783" t="inlineStr">
        <is>
          <t>SERVIÇO</t>
        </is>
      </c>
      <c r="I2214" s="1750" t="inlineStr">
        <is>
          <t>16.009.002.001</t>
        </is>
      </c>
      <c r="J2214" s="1785" t="inlineStr">
        <is>
          <t>Acústica para Contrapiso com malha de aço e manta polipropileno</t>
        </is>
      </c>
      <c r="K2214" s="1786" t="inlineStr">
        <is>
          <t>m2</t>
        </is>
      </c>
      <c r="L2214" s="1787" t="n">
        <v>176</v>
      </c>
      <c r="M2214" s="1787" t="n">
        <v>49.92172111111111</v>
      </c>
      <c r="N2214" s="1754" t="n">
        <v>8786.22291555556</v>
      </c>
      <c r="O2214" s="1788" t="inlineStr">
        <is>
          <t>Todos os ambientes dos aptos, exceto pelos BWCs, Sacada e A.T</t>
        </is>
      </c>
      <c r="P2214" s="1721" t="inlineStr">
        <is>
          <t>Pendente</t>
        </is>
      </c>
    </row>
    <row r="2215" hidden="1" outlineLevel="2" ht="13.5" customHeight="1">
      <c r="A2215" s="2117" t="n">
        <v>0</v>
      </c>
      <c r="B2215" s="2117" t="n">
        <v>16</v>
      </c>
      <c r="C2215" s="2117" t="n">
        <v>9</v>
      </c>
      <c r="D2215" s="2118" t="n">
        <v>3</v>
      </c>
      <c r="E2215" s="2118" t="n">
        <v>0</v>
      </c>
      <c r="G2215" s="1797" t="n"/>
      <c r="H2215" s="1777" t="inlineStr">
        <is>
          <t>SUBETAPA</t>
        </is>
      </c>
      <c r="I2215" s="1742" t="inlineStr">
        <is>
          <t>16.009.003</t>
        </is>
      </c>
      <c r="J2215" s="1779" t="inlineStr">
        <is>
          <t>Acabamentos cerâmicos em piso</t>
        </is>
      </c>
      <c r="K2215" s="1780" t="n"/>
      <c r="L2215" s="1781" t="n"/>
      <c r="M2215" s="1781" t="n"/>
      <c r="N2215" s="1746" t="n"/>
      <c r="O2215" s="1782" t="n"/>
      <c r="P2215" s="1720" t="n"/>
    </row>
    <row r="2216" hidden="1" outlineLevel="3" ht="13.5" customHeight="1">
      <c r="A2216" s="2117" t="n">
        <v>0</v>
      </c>
      <c r="B2216" s="2117" t="n">
        <v>16</v>
      </c>
      <c r="C2216" s="2117" t="n">
        <v>9</v>
      </c>
      <c r="D2216" s="2118" t="n">
        <v>3</v>
      </c>
      <c r="E2216" s="2118" t="n">
        <v>1</v>
      </c>
      <c r="G2216" s="1798" t="inlineStr">
        <is>
          <t>ACABAMENTOS EM PISOS E PAVIMENTAÇÕES</t>
        </is>
      </c>
      <c r="H2216" s="1783" t="inlineStr">
        <is>
          <t>SERVIÇO</t>
        </is>
      </c>
      <c r="I2216" s="1750" t="inlineStr">
        <is>
          <t>16.009.003.001</t>
        </is>
      </c>
      <c r="J2216" s="1785" t="inlineStr">
        <is>
          <t>Revestimento em Cerâmicas Pisos Internos, 45x 45cm com Junta de 3mm</t>
        </is>
      </c>
      <c r="K2216" s="1786" t="inlineStr">
        <is>
          <t>m2</t>
        </is>
      </c>
      <c r="L2216" s="1787" t="e">
        <v>#REF!</v>
      </c>
      <c r="M2216" s="1787" t="n">
        <v>58.073</v>
      </c>
      <c r="N2216" s="1754" t="n"/>
      <c r="O2216" s="1788" t="n"/>
      <c r="P2216" s="1721" t="inlineStr">
        <is>
          <t>Pendente</t>
        </is>
      </c>
    </row>
    <row r="2217" hidden="1" outlineLevel="3" ht="13.5" customHeight="1">
      <c r="A2217" s="2117" t="n">
        <v>0</v>
      </c>
      <c r="B2217" s="2117" t="n">
        <v>16</v>
      </c>
      <c r="C2217" s="2117" t="n">
        <v>9</v>
      </c>
      <c r="D2217" s="2118" t="n">
        <v>3</v>
      </c>
      <c r="E2217" s="2118" t="n">
        <v>2</v>
      </c>
      <c r="G2217" s="1798" t="inlineStr">
        <is>
          <t>ACABAMENTOS EM PISOS E PAVIMENTAÇÕES</t>
        </is>
      </c>
      <c r="H2217" s="1783" t="inlineStr">
        <is>
          <t>SERVIÇO</t>
        </is>
      </c>
      <c r="I2217" s="1750" t="inlineStr">
        <is>
          <t>16.009.003.002</t>
        </is>
      </c>
      <c r="J2217" s="1785" t="inlineStr">
        <is>
          <t>Revestimento de Piso, Porcelanato Portobello – Posto 10 90x90 Externo Retificado - Linha Ipanema - Padrão Alto</t>
        </is>
      </c>
      <c r="K2217" s="1786" t="inlineStr">
        <is>
          <t>m2</t>
        </is>
      </c>
      <c r="L2217" s="1787" t="e">
        <v>#REF!</v>
      </c>
      <c r="M2217" s="1787" t="n">
        <v>229.8276</v>
      </c>
      <c r="N2217" s="1754" t="n"/>
      <c r="O2217" s="1788" t="n"/>
      <c r="P2217" s="1721" t="inlineStr">
        <is>
          <t>Pendente</t>
        </is>
      </c>
    </row>
    <row r="2218" hidden="1" outlineLevel="3" ht="13.5" customHeight="1">
      <c r="A2218" s="2117" t="n">
        <v>0</v>
      </c>
      <c r="B2218" s="2117" t="n">
        <v>16</v>
      </c>
      <c r="C2218" s="2117" t="n">
        <v>9</v>
      </c>
      <c r="D2218" s="2118" t="n">
        <v>3</v>
      </c>
      <c r="E2218" s="2118" t="n">
        <v>3</v>
      </c>
      <c r="G2218" s="1798" t="inlineStr">
        <is>
          <t>ACABAMENTOS EM PISOS E PAVIMENTAÇÕES</t>
        </is>
      </c>
      <c r="H2218" s="1783" t="inlineStr">
        <is>
          <t>SERVIÇO</t>
        </is>
      </c>
      <c r="I2218" s="1750" t="inlineStr">
        <is>
          <t>16.009.003.003</t>
        </is>
      </c>
      <c r="J2218" s="1785" t="inlineStr">
        <is>
          <t>Revestimento de Piso, Porcelanato Portobello –  90x90 - Padrão Alto</t>
        </is>
      </c>
      <c r="K2218" s="1786" t="inlineStr">
        <is>
          <t>m2</t>
        </is>
      </c>
      <c r="L2218" s="1787" t="e">
        <v>#REF!</v>
      </c>
      <c r="M2218" s="1787" t="n">
        <v>141.8276</v>
      </c>
      <c r="N2218" s="1754" t="n"/>
      <c r="O2218" s="1788" t="n"/>
      <c r="P2218" s="1721" t="inlineStr">
        <is>
          <t>Pendente</t>
        </is>
      </c>
    </row>
    <row r="2219" hidden="1" outlineLevel="2" ht="13.5" customHeight="1">
      <c r="A2219" s="2117" t="n">
        <v>0</v>
      </c>
      <c r="B2219" s="2117" t="n">
        <v>16</v>
      </c>
      <c r="C2219" s="2117" t="n">
        <v>9</v>
      </c>
      <c r="D2219" s="2118" t="n">
        <v>4</v>
      </c>
      <c r="E2219" s="2118" t="n">
        <v>0</v>
      </c>
      <c r="G2219" s="1797" t="n"/>
      <c r="H2219" s="1777" t="inlineStr">
        <is>
          <t>SUBETAPA</t>
        </is>
      </c>
      <c r="I2219" s="1742" t="inlineStr">
        <is>
          <t>16.009.004</t>
        </is>
      </c>
      <c r="J2219" s="1779" t="inlineStr">
        <is>
          <t>Acabamentos especiais</t>
        </is>
      </c>
      <c r="K2219" s="1780" t="n"/>
      <c r="L2219" s="1781" t="n"/>
      <c r="M2219" s="1781" t="n"/>
      <c r="N2219" s="1746" t="n"/>
      <c r="O2219" s="1782" t="n"/>
      <c r="P2219" s="1720" t="n"/>
    </row>
    <row r="2220" hidden="1" outlineLevel="3" ht="13.5" customHeight="1">
      <c r="A2220" s="2117" t="n">
        <v>0</v>
      </c>
      <c r="B2220" s="2117" t="n">
        <v>16</v>
      </c>
      <c r="C2220" s="2117" t="n">
        <v>9</v>
      </c>
      <c r="D2220" s="2118" t="n">
        <v>4</v>
      </c>
      <c r="E2220" s="2118" t="n">
        <v>1</v>
      </c>
      <c r="G2220" s="1798" t="inlineStr">
        <is>
          <t>ACABAMENTOS EM PISOS E PAVIMENTAÇÕES</t>
        </is>
      </c>
      <c r="H2220" s="1783" t="inlineStr">
        <is>
          <t>SERVIÇO</t>
        </is>
      </c>
      <c r="I2220" s="1750" t="inlineStr">
        <is>
          <t>16.009.004.001</t>
        </is>
      </c>
      <c r="J2220" s="1785" t="inlineStr">
        <is>
          <t xml:space="preserve">Piso de madeira natural - Cumaru engenheirado - material e mão de obra </t>
        </is>
      </c>
      <c r="K2220" s="1786" t="inlineStr">
        <is>
          <t>m2</t>
        </is>
      </c>
      <c r="L2220" s="1787" t="e">
        <v>#REF!</v>
      </c>
      <c r="M2220" s="1787" t="n">
        <v>825.0000000000001</v>
      </c>
      <c r="N2220" s="1754" t="n"/>
      <c r="O2220" s="1788" t="inlineStr">
        <is>
          <t>Circulações e dormitórios</t>
        </is>
      </c>
      <c r="P2220" s="1721" t="inlineStr">
        <is>
          <t>Pendente</t>
        </is>
      </c>
    </row>
    <row r="2221" hidden="1" outlineLevel="2" ht="13.5" customHeight="1">
      <c r="A2221" s="2117" t="n">
        <v>0</v>
      </c>
      <c r="B2221" s="2117" t="n">
        <v>16</v>
      </c>
      <c r="C2221" s="2117" t="n">
        <v>9</v>
      </c>
      <c r="D2221" s="2118" t="n">
        <v>5</v>
      </c>
      <c r="E2221" s="2118" t="n">
        <v>0</v>
      </c>
      <c r="G2221" s="1797" t="n"/>
      <c r="H2221" s="1777" t="inlineStr">
        <is>
          <t>SUBETAPA</t>
        </is>
      </c>
      <c r="I2221" s="1742" t="inlineStr">
        <is>
          <t>16.009.005</t>
        </is>
      </c>
      <c r="J2221" s="1779" t="inlineStr">
        <is>
          <t>Rodapés</t>
        </is>
      </c>
      <c r="K2221" s="1780" t="n"/>
      <c r="L2221" s="1781" t="n"/>
      <c r="M2221" s="1781" t="n"/>
      <c r="N2221" s="1746" t="n"/>
      <c r="O2221" s="1782" t="n"/>
      <c r="P2221" s="1720" t="n"/>
    </row>
    <row r="2222" hidden="1" outlineLevel="3" ht="13.5" customHeight="1">
      <c r="A2222" s="2117" t="n">
        <v>0</v>
      </c>
      <c r="B2222" s="2117" t="n">
        <v>16</v>
      </c>
      <c r="C2222" s="2117" t="n">
        <v>9</v>
      </c>
      <c r="D2222" s="2118" t="n">
        <v>5</v>
      </c>
      <c r="E2222" s="2118" t="n">
        <v>1</v>
      </c>
      <c r="G2222" s="1798" t="inlineStr">
        <is>
          <t>ACABAMENTOS EM PISOS E PAVIMENTAÇÕES</t>
        </is>
      </c>
      <c r="H2222" s="1783" t="inlineStr">
        <is>
          <t>SERVIÇO</t>
        </is>
      </c>
      <c r="I2222" s="1750" t="inlineStr">
        <is>
          <t>16.009.005.001</t>
        </is>
      </c>
      <c r="J2222" s="1785" t="inlineStr">
        <is>
          <t>Rodapé de Cerâmico h=15cm</t>
        </is>
      </c>
      <c r="K2222" s="1786" t="inlineStr">
        <is>
          <t>m</t>
        </is>
      </c>
      <c r="L2222" s="1787" t="e">
        <v>#REF!</v>
      </c>
      <c r="M2222" s="1787" t="n">
        <v>10.114275</v>
      </c>
      <c r="N2222" s="1754" t="n"/>
      <c r="O2222" s="1788" t="n"/>
      <c r="P2222" s="1721" t="inlineStr">
        <is>
          <t>Pendente</t>
        </is>
      </c>
    </row>
    <row r="2223" hidden="1" outlineLevel="3" ht="13.5" customHeight="1">
      <c r="A2223" s="2117" t="n">
        <v>0</v>
      </c>
      <c r="B2223" s="2117" t="n">
        <v>16</v>
      </c>
      <c r="C2223" s="2117" t="n">
        <v>9</v>
      </c>
      <c r="D2223" s="2118" t="n">
        <v>5</v>
      </c>
      <c r="E2223" s="2118" t="n">
        <v>2</v>
      </c>
      <c r="G2223" s="1798" t="inlineStr">
        <is>
          <t>ACABAMENTOS EM PISOS E PAVIMENTAÇÕES</t>
        </is>
      </c>
      <c r="H2223" s="1783" t="inlineStr">
        <is>
          <t>SERVIÇO</t>
        </is>
      </c>
      <c r="I2223" s="1750" t="inlineStr">
        <is>
          <t>16.009.005.002</t>
        </is>
      </c>
      <c r="J2223" s="1785" t="inlineStr">
        <is>
          <t>Rodapé de Poliestireno h=15cm</t>
        </is>
      </c>
      <c r="K2223" s="1786" t="inlineStr">
        <is>
          <t>m</t>
        </is>
      </c>
      <c r="L2223" s="1787" t="e">
        <v>#REF!</v>
      </c>
      <c r="M2223" s="1787" t="n">
        <v>43.82058333333333</v>
      </c>
      <c r="N2223" s="1754" t="n"/>
      <c r="O2223" s="1788" t="n"/>
      <c r="P2223" s="1721" t="inlineStr">
        <is>
          <t>Pendente</t>
        </is>
      </c>
    </row>
    <row r="2224" hidden="1" outlineLevel="3" ht="13.5" customHeight="1">
      <c r="A2224" s="2117" t="n">
        <v>0</v>
      </c>
      <c r="B2224" s="2117" t="n">
        <v>16</v>
      </c>
      <c r="C2224" s="2117" t="n">
        <v>9</v>
      </c>
      <c r="D2224" s="2118" t="n">
        <v>5</v>
      </c>
      <c r="E2224" s="2118" t="n">
        <v>3</v>
      </c>
      <c r="G2224" s="1798" t="inlineStr">
        <is>
          <t>ACABAMENTOS EM PISOS E PAVIMENTAÇÕES</t>
        </is>
      </c>
      <c r="H2224" s="1783" t="inlineStr">
        <is>
          <t>SERVIÇO</t>
        </is>
      </c>
      <c r="I2224" s="1750" t="inlineStr">
        <is>
          <t>16.009.005.003</t>
        </is>
      </c>
      <c r="J2224" s="1785" t="inlineStr">
        <is>
          <t>Rodapé de porcelanato h=15cm, Padrão Alto</t>
        </is>
      </c>
      <c r="K2224" s="1786" t="inlineStr">
        <is>
          <t>m</t>
        </is>
      </c>
      <c r="L2224" s="1787" t="e">
        <v>#REF!</v>
      </c>
      <c r="M2224" s="1787" t="n">
        <v>22.121325</v>
      </c>
      <c r="N2224" s="1754" t="n"/>
      <c r="O2224" s="1788" t="n"/>
      <c r="P2224" s="1721" t="inlineStr">
        <is>
          <t>Pendente</t>
        </is>
      </c>
    </row>
    <row r="2225" hidden="1" outlineLevel="2" ht="13.5" customHeight="1">
      <c r="A2225" s="2117" t="n">
        <v>0</v>
      </c>
      <c r="B2225" s="2117" t="n">
        <v>16</v>
      </c>
      <c r="C2225" s="2117" t="n">
        <v>9</v>
      </c>
      <c r="D2225" s="2118" t="n">
        <v>6</v>
      </c>
      <c r="E2225" s="2118" t="n">
        <v>0</v>
      </c>
      <c r="G2225" s="1797" t="n"/>
      <c r="H2225" s="1777" t="inlineStr">
        <is>
          <t>SUBETAPA</t>
        </is>
      </c>
      <c r="I2225" s="1742" t="inlineStr">
        <is>
          <t>16.009.006</t>
        </is>
      </c>
      <c r="J2225" s="1779" t="inlineStr">
        <is>
          <t>Mão de obra - Revestimentos</t>
        </is>
      </c>
      <c r="K2225" s="1780" t="n"/>
      <c r="L2225" s="1781" t="n"/>
      <c r="M2225" s="1781" t="n"/>
      <c r="N2225" s="1746" t="n"/>
      <c r="O2225" s="1782" t="n"/>
      <c r="P2225" s="1720" t="n"/>
    </row>
    <row r="2226" hidden="1" outlineLevel="3" ht="13.5" customHeight="1">
      <c r="A2226" s="2117" t="n">
        <v>0</v>
      </c>
      <c r="B2226" s="2117" t="n">
        <v>16</v>
      </c>
      <c r="C2226" s="2117" t="n">
        <v>9</v>
      </c>
      <c r="D2226" s="2118" t="n">
        <v>6</v>
      </c>
      <c r="E2226" s="2118" t="n">
        <v>1</v>
      </c>
      <c r="G2226" s="1798" t="inlineStr">
        <is>
          <t>REVESTIMENTOS ARGAMASSADOS PISO</t>
        </is>
      </c>
      <c r="H2226" s="1783" t="inlineStr">
        <is>
          <t>SERVIÇO</t>
        </is>
      </c>
      <c r="I2226" s="1750" t="inlineStr">
        <is>
          <t>16.009.006.001</t>
        </is>
      </c>
      <c r="J2226" s="1785" t="inlineStr">
        <is>
          <t>Mão de obra execução de contrapiso comum e Acústico</t>
        </is>
      </c>
      <c r="K2226" s="1786" t="inlineStr">
        <is>
          <t>m2</t>
        </is>
      </c>
      <c r="L2226" s="1787" t="e">
        <v>#REF!</v>
      </c>
      <c r="M2226" s="1787" t="n">
        <v>40</v>
      </c>
      <c r="N2226" s="1754" t="n"/>
      <c r="O2226" s="1788" t="n"/>
      <c r="P2226" s="1721" t="inlineStr">
        <is>
          <t>Pendente</t>
        </is>
      </c>
    </row>
    <row r="2227" hidden="1" outlineLevel="3" ht="13.5" customHeight="1">
      <c r="A2227" s="2117" t="n">
        <v>0</v>
      </c>
      <c r="B2227" s="2117" t="n">
        <v>16</v>
      </c>
      <c r="C2227" s="2117" t="n">
        <v>9</v>
      </c>
      <c r="D2227" s="2118" t="n">
        <v>6</v>
      </c>
      <c r="E2227" s="2118" t="n">
        <v>2</v>
      </c>
      <c r="G2227" s="1798" t="inlineStr">
        <is>
          <t>ACABAMENTOS EM PISOS E PAVIMENTAÇÕES</t>
        </is>
      </c>
      <c r="H2227" s="1783" t="inlineStr">
        <is>
          <t>SERVIÇO</t>
        </is>
      </c>
      <c r="I2227" s="1750" t="inlineStr">
        <is>
          <t>16.009.006.002</t>
        </is>
      </c>
      <c r="J2227" s="1785" t="inlineStr">
        <is>
          <t>Mão de Obra Piso Porcenato/ Cerâmico</t>
        </is>
      </c>
      <c r="K2227" s="1786" t="inlineStr">
        <is>
          <t>m2</t>
        </is>
      </c>
      <c r="L2227" s="1787" t="e">
        <v>#REF!</v>
      </c>
      <c r="M2227" s="1787" t="n">
        <v>75</v>
      </c>
      <c r="N2227" s="1754" t="n"/>
      <c r="O2227" s="1788" t="n"/>
      <c r="P2227" s="1721" t="inlineStr">
        <is>
          <t>Pendente</t>
        </is>
      </c>
    </row>
    <row r="2228" hidden="1" outlineLevel="3" ht="13.5" customHeight="1">
      <c r="A2228" s="2117" t="n">
        <v>0</v>
      </c>
      <c r="B2228" s="2117" t="n">
        <v>16</v>
      </c>
      <c r="C2228" s="2117" t="n">
        <v>9</v>
      </c>
      <c r="D2228" s="2118" t="n">
        <v>6</v>
      </c>
      <c r="E2228" s="2118" t="n">
        <v>3</v>
      </c>
      <c r="G2228" s="1798" t="inlineStr">
        <is>
          <t>ACABAMENTOS EM PISOS E PAVIMENTAÇÕES</t>
        </is>
      </c>
      <c r="H2228" s="1783" t="inlineStr">
        <is>
          <t>SERVIÇO</t>
        </is>
      </c>
      <c r="I2228" s="1750" t="inlineStr">
        <is>
          <t>16.009.006.003</t>
        </is>
      </c>
      <c r="J2228" s="1785" t="inlineStr">
        <is>
          <t>Mão de obra de rodapé Poliestireno</t>
        </is>
      </c>
      <c r="K2228" s="1786" t="inlineStr">
        <is>
          <t>m</t>
        </is>
      </c>
      <c r="L2228" s="1787" t="e">
        <v>#REF!</v>
      </c>
      <c r="M2228" s="1787" t="n">
        <v>28</v>
      </c>
      <c r="N2228" s="1754" t="n"/>
      <c r="O2228" s="1788" t="n"/>
      <c r="P2228" s="1721" t="inlineStr">
        <is>
          <t>Pendente</t>
        </is>
      </c>
    </row>
    <row r="2229" hidden="1" outlineLevel="3" ht="13.5" customHeight="1">
      <c r="A2229" s="2117" t="n">
        <v>0</v>
      </c>
      <c r="B2229" s="2117" t="n">
        <v>16</v>
      </c>
      <c r="C2229" s="2117" t="n">
        <v>9</v>
      </c>
      <c r="D2229" s="2118" t="n">
        <v>6</v>
      </c>
      <c r="E2229" s="2118" t="n">
        <v>4</v>
      </c>
      <c r="G2229" s="1798" t="inlineStr">
        <is>
          <t>ACABAMENTOS EM PISOS E PAVIMENTAÇÕES</t>
        </is>
      </c>
      <c r="H2229" s="1783" t="inlineStr">
        <is>
          <t>SERVIÇO</t>
        </is>
      </c>
      <c r="I2229" s="1750" t="inlineStr">
        <is>
          <t>16.009.006.004</t>
        </is>
      </c>
      <c r="J2229" s="1785" t="inlineStr">
        <is>
          <t>Mão de obra de rodapé Porcelanato</t>
        </is>
      </c>
      <c r="K2229" s="1786" t="inlineStr">
        <is>
          <t>m</t>
        </is>
      </c>
      <c r="L2229" s="1787" t="e">
        <v>#REF!</v>
      </c>
      <c r="M2229" s="1787" t="n">
        <v>24</v>
      </c>
      <c r="N2229" s="1754" t="n"/>
      <c r="O2229" s="1788" t="n"/>
      <c r="P2229" s="1721" t="inlineStr">
        <is>
          <t>Pendente</t>
        </is>
      </c>
    </row>
    <row r="2230" hidden="1" outlineLevel="1" ht="13.5" customHeight="1">
      <c r="A2230" s="2117" t="n">
        <v>0</v>
      </c>
      <c r="B2230" s="2117" t="n">
        <v>16</v>
      </c>
      <c r="C2230" s="2117" t="n">
        <v>10</v>
      </c>
      <c r="D2230" s="2118" t="n">
        <v>0</v>
      </c>
      <c r="E2230" s="2118" t="n">
        <v>4</v>
      </c>
      <c r="G2230" s="1796" t="n"/>
      <c r="H2230" s="1771" t="inlineStr">
        <is>
          <t>ETAPA</t>
        </is>
      </c>
      <c r="I2230" s="1735" t="inlineStr">
        <is>
          <t>16.010</t>
        </is>
      </c>
      <c r="J2230" s="1773" t="inlineStr">
        <is>
          <t>PISOS E PAVIMENTAÇÕES - Tipo x8</t>
        </is>
      </c>
      <c r="K2230" s="1774" t="n"/>
      <c r="L2230" s="1775" t="n"/>
      <c r="M2230" s="1775" t="n"/>
      <c r="N2230" s="1739" t="n"/>
      <c r="O2230" s="1776" t="n"/>
      <c r="P2230" s="1719" t="n"/>
    </row>
    <row r="2231" hidden="1" outlineLevel="2" ht="13.5" customHeight="1">
      <c r="A2231" s="2117" t="n">
        <v>0</v>
      </c>
      <c r="B2231" s="2117" t="n">
        <v>16</v>
      </c>
      <c r="C2231" s="2117" t="n">
        <v>10</v>
      </c>
      <c r="D2231" s="2118" t="n">
        <v>1</v>
      </c>
      <c r="E2231" s="2118" t="n">
        <v>0</v>
      </c>
      <c r="G2231" s="1797" t="n"/>
      <c r="H2231" s="1777" t="inlineStr">
        <is>
          <t>SUBETAPA</t>
        </is>
      </c>
      <c r="I2231" s="1742" t="inlineStr">
        <is>
          <t>16.010.001</t>
        </is>
      </c>
      <c r="J2231" s="1779" t="inlineStr">
        <is>
          <t>Contrapiso</t>
        </is>
      </c>
      <c r="K2231" s="1780" t="n"/>
      <c r="L2231" s="1781" t="n"/>
      <c r="M2231" s="1781" t="n"/>
      <c r="N2231" s="1746" t="n"/>
      <c r="O2231" s="1782" t="n"/>
      <c r="P2231" s="1720" t="n"/>
    </row>
    <row r="2232" hidden="1" outlineLevel="3" ht="13.5" customHeight="1">
      <c r="A2232" s="2117" t="n">
        <v>0</v>
      </c>
      <c r="B2232" s="2117" t="n">
        <v>16</v>
      </c>
      <c r="C2232" s="2117" t="n">
        <v>10</v>
      </c>
      <c r="D2232" s="2118" t="n">
        <v>1</v>
      </c>
      <c r="E2232" s="2118" t="n">
        <v>1</v>
      </c>
      <c r="G2232" s="1798" t="inlineStr">
        <is>
          <t>REVESTIMENTOS ARGAMASSADOS PISO</t>
        </is>
      </c>
      <c r="H2232" s="1783" t="inlineStr">
        <is>
          <t>SERVIÇO</t>
        </is>
      </c>
      <c r="I2232" s="1750" t="inlineStr">
        <is>
          <t>16.010.001.001</t>
        </is>
      </c>
      <c r="J2232" s="1785" t="inlineStr">
        <is>
          <t>Contrapiso comum em argamassa estabilizada, auto nivelado, espessura 5cm</t>
        </is>
      </c>
      <c r="K2232" s="1786" t="inlineStr">
        <is>
          <t>m2</t>
        </is>
      </c>
      <c r="L2232" s="1787" t="e">
        <v>#REF!</v>
      </c>
      <c r="M2232" s="1787" t="n">
        <v>44.58523333333333</v>
      </c>
      <c r="N2232" s="1754" t="n"/>
      <c r="O2232" s="1788" t="n"/>
      <c r="P2232" s="1721" t="inlineStr">
        <is>
          <t>Pendente</t>
        </is>
      </c>
    </row>
    <row r="2233" hidden="1" outlineLevel="2" ht="13.5" customHeight="1">
      <c r="A2233" s="2117" t="n">
        <v>0</v>
      </c>
      <c r="B2233" s="2117" t="n">
        <v>16</v>
      </c>
      <c r="C2233" s="2117" t="n">
        <v>10</v>
      </c>
      <c r="D2233" s="2118" t="n">
        <v>2</v>
      </c>
      <c r="E2233" s="2118" t="n">
        <v>0</v>
      </c>
      <c r="G2233" s="1797" t="n"/>
      <c r="H2233" s="1777" t="inlineStr">
        <is>
          <t>SUBETAPA</t>
        </is>
      </c>
      <c r="I2233" s="1742" t="inlineStr">
        <is>
          <t>16.010.002</t>
        </is>
      </c>
      <c r="J2233" s="1743" t="inlineStr">
        <is>
          <t>Isolamento térmico</t>
        </is>
      </c>
      <c r="K2233" s="1780" t="n"/>
      <c r="L2233" s="1781" t="n"/>
      <c r="M2233" s="1781" t="n"/>
      <c r="N2233" s="1746" t="n">
        <v>70289.7833244444</v>
      </c>
      <c r="O2233" s="1782" t="n"/>
      <c r="P2233" s="1720" t="n"/>
    </row>
    <row r="2234" hidden="1" outlineLevel="3" ht="13.5" customHeight="1">
      <c r="A2234" s="2117" t="n">
        <v>0</v>
      </c>
      <c r="B2234" s="2117" t="n">
        <v>16</v>
      </c>
      <c r="C2234" s="2117" t="n">
        <v>10</v>
      </c>
      <c r="D2234" s="2118" t="n">
        <v>2</v>
      </c>
      <c r="E2234" s="2118" t="n">
        <v>1</v>
      </c>
      <c r="G2234" s="1798" t="inlineStr">
        <is>
          <t>REVESTIMENTOS ARGAMASSADOS PISO</t>
        </is>
      </c>
      <c r="H2234" s="1783" t="inlineStr">
        <is>
          <t>SERVIÇO</t>
        </is>
      </c>
      <c r="I2234" s="1750" t="inlineStr">
        <is>
          <t>16.010.002.001</t>
        </is>
      </c>
      <c r="J2234" s="1785" t="inlineStr">
        <is>
          <t>Acústica para Contrapiso com malha de aço e manta polipropileno</t>
        </is>
      </c>
      <c r="K2234" s="1786" t="inlineStr">
        <is>
          <t>m2</t>
        </is>
      </c>
      <c r="L2234" s="1787" t="n">
        <v>1408</v>
      </c>
      <c r="M2234" s="1787" t="n">
        <v>49.92172111111111</v>
      </c>
      <c r="N2234" s="1754" t="n">
        <v>70289.7833244444</v>
      </c>
      <c r="O2234" s="1788" t="inlineStr">
        <is>
          <t>Todos os ambientes dos aptos, exceto pelos BWCs, Sacada e A.T</t>
        </is>
      </c>
      <c r="P2234" s="1721" t="inlineStr">
        <is>
          <t>Pendente</t>
        </is>
      </c>
    </row>
    <row r="2235" hidden="1" outlineLevel="2" ht="13.5" customHeight="1">
      <c r="A2235" s="2117" t="n">
        <v>0</v>
      </c>
      <c r="B2235" s="2117" t="n">
        <v>16</v>
      </c>
      <c r="C2235" s="2117" t="n">
        <v>10</v>
      </c>
      <c r="D2235" s="2118" t="n">
        <v>3</v>
      </c>
      <c r="E2235" s="2118" t="n">
        <v>0</v>
      </c>
      <c r="G2235" s="1797" t="n"/>
      <c r="H2235" s="1777" t="inlineStr">
        <is>
          <t>SUBETAPA</t>
        </is>
      </c>
      <c r="I2235" s="1742" t="inlineStr">
        <is>
          <t>16.010.003</t>
        </is>
      </c>
      <c r="J2235" s="1779" t="inlineStr">
        <is>
          <t>Acabamentos cerâmicos em piso</t>
        </is>
      </c>
      <c r="K2235" s="1780" t="n"/>
      <c r="L2235" s="1781" t="n"/>
      <c r="M2235" s="1781" t="n"/>
      <c r="N2235" s="1746" t="n"/>
      <c r="O2235" s="1782" t="n"/>
      <c r="P2235" s="1720" t="n"/>
    </row>
    <row r="2236" hidden="1" outlineLevel="3" ht="13.5" customHeight="1">
      <c r="A2236" s="2117" t="n">
        <v>0</v>
      </c>
      <c r="B2236" s="2117" t="n">
        <v>16</v>
      </c>
      <c r="C2236" s="2117" t="n">
        <v>10</v>
      </c>
      <c r="D2236" s="2118" t="n">
        <v>3</v>
      </c>
      <c r="E2236" s="2118" t="n">
        <v>1</v>
      </c>
      <c r="G2236" s="1798" t="inlineStr">
        <is>
          <t>ACABAMENTOS EM PISOS E PAVIMENTAÇÕES</t>
        </is>
      </c>
      <c r="H2236" s="1783" t="inlineStr">
        <is>
          <t>SERVIÇO</t>
        </is>
      </c>
      <c r="I2236" s="1750" t="inlineStr">
        <is>
          <t>16.010.003.001</t>
        </is>
      </c>
      <c r="J2236" s="1785" t="inlineStr">
        <is>
          <t>Revestimento em Cerâmicas Pisos Internos, 45x 45cm com Junta de 3mm</t>
        </is>
      </c>
      <c r="K2236" s="1786" t="inlineStr">
        <is>
          <t>m2</t>
        </is>
      </c>
      <c r="L2236" s="1787" t="e">
        <v>#REF!</v>
      </c>
      <c r="M2236" s="1787" t="n">
        <v>58.073</v>
      </c>
      <c r="N2236" s="1754" t="n"/>
      <c r="O2236" s="1788" t="n"/>
      <c r="P2236" s="1721" t="inlineStr">
        <is>
          <t>Pendente</t>
        </is>
      </c>
    </row>
    <row r="2237" hidden="1" outlineLevel="3" ht="13.5" customHeight="1">
      <c r="A2237" s="2117" t="n">
        <v>0</v>
      </c>
      <c r="B2237" s="2117" t="n">
        <v>16</v>
      </c>
      <c r="C2237" s="2117" t="n">
        <v>10</v>
      </c>
      <c r="D2237" s="2118" t="n">
        <v>3</v>
      </c>
      <c r="E2237" s="2118" t="n">
        <v>2</v>
      </c>
      <c r="G2237" s="1798" t="inlineStr">
        <is>
          <t>ACABAMENTOS EM PISOS E PAVIMENTAÇÕES</t>
        </is>
      </c>
      <c r="H2237" s="1783" t="inlineStr">
        <is>
          <t>SERVIÇO</t>
        </is>
      </c>
      <c r="I2237" s="1750" t="inlineStr">
        <is>
          <t>16.010.003.002</t>
        </is>
      </c>
      <c r="J2237" s="1785" t="inlineStr">
        <is>
          <t>Revestimento de Piso, Porcelanato Portobello – Posto 10 90x90 Externo Retificado - Linha Ipanema - Padrão Alto</t>
        </is>
      </c>
      <c r="K2237" s="1786" t="inlineStr">
        <is>
          <t>m2</t>
        </is>
      </c>
      <c r="L2237" s="1787" t="e">
        <v>#REF!</v>
      </c>
      <c r="M2237" s="1787" t="n">
        <v>229.8276</v>
      </c>
      <c r="N2237" s="1754" t="n"/>
      <c r="O2237" s="1788" t="n"/>
      <c r="P2237" s="1721" t="inlineStr">
        <is>
          <t>Pendente</t>
        </is>
      </c>
    </row>
    <row r="2238" hidden="1" outlineLevel="3" ht="13.5" customHeight="1">
      <c r="A2238" s="2117" t="n">
        <v>0</v>
      </c>
      <c r="B2238" s="2117" t="n">
        <v>16</v>
      </c>
      <c r="C2238" s="2117" t="n">
        <v>10</v>
      </c>
      <c r="D2238" s="2118" t="n">
        <v>3</v>
      </c>
      <c r="E2238" s="2118" t="n">
        <v>3</v>
      </c>
      <c r="G2238" s="1798" t="inlineStr">
        <is>
          <t>ACABAMENTOS EM PISOS E PAVIMENTAÇÕES</t>
        </is>
      </c>
      <c r="H2238" s="1783" t="inlineStr">
        <is>
          <t>SERVIÇO</t>
        </is>
      </c>
      <c r="I2238" s="1750" t="inlineStr">
        <is>
          <t>16.010.003.003</t>
        </is>
      </c>
      <c r="J2238" s="1785" t="inlineStr">
        <is>
          <t>Revestimento de Piso, Porcelanato Portobello –  90x90 - Padrão Alto</t>
        </is>
      </c>
      <c r="K2238" s="1786" t="inlineStr">
        <is>
          <t>m2</t>
        </is>
      </c>
      <c r="L2238" s="1787" t="e">
        <v>#REF!</v>
      </c>
      <c r="M2238" s="1787" t="n">
        <v>141.8276</v>
      </c>
      <c r="N2238" s="1754" t="n"/>
      <c r="O2238" s="1788" t="n"/>
      <c r="P2238" s="1721" t="inlineStr">
        <is>
          <t>Pendente</t>
        </is>
      </c>
    </row>
    <row r="2239" hidden="1" outlineLevel="2" ht="13.5" customHeight="1">
      <c r="A2239" s="2117" t="n">
        <v>0</v>
      </c>
      <c r="B2239" s="2117" t="n">
        <v>16</v>
      </c>
      <c r="C2239" s="2117" t="n">
        <v>10</v>
      </c>
      <c r="D2239" s="2118" t="n">
        <v>4</v>
      </c>
      <c r="E2239" s="2118" t="n">
        <v>0</v>
      </c>
      <c r="G2239" s="1797" t="n"/>
      <c r="H2239" s="1777" t="inlineStr">
        <is>
          <t>SUBETAPA</t>
        </is>
      </c>
      <c r="I2239" s="1742" t="inlineStr">
        <is>
          <t>16.010.004</t>
        </is>
      </c>
      <c r="J2239" s="1779" t="inlineStr">
        <is>
          <t>Acabamentos especiais</t>
        </is>
      </c>
      <c r="K2239" s="1780" t="n"/>
      <c r="L2239" s="1781" t="n"/>
      <c r="M2239" s="1781" t="n"/>
      <c r="N2239" s="1746" t="n"/>
      <c r="O2239" s="1782" t="n"/>
      <c r="P2239" s="1720" t="n"/>
    </row>
    <row r="2240" hidden="1" outlineLevel="3" ht="13.5" customHeight="1">
      <c r="A2240" s="2117" t="n">
        <v>0</v>
      </c>
      <c r="B2240" s="2117" t="n">
        <v>16</v>
      </c>
      <c r="C2240" s="2117" t="n">
        <v>10</v>
      </c>
      <c r="D2240" s="2118" t="n">
        <v>4</v>
      </c>
      <c r="E2240" s="2118" t="n">
        <v>1</v>
      </c>
      <c r="G2240" s="1798" t="inlineStr">
        <is>
          <t>ACABAMENTOS EM PISOS E PAVIMENTAÇÕES</t>
        </is>
      </c>
      <c r="H2240" s="1783" t="inlineStr">
        <is>
          <t>SERVIÇO</t>
        </is>
      </c>
      <c r="I2240" s="1750" t="inlineStr">
        <is>
          <t>16.010.004.001</t>
        </is>
      </c>
      <c r="J2240" s="1785" t="inlineStr">
        <is>
          <t xml:space="preserve">Piso de madeira natural - Cumaru engenheirado - material e mão de obra </t>
        </is>
      </c>
      <c r="K2240" s="1786" t="inlineStr">
        <is>
          <t>m2</t>
        </is>
      </c>
      <c r="L2240" s="1787" t="e">
        <v>#REF!</v>
      </c>
      <c r="M2240" s="1787" t="n">
        <v>825.0000000000001</v>
      </c>
      <c r="N2240" s="1754" t="n"/>
      <c r="O2240" s="1788" t="inlineStr">
        <is>
          <t>Circulações e dormitórios</t>
        </is>
      </c>
      <c r="P2240" s="1721" t="inlineStr">
        <is>
          <t>Pendente</t>
        </is>
      </c>
    </row>
    <row r="2241" hidden="1" outlineLevel="2" ht="13.5" customHeight="1">
      <c r="A2241" s="2117" t="n">
        <v>0</v>
      </c>
      <c r="B2241" s="2117" t="n">
        <v>16</v>
      </c>
      <c r="C2241" s="2117" t="n">
        <v>10</v>
      </c>
      <c r="D2241" s="2118" t="n">
        <v>5</v>
      </c>
      <c r="E2241" s="2118" t="n">
        <v>0</v>
      </c>
      <c r="G2241" s="1797" t="n"/>
      <c r="H2241" s="1777" t="inlineStr">
        <is>
          <t>SUBETAPA</t>
        </is>
      </c>
      <c r="I2241" s="1742" t="inlineStr">
        <is>
          <t>16.010.005</t>
        </is>
      </c>
      <c r="J2241" s="1779" t="inlineStr">
        <is>
          <t>Rodapés</t>
        </is>
      </c>
      <c r="K2241" s="1780" t="n"/>
      <c r="L2241" s="1781" t="n"/>
      <c r="M2241" s="1781" t="n"/>
      <c r="N2241" s="1746" t="n"/>
      <c r="O2241" s="1782" t="n"/>
      <c r="P2241" s="1720" t="n"/>
    </row>
    <row r="2242" hidden="1" outlineLevel="3" ht="13.5" customHeight="1">
      <c r="A2242" s="2117" t="n">
        <v>0</v>
      </c>
      <c r="B2242" s="2117" t="n">
        <v>16</v>
      </c>
      <c r="C2242" s="2117" t="n">
        <v>10</v>
      </c>
      <c r="D2242" s="2118" t="n">
        <v>5</v>
      </c>
      <c r="E2242" s="2118" t="n">
        <v>1</v>
      </c>
      <c r="G2242" s="1798" t="inlineStr">
        <is>
          <t>ACABAMENTOS EM PISOS E PAVIMENTAÇÕES</t>
        </is>
      </c>
      <c r="H2242" s="1783" t="inlineStr">
        <is>
          <t>SERVIÇO</t>
        </is>
      </c>
      <c r="I2242" s="1750" t="inlineStr">
        <is>
          <t>16.010.005.001</t>
        </is>
      </c>
      <c r="J2242" s="1785" t="inlineStr">
        <is>
          <t>Rodapé de Cerâmico h=15cm</t>
        </is>
      </c>
      <c r="K2242" s="1786" t="inlineStr">
        <is>
          <t>m</t>
        </is>
      </c>
      <c r="L2242" s="1787" t="e">
        <v>#REF!</v>
      </c>
      <c r="M2242" s="1787" t="n">
        <v>10.114275</v>
      </c>
      <c r="N2242" s="1754" t="n"/>
      <c r="O2242" s="1788" t="n"/>
      <c r="P2242" s="1721" t="inlineStr">
        <is>
          <t>Pendente</t>
        </is>
      </c>
    </row>
    <row r="2243" hidden="1" outlineLevel="3" ht="13.5" customHeight="1">
      <c r="A2243" s="2117" t="n">
        <v>0</v>
      </c>
      <c r="B2243" s="2117" t="n">
        <v>16</v>
      </c>
      <c r="C2243" s="2117" t="n">
        <v>10</v>
      </c>
      <c r="D2243" s="2118" t="n">
        <v>5</v>
      </c>
      <c r="E2243" s="2118" t="n">
        <v>2</v>
      </c>
      <c r="G2243" s="1798" t="inlineStr">
        <is>
          <t>ACABAMENTOS EM PISOS E PAVIMENTAÇÕES</t>
        </is>
      </c>
      <c r="H2243" s="1783" t="inlineStr">
        <is>
          <t>SERVIÇO</t>
        </is>
      </c>
      <c r="I2243" s="1750" t="inlineStr">
        <is>
          <t>16.010.005.002</t>
        </is>
      </c>
      <c r="J2243" s="1785" t="inlineStr">
        <is>
          <t>Rodapé de Poliestireno h=15cm</t>
        </is>
      </c>
      <c r="K2243" s="1786" t="inlineStr">
        <is>
          <t>m</t>
        </is>
      </c>
      <c r="L2243" s="1787" t="e">
        <v>#REF!</v>
      </c>
      <c r="M2243" s="1787" t="n">
        <v>43.82058333333333</v>
      </c>
      <c r="N2243" s="1754" t="n"/>
      <c r="O2243" s="1788" t="n"/>
      <c r="P2243" s="1721" t="inlineStr">
        <is>
          <t>Pendente</t>
        </is>
      </c>
    </row>
    <row r="2244" hidden="1" outlineLevel="3" ht="13.5" customHeight="1">
      <c r="A2244" s="2117" t="n">
        <v>0</v>
      </c>
      <c r="B2244" s="2117" t="n">
        <v>16</v>
      </c>
      <c r="C2244" s="2117" t="n">
        <v>10</v>
      </c>
      <c r="D2244" s="2118" t="n">
        <v>5</v>
      </c>
      <c r="E2244" s="2118" t="n">
        <v>3</v>
      </c>
      <c r="G2244" s="1798" t="inlineStr">
        <is>
          <t>ACABAMENTOS EM PISOS E PAVIMENTAÇÕES</t>
        </is>
      </c>
      <c r="H2244" s="1783" t="inlineStr">
        <is>
          <t>SERVIÇO</t>
        </is>
      </c>
      <c r="I2244" s="1750" t="inlineStr">
        <is>
          <t>16.010.005.003</t>
        </is>
      </c>
      <c r="J2244" s="1785" t="inlineStr">
        <is>
          <t>Rodapé de porcelanato h=15cm, Padrão Alto</t>
        </is>
      </c>
      <c r="K2244" s="1786" t="inlineStr">
        <is>
          <t>m</t>
        </is>
      </c>
      <c r="L2244" s="1787" t="e">
        <v>#REF!</v>
      </c>
      <c r="M2244" s="1787" t="n">
        <v>22.121325</v>
      </c>
      <c r="N2244" s="1754" t="n"/>
      <c r="O2244" s="1788" t="n"/>
      <c r="P2244" s="1721" t="inlineStr">
        <is>
          <t>Pendente</t>
        </is>
      </c>
    </row>
    <row r="2245" hidden="1" outlineLevel="2" ht="13.5" customHeight="1">
      <c r="A2245" s="2117" t="n">
        <v>0</v>
      </c>
      <c r="B2245" s="2117" t="n">
        <v>16</v>
      </c>
      <c r="C2245" s="2117" t="n">
        <v>10</v>
      </c>
      <c r="D2245" s="2118" t="n">
        <v>6</v>
      </c>
      <c r="E2245" s="2118" t="n">
        <v>0</v>
      </c>
      <c r="G2245" s="1797" t="n"/>
      <c r="H2245" s="1777" t="inlineStr">
        <is>
          <t>SUBETAPA</t>
        </is>
      </c>
      <c r="I2245" s="1742" t="inlineStr">
        <is>
          <t>16.010.006</t>
        </is>
      </c>
      <c r="J2245" s="1779" t="inlineStr">
        <is>
          <t>Mão de obra - Revestimentos</t>
        </is>
      </c>
      <c r="K2245" s="1780" t="n"/>
      <c r="L2245" s="1781" t="n"/>
      <c r="M2245" s="1781" t="n"/>
      <c r="N2245" s="1746" t="n"/>
      <c r="O2245" s="1782" t="n"/>
      <c r="P2245" s="1720" t="n"/>
    </row>
    <row r="2246" hidden="1" outlineLevel="3" ht="13.5" customHeight="1">
      <c r="A2246" s="2117" t="n">
        <v>0</v>
      </c>
      <c r="B2246" s="2117" t="n">
        <v>16</v>
      </c>
      <c r="C2246" s="2117" t="n">
        <v>10</v>
      </c>
      <c r="D2246" s="2118" t="n">
        <v>6</v>
      </c>
      <c r="E2246" s="2118" t="n">
        <v>1</v>
      </c>
      <c r="G2246" s="1798" t="inlineStr">
        <is>
          <t>REVESTIMENTOS ARGAMASSADOS PISO</t>
        </is>
      </c>
      <c r="H2246" s="1783" t="inlineStr">
        <is>
          <t>SERVIÇO</t>
        </is>
      </c>
      <c r="I2246" s="1750" t="inlineStr">
        <is>
          <t>16.010.006.001</t>
        </is>
      </c>
      <c r="J2246" s="1785" t="inlineStr">
        <is>
          <t>Mão de obra execução de contrapiso comum e Acústico</t>
        </is>
      </c>
      <c r="K2246" s="1786" t="inlineStr">
        <is>
          <t>m2</t>
        </is>
      </c>
      <c r="L2246" s="1787" t="e">
        <v>#REF!</v>
      </c>
      <c r="M2246" s="1787" t="n">
        <v>40</v>
      </c>
      <c r="N2246" s="1754" t="n"/>
      <c r="O2246" s="1788" t="n"/>
      <c r="P2246" s="1721" t="inlineStr">
        <is>
          <t>Pendente</t>
        </is>
      </c>
    </row>
    <row r="2247" hidden="1" outlineLevel="3" ht="13.5" customHeight="1">
      <c r="A2247" s="2117" t="n">
        <v>0</v>
      </c>
      <c r="B2247" s="2117" t="n">
        <v>16</v>
      </c>
      <c r="C2247" s="2117" t="n">
        <v>10</v>
      </c>
      <c r="D2247" s="2118" t="n">
        <v>6</v>
      </c>
      <c r="E2247" s="2118" t="n">
        <v>2</v>
      </c>
      <c r="G2247" s="1798" t="inlineStr">
        <is>
          <t>ACABAMENTOS EM PISOS E PAVIMENTAÇÕES</t>
        </is>
      </c>
      <c r="H2247" s="1783" t="inlineStr">
        <is>
          <t>SERVIÇO</t>
        </is>
      </c>
      <c r="I2247" s="1750" t="inlineStr">
        <is>
          <t>16.010.006.002</t>
        </is>
      </c>
      <c r="J2247" s="1785" t="inlineStr">
        <is>
          <t>Mão de Obra Piso Porcenato/ Cerâmico</t>
        </is>
      </c>
      <c r="K2247" s="1786" t="inlineStr">
        <is>
          <t>m2</t>
        </is>
      </c>
      <c r="L2247" s="1787" t="e">
        <v>#REF!</v>
      </c>
      <c r="M2247" s="1787" t="n">
        <v>75</v>
      </c>
      <c r="N2247" s="1754" t="n"/>
      <c r="O2247" s="1788" t="n"/>
      <c r="P2247" s="1721" t="inlineStr">
        <is>
          <t>Pendente</t>
        </is>
      </c>
    </row>
    <row r="2248" hidden="1" outlineLevel="3" ht="13.5" customHeight="1">
      <c r="A2248" s="2117" t="n">
        <v>0</v>
      </c>
      <c r="B2248" s="2117" t="n">
        <v>16</v>
      </c>
      <c r="C2248" s="2117" t="n">
        <v>10</v>
      </c>
      <c r="D2248" s="2118" t="n">
        <v>6</v>
      </c>
      <c r="E2248" s="2118" t="n">
        <v>3</v>
      </c>
      <c r="G2248" s="1798" t="inlineStr">
        <is>
          <t>ACABAMENTOS EM PISOS E PAVIMENTAÇÕES</t>
        </is>
      </c>
      <c r="H2248" s="1783" t="inlineStr">
        <is>
          <t>SERVIÇO</t>
        </is>
      </c>
      <c r="I2248" s="1750" t="inlineStr">
        <is>
          <t>16.010.006.003</t>
        </is>
      </c>
      <c r="J2248" s="1785" t="inlineStr">
        <is>
          <t>Mão de obra de rodapé Poliestireno</t>
        </is>
      </c>
      <c r="K2248" s="1786" t="inlineStr">
        <is>
          <t>m</t>
        </is>
      </c>
      <c r="L2248" s="1787" t="e">
        <v>#REF!</v>
      </c>
      <c r="M2248" s="1787" t="n">
        <v>28</v>
      </c>
      <c r="N2248" s="1754" t="n"/>
      <c r="O2248" s="1788" t="n"/>
      <c r="P2248" s="1721" t="inlineStr">
        <is>
          <t>Pendente</t>
        </is>
      </c>
    </row>
    <row r="2249" hidden="1" outlineLevel="3" ht="13.5" customHeight="1">
      <c r="A2249" s="2117" t="n">
        <v>0</v>
      </c>
      <c r="B2249" s="2117" t="n">
        <v>16</v>
      </c>
      <c r="C2249" s="2117" t="n">
        <v>10</v>
      </c>
      <c r="D2249" s="2118" t="n">
        <v>6</v>
      </c>
      <c r="E2249" s="2118" t="n">
        <v>4</v>
      </c>
      <c r="G2249" s="1798" t="inlineStr">
        <is>
          <t>ACABAMENTOS EM PISOS E PAVIMENTAÇÕES</t>
        </is>
      </c>
      <c r="H2249" s="1783" t="inlineStr">
        <is>
          <t>SERVIÇO</t>
        </is>
      </c>
      <c r="I2249" s="1750" t="inlineStr">
        <is>
          <t>16.010.006.004</t>
        </is>
      </c>
      <c r="J2249" s="1785" t="inlineStr">
        <is>
          <t>Mão de obra de rodapé Porcelanato</t>
        </is>
      </c>
      <c r="K2249" s="1786" t="inlineStr">
        <is>
          <t>m</t>
        </is>
      </c>
      <c r="L2249" s="1787" t="e">
        <v>#REF!</v>
      </c>
      <c r="M2249" s="1787" t="n">
        <v>24</v>
      </c>
      <c r="N2249" s="1754" t="n"/>
      <c r="O2249" s="1788" t="n"/>
      <c r="P2249" s="1721" t="inlineStr">
        <is>
          <t>Pendente</t>
        </is>
      </c>
    </row>
    <row r="2250" hidden="1" outlineLevel="1" ht="13.5" customHeight="1">
      <c r="A2250" s="2117" t="n">
        <v>0</v>
      </c>
      <c r="B2250" s="2117" t="n">
        <v>16</v>
      </c>
      <c r="C2250" s="2117" t="n">
        <v>11</v>
      </c>
      <c r="D2250" s="2118" t="n">
        <v>0</v>
      </c>
      <c r="E2250" s="2118" t="n">
        <v>4</v>
      </c>
      <c r="G2250" s="1796" t="n"/>
      <c r="H2250" s="1771" t="inlineStr">
        <is>
          <t>ETAPA</t>
        </is>
      </c>
      <c r="I2250" s="1735" t="inlineStr">
        <is>
          <t>16.011</t>
        </is>
      </c>
      <c r="J2250" s="1773" t="inlineStr">
        <is>
          <t>PISOS E PAVIMENTAÇÕES - Penthouse x22</t>
        </is>
      </c>
      <c r="K2250" s="1774" t="n"/>
      <c r="L2250" s="1775" t="n"/>
      <c r="M2250" s="1775" t="n"/>
      <c r="N2250" s="1739" t="n"/>
      <c r="O2250" s="1776" t="n"/>
      <c r="P2250" s="1719" t="n"/>
    </row>
    <row r="2251" hidden="1" outlineLevel="2" ht="13.5" customHeight="1">
      <c r="A2251" s="2117" t="n">
        <v>0</v>
      </c>
      <c r="B2251" s="2117" t="n">
        <v>16</v>
      </c>
      <c r="C2251" s="2117" t="n">
        <v>11</v>
      </c>
      <c r="D2251" s="2118" t="n">
        <v>1</v>
      </c>
      <c r="E2251" s="2118" t="n">
        <v>0</v>
      </c>
      <c r="G2251" s="1797" t="n"/>
      <c r="H2251" s="1777" t="inlineStr">
        <is>
          <t>SUBETAPA</t>
        </is>
      </c>
      <c r="I2251" s="1742" t="inlineStr">
        <is>
          <t>16.011.001</t>
        </is>
      </c>
      <c r="J2251" s="1779" t="inlineStr">
        <is>
          <t>Contrapiso</t>
        </is>
      </c>
      <c r="K2251" s="1780" t="n"/>
      <c r="L2251" s="1781" t="n"/>
      <c r="M2251" s="1781" t="n"/>
      <c r="N2251" s="1746" t="n"/>
      <c r="O2251" s="1782" t="n"/>
      <c r="P2251" s="1720" t="n"/>
    </row>
    <row r="2252" hidden="1" outlineLevel="3" ht="13.5" customHeight="1">
      <c r="A2252" s="2117" t="n">
        <v>0</v>
      </c>
      <c r="B2252" s="2117" t="n">
        <v>16</v>
      </c>
      <c r="C2252" s="2117" t="n">
        <v>11</v>
      </c>
      <c r="D2252" s="2118" t="n">
        <v>1</v>
      </c>
      <c r="E2252" s="2118" t="n">
        <v>1</v>
      </c>
      <c r="G2252" s="1798" t="inlineStr">
        <is>
          <t>REVESTIMENTOS ARGAMASSADOS PISO</t>
        </is>
      </c>
      <c r="H2252" s="1783" t="inlineStr">
        <is>
          <t>SERVIÇO</t>
        </is>
      </c>
      <c r="I2252" s="1750" t="inlineStr">
        <is>
          <t>16.011.001.001</t>
        </is>
      </c>
      <c r="J2252" s="1785" t="inlineStr">
        <is>
          <t>Contrapiso comum em argamassa estabilizada, auto nivelado, espessura 5cm</t>
        </is>
      </c>
      <c r="K2252" s="1786" t="inlineStr">
        <is>
          <t>m2</t>
        </is>
      </c>
      <c r="L2252" s="1787" t="e">
        <v>#REF!</v>
      </c>
      <c r="M2252" s="1787" t="n">
        <v>44.58523333333333</v>
      </c>
      <c r="N2252" s="1754" t="n"/>
      <c r="O2252" s="1788" t="n"/>
      <c r="P2252" s="1721" t="inlineStr">
        <is>
          <t>Pendente</t>
        </is>
      </c>
    </row>
    <row r="2253" hidden="1" outlineLevel="2" ht="13.5" customHeight="1">
      <c r="A2253" s="2117" t="n">
        <v>0</v>
      </c>
      <c r="B2253" s="2117" t="n">
        <v>16</v>
      </c>
      <c r="C2253" s="2117" t="n">
        <v>11</v>
      </c>
      <c r="D2253" s="2118" t="n">
        <v>2</v>
      </c>
      <c r="E2253" s="2118" t="n">
        <v>0</v>
      </c>
      <c r="G2253" s="1797" t="n"/>
      <c r="H2253" s="1777" t="inlineStr">
        <is>
          <t>SUBETAPA</t>
        </is>
      </c>
      <c r="I2253" s="1742" t="inlineStr">
        <is>
          <t>16.011.002</t>
        </is>
      </c>
      <c r="J2253" s="1743" t="inlineStr">
        <is>
          <t>Isolamento térmico</t>
        </is>
      </c>
      <c r="K2253" s="1780" t="n"/>
      <c r="L2253" s="1781" t="n"/>
      <c r="M2253" s="1781" t="n"/>
      <c r="N2253" s="1746" t="n">
        <v>192583.023530333</v>
      </c>
      <c r="O2253" s="1782" t="n"/>
      <c r="P2253" s="1720" t="n"/>
    </row>
    <row r="2254" hidden="1" outlineLevel="3" ht="13.5" customHeight="1">
      <c r="A2254" s="2117" t="n">
        <v>0</v>
      </c>
      <c r="B2254" s="2117" t="n">
        <v>16</v>
      </c>
      <c r="C2254" s="2117" t="n">
        <v>11</v>
      </c>
      <c r="D2254" s="2118" t="n">
        <v>2</v>
      </c>
      <c r="E2254" s="2118" t="n">
        <v>1</v>
      </c>
      <c r="G2254" s="1798" t="inlineStr">
        <is>
          <t>REVESTIMENTOS ARGAMASSADOS PISO</t>
        </is>
      </c>
      <c r="H2254" s="1783" t="inlineStr">
        <is>
          <t>SERVIÇO</t>
        </is>
      </c>
      <c r="I2254" s="1750" t="inlineStr">
        <is>
          <t>16.011.002.001</t>
        </is>
      </c>
      <c r="J2254" s="1785" t="inlineStr">
        <is>
          <t>Acústica para Contrapiso com malha de aço e manta polipropileno</t>
        </is>
      </c>
      <c r="K2254" s="1786" t="inlineStr">
        <is>
          <t>m2</t>
        </is>
      </c>
      <c r="L2254" s="1787" t="n">
        <v>3857.7</v>
      </c>
      <c r="M2254" s="1787" t="n">
        <v>49.92172111111111</v>
      </c>
      <c r="N2254" s="1754" t="n">
        <v>192583.023530333</v>
      </c>
      <c r="O2254" s="1788" t="inlineStr">
        <is>
          <t>Todos os ambientes dos aptos, exceto pelos BWCs, Sacada e A.T</t>
        </is>
      </c>
      <c r="P2254" s="1721" t="inlineStr">
        <is>
          <t>Pendente</t>
        </is>
      </c>
    </row>
    <row r="2255" hidden="1" outlineLevel="2" ht="13.5" customHeight="1">
      <c r="A2255" s="2117" t="n">
        <v>0</v>
      </c>
      <c r="B2255" s="2117" t="n">
        <v>16</v>
      </c>
      <c r="C2255" s="2117" t="n">
        <v>11</v>
      </c>
      <c r="D2255" s="2118" t="n">
        <v>3</v>
      </c>
      <c r="E2255" s="2118" t="n">
        <v>0</v>
      </c>
      <c r="G2255" s="1797" t="n"/>
      <c r="H2255" s="1777" t="inlineStr">
        <is>
          <t>SUBETAPA</t>
        </is>
      </c>
      <c r="I2255" s="1742" t="inlineStr">
        <is>
          <t>16.011.003</t>
        </is>
      </c>
      <c r="J2255" s="1779" t="inlineStr">
        <is>
          <t>Acabamentos cerâmicos em piso</t>
        </is>
      </c>
      <c r="K2255" s="1780" t="n"/>
      <c r="L2255" s="1781" t="n"/>
      <c r="M2255" s="1781" t="n"/>
      <c r="N2255" s="1746" t="n"/>
      <c r="O2255" s="1782" t="n"/>
      <c r="P2255" s="1720" t="n"/>
    </row>
    <row r="2256" hidden="1" outlineLevel="3" ht="13.5" customHeight="1">
      <c r="A2256" s="2117" t="n">
        <v>0</v>
      </c>
      <c r="B2256" s="2117" t="n">
        <v>16</v>
      </c>
      <c r="C2256" s="2117" t="n">
        <v>11</v>
      </c>
      <c r="D2256" s="2118" t="n">
        <v>3</v>
      </c>
      <c r="E2256" s="2118" t="n">
        <v>1</v>
      </c>
      <c r="G2256" s="1798" t="inlineStr">
        <is>
          <t>ACABAMENTOS EM PISOS E PAVIMENTAÇÕES</t>
        </is>
      </c>
      <c r="H2256" s="1783" t="inlineStr">
        <is>
          <t>SERVIÇO</t>
        </is>
      </c>
      <c r="I2256" s="1750" t="inlineStr">
        <is>
          <t>16.011.003.001</t>
        </is>
      </c>
      <c r="J2256" s="1785" t="inlineStr">
        <is>
          <t>Revestimento em Cerâmicas Pisos Internos, 45x 45cm com Junta de 3mm</t>
        </is>
      </c>
      <c r="K2256" s="1786" t="inlineStr">
        <is>
          <t>m2</t>
        </is>
      </c>
      <c r="L2256" s="1787" t="e">
        <v>#REF!</v>
      </c>
      <c r="M2256" s="1787" t="n">
        <v>58.073</v>
      </c>
      <c r="N2256" s="1754" t="n"/>
      <c r="O2256" s="1788" t="n"/>
      <c r="P2256" s="1721" t="inlineStr">
        <is>
          <t>Pendente</t>
        </is>
      </c>
    </row>
    <row r="2257" hidden="1" outlineLevel="3" ht="13.5" customHeight="1">
      <c r="A2257" s="2117" t="n">
        <v>0</v>
      </c>
      <c r="B2257" s="2117" t="n">
        <v>16</v>
      </c>
      <c r="C2257" s="2117" t="n">
        <v>11</v>
      </c>
      <c r="D2257" s="2118" t="n">
        <v>3</v>
      </c>
      <c r="E2257" s="2118" t="n">
        <v>2</v>
      </c>
      <c r="G2257" s="1798" t="inlineStr">
        <is>
          <t>ACABAMENTOS EM PISOS E PAVIMENTAÇÕES</t>
        </is>
      </c>
      <c r="H2257" s="1783" t="inlineStr">
        <is>
          <t>SERVIÇO</t>
        </is>
      </c>
      <c r="I2257" s="1750" t="inlineStr">
        <is>
          <t>16.011.003.002</t>
        </is>
      </c>
      <c r="J2257" s="1785" t="inlineStr">
        <is>
          <t>Revestimento de Piso, Porcelanato Portobello – Posto 10 90x90 Externo Retificado - Linha Ipanema - Padrão Alto</t>
        </is>
      </c>
      <c r="K2257" s="1786" t="inlineStr">
        <is>
          <t>m2</t>
        </is>
      </c>
      <c r="L2257" s="1787" t="e">
        <v>#REF!</v>
      </c>
      <c r="M2257" s="1787" t="n">
        <v>229.8276</v>
      </c>
      <c r="N2257" s="1754" t="n"/>
      <c r="O2257" s="1788" t="n"/>
      <c r="P2257" s="1721" t="inlineStr">
        <is>
          <t>Pendente</t>
        </is>
      </c>
    </row>
    <row r="2258" hidden="1" outlineLevel="3" ht="13.5" customHeight="1">
      <c r="A2258" s="2117" t="n">
        <v>0</v>
      </c>
      <c r="B2258" s="2117" t="n">
        <v>16</v>
      </c>
      <c r="C2258" s="2117" t="n">
        <v>11</v>
      </c>
      <c r="D2258" s="2118" t="n">
        <v>3</v>
      </c>
      <c r="E2258" s="2118" t="n">
        <v>3</v>
      </c>
      <c r="G2258" s="1798" t="inlineStr">
        <is>
          <t>ACABAMENTOS EM PISOS E PAVIMENTAÇÕES</t>
        </is>
      </c>
      <c r="H2258" s="1783" t="inlineStr">
        <is>
          <t>SERVIÇO</t>
        </is>
      </c>
      <c r="I2258" s="1750" t="inlineStr">
        <is>
          <t>16.011.003.003</t>
        </is>
      </c>
      <c r="J2258" s="1785" t="inlineStr">
        <is>
          <t>Revestimento de Piso, Porcelanato Portobello –  90x90 - Padrão Alto</t>
        </is>
      </c>
      <c r="K2258" s="1786" t="inlineStr">
        <is>
          <t>m2</t>
        </is>
      </c>
      <c r="L2258" s="1787" t="e">
        <v>#REF!</v>
      </c>
      <c r="M2258" s="1787" t="n">
        <v>141.8276</v>
      </c>
      <c r="N2258" s="1754" t="n"/>
      <c r="O2258" s="1788" t="n"/>
      <c r="P2258" s="1721" t="inlineStr">
        <is>
          <t>Pendente</t>
        </is>
      </c>
    </row>
    <row r="2259" hidden="1" outlineLevel="2" ht="13.5" customHeight="1">
      <c r="A2259" s="2117" t="n">
        <v>0</v>
      </c>
      <c r="B2259" s="2117" t="n">
        <v>16</v>
      </c>
      <c r="C2259" s="2117" t="n">
        <v>11</v>
      </c>
      <c r="D2259" s="2118" t="n">
        <v>4</v>
      </c>
      <c r="E2259" s="2118" t="n">
        <v>0</v>
      </c>
      <c r="G2259" s="1797" t="n"/>
      <c r="H2259" s="1777" t="inlineStr">
        <is>
          <t>SUBETAPA</t>
        </is>
      </c>
      <c r="I2259" s="1742" t="inlineStr">
        <is>
          <t>16.011.004</t>
        </is>
      </c>
      <c r="J2259" s="1779" t="inlineStr">
        <is>
          <t>Acabamentos em pedra</t>
        </is>
      </c>
      <c r="K2259" s="1780" t="n"/>
      <c r="L2259" s="1781" t="n"/>
      <c r="M2259" s="1781" t="n"/>
      <c r="N2259" s="1746" t="n"/>
      <c r="O2259" s="1782" t="n"/>
      <c r="P2259" s="1720" t="n"/>
    </row>
    <row r="2260" hidden="1" outlineLevel="3" ht="13.5" customHeight="1">
      <c r="A2260" s="2117" t="n">
        <v>0</v>
      </c>
      <c r="B2260" s="2117" t="n">
        <v>16</v>
      </c>
      <c r="C2260" s="2117" t="n">
        <v>11</v>
      </c>
      <c r="D2260" s="2118" t="n">
        <v>4</v>
      </c>
      <c r="E2260" s="2118" t="n">
        <v>1</v>
      </c>
      <c r="G2260" s="1798" t="inlineStr">
        <is>
          <t>ACABAMENTOS EM PISOS E PAVIMENTAÇÕES</t>
        </is>
      </c>
      <c r="H2260" s="1783" t="inlineStr">
        <is>
          <t>SERVIÇO</t>
        </is>
      </c>
      <c r="I2260" s="1750" t="inlineStr">
        <is>
          <t>16.011.004.001</t>
        </is>
      </c>
      <c r="J2260" s="1785" t="inlineStr">
        <is>
          <t>Revestimento de Mármore Natural  Aquecido em Piso</t>
        </is>
      </c>
      <c r="K2260" s="1786" t="inlineStr">
        <is>
          <t>m2</t>
        </is>
      </c>
      <c r="L2260" s="1787" t="e">
        <v>#REF!</v>
      </c>
      <c r="M2260" s="1787" t="n">
        <v>1498.2455</v>
      </c>
      <c r="N2260" s="1754" t="n"/>
      <c r="O2260" s="1788" t="n"/>
      <c r="P2260" s="1721" t="inlineStr">
        <is>
          <t>Pendente</t>
        </is>
      </c>
    </row>
    <row r="2261" hidden="1" outlineLevel="2" ht="13.5" customHeight="1">
      <c r="A2261" s="2117" t="n">
        <v>0</v>
      </c>
      <c r="B2261" s="2117" t="n">
        <v>16</v>
      </c>
      <c r="C2261" s="2117" t="n">
        <v>11</v>
      </c>
      <c r="D2261" s="2118" t="n">
        <v>5</v>
      </c>
      <c r="E2261" s="2118" t="n">
        <v>0</v>
      </c>
      <c r="G2261" s="1797" t="n"/>
      <c r="H2261" s="1777" t="inlineStr">
        <is>
          <t>SUBETAPA</t>
        </is>
      </c>
      <c r="I2261" s="1742" t="inlineStr">
        <is>
          <t>16.011.005</t>
        </is>
      </c>
      <c r="J2261" s="1779" t="inlineStr">
        <is>
          <t>Acabamentos especiais</t>
        </is>
      </c>
      <c r="K2261" s="1780" t="n"/>
      <c r="L2261" s="1781" t="n"/>
      <c r="M2261" s="1781" t="n"/>
      <c r="N2261" s="1746" t="n"/>
      <c r="O2261" s="1782" t="n"/>
      <c r="P2261" s="1720" t="n"/>
    </row>
    <row r="2262" hidden="1" outlineLevel="3" ht="13.5" customHeight="1">
      <c r="A2262" s="2117" t="n">
        <v>0</v>
      </c>
      <c r="B2262" s="2117" t="n">
        <v>16</v>
      </c>
      <c r="C2262" s="2117" t="n">
        <v>11</v>
      </c>
      <c r="D2262" s="2118" t="n">
        <v>5</v>
      </c>
      <c r="E2262" s="2118" t="n">
        <v>1</v>
      </c>
      <c r="G2262" s="1798" t="inlineStr">
        <is>
          <t>ACABAMENTOS EM PISOS E PAVIMENTAÇÕES</t>
        </is>
      </c>
      <c r="H2262" s="1783" t="inlineStr">
        <is>
          <t>SERVIÇO</t>
        </is>
      </c>
      <c r="I2262" s="1750" t="inlineStr">
        <is>
          <t>16.011.005.001</t>
        </is>
      </c>
      <c r="J2262" s="1751" t="inlineStr">
        <is>
          <t xml:space="preserve">Piso de madeira natural - Cumaru engenheirado - material e mão de obra </t>
        </is>
      </c>
      <c r="K2262" s="1786" t="inlineStr">
        <is>
          <t>m2</t>
        </is>
      </c>
      <c r="L2262" s="1787" t="e">
        <v>#REF!</v>
      </c>
      <c r="M2262" s="1787" t="n">
        <v>825.0000000000001</v>
      </c>
      <c r="N2262" s="1754" t="n"/>
      <c r="O2262" s="1788" t="n"/>
      <c r="P2262" s="1721" t="inlineStr">
        <is>
          <t>Pendente</t>
        </is>
      </c>
    </row>
    <row r="2263" hidden="1" outlineLevel="2" ht="13.5" customHeight="1">
      <c r="A2263" s="2117" t="n">
        <v>0</v>
      </c>
      <c r="B2263" s="2117" t="n">
        <v>16</v>
      </c>
      <c r="C2263" s="2117" t="n">
        <v>11</v>
      </c>
      <c r="D2263" s="2118" t="n">
        <v>6</v>
      </c>
      <c r="E2263" s="2118" t="n">
        <v>0</v>
      </c>
      <c r="G2263" s="1797" t="n"/>
      <c r="H2263" s="1777" t="inlineStr">
        <is>
          <t>SUBETAPA</t>
        </is>
      </c>
      <c r="I2263" s="1742" t="inlineStr">
        <is>
          <t>16.011.006</t>
        </is>
      </c>
      <c r="J2263" s="1779" t="inlineStr">
        <is>
          <t>Rodapés</t>
        </is>
      </c>
      <c r="K2263" s="1780" t="n"/>
      <c r="L2263" s="1781" t="n"/>
      <c r="M2263" s="1781" t="n"/>
      <c r="N2263" s="1746" t="n"/>
      <c r="O2263" s="1782" t="n"/>
      <c r="P2263" s="1720" t="n"/>
    </row>
    <row r="2264" hidden="1" outlineLevel="3" ht="13.5" customHeight="1">
      <c r="A2264" s="2117" t="n">
        <v>0</v>
      </c>
      <c r="B2264" s="2117" t="n">
        <v>16</v>
      </c>
      <c r="C2264" s="2117" t="n">
        <v>11</v>
      </c>
      <c r="D2264" s="2118" t="n">
        <v>6</v>
      </c>
      <c r="E2264" s="2118" t="n">
        <v>1</v>
      </c>
      <c r="G2264" s="1798" t="inlineStr">
        <is>
          <t>ACABAMENTOS EM PISOS E PAVIMENTAÇÕES</t>
        </is>
      </c>
      <c r="H2264" s="1783" t="inlineStr">
        <is>
          <t>SERVIÇO</t>
        </is>
      </c>
      <c r="I2264" s="1750" t="inlineStr">
        <is>
          <t>16.011.006.001</t>
        </is>
      </c>
      <c r="J2264" s="1785" t="inlineStr">
        <is>
          <t>Rodapé de Cerâmico h=15cm</t>
        </is>
      </c>
      <c r="K2264" s="1786" t="inlineStr">
        <is>
          <t>m</t>
        </is>
      </c>
      <c r="L2264" s="1787" t="e">
        <v>#REF!</v>
      </c>
      <c r="M2264" s="1787" t="n">
        <v>10.114275</v>
      </c>
      <c r="N2264" s="1754" t="n"/>
      <c r="O2264" s="1788" t="n"/>
      <c r="P2264" s="1721" t="inlineStr">
        <is>
          <t>Pendente</t>
        </is>
      </c>
    </row>
    <row r="2265" hidden="1" outlineLevel="3" ht="13.5" customHeight="1">
      <c r="A2265" s="2117" t="n">
        <v>0</v>
      </c>
      <c r="B2265" s="2117" t="n">
        <v>16</v>
      </c>
      <c r="C2265" s="2117" t="n">
        <v>11</v>
      </c>
      <c r="D2265" s="2118" t="n">
        <v>6</v>
      </c>
      <c r="E2265" s="2118" t="n">
        <v>2</v>
      </c>
      <c r="G2265" s="1798" t="inlineStr">
        <is>
          <t>ACABAMENTOS EM PISOS E PAVIMENTAÇÕES</t>
        </is>
      </c>
      <c r="H2265" s="1783" t="inlineStr">
        <is>
          <t>SERVIÇO</t>
        </is>
      </c>
      <c r="I2265" s="1750" t="inlineStr">
        <is>
          <t>16.011.006.002</t>
        </is>
      </c>
      <c r="J2265" s="1785" t="inlineStr">
        <is>
          <t>Rodapé de Poliestireno h=15cm</t>
        </is>
      </c>
      <c r="K2265" s="1786" t="inlineStr">
        <is>
          <t>m</t>
        </is>
      </c>
      <c r="L2265" s="1787" t="e">
        <v>#REF!</v>
      </c>
      <c r="M2265" s="1787" t="n">
        <v>43.82058333333333</v>
      </c>
      <c r="N2265" s="1754" t="n"/>
      <c r="O2265" s="1788" t="n"/>
      <c r="P2265" s="1721" t="inlineStr">
        <is>
          <t>Pendente</t>
        </is>
      </c>
    </row>
    <row r="2266" hidden="1" outlineLevel="3" ht="13.5" customHeight="1">
      <c r="A2266" s="2117" t="n">
        <v>0</v>
      </c>
      <c r="B2266" s="2117" t="n">
        <v>16</v>
      </c>
      <c r="C2266" s="2117" t="n">
        <v>11</v>
      </c>
      <c r="D2266" s="2118" t="n">
        <v>6</v>
      </c>
      <c r="E2266" s="2118" t="n">
        <v>3</v>
      </c>
      <c r="G2266" s="1798" t="inlineStr">
        <is>
          <t>ACABAMENTOS EM PISOS E PAVIMENTAÇÕES</t>
        </is>
      </c>
      <c r="H2266" s="1783" t="inlineStr">
        <is>
          <t>SERVIÇO</t>
        </is>
      </c>
      <c r="I2266" s="1750" t="inlineStr">
        <is>
          <t>16.011.006.003</t>
        </is>
      </c>
      <c r="J2266" s="1785" t="inlineStr">
        <is>
          <t>Rodapé de porcelanato h=15cm, Padrão Alto</t>
        </is>
      </c>
      <c r="K2266" s="1786" t="inlineStr">
        <is>
          <t>m</t>
        </is>
      </c>
      <c r="L2266" s="1787" t="e">
        <v>#REF!</v>
      </c>
      <c r="M2266" s="1787" t="n">
        <v>22.121325</v>
      </c>
      <c r="N2266" s="1754" t="n"/>
      <c r="O2266" s="1788" t="n"/>
      <c r="P2266" s="1721" t="inlineStr">
        <is>
          <t>Pendente</t>
        </is>
      </c>
    </row>
    <row r="2267" hidden="1" outlineLevel="2" ht="13.5" customHeight="1">
      <c r="A2267" s="2117" t="n">
        <v>0</v>
      </c>
      <c r="B2267" s="2117" t="n">
        <v>16</v>
      </c>
      <c r="C2267" s="2117" t="n">
        <v>11</v>
      </c>
      <c r="D2267" s="2118" t="n">
        <v>7</v>
      </c>
      <c r="E2267" s="2118" t="n">
        <v>0</v>
      </c>
      <c r="G2267" s="1797" t="n"/>
      <c r="H2267" s="1777" t="inlineStr">
        <is>
          <t>SUBETAPA</t>
        </is>
      </c>
      <c r="I2267" s="1742" t="inlineStr">
        <is>
          <t>16.011.007</t>
        </is>
      </c>
      <c r="J2267" s="1779" t="inlineStr">
        <is>
          <t>Mão de obra - Revestimentos</t>
        </is>
      </c>
      <c r="K2267" s="1780" t="n"/>
      <c r="L2267" s="1781" t="n"/>
      <c r="M2267" s="1781" t="n"/>
      <c r="N2267" s="1746" t="n"/>
      <c r="O2267" s="1782" t="n"/>
      <c r="P2267" s="1720" t="n"/>
    </row>
    <row r="2268" hidden="1" outlineLevel="3" ht="13.5" customHeight="1">
      <c r="A2268" s="2117" t="n">
        <v>0</v>
      </c>
      <c r="B2268" s="2117" t="n">
        <v>16</v>
      </c>
      <c r="C2268" s="2117" t="n">
        <v>11</v>
      </c>
      <c r="D2268" s="2118" t="n">
        <v>7</v>
      </c>
      <c r="E2268" s="2118" t="n">
        <v>1</v>
      </c>
      <c r="G2268" s="1798" t="inlineStr">
        <is>
          <t>REVESTIMENTOS ARGAMASSADOS PISO</t>
        </is>
      </c>
      <c r="H2268" s="1783" t="inlineStr">
        <is>
          <t>SERVIÇO</t>
        </is>
      </c>
      <c r="I2268" s="1750" t="inlineStr">
        <is>
          <t>16.011.007.001</t>
        </is>
      </c>
      <c r="J2268" s="1785" t="inlineStr">
        <is>
          <t>Mão de obra execução de contrapiso comum e Acústico</t>
        </is>
      </c>
      <c r="K2268" s="1786" t="inlineStr">
        <is>
          <t>m2</t>
        </is>
      </c>
      <c r="L2268" s="1787" t="e">
        <v>#REF!</v>
      </c>
      <c r="M2268" s="1787" t="n">
        <v>40</v>
      </c>
      <c r="N2268" s="1754" t="n"/>
      <c r="O2268" s="1788" t="n"/>
      <c r="P2268" s="1721" t="inlineStr">
        <is>
          <t>Pendente</t>
        </is>
      </c>
    </row>
    <row r="2269" hidden="1" outlineLevel="3" ht="13.5" customHeight="1">
      <c r="A2269" s="2117" t="n">
        <v>0</v>
      </c>
      <c r="B2269" s="2117" t="n">
        <v>16</v>
      </c>
      <c r="C2269" s="2117" t="n">
        <v>11</v>
      </c>
      <c r="D2269" s="2118" t="n">
        <v>7</v>
      </c>
      <c r="E2269" s="2118" t="n">
        <v>2</v>
      </c>
      <c r="G2269" s="1798" t="inlineStr">
        <is>
          <t>ACABAMENTOS EM PISOS E PAVIMENTAÇÕES</t>
        </is>
      </c>
      <c r="H2269" s="1783" t="inlineStr">
        <is>
          <t>SERVIÇO</t>
        </is>
      </c>
      <c r="I2269" s="1750" t="inlineStr">
        <is>
          <t>16.011.007.002</t>
        </is>
      </c>
      <c r="J2269" s="1785" t="inlineStr">
        <is>
          <t>Mão de Obra Piso Porcenato/ Cerâmico</t>
        </is>
      </c>
      <c r="K2269" s="1786" t="inlineStr">
        <is>
          <t>m2</t>
        </is>
      </c>
      <c r="L2269" s="1787" t="e">
        <v>#REF!</v>
      </c>
      <c r="M2269" s="1787" t="n">
        <v>75</v>
      </c>
      <c r="N2269" s="1754" t="n"/>
      <c r="O2269" s="1788" t="n"/>
      <c r="P2269" s="1721" t="inlineStr">
        <is>
          <t>Pendente</t>
        </is>
      </c>
    </row>
    <row r="2270" hidden="1" outlineLevel="3" ht="13.5" customHeight="1">
      <c r="A2270" s="2117" t="n">
        <v>0</v>
      </c>
      <c r="B2270" s="2117" t="n">
        <v>16</v>
      </c>
      <c r="C2270" s="2117" t="n">
        <v>11</v>
      </c>
      <c r="D2270" s="2118" t="n">
        <v>7</v>
      </c>
      <c r="E2270" s="2118" t="n">
        <v>3</v>
      </c>
      <c r="G2270" s="1798" t="inlineStr">
        <is>
          <t>ACABAMENTOS EM PISOS E PAVIMENTAÇÕES</t>
        </is>
      </c>
      <c r="H2270" s="1783" t="inlineStr">
        <is>
          <t>SERVIÇO</t>
        </is>
      </c>
      <c r="I2270" s="1750" t="inlineStr">
        <is>
          <t>16.011.007.003</t>
        </is>
      </c>
      <c r="J2270" s="1785" t="inlineStr">
        <is>
          <t>Mão de obra para assentamento de Pedras Naturais e Mármores em piso</t>
        </is>
      </c>
      <c r="K2270" s="1786" t="inlineStr">
        <is>
          <t>m2</t>
        </is>
      </c>
      <c r="L2270" s="1787" t="e">
        <v>#REF!</v>
      </c>
      <c r="M2270" s="1787" t="n">
        <v>85</v>
      </c>
      <c r="N2270" s="1754" t="n"/>
      <c r="O2270" s="1788" t="n"/>
      <c r="P2270" s="1721" t="inlineStr">
        <is>
          <t>Pendente</t>
        </is>
      </c>
    </row>
    <row r="2271" hidden="1" outlineLevel="3" ht="13.5" customHeight="1">
      <c r="A2271" s="2117" t="n">
        <v>0</v>
      </c>
      <c r="B2271" s="2117" t="n">
        <v>16</v>
      </c>
      <c r="C2271" s="2117" t="n">
        <v>11</v>
      </c>
      <c r="D2271" s="2118" t="n">
        <v>7</v>
      </c>
      <c r="E2271" s="2118" t="n">
        <v>4</v>
      </c>
      <c r="G2271" s="1798" t="inlineStr">
        <is>
          <t>ACABAMENTOS EM PISOS E PAVIMENTAÇÕES</t>
        </is>
      </c>
      <c r="H2271" s="1783" t="inlineStr">
        <is>
          <t>SERVIÇO</t>
        </is>
      </c>
      <c r="I2271" s="1750" t="inlineStr">
        <is>
          <t>16.011.007.004</t>
        </is>
      </c>
      <c r="J2271" s="1785" t="inlineStr">
        <is>
          <t>Mão de obra de rodapé Poliestireno</t>
        </is>
      </c>
      <c r="K2271" s="1786" t="inlineStr">
        <is>
          <t>m</t>
        </is>
      </c>
      <c r="L2271" s="1787" t="e">
        <v>#REF!</v>
      </c>
      <c r="M2271" s="1787" t="n">
        <v>28</v>
      </c>
      <c r="N2271" s="1754" t="n"/>
      <c r="O2271" s="1788" t="n"/>
      <c r="P2271" s="1721" t="inlineStr">
        <is>
          <t>Pendente</t>
        </is>
      </c>
    </row>
    <row r="2272" hidden="1" outlineLevel="3" ht="13.5" customHeight="1">
      <c r="A2272" s="2117" t="n">
        <v>0</v>
      </c>
      <c r="B2272" s="2117" t="n">
        <v>16</v>
      </c>
      <c r="C2272" s="2117" t="n">
        <v>11</v>
      </c>
      <c r="D2272" s="2118" t="n">
        <v>7</v>
      </c>
      <c r="E2272" s="2118" t="n">
        <v>5</v>
      </c>
      <c r="G2272" s="1798" t="inlineStr">
        <is>
          <t>ACABAMENTOS EM PISOS E PAVIMENTAÇÕES</t>
        </is>
      </c>
      <c r="H2272" s="1783" t="inlineStr">
        <is>
          <t>SERVIÇO</t>
        </is>
      </c>
      <c r="I2272" s="1750" t="inlineStr">
        <is>
          <t>16.011.007.005</t>
        </is>
      </c>
      <c r="J2272" s="1785" t="inlineStr">
        <is>
          <t>Mão de obra de rodapé Porcelanato</t>
        </is>
      </c>
      <c r="K2272" s="1786" t="inlineStr">
        <is>
          <t>m</t>
        </is>
      </c>
      <c r="L2272" s="1787" t="e">
        <v>#REF!</v>
      </c>
      <c r="M2272" s="1787" t="n">
        <v>24</v>
      </c>
      <c r="N2272" s="1754" t="n"/>
      <c r="O2272" s="1788" t="n"/>
      <c r="P2272" s="1721" t="inlineStr">
        <is>
          <t>Pendente</t>
        </is>
      </c>
    </row>
    <row r="2273" hidden="1" outlineLevel="1" ht="13.5" customHeight="1">
      <c r="A2273" s="2117" t="n">
        <v>0</v>
      </c>
      <c r="B2273" s="2117" t="n">
        <v>16</v>
      </c>
      <c r="C2273" s="2117" t="n">
        <v>12</v>
      </c>
      <c r="D2273" s="2118" t="n">
        <v>0</v>
      </c>
      <c r="E2273" s="2118" t="n">
        <v>5</v>
      </c>
      <c r="G2273" s="1796" t="n"/>
      <c r="H2273" s="1771" t="inlineStr">
        <is>
          <t>ETAPA</t>
        </is>
      </c>
      <c r="I2273" s="1735" t="inlineStr">
        <is>
          <t>16.012</t>
        </is>
      </c>
      <c r="J2273" s="1773" t="inlineStr">
        <is>
          <t>PISOS E PAVIMENTAÇÕES - Duplex Inferior</t>
        </is>
      </c>
      <c r="K2273" s="1774" t="n"/>
      <c r="L2273" s="1775" t="n"/>
      <c r="M2273" s="1775" t="n"/>
      <c r="N2273" s="1739" t="n"/>
      <c r="O2273" s="1776" t="n"/>
      <c r="P2273" s="1719" t="n"/>
    </row>
    <row r="2274" hidden="1" outlineLevel="2" ht="13.5" customHeight="1">
      <c r="A2274" s="2117" t="n">
        <v>0</v>
      </c>
      <c r="B2274" s="2117" t="n">
        <v>16</v>
      </c>
      <c r="C2274" s="2117" t="n">
        <v>12</v>
      </c>
      <c r="D2274" s="2118" t="n">
        <v>1</v>
      </c>
      <c r="E2274" s="2118" t="n">
        <v>0</v>
      </c>
      <c r="G2274" s="1797" t="n"/>
      <c r="H2274" s="1777" t="inlineStr">
        <is>
          <t>SUBETAPA</t>
        </is>
      </c>
      <c r="I2274" s="1742" t="inlineStr">
        <is>
          <t>16.012.001</t>
        </is>
      </c>
      <c r="J2274" s="1779" t="inlineStr">
        <is>
          <t>Contrapiso</t>
        </is>
      </c>
      <c r="K2274" s="1780" t="n"/>
      <c r="L2274" s="1781" t="n"/>
      <c r="M2274" s="1781" t="n"/>
      <c r="N2274" s="1746" t="n"/>
      <c r="O2274" s="1782" t="n"/>
      <c r="P2274" s="1720" t="n"/>
    </row>
    <row r="2275" hidden="1" outlineLevel="3" ht="13.5" customHeight="1">
      <c r="A2275" s="2117" t="n">
        <v>0</v>
      </c>
      <c r="B2275" s="2117" t="n">
        <v>16</v>
      </c>
      <c r="C2275" s="2117" t="n">
        <v>12</v>
      </c>
      <c r="D2275" s="2118" t="n">
        <v>1</v>
      </c>
      <c r="E2275" s="2118" t="n">
        <v>1</v>
      </c>
      <c r="G2275" s="1798" t="inlineStr">
        <is>
          <t>REVESTIMENTOS ARGAMASSADOS PISO</t>
        </is>
      </c>
      <c r="H2275" s="1783" t="inlineStr">
        <is>
          <t>SERVIÇO</t>
        </is>
      </c>
      <c r="I2275" s="1750" t="inlineStr">
        <is>
          <t>16.012.001.001</t>
        </is>
      </c>
      <c r="J2275" s="1785" t="inlineStr">
        <is>
          <t>Contrapiso comum em argamassa estabilizada, auto nivelado, espessura 5cm</t>
        </is>
      </c>
      <c r="K2275" s="1786" t="inlineStr">
        <is>
          <t>m2</t>
        </is>
      </c>
      <c r="L2275" s="1787" t="e">
        <v>#REF!</v>
      </c>
      <c r="M2275" s="1787" t="n">
        <v>44.58523333333333</v>
      </c>
      <c r="N2275" s="1754" t="n"/>
      <c r="O2275" s="1788" t="n"/>
      <c r="P2275" s="1721" t="inlineStr">
        <is>
          <t>Pendente</t>
        </is>
      </c>
    </row>
    <row r="2276" hidden="1" outlineLevel="2" ht="13.5" customHeight="1">
      <c r="A2276" s="2117" t="n">
        <v>0</v>
      </c>
      <c r="B2276" s="2117" t="n">
        <v>16</v>
      </c>
      <c r="C2276" s="2117" t="n">
        <v>12</v>
      </c>
      <c r="D2276" s="2118" t="n">
        <v>2</v>
      </c>
      <c r="E2276" s="2118" t="n">
        <v>0</v>
      </c>
      <c r="G2276" s="1797" t="n"/>
      <c r="H2276" s="1777" t="inlineStr">
        <is>
          <t>SUBETAPA</t>
        </is>
      </c>
      <c r="I2276" s="1742" t="inlineStr">
        <is>
          <t>16.012.002</t>
        </is>
      </c>
      <c r="J2276" s="1743" t="inlineStr">
        <is>
          <t>Isolamento térmico</t>
        </is>
      </c>
      <c r="K2276" s="1780" t="n"/>
      <c r="L2276" s="1781" t="n"/>
      <c r="M2276" s="1781" t="n"/>
      <c r="N2276" s="1746" t="n">
        <v>7488.25816666667</v>
      </c>
      <c r="O2276" s="1782" t="n"/>
      <c r="P2276" s="1720" t="n"/>
    </row>
    <row r="2277" hidden="1" outlineLevel="3" ht="13.5" customHeight="1">
      <c r="A2277" s="2117" t="n">
        <v>0</v>
      </c>
      <c r="B2277" s="2117" t="n">
        <v>16</v>
      </c>
      <c r="C2277" s="2117" t="n">
        <v>12</v>
      </c>
      <c r="D2277" s="2118" t="n">
        <v>2</v>
      </c>
      <c r="E2277" s="2118" t="n">
        <v>1</v>
      </c>
      <c r="G2277" s="1798" t="inlineStr">
        <is>
          <t>REVESTIMENTOS ARGAMASSADOS PISO</t>
        </is>
      </c>
      <c r="H2277" s="1783" t="inlineStr">
        <is>
          <t>SERVIÇO</t>
        </is>
      </c>
      <c r="I2277" s="1750" t="inlineStr">
        <is>
          <t>16.012.002.001</t>
        </is>
      </c>
      <c r="J2277" s="1785" t="inlineStr">
        <is>
          <t>Acústica para Contrapiso com malha de aço e manta polipropileno</t>
        </is>
      </c>
      <c r="K2277" s="1786" t="inlineStr">
        <is>
          <t>m2</t>
        </is>
      </c>
      <c r="L2277" s="1787" t="n">
        <v>150</v>
      </c>
      <c r="M2277" s="1787" t="n">
        <v>49.92172111111111</v>
      </c>
      <c r="N2277" s="1754" t="n">
        <v>7488.25816666667</v>
      </c>
      <c r="O2277" s="1788" t="inlineStr">
        <is>
          <t>Todos os ambientes dos aptos, exceto pelos BWCs, Sacada e A.T</t>
        </is>
      </c>
      <c r="P2277" s="1721" t="inlineStr">
        <is>
          <t>Pendente</t>
        </is>
      </c>
    </row>
    <row r="2278" hidden="1" outlineLevel="2" ht="13.5" customHeight="1">
      <c r="A2278" s="2117" t="n">
        <v>0</v>
      </c>
      <c r="B2278" s="2117" t="n">
        <v>16</v>
      </c>
      <c r="C2278" s="2117" t="n">
        <v>12</v>
      </c>
      <c r="D2278" s="2118" t="n">
        <v>3</v>
      </c>
      <c r="E2278" s="2118" t="n">
        <v>0</v>
      </c>
      <c r="G2278" s="1797" t="n"/>
      <c r="H2278" s="1777" t="inlineStr">
        <is>
          <t>SUBETAPA</t>
        </is>
      </c>
      <c r="I2278" s="1742" t="inlineStr">
        <is>
          <t>16.012.003</t>
        </is>
      </c>
      <c r="J2278" s="1779" t="inlineStr">
        <is>
          <t>Acabamentos cerâmicos em piso</t>
        </is>
      </c>
      <c r="K2278" s="1780" t="n"/>
      <c r="L2278" s="1781" t="n"/>
      <c r="M2278" s="1781" t="n"/>
      <c r="N2278" s="1746" t="n"/>
      <c r="O2278" s="1782" t="n"/>
      <c r="P2278" s="1720" t="n"/>
    </row>
    <row r="2279" hidden="1" outlineLevel="3" ht="13.5" customHeight="1">
      <c r="A2279" s="2117" t="n">
        <v>0</v>
      </c>
      <c r="B2279" s="2117" t="n">
        <v>16</v>
      </c>
      <c r="C2279" s="2117" t="n">
        <v>12</v>
      </c>
      <c r="D2279" s="2118" t="n">
        <v>3</v>
      </c>
      <c r="E2279" s="2118" t="n">
        <v>1</v>
      </c>
      <c r="G2279" s="1798" t="inlineStr">
        <is>
          <t>ACABAMENTOS EM PISOS E PAVIMENTAÇÕES</t>
        </is>
      </c>
      <c r="H2279" s="1783" t="inlineStr">
        <is>
          <t>SERVIÇO</t>
        </is>
      </c>
      <c r="I2279" s="1750" t="inlineStr">
        <is>
          <t>16.012.003.001</t>
        </is>
      </c>
      <c r="J2279" s="1785" t="inlineStr">
        <is>
          <t>Revestimento em Cerâmicas Pisos Internos, 45x 45cm com Junta de 3mm</t>
        </is>
      </c>
      <c r="K2279" s="1786" t="inlineStr">
        <is>
          <t>m2</t>
        </is>
      </c>
      <c r="L2279" s="1787" t="e">
        <v>#REF!</v>
      </c>
      <c r="M2279" s="1787" t="n">
        <v>58.073</v>
      </c>
      <c r="N2279" s="1754" t="n"/>
      <c r="O2279" s="1788" t="n"/>
      <c r="P2279" s="1721" t="inlineStr">
        <is>
          <t>Pendente</t>
        </is>
      </c>
    </row>
    <row r="2280" hidden="1" outlineLevel="3" ht="13.5" customHeight="1">
      <c r="A2280" s="2117" t="n">
        <v>0</v>
      </c>
      <c r="B2280" s="2117" t="n">
        <v>16</v>
      </c>
      <c r="C2280" s="2117" t="n">
        <v>12</v>
      </c>
      <c r="D2280" s="2118" t="n">
        <v>3</v>
      </c>
      <c r="E2280" s="2118" t="n">
        <v>2</v>
      </c>
      <c r="G2280" s="1798" t="inlineStr">
        <is>
          <t>ACABAMENTOS EM PISOS E PAVIMENTAÇÕES</t>
        </is>
      </c>
      <c r="H2280" s="1783" t="inlineStr">
        <is>
          <t>SERVIÇO</t>
        </is>
      </c>
      <c r="I2280" s="1750" t="inlineStr">
        <is>
          <t>16.012.003.002</t>
        </is>
      </c>
      <c r="J2280" s="1785" t="inlineStr">
        <is>
          <t>Revestimento de Piso, Porcelanato Portobello – Posto 10 90x90 Externo Retificado - Linha Ipanema - Padrão Alto</t>
        </is>
      </c>
      <c r="K2280" s="1786" t="inlineStr">
        <is>
          <t>m2</t>
        </is>
      </c>
      <c r="L2280" s="1787" t="e">
        <v>#REF!</v>
      </c>
      <c r="M2280" s="1787" t="n">
        <v>229.8276</v>
      </c>
      <c r="N2280" s="1754" t="n"/>
      <c r="O2280" s="1788" t="n"/>
      <c r="P2280" s="1721" t="inlineStr">
        <is>
          <t>Pendente</t>
        </is>
      </c>
    </row>
    <row r="2281" hidden="1" outlineLevel="3" ht="13.5" customHeight="1">
      <c r="A2281" s="2117" t="n">
        <v>0</v>
      </c>
      <c r="B2281" s="2117" t="n">
        <v>16</v>
      </c>
      <c r="C2281" s="2117" t="n">
        <v>12</v>
      </c>
      <c r="D2281" s="2118" t="n">
        <v>3</v>
      </c>
      <c r="E2281" s="2118" t="n">
        <v>3</v>
      </c>
      <c r="G2281" s="1798" t="inlineStr">
        <is>
          <t>ACABAMENTOS EM PISOS E PAVIMENTAÇÕES</t>
        </is>
      </c>
      <c r="H2281" s="1783" t="inlineStr">
        <is>
          <t>SERVIÇO</t>
        </is>
      </c>
      <c r="I2281" s="1750" t="inlineStr">
        <is>
          <t>16.012.003.003</t>
        </is>
      </c>
      <c r="J2281" s="1785" t="inlineStr">
        <is>
          <t>Revestimento de Piso, Porcelanato Portobello –  90x90 - Padrão Alto</t>
        </is>
      </c>
      <c r="K2281" s="1786" t="inlineStr">
        <is>
          <t>m2</t>
        </is>
      </c>
      <c r="L2281" s="1787" t="e">
        <v>#REF!</v>
      </c>
      <c r="M2281" s="1787" t="n">
        <v>141.8276</v>
      </c>
      <c r="N2281" s="1754" t="n"/>
      <c r="O2281" s="1788" t="n"/>
      <c r="P2281" s="1721" t="inlineStr">
        <is>
          <t>Pendente</t>
        </is>
      </c>
    </row>
    <row r="2282" hidden="1" outlineLevel="2" ht="13.5" customHeight="1">
      <c r="A2282" s="2117" t="n">
        <v>0</v>
      </c>
      <c r="B2282" s="2117" t="n">
        <v>16</v>
      </c>
      <c r="C2282" s="2117" t="n">
        <v>12</v>
      </c>
      <c r="D2282" s="2118" t="n">
        <v>4</v>
      </c>
      <c r="E2282" s="2118" t="n">
        <v>0</v>
      </c>
      <c r="G2282" s="1797" t="n"/>
      <c r="H2282" s="1777" t="inlineStr">
        <is>
          <t>SUBETAPA</t>
        </is>
      </c>
      <c r="I2282" s="1742" t="inlineStr">
        <is>
          <t>16.012.004</t>
        </is>
      </c>
      <c r="J2282" s="1779" t="inlineStr">
        <is>
          <t>Acabamentos em pedra</t>
        </is>
      </c>
      <c r="K2282" s="1780" t="n"/>
      <c r="L2282" s="1781" t="n"/>
      <c r="M2282" s="1781" t="n"/>
      <c r="N2282" s="1746" t="n"/>
      <c r="O2282" s="1782" t="n"/>
      <c r="P2282" s="1720" t="n"/>
    </row>
    <row r="2283" hidden="1" outlineLevel="3" ht="13.5" customHeight="1">
      <c r="A2283" s="2117" t="n">
        <v>0</v>
      </c>
      <c r="B2283" s="2117" t="n">
        <v>16</v>
      </c>
      <c r="C2283" s="2117" t="n">
        <v>12</v>
      </c>
      <c r="D2283" s="2118" t="n">
        <v>4</v>
      </c>
      <c r="E2283" s="2118" t="n">
        <v>1</v>
      </c>
      <c r="G2283" s="1798" t="inlineStr">
        <is>
          <t>ACABAMENTOS EM PISOS E PAVIMENTAÇÕES</t>
        </is>
      </c>
      <c r="H2283" s="1783" t="inlineStr">
        <is>
          <t>SERVIÇO</t>
        </is>
      </c>
      <c r="I2283" s="1750" t="inlineStr">
        <is>
          <t>16.012.004.001</t>
        </is>
      </c>
      <c r="J2283" s="1785" t="inlineStr">
        <is>
          <t>Revestimento de Mármore Natural  Aquecido em Piso</t>
        </is>
      </c>
      <c r="K2283" s="1786" t="inlineStr">
        <is>
          <t>m2</t>
        </is>
      </c>
      <c r="L2283" s="1787" t="e">
        <v>#REF!</v>
      </c>
      <c r="M2283" s="1787" t="n">
        <v>1498.2455</v>
      </c>
      <c r="N2283" s="1754" t="n"/>
      <c r="O2283" s="1788" t="n"/>
      <c r="P2283" s="1721" t="inlineStr">
        <is>
          <t>Pendente</t>
        </is>
      </c>
    </row>
    <row r="2284" hidden="1" outlineLevel="3" ht="13.5" customHeight="1">
      <c r="A2284" s="2117" t="n">
        <v>0</v>
      </c>
      <c r="B2284" s="2117" t="n">
        <v>16</v>
      </c>
      <c r="C2284" s="2117" t="n">
        <v>12</v>
      </c>
      <c r="D2284" s="2118" t="n">
        <v>4</v>
      </c>
      <c r="E2284" s="2118" t="n">
        <v>2</v>
      </c>
      <c r="G2284" s="1798" t="inlineStr">
        <is>
          <t>ACABAMENTOS EM PISOS E PAVIMENTAÇÕES</t>
        </is>
      </c>
      <c r="H2284" s="1783" t="inlineStr">
        <is>
          <t>SERVIÇO</t>
        </is>
      </c>
      <c r="I2284" s="1750" t="inlineStr">
        <is>
          <t>16.012.004.002</t>
        </is>
      </c>
      <c r="J2284" s="1785" t="inlineStr">
        <is>
          <t>Revestimento de Mármore Natural em Piso</t>
        </is>
      </c>
      <c r="K2284" s="1786" t="inlineStr">
        <is>
          <t>m2</t>
        </is>
      </c>
      <c r="L2284" s="1787" t="e">
        <v>#REF!</v>
      </c>
      <c r="M2284" s="1787" t="n">
        <v>898.2455000000001</v>
      </c>
      <c r="N2284" s="1754" t="n"/>
      <c r="O2284" s="1788" t="n"/>
      <c r="P2284" s="1721" t="inlineStr">
        <is>
          <t>Pendente</t>
        </is>
      </c>
    </row>
    <row r="2285" hidden="1" outlineLevel="2" ht="13.5" customHeight="1">
      <c r="A2285" s="2117" t="n">
        <v>0</v>
      </c>
      <c r="B2285" s="2117" t="n">
        <v>16</v>
      </c>
      <c r="C2285" s="2117" t="n">
        <v>12</v>
      </c>
      <c r="D2285" s="2118" t="n">
        <v>5</v>
      </c>
      <c r="E2285" s="2118" t="n">
        <v>0</v>
      </c>
      <c r="G2285" s="1797" t="n"/>
      <c r="H2285" s="1777" t="inlineStr">
        <is>
          <t>SUBETAPA</t>
        </is>
      </c>
      <c r="I2285" s="1742" t="inlineStr">
        <is>
          <t>16.012.005</t>
        </is>
      </c>
      <c r="J2285" s="1779" t="inlineStr">
        <is>
          <t>Acabamentos especiais</t>
        </is>
      </c>
      <c r="K2285" s="1780" t="n"/>
      <c r="L2285" s="1781" t="n"/>
      <c r="M2285" s="1781" t="n"/>
      <c r="N2285" s="1746" t="n"/>
      <c r="O2285" s="1782" t="n"/>
      <c r="P2285" s="1720" t="n"/>
    </row>
    <row r="2286" hidden="1" outlineLevel="3" ht="13.5" customHeight="1">
      <c r="A2286" s="2117" t="n">
        <v>0</v>
      </c>
      <c r="B2286" s="2117" t="n">
        <v>16</v>
      </c>
      <c r="C2286" s="2117" t="n">
        <v>12</v>
      </c>
      <c r="D2286" s="2118" t="n">
        <v>5</v>
      </c>
      <c r="E2286" s="2118" t="n">
        <v>1</v>
      </c>
      <c r="G2286" s="1798" t="inlineStr">
        <is>
          <t>ACABAMENTOS EM PISOS E PAVIMENTAÇÕES</t>
        </is>
      </c>
      <c r="H2286" s="1783" t="inlineStr">
        <is>
          <t>SERVIÇO</t>
        </is>
      </c>
      <c r="I2286" s="1750" t="inlineStr">
        <is>
          <t>16.012.005.001</t>
        </is>
      </c>
      <c r="J2286" s="1751" t="inlineStr">
        <is>
          <t xml:space="preserve">Piso de madeira natural - Cumaru engenheirado - material e mão de obra </t>
        </is>
      </c>
      <c r="K2286" s="1786" t="inlineStr">
        <is>
          <t>m2</t>
        </is>
      </c>
      <c r="L2286" s="1787" t="e">
        <v>#REF!</v>
      </c>
      <c r="M2286" s="1787" t="n">
        <v>825.0000000000001</v>
      </c>
      <c r="N2286" s="1754" t="n"/>
      <c r="O2286" s="1788" t="n"/>
      <c r="P2286" s="1721" t="inlineStr">
        <is>
          <t>Pendente</t>
        </is>
      </c>
    </row>
    <row r="2287" hidden="1" outlineLevel="2" ht="13.5" customHeight="1">
      <c r="A2287" s="2117" t="n">
        <v>0</v>
      </c>
      <c r="B2287" s="2117" t="n">
        <v>16</v>
      </c>
      <c r="C2287" s="2117" t="n">
        <v>12</v>
      </c>
      <c r="D2287" s="2118" t="n">
        <v>6</v>
      </c>
      <c r="E2287" s="2118" t="n">
        <v>0</v>
      </c>
      <c r="G2287" s="1797" t="n"/>
      <c r="H2287" s="1777" t="inlineStr">
        <is>
          <t>SUBETAPA</t>
        </is>
      </c>
      <c r="I2287" s="1742" t="inlineStr">
        <is>
          <t>16.012.006</t>
        </is>
      </c>
      <c r="J2287" s="1779" t="inlineStr">
        <is>
          <t>Rodapés</t>
        </is>
      </c>
      <c r="K2287" s="1780" t="n"/>
      <c r="L2287" s="1781" t="n"/>
      <c r="M2287" s="1781" t="n"/>
      <c r="N2287" s="1746" t="n"/>
      <c r="O2287" s="1782" t="n"/>
      <c r="P2287" s="1720" t="n"/>
    </row>
    <row r="2288" hidden="1" outlineLevel="3" ht="13.5" customHeight="1">
      <c r="A2288" s="2117" t="n">
        <v>0</v>
      </c>
      <c r="B2288" s="2117" t="n">
        <v>16</v>
      </c>
      <c r="C2288" s="2117" t="n">
        <v>12</v>
      </c>
      <c r="D2288" s="2118" t="n">
        <v>6</v>
      </c>
      <c r="E2288" s="2118" t="n">
        <v>1</v>
      </c>
      <c r="G2288" s="1798" t="inlineStr">
        <is>
          <t>ACABAMENTOS EM PISOS E PAVIMENTAÇÕES</t>
        </is>
      </c>
      <c r="H2288" s="1783" t="inlineStr">
        <is>
          <t>SERVIÇO</t>
        </is>
      </c>
      <c r="I2288" s="1750" t="inlineStr">
        <is>
          <t>16.012.006.001</t>
        </is>
      </c>
      <c r="J2288" s="1785" t="inlineStr">
        <is>
          <t>Rodapé de Cerâmico h=15cm</t>
        </is>
      </c>
      <c r="K2288" s="1786" t="inlineStr">
        <is>
          <t>m</t>
        </is>
      </c>
      <c r="L2288" s="1787" t="e">
        <v>#REF!</v>
      </c>
      <c r="M2288" s="1787" t="n">
        <v>10.114275</v>
      </c>
      <c r="N2288" s="1754" t="n"/>
      <c r="O2288" s="1788" t="n"/>
      <c r="P2288" s="1721" t="inlineStr">
        <is>
          <t>Pendente</t>
        </is>
      </c>
    </row>
    <row r="2289" hidden="1" outlineLevel="3" ht="13.5" customHeight="1">
      <c r="A2289" s="2117" t="n">
        <v>0</v>
      </c>
      <c r="B2289" s="2117" t="n">
        <v>16</v>
      </c>
      <c r="C2289" s="2117" t="n">
        <v>12</v>
      </c>
      <c r="D2289" s="2118" t="n">
        <v>6</v>
      </c>
      <c r="E2289" s="2118" t="n">
        <v>2</v>
      </c>
      <c r="G2289" s="1798" t="inlineStr">
        <is>
          <t>ACABAMENTOS EM PISOS E PAVIMENTAÇÕES</t>
        </is>
      </c>
      <c r="H2289" s="1783" t="inlineStr">
        <is>
          <t>SERVIÇO</t>
        </is>
      </c>
      <c r="I2289" s="1750" t="inlineStr">
        <is>
          <t>16.012.006.002</t>
        </is>
      </c>
      <c r="J2289" s="1785" t="inlineStr">
        <is>
          <t>Rodapé de Poliestireno h=15cm</t>
        </is>
      </c>
      <c r="K2289" s="1786" t="inlineStr">
        <is>
          <t>m</t>
        </is>
      </c>
      <c r="L2289" s="1787" t="e">
        <v>#REF!</v>
      </c>
      <c r="M2289" s="1787" t="n">
        <v>43.82058333333333</v>
      </c>
      <c r="N2289" s="1754" t="n"/>
      <c r="O2289" s="1788" t="n"/>
      <c r="P2289" s="1721" t="inlineStr">
        <is>
          <t>Pendente</t>
        </is>
      </c>
    </row>
    <row r="2290" hidden="1" outlineLevel="3" ht="13.5" customHeight="1">
      <c r="A2290" s="2117" t="n">
        <v>0</v>
      </c>
      <c r="B2290" s="2117" t="n">
        <v>16</v>
      </c>
      <c r="C2290" s="2117" t="n">
        <v>12</v>
      </c>
      <c r="D2290" s="2118" t="n">
        <v>6</v>
      </c>
      <c r="E2290" s="2118" t="n">
        <v>3</v>
      </c>
      <c r="G2290" s="1798" t="inlineStr">
        <is>
          <t>ACABAMENTOS EM PISOS E PAVIMENTAÇÕES</t>
        </is>
      </c>
      <c r="H2290" s="1783" t="inlineStr">
        <is>
          <t>SERVIÇO</t>
        </is>
      </c>
      <c r="I2290" s="1750" t="inlineStr">
        <is>
          <t>16.012.006.003</t>
        </is>
      </c>
      <c r="J2290" s="1785" t="inlineStr">
        <is>
          <t>Rodapé de porcelanato h=15cm, Padrão Alto</t>
        </is>
      </c>
      <c r="K2290" s="1786" t="inlineStr">
        <is>
          <t>m</t>
        </is>
      </c>
      <c r="L2290" s="1787" t="e">
        <v>#REF!</v>
      </c>
      <c r="M2290" s="1787" t="n">
        <v>22.121325</v>
      </c>
      <c r="N2290" s="1754" t="n"/>
      <c r="O2290" s="1788" t="n"/>
      <c r="P2290" s="1721" t="inlineStr">
        <is>
          <t>Pendente</t>
        </is>
      </c>
    </row>
    <row r="2291" hidden="1" outlineLevel="2" ht="13.5" customHeight="1">
      <c r="A2291" s="2117" t="n">
        <v>0</v>
      </c>
      <c r="B2291" s="2117" t="n">
        <v>16</v>
      </c>
      <c r="C2291" s="2117" t="n">
        <v>12</v>
      </c>
      <c r="D2291" s="2118" t="n">
        <v>7</v>
      </c>
      <c r="E2291" s="2118" t="n">
        <v>0</v>
      </c>
      <c r="G2291" s="1797" t="n"/>
      <c r="H2291" s="1777" t="inlineStr">
        <is>
          <t>SUBETAPA</t>
        </is>
      </c>
      <c r="I2291" s="1742" t="inlineStr">
        <is>
          <t>16.012.007</t>
        </is>
      </c>
      <c r="J2291" s="1779" t="inlineStr">
        <is>
          <t>Mão de obra - Revestimentos</t>
        </is>
      </c>
      <c r="K2291" s="1780" t="n"/>
      <c r="L2291" s="1781" t="n"/>
      <c r="M2291" s="1781" t="n"/>
      <c r="N2291" s="1746" t="n"/>
      <c r="O2291" s="1782" t="n"/>
      <c r="P2291" s="1720" t="n"/>
    </row>
    <row r="2292" hidden="1" outlineLevel="3" ht="13.5" customHeight="1">
      <c r="A2292" s="2117" t="n">
        <v>0</v>
      </c>
      <c r="B2292" s="2117" t="n">
        <v>16</v>
      </c>
      <c r="C2292" s="2117" t="n">
        <v>12</v>
      </c>
      <c r="D2292" s="2118" t="n">
        <v>7</v>
      </c>
      <c r="E2292" s="2118" t="n">
        <v>1</v>
      </c>
      <c r="G2292" s="1798" t="inlineStr">
        <is>
          <t>REVESTIMENTOS ARGAMASSADOS PISO</t>
        </is>
      </c>
      <c r="H2292" s="1783" t="inlineStr">
        <is>
          <t>SERVIÇO</t>
        </is>
      </c>
      <c r="I2292" s="1750" t="inlineStr">
        <is>
          <t>16.012.007.001</t>
        </is>
      </c>
      <c r="J2292" s="1785" t="inlineStr">
        <is>
          <t>Mão de obra execução de contrapiso comum e Acústico</t>
        </is>
      </c>
      <c r="K2292" s="1786" t="inlineStr">
        <is>
          <t>m2</t>
        </is>
      </c>
      <c r="L2292" s="1787" t="e">
        <v>#REF!</v>
      </c>
      <c r="M2292" s="1787" t="n">
        <v>40</v>
      </c>
      <c r="N2292" s="1754" t="n"/>
      <c r="O2292" s="1788" t="n"/>
      <c r="P2292" s="1721" t="inlineStr">
        <is>
          <t>Pendente</t>
        </is>
      </c>
    </row>
    <row r="2293" hidden="1" outlineLevel="3" ht="13.5" customHeight="1">
      <c r="A2293" s="2117" t="n">
        <v>0</v>
      </c>
      <c r="B2293" s="2117" t="n">
        <v>16</v>
      </c>
      <c r="C2293" s="2117" t="n">
        <v>12</v>
      </c>
      <c r="D2293" s="2118" t="n">
        <v>7</v>
      </c>
      <c r="E2293" s="2118" t="n">
        <v>2</v>
      </c>
      <c r="G2293" s="1798" t="inlineStr">
        <is>
          <t>ACABAMENTOS EM PISOS E PAVIMENTAÇÕES</t>
        </is>
      </c>
      <c r="H2293" s="1783" t="inlineStr">
        <is>
          <t>SERVIÇO</t>
        </is>
      </c>
      <c r="I2293" s="1750" t="inlineStr">
        <is>
          <t>16.012.007.002</t>
        </is>
      </c>
      <c r="J2293" s="1785" t="inlineStr">
        <is>
          <t>Mão de Obra Piso Porcenato/ Cerâmico</t>
        </is>
      </c>
      <c r="K2293" s="1786" t="inlineStr">
        <is>
          <t>m2</t>
        </is>
      </c>
      <c r="L2293" s="1787" t="e">
        <v>#REF!</v>
      </c>
      <c r="M2293" s="1787" t="n">
        <v>75</v>
      </c>
      <c r="N2293" s="1754" t="n"/>
      <c r="O2293" s="1788" t="n"/>
      <c r="P2293" s="1721" t="inlineStr">
        <is>
          <t>Pendente</t>
        </is>
      </c>
    </row>
    <row r="2294" hidden="1" outlineLevel="3" ht="13.5" customHeight="1">
      <c r="A2294" s="2117" t="n">
        <v>0</v>
      </c>
      <c r="B2294" s="2117" t="n">
        <v>16</v>
      </c>
      <c r="C2294" s="2117" t="n">
        <v>12</v>
      </c>
      <c r="D2294" s="2118" t="n">
        <v>7</v>
      </c>
      <c r="E2294" s="2118" t="n">
        <v>3</v>
      </c>
      <c r="G2294" s="1798" t="inlineStr">
        <is>
          <t>ACABAMENTOS EM PISOS E PAVIMENTAÇÕES</t>
        </is>
      </c>
      <c r="H2294" s="1783" t="inlineStr">
        <is>
          <t>SERVIÇO</t>
        </is>
      </c>
      <c r="I2294" s="1750" t="inlineStr">
        <is>
          <t>16.012.007.003</t>
        </is>
      </c>
      <c r="J2294" s="1785" t="inlineStr">
        <is>
          <t>Mão de obra para assentamento de Pedras Naturais e Mármores em piso</t>
        </is>
      </c>
      <c r="K2294" s="1786" t="inlineStr">
        <is>
          <t>m2</t>
        </is>
      </c>
      <c r="L2294" s="1787" t="e">
        <v>#REF!</v>
      </c>
      <c r="M2294" s="1787" t="n">
        <v>85</v>
      </c>
      <c r="N2294" s="1754" t="n"/>
      <c r="O2294" s="1788" t="n"/>
      <c r="P2294" s="1721" t="inlineStr">
        <is>
          <t>Pendente</t>
        </is>
      </c>
    </row>
    <row r="2295" hidden="1" outlineLevel="3" ht="13.5" customHeight="1">
      <c r="A2295" s="2117" t="n">
        <v>0</v>
      </c>
      <c r="B2295" s="2117" t="n">
        <v>16</v>
      </c>
      <c r="C2295" s="2117" t="n">
        <v>12</v>
      </c>
      <c r="D2295" s="2118" t="n">
        <v>7</v>
      </c>
      <c r="E2295" s="2118" t="n">
        <v>4</v>
      </c>
      <c r="G2295" s="1798" t="inlineStr">
        <is>
          <t>ACABAMENTOS EM PISOS E PAVIMENTAÇÕES</t>
        </is>
      </c>
      <c r="H2295" s="1783" t="inlineStr">
        <is>
          <t>SERVIÇO</t>
        </is>
      </c>
      <c r="I2295" s="1750" t="inlineStr">
        <is>
          <t>16.012.007.004</t>
        </is>
      </c>
      <c r="J2295" s="1785" t="inlineStr">
        <is>
          <t>Mão de obra de rodapé Poliestireno</t>
        </is>
      </c>
      <c r="K2295" s="1786" t="inlineStr">
        <is>
          <t>m</t>
        </is>
      </c>
      <c r="L2295" s="1787" t="e">
        <v>#REF!</v>
      </c>
      <c r="M2295" s="1787" t="n">
        <v>28</v>
      </c>
      <c r="N2295" s="1754" t="n"/>
      <c r="O2295" s="1788" t="n"/>
      <c r="P2295" s="1721" t="inlineStr">
        <is>
          <t>Pendente</t>
        </is>
      </c>
    </row>
    <row r="2296" hidden="1" outlineLevel="3" ht="13.5" customHeight="1">
      <c r="A2296" s="2117" t="n">
        <v>0</v>
      </c>
      <c r="B2296" s="2117" t="n">
        <v>16</v>
      </c>
      <c r="C2296" s="2117" t="n">
        <v>12</v>
      </c>
      <c r="D2296" s="2118" t="n">
        <v>7</v>
      </c>
      <c r="E2296" s="2118" t="n">
        <v>5</v>
      </c>
      <c r="G2296" s="1798" t="inlineStr">
        <is>
          <t>ACABAMENTOS EM PISOS E PAVIMENTAÇÕES</t>
        </is>
      </c>
      <c r="H2296" s="1783" t="inlineStr">
        <is>
          <t>SERVIÇO</t>
        </is>
      </c>
      <c r="I2296" s="1750" t="inlineStr">
        <is>
          <t>16.012.007.005</t>
        </is>
      </c>
      <c r="J2296" s="1785" t="inlineStr">
        <is>
          <t>Mão de obra de rodapé Porcelanato</t>
        </is>
      </c>
      <c r="K2296" s="1786" t="inlineStr">
        <is>
          <t>m</t>
        </is>
      </c>
      <c r="L2296" s="1787" t="e">
        <v>#REF!</v>
      </c>
      <c r="M2296" s="1787" t="n">
        <v>24</v>
      </c>
      <c r="N2296" s="1754" t="n"/>
      <c r="O2296" s="1788" t="n"/>
      <c r="P2296" s="1721" t="inlineStr">
        <is>
          <t>Pendente</t>
        </is>
      </c>
    </row>
    <row r="2297" hidden="1" outlineLevel="1" ht="13.5" customHeight="1">
      <c r="A2297" s="2117" t="n">
        <v>0</v>
      </c>
      <c r="B2297" s="2117" t="n">
        <v>16</v>
      </c>
      <c r="C2297" s="2117" t="n">
        <v>13</v>
      </c>
      <c r="D2297" s="2118" t="n">
        <v>0</v>
      </c>
      <c r="E2297" s="2118" t="n">
        <v>5</v>
      </c>
      <c r="G2297" s="1796" t="n"/>
      <c r="H2297" s="1771" t="inlineStr">
        <is>
          <t>ETAPA</t>
        </is>
      </c>
      <c r="I2297" s="1735" t="inlineStr">
        <is>
          <t>16.013</t>
        </is>
      </c>
      <c r="J2297" s="1773" t="inlineStr">
        <is>
          <t>PISOS E PAVIMENTAÇÕES - Duplex Superior</t>
        </is>
      </c>
      <c r="K2297" s="1774" t="n"/>
      <c r="L2297" s="1775" t="n"/>
      <c r="M2297" s="1775" t="n"/>
      <c r="N2297" s="1739" t="n"/>
      <c r="O2297" s="1776" t="n"/>
      <c r="P2297" s="1719" t="n"/>
    </row>
    <row r="2298" hidden="1" outlineLevel="2" ht="13.5" customHeight="1">
      <c r="A2298" s="2117" t="n">
        <v>0</v>
      </c>
      <c r="B2298" s="2117" t="n">
        <v>16</v>
      </c>
      <c r="C2298" s="2117" t="n">
        <v>13</v>
      </c>
      <c r="D2298" s="2118" t="n">
        <v>1</v>
      </c>
      <c r="E2298" s="2118" t="n">
        <v>0</v>
      </c>
      <c r="G2298" s="1797" t="n"/>
      <c r="H2298" s="1777" t="inlineStr">
        <is>
          <t>SUBETAPA</t>
        </is>
      </c>
      <c r="I2298" s="1742" t="inlineStr">
        <is>
          <t>16.013.001</t>
        </is>
      </c>
      <c r="J2298" s="1779" t="inlineStr">
        <is>
          <t>Contrapiso</t>
        </is>
      </c>
      <c r="K2298" s="1780" t="n"/>
      <c r="L2298" s="1781" t="n"/>
      <c r="M2298" s="1781" t="n"/>
      <c r="N2298" s="1746" t="n"/>
      <c r="O2298" s="1782" t="n"/>
      <c r="P2298" s="1720" t="n"/>
    </row>
    <row r="2299" hidden="1" outlineLevel="3" ht="13.5" customHeight="1">
      <c r="A2299" s="2117" t="n">
        <v>0</v>
      </c>
      <c r="B2299" s="2117" t="n">
        <v>16</v>
      </c>
      <c r="C2299" s="2117" t="n">
        <v>13</v>
      </c>
      <c r="D2299" s="2118" t="n">
        <v>1</v>
      </c>
      <c r="E2299" s="2118" t="n">
        <v>1</v>
      </c>
      <c r="G2299" s="1798" t="inlineStr">
        <is>
          <t>REVESTIMENTOS ARGAMASSADOS PISO</t>
        </is>
      </c>
      <c r="H2299" s="1783" t="inlineStr">
        <is>
          <t>SERVIÇO</t>
        </is>
      </c>
      <c r="I2299" s="1750" t="inlineStr">
        <is>
          <t>16.013.001.001</t>
        </is>
      </c>
      <c r="J2299" s="1785" t="inlineStr">
        <is>
          <t>Contrapiso comum em argamassa estabilizada, auto nivelado, espessura 5cm</t>
        </is>
      </c>
      <c r="K2299" s="1786" t="inlineStr">
        <is>
          <t>m2</t>
        </is>
      </c>
      <c r="L2299" s="1787" t="e">
        <v>#REF!</v>
      </c>
      <c r="M2299" s="1787" t="n">
        <v>44.58523333333333</v>
      </c>
      <c r="N2299" s="1754" t="n"/>
      <c r="O2299" s="1788" t="n"/>
      <c r="P2299" s="1721" t="inlineStr">
        <is>
          <t>Pendente</t>
        </is>
      </c>
    </row>
    <row r="2300" hidden="1" outlineLevel="3" ht="13.5" customHeight="1">
      <c r="A2300" s="2117" t="n">
        <v>0</v>
      </c>
      <c r="B2300" s="2117" t="n">
        <v>16</v>
      </c>
      <c r="C2300" s="2117" t="n">
        <v>13</v>
      </c>
      <c r="D2300" s="2118" t="n">
        <v>1</v>
      </c>
      <c r="E2300" s="2118" t="n">
        <v>2</v>
      </c>
      <c r="G2300" s="1798" t="inlineStr">
        <is>
          <t>REVESTIMENTOS ARGAMASSADOS PISO</t>
        </is>
      </c>
      <c r="H2300" s="1783" t="inlineStr">
        <is>
          <t>SERVIÇO</t>
        </is>
      </c>
      <c r="I2300" s="1750" t="inlineStr">
        <is>
          <t>16.013.001.002</t>
        </is>
      </c>
      <c r="J2300" s="1785" t="inlineStr">
        <is>
          <t xml:space="preserve">Regularização de Piso 5,00 cm </t>
        </is>
      </c>
      <c r="K2300" s="1786" t="inlineStr">
        <is>
          <t>m2</t>
        </is>
      </c>
      <c r="L2300" s="1787" t="e">
        <v>#REF!</v>
      </c>
      <c r="M2300" s="1787" t="n">
        <v>30.18523333333334</v>
      </c>
      <c r="N2300" s="1754" t="n"/>
      <c r="O2300" s="1788" t="inlineStr">
        <is>
          <t>Na piscina do duplex superior</t>
        </is>
      </c>
      <c r="P2300" s="1721" t="inlineStr">
        <is>
          <t>Pendente</t>
        </is>
      </c>
    </row>
    <row r="2301" hidden="1" outlineLevel="2" ht="13.5" customHeight="1">
      <c r="A2301" s="2117" t="n">
        <v>0</v>
      </c>
      <c r="B2301" s="2117" t="n">
        <v>16</v>
      </c>
      <c r="C2301" s="2117" t="n">
        <v>13</v>
      </c>
      <c r="D2301" s="2118" t="n">
        <v>2</v>
      </c>
      <c r="E2301" s="2118" t="n">
        <v>0</v>
      </c>
      <c r="G2301" s="1797" t="n"/>
      <c r="H2301" s="1777" t="inlineStr">
        <is>
          <t>SUBETAPA</t>
        </is>
      </c>
      <c r="I2301" s="1742" t="inlineStr">
        <is>
          <t>16.013.002</t>
        </is>
      </c>
      <c r="J2301" s="1743" t="inlineStr">
        <is>
          <t>Isolamento térmico</t>
        </is>
      </c>
      <c r="K2301" s="1780" t="n"/>
      <c r="L2301" s="1781" t="n"/>
      <c r="M2301" s="1781" t="n"/>
      <c r="N2301" s="1746" t="n">
        <v>6689.51062888889</v>
      </c>
      <c r="O2301" s="1782" t="n"/>
      <c r="P2301" s="1720" t="n"/>
    </row>
    <row r="2302" hidden="1" outlineLevel="3" ht="13.5" customHeight="1">
      <c r="A2302" s="2117" t="n">
        <v>0</v>
      </c>
      <c r="B2302" s="2117" t="n">
        <v>16</v>
      </c>
      <c r="C2302" s="2117" t="n">
        <v>13</v>
      </c>
      <c r="D2302" s="2118" t="n">
        <v>2</v>
      </c>
      <c r="E2302" s="2118" t="n">
        <v>1</v>
      </c>
      <c r="G2302" s="1798" t="inlineStr">
        <is>
          <t>REVESTIMENTOS ARGAMASSADOS PISO</t>
        </is>
      </c>
      <c r="H2302" s="1783" t="inlineStr">
        <is>
          <t>SERVIÇO</t>
        </is>
      </c>
      <c r="I2302" s="1750" t="inlineStr">
        <is>
          <t>16.013.002.001</t>
        </is>
      </c>
      <c r="J2302" s="1785" t="inlineStr">
        <is>
          <t>Acústica para Contrapiso com malha de aço e manta polipropileno</t>
        </is>
      </c>
      <c r="K2302" s="1786" t="inlineStr">
        <is>
          <t>m2</t>
        </is>
      </c>
      <c r="L2302" s="1787" t="n">
        <v>134</v>
      </c>
      <c r="M2302" s="1787" t="n">
        <v>49.92172111111111</v>
      </c>
      <c r="N2302" s="1754" t="n">
        <v>6689.51062888889</v>
      </c>
      <c r="O2302" s="1788" t="inlineStr">
        <is>
          <t>Todos os ambientes dos aptos, exceto pelos BWCs, Sacada e A.T</t>
        </is>
      </c>
      <c r="P2302" s="1721" t="inlineStr">
        <is>
          <t>Pendente</t>
        </is>
      </c>
    </row>
    <row r="2303" hidden="1" outlineLevel="2" ht="13.5" customHeight="1">
      <c r="A2303" s="2117" t="n">
        <v>0</v>
      </c>
      <c r="B2303" s="2117" t="n">
        <v>16</v>
      </c>
      <c r="C2303" s="2117" t="n">
        <v>13</v>
      </c>
      <c r="D2303" s="2118" t="n">
        <v>3</v>
      </c>
      <c r="E2303" s="2118" t="n">
        <v>0</v>
      </c>
      <c r="G2303" s="1797" t="n"/>
      <c r="H2303" s="1777" t="inlineStr">
        <is>
          <t>SUBETAPA</t>
        </is>
      </c>
      <c r="I2303" s="1742" t="inlineStr">
        <is>
          <t>16.013.003</t>
        </is>
      </c>
      <c r="J2303" s="1779" t="inlineStr">
        <is>
          <t>Acabamentos cerâmicos em piso</t>
        </is>
      </c>
      <c r="K2303" s="1780" t="n"/>
      <c r="L2303" s="1781" t="n"/>
      <c r="M2303" s="1781" t="n"/>
      <c r="N2303" s="1746" t="n"/>
      <c r="O2303" s="1782" t="n"/>
      <c r="P2303" s="1720" t="n"/>
    </row>
    <row r="2304" hidden="1" outlineLevel="3" ht="13.5" customHeight="1">
      <c r="A2304" s="2117" t="n">
        <v>0</v>
      </c>
      <c r="B2304" s="2117" t="n">
        <v>16</v>
      </c>
      <c r="C2304" s="2117" t="n">
        <v>13</v>
      </c>
      <c r="D2304" s="2118" t="n">
        <v>3</v>
      </c>
      <c r="E2304" s="2118" t="n">
        <v>1</v>
      </c>
      <c r="G2304" s="1798" t="inlineStr">
        <is>
          <t>ACABAMENTOS EM PISOS E PAVIMENTAÇÕES</t>
        </is>
      </c>
      <c r="H2304" s="1783" t="inlineStr">
        <is>
          <t>SERVIÇO</t>
        </is>
      </c>
      <c r="I2304" s="1750" t="inlineStr">
        <is>
          <t>16.013.003.001</t>
        </is>
      </c>
      <c r="J2304" s="1785" t="inlineStr">
        <is>
          <t>Revestimento em Cerâmicas Pisos Internos, 45x 45cm com Junta de 3mm</t>
        </is>
      </c>
      <c r="K2304" s="1786" t="inlineStr">
        <is>
          <t>m2</t>
        </is>
      </c>
      <c r="L2304" s="1787" t="e">
        <v>#REF!</v>
      </c>
      <c r="M2304" s="1787" t="n">
        <v>58.073</v>
      </c>
      <c r="N2304" s="1754" t="n"/>
      <c r="O2304" s="1788" t="n"/>
      <c r="P2304" s="1721" t="inlineStr">
        <is>
          <t>Pendente</t>
        </is>
      </c>
    </row>
    <row r="2305" hidden="1" outlineLevel="3" ht="13.5" customHeight="1">
      <c r="A2305" s="2117" t="n">
        <v>0</v>
      </c>
      <c r="B2305" s="2117" t="n">
        <v>16</v>
      </c>
      <c r="C2305" s="2117" t="n">
        <v>13</v>
      </c>
      <c r="D2305" s="2118" t="n">
        <v>3</v>
      </c>
      <c r="E2305" s="2118" t="n">
        <v>2</v>
      </c>
      <c r="G2305" s="1798" t="inlineStr">
        <is>
          <t>ACABAMENTOS EM PISOS E PAVIMENTAÇÕES</t>
        </is>
      </c>
      <c r="H2305" s="1783" t="inlineStr">
        <is>
          <t>SERVIÇO</t>
        </is>
      </c>
      <c r="I2305" s="1750" t="inlineStr">
        <is>
          <t>16.013.003.002</t>
        </is>
      </c>
      <c r="J2305" s="1785" t="inlineStr">
        <is>
          <t>Revestimento de Piso, Porcelanato Portobello – Posto 10 90x90 Externo Retificado - Linha Ipanema - Padrão Alto</t>
        </is>
      </c>
      <c r="K2305" s="1786" t="inlineStr">
        <is>
          <t>m2</t>
        </is>
      </c>
      <c r="L2305" s="1787" t="e">
        <v>#REF!</v>
      </c>
      <c r="M2305" s="1787" t="n">
        <v>229.8276</v>
      </c>
      <c r="N2305" s="1754" t="n"/>
      <c r="O2305" s="1788" t="n"/>
      <c r="P2305" s="1721" t="inlineStr">
        <is>
          <t>Pendente</t>
        </is>
      </c>
    </row>
    <row r="2306" hidden="1" outlineLevel="3" ht="13.5" customHeight="1">
      <c r="A2306" s="2117" t="n">
        <v>0</v>
      </c>
      <c r="B2306" s="2117" t="n">
        <v>16</v>
      </c>
      <c r="C2306" s="2117" t="n">
        <v>13</v>
      </c>
      <c r="D2306" s="2118" t="n">
        <v>3</v>
      </c>
      <c r="E2306" s="2118" t="n">
        <v>3</v>
      </c>
      <c r="G2306" s="1798" t="inlineStr">
        <is>
          <t>ACABAMENTOS EM PISOS E PAVIMENTAÇÕES</t>
        </is>
      </c>
      <c r="H2306" s="1783" t="inlineStr">
        <is>
          <t>SERVIÇO</t>
        </is>
      </c>
      <c r="I2306" s="1750" t="inlineStr">
        <is>
          <t>16.013.003.003</t>
        </is>
      </c>
      <c r="J2306" s="1785" t="inlineStr">
        <is>
          <t>Revestimento de Piso, Porcelanato Portobello –  90x90 - Padrão Alto</t>
        </is>
      </c>
      <c r="K2306" s="1786" t="inlineStr">
        <is>
          <t>m2</t>
        </is>
      </c>
      <c r="L2306" s="1787" t="e">
        <v>#REF!</v>
      </c>
      <c r="M2306" s="1787" t="n">
        <v>141.8276</v>
      </c>
      <c r="N2306" s="1754" t="n"/>
      <c r="O2306" s="1788" t="n"/>
      <c r="P2306" s="1721" t="inlineStr">
        <is>
          <t>Pendente</t>
        </is>
      </c>
    </row>
    <row r="2307" hidden="1" outlineLevel="2" ht="13.5" customHeight="1">
      <c r="A2307" s="2117" t="n">
        <v>0</v>
      </c>
      <c r="B2307" s="2117" t="n">
        <v>16</v>
      </c>
      <c r="C2307" s="2117" t="n">
        <v>13</v>
      </c>
      <c r="D2307" s="2118" t="n">
        <v>4</v>
      </c>
      <c r="E2307" s="2118" t="n">
        <v>0</v>
      </c>
      <c r="G2307" s="1797" t="n"/>
      <c r="H2307" s="1777" t="inlineStr">
        <is>
          <t>SUBETAPA</t>
        </is>
      </c>
      <c r="I2307" s="1742" t="inlineStr">
        <is>
          <t>16.013.004</t>
        </is>
      </c>
      <c r="J2307" s="1779" t="inlineStr">
        <is>
          <t>Acabamentos em pedra</t>
        </is>
      </c>
      <c r="K2307" s="1780" t="n"/>
      <c r="L2307" s="1781" t="n"/>
      <c r="M2307" s="1781" t="n"/>
      <c r="N2307" s="1746" t="n"/>
      <c r="O2307" s="1782" t="n"/>
      <c r="P2307" s="1720" t="n"/>
    </row>
    <row r="2308" hidden="1" outlineLevel="3" ht="13.5" customHeight="1">
      <c r="A2308" s="2117" t="n">
        <v>0</v>
      </c>
      <c r="B2308" s="2117" t="n">
        <v>16</v>
      </c>
      <c r="C2308" s="2117" t="n">
        <v>13</v>
      </c>
      <c r="D2308" s="2118" t="n">
        <v>4</v>
      </c>
      <c r="E2308" s="2118" t="n">
        <v>1</v>
      </c>
      <c r="G2308" s="1798" t="inlineStr">
        <is>
          <t>ACABAMENTOS EM PISOS E PAVIMENTAÇÕES</t>
        </is>
      </c>
      <c r="H2308" s="1783" t="inlineStr">
        <is>
          <t>SERVIÇO</t>
        </is>
      </c>
      <c r="I2308" s="1750" t="inlineStr">
        <is>
          <t>16.013.004.001</t>
        </is>
      </c>
      <c r="J2308" s="1785" t="inlineStr">
        <is>
          <t>Revestimento de Mármore Natural em Piso</t>
        </is>
      </c>
      <c r="K2308" s="1786" t="inlineStr">
        <is>
          <t>m2</t>
        </is>
      </c>
      <c r="L2308" s="1787" t="e">
        <v>#REF!</v>
      </c>
      <c r="M2308" s="1787" t="n">
        <v>898.2455000000001</v>
      </c>
      <c r="N2308" s="1754" t="n"/>
      <c r="O2308" s="1788" t="n"/>
      <c r="P2308" s="1721" t="inlineStr">
        <is>
          <t>Pendente</t>
        </is>
      </c>
    </row>
    <row r="2309" hidden="1" outlineLevel="3" ht="13.5" customHeight="1">
      <c r="A2309" s="2117" t="n">
        <v>0</v>
      </c>
      <c r="B2309" s="2117" t="n">
        <v>16</v>
      </c>
      <c r="C2309" s="2117" t="n">
        <v>13</v>
      </c>
      <c r="D2309" s="2118" t="n">
        <v>4</v>
      </c>
      <c r="E2309" s="2118" t="n">
        <v>2</v>
      </c>
      <c r="G2309" s="1798" t="inlineStr">
        <is>
          <t>ACABAMENTOS EM PISOS E PAVIMENTAÇÕES</t>
        </is>
      </c>
      <c r="H2309" s="1783" t="inlineStr">
        <is>
          <t>SERVIÇO</t>
        </is>
      </c>
      <c r="I2309" s="1750" t="inlineStr">
        <is>
          <t>16.013.004.002</t>
        </is>
      </c>
      <c r="J2309" s="1785" t="inlineStr">
        <is>
          <t>Revestimento de Mármore Travertino Romano em Piso</t>
        </is>
      </c>
      <c r="K2309" s="1786" t="inlineStr">
        <is>
          <t>m2</t>
        </is>
      </c>
      <c r="L2309" s="1787" t="e">
        <v>#REF!</v>
      </c>
      <c r="M2309" s="1787" t="n">
        <v>1448.2455</v>
      </c>
      <c r="N2309" s="1754" t="n"/>
      <c r="O2309" s="1788" t="n"/>
      <c r="P2309" s="1721" t="inlineStr">
        <is>
          <t>Pendente</t>
        </is>
      </c>
    </row>
    <row r="2310" hidden="1" outlineLevel="2" ht="13.5" customHeight="1">
      <c r="A2310" s="2117" t="n">
        <v>0</v>
      </c>
      <c r="B2310" s="2117" t="n">
        <v>16</v>
      </c>
      <c r="C2310" s="2117" t="n">
        <v>13</v>
      </c>
      <c r="D2310" s="2118" t="n">
        <v>5</v>
      </c>
      <c r="E2310" s="2118" t="n">
        <v>0</v>
      </c>
      <c r="G2310" s="1797" t="n"/>
      <c r="H2310" s="1777" t="inlineStr">
        <is>
          <t>SUBETAPA</t>
        </is>
      </c>
      <c r="I2310" s="1742" t="inlineStr">
        <is>
          <t>16.013.005</t>
        </is>
      </c>
      <c r="J2310" s="1779" t="inlineStr">
        <is>
          <t>Rodapés</t>
        </is>
      </c>
      <c r="K2310" s="1780" t="n"/>
      <c r="L2310" s="1781" t="n"/>
      <c r="M2310" s="1781" t="n"/>
      <c r="N2310" s="1746" t="n"/>
      <c r="O2310" s="1782" t="n"/>
      <c r="P2310" s="1720" t="n"/>
    </row>
    <row r="2311" hidden="1" outlineLevel="3" ht="13.5" customHeight="1">
      <c r="A2311" s="2117" t="n">
        <v>0</v>
      </c>
      <c r="B2311" s="2117" t="n">
        <v>16</v>
      </c>
      <c r="C2311" s="2117" t="n">
        <v>13</v>
      </c>
      <c r="D2311" s="2118" t="n">
        <v>5</v>
      </c>
      <c r="E2311" s="2118" t="n">
        <v>1</v>
      </c>
      <c r="G2311" s="1798" t="inlineStr">
        <is>
          <t>ACABAMENTOS EM PISOS E PAVIMENTAÇÕES</t>
        </is>
      </c>
      <c r="H2311" s="1783" t="inlineStr">
        <is>
          <t>SERVIÇO</t>
        </is>
      </c>
      <c r="I2311" s="1750" t="inlineStr">
        <is>
          <t>16.013.005.001</t>
        </is>
      </c>
      <c r="J2311" s="1785" t="inlineStr">
        <is>
          <t>Rodapé de Cerâmico h=15cm</t>
        </is>
      </c>
      <c r="K2311" s="1786" t="inlineStr">
        <is>
          <t>m</t>
        </is>
      </c>
      <c r="L2311" s="1787" t="e">
        <v>#REF!</v>
      </c>
      <c r="M2311" s="1787" t="n">
        <v>10.114275</v>
      </c>
      <c r="N2311" s="1754" t="n"/>
      <c r="O2311" s="1788" t="n"/>
      <c r="P2311" s="1721" t="inlineStr">
        <is>
          <t>Pendente</t>
        </is>
      </c>
    </row>
    <row r="2312" hidden="1" outlineLevel="3" ht="13.5" customHeight="1">
      <c r="A2312" s="2117" t="n">
        <v>0</v>
      </c>
      <c r="B2312" s="2117" t="n">
        <v>16</v>
      </c>
      <c r="C2312" s="2117" t="n">
        <v>13</v>
      </c>
      <c r="D2312" s="2118" t="n">
        <v>5</v>
      </c>
      <c r="E2312" s="2118" t="n">
        <v>2</v>
      </c>
      <c r="G2312" s="1798" t="inlineStr">
        <is>
          <t>ACABAMENTOS EM PISOS E PAVIMENTAÇÕES</t>
        </is>
      </c>
      <c r="H2312" s="1783" t="inlineStr">
        <is>
          <t>SERVIÇO</t>
        </is>
      </c>
      <c r="I2312" s="1750" t="inlineStr">
        <is>
          <t>16.013.005.002</t>
        </is>
      </c>
      <c r="J2312" s="1785" t="inlineStr">
        <is>
          <t>Rodapé de Poliestireno h=15cm</t>
        </is>
      </c>
      <c r="K2312" s="1786" t="inlineStr">
        <is>
          <t>m</t>
        </is>
      </c>
      <c r="L2312" s="1787" t="e">
        <v>#REF!</v>
      </c>
      <c r="M2312" s="1787" t="n">
        <v>43.82058333333333</v>
      </c>
      <c r="N2312" s="1754" t="n"/>
      <c r="O2312" s="1788" t="n"/>
      <c r="P2312" s="1721" t="inlineStr">
        <is>
          <t>Pendente</t>
        </is>
      </c>
    </row>
    <row r="2313" hidden="1" outlineLevel="2" ht="13.5" customHeight="1">
      <c r="A2313" s="2117" t="n">
        <v>0</v>
      </c>
      <c r="B2313" s="2117" t="n">
        <v>16</v>
      </c>
      <c r="C2313" s="2117" t="n">
        <v>13</v>
      </c>
      <c r="D2313" s="2118" t="n">
        <v>6</v>
      </c>
      <c r="E2313" s="2118" t="n">
        <v>0</v>
      </c>
      <c r="G2313" s="1797" t="n"/>
      <c r="H2313" s="1777" t="inlineStr">
        <is>
          <t>SUBETAPA</t>
        </is>
      </c>
      <c r="I2313" s="1742" t="inlineStr">
        <is>
          <t>16.013.006</t>
        </is>
      </c>
      <c r="J2313" s="1779" t="inlineStr">
        <is>
          <t>Mão de obra - Revestimentos</t>
        </is>
      </c>
      <c r="K2313" s="1780" t="n"/>
      <c r="L2313" s="1781" t="n"/>
      <c r="M2313" s="1781" t="n"/>
      <c r="N2313" s="1746" t="n"/>
      <c r="O2313" s="1782" t="n"/>
      <c r="P2313" s="1720" t="n"/>
    </row>
    <row r="2314" hidden="1" outlineLevel="3" ht="13.5" customHeight="1">
      <c r="A2314" s="2117" t="n">
        <v>0</v>
      </c>
      <c r="B2314" s="2117" t="n">
        <v>16</v>
      </c>
      <c r="C2314" s="2117" t="n">
        <v>13</v>
      </c>
      <c r="D2314" s="2118" t="n">
        <v>6</v>
      </c>
      <c r="E2314" s="2118" t="n">
        <v>1</v>
      </c>
      <c r="G2314" s="1798" t="inlineStr">
        <is>
          <t>REVESTIMENTOS ARGAMASSADOS PISO</t>
        </is>
      </c>
      <c r="H2314" s="1783" t="inlineStr">
        <is>
          <t>SERVIÇO</t>
        </is>
      </c>
      <c r="I2314" s="1750" t="inlineStr">
        <is>
          <t>16.013.006.001</t>
        </is>
      </c>
      <c r="J2314" s="1785" t="inlineStr">
        <is>
          <t>Mão de obra execução de contrapiso comum e Acústico</t>
        </is>
      </c>
      <c r="K2314" s="1786" t="inlineStr">
        <is>
          <t>m2</t>
        </is>
      </c>
      <c r="L2314" s="1787" t="e">
        <v>#REF!</v>
      </c>
      <c r="M2314" s="1787" t="n">
        <v>40</v>
      </c>
      <c r="N2314" s="1754" t="n"/>
      <c r="O2314" s="1788" t="n"/>
      <c r="P2314" s="1721" t="inlineStr">
        <is>
          <t>Pendente</t>
        </is>
      </c>
    </row>
    <row r="2315" hidden="1" outlineLevel="3" ht="13.5" customHeight="1">
      <c r="A2315" s="2117" t="n">
        <v>0</v>
      </c>
      <c r="B2315" s="2117" t="n">
        <v>16</v>
      </c>
      <c r="C2315" s="2117" t="n">
        <v>13</v>
      </c>
      <c r="D2315" s="2118" t="n">
        <v>6</v>
      </c>
      <c r="E2315" s="2118" t="n">
        <v>2</v>
      </c>
      <c r="G2315" s="1798" t="inlineStr">
        <is>
          <t>REVESTIMENTOS ARGAMASSADOS PISO</t>
        </is>
      </c>
      <c r="H2315" s="1783" t="inlineStr">
        <is>
          <t>SERVIÇO</t>
        </is>
      </c>
      <c r="I2315" s="1750" t="inlineStr">
        <is>
          <t>16.013.006.002</t>
        </is>
      </c>
      <c r="J2315" s="1785" t="inlineStr">
        <is>
          <t>Mão de obra execução regularização de Piso</t>
        </is>
      </c>
      <c r="K2315" s="1786" t="inlineStr">
        <is>
          <t>m2</t>
        </is>
      </c>
      <c r="L2315" s="1787" t="e">
        <v>#REF!</v>
      </c>
      <c r="M2315" s="1787" t="n">
        <v>40</v>
      </c>
      <c r="N2315" s="1754" t="n"/>
      <c r="O2315" s="1788" t="n"/>
      <c r="P2315" s="1721" t="inlineStr">
        <is>
          <t>Pendente</t>
        </is>
      </c>
    </row>
    <row r="2316" hidden="1" outlineLevel="3" ht="13.5" customHeight="1">
      <c r="A2316" s="2117" t="n">
        <v>0</v>
      </c>
      <c r="B2316" s="2117" t="n">
        <v>16</v>
      </c>
      <c r="C2316" s="2117" t="n">
        <v>13</v>
      </c>
      <c r="D2316" s="2118" t="n">
        <v>6</v>
      </c>
      <c r="E2316" s="2118" t="n">
        <v>3</v>
      </c>
      <c r="G2316" s="1798" t="inlineStr">
        <is>
          <t>ACABAMENTOS EM PISOS E PAVIMENTAÇÕES</t>
        </is>
      </c>
      <c r="H2316" s="1783" t="inlineStr">
        <is>
          <t>SERVIÇO</t>
        </is>
      </c>
      <c r="I2316" s="1750" t="inlineStr">
        <is>
          <t>16.013.006.003</t>
        </is>
      </c>
      <c r="J2316" s="1785" t="inlineStr">
        <is>
          <t>Mão de Obra Piso Porcenato/ Cerâmico</t>
        </is>
      </c>
      <c r="K2316" s="1786" t="inlineStr">
        <is>
          <t>m2</t>
        </is>
      </c>
      <c r="L2316" s="1787" t="e">
        <v>#REF!</v>
      </c>
      <c r="M2316" s="1787" t="n">
        <v>75</v>
      </c>
      <c r="N2316" s="1754" t="n"/>
      <c r="O2316" s="1788" t="n"/>
      <c r="P2316" s="1721" t="inlineStr">
        <is>
          <t>Pendente</t>
        </is>
      </c>
    </row>
    <row r="2317" hidden="1" outlineLevel="3" ht="13.5" customHeight="1">
      <c r="A2317" s="2117" t="n">
        <v>0</v>
      </c>
      <c r="B2317" s="2117" t="n">
        <v>16</v>
      </c>
      <c r="C2317" s="2117" t="n">
        <v>13</v>
      </c>
      <c r="D2317" s="2118" t="n">
        <v>6</v>
      </c>
      <c r="E2317" s="2118" t="n">
        <v>4</v>
      </c>
      <c r="G2317" s="1798" t="inlineStr">
        <is>
          <t>ACABAMENTOS EM PISOS E PAVIMENTAÇÕES</t>
        </is>
      </c>
      <c r="H2317" s="1783" t="inlineStr">
        <is>
          <t>SERVIÇO</t>
        </is>
      </c>
      <c r="I2317" s="1750" t="inlineStr">
        <is>
          <t>16.013.006.004</t>
        </is>
      </c>
      <c r="J2317" s="1785" t="inlineStr">
        <is>
          <t>Mão de obra para assentamento de Pedras Naturais e Mármores em piso</t>
        </is>
      </c>
      <c r="K2317" s="1786" t="inlineStr">
        <is>
          <t>m2</t>
        </is>
      </c>
      <c r="L2317" s="1787" t="e">
        <v>#REF!</v>
      </c>
      <c r="M2317" s="1787" t="n">
        <v>85</v>
      </c>
      <c r="N2317" s="1754" t="n"/>
      <c r="O2317" s="1788" t="n"/>
      <c r="P2317" s="1721" t="inlineStr">
        <is>
          <t>Pendente</t>
        </is>
      </c>
    </row>
    <row r="2318" hidden="1" outlineLevel="3" ht="13.5" customHeight="1">
      <c r="A2318" s="2117" t="n">
        <v>0</v>
      </c>
      <c r="B2318" s="2117" t="n">
        <v>16</v>
      </c>
      <c r="C2318" s="2117" t="n">
        <v>13</v>
      </c>
      <c r="D2318" s="2118" t="n">
        <v>6</v>
      </c>
      <c r="E2318" s="2118" t="n">
        <v>5</v>
      </c>
      <c r="G2318" s="1798" t="inlineStr">
        <is>
          <t>ACABAMENTOS EM PISOS E PAVIMENTAÇÕES</t>
        </is>
      </c>
      <c r="H2318" s="1783" t="inlineStr">
        <is>
          <t>SERVIÇO</t>
        </is>
      </c>
      <c r="I2318" s="1750" t="inlineStr">
        <is>
          <t>16.013.006.005</t>
        </is>
      </c>
      <c r="J2318" s="1785" t="inlineStr">
        <is>
          <t>Mão de obra para assentamento de Travertino em piso</t>
        </is>
      </c>
      <c r="K2318" s="1786" t="inlineStr">
        <is>
          <t>m2</t>
        </is>
      </c>
      <c r="L2318" s="1787" t="e">
        <v>#REF!</v>
      </c>
      <c r="M2318" s="1787" t="n">
        <v>85</v>
      </c>
      <c r="N2318" s="1754" t="n"/>
      <c r="O2318" s="1788" t="n"/>
      <c r="P2318" s="1721" t="inlineStr">
        <is>
          <t>Pendente</t>
        </is>
      </c>
    </row>
    <row r="2319" hidden="1" outlineLevel="3" ht="13.5" customHeight="1">
      <c r="A2319" s="2117" t="n">
        <v>0</v>
      </c>
      <c r="B2319" s="2117" t="n">
        <v>16</v>
      </c>
      <c r="C2319" s="2117" t="n">
        <v>13</v>
      </c>
      <c r="D2319" s="2118" t="n">
        <v>6</v>
      </c>
      <c r="E2319" s="2118" t="n">
        <v>6</v>
      </c>
      <c r="G2319" s="1798" t="inlineStr">
        <is>
          <t>ACABAMENTOS EM PISOS E PAVIMENTAÇÕES</t>
        </is>
      </c>
      <c r="H2319" s="1783" t="inlineStr">
        <is>
          <t>SERVIÇO</t>
        </is>
      </c>
      <c r="I2319" s="1750" t="inlineStr">
        <is>
          <t>16.013.006.006</t>
        </is>
      </c>
      <c r="J2319" s="1785" t="inlineStr">
        <is>
          <t>Mão de obra de rodapé Poliestireno</t>
        </is>
      </c>
      <c r="K2319" s="1786" t="inlineStr">
        <is>
          <t>m</t>
        </is>
      </c>
      <c r="L2319" s="1787" t="e">
        <v>#REF!</v>
      </c>
      <c r="M2319" s="1787" t="n">
        <v>28</v>
      </c>
      <c r="N2319" s="1754" t="n"/>
      <c r="O2319" s="1788" t="n"/>
      <c r="P2319" s="1721" t="inlineStr">
        <is>
          <t>Pendente</t>
        </is>
      </c>
    </row>
    <row r="2320" hidden="1" outlineLevel="3" ht="13.5" customHeight="1">
      <c r="A2320" s="2117" t="n">
        <v>0</v>
      </c>
      <c r="B2320" s="2117" t="n">
        <v>16</v>
      </c>
      <c r="C2320" s="2117" t="n">
        <v>13</v>
      </c>
      <c r="D2320" s="2118" t="n">
        <v>6</v>
      </c>
      <c r="E2320" s="2118" t="n">
        <v>7</v>
      </c>
      <c r="G2320" s="1798" t="inlineStr">
        <is>
          <t>ACABAMENTOS EM PISOS E PAVIMENTAÇÕES</t>
        </is>
      </c>
      <c r="H2320" s="1783" t="inlineStr">
        <is>
          <t>SERVIÇO</t>
        </is>
      </c>
      <c r="I2320" s="1750" t="inlineStr">
        <is>
          <t>16.013.006.007</t>
        </is>
      </c>
      <c r="J2320" s="1785" t="inlineStr">
        <is>
          <t>Mão de obra de rodapé Porcelanato</t>
        </is>
      </c>
      <c r="K2320" s="1786" t="inlineStr">
        <is>
          <t>m</t>
        </is>
      </c>
      <c r="L2320" s="1787" t="e">
        <v>#REF!</v>
      </c>
      <c r="M2320" s="1787" t="n">
        <v>24</v>
      </c>
      <c r="N2320" s="1754" t="n"/>
      <c r="O2320" s="1788" t="n"/>
      <c r="P2320" s="1721" t="inlineStr">
        <is>
          <t>Pendente</t>
        </is>
      </c>
    </row>
    <row r="2321" hidden="1" outlineLevel="1" ht="13.5" customHeight="1">
      <c r="A2321" s="2117" t="n">
        <v>0</v>
      </c>
      <c r="B2321" s="2117" t="n">
        <v>16</v>
      </c>
      <c r="C2321" s="2117" t="n">
        <v>14</v>
      </c>
      <c r="D2321" s="2118" t="n">
        <v>0</v>
      </c>
      <c r="E2321" s="2118" t="n">
        <v>7</v>
      </c>
      <c r="G2321" s="1796" t="n"/>
      <c r="H2321" s="1771" t="inlineStr">
        <is>
          <t>ETAPA</t>
        </is>
      </c>
      <c r="I2321" s="1735" t="inlineStr">
        <is>
          <t>16.014</t>
        </is>
      </c>
      <c r="J2321" s="1773" t="inlineStr">
        <is>
          <t>PISOS E PAVIMENTAÇÕES - Cobertura | Barrilete</t>
        </is>
      </c>
      <c r="K2321" s="1774" t="n"/>
      <c r="L2321" s="1775" t="n"/>
      <c r="M2321" s="1775" t="n"/>
      <c r="N2321" s="1739" t="n"/>
      <c r="O2321" s="1776" t="n"/>
      <c r="P2321" s="1719" t="n"/>
    </row>
    <row r="2322" hidden="1" outlineLevel="2" ht="13.5" customHeight="1">
      <c r="A2322" s="2117" t="n">
        <v>0</v>
      </c>
      <c r="B2322" s="2117" t="n">
        <v>16</v>
      </c>
      <c r="C2322" s="2117" t="n">
        <v>14</v>
      </c>
      <c r="D2322" s="2118" t="n">
        <v>1</v>
      </c>
      <c r="E2322" s="2118" t="n">
        <v>0</v>
      </c>
      <c r="G2322" s="1797" t="n"/>
      <c r="H2322" s="1777" t="inlineStr">
        <is>
          <t>SUBETAPA</t>
        </is>
      </c>
      <c r="I2322" s="1742" t="inlineStr">
        <is>
          <t>16.014.001</t>
        </is>
      </c>
      <c r="J2322" s="1779" t="inlineStr">
        <is>
          <t>Contrapiso</t>
        </is>
      </c>
      <c r="K2322" s="1780" t="n"/>
      <c r="L2322" s="1781" t="n"/>
      <c r="M2322" s="1781" t="n"/>
      <c r="N2322" s="1746" t="n"/>
      <c r="O2322" s="1782" t="n"/>
      <c r="P2322" s="1720" t="n"/>
    </row>
    <row r="2323" hidden="1" outlineLevel="3" ht="13.5" customHeight="1">
      <c r="A2323" s="2117" t="n">
        <v>0</v>
      </c>
      <c r="B2323" s="2117" t="n">
        <v>16</v>
      </c>
      <c r="C2323" s="2117" t="n">
        <v>14</v>
      </c>
      <c r="D2323" s="2118" t="n">
        <v>1</v>
      </c>
      <c r="E2323" s="2118" t="n">
        <v>1</v>
      </c>
      <c r="G2323" s="1798" t="inlineStr">
        <is>
          <t>REVESTIMENTOS ARGAMASSADOS PISO</t>
        </is>
      </c>
      <c r="H2323" s="1783" t="inlineStr">
        <is>
          <t>SERVIÇO</t>
        </is>
      </c>
      <c r="I2323" s="1750" t="inlineStr">
        <is>
          <t>16.014.001.001</t>
        </is>
      </c>
      <c r="J2323" s="1785" t="inlineStr">
        <is>
          <t>Contrapiso comum em argamassa estabilizada, auto nivelado, espessura 5cm</t>
        </is>
      </c>
      <c r="K2323" s="1786" t="inlineStr">
        <is>
          <t>m2</t>
        </is>
      </c>
      <c r="L2323" s="1787" t="e">
        <v>#REF!</v>
      </c>
      <c r="M2323" s="1787" t="n">
        <v>44.58523333333333</v>
      </c>
      <c r="N2323" s="1754" t="n"/>
      <c r="O2323" s="1788" t="n"/>
      <c r="P2323" s="1721" t="inlineStr">
        <is>
          <t>Pendente</t>
        </is>
      </c>
    </row>
    <row r="2324" hidden="1" outlineLevel="2" ht="13.5" customHeight="1">
      <c r="A2324" s="2117" t="n">
        <v>0</v>
      </c>
      <c r="B2324" s="2117" t="n">
        <v>16</v>
      </c>
      <c r="C2324" s="2117" t="n">
        <v>14</v>
      </c>
      <c r="D2324" s="2118" t="n">
        <v>2</v>
      </c>
      <c r="E2324" s="2118" t="n">
        <v>0</v>
      </c>
      <c r="G2324" s="1797" t="n"/>
      <c r="H2324" s="1777" t="inlineStr">
        <is>
          <t>SUBETAPA</t>
        </is>
      </c>
      <c r="I2324" s="1742" t="inlineStr">
        <is>
          <t>16.014.002</t>
        </is>
      </c>
      <c r="J2324" s="1779" t="inlineStr">
        <is>
          <t>Acabamentos cerâmicos em piso</t>
        </is>
      </c>
      <c r="K2324" s="1780" t="n"/>
      <c r="L2324" s="1781" t="n"/>
      <c r="M2324" s="1781" t="n"/>
      <c r="N2324" s="1746" t="n"/>
      <c r="O2324" s="1782" t="n"/>
      <c r="P2324" s="1720" t="n"/>
    </row>
    <row r="2325" hidden="1" outlineLevel="3" ht="13.5" customHeight="1">
      <c r="A2325" s="2117" t="n">
        <v>0</v>
      </c>
      <c r="B2325" s="2117" t="n">
        <v>16</v>
      </c>
      <c r="C2325" s="2117" t="n">
        <v>14</v>
      </c>
      <c r="D2325" s="2118" t="n">
        <v>2</v>
      </c>
      <c r="E2325" s="2118" t="n">
        <v>1</v>
      </c>
      <c r="G2325" s="1798" t="inlineStr">
        <is>
          <t>ACABAMENTOS EM PISOS E PAVIMENTAÇÕES</t>
        </is>
      </c>
      <c r="H2325" s="1783" t="inlineStr">
        <is>
          <t>SERVIÇO</t>
        </is>
      </c>
      <c r="I2325" s="1750" t="inlineStr">
        <is>
          <t>16.014.002.001</t>
        </is>
      </c>
      <c r="J2325" s="1785" t="inlineStr">
        <is>
          <t>Revestimento em Cerâmicas Pisos Internos, 45x 45cm com Junta de 3mm</t>
        </is>
      </c>
      <c r="K2325" s="1786" t="inlineStr">
        <is>
          <t>m2</t>
        </is>
      </c>
      <c r="L2325" s="1787" t="e">
        <v>#REF!</v>
      </c>
      <c r="M2325" s="1787" t="n">
        <v>58.073</v>
      </c>
      <c r="N2325" s="1754" t="n"/>
      <c r="O2325" s="1788" t="n"/>
      <c r="P2325" s="1721" t="inlineStr">
        <is>
          <t>Pendente</t>
        </is>
      </c>
    </row>
    <row r="2326" hidden="1" outlineLevel="3" ht="13.5" customHeight="1">
      <c r="A2326" s="2117" t="n">
        <v>0</v>
      </c>
      <c r="B2326" s="2117" t="n">
        <v>16</v>
      </c>
      <c r="C2326" s="2117" t="n">
        <v>14</v>
      </c>
      <c r="D2326" s="2118" t="n">
        <v>2</v>
      </c>
      <c r="E2326" s="2118" t="n">
        <v>2</v>
      </c>
      <c r="G2326" s="1798" t="inlineStr">
        <is>
          <t>ACABAMENTOS EM PISOS E PAVIMENTAÇÕES</t>
        </is>
      </c>
      <c r="H2326" s="1783" t="inlineStr">
        <is>
          <t>SERVIÇO</t>
        </is>
      </c>
      <c r="I2326" s="1750" t="inlineStr">
        <is>
          <t>16.014.002.002</t>
        </is>
      </c>
      <c r="J2326" s="1785" t="inlineStr">
        <is>
          <t>Revestimento de Piso, Porcelanato Portobello –  90x90 - Padrão Econômico</t>
        </is>
      </c>
      <c r="K2326" s="1786" t="inlineStr">
        <is>
          <t>m2</t>
        </is>
      </c>
      <c r="L2326" s="1787" t="e">
        <v>#REF!</v>
      </c>
      <c r="M2326" s="1787" t="n">
        <v>117.6276</v>
      </c>
      <c r="N2326" s="1754" t="n"/>
      <c r="O2326" s="1788" t="n"/>
      <c r="P2326" s="1721" t="inlineStr">
        <is>
          <t>Pendente</t>
        </is>
      </c>
    </row>
    <row r="2327" hidden="1" outlineLevel="2" ht="13.5" customHeight="1">
      <c r="A2327" s="2117" t="n">
        <v>0</v>
      </c>
      <c r="B2327" s="2117" t="n">
        <v>16</v>
      </c>
      <c r="C2327" s="2117" t="n">
        <v>14</v>
      </c>
      <c r="D2327" s="2118" t="n">
        <v>3</v>
      </c>
      <c r="E2327" s="2118" t="n">
        <v>0</v>
      </c>
      <c r="G2327" s="1797" t="n"/>
      <c r="H2327" s="1777" t="inlineStr">
        <is>
          <t>SUBETAPA</t>
        </is>
      </c>
      <c r="I2327" s="1742" t="inlineStr">
        <is>
          <t>16.014.003</t>
        </is>
      </c>
      <c r="J2327" s="1779" t="inlineStr">
        <is>
          <t>Rodapés</t>
        </is>
      </c>
      <c r="K2327" s="1780" t="n"/>
      <c r="L2327" s="1781" t="n"/>
      <c r="M2327" s="1781" t="n"/>
      <c r="N2327" s="1746" t="n"/>
      <c r="O2327" s="1782" t="n"/>
      <c r="P2327" s="1720" t="n"/>
    </row>
    <row r="2328" hidden="1" outlineLevel="3" ht="13.5" customHeight="1">
      <c r="A2328" s="2117" t="n">
        <v>0</v>
      </c>
      <c r="B2328" s="2117" t="n">
        <v>16</v>
      </c>
      <c r="C2328" s="2117" t="n">
        <v>14</v>
      </c>
      <c r="D2328" s="2118" t="n">
        <v>3</v>
      </c>
      <c r="E2328" s="2118" t="n">
        <v>1</v>
      </c>
      <c r="G2328" s="1798" t="inlineStr">
        <is>
          <t>ACABAMENTOS EM PISOS E PAVIMENTAÇÕES</t>
        </is>
      </c>
      <c r="H2328" s="1783" t="inlineStr">
        <is>
          <t>SERVIÇO</t>
        </is>
      </c>
      <c r="I2328" s="1750" t="inlineStr">
        <is>
          <t>16.014.003.001</t>
        </is>
      </c>
      <c r="J2328" s="1785" t="inlineStr">
        <is>
          <t>Rodapé de Cerâmico h=15cm</t>
        </is>
      </c>
      <c r="K2328" s="1786" t="inlineStr">
        <is>
          <t>m</t>
        </is>
      </c>
      <c r="L2328" s="1787" t="e">
        <v>#REF!</v>
      </c>
      <c r="M2328" s="1787" t="n">
        <v>10.114275</v>
      </c>
      <c r="N2328" s="1754" t="n"/>
      <c r="O2328" s="1788" t="n"/>
      <c r="P2328" s="1721" t="inlineStr">
        <is>
          <t>Pendente</t>
        </is>
      </c>
    </row>
    <row r="2329" hidden="1" outlineLevel="3" ht="13.5" customHeight="1">
      <c r="A2329" s="2117" t="n">
        <v>0</v>
      </c>
      <c r="B2329" s="2117" t="n">
        <v>16</v>
      </c>
      <c r="C2329" s="2117" t="n">
        <v>14</v>
      </c>
      <c r="D2329" s="2118" t="n">
        <v>3</v>
      </c>
      <c r="E2329" s="2118" t="n">
        <v>2</v>
      </c>
      <c r="G2329" s="1798" t="inlineStr">
        <is>
          <t>ACABAMENTOS EM PISOS E PAVIMENTAÇÕES</t>
        </is>
      </c>
      <c r="H2329" s="1783" t="inlineStr">
        <is>
          <t>SERVIÇO</t>
        </is>
      </c>
      <c r="I2329" s="1750" t="inlineStr">
        <is>
          <t>16.014.003.002</t>
        </is>
      </c>
      <c r="J2329" s="1785" t="inlineStr">
        <is>
          <t>Rodapé de Poliestireno h=15cm</t>
        </is>
      </c>
      <c r="K2329" s="1786" t="inlineStr">
        <is>
          <t>m</t>
        </is>
      </c>
      <c r="L2329" s="1787" t="e">
        <v>#REF!</v>
      </c>
      <c r="M2329" s="1787" t="n">
        <v>43.82058333333333</v>
      </c>
      <c r="N2329" s="1754" t="n"/>
      <c r="O2329" s="1788" t="n"/>
      <c r="P2329" s="1721" t="inlineStr">
        <is>
          <t>Pendente</t>
        </is>
      </c>
    </row>
    <row r="2330" hidden="1" outlineLevel="2" ht="13.5" customHeight="1">
      <c r="A2330" s="2117" t="n">
        <v>0</v>
      </c>
      <c r="B2330" s="2117" t="n">
        <v>16</v>
      </c>
      <c r="C2330" s="2117" t="n">
        <v>14</v>
      </c>
      <c r="D2330" s="2118" t="n">
        <v>4</v>
      </c>
      <c r="E2330" s="2118" t="n">
        <v>0</v>
      </c>
      <c r="G2330" s="1797" t="n"/>
      <c r="H2330" s="1777" t="inlineStr">
        <is>
          <t>SUBETAPA</t>
        </is>
      </c>
      <c r="I2330" s="1742" t="inlineStr">
        <is>
          <t>16.014.004</t>
        </is>
      </c>
      <c r="J2330" s="1779" t="inlineStr">
        <is>
          <t>Mão de obra - Revestimentos</t>
        </is>
      </c>
      <c r="K2330" s="1780" t="n"/>
      <c r="L2330" s="1781" t="n"/>
      <c r="M2330" s="1781" t="n"/>
      <c r="N2330" s="1746" t="n"/>
      <c r="O2330" s="1782" t="n"/>
      <c r="P2330" s="1720" t="n"/>
    </row>
    <row r="2331" hidden="1" outlineLevel="3" ht="13.5" customHeight="1">
      <c r="A2331" s="2117" t="n">
        <v>0</v>
      </c>
      <c r="B2331" s="2117" t="n">
        <v>16</v>
      </c>
      <c r="C2331" s="2117" t="n">
        <v>14</v>
      </c>
      <c r="D2331" s="2118" t="n">
        <v>4</v>
      </c>
      <c r="E2331" s="2118" t="n">
        <v>1</v>
      </c>
      <c r="G2331" s="1798" t="inlineStr">
        <is>
          <t>REVESTIMENTOS ARGAMASSADOS PISO</t>
        </is>
      </c>
      <c r="H2331" s="1783" t="inlineStr">
        <is>
          <t>SERVIÇO</t>
        </is>
      </c>
      <c r="I2331" s="1750" t="inlineStr">
        <is>
          <t>16.014.004.001</t>
        </is>
      </c>
      <c r="J2331" s="1785" t="inlineStr">
        <is>
          <t>Mão de obra execução de contrapiso comum e Acústico</t>
        </is>
      </c>
      <c r="K2331" s="1786" t="inlineStr">
        <is>
          <t>m2</t>
        </is>
      </c>
      <c r="L2331" s="1787" t="e">
        <v>#REF!</v>
      </c>
      <c r="M2331" s="1787" t="n">
        <v>40</v>
      </c>
      <c r="N2331" s="1754" t="n"/>
      <c r="O2331" s="1788" t="n"/>
      <c r="P2331" s="1721" t="inlineStr">
        <is>
          <t>Pendente</t>
        </is>
      </c>
    </row>
    <row r="2332" hidden="1" outlineLevel="3" ht="13.5" customHeight="1">
      <c r="A2332" s="2117" t="n">
        <v>0</v>
      </c>
      <c r="B2332" s="2117" t="n">
        <v>16</v>
      </c>
      <c r="C2332" s="2117" t="n">
        <v>14</v>
      </c>
      <c r="D2332" s="2118" t="n">
        <v>4</v>
      </c>
      <c r="E2332" s="2118" t="n">
        <v>2</v>
      </c>
      <c r="G2332" s="1798" t="inlineStr">
        <is>
          <t>ACABAMENTOS EM PISOS E PAVIMENTAÇÕES</t>
        </is>
      </c>
      <c r="H2332" s="1783" t="inlineStr">
        <is>
          <t>SERVIÇO</t>
        </is>
      </c>
      <c r="I2332" s="1750" t="inlineStr">
        <is>
          <t>16.014.004.002</t>
        </is>
      </c>
      <c r="J2332" s="1785" t="inlineStr">
        <is>
          <t>Mão de Obra Piso Porcenato/ Cerâmico</t>
        </is>
      </c>
      <c r="K2332" s="1786" t="inlineStr">
        <is>
          <t>m2</t>
        </is>
      </c>
      <c r="L2332" s="1787" t="e">
        <v>#REF!</v>
      </c>
      <c r="M2332" s="1787" t="n">
        <v>75</v>
      </c>
      <c r="N2332" s="1754" t="n"/>
      <c r="O2332" s="1788" t="n"/>
      <c r="P2332" s="1721" t="inlineStr">
        <is>
          <t>Pendente</t>
        </is>
      </c>
    </row>
    <row r="2333" hidden="1" outlineLevel="3" ht="13.5" customHeight="1">
      <c r="A2333" s="2117" t="n">
        <v>0</v>
      </c>
      <c r="B2333" s="2117" t="n">
        <v>16</v>
      </c>
      <c r="C2333" s="2117" t="n">
        <v>14</v>
      </c>
      <c r="D2333" s="2118" t="n">
        <v>4</v>
      </c>
      <c r="E2333" s="2118" t="n">
        <v>3</v>
      </c>
      <c r="G2333" s="1798" t="inlineStr">
        <is>
          <t>ACABAMENTOS EM PISOS E PAVIMENTAÇÕES</t>
        </is>
      </c>
      <c r="H2333" s="1783" t="inlineStr">
        <is>
          <t>SERVIÇO</t>
        </is>
      </c>
      <c r="I2333" s="1750" t="inlineStr">
        <is>
          <t>16.014.004.003</t>
        </is>
      </c>
      <c r="J2333" s="1785" t="inlineStr">
        <is>
          <t>Mão de obra de rodapé Poliestireno</t>
        </is>
      </c>
      <c r="K2333" s="1786" t="inlineStr">
        <is>
          <t>m</t>
        </is>
      </c>
      <c r="L2333" s="1787" t="e">
        <v>#REF!</v>
      </c>
      <c r="M2333" s="1787" t="n">
        <v>28</v>
      </c>
      <c r="N2333" s="1754" t="n"/>
      <c r="O2333" s="1788" t="n"/>
      <c r="P2333" s="1721" t="inlineStr">
        <is>
          <t>Pendente</t>
        </is>
      </c>
    </row>
    <row r="2334" hidden="1" outlineLevel="3" ht="13.5" customHeight="1">
      <c r="A2334" s="2117" t="n">
        <v>0</v>
      </c>
      <c r="B2334" s="2117" t="n">
        <v>16</v>
      </c>
      <c r="C2334" s="2117" t="n">
        <v>14</v>
      </c>
      <c r="D2334" s="2118" t="n">
        <v>4</v>
      </c>
      <c r="E2334" s="2118" t="n">
        <v>4</v>
      </c>
      <c r="G2334" s="1798" t="inlineStr">
        <is>
          <t>ACABAMENTOS EM PISOS E PAVIMENTAÇÕES</t>
        </is>
      </c>
      <c r="H2334" s="1783" t="inlineStr">
        <is>
          <t>SERVIÇO</t>
        </is>
      </c>
      <c r="I2334" s="1750" t="inlineStr">
        <is>
          <t>16.014.004.004</t>
        </is>
      </c>
      <c r="J2334" s="1785" t="inlineStr">
        <is>
          <t>Mão de obra de rodapé Porcelanato</t>
        </is>
      </c>
      <c r="K2334" s="1786" t="inlineStr">
        <is>
          <t>m</t>
        </is>
      </c>
      <c r="L2334" s="1787" t="e">
        <v>#REF!</v>
      </c>
      <c r="M2334" s="1787" t="n">
        <v>24</v>
      </c>
      <c r="N2334" s="1754" t="n"/>
      <c r="O2334" s="1788" t="n"/>
      <c r="P2334" s="1721" t="inlineStr">
        <is>
          <t>Pendente</t>
        </is>
      </c>
    </row>
    <row r="2335" hidden="1" outlineLevel="1" ht="13.5" customHeight="1">
      <c r="A2335" s="2117" t="n">
        <v>0</v>
      </c>
      <c r="B2335" s="2117" t="n">
        <v>16</v>
      </c>
      <c r="C2335" s="2117" t="n">
        <v>15</v>
      </c>
      <c r="D2335" s="2118" t="n">
        <v>0</v>
      </c>
      <c r="E2335" s="2118" t="n">
        <v>4</v>
      </c>
      <c r="G2335" s="1796" t="n"/>
      <c r="H2335" s="1771" t="inlineStr">
        <is>
          <t>ETAPA</t>
        </is>
      </c>
      <c r="I2335" s="1735" t="inlineStr">
        <is>
          <t>16.015</t>
        </is>
      </c>
      <c r="J2335" s="1773" t="inlineStr">
        <is>
          <t>PISOS E PAVIMENTAÇÕES - Reservatório</t>
        </is>
      </c>
      <c r="K2335" s="1774" t="n"/>
      <c r="L2335" s="1775" t="n"/>
      <c r="M2335" s="1775" t="n"/>
      <c r="N2335" s="1739" t="n"/>
      <c r="O2335" s="1776" t="n"/>
      <c r="P2335" s="1719" t="n"/>
    </row>
    <row r="2336" hidden="1" outlineLevel="2" ht="13.5" customHeight="1">
      <c r="A2336" s="2117" t="n">
        <v>0</v>
      </c>
      <c r="B2336" s="2117" t="n">
        <v>16</v>
      </c>
      <c r="C2336" s="2117" t="n">
        <v>15</v>
      </c>
      <c r="D2336" s="2118" t="n">
        <v>1</v>
      </c>
      <c r="E2336" s="2118" t="n">
        <v>0</v>
      </c>
      <c r="G2336" s="1797" t="n"/>
      <c r="H2336" s="1777" t="inlineStr">
        <is>
          <t>SUBETAPA</t>
        </is>
      </c>
      <c r="I2336" s="1742" t="inlineStr">
        <is>
          <t>16.015.001</t>
        </is>
      </c>
      <c r="J2336" s="1779" t="inlineStr">
        <is>
          <t>Contrapiso</t>
        </is>
      </c>
      <c r="K2336" s="1780" t="n"/>
      <c r="L2336" s="1781" t="n"/>
      <c r="M2336" s="1781" t="n"/>
      <c r="N2336" s="1746" t="n"/>
      <c r="O2336" s="1782" t="n"/>
      <c r="P2336" s="1720" t="n"/>
    </row>
    <row r="2337" hidden="1" outlineLevel="3" ht="13.5" customHeight="1">
      <c r="A2337" s="2117" t="n">
        <v>0</v>
      </c>
      <c r="B2337" s="2117" t="n">
        <v>16</v>
      </c>
      <c r="C2337" s="2117" t="n">
        <v>15</v>
      </c>
      <c r="D2337" s="2118" t="n">
        <v>1</v>
      </c>
      <c r="E2337" s="2118" t="n">
        <v>1</v>
      </c>
      <c r="G2337" s="1798" t="inlineStr">
        <is>
          <t>REVESTIMENTOS ARGAMASSADOS PISO</t>
        </is>
      </c>
      <c r="H2337" s="1783" t="inlineStr">
        <is>
          <t>SERVIÇO</t>
        </is>
      </c>
      <c r="I2337" s="1750" t="inlineStr">
        <is>
          <t>16.015.001.001</t>
        </is>
      </c>
      <c r="J2337" s="1785" t="inlineStr">
        <is>
          <t>Contrapiso comum em argamassa estabilizada, auto nivelado, espessura 5cm</t>
        </is>
      </c>
      <c r="K2337" s="1786" t="inlineStr">
        <is>
          <t>m2</t>
        </is>
      </c>
      <c r="L2337" s="1787" t="e">
        <v>#REF!</v>
      </c>
      <c r="M2337" s="1787" t="n">
        <v>44.58523333333333</v>
      </c>
      <c r="N2337" s="1754" t="n"/>
      <c r="O2337" s="1788" t="n"/>
      <c r="P2337" s="1721" t="inlineStr">
        <is>
          <t>Pendente</t>
        </is>
      </c>
    </row>
    <row r="2338" hidden="1" outlineLevel="2" ht="13.5" customHeight="1">
      <c r="A2338" s="2117" t="n">
        <v>0</v>
      </c>
      <c r="B2338" s="2117" t="n">
        <v>16</v>
      </c>
      <c r="C2338" s="2117" t="n">
        <v>15</v>
      </c>
      <c r="D2338" s="2118" t="n">
        <v>2</v>
      </c>
      <c r="E2338" s="2118" t="n">
        <v>0</v>
      </c>
      <c r="G2338" s="1797" t="n"/>
      <c r="H2338" s="1777" t="inlineStr">
        <is>
          <t>SUBETAPA</t>
        </is>
      </c>
      <c r="I2338" s="1742" t="inlineStr">
        <is>
          <t>16.015.002</t>
        </is>
      </c>
      <c r="J2338" s="1779" t="inlineStr">
        <is>
          <t>Mão de obra - Revestimentos</t>
        </is>
      </c>
      <c r="K2338" s="1780" t="n"/>
      <c r="L2338" s="1781" t="n"/>
      <c r="M2338" s="1781" t="n"/>
      <c r="N2338" s="1746" t="n"/>
      <c r="O2338" s="1782" t="n"/>
      <c r="P2338" s="1720" t="n"/>
    </row>
    <row r="2339" hidden="1" outlineLevel="3" ht="13.5" customHeight="1">
      <c r="A2339" s="2117" t="n">
        <v>0</v>
      </c>
      <c r="B2339" s="2117" t="n">
        <v>16</v>
      </c>
      <c r="C2339" s="2117" t="n">
        <v>15</v>
      </c>
      <c r="D2339" s="2118" t="n">
        <v>2</v>
      </c>
      <c r="E2339" s="2118" t="n">
        <v>1</v>
      </c>
      <c r="G2339" s="1798" t="inlineStr">
        <is>
          <t>REVESTIMENTOS ARGAMASSADOS PISO</t>
        </is>
      </c>
      <c r="H2339" s="1783" t="inlineStr">
        <is>
          <t>SERVIÇO</t>
        </is>
      </c>
      <c r="I2339" s="1750" t="inlineStr">
        <is>
          <t>16.015.002.001</t>
        </is>
      </c>
      <c r="J2339" s="1785" t="inlineStr">
        <is>
          <t>Mão de obra execução de contrapiso comum e Acústico</t>
        </is>
      </c>
      <c r="K2339" s="1786" t="inlineStr">
        <is>
          <t>m2</t>
        </is>
      </c>
      <c r="L2339" s="1787" t="e">
        <v>#REF!</v>
      </c>
      <c r="M2339" s="1787" t="n">
        <v>40</v>
      </c>
      <c r="N2339" s="1754" t="n"/>
      <c r="O2339" s="1788" t="n"/>
      <c r="P2339" s="1721" t="inlineStr">
        <is>
          <t>Pendente</t>
        </is>
      </c>
    </row>
    <row r="2340" collapsed="1" ht="13.5" customHeight="1">
      <c r="A2340" s="2117" t="n">
        <v>0</v>
      </c>
      <c r="B2340" s="2117" t="n">
        <v>17</v>
      </c>
      <c r="C2340" s="2117" t="n">
        <v>0</v>
      </c>
      <c r="D2340" s="2118" t="n">
        <v>2</v>
      </c>
      <c r="E2340" s="2118" t="n">
        <v>1</v>
      </c>
      <c r="F2340" s="474" t="n"/>
      <c r="G2340" s="1794" t="n"/>
      <c r="H2340" s="1766" t="inlineStr">
        <is>
          <t>CÉLULA CONSTRUTIVA</t>
        </is>
      </c>
      <c r="I2340" s="1728" t="inlineStr">
        <is>
          <t>17</t>
        </is>
      </c>
      <c r="J2340" s="1795" t="inlineStr">
        <is>
          <t>PINTURA</t>
        </is>
      </c>
      <c r="K2340" s="1768" t="n"/>
      <c r="L2340" s="1769" t="n"/>
      <c r="M2340" s="1769" t="n"/>
      <c r="N2340" s="1732" t="n"/>
      <c r="O2340" s="1770" t="n"/>
      <c r="P2340" s="1718" t="n"/>
    </row>
    <row r="2341" hidden="1" outlineLevel="1" ht="13.5" customHeight="1">
      <c r="A2341" s="2117" t="n">
        <v>0</v>
      </c>
      <c r="B2341" s="2117" t="n">
        <v>17</v>
      </c>
      <c r="C2341" s="2117" t="n">
        <v>1</v>
      </c>
      <c r="D2341" s="2118" t="n">
        <v>0</v>
      </c>
      <c r="E2341" s="2118" t="n">
        <v>1</v>
      </c>
      <c r="G2341" s="1796" t="n"/>
      <c r="H2341" s="1771" t="inlineStr">
        <is>
          <t>ETAPA</t>
        </is>
      </c>
      <c r="I2341" s="1735" t="inlineStr">
        <is>
          <t>17.001</t>
        </is>
      </c>
      <c r="J2341" s="1773" t="inlineStr">
        <is>
          <t>PINTURA - Térreo</t>
        </is>
      </c>
      <c r="K2341" s="1774" t="n"/>
      <c r="L2341" s="1775" t="n"/>
      <c r="M2341" s="1775" t="n"/>
      <c r="N2341" s="1739" t="n"/>
      <c r="O2341" s="1776" t="n"/>
      <c r="P2341" s="1719" t="n"/>
    </row>
    <row r="2342" hidden="1" outlineLevel="2" ht="13.5" customHeight="1">
      <c r="A2342" s="2117" t="n">
        <v>0</v>
      </c>
      <c r="B2342" s="2117" t="n">
        <v>17</v>
      </c>
      <c r="C2342" s="2117" t="n">
        <v>1</v>
      </c>
      <c r="D2342" s="2118" t="n">
        <v>1</v>
      </c>
      <c r="E2342" s="2118" t="n">
        <v>0</v>
      </c>
      <c r="G2342" s="1797" t="n"/>
      <c r="H2342" s="1777" t="inlineStr">
        <is>
          <t>SUBETAPA</t>
        </is>
      </c>
      <c r="I2342" s="1742" t="inlineStr">
        <is>
          <t>17.001.001</t>
        </is>
      </c>
      <c r="J2342" s="1779" t="inlineStr">
        <is>
          <t>Sistema de pintura em parede Interna</t>
        </is>
      </c>
      <c r="K2342" s="1780" t="n"/>
      <c r="L2342" s="1781" t="n"/>
      <c r="M2342" s="1781" t="n"/>
      <c r="N2342" s="1746" t="n"/>
      <c r="O2342" s="1782" t="n"/>
      <c r="P2342" s="1720" t="n"/>
    </row>
    <row r="2343" hidden="1" outlineLevel="3" ht="13.5" customHeight="1">
      <c r="A2343" s="2117" t="n">
        <v>0</v>
      </c>
      <c r="B2343" s="2117" t="n">
        <v>17</v>
      </c>
      <c r="C2343" s="2117" t="n">
        <v>1</v>
      </c>
      <c r="D2343" s="2118" t="n">
        <v>1</v>
      </c>
      <c r="E2343" s="2118" t="n">
        <v>1</v>
      </c>
      <c r="G2343" s="1798" t="inlineStr">
        <is>
          <t>PINTURA INTERNA</t>
        </is>
      </c>
      <c r="H2343" s="1783" t="inlineStr">
        <is>
          <t>SERVIÇO</t>
        </is>
      </c>
      <c r="I2343" s="1750" t="inlineStr">
        <is>
          <t>17.001.001.001</t>
        </is>
      </c>
      <c r="J2343" s="1785" t="inlineStr">
        <is>
          <t>selador em Paredes Internas</t>
        </is>
      </c>
      <c r="K2343" s="1786" t="inlineStr">
        <is>
          <t>m2</t>
        </is>
      </c>
      <c r="L2343" s="1787" t="e">
        <v>#REF!</v>
      </c>
      <c r="M2343" s="1787" t="n">
        <v>1.758555555555555</v>
      </c>
      <c r="N2343" s="1754" t="n"/>
      <c r="O2343" s="1788" t="n"/>
      <c r="P2343" s="1721" t="inlineStr">
        <is>
          <t>Pendente</t>
        </is>
      </c>
    </row>
    <row r="2344" hidden="1" outlineLevel="3" ht="13.5" customHeight="1">
      <c r="A2344" s="2117" t="n">
        <v>0</v>
      </c>
      <c r="B2344" s="2117" t="n">
        <v>17</v>
      </c>
      <c r="C2344" s="2117" t="n">
        <v>1</v>
      </c>
      <c r="D2344" s="2118" t="n">
        <v>1</v>
      </c>
      <c r="E2344" s="2118" t="n">
        <v>2</v>
      </c>
      <c r="G2344" s="1798" t="inlineStr">
        <is>
          <t>PINTURA INTERNA</t>
        </is>
      </c>
      <c r="H2344" s="1783" t="inlineStr">
        <is>
          <t>SERVIÇO</t>
        </is>
      </c>
      <c r="I2344" s="1750" t="inlineStr">
        <is>
          <t>17.001.001.002</t>
        </is>
      </c>
      <c r="J2344" s="1785" t="inlineStr">
        <is>
          <t>Massa Corrida em Paredes Internas</t>
        </is>
      </c>
      <c r="K2344" s="1786" t="inlineStr">
        <is>
          <t>m2</t>
        </is>
      </c>
      <c r="L2344" s="1787" t="e">
        <v>#REF!</v>
      </c>
      <c r="M2344" s="1787" t="n">
        <v>4.34916</v>
      </c>
      <c r="N2344" s="1754" t="n"/>
      <c r="O2344" s="1788" t="n"/>
      <c r="P2344" s="1721" t="inlineStr">
        <is>
          <t>Pendente</t>
        </is>
      </c>
    </row>
    <row r="2345" hidden="1" outlineLevel="3" ht="13.5" customHeight="1">
      <c r="A2345" s="2117" t="n">
        <v>0</v>
      </c>
      <c r="B2345" s="2117" t="n">
        <v>17</v>
      </c>
      <c r="C2345" s="2117" t="n">
        <v>1</v>
      </c>
      <c r="D2345" s="2118" t="n">
        <v>1</v>
      </c>
      <c r="E2345" s="2118" t="n">
        <v>3</v>
      </c>
      <c r="G2345" s="1798" t="inlineStr">
        <is>
          <t>PINTURA INTERNA</t>
        </is>
      </c>
      <c r="H2345" s="1783" t="inlineStr">
        <is>
          <t>SERVIÇO</t>
        </is>
      </c>
      <c r="I2345" s="1750" t="inlineStr">
        <is>
          <t>17.001.001.003</t>
        </is>
      </c>
      <c r="J2345" s="1785" t="inlineStr">
        <is>
          <t>Pintura Com Tinta Latex Acrilica em Paredes Internas, 3 Demaos (Somente tinta)</t>
        </is>
      </c>
      <c r="K2345" s="1786" t="inlineStr">
        <is>
          <t>m2</t>
        </is>
      </c>
      <c r="L2345" s="1787" t="e">
        <v>#REF!</v>
      </c>
      <c r="M2345" s="1787" t="n">
        <v>12.1275</v>
      </c>
      <c r="N2345" s="1754" t="n"/>
      <c r="O2345" s="1788" t="n"/>
      <c r="P2345" s="1721" t="inlineStr">
        <is>
          <t>Pendente</t>
        </is>
      </c>
    </row>
    <row r="2346" hidden="1" outlineLevel="3" ht="13.5" customHeight="1">
      <c r="A2346" s="2117" t="n">
        <v>0</v>
      </c>
      <c r="B2346" s="2117" t="n">
        <v>17</v>
      </c>
      <c r="C2346" s="2117" t="n">
        <v>1</v>
      </c>
      <c r="D2346" s="2118" t="n">
        <v>1</v>
      </c>
      <c r="E2346" s="2118" t="n">
        <v>4</v>
      </c>
      <c r="G2346" s="1798" t="inlineStr">
        <is>
          <t>PINTURA INTERNA</t>
        </is>
      </c>
      <c r="H2346" s="1783" t="inlineStr">
        <is>
          <t>SERVIÇO</t>
        </is>
      </c>
      <c r="I2346" s="1750" t="inlineStr">
        <is>
          <t>17.001.001.004</t>
        </is>
      </c>
      <c r="J2346" s="1785" t="inlineStr">
        <is>
          <t>Pintura Com Tinta Latex Acrilica em Paredes Internas, 3 Demaos (Somente tinta) - Suvinil Azul Etéreo</t>
        </is>
      </c>
      <c r="K2346" s="1786" t="inlineStr">
        <is>
          <t>m2</t>
        </is>
      </c>
      <c r="L2346" s="1787" t="e">
        <v>#REF!</v>
      </c>
      <c r="M2346" s="1787" t="n">
        <v>22.507959375</v>
      </c>
      <c r="N2346" s="1754" t="n"/>
      <c r="O2346" s="1788" t="n"/>
      <c r="P2346" s="1721" t="inlineStr">
        <is>
          <t>Pendente</t>
        </is>
      </c>
    </row>
    <row r="2347" hidden="1" outlineLevel="3" ht="13.5" customHeight="1">
      <c r="A2347" s="2117" t="n">
        <v>0</v>
      </c>
      <c r="B2347" s="2117" t="n">
        <v>17</v>
      </c>
      <c r="C2347" s="2117" t="n">
        <v>1</v>
      </c>
      <c r="D2347" s="2118" t="n">
        <v>1</v>
      </c>
      <c r="E2347" s="2118" t="n">
        <v>5</v>
      </c>
      <c r="G2347" s="1798" t="inlineStr">
        <is>
          <t>PINTURA INTERNA</t>
        </is>
      </c>
      <c r="H2347" s="1783" t="inlineStr">
        <is>
          <t>SERVIÇO</t>
        </is>
      </c>
      <c r="I2347" s="1750" t="inlineStr">
        <is>
          <t>17.001.001.005</t>
        </is>
      </c>
      <c r="J2347" s="1751" t="inlineStr">
        <is>
          <t>Pintura em Epóxi em Parede, Aplicação Manual, 2 Demãos (com massa e selador)</t>
        </is>
      </c>
      <c r="K2347" s="1752" t="inlineStr">
        <is>
          <t>m2</t>
        </is>
      </c>
      <c r="L2347" s="1753" t="e">
        <v>#REF!</v>
      </c>
      <c r="M2347" s="1787" t="n">
        <v>76.67474622222223</v>
      </c>
      <c r="N2347" s="1754" t="n"/>
      <c r="O2347" s="1755" t="n"/>
      <c r="P2347" s="1721" t="inlineStr">
        <is>
          <t>Pendente</t>
        </is>
      </c>
    </row>
    <row r="2348" hidden="1" outlineLevel="2" ht="13.5" customHeight="1">
      <c r="A2348" s="2117" t="n">
        <v>0</v>
      </c>
      <c r="B2348" s="2117" t="n">
        <v>17</v>
      </c>
      <c r="C2348" s="2117" t="n">
        <v>1</v>
      </c>
      <c r="D2348" s="2118" t="n">
        <v>2</v>
      </c>
      <c r="E2348" s="2118" t="n">
        <v>0</v>
      </c>
      <c r="G2348" s="1797" t="n"/>
      <c r="H2348" s="1777" t="inlineStr">
        <is>
          <t>SUBETAPA</t>
        </is>
      </c>
      <c r="I2348" s="1742" t="inlineStr">
        <is>
          <t>17.001.002</t>
        </is>
      </c>
      <c r="J2348" s="1779" t="inlineStr">
        <is>
          <t>Pintura em tetos</t>
        </is>
      </c>
      <c r="K2348" s="1780" t="n"/>
      <c r="L2348" s="1781" t="n"/>
      <c r="M2348" s="1781" t="n"/>
      <c r="N2348" s="1746" t="n"/>
      <c r="O2348" s="1782" t="n"/>
      <c r="P2348" s="1720" t="n"/>
    </row>
    <row r="2349" hidden="1" outlineLevel="3" ht="13.5" customHeight="1">
      <c r="A2349" s="2117" t="n">
        <v>0</v>
      </c>
      <c r="B2349" s="2117" t="n">
        <v>17</v>
      </c>
      <c r="C2349" s="2117" t="n">
        <v>1</v>
      </c>
      <c r="D2349" s="2118" t="n">
        <v>2</v>
      </c>
      <c r="E2349" s="2118" t="n">
        <v>1</v>
      </c>
      <c r="G2349" s="1798" t="inlineStr">
        <is>
          <t>PINTURA INTERNA</t>
        </is>
      </c>
      <c r="H2349" s="1783" t="inlineStr">
        <is>
          <t>SERVIÇO</t>
        </is>
      </c>
      <c r="I2349" s="1750" t="inlineStr">
        <is>
          <t>17.001.002.001</t>
        </is>
      </c>
      <c r="J2349" s="1785" t="inlineStr">
        <is>
          <t>selador em tetos</t>
        </is>
      </c>
      <c r="K2349" s="1786" t="inlineStr">
        <is>
          <t>m2</t>
        </is>
      </c>
      <c r="L2349" s="1787" t="e">
        <v>#REF!</v>
      </c>
      <c r="M2349" s="1787" t="n">
        <v>1.758555555555555</v>
      </c>
      <c r="N2349" s="1754" t="n"/>
      <c r="O2349" s="1788" t="n"/>
      <c r="P2349" s="1721" t="inlineStr">
        <is>
          <t>Pendente</t>
        </is>
      </c>
    </row>
    <row r="2350" hidden="1" outlineLevel="3" ht="13.5" customHeight="1">
      <c r="A2350" s="2117" t="n">
        <v>0</v>
      </c>
      <c r="B2350" s="2117" t="n">
        <v>17</v>
      </c>
      <c r="C2350" s="2117" t="n">
        <v>1</v>
      </c>
      <c r="D2350" s="2118" t="n">
        <v>2</v>
      </c>
      <c r="E2350" s="2118" t="n">
        <v>2</v>
      </c>
      <c r="G2350" s="1798" t="inlineStr">
        <is>
          <t>PINTURA INTERNA</t>
        </is>
      </c>
      <c r="H2350" s="1783" t="inlineStr">
        <is>
          <t>SERVIÇO</t>
        </is>
      </c>
      <c r="I2350" s="1750" t="inlineStr">
        <is>
          <t>17.001.002.002</t>
        </is>
      </c>
      <c r="J2350" s="1785" t="inlineStr">
        <is>
          <t>Massa corrida em tetos</t>
        </is>
      </c>
      <c r="K2350" s="1786" t="inlineStr">
        <is>
          <t>m2</t>
        </is>
      </c>
      <c r="L2350" s="1787" t="e">
        <v>#REF!</v>
      </c>
      <c r="M2350" s="1787" t="n">
        <v>4.34916</v>
      </c>
      <c r="N2350" s="1754" t="n"/>
      <c r="O2350" s="1788" t="n"/>
      <c r="P2350" s="1721" t="inlineStr">
        <is>
          <t>Pendente</t>
        </is>
      </c>
    </row>
    <row r="2351" hidden="1" outlineLevel="3" ht="13.5" customHeight="1">
      <c r="A2351" s="2117" t="n">
        <v>0</v>
      </c>
      <c r="B2351" s="2117" t="n">
        <v>17</v>
      </c>
      <c r="C2351" s="2117" t="n">
        <v>1</v>
      </c>
      <c r="D2351" s="2118" t="n">
        <v>2</v>
      </c>
      <c r="E2351" s="2118" t="n">
        <v>3</v>
      </c>
      <c r="G2351" s="1798" t="inlineStr">
        <is>
          <t>PINTURA INTERNA</t>
        </is>
      </c>
      <c r="H2351" s="1783" t="inlineStr">
        <is>
          <t>SERVIÇO</t>
        </is>
      </c>
      <c r="I2351" s="1750" t="inlineStr">
        <is>
          <t>17.001.002.003</t>
        </is>
      </c>
      <c r="J2351" s="1785" t="inlineStr">
        <is>
          <t>Pintura Com Tinta Latex Acrilica em tetos, 3 Demaos (Somente tinta)</t>
        </is>
      </c>
      <c r="K2351" s="1786" t="inlineStr">
        <is>
          <t>m2</t>
        </is>
      </c>
      <c r="L2351" s="1787" t="e">
        <v>#REF!</v>
      </c>
      <c r="M2351" s="1787" t="n">
        <v>12.1275</v>
      </c>
      <c r="N2351" s="1754" t="n"/>
      <c r="O2351" s="1788" t="n"/>
      <c r="P2351" s="1721" t="inlineStr">
        <is>
          <t>Pendente</t>
        </is>
      </c>
    </row>
    <row r="2352" hidden="1" outlineLevel="3" ht="13.5" customHeight="1">
      <c r="A2352" s="2117" t="n">
        <v>0</v>
      </c>
      <c r="B2352" s="2117" t="n">
        <v>17</v>
      </c>
      <c r="C2352" s="2117" t="n">
        <v>1</v>
      </c>
      <c r="D2352" s="2118" t="n">
        <v>2</v>
      </c>
      <c r="E2352" s="2118" t="n">
        <v>4</v>
      </c>
      <c r="G2352" s="1798" t="inlineStr">
        <is>
          <t>PINTURA INTERNA</t>
        </is>
      </c>
      <c r="H2352" s="1783" t="inlineStr">
        <is>
          <t>SERVIÇO</t>
        </is>
      </c>
      <c r="I2352" s="1750" t="inlineStr">
        <is>
          <t>17.001.002.004</t>
        </is>
      </c>
      <c r="J2352" s="1785" t="inlineStr">
        <is>
          <t>Pintura em Epóxi em tetos, Aplicação Manual, 2 Demãos</t>
        </is>
      </c>
      <c r="K2352" s="1786" t="inlineStr">
        <is>
          <t>m2</t>
        </is>
      </c>
      <c r="L2352" s="1787" t="e">
        <v>#REF!</v>
      </c>
      <c r="M2352" s="1787" t="n">
        <v>70.56703066666667</v>
      </c>
      <c r="N2352" s="1754" t="n"/>
      <c r="O2352" s="1788" t="n"/>
      <c r="P2352" s="1721" t="inlineStr">
        <is>
          <t>Pendente</t>
        </is>
      </c>
    </row>
    <row r="2353" hidden="1" outlineLevel="3" ht="13.5" customHeight="1">
      <c r="A2353" s="2117" t="n">
        <v>0</v>
      </c>
      <c r="B2353" s="2117" t="n">
        <v>17</v>
      </c>
      <c r="C2353" s="2117" t="n">
        <v>1</v>
      </c>
      <c r="D2353" s="2118" t="n">
        <v>2</v>
      </c>
      <c r="E2353" s="2118" t="n">
        <v>5</v>
      </c>
      <c r="G2353" s="1798" t="inlineStr">
        <is>
          <t>PINTURA INTERNA</t>
        </is>
      </c>
      <c r="H2353" s="1783" t="inlineStr">
        <is>
          <t>SERVIÇO</t>
        </is>
      </c>
      <c r="I2353" s="1750" t="inlineStr">
        <is>
          <t>17.001.002.005</t>
        </is>
      </c>
      <c r="J2353" s="1785" t="inlineStr">
        <is>
          <t>Textura Acrílica aplicação em tetos, 1 demão</t>
        </is>
      </c>
      <c r="K2353" s="1786" t="inlineStr">
        <is>
          <t>m2</t>
        </is>
      </c>
      <c r="L2353" s="1787" t="e">
        <v>#REF!</v>
      </c>
      <c r="M2353" s="1787" t="n">
        <v>13.63636363636364</v>
      </c>
      <c r="N2353" s="1754" t="n"/>
      <c r="O2353" s="1788" t="n"/>
      <c r="P2353" s="1721" t="inlineStr">
        <is>
          <t>Pendente</t>
        </is>
      </c>
    </row>
    <row r="2354" hidden="1" outlineLevel="2" ht="13.5" customHeight="1">
      <c r="A2354" s="2117" t="n">
        <v>0</v>
      </c>
      <c r="B2354" s="2117" t="n">
        <v>17</v>
      </c>
      <c r="C2354" s="2117" t="n">
        <v>1</v>
      </c>
      <c r="D2354" s="2118" t="n">
        <v>3</v>
      </c>
      <c r="E2354" s="2118" t="n">
        <v>0</v>
      </c>
      <c r="G2354" s="1797" t="n"/>
      <c r="H2354" s="1777" t="inlineStr">
        <is>
          <t>SUBETAPA</t>
        </is>
      </c>
      <c r="I2354" s="1742" t="inlineStr">
        <is>
          <t>17.001.003</t>
        </is>
      </c>
      <c r="J2354" s="1779" t="inlineStr">
        <is>
          <t>Mão de obra</t>
        </is>
      </c>
      <c r="K2354" s="1780" t="n"/>
      <c r="L2354" s="1781" t="n"/>
      <c r="M2354" s="1781" t="n"/>
      <c r="N2354" s="1746" t="n"/>
      <c r="O2354" s="1782" t="n"/>
      <c r="P2354" s="1720" t="n"/>
    </row>
    <row r="2355" hidden="1" outlineLevel="3" ht="13.5" customHeight="1">
      <c r="A2355" s="2117" t="n">
        <v>0</v>
      </c>
      <c r="B2355" s="2117" t="n">
        <v>17</v>
      </c>
      <c r="C2355" s="2117" t="n">
        <v>1</v>
      </c>
      <c r="D2355" s="2118" t="n">
        <v>3</v>
      </c>
      <c r="E2355" s="2118" t="n">
        <v>1</v>
      </c>
      <c r="G2355" s="1798" t="inlineStr">
        <is>
          <t>PINTURA INTERNA</t>
        </is>
      </c>
      <c r="H2355" s="1783" t="inlineStr">
        <is>
          <t>SERVIÇO</t>
        </is>
      </c>
      <c r="I2355" s="1750" t="inlineStr">
        <is>
          <t>17.001.003.001</t>
        </is>
      </c>
      <c r="J2355" s="1785" t="inlineStr">
        <is>
          <t>Mão de obra para pintura epóxi em paredes internas, 2 demãos</t>
        </is>
      </c>
      <c r="K2355" s="1786" t="inlineStr">
        <is>
          <t>m2</t>
        </is>
      </c>
      <c r="L2355" s="1787" t="e">
        <v>#REF!</v>
      </c>
      <c r="M2355" s="1787" t="n">
        <v>42</v>
      </c>
      <c r="N2355" s="1754" t="n"/>
      <c r="O2355" s="1788" t="n"/>
      <c r="P2355" s="1721" t="inlineStr">
        <is>
          <t>Pendente</t>
        </is>
      </c>
    </row>
    <row r="2356" hidden="1" outlineLevel="3" ht="13.5" customHeight="1">
      <c r="A2356" s="2117" t="n">
        <v>0</v>
      </c>
      <c r="B2356" s="2117" t="n">
        <v>17</v>
      </c>
      <c r="C2356" s="2117" t="n">
        <v>1</v>
      </c>
      <c r="D2356" s="2118" t="n">
        <v>3</v>
      </c>
      <c r="E2356" s="2118" t="n">
        <v>2</v>
      </c>
      <c r="G2356" s="1798" t="inlineStr">
        <is>
          <t>PINTURA INTERNA</t>
        </is>
      </c>
      <c r="H2356" s="1783" t="inlineStr">
        <is>
          <t>SERVIÇO</t>
        </is>
      </c>
      <c r="I2356" s="1750" t="inlineStr">
        <is>
          <t>17.001.003.002</t>
        </is>
      </c>
      <c r="J2356" s="1785" t="inlineStr">
        <is>
          <t>Mão de obra para pintura em paredes internas, 3 demãos</t>
        </is>
      </c>
      <c r="K2356" s="1786" t="inlineStr">
        <is>
          <t>m2</t>
        </is>
      </c>
      <c r="L2356" s="1787" t="e">
        <v>#REF!</v>
      </c>
      <c r="M2356" s="1787" t="n">
        <v>40</v>
      </c>
      <c r="N2356" s="1754" t="n"/>
      <c r="O2356" s="1788" t="n"/>
      <c r="P2356" s="1721" t="inlineStr">
        <is>
          <t>Pendente</t>
        </is>
      </c>
    </row>
    <row r="2357" hidden="1" outlineLevel="3" ht="13.5" customHeight="1">
      <c r="A2357" s="2117" t="n">
        <v>0</v>
      </c>
      <c r="B2357" s="2117" t="n">
        <v>17</v>
      </c>
      <c r="C2357" s="2117" t="n">
        <v>1</v>
      </c>
      <c r="D2357" s="2118" t="n">
        <v>3</v>
      </c>
      <c r="E2357" s="2118" t="n">
        <v>3</v>
      </c>
      <c r="G2357" s="1798" t="inlineStr">
        <is>
          <t>PINTURA INTERNA</t>
        </is>
      </c>
      <c r="H2357" s="1783" t="inlineStr">
        <is>
          <t>SERVIÇO</t>
        </is>
      </c>
      <c r="I2357" s="1750" t="inlineStr">
        <is>
          <t>17.001.003.003</t>
        </is>
      </c>
      <c r="J2357" s="1785" t="inlineStr">
        <is>
          <t>Mão de obra para pintura em teto, 3 demãos</t>
        </is>
      </c>
      <c r="K2357" s="1786" t="inlineStr">
        <is>
          <t>m2</t>
        </is>
      </c>
      <c r="L2357" s="1787" t="e">
        <v>#REF!</v>
      </c>
      <c r="M2357" s="1787" t="n">
        <v>40</v>
      </c>
      <c r="N2357" s="1754" t="n"/>
      <c r="O2357" s="1788" t="n"/>
      <c r="P2357" s="1721" t="inlineStr">
        <is>
          <t>Pendente</t>
        </is>
      </c>
    </row>
    <row r="2358" hidden="1" outlineLevel="3" ht="13.5" customHeight="1">
      <c r="A2358" s="2117" t="n">
        <v>0</v>
      </c>
      <c r="B2358" s="2117" t="n">
        <v>17</v>
      </c>
      <c r="C2358" s="2117" t="n">
        <v>1</v>
      </c>
      <c r="D2358" s="2118" t="n">
        <v>3</v>
      </c>
      <c r="E2358" s="2118" t="n">
        <v>4</v>
      </c>
      <c r="G2358" s="1798" t="inlineStr">
        <is>
          <t>PINTURA INTERNA</t>
        </is>
      </c>
      <c r="H2358" s="1783" t="inlineStr">
        <is>
          <t>SERVIÇO</t>
        </is>
      </c>
      <c r="I2358" s="1750" t="inlineStr">
        <is>
          <t>17.001.003.004</t>
        </is>
      </c>
      <c r="J2358" s="1785" t="inlineStr">
        <is>
          <t>Mão de obra para textura em teto, 1 demão</t>
        </is>
      </c>
      <c r="K2358" s="1786" t="inlineStr">
        <is>
          <t>m2</t>
        </is>
      </c>
      <c r="L2358" s="1787" t="e">
        <v>#REF!</v>
      </c>
      <c r="M2358" s="1787" t="n">
        <v>40</v>
      </c>
      <c r="N2358" s="1754" t="n"/>
      <c r="O2358" s="1788" t="n"/>
      <c r="P2358" s="1721" t="inlineStr">
        <is>
          <t>Pendente</t>
        </is>
      </c>
    </row>
    <row r="2359" hidden="1" outlineLevel="3" ht="13.5" customHeight="1">
      <c r="A2359" s="2117" t="n">
        <v>0</v>
      </c>
      <c r="B2359" s="2117" t="n">
        <v>17</v>
      </c>
      <c r="C2359" s="2117" t="n">
        <v>1</v>
      </c>
      <c r="D2359" s="2118" t="n">
        <v>3</v>
      </c>
      <c r="E2359" s="2118" t="n">
        <v>5</v>
      </c>
      <c r="G2359" s="1798" t="inlineStr">
        <is>
          <t>PINTURA INTERNA</t>
        </is>
      </c>
      <c r="H2359" s="1783" t="inlineStr">
        <is>
          <t>SERVIÇO</t>
        </is>
      </c>
      <c r="I2359" s="1750" t="inlineStr">
        <is>
          <t>17.001.003.005</t>
        </is>
      </c>
      <c r="J2359" s="1785" t="inlineStr">
        <is>
          <t>Mão de obra para pintura epoxi em teto</t>
        </is>
      </c>
      <c r="K2359" s="1786" t="inlineStr">
        <is>
          <t>m2</t>
        </is>
      </c>
      <c r="L2359" s="1787" t="e">
        <v>#REF!</v>
      </c>
      <c r="M2359" s="1787" t="n">
        <v>40</v>
      </c>
      <c r="N2359" s="1754" t="n"/>
      <c r="O2359" s="1788" t="n"/>
      <c r="P2359" s="1721" t="inlineStr">
        <is>
          <t>Pendente</t>
        </is>
      </c>
    </row>
    <row r="2360" hidden="1" outlineLevel="1" ht="13.5" customHeight="1">
      <c r="A2360" s="2117" t="n">
        <v>0</v>
      </c>
      <c r="B2360" s="2117" t="n">
        <v>17</v>
      </c>
      <c r="C2360" s="2117" t="n">
        <v>2</v>
      </c>
      <c r="D2360" s="2118" t="n">
        <v>0</v>
      </c>
      <c r="E2360" s="2118" t="n">
        <v>5</v>
      </c>
      <c r="G2360" s="1796" t="n"/>
      <c r="H2360" s="1771" t="inlineStr">
        <is>
          <t>ETAPA</t>
        </is>
      </c>
      <c r="I2360" s="1735" t="inlineStr">
        <is>
          <t>17.002</t>
        </is>
      </c>
      <c r="J2360" s="1773" t="inlineStr">
        <is>
          <t>PINTURA - Mezanino G1</t>
        </is>
      </c>
      <c r="K2360" s="1774" t="n"/>
      <c r="L2360" s="1775" t="n"/>
      <c r="M2360" s="1775" t="n"/>
      <c r="N2360" s="1739" t="n"/>
      <c r="O2360" s="1776" t="n"/>
      <c r="P2360" s="1719" t="n"/>
    </row>
    <row r="2361" hidden="1" outlineLevel="2" ht="13.5" customHeight="1">
      <c r="A2361" s="2117" t="n">
        <v>0</v>
      </c>
      <c r="B2361" s="2117" t="n">
        <v>17</v>
      </c>
      <c r="C2361" s="2117" t="n">
        <v>2</v>
      </c>
      <c r="D2361" s="2118" t="n">
        <v>1</v>
      </c>
      <c r="E2361" s="2118" t="n">
        <v>0</v>
      </c>
      <c r="G2361" s="1797" t="n"/>
      <c r="H2361" s="1777" t="inlineStr">
        <is>
          <t>SUBETAPA</t>
        </is>
      </c>
      <c r="I2361" s="1742" t="inlineStr">
        <is>
          <t>17.002.001</t>
        </is>
      </c>
      <c r="J2361" s="1779" t="inlineStr">
        <is>
          <t>Sistema de pintura em Piso</t>
        </is>
      </c>
      <c r="K2361" s="1780" t="n"/>
      <c r="L2361" s="1781" t="n"/>
      <c r="M2361" s="1781" t="n"/>
      <c r="N2361" s="1746" t="n"/>
      <c r="O2361" s="1782" t="n"/>
      <c r="P2361" s="1720" t="n"/>
    </row>
    <row r="2362" hidden="1" outlineLevel="3" ht="13.5" customHeight="1">
      <c r="A2362" s="2117" t="n">
        <v>0</v>
      </c>
      <c r="B2362" s="2117" t="n">
        <v>17</v>
      </c>
      <c r="C2362" s="2117" t="n">
        <v>2</v>
      </c>
      <c r="D2362" s="2118" t="n">
        <v>1</v>
      </c>
      <c r="E2362" s="2118" t="n">
        <v>1</v>
      </c>
      <c r="G2362" s="1798" t="inlineStr">
        <is>
          <t>PINTURA INTERNA</t>
        </is>
      </c>
      <c r="H2362" s="1783" t="inlineStr">
        <is>
          <t>SERVIÇO</t>
        </is>
      </c>
      <c r="I2362" s="1750" t="inlineStr">
        <is>
          <t>17.002.001.001</t>
        </is>
      </c>
      <c r="J2362" s="1785" t="inlineStr">
        <is>
          <t>Pintura em Epóxi para demarcação de vagas em piso, 1 demão</t>
        </is>
      </c>
      <c r="K2362" s="1786" t="inlineStr">
        <is>
          <t>m2</t>
        </is>
      </c>
      <c r="L2362" s="1787" t="e">
        <v>#REF!</v>
      </c>
      <c r="M2362" s="1787" t="n">
        <v>48.29426720987654</v>
      </c>
      <c r="N2362" s="1754" t="n"/>
      <c r="O2362" s="1788" t="n"/>
      <c r="P2362" s="1721" t="inlineStr">
        <is>
          <t>Pendente</t>
        </is>
      </c>
    </row>
    <row r="2363" hidden="1" outlineLevel="2" ht="13.5" customHeight="1">
      <c r="A2363" s="2117" t="n">
        <v>0</v>
      </c>
      <c r="B2363" s="2117" t="n">
        <v>17</v>
      </c>
      <c r="C2363" s="2117" t="n">
        <v>2</v>
      </c>
      <c r="D2363" s="2118" t="n">
        <v>2</v>
      </c>
      <c r="E2363" s="2118" t="n">
        <v>0</v>
      </c>
      <c r="G2363" s="1797" t="n"/>
      <c r="H2363" s="1777" t="inlineStr">
        <is>
          <t>SUBETAPA</t>
        </is>
      </c>
      <c r="I2363" s="1742" t="inlineStr">
        <is>
          <t>17.002.002</t>
        </is>
      </c>
      <c r="J2363" s="1779" t="inlineStr">
        <is>
          <t>Sistema de pintura em parede Interna</t>
        </is>
      </c>
      <c r="K2363" s="1780" t="n"/>
      <c r="L2363" s="1781" t="n"/>
      <c r="M2363" s="1781" t="n"/>
      <c r="N2363" s="1746" t="n"/>
      <c r="O2363" s="1782" t="n"/>
      <c r="P2363" s="1720" t="n"/>
    </row>
    <row r="2364" hidden="1" outlineLevel="3" ht="13.5" customHeight="1">
      <c r="A2364" s="2117" t="n">
        <v>0</v>
      </c>
      <c r="B2364" s="2117" t="n">
        <v>17</v>
      </c>
      <c r="C2364" s="2117" t="n">
        <v>2</v>
      </c>
      <c r="D2364" s="2118" t="n">
        <v>2</v>
      </c>
      <c r="E2364" s="2118" t="n">
        <v>1</v>
      </c>
      <c r="G2364" s="1798" t="inlineStr">
        <is>
          <t>PINTURA INTERNA</t>
        </is>
      </c>
      <c r="H2364" s="1783" t="inlineStr">
        <is>
          <t>SERVIÇO</t>
        </is>
      </c>
      <c r="I2364" s="1750" t="inlineStr">
        <is>
          <t>17.002.002.001</t>
        </is>
      </c>
      <c r="J2364" s="1785" t="inlineStr">
        <is>
          <t>selador em Paredes Internas</t>
        </is>
      </c>
      <c r="K2364" s="1786" t="inlineStr">
        <is>
          <t>m2</t>
        </is>
      </c>
      <c r="L2364" s="1787" t="e">
        <v>#REF!</v>
      </c>
      <c r="M2364" s="1787" t="n">
        <v>1.758555555555555</v>
      </c>
      <c r="N2364" s="1754" t="n"/>
      <c r="O2364" s="1788" t="n"/>
      <c r="P2364" s="1721" t="inlineStr">
        <is>
          <t>Pendente</t>
        </is>
      </c>
    </row>
    <row r="2365" hidden="1" outlineLevel="3" ht="13.5" customHeight="1">
      <c r="A2365" s="2117" t="n">
        <v>0</v>
      </c>
      <c r="B2365" s="2117" t="n">
        <v>17</v>
      </c>
      <c r="C2365" s="2117" t="n">
        <v>2</v>
      </c>
      <c r="D2365" s="2118" t="n">
        <v>2</v>
      </c>
      <c r="E2365" s="2118" t="n">
        <v>2</v>
      </c>
      <c r="G2365" s="1798" t="inlineStr">
        <is>
          <t>PINTURA INTERNA</t>
        </is>
      </c>
      <c r="H2365" s="1783" t="inlineStr">
        <is>
          <t>SERVIÇO</t>
        </is>
      </c>
      <c r="I2365" s="1750" t="inlineStr">
        <is>
          <t>17.002.002.002</t>
        </is>
      </c>
      <c r="J2365" s="1785" t="inlineStr">
        <is>
          <t>Massa Corrida em Paredes Internas</t>
        </is>
      </c>
      <c r="K2365" s="1786" t="inlineStr">
        <is>
          <t>m2</t>
        </is>
      </c>
      <c r="L2365" s="1787" t="e">
        <v>#REF!</v>
      </c>
      <c r="M2365" s="1787" t="n">
        <v>4.34916</v>
      </c>
      <c r="N2365" s="1754" t="n"/>
      <c r="O2365" s="1788" t="n"/>
      <c r="P2365" s="1721" t="inlineStr">
        <is>
          <t>Pendente</t>
        </is>
      </c>
    </row>
    <row r="2366" hidden="1" outlineLevel="3" ht="13.5" customHeight="1">
      <c r="A2366" s="2117" t="n">
        <v>0</v>
      </c>
      <c r="B2366" s="2117" t="n">
        <v>17</v>
      </c>
      <c r="C2366" s="2117" t="n">
        <v>2</v>
      </c>
      <c r="D2366" s="2118" t="n">
        <v>2</v>
      </c>
      <c r="E2366" s="2118" t="n">
        <v>3</v>
      </c>
      <c r="G2366" s="1798" t="inlineStr">
        <is>
          <t>PINTURA INTERNA</t>
        </is>
      </c>
      <c r="H2366" s="1783" t="inlineStr">
        <is>
          <t>SERVIÇO</t>
        </is>
      </c>
      <c r="I2366" s="1750" t="inlineStr">
        <is>
          <t>17.002.002.003</t>
        </is>
      </c>
      <c r="J2366" s="1785" t="inlineStr">
        <is>
          <t>Pintura Com Tinta Latex Acrilica em Paredes Internas, 3 Demaos (Somente tinta)</t>
        </is>
      </c>
      <c r="K2366" s="1786" t="inlineStr">
        <is>
          <t>m2</t>
        </is>
      </c>
      <c r="L2366" s="1787" t="e">
        <v>#REF!</v>
      </c>
      <c r="M2366" s="1787" t="n">
        <v>12.1275</v>
      </c>
      <c r="N2366" s="1754" t="n"/>
      <c r="O2366" s="1788" t="n"/>
      <c r="P2366" s="1721" t="inlineStr">
        <is>
          <t>Pendente</t>
        </is>
      </c>
    </row>
    <row r="2367" hidden="1" outlineLevel="3" ht="13.5" customHeight="1">
      <c r="A2367" s="2117" t="n">
        <v>0</v>
      </c>
      <c r="B2367" s="2117" t="n">
        <v>17</v>
      </c>
      <c r="C2367" s="2117" t="n">
        <v>2</v>
      </c>
      <c r="D2367" s="2118" t="n">
        <v>2</v>
      </c>
      <c r="E2367" s="2118" t="n">
        <v>4</v>
      </c>
      <c r="G2367" s="1798" t="inlineStr">
        <is>
          <t>PINTURA INTERNA</t>
        </is>
      </c>
      <c r="H2367" s="1783" t="inlineStr">
        <is>
          <t>SERVIÇO</t>
        </is>
      </c>
      <c r="I2367" s="1750" t="inlineStr">
        <is>
          <t>17.002.002.004</t>
        </is>
      </c>
      <c r="J2367" s="1785" t="inlineStr">
        <is>
          <t>Pintura Com Tinta Latex Acrilica em Paredes Internas, 3 Demaos (Somente tinta) - Suvinil Azul Etéreo</t>
        </is>
      </c>
      <c r="K2367" s="1786" t="inlineStr">
        <is>
          <t>m2</t>
        </is>
      </c>
      <c r="L2367" s="1787" t="e">
        <v>#REF!</v>
      </c>
      <c r="M2367" s="1787" t="n">
        <v>22.507959375</v>
      </c>
      <c r="N2367" s="1754" t="n"/>
      <c r="O2367" s="1788" t="n"/>
      <c r="P2367" s="1721" t="inlineStr">
        <is>
          <t>Pendente</t>
        </is>
      </c>
    </row>
    <row r="2368" hidden="1" outlineLevel="3" ht="13.5" customHeight="1">
      <c r="A2368" s="2117" t="n">
        <v>0</v>
      </c>
      <c r="B2368" s="2117" t="n">
        <v>17</v>
      </c>
      <c r="C2368" s="2117" t="n">
        <v>2</v>
      </c>
      <c r="D2368" s="2118" t="n">
        <v>2</v>
      </c>
      <c r="E2368" s="2118" t="n">
        <v>5</v>
      </c>
      <c r="G2368" s="1798" t="inlineStr">
        <is>
          <t>PINTURA INTERNA</t>
        </is>
      </c>
      <c r="H2368" s="1783" t="inlineStr">
        <is>
          <t>SERVIÇO</t>
        </is>
      </c>
      <c r="I2368" s="1750" t="inlineStr">
        <is>
          <t>17.002.002.005</t>
        </is>
      </c>
      <c r="J2368" s="1751" t="inlineStr">
        <is>
          <t>Pintura em Epóxi em Parede, Aplicação Manual, 2 Demãos (com massa e selador)</t>
        </is>
      </c>
      <c r="K2368" s="1752" t="inlineStr">
        <is>
          <t>m2</t>
        </is>
      </c>
      <c r="L2368" s="1753" t="e">
        <v>#REF!</v>
      </c>
      <c r="M2368" s="1787" t="n">
        <v>76.67474622222223</v>
      </c>
      <c r="N2368" s="1754" t="n"/>
      <c r="O2368" s="1755" t="n"/>
      <c r="P2368" s="1721" t="inlineStr">
        <is>
          <t>Pendente</t>
        </is>
      </c>
    </row>
    <row r="2369" hidden="1" outlineLevel="3" ht="13.5" customHeight="1">
      <c r="A2369" s="2117" t="n">
        <v>0</v>
      </c>
      <c r="B2369" s="2117" t="n">
        <v>17</v>
      </c>
      <c r="C2369" s="2117" t="n">
        <v>2</v>
      </c>
      <c r="D2369" s="2118" t="n">
        <v>2</v>
      </c>
      <c r="E2369" s="2118" t="n">
        <v>6</v>
      </c>
      <c r="G2369" s="1798" t="inlineStr">
        <is>
          <t>PINTURA INTERNA</t>
        </is>
      </c>
      <c r="H2369" s="1783" t="inlineStr">
        <is>
          <t>SERVIÇO</t>
        </is>
      </c>
      <c r="I2369" s="1750" t="inlineStr">
        <is>
          <t>17.002.002.006</t>
        </is>
      </c>
      <c r="J2369" s="1785" t="inlineStr">
        <is>
          <t>Pintura em Látex Acrilica para demarcação de vagas em parede, 2 demão</t>
        </is>
      </c>
      <c r="K2369" s="1786" t="inlineStr">
        <is>
          <t>m2</t>
        </is>
      </c>
      <c r="L2369" s="1787" t="e">
        <v>#REF!</v>
      </c>
      <c r="M2369" s="1787" t="n">
        <v>8.728316065000001</v>
      </c>
      <c r="N2369" s="1754" t="n"/>
      <c r="O2369" s="1788" t="n"/>
      <c r="P2369" s="1721" t="inlineStr">
        <is>
          <t>Pendente</t>
        </is>
      </c>
    </row>
    <row r="2370" hidden="1" outlineLevel="2" ht="13.5" customHeight="1">
      <c r="A2370" s="2117" t="n">
        <v>0</v>
      </c>
      <c r="B2370" s="2117" t="n">
        <v>17</v>
      </c>
      <c r="C2370" s="2117" t="n">
        <v>2</v>
      </c>
      <c r="D2370" s="2118" t="n">
        <v>3</v>
      </c>
      <c r="E2370" s="2118" t="n">
        <v>0</v>
      </c>
      <c r="G2370" s="1797" t="n"/>
      <c r="H2370" s="1777" t="inlineStr">
        <is>
          <t>SUBETAPA</t>
        </is>
      </c>
      <c r="I2370" s="1742" t="inlineStr">
        <is>
          <t>17.002.003</t>
        </is>
      </c>
      <c r="J2370" s="1779" t="inlineStr">
        <is>
          <t>Pintura em tetos</t>
        </is>
      </c>
      <c r="K2370" s="1780" t="n"/>
      <c r="L2370" s="1781" t="n"/>
      <c r="M2370" s="1781" t="n"/>
      <c r="N2370" s="1746" t="n"/>
      <c r="O2370" s="1782" t="n"/>
      <c r="P2370" s="1720" t="n"/>
    </row>
    <row r="2371" hidden="1" outlineLevel="3" ht="13.5" customHeight="1">
      <c r="A2371" s="2117" t="n">
        <v>0</v>
      </c>
      <c r="B2371" s="2117" t="n">
        <v>17</v>
      </c>
      <c r="C2371" s="2117" t="n">
        <v>2</v>
      </c>
      <c r="D2371" s="2118" t="n">
        <v>3</v>
      </c>
      <c r="E2371" s="2118" t="n">
        <v>1</v>
      </c>
      <c r="G2371" s="1798" t="inlineStr">
        <is>
          <t>PINTURA INTERNA</t>
        </is>
      </c>
      <c r="H2371" s="1783" t="inlineStr">
        <is>
          <t>SERVIÇO</t>
        </is>
      </c>
      <c r="I2371" s="1750" t="inlineStr">
        <is>
          <t>17.002.003.001</t>
        </is>
      </c>
      <c r="J2371" s="1785" t="inlineStr">
        <is>
          <t>selador em tetos</t>
        </is>
      </c>
      <c r="K2371" s="1786" t="inlineStr">
        <is>
          <t>m2</t>
        </is>
      </c>
      <c r="L2371" s="1787" t="e">
        <v>#REF!</v>
      </c>
      <c r="M2371" s="1787" t="n">
        <v>1.758555555555555</v>
      </c>
      <c r="N2371" s="1754" t="n"/>
      <c r="O2371" s="1788" t="n"/>
      <c r="P2371" s="1721" t="inlineStr">
        <is>
          <t>Pendente</t>
        </is>
      </c>
    </row>
    <row r="2372" hidden="1" outlineLevel="3" ht="13.5" customHeight="1">
      <c r="A2372" s="2117" t="n">
        <v>0</v>
      </c>
      <c r="B2372" s="2117" t="n">
        <v>17</v>
      </c>
      <c r="C2372" s="2117" t="n">
        <v>2</v>
      </c>
      <c r="D2372" s="2118" t="n">
        <v>3</v>
      </c>
      <c r="E2372" s="2118" t="n">
        <v>2</v>
      </c>
      <c r="G2372" s="1798" t="inlineStr">
        <is>
          <t>PINTURA INTERNA</t>
        </is>
      </c>
      <c r="H2372" s="1783" t="inlineStr">
        <is>
          <t>SERVIÇO</t>
        </is>
      </c>
      <c r="I2372" s="1750" t="inlineStr">
        <is>
          <t>17.002.003.002</t>
        </is>
      </c>
      <c r="J2372" s="1785" t="inlineStr">
        <is>
          <t>Massa corrida em tetos</t>
        </is>
      </c>
      <c r="K2372" s="1786" t="inlineStr">
        <is>
          <t>m2</t>
        </is>
      </c>
      <c r="L2372" s="1787" t="e">
        <v>#REF!</v>
      </c>
      <c r="M2372" s="1787" t="n">
        <v>4.34916</v>
      </c>
      <c r="N2372" s="1754" t="n"/>
      <c r="O2372" s="1788" t="n"/>
      <c r="P2372" s="1721" t="inlineStr">
        <is>
          <t>Pendente</t>
        </is>
      </c>
    </row>
    <row r="2373" hidden="1" outlineLevel="3" ht="13.5" customHeight="1">
      <c r="A2373" s="2117" t="n">
        <v>0</v>
      </c>
      <c r="B2373" s="2117" t="n">
        <v>17</v>
      </c>
      <c r="C2373" s="2117" t="n">
        <v>2</v>
      </c>
      <c r="D2373" s="2118" t="n">
        <v>3</v>
      </c>
      <c r="E2373" s="2118" t="n">
        <v>3</v>
      </c>
      <c r="G2373" s="1798" t="inlineStr">
        <is>
          <t>PINTURA INTERNA</t>
        </is>
      </c>
      <c r="H2373" s="1783" t="inlineStr">
        <is>
          <t>SERVIÇO</t>
        </is>
      </c>
      <c r="I2373" s="1750" t="inlineStr">
        <is>
          <t>17.002.003.003</t>
        </is>
      </c>
      <c r="J2373" s="1785" t="inlineStr">
        <is>
          <t>Pintura Com Tinta Latex Acrilica em tetos, 3 Demaos (Somente tinta)</t>
        </is>
      </c>
      <c r="K2373" s="1786" t="inlineStr">
        <is>
          <t>m2</t>
        </is>
      </c>
      <c r="L2373" s="1787" t="e">
        <v>#REF!</v>
      </c>
      <c r="M2373" s="1787" t="n">
        <v>12.1275</v>
      </c>
      <c r="N2373" s="1754" t="n"/>
      <c r="O2373" s="1788" t="n"/>
      <c r="P2373" s="1721" t="inlineStr">
        <is>
          <t>Pendente</t>
        </is>
      </c>
    </row>
    <row r="2374" hidden="1" outlineLevel="3" ht="13.5" customHeight="1">
      <c r="A2374" s="2117" t="n">
        <v>0</v>
      </c>
      <c r="B2374" s="2117" t="n">
        <v>17</v>
      </c>
      <c r="C2374" s="2117" t="n">
        <v>2</v>
      </c>
      <c r="D2374" s="2118" t="n">
        <v>3</v>
      </c>
      <c r="E2374" s="2118" t="n">
        <v>4</v>
      </c>
      <c r="G2374" s="1798" t="inlineStr">
        <is>
          <t>PINTURA INTERNA</t>
        </is>
      </c>
      <c r="H2374" s="1783" t="inlineStr">
        <is>
          <t>SERVIÇO</t>
        </is>
      </c>
      <c r="I2374" s="1750" t="inlineStr">
        <is>
          <t>17.002.003.004</t>
        </is>
      </c>
      <c r="J2374" s="1785" t="inlineStr">
        <is>
          <t>Pintura Com Tinta Latex Acrilica em tetos, 3 Demaos (Somente tinta) - Suvinil Azul Etéreo</t>
        </is>
      </c>
      <c r="K2374" s="1786" t="inlineStr">
        <is>
          <t>m2</t>
        </is>
      </c>
      <c r="L2374" s="1787" t="e">
        <v>#REF!</v>
      </c>
      <c r="M2374" s="1787" t="n">
        <v>22.507959375</v>
      </c>
      <c r="N2374" s="1754" t="n"/>
      <c r="O2374" s="1788" t="n"/>
      <c r="P2374" s="1721" t="inlineStr">
        <is>
          <t>Pendente</t>
        </is>
      </c>
    </row>
    <row r="2375" hidden="1" outlineLevel="3" ht="13.5" customHeight="1">
      <c r="A2375" s="2117" t="n">
        <v>0</v>
      </c>
      <c r="B2375" s="2117" t="n">
        <v>17</v>
      </c>
      <c r="C2375" s="2117" t="n">
        <v>2</v>
      </c>
      <c r="D2375" s="2118" t="n">
        <v>3</v>
      </c>
      <c r="E2375" s="2118" t="n">
        <v>5</v>
      </c>
      <c r="G2375" s="1798" t="inlineStr">
        <is>
          <t>PINTURA INTERNA</t>
        </is>
      </c>
      <c r="H2375" s="1783" t="inlineStr">
        <is>
          <t>SERVIÇO</t>
        </is>
      </c>
      <c r="I2375" s="1750" t="inlineStr">
        <is>
          <t>17.002.003.005</t>
        </is>
      </c>
      <c r="J2375" s="1785" t="inlineStr">
        <is>
          <t>Pintura em Epóxi em tetos, Aplicação Manual, 2 Demãos</t>
        </is>
      </c>
      <c r="K2375" s="1786" t="inlineStr">
        <is>
          <t>m2</t>
        </is>
      </c>
      <c r="L2375" s="1787" t="e">
        <v>#REF!</v>
      </c>
      <c r="M2375" s="1787" t="n">
        <v>70.56703066666667</v>
      </c>
      <c r="N2375" s="1754" t="n"/>
      <c r="O2375" s="1788" t="n"/>
      <c r="P2375" s="1721" t="inlineStr">
        <is>
          <t>Pendente</t>
        </is>
      </c>
    </row>
    <row r="2376" hidden="1" outlineLevel="3" ht="13.5" customHeight="1">
      <c r="A2376" s="2117" t="n">
        <v>0</v>
      </c>
      <c r="B2376" s="2117" t="n">
        <v>17</v>
      </c>
      <c r="C2376" s="2117" t="n">
        <v>2</v>
      </c>
      <c r="D2376" s="2118" t="n">
        <v>3</v>
      </c>
      <c r="E2376" s="2118" t="n">
        <v>6</v>
      </c>
      <c r="G2376" s="1798" t="inlineStr">
        <is>
          <t>PINTURA INTERNA</t>
        </is>
      </c>
      <c r="H2376" s="1783" t="inlineStr">
        <is>
          <t>SERVIÇO</t>
        </is>
      </c>
      <c r="I2376" s="1750" t="inlineStr">
        <is>
          <t>17.002.003.006</t>
        </is>
      </c>
      <c r="J2376" s="1785" t="inlineStr">
        <is>
          <t>Pintura Artistica em tetos</t>
        </is>
      </c>
      <c r="K2376" s="1786" t="inlineStr">
        <is>
          <t>m2</t>
        </is>
      </c>
      <c r="L2376" s="1787" t="e">
        <v>#REF!</v>
      </c>
      <c r="M2376" s="1787" t="n">
        <v>80</v>
      </c>
      <c r="N2376" s="1754" t="n"/>
      <c r="O2376" s="1788" t="n"/>
      <c r="P2376" s="1721" t="inlineStr">
        <is>
          <t>Pendente</t>
        </is>
      </c>
    </row>
    <row r="2377" hidden="1" outlineLevel="3" ht="13.5" customHeight="1">
      <c r="A2377" s="2117" t="n">
        <v>0</v>
      </c>
      <c r="B2377" s="2117" t="n">
        <v>17</v>
      </c>
      <c r="C2377" s="2117" t="n">
        <v>2</v>
      </c>
      <c r="D2377" s="2118" t="n">
        <v>3</v>
      </c>
      <c r="E2377" s="2118" t="n">
        <v>7</v>
      </c>
      <c r="G2377" s="1798" t="inlineStr">
        <is>
          <t>PINTURA INTERNA</t>
        </is>
      </c>
      <c r="H2377" s="1783" t="inlineStr">
        <is>
          <t>SERVIÇO</t>
        </is>
      </c>
      <c r="I2377" s="1750" t="inlineStr">
        <is>
          <t>17.002.003.007</t>
        </is>
      </c>
      <c r="J2377" s="1785" t="inlineStr">
        <is>
          <t>Textura Acrílica aplicação em tetos, 1 demão</t>
        </is>
      </c>
      <c r="K2377" s="1786" t="inlineStr">
        <is>
          <t>m2</t>
        </is>
      </c>
      <c r="L2377" s="1787" t="e">
        <v>#REF!</v>
      </c>
      <c r="M2377" s="1787" t="n">
        <v>13.63636363636364</v>
      </c>
      <c r="N2377" s="1754" t="n"/>
      <c r="O2377" s="1788" t="n"/>
      <c r="P2377" s="1721" t="inlineStr">
        <is>
          <t>Pendente</t>
        </is>
      </c>
    </row>
    <row r="2378" hidden="1" outlineLevel="2" ht="13.5" customHeight="1">
      <c r="A2378" s="2117" t="n">
        <v>0</v>
      </c>
      <c r="B2378" s="2117" t="n">
        <v>17</v>
      </c>
      <c r="C2378" s="2117" t="n">
        <v>2</v>
      </c>
      <c r="D2378" s="2118" t="n">
        <v>4</v>
      </c>
      <c r="E2378" s="2118" t="n">
        <v>0</v>
      </c>
      <c r="G2378" s="1797" t="n"/>
      <c r="H2378" s="1777" t="inlineStr">
        <is>
          <t>SUBETAPA</t>
        </is>
      </c>
      <c r="I2378" s="1742" t="inlineStr">
        <is>
          <t>17.002.004</t>
        </is>
      </c>
      <c r="J2378" s="1779" t="inlineStr">
        <is>
          <t>Mão de obra</t>
        </is>
      </c>
      <c r="K2378" s="1780" t="n"/>
      <c r="L2378" s="1781" t="n"/>
      <c r="M2378" s="1781" t="n"/>
      <c r="N2378" s="1746" t="n"/>
      <c r="O2378" s="1782" t="n"/>
      <c r="P2378" s="1720" t="n"/>
    </row>
    <row r="2379" hidden="1" outlineLevel="3" ht="13.5" customHeight="1">
      <c r="A2379" s="2117" t="n">
        <v>0</v>
      </c>
      <c r="B2379" s="2117" t="n">
        <v>17</v>
      </c>
      <c r="C2379" s="2117" t="n">
        <v>2</v>
      </c>
      <c r="D2379" s="2118" t="n">
        <v>4</v>
      </c>
      <c r="E2379" s="2118" t="n">
        <v>1</v>
      </c>
      <c r="G2379" s="1798" t="inlineStr">
        <is>
          <t>PINTURA INTERNA</t>
        </is>
      </c>
      <c r="H2379" s="1783" t="inlineStr">
        <is>
          <t>SERVIÇO</t>
        </is>
      </c>
      <c r="I2379" s="1750" t="inlineStr">
        <is>
          <t>17.002.004.001</t>
        </is>
      </c>
      <c r="J2379" s="1785" t="inlineStr">
        <is>
          <t>Mão de obra para demarcação de vagas epoxi</t>
        </is>
      </c>
      <c r="K2379" s="1786" t="inlineStr">
        <is>
          <t>m2</t>
        </is>
      </c>
      <c r="L2379" s="1787" t="e">
        <v>#REF!</v>
      </c>
      <c r="M2379" s="1787" t="n">
        <v>40</v>
      </c>
      <c r="N2379" s="1754" t="n"/>
      <c r="O2379" s="1788" t="n"/>
      <c r="P2379" s="1721" t="inlineStr">
        <is>
          <t>Pendente</t>
        </is>
      </c>
    </row>
    <row r="2380" hidden="1" outlineLevel="3" ht="13.5" customHeight="1">
      <c r="A2380" s="2117" t="n">
        <v>0</v>
      </c>
      <c r="B2380" s="2117" t="n">
        <v>17</v>
      </c>
      <c r="C2380" s="2117" t="n">
        <v>2</v>
      </c>
      <c r="D2380" s="2118" t="n">
        <v>4</v>
      </c>
      <c r="E2380" s="2118" t="n">
        <v>2</v>
      </c>
      <c r="G2380" s="1798" t="inlineStr">
        <is>
          <t>PINTURA INTERNA</t>
        </is>
      </c>
      <c r="H2380" s="1783" t="inlineStr">
        <is>
          <t>SERVIÇO</t>
        </is>
      </c>
      <c r="I2380" s="1750" t="inlineStr">
        <is>
          <t>17.002.004.002</t>
        </is>
      </c>
      <c r="J2380" s="1785" t="inlineStr">
        <is>
          <t>Mão de obra para pintura epóxi em paredes internas, 2 demãos</t>
        </is>
      </c>
      <c r="K2380" s="1786" t="inlineStr">
        <is>
          <t>m2</t>
        </is>
      </c>
      <c r="L2380" s="1787" t="e">
        <v>#REF!</v>
      </c>
      <c r="M2380" s="1787" t="n">
        <v>42</v>
      </c>
      <c r="N2380" s="1754" t="n"/>
      <c r="O2380" s="1788" t="n"/>
      <c r="P2380" s="1721" t="inlineStr">
        <is>
          <t>Pendente</t>
        </is>
      </c>
    </row>
    <row r="2381" hidden="1" outlineLevel="3" ht="13.5" customHeight="1">
      <c r="A2381" s="2117" t="n">
        <v>0</v>
      </c>
      <c r="B2381" s="2117" t="n">
        <v>17</v>
      </c>
      <c r="C2381" s="2117" t="n">
        <v>2</v>
      </c>
      <c r="D2381" s="2118" t="n">
        <v>4</v>
      </c>
      <c r="E2381" s="2118" t="n">
        <v>3</v>
      </c>
      <c r="G2381" s="1798" t="inlineStr">
        <is>
          <t>PINTURA INTERNA</t>
        </is>
      </c>
      <c r="H2381" s="1783" t="inlineStr">
        <is>
          <t>SERVIÇO</t>
        </is>
      </c>
      <c r="I2381" s="1750" t="inlineStr">
        <is>
          <t>17.002.004.003</t>
        </is>
      </c>
      <c r="J2381" s="1785" t="inlineStr">
        <is>
          <t>Mão de obra para pintura em paredes internas, 3 demãos</t>
        </is>
      </c>
      <c r="K2381" s="1786" t="inlineStr">
        <is>
          <t>m2</t>
        </is>
      </c>
      <c r="L2381" s="1787" t="e">
        <v>#REF!</v>
      </c>
      <c r="M2381" s="1787" t="n">
        <v>40</v>
      </c>
      <c r="N2381" s="1754" t="n"/>
      <c r="O2381" s="1788" t="n"/>
      <c r="P2381" s="1721" t="inlineStr">
        <is>
          <t>Pendente</t>
        </is>
      </c>
    </row>
    <row r="2382" hidden="1" outlineLevel="3" ht="13.5" customHeight="1">
      <c r="A2382" s="2117" t="n">
        <v>0</v>
      </c>
      <c r="B2382" s="2117" t="n">
        <v>17</v>
      </c>
      <c r="C2382" s="2117" t="n">
        <v>2</v>
      </c>
      <c r="D2382" s="2118" t="n">
        <v>4</v>
      </c>
      <c r="E2382" s="2118" t="n">
        <v>4</v>
      </c>
      <c r="G2382" s="1798" t="inlineStr">
        <is>
          <t>PINTURA INTERNA</t>
        </is>
      </c>
      <c r="H2382" s="1783" t="inlineStr">
        <is>
          <t>SERVIÇO</t>
        </is>
      </c>
      <c r="I2382" s="1750" t="inlineStr">
        <is>
          <t>17.002.004.004</t>
        </is>
      </c>
      <c r="J2382" s="1785" t="inlineStr">
        <is>
          <t>Mão de obra para faixa de garagem em paredes internas, 1 demãos</t>
        </is>
      </c>
      <c r="K2382" s="1786" t="inlineStr">
        <is>
          <t>m2</t>
        </is>
      </c>
      <c r="L2382" s="1787" t="e">
        <v>#REF!</v>
      </c>
      <c r="M2382" s="1787" t="n">
        <v>20</v>
      </c>
      <c r="N2382" s="1754" t="n"/>
      <c r="O2382" s="1788" t="n"/>
      <c r="P2382" s="1721" t="inlineStr">
        <is>
          <t>Pendente</t>
        </is>
      </c>
    </row>
    <row r="2383" hidden="1" outlineLevel="3" ht="13.5" customHeight="1">
      <c r="A2383" s="2117" t="n">
        <v>0</v>
      </c>
      <c r="B2383" s="2117" t="n">
        <v>17</v>
      </c>
      <c r="C2383" s="2117" t="n">
        <v>2</v>
      </c>
      <c r="D2383" s="2118" t="n">
        <v>4</v>
      </c>
      <c r="E2383" s="2118" t="n">
        <v>5</v>
      </c>
      <c r="G2383" s="1798" t="inlineStr">
        <is>
          <t>PINTURA INTERNA</t>
        </is>
      </c>
      <c r="H2383" s="1783" t="inlineStr">
        <is>
          <t>SERVIÇO</t>
        </is>
      </c>
      <c r="I2383" s="1750" t="inlineStr">
        <is>
          <t>17.002.004.005</t>
        </is>
      </c>
      <c r="J2383" s="1785" t="inlineStr">
        <is>
          <t>Mão de obra para pintura em teto, 3 demãos</t>
        </is>
      </c>
      <c r="K2383" s="1786" t="inlineStr">
        <is>
          <t>m2</t>
        </is>
      </c>
      <c r="L2383" s="1787" t="e">
        <v>#REF!</v>
      </c>
      <c r="M2383" s="1787" t="n">
        <v>40</v>
      </c>
      <c r="N2383" s="1754" t="n"/>
      <c r="O2383" s="1788" t="n"/>
      <c r="P2383" s="1721" t="inlineStr">
        <is>
          <t>Pendente</t>
        </is>
      </c>
    </row>
    <row r="2384" hidden="1" outlineLevel="3" ht="13.5" customHeight="1">
      <c r="A2384" s="2117" t="n">
        <v>0</v>
      </c>
      <c r="B2384" s="2117" t="n">
        <v>17</v>
      </c>
      <c r="C2384" s="2117" t="n">
        <v>2</v>
      </c>
      <c r="D2384" s="2118" t="n">
        <v>4</v>
      </c>
      <c r="E2384" s="2118" t="n">
        <v>6</v>
      </c>
      <c r="G2384" s="1798" t="inlineStr">
        <is>
          <t>PINTURA INTERNA</t>
        </is>
      </c>
      <c r="H2384" s="1783" t="inlineStr">
        <is>
          <t>SERVIÇO</t>
        </is>
      </c>
      <c r="I2384" s="1750" t="inlineStr">
        <is>
          <t>17.002.004.006</t>
        </is>
      </c>
      <c r="J2384" s="1785" t="inlineStr">
        <is>
          <t>Mão de obra para textura em teto, 1 demão</t>
        </is>
      </c>
      <c r="K2384" s="1786" t="inlineStr">
        <is>
          <t>m2</t>
        </is>
      </c>
      <c r="L2384" s="1787" t="e">
        <v>#REF!</v>
      </c>
      <c r="M2384" s="1787" t="n">
        <v>40</v>
      </c>
      <c r="N2384" s="1754" t="n"/>
      <c r="O2384" s="1788" t="n"/>
      <c r="P2384" s="1721" t="inlineStr">
        <is>
          <t>Pendente</t>
        </is>
      </c>
    </row>
    <row r="2385" hidden="1" outlineLevel="3" ht="13.5" customHeight="1">
      <c r="A2385" s="2117" t="n">
        <v>0</v>
      </c>
      <c r="B2385" s="2117" t="n">
        <v>17</v>
      </c>
      <c r="C2385" s="2117" t="n">
        <v>2</v>
      </c>
      <c r="D2385" s="2118" t="n">
        <v>4</v>
      </c>
      <c r="E2385" s="2118" t="n">
        <v>7</v>
      </c>
      <c r="G2385" s="1798" t="inlineStr">
        <is>
          <t>PINTURA INTERNA</t>
        </is>
      </c>
      <c r="H2385" s="1783" t="inlineStr">
        <is>
          <t>SERVIÇO</t>
        </is>
      </c>
      <c r="I2385" s="1750" t="inlineStr">
        <is>
          <t>17.002.004.007</t>
        </is>
      </c>
      <c r="J2385" s="1785" t="inlineStr">
        <is>
          <t>Mão de obra para pintura artistica em teto</t>
        </is>
      </c>
      <c r="K2385" s="1786" t="inlineStr">
        <is>
          <t>m2</t>
        </is>
      </c>
      <c r="L2385" s="1787" t="e">
        <v>#REF!</v>
      </c>
      <c r="M2385" s="1787" t="n">
        <v>400</v>
      </c>
      <c r="N2385" s="1754" t="n"/>
      <c r="O2385" s="1788" t="n"/>
      <c r="P2385" s="1721" t="inlineStr">
        <is>
          <t>Pendente</t>
        </is>
      </c>
    </row>
    <row r="2386" hidden="1" outlineLevel="3" ht="13.5" customHeight="1">
      <c r="A2386" s="2117" t="n">
        <v>0</v>
      </c>
      <c r="B2386" s="2117" t="n">
        <v>17</v>
      </c>
      <c r="C2386" s="2117" t="n">
        <v>2</v>
      </c>
      <c r="D2386" s="2118" t="n">
        <v>4</v>
      </c>
      <c r="E2386" s="2118" t="n">
        <v>8</v>
      </c>
      <c r="G2386" s="1798" t="inlineStr">
        <is>
          <t>PINTURA INTERNA</t>
        </is>
      </c>
      <c r="H2386" s="1783" t="inlineStr">
        <is>
          <t>SERVIÇO</t>
        </is>
      </c>
      <c r="I2386" s="1750" t="inlineStr">
        <is>
          <t>17.002.004.008</t>
        </is>
      </c>
      <c r="J2386" s="1785" t="inlineStr">
        <is>
          <t>Mão de obra para pintura epoxi em teto</t>
        </is>
      </c>
      <c r="K2386" s="1786" t="inlineStr">
        <is>
          <t>m2</t>
        </is>
      </c>
      <c r="L2386" s="1787" t="e">
        <v>#REF!</v>
      </c>
      <c r="M2386" s="1787" t="n">
        <v>40</v>
      </c>
      <c r="N2386" s="1754" t="n"/>
      <c r="O2386" s="1788" t="n"/>
      <c r="P2386" s="1721" t="inlineStr">
        <is>
          <t>Pendente</t>
        </is>
      </c>
    </row>
    <row r="2387" hidden="1" outlineLevel="1" ht="13.5" customHeight="1">
      <c r="A2387" s="2117" t="n">
        <v>0</v>
      </c>
      <c r="B2387" s="2117" t="n">
        <v>17</v>
      </c>
      <c r="C2387" s="2117" t="n">
        <v>3</v>
      </c>
      <c r="D2387" s="2118" t="n">
        <v>0</v>
      </c>
      <c r="E2387" s="2118" t="n">
        <v>8</v>
      </c>
      <c r="G2387" s="1796" t="n"/>
      <c r="H2387" s="1771" t="inlineStr">
        <is>
          <t>ETAPA</t>
        </is>
      </c>
      <c r="I2387" s="1735" t="inlineStr">
        <is>
          <t>17.003</t>
        </is>
      </c>
      <c r="J2387" s="1773" t="inlineStr">
        <is>
          <t>PINTURA - G2</t>
        </is>
      </c>
      <c r="K2387" s="1774" t="n"/>
      <c r="L2387" s="1775" t="n"/>
      <c r="M2387" s="1775" t="n"/>
      <c r="N2387" s="1739" t="n"/>
      <c r="O2387" s="1776" t="n"/>
      <c r="P2387" s="1719" t="n"/>
    </row>
    <row r="2388" hidden="1" outlineLevel="2" ht="13.5" customHeight="1">
      <c r="A2388" s="2117" t="n">
        <v>0</v>
      </c>
      <c r="B2388" s="2117" t="n">
        <v>17</v>
      </c>
      <c r="C2388" s="2117" t="n">
        <v>3</v>
      </c>
      <c r="D2388" s="2118" t="n">
        <v>1</v>
      </c>
      <c r="E2388" s="2118" t="n">
        <v>0</v>
      </c>
      <c r="G2388" s="1797" t="n"/>
      <c r="H2388" s="1777" t="inlineStr">
        <is>
          <t>SUBETAPA</t>
        </is>
      </c>
      <c r="I2388" s="1742" t="inlineStr">
        <is>
          <t>17.003.001</t>
        </is>
      </c>
      <c r="J2388" s="1779" t="inlineStr">
        <is>
          <t>Sistema de pintura em Piso</t>
        </is>
      </c>
      <c r="K2388" s="1780" t="n"/>
      <c r="L2388" s="1781" t="n"/>
      <c r="M2388" s="1781" t="n"/>
      <c r="N2388" s="1746" t="n"/>
      <c r="O2388" s="1782" t="n"/>
      <c r="P2388" s="1720" t="n"/>
    </row>
    <row r="2389" hidden="1" outlineLevel="3" ht="13.5" customHeight="1">
      <c r="A2389" s="2117" t="n">
        <v>0</v>
      </c>
      <c r="B2389" s="2117" t="n">
        <v>17</v>
      </c>
      <c r="C2389" s="2117" t="n">
        <v>3</v>
      </c>
      <c r="D2389" s="2118" t="n">
        <v>1</v>
      </c>
      <c r="E2389" s="2118" t="n">
        <v>1</v>
      </c>
      <c r="G2389" s="1798" t="inlineStr">
        <is>
          <t>PINTURA INTERNA</t>
        </is>
      </c>
      <c r="H2389" s="1783" t="inlineStr">
        <is>
          <t>SERVIÇO</t>
        </is>
      </c>
      <c r="I2389" s="1750" t="inlineStr">
        <is>
          <t>17.003.001.001</t>
        </is>
      </c>
      <c r="J2389" s="1785" t="inlineStr">
        <is>
          <t>Pintura em Epóxi para demarcação de vagas em piso, 1 demão</t>
        </is>
      </c>
      <c r="K2389" s="1786" t="inlineStr">
        <is>
          <t>m2</t>
        </is>
      </c>
      <c r="L2389" s="1787" t="e">
        <v>#REF!</v>
      </c>
      <c r="M2389" s="1787" t="n">
        <v>48.29426720987654</v>
      </c>
      <c r="N2389" s="1754" t="n"/>
      <c r="O2389" s="1788" t="n"/>
      <c r="P2389" s="1721" t="inlineStr">
        <is>
          <t>Pendente</t>
        </is>
      </c>
    </row>
    <row r="2390" hidden="1" outlineLevel="2" ht="13.5" customHeight="1">
      <c r="A2390" s="2117" t="n">
        <v>0</v>
      </c>
      <c r="B2390" s="2117" t="n">
        <v>17</v>
      </c>
      <c r="C2390" s="2117" t="n">
        <v>3</v>
      </c>
      <c r="D2390" s="2118" t="n">
        <v>2</v>
      </c>
      <c r="E2390" s="2118" t="n">
        <v>0</v>
      </c>
      <c r="G2390" s="1797" t="n"/>
      <c r="H2390" s="1777" t="inlineStr">
        <is>
          <t>SUBETAPA</t>
        </is>
      </c>
      <c r="I2390" s="1742" t="inlineStr">
        <is>
          <t>17.003.002</t>
        </is>
      </c>
      <c r="J2390" s="1779" t="inlineStr">
        <is>
          <t>Sistema de pintura em parede Interna</t>
        </is>
      </c>
      <c r="K2390" s="1780" t="n"/>
      <c r="L2390" s="1781" t="n"/>
      <c r="M2390" s="1781" t="n"/>
      <c r="N2390" s="1746" t="n"/>
      <c r="O2390" s="1782" t="n"/>
      <c r="P2390" s="1720" t="n"/>
    </row>
    <row r="2391" hidden="1" outlineLevel="3" ht="13.5" customHeight="1">
      <c r="A2391" s="2117" t="n">
        <v>0</v>
      </c>
      <c r="B2391" s="2117" t="n">
        <v>17</v>
      </c>
      <c r="C2391" s="2117" t="n">
        <v>3</v>
      </c>
      <c r="D2391" s="2118" t="n">
        <v>2</v>
      </c>
      <c r="E2391" s="2118" t="n">
        <v>1</v>
      </c>
      <c r="G2391" s="1798" t="inlineStr">
        <is>
          <t>PINTURA INTERNA</t>
        </is>
      </c>
      <c r="H2391" s="1783" t="inlineStr">
        <is>
          <t>SERVIÇO</t>
        </is>
      </c>
      <c r="I2391" s="1750" t="inlineStr">
        <is>
          <t>17.003.002.001</t>
        </is>
      </c>
      <c r="J2391" s="1785" t="inlineStr">
        <is>
          <t>selador em Paredes Internas</t>
        </is>
      </c>
      <c r="K2391" s="1786" t="inlineStr">
        <is>
          <t>m2</t>
        </is>
      </c>
      <c r="L2391" s="1787" t="e">
        <v>#REF!</v>
      </c>
      <c r="M2391" s="1787" t="n">
        <v>1.758555555555555</v>
      </c>
      <c r="N2391" s="1754" t="n"/>
      <c r="O2391" s="1788" t="n"/>
      <c r="P2391" s="1721" t="inlineStr">
        <is>
          <t>Pendente</t>
        </is>
      </c>
    </row>
    <row r="2392" hidden="1" outlineLevel="3" ht="13.5" customHeight="1">
      <c r="A2392" s="2117" t="n">
        <v>0</v>
      </c>
      <c r="B2392" s="2117" t="n">
        <v>17</v>
      </c>
      <c r="C2392" s="2117" t="n">
        <v>3</v>
      </c>
      <c r="D2392" s="2118" t="n">
        <v>2</v>
      </c>
      <c r="E2392" s="2118" t="n">
        <v>2</v>
      </c>
      <c r="G2392" s="1798" t="inlineStr">
        <is>
          <t>PINTURA INTERNA</t>
        </is>
      </c>
      <c r="H2392" s="1783" t="inlineStr">
        <is>
          <t>SERVIÇO</t>
        </is>
      </c>
      <c r="I2392" s="1750" t="inlineStr">
        <is>
          <t>17.003.002.002</t>
        </is>
      </c>
      <c r="J2392" s="1785" t="inlineStr">
        <is>
          <t>Massa Corrida em Paredes Internas</t>
        </is>
      </c>
      <c r="K2392" s="1786" t="inlineStr">
        <is>
          <t>m2</t>
        </is>
      </c>
      <c r="L2392" s="1787" t="e">
        <v>#REF!</v>
      </c>
      <c r="M2392" s="1787" t="n">
        <v>4.34916</v>
      </c>
      <c r="N2392" s="1754" t="n"/>
      <c r="O2392" s="1788" t="n"/>
      <c r="P2392" s="1721" t="inlineStr">
        <is>
          <t>Pendente</t>
        </is>
      </c>
    </row>
    <row r="2393" hidden="1" outlineLevel="3" ht="13.5" customHeight="1">
      <c r="A2393" s="2117" t="n">
        <v>0</v>
      </c>
      <c r="B2393" s="2117" t="n">
        <v>17</v>
      </c>
      <c r="C2393" s="2117" t="n">
        <v>3</v>
      </c>
      <c r="D2393" s="2118" t="n">
        <v>2</v>
      </c>
      <c r="E2393" s="2118" t="n">
        <v>3</v>
      </c>
      <c r="G2393" s="1798" t="inlineStr">
        <is>
          <t>PINTURA INTERNA</t>
        </is>
      </c>
      <c r="H2393" s="1783" t="inlineStr">
        <is>
          <t>SERVIÇO</t>
        </is>
      </c>
      <c r="I2393" s="1750" t="inlineStr">
        <is>
          <t>17.003.002.003</t>
        </is>
      </c>
      <c r="J2393" s="1785" t="inlineStr">
        <is>
          <t>Pintura Com Tinta Latex Acrilica em Paredes Internas, 3 Demaos (Somente tinta)</t>
        </is>
      </c>
      <c r="K2393" s="1786" t="inlineStr">
        <is>
          <t>m2</t>
        </is>
      </c>
      <c r="L2393" s="1787" t="e">
        <v>#REF!</v>
      </c>
      <c r="M2393" s="1787" t="n">
        <v>12.1275</v>
      </c>
      <c r="N2393" s="1754" t="n"/>
      <c r="O2393" s="1788" t="n"/>
      <c r="P2393" s="1721" t="inlineStr">
        <is>
          <t>Pendente</t>
        </is>
      </c>
    </row>
    <row r="2394" hidden="1" outlineLevel="3" ht="13.5" customHeight="1">
      <c r="A2394" s="2117" t="n">
        <v>0</v>
      </c>
      <c r="B2394" s="2117" t="n">
        <v>17</v>
      </c>
      <c r="C2394" s="2117" t="n">
        <v>3</v>
      </c>
      <c r="D2394" s="2118" t="n">
        <v>2</v>
      </c>
      <c r="E2394" s="2118" t="n">
        <v>4</v>
      </c>
      <c r="G2394" s="1798" t="inlineStr">
        <is>
          <t>PINTURA INTERNA</t>
        </is>
      </c>
      <c r="H2394" s="1783" t="inlineStr">
        <is>
          <t>SERVIÇO</t>
        </is>
      </c>
      <c r="I2394" s="1750" t="inlineStr">
        <is>
          <t>17.003.002.004</t>
        </is>
      </c>
      <c r="J2394" s="1785" t="inlineStr">
        <is>
          <t>Pintura Com Tinta Latex Acrilica em Paredes Internas, 3 Demaos (Somente tinta) - Suvinil Azul Etéreo</t>
        </is>
      </c>
      <c r="K2394" s="1786" t="inlineStr">
        <is>
          <t>m2</t>
        </is>
      </c>
      <c r="L2394" s="1787" t="e">
        <v>#REF!</v>
      </c>
      <c r="M2394" s="1787" t="n">
        <v>22.507959375</v>
      </c>
      <c r="N2394" s="1754" t="n"/>
      <c r="O2394" s="1788" t="n"/>
      <c r="P2394" s="1721" t="inlineStr">
        <is>
          <t>Pendente</t>
        </is>
      </c>
    </row>
    <row r="2395" hidden="1" outlineLevel="3" ht="13.5" customHeight="1">
      <c r="A2395" s="2117" t="n">
        <v>0</v>
      </c>
      <c r="B2395" s="2117" t="n">
        <v>17</v>
      </c>
      <c r="C2395" s="2117" t="n">
        <v>3</v>
      </c>
      <c r="D2395" s="2118" t="n">
        <v>2</v>
      </c>
      <c r="E2395" s="2118" t="n">
        <v>5</v>
      </c>
      <c r="G2395" s="1798" t="inlineStr">
        <is>
          <t>PINTURA INTERNA</t>
        </is>
      </c>
      <c r="H2395" s="1783" t="inlineStr">
        <is>
          <t>SERVIÇO</t>
        </is>
      </c>
      <c r="I2395" s="1750" t="inlineStr">
        <is>
          <t>17.003.002.005</t>
        </is>
      </c>
      <c r="J2395" s="1751" t="inlineStr">
        <is>
          <t>Pintura em Epóxi em Parede, Aplicação Manual, 2 Demãos (com massa e selador)</t>
        </is>
      </c>
      <c r="K2395" s="1752" t="inlineStr">
        <is>
          <t>m2</t>
        </is>
      </c>
      <c r="L2395" s="1753" t="e">
        <v>#REF!</v>
      </c>
      <c r="M2395" s="1787" t="n">
        <v>76.67474622222223</v>
      </c>
      <c r="N2395" s="1754" t="n"/>
      <c r="O2395" s="1755" t="n"/>
      <c r="P2395" s="1721" t="inlineStr">
        <is>
          <t>Pendente</t>
        </is>
      </c>
    </row>
    <row r="2396" hidden="1" outlineLevel="3" ht="13.5" customHeight="1">
      <c r="A2396" s="2117" t="n">
        <v>0</v>
      </c>
      <c r="B2396" s="2117" t="n">
        <v>17</v>
      </c>
      <c r="C2396" s="2117" t="n">
        <v>3</v>
      </c>
      <c r="D2396" s="2118" t="n">
        <v>2</v>
      </c>
      <c r="E2396" s="2118" t="n">
        <v>6</v>
      </c>
      <c r="G2396" s="1798" t="inlineStr">
        <is>
          <t>PINTURA INTERNA</t>
        </is>
      </c>
      <c r="H2396" s="1783" t="inlineStr">
        <is>
          <t>SERVIÇO</t>
        </is>
      </c>
      <c r="I2396" s="1750" t="inlineStr">
        <is>
          <t>17.003.002.006</t>
        </is>
      </c>
      <c r="J2396" s="1785" t="inlineStr">
        <is>
          <t>Pintura em Látex Acrilica para demarcação de vagas em parede, 2 demão</t>
        </is>
      </c>
      <c r="K2396" s="1786" t="inlineStr">
        <is>
          <t>m2</t>
        </is>
      </c>
      <c r="L2396" s="1787" t="e">
        <v>#REF!</v>
      </c>
      <c r="M2396" s="1787" t="n">
        <v>8.728316065000001</v>
      </c>
      <c r="N2396" s="1754" t="n"/>
      <c r="O2396" s="1788" t="n"/>
      <c r="P2396" s="1721" t="inlineStr">
        <is>
          <t>Pendente</t>
        </is>
      </c>
    </row>
    <row r="2397" hidden="1" outlineLevel="2" ht="13.5" customHeight="1">
      <c r="A2397" s="2117" t="n">
        <v>0</v>
      </c>
      <c r="B2397" s="2117" t="n">
        <v>17</v>
      </c>
      <c r="C2397" s="2117" t="n">
        <v>3</v>
      </c>
      <c r="D2397" s="2118" t="n">
        <v>3</v>
      </c>
      <c r="E2397" s="2118" t="n">
        <v>0</v>
      </c>
      <c r="G2397" s="1797" t="n"/>
      <c r="H2397" s="1777" t="inlineStr">
        <is>
          <t>SUBETAPA</t>
        </is>
      </c>
      <c r="I2397" s="1742" t="inlineStr">
        <is>
          <t>17.003.003</t>
        </is>
      </c>
      <c r="J2397" s="1779" t="inlineStr">
        <is>
          <t>Pintura em tetos</t>
        </is>
      </c>
      <c r="K2397" s="1780" t="n"/>
      <c r="L2397" s="1781" t="n"/>
      <c r="M2397" s="1781" t="n"/>
      <c r="N2397" s="1746" t="n"/>
      <c r="O2397" s="1782" t="n"/>
      <c r="P2397" s="1720" t="n"/>
    </row>
    <row r="2398" hidden="1" outlineLevel="3" ht="13.5" customHeight="1">
      <c r="A2398" s="2117" t="n">
        <v>0</v>
      </c>
      <c r="B2398" s="2117" t="n">
        <v>17</v>
      </c>
      <c r="C2398" s="2117" t="n">
        <v>3</v>
      </c>
      <c r="D2398" s="2118" t="n">
        <v>3</v>
      </c>
      <c r="E2398" s="2118" t="n">
        <v>1</v>
      </c>
      <c r="G2398" s="1798" t="inlineStr">
        <is>
          <t>PINTURA INTERNA</t>
        </is>
      </c>
      <c r="H2398" s="1783" t="inlineStr">
        <is>
          <t>SERVIÇO</t>
        </is>
      </c>
      <c r="I2398" s="1750" t="inlineStr">
        <is>
          <t>17.003.003.001</t>
        </is>
      </c>
      <c r="J2398" s="1785" t="inlineStr">
        <is>
          <t>selador em tetos</t>
        </is>
      </c>
      <c r="K2398" s="1786" t="inlineStr">
        <is>
          <t>m2</t>
        </is>
      </c>
      <c r="L2398" s="1787" t="e">
        <v>#REF!</v>
      </c>
      <c r="M2398" s="1787" t="n">
        <v>1.758555555555555</v>
      </c>
      <c r="N2398" s="1754" t="n"/>
      <c r="O2398" s="1788" t="n"/>
      <c r="P2398" s="1721" t="inlineStr">
        <is>
          <t>Pendente</t>
        </is>
      </c>
    </row>
    <row r="2399" hidden="1" outlineLevel="3" ht="13.5" customHeight="1">
      <c r="A2399" s="2117" t="n">
        <v>0</v>
      </c>
      <c r="B2399" s="2117" t="n">
        <v>17</v>
      </c>
      <c r="C2399" s="2117" t="n">
        <v>3</v>
      </c>
      <c r="D2399" s="2118" t="n">
        <v>3</v>
      </c>
      <c r="E2399" s="2118" t="n">
        <v>2</v>
      </c>
      <c r="G2399" s="1798" t="inlineStr">
        <is>
          <t>PINTURA INTERNA</t>
        </is>
      </c>
      <c r="H2399" s="1783" t="inlineStr">
        <is>
          <t>SERVIÇO</t>
        </is>
      </c>
      <c r="I2399" s="1750" t="inlineStr">
        <is>
          <t>17.003.003.002</t>
        </is>
      </c>
      <c r="J2399" s="1785" t="inlineStr">
        <is>
          <t>Massa corrida em tetos</t>
        </is>
      </c>
      <c r="K2399" s="1786" t="inlineStr">
        <is>
          <t>m2</t>
        </is>
      </c>
      <c r="L2399" s="1787" t="e">
        <v>#REF!</v>
      </c>
      <c r="M2399" s="1787" t="n">
        <v>4.34916</v>
      </c>
      <c r="N2399" s="1754" t="n"/>
      <c r="O2399" s="1788" t="n"/>
      <c r="P2399" s="1721" t="inlineStr">
        <is>
          <t>Pendente</t>
        </is>
      </c>
    </row>
    <row r="2400" hidden="1" outlineLevel="3" ht="13.5" customHeight="1">
      <c r="A2400" s="2117" t="n">
        <v>0</v>
      </c>
      <c r="B2400" s="2117" t="n">
        <v>17</v>
      </c>
      <c r="C2400" s="2117" t="n">
        <v>3</v>
      </c>
      <c r="D2400" s="2118" t="n">
        <v>3</v>
      </c>
      <c r="E2400" s="2118" t="n">
        <v>3</v>
      </c>
      <c r="G2400" s="1798" t="inlineStr">
        <is>
          <t>PINTURA INTERNA</t>
        </is>
      </c>
      <c r="H2400" s="1783" t="inlineStr">
        <is>
          <t>SERVIÇO</t>
        </is>
      </c>
      <c r="I2400" s="1750" t="inlineStr">
        <is>
          <t>17.003.003.003</t>
        </is>
      </c>
      <c r="J2400" s="1785" t="inlineStr">
        <is>
          <t>Pintura Com Tinta Latex Acrilica em tetos, 3 Demaos (Somente tinta)</t>
        </is>
      </c>
      <c r="K2400" s="1786" t="inlineStr">
        <is>
          <t>m2</t>
        </is>
      </c>
      <c r="L2400" s="1787" t="e">
        <v>#REF!</v>
      </c>
      <c r="M2400" s="1787" t="n">
        <v>12.1275</v>
      </c>
      <c r="N2400" s="1754" t="n"/>
      <c r="O2400" s="1788" t="n"/>
      <c r="P2400" s="1721" t="inlineStr">
        <is>
          <t>Pendente</t>
        </is>
      </c>
    </row>
    <row r="2401" hidden="1" outlineLevel="3" ht="13.5" customHeight="1">
      <c r="A2401" s="2117" t="n">
        <v>0</v>
      </c>
      <c r="B2401" s="2117" t="n">
        <v>17</v>
      </c>
      <c r="C2401" s="2117" t="n">
        <v>3</v>
      </c>
      <c r="D2401" s="2118" t="n">
        <v>3</v>
      </c>
      <c r="E2401" s="2118" t="n">
        <v>4</v>
      </c>
      <c r="G2401" s="1798" t="inlineStr">
        <is>
          <t>PINTURA INTERNA</t>
        </is>
      </c>
      <c r="H2401" s="1783" t="inlineStr">
        <is>
          <t>SERVIÇO</t>
        </is>
      </c>
      <c r="I2401" s="1750" t="inlineStr">
        <is>
          <t>17.003.003.004</t>
        </is>
      </c>
      <c r="J2401" s="1785" t="inlineStr">
        <is>
          <t>Pintura em Epóxi em tetos, Aplicação Manual, 2 Demãos</t>
        </is>
      </c>
      <c r="K2401" s="1786" t="inlineStr">
        <is>
          <t>m2</t>
        </is>
      </c>
      <c r="L2401" s="1787" t="e">
        <v>#REF!</v>
      </c>
      <c r="M2401" s="1787" t="n">
        <v>70.56703066666667</v>
      </c>
      <c r="N2401" s="1754" t="n"/>
      <c r="O2401" s="1788" t="n"/>
      <c r="P2401" s="1721" t="inlineStr">
        <is>
          <t>Pendente</t>
        </is>
      </c>
    </row>
    <row r="2402" hidden="1" outlineLevel="3" ht="13.5" customHeight="1">
      <c r="A2402" s="2117" t="n">
        <v>0</v>
      </c>
      <c r="B2402" s="2117" t="n">
        <v>17</v>
      </c>
      <c r="C2402" s="2117" t="n">
        <v>3</v>
      </c>
      <c r="D2402" s="2118" t="n">
        <v>3</v>
      </c>
      <c r="E2402" s="2118" t="n">
        <v>5</v>
      </c>
      <c r="G2402" s="1798" t="inlineStr">
        <is>
          <t>PINTURA INTERNA</t>
        </is>
      </c>
      <c r="H2402" s="1783" t="inlineStr">
        <is>
          <t>SERVIÇO</t>
        </is>
      </c>
      <c r="I2402" s="1750" t="inlineStr">
        <is>
          <t>17.003.003.005</t>
        </is>
      </c>
      <c r="J2402" s="1785" t="inlineStr">
        <is>
          <t>Textura Acrílica aplicação em tetos, 1 demão</t>
        </is>
      </c>
      <c r="K2402" s="1786" t="inlineStr">
        <is>
          <t>m2</t>
        </is>
      </c>
      <c r="L2402" s="1787" t="e">
        <v>#REF!</v>
      </c>
      <c r="M2402" s="1787" t="n">
        <v>13.63636363636364</v>
      </c>
      <c r="N2402" s="1754" t="n"/>
      <c r="O2402" s="1788" t="n"/>
      <c r="P2402" s="1721" t="inlineStr">
        <is>
          <t>Pendente</t>
        </is>
      </c>
    </row>
    <row r="2403" hidden="1" outlineLevel="2" ht="13.5" customHeight="1">
      <c r="A2403" s="2117" t="n">
        <v>0</v>
      </c>
      <c r="B2403" s="2117" t="n">
        <v>17</v>
      </c>
      <c r="C2403" s="2117" t="n">
        <v>3</v>
      </c>
      <c r="D2403" s="2118" t="n">
        <v>4</v>
      </c>
      <c r="E2403" s="2118" t="n">
        <v>0</v>
      </c>
      <c r="G2403" s="1797" t="n"/>
      <c r="H2403" s="1777" t="inlineStr">
        <is>
          <t>SUBETAPA</t>
        </is>
      </c>
      <c r="I2403" s="1742" t="inlineStr">
        <is>
          <t>17.003.004</t>
        </is>
      </c>
      <c r="J2403" s="1779" t="inlineStr">
        <is>
          <t>Mão de obra</t>
        </is>
      </c>
      <c r="K2403" s="1780" t="n"/>
      <c r="L2403" s="1781" t="n"/>
      <c r="M2403" s="1781" t="n"/>
      <c r="N2403" s="1746" t="n"/>
      <c r="O2403" s="1782" t="n"/>
      <c r="P2403" s="1720" t="n"/>
    </row>
    <row r="2404" hidden="1" outlineLevel="3" ht="13.5" customHeight="1">
      <c r="A2404" s="2117" t="n">
        <v>0</v>
      </c>
      <c r="B2404" s="2117" t="n">
        <v>17</v>
      </c>
      <c r="C2404" s="2117" t="n">
        <v>3</v>
      </c>
      <c r="D2404" s="2118" t="n">
        <v>4</v>
      </c>
      <c r="E2404" s="2118" t="n">
        <v>1</v>
      </c>
      <c r="G2404" s="1798" t="inlineStr">
        <is>
          <t>PINTURA INTERNA</t>
        </is>
      </c>
      <c r="H2404" s="1783" t="inlineStr">
        <is>
          <t>SERVIÇO</t>
        </is>
      </c>
      <c r="I2404" s="1750" t="inlineStr">
        <is>
          <t>17.003.004.001</t>
        </is>
      </c>
      <c r="J2404" s="1785" t="inlineStr">
        <is>
          <t>Mão de obra para demarcação de vagas epoxi</t>
        </is>
      </c>
      <c r="K2404" s="1786" t="inlineStr">
        <is>
          <t>m2</t>
        </is>
      </c>
      <c r="L2404" s="1787" t="e">
        <v>#REF!</v>
      </c>
      <c r="M2404" s="1787" t="n">
        <v>40</v>
      </c>
      <c r="N2404" s="1754" t="n"/>
      <c r="O2404" s="1788" t="n"/>
      <c r="P2404" s="1721" t="inlineStr">
        <is>
          <t>Pendente</t>
        </is>
      </c>
    </row>
    <row r="2405" hidden="1" outlineLevel="3" ht="13.5" customHeight="1">
      <c r="A2405" s="2117" t="n">
        <v>0</v>
      </c>
      <c r="B2405" s="2117" t="n">
        <v>17</v>
      </c>
      <c r="C2405" s="2117" t="n">
        <v>3</v>
      </c>
      <c r="D2405" s="2118" t="n">
        <v>4</v>
      </c>
      <c r="E2405" s="2118" t="n">
        <v>2</v>
      </c>
      <c r="G2405" s="1798" t="inlineStr">
        <is>
          <t>PINTURA INTERNA</t>
        </is>
      </c>
      <c r="H2405" s="1783" t="inlineStr">
        <is>
          <t>SERVIÇO</t>
        </is>
      </c>
      <c r="I2405" s="1750" t="inlineStr">
        <is>
          <t>17.003.004.002</t>
        </is>
      </c>
      <c r="J2405" s="1785" t="inlineStr">
        <is>
          <t>Mão de obra para pintura epóxi em paredes internas, 2 demãos</t>
        </is>
      </c>
      <c r="K2405" s="1786" t="inlineStr">
        <is>
          <t>m2</t>
        </is>
      </c>
      <c r="L2405" s="1787" t="e">
        <v>#REF!</v>
      </c>
      <c r="M2405" s="1787" t="n">
        <v>42</v>
      </c>
      <c r="N2405" s="1754" t="n"/>
      <c r="O2405" s="1788" t="n"/>
      <c r="P2405" s="1721" t="inlineStr">
        <is>
          <t>Pendente</t>
        </is>
      </c>
    </row>
    <row r="2406" hidden="1" outlineLevel="3" ht="13.5" customHeight="1">
      <c r="A2406" s="2117" t="n">
        <v>0</v>
      </c>
      <c r="B2406" s="2117" t="n">
        <v>17</v>
      </c>
      <c r="C2406" s="2117" t="n">
        <v>3</v>
      </c>
      <c r="D2406" s="2118" t="n">
        <v>4</v>
      </c>
      <c r="E2406" s="2118" t="n">
        <v>3</v>
      </c>
      <c r="G2406" s="1798" t="inlineStr">
        <is>
          <t>PINTURA INTERNA</t>
        </is>
      </c>
      <c r="H2406" s="1783" t="inlineStr">
        <is>
          <t>SERVIÇO</t>
        </is>
      </c>
      <c r="I2406" s="1750" t="inlineStr">
        <is>
          <t>17.003.004.003</t>
        </is>
      </c>
      <c r="J2406" s="1785" t="inlineStr">
        <is>
          <t>Mão de obra para pintura em paredes internas, 3 demãos</t>
        </is>
      </c>
      <c r="K2406" s="1786" t="inlineStr">
        <is>
          <t>m2</t>
        </is>
      </c>
      <c r="L2406" s="1787" t="e">
        <v>#REF!</v>
      </c>
      <c r="M2406" s="1787" t="n">
        <v>40</v>
      </c>
      <c r="N2406" s="1754" t="n"/>
      <c r="O2406" s="1788" t="n"/>
      <c r="P2406" s="1721" t="inlineStr">
        <is>
          <t>Pendente</t>
        </is>
      </c>
    </row>
    <row r="2407" hidden="1" outlineLevel="3" ht="13.5" customHeight="1">
      <c r="A2407" s="2117" t="n">
        <v>0</v>
      </c>
      <c r="B2407" s="2117" t="n">
        <v>17</v>
      </c>
      <c r="C2407" s="2117" t="n">
        <v>3</v>
      </c>
      <c r="D2407" s="2118" t="n">
        <v>4</v>
      </c>
      <c r="E2407" s="2118" t="n">
        <v>4</v>
      </c>
      <c r="G2407" s="1798" t="inlineStr">
        <is>
          <t>PINTURA INTERNA</t>
        </is>
      </c>
      <c r="H2407" s="1783" t="inlineStr">
        <is>
          <t>SERVIÇO</t>
        </is>
      </c>
      <c r="I2407" s="1750" t="inlineStr">
        <is>
          <t>17.003.004.004</t>
        </is>
      </c>
      <c r="J2407" s="1785" t="inlineStr">
        <is>
          <t>Mão de obra para faixa de garagem em paredes internas, 1 demãos</t>
        </is>
      </c>
      <c r="K2407" s="1786" t="inlineStr">
        <is>
          <t>m2</t>
        </is>
      </c>
      <c r="L2407" s="1787" t="e">
        <v>#REF!</v>
      </c>
      <c r="M2407" s="1787" t="n">
        <v>20</v>
      </c>
      <c r="N2407" s="1754" t="n"/>
      <c r="O2407" s="1788" t="n"/>
      <c r="P2407" s="1721" t="inlineStr">
        <is>
          <t>Pendente</t>
        </is>
      </c>
    </row>
    <row r="2408" hidden="1" outlineLevel="3" ht="13.5" customHeight="1">
      <c r="A2408" s="2117" t="n">
        <v>0</v>
      </c>
      <c r="B2408" s="2117" t="n">
        <v>17</v>
      </c>
      <c r="C2408" s="2117" t="n">
        <v>3</v>
      </c>
      <c r="D2408" s="2118" t="n">
        <v>4</v>
      </c>
      <c r="E2408" s="2118" t="n">
        <v>5</v>
      </c>
      <c r="G2408" s="1798" t="inlineStr">
        <is>
          <t>PINTURA INTERNA</t>
        </is>
      </c>
      <c r="H2408" s="1783" t="inlineStr">
        <is>
          <t>SERVIÇO</t>
        </is>
      </c>
      <c r="I2408" s="1750" t="inlineStr">
        <is>
          <t>17.003.004.005</t>
        </is>
      </c>
      <c r="J2408" s="1785" t="inlineStr">
        <is>
          <t>Mão de obra para pintura em teto, 3 demãos</t>
        </is>
      </c>
      <c r="K2408" s="1786" t="inlineStr">
        <is>
          <t>m2</t>
        </is>
      </c>
      <c r="L2408" s="1787" t="e">
        <v>#REF!</v>
      </c>
      <c r="M2408" s="1787" t="n">
        <v>40</v>
      </c>
      <c r="N2408" s="1754" t="n"/>
      <c r="O2408" s="1788" t="n"/>
      <c r="P2408" s="1721" t="inlineStr">
        <is>
          <t>Pendente</t>
        </is>
      </c>
    </row>
    <row r="2409" hidden="1" outlineLevel="3" ht="13.5" customHeight="1">
      <c r="A2409" s="2117" t="n">
        <v>0</v>
      </c>
      <c r="B2409" s="2117" t="n">
        <v>17</v>
      </c>
      <c r="C2409" s="2117" t="n">
        <v>3</v>
      </c>
      <c r="D2409" s="2118" t="n">
        <v>4</v>
      </c>
      <c r="E2409" s="2118" t="n">
        <v>6</v>
      </c>
      <c r="G2409" s="1798" t="inlineStr">
        <is>
          <t>PINTURA INTERNA</t>
        </is>
      </c>
      <c r="H2409" s="1783" t="inlineStr">
        <is>
          <t>SERVIÇO</t>
        </is>
      </c>
      <c r="I2409" s="1750" t="inlineStr">
        <is>
          <t>17.003.004.006</t>
        </is>
      </c>
      <c r="J2409" s="1785" t="inlineStr">
        <is>
          <t>Mão de obra para textura em teto, 1 demão</t>
        </is>
      </c>
      <c r="K2409" s="1786" t="inlineStr">
        <is>
          <t>m2</t>
        </is>
      </c>
      <c r="L2409" s="1787" t="e">
        <v>#REF!</v>
      </c>
      <c r="M2409" s="1787" t="n">
        <v>40</v>
      </c>
      <c r="N2409" s="1754" t="n"/>
      <c r="O2409" s="1788" t="n"/>
      <c r="P2409" s="1721" t="inlineStr">
        <is>
          <t>Pendente</t>
        </is>
      </c>
    </row>
    <row r="2410" hidden="1" outlineLevel="3" ht="13.5" customHeight="1">
      <c r="A2410" s="2117" t="n">
        <v>0</v>
      </c>
      <c r="B2410" s="2117" t="n">
        <v>17</v>
      </c>
      <c r="C2410" s="2117" t="n">
        <v>3</v>
      </c>
      <c r="D2410" s="2118" t="n">
        <v>4</v>
      </c>
      <c r="E2410" s="2118" t="n">
        <v>7</v>
      </c>
      <c r="G2410" s="1798" t="inlineStr">
        <is>
          <t>PINTURA INTERNA</t>
        </is>
      </c>
      <c r="H2410" s="1783" t="inlineStr">
        <is>
          <t>SERVIÇO</t>
        </is>
      </c>
      <c r="I2410" s="1750" t="inlineStr">
        <is>
          <t>17.003.004.007</t>
        </is>
      </c>
      <c r="J2410" s="1785" t="inlineStr">
        <is>
          <t>Mão de obra para pintura epoxi em teto</t>
        </is>
      </c>
      <c r="K2410" s="1786" t="inlineStr">
        <is>
          <t>m2</t>
        </is>
      </c>
      <c r="L2410" s="1787" t="e">
        <v>#REF!</v>
      </c>
      <c r="M2410" s="1787" t="n">
        <v>40</v>
      </c>
      <c r="N2410" s="1754" t="n"/>
      <c r="O2410" s="1788" t="n"/>
      <c r="P2410" s="1721" t="inlineStr">
        <is>
          <t>Pendente</t>
        </is>
      </c>
    </row>
    <row r="2411" hidden="1" outlineLevel="1" ht="13.5" customHeight="1">
      <c r="A2411" s="2117" t="n">
        <v>0</v>
      </c>
      <c r="B2411" s="2117" t="n">
        <v>17</v>
      </c>
      <c r="C2411" s="2117" t="n">
        <v>4</v>
      </c>
      <c r="D2411" s="2118" t="n">
        <v>0</v>
      </c>
      <c r="E2411" s="2118" t="n">
        <v>7</v>
      </c>
      <c r="G2411" s="1796" t="n"/>
      <c r="H2411" s="1771" t="inlineStr">
        <is>
          <t>ETAPA</t>
        </is>
      </c>
      <c r="I2411" s="1735" t="inlineStr">
        <is>
          <t>17.004</t>
        </is>
      </c>
      <c r="J2411" s="1773" t="inlineStr">
        <is>
          <t>PINTURA - Mezanino G2</t>
        </is>
      </c>
      <c r="K2411" s="1774" t="n"/>
      <c r="L2411" s="1775" t="n"/>
      <c r="M2411" s="1775" t="n"/>
      <c r="N2411" s="1739" t="n"/>
      <c r="O2411" s="1776" t="n"/>
      <c r="P2411" s="1719" t="n"/>
    </row>
    <row r="2412" hidden="1" outlineLevel="2" ht="13.5" customHeight="1">
      <c r="A2412" s="2117" t="n">
        <v>0</v>
      </c>
      <c r="B2412" s="2117" t="n">
        <v>17</v>
      </c>
      <c r="C2412" s="2117" t="n">
        <v>4</v>
      </c>
      <c r="D2412" s="2118" t="n">
        <v>1</v>
      </c>
      <c r="E2412" s="2118" t="n">
        <v>0</v>
      </c>
      <c r="G2412" s="1797" t="n"/>
      <c r="H2412" s="1777" t="inlineStr">
        <is>
          <t>SUBETAPA</t>
        </is>
      </c>
      <c r="I2412" s="1742" t="inlineStr">
        <is>
          <t>17.004.001</t>
        </is>
      </c>
      <c r="J2412" s="1779" t="inlineStr">
        <is>
          <t>Sistema de pintura em Piso</t>
        </is>
      </c>
      <c r="K2412" s="1780" t="n"/>
      <c r="L2412" s="1781" t="n"/>
      <c r="M2412" s="1781" t="n"/>
      <c r="N2412" s="1746" t="n"/>
      <c r="O2412" s="1782" t="n"/>
      <c r="P2412" s="1720" t="n"/>
    </row>
    <row r="2413" hidden="1" outlineLevel="3" ht="13.5" customHeight="1">
      <c r="A2413" s="2117" t="n">
        <v>0</v>
      </c>
      <c r="B2413" s="2117" t="n">
        <v>17</v>
      </c>
      <c r="C2413" s="2117" t="n">
        <v>4</v>
      </c>
      <c r="D2413" s="2118" t="n">
        <v>1</v>
      </c>
      <c r="E2413" s="2118" t="n">
        <v>1</v>
      </c>
      <c r="G2413" s="1798" t="inlineStr">
        <is>
          <t>PINTURA INTERNA</t>
        </is>
      </c>
      <c r="H2413" s="1783" t="inlineStr">
        <is>
          <t>SERVIÇO</t>
        </is>
      </c>
      <c r="I2413" s="1750" t="inlineStr">
        <is>
          <t>17.004.001.001</t>
        </is>
      </c>
      <c r="J2413" s="1785" t="inlineStr">
        <is>
          <t>Pintura em Epóxi para demarcação de vagas em piso, 1 demão</t>
        </is>
      </c>
      <c r="K2413" s="1786" t="inlineStr">
        <is>
          <t>m2</t>
        </is>
      </c>
      <c r="L2413" s="1787" t="e">
        <v>#REF!</v>
      </c>
      <c r="M2413" s="1787" t="n">
        <v>48.29426720987654</v>
      </c>
      <c r="N2413" s="1754" t="n"/>
      <c r="O2413" s="1788" t="n"/>
      <c r="P2413" s="1721" t="inlineStr">
        <is>
          <t>Pendente</t>
        </is>
      </c>
    </row>
    <row r="2414" hidden="1" outlineLevel="2" ht="13.5" customHeight="1">
      <c r="A2414" s="2117" t="n">
        <v>0</v>
      </c>
      <c r="B2414" s="2117" t="n">
        <v>17</v>
      </c>
      <c r="C2414" s="2117" t="n">
        <v>4</v>
      </c>
      <c r="D2414" s="2118" t="n">
        <v>2</v>
      </c>
      <c r="E2414" s="2118" t="n">
        <v>0</v>
      </c>
      <c r="G2414" s="1797" t="n"/>
      <c r="H2414" s="1777" t="inlineStr">
        <is>
          <t>SUBETAPA</t>
        </is>
      </c>
      <c r="I2414" s="1742" t="inlineStr">
        <is>
          <t>17.004.002</t>
        </is>
      </c>
      <c r="J2414" s="1779" t="inlineStr">
        <is>
          <t>Sistema de pintura em parede Interna</t>
        </is>
      </c>
      <c r="K2414" s="1780" t="n"/>
      <c r="L2414" s="1781" t="n"/>
      <c r="M2414" s="1781" t="n"/>
      <c r="N2414" s="1746" t="n"/>
      <c r="O2414" s="1782" t="n"/>
      <c r="P2414" s="1720" t="n"/>
    </row>
    <row r="2415" hidden="1" outlineLevel="3" ht="13.5" customHeight="1">
      <c r="A2415" s="2117" t="n">
        <v>0</v>
      </c>
      <c r="B2415" s="2117" t="n">
        <v>17</v>
      </c>
      <c r="C2415" s="2117" t="n">
        <v>4</v>
      </c>
      <c r="D2415" s="2118" t="n">
        <v>2</v>
      </c>
      <c r="E2415" s="2118" t="n">
        <v>1</v>
      </c>
      <c r="G2415" s="1798" t="inlineStr">
        <is>
          <t>PINTURA INTERNA</t>
        </is>
      </c>
      <c r="H2415" s="1783" t="inlineStr">
        <is>
          <t>SERVIÇO</t>
        </is>
      </c>
      <c r="I2415" s="1750" t="inlineStr">
        <is>
          <t>17.004.002.001</t>
        </is>
      </c>
      <c r="J2415" s="1785" t="inlineStr">
        <is>
          <t>selador em Paredes Internas</t>
        </is>
      </c>
      <c r="K2415" s="1786" t="inlineStr">
        <is>
          <t>m2</t>
        </is>
      </c>
      <c r="L2415" s="1787" t="e">
        <v>#REF!</v>
      </c>
      <c r="M2415" s="1787" t="n">
        <v>1.758555555555555</v>
      </c>
      <c r="N2415" s="1754" t="n"/>
      <c r="O2415" s="1788" t="n"/>
      <c r="P2415" s="1721" t="inlineStr">
        <is>
          <t>Pendente</t>
        </is>
      </c>
    </row>
    <row r="2416" hidden="1" outlineLevel="3" ht="13.5" customHeight="1">
      <c r="A2416" s="2117" t="n">
        <v>0</v>
      </c>
      <c r="B2416" s="2117" t="n">
        <v>17</v>
      </c>
      <c r="C2416" s="2117" t="n">
        <v>4</v>
      </c>
      <c r="D2416" s="2118" t="n">
        <v>2</v>
      </c>
      <c r="E2416" s="2118" t="n">
        <v>2</v>
      </c>
      <c r="G2416" s="1798" t="inlineStr">
        <is>
          <t>PINTURA INTERNA</t>
        </is>
      </c>
      <c r="H2416" s="1783" t="inlineStr">
        <is>
          <t>SERVIÇO</t>
        </is>
      </c>
      <c r="I2416" s="1750" t="inlineStr">
        <is>
          <t>17.004.002.002</t>
        </is>
      </c>
      <c r="J2416" s="1785" t="inlineStr">
        <is>
          <t>Massa Corrida em Paredes Internas</t>
        </is>
      </c>
      <c r="K2416" s="1786" t="inlineStr">
        <is>
          <t>m2</t>
        </is>
      </c>
      <c r="L2416" s="1787" t="e">
        <v>#REF!</v>
      </c>
      <c r="M2416" s="1787" t="n">
        <v>4.34916</v>
      </c>
      <c r="N2416" s="1754" t="n"/>
      <c r="O2416" s="1788" t="n"/>
      <c r="P2416" s="1721" t="inlineStr">
        <is>
          <t>Pendente</t>
        </is>
      </c>
    </row>
    <row r="2417" hidden="1" outlineLevel="3" ht="13.5" customHeight="1">
      <c r="A2417" s="2117" t="n">
        <v>0</v>
      </c>
      <c r="B2417" s="2117" t="n">
        <v>17</v>
      </c>
      <c r="C2417" s="2117" t="n">
        <v>4</v>
      </c>
      <c r="D2417" s="2118" t="n">
        <v>2</v>
      </c>
      <c r="E2417" s="2118" t="n">
        <v>3</v>
      </c>
      <c r="G2417" s="1798" t="inlineStr">
        <is>
          <t>PINTURA INTERNA</t>
        </is>
      </c>
      <c r="H2417" s="1783" t="inlineStr">
        <is>
          <t>SERVIÇO</t>
        </is>
      </c>
      <c r="I2417" s="1750" t="inlineStr">
        <is>
          <t>17.004.002.003</t>
        </is>
      </c>
      <c r="J2417" s="1785" t="inlineStr">
        <is>
          <t>Pintura Com Tinta Latex Acrilica em Paredes Internas, 3 Demaos (Somente tinta)</t>
        </is>
      </c>
      <c r="K2417" s="1786" t="inlineStr">
        <is>
          <t>m2</t>
        </is>
      </c>
      <c r="L2417" s="1787" t="e">
        <v>#REF!</v>
      </c>
      <c r="M2417" s="1787" t="n">
        <v>12.1275</v>
      </c>
      <c r="N2417" s="1754" t="n"/>
      <c r="O2417" s="1788" t="n"/>
      <c r="P2417" s="1721" t="inlineStr">
        <is>
          <t>Pendente</t>
        </is>
      </c>
    </row>
    <row r="2418" hidden="1" outlineLevel="3" ht="13.5" customHeight="1">
      <c r="A2418" s="2117" t="n">
        <v>0</v>
      </c>
      <c r="B2418" s="2117" t="n">
        <v>17</v>
      </c>
      <c r="C2418" s="2117" t="n">
        <v>4</v>
      </c>
      <c r="D2418" s="2118" t="n">
        <v>2</v>
      </c>
      <c r="E2418" s="2118" t="n">
        <v>4</v>
      </c>
      <c r="G2418" s="1798" t="inlineStr">
        <is>
          <t>PINTURA INTERNA</t>
        </is>
      </c>
      <c r="H2418" s="1783" t="inlineStr">
        <is>
          <t>SERVIÇO</t>
        </is>
      </c>
      <c r="I2418" s="1750" t="inlineStr">
        <is>
          <t>17.004.002.004</t>
        </is>
      </c>
      <c r="J2418" s="1751" t="inlineStr">
        <is>
          <t>Pintura em Epóxi em Parede, Aplicação Manual, 2 Demãos (com massa e selador)</t>
        </is>
      </c>
      <c r="K2418" s="1752" t="inlineStr">
        <is>
          <t>m2</t>
        </is>
      </c>
      <c r="L2418" s="1753" t="e">
        <v>#REF!</v>
      </c>
      <c r="M2418" s="1787" t="n">
        <v>76.67474622222223</v>
      </c>
      <c r="N2418" s="1754" t="n"/>
      <c r="O2418" s="1755" t="n"/>
      <c r="P2418" s="1721" t="inlineStr">
        <is>
          <t>Pendente</t>
        </is>
      </c>
    </row>
    <row r="2419" hidden="1" outlineLevel="3" ht="13.5" customHeight="1">
      <c r="A2419" s="2117" t="n">
        <v>0</v>
      </c>
      <c r="B2419" s="2117" t="n">
        <v>17</v>
      </c>
      <c r="C2419" s="2117" t="n">
        <v>4</v>
      </c>
      <c r="D2419" s="2118" t="n">
        <v>2</v>
      </c>
      <c r="E2419" s="2118" t="n">
        <v>5</v>
      </c>
      <c r="G2419" s="1798" t="inlineStr">
        <is>
          <t>PINTURA INTERNA</t>
        </is>
      </c>
      <c r="H2419" s="1783" t="inlineStr">
        <is>
          <t>SERVIÇO</t>
        </is>
      </c>
      <c r="I2419" s="1750" t="inlineStr">
        <is>
          <t>17.004.002.005</t>
        </is>
      </c>
      <c r="J2419" s="1785" t="inlineStr">
        <is>
          <t>Pintura em Látex Acrilica para demarcação de vagas em parede, 2 demão</t>
        </is>
      </c>
      <c r="K2419" s="1786" t="inlineStr">
        <is>
          <t>m2</t>
        </is>
      </c>
      <c r="L2419" s="1787" t="e">
        <v>#REF!</v>
      </c>
      <c r="M2419" s="1787" t="n">
        <v>8.728316065000001</v>
      </c>
      <c r="N2419" s="1754" t="n"/>
      <c r="O2419" s="1788" t="n"/>
      <c r="P2419" s="1721" t="inlineStr">
        <is>
          <t>Pendente</t>
        </is>
      </c>
    </row>
    <row r="2420" hidden="1" outlineLevel="2" ht="13.5" customHeight="1">
      <c r="A2420" s="2117" t="n">
        <v>0</v>
      </c>
      <c r="B2420" s="2117" t="n">
        <v>17</v>
      </c>
      <c r="C2420" s="2117" t="n">
        <v>4</v>
      </c>
      <c r="D2420" s="2118" t="n">
        <v>3</v>
      </c>
      <c r="E2420" s="2118" t="n">
        <v>0</v>
      </c>
      <c r="G2420" s="1797" t="n"/>
      <c r="H2420" s="1777" t="inlineStr">
        <is>
          <t>SUBETAPA</t>
        </is>
      </c>
      <c r="I2420" s="1742" t="inlineStr">
        <is>
          <t>17.004.003</t>
        </is>
      </c>
      <c r="J2420" s="1779" t="inlineStr">
        <is>
          <t>Pintura em tetos</t>
        </is>
      </c>
      <c r="K2420" s="1780" t="n"/>
      <c r="L2420" s="1781" t="n"/>
      <c r="M2420" s="1781" t="n"/>
      <c r="N2420" s="1746" t="n"/>
      <c r="O2420" s="1782" t="n"/>
      <c r="P2420" s="1720" t="n"/>
    </row>
    <row r="2421" hidden="1" outlineLevel="3" ht="13.5" customHeight="1">
      <c r="A2421" s="2117" t="n">
        <v>0</v>
      </c>
      <c r="B2421" s="2117" t="n">
        <v>17</v>
      </c>
      <c r="C2421" s="2117" t="n">
        <v>4</v>
      </c>
      <c r="D2421" s="2118" t="n">
        <v>3</v>
      </c>
      <c r="E2421" s="2118" t="n">
        <v>1</v>
      </c>
      <c r="G2421" s="1798" t="inlineStr">
        <is>
          <t>PINTURA INTERNA</t>
        </is>
      </c>
      <c r="H2421" s="1783" t="inlineStr">
        <is>
          <t>SERVIÇO</t>
        </is>
      </c>
      <c r="I2421" s="1750" t="inlineStr">
        <is>
          <t>17.004.003.001</t>
        </is>
      </c>
      <c r="J2421" s="1785" t="inlineStr">
        <is>
          <t>selador em tetos</t>
        </is>
      </c>
      <c r="K2421" s="1786" t="inlineStr">
        <is>
          <t>m2</t>
        </is>
      </c>
      <c r="L2421" s="1787" t="e">
        <v>#REF!</v>
      </c>
      <c r="M2421" s="1787" t="n">
        <v>1.758555555555555</v>
      </c>
      <c r="N2421" s="1754" t="n"/>
      <c r="O2421" s="1788" t="n"/>
      <c r="P2421" s="1721" t="inlineStr">
        <is>
          <t>Pendente</t>
        </is>
      </c>
    </row>
    <row r="2422" hidden="1" outlineLevel="3" ht="13.5" customHeight="1">
      <c r="A2422" s="2117" t="n">
        <v>0</v>
      </c>
      <c r="B2422" s="2117" t="n">
        <v>17</v>
      </c>
      <c r="C2422" s="2117" t="n">
        <v>4</v>
      </c>
      <c r="D2422" s="2118" t="n">
        <v>3</v>
      </c>
      <c r="E2422" s="2118" t="n">
        <v>2</v>
      </c>
      <c r="G2422" s="1798" t="inlineStr">
        <is>
          <t>PINTURA INTERNA</t>
        </is>
      </c>
      <c r="H2422" s="1783" t="inlineStr">
        <is>
          <t>SERVIÇO</t>
        </is>
      </c>
      <c r="I2422" s="1750" t="inlineStr">
        <is>
          <t>17.004.003.002</t>
        </is>
      </c>
      <c r="J2422" s="1785" t="inlineStr">
        <is>
          <t>Massa corrida em tetos</t>
        </is>
      </c>
      <c r="K2422" s="1786" t="inlineStr">
        <is>
          <t>m2</t>
        </is>
      </c>
      <c r="L2422" s="1787" t="e">
        <v>#REF!</v>
      </c>
      <c r="M2422" s="1787" t="n">
        <v>4.34916</v>
      </c>
      <c r="N2422" s="1754" t="n"/>
      <c r="O2422" s="1788" t="n"/>
      <c r="P2422" s="1721" t="inlineStr">
        <is>
          <t>Pendente</t>
        </is>
      </c>
    </row>
    <row r="2423" hidden="1" outlineLevel="3" ht="13.5" customHeight="1">
      <c r="A2423" s="2117" t="n">
        <v>0</v>
      </c>
      <c r="B2423" s="2117" t="n">
        <v>17</v>
      </c>
      <c r="C2423" s="2117" t="n">
        <v>4</v>
      </c>
      <c r="D2423" s="2118" t="n">
        <v>3</v>
      </c>
      <c r="E2423" s="2118" t="n">
        <v>3</v>
      </c>
      <c r="G2423" s="1798" t="inlineStr">
        <is>
          <t>PINTURA INTERNA</t>
        </is>
      </c>
      <c r="H2423" s="1783" t="inlineStr">
        <is>
          <t>SERVIÇO</t>
        </is>
      </c>
      <c r="I2423" s="1750" t="inlineStr">
        <is>
          <t>17.004.003.003</t>
        </is>
      </c>
      <c r="J2423" s="1785" t="inlineStr">
        <is>
          <t>Pintura Com Tinta Latex Acrilica em tetos, 3 Demaos (Somente tinta)</t>
        </is>
      </c>
      <c r="K2423" s="1786" t="inlineStr">
        <is>
          <t>m2</t>
        </is>
      </c>
      <c r="L2423" s="1787" t="e">
        <v>#REF!</v>
      </c>
      <c r="M2423" s="1787" t="n">
        <v>12.1275</v>
      </c>
      <c r="N2423" s="1754" t="n"/>
      <c r="O2423" s="1788" t="n"/>
      <c r="P2423" s="1721" t="inlineStr">
        <is>
          <t>Pendente</t>
        </is>
      </c>
    </row>
    <row r="2424" hidden="1" outlineLevel="3" ht="13.5" customHeight="1">
      <c r="A2424" s="2117" t="n">
        <v>0</v>
      </c>
      <c r="B2424" s="2117" t="n">
        <v>17</v>
      </c>
      <c r="C2424" s="2117" t="n">
        <v>4</v>
      </c>
      <c r="D2424" s="2118" t="n">
        <v>3</v>
      </c>
      <c r="E2424" s="2118" t="n">
        <v>4</v>
      </c>
      <c r="G2424" s="1798" t="inlineStr">
        <is>
          <t>PINTURA INTERNA</t>
        </is>
      </c>
      <c r="H2424" s="1783" t="inlineStr">
        <is>
          <t>SERVIÇO</t>
        </is>
      </c>
      <c r="I2424" s="1750" t="inlineStr">
        <is>
          <t>17.004.003.004</t>
        </is>
      </c>
      <c r="J2424" s="1785" t="inlineStr">
        <is>
          <t>Pintura em Epóxi em tetos, Aplicação Manual, 2 Demãos</t>
        </is>
      </c>
      <c r="K2424" s="1786" t="inlineStr">
        <is>
          <t>m2</t>
        </is>
      </c>
      <c r="L2424" s="1787" t="e">
        <v>#REF!</v>
      </c>
      <c r="M2424" s="1787" t="n">
        <v>70.56703066666667</v>
      </c>
      <c r="N2424" s="1754" t="n"/>
      <c r="O2424" s="1788" t="n"/>
      <c r="P2424" s="1721" t="inlineStr">
        <is>
          <t>Pendente</t>
        </is>
      </c>
    </row>
    <row r="2425" hidden="1" outlineLevel="3" ht="13.5" customHeight="1">
      <c r="A2425" s="2117" t="n">
        <v>0</v>
      </c>
      <c r="B2425" s="2117" t="n">
        <v>17</v>
      </c>
      <c r="C2425" s="2117" t="n">
        <v>4</v>
      </c>
      <c r="D2425" s="2118" t="n">
        <v>3</v>
      </c>
      <c r="E2425" s="2118" t="n">
        <v>5</v>
      </c>
      <c r="G2425" s="1798" t="inlineStr">
        <is>
          <t>PINTURA INTERNA</t>
        </is>
      </c>
      <c r="H2425" s="1783" t="inlineStr">
        <is>
          <t>SERVIÇO</t>
        </is>
      </c>
      <c r="I2425" s="1750" t="inlineStr">
        <is>
          <t>17.004.003.005</t>
        </is>
      </c>
      <c r="J2425" s="1785" t="inlineStr">
        <is>
          <t>Textura Acrílica aplicação em tetos, 1 demão</t>
        </is>
      </c>
      <c r="K2425" s="1786" t="inlineStr">
        <is>
          <t>m2</t>
        </is>
      </c>
      <c r="L2425" s="1787" t="e">
        <v>#REF!</v>
      </c>
      <c r="M2425" s="1787" t="n">
        <v>13.63636363636364</v>
      </c>
      <c r="N2425" s="1754" t="n"/>
      <c r="O2425" s="1788" t="n"/>
      <c r="P2425" s="1721" t="inlineStr">
        <is>
          <t>Pendente</t>
        </is>
      </c>
    </row>
    <row r="2426" hidden="1" outlineLevel="2" ht="13.5" customHeight="1">
      <c r="A2426" s="2117" t="n">
        <v>0</v>
      </c>
      <c r="B2426" s="2117" t="n">
        <v>17</v>
      </c>
      <c r="C2426" s="2117" t="n">
        <v>4</v>
      </c>
      <c r="D2426" s="2118" t="n">
        <v>4</v>
      </c>
      <c r="E2426" s="2118" t="n">
        <v>0</v>
      </c>
      <c r="G2426" s="1797" t="n"/>
      <c r="H2426" s="1777" t="inlineStr">
        <is>
          <t>SUBETAPA</t>
        </is>
      </c>
      <c r="I2426" s="1742" t="inlineStr">
        <is>
          <t>17.004.004</t>
        </is>
      </c>
      <c r="J2426" s="1779" t="inlineStr">
        <is>
          <t>Mão de obra</t>
        </is>
      </c>
      <c r="K2426" s="1780" t="n"/>
      <c r="L2426" s="1781" t="n"/>
      <c r="M2426" s="1781" t="n"/>
      <c r="N2426" s="1746" t="n"/>
      <c r="O2426" s="1782" t="n"/>
      <c r="P2426" s="1720" t="n"/>
    </row>
    <row r="2427" hidden="1" outlineLevel="3" ht="13.5" customHeight="1">
      <c r="A2427" s="2117" t="n">
        <v>0</v>
      </c>
      <c r="B2427" s="2117" t="n">
        <v>17</v>
      </c>
      <c r="C2427" s="2117" t="n">
        <v>4</v>
      </c>
      <c r="D2427" s="2118" t="n">
        <v>4</v>
      </c>
      <c r="E2427" s="2118" t="n">
        <v>1</v>
      </c>
      <c r="G2427" s="1798" t="inlineStr">
        <is>
          <t>PINTURA INTERNA</t>
        </is>
      </c>
      <c r="H2427" s="1783" t="inlineStr">
        <is>
          <t>SERVIÇO</t>
        </is>
      </c>
      <c r="I2427" s="1750" t="inlineStr">
        <is>
          <t>17.004.004.001</t>
        </is>
      </c>
      <c r="J2427" s="1785" t="inlineStr">
        <is>
          <t>Mão de obra para demarcação de vagas epoxi</t>
        </is>
      </c>
      <c r="K2427" s="1786" t="inlineStr">
        <is>
          <t>m2</t>
        </is>
      </c>
      <c r="L2427" s="1787" t="e">
        <v>#REF!</v>
      </c>
      <c r="M2427" s="1787" t="n">
        <v>40</v>
      </c>
      <c r="N2427" s="1754" t="n"/>
      <c r="O2427" s="1788" t="n"/>
      <c r="P2427" s="1721" t="inlineStr">
        <is>
          <t>Pendente</t>
        </is>
      </c>
    </row>
    <row r="2428" hidden="1" outlineLevel="3" ht="13.5" customHeight="1">
      <c r="A2428" s="2117" t="n">
        <v>0</v>
      </c>
      <c r="B2428" s="2117" t="n">
        <v>17</v>
      </c>
      <c r="C2428" s="2117" t="n">
        <v>4</v>
      </c>
      <c r="D2428" s="2118" t="n">
        <v>4</v>
      </c>
      <c r="E2428" s="2118" t="n">
        <v>2</v>
      </c>
      <c r="G2428" s="1798" t="inlineStr">
        <is>
          <t>PINTURA INTERNA</t>
        </is>
      </c>
      <c r="H2428" s="1783" t="inlineStr">
        <is>
          <t>SERVIÇO</t>
        </is>
      </c>
      <c r="I2428" s="1750" t="inlineStr">
        <is>
          <t>17.004.004.002</t>
        </is>
      </c>
      <c r="J2428" s="1785" t="inlineStr">
        <is>
          <t>Mão de obra para pintura epóxi em paredes internas, 2 demãos</t>
        </is>
      </c>
      <c r="K2428" s="1786" t="inlineStr">
        <is>
          <t>m2</t>
        </is>
      </c>
      <c r="L2428" s="1787" t="e">
        <v>#REF!</v>
      </c>
      <c r="M2428" s="1787" t="n">
        <v>42</v>
      </c>
      <c r="N2428" s="1754" t="n"/>
      <c r="O2428" s="1788" t="n"/>
      <c r="P2428" s="1721" t="inlineStr">
        <is>
          <t>Pendente</t>
        </is>
      </c>
    </row>
    <row r="2429" hidden="1" outlineLevel="3" ht="13.5" customHeight="1">
      <c r="A2429" s="2117" t="n">
        <v>0</v>
      </c>
      <c r="B2429" s="2117" t="n">
        <v>17</v>
      </c>
      <c r="C2429" s="2117" t="n">
        <v>4</v>
      </c>
      <c r="D2429" s="2118" t="n">
        <v>4</v>
      </c>
      <c r="E2429" s="2118" t="n">
        <v>3</v>
      </c>
      <c r="G2429" s="1798" t="inlineStr">
        <is>
          <t>PINTURA INTERNA</t>
        </is>
      </c>
      <c r="H2429" s="1783" t="inlineStr">
        <is>
          <t>SERVIÇO</t>
        </is>
      </c>
      <c r="I2429" s="1750" t="inlineStr">
        <is>
          <t>17.004.004.003</t>
        </is>
      </c>
      <c r="J2429" s="1785" t="inlineStr">
        <is>
          <t>Mão de obra para pintura em paredes internas, 3 demãos</t>
        </is>
      </c>
      <c r="K2429" s="1786" t="inlineStr">
        <is>
          <t>m2</t>
        </is>
      </c>
      <c r="L2429" s="1787" t="e">
        <v>#REF!</v>
      </c>
      <c r="M2429" s="1787" t="n">
        <v>40</v>
      </c>
      <c r="N2429" s="1754" t="n"/>
      <c r="O2429" s="1788" t="n"/>
      <c r="P2429" s="1721" t="inlineStr">
        <is>
          <t>Pendente</t>
        </is>
      </c>
    </row>
    <row r="2430" hidden="1" outlineLevel="3" ht="13.5" customHeight="1">
      <c r="A2430" s="2117" t="n">
        <v>0</v>
      </c>
      <c r="B2430" s="2117" t="n">
        <v>17</v>
      </c>
      <c r="C2430" s="2117" t="n">
        <v>4</v>
      </c>
      <c r="D2430" s="2118" t="n">
        <v>4</v>
      </c>
      <c r="E2430" s="2118" t="n">
        <v>4</v>
      </c>
      <c r="G2430" s="1798" t="inlineStr">
        <is>
          <t>PINTURA INTERNA</t>
        </is>
      </c>
      <c r="H2430" s="1783" t="inlineStr">
        <is>
          <t>SERVIÇO</t>
        </is>
      </c>
      <c r="I2430" s="1750" t="inlineStr">
        <is>
          <t>17.004.004.004</t>
        </is>
      </c>
      <c r="J2430" s="1785" t="inlineStr">
        <is>
          <t>Mão de obra para faixa de garagem em paredes internas, 1 demãos</t>
        </is>
      </c>
      <c r="K2430" s="1786" t="inlineStr">
        <is>
          <t>m2</t>
        </is>
      </c>
      <c r="L2430" s="1787" t="e">
        <v>#REF!</v>
      </c>
      <c r="M2430" s="1787" t="n">
        <v>20</v>
      </c>
      <c r="N2430" s="1754" t="n"/>
      <c r="O2430" s="1788" t="n"/>
      <c r="P2430" s="1721" t="inlineStr">
        <is>
          <t>Pendente</t>
        </is>
      </c>
    </row>
    <row r="2431" hidden="1" outlineLevel="3" ht="13.5" customHeight="1">
      <c r="A2431" s="2117" t="n">
        <v>0</v>
      </c>
      <c r="B2431" s="2117" t="n">
        <v>17</v>
      </c>
      <c r="C2431" s="2117" t="n">
        <v>4</v>
      </c>
      <c r="D2431" s="2118" t="n">
        <v>4</v>
      </c>
      <c r="E2431" s="2118" t="n">
        <v>5</v>
      </c>
      <c r="G2431" s="1798" t="inlineStr">
        <is>
          <t>PINTURA INTERNA</t>
        </is>
      </c>
      <c r="H2431" s="1783" t="inlineStr">
        <is>
          <t>SERVIÇO</t>
        </is>
      </c>
      <c r="I2431" s="1750" t="inlineStr">
        <is>
          <t>17.004.004.005</t>
        </is>
      </c>
      <c r="J2431" s="1785" t="inlineStr">
        <is>
          <t>Mão de obra para pintura em teto, 3 demãos</t>
        </is>
      </c>
      <c r="K2431" s="1786" t="inlineStr">
        <is>
          <t>m2</t>
        </is>
      </c>
      <c r="L2431" s="1787" t="e">
        <v>#REF!</v>
      </c>
      <c r="M2431" s="1787" t="n">
        <v>40</v>
      </c>
      <c r="N2431" s="1754" t="n"/>
      <c r="O2431" s="1788" t="n"/>
      <c r="P2431" s="1721" t="inlineStr">
        <is>
          <t>Pendente</t>
        </is>
      </c>
    </row>
    <row r="2432" hidden="1" outlineLevel="3" ht="13.5" customHeight="1">
      <c r="A2432" s="2117" t="n">
        <v>0</v>
      </c>
      <c r="B2432" s="2117" t="n">
        <v>17</v>
      </c>
      <c r="C2432" s="2117" t="n">
        <v>4</v>
      </c>
      <c r="D2432" s="2118" t="n">
        <v>4</v>
      </c>
      <c r="E2432" s="2118" t="n">
        <v>6</v>
      </c>
      <c r="G2432" s="1798" t="inlineStr">
        <is>
          <t>PINTURA INTERNA</t>
        </is>
      </c>
      <c r="H2432" s="1783" t="inlineStr">
        <is>
          <t>SERVIÇO</t>
        </is>
      </c>
      <c r="I2432" s="1750" t="inlineStr">
        <is>
          <t>17.004.004.006</t>
        </is>
      </c>
      <c r="J2432" s="1785" t="inlineStr">
        <is>
          <t>Mão de obra para textura em teto, 1 demão</t>
        </is>
      </c>
      <c r="K2432" s="1786" t="inlineStr">
        <is>
          <t>m2</t>
        </is>
      </c>
      <c r="L2432" s="1787" t="e">
        <v>#REF!</v>
      </c>
      <c r="M2432" s="1787" t="n">
        <v>40</v>
      </c>
      <c r="N2432" s="1754" t="n"/>
      <c r="O2432" s="1788" t="n"/>
      <c r="P2432" s="1721" t="inlineStr">
        <is>
          <t>Pendente</t>
        </is>
      </c>
    </row>
    <row r="2433" hidden="1" outlineLevel="3" ht="13.5" customHeight="1">
      <c r="A2433" s="2117" t="n">
        <v>0</v>
      </c>
      <c r="B2433" s="2117" t="n">
        <v>17</v>
      </c>
      <c r="C2433" s="2117" t="n">
        <v>4</v>
      </c>
      <c r="D2433" s="2118" t="n">
        <v>4</v>
      </c>
      <c r="E2433" s="2118" t="n">
        <v>7</v>
      </c>
      <c r="G2433" s="1798" t="inlineStr">
        <is>
          <t>PINTURA INTERNA</t>
        </is>
      </c>
      <c r="H2433" s="1783" t="inlineStr">
        <is>
          <t>SERVIÇO</t>
        </is>
      </c>
      <c r="I2433" s="1750" t="inlineStr">
        <is>
          <t>17.004.004.007</t>
        </is>
      </c>
      <c r="J2433" s="1785" t="inlineStr">
        <is>
          <t>Mão de obra para pintura epoxi em teto</t>
        </is>
      </c>
      <c r="K2433" s="1786" t="inlineStr">
        <is>
          <t>m2</t>
        </is>
      </c>
      <c r="L2433" s="1787" t="e">
        <v>#REF!</v>
      </c>
      <c r="M2433" s="1787" t="n">
        <v>40</v>
      </c>
      <c r="N2433" s="1754" t="n"/>
      <c r="O2433" s="1788" t="n"/>
      <c r="P2433" s="1721" t="inlineStr">
        <is>
          <t>Pendente</t>
        </is>
      </c>
    </row>
    <row r="2434" hidden="1" outlineLevel="1" ht="13.5" customHeight="1">
      <c r="A2434" s="2117" t="n">
        <v>0</v>
      </c>
      <c r="B2434" s="2117" t="n">
        <v>17</v>
      </c>
      <c r="C2434" s="2117" t="n">
        <v>5</v>
      </c>
      <c r="D2434" s="2118" t="n">
        <v>0</v>
      </c>
      <c r="E2434" s="2118" t="n">
        <v>7</v>
      </c>
      <c r="G2434" s="1796" t="n"/>
      <c r="H2434" s="1771" t="inlineStr">
        <is>
          <t>ETAPA</t>
        </is>
      </c>
      <c r="I2434" s="1735" t="inlineStr">
        <is>
          <t>17.005</t>
        </is>
      </c>
      <c r="J2434" s="1773" t="inlineStr">
        <is>
          <t>PINTURA - G3</t>
        </is>
      </c>
      <c r="K2434" s="1774" t="n"/>
      <c r="L2434" s="1775" t="n"/>
      <c r="M2434" s="1775" t="n"/>
      <c r="N2434" s="1739" t="n"/>
      <c r="O2434" s="1776" t="n"/>
      <c r="P2434" s="1719" t="n"/>
    </row>
    <row r="2435" hidden="1" outlineLevel="2" ht="13.5" customHeight="1">
      <c r="A2435" s="2117" t="n">
        <v>0</v>
      </c>
      <c r="B2435" s="2117" t="n">
        <v>17</v>
      </c>
      <c r="C2435" s="2117" t="n">
        <v>5</v>
      </c>
      <c r="D2435" s="2118" t="n">
        <v>1</v>
      </c>
      <c r="E2435" s="2118" t="n">
        <v>0</v>
      </c>
      <c r="G2435" s="1797" t="n"/>
      <c r="H2435" s="1777" t="inlineStr">
        <is>
          <t>SUBETAPA</t>
        </is>
      </c>
      <c r="I2435" s="1742" t="inlineStr">
        <is>
          <t>17.005.001</t>
        </is>
      </c>
      <c r="J2435" s="1779" t="inlineStr">
        <is>
          <t>Sistema de pintura em Piso</t>
        </is>
      </c>
      <c r="K2435" s="1780" t="n"/>
      <c r="L2435" s="1781" t="n"/>
      <c r="M2435" s="1781" t="n"/>
      <c r="N2435" s="1746" t="n"/>
      <c r="O2435" s="1782" t="n"/>
      <c r="P2435" s="1720" t="n"/>
    </row>
    <row r="2436" hidden="1" outlineLevel="3" ht="13.5" customHeight="1">
      <c r="A2436" s="2117" t="n">
        <v>0</v>
      </c>
      <c r="B2436" s="2117" t="n">
        <v>17</v>
      </c>
      <c r="C2436" s="2117" t="n">
        <v>5</v>
      </c>
      <c r="D2436" s="2118" t="n">
        <v>1</v>
      </c>
      <c r="E2436" s="2118" t="n">
        <v>1</v>
      </c>
      <c r="G2436" s="1798" t="inlineStr">
        <is>
          <t>PINTURA INTERNA</t>
        </is>
      </c>
      <c r="H2436" s="1783" t="inlineStr">
        <is>
          <t>SERVIÇO</t>
        </is>
      </c>
      <c r="I2436" s="1750" t="inlineStr">
        <is>
          <t>17.005.001.001</t>
        </is>
      </c>
      <c r="J2436" s="1785" t="inlineStr">
        <is>
          <t>Pintura em Epóxi para demarcação de vagas em piso, 1 demão</t>
        </is>
      </c>
      <c r="K2436" s="1786" t="inlineStr">
        <is>
          <t>m2</t>
        </is>
      </c>
      <c r="L2436" s="1787" t="e">
        <v>#REF!</v>
      </c>
      <c r="M2436" s="1787" t="n">
        <v>48.29426720987654</v>
      </c>
      <c r="N2436" s="1754" t="n"/>
      <c r="O2436" s="1788" t="n"/>
      <c r="P2436" s="1721" t="inlineStr">
        <is>
          <t>Pendente</t>
        </is>
      </c>
    </row>
    <row r="2437" hidden="1" outlineLevel="2" ht="13.5" customHeight="1">
      <c r="A2437" s="2117" t="n">
        <v>0</v>
      </c>
      <c r="B2437" s="2117" t="n">
        <v>17</v>
      </c>
      <c r="C2437" s="2117" t="n">
        <v>5</v>
      </c>
      <c r="D2437" s="2118" t="n">
        <v>2</v>
      </c>
      <c r="E2437" s="2118" t="n">
        <v>0</v>
      </c>
      <c r="G2437" s="1797" t="n"/>
      <c r="H2437" s="1777" t="inlineStr">
        <is>
          <t>SUBETAPA</t>
        </is>
      </c>
      <c r="I2437" s="1742" t="inlineStr">
        <is>
          <t>17.005.002</t>
        </is>
      </c>
      <c r="J2437" s="1779" t="inlineStr">
        <is>
          <t>Sistema de pintura em parede Interna</t>
        </is>
      </c>
      <c r="K2437" s="1780" t="n"/>
      <c r="L2437" s="1781" t="n"/>
      <c r="M2437" s="1781" t="n"/>
      <c r="N2437" s="1746" t="n"/>
      <c r="O2437" s="1782" t="n"/>
      <c r="P2437" s="1720" t="n"/>
    </row>
    <row r="2438" hidden="1" outlineLevel="3" ht="13.5" customHeight="1">
      <c r="A2438" s="2117" t="n">
        <v>0</v>
      </c>
      <c r="B2438" s="2117" t="n">
        <v>17</v>
      </c>
      <c r="C2438" s="2117" t="n">
        <v>5</v>
      </c>
      <c r="D2438" s="2118" t="n">
        <v>2</v>
      </c>
      <c r="E2438" s="2118" t="n">
        <v>1</v>
      </c>
      <c r="G2438" s="1798" t="inlineStr">
        <is>
          <t>PINTURA INTERNA</t>
        </is>
      </c>
      <c r="H2438" s="1783" t="inlineStr">
        <is>
          <t>SERVIÇO</t>
        </is>
      </c>
      <c r="I2438" s="1750" t="inlineStr">
        <is>
          <t>17.005.002.001</t>
        </is>
      </c>
      <c r="J2438" s="1785" t="inlineStr">
        <is>
          <t>selador em Paredes Internas</t>
        </is>
      </c>
      <c r="K2438" s="1786" t="inlineStr">
        <is>
          <t>m2</t>
        </is>
      </c>
      <c r="L2438" s="1787" t="e">
        <v>#REF!</v>
      </c>
      <c r="M2438" s="1787" t="n">
        <v>1.758555555555555</v>
      </c>
      <c r="N2438" s="1754" t="n"/>
      <c r="O2438" s="1788" t="n"/>
      <c r="P2438" s="1721" t="inlineStr">
        <is>
          <t>Pendente</t>
        </is>
      </c>
    </row>
    <row r="2439" hidden="1" outlineLevel="3" ht="13.5" customHeight="1">
      <c r="A2439" s="2117" t="n">
        <v>0</v>
      </c>
      <c r="B2439" s="2117" t="n">
        <v>17</v>
      </c>
      <c r="C2439" s="2117" t="n">
        <v>5</v>
      </c>
      <c r="D2439" s="2118" t="n">
        <v>2</v>
      </c>
      <c r="E2439" s="2118" t="n">
        <v>2</v>
      </c>
      <c r="G2439" s="1798" t="inlineStr">
        <is>
          <t>PINTURA INTERNA</t>
        </is>
      </c>
      <c r="H2439" s="1783" t="inlineStr">
        <is>
          <t>SERVIÇO</t>
        </is>
      </c>
      <c r="I2439" s="1750" t="inlineStr">
        <is>
          <t>17.005.002.002</t>
        </is>
      </c>
      <c r="J2439" s="1785" t="inlineStr">
        <is>
          <t>Massa Corrida em Paredes Internas</t>
        </is>
      </c>
      <c r="K2439" s="1786" t="inlineStr">
        <is>
          <t>m2</t>
        </is>
      </c>
      <c r="L2439" s="1787" t="e">
        <v>#REF!</v>
      </c>
      <c r="M2439" s="1787" t="n">
        <v>4.34916</v>
      </c>
      <c r="N2439" s="1754" t="n"/>
      <c r="O2439" s="1788" t="n"/>
      <c r="P2439" s="1721" t="inlineStr">
        <is>
          <t>Pendente</t>
        </is>
      </c>
    </row>
    <row r="2440" hidden="1" outlineLevel="3" ht="13.5" customHeight="1">
      <c r="A2440" s="2117" t="n">
        <v>0</v>
      </c>
      <c r="B2440" s="2117" t="n">
        <v>17</v>
      </c>
      <c r="C2440" s="2117" t="n">
        <v>5</v>
      </c>
      <c r="D2440" s="2118" t="n">
        <v>2</v>
      </c>
      <c r="E2440" s="2118" t="n">
        <v>3</v>
      </c>
      <c r="G2440" s="1798" t="inlineStr">
        <is>
          <t>PINTURA INTERNA</t>
        </is>
      </c>
      <c r="H2440" s="1783" t="inlineStr">
        <is>
          <t>SERVIÇO</t>
        </is>
      </c>
      <c r="I2440" s="1750" t="inlineStr">
        <is>
          <t>17.005.002.003</t>
        </is>
      </c>
      <c r="J2440" s="1785" t="inlineStr">
        <is>
          <t>Pintura Com Tinta Latex Acrilica em Paredes Internas, 3 Demaos (Somente tinta)</t>
        </is>
      </c>
      <c r="K2440" s="1786" t="inlineStr">
        <is>
          <t>m2</t>
        </is>
      </c>
      <c r="L2440" s="1787" t="e">
        <v>#REF!</v>
      </c>
      <c r="M2440" s="1787" t="n">
        <v>12.1275</v>
      </c>
      <c r="N2440" s="1754" t="n"/>
      <c r="O2440" s="1788" t="n"/>
      <c r="P2440" s="1721" t="inlineStr">
        <is>
          <t>Pendente</t>
        </is>
      </c>
    </row>
    <row r="2441" hidden="1" outlineLevel="3" ht="13.5" customHeight="1">
      <c r="A2441" s="2117" t="n">
        <v>0</v>
      </c>
      <c r="B2441" s="2117" t="n">
        <v>17</v>
      </c>
      <c r="C2441" s="2117" t="n">
        <v>5</v>
      </c>
      <c r="D2441" s="2118" t="n">
        <v>2</v>
      </c>
      <c r="E2441" s="2118" t="n">
        <v>4</v>
      </c>
      <c r="G2441" s="1798" t="inlineStr">
        <is>
          <t>PINTURA INTERNA</t>
        </is>
      </c>
      <c r="H2441" s="1783" t="inlineStr">
        <is>
          <t>SERVIÇO</t>
        </is>
      </c>
      <c r="I2441" s="1750" t="inlineStr">
        <is>
          <t>17.005.002.004</t>
        </is>
      </c>
      <c r="J2441" s="1751" t="inlineStr">
        <is>
          <t>Pintura em Epóxi em Parede, Aplicação Manual, 2 Demãos (com massa e selador)</t>
        </is>
      </c>
      <c r="K2441" s="1752" t="inlineStr">
        <is>
          <t>m2</t>
        </is>
      </c>
      <c r="L2441" s="1753" t="e">
        <v>#REF!</v>
      </c>
      <c r="M2441" s="1787" t="n">
        <v>76.67474622222223</v>
      </c>
      <c r="N2441" s="1754" t="n"/>
      <c r="O2441" s="1755" t="n"/>
      <c r="P2441" s="1721" t="inlineStr">
        <is>
          <t>Pendente</t>
        </is>
      </c>
    </row>
    <row r="2442" hidden="1" outlineLevel="3" ht="13.5" customHeight="1">
      <c r="A2442" s="2117" t="n">
        <v>0</v>
      </c>
      <c r="B2442" s="2117" t="n">
        <v>17</v>
      </c>
      <c r="C2442" s="2117" t="n">
        <v>5</v>
      </c>
      <c r="D2442" s="2118" t="n">
        <v>2</v>
      </c>
      <c r="E2442" s="2118" t="n">
        <v>5</v>
      </c>
      <c r="G2442" s="1798" t="inlineStr">
        <is>
          <t>PINTURA INTERNA</t>
        </is>
      </c>
      <c r="H2442" s="1783" t="inlineStr">
        <is>
          <t>SERVIÇO</t>
        </is>
      </c>
      <c r="I2442" s="1750" t="inlineStr">
        <is>
          <t>17.005.002.005</t>
        </is>
      </c>
      <c r="J2442" s="1785" t="inlineStr">
        <is>
          <t>Pintura em Látex Acrilica para demarcação de vagas em parede, 2 demão</t>
        </is>
      </c>
      <c r="K2442" s="1786" t="inlineStr">
        <is>
          <t>m2</t>
        </is>
      </c>
      <c r="L2442" s="1787" t="e">
        <v>#REF!</v>
      </c>
      <c r="M2442" s="1787" t="n">
        <v>8.728316065000001</v>
      </c>
      <c r="N2442" s="1754" t="n"/>
      <c r="O2442" s="1788" t="n"/>
      <c r="P2442" s="1721" t="inlineStr">
        <is>
          <t>Pendente</t>
        </is>
      </c>
    </row>
    <row r="2443" hidden="1" outlineLevel="2" ht="13.5" customHeight="1">
      <c r="A2443" s="2117" t="n">
        <v>0</v>
      </c>
      <c r="B2443" s="2117" t="n">
        <v>17</v>
      </c>
      <c r="C2443" s="2117" t="n">
        <v>5</v>
      </c>
      <c r="D2443" s="2118" t="n">
        <v>3</v>
      </c>
      <c r="E2443" s="2118" t="n">
        <v>0</v>
      </c>
      <c r="G2443" s="1797" t="n"/>
      <c r="H2443" s="1777" t="inlineStr">
        <is>
          <t>SUBETAPA</t>
        </is>
      </c>
      <c r="I2443" s="1742" t="inlineStr">
        <is>
          <t>17.005.003</t>
        </is>
      </c>
      <c r="J2443" s="1779" t="inlineStr">
        <is>
          <t>Pintura em tetos</t>
        </is>
      </c>
      <c r="K2443" s="1780" t="n"/>
      <c r="L2443" s="1781" t="n"/>
      <c r="M2443" s="1781" t="n"/>
      <c r="N2443" s="1746" t="n"/>
      <c r="O2443" s="1782" t="n"/>
      <c r="P2443" s="1720" t="n"/>
    </row>
    <row r="2444" hidden="1" outlineLevel="3" ht="13.5" customHeight="1">
      <c r="A2444" s="2117" t="n">
        <v>0</v>
      </c>
      <c r="B2444" s="2117" t="n">
        <v>17</v>
      </c>
      <c r="C2444" s="2117" t="n">
        <v>5</v>
      </c>
      <c r="D2444" s="2118" t="n">
        <v>3</v>
      </c>
      <c r="E2444" s="2118" t="n">
        <v>1</v>
      </c>
      <c r="G2444" s="1798" t="inlineStr">
        <is>
          <t>PINTURA INTERNA</t>
        </is>
      </c>
      <c r="H2444" s="1783" t="inlineStr">
        <is>
          <t>SERVIÇO</t>
        </is>
      </c>
      <c r="I2444" s="1750" t="inlineStr">
        <is>
          <t>17.005.003.001</t>
        </is>
      </c>
      <c r="J2444" s="1785" t="inlineStr">
        <is>
          <t>selador em tetos</t>
        </is>
      </c>
      <c r="K2444" s="1786" t="inlineStr">
        <is>
          <t>m2</t>
        </is>
      </c>
      <c r="L2444" s="1787" t="e">
        <v>#REF!</v>
      </c>
      <c r="M2444" s="1787" t="n">
        <v>1.758555555555555</v>
      </c>
      <c r="N2444" s="1754" t="n"/>
      <c r="O2444" s="1788" t="n"/>
      <c r="P2444" s="1721" t="inlineStr">
        <is>
          <t>Pendente</t>
        </is>
      </c>
    </row>
    <row r="2445" hidden="1" outlineLevel="3" ht="13.5" customHeight="1">
      <c r="A2445" s="2117" t="n">
        <v>0</v>
      </c>
      <c r="B2445" s="2117" t="n">
        <v>17</v>
      </c>
      <c r="C2445" s="2117" t="n">
        <v>5</v>
      </c>
      <c r="D2445" s="2118" t="n">
        <v>3</v>
      </c>
      <c r="E2445" s="2118" t="n">
        <v>2</v>
      </c>
      <c r="G2445" s="1798" t="inlineStr">
        <is>
          <t>PINTURA INTERNA</t>
        </is>
      </c>
      <c r="H2445" s="1783" t="inlineStr">
        <is>
          <t>SERVIÇO</t>
        </is>
      </c>
      <c r="I2445" s="1750" t="inlineStr">
        <is>
          <t>17.005.003.002</t>
        </is>
      </c>
      <c r="J2445" s="1785" t="inlineStr">
        <is>
          <t>Massa corrida em tetos</t>
        </is>
      </c>
      <c r="K2445" s="1786" t="inlineStr">
        <is>
          <t>m2</t>
        </is>
      </c>
      <c r="L2445" s="1787" t="e">
        <v>#REF!</v>
      </c>
      <c r="M2445" s="1787" t="n">
        <v>4.34916</v>
      </c>
      <c r="N2445" s="1754" t="n"/>
      <c r="O2445" s="1788" t="n"/>
      <c r="P2445" s="1721" t="inlineStr">
        <is>
          <t>Pendente</t>
        </is>
      </c>
    </row>
    <row r="2446" hidden="1" outlineLevel="3" ht="13.5" customHeight="1">
      <c r="A2446" s="2117" t="n">
        <v>0</v>
      </c>
      <c r="B2446" s="2117" t="n">
        <v>17</v>
      </c>
      <c r="C2446" s="2117" t="n">
        <v>5</v>
      </c>
      <c r="D2446" s="2118" t="n">
        <v>3</v>
      </c>
      <c r="E2446" s="2118" t="n">
        <v>3</v>
      </c>
      <c r="G2446" s="1798" t="inlineStr">
        <is>
          <t>PINTURA INTERNA</t>
        </is>
      </c>
      <c r="H2446" s="1783" t="inlineStr">
        <is>
          <t>SERVIÇO</t>
        </is>
      </c>
      <c r="I2446" s="1750" t="inlineStr">
        <is>
          <t>17.005.003.003</t>
        </is>
      </c>
      <c r="J2446" s="1785" t="inlineStr">
        <is>
          <t>Pintura Com Tinta Latex Acrilica em tetos, 3 Demaos (Somente tinta)</t>
        </is>
      </c>
      <c r="K2446" s="1786" t="inlineStr">
        <is>
          <t>m2</t>
        </is>
      </c>
      <c r="L2446" s="1787" t="e">
        <v>#REF!</v>
      </c>
      <c r="M2446" s="1787" t="n">
        <v>12.1275</v>
      </c>
      <c r="N2446" s="1754" t="n"/>
      <c r="O2446" s="1788" t="n"/>
      <c r="P2446" s="1721" t="inlineStr">
        <is>
          <t>Pendente</t>
        </is>
      </c>
    </row>
    <row r="2447" hidden="1" outlineLevel="3" ht="13.5" customHeight="1">
      <c r="A2447" s="2117" t="n">
        <v>0</v>
      </c>
      <c r="B2447" s="2117" t="n">
        <v>17</v>
      </c>
      <c r="C2447" s="2117" t="n">
        <v>5</v>
      </c>
      <c r="D2447" s="2118" t="n">
        <v>3</v>
      </c>
      <c r="E2447" s="2118" t="n">
        <v>4</v>
      </c>
      <c r="G2447" s="1798" t="inlineStr">
        <is>
          <t>PINTURA INTERNA</t>
        </is>
      </c>
      <c r="H2447" s="1783" t="inlineStr">
        <is>
          <t>SERVIÇO</t>
        </is>
      </c>
      <c r="I2447" s="1750" t="inlineStr">
        <is>
          <t>17.005.003.004</t>
        </is>
      </c>
      <c r="J2447" s="1785" t="inlineStr">
        <is>
          <t>Pintura em Epóxi em tetos, Aplicação Manual, 2 Demãos</t>
        </is>
      </c>
      <c r="K2447" s="1786" t="inlineStr">
        <is>
          <t>m2</t>
        </is>
      </c>
      <c r="L2447" s="1787" t="e">
        <v>#REF!</v>
      </c>
      <c r="M2447" s="1787" t="n">
        <v>70.56703066666667</v>
      </c>
      <c r="N2447" s="1754" t="n"/>
      <c r="O2447" s="1788" t="n"/>
      <c r="P2447" s="1721" t="inlineStr">
        <is>
          <t>Pendente</t>
        </is>
      </c>
    </row>
    <row r="2448" hidden="1" outlineLevel="3" ht="13.5" customHeight="1">
      <c r="A2448" s="2117" t="n">
        <v>0</v>
      </c>
      <c r="B2448" s="2117" t="n">
        <v>17</v>
      </c>
      <c r="C2448" s="2117" t="n">
        <v>5</v>
      </c>
      <c r="D2448" s="2118" t="n">
        <v>3</v>
      </c>
      <c r="E2448" s="2118" t="n">
        <v>5</v>
      </c>
      <c r="G2448" s="1798" t="inlineStr">
        <is>
          <t>PINTURA INTERNA</t>
        </is>
      </c>
      <c r="H2448" s="1783" t="inlineStr">
        <is>
          <t>SERVIÇO</t>
        </is>
      </c>
      <c r="I2448" s="1750" t="inlineStr">
        <is>
          <t>17.005.003.005</t>
        </is>
      </c>
      <c r="J2448" s="1785" t="inlineStr">
        <is>
          <t>Textura Acrílica aplicação em tetos, 1 demão</t>
        </is>
      </c>
      <c r="K2448" s="1786" t="inlineStr">
        <is>
          <t>m2</t>
        </is>
      </c>
      <c r="L2448" s="1787" t="e">
        <v>#REF!</v>
      </c>
      <c r="M2448" s="1787" t="n">
        <v>13.63636363636364</v>
      </c>
      <c r="N2448" s="1754" t="n"/>
      <c r="O2448" s="1788" t="n"/>
      <c r="P2448" s="1721" t="inlineStr">
        <is>
          <t>Pendente</t>
        </is>
      </c>
    </row>
    <row r="2449" hidden="1" outlineLevel="2" ht="13.5" customHeight="1">
      <c r="A2449" s="2117" t="n">
        <v>0</v>
      </c>
      <c r="B2449" s="2117" t="n">
        <v>17</v>
      </c>
      <c r="C2449" s="2117" t="n">
        <v>5</v>
      </c>
      <c r="D2449" s="2118" t="n">
        <v>4</v>
      </c>
      <c r="E2449" s="2118" t="n">
        <v>0</v>
      </c>
      <c r="G2449" s="1797" t="n"/>
      <c r="H2449" s="1777" t="inlineStr">
        <is>
          <t>SUBETAPA</t>
        </is>
      </c>
      <c r="I2449" s="1742" t="inlineStr">
        <is>
          <t>17.005.004</t>
        </is>
      </c>
      <c r="J2449" s="1779" t="inlineStr">
        <is>
          <t>Mão de obra</t>
        </is>
      </c>
      <c r="K2449" s="1780" t="n"/>
      <c r="L2449" s="1781" t="n"/>
      <c r="M2449" s="1781" t="n"/>
      <c r="N2449" s="1746" t="n"/>
      <c r="O2449" s="1782" t="n"/>
      <c r="P2449" s="1720" t="n"/>
    </row>
    <row r="2450" hidden="1" outlineLevel="3" ht="13.5" customHeight="1">
      <c r="A2450" s="2117" t="n">
        <v>0</v>
      </c>
      <c r="B2450" s="2117" t="n">
        <v>17</v>
      </c>
      <c r="C2450" s="2117" t="n">
        <v>5</v>
      </c>
      <c r="D2450" s="2118" t="n">
        <v>4</v>
      </c>
      <c r="E2450" s="2118" t="n">
        <v>1</v>
      </c>
      <c r="G2450" s="1798" t="inlineStr">
        <is>
          <t>PINTURA INTERNA</t>
        </is>
      </c>
      <c r="H2450" s="1783" t="inlineStr">
        <is>
          <t>SERVIÇO</t>
        </is>
      </c>
      <c r="I2450" s="1750" t="inlineStr">
        <is>
          <t>17.005.004.001</t>
        </is>
      </c>
      <c r="J2450" s="1785" t="inlineStr">
        <is>
          <t>Mão de obra para demarcação de vagas epoxi</t>
        </is>
      </c>
      <c r="K2450" s="1786" t="inlineStr">
        <is>
          <t>m2</t>
        </is>
      </c>
      <c r="L2450" s="1787" t="e">
        <v>#REF!</v>
      </c>
      <c r="M2450" s="1787" t="n">
        <v>40</v>
      </c>
      <c r="N2450" s="1754" t="n"/>
      <c r="O2450" s="1788" t="n"/>
      <c r="P2450" s="1721" t="inlineStr">
        <is>
          <t>Pendente</t>
        </is>
      </c>
    </row>
    <row r="2451" hidden="1" outlineLevel="3" ht="13.5" customHeight="1">
      <c r="A2451" s="2117" t="n">
        <v>0</v>
      </c>
      <c r="B2451" s="2117" t="n">
        <v>17</v>
      </c>
      <c r="C2451" s="2117" t="n">
        <v>5</v>
      </c>
      <c r="D2451" s="2118" t="n">
        <v>4</v>
      </c>
      <c r="E2451" s="2118" t="n">
        <v>2</v>
      </c>
      <c r="G2451" s="1798" t="inlineStr">
        <is>
          <t>PINTURA INTERNA</t>
        </is>
      </c>
      <c r="H2451" s="1783" t="inlineStr">
        <is>
          <t>SERVIÇO</t>
        </is>
      </c>
      <c r="I2451" s="1750" t="inlineStr">
        <is>
          <t>17.005.004.002</t>
        </is>
      </c>
      <c r="J2451" s="1785" t="inlineStr">
        <is>
          <t>Mão de obra para pintura epóxi em paredes internas, 2 demãos</t>
        </is>
      </c>
      <c r="K2451" s="1786" t="inlineStr">
        <is>
          <t>m2</t>
        </is>
      </c>
      <c r="L2451" s="1787" t="e">
        <v>#REF!</v>
      </c>
      <c r="M2451" s="1787" t="n">
        <v>42</v>
      </c>
      <c r="N2451" s="1754" t="n"/>
      <c r="O2451" s="1788" t="n"/>
      <c r="P2451" s="1721" t="inlineStr">
        <is>
          <t>Pendente</t>
        </is>
      </c>
    </row>
    <row r="2452" hidden="1" outlineLevel="3" ht="13.5" customHeight="1">
      <c r="A2452" s="2117" t="n">
        <v>0</v>
      </c>
      <c r="B2452" s="2117" t="n">
        <v>17</v>
      </c>
      <c r="C2452" s="2117" t="n">
        <v>5</v>
      </c>
      <c r="D2452" s="2118" t="n">
        <v>4</v>
      </c>
      <c r="E2452" s="2118" t="n">
        <v>3</v>
      </c>
      <c r="G2452" s="1798" t="inlineStr">
        <is>
          <t>PINTURA INTERNA</t>
        </is>
      </c>
      <c r="H2452" s="1783" t="inlineStr">
        <is>
          <t>SERVIÇO</t>
        </is>
      </c>
      <c r="I2452" s="1750" t="inlineStr">
        <is>
          <t>17.005.004.003</t>
        </is>
      </c>
      <c r="J2452" s="1785" t="inlineStr">
        <is>
          <t>Mão de obra para pintura em paredes internas, 3 demãos</t>
        </is>
      </c>
      <c r="K2452" s="1786" t="inlineStr">
        <is>
          <t>m2</t>
        </is>
      </c>
      <c r="L2452" s="1787" t="e">
        <v>#REF!</v>
      </c>
      <c r="M2452" s="1787" t="n">
        <v>40</v>
      </c>
      <c r="N2452" s="1754" t="n"/>
      <c r="O2452" s="1788" t="n"/>
      <c r="P2452" s="1721" t="inlineStr">
        <is>
          <t>Pendente</t>
        </is>
      </c>
    </row>
    <row r="2453" hidden="1" outlineLevel="3" ht="13.5" customHeight="1">
      <c r="A2453" s="2117" t="n">
        <v>0</v>
      </c>
      <c r="B2453" s="2117" t="n">
        <v>17</v>
      </c>
      <c r="C2453" s="2117" t="n">
        <v>5</v>
      </c>
      <c r="D2453" s="2118" t="n">
        <v>4</v>
      </c>
      <c r="E2453" s="2118" t="n">
        <v>4</v>
      </c>
      <c r="G2453" s="1798" t="inlineStr">
        <is>
          <t>PINTURA INTERNA</t>
        </is>
      </c>
      <c r="H2453" s="1783" t="inlineStr">
        <is>
          <t>SERVIÇO</t>
        </is>
      </c>
      <c r="I2453" s="1750" t="inlineStr">
        <is>
          <t>17.005.004.004</t>
        </is>
      </c>
      <c r="J2453" s="1785" t="inlineStr">
        <is>
          <t>Mão de obra para faixa de garagem em paredes internas, 1 demãos</t>
        </is>
      </c>
      <c r="K2453" s="1786" t="inlineStr">
        <is>
          <t>m2</t>
        </is>
      </c>
      <c r="L2453" s="1787" t="e">
        <v>#REF!</v>
      </c>
      <c r="M2453" s="1787" t="n">
        <v>20</v>
      </c>
      <c r="N2453" s="1754" t="n"/>
      <c r="O2453" s="1788" t="n"/>
      <c r="P2453" s="1721" t="inlineStr">
        <is>
          <t>Pendente</t>
        </is>
      </c>
    </row>
    <row r="2454" hidden="1" outlineLevel="3" ht="13.5" customHeight="1">
      <c r="A2454" s="2117" t="n">
        <v>0</v>
      </c>
      <c r="B2454" s="2117" t="n">
        <v>17</v>
      </c>
      <c r="C2454" s="2117" t="n">
        <v>5</v>
      </c>
      <c r="D2454" s="2118" t="n">
        <v>4</v>
      </c>
      <c r="E2454" s="2118" t="n">
        <v>5</v>
      </c>
      <c r="G2454" s="1798" t="inlineStr">
        <is>
          <t>PINTURA INTERNA</t>
        </is>
      </c>
      <c r="H2454" s="1783" t="inlineStr">
        <is>
          <t>SERVIÇO</t>
        </is>
      </c>
      <c r="I2454" s="1750" t="inlineStr">
        <is>
          <t>17.005.004.005</t>
        </is>
      </c>
      <c r="J2454" s="1785" t="inlineStr">
        <is>
          <t>Mão de obra para pintura em teto, 3 demãos</t>
        </is>
      </c>
      <c r="K2454" s="1786" t="inlineStr">
        <is>
          <t>m2</t>
        </is>
      </c>
      <c r="L2454" s="1787" t="e">
        <v>#REF!</v>
      </c>
      <c r="M2454" s="1787" t="n">
        <v>40</v>
      </c>
      <c r="N2454" s="1754" t="n"/>
      <c r="O2454" s="1788" t="n"/>
      <c r="P2454" s="1721" t="inlineStr">
        <is>
          <t>Pendente</t>
        </is>
      </c>
    </row>
    <row r="2455" hidden="1" outlineLevel="3" ht="13.5" customHeight="1">
      <c r="A2455" s="2117" t="n">
        <v>0</v>
      </c>
      <c r="B2455" s="2117" t="n">
        <v>17</v>
      </c>
      <c r="C2455" s="2117" t="n">
        <v>5</v>
      </c>
      <c r="D2455" s="2118" t="n">
        <v>4</v>
      </c>
      <c r="E2455" s="2118" t="n">
        <v>6</v>
      </c>
      <c r="G2455" s="1798" t="inlineStr">
        <is>
          <t>PINTURA INTERNA</t>
        </is>
      </c>
      <c r="H2455" s="1783" t="inlineStr">
        <is>
          <t>SERVIÇO</t>
        </is>
      </c>
      <c r="I2455" s="1750" t="inlineStr">
        <is>
          <t>17.005.004.006</t>
        </is>
      </c>
      <c r="J2455" s="1785" t="inlineStr">
        <is>
          <t>Mão de obra para textura em teto, 1 demão</t>
        </is>
      </c>
      <c r="K2455" s="1786" t="inlineStr">
        <is>
          <t>m2</t>
        </is>
      </c>
      <c r="L2455" s="1787" t="e">
        <v>#REF!</v>
      </c>
      <c r="M2455" s="1787" t="n">
        <v>40</v>
      </c>
      <c r="N2455" s="1754" t="n"/>
      <c r="O2455" s="1788" t="n"/>
      <c r="P2455" s="1721" t="inlineStr">
        <is>
          <t>Pendente</t>
        </is>
      </c>
    </row>
    <row r="2456" hidden="1" outlineLevel="3" ht="13.5" customHeight="1">
      <c r="A2456" s="2117" t="n">
        <v>0</v>
      </c>
      <c r="B2456" s="2117" t="n">
        <v>17</v>
      </c>
      <c r="C2456" s="2117" t="n">
        <v>5</v>
      </c>
      <c r="D2456" s="2118" t="n">
        <v>4</v>
      </c>
      <c r="E2456" s="2118" t="n">
        <v>7</v>
      </c>
      <c r="G2456" s="1798" t="inlineStr">
        <is>
          <t>PINTURA INTERNA</t>
        </is>
      </c>
      <c r="H2456" s="1783" t="inlineStr">
        <is>
          <t>SERVIÇO</t>
        </is>
      </c>
      <c r="I2456" s="1750" t="inlineStr">
        <is>
          <t>17.005.004.007</t>
        </is>
      </c>
      <c r="J2456" s="1785" t="inlineStr">
        <is>
          <t>Mão de obra para pintura epoxi em teto</t>
        </is>
      </c>
      <c r="K2456" s="1786" t="inlineStr">
        <is>
          <t>m2</t>
        </is>
      </c>
      <c r="L2456" s="1787" t="e">
        <v>#REF!</v>
      </c>
      <c r="M2456" s="1787" t="n">
        <v>40</v>
      </c>
      <c r="N2456" s="1754" t="n"/>
      <c r="O2456" s="1788" t="n"/>
      <c r="P2456" s="1721" t="inlineStr">
        <is>
          <t>Pendente</t>
        </is>
      </c>
    </row>
    <row r="2457" hidden="1" outlineLevel="1" ht="13.5" customHeight="1">
      <c r="A2457" s="2117" t="n">
        <v>0</v>
      </c>
      <c r="B2457" s="2117" t="n">
        <v>17</v>
      </c>
      <c r="C2457" s="2117" t="n">
        <v>6</v>
      </c>
      <c r="D2457" s="2118" t="n">
        <v>0</v>
      </c>
      <c r="E2457" s="2118" t="n">
        <v>7</v>
      </c>
      <c r="G2457" s="1796" t="n"/>
      <c r="H2457" s="1771" t="inlineStr">
        <is>
          <t>ETAPA</t>
        </is>
      </c>
      <c r="I2457" s="1735" t="inlineStr">
        <is>
          <t>17.006</t>
        </is>
      </c>
      <c r="J2457" s="1773" t="inlineStr">
        <is>
          <t>PINTURA - Mezanino G3</t>
        </is>
      </c>
      <c r="K2457" s="1774" t="n"/>
      <c r="L2457" s="1775" t="n"/>
      <c r="M2457" s="1775" t="n"/>
      <c r="N2457" s="1739" t="n"/>
      <c r="O2457" s="1776" t="n"/>
      <c r="P2457" s="1719" t="n"/>
    </row>
    <row r="2458" hidden="1" outlineLevel="2" ht="13.5" customHeight="1">
      <c r="A2458" s="2117" t="n">
        <v>0</v>
      </c>
      <c r="B2458" s="2117" t="n">
        <v>17</v>
      </c>
      <c r="C2458" s="2117" t="n">
        <v>6</v>
      </c>
      <c r="D2458" s="2118" t="n">
        <v>1</v>
      </c>
      <c r="E2458" s="2118" t="n">
        <v>0</v>
      </c>
      <c r="G2458" s="1797" t="n"/>
      <c r="H2458" s="1777" t="inlineStr">
        <is>
          <t>SUBETAPA</t>
        </is>
      </c>
      <c r="I2458" s="1742" t="inlineStr">
        <is>
          <t>17.006.001</t>
        </is>
      </c>
      <c r="J2458" s="1779" t="inlineStr">
        <is>
          <t>Sistema de pintura em Piso</t>
        </is>
      </c>
      <c r="K2458" s="1780" t="n"/>
      <c r="L2458" s="1781" t="n"/>
      <c r="M2458" s="1781" t="n"/>
      <c r="N2458" s="1746" t="n"/>
      <c r="O2458" s="1782" t="n"/>
      <c r="P2458" s="1720" t="n"/>
    </row>
    <row r="2459" hidden="1" outlineLevel="3" ht="13.5" customHeight="1">
      <c r="A2459" s="2117" t="n">
        <v>0</v>
      </c>
      <c r="B2459" s="2117" t="n">
        <v>17</v>
      </c>
      <c r="C2459" s="2117" t="n">
        <v>6</v>
      </c>
      <c r="D2459" s="2118" t="n">
        <v>1</v>
      </c>
      <c r="E2459" s="2118" t="n">
        <v>1</v>
      </c>
      <c r="G2459" s="1798" t="inlineStr">
        <is>
          <t>PINTURA INTERNA</t>
        </is>
      </c>
      <c r="H2459" s="1783" t="inlineStr">
        <is>
          <t>SERVIÇO</t>
        </is>
      </c>
      <c r="I2459" s="1750" t="inlineStr">
        <is>
          <t>17.006.001.001</t>
        </is>
      </c>
      <c r="J2459" s="1785" t="inlineStr">
        <is>
          <t>Pintura em Epóxi para demarcação de vagas em piso, 1 demão</t>
        </is>
      </c>
      <c r="K2459" s="1786" t="inlineStr">
        <is>
          <t>m2</t>
        </is>
      </c>
      <c r="L2459" s="1787" t="e">
        <v>#REF!</v>
      </c>
      <c r="M2459" s="1787" t="n">
        <v>48.29426720987654</v>
      </c>
      <c r="N2459" s="1754" t="n"/>
      <c r="O2459" s="1788" t="n"/>
      <c r="P2459" s="1721" t="inlineStr">
        <is>
          <t>Pendente</t>
        </is>
      </c>
    </row>
    <row r="2460" hidden="1" outlineLevel="2" ht="13.5" customHeight="1">
      <c r="A2460" s="2117" t="n">
        <v>0</v>
      </c>
      <c r="B2460" s="2117" t="n">
        <v>17</v>
      </c>
      <c r="C2460" s="2117" t="n">
        <v>6</v>
      </c>
      <c r="D2460" s="2118" t="n">
        <v>2</v>
      </c>
      <c r="E2460" s="2118" t="n">
        <v>0</v>
      </c>
      <c r="G2460" s="1797" t="n"/>
      <c r="H2460" s="1777" t="inlineStr">
        <is>
          <t>SUBETAPA</t>
        </is>
      </c>
      <c r="I2460" s="1742" t="inlineStr">
        <is>
          <t>17.006.002</t>
        </is>
      </c>
      <c r="J2460" s="1779" t="inlineStr">
        <is>
          <t>Sistema de pintura em parede Interna</t>
        </is>
      </c>
      <c r="K2460" s="1780" t="n"/>
      <c r="L2460" s="1781" t="n"/>
      <c r="M2460" s="1781" t="n"/>
      <c r="N2460" s="1746" t="n"/>
      <c r="O2460" s="1782" t="n"/>
      <c r="P2460" s="1720" t="n"/>
    </row>
    <row r="2461" hidden="1" outlineLevel="3" ht="13.5" customHeight="1">
      <c r="A2461" s="2117" t="n">
        <v>0</v>
      </c>
      <c r="B2461" s="2117" t="n">
        <v>17</v>
      </c>
      <c r="C2461" s="2117" t="n">
        <v>6</v>
      </c>
      <c r="D2461" s="2118" t="n">
        <v>2</v>
      </c>
      <c r="E2461" s="2118" t="n">
        <v>1</v>
      </c>
      <c r="G2461" s="1798" t="inlineStr">
        <is>
          <t>PINTURA INTERNA</t>
        </is>
      </c>
      <c r="H2461" s="1783" t="inlineStr">
        <is>
          <t>SERVIÇO</t>
        </is>
      </c>
      <c r="I2461" s="1750" t="inlineStr">
        <is>
          <t>17.006.002.001</t>
        </is>
      </c>
      <c r="J2461" s="1785" t="inlineStr">
        <is>
          <t>selador em Paredes Internas</t>
        </is>
      </c>
      <c r="K2461" s="1786" t="inlineStr">
        <is>
          <t>m2</t>
        </is>
      </c>
      <c r="L2461" s="1787" t="e">
        <v>#REF!</v>
      </c>
      <c r="M2461" s="1787" t="n">
        <v>1.758555555555555</v>
      </c>
      <c r="N2461" s="1754" t="n"/>
      <c r="O2461" s="1788" t="n"/>
      <c r="P2461" s="1721" t="inlineStr">
        <is>
          <t>Pendente</t>
        </is>
      </c>
    </row>
    <row r="2462" hidden="1" outlineLevel="3" ht="13.5" customHeight="1">
      <c r="A2462" s="2117" t="n">
        <v>0</v>
      </c>
      <c r="B2462" s="2117" t="n">
        <v>17</v>
      </c>
      <c r="C2462" s="2117" t="n">
        <v>6</v>
      </c>
      <c r="D2462" s="2118" t="n">
        <v>2</v>
      </c>
      <c r="E2462" s="2118" t="n">
        <v>2</v>
      </c>
      <c r="G2462" s="1798" t="inlineStr">
        <is>
          <t>PINTURA INTERNA</t>
        </is>
      </c>
      <c r="H2462" s="1783" t="inlineStr">
        <is>
          <t>SERVIÇO</t>
        </is>
      </c>
      <c r="I2462" s="1750" t="inlineStr">
        <is>
          <t>17.006.002.002</t>
        </is>
      </c>
      <c r="J2462" s="1785" t="inlineStr">
        <is>
          <t>Massa Corrida em Paredes Internas</t>
        </is>
      </c>
      <c r="K2462" s="1786" t="inlineStr">
        <is>
          <t>m2</t>
        </is>
      </c>
      <c r="L2462" s="1787" t="e">
        <v>#REF!</v>
      </c>
      <c r="M2462" s="1787" t="n">
        <v>4.34916</v>
      </c>
      <c r="N2462" s="1754" t="n"/>
      <c r="O2462" s="1788" t="n"/>
      <c r="P2462" s="1721" t="inlineStr">
        <is>
          <t>Pendente</t>
        </is>
      </c>
    </row>
    <row r="2463" hidden="1" outlineLevel="3" ht="13.5" customHeight="1">
      <c r="A2463" s="2117" t="n">
        <v>0</v>
      </c>
      <c r="B2463" s="2117" t="n">
        <v>17</v>
      </c>
      <c r="C2463" s="2117" t="n">
        <v>6</v>
      </c>
      <c r="D2463" s="2118" t="n">
        <v>2</v>
      </c>
      <c r="E2463" s="2118" t="n">
        <v>3</v>
      </c>
      <c r="G2463" s="1798" t="inlineStr">
        <is>
          <t>PINTURA INTERNA</t>
        </is>
      </c>
      <c r="H2463" s="1783" t="inlineStr">
        <is>
          <t>SERVIÇO</t>
        </is>
      </c>
      <c r="I2463" s="1750" t="inlineStr">
        <is>
          <t>17.006.002.003</t>
        </is>
      </c>
      <c r="J2463" s="1785" t="inlineStr">
        <is>
          <t>Pintura Com Tinta Latex Acrilica em Paredes Internas, 3 Demaos (Somente tinta)</t>
        </is>
      </c>
      <c r="K2463" s="1786" t="inlineStr">
        <is>
          <t>m2</t>
        </is>
      </c>
      <c r="L2463" s="1787" t="e">
        <v>#REF!</v>
      </c>
      <c r="M2463" s="1787" t="n">
        <v>12.1275</v>
      </c>
      <c r="N2463" s="1754" t="n"/>
      <c r="O2463" s="1788" t="n"/>
      <c r="P2463" s="1721" t="inlineStr">
        <is>
          <t>Pendente</t>
        </is>
      </c>
    </row>
    <row r="2464" hidden="1" outlineLevel="3" ht="13.5" customHeight="1">
      <c r="A2464" s="2117" t="n">
        <v>0</v>
      </c>
      <c r="B2464" s="2117" t="n">
        <v>17</v>
      </c>
      <c r="C2464" s="2117" t="n">
        <v>6</v>
      </c>
      <c r="D2464" s="2118" t="n">
        <v>2</v>
      </c>
      <c r="E2464" s="2118" t="n">
        <v>4</v>
      </c>
      <c r="G2464" s="1798" t="inlineStr">
        <is>
          <t>PINTURA INTERNA</t>
        </is>
      </c>
      <c r="H2464" s="1783" t="inlineStr">
        <is>
          <t>SERVIÇO</t>
        </is>
      </c>
      <c r="I2464" s="1750" t="inlineStr">
        <is>
          <t>17.006.002.004</t>
        </is>
      </c>
      <c r="J2464" s="1785" t="inlineStr">
        <is>
          <t>Pintura Com Tinta Latex Acrilica em Paredes Internas, 3 Demaos (Somente tinta) - Suvinil Azul Etéreo</t>
        </is>
      </c>
      <c r="K2464" s="1786" t="inlineStr">
        <is>
          <t>m2</t>
        </is>
      </c>
      <c r="L2464" s="1787" t="e">
        <v>#REF!</v>
      </c>
      <c r="M2464" s="1787" t="n">
        <v>22.507959375</v>
      </c>
      <c r="N2464" s="1754" t="n"/>
      <c r="O2464" s="1788" t="n"/>
      <c r="P2464" s="1721" t="inlineStr">
        <is>
          <t>Pendente</t>
        </is>
      </c>
    </row>
    <row r="2465" hidden="1" outlineLevel="3" ht="13.5" customHeight="1">
      <c r="A2465" s="2117" t="n">
        <v>0</v>
      </c>
      <c r="B2465" s="2117" t="n">
        <v>17</v>
      </c>
      <c r="C2465" s="2117" t="n">
        <v>6</v>
      </c>
      <c r="D2465" s="2118" t="n">
        <v>2</v>
      </c>
      <c r="E2465" s="2118" t="n">
        <v>5</v>
      </c>
      <c r="G2465" s="1798" t="inlineStr">
        <is>
          <t>PINTURA INTERNA</t>
        </is>
      </c>
      <c r="H2465" s="1783" t="inlineStr">
        <is>
          <t>SERVIÇO</t>
        </is>
      </c>
      <c r="I2465" s="1750" t="inlineStr">
        <is>
          <t>17.006.002.005</t>
        </is>
      </c>
      <c r="J2465" s="1751" t="inlineStr">
        <is>
          <t>Pintura em Epóxi em Parede, Aplicação Manual, 2 Demãos (com massa e selador)</t>
        </is>
      </c>
      <c r="K2465" s="1752" t="inlineStr">
        <is>
          <t>m2</t>
        </is>
      </c>
      <c r="L2465" s="1753" t="e">
        <v>#REF!</v>
      </c>
      <c r="M2465" s="1787" t="n">
        <v>76.67474622222223</v>
      </c>
      <c r="N2465" s="1754" t="n"/>
      <c r="O2465" s="1755" t="n"/>
      <c r="P2465" s="1721" t="inlineStr">
        <is>
          <t>Pendente</t>
        </is>
      </c>
    </row>
    <row r="2466" hidden="1" outlineLevel="3" ht="13.5" customHeight="1">
      <c r="A2466" s="2117" t="n">
        <v>0</v>
      </c>
      <c r="B2466" s="2117" t="n">
        <v>17</v>
      </c>
      <c r="C2466" s="2117" t="n">
        <v>6</v>
      </c>
      <c r="D2466" s="2118" t="n">
        <v>2</v>
      </c>
      <c r="E2466" s="2118" t="n">
        <v>6</v>
      </c>
      <c r="G2466" s="1798" t="inlineStr">
        <is>
          <t>PINTURA INTERNA</t>
        </is>
      </c>
      <c r="H2466" s="1783" t="inlineStr">
        <is>
          <t>SERVIÇO</t>
        </is>
      </c>
      <c r="I2466" s="1750" t="inlineStr">
        <is>
          <t>17.006.002.006</t>
        </is>
      </c>
      <c r="J2466" s="1785" t="inlineStr">
        <is>
          <t>Pintura em Látex Acrilica para demarcação de vagas em parede, 2 demão</t>
        </is>
      </c>
      <c r="K2466" s="1786" t="inlineStr">
        <is>
          <t>m2</t>
        </is>
      </c>
      <c r="L2466" s="1787" t="e">
        <v>#REF!</v>
      </c>
      <c r="M2466" s="1787" t="n">
        <v>8.728316065000001</v>
      </c>
      <c r="N2466" s="1754" t="n"/>
      <c r="O2466" s="1788" t="n"/>
      <c r="P2466" s="1721" t="inlineStr">
        <is>
          <t>Pendente</t>
        </is>
      </c>
    </row>
    <row r="2467" hidden="1" outlineLevel="2" ht="13.5" customHeight="1">
      <c r="A2467" s="2117" t="n">
        <v>0</v>
      </c>
      <c r="B2467" s="2117" t="n">
        <v>17</v>
      </c>
      <c r="C2467" s="2117" t="n">
        <v>6</v>
      </c>
      <c r="D2467" s="2118" t="n">
        <v>3</v>
      </c>
      <c r="E2467" s="2118" t="n">
        <v>0</v>
      </c>
      <c r="G2467" s="1797" t="n"/>
      <c r="H2467" s="1777" t="inlineStr">
        <is>
          <t>SUBETAPA</t>
        </is>
      </c>
      <c r="I2467" s="1742" t="inlineStr">
        <is>
          <t>17.006.003</t>
        </is>
      </c>
      <c r="J2467" s="1779" t="inlineStr">
        <is>
          <t>Pintura em tetos</t>
        </is>
      </c>
      <c r="K2467" s="1780" t="n"/>
      <c r="L2467" s="1781" t="n"/>
      <c r="M2467" s="1781" t="n"/>
      <c r="N2467" s="1746" t="n"/>
      <c r="O2467" s="1782" t="n"/>
      <c r="P2467" s="1720" t="n"/>
    </row>
    <row r="2468" hidden="1" outlineLevel="3" ht="13.5" customHeight="1">
      <c r="A2468" s="2117" t="n">
        <v>0</v>
      </c>
      <c r="B2468" s="2117" t="n">
        <v>17</v>
      </c>
      <c r="C2468" s="2117" t="n">
        <v>6</v>
      </c>
      <c r="D2468" s="2118" t="n">
        <v>3</v>
      </c>
      <c r="E2468" s="2118" t="n">
        <v>1</v>
      </c>
      <c r="G2468" s="1798" t="inlineStr">
        <is>
          <t>PINTURA INTERNA</t>
        </is>
      </c>
      <c r="H2468" s="1783" t="inlineStr">
        <is>
          <t>SERVIÇO</t>
        </is>
      </c>
      <c r="I2468" s="1750" t="inlineStr">
        <is>
          <t>17.006.003.001</t>
        </is>
      </c>
      <c r="J2468" s="1785" t="inlineStr">
        <is>
          <t>selador em tetos</t>
        </is>
      </c>
      <c r="K2468" s="1786" t="inlineStr">
        <is>
          <t>m2</t>
        </is>
      </c>
      <c r="L2468" s="1787" t="e">
        <v>#REF!</v>
      </c>
      <c r="M2468" s="1787" t="n">
        <v>1.758555555555555</v>
      </c>
      <c r="N2468" s="1754" t="n"/>
      <c r="O2468" s="1788" t="n"/>
      <c r="P2468" s="1721" t="inlineStr">
        <is>
          <t>Pendente</t>
        </is>
      </c>
    </row>
    <row r="2469" hidden="1" outlineLevel="3" ht="13.5" customHeight="1">
      <c r="A2469" s="2117" t="n">
        <v>0</v>
      </c>
      <c r="B2469" s="2117" t="n">
        <v>17</v>
      </c>
      <c r="C2469" s="2117" t="n">
        <v>6</v>
      </c>
      <c r="D2469" s="2118" t="n">
        <v>3</v>
      </c>
      <c r="E2469" s="2118" t="n">
        <v>2</v>
      </c>
      <c r="G2469" s="1798" t="inlineStr">
        <is>
          <t>PINTURA INTERNA</t>
        </is>
      </c>
      <c r="H2469" s="1783" t="inlineStr">
        <is>
          <t>SERVIÇO</t>
        </is>
      </c>
      <c r="I2469" s="1750" t="inlineStr">
        <is>
          <t>17.006.003.002</t>
        </is>
      </c>
      <c r="J2469" s="1785" t="inlineStr">
        <is>
          <t>Massa corrida em tetos</t>
        </is>
      </c>
      <c r="K2469" s="1786" t="inlineStr">
        <is>
          <t>m2</t>
        </is>
      </c>
      <c r="L2469" s="1787" t="e">
        <v>#REF!</v>
      </c>
      <c r="M2469" s="1787" t="n">
        <v>4.34916</v>
      </c>
      <c r="N2469" s="1754" t="n"/>
      <c r="O2469" s="1788" t="n"/>
      <c r="P2469" s="1721" t="inlineStr">
        <is>
          <t>Pendente</t>
        </is>
      </c>
    </row>
    <row r="2470" hidden="1" outlineLevel="3" ht="13.5" customHeight="1">
      <c r="A2470" s="2117" t="n">
        <v>0</v>
      </c>
      <c r="B2470" s="2117" t="n">
        <v>17</v>
      </c>
      <c r="C2470" s="2117" t="n">
        <v>6</v>
      </c>
      <c r="D2470" s="2118" t="n">
        <v>3</v>
      </c>
      <c r="E2470" s="2118" t="n">
        <v>3</v>
      </c>
      <c r="G2470" s="1798" t="inlineStr">
        <is>
          <t>PINTURA INTERNA</t>
        </is>
      </c>
      <c r="H2470" s="1783" t="inlineStr">
        <is>
          <t>SERVIÇO</t>
        </is>
      </c>
      <c r="I2470" s="1750" t="inlineStr">
        <is>
          <t>17.006.003.003</t>
        </is>
      </c>
      <c r="J2470" s="1785" t="inlineStr">
        <is>
          <t>Pintura Com Tinta Latex Acrilica em tetos, 3 Demaos (Somente tinta)</t>
        </is>
      </c>
      <c r="K2470" s="1786" t="inlineStr">
        <is>
          <t>m2</t>
        </is>
      </c>
      <c r="L2470" s="1787" t="e">
        <v>#REF!</v>
      </c>
      <c r="M2470" s="1787" t="n">
        <v>12.1275</v>
      </c>
      <c r="N2470" s="1754" t="n"/>
      <c r="O2470" s="1788" t="n"/>
      <c r="P2470" s="1721" t="inlineStr">
        <is>
          <t>Pendente</t>
        </is>
      </c>
    </row>
    <row r="2471" hidden="1" outlineLevel="3" ht="13.5" customHeight="1">
      <c r="A2471" s="2117" t="n">
        <v>0</v>
      </c>
      <c r="B2471" s="2117" t="n">
        <v>17</v>
      </c>
      <c r="C2471" s="2117" t="n">
        <v>6</v>
      </c>
      <c r="D2471" s="2118" t="n">
        <v>3</v>
      </c>
      <c r="E2471" s="2118" t="n">
        <v>4</v>
      </c>
      <c r="G2471" s="1798" t="inlineStr">
        <is>
          <t>PINTURA INTERNA</t>
        </is>
      </c>
      <c r="H2471" s="1783" t="inlineStr">
        <is>
          <t>SERVIÇO</t>
        </is>
      </c>
      <c r="I2471" s="1750" t="inlineStr">
        <is>
          <t>17.006.003.004</t>
        </is>
      </c>
      <c r="J2471" s="1785" t="inlineStr">
        <is>
          <t>Pintura em Epóxi em tetos, Aplicação Manual, 2 Demãos</t>
        </is>
      </c>
      <c r="K2471" s="1786" t="inlineStr">
        <is>
          <t>m2</t>
        </is>
      </c>
      <c r="L2471" s="1787" t="e">
        <v>#REF!</v>
      </c>
      <c r="M2471" s="1787" t="n">
        <v>70.56703066666667</v>
      </c>
      <c r="N2471" s="1754" t="n"/>
      <c r="O2471" s="1788" t="n"/>
      <c r="P2471" s="1721" t="inlineStr">
        <is>
          <t>Pendente</t>
        </is>
      </c>
    </row>
    <row r="2472" hidden="1" outlineLevel="3" ht="13.5" customHeight="1">
      <c r="A2472" s="2117" t="n">
        <v>0</v>
      </c>
      <c r="B2472" s="2117" t="n">
        <v>17</v>
      </c>
      <c r="C2472" s="2117" t="n">
        <v>6</v>
      </c>
      <c r="D2472" s="2118" t="n">
        <v>3</v>
      </c>
      <c r="E2472" s="2118" t="n">
        <v>5</v>
      </c>
      <c r="G2472" s="1798" t="inlineStr">
        <is>
          <t>PINTURA INTERNA</t>
        </is>
      </c>
      <c r="H2472" s="1783" t="inlineStr">
        <is>
          <t>SERVIÇO</t>
        </is>
      </c>
      <c r="I2472" s="1750" t="inlineStr">
        <is>
          <t>17.006.003.005</t>
        </is>
      </c>
      <c r="J2472" s="1785" t="inlineStr">
        <is>
          <t>Textura Acrílica aplicação em tetos, 1 demão</t>
        </is>
      </c>
      <c r="K2472" s="1786" t="inlineStr">
        <is>
          <t>m2</t>
        </is>
      </c>
      <c r="L2472" s="1787" t="e">
        <v>#REF!</v>
      </c>
      <c r="M2472" s="1787" t="n">
        <v>13.63636363636364</v>
      </c>
      <c r="N2472" s="1754" t="n"/>
      <c r="O2472" s="1788" t="n"/>
      <c r="P2472" s="1721" t="inlineStr">
        <is>
          <t>Pendente</t>
        </is>
      </c>
    </row>
    <row r="2473" hidden="1" outlineLevel="2" ht="13.5" customHeight="1">
      <c r="A2473" s="2117" t="n">
        <v>0</v>
      </c>
      <c r="B2473" s="2117" t="n">
        <v>17</v>
      </c>
      <c r="C2473" s="2117" t="n">
        <v>6</v>
      </c>
      <c r="D2473" s="2118" t="n">
        <v>4</v>
      </c>
      <c r="E2473" s="2118" t="n">
        <v>0</v>
      </c>
      <c r="G2473" s="1797" t="n"/>
      <c r="H2473" s="1777" t="inlineStr">
        <is>
          <t>SUBETAPA</t>
        </is>
      </c>
      <c r="I2473" s="1742" t="inlineStr">
        <is>
          <t>17.006.004</t>
        </is>
      </c>
      <c r="J2473" s="1779" t="inlineStr">
        <is>
          <t>Mão de obra</t>
        </is>
      </c>
      <c r="K2473" s="1780" t="n"/>
      <c r="L2473" s="1781" t="n"/>
      <c r="M2473" s="1781" t="n"/>
      <c r="N2473" s="1746" t="n"/>
      <c r="O2473" s="1782" t="n"/>
      <c r="P2473" s="1720" t="n"/>
    </row>
    <row r="2474" hidden="1" outlineLevel="3" ht="13.5" customHeight="1">
      <c r="A2474" s="2117" t="n">
        <v>0</v>
      </c>
      <c r="B2474" s="2117" t="n">
        <v>17</v>
      </c>
      <c r="C2474" s="2117" t="n">
        <v>6</v>
      </c>
      <c r="D2474" s="2118" t="n">
        <v>4</v>
      </c>
      <c r="E2474" s="2118" t="n">
        <v>1</v>
      </c>
      <c r="G2474" s="1798" t="inlineStr">
        <is>
          <t>PINTURA INTERNA</t>
        </is>
      </c>
      <c r="H2474" s="1783" t="inlineStr">
        <is>
          <t>SERVIÇO</t>
        </is>
      </c>
      <c r="I2474" s="1750" t="inlineStr">
        <is>
          <t>17.006.004.001</t>
        </is>
      </c>
      <c r="J2474" s="1785" t="inlineStr">
        <is>
          <t>Mão de obra para demarcação de vagas epoxi</t>
        </is>
      </c>
      <c r="K2474" s="1786" t="inlineStr">
        <is>
          <t>m2</t>
        </is>
      </c>
      <c r="L2474" s="1787" t="e">
        <v>#REF!</v>
      </c>
      <c r="M2474" s="1787" t="n">
        <v>40</v>
      </c>
      <c r="N2474" s="1754" t="n"/>
      <c r="O2474" s="1788" t="n"/>
      <c r="P2474" s="1721" t="inlineStr">
        <is>
          <t>Pendente</t>
        </is>
      </c>
    </row>
    <row r="2475" hidden="1" outlineLevel="3" ht="13.5" customHeight="1">
      <c r="A2475" s="2117" t="n">
        <v>0</v>
      </c>
      <c r="B2475" s="2117" t="n">
        <v>17</v>
      </c>
      <c r="C2475" s="2117" t="n">
        <v>6</v>
      </c>
      <c r="D2475" s="2118" t="n">
        <v>4</v>
      </c>
      <c r="E2475" s="2118" t="n">
        <v>2</v>
      </c>
      <c r="G2475" s="1798" t="inlineStr">
        <is>
          <t>PINTURA INTERNA</t>
        </is>
      </c>
      <c r="H2475" s="1783" t="inlineStr">
        <is>
          <t>SERVIÇO</t>
        </is>
      </c>
      <c r="I2475" s="1750" t="inlineStr">
        <is>
          <t>17.006.004.002</t>
        </is>
      </c>
      <c r="J2475" s="1785" t="inlineStr">
        <is>
          <t>Mão de obra para pintura epóxi em paredes internas, 2 demãos</t>
        </is>
      </c>
      <c r="K2475" s="1786" t="inlineStr">
        <is>
          <t>m2</t>
        </is>
      </c>
      <c r="L2475" s="1787" t="e">
        <v>#REF!</v>
      </c>
      <c r="M2475" s="1787" t="n">
        <v>42</v>
      </c>
      <c r="N2475" s="1754" t="n"/>
      <c r="O2475" s="1788" t="n"/>
      <c r="P2475" s="1721" t="inlineStr">
        <is>
          <t>Pendente</t>
        </is>
      </c>
    </row>
    <row r="2476" hidden="1" outlineLevel="3" ht="13.5" customHeight="1">
      <c r="A2476" s="2117" t="n">
        <v>0</v>
      </c>
      <c r="B2476" s="2117" t="n">
        <v>17</v>
      </c>
      <c r="C2476" s="2117" t="n">
        <v>6</v>
      </c>
      <c r="D2476" s="2118" t="n">
        <v>4</v>
      </c>
      <c r="E2476" s="2118" t="n">
        <v>3</v>
      </c>
      <c r="G2476" s="1798" t="inlineStr">
        <is>
          <t>PINTURA INTERNA</t>
        </is>
      </c>
      <c r="H2476" s="1783" t="inlineStr">
        <is>
          <t>SERVIÇO</t>
        </is>
      </c>
      <c r="I2476" s="1750" t="inlineStr">
        <is>
          <t>17.006.004.003</t>
        </is>
      </c>
      <c r="J2476" s="1785" t="inlineStr">
        <is>
          <t>Mão de obra para pintura em paredes internas, 3 demãos</t>
        </is>
      </c>
      <c r="K2476" s="1786" t="inlineStr">
        <is>
          <t>m2</t>
        </is>
      </c>
      <c r="L2476" s="1787" t="e">
        <v>#REF!</v>
      </c>
      <c r="M2476" s="1787" t="n">
        <v>40</v>
      </c>
      <c r="N2476" s="1754" t="n"/>
      <c r="O2476" s="1788" t="n"/>
      <c r="P2476" s="1721" t="inlineStr">
        <is>
          <t>Pendente</t>
        </is>
      </c>
    </row>
    <row r="2477" hidden="1" outlineLevel="3" ht="13.5" customHeight="1">
      <c r="A2477" s="2117" t="n">
        <v>0</v>
      </c>
      <c r="B2477" s="2117" t="n">
        <v>17</v>
      </c>
      <c r="C2477" s="2117" t="n">
        <v>6</v>
      </c>
      <c r="D2477" s="2118" t="n">
        <v>4</v>
      </c>
      <c r="E2477" s="2118" t="n">
        <v>4</v>
      </c>
      <c r="G2477" s="1798" t="inlineStr">
        <is>
          <t>PINTURA INTERNA</t>
        </is>
      </c>
      <c r="H2477" s="1783" t="inlineStr">
        <is>
          <t>SERVIÇO</t>
        </is>
      </c>
      <c r="I2477" s="1750" t="inlineStr">
        <is>
          <t>17.006.004.004</t>
        </is>
      </c>
      <c r="J2477" s="1785" t="inlineStr">
        <is>
          <t>Mão de obra para faixa de garagem em paredes internas, 1 demãos</t>
        </is>
      </c>
      <c r="K2477" s="1786" t="inlineStr">
        <is>
          <t>m2</t>
        </is>
      </c>
      <c r="L2477" s="1787" t="e">
        <v>#REF!</v>
      </c>
      <c r="M2477" s="1787" t="n">
        <v>20</v>
      </c>
      <c r="N2477" s="1754" t="n"/>
      <c r="O2477" s="1788" t="n"/>
      <c r="P2477" s="1721" t="inlineStr">
        <is>
          <t>Pendente</t>
        </is>
      </c>
    </row>
    <row r="2478" hidden="1" outlineLevel="3" ht="13.5" customHeight="1">
      <c r="A2478" s="2117" t="n">
        <v>0</v>
      </c>
      <c r="B2478" s="2117" t="n">
        <v>17</v>
      </c>
      <c r="C2478" s="2117" t="n">
        <v>6</v>
      </c>
      <c r="D2478" s="2118" t="n">
        <v>4</v>
      </c>
      <c r="E2478" s="2118" t="n">
        <v>5</v>
      </c>
      <c r="G2478" s="1798" t="inlineStr">
        <is>
          <t>PINTURA INTERNA</t>
        </is>
      </c>
      <c r="H2478" s="1783" t="inlineStr">
        <is>
          <t>SERVIÇO</t>
        </is>
      </c>
      <c r="I2478" s="1750" t="inlineStr">
        <is>
          <t>17.006.004.005</t>
        </is>
      </c>
      <c r="J2478" s="1785" t="inlineStr">
        <is>
          <t>Mão de obra para pintura em teto, 3 demãos</t>
        </is>
      </c>
      <c r="K2478" s="1786" t="inlineStr">
        <is>
          <t>m2</t>
        </is>
      </c>
      <c r="L2478" s="1787" t="e">
        <v>#REF!</v>
      </c>
      <c r="M2478" s="1787" t="n">
        <v>40</v>
      </c>
      <c r="N2478" s="1754" t="n"/>
      <c r="O2478" s="1788" t="n"/>
      <c r="P2478" s="1721" t="inlineStr">
        <is>
          <t>Pendente</t>
        </is>
      </c>
    </row>
    <row r="2479" hidden="1" outlineLevel="3" ht="13.5" customHeight="1">
      <c r="A2479" s="2117" t="n">
        <v>0</v>
      </c>
      <c r="B2479" s="2117" t="n">
        <v>17</v>
      </c>
      <c r="C2479" s="2117" t="n">
        <v>6</v>
      </c>
      <c r="D2479" s="2118" t="n">
        <v>4</v>
      </c>
      <c r="E2479" s="2118" t="n">
        <v>6</v>
      </c>
      <c r="G2479" s="1798" t="inlineStr">
        <is>
          <t>PINTURA INTERNA</t>
        </is>
      </c>
      <c r="H2479" s="1783" t="inlineStr">
        <is>
          <t>SERVIÇO</t>
        </is>
      </c>
      <c r="I2479" s="1750" t="inlineStr">
        <is>
          <t>17.006.004.006</t>
        </is>
      </c>
      <c r="J2479" s="1785" t="inlineStr">
        <is>
          <t>Mão de obra para textura em teto, 1 demão</t>
        </is>
      </c>
      <c r="K2479" s="1786" t="inlineStr">
        <is>
          <t>m2</t>
        </is>
      </c>
      <c r="L2479" s="1787" t="e">
        <v>#REF!</v>
      </c>
      <c r="M2479" s="1787" t="n">
        <v>40</v>
      </c>
      <c r="N2479" s="1754" t="n"/>
      <c r="O2479" s="1788" t="n"/>
      <c r="P2479" s="1721" t="inlineStr">
        <is>
          <t>Pendente</t>
        </is>
      </c>
    </row>
    <row r="2480" hidden="1" outlineLevel="3" ht="13.5" customHeight="1">
      <c r="A2480" s="2117" t="n">
        <v>0</v>
      </c>
      <c r="B2480" s="2117" t="n">
        <v>17</v>
      </c>
      <c r="C2480" s="2117" t="n">
        <v>6</v>
      </c>
      <c r="D2480" s="2118" t="n">
        <v>4</v>
      </c>
      <c r="E2480" s="2118" t="n">
        <v>7</v>
      </c>
      <c r="G2480" s="1798" t="inlineStr">
        <is>
          <t>PINTURA INTERNA</t>
        </is>
      </c>
      <c r="H2480" s="1783" t="inlineStr">
        <is>
          <t>SERVIÇO</t>
        </is>
      </c>
      <c r="I2480" s="1750" t="inlineStr">
        <is>
          <t>17.006.004.007</t>
        </is>
      </c>
      <c r="J2480" s="1785" t="inlineStr">
        <is>
          <t>Mão de obra para pintura epoxi em teto</t>
        </is>
      </c>
      <c r="K2480" s="1786" t="inlineStr">
        <is>
          <t>m2</t>
        </is>
      </c>
      <c r="L2480" s="1787" t="e">
        <v>#REF!</v>
      </c>
      <c r="M2480" s="1787" t="n">
        <v>40</v>
      </c>
      <c r="N2480" s="1754" t="n"/>
      <c r="O2480" s="1788" t="n"/>
      <c r="P2480" s="1721" t="inlineStr">
        <is>
          <t>Pendente</t>
        </is>
      </c>
    </row>
    <row r="2481" hidden="1" outlineLevel="1" ht="13.5" customHeight="1">
      <c r="A2481" s="2117" t="n">
        <v>0</v>
      </c>
      <c r="B2481" s="2117" t="n">
        <v>17</v>
      </c>
      <c r="C2481" s="2117" t="n">
        <v>7</v>
      </c>
      <c r="D2481" s="2118" t="n">
        <v>0</v>
      </c>
      <c r="E2481" s="2118" t="n">
        <v>7</v>
      </c>
      <c r="G2481" s="1796" t="n"/>
      <c r="H2481" s="1771" t="inlineStr">
        <is>
          <t>ETAPA</t>
        </is>
      </c>
      <c r="I2481" s="1735" t="inlineStr">
        <is>
          <t>17.007</t>
        </is>
      </c>
      <c r="J2481" s="1773" t="inlineStr">
        <is>
          <t>PINTURA - Lazer | Garagem</t>
        </is>
      </c>
      <c r="K2481" s="1774" t="n"/>
      <c r="L2481" s="1775" t="n"/>
      <c r="M2481" s="1775" t="n"/>
      <c r="N2481" s="1739" t="n"/>
      <c r="O2481" s="1776" t="n"/>
      <c r="P2481" s="1719" t="n"/>
    </row>
    <row r="2482" hidden="1" outlineLevel="2" ht="13.5" customHeight="1">
      <c r="A2482" s="2117" t="n">
        <v>0</v>
      </c>
      <c r="B2482" s="2117" t="n">
        <v>17</v>
      </c>
      <c r="C2482" s="2117" t="n">
        <v>7</v>
      </c>
      <c r="D2482" s="2118" t="n">
        <v>1</v>
      </c>
      <c r="E2482" s="2118" t="n">
        <v>0</v>
      </c>
      <c r="G2482" s="1797" t="n"/>
      <c r="H2482" s="1777" t="inlineStr">
        <is>
          <t>SUBETAPA</t>
        </is>
      </c>
      <c r="I2482" s="1742" t="inlineStr">
        <is>
          <t>17.007.001</t>
        </is>
      </c>
      <c r="J2482" s="1779" t="inlineStr">
        <is>
          <t>Sistema de pintura em Piso</t>
        </is>
      </c>
      <c r="K2482" s="1780" t="n"/>
      <c r="L2482" s="1781" t="n"/>
      <c r="M2482" s="1781" t="n"/>
      <c r="N2482" s="1746" t="n"/>
      <c r="O2482" s="1782" t="n"/>
      <c r="P2482" s="1720" t="n"/>
    </row>
    <row r="2483" hidden="1" outlineLevel="3" ht="13.5" customHeight="1">
      <c r="A2483" s="2117" t="n">
        <v>0</v>
      </c>
      <c r="B2483" s="2117" t="n">
        <v>17</v>
      </c>
      <c r="C2483" s="2117" t="n">
        <v>7</v>
      </c>
      <c r="D2483" s="2118" t="n">
        <v>1</v>
      </c>
      <c r="E2483" s="2118" t="n">
        <v>1</v>
      </c>
      <c r="G2483" s="1798" t="inlineStr">
        <is>
          <t>PINTURA INTERNA</t>
        </is>
      </c>
      <c r="H2483" s="1783" t="inlineStr">
        <is>
          <t>SERVIÇO</t>
        </is>
      </c>
      <c r="I2483" s="1750" t="inlineStr">
        <is>
          <t>17.007.001.001</t>
        </is>
      </c>
      <c r="J2483" s="1785" t="inlineStr">
        <is>
          <t>Pintura em Epóxi para demarcação de vagas em piso, 1 demão</t>
        </is>
      </c>
      <c r="K2483" s="1786" t="inlineStr">
        <is>
          <t>m2</t>
        </is>
      </c>
      <c r="L2483" s="1787" t="e">
        <v>#REF!</v>
      </c>
      <c r="M2483" s="1787" t="n">
        <v>48.29426720987654</v>
      </c>
      <c r="N2483" s="1754" t="n"/>
      <c r="O2483" s="1788" t="n"/>
      <c r="P2483" s="1721" t="inlineStr">
        <is>
          <t>Pendente</t>
        </is>
      </c>
    </row>
    <row r="2484" hidden="1" outlineLevel="2" ht="13.5" customHeight="1">
      <c r="A2484" s="2117" t="n">
        <v>0</v>
      </c>
      <c r="B2484" s="2117" t="n">
        <v>17</v>
      </c>
      <c r="C2484" s="2117" t="n">
        <v>7</v>
      </c>
      <c r="D2484" s="2118" t="n">
        <v>2</v>
      </c>
      <c r="E2484" s="2118" t="n">
        <v>0</v>
      </c>
      <c r="G2484" s="1797" t="n"/>
      <c r="H2484" s="1777" t="inlineStr">
        <is>
          <t>SUBETAPA</t>
        </is>
      </c>
      <c r="I2484" s="1742" t="inlineStr">
        <is>
          <t>17.007.002</t>
        </is>
      </c>
      <c r="J2484" s="1779" t="inlineStr">
        <is>
          <t>Sistema de pintura em parede Interna</t>
        </is>
      </c>
      <c r="K2484" s="1780" t="n"/>
      <c r="L2484" s="1781" t="n"/>
      <c r="M2484" s="1781" t="n"/>
      <c r="N2484" s="1746" t="n"/>
      <c r="O2484" s="1782" t="n"/>
      <c r="P2484" s="1720" t="n"/>
    </row>
    <row r="2485" hidden="1" outlineLevel="3" ht="13.5" customHeight="1">
      <c r="A2485" s="2117" t="n">
        <v>0</v>
      </c>
      <c r="B2485" s="2117" t="n">
        <v>17</v>
      </c>
      <c r="C2485" s="2117" t="n">
        <v>7</v>
      </c>
      <c r="D2485" s="2118" t="n">
        <v>2</v>
      </c>
      <c r="E2485" s="2118" t="n">
        <v>1</v>
      </c>
      <c r="G2485" s="1798" t="inlineStr">
        <is>
          <t>PINTURA INTERNA</t>
        </is>
      </c>
      <c r="H2485" s="1783" t="inlineStr">
        <is>
          <t>SERVIÇO</t>
        </is>
      </c>
      <c r="I2485" s="1750" t="inlineStr">
        <is>
          <t>17.007.002.001</t>
        </is>
      </c>
      <c r="J2485" s="1785" t="inlineStr">
        <is>
          <t>selador em Paredes Internas</t>
        </is>
      </c>
      <c r="K2485" s="1786" t="inlineStr">
        <is>
          <t>m2</t>
        </is>
      </c>
      <c r="L2485" s="1787" t="e">
        <v>#REF!</v>
      </c>
      <c r="M2485" s="1787" t="n">
        <v>1.758555555555555</v>
      </c>
      <c r="N2485" s="1754" t="n"/>
      <c r="O2485" s="1788" t="n"/>
      <c r="P2485" s="1721" t="inlineStr">
        <is>
          <t>Pendente</t>
        </is>
      </c>
    </row>
    <row r="2486" hidden="1" outlineLevel="3" ht="13.5" customHeight="1">
      <c r="A2486" s="2117" t="n">
        <v>0</v>
      </c>
      <c r="B2486" s="2117" t="n">
        <v>17</v>
      </c>
      <c r="C2486" s="2117" t="n">
        <v>7</v>
      </c>
      <c r="D2486" s="2118" t="n">
        <v>2</v>
      </c>
      <c r="E2486" s="2118" t="n">
        <v>2</v>
      </c>
      <c r="G2486" s="1798" t="inlineStr">
        <is>
          <t>PINTURA INTERNA</t>
        </is>
      </c>
      <c r="H2486" s="1783" t="inlineStr">
        <is>
          <t>SERVIÇO</t>
        </is>
      </c>
      <c r="I2486" s="1750" t="inlineStr">
        <is>
          <t>17.007.002.002</t>
        </is>
      </c>
      <c r="J2486" s="1785" t="inlineStr">
        <is>
          <t>Massa Corrida em Paredes Internas</t>
        </is>
      </c>
      <c r="K2486" s="1786" t="inlineStr">
        <is>
          <t>m2</t>
        </is>
      </c>
      <c r="L2486" s="1787" t="e">
        <v>#REF!</v>
      </c>
      <c r="M2486" s="1787" t="n">
        <v>4.34916</v>
      </c>
      <c r="N2486" s="1754" t="n"/>
      <c r="O2486" s="1788" t="n"/>
      <c r="P2486" s="1721" t="inlineStr">
        <is>
          <t>Pendente</t>
        </is>
      </c>
    </row>
    <row r="2487" hidden="1" outlineLevel="3" ht="13.5" customHeight="1">
      <c r="A2487" s="2117" t="n">
        <v>0</v>
      </c>
      <c r="B2487" s="2117" t="n">
        <v>17</v>
      </c>
      <c r="C2487" s="2117" t="n">
        <v>7</v>
      </c>
      <c r="D2487" s="2118" t="n">
        <v>2</v>
      </c>
      <c r="E2487" s="2118" t="n">
        <v>3</v>
      </c>
      <c r="G2487" s="1798" t="inlineStr">
        <is>
          <t>PINTURA INTERNA</t>
        </is>
      </c>
      <c r="H2487" s="1783" t="inlineStr">
        <is>
          <t>SERVIÇO</t>
        </is>
      </c>
      <c r="I2487" s="1750" t="inlineStr">
        <is>
          <t>17.007.002.003</t>
        </is>
      </c>
      <c r="J2487" s="1785" t="inlineStr">
        <is>
          <t>Pintura Com Tinta Latex Acrilica em Paredes Internas, 3 Demaos (Somente tinta)</t>
        </is>
      </c>
      <c r="K2487" s="1786" t="inlineStr">
        <is>
          <t>m2</t>
        </is>
      </c>
      <c r="L2487" s="1787" t="e">
        <v>#REF!</v>
      </c>
      <c r="M2487" s="1787" t="n">
        <v>12.1275</v>
      </c>
      <c r="N2487" s="1754" t="n"/>
      <c r="O2487" s="1788" t="n"/>
      <c r="P2487" s="1721" t="inlineStr">
        <is>
          <t>Pendente</t>
        </is>
      </c>
    </row>
    <row r="2488" hidden="1" outlineLevel="3" ht="13.5" customHeight="1">
      <c r="A2488" s="2117" t="n">
        <v>0</v>
      </c>
      <c r="B2488" s="2117" t="n">
        <v>17</v>
      </c>
      <c r="C2488" s="2117" t="n">
        <v>7</v>
      </c>
      <c r="D2488" s="2118" t="n">
        <v>2</v>
      </c>
      <c r="E2488" s="2118" t="n">
        <v>4</v>
      </c>
      <c r="G2488" s="1798" t="inlineStr">
        <is>
          <t>PINTURA INTERNA</t>
        </is>
      </c>
      <c r="H2488" s="1783" t="inlineStr">
        <is>
          <t>SERVIÇO</t>
        </is>
      </c>
      <c r="I2488" s="1750" t="inlineStr">
        <is>
          <t>17.007.002.004</t>
        </is>
      </c>
      <c r="J2488" s="1785" t="inlineStr">
        <is>
          <t>Pintura Com Tinta Latex Acrilica em Paredes Internas, 3 Demaos (Somente tinta) - Suvinil Papel Picado</t>
        </is>
      </c>
      <c r="K2488" s="1786" t="inlineStr">
        <is>
          <t>m2</t>
        </is>
      </c>
      <c r="L2488" s="1787" t="e">
        <v>#REF!</v>
      </c>
      <c r="M2488" s="1787" t="n">
        <v>20.46886875</v>
      </c>
      <c r="N2488" s="1754" t="n"/>
      <c r="O2488" s="1788" t="n"/>
      <c r="P2488" s="1721" t="inlineStr">
        <is>
          <t>Pendente</t>
        </is>
      </c>
    </row>
    <row r="2489" hidden="1" outlineLevel="3" ht="13.5" customHeight="1">
      <c r="A2489" s="2117" t="n">
        <v>0</v>
      </c>
      <c r="B2489" s="2117" t="n">
        <v>17</v>
      </c>
      <c r="C2489" s="2117" t="n">
        <v>7</v>
      </c>
      <c r="D2489" s="2118" t="n">
        <v>2</v>
      </c>
      <c r="E2489" s="2118" t="n">
        <v>5</v>
      </c>
      <c r="G2489" s="1798" t="inlineStr">
        <is>
          <t>PINTURA INTERNA</t>
        </is>
      </c>
      <c r="H2489" s="1783" t="inlineStr">
        <is>
          <t>SERVIÇO</t>
        </is>
      </c>
      <c r="I2489" s="1750" t="inlineStr">
        <is>
          <t>17.007.002.005</t>
        </is>
      </c>
      <c r="J2489" s="1751" t="inlineStr">
        <is>
          <t>Pintura em Epóxi em Parede, Aplicação Manual, 2 Demãos (com massa e selador)</t>
        </is>
      </c>
      <c r="K2489" s="1752" t="inlineStr">
        <is>
          <t>m2</t>
        </is>
      </c>
      <c r="L2489" s="1753" t="e">
        <v>#REF!</v>
      </c>
      <c r="M2489" s="1787" t="n">
        <v>76.67474622222223</v>
      </c>
      <c r="N2489" s="1754" t="n"/>
      <c r="O2489" s="1755" t="n"/>
      <c r="P2489" s="1721" t="inlineStr">
        <is>
          <t>Pendente</t>
        </is>
      </c>
    </row>
    <row r="2490" hidden="1" outlineLevel="3" ht="13.5" customHeight="1">
      <c r="A2490" s="2117" t="n">
        <v>0</v>
      </c>
      <c r="B2490" s="2117" t="n">
        <v>17</v>
      </c>
      <c r="C2490" s="2117" t="n">
        <v>7</v>
      </c>
      <c r="D2490" s="2118" t="n">
        <v>2</v>
      </c>
      <c r="E2490" s="2118" t="n">
        <v>6</v>
      </c>
      <c r="G2490" s="1798" t="inlineStr">
        <is>
          <t>PINTURA INTERNA</t>
        </is>
      </c>
      <c r="H2490" s="1783" t="inlineStr">
        <is>
          <t>SERVIÇO</t>
        </is>
      </c>
      <c r="I2490" s="1750" t="inlineStr">
        <is>
          <t>17.007.002.006</t>
        </is>
      </c>
      <c r="J2490" s="1785" t="inlineStr">
        <is>
          <t xml:space="preserve">Textura acrílica aplicação em paredes internas, 1 demão - Textura Terracal / Marca: Terracor </t>
        </is>
      </c>
      <c r="K2490" s="1786" t="inlineStr">
        <is>
          <t>m2</t>
        </is>
      </c>
      <c r="L2490" s="1787" t="e">
        <v>#REF!</v>
      </c>
      <c r="M2490" s="1787" t="n">
        <v>66.75</v>
      </c>
      <c r="N2490" s="1754" t="n"/>
      <c r="O2490" s="1788" t="n"/>
      <c r="P2490" s="1721" t="inlineStr">
        <is>
          <t>Pendente</t>
        </is>
      </c>
    </row>
    <row r="2491" hidden="1" outlineLevel="3" ht="13.5" customHeight="1">
      <c r="A2491" s="2117" t="n">
        <v>0</v>
      </c>
      <c r="B2491" s="2117" t="n">
        <v>17</v>
      </c>
      <c r="C2491" s="2117" t="n">
        <v>7</v>
      </c>
      <c r="D2491" s="2118" t="n">
        <v>2</v>
      </c>
      <c r="E2491" s="2118" t="n">
        <v>7</v>
      </c>
      <c r="G2491" s="1798" t="inlineStr">
        <is>
          <t>PINTURA INTERNA</t>
        </is>
      </c>
      <c r="H2491" s="1783" t="inlineStr">
        <is>
          <t>SERVIÇO</t>
        </is>
      </c>
      <c r="I2491" s="1750" t="inlineStr">
        <is>
          <t>17.007.002.007</t>
        </is>
      </c>
      <c r="J2491" s="1785" t="inlineStr">
        <is>
          <t>Textura acrílica aplicação em paredes internas, 1 demão - Diore Ornamentali Bege Bahia</t>
        </is>
      </c>
      <c r="K2491" s="1786" t="inlineStr">
        <is>
          <t>m2</t>
        </is>
      </c>
      <c r="L2491" s="1787" t="e">
        <v>#REF!</v>
      </c>
      <c r="M2491" s="1787" t="n">
        <v>39.59999999999999</v>
      </c>
      <c r="N2491" s="1754" t="n"/>
      <c r="O2491" s="1788" t="n"/>
      <c r="P2491" s="1721" t="inlineStr">
        <is>
          <t>Pendente</t>
        </is>
      </c>
    </row>
    <row r="2492" hidden="1" outlineLevel="3" ht="13.5" customHeight="1">
      <c r="A2492" s="2117" t="n">
        <v>0</v>
      </c>
      <c r="B2492" s="2117" t="n">
        <v>17</v>
      </c>
      <c r="C2492" s="2117" t="n">
        <v>7</v>
      </c>
      <c r="D2492" s="2118" t="n">
        <v>2</v>
      </c>
      <c r="E2492" s="2118" t="n">
        <v>8</v>
      </c>
      <c r="G2492" s="1798" t="inlineStr">
        <is>
          <t>PINTURA INTERNA</t>
        </is>
      </c>
      <c r="H2492" s="1783" t="inlineStr">
        <is>
          <t>SERVIÇO</t>
        </is>
      </c>
      <c r="I2492" s="1750" t="inlineStr">
        <is>
          <t>17.007.002.008</t>
        </is>
      </c>
      <c r="J2492" s="1785" t="inlineStr">
        <is>
          <t>Pintura em Látex Acrilica para demarcação de vagas em parede, 2 demão</t>
        </is>
      </c>
      <c r="K2492" s="1786" t="inlineStr">
        <is>
          <t>m2</t>
        </is>
      </c>
      <c r="L2492" s="1787" t="e">
        <v>#REF!</v>
      </c>
      <c r="M2492" s="1787" t="n">
        <v>8.728316065000001</v>
      </c>
      <c r="N2492" s="1754" t="n"/>
      <c r="O2492" s="1788" t="n"/>
      <c r="P2492" s="1721" t="inlineStr">
        <is>
          <t>Pendente</t>
        </is>
      </c>
    </row>
    <row r="2493" hidden="1" outlineLevel="2" ht="13.5" customHeight="1">
      <c r="A2493" s="2117" t="n">
        <v>0</v>
      </c>
      <c r="B2493" s="2117" t="n">
        <v>17</v>
      </c>
      <c r="C2493" s="2117" t="n">
        <v>7</v>
      </c>
      <c r="D2493" s="2118" t="n">
        <v>3</v>
      </c>
      <c r="E2493" s="2118" t="n">
        <v>0</v>
      </c>
      <c r="G2493" s="1797" t="n"/>
      <c r="H2493" s="1777" t="inlineStr">
        <is>
          <t>SUBETAPA</t>
        </is>
      </c>
      <c r="I2493" s="1742" t="inlineStr">
        <is>
          <t>17.007.003</t>
        </is>
      </c>
      <c r="J2493" s="1779" t="inlineStr">
        <is>
          <t>Pintura em tetos</t>
        </is>
      </c>
      <c r="K2493" s="1780" t="n"/>
      <c r="L2493" s="1781" t="n"/>
      <c r="M2493" s="1781" t="n"/>
      <c r="N2493" s="1746" t="n"/>
      <c r="O2493" s="1782" t="n"/>
      <c r="P2493" s="1720" t="n"/>
    </row>
    <row r="2494" hidden="1" outlineLevel="3" ht="13.5" customHeight="1">
      <c r="A2494" s="2117" t="n">
        <v>0</v>
      </c>
      <c r="B2494" s="2117" t="n">
        <v>17</v>
      </c>
      <c r="C2494" s="2117" t="n">
        <v>7</v>
      </c>
      <c r="D2494" s="2118" t="n">
        <v>3</v>
      </c>
      <c r="E2494" s="2118" t="n">
        <v>1</v>
      </c>
      <c r="G2494" s="1798" t="inlineStr">
        <is>
          <t>PINTURA INTERNA</t>
        </is>
      </c>
      <c r="H2494" s="1783" t="inlineStr">
        <is>
          <t>SERVIÇO</t>
        </is>
      </c>
      <c r="I2494" s="1750" t="inlineStr">
        <is>
          <t>17.007.003.001</t>
        </is>
      </c>
      <c r="J2494" s="1785" t="inlineStr">
        <is>
          <t>selador em tetos</t>
        </is>
      </c>
      <c r="K2494" s="1786" t="inlineStr">
        <is>
          <t>m2</t>
        </is>
      </c>
      <c r="L2494" s="1787" t="e">
        <v>#REF!</v>
      </c>
      <c r="M2494" s="1787" t="n">
        <v>1.758555555555555</v>
      </c>
      <c r="N2494" s="1754" t="n"/>
      <c r="O2494" s="1788" t="n"/>
      <c r="P2494" s="1721" t="inlineStr">
        <is>
          <t>Pendente</t>
        </is>
      </c>
    </row>
    <row r="2495" hidden="1" outlineLevel="3" ht="13.5" customHeight="1">
      <c r="A2495" s="2117" t="n">
        <v>0</v>
      </c>
      <c r="B2495" s="2117" t="n">
        <v>17</v>
      </c>
      <c r="C2495" s="2117" t="n">
        <v>7</v>
      </c>
      <c r="D2495" s="2118" t="n">
        <v>3</v>
      </c>
      <c r="E2495" s="2118" t="n">
        <v>2</v>
      </c>
      <c r="G2495" s="1798" t="inlineStr">
        <is>
          <t>PINTURA INTERNA</t>
        </is>
      </c>
      <c r="H2495" s="1783" t="inlineStr">
        <is>
          <t>SERVIÇO</t>
        </is>
      </c>
      <c r="I2495" s="1750" t="inlineStr">
        <is>
          <t>17.007.003.002</t>
        </is>
      </c>
      <c r="J2495" s="1785" t="inlineStr">
        <is>
          <t>Massa corrida em tetos</t>
        </is>
      </c>
      <c r="K2495" s="1786" t="inlineStr">
        <is>
          <t>m2</t>
        </is>
      </c>
      <c r="L2495" s="1787" t="e">
        <v>#REF!</v>
      </c>
      <c r="M2495" s="1787" t="n">
        <v>4.34916</v>
      </c>
      <c r="N2495" s="1754" t="n"/>
      <c r="O2495" s="1788" t="n"/>
      <c r="P2495" s="1721" t="inlineStr">
        <is>
          <t>Pendente</t>
        </is>
      </c>
    </row>
    <row r="2496" hidden="1" outlineLevel="3" ht="13.5" customHeight="1">
      <c r="A2496" s="2117" t="n">
        <v>0</v>
      </c>
      <c r="B2496" s="2117" t="n">
        <v>17</v>
      </c>
      <c r="C2496" s="2117" t="n">
        <v>7</v>
      </c>
      <c r="D2496" s="2118" t="n">
        <v>3</v>
      </c>
      <c r="E2496" s="2118" t="n">
        <v>3</v>
      </c>
      <c r="G2496" s="1798" t="inlineStr">
        <is>
          <t>PINTURA INTERNA</t>
        </is>
      </c>
      <c r="H2496" s="1783" t="inlineStr">
        <is>
          <t>SERVIÇO</t>
        </is>
      </c>
      <c r="I2496" s="1750" t="inlineStr">
        <is>
          <t>17.007.003.003</t>
        </is>
      </c>
      <c r="J2496" s="1785" t="inlineStr">
        <is>
          <t>Pintura Com Tinta Latex Acrilica em tetos, 3 Demaos (Somente tinta)</t>
        </is>
      </c>
      <c r="K2496" s="1786" t="inlineStr">
        <is>
          <t>m2</t>
        </is>
      </c>
      <c r="L2496" s="1787" t="e">
        <v>#REF!</v>
      </c>
      <c r="M2496" s="1787" t="n">
        <v>12.1275</v>
      </c>
      <c r="N2496" s="1754" t="n"/>
      <c r="O2496" s="1788" t="n"/>
      <c r="P2496" s="1721" t="inlineStr">
        <is>
          <t>Pendente</t>
        </is>
      </c>
    </row>
    <row r="2497" hidden="1" outlineLevel="3" ht="13.5" customHeight="1">
      <c r="A2497" s="2117" t="n">
        <v>0</v>
      </c>
      <c r="B2497" s="2117" t="n">
        <v>17</v>
      </c>
      <c r="C2497" s="2117" t="n">
        <v>7</v>
      </c>
      <c r="D2497" s="2118" t="n">
        <v>3</v>
      </c>
      <c r="E2497" s="2118" t="n">
        <v>4</v>
      </c>
      <c r="G2497" s="1798" t="inlineStr">
        <is>
          <t>PINTURA INTERNA</t>
        </is>
      </c>
      <c r="H2497" s="1783" t="inlineStr">
        <is>
          <t>SERVIÇO</t>
        </is>
      </c>
      <c r="I2497" s="1750" t="inlineStr">
        <is>
          <t>17.007.003.004</t>
        </is>
      </c>
      <c r="J2497" s="1785" t="inlineStr">
        <is>
          <t>Pintura Com Tinta Latex Acrilica em tetos, 3 Demaos (Somente tinta) - Suvinil Papel Picado</t>
        </is>
      </c>
      <c r="K2497" s="1786" t="inlineStr">
        <is>
          <t>m2</t>
        </is>
      </c>
      <c r="L2497" s="1787" t="e">
        <v>#REF!</v>
      </c>
      <c r="M2497" s="1787" t="n">
        <v>20.46886875</v>
      </c>
      <c r="N2497" s="1754" t="n"/>
      <c r="O2497" s="1788" t="n"/>
      <c r="P2497" s="1721" t="inlineStr">
        <is>
          <t>Pendente</t>
        </is>
      </c>
    </row>
    <row r="2498" hidden="1" outlineLevel="3" ht="13.5" customHeight="1">
      <c r="A2498" s="2117" t="n">
        <v>0</v>
      </c>
      <c r="B2498" s="2117" t="n">
        <v>17</v>
      </c>
      <c r="C2498" s="2117" t="n">
        <v>7</v>
      </c>
      <c r="D2498" s="2118" t="n">
        <v>3</v>
      </c>
      <c r="E2498" s="2118" t="n">
        <v>5</v>
      </c>
      <c r="G2498" s="1798" t="inlineStr">
        <is>
          <t>PINTURA INTERNA</t>
        </is>
      </c>
      <c r="H2498" s="1783" t="inlineStr">
        <is>
          <t>SERVIÇO</t>
        </is>
      </c>
      <c r="I2498" s="1750" t="inlineStr">
        <is>
          <t>17.007.003.005</t>
        </is>
      </c>
      <c r="J2498" s="1785" t="inlineStr">
        <is>
          <t>Pintura em Epóxi em tetos, Aplicação Manual, 2 Demãos</t>
        </is>
      </c>
      <c r="K2498" s="1786" t="inlineStr">
        <is>
          <t>m2</t>
        </is>
      </c>
      <c r="L2498" s="1787" t="e">
        <v>#REF!</v>
      </c>
      <c r="M2498" s="1787" t="n">
        <v>70.56703066666667</v>
      </c>
      <c r="N2498" s="1754" t="n"/>
      <c r="O2498" s="1788" t="n"/>
      <c r="P2498" s="1721" t="inlineStr">
        <is>
          <t>Pendente</t>
        </is>
      </c>
    </row>
    <row r="2499" hidden="1" outlineLevel="3" ht="13.5" customHeight="1">
      <c r="A2499" s="2117" t="n">
        <v>0</v>
      </c>
      <c r="B2499" s="2117" t="n">
        <v>17</v>
      </c>
      <c r="C2499" s="2117" t="n">
        <v>7</v>
      </c>
      <c r="D2499" s="2118" t="n">
        <v>3</v>
      </c>
      <c r="E2499" s="2118" t="n">
        <v>6</v>
      </c>
      <c r="G2499" s="1798" t="inlineStr">
        <is>
          <t>PINTURA INTERNA</t>
        </is>
      </c>
      <c r="H2499" s="1783" t="inlineStr">
        <is>
          <t>SERVIÇO</t>
        </is>
      </c>
      <c r="I2499" s="1750" t="inlineStr">
        <is>
          <t>17.007.003.006</t>
        </is>
      </c>
      <c r="J2499" s="1785" t="inlineStr">
        <is>
          <t>Textura acrílica aplicação em tetos, 1 demão - Diore Ornamentali Bege Bahia</t>
        </is>
      </c>
      <c r="K2499" s="1786" t="inlineStr">
        <is>
          <t>m2</t>
        </is>
      </c>
      <c r="L2499" s="1787" t="e">
        <v>#REF!</v>
      </c>
      <c r="M2499" s="1787" t="n">
        <v>39.59999999999999</v>
      </c>
      <c r="N2499" s="1754" t="n"/>
      <c r="O2499" s="1788" t="n"/>
      <c r="P2499" s="1721" t="inlineStr">
        <is>
          <t>Pendente</t>
        </is>
      </c>
    </row>
    <row r="2500" hidden="1" outlineLevel="3" ht="13.5" customHeight="1">
      <c r="A2500" s="2117" t="n">
        <v>0</v>
      </c>
      <c r="B2500" s="2117" t="n">
        <v>17</v>
      </c>
      <c r="C2500" s="2117" t="n">
        <v>7</v>
      </c>
      <c r="D2500" s="2118" t="n">
        <v>3</v>
      </c>
      <c r="E2500" s="2118" t="n">
        <v>7</v>
      </c>
      <c r="G2500" s="1798" t="inlineStr">
        <is>
          <t>PINTURA INTERNA</t>
        </is>
      </c>
      <c r="H2500" s="1783" t="inlineStr">
        <is>
          <t>SERVIÇO</t>
        </is>
      </c>
      <c r="I2500" s="1750" t="inlineStr">
        <is>
          <t>17.007.003.007</t>
        </is>
      </c>
      <c r="J2500" s="1785" t="inlineStr">
        <is>
          <t>Textura Acrílica aplicação em tetos, 1 demão</t>
        </is>
      </c>
      <c r="K2500" s="1786" t="inlineStr">
        <is>
          <t>m2</t>
        </is>
      </c>
      <c r="L2500" s="1787" t="e">
        <v>#REF!</v>
      </c>
      <c r="M2500" s="1787" t="n">
        <v>13.63636363636364</v>
      </c>
      <c r="N2500" s="1754" t="n"/>
      <c r="O2500" s="1788" t="n"/>
      <c r="P2500" s="1721" t="inlineStr">
        <is>
          <t>Pendente</t>
        </is>
      </c>
    </row>
    <row r="2501" hidden="1" outlineLevel="2" ht="13.5" customHeight="1">
      <c r="A2501" s="2117" t="n">
        <v>0</v>
      </c>
      <c r="B2501" s="2117" t="n">
        <v>17</v>
      </c>
      <c r="C2501" s="2117" t="n">
        <v>7</v>
      </c>
      <c r="D2501" s="2118" t="n">
        <v>4</v>
      </c>
      <c r="E2501" s="2118" t="n">
        <v>0</v>
      </c>
      <c r="G2501" s="1797" t="n"/>
      <c r="H2501" s="1777" t="inlineStr">
        <is>
          <t>SUBETAPA</t>
        </is>
      </c>
      <c r="I2501" s="1742" t="inlineStr">
        <is>
          <t>17.007.004</t>
        </is>
      </c>
      <c r="J2501" s="1779" t="inlineStr">
        <is>
          <t>Mão de obra</t>
        </is>
      </c>
      <c r="K2501" s="1780" t="n"/>
      <c r="L2501" s="1781" t="n"/>
      <c r="M2501" s="1781" t="n"/>
      <c r="N2501" s="1746" t="n"/>
      <c r="O2501" s="1782" t="n"/>
      <c r="P2501" s="1720" t="n"/>
    </row>
    <row r="2502" hidden="1" outlineLevel="3" ht="13.5" customHeight="1">
      <c r="A2502" s="2117" t="n">
        <v>0</v>
      </c>
      <c r="B2502" s="2117" t="n">
        <v>17</v>
      </c>
      <c r="C2502" s="2117" t="n">
        <v>7</v>
      </c>
      <c r="D2502" s="2118" t="n">
        <v>4</v>
      </c>
      <c r="E2502" s="2118" t="n">
        <v>1</v>
      </c>
      <c r="G2502" s="1798" t="inlineStr">
        <is>
          <t>PINTURA INTERNA</t>
        </is>
      </c>
      <c r="H2502" s="1783" t="inlineStr">
        <is>
          <t>SERVIÇO</t>
        </is>
      </c>
      <c r="I2502" s="1750" t="inlineStr">
        <is>
          <t>17.007.004.001</t>
        </is>
      </c>
      <c r="J2502" s="1785" t="inlineStr">
        <is>
          <t>Mão de obra para demarcação de vagas epoxi</t>
        </is>
      </c>
      <c r="K2502" s="1786" t="inlineStr">
        <is>
          <t>m2</t>
        </is>
      </c>
      <c r="L2502" s="1787" t="e">
        <v>#REF!</v>
      </c>
      <c r="M2502" s="1787" t="n">
        <v>40</v>
      </c>
      <c r="N2502" s="1754" t="n"/>
      <c r="O2502" s="1788" t="n"/>
      <c r="P2502" s="1721" t="inlineStr">
        <is>
          <t>Pendente</t>
        </is>
      </c>
    </row>
    <row r="2503" hidden="1" outlineLevel="3" ht="12" customHeight="1">
      <c r="A2503" s="2117" t="n">
        <v>0</v>
      </c>
      <c r="B2503" s="2117" t="n">
        <v>17</v>
      </c>
      <c r="C2503" s="2117" t="n">
        <v>7</v>
      </c>
      <c r="D2503" s="2118" t="n">
        <v>4</v>
      </c>
      <c r="E2503" s="2118" t="n">
        <v>2</v>
      </c>
      <c r="G2503" s="1798" t="inlineStr">
        <is>
          <t>PINTURA INTERNA</t>
        </is>
      </c>
      <c r="H2503" s="1783" t="inlineStr">
        <is>
          <t>SERVIÇO</t>
        </is>
      </c>
      <c r="I2503" s="1750" t="inlineStr">
        <is>
          <t>17.007.004.002</t>
        </is>
      </c>
      <c r="J2503" s="1785" t="inlineStr">
        <is>
          <t>Mão de obra para pintura epóxi em paredes internas, 2 demãos</t>
        </is>
      </c>
      <c r="K2503" s="1786" t="inlineStr">
        <is>
          <t>m2</t>
        </is>
      </c>
      <c r="L2503" s="1787" t="e">
        <v>#REF!</v>
      </c>
      <c r="M2503" s="1787" t="n">
        <v>42</v>
      </c>
      <c r="N2503" s="1754" t="n"/>
      <c r="O2503" s="1788" t="n"/>
      <c r="P2503" s="1721" t="inlineStr">
        <is>
          <t>Pendente</t>
        </is>
      </c>
    </row>
    <row r="2504" hidden="1" outlineLevel="3" ht="13.5" customHeight="1">
      <c r="A2504" s="2117" t="n">
        <v>0</v>
      </c>
      <c r="B2504" s="2117" t="n">
        <v>17</v>
      </c>
      <c r="C2504" s="2117" t="n">
        <v>7</v>
      </c>
      <c r="D2504" s="2118" t="n">
        <v>4</v>
      </c>
      <c r="E2504" s="2118" t="n">
        <v>3</v>
      </c>
      <c r="G2504" s="1798" t="inlineStr">
        <is>
          <t>PINTURA INTERNA</t>
        </is>
      </c>
      <c r="H2504" s="1783" t="inlineStr">
        <is>
          <t>SERVIÇO</t>
        </is>
      </c>
      <c r="I2504" s="1750" t="inlineStr">
        <is>
          <t>17.007.004.003</t>
        </is>
      </c>
      <c r="J2504" s="1785" t="inlineStr">
        <is>
          <t>Mão de obra para pintura em paredes internas, 3 demãos</t>
        </is>
      </c>
      <c r="K2504" s="1786" t="inlineStr">
        <is>
          <t>m2</t>
        </is>
      </c>
      <c r="L2504" s="1787" t="e">
        <v>#REF!</v>
      </c>
      <c r="M2504" s="1787" t="n">
        <v>40</v>
      </c>
      <c r="N2504" s="1754" t="n"/>
      <c r="O2504" s="1788" t="n"/>
      <c r="P2504" s="1721" t="inlineStr">
        <is>
          <t>Pendente</t>
        </is>
      </c>
    </row>
    <row r="2505" hidden="1" outlineLevel="3" ht="13.5" customHeight="1">
      <c r="A2505" s="2117" t="n">
        <v>0</v>
      </c>
      <c r="B2505" s="2117" t="n">
        <v>17</v>
      </c>
      <c r="C2505" s="2117" t="n">
        <v>7</v>
      </c>
      <c r="D2505" s="2118" t="n">
        <v>4</v>
      </c>
      <c r="E2505" s="2118" t="n">
        <v>4</v>
      </c>
      <c r="G2505" s="1798" t="inlineStr">
        <is>
          <t>PINTURA INTERNA</t>
        </is>
      </c>
      <c r="H2505" s="1783" t="inlineStr">
        <is>
          <t>SERVIÇO</t>
        </is>
      </c>
      <c r="I2505" s="1750" t="inlineStr">
        <is>
          <t>17.007.004.004</t>
        </is>
      </c>
      <c r="J2505" s="1785" t="inlineStr">
        <is>
          <t>Mão de obra para Textura em paredes internas, 1 demãos</t>
        </is>
      </c>
      <c r="K2505" s="1786" t="inlineStr">
        <is>
          <t>m2</t>
        </is>
      </c>
      <c r="L2505" s="1787" t="e">
        <v>#REF!</v>
      </c>
      <c r="M2505" s="1787" t="n">
        <v>40</v>
      </c>
      <c r="N2505" s="1754" t="n"/>
      <c r="O2505" s="1788" t="n"/>
      <c r="P2505" s="1721" t="inlineStr">
        <is>
          <t>Pendente</t>
        </is>
      </c>
    </row>
    <row r="2506" hidden="1" outlineLevel="3" ht="13.5" customHeight="1">
      <c r="A2506" s="2117" t="n">
        <v>0</v>
      </c>
      <c r="B2506" s="2117" t="n">
        <v>17</v>
      </c>
      <c r="C2506" s="2117" t="n">
        <v>7</v>
      </c>
      <c r="D2506" s="2118" t="n">
        <v>4</v>
      </c>
      <c r="E2506" s="2118" t="n">
        <v>5</v>
      </c>
      <c r="G2506" s="1798" t="inlineStr">
        <is>
          <t>PINTURA INTERNA</t>
        </is>
      </c>
      <c r="H2506" s="1783" t="inlineStr">
        <is>
          <t>SERVIÇO</t>
        </is>
      </c>
      <c r="I2506" s="1750" t="inlineStr">
        <is>
          <t>17.007.004.005</t>
        </is>
      </c>
      <c r="J2506" s="1785" t="inlineStr">
        <is>
          <t>Mão de obra para faixa de garagem em paredes internas, 1 demãos</t>
        </is>
      </c>
      <c r="K2506" s="1786" t="inlineStr">
        <is>
          <t>m2</t>
        </is>
      </c>
      <c r="L2506" s="1787" t="e">
        <v>#REF!</v>
      </c>
      <c r="M2506" s="1787" t="n">
        <v>20</v>
      </c>
      <c r="N2506" s="1754" t="n"/>
      <c r="O2506" s="1788" t="n"/>
      <c r="P2506" s="1721" t="inlineStr">
        <is>
          <t>Pendente</t>
        </is>
      </c>
    </row>
    <row r="2507" hidden="1" outlineLevel="3" ht="13.5" customHeight="1">
      <c r="A2507" s="2117" t="n">
        <v>0</v>
      </c>
      <c r="B2507" s="2117" t="n">
        <v>17</v>
      </c>
      <c r="C2507" s="2117" t="n">
        <v>7</v>
      </c>
      <c r="D2507" s="2118" t="n">
        <v>4</v>
      </c>
      <c r="E2507" s="2118" t="n">
        <v>6</v>
      </c>
      <c r="G2507" s="1798" t="inlineStr">
        <is>
          <t>PINTURA INTERNA</t>
        </is>
      </c>
      <c r="H2507" s="1783" t="inlineStr">
        <is>
          <t>SERVIÇO</t>
        </is>
      </c>
      <c r="I2507" s="1750" t="inlineStr">
        <is>
          <t>17.007.004.006</t>
        </is>
      </c>
      <c r="J2507" s="1785" t="inlineStr">
        <is>
          <t>Mão de obra para pintura em teto, 3 demãos</t>
        </is>
      </c>
      <c r="K2507" s="1786" t="inlineStr">
        <is>
          <t>m2</t>
        </is>
      </c>
      <c r="L2507" s="1787" t="e">
        <v>#REF!</v>
      </c>
      <c r="M2507" s="1787" t="n">
        <v>40</v>
      </c>
      <c r="N2507" s="1754" t="n"/>
      <c r="O2507" s="1788" t="n"/>
      <c r="P2507" s="1721" t="inlineStr">
        <is>
          <t>Pendente</t>
        </is>
      </c>
    </row>
    <row r="2508" hidden="1" outlineLevel="3" ht="13.5" customHeight="1">
      <c r="A2508" s="2117" t="n">
        <v>0</v>
      </c>
      <c r="B2508" s="2117" t="n">
        <v>17</v>
      </c>
      <c r="C2508" s="2117" t="n">
        <v>7</v>
      </c>
      <c r="D2508" s="2118" t="n">
        <v>4</v>
      </c>
      <c r="E2508" s="2118" t="n">
        <v>7</v>
      </c>
      <c r="G2508" s="1798" t="inlineStr">
        <is>
          <t>PINTURA INTERNA</t>
        </is>
      </c>
      <c r="H2508" s="1783" t="inlineStr">
        <is>
          <t>SERVIÇO</t>
        </is>
      </c>
      <c r="I2508" s="1750" t="inlineStr">
        <is>
          <t>17.007.004.007</t>
        </is>
      </c>
      <c r="J2508" s="1785" t="inlineStr">
        <is>
          <t>Mão de obra para textura em teto, 1 demão</t>
        </is>
      </c>
      <c r="K2508" s="1786" t="inlineStr">
        <is>
          <t>m2</t>
        </is>
      </c>
      <c r="L2508" s="1787" t="e">
        <v>#REF!</v>
      </c>
      <c r="M2508" s="1787" t="n">
        <v>40</v>
      </c>
      <c r="N2508" s="1754" t="n"/>
      <c r="O2508" s="1788" t="n"/>
      <c r="P2508" s="1721" t="inlineStr">
        <is>
          <t>Pendente</t>
        </is>
      </c>
    </row>
    <row r="2509" hidden="1" outlineLevel="3" ht="13.5" customHeight="1">
      <c r="A2509" s="2117" t="n">
        <v>0</v>
      </c>
      <c r="B2509" s="2117" t="n">
        <v>17</v>
      </c>
      <c r="C2509" s="2117" t="n">
        <v>7</v>
      </c>
      <c r="D2509" s="2118" t="n">
        <v>4</v>
      </c>
      <c r="E2509" s="2118" t="n">
        <v>8</v>
      </c>
      <c r="G2509" s="1798" t="inlineStr">
        <is>
          <t>PINTURA INTERNA</t>
        </is>
      </c>
      <c r="H2509" s="1783" t="inlineStr">
        <is>
          <t>SERVIÇO</t>
        </is>
      </c>
      <c r="I2509" s="1750" t="inlineStr">
        <is>
          <t>17.007.004.008</t>
        </is>
      </c>
      <c r="J2509" s="1785" t="inlineStr">
        <is>
          <t>Mão de obra para pintura epoxi em teto</t>
        </is>
      </c>
      <c r="K2509" s="1786" t="inlineStr">
        <is>
          <t>m2</t>
        </is>
      </c>
      <c r="L2509" s="1787" t="e">
        <v>#REF!</v>
      </c>
      <c r="M2509" s="1787" t="n">
        <v>40</v>
      </c>
      <c r="N2509" s="1754" t="n"/>
      <c r="O2509" s="1788" t="n"/>
      <c r="P2509" s="1721" t="inlineStr">
        <is>
          <t>Pendente</t>
        </is>
      </c>
    </row>
    <row r="2510" hidden="1" outlineLevel="1" ht="13.5" customHeight="1">
      <c r="A2510" s="2117" t="n">
        <v>0</v>
      </c>
      <c r="B2510" s="2117" t="n">
        <v>17</v>
      </c>
      <c r="C2510" s="2117" t="n">
        <v>8</v>
      </c>
      <c r="D2510" s="2118" t="n">
        <v>0</v>
      </c>
      <c r="E2510" s="2118" t="n">
        <v>8</v>
      </c>
      <c r="G2510" s="1796" t="n"/>
      <c r="H2510" s="1771" t="inlineStr">
        <is>
          <t>ETAPA</t>
        </is>
      </c>
      <c r="I2510" s="1735" t="inlineStr">
        <is>
          <t>17.008</t>
        </is>
      </c>
      <c r="J2510" s="1773" t="inlineStr">
        <is>
          <t>PINTURA - Lazer</t>
        </is>
      </c>
      <c r="K2510" s="1774" t="n"/>
      <c r="L2510" s="1775" t="n"/>
      <c r="M2510" s="1775" t="n"/>
      <c r="N2510" s="1739" t="n"/>
      <c r="O2510" s="1776" t="n"/>
      <c r="P2510" s="1719" t="n"/>
    </row>
    <row r="2511" hidden="1" outlineLevel="2" ht="13.5" customHeight="1">
      <c r="A2511" s="2117" t="n">
        <v>0</v>
      </c>
      <c r="B2511" s="2117" t="n">
        <v>17</v>
      </c>
      <c r="C2511" s="2117" t="n">
        <v>8</v>
      </c>
      <c r="D2511" s="2118" t="n">
        <v>1</v>
      </c>
      <c r="E2511" s="2118" t="n">
        <v>0</v>
      </c>
      <c r="G2511" s="1797" t="n"/>
      <c r="H2511" s="1777" t="inlineStr">
        <is>
          <t>SUBETAPA</t>
        </is>
      </c>
      <c r="I2511" s="1742" t="inlineStr">
        <is>
          <t>17.008.001</t>
        </is>
      </c>
      <c r="J2511" s="1779" t="inlineStr">
        <is>
          <t>Sistema de pintura em parede Interna</t>
        </is>
      </c>
      <c r="K2511" s="1780" t="n"/>
      <c r="L2511" s="1781" t="n"/>
      <c r="M2511" s="1781" t="n"/>
      <c r="N2511" s="1746" t="n"/>
      <c r="O2511" s="1782" t="n"/>
      <c r="P2511" s="1720" t="n"/>
    </row>
    <row r="2512" hidden="1" outlineLevel="3" ht="13.5" customHeight="1">
      <c r="A2512" s="2117" t="n">
        <v>0</v>
      </c>
      <c r="B2512" s="2117" t="n">
        <v>17</v>
      </c>
      <c r="C2512" s="2117" t="n">
        <v>8</v>
      </c>
      <c r="D2512" s="2118" t="n">
        <v>1</v>
      </c>
      <c r="E2512" s="2118" t="n">
        <v>1</v>
      </c>
      <c r="G2512" s="1798" t="inlineStr">
        <is>
          <t>PINTURA INTERNA</t>
        </is>
      </c>
      <c r="H2512" s="1783" t="inlineStr">
        <is>
          <t>SERVIÇO</t>
        </is>
      </c>
      <c r="I2512" s="1750" t="inlineStr">
        <is>
          <t>17.008.001.001</t>
        </is>
      </c>
      <c r="J2512" s="1785" t="inlineStr">
        <is>
          <t>selador em Paredes Internas</t>
        </is>
      </c>
      <c r="K2512" s="1786" t="inlineStr">
        <is>
          <t>m2</t>
        </is>
      </c>
      <c r="L2512" s="1787" t="e">
        <v>#REF!</v>
      </c>
      <c r="M2512" s="1787" t="n">
        <v>1.758555555555555</v>
      </c>
      <c r="N2512" s="1754" t="n"/>
      <c r="O2512" s="1788" t="n"/>
      <c r="P2512" s="1721" t="inlineStr">
        <is>
          <t>Pendente</t>
        </is>
      </c>
    </row>
    <row r="2513" hidden="1" outlineLevel="3" ht="13.5" customHeight="1">
      <c r="A2513" s="2117" t="n">
        <v>0</v>
      </c>
      <c r="B2513" s="2117" t="n">
        <v>17</v>
      </c>
      <c r="C2513" s="2117" t="n">
        <v>8</v>
      </c>
      <c r="D2513" s="2118" t="n">
        <v>1</v>
      </c>
      <c r="E2513" s="2118" t="n">
        <v>2</v>
      </c>
      <c r="G2513" s="1798" t="inlineStr">
        <is>
          <t>PINTURA INTERNA</t>
        </is>
      </c>
      <c r="H2513" s="1783" t="inlineStr">
        <is>
          <t>SERVIÇO</t>
        </is>
      </c>
      <c r="I2513" s="1750" t="inlineStr">
        <is>
          <t>17.008.001.002</t>
        </is>
      </c>
      <c r="J2513" s="1785" t="inlineStr">
        <is>
          <t>Massa Corrida em Paredes Internas</t>
        </is>
      </c>
      <c r="K2513" s="1786" t="inlineStr">
        <is>
          <t>m2</t>
        </is>
      </c>
      <c r="L2513" s="1787" t="e">
        <v>#REF!</v>
      </c>
      <c r="M2513" s="1787" t="n">
        <v>4.34916</v>
      </c>
      <c r="N2513" s="1754" t="n"/>
      <c r="O2513" s="1788" t="n"/>
      <c r="P2513" s="1721" t="inlineStr">
        <is>
          <t>Pendente</t>
        </is>
      </c>
    </row>
    <row r="2514" hidden="1" outlineLevel="3" ht="13.5" customHeight="1">
      <c r="A2514" s="2117" t="n">
        <v>0</v>
      </c>
      <c r="B2514" s="2117" t="n">
        <v>17</v>
      </c>
      <c r="C2514" s="2117" t="n">
        <v>8</v>
      </c>
      <c r="D2514" s="2118" t="n">
        <v>1</v>
      </c>
      <c r="E2514" s="2118" t="n">
        <v>3</v>
      </c>
      <c r="G2514" s="1798" t="inlineStr">
        <is>
          <t>PINTURA INTERNA</t>
        </is>
      </c>
      <c r="H2514" s="1783" t="inlineStr">
        <is>
          <t>SERVIÇO</t>
        </is>
      </c>
      <c r="I2514" s="1750" t="inlineStr">
        <is>
          <t>17.008.001.003</t>
        </is>
      </c>
      <c r="J2514" s="1785" t="inlineStr">
        <is>
          <t>Pintura Com Tinta Latex Acrilica em Paredes Internas, 3 Demaos (Somente tinta)</t>
        </is>
      </c>
      <c r="K2514" s="1786" t="inlineStr">
        <is>
          <t>m2</t>
        </is>
      </c>
      <c r="L2514" s="1787" t="e">
        <v>#REF!</v>
      </c>
      <c r="M2514" s="1787" t="n">
        <v>12.1275</v>
      </c>
      <c r="N2514" s="1754" t="n"/>
      <c r="O2514" s="1788" t="n"/>
      <c r="P2514" s="1721" t="inlineStr">
        <is>
          <t>Pendente</t>
        </is>
      </c>
    </row>
    <row r="2515" hidden="1" outlineLevel="3" ht="13.5" customHeight="1">
      <c r="A2515" s="2117" t="n">
        <v>0</v>
      </c>
      <c r="B2515" s="2117" t="n">
        <v>17</v>
      </c>
      <c r="C2515" s="2117" t="n">
        <v>8</v>
      </c>
      <c r="D2515" s="2118" t="n">
        <v>1</v>
      </c>
      <c r="E2515" s="2118" t="n">
        <v>4</v>
      </c>
      <c r="G2515" s="1798" t="inlineStr">
        <is>
          <t>PINTURA INTERNA</t>
        </is>
      </c>
      <c r="H2515" s="1783" t="inlineStr">
        <is>
          <t>SERVIÇO</t>
        </is>
      </c>
      <c r="I2515" s="1750" t="inlineStr">
        <is>
          <t>17.008.001.004</t>
        </is>
      </c>
      <c r="J2515" s="1785" t="inlineStr">
        <is>
          <t>Pintura Com Tinta Latex Acrilica em Paredes Internas, 3 Demaos (Somente tinta) - Suvinil Papel Picado</t>
        </is>
      </c>
      <c r="K2515" s="1786" t="inlineStr">
        <is>
          <t>m2</t>
        </is>
      </c>
      <c r="L2515" s="1787" t="e">
        <v>#REF!</v>
      </c>
      <c r="M2515" s="1787" t="n">
        <v>20.46886875</v>
      </c>
      <c r="N2515" s="1754" t="n"/>
      <c r="O2515" s="1788" t="n"/>
      <c r="P2515" s="1721" t="inlineStr">
        <is>
          <t>Pendente</t>
        </is>
      </c>
    </row>
    <row r="2516" hidden="1" outlineLevel="3" ht="13.5" customHeight="1">
      <c r="A2516" s="2117" t="n">
        <v>0</v>
      </c>
      <c r="B2516" s="2117" t="n">
        <v>17</v>
      </c>
      <c r="C2516" s="2117" t="n">
        <v>8</v>
      </c>
      <c r="D2516" s="2118" t="n">
        <v>1</v>
      </c>
      <c r="E2516" s="2118" t="n">
        <v>5</v>
      </c>
      <c r="G2516" s="1798" t="inlineStr">
        <is>
          <t>PINTURA INTERNA</t>
        </is>
      </c>
      <c r="H2516" s="1783" t="inlineStr">
        <is>
          <t>SERVIÇO</t>
        </is>
      </c>
      <c r="I2516" s="1750" t="inlineStr">
        <is>
          <t>17.008.001.005</t>
        </is>
      </c>
      <c r="J2516" s="1751" t="inlineStr">
        <is>
          <t>Pintura em Epóxi em Parede, Aplicação Manual, 2 Demãos (com massa e selador)</t>
        </is>
      </c>
      <c r="K2516" s="1752" t="inlineStr">
        <is>
          <t>m2</t>
        </is>
      </c>
      <c r="L2516" s="1753" t="e">
        <v>#REF!</v>
      </c>
      <c r="M2516" s="1787" t="n">
        <v>76.67474622222223</v>
      </c>
      <c r="N2516" s="1754" t="n"/>
      <c r="O2516" s="1755" t="n"/>
      <c r="P2516" s="1721" t="inlineStr">
        <is>
          <t>Pendente</t>
        </is>
      </c>
    </row>
    <row r="2517" hidden="1" outlineLevel="3" ht="13.5" customHeight="1">
      <c r="A2517" s="2117" t="n">
        <v>0</v>
      </c>
      <c r="B2517" s="2117" t="n">
        <v>17</v>
      </c>
      <c r="C2517" s="2117" t="n">
        <v>8</v>
      </c>
      <c r="D2517" s="2118" t="n">
        <v>1</v>
      </c>
      <c r="E2517" s="2118" t="n">
        <v>6</v>
      </c>
      <c r="G2517" s="1798" t="inlineStr">
        <is>
          <t>PINTURA INTERNA</t>
        </is>
      </c>
      <c r="H2517" s="1783" t="inlineStr">
        <is>
          <t>SERVIÇO</t>
        </is>
      </c>
      <c r="I2517" s="1750" t="inlineStr">
        <is>
          <t>17.008.001.006</t>
        </is>
      </c>
      <c r="J2517" s="1785" t="inlineStr">
        <is>
          <t>Textura acrílica aplicação em paredes internas, 1 demão - Diore Ornamentali Bege Bahia</t>
        </is>
      </c>
      <c r="K2517" s="1786" t="inlineStr">
        <is>
          <t>m2</t>
        </is>
      </c>
      <c r="L2517" s="1787" t="e">
        <v>#REF!</v>
      </c>
      <c r="M2517" s="1787" t="n">
        <v>39.59999999999999</v>
      </c>
      <c r="N2517" s="1754" t="n"/>
      <c r="O2517" s="1788" t="n"/>
      <c r="P2517" s="1721" t="inlineStr">
        <is>
          <t>Pendente</t>
        </is>
      </c>
    </row>
    <row r="2518" hidden="1" outlineLevel="2" ht="13.5" customHeight="1">
      <c r="A2518" s="2117" t="n">
        <v>0</v>
      </c>
      <c r="B2518" s="2117" t="n">
        <v>17</v>
      </c>
      <c r="C2518" s="2117" t="n">
        <v>8</v>
      </c>
      <c r="D2518" s="2118" t="n">
        <v>2</v>
      </c>
      <c r="E2518" s="2118" t="n">
        <v>0</v>
      </c>
      <c r="G2518" s="1797" t="n"/>
      <c r="H2518" s="1777" t="inlineStr">
        <is>
          <t>SUBETAPA</t>
        </is>
      </c>
      <c r="I2518" s="1742" t="inlineStr">
        <is>
          <t>17.008.002</t>
        </is>
      </c>
      <c r="J2518" s="1779" t="inlineStr">
        <is>
          <t>Pintura em tetos</t>
        </is>
      </c>
      <c r="K2518" s="1780" t="n"/>
      <c r="L2518" s="1781" t="n"/>
      <c r="M2518" s="1781" t="n"/>
      <c r="N2518" s="1746" t="n"/>
      <c r="O2518" s="1782" t="n"/>
      <c r="P2518" s="1720" t="n"/>
    </row>
    <row r="2519" hidden="1" outlineLevel="3" ht="13.5" customHeight="1">
      <c r="A2519" s="2117" t="n">
        <v>0</v>
      </c>
      <c r="B2519" s="2117" t="n">
        <v>17</v>
      </c>
      <c r="C2519" s="2117" t="n">
        <v>8</v>
      </c>
      <c r="D2519" s="2118" t="n">
        <v>2</v>
      </c>
      <c r="E2519" s="2118" t="n">
        <v>1</v>
      </c>
      <c r="G2519" s="1798" t="inlineStr">
        <is>
          <t>PINTURA INTERNA</t>
        </is>
      </c>
      <c r="H2519" s="1783" t="inlineStr">
        <is>
          <t>SERVIÇO</t>
        </is>
      </c>
      <c r="I2519" s="1750" t="inlineStr">
        <is>
          <t>17.008.002.001</t>
        </is>
      </c>
      <c r="J2519" s="1785" t="inlineStr">
        <is>
          <t>selador em tetos</t>
        </is>
      </c>
      <c r="K2519" s="1786" t="inlineStr">
        <is>
          <t>m2</t>
        </is>
      </c>
      <c r="L2519" s="1787" t="e">
        <v>#REF!</v>
      </c>
      <c r="M2519" s="1787" t="n">
        <v>1.758555555555555</v>
      </c>
      <c r="N2519" s="1754" t="n"/>
      <c r="O2519" s="1788" t="n"/>
      <c r="P2519" s="1721" t="inlineStr">
        <is>
          <t>Pendente</t>
        </is>
      </c>
    </row>
    <row r="2520" hidden="1" outlineLevel="3" ht="13.5" customHeight="1">
      <c r="A2520" s="2117" t="n">
        <v>0</v>
      </c>
      <c r="B2520" s="2117" t="n">
        <v>17</v>
      </c>
      <c r="C2520" s="2117" t="n">
        <v>8</v>
      </c>
      <c r="D2520" s="2118" t="n">
        <v>2</v>
      </c>
      <c r="E2520" s="2118" t="n">
        <v>2</v>
      </c>
      <c r="G2520" s="1798" t="inlineStr">
        <is>
          <t>PINTURA INTERNA</t>
        </is>
      </c>
      <c r="H2520" s="1783" t="inlineStr">
        <is>
          <t>SERVIÇO</t>
        </is>
      </c>
      <c r="I2520" s="1750" t="inlineStr">
        <is>
          <t>17.008.002.002</t>
        </is>
      </c>
      <c r="J2520" s="1785" t="inlineStr">
        <is>
          <t>Massa corrida em tetos</t>
        </is>
      </c>
      <c r="K2520" s="1786" t="inlineStr">
        <is>
          <t>m2</t>
        </is>
      </c>
      <c r="L2520" s="1787" t="e">
        <v>#REF!</v>
      </c>
      <c r="M2520" s="1787" t="n">
        <v>4.34916</v>
      </c>
      <c r="N2520" s="1754" t="n"/>
      <c r="O2520" s="1788" t="n"/>
      <c r="P2520" s="1721" t="inlineStr">
        <is>
          <t>Pendente</t>
        </is>
      </c>
    </row>
    <row r="2521" hidden="1" outlineLevel="3" ht="13.5" customHeight="1">
      <c r="A2521" s="2117" t="n">
        <v>0</v>
      </c>
      <c r="B2521" s="2117" t="n">
        <v>17</v>
      </c>
      <c r="C2521" s="2117" t="n">
        <v>8</v>
      </c>
      <c r="D2521" s="2118" t="n">
        <v>2</v>
      </c>
      <c r="E2521" s="2118" t="n">
        <v>3</v>
      </c>
      <c r="G2521" s="1798" t="inlineStr">
        <is>
          <t>PINTURA INTERNA</t>
        </is>
      </c>
      <c r="H2521" s="1783" t="inlineStr">
        <is>
          <t>SERVIÇO</t>
        </is>
      </c>
      <c r="I2521" s="1750" t="inlineStr">
        <is>
          <t>17.008.002.003</t>
        </is>
      </c>
      <c r="J2521" s="1785" t="inlineStr">
        <is>
          <t>Pintura Com Tinta Latex Acrilica em tetos, 3 Demaos (Somente tinta)</t>
        </is>
      </c>
      <c r="K2521" s="1786" t="inlineStr">
        <is>
          <t>m2</t>
        </is>
      </c>
      <c r="L2521" s="1787" t="e">
        <v>#REF!</v>
      </c>
      <c r="M2521" s="1787" t="n">
        <v>12.1275</v>
      </c>
      <c r="N2521" s="1754" t="n"/>
      <c r="O2521" s="1788" t="n"/>
      <c r="P2521" s="1721" t="inlineStr">
        <is>
          <t>Pendente</t>
        </is>
      </c>
    </row>
    <row r="2522" hidden="1" outlineLevel="3" ht="13.5" customHeight="1">
      <c r="A2522" s="2117" t="n">
        <v>0</v>
      </c>
      <c r="B2522" s="2117" t="n">
        <v>17</v>
      </c>
      <c r="C2522" s="2117" t="n">
        <v>8</v>
      </c>
      <c r="D2522" s="2118" t="n">
        <v>2</v>
      </c>
      <c r="E2522" s="2118" t="n">
        <v>4</v>
      </c>
      <c r="G2522" s="1798" t="inlineStr">
        <is>
          <t>PINTURA INTERNA</t>
        </is>
      </c>
      <c r="H2522" s="1783" t="inlineStr">
        <is>
          <t>SERVIÇO</t>
        </is>
      </c>
      <c r="I2522" s="1750" t="inlineStr">
        <is>
          <t>17.008.002.004</t>
        </is>
      </c>
      <c r="J2522" s="1785" t="inlineStr">
        <is>
          <t>Pintura Com Tinta Latex Acrilica em tetos, 3 Demaos (Somente tinta) - Suvinil Papel Picado</t>
        </is>
      </c>
      <c r="K2522" s="1786" t="inlineStr">
        <is>
          <t>m2</t>
        </is>
      </c>
      <c r="L2522" s="1787" t="e">
        <v>#REF!</v>
      </c>
      <c r="M2522" s="1787" t="n">
        <v>20.46886875</v>
      </c>
      <c r="N2522" s="1754" t="n"/>
      <c r="O2522" s="1788" t="n"/>
      <c r="P2522" s="1721" t="inlineStr">
        <is>
          <t>Pendente</t>
        </is>
      </c>
    </row>
    <row r="2523" hidden="1" outlineLevel="3" ht="13.5" customHeight="1">
      <c r="A2523" s="2117" t="n">
        <v>0</v>
      </c>
      <c r="B2523" s="2117" t="n">
        <v>17</v>
      </c>
      <c r="C2523" s="2117" t="n">
        <v>8</v>
      </c>
      <c r="D2523" s="2118" t="n">
        <v>2</v>
      </c>
      <c r="E2523" s="2118" t="n">
        <v>5</v>
      </c>
      <c r="G2523" s="1798" t="inlineStr">
        <is>
          <t>PINTURA INTERNA</t>
        </is>
      </c>
      <c r="H2523" s="1783" t="inlineStr">
        <is>
          <t>SERVIÇO</t>
        </is>
      </c>
      <c r="I2523" s="1750" t="inlineStr">
        <is>
          <t>17.008.002.005</t>
        </is>
      </c>
      <c r="J2523" s="1785" t="inlineStr">
        <is>
          <t>Pintura em Epóxi em tetos, Aplicação Manual, 2 Demãos</t>
        </is>
      </c>
      <c r="K2523" s="1786" t="inlineStr">
        <is>
          <t>m2</t>
        </is>
      </c>
      <c r="L2523" s="1787" t="e">
        <v>#REF!</v>
      </c>
      <c r="M2523" s="1787" t="n">
        <v>70.56703066666667</v>
      </c>
      <c r="N2523" s="1754" t="n"/>
      <c r="O2523" s="1788" t="n"/>
      <c r="P2523" s="1721" t="inlineStr">
        <is>
          <t>Pendente</t>
        </is>
      </c>
    </row>
    <row r="2524" hidden="1" outlineLevel="3" ht="13.5" customHeight="1">
      <c r="A2524" s="2117" t="n">
        <v>0</v>
      </c>
      <c r="B2524" s="2117" t="n">
        <v>17</v>
      </c>
      <c r="C2524" s="2117" t="n">
        <v>8</v>
      </c>
      <c r="D2524" s="2118" t="n">
        <v>2</v>
      </c>
      <c r="E2524" s="2118" t="n">
        <v>6</v>
      </c>
      <c r="G2524" s="1798" t="inlineStr">
        <is>
          <t>PINTURA INTERNA</t>
        </is>
      </c>
      <c r="H2524" s="1783" t="inlineStr">
        <is>
          <t>SERVIÇO</t>
        </is>
      </c>
      <c r="I2524" s="1750" t="inlineStr">
        <is>
          <t>17.008.002.006</t>
        </is>
      </c>
      <c r="J2524" s="1785" t="inlineStr">
        <is>
          <t>Textura Acrílica aplicação em tetos, 1 demão</t>
        </is>
      </c>
      <c r="K2524" s="1786" t="inlineStr">
        <is>
          <t>m2</t>
        </is>
      </c>
      <c r="L2524" s="1787" t="e">
        <v>#REF!</v>
      </c>
      <c r="M2524" s="1787" t="n">
        <v>13.63636363636364</v>
      </c>
      <c r="N2524" s="1754" t="n"/>
      <c r="O2524" s="1788" t="n"/>
      <c r="P2524" s="1721" t="inlineStr">
        <is>
          <t>Pendente</t>
        </is>
      </c>
    </row>
    <row r="2525" hidden="1" outlineLevel="2" ht="13.5" customHeight="1">
      <c r="A2525" s="2117" t="n">
        <v>0</v>
      </c>
      <c r="B2525" s="2117" t="n">
        <v>17</v>
      </c>
      <c r="C2525" s="2117" t="n">
        <v>8</v>
      </c>
      <c r="D2525" s="2118" t="n">
        <v>3</v>
      </c>
      <c r="E2525" s="2118" t="n">
        <v>0</v>
      </c>
      <c r="G2525" s="1797" t="n"/>
      <c r="H2525" s="1777" t="inlineStr">
        <is>
          <t>SUBETAPA</t>
        </is>
      </c>
      <c r="I2525" s="1742" t="inlineStr">
        <is>
          <t>17.008.003</t>
        </is>
      </c>
      <c r="J2525" s="1779" t="inlineStr">
        <is>
          <t>Mão de obra</t>
        </is>
      </c>
      <c r="K2525" s="1780" t="n"/>
      <c r="L2525" s="1781" t="n"/>
      <c r="M2525" s="1781" t="n"/>
      <c r="N2525" s="1746" t="n"/>
      <c r="O2525" s="1782" t="n"/>
      <c r="P2525" s="1720" t="n"/>
    </row>
    <row r="2526" hidden="1" outlineLevel="3" ht="12" customHeight="1">
      <c r="A2526" s="2117" t="n">
        <v>0</v>
      </c>
      <c r="B2526" s="2117" t="n">
        <v>17</v>
      </c>
      <c r="C2526" s="2117" t="n">
        <v>8</v>
      </c>
      <c r="D2526" s="2118" t="n">
        <v>3</v>
      </c>
      <c r="E2526" s="2118" t="n">
        <v>1</v>
      </c>
      <c r="G2526" s="1798" t="inlineStr">
        <is>
          <t>PINTURA INTERNA</t>
        </is>
      </c>
      <c r="H2526" s="1783" t="inlineStr">
        <is>
          <t>SERVIÇO</t>
        </is>
      </c>
      <c r="I2526" s="1750" t="inlineStr">
        <is>
          <t>17.008.003.001</t>
        </is>
      </c>
      <c r="J2526" s="1785" t="inlineStr">
        <is>
          <t>Mão de obra para pintura epóxi em paredes internas, 2 demãos</t>
        </is>
      </c>
      <c r="K2526" s="1786" t="inlineStr">
        <is>
          <t>m2</t>
        </is>
      </c>
      <c r="L2526" s="1787" t="e">
        <v>#REF!</v>
      </c>
      <c r="M2526" s="1787" t="n">
        <v>42</v>
      </c>
      <c r="N2526" s="1754" t="n"/>
      <c r="O2526" s="1788" t="n"/>
      <c r="P2526" s="1721" t="inlineStr">
        <is>
          <t>Pendente</t>
        </is>
      </c>
    </row>
    <row r="2527" hidden="1" outlineLevel="3" ht="13.5" customHeight="1">
      <c r="A2527" s="2117" t="n">
        <v>0</v>
      </c>
      <c r="B2527" s="2117" t="n">
        <v>17</v>
      </c>
      <c r="C2527" s="2117" t="n">
        <v>8</v>
      </c>
      <c r="D2527" s="2118" t="n">
        <v>3</v>
      </c>
      <c r="E2527" s="2118" t="n">
        <v>2</v>
      </c>
      <c r="G2527" s="1798" t="inlineStr">
        <is>
          <t>PINTURA INTERNA</t>
        </is>
      </c>
      <c r="H2527" s="1783" t="inlineStr">
        <is>
          <t>SERVIÇO</t>
        </is>
      </c>
      <c r="I2527" s="1750" t="inlineStr">
        <is>
          <t>17.008.003.002</t>
        </is>
      </c>
      <c r="J2527" s="1785" t="inlineStr">
        <is>
          <t>Mão de obra para pintura em paredes internas, 3 demãos</t>
        </is>
      </c>
      <c r="K2527" s="1786" t="inlineStr">
        <is>
          <t>m2</t>
        </is>
      </c>
      <c r="L2527" s="1787" t="e">
        <v>#REF!</v>
      </c>
      <c r="M2527" s="1787" t="n">
        <v>40</v>
      </c>
      <c r="N2527" s="1754" t="n"/>
      <c r="O2527" s="1788" t="n"/>
      <c r="P2527" s="1721" t="inlineStr">
        <is>
          <t>Pendente</t>
        </is>
      </c>
    </row>
    <row r="2528" hidden="1" outlineLevel="3" ht="13.5" customHeight="1">
      <c r="A2528" s="2117" t="n">
        <v>0</v>
      </c>
      <c r="B2528" s="2117" t="n">
        <v>17</v>
      </c>
      <c r="C2528" s="2117" t="n">
        <v>8</v>
      </c>
      <c r="D2528" s="2118" t="n">
        <v>3</v>
      </c>
      <c r="E2528" s="2118" t="n">
        <v>3</v>
      </c>
      <c r="G2528" s="1798" t="inlineStr">
        <is>
          <t>PINTURA INTERNA</t>
        </is>
      </c>
      <c r="H2528" s="1783" t="inlineStr">
        <is>
          <t>SERVIÇO</t>
        </is>
      </c>
      <c r="I2528" s="1750" t="inlineStr">
        <is>
          <t>17.008.003.003</t>
        </is>
      </c>
      <c r="J2528" s="1785" t="inlineStr">
        <is>
          <t>Mão de obra para Textura em paredes internas, 1 demãos</t>
        </is>
      </c>
      <c r="K2528" s="1786" t="inlineStr">
        <is>
          <t>m2</t>
        </is>
      </c>
      <c r="L2528" s="1787" t="e">
        <v>#REF!</v>
      </c>
      <c r="M2528" s="1787" t="n">
        <v>40</v>
      </c>
      <c r="N2528" s="1754" t="n"/>
      <c r="O2528" s="1788" t="n"/>
      <c r="P2528" s="1721" t="inlineStr">
        <is>
          <t>Pendente</t>
        </is>
      </c>
    </row>
    <row r="2529" hidden="1" outlineLevel="3" ht="13.5" customHeight="1">
      <c r="A2529" s="2117" t="n">
        <v>0</v>
      </c>
      <c r="B2529" s="2117" t="n">
        <v>17</v>
      </c>
      <c r="C2529" s="2117" t="n">
        <v>8</v>
      </c>
      <c r="D2529" s="2118" t="n">
        <v>3</v>
      </c>
      <c r="E2529" s="2118" t="n">
        <v>4</v>
      </c>
      <c r="G2529" s="1798" t="inlineStr">
        <is>
          <t>PINTURA INTERNA</t>
        </is>
      </c>
      <c r="H2529" s="1783" t="inlineStr">
        <is>
          <t>SERVIÇO</t>
        </is>
      </c>
      <c r="I2529" s="1750" t="inlineStr">
        <is>
          <t>17.008.003.004</t>
        </is>
      </c>
      <c r="J2529" s="1785" t="inlineStr">
        <is>
          <t>Mão de obra para pintura em teto, 3 demãos</t>
        </is>
      </c>
      <c r="K2529" s="1786" t="inlineStr">
        <is>
          <t>m2</t>
        </is>
      </c>
      <c r="L2529" s="1787" t="e">
        <v>#REF!</v>
      </c>
      <c r="M2529" s="1787" t="n">
        <v>40</v>
      </c>
      <c r="N2529" s="1754" t="n"/>
      <c r="O2529" s="1788" t="n"/>
      <c r="P2529" s="1721" t="inlineStr">
        <is>
          <t>Pendente</t>
        </is>
      </c>
    </row>
    <row r="2530" hidden="1" outlineLevel="3" ht="13.5" customHeight="1">
      <c r="A2530" s="2117" t="n">
        <v>0</v>
      </c>
      <c r="B2530" s="2117" t="n">
        <v>17</v>
      </c>
      <c r="C2530" s="2117" t="n">
        <v>8</v>
      </c>
      <c r="D2530" s="2118" t="n">
        <v>3</v>
      </c>
      <c r="E2530" s="2118" t="n">
        <v>5</v>
      </c>
      <c r="G2530" s="1798" t="inlineStr">
        <is>
          <t>PINTURA INTERNA</t>
        </is>
      </c>
      <c r="H2530" s="1783" t="inlineStr">
        <is>
          <t>SERVIÇO</t>
        </is>
      </c>
      <c r="I2530" s="1750" t="inlineStr">
        <is>
          <t>17.008.003.005</t>
        </is>
      </c>
      <c r="J2530" s="1785" t="inlineStr">
        <is>
          <t>Mão de obra para textura em teto, 1 demão</t>
        </is>
      </c>
      <c r="K2530" s="1786" t="inlineStr">
        <is>
          <t>m2</t>
        </is>
      </c>
      <c r="L2530" s="1787" t="e">
        <v>#REF!</v>
      </c>
      <c r="M2530" s="1787" t="n">
        <v>40</v>
      </c>
      <c r="N2530" s="1754" t="n"/>
      <c r="O2530" s="1788" t="n"/>
      <c r="P2530" s="1721" t="inlineStr">
        <is>
          <t>Pendente</t>
        </is>
      </c>
    </row>
    <row r="2531" hidden="1" outlineLevel="3" ht="13.5" customHeight="1">
      <c r="A2531" s="2117" t="n">
        <v>0</v>
      </c>
      <c r="B2531" s="2117" t="n">
        <v>17</v>
      </c>
      <c r="C2531" s="2117" t="n">
        <v>8</v>
      </c>
      <c r="D2531" s="2118" t="n">
        <v>3</v>
      </c>
      <c r="E2531" s="2118" t="n">
        <v>6</v>
      </c>
      <c r="G2531" s="1798" t="inlineStr">
        <is>
          <t>PINTURA INTERNA</t>
        </is>
      </c>
      <c r="H2531" s="1783" t="inlineStr">
        <is>
          <t>SERVIÇO</t>
        </is>
      </c>
      <c r="I2531" s="1750" t="inlineStr">
        <is>
          <t>17.008.003.006</t>
        </is>
      </c>
      <c r="J2531" s="1785" t="inlineStr">
        <is>
          <t>Mão de obra para pintura epoxi em teto</t>
        </is>
      </c>
      <c r="K2531" s="1786" t="inlineStr">
        <is>
          <t>m2</t>
        </is>
      </c>
      <c r="L2531" s="1787" t="e">
        <v>#REF!</v>
      </c>
      <c r="M2531" s="1787" t="n">
        <v>40</v>
      </c>
      <c r="N2531" s="1754" t="n"/>
      <c r="O2531" s="1788" t="n"/>
      <c r="P2531" s="1721" t="inlineStr">
        <is>
          <t>Pendente</t>
        </is>
      </c>
    </row>
    <row r="2532" hidden="1" outlineLevel="1" ht="13.5" customHeight="1">
      <c r="A2532" s="2117" t="n">
        <v>0</v>
      </c>
      <c r="B2532" s="2117" t="n">
        <v>17</v>
      </c>
      <c r="C2532" s="2117" t="n">
        <v>9</v>
      </c>
      <c r="D2532" s="2118" t="n">
        <v>0</v>
      </c>
      <c r="E2532" s="2118" t="n">
        <v>6</v>
      </c>
      <c r="G2532" s="1796" t="n"/>
      <c r="H2532" s="1771" t="inlineStr">
        <is>
          <t>ETAPA</t>
        </is>
      </c>
      <c r="I2532" s="1735" t="inlineStr">
        <is>
          <t>17.009</t>
        </is>
      </c>
      <c r="J2532" s="1773" t="inlineStr">
        <is>
          <t>PINTURA - Tipo diferenciado</t>
        </is>
      </c>
      <c r="K2532" s="1774" t="n"/>
      <c r="L2532" s="1775" t="n"/>
      <c r="M2532" s="1775" t="n"/>
      <c r="N2532" s="1739" t="n"/>
      <c r="O2532" s="1776" t="n"/>
      <c r="P2532" s="1719" t="n"/>
    </row>
    <row r="2533" hidden="1" outlineLevel="2" ht="13.5" customHeight="1">
      <c r="A2533" s="2117" t="n">
        <v>0</v>
      </c>
      <c r="B2533" s="2117" t="n">
        <v>17</v>
      </c>
      <c r="C2533" s="2117" t="n">
        <v>9</v>
      </c>
      <c r="D2533" s="2118" t="n">
        <v>1</v>
      </c>
      <c r="E2533" s="2118" t="n">
        <v>0</v>
      </c>
      <c r="G2533" s="1797" t="n"/>
      <c r="H2533" s="1777" t="inlineStr">
        <is>
          <t>SUBETAPA</t>
        </is>
      </c>
      <c r="I2533" s="1742" t="inlineStr">
        <is>
          <t>17.009.001</t>
        </is>
      </c>
      <c r="J2533" s="1779" t="inlineStr">
        <is>
          <t>Sistema de pintura em parede Interna</t>
        </is>
      </c>
      <c r="K2533" s="1780" t="n"/>
      <c r="L2533" s="1781" t="n"/>
      <c r="M2533" s="1781" t="n"/>
      <c r="N2533" s="1746" t="n"/>
      <c r="O2533" s="1782" t="n"/>
      <c r="P2533" s="1720" t="n"/>
    </row>
    <row r="2534" hidden="1" outlineLevel="3" ht="13.5" customHeight="1">
      <c r="A2534" s="2117" t="n">
        <v>0</v>
      </c>
      <c r="B2534" s="2117" t="n">
        <v>17</v>
      </c>
      <c r="C2534" s="2117" t="n">
        <v>9</v>
      </c>
      <c r="D2534" s="2118" t="n">
        <v>1</v>
      </c>
      <c r="E2534" s="2118" t="n">
        <v>1</v>
      </c>
      <c r="G2534" s="1798" t="inlineStr">
        <is>
          <t>PINTURA INTERNA</t>
        </is>
      </c>
      <c r="H2534" s="1783" t="inlineStr">
        <is>
          <t>SERVIÇO</t>
        </is>
      </c>
      <c r="I2534" s="1750" t="inlineStr">
        <is>
          <t>17.009.001.001</t>
        </is>
      </c>
      <c r="J2534" s="1785" t="inlineStr">
        <is>
          <t>selador em Paredes Internas</t>
        </is>
      </c>
      <c r="K2534" s="1786" t="inlineStr">
        <is>
          <t>m2</t>
        </is>
      </c>
      <c r="L2534" s="1787" t="e">
        <v>#REF!</v>
      </c>
      <c r="M2534" s="1787" t="n">
        <v>1.758555555555555</v>
      </c>
      <c r="N2534" s="1754" t="n"/>
      <c r="O2534" s="1788" t="n"/>
      <c r="P2534" s="1721" t="inlineStr">
        <is>
          <t>Pendente</t>
        </is>
      </c>
    </row>
    <row r="2535" hidden="1" outlineLevel="3" ht="13.5" customHeight="1">
      <c r="A2535" s="2117" t="n">
        <v>0</v>
      </c>
      <c r="B2535" s="2117" t="n">
        <v>17</v>
      </c>
      <c r="C2535" s="2117" t="n">
        <v>9</v>
      </c>
      <c r="D2535" s="2118" t="n">
        <v>1</v>
      </c>
      <c r="E2535" s="2118" t="n">
        <v>2</v>
      </c>
      <c r="G2535" s="1798" t="inlineStr">
        <is>
          <t>PINTURA INTERNA</t>
        </is>
      </c>
      <c r="H2535" s="1783" t="inlineStr">
        <is>
          <t>SERVIÇO</t>
        </is>
      </c>
      <c r="I2535" s="1750" t="inlineStr">
        <is>
          <t>17.009.001.002</t>
        </is>
      </c>
      <c r="J2535" s="1785" t="inlineStr">
        <is>
          <t>Massa Corrida em Paredes Internas</t>
        </is>
      </c>
      <c r="K2535" s="1786" t="inlineStr">
        <is>
          <t>m2</t>
        </is>
      </c>
      <c r="L2535" s="1787" t="e">
        <v>#REF!</v>
      </c>
      <c r="M2535" s="1787" t="n">
        <v>4.34916</v>
      </c>
      <c r="N2535" s="1754" t="n"/>
      <c r="O2535" s="1788" t="n"/>
      <c r="P2535" s="1721" t="inlineStr">
        <is>
          <t>Pendente</t>
        </is>
      </c>
    </row>
    <row r="2536" hidden="1" outlineLevel="3" ht="13.5" customHeight="1">
      <c r="A2536" s="2117" t="n">
        <v>0</v>
      </c>
      <c r="B2536" s="2117" t="n">
        <v>17</v>
      </c>
      <c r="C2536" s="2117" t="n">
        <v>9</v>
      </c>
      <c r="D2536" s="2118" t="n">
        <v>1</v>
      </c>
      <c r="E2536" s="2118" t="n">
        <v>3</v>
      </c>
      <c r="G2536" s="1798" t="inlineStr">
        <is>
          <t>PINTURA INTERNA</t>
        </is>
      </c>
      <c r="H2536" s="1783" t="inlineStr">
        <is>
          <t>SERVIÇO</t>
        </is>
      </c>
      <c r="I2536" s="1750" t="inlineStr">
        <is>
          <t>17.009.001.003</t>
        </is>
      </c>
      <c r="J2536" s="1785" t="inlineStr">
        <is>
          <t>Pintura Com Tinta Latex Acrilica em Paredes Internas, 3 Demaos (Somente tinta)</t>
        </is>
      </c>
      <c r="K2536" s="1786" t="inlineStr">
        <is>
          <t>m2</t>
        </is>
      </c>
      <c r="L2536" s="1787" t="e">
        <v>#REF!</v>
      </c>
      <c r="M2536" s="1787" t="n">
        <v>12.1275</v>
      </c>
      <c r="N2536" s="1754" t="n"/>
      <c r="O2536" s="1788" t="n"/>
      <c r="P2536" s="1721" t="inlineStr">
        <is>
          <t>Pendente</t>
        </is>
      </c>
    </row>
    <row r="2537" hidden="1" outlineLevel="3" ht="13.5" customHeight="1">
      <c r="A2537" s="2117" t="n">
        <v>0</v>
      </c>
      <c r="B2537" s="2117" t="n">
        <v>17</v>
      </c>
      <c r="C2537" s="2117" t="n">
        <v>9</v>
      </c>
      <c r="D2537" s="2118" t="n">
        <v>1</v>
      </c>
      <c r="E2537" s="2118" t="n">
        <v>4</v>
      </c>
      <c r="G2537" s="1798" t="inlineStr">
        <is>
          <t>PINTURA INTERNA</t>
        </is>
      </c>
      <c r="H2537" s="1783" t="inlineStr">
        <is>
          <t>SERVIÇO</t>
        </is>
      </c>
      <c r="I2537" s="1750" t="inlineStr">
        <is>
          <t>17.009.001.004</t>
        </is>
      </c>
      <c r="J2537" s="1751" t="inlineStr">
        <is>
          <t>Pintura em Epóxi em Parede, Aplicação Manual, 2 Demãos (com massa e selador)</t>
        </is>
      </c>
      <c r="K2537" s="1752" t="inlineStr">
        <is>
          <t>m2</t>
        </is>
      </c>
      <c r="L2537" s="1753" t="e">
        <v>#REF!</v>
      </c>
      <c r="M2537" s="1787" t="n">
        <v>76.67474622222223</v>
      </c>
      <c r="N2537" s="1754" t="n"/>
      <c r="O2537" s="1755" t="n"/>
      <c r="P2537" s="1721" t="inlineStr">
        <is>
          <t>Pendente</t>
        </is>
      </c>
    </row>
    <row r="2538" hidden="1" outlineLevel="2" ht="13.5" customHeight="1">
      <c r="A2538" s="2117" t="n">
        <v>0</v>
      </c>
      <c r="B2538" s="2117" t="n">
        <v>17</v>
      </c>
      <c r="C2538" s="2117" t="n">
        <v>9</v>
      </c>
      <c r="D2538" s="2118" t="n">
        <v>2</v>
      </c>
      <c r="E2538" s="2118" t="n">
        <v>0</v>
      </c>
      <c r="G2538" s="1797" t="n"/>
      <c r="H2538" s="1777" t="inlineStr">
        <is>
          <t>SUBETAPA</t>
        </is>
      </c>
      <c r="I2538" s="1742" t="inlineStr">
        <is>
          <t>17.009.002</t>
        </is>
      </c>
      <c r="J2538" s="1779" t="inlineStr">
        <is>
          <t>Pintura em tetos</t>
        </is>
      </c>
      <c r="K2538" s="1780" t="n"/>
      <c r="L2538" s="1781" t="n"/>
      <c r="M2538" s="1781" t="n"/>
      <c r="N2538" s="1746" t="n"/>
      <c r="O2538" s="1782" t="n"/>
      <c r="P2538" s="1720" t="n"/>
    </row>
    <row r="2539" hidden="1" outlineLevel="3" ht="13.5" customHeight="1">
      <c r="A2539" s="2117" t="n">
        <v>0</v>
      </c>
      <c r="B2539" s="2117" t="n">
        <v>17</v>
      </c>
      <c r="C2539" s="2117" t="n">
        <v>9</v>
      </c>
      <c r="D2539" s="2118" t="n">
        <v>2</v>
      </c>
      <c r="E2539" s="2118" t="n">
        <v>1</v>
      </c>
      <c r="G2539" s="1798" t="inlineStr">
        <is>
          <t>PINTURA INTERNA</t>
        </is>
      </c>
      <c r="H2539" s="1783" t="inlineStr">
        <is>
          <t>SERVIÇO</t>
        </is>
      </c>
      <c r="I2539" s="1750" t="inlineStr">
        <is>
          <t>17.009.002.001</t>
        </is>
      </c>
      <c r="J2539" s="1785" t="inlineStr">
        <is>
          <t>selador em tetos</t>
        </is>
      </c>
      <c r="K2539" s="1786" t="inlineStr">
        <is>
          <t>m2</t>
        </is>
      </c>
      <c r="L2539" s="1787" t="e">
        <v>#REF!</v>
      </c>
      <c r="M2539" s="1787" t="n">
        <v>1.758555555555555</v>
      </c>
      <c r="N2539" s="1754" t="n"/>
      <c r="O2539" s="1788" t="n"/>
      <c r="P2539" s="1721" t="inlineStr">
        <is>
          <t>Pendente</t>
        </is>
      </c>
    </row>
    <row r="2540" hidden="1" outlineLevel="3" ht="13.5" customHeight="1">
      <c r="A2540" s="2117" t="n">
        <v>0</v>
      </c>
      <c r="B2540" s="2117" t="n">
        <v>17</v>
      </c>
      <c r="C2540" s="2117" t="n">
        <v>9</v>
      </c>
      <c r="D2540" s="2118" t="n">
        <v>2</v>
      </c>
      <c r="E2540" s="2118" t="n">
        <v>2</v>
      </c>
      <c r="G2540" s="1798" t="inlineStr">
        <is>
          <t>PINTURA INTERNA</t>
        </is>
      </c>
      <c r="H2540" s="1783" t="inlineStr">
        <is>
          <t>SERVIÇO</t>
        </is>
      </c>
      <c r="I2540" s="1750" t="inlineStr">
        <is>
          <t>17.009.002.002</t>
        </is>
      </c>
      <c r="J2540" s="1785" t="inlineStr">
        <is>
          <t>Massa corrida em tetos</t>
        </is>
      </c>
      <c r="K2540" s="1786" t="inlineStr">
        <is>
          <t>m2</t>
        </is>
      </c>
      <c r="L2540" s="1787" t="e">
        <v>#REF!</v>
      </c>
      <c r="M2540" s="1787" t="n">
        <v>4.34916</v>
      </c>
      <c r="N2540" s="1754" t="n"/>
      <c r="O2540" s="1788" t="n"/>
      <c r="P2540" s="1721" t="inlineStr">
        <is>
          <t>Pendente</t>
        </is>
      </c>
    </row>
    <row r="2541" hidden="1" outlineLevel="3" ht="13.5" customHeight="1">
      <c r="A2541" s="2117" t="n">
        <v>0</v>
      </c>
      <c r="B2541" s="2117" t="n">
        <v>17</v>
      </c>
      <c r="C2541" s="2117" t="n">
        <v>9</v>
      </c>
      <c r="D2541" s="2118" t="n">
        <v>2</v>
      </c>
      <c r="E2541" s="2118" t="n">
        <v>3</v>
      </c>
      <c r="G2541" s="1798" t="inlineStr">
        <is>
          <t>PINTURA INTERNA</t>
        </is>
      </c>
      <c r="H2541" s="1783" t="inlineStr">
        <is>
          <t>SERVIÇO</t>
        </is>
      </c>
      <c r="I2541" s="1750" t="inlineStr">
        <is>
          <t>17.009.002.003</t>
        </is>
      </c>
      <c r="J2541" s="1785" t="inlineStr">
        <is>
          <t>Pintura Com Tinta Latex Acrilica em tetos, 3 Demaos (Somente tinta)</t>
        </is>
      </c>
      <c r="K2541" s="1786" t="inlineStr">
        <is>
          <t>m2</t>
        </is>
      </c>
      <c r="L2541" s="1787" t="e">
        <v>#REF!</v>
      </c>
      <c r="M2541" s="1787" t="n">
        <v>12.1275</v>
      </c>
      <c r="N2541" s="1754" t="n"/>
      <c r="O2541" s="1788" t="n"/>
      <c r="P2541" s="1721" t="inlineStr">
        <is>
          <t>Pendente</t>
        </is>
      </c>
    </row>
    <row r="2542" hidden="1" outlineLevel="3" ht="13.5" customHeight="1">
      <c r="A2542" s="2117" t="n">
        <v>0</v>
      </c>
      <c r="B2542" s="2117" t="n">
        <v>17</v>
      </c>
      <c r="C2542" s="2117" t="n">
        <v>9</v>
      </c>
      <c r="D2542" s="2118" t="n">
        <v>2</v>
      </c>
      <c r="E2542" s="2118" t="n">
        <v>4</v>
      </c>
      <c r="G2542" s="1798" t="inlineStr">
        <is>
          <t>PINTURA INTERNA</t>
        </is>
      </c>
      <c r="H2542" s="1783" t="inlineStr">
        <is>
          <t>SERVIÇO</t>
        </is>
      </c>
      <c r="I2542" s="1750" t="inlineStr">
        <is>
          <t>17.009.002.004</t>
        </is>
      </c>
      <c r="J2542" s="1785" t="inlineStr">
        <is>
          <t>Pintura em Epóxi em tetos, Aplicação Manual, 2 Demãos</t>
        </is>
      </c>
      <c r="K2542" s="1786" t="inlineStr">
        <is>
          <t>m2</t>
        </is>
      </c>
      <c r="L2542" s="1787" t="e">
        <v>#REF!</v>
      </c>
      <c r="M2542" s="1787" t="n">
        <v>70.56703066666667</v>
      </c>
      <c r="N2542" s="1754" t="n"/>
      <c r="O2542" s="1788" t="n"/>
      <c r="P2542" s="1721" t="inlineStr">
        <is>
          <t>Pendente</t>
        </is>
      </c>
    </row>
    <row r="2543" hidden="1" outlineLevel="2" ht="13.5" customHeight="1">
      <c r="A2543" s="2117" t="n">
        <v>0</v>
      </c>
      <c r="B2543" s="2117" t="n">
        <v>17</v>
      </c>
      <c r="C2543" s="2117" t="n">
        <v>9</v>
      </c>
      <c r="D2543" s="2118" t="n">
        <v>3</v>
      </c>
      <c r="E2543" s="2118" t="n">
        <v>0</v>
      </c>
      <c r="G2543" s="1797" t="n"/>
      <c r="H2543" s="1777" t="inlineStr">
        <is>
          <t>SUBETAPA</t>
        </is>
      </c>
      <c r="I2543" s="1742" t="inlineStr">
        <is>
          <t>17.009.003</t>
        </is>
      </c>
      <c r="J2543" s="1779" t="inlineStr">
        <is>
          <t>Mão de obra</t>
        </is>
      </c>
      <c r="K2543" s="1780" t="n"/>
      <c r="L2543" s="1781" t="n"/>
      <c r="M2543" s="1781" t="n"/>
      <c r="N2543" s="1746" t="n"/>
      <c r="O2543" s="1782" t="n"/>
      <c r="P2543" s="1720" t="n"/>
    </row>
    <row r="2544" hidden="1" outlineLevel="3" ht="12" customHeight="1">
      <c r="A2544" s="2117" t="n">
        <v>0</v>
      </c>
      <c r="B2544" s="2117" t="n">
        <v>17</v>
      </c>
      <c r="C2544" s="2117" t="n">
        <v>9</v>
      </c>
      <c r="D2544" s="2118" t="n">
        <v>3</v>
      </c>
      <c r="E2544" s="2118" t="n">
        <v>1</v>
      </c>
      <c r="G2544" s="1798" t="inlineStr">
        <is>
          <t>PINTURA INTERNA</t>
        </is>
      </c>
      <c r="H2544" s="1783" t="inlineStr">
        <is>
          <t>SERVIÇO</t>
        </is>
      </c>
      <c r="I2544" s="1750" t="inlineStr">
        <is>
          <t>17.009.003.001</t>
        </is>
      </c>
      <c r="J2544" s="1785" t="inlineStr">
        <is>
          <t>Mão de obra para pintura epóxi em paredes internas, 2 demãos</t>
        </is>
      </c>
      <c r="K2544" s="1786" t="inlineStr">
        <is>
          <t>m2</t>
        </is>
      </c>
      <c r="L2544" s="1787" t="e">
        <v>#REF!</v>
      </c>
      <c r="M2544" s="1787" t="n">
        <v>42</v>
      </c>
      <c r="N2544" s="1754" t="n"/>
      <c r="O2544" s="1788" t="n"/>
      <c r="P2544" s="1721" t="inlineStr">
        <is>
          <t>Pendente</t>
        </is>
      </c>
    </row>
    <row r="2545" hidden="1" outlineLevel="3" ht="13.5" customHeight="1">
      <c r="A2545" s="2117" t="n">
        <v>0</v>
      </c>
      <c r="B2545" s="2117" t="n">
        <v>17</v>
      </c>
      <c r="C2545" s="2117" t="n">
        <v>9</v>
      </c>
      <c r="D2545" s="2118" t="n">
        <v>3</v>
      </c>
      <c r="E2545" s="2118" t="n">
        <v>2</v>
      </c>
      <c r="G2545" s="1798" t="inlineStr">
        <is>
          <t>PINTURA INTERNA</t>
        </is>
      </c>
      <c r="H2545" s="1783" t="inlineStr">
        <is>
          <t>SERVIÇO</t>
        </is>
      </c>
      <c r="I2545" s="1750" t="inlineStr">
        <is>
          <t>17.009.003.002</t>
        </is>
      </c>
      <c r="J2545" s="1785" t="inlineStr">
        <is>
          <t>Mão de obra para pintura em paredes internas, 3 demãos</t>
        </is>
      </c>
      <c r="K2545" s="1786" t="inlineStr">
        <is>
          <t>m2</t>
        </is>
      </c>
      <c r="L2545" s="1787" t="e">
        <v>#REF!</v>
      </c>
      <c r="M2545" s="1787" t="n">
        <v>40</v>
      </c>
      <c r="N2545" s="1754" t="n"/>
      <c r="O2545" s="1788" t="n"/>
      <c r="P2545" s="1721" t="inlineStr">
        <is>
          <t>Pendente</t>
        </is>
      </c>
    </row>
    <row r="2546" hidden="1" outlineLevel="3" ht="13.5" customHeight="1">
      <c r="A2546" s="2117" t="n">
        <v>0</v>
      </c>
      <c r="B2546" s="2117" t="n">
        <v>17</v>
      </c>
      <c r="C2546" s="2117" t="n">
        <v>9</v>
      </c>
      <c r="D2546" s="2118" t="n">
        <v>3</v>
      </c>
      <c r="E2546" s="2118" t="n">
        <v>3</v>
      </c>
      <c r="G2546" s="1798" t="inlineStr">
        <is>
          <t>PINTURA INTERNA</t>
        </is>
      </c>
      <c r="H2546" s="1783" t="inlineStr">
        <is>
          <t>SERVIÇO</t>
        </is>
      </c>
      <c r="I2546" s="1750" t="inlineStr">
        <is>
          <t>17.009.003.003</t>
        </is>
      </c>
      <c r="J2546" s="1785" t="inlineStr">
        <is>
          <t>Mão de obra para pintura em teto, 3 demãos</t>
        </is>
      </c>
      <c r="K2546" s="1786" t="inlineStr">
        <is>
          <t>m2</t>
        </is>
      </c>
      <c r="L2546" s="1787" t="e">
        <v>#REF!</v>
      </c>
      <c r="M2546" s="1787" t="n">
        <v>40</v>
      </c>
      <c r="N2546" s="1754" t="n"/>
      <c r="O2546" s="1788" t="n"/>
      <c r="P2546" s="1721" t="inlineStr">
        <is>
          <t>Pendente</t>
        </is>
      </c>
    </row>
    <row r="2547" hidden="1" outlineLevel="3" ht="13.5" customHeight="1">
      <c r="A2547" s="2117" t="n">
        <v>0</v>
      </c>
      <c r="B2547" s="2117" t="n">
        <v>17</v>
      </c>
      <c r="C2547" s="2117" t="n">
        <v>9</v>
      </c>
      <c r="D2547" s="2118" t="n">
        <v>3</v>
      </c>
      <c r="E2547" s="2118" t="n">
        <v>4</v>
      </c>
      <c r="G2547" s="1798" t="inlineStr">
        <is>
          <t>PINTURA INTERNA</t>
        </is>
      </c>
      <c r="H2547" s="1783" t="inlineStr">
        <is>
          <t>SERVIÇO</t>
        </is>
      </c>
      <c r="I2547" s="1750" t="inlineStr">
        <is>
          <t>17.009.003.004</t>
        </is>
      </c>
      <c r="J2547" s="1785" t="inlineStr">
        <is>
          <t>Mão de obra para pintura epoxi em teto</t>
        </is>
      </c>
      <c r="K2547" s="1786" t="inlineStr">
        <is>
          <t>m2</t>
        </is>
      </c>
      <c r="L2547" s="1787" t="e">
        <v>#REF!</v>
      </c>
      <c r="M2547" s="1787" t="n">
        <v>40</v>
      </c>
      <c r="N2547" s="1754" t="n"/>
      <c r="O2547" s="1788" t="n"/>
      <c r="P2547" s="1721" t="inlineStr">
        <is>
          <t>Pendente</t>
        </is>
      </c>
    </row>
    <row r="2548" hidden="1" outlineLevel="1" ht="13.5" customHeight="1">
      <c r="A2548" s="2117" t="n">
        <v>0</v>
      </c>
      <c r="B2548" s="2117" t="n">
        <v>17</v>
      </c>
      <c r="C2548" s="2117" t="n">
        <v>10</v>
      </c>
      <c r="D2548" s="2118" t="n">
        <v>0</v>
      </c>
      <c r="E2548" s="2118" t="n">
        <v>4</v>
      </c>
      <c r="G2548" s="1796" t="n"/>
      <c r="H2548" s="1771" t="inlineStr">
        <is>
          <t>ETAPA</t>
        </is>
      </c>
      <c r="I2548" s="1735" t="inlineStr">
        <is>
          <t>17.010</t>
        </is>
      </c>
      <c r="J2548" s="1773" t="inlineStr">
        <is>
          <t>PINTURA - Tipo x8</t>
        </is>
      </c>
      <c r="K2548" s="1774" t="n"/>
      <c r="L2548" s="1775" t="n"/>
      <c r="M2548" s="1775" t="n"/>
      <c r="N2548" s="1739" t="n"/>
      <c r="O2548" s="1776" t="n"/>
      <c r="P2548" s="1719" t="n"/>
    </row>
    <row r="2549" hidden="1" outlineLevel="2" ht="13.5" customHeight="1">
      <c r="A2549" s="2117" t="n">
        <v>0</v>
      </c>
      <c r="B2549" s="2117" t="n">
        <v>17</v>
      </c>
      <c r="C2549" s="2117" t="n">
        <v>10</v>
      </c>
      <c r="D2549" s="2118" t="n">
        <v>1</v>
      </c>
      <c r="E2549" s="2118" t="n">
        <v>0</v>
      </c>
      <c r="G2549" s="1797" t="n"/>
      <c r="H2549" s="1777" t="inlineStr">
        <is>
          <t>SUBETAPA</t>
        </is>
      </c>
      <c r="I2549" s="1742" t="inlineStr">
        <is>
          <t>17.010.001</t>
        </is>
      </c>
      <c r="J2549" s="1779" t="inlineStr">
        <is>
          <t>Sistema de pintura em parede Interna</t>
        </is>
      </c>
      <c r="K2549" s="1780" t="n"/>
      <c r="L2549" s="1781" t="n"/>
      <c r="M2549" s="1781" t="n"/>
      <c r="N2549" s="1746" t="n"/>
      <c r="O2549" s="1782" t="n"/>
      <c r="P2549" s="1720" t="n"/>
    </row>
    <row r="2550" hidden="1" outlineLevel="3" ht="13.5" customHeight="1">
      <c r="A2550" s="2117" t="n">
        <v>0</v>
      </c>
      <c r="B2550" s="2117" t="n">
        <v>17</v>
      </c>
      <c r="C2550" s="2117" t="n">
        <v>10</v>
      </c>
      <c r="D2550" s="2118" t="n">
        <v>1</v>
      </c>
      <c r="E2550" s="2118" t="n">
        <v>1</v>
      </c>
      <c r="G2550" s="1798" t="inlineStr">
        <is>
          <t>PINTURA INTERNA</t>
        </is>
      </c>
      <c r="H2550" s="1783" t="inlineStr">
        <is>
          <t>SERVIÇO</t>
        </is>
      </c>
      <c r="I2550" s="1750" t="inlineStr">
        <is>
          <t>17.010.001.001</t>
        </is>
      </c>
      <c r="J2550" s="1785" t="inlineStr">
        <is>
          <t>selador em Paredes Internas</t>
        </is>
      </c>
      <c r="K2550" s="1786" t="inlineStr">
        <is>
          <t>m2</t>
        </is>
      </c>
      <c r="L2550" s="1787" t="e">
        <v>#REF!</v>
      </c>
      <c r="M2550" s="1787" t="n">
        <v>1.758555555555555</v>
      </c>
      <c r="N2550" s="1754" t="n"/>
      <c r="O2550" s="1788" t="n"/>
      <c r="P2550" s="1721" t="inlineStr">
        <is>
          <t>Pendente</t>
        </is>
      </c>
    </row>
    <row r="2551" hidden="1" outlineLevel="3" ht="13.5" customHeight="1">
      <c r="A2551" s="2117" t="n">
        <v>0</v>
      </c>
      <c r="B2551" s="2117" t="n">
        <v>17</v>
      </c>
      <c r="C2551" s="2117" t="n">
        <v>10</v>
      </c>
      <c r="D2551" s="2118" t="n">
        <v>1</v>
      </c>
      <c r="E2551" s="2118" t="n">
        <v>2</v>
      </c>
      <c r="G2551" s="1798" t="inlineStr">
        <is>
          <t>PINTURA INTERNA</t>
        </is>
      </c>
      <c r="H2551" s="1783" t="inlineStr">
        <is>
          <t>SERVIÇO</t>
        </is>
      </c>
      <c r="I2551" s="1750" t="inlineStr">
        <is>
          <t>17.010.001.002</t>
        </is>
      </c>
      <c r="J2551" s="1785" t="inlineStr">
        <is>
          <t>Massa Corrida em Paredes Internas</t>
        </is>
      </c>
      <c r="K2551" s="1786" t="inlineStr">
        <is>
          <t>m2</t>
        </is>
      </c>
      <c r="L2551" s="1787" t="e">
        <v>#REF!</v>
      </c>
      <c r="M2551" s="1787" t="n">
        <v>4.34916</v>
      </c>
      <c r="N2551" s="1754" t="n"/>
      <c r="O2551" s="1788" t="n"/>
      <c r="P2551" s="1721" t="inlineStr">
        <is>
          <t>Pendente</t>
        </is>
      </c>
    </row>
    <row r="2552" hidden="1" outlineLevel="3" ht="13.5" customHeight="1">
      <c r="A2552" s="2117" t="n">
        <v>0</v>
      </c>
      <c r="B2552" s="2117" t="n">
        <v>17</v>
      </c>
      <c r="C2552" s="2117" t="n">
        <v>10</v>
      </c>
      <c r="D2552" s="2118" t="n">
        <v>1</v>
      </c>
      <c r="E2552" s="2118" t="n">
        <v>3</v>
      </c>
      <c r="G2552" s="1798" t="inlineStr">
        <is>
          <t>PINTURA INTERNA</t>
        </is>
      </c>
      <c r="H2552" s="1783" t="inlineStr">
        <is>
          <t>SERVIÇO</t>
        </is>
      </c>
      <c r="I2552" s="1750" t="inlineStr">
        <is>
          <t>17.010.001.003</t>
        </is>
      </c>
      <c r="J2552" s="1785" t="inlineStr">
        <is>
          <t>Pintura Com Tinta Latex Acrilica em Paredes Internas, 3 Demaos (Somente tinta)</t>
        </is>
      </c>
      <c r="K2552" s="1786" t="inlineStr">
        <is>
          <t>m2</t>
        </is>
      </c>
      <c r="L2552" s="1787" t="e">
        <v>#REF!</v>
      </c>
      <c r="M2552" s="1787" t="n">
        <v>12.1275</v>
      </c>
      <c r="N2552" s="1754" t="n"/>
      <c r="O2552" s="1788" t="n"/>
      <c r="P2552" s="1721" t="inlineStr">
        <is>
          <t>Pendente</t>
        </is>
      </c>
    </row>
    <row r="2553" hidden="1" outlineLevel="3" ht="13.5" customHeight="1">
      <c r="A2553" s="2117" t="n">
        <v>0</v>
      </c>
      <c r="B2553" s="2117" t="n">
        <v>17</v>
      </c>
      <c r="C2553" s="2117" t="n">
        <v>10</v>
      </c>
      <c r="D2553" s="2118" t="n">
        <v>1</v>
      </c>
      <c r="E2553" s="2118" t="n">
        <v>4</v>
      </c>
      <c r="G2553" s="1798" t="inlineStr">
        <is>
          <t>PINTURA INTERNA</t>
        </is>
      </c>
      <c r="H2553" s="1783" t="inlineStr">
        <is>
          <t>SERVIÇO</t>
        </is>
      </c>
      <c r="I2553" s="1750" t="inlineStr">
        <is>
          <t>17.010.001.004</t>
        </is>
      </c>
      <c r="J2553" s="1751" t="inlineStr">
        <is>
          <t>Pintura em Epóxi em Parede, Aplicação Manual, 2 Demãos (com massa e selador)</t>
        </is>
      </c>
      <c r="K2553" s="1752" t="inlineStr">
        <is>
          <t>m2</t>
        </is>
      </c>
      <c r="L2553" s="1753" t="e">
        <v>#REF!</v>
      </c>
      <c r="M2553" s="1787" t="n">
        <v>76.67474622222223</v>
      </c>
      <c r="N2553" s="1754" t="n"/>
      <c r="O2553" s="1755" t="n"/>
      <c r="P2553" s="1721" t="inlineStr">
        <is>
          <t>Pendente</t>
        </is>
      </c>
    </row>
    <row r="2554" hidden="1" outlineLevel="2" ht="13.5" customHeight="1">
      <c r="A2554" s="2117" t="n">
        <v>0</v>
      </c>
      <c r="B2554" s="2117" t="n">
        <v>17</v>
      </c>
      <c r="C2554" s="2117" t="n">
        <v>10</v>
      </c>
      <c r="D2554" s="2118" t="n">
        <v>2</v>
      </c>
      <c r="E2554" s="2118" t="n">
        <v>0</v>
      </c>
      <c r="G2554" s="1797" t="n"/>
      <c r="H2554" s="1777" t="inlineStr">
        <is>
          <t>SUBETAPA</t>
        </is>
      </c>
      <c r="I2554" s="1742" t="inlineStr">
        <is>
          <t>17.010.002</t>
        </is>
      </c>
      <c r="J2554" s="1779" t="inlineStr">
        <is>
          <t>Pintura em tetos</t>
        </is>
      </c>
      <c r="K2554" s="1780" t="n"/>
      <c r="L2554" s="1781" t="n"/>
      <c r="M2554" s="1781" t="n"/>
      <c r="N2554" s="1746" t="n"/>
      <c r="O2554" s="1782" t="n"/>
      <c r="P2554" s="1720" t="n"/>
    </row>
    <row r="2555" hidden="1" outlineLevel="3" ht="13.5" customHeight="1">
      <c r="A2555" s="2117" t="n">
        <v>0</v>
      </c>
      <c r="B2555" s="2117" t="n">
        <v>17</v>
      </c>
      <c r="C2555" s="2117" t="n">
        <v>10</v>
      </c>
      <c r="D2555" s="2118" t="n">
        <v>2</v>
      </c>
      <c r="E2555" s="2118" t="n">
        <v>1</v>
      </c>
      <c r="G2555" s="1798" t="inlineStr">
        <is>
          <t>PINTURA INTERNA</t>
        </is>
      </c>
      <c r="H2555" s="1783" t="inlineStr">
        <is>
          <t>SERVIÇO</t>
        </is>
      </c>
      <c r="I2555" s="1750" t="inlineStr">
        <is>
          <t>17.010.002.001</t>
        </is>
      </c>
      <c r="J2555" s="1785" t="inlineStr">
        <is>
          <t>selador em tetos</t>
        </is>
      </c>
      <c r="K2555" s="1786" t="inlineStr">
        <is>
          <t>m2</t>
        </is>
      </c>
      <c r="L2555" s="1787" t="e">
        <v>#REF!</v>
      </c>
      <c r="M2555" s="1787" t="n">
        <v>1.758555555555555</v>
      </c>
      <c r="N2555" s="1754" t="n"/>
      <c r="O2555" s="1788" t="n"/>
      <c r="P2555" s="1721" t="inlineStr">
        <is>
          <t>Pendente</t>
        </is>
      </c>
    </row>
    <row r="2556" hidden="1" outlineLevel="3" ht="13.5" customHeight="1">
      <c r="A2556" s="2117" t="n">
        <v>0</v>
      </c>
      <c r="B2556" s="2117" t="n">
        <v>17</v>
      </c>
      <c r="C2556" s="2117" t="n">
        <v>10</v>
      </c>
      <c r="D2556" s="2118" t="n">
        <v>2</v>
      </c>
      <c r="E2556" s="2118" t="n">
        <v>2</v>
      </c>
      <c r="G2556" s="1798" t="inlineStr">
        <is>
          <t>PINTURA INTERNA</t>
        </is>
      </c>
      <c r="H2556" s="1783" t="inlineStr">
        <is>
          <t>SERVIÇO</t>
        </is>
      </c>
      <c r="I2556" s="1750" t="inlineStr">
        <is>
          <t>17.010.002.002</t>
        </is>
      </c>
      <c r="J2556" s="1785" t="inlineStr">
        <is>
          <t>Massa corrida em tetos</t>
        </is>
      </c>
      <c r="K2556" s="1786" t="inlineStr">
        <is>
          <t>m2</t>
        </is>
      </c>
      <c r="L2556" s="1787" t="e">
        <v>#REF!</v>
      </c>
      <c r="M2556" s="1787" t="n">
        <v>4.34916</v>
      </c>
      <c r="N2556" s="1754" t="n"/>
      <c r="O2556" s="1788" t="n"/>
      <c r="P2556" s="1721" t="inlineStr">
        <is>
          <t>Pendente</t>
        </is>
      </c>
    </row>
    <row r="2557" hidden="1" outlineLevel="3" ht="13.5" customHeight="1">
      <c r="A2557" s="2117" t="n">
        <v>0</v>
      </c>
      <c r="B2557" s="2117" t="n">
        <v>17</v>
      </c>
      <c r="C2557" s="2117" t="n">
        <v>10</v>
      </c>
      <c r="D2557" s="2118" t="n">
        <v>2</v>
      </c>
      <c r="E2557" s="2118" t="n">
        <v>3</v>
      </c>
      <c r="G2557" s="1798" t="inlineStr">
        <is>
          <t>PINTURA INTERNA</t>
        </is>
      </c>
      <c r="H2557" s="1783" t="inlineStr">
        <is>
          <t>SERVIÇO</t>
        </is>
      </c>
      <c r="I2557" s="1750" t="inlineStr">
        <is>
          <t>17.010.002.003</t>
        </is>
      </c>
      <c r="J2557" s="1785" t="inlineStr">
        <is>
          <t>Pintura Com Tinta Latex Acrilica em tetos, 3 Demaos (Somente tinta)</t>
        </is>
      </c>
      <c r="K2557" s="1786" t="inlineStr">
        <is>
          <t>m2</t>
        </is>
      </c>
      <c r="L2557" s="1787" t="e">
        <v>#REF!</v>
      </c>
      <c r="M2557" s="1787" t="n">
        <v>12.1275</v>
      </c>
      <c r="N2557" s="1754" t="n"/>
      <c r="O2557" s="1788" t="n"/>
      <c r="P2557" s="1721" t="inlineStr">
        <is>
          <t>Pendente</t>
        </is>
      </c>
    </row>
    <row r="2558" hidden="1" outlineLevel="3" ht="13.5" customHeight="1">
      <c r="A2558" s="2117" t="n">
        <v>0</v>
      </c>
      <c r="B2558" s="2117" t="n">
        <v>17</v>
      </c>
      <c r="C2558" s="2117" t="n">
        <v>10</v>
      </c>
      <c r="D2558" s="2118" t="n">
        <v>2</v>
      </c>
      <c r="E2558" s="2118" t="n">
        <v>4</v>
      </c>
      <c r="G2558" s="1798" t="inlineStr">
        <is>
          <t>PINTURA INTERNA</t>
        </is>
      </c>
      <c r="H2558" s="1783" t="inlineStr">
        <is>
          <t>SERVIÇO</t>
        </is>
      </c>
      <c r="I2558" s="1750" t="inlineStr">
        <is>
          <t>17.010.002.004</t>
        </is>
      </c>
      <c r="J2558" s="1785" t="inlineStr">
        <is>
          <t>Pintura em Epóxi em tetos, Aplicação Manual, 2 Demãos</t>
        </is>
      </c>
      <c r="K2558" s="1786" t="inlineStr">
        <is>
          <t>m2</t>
        </is>
      </c>
      <c r="L2558" s="1787" t="e">
        <v>#REF!</v>
      </c>
      <c r="M2558" s="1787" t="n">
        <v>70.56703066666667</v>
      </c>
      <c r="N2558" s="1754" t="n"/>
      <c r="O2558" s="1788" t="n"/>
      <c r="P2558" s="1721" t="inlineStr">
        <is>
          <t>Pendente</t>
        </is>
      </c>
    </row>
    <row r="2559" hidden="1" outlineLevel="2" ht="13.5" customHeight="1">
      <c r="A2559" s="2117" t="n">
        <v>0</v>
      </c>
      <c r="B2559" s="2117" t="n">
        <v>17</v>
      </c>
      <c r="C2559" s="2117" t="n">
        <v>10</v>
      </c>
      <c r="D2559" s="2118" t="n">
        <v>3</v>
      </c>
      <c r="E2559" s="2118" t="n">
        <v>0</v>
      </c>
      <c r="G2559" s="1797" t="n"/>
      <c r="H2559" s="1777" t="inlineStr">
        <is>
          <t>SUBETAPA</t>
        </is>
      </c>
      <c r="I2559" s="1742" t="inlineStr">
        <is>
          <t>17.010.003</t>
        </is>
      </c>
      <c r="J2559" s="1779" t="inlineStr">
        <is>
          <t>Mão de obra</t>
        </is>
      </c>
      <c r="K2559" s="1780" t="n"/>
      <c r="L2559" s="1781" t="n"/>
      <c r="M2559" s="1781" t="n"/>
      <c r="N2559" s="1746" t="n"/>
      <c r="O2559" s="1782" t="n"/>
      <c r="P2559" s="1720" t="n"/>
    </row>
    <row r="2560" hidden="1" outlineLevel="3" ht="12" customHeight="1">
      <c r="A2560" s="2117" t="n">
        <v>0</v>
      </c>
      <c r="B2560" s="2117" t="n">
        <v>17</v>
      </c>
      <c r="C2560" s="2117" t="n">
        <v>10</v>
      </c>
      <c r="D2560" s="2118" t="n">
        <v>3</v>
      </c>
      <c r="E2560" s="2118" t="n">
        <v>1</v>
      </c>
      <c r="G2560" s="1798" t="inlineStr">
        <is>
          <t>PINTURA INTERNA</t>
        </is>
      </c>
      <c r="H2560" s="1783" t="inlineStr">
        <is>
          <t>SERVIÇO</t>
        </is>
      </c>
      <c r="I2560" s="1750" t="inlineStr">
        <is>
          <t>17.010.003.001</t>
        </is>
      </c>
      <c r="J2560" s="1785" t="inlineStr">
        <is>
          <t>Mão de obra para pintura epóxi em paredes internas, 2 demãos</t>
        </is>
      </c>
      <c r="K2560" s="1786" t="inlineStr">
        <is>
          <t>m2</t>
        </is>
      </c>
      <c r="L2560" s="1787" t="e">
        <v>#REF!</v>
      </c>
      <c r="M2560" s="1787" t="n">
        <v>42</v>
      </c>
      <c r="N2560" s="1754" t="n"/>
      <c r="O2560" s="1788" t="n"/>
      <c r="P2560" s="1721" t="inlineStr">
        <is>
          <t>Pendente</t>
        </is>
      </c>
    </row>
    <row r="2561" hidden="1" outlineLevel="3" ht="13.5" customHeight="1">
      <c r="A2561" s="2117" t="n">
        <v>0</v>
      </c>
      <c r="B2561" s="2117" t="n">
        <v>17</v>
      </c>
      <c r="C2561" s="2117" t="n">
        <v>10</v>
      </c>
      <c r="D2561" s="2118" t="n">
        <v>3</v>
      </c>
      <c r="E2561" s="2118" t="n">
        <v>2</v>
      </c>
      <c r="G2561" s="1798" t="inlineStr">
        <is>
          <t>PINTURA INTERNA</t>
        </is>
      </c>
      <c r="H2561" s="1783" t="inlineStr">
        <is>
          <t>SERVIÇO</t>
        </is>
      </c>
      <c r="I2561" s="1750" t="inlineStr">
        <is>
          <t>17.010.003.002</t>
        </is>
      </c>
      <c r="J2561" s="1785" t="inlineStr">
        <is>
          <t>Mão de obra para pintura em paredes internas, 3 demãos</t>
        </is>
      </c>
      <c r="K2561" s="1786" t="inlineStr">
        <is>
          <t>m2</t>
        </is>
      </c>
      <c r="L2561" s="1787" t="e">
        <v>#REF!</v>
      </c>
      <c r="M2561" s="1787" t="n">
        <v>40</v>
      </c>
      <c r="N2561" s="1754" t="n"/>
      <c r="O2561" s="1788" t="n"/>
      <c r="P2561" s="1721" t="inlineStr">
        <is>
          <t>Pendente</t>
        </is>
      </c>
    </row>
    <row r="2562" hidden="1" outlineLevel="3" ht="13.5" customHeight="1">
      <c r="A2562" s="2117" t="n">
        <v>0</v>
      </c>
      <c r="B2562" s="2117" t="n">
        <v>17</v>
      </c>
      <c r="C2562" s="2117" t="n">
        <v>10</v>
      </c>
      <c r="D2562" s="2118" t="n">
        <v>3</v>
      </c>
      <c r="E2562" s="2118" t="n">
        <v>3</v>
      </c>
      <c r="G2562" s="1798" t="inlineStr">
        <is>
          <t>PINTURA INTERNA</t>
        </is>
      </c>
      <c r="H2562" s="1783" t="inlineStr">
        <is>
          <t>SERVIÇO</t>
        </is>
      </c>
      <c r="I2562" s="1750" t="inlineStr">
        <is>
          <t>17.010.003.003</t>
        </is>
      </c>
      <c r="J2562" s="1785" t="inlineStr">
        <is>
          <t>Mão de obra para pintura em teto, 3 demãos</t>
        </is>
      </c>
      <c r="K2562" s="1786" t="inlineStr">
        <is>
          <t>m2</t>
        </is>
      </c>
      <c r="L2562" s="1787" t="e">
        <v>#REF!</v>
      </c>
      <c r="M2562" s="1787" t="n">
        <v>40</v>
      </c>
      <c r="N2562" s="1754" t="n"/>
      <c r="O2562" s="1788" t="n"/>
      <c r="P2562" s="1721" t="inlineStr">
        <is>
          <t>Pendente</t>
        </is>
      </c>
    </row>
    <row r="2563" hidden="1" outlineLevel="3" ht="13.5" customHeight="1">
      <c r="A2563" s="2117" t="n">
        <v>0</v>
      </c>
      <c r="B2563" s="2117" t="n">
        <v>17</v>
      </c>
      <c r="C2563" s="2117" t="n">
        <v>10</v>
      </c>
      <c r="D2563" s="2118" t="n">
        <v>3</v>
      </c>
      <c r="E2563" s="2118" t="n">
        <v>4</v>
      </c>
      <c r="G2563" s="1798" t="inlineStr">
        <is>
          <t>PINTURA INTERNA</t>
        </is>
      </c>
      <c r="H2563" s="1783" t="inlineStr">
        <is>
          <t>SERVIÇO</t>
        </is>
      </c>
      <c r="I2563" s="1750" t="inlineStr">
        <is>
          <t>17.010.003.004</t>
        </is>
      </c>
      <c r="J2563" s="1785" t="inlineStr">
        <is>
          <t>Mão de obra para pintura epoxi em teto</t>
        </is>
      </c>
      <c r="K2563" s="1786" t="inlineStr">
        <is>
          <t>m2</t>
        </is>
      </c>
      <c r="L2563" s="1787" t="e">
        <v>#REF!</v>
      </c>
      <c r="M2563" s="1787" t="n">
        <v>40</v>
      </c>
      <c r="N2563" s="1754" t="n"/>
      <c r="O2563" s="1788" t="n"/>
      <c r="P2563" s="1721" t="inlineStr">
        <is>
          <t>Pendente</t>
        </is>
      </c>
    </row>
    <row r="2564" hidden="1" outlineLevel="1" ht="13.5" customHeight="1">
      <c r="A2564" s="2117" t="n">
        <v>0</v>
      </c>
      <c r="B2564" s="2117" t="n">
        <v>17</v>
      </c>
      <c r="C2564" s="2117" t="n">
        <v>11</v>
      </c>
      <c r="D2564" s="2118" t="n">
        <v>0</v>
      </c>
      <c r="E2564" s="2118" t="n">
        <v>4</v>
      </c>
      <c r="G2564" s="1796" t="n"/>
      <c r="H2564" s="1771" t="inlineStr">
        <is>
          <t>ETAPA</t>
        </is>
      </c>
      <c r="I2564" s="1735" t="inlineStr">
        <is>
          <t>17.011</t>
        </is>
      </c>
      <c r="J2564" s="1773" t="inlineStr">
        <is>
          <t>PINTURA - Penthouse x22</t>
        </is>
      </c>
      <c r="K2564" s="1774" t="n"/>
      <c r="L2564" s="1775" t="n"/>
      <c r="M2564" s="1775" t="n"/>
      <c r="N2564" s="1739" t="n"/>
      <c r="O2564" s="1776" t="n"/>
      <c r="P2564" s="1719" t="n"/>
    </row>
    <row r="2565" hidden="1" outlineLevel="2" ht="13.5" customHeight="1">
      <c r="A2565" s="2117" t="n">
        <v>0</v>
      </c>
      <c r="B2565" s="2117" t="n">
        <v>17</v>
      </c>
      <c r="C2565" s="2117" t="n">
        <v>11</v>
      </c>
      <c r="D2565" s="2118" t="n">
        <v>1</v>
      </c>
      <c r="E2565" s="2118" t="n">
        <v>0</v>
      </c>
      <c r="G2565" s="1797" t="n"/>
      <c r="H2565" s="1777" t="inlineStr">
        <is>
          <t>SUBETAPA</t>
        </is>
      </c>
      <c r="I2565" s="1742" t="inlineStr">
        <is>
          <t>17.011.001</t>
        </is>
      </c>
      <c r="J2565" s="1779" t="inlineStr">
        <is>
          <t>Sistema de pintura em parede Interna</t>
        </is>
      </c>
      <c r="K2565" s="1780" t="n"/>
      <c r="L2565" s="1781" t="n"/>
      <c r="M2565" s="1781" t="n"/>
      <c r="N2565" s="1746" t="n"/>
      <c r="O2565" s="1782" t="n"/>
      <c r="P2565" s="1720" t="n"/>
    </row>
    <row r="2566" hidden="1" outlineLevel="3" ht="13.5" customHeight="1">
      <c r="A2566" s="2117" t="n">
        <v>0</v>
      </c>
      <c r="B2566" s="2117" t="n">
        <v>17</v>
      </c>
      <c r="C2566" s="2117" t="n">
        <v>11</v>
      </c>
      <c r="D2566" s="2118" t="n">
        <v>1</v>
      </c>
      <c r="E2566" s="2118" t="n">
        <v>1</v>
      </c>
      <c r="G2566" s="1798" t="inlineStr">
        <is>
          <t>PINTURA INTERNA</t>
        </is>
      </c>
      <c r="H2566" s="1783" t="inlineStr">
        <is>
          <t>SERVIÇO</t>
        </is>
      </c>
      <c r="I2566" s="1750" t="inlineStr">
        <is>
          <t>17.011.001.001</t>
        </is>
      </c>
      <c r="J2566" s="1785" t="inlineStr">
        <is>
          <t>selador em Paredes Internas</t>
        </is>
      </c>
      <c r="K2566" s="1786" t="inlineStr">
        <is>
          <t>m2</t>
        </is>
      </c>
      <c r="L2566" s="1787" t="e">
        <v>#REF!</v>
      </c>
      <c r="M2566" s="1787" t="n">
        <v>1.758555555555555</v>
      </c>
      <c r="N2566" s="1754" t="n"/>
      <c r="O2566" s="1788" t="n"/>
      <c r="P2566" s="1721" t="inlineStr">
        <is>
          <t>Pendente</t>
        </is>
      </c>
    </row>
    <row r="2567" hidden="1" outlineLevel="3" ht="13.5" customHeight="1">
      <c r="A2567" s="2117" t="n">
        <v>0</v>
      </c>
      <c r="B2567" s="2117" t="n">
        <v>17</v>
      </c>
      <c r="C2567" s="2117" t="n">
        <v>11</v>
      </c>
      <c r="D2567" s="2118" t="n">
        <v>1</v>
      </c>
      <c r="E2567" s="2118" t="n">
        <v>2</v>
      </c>
      <c r="G2567" s="1798" t="inlineStr">
        <is>
          <t>PINTURA INTERNA</t>
        </is>
      </c>
      <c r="H2567" s="1783" t="inlineStr">
        <is>
          <t>SERVIÇO</t>
        </is>
      </c>
      <c r="I2567" s="1750" t="inlineStr">
        <is>
          <t>17.011.001.002</t>
        </is>
      </c>
      <c r="J2567" s="1785" t="inlineStr">
        <is>
          <t>Massa Corrida em Paredes Internas</t>
        </is>
      </c>
      <c r="K2567" s="1786" t="inlineStr">
        <is>
          <t>m2</t>
        </is>
      </c>
      <c r="L2567" s="1787" t="e">
        <v>#REF!</v>
      </c>
      <c r="M2567" s="1787" t="n">
        <v>4.34916</v>
      </c>
      <c r="N2567" s="1754" t="n"/>
      <c r="O2567" s="1788" t="n"/>
      <c r="P2567" s="1721" t="inlineStr">
        <is>
          <t>Pendente</t>
        </is>
      </c>
    </row>
    <row r="2568" hidden="1" outlineLevel="3" ht="13.5" customHeight="1">
      <c r="A2568" s="2117" t="n">
        <v>0</v>
      </c>
      <c r="B2568" s="2117" t="n">
        <v>17</v>
      </c>
      <c r="C2568" s="2117" t="n">
        <v>11</v>
      </c>
      <c r="D2568" s="2118" t="n">
        <v>1</v>
      </c>
      <c r="E2568" s="2118" t="n">
        <v>3</v>
      </c>
      <c r="G2568" s="1798" t="inlineStr">
        <is>
          <t>PINTURA INTERNA</t>
        </is>
      </c>
      <c r="H2568" s="1783" t="inlineStr">
        <is>
          <t>SERVIÇO</t>
        </is>
      </c>
      <c r="I2568" s="1750" t="inlineStr">
        <is>
          <t>17.011.001.003</t>
        </is>
      </c>
      <c r="J2568" s="1785" t="inlineStr">
        <is>
          <t>Pintura Com Tinta Latex Acrilica em Paredes Internas, 3 Demaos (Somente tinta)</t>
        </is>
      </c>
      <c r="K2568" s="1786" t="inlineStr">
        <is>
          <t>m2</t>
        </is>
      </c>
      <c r="L2568" s="1787" t="e">
        <v>#REF!</v>
      </c>
      <c r="M2568" s="1787" t="n">
        <v>12.1275</v>
      </c>
      <c r="N2568" s="1754" t="n"/>
      <c r="O2568" s="1788" t="n"/>
      <c r="P2568" s="1721" t="inlineStr">
        <is>
          <t>Pendente</t>
        </is>
      </c>
    </row>
    <row r="2569" hidden="1" outlineLevel="3" ht="13.5" customHeight="1">
      <c r="A2569" s="2117" t="n">
        <v>0</v>
      </c>
      <c r="B2569" s="2117" t="n">
        <v>17</v>
      </c>
      <c r="C2569" s="2117" t="n">
        <v>11</v>
      </c>
      <c r="D2569" s="2118" t="n">
        <v>1</v>
      </c>
      <c r="E2569" s="2118" t="n">
        <v>4</v>
      </c>
      <c r="G2569" s="1798" t="inlineStr">
        <is>
          <t>PINTURA INTERNA</t>
        </is>
      </c>
      <c r="H2569" s="1783" t="inlineStr">
        <is>
          <t>SERVIÇO</t>
        </is>
      </c>
      <c r="I2569" s="1750" t="inlineStr">
        <is>
          <t>17.011.001.004</t>
        </is>
      </c>
      <c r="J2569" s="1751" t="inlineStr">
        <is>
          <t>Pintura em Epóxi em Parede, Aplicação Manual, 2 Demãos (com massa e selador)</t>
        </is>
      </c>
      <c r="K2569" s="1752" t="inlineStr">
        <is>
          <t>m2</t>
        </is>
      </c>
      <c r="L2569" s="1753" t="e">
        <v>#REF!</v>
      </c>
      <c r="M2569" s="1787" t="n">
        <v>76.67474622222223</v>
      </c>
      <c r="N2569" s="1754" t="n"/>
      <c r="O2569" s="1755" t="n"/>
      <c r="P2569" s="1721" t="inlineStr">
        <is>
          <t>Pendente</t>
        </is>
      </c>
    </row>
    <row r="2570" hidden="1" outlineLevel="2" ht="13.5" customHeight="1">
      <c r="A2570" s="2117" t="n">
        <v>0</v>
      </c>
      <c r="B2570" s="2117" t="n">
        <v>17</v>
      </c>
      <c r="C2570" s="2117" t="n">
        <v>11</v>
      </c>
      <c r="D2570" s="2118" t="n">
        <v>2</v>
      </c>
      <c r="E2570" s="2118" t="n">
        <v>0</v>
      </c>
      <c r="G2570" s="1797" t="n"/>
      <c r="H2570" s="1777" t="inlineStr">
        <is>
          <t>SUBETAPA</t>
        </is>
      </c>
      <c r="I2570" s="1742" t="inlineStr">
        <is>
          <t>17.011.002</t>
        </is>
      </c>
      <c r="J2570" s="1779" t="inlineStr">
        <is>
          <t>Pintura em tetos</t>
        </is>
      </c>
      <c r="K2570" s="1780" t="n"/>
      <c r="L2570" s="1781" t="n"/>
      <c r="M2570" s="1781" t="n"/>
      <c r="N2570" s="1746" t="n"/>
      <c r="O2570" s="1782" t="n"/>
      <c r="P2570" s="1720" t="n"/>
    </row>
    <row r="2571" hidden="1" outlineLevel="3" ht="13.5" customHeight="1">
      <c r="A2571" s="2117" t="n">
        <v>0</v>
      </c>
      <c r="B2571" s="2117" t="n">
        <v>17</v>
      </c>
      <c r="C2571" s="2117" t="n">
        <v>11</v>
      </c>
      <c r="D2571" s="2118" t="n">
        <v>2</v>
      </c>
      <c r="E2571" s="2118" t="n">
        <v>1</v>
      </c>
      <c r="G2571" s="1798" t="inlineStr">
        <is>
          <t>PINTURA INTERNA</t>
        </is>
      </c>
      <c r="H2571" s="1783" t="inlineStr">
        <is>
          <t>SERVIÇO</t>
        </is>
      </c>
      <c r="I2571" s="1750" t="inlineStr">
        <is>
          <t>17.011.002.001</t>
        </is>
      </c>
      <c r="J2571" s="1785" t="inlineStr">
        <is>
          <t>selador em tetos</t>
        </is>
      </c>
      <c r="K2571" s="1786" t="inlineStr">
        <is>
          <t>m2</t>
        </is>
      </c>
      <c r="L2571" s="1787" t="e">
        <v>#REF!</v>
      </c>
      <c r="M2571" s="1787" t="n">
        <v>1.758555555555555</v>
      </c>
      <c r="N2571" s="1754" t="n"/>
      <c r="O2571" s="1788" t="n"/>
      <c r="P2571" s="1721" t="inlineStr">
        <is>
          <t>Pendente</t>
        </is>
      </c>
    </row>
    <row r="2572" hidden="1" outlineLevel="3" ht="13.5" customHeight="1">
      <c r="A2572" s="2117" t="n">
        <v>0</v>
      </c>
      <c r="B2572" s="2117" t="n">
        <v>17</v>
      </c>
      <c r="C2572" s="2117" t="n">
        <v>11</v>
      </c>
      <c r="D2572" s="2118" t="n">
        <v>2</v>
      </c>
      <c r="E2572" s="2118" t="n">
        <v>2</v>
      </c>
      <c r="G2572" s="1798" t="inlineStr">
        <is>
          <t>PINTURA INTERNA</t>
        </is>
      </c>
      <c r="H2572" s="1783" t="inlineStr">
        <is>
          <t>SERVIÇO</t>
        </is>
      </c>
      <c r="I2572" s="1750" t="inlineStr">
        <is>
          <t>17.011.002.002</t>
        </is>
      </c>
      <c r="J2572" s="1785" t="inlineStr">
        <is>
          <t>Massa corrida em tetos</t>
        </is>
      </c>
      <c r="K2572" s="1786" t="inlineStr">
        <is>
          <t>m2</t>
        </is>
      </c>
      <c r="L2572" s="1787" t="e">
        <v>#REF!</v>
      </c>
      <c r="M2572" s="1787" t="n">
        <v>4.34916</v>
      </c>
      <c r="N2572" s="1754" t="n"/>
      <c r="O2572" s="1788" t="n"/>
      <c r="P2572" s="1721" t="inlineStr">
        <is>
          <t>Pendente</t>
        </is>
      </c>
    </row>
    <row r="2573" hidden="1" outlineLevel="3" ht="13.5" customHeight="1">
      <c r="A2573" s="2117" t="n">
        <v>0</v>
      </c>
      <c r="B2573" s="2117" t="n">
        <v>17</v>
      </c>
      <c r="C2573" s="2117" t="n">
        <v>11</v>
      </c>
      <c r="D2573" s="2118" t="n">
        <v>2</v>
      </c>
      <c r="E2573" s="2118" t="n">
        <v>3</v>
      </c>
      <c r="G2573" s="1798" t="inlineStr">
        <is>
          <t>PINTURA INTERNA</t>
        </is>
      </c>
      <c r="H2573" s="1783" t="inlineStr">
        <is>
          <t>SERVIÇO</t>
        </is>
      </c>
      <c r="I2573" s="1750" t="inlineStr">
        <is>
          <t>17.011.002.003</t>
        </is>
      </c>
      <c r="J2573" s="1785" t="inlineStr">
        <is>
          <t>Pintura Com Tinta Latex Acrilica em tetos, 3 Demaos (Somente tinta)</t>
        </is>
      </c>
      <c r="K2573" s="1786" t="inlineStr">
        <is>
          <t>m2</t>
        </is>
      </c>
      <c r="L2573" s="1787" t="e">
        <v>#REF!</v>
      </c>
      <c r="M2573" s="1787" t="n">
        <v>12.1275</v>
      </c>
      <c r="N2573" s="1754" t="n"/>
      <c r="O2573" s="1788" t="n"/>
      <c r="P2573" s="1721" t="inlineStr">
        <is>
          <t>Pendente</t>
        </is>
      </c>
    </row>
    <row r="2574" hidden="1" outlineLevel="3" ht="13.5" customHeight="1">
      <c r="A2574" s="2117" t="n">
        <v>0</v>
      </c>
      <c r="B2574" s="2117" t="n">
        <v>17</v>
      </c>
      <c r="C2574" s="2117" t="n">
        <v>11</v>
      </c>
      <c r="D2574" s="2118" t="n">
        <v>2</v>
      </c>
      <c r="E2574" s="2118" t="n">
        <v>4</v>
      </c>
      <c r="G2574" s="1798" t="inlineStr">
        <is>
          <t>PINTURA INTERNA</t>
        </is>
      </c>
      <c r="H2574" s="1783" t="inlineStr">
        <is>
          <t>SERVIÇO</t>
        </is>
      </c>
      <c r="I2574" s="1750" t="inlineStr">
        <is>
          <t>17.011.002.004</t>
        </is>
      </c>
      <c r="J2574" s="1785" t="inlineStr">
        <is>
          <t>Pintura em Epóxi em tetos, Aplicação Manual, 2 Demãos</t>
        </is>
      </c>
      <c r="K2574" s="1786" t="inlineStr">
        <is>
          <t>m2</t>
        </is>
      </c>
      <c r="L2574" s="1787" t="e">
        <v>#REF!</v>
      </c>
      <c r="M2574" s="1787" t="n">
        <v>70.56703066666667</v>
      </c>
      <c r="N2574" s="1754" t="n"/>
      <c r="O2574" s="1788" t="n"/>
      <c r="P2574" s="1721" t="inlineStr">
        <is>
          <t>Pendente</t>
        </is>
      </c>
    </row>
    <row r="2575" hidden="1" outlineLevel="2" ht="13.5" customHeight="1">
      <c r="A2575" s="2117" t="n">
        <v>0</v>
      </c>
      <c r="B2575" s="2117" t="n">
        <v>17</v>
      </c>
      <c r="C2575" s="2117" t="n">
        <v>11</v>
      </c>
      <c r="D2575" s="2118" t="n">
        <v>3</v>
      </c>
      <c r="E2575" s="2118" t="n">
        <v>0</v>
      </c>
      <c r="G2575" s="1797" t="n"/>
      <c r="H2575" s="1777" t="inlineStr">
        <is>
          <t>SUBETAPA</t>
        </is>
      </c>
      <c r="I2575" s="1742" t="inlineStr">
        <is>
          <t>17.011.003</t>
        </is>
      </c>
      <c r="J2575" s="1779" t="inlineStr">
        <is>
          <t>Mão de obra</t>
        </is>
      </c>
      <c r="K2575" s="1780" t="n"/>
      <c r="L2575" s="1781" t="n"/>
      <c r="M2575" s="1781" t="n"/>
      <c r="N2575" s="1746" t="n"/>
      <c r="O2575" s="1782" t="n"/>
      <c r="P2575" s="1720" t="n"/>
    </row>
    <row r="2576" hidden="1" outlineLevel="3" ht="12" customHeight="1">
      <c r="A2576" s="2117" t="n">
        <v>0</v>
      </c>
      <c r="B2576" s="2117" t="n">
        <v>17</v>
      </c>
      <c r="C2576" s="2117" t="n">
        <v>11</v>
      </c>
      <c r="D2576" s="2118" t="n">
        <v>3</v>
      </c>
      <c r="E2576" s="2118" t="n">
        <v>1</v>
      </c>
      <c r="G2576" s="1798" t="inlineStr">
        <is>
          <t>PINTURA INTERNA</t>
        </is>
      </c>
      <c r="H2576" s="1783" t="inlineStr">
        <is>
          <t>SERVIÇO</t>
        </is>
      </c>
      <c r="I2576" s="1750" t="inlineStr">
        <is>
          <t>17.011.003.001</t>
        </is>
      </c>
      <c r="J2576" s="1785" t="inlineStr">
        <is>
          <t>Mão de obra para pintura epóxi em paredes internas, 2 demãos</t>
        </is>
      </c>
      <c r="K2576" s="1786" t="inlineStr">
        <is>
          <t>m2</t>
        </is>
      </c>
      <c r="L2576" s="1787" t="e">
        <v>#REF!</v>
      </c>
      <c r="M2576" s="1787" t="n">
        <v>42</v>
      </c>
      <c r="N2576" s="1754" t="n"/>
      <c r="O2576" s="1788" t="n"/>
      <c r="P2576" s="1721" t="inlineStr">
        <is>
          <t>Pendente</t>
        </is>
      </c>
    </row>
    <row r="2577" hidden="1" outlineLevel="3" ht="13.5" customHeight="1">
      <c r="A2577" s="2117" t="n">
        <v>0</v>
      </c>
      <c r="B2577" s="2117" t="n">
        <v>17</v>
      </c>
      <c r="C2577" s="2117" t="n">
        <v>11</v>
      </c>
      <c r="D2577" s="2118" t="n">
        <v>3</v>
      </c>
      <c r="E2577" s="2118" t="n">
        <v>2</v>
      </c>
      <c r="G2577" s="1798" t="inlineStr">
        <is>
          <t>PINTURA INTERNA</t>
        </is>
      </c>
      <c r="H2577" s="1783" t="inlineStr">
        <is>
          <t>SERVIÇO</t>
        </is>
      </c>
      <c r="I2577" s="1750" t="inlineStr">
        <is>
          <t>17.011.003.002</t>
        </is>
      </c>
      <c r="J2577" s="1785" t="inlineStr">
        <is>
          <t>Mão de obra para pintura em paredes internas, 3 demãos</t>
        </is>
      </c>
      <c r="K2577" s="1786" t="inlineStr">
        <is>
          <t>m2</t>
        </is>
      </c>
      <c r="L2577" s="1787" t="e">
        <v>#REF!</v>
      </c>
      <c r="M2577" s="1787" t="n">
        <v>40</v>
      </c>
      <c r="N2577" s="1754" t="n"/>
      <c r="O2577" s="1788" t="n"/>
      <c r="P2577" s="1721" t="inlineStr">
        <is>
          <t>Pendente</t>
        </is>
      </c>
    </row>
    <row r="2578" hidden="1" outlineLevel="3" ht="13.5" customHeight="1">
      <c r="A2578" s="2117" t="n">
        <v>0</v>
      </c>
      <c r="B2578" s="2117" t="n">
        <v>17</v>
      </c>
      <c r="C2578" s="2117" t="n">
        <v>11</v>
      </c>
      <c r="D2578" s="2118" t="n">
        <v>3</v>
      </c>
      <c r="E2578" s="2118" t="n">
        <v>3</v>
      </c>
      <c r="G2578" s="1798" t="inlineStr">
        <is>
          <t>PINTURA INTERNA</t>
        </is>
      </c>
      <c r="H2578" s="1783" t="inlineStr">
        <is>
          <t>SERVIÇO</t>
        </is>
      </c>
      <c r="I2578" s="1750" t="inlineStr">
        <is>
          <t>17.011.003.003</t>
        </is>
      </c>
      <c r="J2578" s="1785" t="inlineStr">
        <is>
          <t>Mão de obra para pintura em teto, 3 demãos</t>
        </is>
      </c>
      <c r="K2578" s="1786" t="inlineStr">
        <is>
          <t>m2</t>
        </is>
      </c>
      <c r="L2578" s="1787" t="e">
        <v>#REF!</v>
      </c>
      <c r="M2578" s="1787" t="n">
        <v>40</v>
      </c>
      <c r="N2578" s="1754" t="n"/>
      <c r="O2578" s="1788" t="n"/>
      <c r="P2578" s="1721" t="inlineStr">
        <is>
          <t>Pendente</t>
        </is>
      </c>
    </row>
    <row r="2579" hidden="1" outlineLevel="3" ht="13.5" customHeight="1">
      <c r="A2579" s="2117" t="n">
        <v>0</v>
      </c>
      <c r="B2579" s="2117" t="n">
        <v>17</v>
      </c>
      <c r="C2579" s="2117" t="n">
        <v>11</v>
      </c>
      <c r="D2579" s="2118" t="n">
        <v>3</v>
      </c>
      <c r="E2579" s="2118" t="n">
        <v>4</v>
      </c>
      <c r="G2579" s="1798" t="inlineStr">
        <is>
          <t>PINTURA INTERNA</t>
        </is>
      </c>
      <c r="H2579" s="1783" t="inlineStr">
        <is>
          <t>SERVIÇO</t>
        </is>
      </c>
      <c r="I2579" s="1750" t="inlineStr">
        <is>
          <t>17.011.003.004</t>
        </is>
      </c>
      <c r="J2579" s="1785" t="inlineStr">
        <is>
          <t>Mão de obra para pintura epoxi em teto</t>
        </is>
      </c>
      <c r="K2579" s="1786" t="inlineStr">
        <is>
          <t>m2</t>
        </is>
      </c>
      <c r="L2579" s="1787" t="e">
        <v>#REF!</v>
      </c>
      <c r="M2579" s="1787" t="n">
        <v>40</v>
      </c>
      <c r="N2579" s="1754" t="n"/>
      <c r="O2579" s="1788" t="n"/>
      <c r="P2579" s="1721" t="inlineStr">
        <is>
          <t>Pendente</t>
        </is>
      </c>
    </row>
    <row r="2580" hidden="1" outlineLevel="1" ht="13.5" customHeight="1">
      <c r="A2580" s="2117" t="n">
        <v>0</v>
      </c>
      <c r="B2580" s="2117" t="n">
        <v>17</v>
      </c>
      <c r="C2580" s="2117" t="n">
        <v>12</v>
      </c>
      <c r="D2580" s="2118" t="n">
        <v>0</v>
      </c>
      <c r="E2580" s="2118" t="n">
        <v>4</v>
      </c>
      <c r="G2580" s="1796" t="n"/>
      <c r="H2580" s="1771" t="inlineStr">
        <is>
          <t>ETAPA</t>
        </is>
      </c>
      <c r="I2580" s="1735" t="inlineStr">
        <is>
          <t>17.012</t>
        </is>
      </c>
      <c r="J2580" s="1773" t="inlineStr">
        <is>
          <t>PINTURA - Duplex Inferior</t>
        </is>
      </c>
      <c r="K2580" s="1774" t="n"/>
      <c r="L2580" s="1775" t="n"/>
      <c r="M2580" s="1775" t="n"/>
      <c r="N2580" s="1739" t="n"/>
      <c r="O2580" s="1776" t="n"/>
      <c r="P2580" s="1719" t="n"/>
    </row>
    <row r="2581" hidden="1" outlineLevel="2" ht="13.5" customHeight="1">
      <c r="A2581" s="2117" t="n">
        <v>0</v>
      </c>
      <c r="B2581" s="2117" t="n">
        <v>17</v>
      </c>
      <c r="C2581" s="2117" t="n">
        <v>12</v>
      </c>
      <c r="D2581" s="2118" t="n">
        <v>1</v>
      </c>
      <c r="E2581" s="2118" t="n">
        <v>0</v>
      </c>
      <c r="G2581" s="1797" t="n"/>
      <c r="H2581" s="1777" t="inlineStr">
        <is>
          <t>SUBETAPA</t>
        </is>
      </c>
      <c r="I2581" s="1742" t="inlineStr">
        <is>
          <t>17.012.001</t>
        </is>
      </c>
      <c r="J2581" s="1779" t="inlineStr">
        <is>
          <t>Sistema de pintura em parede Interna</t>
        </is>
      </c>
      <c r="K2581" s="1780" t="n"/>
      <c r="L2581" s="1781" t="n"/>
      <c r="M2581" s="1781" t="n"/>
      <c r="N2581" s="1746" t="n"/>
      <c r="O2581" s="1782" t="n"/>
      <c r="P2581" s="1720" t="n"/>
    </row>
    <row r="2582" hidden="1" outlineLevel="3" ht="13.5" customHeight="1">
      <c r="A2582" s="2117" t="n">
        <v>0</v>
      </c>
      <c r="B2582" s="2117" t="n">
        <v>17</v>
      </c>
      <c r="C2582" s="2117" t="n">
        <v>12</v>
      </c>
      <c r="D2582" s="2118" t="n">
        <v>1</v>
      </c>
      <c r="E2582" s="2118" t="n">
        <v>1</v>
      </c>
      <c r="G2582" s="1798" t="inlineStr">
        <is>
          <t>PINTURA INTERNA</t>
        </is>
      </c>
      <c r="H2582" s="1783" t="inlineStr">
        <is>
          <t>SERVIÇO</t>
        </is>
      </c>
      <c r="I2582" s="1750" t="inlineStr">
        <is>
          <t>17.012.001.001</t>
        </is>
      </c>
      <c r="J2582" s="1785" t="inlineStr">
        <is>
          <t>selador em Paredes Internas</t>
        </is>
      </c>
      <c r="K2582" s="1786" t="inlineStr">
        <is>
          <t>m2</t>
        </is>
      </c>
      <c r="L2582" s="1787" t="e">
        <v>#REF!</v>
      </c>
      <c r="M2582" s="1787" t="n">
        <v>1.758555555555555</v>
      </c>
      <c r="N2582" s="1754" t="n"/>
      <c r="O2582" s="1788" t="n"/>
      <c r="P2582" s="1721" t="inlineStr">
        <is>
          <t>Pendente</t>
        </is>
      </c>
    </row>
    <row r="2583" hidden="1" outlineLevel="3" ht="13.5" customHeight="1">
      <c r="A2583" s="2117" t="n">
        <v>0</v>
      </c>
      <c r="B2583" s="2117" t="n">
        <v>17</v>
      </c>
      <c r="C2583" s="2117" t="n">
        <v>12</v>
      </c>
      <c r="D2583" s="2118" t="n">
        <v>1</v>
      </c>
      <c r="E2583" s="2118" t="n">
        <v>2</v>
      </c>
      <c r="G2583" s="1798" t="inlineStr">
        <is>
          <t>PINTURA INTERNA</t>
        </is>
      </c>
      <c r="H2583" s="1783" t="inlineStr">
        <is>
          <t>SERVIÇO</t>
        </is>
      </c>
      <c r="I2583" s="1750" t="inlineStr">
        <is>
          <t>17.012.001.002</t>
        </is>
      </c>
      <c r="J2583" s="1785" t="inlineStr">
        <is>
          <t>Massa Corrida em Paredes Internas</t>
        </is>
      </c>
      <c r="K2583" s="1786" t="inlineStr">
        <is>
          <t>m2</t>
        </is>
      </c>
      <c r="L2583" s="1787" t="e">
        <v>#REF!</v>
      </c>
      <c r="M2583" s="1787" t="n">
        <v>4.34916</v>
      </c>
      <c r="N2583" s="1754" t="n"/>
      <c r="O2583" s="1788" t="n"/>
      <c r="P2583" s="1721" t="inlineStr">
        <is>
          <t>Pendente</t>
        </is>
      </c>
    </row>
    <row r="2584" hidden="1" outlineLevel="3" ht="13.5" customHeight="1">
      <c r="A2584" s="2117" t="n">
        <v>0</v>
      </c>
      <c r="B2584" s="2117" t="n">
        <v>17</v>
      </c>
      <c r="C2584" s="2117" t="n">
        <v>12</v>
      </c>
      <c r="D2584" s="2118" t="n">
        <v>1</v>
      </c>
      <c r="E2584" s="2118" t="n">
        <v>3</v>
      </c>
      <c r="G2584" s="1798" t="inlineStr">
        <is>
          <t>PINTURA INTERNA</t>
        </is>
      </c>
      <c r="H2584" s="1783" t="inlineStr">
        <is>
          <t>SERVIÇO</t>
        </is>
      </c>
      <c r="I2584" s="1750" t="inlineStr">
        <is>
          <t>17.012.001.003</t>
        </is>
      </c>
      <c r="J2584" s="1785" t="inlineStr">
        <is>
          <t>Pintura Com Tinta Latex Acrilica em Paredes Internas, 3 Demaos (Somente tinta)</t>
        </is>
      </c>
      <c r="K2584" s="1786" t="inlineStr">
        <is>
          <t>m2</t>
        </is>
      </c>
      <c r="L2584" s="1787" t="e">
        <v>#REF!</v>
      </c>
      <c r="M2584" s="1787" t="n">
        <v>12.1275</v>
      </c>
      <c r="N2584" s="1754" t="n"/>
      <c r="O2584" s="1788" t="n"/>
      <c r="P2584" s="1721" t="inlineStr">
        <is>
          <t>Pendente</t>
        </is>
      </c>
    </row>
    <row r="2585" hidden="1" outlineLevel="3" ht="13.5" customHeight="1">
      <c r="A2585" s="2117" t="n">
        <v>0</v>
      </c>
      <c r="B2585" s="2117" t="n">
        <v>17</v>
      </c>
      <c r="C2585" s="2117" t="n">
        <v>12</v>
      </c>
      <c r="D2585" s="2118" t="n">
        <v>1</v>
      </c>
      <c r="E2585" s="2118" t="n">
        <v>4</v>
      </c>
      <c r="G2585" s="1798" t="inlineStr">
        <is>
          <t>PINTURA INTERNA</t>
        </is>
      </c>
      <c r="H2585" s="1783" t="inlineStr">
        <is>
          <t>SERVIÇO</t>
        </is>
      </c>
      <c r="I2585" s="1750" t="inlineStr">
        <is>
          <t>17.012.001.004</t>
        </is>
      </c>
      <c r="J2585" s="1751" t="inlineStr">
        <is>
          <t>Pintura em Epóxi em Parede, Aplicação Manual, 2 Demãos (com massa e selador)</t>
        </is>
      </c>
      <c r="K2585" s="1752" t="inlineStr">
        <is>
          <t>m2</t>
        </is>
      </c>
      <c r="L2585" s="1753" t="e">
        <v>#REF!</v>
      </c>
      <c r="M2585" s="1787" t="n">
        <v>76.67474622222223</v>
      </c>
      <c r="N2585" s="1754" t="n"/>
      <c r="O2585" s="1755" t="n"/>
      <c r="P2585" s="1721" t="inlineStr">
        <is>
          <t>Pendente</t>
        </is>
      </c>
    </row>
    <row r="2586" hidden="1" outlineLevel="2" ht="13.5" customHeight="1">
      <c r="A2586" s="2117" t="n">
        <v>0</v>
      </c>
      <c r="B2586" s="2117" t="n">
        <v>17</v>
      </c>
      <c r="C2586" s="2117" t="n">
        <v>12</v>
      </c>
      <c r="D2586" s="2118" t="n">
        <v>2</v>
      </c>
      <c r="E2586" s="2118" t="n">
        <v>0</v>
      </c>
      <c r="G2586" s="1797" t="n"/>
      <c r="H2586" s="1777" t="inlineStr">
        <is>
          <t>SUBETAPA</t>
        </is>
      </c>
      <c r="I2586" s="1742" t="inlineStr">
        <is>
          <t>17.012.002</t>
        </is>
      </c>
      <c r="J2586" s="1779" t="inlineStr">
        <is>
          <t>Pintura em tetos</t>
        </is>
      </c>
      <c r="K2586" s="1780" t="n"/>
      <c r="L2586" s="1781" t="n"/>
      <c r="M2586" s="1781" t="n"/>
      <c r="N2586" s="1746" t="n"/>
      <c r="O2586" s="1782" t="n"/>
      <c r="P2586" s="1720" t="n"/>
    </row>
    <row r="2587" hidden="1" outlineLevel="3" ht="13.5" customHeight="1">
      <c r="A2587" s="2117" t="n">
        <v>0</v>
      </c>
      <c r="B2587" s="2117" t="n">
        <v>17</v>
      </c>
      <c r="C2587" s="2117" t="n">
        <v>12</v>
      </c>
      <c r="D2587" s="2118" t="n">
        <v>2</v>
      </c>
      <c r="E2587" s="2118" t="n">
        <v>1</v>
      </c>
      <c r="G2587" s="1798" t="inlineStr">
        <is>
          <t>PINTURA INTERNA</t>
        </is>
      </c>
      <c r="H2587" s="1783" t="inlineStr">
        <is>
          <t>SERVIÇO</t>
        </is>
      </c>
      <c r="I2587" s="1750" t="inlineStr">
        <is>
          <t>17.012.002.001</t>
        </is>
      </c>
      <c r="J2587" s="1785" t="inlineStr">
        <is>
          <t>selador em tetos</t>
        </is>
      </c>
      <c r="K2587" s="1786" t="inlineStr">
        <is>
          <t>m2</t>
        </is>
      </c>
      <c r="L2587" s="1787" t="e">
        <v>#REF!</v>
      </c>
      <c r="M2587" s="1787" t="n">
        <v>1.758555555555555</v>
      </c>
      <c r="N2587" s="1754" t="n"/>
      <c r="O2587" s="1788" t="n"/>
      <c r="P2587" s="1721" t="inlineStr">
        <is>
          <t>Pendente</t>
        </is>
      </c>
    </row>
    <row r="2588" hidden="1" outlineLevel="3" ht="13.5" customHeight="1">
      <c r="A2588" s="2117" t="n">
        <v>0</v>
      </c>
      <c r="B2588" s="2117" t="n">
        <v>17</v>
      </c>
      <c r="C2588" s="2117" t="n">
        <v>12</v>
      </c>
      <c r="D2588" s="2118" t="n">
        <v>2</v>
      </c>
      <c r="E2588" s="2118" t="n">
        <v>2</v>
      </c>
      <c r="G2588" s="1798" t="inlineStr">
        <is>
          <t>PINTURA INTERNA</t>
        </is>
      </c>
      <c r="H2588" s="1783" t="inlineStr">
        <is>
          <t>SERVIÇO</t>
        </is>
      </c>
      <c r="I2588" s="1750" t="inlineStr">
        <is>
          <t>17.012.002.002</t>
        </is>
      </c>
      <c r="J2588" s="1785" t="inlineStr">
        <is>
          <t>Massa corrida em tetos</t>
        </is>
      </c>
      <c r="K2588" s="1786" t="inlineStr">
        <is>
          <t>m2</t>
        </is>
      </c>
      <c r="L2588" s="1787" t="e">
        <v>#REF!</v>
      </c>
      <c r="M2588" s="1787" t="n">
        <v>4.34916</v>
      </c>
      <c r="N2588" s="1754" t="n"/>
      <c r="O2588" s="1788" t="n"/>
      <c r="P2588" s="1721" t="inlineStr">
        <is>
          <t>Pendente</t>
        </is>
      </c>
    </row>
    <row r="2589" hidden="1" outlineLevel="3" ht="18" customHeight="1">
      <c r="A2589" s="2117" t="n">
        <v>0</v>
      </c>
      <c r="B2589" s="2117" t="n">
        <v>17</v>
      </c>
      <c r="C2589" s="2117" t="n">
        <v>12</v>
      </c>
      <c r="D2589" s="2118" t="n">
        <v>2</v>
      </c>
      <c r="E2589" s="2118" t="n">
        <v>3</v>
      </c>
      <c r="G2589" s="1798" t="inlineStr">
        <is>
          <t>PINTURA INTERNA</t>
        </is>
      </c>
      <c r="H2589" s="1783" t="inlineStr">
        <is>
          <t>SERVIÇO</t>
        </is>
      </c>
      <c r="I2589" s="1750" t="inlineStr">
        <is>
          <t>17.012.002.003</t>
        </is>
      </c>
      <c r="J2589" s="1785" t="inlineStr">
        <is>
          <t>Pintura Com Tinta Latex Acrilica em tetos, 3 Demaos (Somente tinta)</t>
        </is>
      </c>
      <c r="K2589" s="1786" t="inlineStr">
        <is>
          <t>m2</t>
        </is>
      </c>
      <c r="L2589" s="1787" t="e">
        <v>#REF!</v>
      </c>
      <c r="M2589" s="1787" t="n">
        <v>12.1275</v>
      </c>
      <c r="N2589" s="1754" t="n"/>
      <c r="O2589" s="1788" t="n"/>
      <c r="P2589" s="1721" t="inlineStr">
        <is>
          <t>Pendente</t>
        </is>
      </c>
    </row>
    <row r="2590" hidden="1" outlineLevel="3" ht="13.5" customHeight="1">
      <c r="A2590" s="2117" t="n">
        <v>0</v>
      </c>
      <c r="B2590" s="2117" t="n">
        <v>17</v>
      </c>
      <c r="C2590" s="2117" t="n">
        <v>12</v>
      </c>
      <c r="D2590" s="2118" t="n">
        <v>2</v>
      </c>
      <c r="E2590" s="2118" t="n">
        <v>4</v>
      </c>
      <c r="G2590" s="1798" t="inlineStr">
        <is>
          <t>PINTURA INTERNA</t>
        </is>
      </c>
      <c r="H2590" s="1783" t="inlineStr">
        <is>
          <t>SERVIÇO</t>
        </is>
      </c>
      <c r="I2590" s="1750" t="inlineStr">
        <is>
          <t>17.012.002.004</t>
        </is>
      </c>
      <c r="J2590" s="1785" t="inlineStr">
        <is>
          <t>Pintura em Epóxi em tetos, Aplicação Manual, 2 Demãos</t>
        </is>
      </c>
      <c r="K2590" s="1786" t="inlineStr">
        <is>
          <t>m2</t>
        </is>
      </c>
      <c r="L2590" s="1787" t="e">
        <v>#REF!</v>
      </c>
      <c r="M2590" s="1787" t="n">
        <v>70.56703066666667</v>
      </c>
      <c r="N2590" s="1754" t="n"/>
      <c r="O2590" s="1788" t="n"/>
      <c r="P2590" s="1721" t="inlineStr">
        <is>
          <t>Pendente</t>
        </is>
      </c>
    </row>
    <row r="2591" hidden="1" outlineLevel="2" ht="13.5" customHeight="1">
      <c r="A2591" s="2117" t="n">
        <v>0</v>
      </c>
      <c r="B2591" s="2117" t="n">
        <v>17</v>
      </c>
      <c r="C2591" s="2117" t="n">
        <v>12</v>
      </c>
      <c r="D2591" s="2118" t="n">
        <v>3</v>
      </c>
      <c r="E2591" s="2118" t="n">
        <v>0</v>
      </c>
      <c r="G2591" s="1797" t="n"/>
      <c r="H2591" s="1777" t="inlineStr">
        <is>
          <t>SUBETAPA</t>
        </is>
      </c>
      <c r="I2591" s="1742" t="inlineStr">
        <is>
          <t>17.012.003</t>
        </is>
      </c>
      <c r="J2591" s="1779" t="inlineStr">
        <is>
          <t>Mão de obra</t>
        </is>
      </c>
      <c r="K2591" s="1780" t="n"/>
      <c r="L2591" s="1781" t="n"/>
      <c r="M2591" s="1781" t="n"/>
      <c r="N2591" s="1746" t="n"/>
      <c r="O2591" s="1782" t="n"/>
      <c r="P2591" s="1720" t="n"/>
    </row>
    <row r="2592" hidden="1" outlineLevel="3" ht="12" customHeight="1">
      <c r="A2592" s="2117" t="n">
        <v>0</v>
      </c>
      <c r="B2592" s="2117" t="n">
        <v>17</v>
      </c>
      <c r="C2592" s="2117" t="n">
        <v>12</v>
      </c>
      <c r="D2592" s="2118" t="n">
        <v>3</v>
      </c>
      <c r="E2592" s="2118" t="n">
        <v>1</v>
      </c>
      <c r="G2592" s="1798" t="inlineStr">
        <is>
          <t>PINTURA INTERNA</t>
        </is>
      </c>
      <c r="H2592" s="1783" t="inlineStr">
        <is>
          <t>SERVIÇO</t>
        </is>
      </c>
      <c r="I2592" s="1750" t="inlineStr">
        <is>
          <t>17.012.003.001</t>
        </is>
      </c>
      <c r="J2592" s="1785" t="inlineStr">
        <is>
          <t>Mão de obra para pintura epóxi em paredes internas, 2 demãos</t>
        </is>
      </c>
      <c r="K2592" s="1786" t="inlineStr">
        <is>
          <t>m2</t>
        </is>
      </c>
      <c r="L2592" s="1787" t="e">
        <v>#REF!</v>
      </c>
      <c r="M2592" s="1787" t="n">
        <v>42</v>
      </c>
      <c r="N2592" s="1754" t="n"/>
      <c r="O2592" s="1788" t="n"/>
      <c r="P2592" s="1721" t="inlineStr">
        <is>
          <t>Pendente</t>
        </is>
      </c>
    </row>
    <row r="2593" hidden="1" outlineLevel="3" ht="13.5" customHeight="1">
      <c r="A2593" s="2117" t="n">
        <v>0</v>
      </c>
      <c r="B2593" s="2117" t="n">
        <v>17</v>
      </c>
      <c r="C2593" s="2117" t="n">
        <v>12</v>
      </c>
      <c r="D2593" s="2118" t="n">
        <v>3</v>
      </c>
      <c r="E2593" s="2118" t="n">
        <v>2</v>
      </c>
      <c r="G2593" s="1798" t="inlineStr">
        <is>
          <t>PINTURA INTERNA</t>
        </is>
      </c>
      <c r="H2593" s="1783" t="inlineStr">
        <is>
          <t>SERVIÇO</t>
        </is>
      </c>
      <c r="I2593" s="1750" t="inlineStr">
        <is>
          <t>17.012.003.002</t>
        </is>
      </c>
      <c r="J2593" s="1785" t="inlineStr">
        <is>
          <t>Mão de obra para pintura em paredes internas, 3 demãos</t>
        </is>
      </c>
      <c r="K2593" s="1786" t="inlineStr">
        <is>
          <t>m2</t>
        </is>
      </c>
      <c r="L2593" s="1787" t="e">
        <v>#REF!</v>
      </c>
      <c r="M2593" s="1787" t="n">
        <v>40</v>
      </c>
      <c r="N2593" s="1754" t="n"/>
      <c r="O2593" s="1788" t="n"/>
      <c r="P2593" s="1721" t="inlineStr">
        <is>
          <t>Pendente</t>
        </is>
      </c>
    </row>
    <row r="2594" hidden="1" outlineLevel="3" ht="13.5" customHeight="1">
      <c r="A2594" s="2117" t="n">
        <v>0</v>
      </c>
      <c r="B2594" s="2117" t="n">
        <v>17</v>
      </c>
      <c r="C2594" s="2117" t="n">
        <v>12</v>
      </c>
      <c r="D2594" s="2118" t="n">
        <v>3</v>
      </c>
      <c r="E2594" s="2118" t="n">
        <v>3</v>
      </c>
      <c r="G2594" s="1798" t="inlineStr">
        <is>
          <t>PINTURA INTERNA</t>
        </is>
      </c>
      <c r="H2594" s="1783" t="inlineStr">
        <is>
          <t>SERVIÇO</t>
        </is>
      </c>
      <c r="I2594" s="1750" t="inlineStr">
        <is>
          <t>17.012.003.003</t>
        </is>
      </c>
      <c r="J2594" s="1785" t="inlineStr">
        <is>
          <t>Mão de obra para pintura em teto, 3 demãos</t>
        </is>
      </c>
      <c r="K2594" s="1786" t="inlineStr">
        <is>
          <t>m2</t>
        </is>
      </c>
      <c r="L2594" s="1787" t="e">
        <v>#REF!</v>
      </c>
      <c r="M2594" s="1787" t="n">
        <v>40</v>
      </c>
      <c r="N2594" s="1754" t="n"/>
      <c r="O2594" s="1788" t="n"/>
      <c r="P2594" s="1721" t="inlineStr">
        <is>
          <t>Pendente</t>
        </is>
      </c>
    </row>
    <row r="2595" hidden="1" outlineLevel="3" ht="13.5" customHeight="1">
      <c r="A2595" s="2117" t="n">
        <v>0</v>
      </c>
      <c r="B2595" s="2117" t="n">
        <v>17</v>
      </c>
      <c r="C2595" s="2117" t="n">
        <v>12</v>
      </c>
      <c r="D2595" s="2118" t="n">
        <v>3</v>
      </c>
      <c r="E2595" s="2118" t="n">
        <v>4</v>
      </c>
      <c r="G2595" s="1798" t="inlineStr">
        <is>
          <t>PINTURA INTERNA</t>
        </is>
      </c>
      <c r="H2595" s="1783" t="inlineStr">
        <is>
          <t>SERVIÇO</t>
        </is>
      </c>
      <c r="I2595" s="1750" t="inlineStr">
        <is>
          <t>17.012.003.004</t>
        </is>
      </c>
      <c r="J2595" s="1785" t="inlineStr">
        <is>
          <t>Mão de obra para pintura epoxi em teto</t>
        </is>
      </c>
      <c r="K2595" s="1786" t="inlineStr">
        <is>
          <t>m2</t>
        </is>
      </c>
      <c r="L2595" s="1787" t="e">
        <v>#REF!</v>
      </c>
      <c r="M2595" s="1787" t="n">
        <v>40</v>
      </c>
      <c r="N2595" s="1754" t="n"/>
      <c r="O2595" s="1788" t="n"/>
      <c r="P2595" s="1721" t="inlineStr">
        <is>
          <t>Pendente</t>
        </is>
      </c>
    </row>
    <row r="2596" hidden="1" outlineLevel="1" ht="13.5" customHeight="1">
      <c r="A2596" s="2117" t="n">
        <v>0</v>
      </c>
      <c r="B2596" s="2117" t="n">
        <v>17</v>
      </c>
      <c r="C2596" s="2117" t="n">
        <v>13</v>
      </c>
      <c r="D2596" s="2118" t="n">
        <v>0</v>
      </c>
      <c r="E2596" s="2118" t="n">
        <v>4</v>
      </c>
      <c r="G2596" s="1796" t="n"/>
      <c r="H2596" s="1771" t="inlineStr">
        <is>
          <t>ETAPA</t>
        </is>
      </c>
      <c r="I2596" s="1735" t="inlineStr">
        <is>
          <t>17.013</t>
        </is>
      </c>
      <c r="J2596" s="1773" t="inlineStr">
        <is>
          <t>PINTURA - Duplex Superior</t>
        </is>
      </c>
      <c r="K2596" s="1774" t="n"/>
      <c r="L2596" s="1775" t="n"/>
      <c r="M2596" s="1775" t="n"/>
      <c r="N2596" s="1739" t="n"/>
      <c r="O2596" s="1776" t="n"/>
      <c r="P2596" s="1719" t="n"/>
    </row>
    <row r="2597" hidden="1" outlineLevel="2" ht="13.5" customHeight="1">
      <c r="A2597" s="2117" t="n">
        <v>0</v>
      </c>
      <c r="B2597" s="2117" t="n">
        <v>17</v>
      </c>
      <c r="C2597" s="2117" t="n">
        <v>13</v>
      </c>
      <c r="D2597" s="2118" t="n">
        <v>1</v>
      </c>
      <c r="E2597" s="2118" t="n">
        <v>0</v>
      </c>
      <c r="G2597" s="1797" t="n"/>
      <c r="H2597" s="1777" t="inlineStr">
        <is>
          <t>SUBETAPA</t>
        </is>
      </c>
      <c r="I2597" s="1742" t="inlineStr">
        <is>
          <t>17.013.001</t>
        </is>
      </c>
      <c r="J2597" s="1779" t="inlineStr">
        <is>
          <t>Sistema de pintura em parede Interna</t>
        </is>
      </c>
      <c r="K2597" s="1780" t="n"/>
      <c r="L2597" s="1781" t="n"/>
      <c r="M2597" s="1781" t="n"/>
      <c r="N2597" s="1746" t="n"/>
      <c r="O2597" s="1782" t="n"/>
      <c r="P2597" s="1720" t="n"/>
    </row>
    <row r="2598" hidden="1" outlineLevel="3" ht="13.5" customHeight="1">
      <c r="A2598" s="2117" t="n">
        <v>0</v>
      </c>
      <c r="B2598" s="2117" t="n">
        <v>17</v>
      </c>
      <c r="C2598" s="2117" t="n">
        <v>13</v>
      </c>
      <c r="D2598" s="2118" t="n">
        <v>1</v>
      </c>
      <c r="E2598" s="2118" t="n">
        <v>1</v>
      </c>
      <c r="G2598" s="1798" t="inlineStr">
        <is>
          <t>PINTURA INTERNA</t>
        </is>
      </c>
      <c r="H2598" s="1783" t="inlineStr">
        <is>
          <t>SERVIÇO</t>
        </is>
      </c>
      <c r="I2598" s="1750" t="inlineStr">
        <is>
          <t>17.013.001.001</t>
        </is>
      </c>
      <c r="J2598" s="1785" t="inlineStr">
        <is>
          <t>selador em Paredes Internas</t>
        </is>
      </c>
      <c r="K2598" s="1786" t="inlineStr">
        <is>
          <t>m2</t>
        </is>
      </c>
      <c r="L2598" s="1787" t="e">
        <v>#REF!</v>
      </c>
      <c r="M2598" s="1787" t="n">
        <v>1.758555555555555</v>
      </c>
      <c r="N2598" s="1754" t="n"/>
      <c r="O2598" s="1788" t="n"/>
      <c r="P2598" s="1721" t="inlineStr">
        <is>
          <t>Pendente</t>
        </is>
      </c>
    </row>
    <row r="2599" hidden="1" outlineLevel="3" ht="13.5" customHeight="1">
      <c r="A2599" s="2117" t="n">
        <v>0</v>
      </c>
      <c r="B2599" s="2117" t="n">
        <v>17</v>
      </c>
      <c r="C2599" s="2117" t="n">
        <v>13</v>
      </c>
      <c r="D2599" s="2118" t="n">
        <v>1</v>
      </c>
      <c r="E2599" s="2118" t="n">
        <v>2</v>
      </c>
      <c r="G2599" s="1798" t="inlineStr">
        <is>
          <t>PINTURA INTERNA</t>
        </is>
      </c>
      <c r="H2599" s="1783" t="inlineStr">
        <is>
          <t>SERVIÇO</t>
        </is>
      </c>
      <c r="I2599" s="1750" t="inlineStr">
        <is>
          <t>17.013.001.002</t>
        </is>
      </c>
      <c r="J2599" s="1785" t="inlineStr">
        <is>
          <t>Massa Corrida em Paredes Internas</t>
        </is>
      </c>
      <c r="K2599" s="1786" t="inlineStr">
        <is>
          <t>m2</t>
        </is>
      </c>
      <c r="L2599" s="1787" t="e">
        <v>#REF!</v>
      </c>
      <c r="M2599" s="1787" t="n">
        <v>4.34916</v>
      </c>
      <c r="N2599" s="1754" t="n"/>
      <c r="O2599" s="1788" t="n"/>
      <c r="P2599" s="1721" t="inlineStr">
        <is>
          <t>Pendente</t>
        </is>
      </c>
    </row>
    <row r="2600" hidden="1" outlineLevel="3" ht="13.5" customHeight="1">
      <c r="A2600" s="2117" t="n">
        <v>0</v>
      </c>
      <c r="B2600" s="2117" t="n">
        <v>17</v>
      </c>
      <c r="C2600" s="2117" t="n">
        <v>13</v>
      </c>
      <c r="D2600" s="2118" t="n">
        <v>1</v>
      </c>
      <c r="E2600" s="2118" t="n">
        <v>3</v>
      </c>
      <c r="G2600" s="1798" t="inlineStr">
        <is>
          <t>PINTURA INTERNA</t>
        </is>
      </c>
      <c r="H2600" s="1783" t="inlineStr">
        <is>
          <t>SERVIÇO</t>
        </is>
      </c>
      <c r="I2600" s="1750" t="inlineStr">
        <is>
          <t>17.013.001.003</t>
        </is>
      </c>
      <c r="J2600" s="1785" t="inlineStr">
        <is>
          <t>Pintura Com Tinta Latex Acrilica em Paredes Internas, 3 Demaos (Somente tinta)</t>
        </is>
      </c>
      <c r="K2600" s="1786" t="inlineStr">
        <is>
          <t>m2</t>
        </is>
      </c>
      <c r="L2600" s="1787" t="e">
        <v>#REF!</v>
      </c>
      <c r="M2600" s="1787" t="n">
        <v>12.1275</v>
      </c>
      <c r="N2600" s="1754" t="n"/>
      <c r="O2600" s="1788" t="n"/>
      <c r="P2600" s="1721" t="inlineStr">
        <is>
          <t>Pendente</t>
        </is>
      </c>
    </row>
    <row r="2601" hidden="1" outlineLevel="3" ht="13.5" customHeight="1">
      <c r="A2601" s="2117" t="n">
        <v>0</v>
      </c>
      <c r="B2601" s="2117" t="n">
        <v>17</v>
      </c>
      <c r="C2601" s="2117" t="n">
        <v>13</v>
      </c>
      <c r="D2601" s="2118" t="n">
        <v>1</v>
      </c>
      <c r="E2601" s="2118" t="n">
        <v>4</v>
      </c>
      <c r="G2601" s="1798" t="inlineStr">
        <is>
          <t>PINTURA INTERNA</t>
        </is>
      </c>
      <c r="H2601" s="1783" t="inlineStr">
        <is>
          <t>SERVIÇO</t>
        </is>
      </c>
      <c r="I2601" s="1750" t="inlineStr">
        <is>
          <t>17.013.001.004</t>
        </is>
      </c>
      <c r="J2601" s="1751" t="inlineStr">
        <is>
          <t>Pintura em Epóxi em Parede, Aplicação Manual, 2 Demãos (com massa e selador)</t>
        </is>
      </c>
      <c r="K2601" s="1752" t="inlineStr">
        <is>
          <t>m2</t>
        </is>
      </c>
      <c r="L2601" s="1753" t="e">
        <v>#REF!</v>
      </c>
      <c r="M2601" s="1787" t="n">
        <v>76.67474622222223</v>
      </c>
      <c r="N2601" s="1754" t="n"/>
      <c r="O2601" s="1755" t="n"/>
      <c r="P2601" s="1721" t="inlineStr">
        <is>
          <t>Pendente</t>
        </is>
      </c>
    </row>
    <row r="2602" hidden="1" outlineLevel="2" ht="13.5" customHeight="1">
      <c r="A2602" s="2117" t="n">
        <v>0</v>
      </c>
      <c r="B2602" s="2117" t="n">
        <v>17</v>
      </c>
      <c r="C2602" s="2117" t="n">
        <v>13</v>
      </c>
      <c r="D2602" s="2118" t="n">
        <v>2</v>
      </c>
      <c r="E2602" s="2118" t="n">
        <v>0</v>
      </c>
      <c r="G2602" s="1797" t="n"/>
      <c r="H2602" s="1777" t="inlineStr">
        <is>
          <t>SUBETAPA</t>
        </is>
      </c>
      <c r="I2602" s="1742" t="inlineStr">
        <is>
          <t>17.013.002</t>
        </is>
      </c>
      <c r="J2602" s="1779" t="inlineStr">
        <is>
          <t>Pintura em tetos</t>
        </is>
      </c>
      <c r="K2602" s="1780" t="n"/>
      <c r="L2602" s="1781" t="n"/>
      <c r="M2602" s="1781" t="n"/>
      <c r="N2602" s="1746" t="n"/>
      <c r="O2602" s="1782" t="n"/>
      <c r="P2602" s="1720" t="n"/>
    </row>
    <row r="2603" hidden="1" outlineLevel="3" ht="13.5" customHeight="1">
      <c r="A2603" s="2117" t="n">
        <v>0</v>
      </c>
      <c r="B2603" s="2117" t="n">
        <v>17</v>
      </c>
      <c r="C2603" s="2117" t="n">
        <v>13</v>
      </c>
      <c r="D2603" s="2118" t="n">
        <v>2</v>
      </c>
      <c r="E2603" s="2118" t="n">
        <v>1</v>
      </c>
      <c r="G2603" s="1798" t="inlineStr">
        <is>
          <t>PINTURA INTERNA</t>
        </is>
      </c>
      <c r="H2603" s="1783" t="inlineStr">
        <is>
          <t>SERVIÇO</t>
        </is>
      </c>
      <c r="I2603" s="1750" t="inlineStr">
        <is>
          <t>17.013.002.001</t>
        </is>
      </c>
      <c r="J2603" s="1785" t="inlineStr">
        <is>
          <t>selador em tetos</t>
        </is>
      </c>
      <c r="K2603" s="1786" t="inlineStr">
        <is>
          <t>m2</t>
        </is>
      </c>
      <c r="L2603" s="1787" t="e">
        <v>#REF!</v>
      </c>
      <c r="M2603" s="1787" t="n">
        <v>1.758555555555555</v>
      </c>
      <c r="N2603" s="1754" t="n"/>
      <c r="O2603" s="1788" t="n"/>
      <c r="P2603" s="1721" t="inlineStr">
        <is>
          <t>Pendente</t>
        </is>
      </c>
    </row>
    <row r="2604" hidden="1" outlineLevel="3" ht="13.5" customHeight="1">
      <c r="A2604" s="2117" t="n">
        <v>0</v>
      </c>
      <c r="B2604" s="2117" t="n">
        <v>17</v>
      </c>
      <c r="C2604" s="2117" t="n">
        <v>13</v>
      </c>
      <c r="D2604" s="2118" t="n">
        <v>2</v>
      </c>
      <c r="E2604" s="2118" t="n">
        <v>2</v>
      </c>
      <c r="G2604" s="1798" t="inlineStr">
        <is>
          <t>PINTURA INTERNA</t>
        </is>
      </c>
      <c r="H2604" s="1783" t="inlineStr">
        <is>
          <t>SERVIÇO</t>
        </is>
      </c>
      <c r="I2604" s="1750" t="inlineStr">
        <is>
          <t>17.013.002.002</t>
        </is>
      </c>
      <c r="J2604" s="1785" t="inlineStr">
        <is>
          <t>Massa corrida em tetos</t>
        </is>
      </c>
      <c r="K2604" s="1786" t="inlineStr">
        <is>
          <t>m2</t>
        </is>
      </c>
      <c r="L2604" s="1787" t="e">
        <v>#REF!</v>
      </c>
      <c r="M2604" s="1787" t="n">
        <v>4.34916</v>
      </c>
      <c r="N2604" s="1754" t="n"/>
      <c r="O2604" s="1788" t="n"/>
      <c r="P2604" s="1721" t="inlineStr">
        <is>
          <t>Pendente</t>
        </is>
      </c>
    </row>
    <row r="2605" hidden="1" outlineLevel="3" ht="13.5" customHeight="1">
      <c r="A2605" s="2117" t="n">
        <v>0</v>
      </c>
      <c r="B2605" s="2117" t="n">
        <v>17</v>
      </c>
      <c r="C2605" s="2117" t="n">
        <v>13</v>
      </c>
      <c r="D2605" s="2118" t="n">
        <v>2</v>
      </c>
      <c r="E2605" s="2118" t="n">
        <v>3</v>
      </c>
      <c r="G2605" s="1798" t="inlineStr">
        <is>
          <t>PINTURA INTERNA</t>
        </is>
      </c>
      <c r="H2605" s="1783" t="inlineStr">
        <is>
          <t>SERVIÇO</t>
        </is>
      </c>
      <c r="I2605" s="1750" t="inlineStr">
        <is>
          <t>17.013.002.003</t>
        </is>
      </c>
      <c r="J2605" s="1785" t="inlineStr">
        <is>
          <t>Pintura Com Tinta Latex Acrilica em tetos, 3 Demaos (Somente tinta)</t>
        </is>
      </c>
      <c r="K2605" s="1786" t="inlineStr">
        <is>
          <t>m2</t>
        </is>
      </c>
      <c r="L2605" s="1787" t="e">
        <v>#REF!</v>
      </c>
      <c r="M2605" s="1787" t="n">
        <v>12.1275</v>
      </c>
      <c r="N2605" s="1754" t="n"/>
      <c r="O2605" s="1788" t="n"/>
      <c r="P2605" s="1721" t="inlineStr">
        <is>
          <t>Pendente</t>
        </is>
      </c>
    </row>
    <row r="2606" hidden="1" outlineLevel="3" ht="13.5" customHeight="1">
      <c r="A2606" s="2117" t="n">
        <v>0</v>
      </c>
      <c r="B2606" s="2117" t="n">
        <v>17</v>
      </c>
      <c r="C2606" s="2117" t="n">
        <v>13</v>
      </c>
      <c r="D2606" s="2118" t="n">
        <v>2</v>
      </c>
      <c r="E2606" s="2118" t="n">
        <v>4</v>
      </c>
      <c r="G2606" s="1798" t="inlineStr">
        <is>
          <t>PINTURA INTERNA</t>
        </is>
      </c>
      <c r="H2606" s="1783" t="inlineStr">
        <is>
          <t>SERVIÇO</t>
        </is>
      </c>
      <c r="I2606" s="1750" t="inlineStr">
        <is>
          <t>17.013.002.004</t>
        </is>
      </c>
      <c r="J2606" s="1785" t="inlineStr">
        <is>
          <t>Pintura em Epóxi em tetos, Aplicação Manual, 2 Demãos</t>
        </is>
      </c>
      <c r="K2606" s="1786" t="inlineStr">
        <is>
          <t>m2</t>
        </is>
      </c>
      <c r="L2606" s="1787" t="e">
        <v>#REF!</v>
      </c>
      <c r="M2606" s="1787" t="n">
        <v>70.56703066666667</v>
      </c>
      <c r="N2606" s="1754" t="n"/>
      <c r="O2606" s="1788" t="n"/>
      <c r="P2606" s="1721" t="inlineStr">
        <is>
          <t>Pendente</t>
        </is>
      </c>
    </row>
    <row r="2607" hidden="1" outlineLevel="2" ht="13.5" customHeight="1">
      <c r="A2607" s="2117" t="n">
        <v>0</v>
      </c>
      <c r="B2607" s="2117" t="n">
        <v>17</v>
      </c>
      <c r="C2607" s="2117" t="n">
        <v>13</v>
      </c>
      <c r="D2607" s="2118" t="n">
        <v>3</v>
      </c>
      <c r="E2607" s="2118" t="n">
        <v>0</v>
      </c>
      <c r="G2607" s="1797" t="n"/>
      <c r="H2607" s="1777" t="inlineStr">
        <is>
          <t>SUBETAPA</t>
        </is>
      </c>
      <c r="I2607" s="1742" t="inlineStr">
        <is>
          <t>17.013.003</t>
        </is>
      </c>
      <c r="J2607" s="1779" t="inlineStr">
        <is>
          <t>Mão de obra</t>
        </is>
      </c>
      <c r="K2607" s="1780" t="n"/>
      <c r="L2607" s="1781" t="n"/>
      <c r="M2607" s="1781" t="n"/>
      <c r="N2607" s="1746" t="n"/>
      <c r="O2607" s="1782" t="n"/>
      <c r="P2607" s="1720" t="n"/>
    </row>
    <row r="2608" hidden="1" outlineLevel="3" ht="12" customHeight="1">
      <c r="A2608" s="2117" t="n">
        <v>0</v>
      </c>
      <c r="B2608" s="2117" t="n">
        <v>17</v>
      </c>
      <c r="C2608" s="2117" t="n">
        <v>13</v>
      </c>
      <c r="D2608" s="2118" t="n">
        <v>3</v>
      </c>
      <c r="E2608" s="2118" t="n">
        <v>1</v>
      </c>
      <c r="G2608" s="1798" t="inlineStr">
        <is>
          <t>PINTURA INTERNA</t>
        </is>
      </c>
      <c r="H2608" s="1783" t="inlineStr">
        <is>
          <t>SERVIÇO</t>
        </is>
      </c>
      <c r="I2608" s="1750" t="inlineStr">
        <is>
          <t>17.013.003.001</t>
        </is>
      </c>
      <c r="J2608" s="1785" t="inlineStr">
        <is>
          <t>Mão de obra para pintura epóxi em paredes internas, 2 demãos</t>
        </is>
      </c>
      <c r="K2608" s="1786" t="inlineStr">
        <is>
          <t>m2</t>
        </is>
      </c>
      <c r="L2608" s="1787" t="e">
        <v>#REF!</v>
      </c>
      <c r="M2608" s="1787" t="n">
        <v>42</v>
      </c>
      <c r="N2608" s="1754" t="n"/>
      <c r="O2608" s="1788" t="n"/>
      <c r="P2608" s="1721" t="inlineStr">
        <is>
          <t>Pendente</t>
        </is>
      </c>
    </row>
    <row r="2609" hidden="1" outlineLevel="3" ht="13.5" customHeight="1">
      <c r="A2609" s="2117" t="n">
        <v>0</v>
      </c>
      <c r="B2609" s="2117" t="n">
        <v>17</v>
      </c>
      <c r="C2609" s="2117" t="n">
        <v>13</v>
      </c>
      <c r="D2609" s="2118" t="n">
        <v>3</v>
      </c>
      <c r="E2609" s="2118" t="n">
        <v>2</v>
      </c>
      <c r="G2609" s="1798" t="inlineStr">
        <is>
          <t>PINTURA INTERNA</t>
        </is>
      </c>
      <c r="H2609" s="1783" t="inlineStr">
        <is>
          <t>SERVIÇO</t>
        </is>
      </c>
      <c r="I2609" s="1750" t="inlineStr">
        <is>
          <t>17.013.003.002</t>
        </is>
      </c>
      <c r="J2609" s="1785" t="inlineStr">
        <is>
          <t>Mão de obra para pintura em paredes internas, 3 demãos</t>
        </is>
      </c>
      <c r="K2609" s="1786" t="inlineStr">
        <is>
          <t>m2</t>
        </is>
      </c>
      <c r="L2609" s="1787" t="e">
        <v>#REF!</v>
      </c>
      <c r="M2609" s="1787" t="n">
        <v>40</v>
      </c>
      <c r="N2609" s="1754" t="n"/>
      <c r="O2609" s="1788" t="n"/>
      <c r="P2609" s="1721" t="inlineStr">
        <is>
          <t>Pendente</t>
        </is>
      </c>
    </row>
    <row r="2610" hidden="1" outlineLevel="3" ht="13.5" customHeight="1">
      <c r="A2610" s="2117" t="n">
        <v>0</v>
      </c>
      <c r="B2610" s="2117" t="n">
        <v>17</v>
      </c>
      <c r="C2610" s="2117" t="n">
        <v>13</v>
      </c>
      <c r="D2610" s="2118" t="n">
        <v>3</v>
      </c>
      <c r="E2610" s="2118" t="n">
        <v>3</v>
      </c>
      <c r="G2610" s="1798" t="inlineStr">
        <is>
          <t>PINTURA INTERNA</t>
        </is>
      </c>
      <c r="H2610" s="1783" t="inlineStr">
        <is>
          <t>SERVIÇO</t>
        </is>
      </c>
      <c r="I2610" s="1750" t="inlineStr">
        <is>
          <t>17.013.003.003</t>
        </is>
      </c>
      <c r="J2610" s="1785" t="inlineStr">
        <is>
          <t>Mão de obra para pintura em teto, 3 demãos</t>
        </is>
      </c>
      <c r="K2610" s="1786" t="inlineStr">
        <is>
          <t>m2</t>
        </is>
      </c>
      <c r="L2610" s="1787" t="e">
        <v>#REF!</v>
      </c>
      <c r="M2610" s="1787" t="n">
        <v>40</v>
      </c>
      <c r="N2610" s="1754" t="n"/>
      <c r="O2610" s="1788" t="n"/>
      <c r="P2610" s="1721" t="inlineStr">
        <is>
          <t>Pendente</t>
        </is>
      </c>
    </row>
    <row r="2611" hidden="1" outlineLevel="3" ht="13.5" customHeight="1">
      <c r="A2611" s="2117" t="n">
        <v>0</v>
      </c>
      <c r="B2611" s="2117" t="n">
        <v>17</v>
      </c>
      <c r="C2611" s="2117" t="n">
        <v>13</v>
      </c>
      <c r="D2611" s="2118" t="n">
        <v>3</v>
      </c>
      <c r="E2611" s="2118" t="n">
        <v>4</v>
      </c>
      <c r="G2611" s="1798" t="inlineStr">
        <is>
          <t>PINTURA INTERNA</t>
        </is>
      </c>
      <c r="H2611" s="1783" t="inlineStr">
        <is>
          <t>SERVIÇO</t>
        </is>
      </c>
      <c r="I2611" s="1750" t="inlineStr">
        <is>
          <t>17.013.003.004</t>
        </is>
      </c>
      <c r="J2611" s="1785" t="inlineStr">
        <is>
          <t>Mão de obra para pintura epoxi em teto</t>
        </is>
      </c>
      <c r="K2611" s="1786" t="inlineStr">
        <is>
          <t>m2</t>
        </is>
      </c>
      <c r="L2611" s="1787" t="e">
        <v>#REF!</v>
      </c>
      <c r="M2611" s="1787" t="n">
        <v>40</v>
      </c>
      <c r="N2611" s="1754" t="n"/>
      <c r="O2611" s="1788" t="n"/>
      <c r="P2611" s="1721" t="inlineStr">
        <is>
          <t>Pendente</t>
        </is>
      </c>
    </row>
    <row r="2612" hidden="1" outlineLevel="1" ht="13.5" customHeight="1">
      <c r="A2612" s="2117" t="n">
        <v>0</v>
      </c>
      <c r="B2612" s="2117" t="n">
        <v>17</v>
      </c>
      <c r="C2612" s="2117" t="n">
        <v>14</v>
      </c>
      <c r="D2612" s="2118" t="n">
        <v>0</v>
      </c>
      <c r="E2612" s="2118" t="n">
        <v>4</v>
      </c>
      <c r="G2612" s="1796" t="n"/>
      <c r="H2612" s="1771" t="inlineStr">
        <is>
          <t>ETAPA</t>
        </is>
      </c>
      <c r="I2612" s="1735" t="inlineStr">
        <is>
          <t>17.014</t>
        </is>
      </c>
      <c r="J2612" s="1773" t="inlineStr">
        <is>
          <t>PINTURA - Cobertura | Barrilete</t>
        </is>
      </c>
      <c r="K2612" s="1774" t="n"/>
      <c r="L2612" s="1775" t="n"/>
      <c r="M2612" s="1775" t="n"/>
      <c r="N2612" s="1739" t="n"/>
      <c r="O2612" s="1776" t="n"/>
      <c r="P2612" s="1719" t="n"/>
    </row>
    <row r="2613" hidden="1" outlineLevel="2" ht="13.5" customHeight="1">
      <c r="A2613" s="2117" t="n">
        <v>0</v>
      </c>
      <c r="B2613" s="2117" t="n">
        <v>17</v>
      </c>
      <c r="C2613" s="2117" t="n">
        <v>14</v>
      </c>
      <c r="D2613" s="2118" t="n">
        <v>1</v>
      </c>
      <c r="E2613" s="2118" t="n">
        <v>0</v>
      </c>
      <c r="G2613" s="1797" t="n"/>
      <c r="H2613" s="1777" t="inlineStr">
        <is>
          <t>SUBETAPA</t>
        </is>
      </c>
      <c r="I2613" s="1742" t="inlineStr">
        <is>
          <t>17.014.001</t>
        </is>
      </c>
      <c r="J2613" s="1779" t="inlineStr">
        <is>
          <t>Sistema de pintura em parede Interna</t>
        </is>
      </c>
      <c r="K2613" s="1780" t="n"/>
      <c r="L2613" s="1781" t="n"/>
      <c r="M2613" s="1781" t="n"/>
      <c r="N2613" s="1746" t="n"/>
      <c r="O2613" s="1782" t="n"/>
      <c r="P2613" s="1720" t="n"/>
    </row>
    <row r="2614" hidden="1" outlineLevel="3" ht="13.5" customHeight="1">
      <c r="A2614" s="2117" t="n">
        <v>0</v>
      </c>
      <c r="B2614" s="2117" t="n">
        <v>17</v>
      </c>
      <c r="C2614" s="2117" t="n">
        <v>14</v>
      </c>
      <c r="D2614" s="2118" t="n">
        <v>1</v>
      </c>
      <c r="E2614" s="2118" t="n">
        <v>1</v>
      </c>
      <c r="G2614" s="1798" t="inlineStr">
        <is>
          <t>PINTURA INTERNA</t>
        </is>
      </c>
      <c r="H2614" s="1783" t="inlineStr">
        <is>
          <t>SERVIÇO</t>
        </is>
      </c>
      <c r="I2614" s="1750" t="inlineStr">
        <is>
          <t>17.014.001.001</t>
        </is>
      </c>
      <c r="J2614" s="1785" t="inlineStr">
        <is>
          <t>selador em Paredes Internas</t>
        </is>
      </c>
      <c r="K2614" s="1786" t="inlineStr">
        <is>
          <t>m2</t>
        </is>
      </c>
      <c r="L2614" s="1787" t="e">
        <v>#REF!</v>
      </c>
      <c r="M2614" s="1787" t="n">
        <v>1.758555555555555</v>
      </c>
      <c r="N2614" s="1754" t="n"/>
      <c r="O2614" s="1788" t="n"/>
      <c r="P2614" s="1721" t="inlineStr">
        <is>
          <t>Pendente</t>
        </is>
      </c>
    </row>
    <row r="2615" hidden="1" outlineLevel="3" ht="13.5" customHeight="1">
      <c r="A2615" s="2117" t="n">
        <v>0</v>
      </c>
      <c r="B2615" s="2117" t="n">
        <v>17</v>
      </c>
      <c r="C2615" s="2117" t="n">
        <v>14</v>
      </c>
      <c r="D2615" s="2118" t="n">
        <v>1</v>
      </c>
      <c r="E2615" s="2118" t="n">
        <v>2</v>
      </c>
      <c r="G2615" s="1798" t="inlineStr">
        <is>
          <t>PINTURA INTERNA</t>
        </is>
      </c>
      <c r="H2615" s="1783" t="inlineStr">
        <is>
          <t>SERVIÇO</t>
        </is>
      </c>
      <c r="I2615" s="1750" t="inlineStr">
        <is>
          <t>17.014.001.002</t>
        </is>
      </c>
      <c r="J2615" s="1785" t="inlineStr">
        <is>
          <t>Massa Corrida em Paredes Internas</t>
        </is>
      </c>
      <c r="K2615" s="1786" t="inlineStr">
        <is>
          <t>m2</t>
        </is>
      </c>
      <c r="L2615" s="1787" t="e">
        <v>#REF!</v>
      </c>
      <c r="M2615" s="1787" t="n">
        <v>4.34916</v>
      </c>
      <c r="N2615" s="1754" t="n"/>
      <c r="O2615" s="1788" t="n"/>
      <c r="P2615" s="1721" t="inlineStr">
        <is>
          <t>Pendente</t>
        </is>
      </c>
    </row>
    <row r="2616" hidden="1" outlineLevel="3" ht="13.5" customHeight="1">
      <c r="A2616" s="2117" t="n">
        <v>0</v>
      </c>
      <c r="B2616" s="2117" t="n">
        <v>17</v>
      </c>
      <c r="C2616" s="2117" t="n">
        <v>14</v>
      </c>
      <c r="D2616" s="2118" t="n">
        <v>1</v>
      </c>
      <c r="E2616" s="2118" t="n">
        <v>3</v>
      </c>
      <c r="G2616" s="1798" t="inlineStr">
        <is>
          <t>PINTURA INTERNA</t>
        </is>
      </c>
      <c r="H2616" s="1783" t="inlineStr">
        <is>
          <t>SERVIÇO</t>
        </is>
      </c>
      <c r="I2616" s="1750" t="inlineStr">
        <is>
          <t>17.014.001.003</t>
        </is>
      </c>
      <c r="J2616" s="1785" t="inlineStr">
        <is>
          <t>Pintura Com Tinta Latex Acrilica em Paredes Internas, 3 Demaos (Somente tinta)</t>
        </is>
      </c>
      <c r="K2616" s="1786" t="inlineStr">
        <is>
          <t>m2</t>
        </is>
      </c>
      <c r="L2616" s="1787" t="e">
        <v>#REF!</v>
      </c>
      <c r="M2616" s="1787" t="n">
        <v>12.1275</v>
      </c>
      <c r="N2616" s="1754" t="n"/>
      <c r="O2616" s="1788" t="n"/>
      <c r="P2616" s="1721" t="inlineStr">
        <is>
          <t>Pendente</t>
        </is>
      </c>
    </row>
    <row r="2617" hidden="1" outlineLevel="3" ht="13.5" customHeight="1">
      <c r="A2617" s="2117" t="n">
        <v>0</v>
      </c>
      <c r="B2617" s="2117" t="n">
        <v>17</v>
      </c>
      <c r="C2617" s="2117" t="n">
        <v>14</v>
      </c>
      <c r="D2617" s="2118" t="n">
        <v>1</v>
      </c>
      <c r="E2617" s="2118" t="n">
        <v>4</v>
      </c>
      <c r="G2617" s="1798" t="inlineStr">
        <is>
          <t>PINTURA INTERNA</t>
        </is>
      </c>
      <c r="H2617" s="1783" t="inlineStr">
        <is>
          <t>SERVIÇO</t>
        </is>
      </c>
      <c r="I2617" s="1750" t="inlineStr">
        <is>
          <t>17.014.001.004</t>
        </is>
      </c>
      <c r="J2617" s="1751" t="inlineStr">
        <is>
          <t>Pintura em Epóxi em Parede, Aplicação Manual, 2 Demãos (com massa e selador)</t>
        </is>
      </c>
      <c r="K2617" s="1752" t="inlineStr">
        <is>
          <t>m2</t>
        </is>
      </c>
      <c r="L2617" s="1753" t="e">
        <v>#REF!</v>
      </c>
      <c r="M2617" s="1787" t="n">
        <v>76.67474622222223</v>
      </c>
      <c r="N2617" s="1754" t="n"/>
      <c r="O2617" s="1755" t="n"/>
      <c r="P2617" s="1721" t="inlineStr">
        <is>
          <t>Pendente</t>
        </is>
      </c>
    </row>
    <row r="2618" hidden="1" outlineLevel="2" ht="13.5" customHeight="1">
      <c r="A2618" s="2117" t="n">
        <v>0</v>
      </c>
      <c r="B2618" s="2117" t="n">
        <v>17</v>
      </c>
      <c r="C2618" s="2117" t="n">
        <v>14</v>
      </c>
      <c r="D2618" s="2118" t="n">
        <v>2</v>
      </c>
      <c r="E2618" s="2118" t="n">
        <v>0</v>
      </c>
      <c r="G2618" s="1797" t="n"/>
      <c r="H2618" s="1777" t="inlineStr">
        <is>
          <t>SUBETAPA</t>
        </is>
      </c>
      <c r="I2618" s="1742" t="inlineStr">
        <is>
          <t>17.014.002</t>
        </is>
      </c>
      <c r="J2618" s="1779" t="inlineStr">
        <is>
          <t>Pintura em tetos</t>
        </is>
      </c>
      <c r="K2618" s="1780" t="n"/>
      <c r="L2618" s="1781" t="n"/>
      <c r="M2618" s="1781" t="n"/>
      <c r="N2618" s="1746" t="n"/>
      <c r="O2618" s="1782" t="n"/>
      <c r="P2618" s="1720" t="n"/>
    </row>
    <row r="2619" hidden="1" outlineLevel="3" ht="13.5" customHeight="1">
      <c r="A2619" s="2117" t="n">
        <v>0</v>
      </c>
      <c r="B2619" s="2117" t="n">
        <v>17</v>
      </c>
      <c r="C2619" s="2117" t="n">
        <v>14</v>
      </c>
      <c r="D2619" s="2118" t="n">
        <v>2</v>
      </c>
      <c r="E2619" s="2118" t="n">
        <v>1</v>
      </c>
      <c r="G2619" s="1798" t="inlineStr">
        <is>
          <t>PINTURA INTERNA</t>
        </is>
      </c>
      <c r="H2619" s="1783" t="inlineStr">
        <is>
          <t>SERVIÇO</t>
        </is>
      </c>
      <c r="I2619" s="1750" t="inlineStr">
        <is>
          <t>17.014.002.001</t>
        </is>
      </c>
      <c r="J2619" s="1785" t="inlineStr">
        <is>
          <t>selador em tetos</t>
        </is>
      </c>
      <c r="K2619" s="1786" t="inlineStr">
        <is>
          <t>m2</t>
        </is>
      </c>
      <c r="L2619" s="1787" t="e">
        <v>#REF!</v>
      </c>
      <c r="M2619" s="1787" t="n">
        <v>1.758555555555555</v>
      </c>
      <c r="N2619" s="1754" t="n"/>
      <c r="O2619" s="1788" t="n"/>
      <c r="P2619" s="1721" t="inlineStr">
        <is>
          <t>Pendente</t>
        </is>
      </c>
    </row>
    <row r="2620" hidden="1" outlineLevel="3" ht="13.5" customHeight="1">
      <c r="A2620" s="2117" t="n">
        <v>0</v>
      </c>
      <c r="B2620" s="2117" t="n">
        <v>17</v>
      </c>
      <c r="C2620" s="2117" t="n">
        <v>14</v>
      </c>
      <c r="D2620" s="2118" t="n">
        <v>2</v>
      </c>
      <c r="E2620" s="2118" t="n">
        <v>2</v>
      </c>
      <c r="G2620" s="1798" t="inlineStr">
        <is>
          <t>PINTURA INTERNA</t>
        </is>
      </c>
      <c r="H2620" s="1783" t="inlineStr">
        <is>
          <t>SERVIÇO</t>
        </is>
      </c>
      <c r="I2620" s="1750" t="inlineStr">
        <is>
          <t>17.014.002.002</t>
        </is>
      </c>
      <c r="J2620" s="1785" t="inlineStr">
        <is>
          <t>Massa corrida em tetos</t>
        </is>
      </c>
      <c r="K2620" s="1786" t="inlineStr">
        <is>
          <t>m2</t>
        </is>
      </c>
      <c r="L2620" s="1787" t="e">
        <v>#REF!</v>
      </c>
      <c r="M2620" s="1787" t="n">
        <v>4.34916</v>
      </c>
      <c r="N2620" s="1754" t="n"/>
      <c r="O2620" s="1788" t="n"/>
      <c r="P2620" s="1721" t="inlineStr">
        <is>
          <t>Pendente</t>
        </is>
      </c>
    </row>
    <row r="2621" hidden="1" outlineLevel="3" ht="13.5" customHeight="1">
      <c r="A2621" s="2117" t="n">
        <v>0</v>
      </c>
      <c r="B2621" s="2117" t="n">
        <v>17</v>
      </c>
      <c r="C2621" s="2117" t="n">
        <v>14</v>
      </c>
      <c r="D2621" s="2118" t="n">
        <v>2</v>
      </c>
      <c r="E2621" s="2118" t="n">
        <v>3</v>
      </c>
      <c r="G2621" s="1798" t="inlineStr">
        <is>
          <t>PINTURA INTERNA</t>
        </is>
      </c>
      <c r="H2621" s="1783" t="inlineStr">
        <is>
          <t>SERVIÇO</t>
        </is>
      </c>
      <c r="I2621" s="1750" t="inlineStr">
        <is>
          <t>17.014.002.003</t>
        </is>
      </c>
      <c r="J2621" s="1785" t="inlineStr">
        <is>
          <t>Pintura Com Tinta Latex Acrilica em tetos, 3 Demaos (Somente tinta)</t>
        </is>
      </c>
      <c r="K2621" s="1786" t="inlineStr">
        <is>
          <t>m2</t>
        </is>
      </c>
      <c r="L2621" s="1787" t="e">
        <v>#REF!</v>
      </c>
      <c r="M2621" s="1787" t="n">
        <v>12.1275</v>
      </c>
      <c r="N2621" s="1754" t="n"/>
      <c r="O2621" s="1788" t="n"/>
      <c r="P2621" s="1721" t="inlineStr">
        <is>
          <t>Pendente</t>
        </is>
      </c>
    </row>
    <row r="2622" hidden="1" outlineLevel="2" ht="13.5" customHeight="1">
      <c r="A2622" s="2117" t="n">
        <v>0</v>
      </c>
      <c r="B2622" s="2117" t="n">
        <v>17</v>
      </c>
      <c r="C2622" s="2117" t="n">
        <v>14</v>
      </c>
      <c r="D2622" s="2118" t="n">
        <v>3</v>
      </c>
      <c r="E2622" s="2118" t="n">
        <v>0</v>
      </c>
      <c r="G2622" s="1797" t="n"/>
      <c r="H2622" s="1777" t="inlineStr">
        <is>
          <t>SUBETAPA</t>
        </is>
      </c>
      <c r="I2622" s="1742" t="inlineStr">
        <is>
          <t>17.014.003</t>
        </is>
      </c>
      <c r="J2622" s="1779" t="inlineStr">
        <is>
          <t>Mão de obra</t>
        </is>
      </c>
      <c r="K2622" s="1780" t="n"/>
      <c r="L2622" s="1781" t="n"/>
      <c r="M2622" s="1781" t="n"/>
      <c r="N2622" s="1746" t="n"/>
      <c r="O2622" s="1782" t="n"/>
      <c r="P2622" s="1720" t="n"/>
    </row>
    <row r="2623" hidden="1" outlineLevel="3" ht="12" customHeight="1">
      <c r="A2623" s="2117" t="n">
        <v>0</v>
      </c>
      <c r="B2623" s="2117" t="n">
        <v>17</v>
      </c>
      <c r="C2623" s="2117" t="n">
        <v>14</v>
      </c>
      <c r="D2623" s="2118" t="n">
        <v>3</v>
      </c>
      <c r="E2623" s="2118" t="n">
        <v>1</v>
      </c>
      <c r="G2623" s="1798" t="inlineStr">
        <is>
          <t>PINTURA INTERNA</t>
        </is>
      </c>
      <c r="H2623" s="1783" t="inlineStr">
        <is>
          <t>SERVIÇO</t>
        </is>
      </c>
      <c r="I2623" s="1750" t="inlineStr">
        <is>
          <t>17.014.003.001</t>
        </is>
      </c>
      <c r="J2623" s="1785" t="inlineStr">
        <is>
          <t>Mão de obra para pintura epóxi em paredes internas, 2 demãos</t>
        </is>
      </c>
      <c r="K2623" s="1786" t="inlineStr">
        <is>
          <t>m2</t>
        </is>
      </c>
      <c r="L2623" s="1787" t="e">
        <v>#REF!</v>
      </c>
      <c r="M2623" s="1787" t="n">
        <v>42</v>
      </c>
      <c r="N2623" s="1754" t="n"/>
      <c r="O2623" s="1788" t="n"/>
      <c r="P2623" s="1721" t="inlineStr">
        <is>
          <t>Pendente</t>
        </is>
      </c>
    </row>
    <row r="2624" hidden="1" outlineLevel="3" ht="13.5" customHeight="1">
      <c r="A2624" s="2117" t="n">
        <v>0</v>
      </c>
      <c r="B2624" s="2117" t="n">
        <v>17</v>
      </c>
      <c r="C2624" s="2117" t="n">
        <v>14</v>
      </c>
      <c r="D2624" s="2118" t="n">
        <v>3</v>
      </c>
      <c r="E2624" s="2118" t="n">
        <v>2</v>
      </c>
      <c r="G2624" s="1798" t="inlineStr">
        <is>
          <t>PINTURA INTERNA</t>
        </is>
      </c>
      <c r="H2624" s="1783" t="inlineStr">
        <is>
          <t>SERVIÇO</t>
        </is>
      </c>
      <c r="I2624" s="1750" t="inlineStr">
        <is>
          <t>17.014.003.002</t>
        </is>
      </c>
      <c r="J2624" s="1785" t="inlineStr">
        <is>
          <t>Mão de obra para pintura em paredes internas, 3 demãos</t>
        </is>
      </c>
      <c r="K2624" s="1786" t="inlineStr">
        <is>
          <t>m2</t>
        </is>
      </c>
      <c r="L2624" s="1787" t="e">
        <v>#REF!</v>
      </c>
      <c r="M2624" s="1787" t="n">
        <v>40</v>
      </c>
      <c r="N2624" s="1754" t="n"/>
      <c r="O2624" s="1788" t="n"/>
      <c r="P2624" s="1721" t="inlineStr">
        <is>
          <t>Pendente</t>
        </is>
      </c>
    </row>
    <row r="2625" hidden="1" outlineLevel="3" ht="13.5" customHeight="1">
      <c r="A2625" s="2117" t="n">
        <v>0</v>
      </c>
      <c r="B2625" s="2117" t="n">
        <v>17</v>
      </c>
      <c r="C2625" s="2117" t="n">
        <v>14</v>
      </c>
      <c r="D2625" s="2118" t="n">
        <v>3</v>
      </c>
      <c r="E2625" s="2118" t="n">
        <v>3</v>
      </c>
      <c r="G2625" s="1798" t="inlineStr">
        <is>
          <t>PINTURA INTERNA</t>
        </is>
      </c>
      <c r="H2625" s="1783" t="inlineStr">
        <is>
          <t>SERVIÇO</t>
        </is>
      </c>
      <c r="I2625" s="1750" t="inlineStr">
        <is>
          <t>17.014.003.003</t>
        </is>
      </c>
      <c r="J2625" s="1785" t="inlineStr">
        <is>
          <t>Mão de obra para pintura em teto, 3 demãos</t>
        </is>
      </c>
      <c r="K2625" s="1786" t="inlineStr">
        <is>
          <t>m2</t>
        </is>
      </c>
      <c r="L2625" s="1787" t="e">
        <v>#REF!</v>
      </c>
      <c r="M2625" s="1787" t="n">
        <v>40</v>
      </c>
      <c r="N2625" s="1754" t="n"/>
      <c r="O2625" s="1788" t="n"/>
      <c r="P2625" s="1721" t="inlineStr">
        <is>
          <t>Pendente</t>
        </is>
      </c>
    </row>
    <row r="2626" collapsed="1" ht="13.5" customHeight="1">
      <c r="A2626" s="2117" t="n">
        <v>0</v>
      </c>
      <c r="B2626" s="2117" t="n">
        <v>18</v>
      </c>
      <c r="C2626" s="2117" t="n">
        <v>0</v>
      </c>
      <c r="D2626" s="2118" t="n">
        <v>3</v>
      </c>
      <c r="E2626" s="2118" t="n">
        <v>3</v>
      </c>
      <c r="F2626" s="474" t="n"/>
      <c r="G2626" s="1794" t="n"/>
      <c r="H2626" s="1766" t="inlineStr">
        <is>
          <t>CÉLULA CONSTRUTIVA</t>
        </is>
      </c>
      <c r="I2626" s="1728" t="inlineStr">
        <is>
          <t>18</t>
        </is>
      </c>
      <c r="J2626" s="1795" t="inlineStr">
        <is>
          <t>ESQUADRIAS, VIDROS E FERRAGENS</t>
        </is>
      </c>
      <c r="K2626" s="1768" t="n"/>
      <c r="L2626" s="1769" t="n"/>
      <c r="M2626" s="1769" t="n"/>
      <c r="N2626" s="1732" t="n"/>
      <c r="O2626" s="1770" t="n"/>
      <c r="P2626" s="1718" t="n"/>
    </row>
    <row r="2627" hidden="1" outlineLevel="1" ht="13.5" customHeight="1">
      <c r="A2627" s="2117" t="n">
        <v>0</v>
      </c>
      <c r="B2627" s="2117" t="n">
        <v>18</v>
      </c>
      <c r="C2627" s="2117" t="n">
        <v>1</v>
      </c>
      <c r="D2627" s="2118" t="n">
        <v>0</v>
      </c>
      <c r="E2627" s="2118" t="n">
        <v>3</v>
      </c>
      <c r="G2627" s="1796" t="n"/>
      <c r="H2627" s="1771" t="inlineStr">
        <is>
          <t>ETAPA</t>
        </is>
      </c>
      <c r="I2627" s="1735" t="inlineStr">
        <is>
          <t>18.001</t>
        </is>
      </c>
      <c r="J2627" s="1773" t="inlineStr">
        <is>
          <t>ESQUADRIAS DE ALUMÍNIO - Térreo</t>
        </is>
      </c>
      <c r="K2627" s="1774" t="n"/>
      <c r="L2627" s="1775" t="n"/>
      <c r="M2627" s="1775" t="n"/>
      <c r="N2627" s="1739" t="n"/>
      <c r="O2627" s="1776" t="n"/>
      <c r="P2627" s="1719" t="n"/>
    </row>
    <row r="2628" hidden="1" outlineLevel="2" ht="13.5" customHeight="1">
      <c r="A2628" s="2117" t="n">
        <v>0</v>
      </c>
      <c r="B2628" s="2117" t="n">
        <v>18</v>
      </c>
      <c r="C2628" s="2117" t="n">
        <v>1</v>
      </c>
      <c r="D2628" s="2118" t="n">
        <v>1</v>
      </c>
      <c r="E2628" s="2118" t="n">
        <v>0</v>
      </c>
      <c r="G2628" s="1797" t="n"/>
      <c r="H2628" s="1777" t="inlineStr">
        <is>
          <t>SUBETAPA</t>
        </is>
      </c>
      <c r="I2628" s="1742" t="inlineStr">
        <is>
          <t>18.001.001</t>
        </is>
      </c>
      <c r="J2628" s="1779" t="inlineStr">
        <is>
          <t>Contramarco</t>
        </is>
      </c>
      <c r="K2628" s="1780" t="n"/>
      <c r="L2628" s="1781" t="n"/>
      <c r="M2628" s="1781" t="n"/>
      <c r="N2628" s="1746" t="n">
        <v>10971.604</v>
      </c>
      <c r="O2628" s="1782" t="n">
        <v>0.655034039476599</v>
      </c>
      <c r="P2628" s="1720" t="n"/>
    </row>
    <row r="2629" hidden="1" outlineLevel="3" ht="13.5" customHeight="1">
      <c r="A2629" s="2117" t="n">
        <v>0</v>
      </c>
      <c r="B2629" s="2117" t="n">
        <v>18</v>
      </c>
      <c r="C2629" s="2117" t="n">
        <v>1</v>
      </c>
      <c r="D2629" s="2118" t="n">
        <v>1</v>
      </c>
      <c r="E2629" s="2118" t="n">
        <v>1</v>
      </c>
      <c r="G2629" s="1798" t="inlineStr">
        <is>
          <t>ESQUADRIAS, VIDROS E FERRAGENS</t>
        </is>
      </c>
      <c r="H2629" s="1783" t="inlineStr">
        <is>
          <t>SERVIÇO</t>
        </is>
      </c>
      <c r="I2629" s="1750" t="inlineStr">
        <is>
          <t>18.001.001.001</t>
        </is>
      </c>
      <c r="J2629" s="1785" t="inlineStr">
        <is>
          <t>Contramarco de Alumínio, Fixação com Argamassa</t>
        </is>
      </c>
      <c r="K2629" s="1786" t="inlineStr">
        <is>
          <t>m</t>
        </is>
      </c>
      <c r="L2629" s="1787" t="n">
        <v>472.0999999999999</v>
      </c>
      <c r="M2629" s="1787" t="n">
        <v>23.24</v>
      </c>
      <c r="N2629" s="1754" t="n">
        <v>10971.604</v>
      </c>
      <c r="O2629" s="1788" t="inlineStr">
        <is>
          <t>Tabela de esquadrias enviada pela Gessele</t>
        </is>
      </c>
      <c r="P2629" s="1721" t="inlineStr">
        <is>
          <t>Pendente</t>
        </is>
      </c>
    </row>
    <row r="2630" hidden="1" outlineLevel="2" ht="13.5" customHeight="1">
      <c r="A2630" s="2117" t="n">
        <v>0</v>
      </c>
      <c r="B2630" s="2117" t="n">
        <v>18</v>
      </c>
      <c r="C2630" s="2117" t="n">
        <v>1</v>
      </c>
      <c r="D2630" s="2118" t="n">
        <v>2</v>
      </c>
      <c r="E2630" s="2118" t="n">
        <v>0</v>
      </c>
      <c r="G2630" s="1797" t="n"/>
      <c r="H2630" s="1777" t="inlineStr">
        <is>
          <t>SUBETAPA</t>
        </is>
      </c>
      <c r="I2630" s="1742" t="inlineStr">
        <is>
          <t>18.001.002</t>
        </is>
      </c>
      <c r="J2630" s="1779" t="inlineStr">
        <is>
          <t>Esquadrias de alumínio</t>
        </is>
      </c>
      <c r="K2630" s="1780" t="n"/>
      <c r="L2630" s="1781" t="n"/>
      <c r="M2630" s="1781" t="n"/>
      <c r="N2630" s="1746" t="n">
        <v>1066855.46829102</v>
      </c>
      <c r="O2630" s="1782" t="n"/>
      <c r="P2630" s="1720" t="n"/>
    </row>
    <row r="2631" hidden="1" outlineLevel="3" ht="13.5" customHeight="1">
      <c r="A2631" s="2117" t="n">
        <v>0</v>
      </c>
      <c r="B2631" s="2117" t="n">
        <v>18</v>
      </c>
      <c r="C2631" s="2117" t="n">
        <v>1</v>
      </c>
      <c r="D2631" s="2118" t="n">
        <v>2</v>
      </c>
      <c r="E2631" s="2118" t="n">
        <v>1</v>
      </c>
      <c r="G2631" s="1798" t="inlineStr">
        <is>
          <t>ESQUADRIAS, VIDROS E FERRAGENS</t>
        </is>
      </c>
      <c r="H2631" s="1783" t="inlineStr">
        <is>
          <t>SERVIÇO</t>
        </is>
      </c>
      <c r="I2631" s="1750" t="inlineStr">
        <is>
          <t>18.001.002.001</t>
        </is>
      </c>
      <c r="J2631" s="1785" t="inlineStr">
        <is>
          <t>Esquadrias de Alumínio - Portas - fornecimento e instalação</t>
        </is>
      </c>
      <c r="K2631" s="1786" t="inlineStr">
        <is>
          <t>m2</t>
        </is>
      </c>
      <c r="L2631" s="1787" t="n">
        <v>33.40000000000001</v>
      </c>
      <c r="M2631" s="1787" t="n">
        <v>1906.313968151559</v>
      </c>
      <c r="N2631" s="1754" t="n">
        <v>63670.8865362621</v>
      </c>
      <c r="O2631" s="1788" t="inlineStr">
        <is>
          <t>Tabela de esquadrias enviada pela Gessele</t>
        </is>
      </c>
      <c r="P2631" s="1721" t="inlineStr">
        <is>
          <t>Pendente</t>
        </is>
      </c>
    </row>
    <row r="2632" hidden="1" outlineLevel="3" ht="13.5" customHeight="1">
      <c r="A2632" s="2117" t="n">
        <v>0</v>
      </c>
      <c r="B2632" s="2117" t="n">
        <v>18</v>
      </c>
      <c r="C2632" s="2117" t="n">
        <v>1</v>
      </c>
      <c r="D2632" s="2118" t="n">
        <v>2</v>
      </c>
      <c r="E2632" s="2118" t="n">
        <v>2</v>
      </c>
      <c r="G2632" s="1798" t="inlineStr">
        <is>
          <t>ESQUADRIAS, VIDROS E FERRAGENS</t>
        </is>
      </c>
      <c r="H2632" s="1783" t="inlineStr">
        <is>
          <t>SERVIÇO</t>
        </is>
      </c>
      <c r="I2632" s="1750" t="inlineStr">
        <is>
          <t>18.001.002.002</t>
        </is>
      </c>
      <c r="J2632" s="1785" t="inlineStr">
        <is>
          <t>Esquadrias de Alumínio - Janelas - fornecimento e instalação</t>
        </is>
      </c>
      <c r="K2632" s="1786" t="inlineStr">
        <is>
          <t>m2</t>
        </is>
      </c>
      <c r="L2632" s="1787" t="n">
        <v>4.000000000000001</v>
      </c>
      <c r="M2632" s="1787" t="n">
        <v>2650.495558713029</v>
      </c>
      <c r="N2632" s="1754" t="n">
        <v>10601.9822348521</v>
      </c>
      <c r="O2632" s="1788" t="inlineStr">
        <is>
          <t>Tabela de esquadrias enviada pela Gessele</t>
        </is>
      </c>
      <c r="P2632" s="1721" t="inlineStr">
        <is>
          <t>Pendente</t>
        </is>
      </c>
    </row>
    <row r="2633" hidden="1" outlineLevel="3" ht="13.5" customHeight="1">
      <c r="A2633" s="2117" t="n">
        <v>0</v>
      </c>
      <c r="B2633" s="2117" t="n">
        <v>18</v>
      </c>
      <c r="C2633" s="2117" t="n">
        <v>1</v>
      </c>
      <c r="D2633" s="2118" t="n">
        <v>2</v>
      </c>
      <c r="E2633" s="2118" t="n">
        <v>3</v>
      </c>
      <c r="G2633" s="1798" t="inlineStr">
        <is>
          <t>ESQUADRIAS, VIDROS E FERRAGENS</t>
        </is>
      </c>
      <c r="H2633" s="1783" t="inlineStr">
        <is>
          <t>SERVIÇO</t>
        </is>
      </c>
      <c r="I2633" s="1750" t="inlineStr">
        <is>
          <t>18.001.002.003</t>
        </is>
      </c>
      <c r="J2633" s="1785" t="inlineStr">
        <is>
          <t>Esquadrias de Alumínio - Janelas Bronze - fornecimento e instalação</t>
        </is>
      </c>
      <c r="K2633" s="1786" t="inlineStr">
        <is>
          <t>m2</t>
        </is>
      </c>
      <c r="L2633" s="1787" t="n">
        <v>107.015</v>
      </c>
      <c r="M2633" s="1787" t="n">
        <v>2873.78965116951</v>
      </c>
      <c r="N2633" s="1754" t="n">
        <v>307538.599519905</v>
      </c>
      <c r="O2633" s="1788" t="inlineStr">
        <is>
          <t>Tabela de esquadrias enviada pela Gessele</t>
        </is>
      </c>
      <c r="P2633" s="1721" t="inlineStr">
        <is>
          <t>Pendente</t>
        </is>
      </c>
    </row>
    <row r="2634" hidden="1" outlineLevel="3" ht="13.5" customHeight="1">
      <c r="A2634" s="2117" t="n">
        <v>0</v>
      </c>
      <c r="B2634" s="2117" t="n">
        <v>18</v>
      </c>
      <c r="C2634" s="2117" t="n">
        <v>1</v>
      </c>
      <c r="D2634" s="2118" t="n">
        <v>2</v>
      </c>
      <c r="E2634" s="2118" t="n">
        <v>4</v>
      </c>
      <c r="G2634" s="1798" t="inlineStr">
        <is>
          <t>ESQUADRIAS, VIDROS E FERRAGENS</t>
        </is>
      </c>
      <c r="H2634" s="1783" t="inlineStr">
        <is>
          <t>SERVIÇO</t>
        </is>
      </c>
      <c r="I2634" s="1750" t="inlineStr">
        <is>
          <t>18.001.002.004</t>
        </is>
      </c>
      <c r="J2634" s="1785" t="inlineStr">
        <is>
          <t>Esquadrias de Alumínio - Janelas Bronze Personalizada - fornecimento e instalação</t>
        </is>
      </c>
      <c r="K2634" s="1786" t="inlineStr">
        <is>
          <t>m2</t>
        </is>
      </c>
      <c r="L2634" s="1787" t="n">
        <v>134.535</v>
      </c>
      <c r="M2634" s="1787" t="n">
        <v>3623.413981491805</v>
      </c>
      <c r="N2634" s="1754" t="n">
        <v>487476</v>
      </c>
      <c r="O2634" s="1788" t="inlineStr">
        <is>
          <t>Tabela de esquadrias enviada pela Gessele</t>
        </is>
      </c>
      <c r="P2634" s="1721" t="inlineStr">
        <is>
          <t>Pendente</t>
        </is>
      </c>
    </row>
    <row r="2635" hidden="1" outlineLevel="3" ht="13.5" customHeight="1">
      <c r="A2635" s="2117" t="n">
        <v>0</v>
      </c>
      <c r="B2635" s="2117" t="n">
        <v>18</v>
      </c>
      <c r="C2635" s="2117" t="n">
        <v>1</v>
      </c>
      <c r="D2635" s="2118" t="n">
        <v>2</v>
      </c>
      <c r="E2635" s="2118" t="n">
        <v>5</v>
      </c>
      <c r="G2635" s="1798" t="inlineStr">
        <is>
          <t>ESQUADRIAS, VIDROS E FERRAGENS</t>
        </is>
      </c>
      <c r="H2635" s="1783" t="inlineStr">
        <is>
          <t>SERVIÇO</t>
        </is>
      </c>
      <c r="I2635" s="1750" t="inlineStr">
        <is>
          <t>18.001.002.005</t>
        </is>
      </c>
      <c r="J2635" s="1785" t="inlineStr">
        <is>
          <t>Porta principal, correr, 2+1+1 folhas, 420x840 cm</t>
        </is>
      </c>
      <c r="K2635" s="1786" t="inlineStr">
        <is>
          <t>un</t>
        </is>
      </c>
      <c r="L2635" s="1787" t="n">
        <v>1</v>
      </c>
      <c r="M2635" s="1787" t="n">
        <v>197568</v>
      </c>
      <c r="N2635" s="1754" t="n">
        <v>197568</v>
      </c>
      <c r="O2635" s="1788" t="inlineStr">
        <is>
          <t>Modelo do visus</t>
        </is>
      </c>
      <c r="P2635" s="1721" t="inlineStr">
        <is>
          <t>Pendente</t>
        </is>
      </c>
    </row>
    <row r="2636" hidden="1" outlineLevel="2" ht="12.75" customHeight="1">
      <c r="A2636" s="2117" t="n">
        <v>0</v>
      </c>
      <c r="B2636" s="2117" t="n">
        <v>18</v>
      </c>
      <c r="C2636" s="2117" t="n">
        <v>1</v>
      </c>
      <c r="D2636" s="2118" t="n">
        <v>3</v>
      </c>
      <c r="E2636" s="2118" t="n">
        <v>0</v>
      </c>
      <c r="G2636" s="1797" t="n"/>
      <c r="H2636" s="1777" t="inlineStr">
        <is>
          <t>SUBETAPA</t>
        </is>
      </c>
      <c r="I2636" s="1742" t="inlineStr">
        <is>
          <t>18.001.003</t>
        </is>
      </c>
      <c r="J2636" s="1779" t="inlineStr">
        <is>
          <t>Guarda corpo</t>
        </is>
      </c>
      <c r="K2636" s="1780" t="n"/>
      <c r="L2636" s="1781" t="n"/>
      <c r="M2636" s="1781" t="n"/>
      <c r="N2636" s="1746" t="n"/>
      <c r="O2636" s="1782" t="n"/>
      <c r="P2636" s="1720" t="n"/>
    </row>
    <row r="2637" hidden="1" outlineLevel="3" ht="12.75" customHeight="1">
      <c r="A2637" s="2117" t="n">
        <v>0</v>
      </c>
      <c r="B2637" s="2117" t="n">
        <v>18</v>
      </c>
      <c r="C2637" s="2117" t="n">
        <v>1</v>
      </c>
      <c r="D2637" s="2118" t="n">
        <v>3</v>
      </c>
      <c r="E2637" s="2118" t="n">
        <v>1</v>
      </c>
      <c r="G2637" s="1798" t="inlineStr">
        <is>
          <t>ESQUADRIAS, VIDROS E FERRAGENS</t>
        </is>
      </c>
      <c r="H2637" s="1783" t="inlineStr">
        <is>
          <t>SERVIÇO</t>
        </is>
      </c>
      <c r="I2637" s="1750" t="inlineStr">
        <is>
          <t>18.001.003.001</t>
        </is>
      </c>
      <c r="J2637" s="1785" t="inlineStr">
        <is>
          <t>Guarda Corpo de Vidro e Aluminio - fornecimento e instalação</t>
        </is>
      </c>
      <c r="K2637" s="1786" t="inlineStr">
        <is>
          <t>m2</t>
        </is>
      </c>
      <c r="L2637" s="1787" t="e">
        <v>#REF!</v>
      </c>
      <c r="M2637" s="1787" t="n">
        <v>1403.985</v>
      </c>
      <c r="N2637" s="1754" t="n"/>
      <c r="O2637" s="1788" t="inlineStr">
        <is>
          <t>Modelo do visus</t>
        </is>
      </c>
      <c r="P2637" s="1721" t="inlineStr">
        <is>
          <t>Pendente</t>
        </is>
      </c>
    </row>
    <row r="2638" hidden="1" outlineLevel="1" ht="13.5" customHeight="1">
      <c r="A2638" s="2117" t="n">
        <v>0</v>
      </c>
      <c r="B2638" s="2117" t="n">
        <v>18</v>
      </c>
      <c r="C2638" s="2117" t="n">
        <v>2</v>
      </c>
      <c r="D2638" s="2118" t="n">
        <v>0</v>
      </c>
      <c r="E2638" s="2118" t="n">
        <v>1</v>
      </c>
      <c r="G2638" s="1796" t="n"/>
      <c r="H2638" s="1771" t="inlineStr">
        <is>
          <t>ETAPA</t>
        </is>
      </c>
      <c r="I2638" s="1735" t="inlineStr">
        <is>
          <t>18.002</t>
        </is>
      </c>
      <c r="J2638" s="1773" t="inlineStr">
        <is>
          <t>ESQUADRIAS DE ALUMÍNIO - Mezanino G1</t>
        </is>
      </c>
      <c r="K2638" s="1774" t="n"/>
      <c r="L2638" s="1775" t="n"/>
      <c r="M2638" s="1775" t="n"/>
      <c r="N2638" s="1739" t="n"/>
      <c r="O2638" s="1776" t="n"/>
      <c r="P2638" s="1719" t="n"/>
    </row>
    <row r="2639" hidden="1" outlineLevel="2" ht="13.5" customHeight="1">
      <c r="A2639" s="2117" t="n">
        <v>0</v>
      </c>
      <c r="B2639" s="2117" t="n">
        <v>18</v>
      </c>
      <c r="C2639" s="2117" t="n">
        <v>2</v>
      </c>
      <c r="D2639" s="2118" t="n">
        <v>1</v>
      </c>
      <c r="E2639" s="2118" t="n">
        <v>0</v>
      </c>
      <c r="G2639" s="1797" t="n"/>
      <c r="H2639" s="1777" t="inlineStr">
        <is>
          <t>SUBETAPA</t>
        </is>
      </c>
      <c r="I2639" s="1742" t="inlineStr">
        <is>
          <t>18.002.001</t>
        </is>
      </c>
      <c r="J2639" s="1779" t="inlineStr">
        <is>
          <t>Contramarco</t>
        </is>
      </c>
      <c r="K2639" s="1780" t="n"/>
      <c r="L2639" s="1781" t="n"/>
      <c r="M2639" s="1781" t="n"/>
      <c r="N2639" s="1746" t="n">
        <v>478.744</v>
      </c>
      <c r="O2639" s="1782" t="n">
        <v>0.0285822944571445</v>
      </c>
      <c r="P2639" s="1720" t="n"/>
    </row>
    <row r="2640" hidden="1" outlineLevel="3" ht="13.5" customHeight="1">
      <c r="A2640" s="2117" t="n">
        <v>0</v>
      </c>
      <c r="B2640" s="2117" t="n">
        <v>18</v>
      </c>
      <c r="C2640" s="2117" t="n">
        <v>2</v>
      </c>
      <c r="D2640" s="2118" t="n">
        <v>1</v>
      </c>
      <c r="E2640" s="2118" t="n">
        <v>1</v>
      </c>
      <c r="G2640" s="1798" t="inlineStr">
        <is>
          <t>ESQUADRIAS, VIDROS E FERRAGENS</t>
        </is>
      </c>
      <c r="H2640" s="1783" t="inlineStr">
        <is>
          <t>SERVIÇO</t>
        </is>
      </c>
      <c r="I2640" s="1750" t="inlineStr">
        <is>
          <t>18.002.001.001</t>
        </is>
      </c>
      <c r="J2640" s="1785" t="inlineStr">
        <is>
          <t>Contramarco de Alumínio, Fixação com Argamassa</t>
        </is>
      </c>
      <c r="K2640" s="1786" t="inlineStr">
        <is>
          <t>m</t>
        </is>
      </c>
      <c r="L2640" s="1787" t="n">
        <v>20.6</v>
      </c>
      <c r="M2640" s="1787" t="n">
        <v>23.24</v>
      </c>
      <c r="N2640" s="1754" t="n">
        <v>478.744</v>
      </c>
      <c r="O2640" s="1788" t="inlineStr">
        <is>
          <t>Tabela de esquadrias enviada pela Gessele</t>
        </is>
      </c>
      <c r="P2640" s="1721" t="inlineStr">
        <is>
          <t>Pendente</t>
        </is>
      </c>
    </row>
    <row r="2641" hidden="1" outlineLevel="2" ht="13.5" customHeight="1">
      <c r="A2641" s="2117" t="n">
        <v>0</v>
      </c>
      <c r="B2641" s="2117" t="n">
        <v>18</v>
      </c>
      <c r="C2641" s="2117" t="n">
        <v>2</v>
      </c>
      <c r="D2641" s="2118" t="n">
        <v>2</v>
      </c>
      <c r="E2641" s="2118" t="n">
        <v>0</v>
      </c>
      <c r="G2641" s="1797" t="n"/>
      <c r="H2641" s="1777" t="inlineStr">
        <is>
          <t>SUBETAPA</t>
        </is>
      </c>
      <c r="I2641" s="1742" t="inlineStr">
        <is>
          <t>18.002.002</t>
        </is>
      </c>
      <c r="J2641" s="1779" t="inlineStr">
        <is>
          <t>Esquadrias de alumínio</t>
        </is>
      </c>
      <c r="K2641" s="1780" t="n"/>
      <c r="L2641" s="1781" t="n"/>
      <c r="M2641" s="1781" t="n"/>
      <c r="N2641" s="1746" t="n">
        <v>18223.1524392147</v>
      </c>
      <c r="O2641" s="1782" t="n"/>
      <c r="P2641" s="1720" t="n"/>
    </row>
    <row r="2642" hidden="1" outlineLevel="3" ht="13.5" customHeight="1">
      <c r="A2642" s="2117" t="n">
        <v>0</v>
      </c>
      <c r="B2642" s="2117" t="n">
        <v>18</v>
      </c>
      <c r="C2642" s="2117" t="n">
        <v>2</v>
      </c>
      <c r="D2642" s="2118" t="n">
        <v>2</v>
      </c>
      <c r="E2642" s="2118" t="n">
        <v>1</v>
      </c>
      <c r="G2642" s="1798" t="inlineStr">
        <is>
          <t>ESQUADRIAS, VIDROS E FERRAGENS</t>
        </is>
      </c>
      <c r="H2642" s="1783" t="inlineStr">
        <is>
          <t>SERVIÇO</t>
        </is>
      </c>
      <c r="I2642" s="1750" t="inlineStr">
        <is>
          <t>18.002.002.001</t>
        </is>
      </c>
      <c r="J2642" s="1785" t="inlineStr">
        <is>
          <t>Esquadrias de Alumínio - Portas - fornecimento e instalação</t>
        </is>
      </c>
      <c r="K2642" s="1786" t="inlineStr">
        <is>
          <t>m2</t>
        </is>
      </c>
      <c r="L2642" s="1787" t="n">
        <v>6</v>
      </c>
      <c r="M2642" s="1787" t="n">
        <v>1906.313968151559</v>
      </c>
      <c r="N2642" s="1754" t="n">
        <v>11437.8838089094</v>
      </c>
      <c r="O2642" s="1788" t="inlineStr">
        <is>
          <t>Tabela de esquadrias enviada pela Gessele</t>
        </is>
      </c>
      <c r="P2642" s="1721" t="inlineStr">
        <is>
          <t>Pendente</t>
        </is>
      </c>
    </row>
    <row r="2643" hidden="1" outlineLevel="3" ht="13.5" customHeight="1">
      <c r="A2643" s="2117" t="n">
        <v>0</v>
      </c>
      <c r="B2643" s="2117" t="n">
        <v>18</v>
      </c>
      <c r="C2643" s="2117" t="n">
        <v>2</v>
      </c>
      <c r="D2643" s="2118" t="n">
        <v>2</v>
      </c>
      <c r="E2643" s="2118" t="n">
        <v>2</v>
      </c>
      <c r="G2643" s="1798" t="inlineStr">
        <is>
          <t>ESQUADRIAS, VIDROS E FERRAGENS</t>
        </is>
      </c>
      <c r="H2643" s="1783" t="inlineStr">
        <is>
          <t>SERVIÇO</t>
        </is>
      </c>
      <c r="I2643" s="1750" t="inlineStr">
        <is>
          <t>18.002.002.002</t>
        </is>
      </c>
      <c r="J2643" s="1785" t="inlineStr">
        <is>
          <t>Esquadrias de Alumínio - Janelas - fornecimento e instalação</t>
        </is>
      </c>
      <c r="K2643" s="1786" t="inlineStr">
        <is>
          <t>m2</t>
        </is>
      </c>
      <c r="L2643" s="1787" t="n">
        <v>2.56</v>
      </c>
      <c r="M2643" s="1787" t="n">
        <v>2650.495558713029</v>
      </c>
      <c r="N2643" s="1754" t="n">
        <v>6785.26863030536</v>
      </c>
      <c r="O2643" s="1788" t="inlineStr">
        <is>
          <t>Tabela de esquadrias enviada pela Gessele</t>
        </is>
      </c>
      <c r="P2643" s="1721" t="inlineStr">
        <is>
          <t>Pendente</t>
        </is>
      </c>
    </row>
    <row r="2644" hidden="1" outlineLevel="2" ht="12.75" customHeight="1">
      <c r="A2644" s="2117" t="n">
        <v>0</v>
      </c>
      <c r="B2644" s="2117" t="n">
        <v>18</v>
      </c>
      <c r="C2644" s="2117" t="n">
        <v>2</v>
      </c>
      <c r="D2644" s="2118" t="n">
        <v>3</v>
      </c>
      <c r="E2644" s="2118" t="n">
        <v>0</v>
      </c>
      <c r="G2644" s="1797" t="n"/>
      <c r="H2644" s="1777" t="inlineStr">
        <is>
          <t>SUBETAPA</t>
        </is>
      </c>
      <c r="I2644" s="1742" t="inlineStr">
        <is>
          <t>18.002.003</t>
        </is>
      </c>
      <c r="J2644" s="1779" t="inlineStr">
        <is>
          <t>Guarda corpo</t>
        </is>
      </c>
      <c r="K2644" s="1780" t="n"/>
      <c r="L2644" s="1781" t="n"/>
      <c r="M2644" s="1781" t="n"/>
      <c r="N2644" s="1746" t="n"/>
      <c r="O2644" s="1782" t="n"/>
      <c r="P2644" s="1720" t="n"/>
    </row>
    <row r="2645" hidden="1" outlineLevel="3" ht="12.75" customHeight="1">
      <c r="A2645" s="2117" t="n">
        <v>0</v>
      </c>
      <c r="B2645" s="2117" t="n">
        <v>18</v>
      </c>
      <c r="C2645" s="2117" t="n">
        <v>2</v>
      </c>
      <c r="D2645" s="2118" t="n">
        <v>3</v>
      </c>
      <c r="E2645" s="2118" t="n">
        <v>1</v>
      </c>
      <c r="G2645" s="1798" t="inlineStr">
        <is>
          <t>ESQUADRIAS, VIDROS E FERRAGENS</t>
        </is>
      </c>
      <c r="H2645" s="1783" t="inlineStr">
        <is>
          <t>SERVIÇO</t>
        </is>
      </c>
      <c r="I2645" s="1750" t="inlineStr">
        <is>
          <t>18.002.003.001</t>
        </is>
      </c>
      <c r="J2645" s="1785" t="inlineStr">
        <is>
          <t>Guarda Corpo de Vidro e Aluminio - fornecimento e instalação</t>
        </is>
      </c>
      <c r="K2645" s="1786" t="inlineStr">
        <is>
          <t>m2</t>
        </is>
      </c>
      <c r="L2645" s="1787" t="e">
        <v>#REF!</v>
      </c>
      <c r="M2645" s="1787" t="n">
        <v>1403.985</v>
      </c>
      <c r="N2645" s="1754" t="n"/>
      <c r="O2645" s="1788" t="inlineStr">
        <is>
          <t>Modelo do visus</t>
        </is>
      </c>
      <c r="P2645" s="1721" t="inlineStr">
        <is>
          <t>Pendente</t>
        </is>
      </c>
    </row>
    <row r="2646" hidden="1" outlineLevel="2" ht="12.75" customHeight="1">
      <c r="A2646" s="2117" t="n">
        <v>0</v>
      </c>
      <c r="B2646" s="2117" t="n">
        <v>18</v>
      </c>
      <c r="C2646" s="2117" t="n">
        <v>2</v>
      </c>
      <c r="D2646" s="2118" t="n">
        <v>4</v>
      </c>
      <c r="E2646" s="2118" t="n">
        <v>0</v>
      </c>
      <c r="G2646" s="1797" t="n"/>
      <c r="H2646" s="1777" t="inlineStr">
        <is>
          <t>SUBETAPA</t>
        </is>
      </c>
      <c r="I2646" s="1742" t="inlineStr">
        <is>
          <t>18.002.004</t>
        </is>
      </c>
      <c r="J2646" s="1779" t="inlineStr">
        <is>
          <t>Brise de Aluminio</t>
        </is>
      </c>
      <c r="K2646" s="1780" t="n"/>
      <c r="L2646" s="1781" t="n"/>
      <c r="M2646" s="1781" t="n"/>
      <c r="N2646" s="1746" t="n"/>
      <c r="O2646" s="1782" t="n"/>
      <c r="P2646" s="1720" t="n"/>
    </row>
    <row r="2647" hidden="1" outlineLevel="3" ht="12.75" customHeight="1">
      <c r="A2647" s="2117" t="n">
        <v>0</v>
      </c>
      <c r="B2647" s="2117" t="n">
        <v>18</v>
      </c>
      <c r="C2647" s="2117" t="n">
        <v>2</v>
      </c>
      <c r="D2647" s="2118" t="n">
        <v>4</v>
      </c>
      <c r="E2647" s="2118" t="n">
        <v>1</v>
      </c>
      <c r="G2647" s="1798" t="inlineStr">
        <is>
          <t>ESQUADRIAS, VIDROS E FERRAGENS</t>
        </is>
      </c>
      <c r="H2647" s="1783" t="inlineStr">
        <is>
          <t>SERVIÇO</t>
        </is>
      </c>
      <c r="I2647" s="1750" t="inlineStr">
        <is>
          <t>18.002.004.001</t>
        </is>
      </c>
      <c r="J2647" s="1785" t="inlineStr">
        <is>
          <t>Brise de Alumínio - Decoração Fachada</t>
        </is>
      </c>
      <c r="K2647" s="1786" t="inlineStr">
        <is>
          <t>m2</t>
        </is>
      </c>
      <c r="L2647" s="1787" t="e">
        <v>#REF!</v>
      </c>
      <c r="M2647" s="1787" t="n">
        <v>2122.541389557096</v>
      </c>
      <c r="N2647" s="1754" t="n"/>
      <c r="O2647" s="1788" t="inlineStr">
        <is>
          <t>Modelo do visus</t>
        </is>
      </c>
      <c r="P2647" s="1721" t="inlineStr">
        <is>
          <t>Pendente</t>
        </is>
      </c>
    </row>
    <row r="2648" hidden="1" outlineLevel="1" ht="13.5" customHeight="1">
      <c r="A2648" s="2117" t="n">
        <v>0</v>
      </c>
      <c r="B2648" s="2117" t="n">
        <v>18</v>
      </c>
      <c r="C2648" s="2117" t="n">
        <v>3</v>
      </c>
      <c r="D2648" s="2118" t="n">
        <v>0</v>
      </c>
      <c r="E2648" s="2118" t="n">
        <v>1</v>
      </c>
      <c r="G2648" s="1796" t="n"/>
      <c r="H2648" s="1771" t="inlineStr">
        <is>
          <t>ETAPA</t>
        </is>
      </c>
      <c r="I2648" s="1735" t="inlineStr">
        <is>
          <t>18.003</t>
        </is>
      </c>
      <c r="J2648" s="1773" t="inlineStr">
        <is>
          <t>ESQUADRIAS DE ALUMÍNIO - G2</t>
        </is>
      </c>
      <c r="K2648" s="1774" t="n"/>
      <c r="L2648" s="1775" t="n"/>
      <c r="M2648" s="1775" t="n"/>
      <c r="N2648" s="1739" t="n"/>
      <c r="O2648" s="1776" t="n"/>
      <c r="P2648" s="1719" t="n"/>
    </row>
    <row r="2649" hidden="1" outlineLevel="2" ht="13.5" customHeight="1">
      <c r="A2649" s="2117" t="n">
        <v>0</v>
      </c>
      <c r="B2649" s="2117" t="n">
        <v>18</v>
      </c>
      <c r="C2649" s="2117" t="n">
        <v>3</v>
      </c>
      <c r="D2649" s="2118" t="n">
        <v>1</v>
      </c>
      <c r="E2649" s="2118" t="n">
        <v>0</v>
      </c>
      <c r="G2649" s="1797" t="n"/>
      <c r="H2649" s="1777" t="inlineStr">
        <is>
          <t>SUBETAPA</t>
        </is>
      </c>
      <c r="I2649" s="1742" t="inlineStr">
        <is>
          <t>18.003.001</t>
        </is>
      </c>
      <c r="J2649" s="1779" t="inlineStr">
        <is>
          <t>Contramarco</t>
        </is>
      </c>
      <c r="K2649" s="1780" t="n"/>
      <c r="L2649" s="1781" t="n"/>
      <c r="M2649" s="1781" t="n"/>
      <c r="N2649" s="1746" t="n">
        <v>223.104</v>
      </c>
      <c r="O2649" s="1782" t="n">
        <v>0.0133199042130382</v>
      </c>
      <c r="P2649" s="1720" t="n"/>
    </row>
    <row r="2650" hidden="1" outlineLevel="3" ht="13.5" customHeight="1">
      <c r="A2650" s="2117" t="n">
        <v>0</v>
      </c>
      <c r="B2650" s="2117" t="n">
        <v>18</v>
      </c>
      <c r="C2650" s="2117" t="n">
        <v>3</v>
      </c>
      <c r="D2650" s="2118" t="n">
        <v>1</v>
      </c>
      <c r="E2650" s="2118" t="n">
        <v>1</v>
      </c>
      <c r="G2650" s="1798" t="inlineStr">
        <is>
          <t>ESQUADRIAS, VIDROS E FERRAGENS</t>
        </is>
      </c>
      <c r="H2650" s="1783" t="inlineStr">
        <is>
          <t>SERVIÇO</t>
        </is>
      </c>
      <c r="I2650" s="1750" t="inlineStr">
        <is>
          <t>18.003.001.001</t>
        </is>
      </c>
      <c r="J2650" s="1785" t="inlineStr">
        <is>
          <t>Contramarco de Alumínio, Fixação com Argamassa</t>
        </is>
      </c>
      <c r="K2650" s="1786" t="inlineStr">
        <is>
          <t>m</t>
        </is>
      </c>
      <c r="L2650" s="1787" t="n">
        <v>9.600000000000001</v>
      </c>
      <c r="M2650" s="1787" t="n">
        <v>23.24</v>
      </c>
      <c r="N2650" s="1754" t="n">
        <v>223.104</v>
      </c>
      <c r="O2650" s="1788" t="inlineStr">
        <is>
          <t>Tabela de esquadrias enviada pela Gessele</t>
        </is>
      </c>
      <c r="P2650" s="1721" t="inlineStr">
        <is>
          <t>Pendente</t>
        </is>
      </c>
    </row>
    <row r="2651" hidden="1" outlineLevel="2" ht="13.5" customHeight="1">
      <c r="A2651" s="2117" t="n">
        <v>0</v>
      </c>
      <c r="B2651" s="2117" t="n">
        <v>18</v>
      </c>
      <c r="C2651" s="2117" t="n">
        <v>3</v>
      </c>
      <c r="D2651" s="2118" t="n">
        <v>2</v>
      </c>
      <c r="E2651" s="2118" t="n">
        <v>0</v>
      </c>
      <c r="G2651" s="1797" t="n"/>
      <c r="H2651" s="1777" t="inlineStr">
        <is>
          <t>SUBETAPA</t>
        </is>
      </c>
      <c r="I2651" s="1742" t="inlineStr">
        <is>
          <t>18.003.002</t>
        </is>
      </c>
      <c r="J2651" s="1779" t="inlineStr">
        <is>
          <t>Esquadrias de alumínio</t>
        </is>
      </c>
      <c r="K2651" s="1780" t="n"/>
      <c r="L2651" s="1781" t="n"/>
      <c r="M2651" s="1781" t="n"/>
      <c r="N2651" s="1746" t="n">
        <v>6785.26863030536</v>
      </c>
      <c r="O2651" s="1782" t="n"/>
      <c r="P2651" s="1720" t="n"/>
    </row>
    <row r="2652" hidden="1" outlineLevel="3" ht="13.5" customHeight="1">
      <c r="A2652" s="2117" t="n">
        <v>0</v>
      </c>
      <c r="B2652" s="2117" t="n">
        <v>18</v>
      </c>
      <c r="C2652" s="2117" t="n">
        <v>3</v>
      </c>
      <c r="D2652" s="2118" t="n">
        <v>2</v>
      </c>
      <c r="E2652" s="2118" t="n">
        <v>1</v>
      </c>
      <c r="G2652" s="1798" t="inlineStr">
        <is>
          <t>ESQUADRIAS, VIDROS E FERRAGENS</t>
        </is>
      </c>
      <c r="H2652" s="1783" t="inlineStr">
        <is>
          <t>SERVIÇO</t>
        </is>
      </c>
      <c r="I2652" s="1750" t="inlineStr">
        <is>
          <t>18.003.002.001</t>
        </is>
      </c>
      <c r="J2652" s="1785" t="inlineStr">
        <is>
          <t>Esquadrias de Alumínio - Janelas - fornecimento e instalação</t>
        </is>
      </c>
      <c r="K2652" s="1786" t="inlineStr">
        <is>
          <t>m2</t>
        </is>
      </c>
      <c r="L2652" s="1787" t="n">
        <v>2.56</v>
      </c>
      <c r="M2652" s="1787" t="n">
        <v>2650.495558713029</v>
      </c>
      <c r="N2652" s="1754" t="n">
        <v>6785.26863030536</v>
      </c>
      <c r="O2652" s="1788" t="inlineStr">
        <is>
          <t>Tabela de esquadrias enviada pela Gessele</t>
        </is>
      </c>
      <c r="P2652" s="1721" t="inlineStr">
        <is>
          <t>Pendente</t>
        </is>
      </c>
    </row>
    <row r="2653" hidden="1" outlineLevel="2" ht="12.75" customHeight="1">
      <c r="A2653" s="2117" t="n">
        <v>0</v>
      </c>
      <c r="B2653" s="2117" t="n">
        <v>18</v>
      </c>
      <c r="C2653" s="2117" t="n">
        <v>3</v>
      </c>
      <c r="D2653" s="2118" t="n">
        <v>3</v>
      </c>
      <c r="E2653" s="2118" t="n">
        <v>0</v>
      </c>
      <c r="G2653" s="1797" t="n"/>
      <c r="H2653" s="1777" t="inlineStr">
        <is>
          <t>SUBETAPA</t>
        </is>
      </c>
      <c r="I2653" s="1742" t="inlineStr">
        <is>
          <t>18.003.003</t>
        </is>
      </c>
      <c r="J2653" s="1779" t="inlineStr">
        <is>
          <t>Brise de Aluminio</t>
        </is>
      </c>
      <c r="K2653" s="1780" t="n"/>
      <c r="L2653" s="1781" t="n"/>
      <c r="M2653" s="1781" t="n"/>
      <c r="N2653" s="1746" t="n"/>
      <c r="O2653" s="1782" t="n"/>
      <c r="P2653" s="1720" t="n"/>
    </row>
    <row r="2654" hidden="1" outlineLevel="3" ht="12.75" customHeight="1">
      <c r="A2654" s="2117" t="n">
        <v>0</v>
      </c>
      <c r="B2654" s="2117" t="n">
        <v>18</v>
      </c>
      <c r="C2654" s="2117" t="n">
        <v>3</v>
      </c>
      <c r="D2654" s="2118" t="n">
        <v>3</v>
      </c>
      <c r="E2654" s="2118" t="n">
        <v>1</v>
      </c>
      <c r="G2654" s="1798" t="inlineStr">
        <is>
          <t>ESQUADRIAS, VIDROS E FERRAGENS</t>
        </is>
      </c>
      <c r="H2654" s="1783" t="inlineStr">
        <is>
          <t>SERVIÇO</t>
        </is>
      </c>
      <c r="I2654" s="1750" t="inlineStr">
        <is>
          <t>18.003.003.001</t>
        </is>
      </c>
      <c r="J2654" s="1785" t="inlineStr">
        <is>
          <t>Brise de Alumínio - Decoração Fachada</t>
        </is>
      </c>
      <c r="K2654" s="1786" t="inlineStr">
        <is>
          <t>m2</t>
        </is>
      </c>
      <c r="L2654" s="1787" t="e">
        <v>#REF!</v>
      </c>
      <c r="M2654" s="1787" t="n">
        <v>2122.541389557096</v>
      </c>
      <c r="N2654" s="1754" t="n"/>
      <c r="O2654" s="1788" t="inlineStr">
        <is>
          <t>Modelo do visus</t>
        </is>
      </c>
      <c r="P2654" s="1721" t="inlineStr">
        <is>
          <t>Pendente</t>
        </is>
      </c>
    </row>
    <row r="2655" hidden="1" outlineLevel="2" ht="12.75" customHeight="1">
      <c r="A2655" s="2117" t="n">
        <v>0</v>
      </c>
      <c r="B2655" s="2117" t="n">
        <v>18</v>
      </c>
      <c r="C2655" s="2117" t="n">
        <v>3</v>
      </c>
      <c r="D2655" s="2118" t="n">
        <v>4</v>
      </c>
      <c r="E2655" s="2118" t="n">
        <v>0</v>
      </c>
      <c r="G2655" s="1797" t="n"/>
      <c r="H2655" s="1777" t="inlineStr">
        <is>
          <t>SUBETAPA</t>
        </is>
      </c>
      <c r="I2655" s="1742" t="inlineStr">
        <is>
          <t>18.003.004</t>
        </is>
      </c>
      <c r="J2655" s="1779" t="inlineStr">
        <is>
          <t>Pele de vidro</t>
        </is>
      </c>
      <c r="K2655" s="1780" t="n"/>
      <c r="L2655" s="1781" t="n"/>
      <c r="M2655" s="1781" t="n"/>
      <c r="N2655" s="1746" t="n"/>
      <c r="O2655" s="1782" t="n"/>
      <c r="P2655" s="1720" t="n"/>
    </row>
    <row r="2656" hidden="1" outlineLevel="3" ht="13.5" customHeight="1">
      <c r="A2656" s="2117" t="n">
        <v>0</v>
      </c>
      <c r="B2656" s="2117" t="n">
        <v>18</v>
      </c>
      <c r="C2656" s="2117" t="n">
        <v>3</v>
      </c>
      <c r="D2656" s="2118" t="n">
        <v>4</v>
      </c>
      <c r="E2656" s="2118" t="n">
        <v>1</v>
      </c>
      <c r="G2656" s="1798" t="inlineStr">
        <is>
          <t>ESQUADRIAS, VIDROS E FERRAGENS</t>
        </is>
      </c>
      <c r="H2656" s="1783" t="inlineStr">
        <is>
          <t>SERVIÇO</t>
        </is>
      </c>
      <c r="I2656" s="1750" t="inlineStr">
        <is>
          <t>18.003.004.001</t>
        </is>
      </c>
      <c r="J2656" s="1785" t="inlineStr">
        <is>
          <t>Pele de vidro</t>
        </is>
      </c>
      <c r="K2656" s="1786" t="inlineStr">
        <is>
          <t>m2</t>
        </is>
      </c>
      <c r="L2656" s="1787" t="e">
        <v>#REF!</v>
      </c>
      <c r="M2656" s="1787" t="n">
        <v>1533.99</v>
      </c>
      <c r="N2656" s="1754" t="n"/>
      <c r="O2656" s="1788" t="inlineStr">
        <is>
          <t>Modelo do visus</t>
        </is>
      </c>
      <c r="P2656" s="1721" t="inlineStr">
        <is>
          <t>Pendente</t>
        </is>
      </c>
    </row>
    <row r="2657" hidden="1" outlineLevel="1" ht="13.5" customHeight="1">
      <c r="A2657" s="2117" t="n">
        <v>0</v>
      </c>
      <c r="B2657" s="2117" t="n">
        <v>18</v>
      </c>
      <c r="C2657" s="2117" t="n">
        <v>4</v>
      </c>
      <c r="D2657" s="2118" t="n">
        <v>0</v>
      </c>
      <c r="E2657" s="2118" t="n">
        <v>1</v>
      </c>
      <c r="G2657" s="1796" t="n"/>
      <c r="H2657" s="1771" t="inlineStr">
        <is>
          <t>ETAPA</t>
        </is>
      </c>
      <c r="I2657" s="1735" t="inlineStr">
        <is>
          <t>18.004</t>
        </is>
      </c>
      <c r="J2657" s="1773" t="inlineStr">
        <is>
          <t>ESQUADRIAS DE ALUMÍNIO - Mezanino G2</t>
        </is>
      </c>
      <c r="K2657" s="1774" t="n"/>
      <c r="L2657" s="1775" t="n"/>
      <c r="M2657" s="1775" t="n"/>
      <c r="N2657" s="1739" t="n"/>
      <c r="O2657" s="1776" t="n"/>
      <c r="P2657" s="1719" t="n"/>
    </row>
    <row r="2658" hidden="1" outlineLevel="2" ht="13.5" customHeight="1">
      <c r="A2658" s="2117" t="n">
        <v>0</v>
      </c>
      <c r="B2658" s="2117" t="n">
        <v>18</v>
      </c>
      <c r="C2658" s="2117" t="n">
        <v>4</v>
      </c>
      <c r="D2658" s="2118" t="n">
        <v>1</v>
      </c>
      <c r="E2658" s="2118" t="n">
        <v>0</v>
      </c>
      <c r="G2658" s="1797" t="n"/>
      <c r="H2658" s="1777" t="inlineStr">
        <is>
          <t>SUBETAPA</t>
        </is>
      </c>
      <c r="I2658" s="1742" t="inlineStr">
        <is>
          <t>18.004.001</t>
        </is>
      </c>
      <c r="J2658" s="1779" t="inlineStr">
        <is>
          <t>Contramarco</t>
        </is>
      </c>
      <c r="K2658" s="1780" t="n"/>
      <c r="L2658" s="1781" t="n"/>
      <c r="M2658" s="1781" t="n"/>
      <c r="N2658" s="1746" t="n">
        <v>223.104</v>
      </c>
      <c r="O2658" s="1782" t="n">
        <v>0.0133199042130382</v>
      </c>
      <c r="P2658" s="1720" t="n"/>
    </row>
    <row r="2659" hidden="1" outlineLevel="3" ht="13.5" customHeight="1">
      <c r="A2659" s="2117" t="n">
        <v>0</v>
      </c>
      <c r="B2659" s="2117" t="n">
        <v>18</v>
      </c>
      <c r="C2659" s="2117" t="n">
        <v>4</v>
      </c>
      <c r="D2659" s="2118" t="n">
        <v>1</v>
      </c>
      <c r="E2659" s="2118" t="n">
        <v>1</v>
      </c>
      <c r="G2659" s="1798" t="inlineStr">
        <is>
          <t>ESQUADRIAS, VIDROS E FERRAGENS</t>
        </is>
      </c>
      <c r="H2659" s="1783" t="inlineStr">
        <is>
          <t>SERVIÇO</t>
        </is>
      </c>
      <c r="I2659" s="1750" t="inlineStr">
        <is>
          <t>18.004.001.001</t>
        </is>
      </c>
      <c r="J2659" s="1785" t="inlineStr">
        <is>
          <t>Contramarco de Alumínio, Fixação com Argamassa</t>
        </is>
      </c>
      <c r="K2659" s="1786" t="inlineStr">
        <is>
          <t>m</t>
        </is>
      </c>
      <c r="L2659" s="1787" t="n">
        <v>9.600000000000001</v>
      </c>
      <c r="M2659" s="1787" t="n">
        <v>23.24</v>
      </c>
      <c r="N2659" s="1754" t="n">
        <v>223.104</v>
      </c>
      <c r="O2659" s="1788" t="inlineStr">
        <is>
          <t>Tabela de esquadrias enviada pela Gessele</t>
        </is>
      </c>
      <c r="P2659" s="1721" t="inlineStr">
        <is>
          <t>Pendente</t>
        </is>
      </c>
    </row>
    <row r="2660" hidden="1" outlineLevel="2" ht="13.5" customHeight="1">
      <c r="A2660" s="2117" t="n">
        <v>0</v>
      </c>
      <c r="B2660" s="2117" t="n">
        <v>18</v>
      </c>
      <c r="C2660" s="2117" t="n">
        <v>4</v>
      </c>
      <c r="D2660" s="2118" t="n">
        <v>2</v>
      </c>
      <c r="E2660" s="2118" t="n">
        <v>0</v>
      </c>
      <c r="G2660" s="1797" t="n"/>
      <c r="H2660" s="1777" t="inlineStr">
        <is>
          <t>SUBETAPA</t>
        </is>
      </c>
      <c r="I2660" s="1742" t="inlineStr">
        <is>
          <t>18.004.002</t>
        </is>
      </c>
      <c r="J2660" s="1779" t="inlineStr">
        <is>
          <t>Esquadrias de alumínio</t>
        </is>
      </c>
      <c r="K2660" s="1780" t="n"/>
      <c r="L2660" s="1781" t="n"/>
      <c r="M2660" s="1781" t="n"/>
      <c r="N2660" s="1746" t="n">
        <v>6785.26863030536</v>
      </c>
      <c r="O2660" s="1782" t="n"/>
      <c r="P2660" s="1720" t="n"/>
    </row>
    <row r="2661" hidden="1" outlineLevel="3" ht="13.5" customHeight="1">
      <c r="A2661" s="2117" t="n">
        <v>0</v>
      </c>
      <c r="B2661" s="2117" t="n">
        <v>18</v>
      </c>
      <c r="C2661" s="2117" t="n">
        <v>4</v>
      </c>
      <c r="D2661" s="2118" t="n">
        <v>2</v>
      </c>
      <c r="E2661" s="2118" t="n">
        <v>1</v>
      </c>
      <c r="G2661" s="1798" t="inlineStr">
        <is>
          <t>ESQUADRIAS, VIDROS E FERRAGENS</t>
        </is>
      </c>
      <c r="H2661" s="1783" t="inlineStr">
        <is>
          <t>SERVIÇO</t>
        </is>
      </c>
      <c r="I2661" s="1750" t="inlineStr">
        <is>
          <t>18.004.002.001</t>
        </is>
      </c>
      <c r="J2661" s="1785" t="inlineStr">
        <is>
          <t>Esquadrias de Alumínio - Janelas - fornecimento e instalação</t>
        </is>
      </c>
      <c r="K2661" s="1786" t="inlineStr">
        <is>
          <t>m2</t>
        </is>
      </c>
      <c r="L2661" s="1787" t="n">
        <v>2.56</v>
      </c>
      <c r="M2661" s="1787" t="n">
        <v>2650.495558713029</v>
      </c>
      <c r="N2661" s="1754" t="n">
        <v>6785.26863030536</v>
      </c>
      <c r="O2661" s="1788" t="inlineStr">
        <is>
          <t>Tabela de esquadrias enviada pela Gessele</t>
        </is>
      </c>
      <c r="P2661" s="1721" t="inlineStr">
        <is>
          <t>Pendente</t>
        </is>
      </c>
    </row>
    <row r="2662" hidden="1" outlineLevel="2" ht="12.75" customHeight="1">
      <c r="A2662" s="2117" t="n">
        <v>0</v>
      </c>
      <c r="B2662" s="2117" t="n">
        <v>18</v>
      </c>
      <c r="C2662" s="2117" t="n">
        <v>4</v>
      </c>
      <c r="D2662" s="2118" t="n">
        <v>3</v>
      </c>
      <c r="E2662" s="2118" t="n">
        <v>0</v>
      </c>
      <c r="G2662" s="1797" t="n"/>
      <c r="H2662" s="1777" t="inlineStr">
        <is>
          <t>SUBETAPA</t>
        </is>
      </c>
      <c r="I2662" s="1742" t="inlineStr">
        <is>
          <t>18.004.003</t>
        </is>
      </c>
      <c r="J2662" s="1779" t="inlineStr">
        <is>
          <t>Pele de vidro</t>
        </is>
      </c>
      <c r="K2662" s="1780" t="n"/>
      <c r="L2662" s="1781" t="n"/>
      <c r="M2662" s="1781" t="n"/>
      <c r="N2662" s="1746" t="n"/>
      <c r="O2662" s="1782" t="n"/>
      <c r="P2662" s="1720" t="n"/>
    </row>
    <row r="2663" hidden="1" outlineLevel="3" ht="13.5" customHeight="1">
      <c r="A2663" s="2117" t="n">
        <v>0</v>
      </c>
      <c r="B2663" s="2117" t="n">
        <v>18</v>
      </c>
      <c r="C2663" s="2117" t="n">
        <v>4</v>
      </c>
      <c r="D2663" s="2118" t="n">
        <v>3</v>
      </c>
      <c r="E2663" s="2118" t="n">
        <v>1</v>
      </c>
      <c r="G2663" s="1798" t="inlineStr">
        <is>
          <t>ESQUADRIAS, VIDROS E FERRAGENS</t>
        </is>
      </c>
      <c r="H2663" s="1783" t="inlineStr">
        <is>
          <t>SERVIÇO</t>
        </is>
      </c>
      <c r="I2663" s="1750" t="inlineStr">
        <is>
          <t>18.004.003.001</t>
        </is>
      </c>
      <c r="J2663" s="1785" t="inlineStr">
        <is>
          <t>Pele de vidro</t>
        </is>
      </c>
      <c r="K2663" s="1786" t="inlineStr">
        <is>
          <t>m2</t>
        </is>
      </c>
      <c r="L2663" s="1787" t="e">
        <v>#REF!</v>
      </c>
      <c r="M2663" s="1787" t="n">
        <v>1533.99</v>
      </c>
      <c r="N2663" s="1754" t="n"/>
      <c r="O2663" s="1788" t="inlineStr">
        <is>
          <t>Modelo do visus</t>
        </is>
      </c>
      <c r="P2663" s="1721" t="inlineStr">
        <is>
          <t>Pendente</t>
        </is>
      </c>
    </row>
    <row r="2664" hidden="1" outlineLevel="1" ht="13.5" customHeight="1">
      <c r="A2664" s="2117" t="n">
        <v>0</v>
      </c>
      <c r="B2664" s="2117" t="n">
        <v>18</v>
      </c>
      <c r="C2664" s="2117" t="n">
        <v>5</v>
      </c>
      <c r="D2664" s="2118" t="n">
        <v>0</v>
      </c>
      <c r="E2664" s="2118" t="n">
        <v>1</v>
      </c>
      <c r="G2664" s="1796" t="n"/>
      <c r="H2664" s="1771" t="inlineStr">
        <is>
          <t>ETAPA</t>
        </is>
      </c>
      <c r="I2664" s="1735" t="inlineStr">
        <is>
          <t>18.005</t>
        </is>
      </c>
      <c r="J2664" s="1773" t="inlineStr">
        <is>
          <t>ESQUADRIAS DE ALUMÍNIO - G3</t>
        </is>
      </c>
      <c r="K2664" s="1774" t="n"/>
      <c r="L2664" s="1775" t="n"/>
      <c r="M2664" s="1775" t="n"/>
      <c r="N2664" s="1739" t="n"/>
      <c r="O2664" s="1776" t="n"/>
      <c r="P2664" s="1719" t="n"/>
    </row>
    <row r="2665" hidden="1" outlineLevel="2" ht="13.5" customHeight="1">
      <c r="A2665" s="2117" t="n">
        <v>0</v>
      </c>
      <c r="B2665" s="2117" t="n">
        <v>18</v>
      </c>
      <c r="C2665" s="2117" t="n">
        <v>5</v>
      </c>
      <c r="D2665" s="2118" t="n">
        <v>1</v>
      </c>
      <c r="E2665" s="2118" t="n">
        <v>0</v>
      </c>
      <c r="G2665" s="1797" t="n"/>
      <c r="H2665" s="1777" t="inlineStr">
        <is>
          <t>SUBETAPA</t>
        </is>
      </c>
      <c r="I2665" s="1742" t="inlineStr">
        <is>
          <t>18.005.001</t>
        </is>
      </c>
      <c r="J2665" s="1779" t="inlineStr">
        <is>
          <t>Contramarco</t>
        </is>
      </c>
      <c r="K2665" s="1780" t="n"/>
      <c r="L2665" s="1781" t="n"/>
      <c r="M2665" s="1781" t="n"/>
      <c r="N2665" s="1746" t="n">
        <v>223.104</v>
      </c>
      <c r="O2665" s="1782" t="n">
        <v>0.0133199042130382</v>
      </c>
      <c r="P2665" s="1720" t="n"/>
    </row>
    <row r="2666" hidden="1" outlineLevel="3" ht="13.5" customHeight="1">
      <c r="A2666" s="2117" t="n">
        <v>0</v>
      </c>
      <c r="B2666" s="2117" t="n">
        <v>18</v>
      </c>
      <c r="C2666" s="2117" t="n">
        <v>5</v>
      </c>
      <c r="D2666" s="2118" t="n">
        <v>1</v>
      </c>
      <c r="E2666" s="2118" t="n">
        <v>1</v>
      </c>
      <c r="G2666" s="1798" t="inlineStr">
        <is>
          <t>ESQUADRIAS, VIDROS E FERRAGENS</t>
        </is>
      </c>
      <c r="H2666" s="1783" t="inlineStr">
        <is>
          <t>SERVIÇO</t>
        </is>
      </c>
      <c r="I2666" s="1750" t="inlineStr">
        <is>
          <t>18.005.001.001</t>
        </is>
      </c>
      <c r="J2666" s="1785" t="inlineStr">
        <is>
          <t>Contramarco de Alumínio, Fixação com Argamassa</t>
        </is>
      </c>
      <c r="K2666" s="1786" t="inlineStr">
        <is>
          <t>m</t>
        </is>
      </c>
      <c r="L2666" s="1787" t="n">
        <v>9.600000000000001</v>
      </c>
      <c r="M2666" s="1787" t="n">
        <v>23.24</v>
      </c>
      <c r="N2666" s="1754" t="n">
        <v>223.104</v>
      </c>
      <c r="O2666" s="1788" t="inlineStr">
        <is>
          <t>Tabela de esquadrias enviada pela Gessele</t>
        </is>
      </c>
      <c r="P2666" s="1721" t="inlineStr">
        <is>
          <t>Pendente</t>
        </is>
      </c>
    </row>
    <row r="2667" hidden="1" outlineLevel="2" ht="13.5" customHeight="1">
      <c r="A2667" s="2117" t="n">
        <v>0</v>
      </c>
      <c r="B2667" s="2117" t="n">
        <v>18</v>
      </c>
      <c r="C2667" s="2117" t="n">
        <v>5</v>
      </c>
      <c r="D2667" s="2118" t="n">
        <v>2</v>
      </c>
      <c r="E2667" s="2118" t="n">
        <v>0</v>
      </c>
      <c r="G2667" s="1797" t="n"/>
      <c r="H2667" s="1777" t="inlineStr">
        <is>
          <t>SUBETAPA</t>
        </is>
      </c>
      <c r="I2667" s="1742" t="inlineStr">
        <is>
          <t>18.005.002</t>
        </is>
      </c>
      <c r="J2667" s="1779" t="inlineStr">
        <is>
          <t>Esquadrias de alumínio</t>
        </is>
      </c>
      <c r="K2667" s="1780" t="n"/>
      <c r="L2667" s="1781" t="n"/>
      <c r="M2667" s="1781" t="n"/>
      <c r="N2667" s="1746" t="n">
        <v>6785.26863030536</v>
      </c>
      <c r="O2667" s="1782" t="n"/>
      <c r="P2667" s="1720" t="n"/>
    </row>
    <row r="2668" hidden="1" outlineLevel="3" ht="13.5" customHeight="1">
      <c r="A2668" s="2117" t="n">
        <v>0</v>
      </c>
      <c r="B2668" s="2117" t="n">
        <v>18</v>
      </c>
      <c r="C2668" s="2117" t="n">
        <v>5</v>
      </c>
      <c r="D2668" s="2118" t="n">
        <v>2</v>
      </c>
      <c r="E2668" s="2118" t="n">
        <v>1</v>
      </c>
      <c r="G2668" s="1798" t="inlineStr">
        <is>
          <t>ESQUADRIAS, VIDROS E FERRAGENS</t>
        </is>
      </c>
      <c r="H2668" s="1783" t="inlineStr">
        <is>
          <t>SERVIÇO</t>
        </is>
      </c>
      <c r="I2668" s="1750" t="inlineStr">
        <is>
          <t>18.005.002.001</t>
        </is>
      </c>
      <c r="J2668" s="1785" t="inlineStr">
        <is>
          <t>Esquadrias de Alumínio - Janelas - fornecimento e instalação</t>
        </is>
      </c>
      <c r="K2668" s="1786" t="inlineStr">
        <is>
          <t>m2</t>
        </is>
      </c>
      <c r="L2668" s="1787" t="n">
        <v>2.56</v>
      </c>
      <c r="M2668" s="1787" t="n">
        <v>2650.495558713029</v>
      </c>
      <c r="N2668" s="1754" t="n">
        <v>6785.26863030536</v>
      </c>
      <c r="O2668" s="1788" t="inlineStr">
        <is>
          <t>Tabela de esquadrias enviada pela Gessele</t>
        </is>
      </c>
      <c r="P2668" s="1721" t="inlineStr">
        <is>
          <t>Pendente</t>
        </is>
      </c>
    </row>
    <row r="2669" hidden="1" outlineLevel="2" ht="12.75" customHeight="1">
      <c r="A2669" s="2117" t="n">
        <v>0</v>
      </c>
      <c r="B2669" s="2117" t="n">
        <v>18</v>
      </c>
      <c r="C2669" s="2117" t="n">
        <v>5</v>
      </c>
      <c r="D2669" s="2118" t="n">
        <v>3</v>
      </c>
      <c r="E2669" s="2118" t="n">
        <v>0</v>
      </c>
      <c r="G2669" s="1797" t="n"/>
      <c r="H2669" s="1777" t="inlineStr">
        <is>
          <t>SUBETAPA</t>
        </is>
      </c>
      <c r="I2669" s="1742" t="inlineStr">
        <is>
          <t>18.005.003</t>
        </is>
      </c>
      <c r="J2669" s="1779" t="inlineStr">
        <is>
          <t>Pele de vidro</t>
        </is>
      </c>
      <c r="K2669" s="1780" t="n"/>
      <c r="L2669" s="1781" t="n"/>
      <c r="M2669" s="1781" t="n"/>
      <c r="N2669" s="1746" t="n"/>
      <c r="O2669" s="1782" t="n"/>
      <c r="P2669" s="1720" t="n"/>
    </row>
    <row r="2670" hidden="1" outlineLevel="3" ht="13.5" customHeight="1">
      <c r="A2670" s="2117" t="n">
        <v>0</v>
      </c>
      <c r="B2670" s="2117" t="n">
        <v>18</v>
      </c>
      <c r="C2670" s="2117" t="n">
        <v>5</v>
      </c>
      <c r="D2670" s="2118" t="n">
        <v>3</v>
      </c>
      <c r="E2670" s="2118" t="n">
        <v>1</v>
      </c>
      <c r="G2670" s="1798" t="inlineStr">
        <is>
          <t>ESQUADRIAS, VIDROS E FERRAGENS</t>
        </is>
      </c>
      <c r="H2670" s="1783" t="inlineStr">
        <is>
          <t>SERVIÇO</t>
        </is>
      </c>
      <c r="I2670" s="1750" t="inlineStr">
        <is>
          <t>18.005.003.001</t>
        </is>
      </c>
      <c r="J2670" s="1785" t="inlineStr">
        <is>
          <t>Pele de vidro</t>
        </is>
      </c>
      <c r="K2670" s="1786" t="inlineStr">
        <is>
          <t>m2</t>
        </is>
      </c>
      <c r="L2670" s="1787" t="e">
        <v>#REF!</v>
      </c>
      <c r="M2670" s="1787" t="n">
        <v>1533.99</v>
      </c>
      <c r="N2670" s="1754" t="n"/>
      <c r="O2670" s="1788" t="inlineStr">
        <is>
          <t>Modelo do visus</t>
        </is>
      </c>
      <c r="P2670" s="1721" t="inlineStr">
        <is>
          <t>Pendente</t>
        </is>
      </c>
    </row>
    <row r="2671" hidden="1" outlineLevel="1" ht="13.5" customHeight="1">
      <c r="A2671" s="2117" t="n">
        <v>0</v>
      </c>
      <c r="B2671" s="2117" t="n">
        <v>18</v>
      </c>
      <c r="C2671" s="2117" t="n">
        <v>6</v>
      </c>
      <c r="D2671" s="2118" t="n">
        <v>0</v>
      </c>
      <c r="E2671" s="2118" t="n">
        <v>1</v>
      </c>
      <c r="G2671" s="1796" t="n"/>
      <c r="H2671" s="1771" t="inlineStr">
        <is>
          <t>ETAPA</t>
        </is>
      </c>
      <c r="I2671" s="1735" t="inlineStr">
        <is>
          <t>18.006</t>
        </is>
      </c>
      <c r="J2671" s="1773" t="inlineStr">
        <is>
          <t>ESQUADRIAS DE ALUMÍNIO - Mezanino G3</t>
        </is>
      </c>
      <c r="K2671" s="1774" t="n"/>
      <c r="L2671" s="1775" t="n"/>
      <c r="M2671" s="1775" t="n"/>
      <c r="N2671" s="1739" t="n"/>
      <c r="O2671" s="1776" t="n"/>
      <c r="P2671" s="1719" t="n"/>
    </row>
    <row r="2672" hidden="1" outlineLevel="2" ht="13.5" customHeight="1">
      <c r="A2672" s="2117" t="n">
        <v>0</v>
      </c>
      <c r="B2672" s="2117" t="n">
        <v>18</v>
      </c>
      <c r="C2672" s="2117" t="n">
        <v>6</v>
      </c>
      <c r="D2672" s="2118" t="n">
        <v>1</v>
      </c>
      <c r="E2672" s="2118" t="n">
        <v>0</v>
      </c>
      <c r="G2672" s="1797" t="n"/>
      <c r="H2672" s="1777" t="inlineStr">
        <is>
          <t>SUBETAPA</t>
        </is>
      </c>
      <c r="I2672" s="1742" t="inlineStr">
        <is>
          <t>18.006.001</t>
        </is>
      </c>
      <c r="J2672" s="1779" t="inlineStr">
        <is>
          <t>Contramarco</t>
        </is>
      </c>
      <c r="K2672" s="1780" t="n"/>
      <c r="L2672" s="1781" t="n"/>
      <c r="M2672" s="1781" t="n"/>
      <c r="N2672" s="1746" t="n">
        <v>341.628</v>
      </c>
      <c r="O2672" s="1782" t="n">
        <v>0.0203961033262148</v>
      </c>
      <c r="P2672" s="1720" t="n"/>
    </row>
    <row r="2673" hidden="1" outlineLevel="3" ht="13.5" customHeight="1">
      <c r="A2673" s="2117" t="n">
        <v>0</v>
      </c>
      <c r="B2673" s="2117" t="n">
        <v>18</v>
      </c>
      <c r="C2673" s="2117" t="n">
        <v>6</v>
      </c>
      <c r="D2673" s="2118" t="n">
        <v>1</v>
      </c>
      <c r="E2673" s="2118" t="n">
        <v>1</v>
      </c>
      <c r="G2673" s="1798" t="inlineStr">
        <is>
          <t>ESQUADRIAS, VIDROS E FERRAGENS</t>
        </is>
      </c>
      <c r="H2673" s="1783" t="inlineStr">
        <is>
          <t>SERVIÇO</t>
        </is>
      </c>
      <c r="I2673" s="1750" t="inlineStr">
        <is>
          <t>18.006.001.001</t>
        </is>
      </c>
      <c r="J2673" s="1785" t="inlineStr">
        <is>
          <t>Contramarco de Alumínio, Fixação com Argamassa</t>
        </is>
      </c>
      <c r="K2673" s="1786" t="inlineStr">
        <is>
          <t>m</t>
        </is>
      </c>
      <c r="L2673" s="1787" t="n">
        <v>14.7</v>
      </c>
      <c r="M2673" s="1787" t="n">
        <v>23.24</v>
      </c>
      <c r="N2673" s="1754" t="n">
        <v>341.628</v>
      </c>
      <c r="O2673" s="1788" t="inlineStr">
        <is>
          <t>Tabela de esquadrias enviada pela Gessele</t>
        </is>
      </c>
      <c r="P2673" s="1721" t="inlineStr">
        <is>
          <t>Pendente</t>
        </is>
      </c>
    </row>
    <row r="2674" hidden="1" outlineLevel="2" ht="13.5" customHeight="1">
      <c r="A2674" s="2117" t="n">
        <v>0</v>
      </c>
      <c r="B2674" s="2117" t="n">
        <v>18</v>
      </c>
      <c r="C2674" s="2117" t="n">
        <v>6</v>
      </c>
      <c r="D2674" s="2118" t="n">
        <v>2</v>
      </c>
      <c r="E2674" s="2118" t="n">
        <v>0</v>
      </c>
      <c r="G2674" s="1797" t="n"/>
      <c r="H2674" s="1777" t="inlineStr">
        <is>
          <t>SUBETAPA</t>
        </is>
      </c>
      <c r="I2674" s="1742" t="inlineStr">
        <is>
          <t>18.006.002</t>
        </is>
      </c>
      <c r="J2674" s="1779" t="inlineStr">
        <is>
          <t>Esquadrias de alumínio</t>
        </is>
      </c>
      <c r="K2674" s="1780" t="n"/>
      <c r="L2674" s="1781" t="n"/>
      <c r="M2674" s="1781" t="n"/>
      <c r="N2674" s="1746" t="n">
        <v>10388.2020301118</v>
      </c>
      <c r="O2674" s="1782" t="n"/>
      <c r="P2674" s="1720" t="n"/>
    </row>
    <row r="2675" hidden="1" outlineLevel="3" ht="13.5" customHeight="1">
      <c r="A2675" s="2117" t="n">
        <v>0</v>
      </c>
      <c r="B2675" s="2117" t="n">
        <v>18</v>
      </c>
      <c r="C2675" s="2117" t="n">
        <v>6</v>
      </c>
      <c r="D2675" s="2118" t="n">
        <v>2</v>
      </c>
      <c r="E2675" s="2118" t="n">
        <v>1</v>
      </c>
      <c r="G2675" s="1798" t="inlineStr">
        <is>
          <t>ESQUADRIAS, VIDROS E FERRAGENS</t>
        </is>
      </c>
      <c r="H2675" s="1783" t="inlineStr">
        <is>
          <t>SERVIÇO</t>
        </is>
      </c>
      <c r="I2675" s="1750" t="inlineStr">
        <is>
          <t>18.006.002.001</t>
        </is>
      </c>
      <c r="J2675" s="1785" t="inlineStr">
        <is>
          <t>Esquadrias de Alumínio - Portas - fornecimento e instalação</t>
        </is>
      </c>
      <c r="K2675" s="1786" t="inlineStr">
        <is>
          <t>m2</t>
        </is>
      </c>
      <c r="L2675" s="1787" t="n">
        <v>1.89</v>
      </c>
      <c r="M2675" s="1787" t="n">
        <v>1906.313968151559</v>
      </c>
      <c r="N2675" s="1754" t="n">
        <v>3602.93339980645</v>
      </c>
      <c r="O2675" s="1788" t="inlineStr">
        <is>
          <t>Tabela de esquadrias enviada pela Gessele</t>
        </is>
      </c>
      <c r="P2675" s="1721" t="inlineStr">
        <is>
          <t>Pendente</t>
        </is>
      </c>
    </row>
    <row r="2676" hidden="1" outlineLevel="3" ht="13.5" customHeight="1">
      <c r="A2676" s="2117" t="n">
        <v>0</v>
      </c>
      <c r="B2676" s="2117" t="n">
        <v>18</v>
      </c>
      <c r="C2676" s="2117" t="n">
        <v>6</v>
      </c>
      <c r="D2676" s="2118" t="n">
        <v>2</v>
      </c>
      <c r="E2676" s="2118" t="n">
        <v>2</v>
      </c>
      <c r="G2676" s="1798" t="inlineStr">
        <is>
          <t>ESQUADRIAS, VIDROS E FERRAGENS</t>
        </is>
      </c>
      <c r="H2676" s="1783" t="inlineStr">
        <is>
          <t>SERVIÇO</t>
        </is>
      </c>
      <c r="I2676" s="1750" t="inlineStr">
        <is>
          <t>18.006.002.002</t>
        </is>
      </c>
      <c r="J2676" s="1785" t="inlineStr">
        <is>
          <t>Esquadrias de Alumínio - Janelas - fornecimento e instalação</t>
        </is>
      </c>
      <c r="K2676" s="1786" t="inlineStr">
        <is>
          <t>m2</t>
        </is>
      </c>
      <c r="L2676" s="1787" t="n">
        <v>2.56</v>
      </c>
      <c r="M2676" s="1787" t="n">
        <v>2650.495558713029</v>
      </c>
      <c r="N2676" s="1754" t="n">
        <v>6785.26863030536</v>
      </c>
      <c r="O2676" s="1788" t="inlineStr">
        <is>
          <t>Tabela de esquadrias enviada pela Gessele</t>
        </is>
      </c>
      <c r="P2676" s="1721" t="inlineStr">
        <is>
          <t>Pendente</t>
        </is>
      </c>
    </row>
    <row r="2677" hidden="1" outlineLevel="2" ht="12.75" customHeight="1">
      <c r="A2677" s="2117" t="n">
        <v>0</v>
      </c>
      <c r="B2677" s="2117" t="n">
        <v>18</v>
      </c>
      <c r="C2677" s="2117" t="n">
        <v>6</v>
      </c>
      <c r="D2677" s="2118" t="n">
        <v>3</v>
      </c>
      <c r="E2677" s="2118" t="n">
        <v>0</v>
      </c>
      <c r="G2677" s="1797" t="n"/>
      <c r="H2677" s="1777" t="inlineStr">
        <is>
          <t>SUBETAPA</t>
        </is>
      </c>
      <c r="I2677" s="1742" t="inlineStr">
        <is>
          <t>18.006.003</t>
        </is>
      </c>
      <c r="J2677" s="1779" t="inlineStr">
        <is>
          <t>Pele de vidro</t>
        </is>
      </c>
      <c r="K2677" s="1780" t="n"/>
      <c r="L2677" s="1781" t="n"/>
      <c r="M2677" s="1781" t="n"/>
      <c r="N2677" s="1746" t="n"/>
      <c r="O2677" s="1782" t="n"/>
      <c r="P2677" s="1720" t="n"/>
    </row>
    <row r="2678" hidden="1" outlineLevel="3" ht="13.5" customHeight="1">
      <c r="A2678" s="2117" t="n">
        <v>0</v>
      </c>
      <c r="B2678" s="2117" t="n">
        <v>18</v>
      </c>
      <c r="C2678" s="2117" t="n">
        <v>6</v>
      </c>
      <c r="D2678" s="2118" t="n">
        <v>3</v>
      </c>
      <c r="E2678" s="2118" t="n">
        <v>1</v>
      </c>
      <c r="G2678" s="1798" t="inlineStr">
        <is>
          <t>ESQUADRIAS, VIDROS E FERRAGENS</t>
        </is>
      </c>
      <c r="H2678" s="1783" t="inlineStr">
        <is>
          <t>SERVIÇO</t>
        </is>
      </c>
      <c r="I2678" s="1750" t="inlineStr">
        <is>
          <t>18.006.003.001</t>
        </is>
      </c>
      <c r="J2678" s="1785" t="inlineStr">
        <is>
          <t>Pele de vidro</t>
        </is>
      </c>
      <c r="K2678" s="1786" t="inlineStr">
        <is>
          <t>m2</t>
        </is>
      </c>
      <c r="L2678" s="1787" t="e">
        <v>#REF!</v>
      </c>
      <c r="M2678" s="1787" t="n">
        <v>1533.99</v>
      </c>
      <c r="N2678" s="1754" t="n"/>
      <c r="O2678" s="1788" t="inlineStr">
        <is>
          <t>Modelo do visus</t>
        </is>
      </c>
      <c r="P2678" s="1721" t="inlineStr">
        <is>
          <t>Pendente</t>
        </is>
      </c>
    </row>
    <row r="2679" hidden="1" outlineLevel="1" ht="13.5" customHeight="1">
      <c r="A2679" s="2117" t="n">
        <v>0</v>
      </c>
      <c r="B2679" s="2117" t="n">
        <v>18</v>
      </c>
      <c r="C2679" s="2117" t="n">
        <v>7</v>
      </c>
      <c r="D2679" s="2118" t="n">
        <v>0</v>
      </c>
      <c r="E2679" s="2118" t="n">
        <v>1</v>
      </c>
      <c r="G2679" s="1796" t="n"/>
      <c r="H2679" s="1771" t="inlineStr">
        <is>
          <t>ETAPA</t>
        </is>
      </c>
      <c r="I2679" s="1735" t="inlineStr">
        <is>
          <t>18.007</t>
        </is>
      </c>
      <c r="J2679" s="1773" t="inlineStr">
        <is>
          <t>ESQUADRIAS DE ALUMÍNIO - Lazer | Garagem</t>
        </is>
      </c>
      <c r="K2679" s="1774" t="n"/>
      <c r="L2679" s="1775" t="n"/>
      <c r="M2679" s="1775" t="n"/>
      <c r="N2679" s="1739" t="n"/>
      <c r="O2679" s="1776" t="n"/>
      <c r="P2679" s="1719" t="n"/>
    </row>
    <row r="2680" hidden="1" outlineLevel="2" ht="13.5" customHeight="1">
      <c r="A2680" s="2117" t="n">
        <v>0</v>
      </c>
      <c r="B2680" s="2117" t="n">
        <v>18</v>
      </c>
      <c r="C2680" s="2117" t="n">
        <v>7</v>
      </c>
      <c r="D2680" s="2118" t="n">
        <v>1</v>
      </c>
      <c r="E2680" s="2118" t="n">
        <v>0</v>
      </c>
      <c r="G2680" s="1797" t="n"/>
      <c r="H2680" s="1777" t="inlineStr">
        <is>
          <t>SUBETAPA</t>
        </is>
      </c>
      <c r="I2680" s="1742" t="inlineStr">
        <is>
          <t>18.007.001</t>
        </is>
      </c>
      <c r="J2680" s="1779" t="inlineStr">
        <is>
          <t>Contramarco</t>
        </is>
      </c>
      <c r="K2680" s="1780" t="n"/>
      <c r="L2680" s="1781" t="n"/>
      <c r="M2680" s="1781" t="n"/>
      <c r="N2680" s="1746" t="n">
        <v>611.212</v>
      </c>
      <c r="O2680" s="1782" t="n">
        <v>0.036490987583636</v>
      </c>
      <c r="P2680" s="1720" t="n"/>
    </row>
    <row r="2681" hidden="1" outlineLevel="3" ht="13.5" customHeight="1">
      <c r="A2681" s="2117" t="n">
        <v>0</v>
      </c>
      <c r="B2681" s="2117" t="n">
        <v>18</v>
      </c>
      <c r="C2681" s="2117" t="n">
        <v>7</v>
      </c>
      <c r="D2681" s="2118" t="n">
        <v>1</v>
      </c>
      <c r="E2681" s="2118" t="n">
        <v>1</v>
      </c>
      <c r="G2681" s="1798" t="inlineStr">
        <is>
          <t>ESQUADRIAS, VIDROS E FERRAGENS</t>
        </is>
      </c>
      <c r="H2681" s="1783" t="inlineStr">
        <is>
          <t>SERVIÇO</t>
        </is>
      </c>
      <c r="I2681" s="1750" t="inlineStr">
        <is>
          <t>18.007.001.001</t>
        </is>
      </c>
      <c r="J2681" s="1785" t="inlineStr">
        <is>
          <t>Contramarco de Alumínio, Fixação com Argamassa</t>
        </is>
      </c>
      <c r="K2681" s="1786" t="inlineStr">
        <is>
          <t>m</t>
        </is>
      </c>
      <c r="L2681" s="1787" t="n">
        <v>26.3</v>
      </c>
      <c r="M2681" s="1787" t="n">
        <v>23.24</v>
      </c>
      <c r="N2681" s="1754" t="n">
        <v>611.212</v>
      </c>
      <c r="O2681" s="1788" t="inlineStr">
        <is>
          <t>Tabela de esquadrias enviada pela Gessele</t>
        </is>
      </c>
      <c r="P2681" s="1721" t="inlineStr">
        <is>
          <t>Pendente</t>
        </is>
      </c>
    </row>
    <row r="2682" hidden="1" outlineLevel="2" ht="13.5" customHeight="1">
      <c r="A2682" s="2117" t="n">
        <v>0</v>
      </c>
      <c r="B2682" s="2117" t="n">
        <v>18</v>
      </c>
      <c r="C2682" s="2117" t="n">
        <v>7</v>
      </c>
      <c r="D2682" s="2118" t="n">
        <v>2</v>
      </c>
      <c r="E2682" s="2118" t="n">
        <v>0</v>
      </c>
      <c r="G2682" s="1797" t="n"/>
      <c r="H2682" s="1777" t="inlineStr">
        <is>
          <t>SUBETAPA</t>
        </is>
      </c>
      <c r="I2682" s="1742" t="inlineStr">
        <is>
          <t>18.007.002</t>
        </is>
      </c>
      <c r="J2682" s="1779" t="inlineStr">
        <is>
          <t>Esquadrias de alumínio</t>
        </is>
      </c>
      <c r="K2682" s="1780" t="n"/>
      <c r="L2682" s="1781" t="n"/>
      <c r="M2682" s="1781" t="n"/>
      <c r="N2682" s="1746" t="n">
        <v>19195.372562972</v>
      </c>
      <c r="O2682" s="1782" t="n"/>
      <c r="P2682" s="1720" t="n"/>
    </row>
    <row r="2683" hidden="1" outlineLevel="3" ht="13.5" customHeight="1">
      <c r="A2683" s="2117" t="n">
        <v>0</v>
      </c>
      <c r="B2683" s="2117" t="n">
        <v>18</v>
      </c>
      <c r="C2683" s="2117" t="n">
        <v>7</v>
      </c>
      <c r="D2683" s="2118" t="n">
        <v>2</v>
      </c>
      <c r="E2683" s="2118" t="n">
        <v>1</v>
      </c>
      <c r="G2683" s="1798" t="inlineStr">
        <is>
          <t>ESQUADRIAS, VIDROS E FERRAGENS</t>
        </is>
      </c>
      <c r="H2683" s="1783" t="inlineStr">
        <is>
          <t>SERVIÇO</t>
        </is>
      </c>
      <c r="I2683" s="1750" t="inlineStr">
        <is>
          <t>18.007.002.001</t>
        </is>
      </c>
      <c r="J2683" s="1785" t="inlineStr">
        <is>
          <t>Esquadrias de Alumínio - Portas - fornecimento e instalação</t>
        </is>
      </c>
      <c r="K2683" s="1786" t="inlineStr">
        <is>
          <t>m2</t>
        </is>
      </c>
      <c r="L2683" s="1787" t="n">
        <v>6.51</v>
      </c>
      <c r="M2683" s="1787" t="n">
        <v>1906.313968151559</v>
      </c>
      <c r="N2683" s="1754" t="n">
        <v>12410.1039326666</v>
      </c>
      <c r="O2683" s="1788" t="inlineStr">
        <is>
          <t>Tabela de esquadrias enviada pela Gessele</t>
        </is>
      </c>
      <c r="P2683" s="1721" t="inlineStr">
        <is>
          <t>Pendente</t>
        </is>
      </c>
    </row>
    <row r="2684" hidden="1" outlineLevel="3" ht="13.5" customHeight="1">
      <c r="A2684" s="2117" t="n">
        <v>0</v>
      </c>
      <c r="B2684" s="2117" t="n">
        <v>18</v>
      </c>
      <c r="C2684" s="2117" t="n">
        <v>7</v>
      </c>
      <c r="D2684" s="2118" t="n">
        <v>2</v>
      </c>
      <c r="E2684" s="2118" t="n">
        <v>2</v>
      </c>
      <c r="G2684" s="1798" t="inlineStr">
        <is>
          <t>ESQUADRIAS, VIDROS E FERRAGENS</t>
        </is>
      </c>
      <c r="H2684" s="1783" t="inlineStr">
        <is>
          <t>SERVIÇO</t>
        </is>
      </c>
      <c r="I2684" s="1750" t="inlineStr">
        <is>
          <t>18.007.002.002</t>
        </is>
      </c>
      <c r="J2684" s="1785" t="inlineStr">
        <is>
          <t>Esquadrias de Alumínio - Janelas - fornecimento e instalação</t>
        </is>
      </c>
      <c r="K2684" s="1786" t="inlineStr">
        <is>
          <t>m2</t>
        </is>
      </c>
      <c r="L2684" s="1787" t="n">
        <v>2.56</v>
      </c>
      <c r="M2684" s="1787" t="n">
        <v>2650.495558713029</v>
      </c>
      <c r="N2684" s="1754" t="n">
        <v>6785.26863030536</v>
      </c>
      <c r="O2684" s="1788" t="inlineStr">
        <is>
          <t>Tabela de esquadrias enviada pela Gessele</t>
        </is>
      </c>
      <c r="P2684" s="1721" t="inlineStr">
        <is>
          <t>Pendente</t>
        </is>
      </c>
    </row>
    <row r="2685" hidden="1" outlineLevel="2" ht="12.75" customHeight="1">
      <c r="A2685" s="2117" t="n">
        <v>0</v>
      </c>
      <c r="B2685" s="2117" t="n">
        <v>18</v>
      </c>
      <c r="C2685" s="2117" t="n">
        <v>7</v>
      </c>
      <c r="D2685" s="2118" t="n">
        <v>3</v>
      </c>
      <c r="E2685" s="2118" t="n">
        <v>0</v>
      </c>
      <c r="G2685" s="1797" t="n"/>
      <c r="H2685" s="1777" t="inlineStr">
        <is>
          <t>SUBETAPA</t>
        </is>
      </c>
      <c r="I2685" s="1742" t="inlineStr">
        <is>
          <t>18.007.003</t>
        </is>
      </c>
      <c r="J2685" s="1779" t="inlineStr">
        <is>
          <t>Guarda corpo</t>
        </is>
      </c>
      <c r="K2685" s="1780" t="n"/>
      <c r="L2685" s="1781" t="n"/>
      <c r="M2685" s="1781" t="n"/>
      <c r="N2685" s="1746" t="n"/>
      <c r="O2685" s="1782" t="n"/>
      <c r="P2685" s="1720" t="n"/>
    </row>
    <row r="2686" hidden="1" outlineLevel="3" ht="12.75" customHeight="1">
      <c r="A2686" s="2117" t="n">
        <v>0</v>
      </c>
      <c r="B2686" s="2117" t="n">
        <v>18</v>
      </c>
      <c r="C2686" s="2117" t="n">
        <v>7</v>
      </c>
      <c r="D2686" s="2118" t="n">
        <v>3</v>
      </c>
      <c r="E2686" s="2118" t="n">
        <v>1</v>
      </c>
      <c r="G2686" s="1798" t="inlineStr">
        <is>
          <t>ESQUADRIAS, VIDROS E FERRAGENS</t>
        </is>
      </c>
      <c r="H2686" s="1783" t="inlineStr">
        <is>
          <t>SERVIÇO</t>
        </is>
      </c>
      <c r="I2686" s="1750" t="inlineStr">
        <is>
          <t>18.007.003.001</t>
        </is>
      </c>
      <c r="J2686" s="1785" t="inlineStr">
        <is>
          <t>Guarda Corpo de Vidro e Aluminio - fornecimento e instalação</t>
        </is>
      </c>
      <c r="K2686" s="1786" t="inlineStr">
        <is>
          <t>m2</t>
        </is>
      </c>
      <c r="L2686" s="1787" t="e">
        <v>#REF!</v>
      </c>
      <c r="M2686" s="1787" t="n">
        <v>1403.985</v>
      </c>
      <c r="N2686" s="1754" t="n"/>
      <c r="O2686" s="1788" t="inlineStr">
        <is>
          <t>Modelo do visus</t>
        </is>
      </c>
      <c r="P2686" s="1721" t="inlineStr">
        <is>
          <t>Pendente</t>
        </is>
      </c>
    </row>
    <row r="2687" hidden="1" outlineLevel="2" ht="12.75" customHeight="1">
      <c r="A2687" s="2117" t="n">
        <v>0</v>
      </c>
      <c r="B2687" s="2117" t="n">
        <v>18</v>
      </c>
      <c r="C2687" s="2117" t="n">
        <v>7</v>
      </c>
      <c r="D2687" s="2118" t="n">
        <v>4</v>
      </c>
      <c r="E2687" s="2118" t="n">
        <v>0</v>
      </c>
      <c r="G2687" s="1797" t="n"/>
      <c r="H2687" s="1777" t="inlineStr">
        <is>
          <t>SUBETAPA</t>
        </is>
      </c>
      <c r="I2687" s="1742" t="inlineStr">
        <is>
          <t>18.007.004</t>
        </is>
      </c>
      <c r="J2687" s="1779" t="inlineStr">
        <is>
          <t>Pele de vidro</t>
        </is>
      </c>
      <c r="K2687" s="1780" t="n"/>
      <c r="L2687" s="1781" t="n"/>
      <c r="M2687" s="1781" t="n"/>
      <c r="N2687" s="1746" t="n"/>
      <c r="O2687" s="1782" t="n"/>
      <c r="P2687" s="1720" t="n"/>
    </row>
    <row r="2688" hidden="1" outlineLevel="3" ht="13.5" customHeight="1">
      <c r="A2688" s="2117" t="n">
        <v>0</v>
      </c>
      <c r="B2688" s="2117" t="n">
        <v>18</v>
      </c>
      <c r="C2688" s="2117" t="n">
        <v>7</v>
      </c>
      <c r="D2688" s="2118" t="n">
        <v>4</v>
      </c>
      <c r="E2688" s="2118" t="n">
        <v>1</v>
      </c>
      <c r="G2688" s="1798" t="inlineStr">
        <is>
          <t>ESQUADRIAS, VIDROS E FERRAGENS</t>
        </is>
      </c>
      <c r="H2688" s="1783" t="inlineStr">
        <is>
          <t>SERVIÇO</t>
        </is>
      </c>
      <c r="I2688" s="1750" t="inlineStr">
        <is>
          <t>18.007.004.001</t>
        </is>
      </c>
      <c r="J2688" s="1785" t="inlineStr">
        <is>
          <t>Pele de vidro</t>
        </is>
      </c>
      <c r="K2688" s="1786" t="inlineStr">
        <is>
          <t>m2</t>
        </is>
      </c>
      <c r="L2688" s="1787" t="e">
        <v>#REF!</v>
      </c>
      <c r="M2688" s="1787" t="n">
        <v>1533.99</v>
      </c>
      <c r="N2688" s="1754" t="n"/>
      <c r="O2688" s="1788" t="inlineStr">
        <is>
          <t>Modelo do visus</t>
        </is>
      </c>
      <c r="P2688" s="1721" t="inlineStr">
        <is>
          <t>Pendente</t>
        </is>
      </c>
    </row>
    <row r="2689" hidden="1" outlineLevel="1" ht="13.5" customHeight="1">
      <c r="A2689" s="2117" t="n">
        <v>0</v>
      </c>
      <c r="B2689" s="2117" t="n">
        <v>18</v>
      </c>
      <c r="C2689" s="2117" t="n">
        <v>8</v>
      </c>
      <c r="D2689" s="2118" t="n">
        <v>0</v>
      </c>
      <c r="E2689" s="2118" t="n">
        <v>1</v>
      </c>
      <c r="G2689" s="1796" t="n"/>
      <c r="H2689" s="1771" t="inlineStr">
        <is>
          <t>ETAPA</t>
        </is>
      </c>
      <c r="I2689" s="1735" t="inlineStr">
        <is>
          <t>18.008</t>
        </is>
      </c>
      <c r="J2689" s="1773" t="inlineStr">
        <is>
          <t>ESQUADRIAS DE ALUMÍNIO - Lazer</t>
        </is>
      </c>
      <c r="K2689" s="1774" t="n"/>
      <c r="L2689" s="1775" t="n"/>
      <c r="M2689" s="1775" t="n"/>
      <c r="N2689" s="1739" t="n"/>
      <c r="O2689" s="1776" t="n"/>
      <c r="P2689" s="1719" t="n"/>
    </row>
    <row r="2690" hidden="1" outlineLevel="2" ht="13.5" customHeight="1">
      <c r="A2690" s="2117" t="n">
        <v>0</v>
      </c>
      <c r="B2690" s="2117" t="n">
        <v>18</v>
      </c>
      <c r="C2690" s="2117" t="n">
        <v>8</v>
      </c>
      <c r="D2690" s="2118" t="n">
        <v>1</v>
      </c>
      <c r="E2690" s="2118" t="n">
        <v>0</v>
      </c>
      <c r="G2690" s="1797" t="n"/>
      <c r="H2690" s="1777" t="inlineStr">
        <is>
          <t>SUBETAPA</t>
        </is>
      </c>
      <c r="I2690" s="1742" t="inlineStr">
        <is>
          <t>18.008.001</t>
        </is>
      </c>
      <c r="J2690" s="1779" t="inlineStr">
        <is>
          <t>Contramarco</t>
        </is>
      </c>
      <c r="K2690" s="1780" t="n"/>
      <c r="L2690" s="1781" t="n"/>
      <c r="M2690" s="1781" t="n"/>
      <c r="N2690" s="1746" t="n">
        <v>1531.516</v>
      </c>
      <c r="O2690" s="1782" t="n">
        <v>0.0914355924624187</v>
      </c>
      <c r="P2690" s="1720" t="n"/>
    </row>
    <row r="2691" hidden="1" outlineLevel="3" ht="13.5" customHeight="1">
      <c r="A2691" s="2117" t="n">
        <v>0</v>
      </c>
      <c r="B2691" s="2117" t="n">
        <v>18</v>
      </c>
      <c r="C2691" s="2117" t="n">
        <v>8</v>
      </c>
      <c r="D2691" s="2118" t="n">
        <v>1</v>
      </c>
      <c r="E2691" s="2118" t="n">
        <v>1</v>
      </c>
      <c r="G2691" s="1798" t="inlineStr">
        <is>
          <t>ESQUADRIAS, VIDROS E FERRAGENS</t>
        </is>
      </c>
      <c r="H2691" s="1783" t="inlineStr">
        <is>
          <t>SERVIÇO</t>
        </is>
      </c>
      <c r="I2691" s="1750" t="inlineStr">
        <is>
          <t>18.008.001.001</t>
        </is>
      </c>
      <c r="J2691" s="1785" t="inlineStr">
        <is>
          <t>Contramarco de Alumínio, Fixação com Argamassa</t>
        </is>
      </c>
      <c r="K2691" s="1786" t="inlineStr">
        <is>
          <t>m</t>
        </is>
      </c>
      <c r="L2691" s="1787" t="n">
        <v>65.90000000000001</v>
      </c>
      <c r="M2691" s="1787" t="n">
        <v>23.24</v>
      </c>
      <c r="N2691" s="1754" t="n">
        <v>1531.516</v>
      </c>
      <c r="O2691" s="1788" t="inlineStr">
        <is>
          <t>Tabela de esquadrias enviada pela Gessele</t>
        </is>
      </c>
      <c r="P2691" s="1721" t="inlineStr">
        <is>
          <t>Pendente</t>
        </is>
      </c>
    </row>
    <row r="2692" hidden="1" outlineLevel="2" ht="13.5" customHeight="1">
      <c r="A2692" s="2117" t="n">
        <v>0</v>
      </c>
      <c r="B2692" s="2117" t="n">
        <v>18</v>
      </c>
      <c r="C2692" s="2117" t="n">
        <v>8</v>
      </c>
      <c r="D2692" s="2118" t="n">
        <v>2</v>
      </c>
      <c r="E2692" s="2118" t="n">
        <v>0</v>
      </c>
      <c r="G2692" s="1797" t="n"/>
      <c r="H2692" s="1777" t="inlineStr">
        <is>
          <t>SUBETAPA</t>
        </is>
      </c>
      <c r="I2692" s="1742" t="inlineStr">
        <is>
          <t>18.008.002</t>
        </is>
      </c>
      <c r="J2692" s="1779" t="inlineStr">
        <is>
          <t>Esquadrias de alumínio</t>
        </is>
      </c>
      <c r="K2692" s="1780" t="n"/>
      <c r="L2692" s="1781" t="n"/>
      <c r="M2692" s="1781" t="n"/>
      <c r="N2692" s="1746" t="n">
        <v>112804.919969054</v>
      </c>
      <c r="O2692" s="1782" t="n"/>
      <c r="P2692" s="1720" t="n"/>
    </row>
    <row r="2693" hidden="1" outlineLevel="3" ht="13.5" customHeight="1">
      <c r="A2693" s="2117" t="n">
        <v>0</v>
      </c>
      <c r="B2693" s="2117" t="n">
        <v>18</v>
      </c>
      <c r="C2693" s="2117" t="n">
        <v>8</v>
      </c>
      <c r="D2693" s="2118" t="n">
        <v>2</v>
      </c>
      <c r="E2693" s="2118" t="n">
        <v>1</v>
      </c>
      <c r="G2693" s="1798" t="inlineStr">
        <is>
          <t>ESQUADRIAS, VIDROS E FERRAGENS</t>
        </is>
      </c>
      <c r="H2693" s="1783" t="inlineStr">
        <is>
          <t>SERVIÇO</t>
        </is>
      </c>
      <c r="I2693" s="1750" t="inlineStr">
        <is>
          <t>18.008.002.001</t>
        </is>
      </c>
      <c r="J2693" s="1785" t="inlineStr">
        <is>
          <t>Esquadrias de Alumínio - Portas - fornecimento e instalação</t>
        </is>
      </c>
      <c r="K2693" s="1786" t="inlineStr">
        <is>
          <t>m2</t>
        </is>
      </c>
      <c r="L2693" s="1787" t="n">
        <v>55.615</v>
      </c>
      <c r="M2693" s="1787" t="n">
        <v>1906.313968151559</v>
      </c>
      <c r="N2693" s="1754" t="n">
        <v>106019.651338749</v>
      </c>
      <c r="O2693" s="1788" t="inlineStr">
        <is>
          <t>Tabela de esquadrias enviada pela Gessele</t>
        </is>
      </c>
      <c r="P2693" s="1721" t="inlineStr">
        <is>
          <t>Pendente</t>
        </is>
      </c>
    </row>
    <row r="2694" hidden="1" outlineLevel="3" ht="13.5" customHeight="1">
      <c r="A2694" s="2117" t="n">
        <v>0</v>
      </c>
      <c r="B2694" s="2117" t="n">
        <v>18</v>
      </c>
      <c r="C2694" s="2117" t="n">
        <v>8</v>
      </c>
      <c r="D2694" s="2118" t="n">
        <v>2</v>
      </c>
      <c r="E2694" s="2118" t="n">
        <v>2</v>
      </c>
      <c r="G2694" s="1798" t="inlineStr">
        <is>
          <t>ESQUADRIAS, VIDROS E FERRAGENS</t>
        </is>
      </c>
      <c r="H2694" s="1783" t="inlineStr">
        <is>
          <t>SERVIÇO</t>
        </is>
      </c>
      <c r="I2694" s="1750" t="inlineStr">
        <is>
          <t>18.008.002.002</t>
        </is>
      </c>
      <c r="J2694" s="1785" t="inlineStr">
        <is>
          <t>Esquadrias de Alumínio - Janelas - fornecimento e instalação</t>
        </is>
      </c>
      <c r="K2694" s="1786" t="inlineStr">
        <is>
          <t>m2</t>
        </is>
      </c>
      <c r="L2694" s="1787" t="n">
        <v>2.56</v>
      </c>
      <c r="M2694" s="1787" t="n">
        <v>2650.495558713029</v>
      </c>
      <c r="N2694" s="1754" t="n">
        <v>6785.26863030536</v>
      </c>
      <c r="O2694" s="1788" t="inlineStr">
        <is>
          <t>Tabela de esquadrias enviada pela Gessele</t>
        </is>
      </c>
      <c r="P2694" s="1721" t="inlineStr">
        <is>
          <t>Pendente</t>
        </is>
      </c>
    </row>
    <row r="2695" hidden="1" outlineLevel="2" ht="12.75" customHeight="1">
      <c r="A2695" s="2117" t="n">
        <v>0</v>
      </c>
      <c r="B2695" s="2117" t="n">
        <v>18</v>
      </c>
      <c r="C2695" s="2117" t="n">
        <v>8</v>
      </c>
      <c r="D2695" s="2118" t="n">
        <v>3</v>
      </c>
      <c r="E2695" s="2118" t="n">
        <v>0</v>
      </c>
      <c r="G2695" s="1797" t="n"/>
      <c r="H2695" s="1777" t="inlineStr">
        <is>
          <t>SUBETAPA</t>
        </is>
      </c>
      <c r="I2695" s="1742" t="inlineStr">
        <is>
          <t>18.008.003</t>
        </is>
      </c>
      <c r="J2695" s="1779" t="inlineStr">
        <is>
          <t>Brise de Aluminio</t>
        </is>
      </c>
      <c r="K2695" s="1780" t="n"/>
      <c r="L2695" s="1781" t="n"/>
      <c r="M2695" s="1781" t="n"/>
      <c r="N2695" s="1746" t="n"/>
      <c r="O2695" s="1782" t="n"/>
      <c r="P2695" s="1720" t="n"/>
    </row>
    <row r="2696" hidden="1" outlineLevel="3" ht="12.75" customHeight="1">
      <c r="A2696" s="2117" t="n">
        <v>0</v>
      </c>
      <c r="B2696" s="2117" t="n">
        <v>18</v>
      </c>
      <c r="C2696" s="2117" t="n">
        <v>8</v>
      </c>
      <c r="D2696" s="2118" t="n">
        <v>3</v>
      </c>
      <c r="E2696" s="2118" t="n">
        <v>1</v>
      </c>
      <c r="G2696" s="1798" t="inlineStr">
        <is>
          <t>ESQUADRIAS, VIDROS E FERRAGENS</t>
        </is>
      </c>
      <c r="H2696" s="1783" t="inlineStr">
        <is>
          <t>SERVIÇO</t>
        </is>
      </c>
      <c r="I2696" s="1750" t="inlineStr">
        <is>
          <t>18.008.003.001</t>
        </is>
      </c>
      <c r="J2696" s="1785" t="inlineStr">
        <is>
          <t>Brise de Alumínio - Decoração Fachada</t>
        </is>
      </c>
      <c r="K2696" s="1786" t="inlineStr">
        <is>
          <t>m2</t>
        </is>
      </c>
      <c r="L2696" s="1787" t="e">
        <v>#REF!</v>
      </c>
      <c r="M2696" s="1787" t="n">
        <v>2122.541389557096</v>
      </c>
      <c r="N2696" s="1754" t="n"/>
      <c r="O2696" s="1788" t="inlineStr">
        <is>
          <t>Modelo do visus</t>
        </is>
      </c>
      <c r="P2696" s="1721" t="inlineStr">
        <is>
          <t>Pendente</t>
        </is>
      </c>
    </row>
    <row r="2697" hidden="1" outlineLevel="1" ht="13.5" customHeight="1">
      <c r="A2697" s="2117" t="n">
        <v>0</v>
      </c>
      <c r="B2697" s="2117" t="n">
        <v>18</v>
      </c>
      <c r="C2697" s="2117" t="n">
        <v>9</v>
      </c>
      <c r="D2697" s="2118" t="n">
        <v>0</v>
      </c>
      <c r="E2697" s="2118" t="n">
        <v>1</v>
      </c>
      <c r="G2697" s="1796" t="n"/>
      <c r="H2697" s="1771" t="inlineStr">
        <is>
          <t>ETAPA</t>
        </is>
      </c>
      <c r="I2697" s="1735" t="inlineStr">
        <is>
          <t>18.009</t>
        </is>
      </c>
      <c r="J2697" s="1773" t="inlineStr">
        <is>
          <t>ESQUADRIAS DE ALUMÍNIO - Tipo diferenciado</t>
        </is>
      </c>
      <c r="K2697" s="1774" t="n"/>
      <c r="L2697" s="1775" t="n"/>
      <c r="M2697" s="1775" t="n"/>
      <c r="N2697" s="1739" t="n"/>
      <c r="O2697" s="1776" t="n"/>
      <c r="P2697" s="1719" t="n"/>
    </row>
    <row r="2698" hidden="1" outlineLevel="2" ht="13.5" customHeight="1">
      <c r="A2698" s="2117" t="n">
        <v>0</v>
      </c>
      <c r="B2698" s="2117" t="n">
        <v>18</v>
      </c>
      <c r="C2698" s="2117" t="n">
        <v>9</v>
      </c>
      <c r="D2698" s="2118" t="n">
        <v>1</v>
      </c>
      <c r="E2698" s="2118" t="n">
        <v>0</v>
      </c>
      <c r="G2698" s="1797" t="n"/>
      <c r="H2698" s="1777" t="inlineStr">
        <is>
          <t>SUBETAPA</t>
        </is>
      </c>
      <c r="I2698" s="1742" t="inlineStr">
        <is>
          <t>18.009.001</t>
        </is>
      </c>
      <c r="J2698" s="1779" t="inlineStr">
        <is>
          <t>Contramarco</t>
        </is>
      </c>
      <c r="K2698" s="1780" t="n"/>
      <c r="L2698" s="1781" t="n"/>
      <c r="M2698" s="1781" t="n"/>
      <c r="N2698" s="1746" t="n">
        <v>4080.944</v>
      </c>
      <c r="O2698" s="1782" t="n">
        <v>0.243643247896824</v>
      </c>
      <c r="P2698" s="1720" t="n"/>
    </row>
    <row r="2699" hidden="1" outlineLevel="3" ht="13.5" customHeight="1">
      <c r="A2699" s="2117" t="n">
        <v>0</v>
      </c>
      <c r="B2699" s="2117" t="n">
        <v>18</v>
      </c>
      <c r="C2699" s="2117" t="n">
        <v>9</v>
      </c>
      <c r="D2699" s="2118" t="n">
        <v>1</v>
      </c>
      <c r="E2699" s="2118" t="n">
        <v>1</v>
      </c>
      <c r="G2699" s="1798" t="inlineStr">
        <is>
          <t>ESQUADRIAS, VIDROS E FERRAGENS</t>
        </is>
      </c>
      <c r="H2699" s="1783" t="inlineStr">
        <is>
          <t>SERVIÇO</t>
        </is>
      </c>
      <c r="I2699" s="1750" t="inlineStr">
        <is>
          <t>18.009.001.001</t>
        </is>
      </c>
      <c r="J2699" s="1785" t="inlineStr">
        <is>
          <t>Contramarco de Alumínio, Fixação com Argamassa</t>
        </is>
      </c>
      <c r="K2699" s="1786" t="inlineStr">
        <is>
          <t>m</t>
        </is>
      </c>
      <c r="L2699" s="1787" t="n">
        <v>175.6</v>
      </c>
      <c r="M2699" s="1787" t="n">
        <v>23.24</v>
      </c>
      <c r="N2699" s="1754" t="n">
        <v>4080.944</v>
      </c>
      <c r="O2699" s="1788" t="inlineStr">
        <is>
          <t>Tabela de esquadrias enviada pela Gessele</t>
        </is>
      </c>
      <c r="P2699" s="1721" t="inlineStr">
        <is>
          <t>Pendente</t>
        </is>
      </c>
    </row>
    <row r="2700" hidden="1" outlineLevel="2" ht="13.5" customHeight="1">
      <c r="A2700" s="2117" t="n">
        <v>0</v>
      </c>
      <c r="B2700" s="2117" t="n">
        <v>18</v>
      </c>
      <c r="C2700" s="2117" t="n">
        <v>9</v>
      </c>
      <c r="D2700" s="2118" t="n">
        <v>2</v>
      </c>
      <c r="E2700" s="2118" t="n">
        <v>0</v>
      </c>
      <c r="G2700" s="1797" t="n"/>
      <c r="H2700" s="1777" t="inlineStr">
        <is>
          <t>SUBETAPA</t>
        </is>
      </c>
      <c r="I2700" s="1742" t="inlineStr">
        <is>
          <t>18.009.002</t>
        </is>
      </c>
      <c r="J2700" s="1779" t="inlineStr">
        <is>
          <t>Esquadrias de alumínio</t>
        </is>
      </c>
      <c r="K2700" s="1780" t="n"/>
      <c r="L2700" s="1781" t="n"/>
      <c r="M2700" s="1781" t="n"/>
      <c r="N2700" s="1746" t="n">
        <v>180422.038308415</v>
      </c>
      <c r="O2700" s="1782" t="n"/>
      <c r="P2700" s="1720" t="n"/>
    </row>
    <row r="2701" hidden="1" outlineLevel="3" ht="13.5" customHeight="1">
      <c r="A2701" s="2117" t="n">
        <v>0</v>
      </c>
      <c r="B2701" s="2117" t="n">
        <v>18</v>
      </c>
      <c r="C2701" s="2117" t="n">
        <v>9</v>
      </c>
      <c r="D2701" s="2118" t="n">
        <v>2</v>
      </c>
      <c r="E2701" s="2118" t="n">
        <v>1</v>
      </c>
      <c r="G2701" s="1798" t="inlineStr">
        <is>
          <t>ESQUADRIAS, VIDROS E FERRAGENS</t>
        </is>
      </c>
      <c r="H2701" s="1783" t="inlineStr">
        <is>
          <t>SERVIÇO</t>
        </is>
      </c>
      <c r="I2701" s="1750" t="inlineStr">
        <is>
          <t>18.009.002.001</t>
        </is>
      </c>
      <c r="J2701" s="1785" t="inlineStr">
        <is>
          <t>Esquadrias de Alumínio - Portas - fornecimento e instalação</t>
        </is>
      </c>
      <c r="K2701" s="1786" t="inlineStr">
        <is>
          <t>m2</t>
        </is>
      </c>
      <c r="L2701" s="1787" t="n">
        <v>16.41</v>
      </c>
      <c r="M2701" s="1787" t="n">
        <v>1906.313968151559</v>
      </c>
      <c r="N2701" s="1754" t="n">
        <v>31282.6122173671</v>
      </c>
      <c r="O2701" s="1788" t="inlineStr">
        <is>
          <t>Tabela de esquadrias enviada pela Gessele</t>
        </is>
      </c>
      <c r="P2701" s="1721" t="inlineStr">
        <is>
          <t>Pendente</t>
        </is>
      </c>
    </row>
    <row r="2702" hidden="1" outlineLevel="3" ht="13.5" customHeight="1">
      <c r="A2702" s="2117" t="n">
        <v>0</v>
      </c>
      <c r="B2702" s="2117" t="n">
        <v>18</v>
      </c>
      <c r="C2702" s="2117" t="n">
        <v>9</v>
      </c>
      <c r="D2702" s="2118" t="n">
        <v>2</v>
      </c>
      <c r="E2702" s="2118" t="n">
        <v>2</v>
      </c>
      <c r="G2702" s="1798" t="inlineStr">
        <is>
          <t>ESQUADRIAS, VIDROS E FERRAGENS</t>
        </is>
      </c>
      <c r="H2702" s="1783" t="inlineStr">
        <is>
          <t>SERVIÇO</t>
        </is>
      </c>
      <c r="I2702" s="1750" t="inlineStr">
        <is>
          <t>18.009.002.002</t>
        </is>
      </c>
      <c r="J2702" s="1785" t="inlineStr">
        <is>
          <t>Esquadrias de Alumínio - Janelas - fornecimento e instalação</t>
        </is>
      </c>
      <c r="K2702" s="1786" t="inlineStr">
        <is>
          <t>m2</t>
        </is>
      </c>
      <c r="L2702" s="1787" t="n">
        <v>18.45</v>
      </c>
      <c r="M2702" s="1787" t="n">
        <v>2650.495558713029</v>
      </c>
      <c r="N2702" s="1754" t="n">
        <v>48901.6430582554</v>
      </c>
      <c r="O2702" s="1788" t="inlineStr">
        <is>
          <t>Tabela de esquadrias enviada pela Gessele</t>
        </is>
      </c>
      <c r="P2702" s="1721" t="inlineStr">
        <is>
          <t>Pendente</t>
        </is>
      </c>
    </row>
    <row r="2703" hidden="1" outlineLevel="3" ht="13.5" customHeight="1">
      <c r="A2703" s="2117" t="n">
        <v>0</v>
      </c>
      <c r="B2703" s="2117" t="n">
        <v>18</v>
      </c>
      <c r="C2703" s="2117" t="n">
        <v>9</v>
      </c>
      <c r="D2703" s="2118" t="n">
        <v>2</v>
      </c>
      <c r="E2703" s="2118" t="n">
        <v>3</v>
      </c>
      <c r="G2703" s="1798" t="inlineStr">
        <is>
          <t>ESQUADRIAS, VIDROS E FERRAGENS</t>
        </is>
      </c>
      <c r="H2703" s="1783" t="inlineStr">
        <is>
          <t>SERVIÇO</t>
        </is>
      </c>
      <c r="I2703" s="1750" t="inlineStr">
        <is>
          <t>18.009.002.003</t>
        </is>
      </c>
      <c r="J2703" s="1785" t="inlineStr">
        <is>
          <t>Esquadrias de Alumínio - Janelas Bronze - fornecimento e instalação</t>
        </is>
      </c>
      <c r="K2703" s="1786" t="inlineStr">
        <is>
          <t>m2</t>
        </is>
      </c>
      <c r="L2703" s="1787" t="n">
        <v>34.88</v>
      </c>
      <c r="M2703" s="1787" t="n">
        <v>2873.78965116951</v>
      </c>
      <c r="N2703" s="1754" t="n">
        <v>100237.783032793</v>
      </c>
      <c r="O2703" s="1788" t="inlineStr">
        <is>
          <t>Tabela de esquadrias enviada pela Gessele</t>
        </is>
      </c>
      <c r="P2703" s="1721" t="inlineStr">
        <is>
          <t>Pendente</t>
        </is>
      </c>
    </row>
    <row r="2704" hidden="1" outlineLevel="2" ht="12.75" customHeight="1">
      <c r="A2704" s="2117" t="n">
        <v>0</v>
      </c>
      <c r="B2704" s="2117" t="n">
        <v>18</v>
      </c>
      <c r="C2704" s="2117" t="n">
        <v>9</v>
      </c>
      <c r="D2704" s="2118" t="n">
        <v>3</v>
      </c>
      <c r="E2704" s="2118" t="n">
        <v>0</v>
      </c>
      <c r="G2704" s="1797" t="n"/>
      <c r="H2704" s="1777" t="inlineStr">
        <is>
          <t>SUBETAPA</t>
        </is>
      </c>
      <c r="I2704" s="1742" t="inlineStr">
        <is>
          <t>18.009.003</t>
        </is>
      </c>
      <c r="J2704" s="1779" t="inlineStr">
        <is>
          <t>Guarda corpo</t>
        </is>
      </c>
      <c r="K2704" s="1780" t="n"/>
      <c r="L2704" s="1781" t="n"/>
      <c r="M2704" s="1781" t="n"/>
      <c r="N2704" s="1746" t="n"/>
      <c r="O2704" s="1782" t="n"/>
      <c r="P2704" s="1720" t="n"/>
    </row>
    <row r="2705" hidden="1" outlineLevel="3" ht="12.75" customHeight="1">
      <c r="A2705" s="2117" t="n">
        <v>0</v>
      </c>
      <c r="B2705" s="2117" t="n">
        <v>18</v>
      </c>
      <c r="C2705" s="2117" t="n">
        <v>9</v>
      </c>
      <c r="D2705" s="2118" t="n">
        <v>3</v>
      </c>
      <c r="E2705" s="2118" t="n">
        <v>1</v>
      </c>
      <c r="G2705" s="1798" t="inlineStr">
        <is>
          <t>ESQUADRIAS, VIDROS E FERRAGENS</t>
        </is>
      </c>
      <c r="H2705" s="1783" t="inlineStr">
        <is>
          <t>SERVIÇO</t>
        </is>
      </c>
      <c r="I2705" s="1750" t="inlineStr">
        <is>
          <t>18.009.003.001</t>
        </is>
      </c>
      <c r="J2705" s="1785" t="inlineStr">
        <is>
          <t>Guarda Corpo de Vidro e Aluminio - fornecimento e instalação</t>
        </is>
      </c>
      <c r="K2705" s="1786" t="inlineStr">
        <is>
          <t>m2</t>
        </is>
      </c>
      <c r="L2705" s="1787" t="e">
        <v>#REF!</v>
      </c>
      <c r="M2705" s="1787" t="n">
        <v>1403.985</v>
      </c>
      <c r="N2705" s="1754" t="n"/>
      <c r="O2705" s="1788" t="inlineStr">
        <is>
          <t>Modelo do visus</t>
        </is>
      </c>
      <c r="P2705" s="1721" t="inlineStr">
        <is>
          <t>Pendente</t>
        </is>
      </c>
    </row>
    <row r="2706" hidden="1" outlineLevel="2" ht="12.75" customHeight="1">
      <c r="A2706" s="2117" t="n">
        <v>0</v>
      </c>
      <c r="B2706" s="2117" t="n">
        <v>18</v>
      </c>
      <c r="C2706" s="2117" t="n">
        <v>9</v>
      </c>
      <c r="D2706" s="2118" t="n">
        <v>4</v>
      </c>
      <c r="E2706" s="2118" t="n">
        <v>0</v>
      </c>
      <c r="G2706" s="1797" t="n"/>
      <c r="H2706" s="1777" t="inlineStr">
        <is>
          <t>SUBETAPA</t>
        </is>
      </c>
      <c r="I2706" s="1742" t="inlineStr">
        <is>
          <t>18.009.004</t>
        </is>
      </c>
      <c r="J2706" s="1779" t="inlineStr">
        <is>
          <t>Brise de Aluminio</t>
        </is>
      </c>
      <c r="K2706" s="1780" t="n"/>
      <c r="L2706" s="1781" t="n"/>
      <c r="M2706" s="1781" t="n"/>
      <c r="N2706" s="1746" t="n"/>
      <c r="O2706" s="1782" t="n"/>
      <c r="P2706" s="1720" t="n"/>
    </row>
    <row r="2707" hidden="1" outlineLevel="3" ht="12.75" customHeight="1">
      <c r="A2707" s="2117" t="n">
        <v>0</v>
      </c>
      <c r="B2707" s="2117" t="n">
        <v>18</v>
      </c>
      <c r="C2707" s="2117" t="n">
        <v>9</v>
      </c>
      <c r="D2707" s="2118" t="n">
        <v>4</v>
      </c>
      <c r="E2707" s="2118" t="n">
        <v>1</v>
      </c>
      <c r="G2707" s="1798" t="inlineStr">
        <is>
          <t>ESQUADRIAS, VIDROS E FERRAGENS</t>
        </is>
      </c>
      <c r="H2707" s="1783" t="inlineStr">
        <is>
          <t>SERVIÇO</t>
        </is>
      </c>
      <c r="I2707" s="1750" t="inlineStr">
        <is>
          <t>18.009.004.001</t>
        </is>
      </c>
      <c r="J2707" s="1785" t="inlineStr">
        <is>
          <t>Brise de Alumínio - Decoração Fachada</t>
        </is>
      </c>
      <c r="K2707" s="1786" t="inlineStr">
        <is>
          <t>m2</t>
        </is>
      </c>
      <c r="L2707" s="1787" t="e">
        <v>#REF!</v>
      </c>
      <c r="M2707" s="1787" t="n">
        <v>2122.541389557096</v>
      </c>
      <c r="N2707" s="1754" t="n"/>
      <c r="O2707" s="1788" t="inlineStr">
        <is>
          <t>Modelo do visus</t>
        </is>
      </c>
      <c r="P2707" s="1721" t="inlineStr">
        <is>
          <t>Pendente</t>
        </is>
      </c>
    </row>
    <row r="2708" hidden="1" outlineLevel="1" ht="13.5" customHeight="1">
      <c r="A2708" s="2117" t="n">
        <v>0</v>
      </c>
      <c r="B2708" s="2117" t="n">
        <v>18</v>
      </c>
      <c r="C2708" s="2117" t="n">
        <v>10</v>
      </c>
      <c r="D2708" s="2118" t="n">
        <v>0</v>
      </c>
      <c r="E2708" s="2118" t="n">
        <v>1</v>
      </c>
      <c r="G2708" s="1796" t="n"/>
      <c r="H2708" s="1771" t="inlineStr">
        <is>
          <t>ETAPA</t>
        </is>
      </c>
      <c r="I2708" s="1735" t="inlineStr">
        <is>
          <t>18.010</t>
        </is>
      </c>
      <c r="J2708" s="1773" t="inlineStr">
        <is>
          <t>ESQUADRIAS DE ALUMÍNIO - Tipo x8</t>
        </is>
      </c>
      <c r="K2708" s="1774" t="n"/>
      <c r="L2708" s="1775" t="n"/>
      <c r="M2708" s="1775" t="n"/>
      <c r="N2708" s="1739" t="n"/>
      <c r="O2708" s="1776" t="n"/>
      <c r="P2708" s="1719" t="n"/>
    </row>
    <row r="2709" hidden="1" outlineLevel="2" ht="13.5" customHeight="1">
      <c r="A2709" s="2117" t="n">
        <v>0</v>
      </c>
      <c r="B2709" s="2117" t="n">
        <v>18</v>
      </c>
      <c r="C2709" s="2117" t="n">
        <v>10</v>
      </c>
      <c r="D2709" s="2118" t="n">
        <v>1</v>
      </c>
      <c r="E2709" s="2118" t="n">
        <v>0</v>
      </c>
      <c r="G2709" s="1797" t="n"/>
      <c r="H2709" s="1777" t="inlineStr">
        <is>
          <t>SUBETAPA</t>
        </is>
      </c>
      <c r="I2709" s="1742" t="inlineStr">
        <is>
          <t>18.010.001</t>
        </is>
      </c>
      <c r="J2709" s="1779" t="inlineStr">
        <is>
          <t>Contramarco</t>
        </is>
      </c>
      <c r="K2709" s="1780" t="n"/>
      <c r="L2709" s="1781" t="n"/>
      <c r="M2709" s="1781" t="n"/>
      <c r="N2709" s="1746" t="n">
        <v>32647.552</v>
      </c>
      <c r="O2709" s="1782" t="n">
        <v>1.94914598317459</v>
      </c>
      <c r="P2709" s="1720" t="n"/>
    </row>
    <row r="2710" hidden="1" outlineLevel="3" ht="13.5" customHeight="1">
      <c r="A2710" s="2117" t="n">
        <v>0</v>
      </c>
      <c r="B2710" s="2117" t="n">
        <v>18</v>
      </c>
      <c r="C2710" s="2117" t="n">
        <v>10</v>
      </c>
      <c r="D2710" s="2118" t="n">
        <v>1</v>
      </c>
      <c r="E2710" s="2118" t="n">
        <v>1</v>
      </c>
      <c r="G2710" s="1798" t="inlineStr">
        <is>
          <t>ESQUADRIAS, VIDROS E FERRAGENS</t>
        </is>
      </c>
      <c r="H2710" s="1783" t="inlineStr">
        <is>
          <t>SERVIÇO</t>
        </is>
      </c>
      <c r="I2710" s="1750" t="inlineStr">
        <is>
          <t>18.010.001.001</t>
        </is>
      </c>
      <c r="J2710" s="1785" t="inlineStr">
        <is>
          <t>Contramarco de Alumínio, Fixação com Argamassa</t>
        </is>
      </c>
      <c r="K2710" s="1786" t="inlineStr">
        <is>
          <t>m</t>
        </is>
      </c>
      <c r="L2710" s="1787" t="n">
        <v>1404.8</v>
      </c>
      <c r="M2710" s="1787" t="n">
        <v>23.24</v>
      </c>
      <c r="N2710" s="1754" t="n">
        <v>32647.552</v>
      </c>
      <c r="O2710" s="1788" t="inlineStr">
        <is>
          <t>Tabela de esquadrias enviada pela Gessele</t>
        </is>
      </c>
      <c r="P2710" s="1721" t="inlineStr">
        <is>
          <t>Pendente</t>
        </is>
      </c>
    </row>
    <row r="2711" hidden="1" outlineLevel="2" ht="13.5" customHeight="1">
      <c r="A2711" s="2117" t="n">
        <v>0</v>
      </c>
      <c r="B2711" s="2117" t="n">
        <v>18</v>
      </c>
      <c r="C2711" s="2117" t="n">
        <v>10</v>
      </c>
      <c r="D2711" s="2118" t="n">
        <v>2</v>
      </c>
      <c r="E2711" s="2118" t="n">
        <v>0</v>
      </c>
      <c r="G2711" s="1797" t="n"/>
      <c r="H2711" s="1777" t="inlineStr">
        <is>
          <t>SUBETAPA</t>
        </is>
      </c>
      <c r="I2711" s="1742" t="inlineStr">
        <is>
          <t>18.010.002</t>
        </is>
      </c>
      <c r="J2711" s="1779" t="inlineStr">
        <is>
          <t>Esquadrias de alumínio</t>
        </is>
      </c>
      <c r="K2711" s="1780" t="n"/>
      <c r="L2711" s="1781" t="n"/>
      <c r="M2711" s="1781" t="n"/>
      <c r="N2711" s="1746" t="n">
        <v>1443376.30646732</v>
      </c>
      <c r="O2711" s="1782" t="n"/>
      <c r="P2711" s="1720" t="n"/>
    </row>
    <row r="2712" hidden="1" outlineLevel="3" ht="13.5" customHeight="1">
      <c r="A2712" s="2117" t="n">
        <v>0</v>
      </c>
      <c r="B2712" s="2117" t="n">
        <v>18</v>
      </c>
      <c r="C2712" s="2117" t="n">
        <v>10</v>
      </c>
      <c r="D2712" s="2118" t="n">
        <v>2</v>
      </c>
      <c r="E2712" s="2118" t="n">
        <v>1</v>
      </c>
      <c r="G2712" s="1798" t="inlineStr">
        <is>
          <t>ESQUADRIAS, VIDROS E FERRAGENS</t>
        </is>
      </c>
      <c r="H2712" s="1783" t="inlineStr">
        <is>
          <t>SERVIÇO</t>
        </is>
      </c>
      <c r="I2712" s="1750" t="inlineStr">
        <is>
          <t>18.010.002.001</t>
        </is>
      </c>
      <c r="J2712" s="1785" t="inlineStr">
        <is>
          <t>Esquadrias de Alumínio - Portas - fornecimento e instalação</t>
        </is>
      </c>
      <c r="K2712" s="1786" t="inlineStr">
        <is>
          <t>m2</t>
        </is>
      </c>
      <c r="L2712" s="1787" t="n">
        <v>131.28</v>
      </c>
      <c r="M2712" s="1787" t="n">
        <v>1906.313968151559</v>
      </c>
      <c r="N2712" s="1754" t="n">
        <v>250260.897738937</v>
      </c>
      <c r="O2712" s="1788" t="inlineStr">
        <is>
          <t>Tabela de esquadrias enviada pela Gessele</t>
        </is>
      </c>
      <c r="P2712" s="1721" t="inlineStr">
        <is>
          <t>Pendente</t>
        </is>
      </c>
    </row>
    <row r="2713" hidden="1" outlineLevel="3" ht="13.5" customHeight="1">
      <c r="A2713" s="2117" t="n">
        <v>0</v>
      </c>
      <c r="B2713" s="2117" t="n">
        <v>18</v>
      </c>
      <c r="C2713" s="2117" t="n">
        <v>10</v>
      </c>
      <c r="D2713" s="2118" t="n">
        <v>2</v>
      </c>
      <c r="E2713" s="2118" t="n">
        <v>2</v>
      </c>
      <c r="G2713" s="1798" t="inlineStr">
        <is>
          <t>ESQUADRIAS, VIDROS E FERRAGENS</t>
        </is>
      </c>
      <c r="H2713" s="1783" t="inlineStr">
        <is>
          <t>SERVIÇO</t>
        </is>
      </c>
      <c r="I2713" s="1750" t="inlineStr">
        <is>
          <t>18.010.002.002</t>
        </is>
      </c>
      <c r="J2713" s="1785" t="inlineStr">
        <is>
          <t>Esquadrias de Alumínio - Janelas - fornecimento e instalação</t>
        </is>
      </c>
      <c r="K2713" s="1786" t="inlineStr">
        <is>
          <t>m2</t>
        </is>
      </c>
      <c r="L2713" s="1787" t="n">
        <v>147.6</v>
      </c>
      <c r="M2713" s="1787" t="n">
        <v>2650.495558713029</v>
      </c>
      <c r="N2713" s="1754" t="n">
        <v>391213.144466043</v>
      </c>
      <c r="O2713" s="1788" t="inlineStr">
        <is>
          <t>Tabela de esquadrias enviada pela Gessele</t>
        </is>
      </c>
      <c r="P2713" s="1721" t="inlineStr">
        <is>
          <t>Pendente</t>
        </is>
      </c>
    </row>
    <row r="2714" hidden="1" outlineLevel="3" ht="13.5" customHeight="1">
      <c r="A2714" s="2117" t="n">
        <v>0</v>
      </c>
      <c r="B2714" s="2117" t="n">
        <v>18</v>
      </c>
      <c r="C2714" s="2117" t="n">
        <v>10</v>
      </c>
      <c r="D2714" s="2118" t="n">
        <v>2</v>
      </c>
      <c r="E2714" s="2118" t="n">
        <v>3</v>
      </c>
      <c r="G2714" s="1798" t="inlineStr">
        <is>
          <t>ESQUADRIAS, VIDROS E FERRAGENS</t>
        </is>
      </c>
      <c r="H2714" s="1783" t="inlineStr">
        <is>
          <t>SERVIÇO</t>
        </is>
      </c>
      <c r="I2714" s="1750" t="inlineStr">
        <is>
          <t>18.010.002.003</t>
        </is>
      </c>
      <c r="J2714" s="1785" t="inlineStr">
        <is>
          <t>Esquadrias de Alumínio - Janelas Bronze - fornecimento e instalação</t>
        </is>
      </c>
      <c r="K2714" s="1786" t="inlineStr">
        <is>
          <t>m2</t>
        </is>
      </c>
      <c r="L2714" s="1787" t="n">
        <v>279.04</v>
      </c>
      <c r="M2714" s="1787" t="n">
        <v>2873.78965116951</v>
      </c>
      <c r="N2714" s="1754" t="n">
        <v>801902.26426234</v>
      </c>
      <c r="O2714" s="1788" t="inlineStr">
        <is>
          <t>Tabela de esquadrias enviada pela Gessele</t>
        </is>
      </c>
      <c r="P2714" s="1721" t="inlineStr">
        <is>
          <t>Pendente</t>
        </is>
      </c>
    </row>
    <row r="2715" hidden="1" outlineLevel="2" ht="12.75" customHeight="1">
      <c r="A2715" s="2117" t="n">
        <v>0</v>
      </c>
      <c r="B2715" s="2117" t="n">
        <v>18</v>
      </c>
      <c r="C2715" s="2117" t="n">
        <v>10</v>
      </c>
      <c r="D2715" s="2118" t="n">
        <v>3</v>
      </c>
      <c r="E2715" s="2118" t="n">
        <v>0</v>
      </c>
      <c r="G2715" s="1797" t="n"/>
      <c r="H2715" s="1777" t="inlineStr">
        <is>
          <t>SUBETAPA</t>
        </is>
      </c>
      <c r="I2715" s="1742" t="inlineStr">
        <is>
          <t>18.010.003</t>
        </is>
      </c>
      <c r="J2715" s="1779" t="inlineStr">
        <is>
          <t>Guarda corpo</t>
        </is>
      </c>
      <c r="K2715" s="1780" t="n"/>
      <c r="L2715" s="1781" t="n"/>
      <c r="M2715" s="1781" t="n"/>
      <c r="N2715" s="1746" t="n"/>
      <c r="O2715" s="1782" t="n"/>
      <c r="P2715" s="1720" t="n"/>
    </row>
    <row r="2716" hidden="1" outlineLevel="3" ht="12.75" customHeight="1">
      <c r="A2716" s="2117" t="n">
        <v>0</v>
      </c>
      <c r="B2716" s="2117" t="n">
        <v>18</v>
      </c>
      <c r="C2716" s="2117" t="n">
        <v>10</v>
      </c>
      <c r="D2716" s="2118" t="n">
        <v>3</v>
      </c>
      <c r="E2716" s="2118" t="n">
        <v>1</v>
      </c>
      <c r="G2716" s="1798" t="inlineStr">
        <is>
          <t>ESQUADRIAS, VIDROS E FERRAGENS</t>
        </is>
      </c>
      <c r="H2716" s="1783" t="inlineStr">
        <is>
          <t>SERVIÇO</t>
        </is>
      </c>
      <c r="I2716" s="1750" t="inlineStr">
        <is>
          <t>18.010.003.001</t>
        </is>
      </c>
      <c r="J2716" s="1785" t="inlineStr">
        <is>
          <t>Guarda Corpo de Vidro e Aluminio - fornecimento e instalação</t>
        </is>
      </c>
      <c r="K2716" s="1786" t="inlineStr">
        <is>
          <t>m2</t>
        </is>
      </c>
      <c r="L2716" s="1787" t="e">
        <v>#REF!</v>
      </c>
      <c r="M2716" s="1787" t="n">
        <v>1403.985</v>
      </c>
      <c r="N2716" s="1754" t="n"/>
      <c r="O2716" s="1788" t="inlineStr">
        <is>
          <t>Modelo do visus</t>
        </is>
      </c>
      <c r="P2716" s="1721" t="inlineStr">
        <is>
          <t>Pendente</t>
        </is>
      </c>
    </row>
    <row r="2717" hidden="1" outlineLevel="2" ht="12.75" customHeight="1">
      <c r="A2717" s="2117" t="n">
        <v>0</v>
      </c>
      <c r="B2717" s="2117" t="n">
        <v>18</v>
      </c>
      <c r="C2717" s="2117" t="n">
        <v>10</v>
      </c>
      <c r="D2717" s="2118" t="n">
        <v>4</v>
      </c>
      <c r="E2717" s="2118" t="n">
        <v>0</v>
      </c>
      <c r="G2717" s="1797" t="n"/>
      <c r="H2717" s="1777" t="inlineStr">
        <is>
          <t>SUBETAPA</t>
        </is>
      </c>
      <c r="I2717" s="1742" t="inlineStr">
        <is>
          <t>18.010.004</t>
        </is>
      </c>
      <c r="J2717" s="1779" t="inlineStr">
        <is>
          <t>Brise de Aluminio</t>
        </is>
      </c>
      <c r="K2717" s="1780" t="n"/>
      <c r="L2717" s="1781" t="n"/>
      <c r="M2717" s="1781" t="n"/>
      <c r="N2717" s="1746" t="n"/>
      <c r="O2717" s="1782" t="n"/>
      <c r="P2717" s="1720" t="n"/>
    </row>
    <row r="2718" hidden="1" outlineLevel="3" ht="12.75" customHeight="1">
      <c r="A2718" s="2117" t="n">
        <v>0</v>
      </c>
      <c r="B2718" s="2117" t="n">
        <v>18</v>
      </c>
      <c r="C2718" s="2117" t="n">
        <v>10</v>
      </c>
      <c r="D2718" s="2118" t="n">
        <v>4</v>
      </c>
      <c r="E2718" s="2118" t="n">
        <v>1</v>
      </c>
      <c r="G2718" s="1798" t="inlineStr">
        <is>
          <t>ESQUADRIAS, VIDROS E FERRAGENS</t>
        </is>
      </c>
      <c r="H2718" s="1783" t="inlineStr">
        <is>
          <t>SERVIÇO</t>
        </is>
      </c>
      <c r="I2718" s="1750" t="inlineStr">
        <is>
          <t>18.010.004.001</t>
        </is>
      </c>
      <c r="J2718" s="1785" t="inlineStr">
        <is>
          <t>Brise de Alumínio - Decoração Fachada</t>
        </is>
      </c>
      <c r="K2718" s="1786" t="inlineStr">
        <is>
          <t>m2</t>
        </is>
      </c>
      <c r="L2718" s="1787" t="e">
        <v>#REF!</v>
      </c>
      <c r="M2718" s="1787" t="n">
        <v>2122.541389557096</v>
      </c>
      <c r="N2718" s="1754" t="n"/>
      <c r="O2718" s="1788" t="inlineStr">
        <is>
          <t>Modelo do visus</t>
        </is>
      </c>
      <c r="P2718" s="1721" t="inlineStr">
        <is>
          <t>Pendente</t>
        </is>
      </c>
    </row>
    <row r="2719" hidden="1" outlineLevel="1" ht="13.5" customHeight="1">
      <c r="A2719" s="2117" t="n">
        <v>0</v>
      </c>
      <c r="B2719" s="2117" t="n">
        <v>18</v>
      </c>
      <c r="C2719" s="2117" t="n">
        <v>11</v>
      </c>
      <c r="D2719" s="2118" t="n">
        <v>0</v>
      </c>
      <c r="E2719" s="2118" t="n">
        <v>1</v>
      </c>
      <c r="G2719" s="1796" t="n"/>
      <c r="H2719" s="1771" t="inlineStr">
        <is>
          <t>ETAPA</t>
        </is>
      </c>
      <c r="I2719" s="1735" t="inlineStr">
        <is>
          <t>18.011</t>
        </is>
      </c>
      <c r="J2719" s="1773" t="inlineStr">
        <is>
          <t>ESQUADRIAS DE ALUMÍNIO - Penthouse x22</t>
        </is>
      </c>
      <c r="K2719" s="1774" t="n"/>
      <c r="L2719" s="1775" t="n"/>
      <c r="M2719" s="1775" t="n"/>
      <c r="N2719" s="1739" t="n"/>
      <c r="O2719" s="1776" t="n"/>
      <c r="P2719" s="1719" t="n"/>
    </row>
    <row r="2720" hidden="1" outlineLevel="2" ht="13.5" customHeight="1">
      <c r="A2720" s="2117" t="n">
        <v>0</v>
      </c>
      <c r="B2720" s="2117" t="n">
        <v>18</v>
      </c>
      <c r="C2720" s="2117" t="n">
        <v>11</v>
      </c>
      <c r="D2720" s="2118" t="n">
        <v>1</v>
      </c>
      <c r="E2720" s="2118" t="n">
        <v>0</v>
      </c>
      <c r="G2720" s="1797" t="n"/>
      <c r="H2720" s="1777" t="inlineStr">
        <is>
          <t>SUBETAPA</t>
        </is>
      </c>
      <c r="I2720" s="1742" t="inlineStr">
        <is>
          <t>18.011.001</t>
        </is>
      </c>
      <c r="J2720" s="1779" t="inlineStr">
        <is>
          <t>Contramarco</t>
        </is>
      </c>
      <c r="K2720" s="1780" t="n"/>
      <c r="L2720" s="1781" t="n"/>
      <c r="M2720" s="1781" t="n"/>
      <c r="N2720" s="1746" t="n">
        <v>58746.072</v>
      </c>
      <c r="O2720" s="1782" t="n">
        <v>3.50729727809563</v>
      </c>
      <c r="P2720" s="1720" t="n"/>
    </row>
    <row r="2721" hidden="1" outlineLevel="3" ht="13.5" customHeight="1">
      <c r="A2721" s="2117" t="n">
        <v>0</v>
      </c>
      <c r="B2721" s="2117" t="n">
        <v>18</v>
      </c>
      <c r="C2721" s="2117" t="n">
        <v>11</v>
      </c>
      <c r="D2721" s="2118" t="n">
        <v>1</v>
      </c>
      <c r="E2721" s="2118" t="n">
        <v>1</v>
      </c>
      <c r="G2721" s="1798" t="inlineStr">
        <is>
          <t>ESQUADRIAS, VIDROS E FERRAGENS</t>
        </is>
      </c>
      <c r="H2721" s="1783" t="inlineStr">
        <is>
          <t>SERVIÇO</t>
        </is>
      </c>
      <c r="I2721" s="1750" t="inlineStr">
        <is>
          <t>18.011.001.001</t>
        </is>
      </c>
      <c r="J2721" s="1785" t="inlineStr">
        <is>
          <t>Contramarco de Alumínio, Fixação com Argamassa</t>
        </is>
      </c>
      <c r="K2721" s="1786" t="inlineStr">
        <is>
          <t>m</t>
        </is>
      </c>
      <c r="L2721" s="1787" t="n">
        <v>2527.799999999999</v>
      </c>
      <c r="M2721" s="1787" t="n">
        <v>23.24</v>
      </c>
      <c r="N2721" s="1754" t="n">
        <v>58746.072</v>
      </c>
      <c r="O2721" s="1788" t="inlineStr">
        <is>
          <t>Tabela de esquadrias enviada pela Gessele</t>
        </is>
      </c>
      <c r="P2721" s="1721" t="inlineStr">
        <is>
          <t>Pendente</t>
        </is>
      </c>
    </row>
    <row r="2722" hidden="1" outlineLevel="2" ht="13.5" customHeight="1">
      <c r="A2722" s="2117" t="n">
        <v>0</v>
      </c>
      <c r="B2722" s="2117" t="n">
        <v>18</v>
      </c>
      <c r="C2722" s="2117" t="n">
        <v>11</v>
      </c>
      <c r="D2722" s="2118" t="n">
        <v>2</v>
      </c>
      <c r="E2722" s="2118" t="n">
        <v>0</v>
      </c>
      <c r="G2722" s="1797" t="n"/>
      <c r="H2722" s="1777" t="inlineStr">
        <is>
          <t>SUBETAPA</t>
        </is>
      </c>
      <c r="I2722" s="1742" t="inlineStr">
        <is>
          <t>18.011.002</t>
        </is>
      </c>
      <c r="J2722" s="1779" t="inlineStr">
        <is>
          <t>Esquadrias de alumínio</t>
        </is>
      </c>
      <c r="K2722" s="1780" t="n"/>
      <c r="L2722" s="1781" t="n"/>
      <c r="M2722" s="1781" t="n"/>
      <c r="N2722" s="1746" t="n">
        <v>2758088.76857745</v>
      </c>
      <c r="O2722" s="1782" t="n"/>
      <c r="P2722" s="1720" t="n"/>
    </row>
    <row r="2723" hidden="1" outlineLevel="3" ht="13.5" customHeight="1">
      <c r="A2723" s="2117" t="n">
        <v>0</v>
      </c>
      <c r="B2723" s="2117" t="n">
        <v>18</v>
      </c>
      <c r="C2723" s="2117" t="n">
        <v>11</v>
      </c>
      <c r="D2723" s="2118" t="n">
        <v>2</v>
      </c>
      <c r="E2723" s="2118" t="n">
        <v>1</v>
      </c>
      <c r="G2723" s="1798" t="inlineStr">
        <is>
          <t>ESQUADRIAS, VIDROS E FERRAGENS</t>
        </is>
      </c>
      <c r="H2723" s="1783" t="inlineStr">
        <is>
          <t>SERVIÇO</t>
        </is>
      </c>
      <c r="I2723" s="1750" t="inlineStr">
        <is>
          <t>18.011.002.001</t>
        </is>
      </c>
      <c r="J2723" s="1785" t="inlineStr">
        <is>
          <t>Esquadrias de Alumínio - Portas - fornecimento e instalação</t>
        </is>
      </c>
      <c r="K2723" s="1786" t="inlineStr">
        <is>
          <t>m2</t>
        </is>
      </c>
      <c r="L2723" s="1787" t="n">
        <v>217.8</v>
      </c>
      <c r="M2723" s="1787" t="n">
        <v>1906.313968151559</v>
      </c>
      <c r="N2723" s="1754" t="n">
        <v>415195.182263409</v>
      </c>
      <c r="O2723" s="1788" t="inlineStr">
        <is>
          <t>Tabela de esquadrias enviada pela Gessele</t>
        </is>
      </c>
      <c r="P2723" s="1721" t="inlineStr">
        <is>
          <t>Pendente</t>
        </is>
      </c>
    </row>
    <row r="2724" hidden="1" outlineLevel="3" ht="13.5" customHeight="1">
      <c r="A2724" s="2117" t="n">
        <v>0</v>
      </c>
      <c r="B2724" s="2117" t="n">
        <v>18</v>
      </c>
      <c r="C2724" s="2117" t="n">
        <v>11</v>
      </c>
      <c r="D2724" s="2118" t="n">
        <v>2</v>
      </c>
      <c r="E2724" s="2118" t="n">
        <v>2</v>
      </c>
      <c r="G2724" s="1798" t="inlineStr">
        <is>
          <t>ESQUADRIAS, VIDROS E FERRAGENS</t>
        </is>
      </c>
      <c r="H2724" s="1783" t="inlineStr">
        <is>
          <t>SERVIÇO</t>
        </is>
      </c>
      <c r="I2724" s="1750" t="inlineStr">
        <is>
          <t>18.011.002.002</t>
        </is>
      </c>
      <c r="J2724" s="1785" t="inlineStr">
        <is>
          <t>Esquadrias de Alumínio - Janelas - fornecimento e instalação</t>
        </is>
      </c>
      <c r="K2724" s="1786" t="inlineStr">
        <is>
          <t>m2</t>
        </is>
      </c>
      <c r="L2724" s="1787" t="n">
        <v>356.785</v>
      </c>
      <c r="M2724" s="1787" t="n">
        <v>2650.495558713029</v>
      </c>
      <c r="N2724" s="1754" t="n">
        <v>945657.057915428</v>
      </c>
      <c r="O2724" s="1788" t="inlineStr">
        <is>
          <t>Tabela de esquadrias enviada pela Gessele</t>
        </is>
      </c>
      <c r="P2724" s="1721" t="inlineStr">
        <is>
          <t>Pendente</t>
        </is>
      </c>
    </row>
    <row r="2725" hidden="1" outlineLevel="3" ht="13.5" customHeight="1">
      <c r="A2725" s="2117" t="n">
        <v>0</v>
      </c>
      <c r="B2725" s="2117" t="n">
        <v>18</v>
      </c>
      <c r="C2725" s="2117" t="n">
        <v>11</v>
      </c>
      <c r="D2725" s="2118" t="n">
        <v>2</v>
      </c>
      <c r="E2725" s="2118" t="n">
        <v>3</v>
      </c>
      <c r="G2725" s="1798" t="inlineStr">
        <is>
          <t>ESQUADRIAS, VIDROS E FERRAGENS</t>
        </is>
      </c>
      <c r="H2725" s="1783" t="inlineStr">
        <is>
          <t>SERVIÇO</t>
        </is>
      </c>
      <c r="I2725" s="1750" t="inlineStr">
        <is>
          <t>18.011.002.003</t>
        </is>
      </c>
      <c r="J2725" s="1785" t="inlineStr">
        <is>
          <t>Esquadrias de Alumínio - Janelas Bronze - fornecimento e instalação</t>
        </is>
      </c>
      <c r="K2725" s="1786" t="inlineStr">
        <is>
          <t>m2</t>
        </is>
      </c>
      <c r="L2725" s="1787" t="n">
        <v>486.2</v>
      </c>
      <c r="M2725" s="1787" t="n">
        <v>2873.78965116951</v>
      </c>
      <c r="N2725" s="1754" t="n">
        <v>1397236.52839862</v>
      </c>
      <c r="O2725" s="1788" t="inlineStr">
        <is>
          <t>Tabela de esquadrias enviada pela Gessele</t>
        </is>
      </c>
      <c r="P2725" s="1721" t="inlineStr">
        <is>
          <t>Pendente</t>
        </is>
      </c>
    </row>
    <row r="2726" hidden="1" outlineLevel="2" ht="12.75" customHeight="1">
      <c r="A2726" s="2117" t="n">
        <v>0</v>
      </c>
      <c r="B2726" s="2117" t="n">
        <v>18</v>
      </c>
      <c r="C2726" s="2117" t="n">
        <v>11</v>
      </c>
      <c r="D2726" s="2118" t="n">
        <v>3</v>
      </c>
      <c r="E2726" s="2118" t="n">
        <v>0</v>
      </c>
      <c r="G2726" s="1797" t="n"/>
      <c r="H2726" s="1777" t="inlineStr">
        <is>
          <t>SUBETAPA</t>
        </is>
      </c>
      <c r="I2726" s="1742" t="inlineStr">
        <is>
          <t>18.011.003</t>
        </is>
      </c>
      <c r="J2726" s="1779" t="inlineStr">
        <is>
          <t>Guarda corpo</t>
        </is>
      </c>
      <c r="K2726" s="1780" t="n"/>
      <c r="L2726" s="1781" t="n"/>
      <c r="M2726" s="1781" t="n"/>
      <c r="N2726" s="1746" t="n"/>
      <c r="O2726" s="1782" t="n"/>
      <c r="P2726" s="1720" t="n"/>
    </row>
    <row r="2727" hidden="1" outlineLevel="3" ht="12.75" customHeight="1">
      <c r="A2727" s="2117" t="n">
        <v>0</v>
      </c>
      <c r="B2727" s="2117" t="n">
        <v>18</v>
      </c>
      <c r="C2727" s="2117" t="n">
        <v>11</v>
      </c>
      <c r="D2727" s="2118" t="n">
        <v>3</v>
      </c>
      <c r="E2727" s="2118" t="n">
        <v>1</v>
      </c>
      <c r="G2727" s="1798" t="inlineStr">
        <is>
          <t>ESQUADRIAS, VIDROS E FERRAGENS</t>
        </is>
      </c>
      <c r="H2727" s="1783" t="inlineStr">
        <is>
          <t>SERVIÇO</t>
        </is>
      </c>
      <c r="I2727" s="1750" t="inlineStr">
        <is>
          <t>18.011.003.001</t>
        </is>
      </c>
      <c r="J2727" s="1785" t="inlineStr">
        <is>
          <t>Guarda Corpo de Vidro e Aluminio - fornecimento e instalação</t>
        </is>
      </c>
      <c r="K2727" s="1786" t="inlineStr">
        <is>
          <t>m2</t>
        </is>
      </c>
      <c r="L2727" s="1787" t="e">
        <v>#REF!</v>
      </c>
      <c r="M2727" s="1787" t="n">
        <v>1403.985</v>
      </c>
      <c r="N2727" s="1754" t="n"/>
      <c r="O2727" s="1788" t="inlineStr">
        <is>
          <t>Modelo do visus</t>
        </is>
      </c>
      <c r="P2727" s="1721" t="inlineStr">
        <is>
          <t>Pendente</t>
        </is>
      </c>
    </row>
    <row r="2728" hidden="1" outlineLevel="2" ht="12.75" customHeight="1">
      <c r="A2728" s="2117" t="n">
        <v>0</v>
      </c>
      <c r="B2728" s="2117" t="n">
        <v>18</v>
      </c>
      <c r="C2728" s="2117" t="n">
        <v>11</v>
      </c>
      <c r="D2728" s="2118" t="n">
        <v>4</v>
      </c>
      <c r="E2728" s="2118" t="n">
        <v>0</v>
      </c>
      <c r="G2728" s="1797" t="n"/>
      <c r="H2728" s="1777" t="inlineStr">
        <is>
          <t>SUBETAPA</t>
        </is>
      </c>
      <c r="I2728" s="1742" t="inlineStr">
        <is>
          <t>18.011.004</t>
        </is>
      </c>
      <c r="J2728" s="1779" t="inlineStr">
        <is>
          <t>Brise de Aluminio</t>
        </is>
      </c>
      <c r="K2728" s="1780" t="n"/>
      <c r="L2728" s="1781" t="n"/>
      <c r="M2728" s="1781" t="n"/>
      <c r="N2728" s="1746" t="n"/>
      <c r="O2728" s="1782" t="n"/>
      <c r="P2728" s="1720" t="n"/>
    </row>
    <row r="2729" hidden="1" outlineLevel="3" ht="12.75" customHeight="1">
      <c r="A2729" s="2117" t="n">
        <v>0</v>
      </c>
      <c r="B2729" s="2117" t="n">
        <v>18</v>
      </c>
      <c r="C2729" s="2117" t="n">
        <v>11</v>
      </c>
      <c r="D2729" s="2118" t="n">
        <v>4</v>
      </c>
      <c r="E2729" s="2118" t="n">
        <v>1</v>
      </c>
      <c r="G2729" s="1798" t="inlineStr">
        <is>
          <t>ESQUADRIAS, VIDROS E FERRAGENS</t>
        </is>
      </c>
      <c r="H2729" s="1783" t="inlineStr">
        <is>
          <t>SERVIÇO</t>
        </is>
      </c>
      <c r="I2729" s="1750" t="inlineStr">
        <is>
          <t>18.011.004.001</t>
        </is>
      </c>
      <c r="J2729" s="1785" t="inlineStr">
        <is>
          <t>Brise de Alumínio - Decoração Fachada</t>
        </is>
      </c>
      <c r="K2729" s="1786" t="inlineStr">
        <is>
          <t>m2</t>
        </is>
      </c>
      <c r="L2729" s="1787" t="e">
        <v>#REF!</v>
      </c>
      <c r="M2729" s="1787" t="n">
        <v>2122.541389557096</v>
      </c>
      <c r="N2729" s="1754" t="n"/>
      <c r="O2729" s="1788" t="inlineStr">
        <is>
          <t>Modelo do visus</t>
        </is>
      </c>
      <c r="P2729" s="1721" t="inlineStr">
        <is>
          <t>Pendente</t>
        </is>
      </c>
    </row>
    <row r="2730" hidden="1" outlineLevel="1" ht="13.5" customHeight="1">
      <c r="A2730" s="2117" t="n">
        <v>0</v>
      </c>
      <c r="B2730" s="2117" t="n">
        <v>18</v>
      </c>
      <c r="C2730" s="2117" t="n">
        <v>12</v>
      </c>
      <c r="D2730" s="2118" t="n">
        <v>0</v>
      </c>
      <c r="E2730" s="2118" t="n">
        <v>1</v>
      </c>
      <c r="G2730" s="1796" t="n"/>
      <c r="H2730" s="1771" t="inlineStr">
        <is>
          <t>ETAPA</t>
        </is>
      </c>
      <c r="I2730" s="1735" t="inlineStr">
        <is>
          <t>18.012</t>
        </is>
      </c>
      <c r="J2730" s="1773" t="inlineStr">
        <is>
          <t>ESQUADRIAS DE ALUMÍNIO - Duplex Inferior</t>
        </is>
      </c>
      <c r="K2730" s="1774" t="n"/>
      <c r="L2730" s="1775" t="n"/>
      <c r="M2730" s="1775" t="n"/>
      <c r="N2730" s="1739" t="n"/>
      <c r="O2730" s="1776" t="n"/>
      <c r="P2730" s="1719" t="n"/>
    </row>
    <row r="2731" hidden="1" outlineLevel="2" ht="13.5" customHeight="1">
      <c r="A2731" s="2117" t="n">
        <v>0</v>
      </c>
      <c r="B2731" s="2117" t="n">
        <v>18</v>
      </c>
      <c r="C2731" s="2117" t="n">
        <v>12</v>
      </c>
      <c r="D2731" s="2118" t="n">
        <v>1</v>
      </c>
      <c r="E2731" s="2118" t="n">
        <v>0</v>
      </c>
      <c r="G2731" s="1797" t="n"/>
      <c r="H2731" s="1777" t="inlineStr">
        <is>
          <t>SUBETAPA</t>
        </is>
      </c>
      <c r="I2731" s="1742" t="inlineStr">
        <is>
          <t>18.012.001</t>
        </is>
      </c>
      <c r="J2731" s="1779" t="inlineStr">
        <is>
          <t>Contramarco</t>
        </is>
      </c>
      <c r="K2731" s="1780" t="n"/>
      <c r="L2731" s="1781" t="n"/>
      <c r="M2731" s="1781" t="n"/>
      <c r="N2731" s="1746" t="n">
        <v>3160.64</v>
      </c>
      <c r="O2731" s="1782" t="n">
        <v>0.188698643018042</v>
      </c>
      <c r="P2731" s="1720" t="n"/>
    </row>
    <row r="2732" hidden="1" outlineLevel="3" ht="13.5" customHeight="1">
      <c r="A2732" s="2117" t="n">
        <v>0</v>
      </c>
      <c r="B2732" s="2117" t="n">
        <v>18</v>
      </c>
      <c r="C2732" s="2117" t="n">
        <v>12</v>
      </c>
      <c r="D2732" s="2118" t="n">
        <v>1</v>
      </c>
      <c r="E2732" s="2118" t="n">
        <v>1</v>
      </c>
      <c r="G2732" s="1798" t="inlineStr">
        <is>
          <t>ESQUADRIAS, VIDROS E FERRAGENS</t>
        </is>
      </c>
      <c r="H2732" s="1783" t="inlineStr">
        <is>
          <t>SERVIÇO</t>
        </is>
      </c>
      <c r="I2732" s="1750" t="inlineStr">
        <is>
          <t>18.012.001.001</t>
        </is>
      </c>
      <c r="J2732" s="1785" t="inlineStr">
        <is>
          <t>Contramarco de Alumínio, Fixação com Argamassa</t>
        </is>
      </c>
      <c r="K2732" s="1786" t="inlineStr">
        <is>
          <t>m</t>
        </is>
      </c>
      <c r="L2732" s="1787" t="n">
        <v>136</v>
      </c>
      <c r="M2732" s="1787" t="n">
        <v>23.24</v>
      </c>
      <c r="N2732" s="1754" t="n">
        <v>3160.64</v>
      </c>
      <c r="O2732" s="1788" t="inlineStr">
        <is>
          <t>Tabela de esquadrias enviada pela Gessele</t>
        </is>
      </c>
      <c r="P2732" s="1721" t="inlineStr">
        <is>
          <t>Pendente</t>
        </is>
      </c>
    </row>
    <row r="2733" hidden="1" outlineLevel="2" ht="13.5" customHeight="1">
      <c r="A2733" s="2117" t="n">
        <v>0</v>
      </c>
      <c r="B2733" s="2117" t="n">
        <v>18</v>
      </c>
      <c r="C2733" s="2117" t="n">
        <v>12</v>
      </c>
      <c r="D2733" s="2118" t="n">
        <v>2</v>
      </c>
      <c r="E2733" s="2118" t="n">
        <v>0</v>
      </c>
      <c r="G2733" s="1797" t="n"/>
      <c r="H2733" s="1777" t="inlineStr">
        <is>
          <t>SUBETAPA</t>
        </is>
      </c>
      <c r="I2733" s="1742" t="inlineStr">
        <is>
          <t>18.012.002</t>
        </is>
      </c>
      <c r="J2733" s="1779" t="inlineStr">
        <is>
          <t>Esquadrias de alumínio</t>
        </is>
      </c>
      <c r="K2733" s="1780" t="n"/>
      <c r="L2733" s="1781" t="n"/>
      <c r="M2733" s="1781" t="n"/>
      <c r="N2733" s="1746" t="n">
        <v>142210.563665903</v>
      </c>
      <c r="O2733" s="1782" t="n"/>
      <c r="P2733" s="1720" t="n"/>
    </row>
    <row r="2734" hidden="1" outlineLevel="3" ht="13.5" customHeight="1">
      <c r="A2734" s="2117" t="n">
        <v>0</v>
      </c>
      <c r="B2734" s="2117" t="n">
        <v>18</v>
      </c>
      <c r="C2734" s="2117" t="n">
        <v>12</v>
      </c>
      <c r="D2734" s="2118" t="n">
        <v>2</v>
      </c>
      <c r="E2734" s="2118" t="n">
        <v>1</v>
      </c>
      <c r="G2734" s="1798" t="inlineStr">
        <is>
          <t>ESQUADRIAS, VIDROS E FERRAGENS</t>
        </is>
      </c>
      <c r="H2734" s="1783" t="inlineStr">
        <is>
          <t>SERVIÇO</t>
        </is>
      </c>
      <c r="I2734" s="1750" t="inlineStr">
        <is>
          <t>18.012.002.001</t>
        </is>
      </c>
      <c r="J2734" s="1785" t="inlineStr">
        <is>
          <t>Esquadrias de Alumínio - Portas - fornecimento e instalação</t>
        </is>
      </c>
      <c r="K2734" s="1786" t="inlineStr">
        <is>
          <t>m2</t>
        </is>
      </c>
      <c r="L2734" s="1787" t="n">
        <v>9.9</v>
      </c>
      <c r="M2734" s="1787" t="n">
        <v>1906.313968151559</v>
      </c>
      <c r="N2734" s="1754" t="n">
        <v>18872.5082847004</v>
      </c>
      <c r="O2734" s="1788" t="inlineStr">
        <is>
          <t>Tabela de esquadrias enviada pela Gessele</t>
        </is>
      </c>
      <c r="P2734" s="1721" t="inlineStr">
        <is>
          <t>Pendente</t>
        </is>
      </c>
    </row>
    <row r="2735" hidden="1" outlineLevel="3" ht="13.5" customHeight="1">
      <c r="A2735" s="2117" t="n">
        <v>0</v>
      </c>
      <c r="B2735" s="2117" t="n">
        <v>18</v>
      </c>
      <c r="C2735" s="2117" t="n">
        <v>12</v>
      </c>
      <c r="D2735" s="2118" t="n">
        <v>2</v>
      </c>
      <c r="E2735" s="2118" t="n">
        <v>2</v>
      </c>
      <c r="G2735" s="1798" t="inlineStr">
        <is>
          <t>ESQUADRIAS, VIDROS E FERRAGENS</t>
        </is>
      </c>
      <c r="H2735" s="1783" t="inlineStr">
        <is>
          <t>SERVIÇO</t>
        </is>
      </c>
      <c r="I2735" s="1750" t="inlineStr">
        <is>
          <t>18.012.002.002</t>
        </is>
      </c>
      <c r="J2735" s="1785" t="inlineStr">
        <is>
          <t>Esquadrias de Alumínio - Janelas - fornecimento e instalação</t>
        </is>
      </c>
      <c r="K2735" s="1786" t="inlineStr">
        <is>
          <t>m2</t>
        </is>
      </c>
      <c r="L2735" s="1787" t="n">
        <v>14.115</v>
      </c>
      <c r="M2735" s="1787" t="n">
        <v>2650.495558713029</v>
      </c>
      <c r="N2735" s="1754" t="n">
        <v>37411.7448112344</v>
      </c>
      <c r="O2735" s="1788" t="inlineStr">
        <is>
          <t>Tabela de esquadrias enviada pela Gessele</t>
        </is>
      </c>
      <c r="P2735" s="1721" t="inlineStr">
        <is>
          <t>Pendente</t>
        </is>
      </c>
    </row>
    <row r="2736" hidden="1" outlineLevel="3" ht="13.5" customHeight="1">
      <c r="A2736" s="2117" t="n">
        <v>0</v>
      </c>
      <c r="B2736" s="2117" t="n">
        <v>18</v>
      </c>
      <c r="C2736" s="2117" t="n">
        <v>12</v>
      </c>
      <c r="D2736" s="2118" t="n">
        <v>2</v>
      </c>
      <c r="E2736" s="2118" t="n">
        <v>3</v>
      </c>
      <c r="G2736" s="1798" t="inlineStr">
        <is>
          <t>ESQUADRIAS, VIDROS E FERRAGENS</t>
        </is>
      </c>
      <c r="H2736" s="1783" t="inlineStr">
        <is>
          <t>SERVIÇO</t>
        </is>
      </c>
      <c r="I2736" s="1750" t="inlineStr">
        <is>
          <t>18.012.002.003</t>
        </is>
      </c>
      <c r="J2736" s="1785" t="inlineStr">
        <is>
          <t>Esquadrias de Alumínio - Janelas Bronze - fornecimento e instalação</t>
        </is>
      </c>
      <c r="K2736" s="1786" t="inlineStr">
        <is>
          <t>m2</t>
        </is>
      </c>
      <c r="L2736" s="1787" t="n">
        <v>29.90000000000001</v>
      </c>
      <c r="M2736" s="1787" t="n">
        <v>2873.78965116951</v>
      </c>
      <c r="N2736" s="1754" t="n">
        <v>85926.31056996839</v>
      </c>
      <c r="O2736" s="1788" t="inlineStr">
        <is>
          <t>Tabela de esquadrias enviada pela Gessele</t>
        </is>
      </c>
      <c r="P2736" s="1721" t="inlineStr">
        <is>
          <t>Pendente</t>
        </is>
      </c>
    </row>
    <row r="2737" hidden="1" outlineLevel="2" ht="12.75" customHeight="1">
      <c r="A2737" s="2117" t="n">
        <v>0</v>
      </c>
      <c r="B2737" s="2117" t="n">
        <v>18</v>
      </c>
      <c r="C2737" s="2117" t="n">
        <v>12</v>
      </c>
      <c r="D2737" s="2118" t="n">
        <v>3</v>
      </c>
      <c r="E2737" s="2118" t="n">
        <v>0</v>
      </c>
      <c r="G2737" s="1797" t="n"/>
      <c r="H2737" s="1777" t="inlineStr">
        <is>
          <t>SUBETAPA</t>
        </is>
      </c>
      <c r="I2737" s="1742" t="inlineStr">
        <is>
          <t>18.012.003</t>
        </is>
      </c>
      <c r="J2737" s="1779" t="inlineStr">
        <is>
          <t>Guarda corpo</t>
        </is>
      </c>
      <c r="K2737" s="1780" t="n"/>
      <c r="L2737" s="1781" t="n"/>
      <c r="M2737" s="1781" t="n"/>
      <c r="N2737" s="1746" t="n"/>
      <c r="O2737" s="1782" t="n"/>
      <c r="P2737" s="1720" t="n"/>
    </row>
    <row r="2738" hidden="1" outlineLevel="3" ht="12.75" customHeight="1">
      <c r="A2738" s="2117" t="n">
        <v>0</v>
      </c>
      <c r="B2738" s="2117" t="n">
        <v>18</v>
      </c>
      <c r="C2738" s="2117" t="n">
        <v>12</v>
      </c>
      <c r="D2738" s="2118" t="n">
        <v>3</v>
      </c>
      <c r="E2738" s="2118" t="n">
        <v>1</v>
      </c>
      <c r="G2738" s="1798" t="inlineStr">
        <is>
          <t>ESQUADRIAS, VIDROS E FERRAGENS</t>
        </is>
      </c>
      <c r="H2738" s="1783" t="inlineStr">
        <is>
          <t>SERVIÇO</t>
        </is>
      </c>
      <c r="I2738" s="1750" t="inlineStr">
        <is>
          <t>18.012.003.001</t>
        </is>
      </c>
      <c r="J2738" s="1785" t="inlineStr">
        <is>
          <t>Guarda Corpo de Vidro e Aluminio - fornecimento e instalação</t>
        </is>
      </c>
      <c r="K2738" s="1786" t="inlineStr">
        <is>
          <t>m2</t>
        </is>
      </c>
      <c r="L2738" s="1787" t="e">
        <v>#REF!</v>
      </c>
      <c r="M2738" s="1787" t="n">
        <v>1403.985</v>
      </c>
      <c r="N2738" s="1754" t="n"/>
      <c r="O2738" s="1788" t="inlineStr">
        <is>
          <t>Modelo do visus</t>
        </is>
      </c>
      <c r="P2738" s="1721" t="inlineStr">
        <is>
          <t>Pendente</t>
        </is>
      </c>
    </row>
    <row r="2739" hidden="1" outlineLevel="2" ht="12.75" customHeight="1">
      <c r="A2739" s="2117" t="n">
        <v>0</v>
      </c>
      <c r="B2739" s="2117" t="n">
        <v>18</v>
      </c>
      <c r="C2739" s="2117" t="n">
        <v>12</v>
      </c>
      <c r="D2739" s="2118" t="n">
        <v>4</v>
      </c>
      <c r="E2739" s="2118" t="n">
        <v>0</v>
      </c>
      <c r="G2739" s="1797" t="n"/>
      <c r="H2739" s="1777" t="inlineStr">
        <is>
          <t>SUBETAPA</t>
        </is>
      </c>
      <c r="I2739" s="1742" t="inlineStr">
        <is>
          <t>18.012.004</t>
        </is>
      </c>
      <c r="J2739" s="1779" t="inlineStr">
        <is>
          <t>Brise de Aluminio</t>
        </is>
      </c>
      <c r="K2739" s="1780" t="n"/>
      <c r="L2739" s="1781" t="n"/>
      <c r="M2739" s="1781" t="n"/>
      <c r="N2739" s="1746" t="n"/>
      <c r="O2739" s="1782" t="n"/>
      <c r="P2739" s="1720" t="n"/>
    </row>
    <row r="2740" hidden="1" outlineLevel="3" ht="12.75" customHeight="1">
      <c r="A2740" s="2117" t="n">
        <v>0</v>
      </c>
      <c r="B2740" s="2117" t="n">
        <v>18</v>
      </c>
      <c r="C2740" s="2117" t="n">
        <v>12</v>
      </c>
      <c r="D2740" s="2118" t="n">
        <v>4</v>
      </c>
      <c r="E2740" s="2118" t="n">
        <v>1</v>
      </c>
      <c r="G2740" s="1798" t="inlineStr">
        <is>
          <t>ESQUADRIAS, VIDROS E FERRAGENS</t>
        </is>
      </c>
      <c r="H2740" s="1783" t="inlineStr">
        <is>
          <t>SERVIÇO</t>
        </is>
      </c>
      <c r="I2740" s="1750" t="inlineStr">
        <is>
          <t>18.012.004.001</t>
        </is>
      </c>
      <c r="J2740" s="1785" t="inlineStr">
        <is>
          <t>Brise de Alumínio - Decoração Fachada</t>
        </is>
      </c>
      <c r="K2740" s="1786" t="inlineStr">
        <is>
          <t>m2</t>
        </is>
      </c>
      <c r="L2740" s="1787" t="e">
        <v>#REF!</v>
      </c>
      <c r="M2740" s="1787" t="n">
        <v>2122.541389557096</v>
      </c>
      <c r="N2740" s="1754" t="n"/>
      <c r="O2740" s="1788" t="inlineStr">
        <is>
          <t>Modelo do visus</t>
        </is>
      </c>
      <c r="P2740" s="1721" t="inlineStr">
        <is>
          <t>Pendente</t>
        </is>
      </c>
    </row>
    <row r="2741" hidden="1" outlineLevel="1" ht="13.5" customHeight="1">
      <c r="A2741" s="2117" t="n">
        <v>0</v>
      </c>
      <c r="B2741" s="2117" t="n">
        <v>18</v>
      </c>
      <c r="C2741" s="2117" t="n">
        <v>13</v>
      </c>
      <c r="D2741" s="2118" t="n">
        <v>0</v>
      </c>
      <c r="E2741" s="2118" t="n">
        <v>1</v>
      </c>
      <c r="G2741" s="1796" t="n"/>
      <c r="H2741" s="1771" t="inlineStr">
        <is>
          <t>ETAPA</t>
        </is>
      </c>
      <c r="I2741" s="1735" t="inlineStr">
        <is>
          <t>18.013</t>
        </is>
      </c>
      <c r="J2741" s="1773" t="inlineStr">
        <is>
          <t>ESQUADRIAS DE ALUMÍNIO - Duplex Superior</t>
        </is>
      </c>
      <c r="K2741" s="1774" t="n"/>
      <c r="L2741" s="1775" t="n"/>
      <c r="M2741" s="1775" t="n"/>
      <c r="N2741" s="1739" t="n"/>
      <c r="O2741" s="1776" t="n"/>
      <c r="P2741" s="1719" t="n"/>
    </row>
    <row r="2742" hidden="1" outlineLevel="2" ht="13.5" customHeight="1">
      <c r="A2742" s="2117" t="n">
        <v>0</v>
      </c>
      <c r="B2742" s="2117" t="n">
        <v>18</v>
      </c>
      <c r="C2742" s="2117" t="n">
        <v>13</v>
      </c>
      <c r="D2742" s="2118" t="n">
        <v>1</v>
      </c>
      <c r="E2742" s="2118" t="n">
        <v>0</v>
      </c>
      <c r="G2742" s="1797" t="n"/>
      <c r="H2742" s="1777" t="inlineStr">
        <is>
          <t>SUBETAPA</t>
        </is>
      </c>
      <c r="I2742" s="1742" t="inlineStr">
        <is>
          <t>18.013.001</t>
        </is>
      </c>
      <c r="J2742" s="1779" t="inlineStr">
        <is>
          <t>Contramarco</t>
        </is>
      </c>
      <c r="K2742" s="1780" t="n"/>
      <c r="L2742" s="1781" t="n"/>
      <c r="M2742" s="1781" t="n"/>
      <c r="N2742" s="1746" t="n">
        <v>1861.524</v>
      </c>
      <c r="O2742" s="1782" t="n">
        <v>0.111137950777538</v>
      </c>
      <c r="P2742" s="1720" t="n"/>
    </row>
    <row r="2743" hidden="1" outlineLevel="3" ht="13.5" customHeight="1">
      <c r="A2743" s="2117" t="n">
        <v>0</v>
      </c>
      <c r="B2743" s="2117" t="n">
        <v>18</v>
      </c>
      <c r="C2743" s="2117" t="n">
        <v>13</v>
      </c>
      <c r="D2743" s="2118" t="n">
        <v>1</v>
      </c>
      <c r="E2743" s="2118" t="n">
        <v>1</v>
      </c>
      <c r="G2743" s="1798" t="inlineStr">
        <is>
          <t>ESQUADRIAS, VIDROS E FERRAGENS</t>
        </is>
      </c>
      <c r="H2743" s="1783" t="inlineStr">
        <is>
          <t>SERVIÇO</t>
        </is>
      </c>
      <c r="I2743" s="1750" t="inlineStr">
        <is>
          <t>18.013.001.001</t>
        </is>
      </c>
      <c r="J2743" s="1785" t="inlineStr">
        <is>
          <t>Contramarco de Alumínio, Fixação com Argamassa</t>
        </is>
      </c>
      <c r="K2743" s="1786" t="inlineStr">
        <is>
          <t>m</t>
        </is>
      </c>
      <c r="L2743" s="1787" t="n">
        <v>80.09999999999999</v>
      </c>
      <c r="M2743" s="1787" t="n">
        <v>23.24</v>
      </c>
      <c r="N2743" s="1754" t="n">
        <v>1861.524</v>
      </c>
      <c r="O2743" s="1788" t="inlineStr">
        <is>
          <t>Tabela de esquadrias enviada pela Gessele</t>
        </is>
      </c>
      <c r="P2743" s="1721" t="inlineStr">
        <is>
          <t>Pendente</t>
        </is>
      </c>
    </row>
    <row r="2744" hidden="1" outlineLevel="2" ht="13.5" customHeight="1">
      <c r="A2744" s="2117" t="n">
        <v>0</v>
      </c>
      <c r="B2744" s="2117" t="n">
        <v>18</v>
      </c>
      <c r="C2744" s="2117" t="n">
        <v>13</v>
      </c>
      <c r="D2744" s="2118" t="n">
        <v>2</v>
      </c>
      <c r="E2744" s="2118" t="n">
        <v>0</v>
      </c>
      <c r="G2744" s="1797" t="n"/>
      <c r="H2744" s="1777" t="inlineStr">
        <is>
          <t>SUBETAPA</t>
        </is>
      </c>
      <c r="I2744" s="1742" t="inlineStr">
        <is>
          <t>18.013.002</t>
        </is>
      </c>
      <c r="J2744" s="1779" t="inlineStr">
        <is>
          <t>Esquadrias de alumínio</t>
        </is>
      </c>
      <c r="K2744" s="1780" t="n"/>
      <c r="L2744" s="1781" t="n"/>
      <c r="M2744" s="1781" t="n"/>
      <c r="N2744" s="1746" t="n">
        <v>94528.5867973969</v>
      </c>
      <c r="O2744" s="1782" t="n"/>
      <c r="P2744" s="1720" t="n"/>
    </row>
    <row r="2745" hidden="1" outlineLevel="3" ht="13.5" customHeight="1">
      <c r="A2745" s="2117" t="n">
        <v>0</v>
      </c>
      <c r="B2745" s="2117" t="n">
        <v>18</v>
      </c>
      <c r="C2745" s="2117" t="n">
        <v>13</v>
      </c>
      <c r="D2745" s="2118" t="n">
        <v>2</v>
      </c>
      <c r="E2745" s="2118" t="n">
        <v>1</v>
      </c>
      <c r="G2745" s="1798" t="inlineStr">
        <is>
          <t>ESQUADRIAS, VIDROS E FERRAGENS</t>
        </is>
      </c>
      <c r="H2745" s="1783" t="inlineStr">
        <is>
          <t>SERVIÇO</t>
        </is>
      </c>
      <c r="I2745" s="1750" t="inlineStr">
        <is>
          <t>18.013.002.001</t>
        </is>
      </c>
      <c r="J2745" s="1785" t="inlineStr">
        <is>
          <t>Esquadrias de Alumínio - Portas - fornecimento e instalação</t>
        </is>
      </c>
      <c r="K2745" s="1786" t="inlineStr">
        <is>
          <t>m2</t>
        </is>
      </c>
      <c r="L2745" s="1787" t="n">
        <v>11.94</v>
      </c>
      <c r="M2745" s="1787" t="n">
        <v>1906.313968151559</v>
      </c>
      <c r="N2745" s="1754" t="n">
        <v>22761.3887797296</v>
      </c>
      <c r="O2745" s="1788" t="inlineStr">
        <is>
          <t>Tabela de esquadrias enviada pela Gessele</t>
        </is>
      </c>
      <c r="P2745" s="1721" t="inlineStr">
        <is>
          <t>Pendente</t>
        </is>
      </c>
    </row>
    <row r="2746" hidden="1" outlineLevel="3" ht="13.5" customHeight="1">
      <c r="A2746" s="2117" t="n">
        <v>0</v>
      </c>
      <c r="B2746" s="2117" t="n">
        <v>18</v>
      </c>
      <c r="C2746" s="2117" t="n">
        <v>13</v>
      </c>
      <c r="D2746" s="2118" t="n">
        <v>2</v>
      </c>
      <c r="E2746" s="2118" t="n">
        <v>2</v>
      </c>
      <c r="G2746" s="1798" t="inlineStr">
        <is>
          <t>ESQUADRIAS, VIDROS E FERRAGENS</t>
        </is>
      </c>
      <c r="H2746" s="1783" t="inlineStr">
        <is>
          <t>SERVIÇO</t>
        </is>
      </c>
      <c r="I2746" s="1750" t="inlineStr">
        <is>
          <t>18.013.002.002</t>
        </is>
      </c>
      <c r="J2746" s="1785" t="inlineStr">
        <is>
          <t>Esquadrias de Alumínio - Janelas - fornecimento e instalação</t>
        </is>
      </c>
      <c r="K2746" s="1786" t="inlineStr">
        <is>
          <t>m2</t>
        </is>
      </c>
      <c r="L2746" s="1787" t="n">
        <v>10.965</v>
      </c>
      <c r="M2746" s="1787" t="n">
        <v>2650.495558713029</v>
      </c>
      <c r="N2746" s="1754" t="n">
        <v>29062.6838012884</v>
      </c>
      <c r="O2746" s="1788" t="inlineStr">
        <is>
          <t>Tabela de esquadrias enviada pela Gessele</t>
        </is>
      </c>
      <c r="P2746" s="1721" t="inlineStr">
        <is>
          <t>Pendente</t>
        </is>
      </c>
    </row>
    <row r="2747" hidden="1" outlineLevel="3" ht="13.5" customHeight="1">
      <c r="A2747" s="2117" t="n">
        <v>0</v>
      </c>
      <c r="B2747" s="2117" t="n">
        <v>18</v>
      </c>
      <c r="C2747" s="2117" t="n">
        <v>13</v>
      </c>
      <c r="D2747" s="2118" t="n">
        <v>2</v>
      </c>
      <c r="E2747" s="2118" t="n">
        <v>3</v>
      </c>
      <c r="G2747" s="1798" t="inlineStr">
        <is>
          <t>ESQUADRIAS, VIDROS E FERRAGENS</t>
        </is>
      </c>
      <c r="H2747" s="1783" t="inlineStr">
        <is>
          <t>SERVIÇO</t>
        </is>
      </c>
      <c r="I2747" s="1750" t="inlineStr">
        <is>
          <t>18.013.002.003</t>
        </is>
      </c>
      <c r="J2747" s="1785" t="inlineStr">
        <is>
          <t>Esquadrias de Alumínio - Janelas Bronze - fornecimento e instalação</t>
        </is>
      </c>
      <c r="K2747" s="1786" t="inlineStr">
        <is>
          <t>m2</t>
        </is>
      </c>
      <c r="L2747" s="1787" t="n">
        <v>14.86</v>
      </c>
      <c r="M2747" s="1787" t="n">
        <v>2873.78965116951</v>
      </c>
      <c r="N2747" s="1754" t="n">
        <v>42704.5142163789</v>
      </c>
      <c r="O2747" s="1788" t="inlineStr">
        <is>
          <t>Tabela de esquadrias enviada pela Gessele</t>
        </is>
      </c>
      <c r="P2747" s="1721" t="inlineStr">
        <is>
          <t>Pendente</t>
        </is>
      </c>
    </row>
    <row r="2748" hidden="1" outlineLevel="2" ht="12.75" customHeight="1">
      <c r="A2748" s="2117" t="n">
        <v>0</v>
      </c>
      <c r="B2748" s="2117" t="n">
        <v>18</v>
      </c>
      <c r="C2748" s="2117" t="n">
        <v>13</v>
      </c>
      <c r="D2748" s="2118" t="n">
        <v>3</v>
      </c>
      <c r="E2748" s="2118" t="n">
        <v>0</v>
      </c>
      <c r="G2748" s="1797" t="n"/>
      <c r="H2748" s="1777" t="inlineStr">
        <is>
          <t>SUBETAPA</t>
        </is>
      </c>
      <c r="I2748" s="1742" t="inlineStr">
        <is>
          <t>18.013.003</t>
        </is>
      </c>
      <c r="J2748" s="1779" t="inlineStr">
        <is>
          <t>Guarda corpo</t>
        </is>
      </c>
      <c r="K2748" s="1780" t="n"/>
      <c r="L2748" s="1781" t="n"/>
      <c r="M2748" s="1781" t="n"/>
      <c r="N2748" s="1746" t="n"/>
      <c r="O2748" s="1782" t="n"/>
      <c r="P2748" s="1720" t="n"/>
    </row>
    <row r="2749" hidden="1" outlineLevel="3" ht="12.75" customHeight="1">
      <c r="A2749" s="2117" t="n">
        <v>0</v>
      </c>
      <c r="B2749" s="2117" t="n">
        <v>18</v>
      </c>
      <c r="C2749" s="2117" t="n">
        <v>13</v>
      </c>
      <c r="D2749" s="2118" t="n">
        <v>3</v>
      </c>
      <c r="E2749" s="2118" t="n">
        <v>1</v>
      </c>
      <c r="G2749" s="1798" t="inlineStr">
        <is>
          <t>ESQUADRIAS, VIDROS E FERRAGENS</t>
        </is>
      </c>
      <c r="H2749" s="1783" t="inlineStr">
        <is>
          <t>SERVIÇO</t>
        </is>
      </c>
      <c r="I2749" s="1750" t="inlineStr">
        <is>
          <t>18.013.003.001</t>
        </is>
      </c>
      <c r="J2749" s="1785" t="inlineStr">
        <is>
          <t>Guarda Corpo de Vidro e Aluminio - fornecimento e instalação</t>
        </is>
      </c>
      <c r="K2749" s="1786" t="inlineStr">
        <is>
          <t>m2</t>
        </is>
      </c>
      <c r="L2749" s="1787" t="e">
        <v>#REF!</v>
      </c>
      <c r="M2749" s="1787" t="n">
        <v>1403.985</v>
      </c>
      <c r="N2749" s="1754" t="n"/>
      <c r="O2749" s="1788" t="inlineStr">
        <is>
          <t>Modelo do visus</t>
        </is>
      </c>
      <c r="P2749" s="1721" t="inlineStr">
        <is>
          <t>Pendente</t>
        </is>
      </c>
    </row>
    <row r="2750" hidden="1" outlineLevel="2" ht="12.75" customHeight="1">
      <c r="A2750" s="2117" t="n">
        <v>0</v>
      </c>
      <c r="B2750" s="2117" t="n">
        <v>18</v>
      </c>
      <c r="C2750" s="2117" t="n">
        <v>13</v>
      </c>
      <c r="D2750" s="2118" t="n">
        <v>4</v>
      </c>
      <c r="E2750" s="2118" t="n">
        <v>0</v>
      </c>
      <c r="G2750" s="1797" t="n"/>
      <c r="H2750" s="1777" t="inlineStr">
        <is>
          <t>SUBETAPA</t>
        </is>
      </c>
      <c r="I2750" s="1742" t="inlineStr">
        <is>
          <t>18.013.004</t>
        </is>
      </c>
      <c r="J2750" s="1779" t="inlineStr">
        <is>
          <t>Brise de Aluminio</t>
        </is>
      </c>
      <c r="K2750" s="1780" t="n"/>
      <c r="L2750" s="1781" t="n"/>
      <c r="M2750" s="1781" t="n"/>
      <c r="N2750" s="1746" t="n"/>
      <c r="O2750" s="1782" t="n"/>
      <c r="P2750" s="1720" t="n"/>
    </row>
    <row r="2751" hidden="1" outlineLevel="3" ht="12.75" customHeight="1">
      <c r="A2751" s="2117" t="n">
        <v>0</v>
      </c>
      <c r="B2751" s="2117" t="n">
        <v>18</v>
      </c>
      <c r="C2751" s="2117" t="n">
        <v>13</v>
      </c>
      <c r="D2751" s="2118" t="n">
        <v>4</v>
      </c>
      <c r="E2751" s="2118" t="n">
        <v>1</v>
      </c>
      <c r="G2751" s="1798" t="inlineStr">
        <is>
          <t>ESQUADRIAS, VIDROS E FERRAGENS</t>
        </is>
      </c>
      <c r="H2751" s="1783" t="inlineStr">
        <is>
          <t>SERVIÇO</t>
        </is>
      </c>
      <c r="I2751" s="1750" t="inlineStr">
        <is>
          <t>18.013.004.001</t>
        </is>
      </c>
      <c r="J2751" s="1785" t="inlineStr">
        <is>
          <t>Brise de Alumínio - Decoração Fachada</t>
        </is>
      </c>
      <c r="K2751" s="1786" t="inlineStr">
        <is>
          <t>m2</t>
        </is>
      </c>
      <c r="L2751" s="1787" t="e">
        <v>#REF!</v>
      </c>
      <c r="M2751" s="1787" t="n">
        <v>2122.541389557096</v>
      </c>
      <c r="N2751" s="1754" t="n"/>
      <c r="O2751" s="1788" t="inlineStr">
        <is>
          <t>Modelo do visus</t>
        </is>
      </c>
      <c r="P2751" s="1721" t="inlineStr">
        <is>
          <t>Pendente</t>
        </is>
      </c>
    </row>
    <row r="2752" hidden="1" outlineLevel="1" ht="13.5" customHeight="1">
      <c r="A2752" s="2117" t="n">
        <v>0</v>
      </c>
      <c r="B2752" s="2117" t="n">
        <v>18</v>
      </c>
      <c r="C2752" s="2117" t="n">
        <v>14</v>
      </c>
      <c r="D2752" s="2118" t="n">
        <v>0</v>
      </c>
      <c r="E2752" s="2118" t="n">
        <v>1</v>
      </c>
      <c r="G2752" s="1796" t="n"/>
      <c r="H2752" s="1771" t="inlineStr">
        <is>
          <t>ETAPA</t>
        </is>
      </c>
      <c r="I2752" s="1735" t="inlineStr">
        <is>
          <t>18.014</t>
        </is>
      </c>
      <c r="J2752" s="1773" t="inlineStr">
        <is>
          <t>ESQUADRIAS DE ALUMÍNIO - Cobertura | Barrilete</t>
        </is>
      </c>
      <c r="K2752" s="1774" t="n"/>
      <c r="L2752" s="1775" t="n"/>
      <c r="M2752" s="1775" t="n"/>
      <c r="N2752" s="1739" t="n">
        <v>51022.7110002243</v>
      </c>
      <c r="O2752" s="1776" t="n">
        <v>3.04619201454263</v>
      </c>
      <c r="P2752" s="1719" t="n"/>
    </row>
    <row r="2753" hidden="1" outlineLevel="2" ht="13.5" customHeight="1">
      <c r="A2753" s="2117" t="n">
        <v>0</v>
      </c>
      <c r="B2753" s="2117" t="n">
        <v>18</v>
      </c>
      <c r="C2753" s="2117" t="n">
        <v>14</v>
      </c>
      <c r="D2753" s="2118" t="n">
        <v>1</v>
      </c>
      <c r="E2753" s="2118" t="n">
        <v>0</v>
      </c>
      <c r="G2753" s="1797" t="n"/>
      <c r="H2753" s="1777" t="inlineStr">
        <is>
          <t>SUBETAPA</t>
        </is>
      </c>
      <c r="I2753" s="1742" t="inlineStr">
        <is>
          <t>18.014.001</t>
        </is>
      </c>
      <c r="J2753" s="1779" t="inlineStr">
        <is>
          <t>Contramarco</t>
        </is>
      </c>
      <c r="K2753" s="1780" t="n"/>
      <c r="L2753" s="1781" t="n"/>
      <c r="M2753" s="1781" t="n"/>
      <c r="N2753" s="1746" t="n">
        <v>1519.896</v>
      </c>
      <c r="O2753" s="1782" t="n">
        <v>0.0907418474513229</v>
      </c>
      <c r="P2753" s="1720" t="n"/>
    </row>
    <row r="2754" hidden="1" outlineLevel="3" ht="13.5" customHeight="1">
      <c r="A2754" s="2117" t="n">
        <v>0</v>
      </c>
      <c r="B2754" s="2117" t="n">
        <v>18</v>
      </c>
      <c r="C2754" s="2117" t="n">
        <v>14</v>
      </c>
      <c r="D2754" s="2118" t="n">
        <v>1</v>
      </c>
      <c r="E2754" s="2118" t="n">
        <v>1</v>
      </c>
      <c r="G2754" s="1798" t="inlineStr">
        <is>
          <t>ESQUADRIAS, VIDROS E FERRAGENS</t>
        </is>
      </c>
      <c r="H2754" s="1783" t="inlineStr">
        <is>
          <t>SERVIÇO</t>
        </is>
      </c>
      <c r="I2754" s="1750" t="inlineStr">
        <is>
          <t>18.014.001.001</t>
        </is>
      </c>
      <c r="J2754" s="1785" t="inlineStr">
        <is>
          <t>Contramarco de Alumínio, Fixação com Argamassa</t>
        </is>
      </c>
      <c r="K2754" s="1786" t="inlineStr">
        <is>
          <t>m</t>
        </is>
      </c>
      <c r="L2754" s="1787" t="n">
        <v>65.40000000000001</v>
      </c>
      <c r="M2754" s="1787" t="n">
        <v>23.24</v>
      </c>
      <c r="N2754" s="1754" t="n">
        <v>1519.896</v>
      </c>
      <c r="O2754" s="1788" t="inlineStr">
        <is>
          <t>Tabela de esquadrias enviada pela Gessele</t>
        </is>
      </c>
      <c r="P2754" s="1721" t="inlineStr">
        <is>
          <t>Pendente</t>
        </is>
      </c>
    </row>
    <row r="2755" hidden="1" outlineLevel="2" ht="13.5" customHeight="1">
      <c r="A2755" s="2117" t="n">
        <v>0</v>
      </c>
      <c r="B2755" s="2117" t="n">
        <v>18</v>
      </c>
      <c r="C2755" s="2117" t="n">
        <v>14</v>
      </c>
      <c r="D2755" s="2118" t="n">
        <v>2</v>
      </c>
      <c r="E2755" s="2118" t="n">
        <v>0</v>
      </c>
      <c r="G2755" s="1797" t="n"/>
      <c r="H2755" s="1777" t="inlineStr">
        <is>
          <t>SUBETAPA</t>
        </is>
      </c>
      <c r="I2755" s="1742" t="inlineStr">
        <is>
          <t>18.014.002</t>
        </is>
      </c>
      <c r="J2755" s="1779" t="inlineStr">
        <is>
          <t>Esquadrias de alumínio</t>
        </is>
      </c>
      <c r="K2755" s="1780" t="n"/>
      <c r="L2755" s="1781" t="n"/>
      <c r="M2755" s="1781" t="n"/>
      <c r="N2755" s="1746" t="n">
        <v>49502.8150002243</v>
      </c>
      <c r="O2755" s="1782" t="n"/>
      <c r="P2755" s="1720" t="n"/>
    </row>
    <row r="2756" hidden="1" outlineLevel="3" ht="13.5" customHeight="1">
      <c r="A2756" s="2117" t="n">
        <v>0</v>
      </c>
      <c r="B2756" s="2117" t="n">
        <v>18</v>
      </c>
      <c r="C2756" s="2117" t="n">
        <v>14</v>
      </c>
      <c r="D2756" s="2118" t="n">
        <v>2</v>
      </c>
      <c r="E2756" s="2118" t="n">
        <v>1</v>
      </c>
      <c r="G2756" s="1798" t="inlineStr">
        <is>
          <t>ESQUADRIAS, VIDROS E FERRAGENS</t>
        </is>
      </c>
      <c r="H2756" s="1783" t="inlineStr">
        <is>
          <t>SERVIÇO</t>
        </is>
      </c>
      <c r="I2756" s="1750" t="inlineStr">
        <is>
          <t>18.014.002.001</t>
        </is>
      </c>
      <c r="J2756" s="1785" t="inlineStr">
        <is>
          <t>Esquadrias de Alumínio - Portas - fornecimento e instalação</t>
        </is>
      </c>
      <c r="K2756" s="1786" t="inlineStr">
        <is>
          <t>m2</t>
        </is>
      </c>
      <c r="L2756" s="1787" t="n">
        <v>20.74</v>
      </c>
      <c r="M2756" s="1787" t="n">
        <v>1906.313968151559</v>
      </c>
      <c r="N2756" s="1754" t="n">
        <v>39536.9516994633</v>
      </c>
      <c r="O2756" s="1788" t="inlineStr">
        <is>
          <t>Tabela de esquadrias enviada pela Gessele</t>
        </is>
      </c>
      <c r="P2756" s="1721" t="inlineStr">
        <is>
          <t>Pendente</t>
        </is>
      </c>
    </row>
    <row r="2757" hidden="1" outlineLevel="3" ht="13.5" customHeight="1">
      <c r="A2757" s="2117" t="n">
        <v>0</v>
      </c>
      <c r="B2757" s="2117" t="n">
        <v>18</v>
      </c>
      <c r="C2757" s="2117" t="n">
        <v>14</v>
      </c>
      <c r="D2757" s="2118" t="n">
        <v>2</v>
      </c>
      <c r="E2757" s="2118" t="n">
        <v>2</v>
      </c>
      <c r="G2757" s="1798" t="inlineStr">
        <is>
          <t>ESQUADRIAS, VIDROS E FERRAGENS</t>
        </is>
      </c>
      <c r="H2757" s="1783" t="inlineStr">
        <is>
          <t>SERVIÇO</t>
        </is>
      </c>
      <c r="I2757" s="1750" t="inlineStr">
        <is>
          <t>18.014.002.002</t>
        </is>
      </c>
      <c r="J2757" s="1785" t="inlineStr">
        <is>
          <t>Esquadrias de Alumínio - Janelas - fornecimento e instalação</t>
        </is>
      </c>
      <c r="K2757" s="1786" t="inlineStr">
        <is>
          <t>m2</t>
        </is>
      </c>
      <c r="L2757" s="1787" t="n">
        <v>3.760000000000001</v>
      </c>
      <c r="M2757" s="1787" t="n">
        <v>2650.495558713029</v>
      </c>
      <c r="N2757" s="1754" t="n">
        <v>9965.86330076099</v>
      </c>
      <c r="O2757" s="1788" t="inlineStr">
        <is>
          <t>Tabela de esquadrias enviada pela Gessele</t>
        </is>
      </c>
      <c r="P2757" s="1721" t="inlineStr">
        <is>
          <t>Pendente</t>
        </is>
      </c>
    </row>
    <row r="2758" hidden="1" outlineLevel="1" ht="13.5" customHeight="1">
      <c r="A2758" s="2117" t="n">
        <v>0</v>
      </c>
      <c r="B2758" s="2117" t="n">
        <v>18</v>
      </c>
      <c r="C2758" s="2117" t="n">
        <v>15</v>
      </c>
      <c r="D2758" s="2118" t="n">
        <v>0</v>
      </c>
      <c r="E2758" s="2118" t="n">
        <v>2</v>
      </c>
      <c r="G2758" s="1796" t="n"/>
      <c r="H2758" s="1771" t="inlineStr">
        <is>
          <t>ETAPA</t>
        </is>
      </c>
      <c r="I2758" s="1735" t="inlineStr">
        <is>
          <t>18.015</t>
        </is>
      </c>
      <c r="J2758" s="1773" t="inlineStr">
        <is>
          <t>ESQUADRIAS DE MADEIRA - Térreo</t>
        </is>
      </c>
      <c r="K2758" s="1774" t="n"/>
      <c r="L2758" s="1775" t="n"/>
      <c r="M2758" s="1775" t="n"/>
      <c r="N2758" s="1739" t="n">
        <v>23283.38</v>
      </c>
      <c r="O2758" s="1776" t="n">
        <v>1.39007992396268</v>
      </c>
      <c r="P2758" s="1719" t="n"/>
    </row>
    <row r="2759" hidden="1" outlineLevel="2" ht="12.75" customHeight="1">
      <c r="A2759" s="2117" t="n">
        <v>0</v>
      </c>
      <c r="B2759" s="2117" t="n">
        <v>18</v>
      </c>
      <c r="C2759" s="2117" t="n">
        <v>15</v>
      </c>
      <c r="D2759" s="2118" t="n">
        <v>1</v>
      </c>
      <c r="E2759" s="2118" t="n">
        <v>0</v>
      </c>
      <c r="G2759" s="1797" t="n"/>
      <c r="H2759" s="1777" t="inlineStr">
        <is>
          <t>SUBETAPA</t>
        </is>
      </c>
      <c r="I2759" s="1742" t="inlineStr">
        <is>
          <t>18.015.001</t>
        </is>
      </c>
      <c r="J2759" s="1779" t="inlineStr">
        <is>
          <t>Esquadrias de madeira</t>
        </is>
      </c>
      <c r="K2759" s="1780" t="n"/>
      <c r="L2759" s="1781" t="n"/>
      <c r="M2759" s="1781" t="n"/>
      <c r="N2759" s="1746" t="n">
        <v>20883.38</v>
      </c>
      <c r="O2759" s="1782" t="n"/>
      <c r="P2759" s="1720" t="n"/>
    </row>
    <row r="2760" hidden="1" outlineLevel="3" ht="12.75" customHeight="1">
      <c r="A2760" s="2117" t="n">
        <v>0</v>
      </c>
      <c r="B2760" s="2117" t="n">
        <v>18</v>
      </c>
      <c r="C2760" s="2117" t="n">
        <v>15</v>
      </c>
      <c r="D2760" s="2118" t="n">
        <v>1</v>
      </c>
      <c r="E2760" s="2118" t="n">
        <v>1</v>
      </c>
      <c r="G2760" s="1798" t="inlineStr">
        <is>
          <t>ESQUADRIAS, VIDROS E FERRAGENS</t>
        </is>
      </c>
      <c r="H2760" s="1783" t="inlineStr">
        <is>
          <t>SERVIÇO</t>
        </is>
      </c>
      <c r="I2760" s="1750" t="inlineStr">
        <is>
          <t>18.015.001.001</t>
        </is>
      </c>
      <c r="J2760" s="1785" t="inlineStr">
        <is>
          <t>Porta de madeira de abrir - 80x210cm (kit completo) - fixação com espuma expansiva</t>
        </is>
      </c>
      <c r="K2760" s="1786" t="inlineStr">
        <is>
          <t>un</t>
        </is>
      </c>
      <c r="L2760" s="1787" t="n">
        <v>1</v>
      </c>
      <c r="M2760" s="1787" t="n">
        <v>2306.36</v>
      </c>
      <c r="N2760" s="1754" t="n">
        <v>2306.36</v>
      </c>
      <c r="O2760" s="1788" t="inlineStr">
        <is>
          <t>Tabela de esquadrias enviada pela Gessele</t>
        </is>
      </c>
      <c r="P2760" s="1721" t="inlineStr">
        <is>
          <t>Pendente</t>
        </is>
      </c>
    </row>
    <row r="2761" hidden="1" outlineLevel="3" ht="13.5" customHeight="1">
      <c r="A2761" s="2117" t="n">
        <v>0</v>
      </c>
      <c r="B2761" s="2117" t="n">
        <v>18</v>
      </c>
      <c r="C2761" s="2117" t="n">
        <v>15</v>
      </c>
      <c r="D2761" s="2118" t="n">
        <v>1</v>
      </c>
      <c r="E2761" s="2118" t="n">
        <v>2</v>
      </c>
      <c r="G2761" s="1798" t="inlineStr">
        <is>
          <t>ESQUADRIAS, VIDROS E FERRAGENS</t>
        </is>
      </c>
      <c r="H2761" s="1783" t="inlineStr">
        <is>
          <t>SERVIÇO</t>
        </is>
      </c>
      <c r="I2761" s="1750" t="inlineStr">
        <is>
          <t>18.015.001.002</t>
        </is>
      </c>
      <c r="J2761" s="1785" t="inlineStr">
        <is>
          <t>Porta de madeira de abrir - 90x210cm (kit completo) - fixação com espuma expansiva</t>
        </is>
      </c>
      <c r="K2761" s="1786" t="inlineStr">
        <is>
          <t>un</t>
        </is>
      </c>
      <c r="L2761" s="1787" t="n">
        <v>7</v>
      </c>
      <c r="M2761" s="1787" t="n">
        <v>2653.86</v>
      </c>
      <c r="N2761" s="1754" t="n">
        <v>18577.02</v>
      </c>
      <c r="O2761" s="1788" t="inlineStr">
        <is>
          <t>Tabela de esquadrias enviada pela Gessele</t>
        </is>
      </c>
      <c r="P2761" s="1721" t="inlineStr">
        <is>
          <t>Pendente</t>
        </is>
      </c>
    </row>
    <row r="2762" hidden="1" outlineLevel="2" ht="13.5" customHeight="1">
      <c r="A2762" s="2117" t="n">
        <v>0</v>
      </c>
      <c r="B2762" s="2117" t="n">
        <v>18</v>
      </c>
      <c r="C2762" s="2117" t="n">
        <v>15</v>
      </c>
      <c r="D2762" s="2118" t="n">
        <v>2</v>
      </c>
      <c r="E2762" s="2118" t="n">
        <v>0</v>
      </c>
      <c r="G2762" s="1797" t="n"/>
      <c r="H2762" s="1777" t="inlineStr">
        <is>
          <t>SUBETAPA</t>
        </is>
      </c>
      <c r="I2762" s="1742" t="inlineStr">
        <is>
          <t>18.015.002</t>
        </is>
      </c>
      <c r="J2762" s="1779" t="inlineStr">
        <is>
          <t>Mão de obra</t>
        </is>
      </c>
      <c r="K2762" s="1780" t="n"/>
      <c r="L2762" s="1781" t="n"/>
      <c r="M2762" s="1781" t="n"/>
      <c r="N2762" s="1746" t="n">
        <v>2400</v>
      </c>
      <c r="O2762" s="1782" t="n"/>
      <c r="P2762" s="1720" t="n"/>
    </row>
    <row r="2763" hidden="1" outlineLevel="3" ht="13.5" customHeight="1">
      <c r="A2763" s="2117" t="n">
        <v>0</v>
      </c>
      <c r="B2763" s="2117" t="n">
        <v>18</v>
      </c>
      <c r="C2763" s="2117" t="n">
        <v>15</v>
      </c>
      <c r="D2763" s="2118" t="n">
        <v>2</v>
      </c>
      <c r="E2763" s="2118" t="n">
        <v>1</v>
      </c>
      <c r="G2763" s="1798" t="inlineStr">
        <is>
          <t>ESQUADRIAS, VIDROS E FERRAGENS</t>
        </is>
      </c>
      <c r="H2763" s="1783" t="inlineStr">
        <is>
          <t>SERVIÇO</t>
        </is>
      </c>
      <c r="I2763" s="1750" t="inlineStr">
        <is>
          <t>18.015.002.001</t>
        </is>
      </c>
      <c r="J2763" s="1785" t="inlineStr">
        <is>
          <t>Mão de obra para instalação de portas de madeira</t>
        </is>
      </c>
      <c r="K2763" s="1786" t="inlineStr">
        <is>
          <t>un</t>
        </is>
      </c>
      <c r="L2763" s="1787" t="n">
        <v>8</v>
      </c>
      <c r="M2763" s="1787" t="n">
        <v>300</v>
      </c>
      <c r="N2763" s="1754" t="n">
        <v>2400</v>
      </c>
      <c r="O2763" s="1788" t="inlineStr">
        <is>
          <t>Tabela de esquadrias enviada pela Gessele</t>
        </is>
      </c>
      <c r="P2763" s="1721" t="inlineStr">
        <is>
          <t>Pendente</t>
        </is>
      </c>
    </row>
    <row r="2764" hidden="1" outlineLevel="1" ht="13.5" customHeight="1">
      <c r="A2764" s="2117" t="n">
        <v>0</v>
      </c>
      <c r="B2764" s="2117" t="n">
        <v>18</v>
      </c>
      <c r="C2764" s="2117" t="n">
        <v>16</v>
      </c>
      <c r="D2764" s="2118" t="n">
        <v>0</v>
      </c>
      <c r="E2764" s="2118" t="n">
        <v>1</v>
      </c>
      <c r="G2764" s="1796" t="n"/>
      <c r="H2764" s="1771" t="inlineStr">
        <is>
          <t>ETAPA</t>
        </is>
      </c>
      <c r="I2764" s="1735" t="inlineStr">
        <is>
          <t>18.016</t>
        </is>
      </c>
      <c r="J2764" s="1773" t="inlineStr">
        <is>
          <t>ESQUADRIAS DE MADEIRA - Lazer | Garagem</t>
        </is>
      </c>
      <c r="K2764" s="1774" t="n"/>
      <c r="L2764" s="1775" t="n"/>
      <c r="M2764" s="1775" t="n"/>
      <c r="N2764" s="1739" t="n">
        <v>16680.66</v>
      </c>
      <c r="O2764" s="1776" t="n">
        <v>0.995879918828251</v>
      </c>
      <c r="P2764" s="1719" t="n"/>
    </row>
    <row r="2765" hidden="1" outlineLevel="2" ht="12.75" customHeight="1">
      <c r="A2765" s="2117" t="n">
        <v>0</v>
      </c>
      <c r="B2765" s="2117" t="n">
        <v>18</v>
      </c>
      <c r="C2765" s="2117" t="n">
        <v>16</v>
      </c>
      <c r="D2765" s="2118" t="n">
        <v>1</v>
      </c>
      <c r="E2765" s="2118" t="n">
        <v>0</v>
      </c>
      <c r="G2765" s="1797" t="n"/>
      <c r="H2765" s="1777" t="inlineStr">
        <is>
          <t>SUBETAPA</t>
        </is>
      </c>
      <c r="I2765" s="1742" t="inlineStr">
        <is>
          <t>18.016.001</t>
        </is>
      </c>
      <c r="J2765" s="1779" t="inlineStr">
        <is>
          <t>Esquadrias de madeira</t>
        </is>
      </c>
      <c r="K2765" s="1780" t="n"/>
      <c r="L2765" s="1781" t="n"/>
      <c r="M2765" s="1781" t="n"/>
      <c r="N2765" s="1746" t="n">
        <v>14880.66</v>
      </c>
      <c r="O2765" s="1782" t="n"/>
      <c r="P2765" s="1720" t="n"/>
    </row>
    <row r="2766" hidden="1" outlineLevel="3" ht="12.75" customHeight="1">
      <c r="A2766" s="2117" t="n">
        <v>0</v>
      </c>
      <c r="B2766" s="2117" t="n">
        <v>18</v>
      </c>
      <c r="C2766" s="2117" t="n">
        <v>16</v>
      </c>
      <c r="D2766" s="2118" t="n">
        <v>1</v>
      </c>
      <c r="E2766" s="2118" t="n">
        <v>1</v>
      </c>
      <c r="G2766" s="1798" t="inlineStr">
        <is>
          <t>ESQUADRIAS, VIDROS E FERRAGENS</t>
        </is>
      </c>
      <c r="H2766" s="1783" t="inlineStr">
        <is>
          <t>SERVIÇO</t>
        </is>
      </c>
      <c r="I2766" s="1750" t="inlineStr">
        <is>
          <t>18.016.001.001</t>
        </is>
      </c>
      <c r="J2766" s="1785" t="inlineStr">
        <is>
          <t>Porta de madeira de abrir - 80x210cm (kit completo) - fixação com espuma expansiva</t>
        </is>
      </c>
      <c r="K2766" s="1786" t="inlineStr">
        <is>
          <t>un</t>
        </is>
      </c>
      <c r="L2766" s="1787" t="n">
        <v>3</v>
      </c>
      <c r="M2766" s="1787" t="n">
        <v>2306.36</v>
      </c>
      <c r="N2766" s="1754" t="n">
        <v>6919.08</v>
      </c>
      <c r="O2766" s="1788" t="inlineStr">
        <is>
          <t>Tabela de esquadrias enviada pela Gessele</t>
        </is>
      </c>
      <c r="P2766" s="1721" t="inlineStr">
        <is>
          <t>Pendente</t>
        </is>
      </c>
    </row>
    <row r="2767" hidden="1" outlineLevel="3" ht="13.5" customHeight="1">
      <c r="A2767" s="2117" t="n">
        <v>0</v>
      </c>
      <c r="B2767" s="2117" t="n">
        <v>18</v>
      </c>
      <c r="C2767" s="2117" t="n">
        <v>16</v>
      </c>
      <c r="D2767" s="2118" t="n">
        <v>1</v>
      </c>
      <c r="E2767" s="2118" t="n">
        <v>2</v>
      </c>
      <c r="G2767" s="1798" t="inlineStr">
        <is>
          <t>ESQUADRIAS, VIDROS E FERRAGENS</t>
        </is>
      </c>
      <c r="H2767" s="1783" t="inlineStr">
        <is>
          <t>SERVIÇO</t>
        </is>
      </c>
      <c r="I2767" s="1750" t="inlineStr">
        <is>
          <t>18.016.001.002</t>
        </is>
      </c>
      <c r="J2767" s="1785" t="inlineStr">
        <is>
          <t>Porta de madeira de abrir - 90x210cm (kit completo) - fixação com espuma expansiva</t>
        </is>
      </c>
      <c r="K2767" s="1786" t="inlineStr">
        <is>
          <t>un</t>
        </is>
      </c>
      <c r="L2767" s="1787" t="n">
        <v>3</v>
      </c>
      <c r="M2767" s="1787" t="n">
        <v>2653.86</v>
      </c>
      <c r="N2767" s="1754" t="n">
        <v>7961.58</v>
      </c>
      <c r="O2767" s="1788" t="inlineStr">
        <is>
          <t>Tabela de esquadrias enviada pela Gessele</t>
        </is>
      </c>
      <c r="P2767" s="1721" t="inlineStr">
        <is>
          <t>Pendente</t>
        </is>
      </c>
    </row>
    <row r="2768" hidden="1" outlineLevel="2" ht="13.5" customHeight="1">
      <c r="A2768" s="2117" t="n">
        <v>0</v>
      </c>
      <c r="B2768" s="2117" t="n">
        <v>18</v>
      </c>
      <c r="C2768" s="2117" t="n">
        <v>16</v>
      </c>
      <c r="D2768" s="2118" t="n">
        <v>2</v>
      </c>
      <c r="E2768" s="2118" t="n">
        <v>0</v>
      </c>
      <c r="G2768" s="1797" t="n"/>
      <c r="H2768" s="1777" t="inlineStr">
        <is>
          <t>SUBETAPA</t>
        </is>
      </c>
      <c r="I2768" s="1742" t="inlineStr">
        <is>
          <t>18.016.002</t>
        </is>
      </c>
      <c r="J2768" s="1779" t="inlineStr">
        <is>
          <t>Mão de obra</t>
        </is>
      </c>
      <c r="K2768" s="1780" t="n"/>
      <c r="L2768" s="1781" t="n"/>
      <c r="M2768" s="1781" t="n"/>
      <c r="N2768" s="1746" t="n">
        <v>1800</v>
      </c>
      <c r="O2768" s="1782" t="n"/>
      <c r="P2768" s="1720" t="n"/>
    </row>
    <row r="2769" hidden="1" outlineLevel="3" ht="13.5" customHeight="1">
      <c r="A2769" s="2117" t="n">
        <v>0</v>
      </c>
      <c r="B2769" s="2117" t="n">
        <v>18</v>
      </c>
      <c r="C2769" s="2117" t="n">
        <v>16</v>
      </c>
      <c r="D2769" s="2118" t="n">
        <v>2</v>
      </c>
      <c r="E2769" s="2118" t="n">
        <v>1</v>
      </c>
      <c r="G2769" s="1798" t="inlineStr">
        <is>
          <t>ESQUADRIAS, VIDROS E FERRAGENS</t>
        </is>
      </c>
      <c r="H2769" s="1783" t="inlineStr">
        <is>
          <t>SERVIÇO</t>
        </is>
      </c>
      <c r="I2769" s="1750" t="inlineStr">
        <is>
          <t>18.016.002.001</t>
        </is>
      </c>
      <c r="J2769" s="1785" t="inlineStr">
        <is>
          <t>Mão de obra para instalação de portas de madeira</t>
        </is>
      </c>
      <c r="K2769" s="1786" t="inlineStr">
        <is>
          <t>un</t>
        </is>
      </c>
      <c r="L2769" s="1787" t="n">
        <v>6</v>
      </c>
      <c r="M2769" s="1787" t="n">
        <v>300</v>
      </c>
      <c r="N2769" s="1754" t="n">
        <v>1800</v>
      </c>
      <c r="O2769" s="1788" t="inlineStr">
        <is>
          <t>Tabela de esquadrias enviada pela Gessele</t>
        </is>
      </c>
      <c r="P2769" s="1721" t="inlineStr">
        <is>
          <t>Pendente</t>
        </is>
      </c>
    </row>
    <row r="2770" hidden="1" outlineLevel="1" ht="13.5" customHeight="1">
      <c r="A2770" s="2117" t="n">
        <v>0</v>
      </c>
      <c r="B2770" s="2117" t="n">
        <v>18</v>
      </c>
      <c r="C2770" s="2117" t="n">
        <v>17</v>
      </c>
      <c r="D2770" s="2118" t="n">
        <v>0</v>
      </c>
      <c r="E2770" s="2118" t="n">
        <v>1</v>
      </c>
      <c r="G2770" s="1796" t="n"/>
      <c r="H2770" s="1771" t="inlineStr">
        <is>
          <t>ETAPA</t>
        </is>
      </c>
      <c r="I2770" s="1735" t="inlineStr">
        <is>
          <t>18.017</t>
        </is>
      </c>
      <c r="J2770" s="1773" t="inlineStr">
        <is>
          <t>ESQUADRIAS DE MADEIRA - Lazer</t>
        </is>
      </c>
      <c r="K2770" s="1774" t="n"/>
      <c r="L2770" s="1775" t="n"/>
      <c r="M2770" s="1775" t="n"/>
      <c r="N2770" s="1739" t="n">
        <v>20329.52</v>
      </c>
      <c r="O2770" s="1776" t="n">
        <v>1.21372659879269</v>
      </c>
      <c r="P2770" s="1719" t="n"/>
    </row>
    <row r="2771" hidden="1" outlineLevel="2" ht="12.75" customHeight="1">
      <c r="A2771" s="2117" t="n">
        <v>0</v>
      </c>
      <c r="B2771" s="2117" t="n">
        <v>18</v>
      </c>
      <c r="C2771" s="2117" t="n">
        <v>17</v>
      </c>
      <c r="D2771" s="2118" t="n">
        <v>1</v>
      </c>
      <c r="E2771" s="2118" t="n">
        <v>0</v>
      </c>
      <c r="G2771" s="1797" t="n"/>
      <c r="H2771" s="1777" t="inlineStr">
        <is>
          <t>SUBETAPA</t>
        </is>
      </c>
      <c r="I2771" s="1742" t="inlineStr">
        <is>
          <t>18.017.001</t>
        </is>
      </c>
      <c r="J2771" s="1779" t="inlineStr">
        <is>
          <t>Esquadrias de madeira</t>
        </is>
      </c>
      <c r="K2771" s="1780" t="n"/>
      <c r="L2771" s="1781" t="n"/>
      <c r="M2771" s="1781" t="n"/>
      <c r="N2771" s="1746" t="n">
        <v>18229.52</v>
      </c>
      <c r="O2771" s="1782" t="n"/>
      <c r="P2771" s="1720" t="n"/>
    </row>
    <row r="2772" hidden="1" outlineLevel="3" ht="12.75" customHeight="1">
      <c r="A2772" s="2117" t="n">
        <v>0</v>
      </c>
      <c r="B2772" s="2117" t="n">
        <v>18</v>
      </c>
      <c r="C2772" s="2117" t="n">
        <v>17</v>
      </c>
      <c r="D2772" s="2118" t="n">
        <v>1</v>
      </c>
      <c r="E2772" s="2118" t="n">
        <v>1</v>
      </c>
      <c r="G2772" s="1798" t="inlineStr">
        <is>
          <t>ESQUADRIAS, VIDROS E FERRAGENS</t>
        </is>
      </c>
      <c r="H2772" s="1783" t="inlineStr">
        <is>
          <t>SERVIÇO</t>
        </is>
      </c>
      <c r="I2772" s="1750" t="inlineStr">
        <is>
          <t>18.017.001.001</t>
        </is>
      </c>
      <c r="J2772" s="1785" t="inlineStr">
        <is>
          <t>Porta de madeira de abrir - 80x210cm (kit completo) - fixação com espuma expansiva</t>
        </is>
      </c>
      <c r="K2772" s="1786" t="inlineStr">
        <is>
          <t>un</t>
        </is>
      </c>
      <c r="L2772" s="1787" t="n">
        <v>1</v>
      </c>
      <c r="M2772" s="1787" t="n">
        <v>2306.36</v>
      </c>
      <c r="N2772" s="1754" t="n">
        <v>2306.36</v>
      </c>
      <c r="O2772" s="1788" t="inlineStr">
        <is>
          <t>Tabela de esquadrias enviada pela Gessele</t>
        </is>
      </c>
      <c r="P2772" s="1721" t="inlineStr">
        <is>
          <t>Pendente</t>
        </is>
      </c>
    </row>
    <row r="2773" hidden="1" outlineLevel="3" ht="13.5" customHeight="1">
      <c r="A2773" s="2117" t="n">
        <v>0</v>
      </c>
      <c r="B2773" s="2117" t="n">
        <v>18</v>
      </c>
      <c r="C2773" s="2117" t="n">
        <v>17</v>
      </c>
      <c r="D2773" s="2118" t="n">
        <v>1</v>
      </c>
      <c r="E2773" s="2118" t="n">
        <v>2</v>
      </c>
      <c r="G2773" s="1798" t="inlineStr">
        <is>
          <t>ESQUADRIAS, VIDROS E FERRAGENS</t>
        </is>
      </c>
      <c r="H2773" s="1783" t="inlineStr">
        <is>
          <t>SERVIÇO</t>
        </is>
      </c>
      <c r="I2773" s="1750" t="inlineStr">
        <is>
          <t>18.017.001.002</t>
        </is>
      </c>
      <c r="J2773" s="1785" t="inlineStr">
        <is>
          <t>Porta de madeira de abrir - 90x210cm (kit completo) - fixação com espuma expansiva</t>
        </is>
      </c>
      <c r="K2773" s="1786" t="inlineStr">
        <is>
          <t>un</t>
        </is>
      </c>
      <c r="L2773" s="1787" t="n">
        <v>6</v>
      </c>
      <c r="M2773" s="1787" t="n">
        <v>2653.86</v>
      </c>
      <c r="N2773" s="1754" t="n">
        <v>15923.16</v>
      </c>
      <c r="O2773" s="1788" t="inlineStr">
        <is>
          <t>Tabela de esquadrias enviada pela Gessele</t>
        </is>
      </c>
      <c r="P2773" s="1721" t="inlineStr">
        <is>
          <t>Pendente</t>
        </is>
      </c>
    </row>
    <row r="2774" hidden="1" outlineLevel="2" ht="13.5" customHeight="1">
      <c r="A2774" s="2117" t="n">
        <v>0</v>
      </c>
      <c r="B2774" s="2117" t="n">
        <v>18</v>
      </c>
      <c r="C2774" s="2117" t="n">
        <v>17</v>
      </c>
      <c r="D2774" s="2118" t="n">
        <v>2</v>
      </c>
      <c r="E2774" s="2118" t="n">
        <v>0</v>
      </c>
      <c r="G2774" s="1797" t="n"/>
      <c r="H2774" s="1777" t="inlineStr">
        <is>
          <t>SUBETAPA</t>
        </is>
      </c>
      <c r="I2774" s="1742" t="inlineStr">
        <is>
          <t>18.017.002</t>
        </is>
      </c>
      <c r="J2774" s="1779" t="inlineStr">
        <is>
          <t>Mão de obra</t>
        </is>
      </c>
      <c r="K2774" s="1780" t="n"/>
      <c r="L2774" s="1781" t="n"/>
      <c r="M2774" s="1781" t="n"/>
      <c r="N2774" s="1746" t="n">
        <v>2100</v>
      </c>
      <c r="O2774" s="1782" t="n"/>
      <c r="P2774" s="1720" t="n"/>
    </row>
    <row r="2775" hidden="1" outlineLevel="3" ht="13.5" customHeight="1">
      <c r="A2775" s="2117" t="n">
        <v>0</v>
      </c>
      <c r="B2775" s="2117" t="n">
        <v>18</v>
      </c>
      <c r="C2775" s="2117" t="n">
        <v>17</v>
      </c>
      <c r="D2775" s="2118" t="n">
        <v>2</v>
      </c>
      <c r="E2775" s="2118" t="n">
        <v>1</v>
      </c>
      <c r="G2775" s="1798" t="inlineStr">
        <is>
          <t>ESQUADRIAS, VIDROS E FERRAGENS</t>
        </is>
      </c>
      <c r="H2775" s="1783" t="inlineStr">
        <is>
          <t>SERVIÇO</t>
        </is>
      </c>
      <c r="I2775" s="1750" t="inlineStr">
        <is>
          <t>18.017.002.001</t>
        </is>
      </c>
      <c r="J2775" s="1785" t="inlineStr">
        <is>
          <t>Mão de obra para instalação de portas de madeira</t>
        </is>
      </c>
      <c r="K2775" s="1786" t="inlineStr">
        <is>
          <t>un</t>
        </is>
      </c>
      <c r="L2775" s="1787" t="n">
        <v>7</v>
      </c>
      <c r="M2775" s="1787" t="n">
        <v>300</v>
      </c>
      <c r="N2775" s="1754" t="n">
        <v>2100</v>
      </c>
      <c r="O2775" s="1788" t="inlineStr">
        <is>
          <t>Tabela de esquadrias enviada pela Gessele</t>
        </is>
      </c>
      <c r="P2775" s="1721" t="inlineStr">
        <is>
          <t>Pendente</t>
        </is>
      </c>
    </row>
    <row r="2776" hidden="1" outlineLevel="1" ht="13.5" customHeight="1">
      <c r="A2776" s="2117" t="n">
        <v>0</v>
      </c>
      <c r="B2776" s="2117" t="n">
        <v>18</v>
      </c>
      <c r="C2776" s="2117" t="n">
        <v>18</v>
      </c>
      <c r="D2776" s="2118" t="n">
        <v>0</v>
      </c>
      <c r="E2776" s="2118" t="n">
        <v>1</v>
      </c>
      <c r="G2776" s="1796" t="n"/>
      <c r="H2776" s="1771" t="inlineStr">
        <is>
          <t>ETAPA</t>
        </is>
      </c>
      <c r="I2776" s="1735" t="inlineStr">
        <is>
          <t>18.018</t>
        </is>
      </c>
      <c r="J2776" s="1773" t="inlineStr">
        <is>
          <t>ESQUADRIAS DE MADEIRA - Tipo diferenciado</t>
        </is>
      </c>
      <c r="K2776" s="1774" t="n"/>
      <c r="L2776" s="1775" t="n"/>
      <c r="M2776" s="1775" t="n"/>
      <c r="N2776" s="1739" t="n">
        <v>39767.32</v>
      </c>
      <c r="O2776" s="1776" t="n">
        <v>2.3742151337907</v>
      </c>
      <c r="P2776" s="1719" t="n"/>
    </row>
    <row r="2777" hidden="1" outlineLevel="2" ht="12.75" customHeight="1">
      <c r="A2777" s="2117" t="n">
        <v>0</v>
      </c>
      <c r="B2777" s="2117" t="n">
        <v>18</v>
      </c>
      <c r="C2777" s="2117" t="n">
        <v>18</v>
      </c>
      <c r="D2777" s="2118" t="n">
        <v>1</v>
      </c>
      <c r="E2777" s="2118" t="n">
        <v>0</v>
      </c>
      <c r="G2777" s="1797" t="n"/>
      <c r="H2777" s="1777" t="inlineStr">
        <is>
          <t>SUBETAPA</t>
        </is>
      </c>
      <c r="I2777" s="1742" t="inlineStr">
        <is>
          <t>18.018.001</t>
        </is>
      </c>
      <c r="J2777" s="1779" t="inlineStr">
        <is>
          <t>Esquadrias de madeira</t>
        </is>
      </c>
      <c r="K2777" s="1780" t="n"/>
      <c r="L2777" s="1781" t="n"/>
      <c r="M2777" s="1781" t="n"/>
      <c r="N2777" s="1746" t="n">
        <v>32984.04</v>
      </c>
      <c r="O2777" s="1782" t="n"/>
      <c r="P2777" s="1720" t="n"/>
    </row>
    <row r="2778" hidden="1" outlineLevel="3" ht="12.75" customHeight="1">
      <c r="A2778" s="2117" t="n">
        <v>0</v>
      </c>
      <c r="B2778" s="2117" t="n">
        <v>18</v>
      </c>
      <c r="C2778" s="2117" t="n">
        <v>18</v>
      </c>
      <c r="D2778" s="2118" t="n">
        <v>1</v>
      </c>
      <c r="E2778" s="2118" t="n">
        <v>1</v>
      </c>
      <c r="G2778" s="1798" t="inlineStr">
        <is>
          <t>ESQUADRIAS, VIDROS E FERRAGENS</t>
        </is>
      </c>
      <c r="H2778" s="1783" t="inlineStr">
        <is>
          <t>SERVIÇO</t>
        </is>
      </c>
      <c r="I2778" s="1750" t="inlineStr">
        <is>
          <t>18.018.001.001</t>
        </is>
      </c>
      <c r="J2778" s="1785" t="inlineStr">
        <is>
          <t>Porta de madeira de abrir - 70x210cm (kit completo) - fixação com espuma expansiva</t>
        </is>
      </c>
      <c r="K2778" s="1786" t="inlineStr">
        <is>
          <t>un</t>
        </is>
      </c>
      <c r="L2778" s="1787" t="n">
        <v>7</v>
      </c>
      <c r="M2778" s="1787" t="n">
        <v>2306.36</v>
      </c>
      <c r="N2778" s="1754" t="n">
        <v>16144.52</v>
      </c>
      <c r="O2778" s="1788" t="inlineStr">
        <is>
          <t>Tabela de esquadrias enviada pela Gessele</t>
        </is>
      </c>
      <c r="P2778" s="1721" t="inlineStr">
        <is>
          <t>Pendente</t>
        </is>
      </c>
    </row>
    <row r="2779" hidden="1" outlineLevel="3" ht="12.75" customHeight="1">
      <c r="A2779" s="2117" t="n">
        <v>0</v>
      </c>
      <c r="B2779" s="2117" t="n">
        <v>18</v>
      </c>
      <c r="C2779" s="2117" t="n">
        <v>18</v>
      </c>
      <c r="D2779" s="2118" t="n">
        <v>1</v>
      </c>
      <c r="E2779" s="2118" t="n">
        <v>2</v>
      </c>
      <c r="G2779" s="1798" t="inlineStr">
        <is>
          <t>ESQUADRIAS, VIDROS E FERRAGENS</t>
        </is>
      </c>
      <c r="H2779" s="1783" t="inlineStr">
        <is>
          <t>SERVIÇO</t>
        </is>
      </c>
      <c r="I2779" s="1750" t="inlineStr">
        <is>
          <t>18.018.001.002</t>
        </is>
      </c>
      <c r="J2779" s="1785" t="inlineStr">
        <is>
          <t>Porta de madeira de abrir - 80x210cm (kit completo) - fixação com espuma expansiva</t>
        </is>
      </c>
      <c r="K2779" s="1786" t="inlineStr">
        <is>
          <t>un</t>
        </is>
      </c>
      <c r="L2779" s="1787" t="n">
        <v>5</v>
      </c>
      <c r="M2779" s="1787" t="n">
        <v>2306.36</v>
      </c>
      <c r="N2779" s="1754" t="n">
        <v>11531.8</v>
      </c>
      <c r="O2779" s="1788" t="inlineStr">
        <is>
          <t>Tabela de esquadrias enviada pela Gessele</t>
        </is>
      </c>
      <c r="P2779" s="1721" t="inlineStr">
        <is>
          <t>Pendente</t>
        </is>
      </c>
    </row>
    <row r="2780" hidden="1" outlineLevel="3" ht="13.5" customHeight="1">
      <c r="A2780" s="2117" t="n">
        <v>0</v>
      </c>
      <c r="B2780" s="2117" t="n">
        <v>18</v>
      </c>
      <c r="C2780" s="2117" t="n">
        <v>18</v>
      </c>
      <c r="D2780" s="2118" t="n">
        <v>1</v>
      </c>
      <c r="E2780" s="2118" t="n">
        <v>3</v>
      </c>
      <c r="G2780" s="1798" t="inlineStr">
        <is>
          <t>ESQUADRIAS, VIDROS E FERRAGENS</t>
        </is>
      </c>
      <c r="H2780" s="1783" t="inlineStr">
        <is>
          <t>SERVIÇO</t>
        </is>
      </c>
      <c r="I2780" s="1750" t="inlineStr">
        <is>
          <t>18.018.001.003</t>
        </is>
      </c>
      <c r="J2780" s="1785" t="inlineStr">
        <is>
          <t>Porta de madeira de abrir - 90x210cm (kit completo) - fixação com espuma expansiva</t>
        </is>
      </c>
      <c r="K2780" s="1786" t="inlineStr">
        <is>
          <t>un</t>
        </is>
      </c>
      <c r="L2780" s="1787" t="n">
        <v>2</v>
      </c>
      <c r="M2780" s="1787" t="n">
        <v>2653.86</v>
      </c>
      <c r="N2780" s="1754" t="n">
        <v>5307.72</v>
      </c>
      <c r="O2780" s="1788" t="inlineStr">
        <is>
          <t>Tabela de esquadrias enviada pela Gessele</t>
        </is>
      </c>
      <c r="P2780" s="1721" t="inlineStr">
        <is>
          <t>Pendente</t>
        </is>
      </c>
    </row>
    <row r="2781" hidden="1" outlineLevel="2" ht="13.5" customHeight="1">
      <c r="A2781" s="2117" t="n">
        <v>0</v>
      </c>
      <c r="B2781" s="2117" t="n">
        <v>18</v>
      </c>
      <c r="C2781" s="2117" t="n">
        <v>18</v>
      </c>
      <c r="D2781" s="2118" t="n">
        <v>2</v>
      </c>
      <c r="E2781" s="2118" t="n">
        <v>0</v>
      </c>
      <c r="G2781" s="1797" t="n"/>
      <c r="H2781" s="1777" t="inlineStr">
        <is>
          <t>SUBETAPA</t>
        </is>
      </c>
      <c r="I2781" s="1742" t="inlineStr">
        <is>
          <t>18.018.002</t>
        </is>
      </c>
      <c r="J2781" s="1779" t="inlineStr">
        <is>
          <t>Acessórios e ferragens</t>
        </is>
      </c>
      <c r="K2781" s="1780" t="n"/>
      <c r="L2781" s="1781" t="n"/>
      <c r="M2781" s="1781" t="n"/>
      <c r="N2781" s="1746" t="n">
        <v>2583.28</v>
      </c>
      <c r="O2781" s="1782" t="n"/>
      <c r="P2781" s="1720" t="n"/>
    </row>
    <row r="2782" hidden="1" outlineLevel="3" ht="13.5" customHeight="1">
      <c r="A2782" s="2117" t="n">
        <v>0</v>
      </c>
      <c r="B2782" s="2117" t="n">
        <v>18</v>
      </c>
      <c r="C2782" s="2117" t="n">
        <v>18</v>
      </c>
      <c r="D2782" s="2118" t="n">
        <v>2</v>
      </c>
      <c r="E2782" s="2118" t="n">
        <v>1</v>
      </c>
      <c r="G2782" s="1798" t="inlineStr">
        <is>
          <t>ESQUADRIAS, VIDROS E FERRAGENS</t>
        </is>
      </c>
      <c r="H2782" s="1783" t="inlineStr">
        <is>
          <t>SERVIÇO</t>
        </is>
      </c>
      <c r="I2782" s="1750" t="inlineStr">
        <is>
          <t>18.018.002.001</t>
        </is>
      </c>
      <c r="J2782" s="1785" t="inlineStr">
        <is>
          <t>Fechadura eletronica</t>
        </is>
      </c>
      <c r="K2782" s="1786" t="inlineStr">
        <is>
          <t>un</t>
        </is>
      </c>
      <c r="L2782" s="1787" t="n">
        <v>2</v>
      </c>
      <c r="M2782" s="1787" t="n">
        <v>1291.64</v>
      </c>
      <c r="N2782" s="1754" t="n">
        <v>2583.28</v>
      </c>
      <c r="O2782" s="1788" t="inlineStr">
        <is>
          <t>Uma por apartamento</t>
        </is>
      </c>
      <c r="P2782" s="1721" t="inlineStr">
        <is>
          <t>Pendente</t>
        </is>
      </c>
    </row>
    <row r="2783" hidden="1" outlineLevel="2" ht="13.5" customHeight="1">
      <c r="A2783" s="2117" t="n">
        <v>0</v>
      </c>
      <c r="B2783" s="2117" t="n">
        <v>18</v>
      </c>
      <c r="C2783" s="2117" t="n">
        <v>18</v>
      </c>
      <c r="D2783" s="2118" t="n">
        <v>3</v>
      </c>
      <c r="E2783" s="2118" t="n">
        <v>0</v>
      </c>
      <c r="G2783" s="1797" t="n"/>
      <c r="H2783" s="1777" t="inlineStr">
        <is>
          <t>SUBETAPA</t>
        </is>
      </c>
      <c r="I2783" s="1742" t="inlineStr">
        <is>
          <t>18.018.003</t>
        </is>
      </c>
      <c r="J2783" s="1779" t="inlineStr">
        <is>
          <t>Mão de obra</t>
        </is>
      </c>
      <c r="K2783" s="1780" t="n"/>
      <c r="L2783" s="1781" t="n"/>
      <c r="M2783" s="1781" t="n"/>
      <c r="N2783" s="1746" t="n">
        <v>4200</v>
      </c>
      <c r="O2783" s="1782" t="n"/>
      <c r="P2783" s="1720" t="n"/>
    </row>
    <row r="2784" hidden="1" outlineLevel="3" ht="13.5" customHeight="1">
      <c r="A2784" s="2117" t="n">
        <v>0</v>
      </c>
      <c r="B2784" s="2117" t="n">
        <v>18</v>
      </c>
      <c r="C2784" s="2117" t="n">
        <v>18</v>
      </c>
      <c r="D2784" s="2118" t="n">
        <v>3</v>
      </c>
      <c r="E2784" s="2118" t="n">
        <v>1</v>
      </c>
      <c r="G2784" s="1798" t="inlineStr">
        <is>
          <t>ESQUADRIAS, VIDROS E FERRAGENS</t>
        </is>
      </c>
      <c r="H2784" s="1783" t="inlineStr">
        <is>
          <t>SERVIÇO</t>
        </is>
      </c>
      <c r="I2784" s="1750" t="inlineStr">
        <is>
          <t>18.018.003.001</t>
        </is>
      </c>
      <c r="J2784" s="1785" t="inlineStr">
        <is>
          <t>Mão de obra para instalação de portas de madeira</t>
        </is>
      </c>
      <c r="K2784" s="1786" t="inlineStr">
        <is>
          <t>un</t>
        </is>
      </c>
      <c r="L2784" s="1787" t="n">
        <v>14</v>
      </c>
      <c r="M2784" s="1787" t="n">
        <v>300</v>
      </c>
      <c r="N2784" s="1754" t="n">
        <v>4200</v>
      </c>
      <c r="O2784" s="1788" t="inlineStr">
        <is>
          <t>Tabela de esquadrias enviada pela Gessele</t>
        </is>
      </c>
      <c r="P2784" s="1721" t="inlineStr">
        <is>
          <t>Pendente</t>
        </is>
      </c>
    </row>
    <row r="2785" hidden="1" outlineLevel="1" ht="13.5" customHeight="1">
      <c r="A2785" s="2117" t="n">
        <v>0</v>
      </c>
      <c r="B2785" s="2117" t="n">
        <v>18</v>
      </c>
      <c r="C2785" s="2117" t="n">
        <v>19</v>
      </c>
      <c r="D2785" s="2118" t="n">
        <v>0</v>
      </c>
      <c r="E2785" s="2118" t="n">
        <v>1</v>
      </c>
      <c r="G2785" s="1796" t="n"/>
      <c r="H2785" s="1771" t="inlineStr">
        <is>
          <t>ETAPA</t>
        </is>
      </c>
      <c r="I2785" s="1735" t="inlineStr">
        <is>
          <t>18.019</t>
        </is>
      </c>
      <c r="J2785" s="1773" t="inlineStr">
        <is>
          <t>ESQUADRIAS DE MADEIRA - Tipo x8</t>
        </is>
      </c>
      <c r="K2785" s="1774" t="n"/>
      <c r="L2785" s="1775" t="n"/>
      <c r="M2785" s="1775" t="n"/>
      <c r="N2785" s="1739" t="n">
        <v>318138.56</v>
      </c>
      <c r="O2785" s="1776" t="n">
        <v>18.9937210703256</v>
      </c>
      <c r="P2785" s="1719" t="n"/>
    </row>
    <row r="2786" hidden="1" outlineLevel="2" ht="12.75" customHeight="1">
      <c r="A2786" s="2117" t="n">
        <v>0</v>
      </c>
      <c r="B2786" s="2117" t="n">
        <v>18</v>
      </c>
      <c r="C2786" s="2117" t="n">
        <v>19</v>
      </c>
      <c r="D2786" s="2118" t="n">
        <v>1</v>
      </c>
      <c r="E2786" s="2118" t="n">
        <v>0</v>
      </c>
      <c r="G2786" s="1797" t="n"/>
      <c r="H2786" s="1777" t="inlineStr">
        <is>
          <t>SUBETAPA</t>
        </is>
      </c>
      <c r="I2786" s="1742" t="inlineStr">
        <is>
          <t>18.019.001</t>
        </is>
      </c>
      <c r="J2786" s="1779" t="inlineStr">
        <is>
          <t>Esquadrias de madeira</t>
        </is>
      </c>
      <c r="K2786" s="1780" t="n"/>
      <c r="L2786" s="1781" t="n"/>
      <c r="M2786" s="1781" t="n"/>
      <c r="N2786" s="1746" t="n">
        <v>263872.32</v>
      </c>
      <c r="O2786" s="1782" t="n"/>
      <c r="P2786" s="1720" t="n"/>
    </row>
    <row r="2787" hidden="1" outlineLevel="3" ht="12.75" customHeight="1">
      <c r="A2787" s="2117" t="n">
        <v>0</v>
      </c>
      <c r="B2787" s="2117" t="n">
        <v>18</v>
      </c>
      <c r="C2787" s="2117" t="n">
        <v>19</v>
      </c>
      <c r="D2787" s="2118" t="n">
        <v>1</v>
      </c>
      <c r="E2787" s="2118" t="n">
        <v>1</v>
      </c>
      <c r="G2787" s="1798" t="inlineStr">
        <is>
          <t>ESQUADRIAS, VIDROS E FERRAGENS</t>
        </is>
      </c>
      <c r="H2787" s="1783" t="inlineStr">
        <is>
          <t>SERVIÇO</t>
        </is>
      </c>
      <c r="I2787" s="1750" t="inlineStr">
        <is>
          <t>18.019.001.001</t>
        </is>
      </c>
      <c r="J2787" s="1785" t="inlineStr">
        <is>
          <t>Porta de madeira de abrir - 70x210cm (kit completo) - fixação com espuma expansiva</t>
        </is>
      </c>
      <c r="K2787" s="1786" t="inlineStr">
        <is>
          <t>un</t>
        </is>
      </c>
      <c r="L2787" s="1787" t="n">
        <v>56</v>
      </c>
      <c r="M2787" s="1787" t="n">
        <v>2306.36</v>
      </c>
      <c r="N2787" s="1754" t="n">
        <v>129156.16</v>
      </c>
      <c r="O2787" s="1788" t="inlineStr">
        <is>
          <t>Tabela de esquadrias enviada pela Gessele</t>
        </is>
      </c>
      <c r="P2787" s="1721" t="inlineStr">
        <is>
          <t>Pendente</t>
        </is>
      </c>
    </row>
    <row r="2788" hidden="1" outlineLevel="3" ht="12.75" customHeight="1">
      <c r="A2788" s="2117" t="n">
        <v>0</v>
      </c>
      <c r="B2788" s="2117" t="n">
        <v>18</v>
      </c>
      <c r="C2788" s="2117" t="n">
        <v>19</v>
      </c>
      <c r="D2788" s="2118" t="n">
        <v>1</v>
      </c>
      <c r="E2788" s="2118" t="n">
        <v>2</v>
      </c>
      <c r="G2788" s="1798" t="inlineStr">
        <is>
          <t>ESQUADRIAS, VIDROS E FERRAGENS</t>
        </is>
      </c>
      <c r="H2788" s="1783" t="inlineStr">
        <is>
          <t>SERVIÇO</t>
        </is>
      </c>
      <c r="I2788" s="1750" t="inlineStr">
        <is>
          <t>18.019.001.002</t>
        </is>
      </c>
      <c r="J2788" s="1785" t="inlineStr">
        <is>
          <t>Porta de madeira de abrir - 80x210cm (kit completo) - fixação com espuma expansiva</t>
        </is>
      </c>
      <c r="K2788" s="1786" t="inlineStr">
        <is>
          <t>un</t>
        </is>
      </c>
      <c r="L2788" s="1787" t="n">
        <v>40</v>
      </c>
      <c r="M2788" s="1787" t="n">
        <v>2306.36</v>
      </c>
      <c r="N2788" s="1754" t="n">
        <v>92254.39999999999</v>
      </c>
      <c r="O2788" s="1788" t="inlineStr">
        <is>
          <t>Tabela de esquadrias enviada pela Gessele</t>
        </is>
      </c>
      <c r="P2788" s="1721" t="inlineStr">
        <is>
          <t>Pendente</t>
        </is>
      </c>
    </row>
    <row r="2789" hidden="1" outlineLevel="3" ht="13.5" customHeight="1">
      <c r="A2789" s="2117" t="n">
        <v>0</v>
      </c>
      <c r="B2789" s="2117" t="n">
        <v>18</v>
      </c>
      <c r="C2789" s="2117" t="n">
        <v>19</v>
      </c>
      <c r="D2789" s="2118" t="n">
        <v>1</v>
      </c>
      <c r="E2789" s="2118" t="n">
        <v>3</v>
      </c>
      <c r="G2789" s="1798" t="inlineStr">
        <is>
          <t>ESQUADRIAS, VIDROS E FERRAGENS</t>
        </is>
      </c>
      <c r="H2789" s="1783" t="inlineStr">
        <is>
          <t>SERVIÇO</t>
        </is>
      </c>
      <c r="I2789" s="1750" t="inlineStr">
        <is>
          <t>18.019.001.003</t>
        </is>
      </c>
      <c r="J2789" s="1785" t="inlineStr">
        <is>
          <t>Porta de madeira de abrir - 90x210cm (kit completo) - fixação com espuma expansiva</t>
        </is>
      </c>
      <c r="K2789" s="1786" t="inlineStr">
        <is>
          <t>un</t>
        </is>
      </c>
      <c r="L2789" s="1787" t="n">
        <v>16</v>
      </c>
      <c r="M2789" s="1787" t="n">
        <v>2653.86</v>
      </c>
      <c r="N2789" s="1754" t="n">
        <v>42461.76</v>
      </c>
      <c r="O2789" s="1788" t="inlineStr">
        <is>
          <t>Tabela de esquadrias enviada pela Gessele</t>
        </is>
      </c>
      <c r="P2789" s="1721" t="inlineStr">
        <is>
          <t>Pendente</t>
        </is>
      </c>
    </row>
    <row r="2790" hidden="1" outlineLevel="2" ht="13.5" customHeight="1">
      <c r="A2790" s="2117" t="n">
        <v>0</v>
      </c>
      <c r="B2790" s="2117" t="n">
        <v>18</v>
      </c>
      <c r="C2790" s="2117" t="n">
        <v>19</v>
      </c>
      <c r="D2790" s="2118" t="n">
        <v>2</v>
      </c>
      <c r="E2790" s="2118" t="n">
        <v>0</v>
      </c>
      <c r="G2790" s="1797" t="n"/>
      <c r="H2790" s="1777" t="inlineStr">
        <is>
          <t>SUBETAPA</t>
        </is>
      </c>
      <c r="I2790" s="1742" t="inlineStr">
        <is>
          <t>18.019.002</t>
        </is>
      </c>
      <c r="J2790" s="1779" t="inlineStr">
        <is>
          <t>Acessórios e ferragens</t>
        </is>
      </c>
      <c r="K2790" s="1780" t="n"/>
      <c r="L2790" s="1781" t="n"/>
      <c r="M2790" s="1781" t="n"/>
      <c r="N2790" s="1746" t="n">
        <v>20666.24</v>
      </c>
      <c r="O2790" s="1782" t="n"/>
      <c r="P2790" s="1720" t="n"/>
    </row>
    <row r="2791" hidden="1" outlineLevel="3" ht="13.5" customHeight="1">
      <c r="A2791" s="2117" t="n">
        <v>0</v>
      </c>
      <c r="B2791" s="2117" t="n">
        <v>18</v>
      </c>
      <c r="C2791" s="2117" t="n">
        <v>19</v>
      </c>
      <c r="D2791" s="2118" t="n">
        <v>2</v>
      </c>
      <c r="E2791" s="2118" t="n">
        <v>1</v>
      </c>
      <c r="G2791" s="1798" t="inlineStr">
        <is>
          <t>ESQUADRIAS, VIDROS E FERRAGENS</t>
        </is>
      </c>
      <c r="H2791" s="1783" t="inlineStr">
        <is>
          <t>SERVIÇO</t>
        </is>
      </c>
      <c r="I2791" s="1750" t="inlineStr">
        <is>
          <t>18.019.002.001</t>
        </is>
      </c>
      <c r="J2791" s="1785" t="inlineStr">
        <is>
          <t>Fechadura eletronica</t>
        </is>
      </c>
      <c r="K2791" s="1786" t="inlineStr">
        <is>
          <t>un</t>
        </is>
      </c>
      <c r="L2791" s="1787" t="n">
        <v>16</v>
      </c>
      <c r="M2791" s="1787" t="n">
        <v>1291.64</v>
      </c>
      <c r="N2791" s="1754" t="n">
        <v>20666.24</v>
      </c>
      <c r="O2791" s="1788" t="inlineStr">
        <is>
          <t>Uma por apartamento</t>
        </is>
      </c>
      <c r="P2791" s="1721" t="inlineStr">
        <is>
          <t>Pendente</t>
        </is>
      </c>
    </row>
    <row r="2792" hidden="1" outlineLevel="2" ht="13.5" customHeight="1">
      <c r="A2792" s="2117" t="n">
        <v>0</v>
      </c>
      <c r="B2792" s="2117" t="n">
        <v>18</v>
      </c>
      <c r="C2792" s="2117" t="n">
        <v>19</v>
      </c>
      <c r="D2792" s="2118" t="n">
        <v>3</v>
      </c>
      <c r="E2792" s="2118" t="n">
        <v>0</v>
      </c>
      <c r="G2792" s="1797" t="n"/>
      <c r="H2792" s="1777" t="inlineStr">
        <is>
          <t>SUBETAPA</t>
        </is>
      </c>
      <c r="I2792" s="1742" t="inlineStr">
        <is>
          <t>18.019.003</t>
        </is>
      </c>
      <c r="J2792" s="1779" t="inlineStr">
        <is>
          <t>Mão de obra</t>
        </is>
      </c>
      <c r="K2792" s="1780" t="n"/>
      <c r="L2792" s="1781" t="n"/>
      <c r="M2792" s="1781" t="n"/>
      <c r="N2792" s="1746" t="n">
        <v>33600</v>
      </c>
      <c r="O2792" s="1782" t="n"/>
      <c r="P2792" s="1720" t="n"/>
    </row>
    <row r="2793" hidden="1" outlineLevel="3" ht="13.5" customHeight="1">
      <c r="A2793" s="2117" t="n">
        <v>0</v>
      </c>
      <c r="B2793" s="2117" t="n">
        <v>18</v>
      </c>
      <c r="C2793" s="2117" t="n">
        <v>19</v>
      </c>
      <c r="D2793" s="2118" t="n">
        <v>3</v>
      </c>
      <c r="E2793" s="2118" t="n">
        <v>1</v>
      </c>
      <c r="G2793" s="1798" t="inlineStr">
        <is>
          <t>ESQUADRIAS, VIDROS E FERRAGENS</t>
        </is>
      </c>
      <c r="H2793" s="1783" t="inlineStr">
        <is>
          <t>SERVIÇO</t>
        </is>
      </c>
      <c r="I2793" s="1750" t="inlineStr">
        <is>
          <t>18.019.003.001</t>
        </is>
      </c>
      <c r="J2793" s="1785" t="inlineStr">
        <is>
          <t>Mão de obra para instalação de portas de madeira</t>
        </is>
      </c>
      <c r="K2793" s="1786" t="inlineStr">
        <is>
          <t>un</t>
        </is>
      </c>
      <c r="L2793" s="1787" t="n">
        <v>112</v>
      </c>
      <c r="M2793" s="1787" t="n">
        <v>300</v>
      </c>
      <c r="N2793" s="1754" t="n">
        <v>33600</v>
      </c>
      <c r="O2793" s="1788" t="inlineStr">
        <is>
          <t>Tabela de esquadrias enviada pela Gessele</t>
        </is>
      </c>
      <c r="P2793" s="1721" t="inlineStr">
        <is>
          <t>Pendente</t>
        </is>
      </c>
    </row>
    <row r="2794" hidden="1" outlineLevel="1" ht="13.5" customHeight="1">
      <c r="A2794" s="2117" t="n">
        <v>0</v>
      </c>
      <c r="B2794" s="2117" t="n">
        <v>18</v>
      </c>
      <c r="C2794" s="2117" t="n">
        <v>20</v>
      </c>
      <c r="D2794" s="2118" t="n">
        <v>0</v>
      </c>
      <c r="E2794" s="2118" t="n">
        <v>1</v>
      </c>
      <c r="G2794" s="1796" t="n"/>
      <c r="H2794" s="1771" t="inlineStr">
        <is>
          <t>ETAPA</t>
        </is>
      </c>
      <c r="I2794" s="1735" t="inlineStr">
        <is>
          <t>18.020</t>
        </is>
      </c>
      <c r="J2794" s="1773" t="inlineStr">
        <is>
          <t>ESQUADRIAS DE MADEIRA - Penthouse x22</t>
        </is>
      </c>
      <c r="K2794" s="1774" t="n"/>
      <c r="L2794" s="1775" t="n"/>
      <c r="M2794" s="1775" t="n"/>
      <c r="N2794" s="1739" t="n">
        <v>724140.12</v>
      </c>
      <c r="O2794" s="1776" t="n">
        <v>43.2330977267015</v>
      </c>
      <c r="P2794" s="1719" t="n"/>
    </row>
    <row r="2795" hidden="1" outlineLevel="2" ht="12.75" customHeight="1">
      <c r="A2795" s="2117" t="n">
        <v>0</v>
      </c>
      <c r="B2795" s="2117" t="n">
        <v>18</v>
      </c>
      <c r="C2795" s="2117" t="n">
        <v>20</v>
      </c>
      <c r="D2795" s="2118" t="n">
        <v>1</v>
      </c>
      <c r="E2795" s="2118" t="n">
        <v>0</v>
      </c>
      <c r="G2795" s="1797" t="n"/>
      <c r="H2795" s="1777" t="inlineStr">
        <is>
          <t>SUBETAPA</t>
        </is>
      </c>
      <c r="I2795" s="1742" t="inlineStr">
        <is>
          <t>18.020.001</t>
        </is>
      </c>
      <c r="J2795" s="1779" t="inlineStr">
        <is>
          <t>Esquadrias de madeira</t>
        </is>
      </c>
      <c r="K2795" s="1780" t="n"/>
      <c r="L2795" s="1781" t="n"/>
      <c r="M2795" s="1781" t="n"/>
      <c r="N2795" s="1746" t="n">
        <v>616524.04</v>
      </c>
      <c r="O2795" s="1782" t="n"/>
      <c r="P2795" s="1720" t="n"/>
    </row>
    <row r="2796" hidden="1" outlineLevel="3" ht="12.75" customHeight="1">
      <c r="A2796" s="2117" t="n">
        <v>0</v>
      </c>
      <c r="B2796" s="2117" t="n">
        <v>18</v>
      </c>
      <c r="C2796" s="2117" t="n">
        <v>20</v>
      </c>
      <c r="D2796" s="2118" t="n">
        <v>1</v>
      </c>
      <c r="E2796" s="2118" t="n">
        <v>1</v>
      </c>
      <c r="G2796" s="1798" t="inlineStr">
        <is>
          <t>ESQUADRIAS, VIDROS E FERRAGENS</t>
        </is>
      </c>
      <c r="H2796" s="1783" t="inlineStr">
        <is>
          <t>SERVIÇO</t>
        </is>
      </c>
      <c r="I2796" s="1750" t="inlineStr">
        <is>
          <t>18.020.001.001</t>
        </is>
      </c>
      <c r="J2796" s="1785" t="inlineStr">
        <is>
          <t>Porta de madeira de abrir - 70x210cm (kit completo) - fixação com espuma expansiva</t>
        </is>
      </c>
      <c r="K2796" s="1786" t="inlineStr">
        <is>
          <t>un</t>
        </is>
      </c>
      <c r="L2796" s="1787" t="n">
        <v>132</v>
      </c>
      <c r="M2796" s="1787" t="n">
        <v>2306.36</v>
      </c>
      <c r="N2796" s="1754" t="n">
        <v>304439.52</v>
      </c>
      <c r="O2796" s="1788" t="inlineStr">
        <is>
          <t>Tabela de esquadrias enviada pela Gessele</t>
        </is>
      </c>
      <c r="P2796" s="1721" t="inlineStr">
        <is>
          <t>Pendente</t>
        </is>
      </c>
    </row>
    <row r="2797" hidden="1" outlineLevel="3" ht="12.75" customHeight="1">
      <c r="A2797" s="2117" t="n">
        <v>0</v>
      </c>
      <c r="B2797" s="2117" t="n">
        <v>18</v>
      </c>
      <c r="C2797" s="2117" t="n">
        <v>20</v>
      </c>
      <c r="D2797" s="2118" t="n">
        <v>1</v>
      </c>
      <c r="E2797" s="2118" t="n">
        <v>2</v>
      </c>
      <c r="G2797" s="1798" t="inlineStr">
        <is>
          <t>ESQUADRIAS, VIDROS E FERRAGENS</t>
        </is>
      </c>
      <c r="H2797" s="1783" t="inlineStr">
        <is>
          <t>SERVIÇO</t>
        </is>
      </c>
      <c r="I2797" s="1750" t="inlineStr">
        <is>
          <t>18.020.001.002</t>
        </is>
      </c>
      <c r="J2797" s="1785" t="inlineStr">
        <is>
          <t>Porta de madeira de abrir - 80x210cm (kit completo) - fixação com espuma expansiva</t>
        </is>
      </c>
      <c r="K2797" s="1786" t="inlineStr">
        <is>
          <t>un</t>
        </is>
      </c>
      <c r="L2797" s="1787" t="n">
        <v>110</v>
      </c>
      <c r="M2797" s="1787" t="n">
        <v>2306.36</v>
      </c>
      <c r="N2797" s="1754" t="n">
        <v>253699.6</v>
      </c>
      <c r="O2797" s="1788" t="inlineStr">
        <is>
          <t>Tabela de esquadrias enviada pela Gessele</t>
        </is>
      </c>
      <c r="P2797" s="1721" t="inlineStr">
        <is>
          <t>Pendente</t>
        </is>
      </c>
    </row>
    <row r="2798" hidden="1" outlineLevel="3" ht="13.5" customHeight="1">
      <c r="A2798" s="2117" t="n">
        <v>0</v>
      </c>
      <c r="B2798" s="2117" t="n">
        <v>18</v>
      </c>
      <c r="C2798" s="2117" t="n">
        <v>20</v>
      </c>
      <c r="D2798" s="2118" t="n">
        <v>1</v>
      </c>
      <c r="E2798" s="2118" t="n">
        <v>3</v>
      </c>
      <c r="G2798" s="1798" t="inlineStr">
        <is>
          <t>ESQUADRIAS, VIDROS E FERRAGENS</t>
        </is>
      </c>
      <c r="H2798" s="1783" t="inlineStr">
        <is>
          <t>SERVIÇO</t>
        </is>
      </c>
      <c r="I2798" s="1750" t="inlineStr">
        <is>
          <t>18.020.001.003</t>
        </is>
      </c>
      <c r="J2798" s="1785" t="inlineStr">
        <is>
          <t>Porta de madeira de abrir - 90x210cm (kit completo) - fixação com espuma expansiva</t>
        </is>
      </c>
      <c r="K2798" s="1786" t="inlineStr">
        <is>
          <t>un</t>
        </is>
      </c>
      <c r="L2798" s="1787" t="n">
        <v>22</v>
      </c>
      <c r="M2798" s="1787" t="n">
        <v>2653.86</v>
      </c>
      <c r="N2798" s="1754" t="n">
        <v>58384.92</v>
      </c>
      <c r="O2798" s="1788" t="inlineStr">
        <is>
          <t>Tabela de esquadrias enviada pela Gessele</t>
        </is>
      </c>
      <c r="P2798" s="1721" t="inlineStr">
        <is>
          <t>Pendente</t>
        </is>
      </c>
    </row>
    <row r="2799" hidden="1" outlineLevel="2" ht="13.5" customHeight="1">
      <c r="A2799" s="2117" t="n">
        <v>0</v>
      </c>
      <c r="B2799" s="2117" t="n">
        <v>18</v>
      </c>
      <c r="C2799" s="2117" t="n">
        <v>20</v>
      </c>
      <c r="D2799" s="2118" t="n">
        <v>2</v>
      </c>
      <c r="E2799" s="2118" t="n">
        <v>0</v>
      </c>
      <c r="G2799" s="1797" t="n"/>
      <c r="H2799" s="1777" t="inlineStr">
        <is>
          <t>SUBETAPA</t>
        </is>
      </c>
      <c r="I2799" s="1742" t="inlineStr">
        <is>
          <t>18.020.002</t>
        </is>
      </c>
      <c r="J2799" s="1779" t="inlineStr">
        <is>
          <t>Acessórios e ferragens</t>
        </is>
      </c>
      <c r="K2799" s="1780" t="n"/>
      <c r="L2799" s="1781" t="n"/>
      <c r="M2799" s="1781" t="n"/>
      <c r="N2799" s="1746" t="n">
        <v>28416.08</v>
      </c>
      <c r="O2799" s="1782" t="n"/>
      <c r="P2799" s="1720" t="n"/>
    </row>
    <row r="2800" hidden="1" outlineLevel="3" ht="13.5" customHeight="1">
      <c r="A2800" s="2117" t="n">
        <v>0</v>
      </c>
      <c r="B2800" s="2117" t="n">
        <v>18</v>
      </c>
      <c r="C2800" s="2117" t="n">
        <v>20</v>
      </c>
      <c r="D2800" s="2118" t="n">
        <v>2</v>
      </c>
      <c r="E2800" s="2118" t="n">
        <v>1</v>
      </c>
      <c r="G2800" s="1798" t="inlineStr">
        <is>
          <t>ESQUADRIAS, VIDROS E FERRAGENS</t>
        </is>
      </c>
      <c r="H2800" s="1783" t="inlineStr">
        <is>
          <t>SERVIÇO</t>
        </is>
      </c>
      <c r="I2800" s="1750" t="inlineStr">
        <is>
          <t>18.020.002.001</t>
        </is>
      </c>
      <c r="J2800" s="1785" t="inlineStr">
        <is>
          <t>Fechadura eletronica</t>
        </is>
      </c>
      <c r="K2800" s="1786" t="inlineStr">
        <is>
          <t>un</t>
        </is>
      </c>
      <c r="L2800" s="1787" t="n">
        <v>22</v>
      </c>
      <c r="M2800" s="1787" t="n">
        <v>1291.64</v>
      </c>
      <c r="N2800" s="1754" t="n">
        <v>28416.08</v>
      </c>
      <c r="O2800" s="1788" t="inlineStr">
        <is>
          <t>Uma por apartamento</t>
        </is>
      </c>
      <c r="P2800" s="1721" t="inlineStr">
        <is>
          <t>Pendente</t>
        </is>
      </c>
    </row>
    <row r="2801" hidden="1" outlineLevel="2" ht="13.5" customHeight="1">
      <c r="A2801" s="2117" t="n">
        <v>0</v>
      </c>
      <c r="B2801" s="2117" t="n">
        <v>18</v>
      </c>
      <c r="C2801" s="2117" t="n">
        <v>20</v>
      </c>
      <c r="D2801" s="2118" t="n">
        <v>3</v>
      </c>
      <c r="E2801" s="2118" t="n">
        <v>0</v>
      </c>
      <c r="G2801" s="1797" t="n"/>
      <c r="H2801" s="1777" t="inlineStr">
        <is>
          <t>SUBETAPA</t>
        </is>
      </c>
      <c r="I2801" s="1742" t="inlineStr">
        <is>
          <t>18.020.003</t>
        </is>
      </c>
      <c r="J2801" s="1779" t="inlineStr">
        <is>
          <t>Mão de obra</t>
        </is>
      </c>
      <c r="K2801" s="1780" t="n"/>
      <c r="L2801" s="1781" t="n"/>
      <c r="M2801" s="1781" t="n"/>
      <c r="N2801" s="1746" t="n">
        <v>79200</v>
      </c>
      <c r="O2801" s="1782" t="n"/>
      <c r="P2801" s="1720" t="n"/>
    </row>
    <row r="2802" hidden="1" outlineLevel="3" ht="13.5" customHeight="1">
      <c r="A2802" s="2117" t="n">
        <v>0</v>
      </c>
      <c r="B2802" s="2117" t="n">
        <v>18</v>
      </c>
      <c r="C2802" s="2117" t="n">
        <v>20</v>
      </c>
      <c r="D2802" s="2118" t="n">
        <v>3</v>
      </c>
      <c r="E2802" s="2118" t="n">
        <v>1</v>
      </c>
      <c r="G2802" s="1798" t="inlineStr">
        <is>
          <t>ESQUADRIAS, VIDROS E FERRAGENS</t>
        </is>
      </c>
      <c r="H2802" s="1783" t="inlineStr">
        <is>
          <t>SERVIÇO</t>
        </is>
      </c>
      <c r="I2802" s="1750" t="inlineStr">
        <is>
          <t>18.020.003.001</t>
        </is>
      </c>
      <c r="J2802" s="1785" t="inlineStr">
        <is>
          <t>Mão de obra para instalação de portas de madeira</t>
        </is>
      </c>
      <c r="K2802" s="1786" t="inlineStr">
        <is>
          <t>un</t>
        </is>
      </c>
      <c r="L2802" s="1787" t="n">
        <v>264</v>
      </c>
      <c r="M2802" s="1787" t="n">
        <v>300</v>
      </c>
      <c r="N2802" s="1754" t="n">
        <v>79200</v>
      </c>
      <c r="O2802" s="1788" t="inlineStr">
        <is>
          <t>Tabela de esquadrias enviada pela Gessele</t>
        </is>
      </c>
      <c r="P2802" s="1721" t="inlineStr">
        <is>
          <t>Pendente</t>
        </is>
      </c>
    </row>
    <row r="2803" hidden="1" outlineLevel="1" ht="13.5" customHeight="1">
      <c r="A2803" s="2117" t="n">
        <v>0</v>
      </c>
      <c r="B2803" s="2117" t="n">
        <v>18</v>
      </c>
      <c r="C2803" s="2117" t="n">
        <v>21</v>
      </c>
      <c r="D2803" s="2118" t="n">
        <v>0</v>
      </c>
      <c r="E2803" s="2118" t="n">
        <v>1</v>
      </c>
      <c r="G2803" s="1796" t="n"/>
      <c r="H2803" s="1771" t="inlineStr">
        <is>
          <t>ETAPA</t>
        </is>
      </c>
      <c r="I2803" s="1735" t="inlineStr">
        <is>
          <t>18.021</t>
        </is>
      </c>
      <c r="J2803" s="1773" t="inlineStr">
        <is>
          <t>ESQUADRIAS DE MADEIRA - Duplex Inferior</t>
        </is>
      </c>
      <c r="K2803" s="1774" t="n"/>
      <c r="L2803" s="1775" t="n"/>
      <c r="M2803" s="1775" t="n"/>
      <c r="N2803" s="1739" t="n">
        <v>45947.26</v>
      </c>
      <c r="O2803" s="1776" t="n">
        <v>2.74317404462297</v>
      </c>
      <c r="P2803" s="1719" t="n"/>
    </row>
    <row r="2804" hidden="1" outlineLevel="2" ht="12.75" customHeight="1">
      <c r="A2804" s="2117" t="n">
        <v>0</v>
      </c>
      <c r="B2804" s="2117" t="n">
        <v>18</v>
      </c>
      <c r="C2804" s="2117" t="n">
        <v>21</v>
      </c>
      <c r="D2804" s="2118" t="n">
        <v>1</v>
      </c>
      <c r="E2804" s="2118" t="n">
        <v>0</v>
      </c>
      <c r="G2804" s="1797" t="n"/>
      <c r="H2804" s="1777" t="inlineStr">
        <is>
          <t>SUBETAPA</t>
        </is>
      </c>
      <c r="I2804" s="1742" t="inlineStr">
        <is>
          <t>18.021.001</t>
        </is>
      </c>
      <c r="J2804" s="1779" t="inlineStr">
        <is>
          <t>Esquadrias de madeira</t>
        </is>
      </c>
      <c r="K2804" s="1780" t="n"/>
      <c r="L2804" s="1781" t="n"/>
      <c r="M2804" s="1781" t="n"/>
      <c r="N2804" s="1746" t="n">
        <v>39555.62</v>
      </c>
      <c r="O2804" s="1782" t="n"/>
      <c r="P2804" s="1720" t="n"/>
    </row>
    <row r="2805" hidden="1" outlineLevel="3" ht="12.75" customHeight="1">
      <c r="A2805" s="2117" t="n">
        <v>0</v>
      </c>
      <c r="B2805" s="2117" t="n">
        <v>18</v>
      </c>
      <c r="C2805" s="2117" t="n">
        <v>21</v>
      </c>
      <c r="D2805" s="2118" t="n">
        <v>1</v>
      </c>
      <c r="E2805" s="2118" t="n">
        <v>1</v>
      </c>
      <c r="G2805" s="1798" t="inlineStr">
        <is>
          <t>ESQUADRIAS, VIDROS E FERRAGENS</t>
        </is>
      </c>
      <c r="H2805" s="1783" t="inlineStr">
        <is>
          <t>SERVIÇO</t>
        </is>
      </c>
      <c r="I2805" s="1750" t="inlineStr">
        <is>
          <t>18.021.001.001</t>
        </is>
      </c>
      <c r="J2805" s="1785" t="inlineStr">
        <is>
          <t>Porta de madeira de abrir - 70x210cm (kit completo) - fixação com espuma expansiva</t>
        </is>
      </c>
      <c r="K2805" s="1786" t="inlineStr">
        <is>
          <t>un</t>
        </is>
      </c>
      <c r="L2805" s="1787" t="n">
        <v>8</v>
      </c>
      <c r="M2805" s="1787" t="n">
        <v>2306.36</v>
      </c>
      <c r="N2805" s="1754" t="n">
        <v>18450.88</v>
      </c>
      <c r="O2805" s="1788" t="inlineStr">
        <is>
          <t>Tabela de esquadrias enviada pela Gessele</t>
        </is>
      </c>
      <c r="P2805" s="1721" t="inlineStr">
        <is>
          <t>Pendente</t>
        </is>
      </c>
    </row>
    <row r="2806" hidden="1" outlineLevel="3" ht="12.75" customHeight="1">
      <c r="A2806" s="2117" t="n">
        <v>0</v>
      </c>
      <c r="B2806" s="2117" t="n">
        <v>18</v>
      </c>
      <c r="C2806" s="2117" t="n">
        <v>21</v>
      </c>
      <c r="D2806" s="2118" t="n">
        <v>1</v>
      </c>
      <c r="E2806" s="2118" t="n">
        <v>2</v>
      </c>
      <c r="G2806" s="1798" t="inlineStr">
        <is>
          <t>ESQUADRIAS, VIDROS E FERRAGENS</t>
        </is>
      </c>
      <c r="H2806" s="1783" t="inlineStr">
        <is>
          <t>SERVIÇO</t>
        </is>
      </c>
      <c r="I2806" s="1750" t="inlineStr">
        <is>
          <t>18.021.001.002</t>
        </is>
      </c>
      <c r="J2806" s="1785" t="inlineStr">
        <is>
          <t>Porta de madeira de abrir - 80x210cm (kit completo) - fixação com espuma expansiva</t>
        </is>
      </c>
      <c r="K2806" s="1786" t="inlineStr">
        <is>
          <t>un</t>
        </is>
      </c>
      <c r="L2806" s="1787" t="n">
        <v>8</v>
      </c>
      <c r="M2806" s="1787" t="n">
        <v>2306.36</v>
      </c>
      <c r="N2806" s="1754" t="n">
        <v>18450.88</v>
      </c>
      <c r="O2806" s="1788" t="inlineStr">
        <is>
          <t>Tabela de esquadrias enviada pela Gessele</t>
        </is>
      </c>
      <c r="P2806" s="1721" t="inlineStr">
        <is>
          <t>Pendente</t>
        </is>
      </c>
    </row>
    <row r="2807" hidden="1" outlineLevel="3" ht="13.5" customHeight="1">
      <c r="A2807" s="2117" t="n">
        <v>0</v>
      </c>
      <c r="B2807" s="2117" t="n">
        <v>18</v>
      </c>
      <c r="C2807" s="2117" t="n">
        <v>21</v>
      </c>
      <c r="D2807" s="2118" t="n">
        <v>1</v>
      </c>
      <c r="E2807" s="2118" t="n">
        <v>3</v>
      </c>
      <c r="G2807" s="1798" t="inlineStr">
        <is>
          <t>ESQUADRIAS, VIDROS E FERRAGENS</t>
        </is>
      </c>
      <c r="H2807" s="1783" t="inlineStr">
        <is>
          <t>SERVIÇO</t>
        </is>
      </c>
      <c r="I2807" s="1750" t="inlineStr">
        <is>
          <t>18.021.001.003</t>
        </is>
      </c>
      <c r="J2807" s="1785" t="inlineStr">
        <is>
          <t>Porta de madeira de abrir - 90x210cm (kit completo) - fixação com espuma expansiva</t>
        </is>
      </c>
      <c r="K2807" s="1786" t="inlineStr">
        <is>
          <t>un</t>
        </is>
      </c>
      <c r="L2807" s="1787" t="n">
        <v>1</v>
      </c>
      <c r="M2807" s="1787" t="n">
        <v>2653.86</v>
      </c>
      <c r="N2807" s="1754" t="n">
        <v>2653.86</v>
      </c>
      <c r="O2807" s="1788" t="inlineStr">
        <is>
          <t>Tabela de esquadrias enviada pela Gessele</t>
        </is>
      </c>
      <c r="P2807" s="1721" t="inlineStr">
        <is>
          <t>Pendente</t>
        </is>
      </c>
    </row>
    <row r="2808" hidden="1" outlineLevel="2" ht="13.5" customHeight="1">
      <c r="A2808" s="2117" t="n">
        <v>0</v>
      </c>
      <c r="B2808" s="2117" t="n">
        <v>18</v>
      </c>
      <c r="C2808" s="2117" t="n">
        <v>21</v>
      </c>
      <c r="D2808" s="2118" t="n">
        <v>2</v>
      </c>
      <c r="E2808" s="2118" t="n">
        <v>0</v>
      </c>
      <c r="G2808" s="1797" t="n"/>
      <c r="H2808" s="1777" t="inlineStr">
        <is>
          <t>SUBETAPA</t>
        </is>
      </c>
      <c r="I2808" s="1742" t="inlineStr">
        <is>
          <t>18.021.002</t>
        </is>
      </c>
      <c r="J2808" s="1779" t="inlineStr">
        <is>
          <t>Acessórios e ferragens</t>
        </is>
      </c>
      <c r="K2808" s="1780" t="n"/>
      <c r="L2808" s="1781" t="n"/>
      <c r="M2808" s="1781" t="n"/>
      <c r="N2808" s="1746" t="n">
        <v>1291.64</v>
      </c>
      <c r="O2808" s="1782" t="n"/>
      <c r="P2808" s="1720" t="n"/>
    </row>
    <row r="2809" hidden="1" outlineLevel="3" ht="13.5" customHeight="1">
      <c r="A2809" s="2117" t="n">
        <v>0</v>
      </c>
      <c r="B2809" s="2117" t="n">
        <v>18</v>
      </c>
      <c r="C2809" s="2117" t="n">
        <v>21</v>
      </c>
      <c r="D2809" s="2118" t="n">
        <v>2</v>
      </c>
      <c r="E2809" s="2118" t="n">
        <v>1</v>
      </c>
      <c r="G2809" s="1798" t="inlineStr">
        <is>
          <t>ESQUADRIAS, VIDROS E FERRAGENS</t>
        </is>
      </c>
      <c r="H2809" s="1783" t="inlineStr">
        <is>
          <t>SERVIÇO</t>
        </is>
      </c>
      <c r="I2809" s="1750" t="inlineStr">
        <is>
          <t>18.021.002.001</t>
        </is>
      </c>
      <c r="J2809" s="1785" t="inlineStr">
        <is>
          <t>Fechadura eletronica</t>
        </is>
      </c>
      <c r="K2809" s="1786" t="inlineStr">
        <is>
          <t>un</t>
        </is>
      </c>
      <c r="L2809" s="1787" t="n">
        <v>1</v>
      </c>
      <c r="M2809" s="1787" t="n">
        <v>1291.64</v>
      </c>
      <c r="N2809" s="1754" t="n">
        <v>1291.64</v>
      </c>
      <c r="O2809" s="1788" t="inlineStr">
        <is>
          <t>Uma por apartamento</t>
        </is>
      </c>
      <c r="P2809" s="1721" t="inlineStr">
        <is>
          <t>Pendente</t>
        </is>
      </c>
    </row>
    <row r="2810" hidden="1" outlineLevel="2" ht="13.5" customHeight="1">
      <c r="A2810" s="2117" t="n">
        <v>0</v>
      </c>
      <c r="B2810" s="2117" t="n">
        <v>18</v>
      </c>
      <c r="C2810" s="2117" t="n">
        <v>21</v>
      </c>
      <c r="D2810" s="2118" t="n">
        <v>3</v>
      </c>
      <c r="E2810" s="2118" t="n">
        <v>0</v>
      </c>
      <c r="G2810" s="1797" t="n"/>
      <c r="H2810" s="1777" t="inlineStr">
        <is>
          <t>SUBETAPA</t>
        </is>
      </c>
      <c r="I2810" s="1742" t="inlineStr">
        <is>
          <t>18.021.003</t>
        </is>
      </c>
      <c r="J2810" s="1779" t="inlineStr">
        <is>
          <t>Mão de obra</t>
        </is>
      </c>
      <c r="K2810" s="1780" t="n"/>
      <c r="L2810" s="1781" t="n"/>
      <c r="M2810" s="1781" t="n"/>
      <c r="N2810" s="1746" t="n">
        <v>5100</v>
      </c>
      <c r="O2810" s="1782" t="n"/>
      <c r="P2810" s="1720" t="n"/>
    </row>
    <row r="2811" hidden="1" outlineLevel="3" ht="13.5" customHeight="1">
      <c r="A2811" s="2117" t="n">
        <v>0</v>
      </c>
      <c r="B2811" s="2117" t="n">
        <v>18</v>
      </c>
      <c r="C2811" s="2117" t="n">
        <v>21</v>
      </c>
      <c r="D2811" s="2118" t="n">
        <v>3</v>
      </c>
      <c r="E2811" s="2118" t="n">
        <v>1</v>
      </c>
      <c r="G2811" s="1798" t="inlineStr">
        <is>
          <t>ESQUADRIAS, VIDROS E FERRAGENS</t>
        </is>
      </c>
      <c r="H2811" s="1783" t="inlineStr">
        <is>
          <t>SERVIÇO</t>
        </is>
      </c>
      <c r="I2811" s="1750" t="inlineStr">
        <is>
          <t>18.021.003.001</t>
        </is>
      </c>
      <c r="J2811" s="1785" t="inlineStr">
        <is>
          <t>Mão de obra para instalação de portas de madeira</t>
        </is>
      </c>
      <c r="K2811" s="1786" t="inlineStr">
        <is>
          <t>un</t>
        </is>
      </c>
      <c r="L2811" s="1787" t="n">
        <v>17</v>
      </c>
      <c r="M2811" s="1787" t="n">
        <v>300</v>
      </c>
      <c r="N2811" s="1754" t="n">
        <v>5100</v>
      </c>
      <c r="O2811" s="1788" t="inlineStr">
        <is>
          <t>Tabela de esquadrias enviada pela Gessele</t>
        </is>
      </c>
      <c r="P2811" s="1721" t="inlineStr">
        <is>
          <t>Pendente</t>
        </is>
      </c>
    </row>
    <row r="2812" hidden="1" outlineLevel="1" ht="13.5" customHeight="1">
      <c r="A2812" s="2117" t="n">
        <v>0</v>
      </c>
      <c r="B2812" s="2117" t="n">
        <v>18</v>
      </c>
      <c r="C2812" s="2117" t="n">
        <v>22</v>
      </c>
      <c r="D2812" s="2118" t="n">
        <v>0</v>
      </c>
      <c r="E2812" s="2118" t="n">
        <v>1</v>
      </c>
      <c r="G2812" s="1796" t="n"/>
      <c r="H2812" s="1771" t="inlineStr">
        <is>
          <t>ETAPA</t>
        </is>
      </c>
      <c r="I2812" s="1735" t="inlineStr">
        <is>
          <t>18.022</t>
        </is>
      </c>
      <c r="J2812" s="1773" t="inlineStr">
        <is>
          <t>ESQUADRIAS DE MADEIRA - Duplex Superior</t>
        </is>
      </c>
      <c r="K2812" s="1774" t="n"/>
      <c r="L2812" s="1775" t="n"/>
      <c r="M2812" s="1775" t="n"/>
      <c r="N2812" s="1739" t="n">
        <v>10772.94</v>
      </c>
      <c r="O2812" s="1776" t="n">
        <v>0.6431732684882751</v>
      </c>
      <c r="P2812" s="1719" t="n"/>
    </row>
    <row r="2813" hidden="1" outlineLevel="2" ht="12.75" customHeight="1">
      <c r="A2813" s="2117" t="n">
        <v>0</v>
      </c>
      <c r="B2813" s="2117" t="n">
        <v>18</v>
      </c>
      <c r="C2813" s="2117" t="n">
        <v>22</v>
      </c>
      <c r="D2813" s="2118" t="n">
        <v>1</v>
      </c>
      <c r="E2813" s="2118" t="n">
        <v>0</v>
      </c>
      <c r="G2813" s="1797" t="n"/>
      <c r="H2813" s="1777" t="inlineStr">
        <is>
          <t>SUBETAPA</t>
        </is>
      </c>
      <c r="I2813" s="1742" t="inlineStr">
        <is>
          <t>18.022.001</t>
        </is>
      </c>
      <c r="J2813" s="1779" t="inlineStr">
        <is>
          <t>Esquadrias de madeira</t>
        </is>
      </c>
      <c r="K2813" s="1780" t="n"/>
      <c r="L2813" s="1781" t="n"/>
      <c r="M2813" s="1781" t="n"/>
      <c r="N2813" s="1746" t="n">
        <v>9572.940000000001</v>
      </c>
      <c r="O2813" s="1782" t="n"/>
      <c r="P2813" s="1720" t="n"/>
    </row>
    <row r="2814" hidden="1" outlineLevel="3" ht="12.75" customHeight="1">
      <c r="A2814" s="2117" t="n">
        <v>0</v>
      </c>
      <c r="B2814" s="2117" t="n">
        <v>18</v>
      </c>
      <c r="C2814" s="2117" t="n">
        <v>22</v>
      </c>
      <c r="D2814" s="2118" t="n">
        <v>1</v>
      </c>
      <c r="E2814" s="2118" t="n">
        <v>1</v>
      </c>
      <c r="G2814" s="1798" t="inlineStr">
        <is>
          <t>ESQUADRIAS, VIDROS E FERRAGENS</t>
        </is>
      </c>
      <c r="H2814" s="1783" t="inlineStr">
        <is>
          <t>SERVIÇO</t>
        </is>
      </c>
      <c r="I2814" s="1750" t="inlineStr">
        <is>
          <t>18.022.001.001</t>
        </is>
      </c>
      <c r="J2814" s="1785" t="inlineStr">
        <is>
          <t>Porta de madeira de abrir - 70x210cm (kit completo) - fixação com espuma expansiva</t>
        </is>
      </c>
      <c r="K2814" s="1786" t="inlineStr">
        <is>
          <t>un</t>
        </is>
      </c>
      <c r="L2814" s="1787" t="n">
        <v>1</v>
      </c>
      <c r="M2814" s="1787" t="n">
        <v>2306.36</v>
      </c>
      <c r="N2814" s="1754" t="n">
        <v>2306.36</v>
      </c>
      <c r="O2814" s="1788" t="inlineStr">
        <is>
          <t>Tabela de esquadrias enviada pela Gessele</t>
        </is>
      </c>
      <c r="P2814" s="1721" t="inlineStr">
        <is>
          <t>Pendente</t>
        </is>
      </c>
    </row>
    <row r="2815" hidden="1" outlineLevel="3" ht="12.75" customHeight="1">
      <c r="A2815" s="2117" t="n">
        <v>0</v>
      </c>
      <c r="B2815" s="2117" t="n">
        <v>18</v>
      </c>
      <c r="C2815" s="2117" t="n">
        <v>22</v>
      </c>
      <c r="D2815" s="2118" t="n">
        <v>1</v>
      </c>
      <c r="E2815" s="2118" t="n">
        <v>2</v>
      </c>
      <c r="G2815" s="1798" t="inlineStr">
        <is>
          <t>ESQUADRIAS, VIDROS E FERRAGENS</t>
        </is>
      </c>
      <c r="H2815" s="1783" t="inlineStr">
        <is>
          <t>SERVIÇO</t>
        </is>
      </c>
      <c r="I2815" s="1750" t="inlineStr">
        <is>
          <t>18.022.001.002</t>
        </is>
      </c>
      <c r="J2815" s="1785" t="inlineStr">
        <is>
          <t>Porta de madeira de abrir - 80x210cm (kit completo) - fixação com espuma expansiva</t>
        </is>
      </c>
      <c r="K2815" s="1786" t="inlineStr">
        <is>
          <t>un</t>
        </is>
      </c>
      <c r="L2815" s="1787" t="n">
        <v>2</v>
      </c>
      <c r="M2815" s="1787" t="n">
        <v>2306.36</v>
      </c>
      <c r="N2815" s="1754" t="n">
        <v>4612.72</v>
      </c>
      <c r="O2815" s="1788" t="inlineStr">
        <is>
          <t>Tabela de esquadrias enviada pela Gessele</t>
        </is>
      </c>
      <c r="P2815" s="1721" t="inlineStr">
        <is>
          <t>Pendente</t>
        </is>
      </c>
    </row>
    <row r="2816" hidden="1" outlineLevel="3" ht="13.5" customHeight="1">
      <c r="A2816" s="2117" t="n">
        <v>0</v>
      </c>
      <c r="B2816" s="2117" t="n">
        <v>18</v>
      </c>
      <c r="C2816" s="2117" t="n">
        <v>22</v>
      </c>
      <c r="D2816" s="2118" t="n">
        <v>1</v>
      </c>
      <c r="E2816" s="2118" t="n">
        <v>3</v>
      </c>
      <c r="G2816" s="1798" t="inlineStr">
        <is>
          <t>ESQUADRIAS, VIDROS E FERRAGENS</t>
        </is>
      </c>
      <c r="H2816" s="1783" t="inlineStr">
        <is>
          <t>SERVIÇO</t>
        </is>
      </c>
      <c r="I2816" s="1750" t="inlineStr">
        <is>
          <t>18.022.001.003</t>
        </is>
      </c>
      <c r="J2816" s="1785" t="inlineStr">
        <is>
          <t>Porta de madeira de abrir - 90x210cm (kit completo) - fixação com espuma expansiva</t>
        </is>
      </c>
      <c r="K2816" s="1786" t="inlineStr">
        <is>
          <t>un</t>
        </is>
      </c>
      <c r="L2816" s="1787" t="n">
        <v>1</v>
      </c>
      <c r="M2816" s="1787" t="n">
        <v>2653.86</v>
      </c>
      <c r="N2816" s="1754" t="n">
        <v>2653.86</v>
      </c>
      <c r="O2816" s="1788" t="inlineStr">
        <is>
          <t>Tabela de esquadrias enviada pela Gessele</t>
        </is>
      </c>
      <c r="P2816" s="1721" t="inlineStr">
        <is>
          <t>Pendente</t>
        </is>
      </c>
    </row>
    <row r="2817" hidden="1" outlineLevel="2" ht="13.5" customHeight="1">
      <c r="A2817" s="2117" t="n">
        <v>0</v>
      </c>
      <c r="B2817" s="2117" t="n">
        <v>18</v>
      </c>
      <c r="C2817" s="2117" t="n">
        <v>22</v>
      </c>
      <c r="D2817" s="2118" t="n">
        <v>2</v>
      </c>
      <c r="E2817" s="2118" t="n">
        <v>0</v>
      </c>
      <c r="G2817" s="1797" t="n"/>
      <c r="H2817" s="1777" t="inlineStr">
        <is>
          <t>SUBETAPA</t>
        </is>
      </c>
      <c r="I2817" s="1742" t="inlineStr">
        <is>
          <t>18.022.002</t>
        </is>
      </c>
      <c r="J2817" s="1779" t="inlineStr">
        <is>
          <t>Mão de obra</t>
        </is>
      </c>
      <c r="K2817" s="1780" t="n"/>
      <c r="L2817" s="1781" t="n"/>
      <c r="M2817" s="1781" t="n"/>
      <c r="N2817" s="1746" t="n">
        <v>1200</v>
      </c>
      <c r="O2817" s="1782" t="n"/>
      <c r="P2817" s="1720" t="n"/>
    </row>
    <row r="2818" hidden="1" outlineLevel="3" ht="13.5" customHeight="1">
      <c r="A2818" s="2117" t="n">
        <v>0</v>
      </c>
      <c r="B2818" s="2117" t="n">
        <v>18</v>
      </c>
      <c r="C2818" s="2117" t="n">
        <v>22</v>
      </c>
      <c r="D2818" s="2118" t="n">
        <v>2</v>
      </c>
      <c r="E2818" s="2118" t="n">
        <v>1</v>
      </c>
      <c r="G2818" s="1798" t="inlineStr">
        <is>
          <t>ESQUADRIAS, VIDROS E FERRAGENS</t>
        </is>
      </c>
      <c r="H2818" s="1783" t="inlineStr">
        <is>
          <t>SERVIÇO</t>
        </is>
      </c>
      <c r="I2818" s="1750" t="inlineStr">
        <is>
          <t>18.022.002.001</t>
        </is>
      </c>
      <c r="J2818" s="1785" t="inlineStr">
        <is>
          <t>Mão de obra para instalação de portas de madeira</t>
        </is>
      </c>
      <c r="K2818" s="1786" t="inlineStr">
        <is>
          <t>un</t>
        </is>
      </c>
      <c r="L2818" s="1787" t="n">
        <v>4</v>
      </c>
      <c r="M2818" s="1787" t="n">
        <v>300</v>
      </c>
      <c r="N2818" s="1754" t="n">
        <v>1200</v>
      </c>
      <c r="O2818" s="1788" t="inlineStr">
        <is>
          <t>Tabela de esquadrias enviada pela Gessele</t>
        </is>
      </c>
      <c r="P2818" s="1721" t="inlineStr">
        <is>
          <t>Pendente</t>
        </is>
      </c>
    </row>
    <row r="2819" hidden="1" outlineLevel="1" ht="13.5" customHeight="1">
      <c r="A2819" s="2117" t="n">
        <v>0</v>
      </c>
      <c r="B2819" s="2117" t="n">
        <v>18</v>
      </c>
      <c r="C2819" s="2117" t="n">
        <v>23</v>
      </c>
      <c r="D2819" s="2118" t="n">
        <v>0</v>
      </c>
      <c r="E2819" s="2118" t="n">
        <v>1</v>
      </c>
      <c r="G2819" s="1796" t="n"/>
      <c r="H2819" s="1771" t="inlineStr">
        <is>
          <t>ETAPA</t>
        </is>
      </c>
      <c r="I2819" s="1735" t="inlineStr">
        <is>
          <t>18.023</t>
        </is>
      </c>
      <c r="J2819" s="1773" t="inlineStr">
        <is>
          <t>PORTAS CORTA-FOGO - Térreo</t>
        </is>
      </c>
      <c r="K2819" s="1774" t="n"/>
      <c r="L2819" s="1775" t="n"/>
      <c r="M2819" s="1775" t="n"/>
      <c r="N2819" s="1739" t="n"/>
      <c r="O2819" s="1776" t="n"/>
      <c r="P2819" s="1719" t="n"/>
    </row>
    <row r="2820" hidden="1" outlineLevel="2" ht="13.5" customHeight="1">
      <c r="A2820" s="2117" t="n">
        <v>0</v>
      </c>
      <c r="B2820" s="2117" t="n">
        <v>18</v>
      </c>
      <c r="C2820" s="2117" t="n">
        <v>23</v>
      </c>
      <c r="D2820" s="2118" t="n">
        <v>1</v>
      </c>
      <c r="E2820" s="2118" t="n">
        <v>0</v>
      </c>
      <c r="G2820" s="1797" t="n"/>
      <c r="H2820" s="1777" t="inlineStr">
        <is>
          <t>SUBETAPA</t>
        </is>
      </c>
      <c r="I2820" s="1742" t="inlineStr">
        <is>
          <t>18.023.001</t>
        </is>
      </c>
      <c r="J2820" s="1779" t="inlineStr">
        <is>
          <t>Esquadrias metálicas</t>
        </is>
      </c>
      <c r="K2820" s="1780" t="n"/>
      <c r="L2820" s="1781" t="n"/>
      <c r="M2820" s="1781" t="n"/>
      <c r="N2820" s="1746" t="n">
        <v>6313.74</v>
      </c>
      <c r="O2820" s="1782" t="n"/>
      <c r="P2820" s="1720" t="n"/>
    </row>
    <row r="2821" hidden="1" outlineLevel="3" ht="13.5" customHeight="1">
      <c r="A2821" s="2117" t="n">
        <v>0</v>
      </c>
      <c r="B2821" s="2117" t="n">
        <v>18</v>
      </c>
      <c r="C2821" s="2117" t="n">
        <v>23</v>
      </c>
      <c r="D2821" s="2118" t="n">
        <v>1</v>
      </c>
      <c r="E2821" s="2118" t="n">
        <v>1</v>
      </c>
      <c r="G2821" s="1798" t="inlineStr">
        <is>
          <t>ESQUADRIAS, VIDROS E FERRAGENS</t>
        </is>
      </c>
      <c r="H2821" s="1783" t="inlineStr">
        <is>
          <t>SERVIÇO</t>
        </is>
      </c>
      <c r="I2821" s="1750" t="inlineStr">
        <is>
          <t>18.023.001.001</t>
        </is>
      </c>
      <c r="J2821" s="1785" t="inlineStr">
        <is>
          <t>Contramarco de aço galvanizado - Fixado com Argamassa</t>
        </is>
      </c>
      <c r="K2821" s="1786" t="inlineStr">
        <is>
          <t>m</t>
        </is>
      </c>
      <c r="L2821" s="1787" t="n">
        <v>20.4</v>
      </c>
      <c r="M2821" s="1787" t="n">
        <v>66.84999999999999</v>
      </c>
      <c r="N2821" s="1754" t="n">
        <v>1363.74</v>
      </c>
      <c r="O2821" s="1788" t="inlineStr">
        <is>
          <t>Tabela de esquadrias enviada pela Gessele</t>
        </is>
      </c>
      <c r="P2821" s="1721" t="inlineStr">
        <is>
          <t>Pendente</t>
        </is>
      </c>
    </row>
    <row r="2822" hidden="1" outlineLevel="3" ht="13.5" customHeight="1">
      <c r="A2822" s="2117" t="n">
        <v>0</v>
      </c>
      <c r="B2822" s="2117" t="n">
        <v>18</v>
      </c>
      <c r="C2822" s="2117" t="n">
        <v>23</v>
      </c>
      <c r="D2822" s="2118" t="n">
        <v>1</v>
      </c>
      <c r="E2822" s="2118" t="n">
        <v>2</v>
      </c>
      <c r="G2822" s="1798" t="inlineStr">
        <is>
          <t>ESQUADRIAS, VIDROS E FERRAGENS</t>
        </is>
      </c>
      <c r="H2822" s="1783" t="inlineStr">
        <is>
          <t>SERVIÇO</t>
        </is>
      </c>
      <c r="I2822" s="1750" t="inlineStr">
        <is>
          <t>18.023.001.002</t>
        </is>
      </c>
      <c r="J2822" s="1785" t="inlineStr">
        <is>
          <t>Porta corta-fogo, 1 folha, 90x210 cm</t>
        </is>
      </c>
      <c r="K2822" s="1786" t="inlineStr">
        <is>
          <t>un</t>
        </is>
      </c>
      <c r="L2822" s="1787" t="n">
        <v>4</v>
      </c>
      <c r="M2822" s="1787" t="n">
        <v>1237.5</v>
      </c>
      <c r="N2822" s="1754" t="n">
        <v>4950</v>
      </c>
      <c r="O2822" s="1788" t="inlineStr">
        <is>
          <t>Tabela de esquadrias enviada pela Gessele</t>
        </is>
      </c>
      <c r="P2822" s="1721" t="inlineStr">
        <is>
          <t>Pendente</t>
        </is>
      </c>
    </row>
    <row r="2823" hidden="1" outlineLevel="2" ht="13.5" customHeight="1">
      <c r="A2823" s="2117" t="n">
        <v>0</v>
      </c>
      <c r="B2823" s="2117" t="n">
        <v>18</v>
      </c>
      <c r="C2823" s="2117" t="n">
        <v>23</v>
      </c>
      <c r="D2823" s="2118" t="n">
        <v>2</v>
      </c>
      <c r="E2823" s="2118" t="n">
        <v>0</v>
      </c>
      <c r="G2823" s="1797" t="n"/>
      <c r="H2823" s="1777" t="inlineStr">
        <is>
          <t>SUBETAPA</t>
        </is>
      </c>
      <c r="I2823" s="1742" t="inlineStr">
        <is>
          <t>18.023.002</t>
        </is>
      </c>
      <c r="J2823" s="1779" t="inlineStr">
        <is>
          <t>Corrimão metálico</t>
        </is>
      </c>
      <c r="K2823" s="1780" t="n"/>
      <c r="L2823" s="1781" t="n"/>
      <c r="M2823" s="1781" t="n"/>
      <c r="N2823" s="1746" t="n"/>
      <c r="O2823" s="1782" t="n"/>
      <c r="P2823" s="1720" t="n"/>
    </row>
    <row r="2824" hidden="1" outlineLevel="3" ht="13.5" customHeight="1">
      <c r="A2824" s="2117" t="n">
        <v>0</v>
      </c>
      <c r="B2824" s="2117" t="n">
        <v>18</v>
      </c>
      <c r="C2824" s="2117" t="n">
        <v>23</v>
      </c>
      <c r="D2824" s="2118" t="n">
        <v>2</v>
      </c>
      <c r="E2824" s="2118" t="n">
        <v>1</v>
      </c>
      <c r="G2824" s="1798" t="inlineStr">
        <is>
          <t>ESQUADRIAS, VIDROS E FERRAGENS</t>
        </is>
      </c>
      <c r="H2824" s="1783" t="inlineStr">
        <is>
          <t>SERVIÇO</t>
        </is>
      </c>
      <c r="I2824" s="1750" t="inlineStr">
        <is>
          <t>18.023.002.001</t>
        </is>
      </c>
      <c r="J2824" s="1785" t="inlineStr">
        <is>
          <t>Corrimão Duplo Metálico - inox escovado 304 - fornecimento e instalação</t>
        </is>
      </c>
      <c r="K2824" s="1786" t="inlineStr">
        <is>
          <t>m</t>
        </is>
      </c>
      <c r="L2824" s="1787" t="e">
        <v>#REF!</v>
      </c>
      <c r="M2824" s="1787" t="n">
        <v>820</v>
      </c>
      <c r="N2824" s="1754" t="n"/>
      <c r="O2824" s="1788" t="inlineStr">
        <is>
          <t>Modelo do visus</t>
        </is>
      </c>
      <c r="P2824" s="1721" t="inlineStr">
        <is>
          <t>Pendente</t>
        </is>
      </c>
    </row>
    <row r="2825" hidden="1" outlineLevel="3" ht="13.5" customHeight="1">
      <c r="A2825" s="2117" t="n">
        <v>0</v>
      </c>
      <c r="B2825" s="2117" t="n">
        <v>18</v>
      </c>
      <c r="C2825" s="2117" t="n">
        <v>23</v>
      </c>
      <c r="D2825" s="2118" t="n">
        <v>2</v>
      </c>
      <c r="E2825" s="2118" t="n">
        <v>2</v>
      </c>
      <c r="G2825" s="1798" t="inlineStr">
        <is>
          <t>ESQUADRIAS, VIDROS E FERRAGENS</t>
        </is>
      </c>
      <c r="H2825" s="1783" t="inlineStr">
        <is>
          <t>SERVIÇO</t>
        </is>
      </c>
      <c r="I2825" s="1750" t="inlineStr">
        <is>
          <t>18.023.002.002</t>
        </is>
      </c>
      <c r="J2825" s="1785" t="inlineStr">
        <is>
          <t>Corrimão Parede Metálico - inox escovado 304 - fornecimento e instalação</t>
        </is>
      </c>
      <c r="K2825" s="1786" t="inlineStr">
        <is>
          <t>m</t>
        </is>
      </c>
      <c r="L2825" s="1787" t="e">
        <v>#REF!</v>
      </c>
      <c r="M2825" s="1787" t="n">
        <v>520</v>
      </c>
      <c r="N2825" s="1754" t="n"/>
      <c r="O2825" s="1788" t="inlineStr">
        <is>
          <t>Modelo do visus</t>
        </is>
      </c>
      <c r="P2825" s="1721" t="inlineStr">
        <is>
          <t>Pendente</t>
        </is>
      </c>
    </row>
    <row r="2826" hidden="1" outlineLevel="2" ht="12.75" customHeight="1">
      <c r="A2826" s="2117" t="n">
        <v>0</v>
      </c>
      <c r="B2826" s="2117" t="n">
        <v>18</v>
      </c>
      <c r="C2826" s="2117" t="n">
        <v>23</v>
      </c>
      <c r="D2826" s="2118" t="n">
        <v>3</v>
      </c>
      <c r="E2826" s="2118" t="n">
        <v>0</v>
      </c>
      <c r="G2826" s="1797" t="n"/>
      <c r="H2826" s="1777" t="inlineStr">
        <is>
          <t>SUBETAPA</t>
        </is>
      </c>
      <c r="I2826" s="1742" t="inlineStr">
        <is>
          <t>18.023.003</t>
        </is>
      </c>
      <c r="J2826" s="1779" t="inlineStr">
        <is>
          <t>Guarda Corpo metálico</t>
        </is>
      </c>
      <c r="K2826" s="1780" t="n"/>
      <c r="L2826" s="1781" t="n"/>
      <c r="M2826" s="1781" t="n"/>
      <c r="N2826" s="1746" t="n"/>
      <c r="O2826" s="1782" t="n"/>
      <c r="P2826" s="1720" t="n"/>
    </row>
    <row r="2827" hidden="1" outlineLevel="3" ht="12.75" customHeight="1">
      <c r="A2827" s="2117" t="n">
        <v>0</v>
      </c>
      <c r="B2827" s="2117" t="n">
        <v>18</v>
      </c>
      <c r="C2827" s="2117" t="n">
        <v>23</v>
      </c>
      <c r="D2827" s="2118" t="n">
        <v>3</v>
      </c>
      <c r="E2827" s="2118" t="n">
        <v>1</v>
      </c>
      <c r="G2827" s="1798" t="inlineStr">
        <is>
          <t>ESQUADRIAS, VIDROS E FERRAGENS</t>
        </is>
      </c>
      <c r="H2827" s="1783" t="inlineStr">
        <is>
          <t>SERVIÇO</t>
        </is>
      </c>
      <c r="I2827" s="1750" t="inlineStr">
        <is>
          <t>18.023.003.001</t>
        </is>
      </c>
      <c r="J2827" s="1785" t="inlineStr">
        <is>
          <t>Guarda Corpo metálico - inox 304 escovado - fornecimento e instalação</t>
        </is>
      </c>
      <c r="K2827" s="1786" t="inlineStr">
        <is>
          <t>m2</t>
        </is>
      </c>
      <c r="L2827" s="1787" t="e">
        <v>#REF!</v>
      </c>
      <c r="M2827" s="1787" t="n">
        <v>1240</v>
      </c>
      <c r="N2827" s="1754" t="n"/>
      <c r="O2827" s="1788" t="inlineStr">
        <is>
          <t>Modelo do visus</t>
        </is>
      </c>
      <c r="P2827" s="1721" t="inlineStr">
        <is>
          <t>Pendente</t>
        </is>
      </c>
    </row>
    <row r="2828" hidden="1" outlineLevel="2" ht="13.5" customHeight="1">
      <c r="A2828" s="2117" t="n">
        <v>0</v>
      </c>
      <c r="B2828" s="2117" t="n">
        <v>18</v>
      </c>
      <c r="C2828" s="2117" t="n">
        <v>23</v>
      </c>
      <c r="D2828" s="2118" t="n">
        <v>4</v>
      </c>
      <c r="E2828" s="2118" t="n">
        <v>0</v>
      </c>
      <c r="G2828" s="1797" t="n"/>
      <c r="H2828" s="1777" t="inlineStr">
        <is>
          <t>SUBETAPA</t>
        </is>
      </c>
      <c r="I2828" s="1742" t="inlineStr">
        <is>
          <t>18.023.004</t>
        </is>
      </c>
      <c r="J2828" s="1779" t="inlineStr">
        <is>
          <t>Mão de obra</t>
        </is>
      </c>
      <c r="K2828" s="1780" t="n"/>
      <c r="L2828" s="1781" t="n"/>
      <c r="M2828" s="1781" t="n"/>
      <c r="N2828" s="1746" t="n">
        <v>1200</v>
      </c>
      <c r="O2828" s="1782" t="n">
        <v>0.071643202522796</v>
      </c>
      <c r="P2828" s="1720" t="n"/>
    </row>
    <row r="2829" hidden="1" outlineLevel="3" ht="13.5" customHeight="1">
      <c r="A2829" s="2117" t="n">
        <v>0</v>
      </c>
      <c r="B2829" s="2117" t="n">
        <v>18</v>
      </c>
      <c r="C2829" s="2117" t="n">
        <v>23</v>
      </c>
      <c r="D2829" s="2118" t="n">
        <v>4</v>
      </c>
      <c r="E2829" s="2118" t="n">
        <v>1</v>
      </c>
      <c r="G2829" s="1798" t="inlineStr">
        <is>
          <t>ESQUADRIAS, VIDROS E FERRAGENS</t>
        </is>
      </c>
      <c r="H2829" s="1783" t="inlineStr">
        <is>
          <t>SERVIÇO</t>
        </is>
      </c>
      <c r="I2829" s="1750" t="inlineStr">
        <is>
          <t>18.023.004.001</t>
        </is>
      </c>
      <c r="J2829" s="1785" t="inlineStr">
        <is>
          <t>Mão de obra para instalação de portas corta-fogo</t>
        </is>
      </c>
      <c r="K2829" s="1786" t="inlineStr">
        <is>
          <t>un</t>
        </is>
      </c>
      <c r="L2829" s="1787" t="n">
        <v>4</v>
      </c>
      <c r="M2829" s="1787" t="n">
        <v>300</v>
      </c>
      <c r="N2829" s="1754" t="n">
        <v>1200</v>
      </c>
      <c r="O2829" s="1788" t="inlineStr">
        <is>
          <t>Tabela de esquadrias enviada pela Gessele</t>
        </is>
      </c>
      <c r="P2829" s="1721" t="inlineStr">
        <is>
          <t>Pendente</t>
        </is>
      </c>
    </row>
    <row r="2830" hidden="1" outlineLevel="1" ht="13.5" customHeight="1">
      <c r="A2830" s="2117" t="n">
        <v>0</v>
      </c>
      <c r="B2830" s="2117" t="n">
        <v>18</v>
      </c>
      <c r="C2830" s="2117" t="n">
        <v>24</v>
      </c>
      <c r="D2830" s="2118" t="n">
        <v>0</v>
      </c>
      <c r="E2830" s="2118" t="n">
        <v>1</v>
      </c>
      <c r="G2830" s="1796" t="n"/>
      <c r="H2830" s="1771" t="inlineStr">
        <is>
          <t>ETAPA</t>
        </is>
      </c>
      <c r="I2830" s="1735" t="inlineStr">
        <is>
          <t>18.024</t>
        </is>
      </c>
      <c r="J2830" s="1773" t="inlineStr">
        <is>
          <t>PORTAS CORTA-FOGO - Mezanino G1</t>
        </is>
      </c>
      <c r="K2830" s="1774" t="n"/>
      <c r="L2830" s="1775" t="n"/>
      <c r="M2830" s="1775" t="n"/>
      <c r="N2830" s="1739" t="n"/>
      <c r="O2830" s="1776" t="n"/>
      <c r="P2830" s="1719" t="n"/>
    </row>
    <row r="2831" hidden="1" outlineLevel="2" ht="13.5" customHeight="1">
      <c r="A2831" s="2117" t="n">
        <v>0</v>
      </c>
      <c r="B2831" s="2117" t="n">
        <v>18</v>
      </c>
      <c r="C2831" s="2117" t="n">
        <v>24</v>
      </c>
      <c r="D2831" s="2118" t="n">
        <v>1</v>
      </c>
      <c r="E2831" s="2118" t="n">
        <v>0</v>
      </c>
      <c r="G2831" s="1797" t="n"/>
      <c r="H2831" s="1777" t="inlineStr">
        <is>
          <t>SUBETAPA</t>
        </is>
      </c>
      <c r="I2831" s="1742" t="inlineStr">
        <is>
          <t>18.024.001</t>
        </is>
      </c>
      <c r="J2831" s="1779" t="inlineStr">
        <is>
          <t>Esquadrias metálicas</t>
        </is>
      </c>
      <c r="K2831" s="1780" t="n"/>
      <c r="L2831" s="1781" t="n"/>
      <c r="M2831" s="1781" t="n"/>
      <c r="N2831" s="1746" t="n">
        <v>3156.87</v>
      </c>
      <c r="O2831" s="1782" t="n"/>
      <c r="P2831" s="1720" t="n"/>
    </row>
    <row r="2832" hidden="1" outlineLevel="3" ht="13.5" customHeight="1">
      <c r="A2832" s="2117" t="n">
        <v>0</v>
      </c>
      <c r="B2832" s="2117" t="n">
        <v>18</v>
      </c>
      <c r="C2832" s="2117" t="n">
        <v>24</v>
      </c>
      <c r="D2832" s="2118" t="n">
        <v>1</v>
      </c>
      <c r="E2832" s="2118" t="n">
        <v>1</v>
      </c>
      <c r="G2832" s="1798" t="inlineStr">
        <is>
          <t>ESQUADRIAS, VIDROS E FERRAGENS</t>
        </is>
      </c>
      <c r="H2832" s="1783" t="inlineStr">
        <is>
          <t>SERVIÇO</t>
        </is>
      </c>
      <c r="I2832" s="1750" t="inlineStr">
        <is>
          <t>18.024.001.001</t>
        </is>
      </c>
      <c r="J2832" s="1785" t="inlineStr">
        <is>
          <t>Contramarco de aço galvanizado - Fixado com Argamassa</t>
        </is>
      </c>
      <c r="K2832" s="1786" t="inlineStr">
        <is>
          <t>m</t>
        </is>
      </c>
      <c r="L2832" s="1787" t="n">
        <v>10.2</v>
      </c>
      <c r="M2832" s="1787" t="n">
        <v>66.84999999999999</v>
      </c>
      <c r="N2832" s="1754" t="n">
        <v>681.87</v>
      </c>
      <c r="O2832" s="1788" t="inlineStr">
        <is>
          <t>Tabela de esquadrias enviada pela Gessele</t>
        </is>
      </c>
      <c r="P2832" s="1721" t="inlineStr">
        <is>
          <t>Pendente</t>
        </is>
      </c>
    </row>
    <row r="2833" hidden="1" outlineLevel="3" ht="13.5" customHeight="1">
      <c r="A2833" s="2117" t="n">
        <v>0</v>
      </c>
      <c r="B2833" s="2117" t="n">
        <v>18</v>
      </c>
      <c r="C2833" s="2117" t="n">
        <v>24</v>
      </c>
      <c r="D2833" s="2118" t="n">
        <v>1</v>
      </c>
      <c r="E2833" s="2118" t="n">
        <v>2</v>
      </c>
      <c r="G2833" s="1798" t="inlineStr">
        <is>
          <t>ESQUADRIAS, VIDROS E FERRAGENS</t>
        </is>
      </c>
      <c r="H2833" s="1783" t="inlineStr">
        <is>
          <t>SERVIÇO</t>
        </is>
      </c>
      <c r="I2833" s="1750" t="inlineStr">
        <is>
          <t>18.024.001.002</t>
        </is>
      </c>
      <c r="J2833" s="1785" t="inlineStr">
        <is>
          <t>Porta corta-fogo, 1 folha, 90x210 cm</t>
        </is>
      </c>
      <c r="K2833" s="1786" t="inlineStr">
        <is>
          <t>un</t>
        </is>
      </c>
      <c r="L2833" s="1787" t="n">
        <v>2</v>
      </c>
      <c r="M2833" s="1787" t="n">
        <v>1237.5</v>
      </c>
      <c r="N2833" s="1754" t="n">
        <v>2475</v>
      </c>
      <c r="O2833" s="1788" t="inlineStr">
        <is>
          <t>Tabela de esquadrias enviada pela Gessele</t>
        </is>
      </c>
      <c r="P2833" s="1721" t="inlineStr">
        <is>
          <t>Pendente</t>
        </is>
      </c>
    </row>
    <row r="2834" hidden="1" outlineLevel="2" ht="13.5" customHeight="1">
      <c r="A2834" s="2117" t="n">
        <v>0</v>
      </c>
      <c r="B2834" s="2117" t="n">
        <v>18</v>
      </c>
      <c r="C2834" s="2117" t="n">
        <v>24</v>
      </c>
      <c r="D2834" s="2118" t="n">
        <v>2</v>
      </c>
      <c r="E2834" s="2118" t="n">
        <v>0</v>
      </c>
      <c r="G2834" s="1797" t="n"/>
      <c r="H2834" s="1777" t="inlineStr">
        <is>
          <t>SUBETAPA</t>
        </is>
      </c>
      <c r="I2834" s="1742" t="inlineStr">
        <is>
          <t>18.024.002</t>
        </is>
      </c>
      <c r="J2834" s="1779" t="inlineStr">
        <is>
          <t>Corrimão metálico</t>
        </is>
      </c>
      <c r="K2834" s="1780" t="n"/>
      <c r="L2834" s="1781" t="n"/>
      <c r="M2834" s="1781" t="n"/>
      <c r="N2834" s="1746" t="n"/>
      <c r="O2834" s="1782" t="n"/>
      <c r="P2834" s="1720" t="n"/>
    </row>
    <row r="2835" hidden="1" outlineLevel="3" ht="13.5" customHeight="1">
      <c r="A2835" s="2117" t="n">
        <v>0</v>
      </c>
      <c r="B2835" s="2117" t="n">
        <v>18</v>
      </c>
      <c r="C2835" s="2117" t="n">
        <v>24</v>
      </c>
      <c r="D2835" s="2118" t="n">
        <v>2</v>
      </c>
      <c r="E2835" s="2118" t="n">
        <v>1</v>
      </c>
      <c r="G2835" s="1798" t="inlineStr">
        <is>
          <t>ESQUADRIAS, VIDROS E FERRAGENS</t>
        </is>
      </c>
      <c r="H2835" s="1783" t="inlineStr">
        <is>
          <t>SERVIÇO</t>
        </is>
      </c>
      <c r="I2835" s="1750" t="inlineStr">
        <is>
          <t>18.024.002.001</t>
        </is>
      </c>
      <c r="J2835" s="1785" t="inlineStr">
        <is>
          <t>Corrimão Duplo Metálico - inox escovado 304 - fornecimento e instalação</t>
        </is>
      </c>
      <c r="K2835" s="1786" t="inlineStr">
        <is>
          <t>m</t>
        </is>
      </c>
      <c r="L2835" s="1787" t="e">
        <v>#REF!</v>
      </c>
      <c r="M2835" s="1787" t="n">
        <v>820</v>
      </c>
      <c r="N2835" s="1754" t="n"/>
      <c r="O2835" s="1788" t="inlineStr">
        <is>
          <t>Modelo do visus</t>
        </is>
      </c>
      <c r="P2835" s="1721" t="inlineStr">
        <is>
          <t>Pendente</t>
        </is>
      </c>
    </row>
    <row r="2836" hidden="1" outlineLevel="3" ht="13.5" customHeight="1">
      <c r="A2836" s="2117" t="n">
        <v>0</v>
      </c>
      <c r="B2836" s="2117" t="n">
        <v>18</v>
      </c>
      <c r="C2836" s="2117" t="n">
        <v>24</v>
      </c>
      <c r="D2836" s="2118" t="n">
        <v>2</v>
      </c>
      <c r="E2836" s="2118" t="n">
        <v>2</v>
      </c>
      <c r="G2836" s="1798" t="inlineStr">
        <is>
          <t>ESQUADRIAS, VIDROS E FERRAGENS</t>
        </is>
      </c>
      <c r="H2836" s="1783" t="inlineStr">
        <is>
          <t>SERVIÇO</t>
        </is>
      </c>
      <c r="I2836" s="1750" t="inlineStr">
        <is>
          <t>18.024.002.002</t>
        </is>
      </c>
      <c r="J2836" s="1785" t="inlineStr">
        <is>
          <t>Corrimão Parede Metálico - inox escovado 304 - fornecimento e instalação</t>
        </is>
      </c>
      <c r="K2836" s="1786" t="inlineStr">
        <is>
          <t>m</t>
        </is>
      </c>
      <c r="L2836" s="1787" t="e">
        <v>#REF!</v>
      </c>
      <c r="M2836" s="1787" t="n">
        <v>520</v>
      </c>
      <c r="N2836" s="1754" t="n"/>
      <c r="O2836" s="1788" t="inlineStr">
        <is>
          <t>Modelo do visus</t>
        </is>
      </c>
      <c r="P2836" s="1721" t="inlineStr">
        <is>
          <t>Pendente</t>
        </is>
      </c>
    </row>
    <row r="2837" hidden="1" outlineLevel="2" ht="13.5" customHeight="1">
      <c r="A2837" s="2117" t="n">
        <v>0</v>
      </c>
      <c r="B2837" s="2117" t="n">
        <v>18</v>
      </c>
      <c r="C2837" s="2117" t="n">
        <v>24</v>
      </c>
      <c r="D2837" s="2118" t="n">
        <v>3</v>
      </c>
      <c r="E2837" s="2118" t="n">
        <v>0</v>
      </c>
      <c r="G2837" s="1797" t="n"/>
      <c r="H2837" s="1777" t="inlineStr">
        <is>
          <t>SUBETAPA</t>
        </is>
      </c>
      <c r="I2837" s="1742" t="inlineStr">
        <is>
          <t>18.024.003</t>
        </is>
      </c>
      <c r="J2837" s="1779" t="inlineStr">
        <is>
          <t>Mão de obra</t>
        </is>
      </c>
      <c r="K2837" s="1780" t="n"/>
      <c r="L2837" s="1781" t="n"/>
      <c r="M2837" s="1781" t="n"/>
      <c r="N2837" s="1746" t="n">
        <v>600</v>
      </c>
      <c r="O2837" s="1782" t="n">
        <v>0.035821601261398</v>
      </c>
      <c r="P2837" s="1720" t="n"/>
    </row>
    <row r="2838" hidden="1" outlineLevel="3" ht="13.5" customHeight="1">
      <c r="A2838" s="2117" t="n">
        <v>0</v>
      </c>
      <c r="B2838" s="2117" t="n">
        <v>18</v>
      </c>
      <c r="C2838" s="2117" t="n">
        <v>24</v>
      </c>
      <c r="D2838" s="2118" t="n">
        <v>3</v>
      </c>
      <c r="E2838" s="2118" t="n">
        <v>1</v>
      </c>
      <c r="G2838" s="1798" t="inlineStr">
        <is>
          <t>ESQUADRIAS, VIDROS E FERRAGENS</t>
        </is>
      </c>
      <c r="H2838" s="1783" t="inlineStr">
        <is>
          <t>SERVIÇO</t>
        </is>
      </c>
      <c r="I2838" s="1750" t="inlineStr">
        <is>
          <t>18.024.003.001</t>
        </is>
      </c>
      <c r="J2838" s="1785" t="inlineStr">
        <is>
          <t>Mão de obra para instalação de portas corta-fogo</t>
        </is>
      </c>
      <c r="K2838" s="1786" t="inlineStr">
        <is>
          <t>un</t>
        </is>
      </c>
      <c r="L2838" s="1787" t="n">
        <v>2</v>
      </c>
      <c r="M2838" s="1787" t="n">
        <v>300</v>
      </c>
      <c r="N2838" s="1754" t="n">
        <v>600</v>
      </c>
      <c r="O2838" s="1788" t="inlineStr">
        <is>
          <t>Tabela de esquadrias enviada pela Gessele</t>
        </is>
      </c>
      <c r="P2838" s="1721" t="inlineStr">
        <is>
          <t>Pendente</t>
        </is>
      </c>
    </row>
    <row r="2839" hidden="1" outlineLevel="1" ht="13.5" customHeight="1">
      <c r="A2839" s="2117" t="n">
        <v>0</v>
      </c>
      <c r="B2839" s="2117" t="n">
        <v>18</v>
      </c>
      <c r="C2839" s="2117" t="n">
        <v>25</v>
      </c>
      <c r="D2839" s="2118" t="n">
        <v>0</v>
      </c>
      <c r="E2839" s="2118" t="n">
        <v>1</v>
      </c>
      <c r="G2839" s="1796" t="n"/>
      <c r="H2839" s="1771" t="inlineStr">
        <is>
          <t>ETAPA</t>
        </is>
      </c>
      <c r="I2839" s="1735" t="inlineStr">
        <is>
          <t>18.025</t>
        </is>
      </c>
      <c r="J2839" s="1773" t="inlineStr">
        <is>
          <t>PORTAS CORTA-FOGO - G2</t>
        </is>
      </c>
      <c r="K2839" s="1774" t="n"/>
      <c r="L2839" s="1775" t="n"/>
      <c r="M2839" s="1775" t="n"/>
      <c r="N2839" s="1739" t="n"/>
      <c r="O2839" s="1776" t="n"/>
      <c r="P2839" s="1719" t="n"/>
    </row>
    <row r="2840" hidden="1" outlineLevel="2" ht="13.5" customHeight="1">
      <c r="A2840" s="2117" t="n">
        <v>0</v>
      </c>
      <c r="B2840" s="2117" t="n">
        <v>18</v>
      </c>
      <c r="C2840" s="2117" t="n">
        <v>25</v>
      </c>
      <c r="D2840" s="2118" t="n">
        <v>1</v>
      </c>
      <c r="E2840" s="2118" t="n">
        <v>0</v>
      </c>
      <c r="G2840" s="1797" t="n"/>
      <c r="H2840" s="1777" t="inlineStr">
        <is>
          <t>SUBETAPA</t>
        </is>
      </c>
      <c r="I2840" s="1742" t="inlineStr">
        <is>
          <t>18.025.001</t>
        </is>
      </c>
      <c r="J2840" s="1779" t="inlineStr">
        <is>
          <t>Esquadrias metálicas</t>
        </is>
      </c>
      <c r="K2840" s="1780" t="n"/>
      <c r="L2840" s="1781" t="n"/>
      <c r="M2840" s="1781" t="n"/>
      <c r="N2840" s="1746" t="n">
        <v>4735.305</v>
      </c>
      <c r="O2840" s="1782" t="n"/>
      <c r="P2840" s="1720" t="n"/>
    </row>
    <row r="2841" hidden="1" outlineLevel="3" ht="13.5" customHeight="1">
      <c r="A2841" s="2117" t="n">
        <v>0</v>
      </c>
      <c r="B2841" s="2117" t="n">
        <v>18</v>
      </c>
      <c r="C2841" s="2117" t="n">
        <v>25</v>
      </c>
      <c r="D2841" s="2118" t="n">
        <v>1</v>
      </c>
      <c r="E2841" s="2118" t="n">
        <v>1</v>
      </c>
      <c r="G2841" s="1798" t="inlineStr">
        <is>
          <t>ESQUADRIAS, VIDROS E FERRAGENS</t>
        </is>
      </c>
      <c r="H2841" s="1783" t="inlineStr">
        <is>
          <t>SERVIÇO</t>
        </is>
      </c>
      <c r="I2841" s="1750" t="inlineStr">
        <is>
          <t>18.025.001.001</t>
        </is>
      </c>
      <c r="J2841" s="1785" t="inlineStr">
        <is>
          <t>Contramarco de aço galvanizado - Fixado com Argamassa</t>
        </is>
      </c>
      <c r="K2841" s="1786" t="inlineStr">
        <is>
          <t>m</t>
        </is>
      </c>
      <c r="L2841" s="1787" t="n">
        <v>15.3</v>
      </c>
      <c r="M2841" s="1787" t="n">
        <v>66.84999999999999</v>
      </c>
      <c r="N2841" s="1754" t="n">
        <v>1022.805</v>
      </c>
      <c r="O2841" s="1788" t="inlineStr">
        <is>
          <t>Tabela de esquadrias enviada pela Gessele</t>
        </is>
      </c>
      <c r="P2841" s="1721" t="inlineStr">
        <is>
          <t>Pendente</t>
        </is>
      </c>
    </row>
    <row r="2842" hidden="1" outlineLevel="3" ht="13.5" customHeight="1">
      <c r="A2842" s="2117" t="n">
        <v>0</v>
      </c>
      <c r="B2842" s="2117" t="n">
        <v>18</v>
      </c>
      <c r="C2842" s="2117" t="n">
        <v>25</v>
      </c>
      <c r="D2842" s="2118" t="n">
        <v>1</v>
      </c>
      <c r="E2842" s="2118" t="n">
        <v>2</v>
      </c>
      <c r="G2842" s="1798" t="inlineStr">
        <is>
          <t>ESQUADRIAS, VIDROS E FERRAGENS</t>
        </is>
      </c>
      <c r="H2842" s="1783" t="inlineStr">
        <is>
          <t>SERVIÇO</t>
        </is>
      </c>
      <c r="I2842" s="1750" t="inlineStr">
        <is>
          <t>18.025.001.002</t>
        </is>
      </c>
      <c r="J2842" s="1785" t="inlineStr">
        <is>
          <t>Porta corta-fogo, 1 folha, 90x210 cm</t>
        </is>
      </c>
      <c r="K2842" s="1786" t="inlineStr">
        <is>
          <t>un</t>
        </is>
      </c>
      <c r="L2842" s="1787" t="n">
        <v>3</v>
      </c>
      <c r="M2842" s="1787" t="n">
        <v>1237.5</v>
      </c>
      <c r="N2842" s="1754" t="n">
        <v>3712.5</v>
      </c>
      <c r="O2842" s="1788" t="inlineStr">
        <is>
          <t>Tabela de esquadrias enviada pela Gessele</t>
        </is>
      </c>
      <c r="P2842" s="1721" t="inlineStr">
        <is>
          <t>Pendente</t>
        </is>
      </c>
    </row>
    <row r="2843" hidden="1" outlineLevel="2" ht="13.5" customHeight="1">
      <c r="A2843" s="2117" t="n">
        <v>0</v>
      </c>
      <c r="B2843" s="2117" t="n">
        <v>18</v>
      </c>
      <c r="C2843" s="2117" t="n">
        <v>25</v>
      </c>
      <c r="D2843" s="2118" t="n">
        <v>2</v>
      </c>
      <c r="E2843" s="2118" t="n">
        <v>0</v>
      </c>
      <c r="G2843" s="1797" t="n"/>
      <c r="H2843" s="1777" t="inlineStr">
        <is>
          <t>SUBETAPA</t>
        </is>
      </c>
      <c r="I2843" s="1742" t="inlineStr">
        <is>
          <t>18.025.002</t>
        </is>
      </c>
      <c r="J2843" s="1779" t="inlineStr">
        <is>
          <t>Corrimão metálico</t>
        </is>
      </c>
      <c r="K2843" s="1780" t="n"/>
      <c r="L2843" s="1781" t="n"/>
      <c r="M2843" s="1781" t="n"/>
      <c r="N2843" s="1746" t="n"/>
      <c r="O2843" s="1782" t="n"/>
      <c r="P2843" s="1720" t="n"/>
    </row>
    <row r="2844" hidden="1" outlineLevel="3" ht="13.5" customHeight="1">
      <c r="A2844" s="2117" t="n">
        <v>0</v>
      </c>
      <c r="B2844" s="2117" t="n">
        <v>18</v>
      </c>
      <c r="C2844" s="2117" t="n">
        <v>25</v>
      </c>
      <c r="D2844" s="2118" t="n">
        <v>2</v>
      </c>
      <c r="E2844" s="2118" t="n">
        <v>1</v>
      </c>
      <c r="G2844" s="1798" t="inlineStr">
        <is>
          <t>ESQUADRIAS, VIDROS E FERRAGENS</t>
        </is>
      </c>
      <c r="H2844" s="1783" t="inlineStr">
        <is>
          <t>SERVIÇO</t>
        </is>
      </c>
      <c r="I2844" s="1750" t="inlineStr">
        <is>
          <t>18.025.002.001</t>
        </is>
      </c>
      <c r="J2844" s="1785" t="inlineStr">
        <is>
          <t>Corrimão Duplo Metálico - inox escovado 304 - fornecimento e instalação</t>
        </is>
      </c>
      <c r="K2844" s="1786" t="inlineStr">
        <is>
          <t>m</t>
        </is>
      </c>
      <c r="L2844" s="1787" t="e">
        <v>#REF!</v>
      </c>
      <c r="M2844" s="1787" t="n">
        <v>820</v>
      </c>
      <c r="N2844" s="1754" t="n"/>
      <c r="O2844" s="1788" t="inlineStr">
        <is>
          <t>Modelo do visus</t>
        </is>
      </c>
      <c r="P2844" s="1721" t="inlineStr">
        <is>
          <t>Pendente</t>
        </is>
      </c>
    </row>
    <row r="2845" hidden="1" outlineLevel="3" ht="13.5" customHeight="1">
      <c r="A2845" s="2117" t="n">
        <v>0</v>
      </c>
      <c r="B2845" s="2117" t="n">
        <v>18</v>
      </c>
      <c r="C2845" s="2117" t="n">
        <v>25</v>
      </c>
      <c r="D2845" s="2118" t="n">
        <v>2</v>
      </c>
      <c r="E2845" s="2118" t="n">
        <v>2</v>
      </c>
      <c r="G2845" s="1798" t="inlineStr">
        <is>
          <t>ESQUADRIAS, VIDROS E FERRAGENS</t>
        </is>
      </c>
      <c r="H2845" s="1783" t="inlineStr">
        <is>
          <t>SERVIÇO</t>
        </is>
      </c>
      <c r="I2845" s="1750" t="inlineStr">
        <is>
          <t>18.025.002.002</t>
        </is>
      </c>
      <c r="J2845" s="1785" t="inlineStr">
        <is>
          <t>Corrimão Parede Metálico - inox escovado 304 - fornecimento e instalação</t>
        </is>
      </c>
      <c r="K2845" s="1786" t="inlineStr">
        <is>
          <t>m</t>
        </is>
      </c>
      <c r="L2845" s="1787" t="e">
        <v>#REF!</v>
      </c>
      <c r="M2845" s="1787" t="n">
        <v>520</v>
      </c>
      <c r="N2845" s="1754" t="n"/>
      <c r="O2845" s="1788" t="inlineStr">
        <is>
          <t>Modelo do visus</t>
        </is>
      </c>
      <c r="P2845" s="1721" t="inlineStr">
        <is>
          <t>Pendente</t>
        </is>
      </c>
    </row>
    <row r="2846" hidden="1" outlineLevel="2" ht="13.5" customHeight="1">
      <c r="A2846" s="2117" t="n">
        <v>0</v>
      </c>
      <c r="B2846" s="2117" t="n">
        <v>18</v>
      </c>
      <c r="C2846" s="2117" t="n">
        <v>25</v>
      </c>
      <c r="D2846" s="2118" t="n">
        <v>3</v>
      </c>
      <c r="E2846" s="2118" t="n">
        <v>0</v>
      </c>
      <c r="G2846" s="1797" t="n"/>
      <c r="H2846" s="1777" t="inlineStr">
        <is>
          <t>SUBETAPA</t>
        </is>
      </c>
      <c r="I2846" s="1742" t="inlineStr">
        <is>
          <t>18.025.003</t>
        </is>
      </c>
      <c r="J2846" s="1779" t="inlineStr">
        <is>
          <t>Mão de obra</t>
        </is>
      </c>
      <c r="K2846" s="1780" t="n"/>
      <c r="L2846" s="1781" t="n"/>
      <c r="M2846" s="1781" t="n"/>
      <c r="N2846" s="1746" t="n">
        <v>900</v>
      </c>
      <c r="O2846" s="1782" t="n">
        <v>0.053732401892097</v>
      </c>
      <c r="P2846" s="1720" t="n"/>
    </row>
    <row r="2847" hidden="1" outlineLevel="3" ht="13.5" customHeight="1">
      <c r="A2847" s="2117" t="n">
        <v>0</v>
      </c>
      <c r="B2847" s="2117" t="n">
        <v>18</v>
      </c>
      <c r="C2847" s="2117" t="n">
        <v>25</v>
      </c>
      <c r="D2847" s="2118" t="n">
        <v>3</v>
      </c>
      <c r="E2847" s="2118" t="n">
        <v>1</v>
      </c>
      <c r="G2847" s="1798" t="inlineStr">
        <is>
          <t>ESQUADRIAS, VIDROS E FERRAGENS</t>
        </is>
      </c>
      <c r="H2847" s="1783" t="inlineStr">
        <is>
          <t>SERVIÇO</t>
        </is>
      </c>
      <c r="I2847" s="1750" t="inlineStr">
        <is>
          <t>18.025.003.001</t>
        </is>
      </c>
      <c r="J2847" s="1785" t="inlineStr">
        <is>
          <t>Mão de obra para instalação de portas corta-fogo</t>
        </is>
      </c>
      <c r="K2847" s="1786" t="inlineStr">
        <is>
          <t>un</t>
        </is>
      </c>
      <c r="L2847" s="1787" t="n">
        <v>3</v>
      </c>
      <c r="M2847" s="1787" t="n">
        <v>300</v>
      </c>
      <c r="N2847" s="1754" t="n">
        <v>900</v>
      </c>
      <c r="O2847" s="1788" t="inlineStr">
        <is>
          <t>Tabela de esquadrias enviada pela Gessele</t>
        </is>
      </c>
      <c r="P2847" s="1721" t="inlineStr">
        <is>
          <t>Pendente</t>
        </is>
      </c>
    </row>
    <row r="2848" hidden="1" outlineLevel="1" ht="13.5" customHeight="1">
      <c r="A2848" s="2117" t="n">
        <v>0</v>
      </c>
      <c r="B2848" s="2117" t="n">
        <v>18</v>
      </c>
      <c r="C2848" s="2117" t="n">
        <v>26</v>
      </c>
      <c r="D2848" s="2118" t="n">
        <v>0</v>
      </c>
      <c r="E2848" s="2118" t="n">
        <v>1</v>
      </c>
      <c r="G2848" s="1796" t="n"/>
      <c r="H2848" s="1771" t="inlineStr">
        <is>
          <t>ETAPA</t>
        </is>
      </c>
      <c r="I2848" s="1735" t="inlineStr">
        <is>
          <t>18.026</t>
        </is>
      </c>
      <c r="J2848" s="1773" t="inlineStr">
        <is>
          <t>PORTAS CORTA-FOGO - Mezanino G2</t>
        </is>
      </c>
      <c r="K2848" s="1774" t="n"/>
      <c r="L2848" s="1775" t="n"/>
      <c r="M2848" s="1775" t="n"/>
      <c r="N2848" s="1739" t="n"/>
      <c r="O2848" s="1776" t="n"/>
      <c r="P2848" s="1719" t="n"/>
    </row>
    <row r="2849" hidden="1" outlineLevel="2" ht="13.5" customHeight="1">
      <c r="A2849" s="2117" t="n">
        <v>0</v>
      </c>
      <c r="B2849" s="2117" t="n">
        <v>18</v>
      </c>
      <c r="C2849" s="2117" t="n">
        <v>26</v>
      </c>
      <c r="D2849" s="2118" t="n">
        <v>1</v>
      </c>
      <c r="E2849" s="2118" t="n">
        <v>0</v>
      </c>
      <c r="G2849" s="1797" t="n"/>
      <c r="H2849" s="1777" t="inlineStr">
        <is>
          <t>SUBETAPA</t>
        </is>
      </c>
      <c r="I2849" s="1742" t="inlineStr">
        <is>
          <t>18.026.001</t>
        </is>
      </c>
      <c r="J2849" s="1779" t="inlineStr">
        <is>
          <t>Esquadrias metálicas</t>
        </is>
      </c>
      <c r="K2849" s="1780" t="n"/>
      <c r="L2849" s="1781" t="n"/>
      <c r="M2849" s="1781" t="n"/>
      <c r="N2849" s="1746" t="n">
        <v>4735.305</v>
      </c>
      <c r="O2849" s="1782" t="n"/>
      <c r="P2849" s="1720" t="n"/>
    </row>
    <row r="2850" hidden="1" outlineLevel="3" ht="13.5" customHeight="1">
      <c r="A2850" s="2117" t="n">
        <v>0</v>
      </c>
      <c r="B2850" s="2117" t="n">
        <v>18</v>
      </c>
      <c r="C2850" s="2117" t="n">
        <v>26</v>
      </c>
      <c r="D2850" s="2118" t="n">
        <v>1</v>
      </c>
      <c r="E2850" s="2118" t="n">
        <v>1</v>
      </c>
      <c r="G2850" s="1798" t="inlineStr">
        <is>
          <t>ESQUADRIAS, VIDROS E FERRAGENS</t>
        </is>
      </c>
      <c r="H2850" s="1783" t="inlineStr">
        <is>
          <t>SERVIÇO</t>
        </is>
      </c>
      <c r="I2850" s="1750" t="inlineStr">
        <is>
          <t>18.026.001.001</t>
        </is>
      </c>
      <c r="J2850" s="1785" t="inlineStr">
        <is>
          <t>Contramarco de aço galvanizado - Fixado com Argamassa</t>
        </is>
      </c>
      <c r="K2850" s="1786" t="inlineStr">
        <is>
          <t>m</t>
        </is>
      </c>
      <c r="L2850" s="1787" t="n">
        <v>15.3</v>
      </c>
      <c r="M2850" s="1787" t="n">
        <v>66.84999999999999</v>
      </c>
      <c r="N2850" s="1754" t="n">
        <v>1022.805</v>
      </c>
      <c r="O2850" s="1788" t="inlineStr">
        <is>
          <t>Tabela de esquadrias enviada pela Gessele</t>
        </is>
      </c>
      <c r="P2850" s="1721" t="inlineStr">
        <is>
          <t>Pendente</t>
        </is>
      </c>
    </row>
    <row r="2851" hidden="1" outlineLevel="3" ht="13.5" customHeight="1">
      <c r="A2851" s="2117" t="n">
        <v>0</v>
      </c>
      <c r="B2851" s="2117" t="n">
        <v>18</v>
      </c>
      <c r="C2851" s="2117" t="n">
        <v>26</v>
      </c>
      <c r="D2851" s="2118" t="n">
        <v>1</v>
      </c>
      <c r="E2851" s="2118" t="n">
        <v>2</v>
      </c>
      <c r="G2851" s="1798" t="inlineStr">
        <is>
          <t>ESQUADRIAS, VIDROS E FERRAGENS</t>
        </is>
      </c>
      <c r="H2851" s="1783" t="inlineStr">
        <is>
          <t>SERVIÇO</t>
        </is>
      </c>
      <c r="I2851" s="1750" t="inlineStr">
        <is>
          <t>18.026.001.002</t>
        </is>
      </c>
      <c r="J2851" s="1785" t="inlineStr">
        <is>
          <t>Porta corta-fogo, 1 folha, 90x210 cm</t>
        </is>
      </c>
      <c r="K2851" s="1786" t="inlineStr">
        <is>
          <t>un</t>
        </is>
      </c>
      <c r="L2851" s="1787" t="n">
        <v>3</v>
      </c>
      <c r="M2851" s="1787" t="n">
        <v>1237.5</v>
      </c>
      <c r="N2851" s="1754" t="n">
        <v>3712.5</v>
      </c>
      <c r="O2851" s="1788" t="inlineStr">
        <is>
          <t>Tabela de esquadrias enviada pela Gessele</t>
        </is>
      </c>
      <c r="P2851" s="1721" t="inlineStr">
        <is>
          <t>Pendente</t>
        </is>
      </c>
    </row>
    <row r="2852" hidden="1" outlineLevel="2" ht="13.5" customHeight="1">
      <c r="A2852" s="2117" t="n">
        <v>0</v>
      </c>
      <c r="B2852" s="2117" t="n">
        <v>18</v>
      </c>
      <c r="C2852" s="2117" t="n">
        <v>26</v>
      </c>
      <c r="D2852" s="2118" t="n">
        <v>2</v>
      </c>
      <c r="E2852" s="2118" t="n">
        <v>0</v>
      </c>
      <c r="G2852" s="1797" t="n"/>
      <c r="H2852" s="1777" t="inlineStr">
        <is>
          <t>SUBETAPA</t>
        </is>
      </c>
      <c r="I2852" s="1742" t="inlineStr">
        <is>
          <t>18.026.002</t>
        </is>
      </c>
      <c r="J2852" s="1779" t="inlineStr">
        <is>
          <t>Corrimão metálico</t>
        </is>
      </c>
      <c r="K2852" s="1780" t="n"/>
      <c r="L2852" s="1781" t="n"/>
      <c r="M2852" s="1781" t="n"/>
      <c r="N2852" s="1746" t="n"/>
      <c r="O2852" s="1782" t="n"/>
      <c r="P2852" s="1720" t="n"/>
    </row>
    <row r="2853" hidden="1" outlineLevel="3" ht="13.5" customHeight="1">
      <c r="A2853" s="2117" t="n">
        <v>0</v>
      </c>
      <c r="B2853" s="2117" t="n">
        <v>18</v>
      </c>
      <c r="C2853" s="2117" t="n">
        <v>26</v>
      </c>
      <c r="D2853" s="2118" t="n">
        <v>2</v>
      </c>
      <c r="E2853" s="2118" t="n">
        <v>1</v>
      </c>
      <c r="G2853" s="1798" t="inlineStr">
        <is>
          <t>ESQUADRIAS, VIDROS E FERRAGENS</t>
        </is>
      </c>
      <c r="H2853" s="1783" t="inlineStr">
        <is>
          <t>SERVIÇO</t>
        </is>
      </c>
      <c r="I2853" s="1750" t="inlineStr">
        <is>
          <t>18.026.002.001</t>
        </is>
      </c>
      <c r="J2853" s="1785" t="inlineStr">
        <is>
          <t>Corrimão Duplo Metálico - inox escovado 304 - fornecimento e instalação</t>
        </is>
      </c>
      <c r="K2853" s="1786" t="inlineStr">
        <is>
          <t>m</t>
        </is>
      </c>
      <c r="L2853" s="1787" t="e">
        <v>#REF!</v>
      </c>
      <c r="M2853" s="1787" t="n">
        <v>820</v>
      </c>
      <c r="N2853" s="1754" t="n"/>
      <c r="O2853" s="1788" t="inlineStr">
        <is>
          <t>Modelo do visus</t>
        </is>
      </c>
      <c r="P2853" s="1721" t="inlineStr">
        <is>
          <t>Pendente</t>
        </is>
      </c>
    </row>
    <row r="2854" hidden="1" outlineLevel="3" ht="13.5" customHeight="1">
      <c r="A2854" s="2117" t="n">
        <v>0</v>
      </c>
      <c r="B2854" s="2117" t="n">
        <v>18</v>
      </c>
      <c r="C2854" s="2117" t="n">
        <v>26</v>
      </c>
      <c r="D2854" s="2118" t="n">
        <v>2</v>
      </c>
      <c r="E2854" s="2118" t="n">
        <v>2</v>
      </c>
      <c r="G2854" s="1798" t="inlineStr">
        <is>
          <t>ESQUADRIAS, VIDROS E FERRAGENS</t>
        </is>
      </c>
      <c r="H2854" s="1783" t="inlineStr">
        <is>
          <t>SERVIÇO</t>
        </is>
      </c>
      <c r="I2854" s="1750" t="inlineStr">
        <is>
          <t>18.026.002.002</t>
        </is>
      </c>
      <c r="J2854" s="1785" t="inlineStr">
        <is>
          <t>Corrimão Parede Metálico - inox escovado 304 - fornecimento e instalação</t>
        </is>
      </c>
      <c r="K2854" s="1786" t="inlineStr">
        <is>
          <t>m</t>
        </is>
      </c>
      <c r="L2854" s="1787" t="e">
        <v>#REF!</v>
      </c>
      <c r="M2854" s="1787" t="n">
        <v>520</v>
      </c>
      <c r="N2854" s="1754" t="n"/>
      <c r="O2854" s="1788" t="inlineStr">
        <is>
          <t>Modelo do visus</t>
        </is>
      </c>
      <c r="P2854" s="1721" t="inlineStr">
        <is>
          <t>Pendente</t>
        </is>
      </c>
    </row>
    <row r="2855" hidden="1" outlineLevel="2" ht="13.5" customHeight="1">
      <c r="A2855" s="2117" t="n">
        <v>0</v>
      </c>
      <c r="B2855" s="2117" t="n">
        <v>18</v>
      </c>
      <c r="C2855" s="2117" t="n">
        <v>26</v>
      </c>
      <c r="D2855" s="2118" t="n">
        <v>3</v>
      </c>
      <c r="E2855" s="2118" t="n">
        <v>0</v>
      </c>
      <c r="G2855" s="1797" t="n"/>
      <c r="H2855" s="1777" t="inlineStr">
        <is>
          <t>SUBETAPA</t>
        </is>
      </c>
      <c r="I2855" s="1742" t="inlineStr">
        <is>
          <t>18.026.003</t>
        </is>
      </c>
      <c r="J2855" s="1779" t="inlineStr">
        <is>
          <t>Mão de obra</t>
        </is>
      </c>
      <c r="K2855" s="1780" t="n"/>
      <c r="L2855" s="1781" t="n"/>
      <c r="M2855" s="1781" t="n"/>
      <c r="N2855" s="1746" t="n">
        <v>900</v>
      </c>
      <c r="O2855" s="1782" t="n">
        <v>0.053732401892097</v>
      </c>
      <c r="P2855" s="1720" t="n"/>
    </row>
    <row r="2856" hidden="1" outlineLevel="3" ht="13.5" customHeight="1">
      <c r="A2856" s="2117" t="n">
        <v>0</v>
      </c>
      <c r="B2856" s="2117" t="n">
        <v>18</v>
      </c>
      <c r="C2856" s="2117" t="n">
        <v>26</v>
      </c>
      <c r="D2856" s="2118" t="n">
        <v>3</v>
      </c>
      <c r="E2856" s="2118" t="n">
        <v>1</v>
      </c>
      <c r="G2856" s="1798" t="inlineStr">
        <is>
          <t>ESQUADRIAS, VIDROS E FERRAGENS</t>
        </is>
      </c>
      <c r="H2856" s="1783" t="inlineStr">
        <is>
          <t>SERVIÇO</t>
        </is>
      </c>
      <c r="I2856" s="1750" t="inlineStr">
        <is>
          <t>18.026.003.001</t>
        </is>
      </c>
      <c r="J2856" s="1785" t="inlineStr">
        <is>
          <t>Mão de obra para instalação de portas corta-fogo</t>
        </is>
      </c>
      <c r="K2856" s="1786" t="inlineStr">
        <is>
          <t>un</t>
        </is>
      </c>
      <c r="L2856" s="1787" t="n">
        <v>3</v>
      </c>
      <c r="M2856" s="1787" t="n">
        <v>300</v>
      </c>
      <c r="N2856" s="1754" t="n">
        <v>900</v>
      </c>
      <c r="O2856" s="1788" t="inlineStr">
        <is>
          <t>Tabela de esquadrias enviada pela Gessele</t>
        </is>
      </c>
      <c r="P2856" s="1721" t="inlineStr">
        <is>
          <t>Pendente</t>
        </is>
      </c>
    </row>
    <row r="2857" hidden="1" outlineLevel="1" ht="13.5" customHeight="1">
      <c r="A2857" s="2117" t="n">
        <v>0</v>
      </c>
      <c r="B2857" s="2117" t="n">
        <v>18</v>
      </c>
      <c r="C2857" s="2117" t="n">
        <v>27</v>
      </c>
      <c r="D2857" s="2118" t="n">
        <v>0</v>
      </c>
      <c r="E2857" s="2118" t="n">
        <v>1</v>
      </c>
      <c r="G2857" s="1796" t="n"/>
      <c r="H2857" s="1771" t="inlineStr">
        <is>
          <t>ETAPA</t>
        </is>
      </c>
      <c r="I2857" s="1735" t="inlineStr">
        <is>
          <t>18.027</t>
        </is>
      </c>
      <c r="J2857" s="1773" t="inlineStr">
        <is>
          <t>PORTAS CORTA-FOGO - G3</t>
        </is>
      </c>
      <c r="K2857" s="1774" t="n"/>
      <c r="L2857" s="1775" t="n"/>
      <c r="M2857" s="1775" t="n"/>
      <c r="N2857" s="1739" t="n"/>
      <c r="O2857" s="1776" t="n"/>
      <c r="P2857" s="1719" t="n"/>
    </row>
    <row r="2858" hidden="1" outlineLevel="2" ht="13.5" customHeight="1">
      <c r="A2858" s="2117" t="n">
        <v>0</v>
      </c>
      <c r="B2858" s="2117" t="n">
        <v>18</v>
      </c>
      <c r="C2858" s="2117" t="n">
        <v>27</v>
      </c>
      <c r="D2858" s="2118" t="n">
        <v>1</v>
      </c>
      <c r="E2858" s="2118" t="n">
        <v>0</v>
      </c>
      <c r="G2858" s="1797" t="n"/>
      <c r="H2858" s="1777" t="inlineStr">
        <is>
          <t>SUBETAPA</t>
        </is>
      </c>
      <c r="I2858" s="1742" t="inlineStr">
        <is>
          <t>18.027.001</t>
        </is>
      </c>
      <c r="J2858" s="1779" t="inlineStr">
        <is>
          <t>Esquadrias metálicas</t>
        </is>
      </c>
      <c r="K2858" s="1780" t="n"/>
      <c r="L2858" s="1781" t="n"/>
      <c r="M2858" s="1781" t="n"/>
      <c r="N2858" s="1746" t="n">
        <v>6313.74</v>
      </c>
      <c r="O2858" s="1782" t="n"/>
      <c r="P2858" s="1720" t="n"/>
    </row>
    <row r="2859" hidden="1" outlineLevel="3" ht="13.5" customHeight="1">
      <c r="A2859" s="2117" t="n">
        <v>0</v>
      </c>
      <c r="B2859" s="2117" t="n">
        <v>18</v>
      </c>
      <c r="C2859" s="2117" t="n">
        <v>27</v>
      </c>
      <c r="D2859" s="2118" t="n">
        <v>1</v>
      </c>
      <c r="E2859" s="2118" t="n">
        <v>1</v>
      </c>
      <c r="G2859" s="1798" t="inlineStr">
        <is>
          <t>ESQUADRIAS, VIDROS E FERRAGENS</t>
        </is>
      </c>
      <c r="H2859" s="1783" t="inlineStr">
        <is>
          <t>SERVIÇO</t>
        </is>
      </c>
      <c r="I2859" s="1750" t="inlineStr">
        <is>
          <t>18.027.001.001</t>
        </is>
      </c>
      <c r="J2859" s="1785" t="inlineStr">
        <is>
          <t>Contramarco de aço galvanizado - Fixado com Argamassa</t>
        </is>
      </c>
      <c r="K2859" s="1786" t="inlineStr">
        <is>
          <t>m</t>
        </is>
      </c>
      <c r="L2859" s="1787" t="n">
        <v>20.4</v>
      </c>
      <c r="M2859" s="1787" t="n">
        <v>66.84999999999999</v>
      </c>
      <c r="N2859" s="1754" t="n">
        <v>1363.74</v>
      </c>
      <c r="O2859" s="1788" t="inlineStr">
        <is>
          <t>Tabela de esquadrias enviada pela Gessele</t>
        </is>
      </c>
      <c r="P2859" s="1721" t="inlineStr">
        <is>
          <t>Pendente</t>
        </is>
      </c>
    </row>
    <row r="2860" hidden="1" outlineLevel="3" ht="13.5" customHeight="1">
      <c r="A2860" s="2117" t="n">
        <v>0</v>
      </c>
      <c r="B2860" s="2117" t="n">
        <v>18</v>
      </c>
      <c r="C2860" s="2117" t="n">
        <v>27</v>
      </c>
      <c r="D2860" s="2118" t="n">
        <v>1</v>
      </c>
      <c r="E2860" s="2118" t="n">
        <v>2</v>
      </c>
      <c r="G2860" s="1798" t="inlineStr">
        <is>
          <t>ESQUADRIAS, VIDROS E FERRAGENS</t>
        </is>
      </c>
      <c r="H2860" s="1783" t="inlineStr">
        <is>
          <t>SERVIÇO</t>
        </is>
      </c>
      <c r="I2860" s="1750" t="inlineStr">
        <is>
          <t>18.027.001.002</t>
        </is>
      </c>
      <c r="J2860" s="1785" t="inlineStr">
        <is>
          <t>Porta corta-fogo, 1 folha, 90x210 cm</t>
        </is>
      </c>
      <c r="K2860" s="1786" t="inlineStr">
        <is>
          <t>un</t>
        </is>
      </c>
      <c r="L2860" s="1787" t="n">
        <v>4</v>
      </c>
      <c r="M2860" s="1787" t="n">
        <v>1237.5</v>
      </c>
      <c r="N2860" s="1754" t="n">
        <v>4950</v>
      </c>
      <c r="O2860" s="1788" t="inlineStr">
        <is>
          <t>Tabela de esquadrias enviada pela Gessele</t>
        </is>
      </c>
      <c r="P2860" s="1721" t="inlineStr">
        <is>
          <t>Pendente</t>
        </is>
      </c>
    </row>
    <row r="2861" hidden="1" outlineLevel="2" ht="13.5" customHeight="1">
      <c r="A2861" s="2117" t="n">
        <v>0</v>
      </c>
      <c r="B2861" s="2117" t="n">
        <v>18</v>
      </c>
      <c r="C2861" s="2117" t="n">
        <v>27</v>
      </c>
      <c r="D2861" s="2118" t="n">
        <v>2</v>
      </c>
      <c r="E2861" s="2118" t="n">
        <v>0</v>
      </c>
      <c r="G2861" s="1797" t="n"/>
      <c r="H2861" s="1777" t="inlineStr">
        <is>
          <t>SUBETAPA</t>
        </is>
      </c>
      <c r="I2861" s="1742" t="inlineStr">
        <is>
          <t>18.027.002</t>
        </is>
      </c>
      <c r="J2861" s="1779" t="inlineStr">
        <is>
          <t>Corrimão metálico</t>
        </is>
      </c>
      <c r="K2861" s="1780" t="n"/>
      <c r="L2861" s="1781" t="n"/>
      <c r="M2861" s="1781" t="n"/>
      <c r="N2861" s="1746" t="n"/>
      <c r="O2861" s="1782" t="n"/>
      <c r="P2861" s="1720" t="n"/>
    </row>
    <row r="2862" hidden="1" outlineLevel="3" ht="13.5" customHeight="1">
      <c r="A2862" s="2117" t="n">
        <v>0</v>
      </c>
      <c r="B2862" s="2117" t="n">
        <v>18</v>
      </c>
      <c r="C2862" s="2117" t="n">
        <v>27</v>
      </c>
      <c r="D2862" s="2118" t="n">
        <v>2</v>
      </c>
      <c r="E2862" s="2118" t="n">
        <v>1</v>
      </c>
      <c r="G2862" s="1798" t="inlineStr">
        <is>
          <t>ESQUADRIAS, VIDROS E FERRAGENS</t>
        </is>
      </c>
      <c r="H2862" s="1783" t="inlineStr">
        <is>
          <t>SERVIÇO</t>
        </is>
      </c>
      <c r="I2862" s="1750" t="inlineStr">
        <is>
          <t>18.027.002.001</t>
        </is>
      </c>
      <c r="J2862" s="1785" t="inlineStr">
        <is>
          <t>Corrimão Duplo Metálico - inox escovado 304 - fornecimento e instalação</t>
        </is>
      </c>
      <c r="K2862" s="1786" t="inlineStr">
        <is>
          <t>m</t>
        </is>
      </c>
      <c r="L2862" s="1787" t="e">
        <v>#REF!</v>
      </c>
      <c r="M2862" s="1787" t="n">
        <v>820</v>
      </c>
      <c r="N2862" s="1754" t="n"/>
      <c r="O2862" s="1788" t="inlineStr">
        <is>
          <t>Modelo do visus</t>
        </is>
      </c>
      <c r="P2862" s="1721" t="inlineStr">
        <is>
          <t>Pendente</t>
        </is>
      </c>
    </row>
    <row r="2863" hidden="1" outlineLevel="3" ht="13.5" customHeight="1">
      <c r="A2863" s="2117" t="n">
        <v>0</v>
      </c>
      <c r="B2863" s="2117" t="n">
        <v>18</v>
      </c>
      <c r="C2863" s="2117" t="n">
        <v>27</v>
      </c>
      <c r="D2863" s="2118" t="n">
        <v>2</v>
      </c>
      <c r="E2863" s="2118" t="n">
        <v>2</v>
      </c>
      <c r="G2863" s="1798" t="inlineStr">
        <is>
          <t>ESQUADRIAS, VIDROS E FERRAGENS</t>
        </is>
      </c>
      <c r="H2863" s="1783" t="inlineStr">
        <is>
          <t>SERVIÇO</t>
        </is>
      </c>
      <c r="I2863" s="1750" t="inlineStr">
        <is>
          <t>18.027.002.002</t>
        </is>
      </c>
      <c r="J2863" s="1785" t="inlineStr">
        <is>
          <t>Corrimão Parede Metálico - inox escovado 304 - fornecimento e instalação</t>
        </is>
      </c>
      <c r="K2863" s="1786" t="inlineStr">
        <is>
          <t>m</t>
        </is>
      </c>
      <c r="L2863" s="1787" t="e">
        <v>#REF!</v>
      </c>
      <c r="M2863" s="1787" t="n">
        <v>520</v>
      </c>
      <c r="N2863" s="1754" t="n"/>
      <c r="O2863" s="1788" t="inlineStr">
        <is>
          <t>Modelo do visus</t>
        </is>
      </c>
      <c r="P2863" s="1721" t="inlineStr">
        <is>
          <t>Pendente</t>
        </is>
      </c>
    </row>
    <row r="2864" hidden="1" outlineLevel="2" ht="13.5" customHeight="1">
      <c r="A2864" s="2117" t="n">
        <v>0</v>
      </c>
      <c r="B2864" s="2117" t="n">
        <v>18</v>
      </c>
      <c r="C2864" s="2117" t="n">
        <v>27</v>
      </c>
      <c r="D2864" s="2118" t="n">
        <v>3</v>
      </c>
      <c r="E2864" s="2118" t="n">
        <v>0</v>
      </c>
      <c r="G2864" s="1797" t="n"/>
      <c r="H2864" s="1777" t="inlineStr">
        <is>
          <t>SUBETAPA</t>
        </is>
      </c>
      <c r="I2864" s="1742" t="inlineStr">
        <is>
          <t>18.027.003</t>
        </is>
      </c>
      <c r="J2864" s="1779" t="inlineStr">
        <is>
          <t>Mão de obra</t>
        </is>
      </c>
      <c r="K2864" s="1780" t="n"/>
      <c r="L2864" s="1781" t="n"/>
      <c r="M2864" s="1781" t="n"/>
      <c r="N2864" s="1746" t="n">
        <v>1200</v>
      </c>
      <c r="O2864" s="1782" t="n">
        <v>0.071643202522796</v>
      </c>
      <c r="P2864" s="1720" t="n"/>
    </row>
    <row r="2865" hidden="1" outlineLevel="3" ht="13.5" customHeight="1">
      <c r="A2865" s="2117" t="n">
        <v>0</v>
      </c>
      <c r="B2865" s="2117" t="n">
        <v>18</v>
      </c>
      <c r="C2865" s="2117" t="n">
        <v>27</v>
      </c>
      <c r="D2865" s="2118" t="n">
        <v>3</v>
      </c>
      <c r="E2865" s="2118" t="n">
        <v>1</v>
      </c>
      <c r="G2865" s="1798" t="inlineStr">
        <is>
          <t>ESQUADRIAS, VIDROS E FERRAGENS</t>
        </is>
      </c>
      <c r="H2865" s="1783" t="inlineStr">
        <is>
          <t>SERVIÇO</t>
        </is>
      </c>
      <c r="I2865" s="1750" t="inlineStr">
        <is>
          <t>18.027.003.001</t>
        </is>
      </c>
      <c r="J2865" s="1785" t="inlineStr">
        <is>
          <t>Mão de obra para instalação de portas corta-fogo</t>
        </is>
      </c>
      <c r="K2865" s="1786" t="inlineStr">
        <is>
          <t>un</t>
        </is>
      </c>
      <c r="L2865" s="1787" t="n">
        <v>4</v>
      </c>
      <c r="M2865" s="1787" t="n">
        <v>300</v>
      </c>
      <c r="N2865" s="1754" t="n">
        <v>1200</v>
      </c>
      <c r="O2865" s="1788" t="inlineStr">
        <is>
          <t>Tabela de esquadrias enviada pela Gessele</t>
        </is>
      </c>
      <c r="P2865" s="1721" t="inlineStr">
        <is>
          <t>Pendente</t>
        </is>
      </c>
    </row>
    <row r="2866" hidden="1" outlineLevel="1" ht="13.5" customHeight="1">
      <c r="A2866" s="2117" t="n">
        <v>0</v>
      </c>
      <c r="B2866" s="2117" t="n">
        <v>18</v>
      </c>
      <c r="C2866" s="2117" t="n">
        <v>28</v>
      </c>
      <c r="D2866" s="2118" t="n">
        <v>0</v>
      </c>
      <c r="E2866" s="2118" t="n">
        <v>1</v>
      </c>
      <c r="G2866" s="1796" t="n"/>
      <c r="H2866" s="1771" t="inlineStr">
        <is>
          <t>ETAPA</t>
        </is>
      </c>
      <c r="I2866" s="1735" t="inlineStr">
        <is>
          <t>18.028</t>
        </is>
      </c>
      <c r="J2866" s="1773" t="inlineStr">
        <is>
          <t>PORTAS CORTA-FOGO - Mezanino G3</t>
        </is>
      </c>
      <c r="K2866" s="1774" t="n"/>
      <c r="L2866" s="1775" t="n"/>
      <c r="M2866" s="1775" t="n"/>
      <c r="N2866" s="1739" t="n"/>
      <c r="O2866" s="1776" t="n"/>
      <c r="P2866" s="1719" t="n"/>
    </row>
    <row r="2867" hidden="1" outlineLevel="2" ht="13.5" customHeight="1">
      <c r="A2867" s="2117" t="n">
        <v>0</v>
      </c>
      <c r="B2867" s="2117" t="n">
        <v>18</v>
      </c>
      <c r="C2867" s="2117" t="n">
        <v>28</v>
      </c>
      <c r="D2867" s="2118" t="n">
        <v>1</v>
      </c>
      <c r="E2867" s="2118" t="n">
        <v>0</v>
      </c>
      <c r="G2867" s="1797" t="n"/>
      <c r="H2867" s="1777" t="inlineStr">
        <is>
          <t>SUBETAPA</t>
        </is>
      </c>
      <c r="I2867" s="1742" t="inlineStr">
        <is>
          <t>18.028.001</t>
        </is>
      </c>
      <c r="J2867" s="1779" t="inlineStr">
        <is>
          <t>Esquadrias metálicas</t>
        </is>
      </c>
      <c r="K2867" s="1780" t="n"/>
      <c r="L2867" s="1781" t="n"/>
      <c r="M2867" s="1781" t="n"/>
      <c r="N2867" s="1746" t="n">
        <v>6313.74</v>
      </c>
      <c r="O2867" s="1782" t="n"/>
      <c r="P2867" s="1720" t="n"/>
    </row>
    <row r="2868" hidden="1" outlineLevel="3" ht="13.5" customHeight="1">
      <c r="A2868" s="2117" t="n">
        <v>0</v>
      </c>
      <c r="B2868" s="2117" t="n">
        <v>18</v>
      </c>
      <c r="C2868" s="2117" t="n">
        <v>28</v>
      </c>
      <c r="D2868" s="2118" t="n">
        <v>1</v>
      </c>
      <c r="E2868" s="2118" t="n">
        <v>1</v>
      </c>
      <c r="G2868" s="1798" t="inlineStr">
        <is>
          <t>ESQUADRIAS, VIDROS E FERRAGENS</t>
        </is>
      </c>
      <c r="H2868" s="1783" t="inlineStr">
        <is>
          <t>SERVIÇO</t>
        </is>
      </c>
      <c r="I2868" s="1750" t="inlineStr">
        <is>
          <t>18.028.001.001</t>
        </is>
      </c>
      <c r="J2868" s="1785" t="inlineStr">
        <is>
          <t>Contramarco de aço galvanizado - Fixado com Argamassa</t>
        </is>
      </c>
      <c r="K2868" s="1786" t="inlineStr">
        <is>
          <t>m</t>
        </is>
      </c>
      <c r="L2868" s="1787" t="n">
        <v>20.4</v>
      </c>
      <c r="M2868" s="1787" t="n">
        <v>66.84999999999999</v>
      </c>
      <c r="N2868" s="1754" t="n">
        <v>1363.74</v>
      </c>
      <c r="O2868" s="1788" t="inlineStr">
        <is>
          <t>Tabela de esquadrias enviada pela Gessele</t>
        </is>
      </c>
      <c r="P2868" s="1721" t="inlineStr">
        <is>
          <t>Pendente</t>
        </is>
      </c>
    </row>
    <row r="2869" hidden="1" outlineLevel="3" ht="13.5" customHeight="1">
      <c r="A2869" s="2117" t="n">
        <v>0</v>
      </c>
      <c r="B2869" s="2117" t="n">
        <v>18</v>
      </c>
      <c r="C2869" s="2117" t="n">
        <v>28</v>
      </c>
      <c r="D2869" s="2118" t="n">
        <v>1</v>
      </c>
      <c r="E2869" s="2118" t="n">
        <v>2</v>
      </c>
      <c r="G2869" s="1798" t="inlineStr">
        <is>
          <t>ESQUADRIAS, VIDROS E FERRAGENS</t>
        </is>
      </c>
      <c r="H2869" s="1783" t="inlineStr">
        <is>
          <t>SERVIÇO</t>
        </is>
      </c>
      <c r="I2869" s="1750" t="inlineStr">
        <is>
          <t>18.028.001.002</t>
        </is>
      </c>
      <c r="J2869" s="1785" t="inlineStr">
        <is>
          <t>Porta corta-fogo, 1 folha, 90x210 cm</t>
        </is>
      </c>
      <c r="K2869" s="1786" t="inlineStr">
        <is>
          <t>un</t>
        </is>
      </c>
      <c r="L2869" s="1787" t="n">
        <v>4</v>
      </c>
      <c r="M2869" s="1787" t="n">
        <v>1237.5</v>
      </c>
      <c r="N2869" s="1754" t="n">
        <v>4950</v>
      </c>
      <c r="O2869" s="1788" t="inlineStr">
        <is>
          <t>Tabela de esquadrias enviada pela Gessele</t>
        </is>
      </c>
      <c r="P2869" s="1721" t="inlineStr">
        <is>
          <t>Pendente</t>
        </is>
      </c>
    </row>
    <row r="2870" hidden="1" outlineLevel="2" ht="13.5" customHeight="1">
      <c r="A2870" s="2117" t="n">
        <v>0</v>
      </c>
      <c r="B2870" s="2117" t="n">
        <v>18</v>
      </c>
      <c r="C2870" s="2117" t="n">
        <v>28</v>
      </c>
      <c r="D2870" s="2118" t="n">
        <v>2</v>
      </c>
      <c r="E2870" s="2118" t="n">
        <v>0</v>
      </c>
      <c r="G2870" s="1797" t="n"/>
      <c r="H2870" s="1777" t="inlineStr">
        <is>
          <t>SUBETAPA</t>
        </is>
      </c>
      <c r="I2870" s="1742" t="inlineStr">
        <is>
          <t>18.028.002</t>
        </is>
      </c>
      <c r="J2870" s="1779" t="inlineStr">
        <is>
          <t>Corrimão metálico</t>
        </is>
      </c>
      <c r="K2870" s="1780" t="n"/>
      <c r="L2870" s="1781" t="n"/>
      <c r="M2870" s="1781" t="n"/>
      <c r="N2870" s="1746" t="n"/>
      <c r="O2870" s="1782" t="n"/>
      <c r="P2870" s="1720" t="n"/>
    </row>
    <row r="2871" hidden="1" outlineLevel="3" ht="13.5" customHeight="1">
      <c r="A2871" s="2117" t="n">
        <v>0</v>
      </c>
      <c r="B2871" s="2117" t="n">
        <v>18</v>
      </c>
      <c r="C2871" s="2117" t="n">
        <v>28</v>
      </c>
      <c r="D2871" s="2118" t="n">
        <v>2</v>
      </c>
      <c r="E2871" s="2118" t="n">
        <v>1</v>
      </c>
      <c r="G2871" s="1798" t="inlineStr">
        <is>
          <t>ESQUADRIAS, VIDROS E FERRAGENS</t>
        </is>
      </c>
      <c r="H2871" s="1783" t="inlineStr">
        <is>
          <t>SERVIÇO</t>
        </is>
      </c>
      <c r="I2871" s="1750" t="inlineStr">
        <is>
          <t>18.028.002.001</t>
        </is>
      </c>
      <c r="J2871" s="1785" t="inlineStr">
        <is>
          <t>Corrimão Duplo Metálico - inox escovado 304 - fornecimento e instalação</t>
        </is>
      </c>
      <c r="K2871" s="1786" t="inlineStr">
        <is>
          <t>m</t>
        </is>
      </c>
      <c r="L2871" s="1787" t="e">
        <v>#REF!</v>
      </c>
      <c r="M2871" s="1787" t="n">
        <v>820</v>
      </c>
      <c r="N2871" s="1754" t="n"/>
      <c r="O2871" s="1788" t="inlineStr">
        <is>
          <t>Modelo do visus</t>
        </is>
      </c>
      <c r="P2871" s="1721" t="inlineStr">
        <is>
          <t>Pendente</t>
        </is>
      </c>
    </row>
    <row r="2872" hidden="1" outlineLevel="3" ht="13.5" customHeight="1">
      <c r="A2872" s="2117" t="n">
        <v>0</v>
      </c>
      <c r="B2872" s="2117" t="n">
        <v>18</v>
      </c>
      <c r="C2872" s="2117" t="n">
        <v>28</v>
      </c>
      <c r="D2872" s="2118" t="n">
        <v>2</v>
      </c>
      <c r="E2872" s="2118" t="n">
        <v>2</v>
      </c>
      <c r="G2872" s="1798" t="inlineStr">
        <is>
          <t>ESQUADRIAS, VIDROS E FERRAGENS</t>
        </is>
      </c>
      <c r="H2872" s="1783" t="inlineStr">
        <is>
          <t>SERVIÇO</t>
        </is>
      </c>
      <c r="I2872" s="1750" t="inlineStr">
        <is>
          <t>18.028.002.002</t>
        </is>
      </c>
      <c r="J2872" s="1785" t="inlineStr">
        <is>
          <t>Corrimão Parede Metálico - inox escovado 304 - fornecimento e instalação</t>
        </is>
      </c>
      <c r="K2872" s="1786" t="inlineStr">
        <is>
          <t>m</t>
        </is>
      </c>
      <c r="L2872" s="1787" t="e">
        <v>#REF!</v>
      </c>
      <c r="M2872" s="1787" t="n">
        <v>520</v>
      </c>
      <c r="N2872" s="1754" t="n"/>
      <c r="O2872" s="1788" t="inlineStr">
        <is>
          <t>Modelo do visus</t>
        </is>
      </c>
      <c r="P2872" s="1721" t="inlineStr">
        <is>
          <t>Pendente</t>
        </is>
      </c>
    </row>
    <row r="2873" hidden="1" outlineLevel="2" ht="13.5" customHeight="1">
      <c r="A2873" s="2117" t="n">
        <v>0</v>
      </c>
      <c r="B2873" s="2117" t="n">
        <v>18</v>
      </c>
      <c r="C2873" s="2117" t="n">
        <v>28</v>
      </c>
      <c r="D2873" s="2118" t="n">
        <v>3</v>
      </c>
      <c r="E2873" s="2118" t="n">
        <v>0</v>
      </c>
      <c r="G2873" s="1797" t="n"/>
      <c r="H2873" s="1777" t="inlineStr">
        <is>
          <t>SUBETAPA</t>
        </is>
      </c>
      <c r="I2873" s="1742" t="inlineStr">
        <is>
          <t>18.028.003</t>
        </is>
      </c>
      <c r="J2873" s="1779" t="inlineStr">
        <is>
          <t>Mão de obra</t>
        </is>
      </c>
      <c r="K2873" s="1780" t="n"/>
      <c r="L2873" s="1781" t="n"/>
      <c r="M2873" s="1781" t="n"/>
      <c r="N2873" s="1746" t="n">
        <v>1200</v>
      </c>
      <c r="O2873" s="1782" t="n">
        <v>0.071643202522796</v>
      </c>
      <c r="P2873" s="1720" t="n"/>
    </row>
    <row r="2874" hidden="1" outlineLevel="3" ht="13.5" customHeight="1">
      <c r="A2874" s="2117" t="n">
        <v>0</v>
      </c>
      <c r="B2874" s="2117" t="n">
        <v>18</v>
      </c>
      <c r="C2874" s="2117" t="n">
        <v>28</v>
      </c>
      <c r="D2874" s="2118" t="n">
        <v>3</v>
      </c>
      <c r="E2874" s="2118" t="n">
        <v>1</v>
      </c>
      <c r="G2874" s="1798" t="inlineStr">
        <is>
          <t>ESQUADRIAS, VIDROS E FERRAGENS</t>
        </is>
      </c>
      <c r="H2874" s="1783" t="inlineStr">
        <is>
          <t>SERVIÇO</t>
        </is>
      </c>
      <c r="I2874" s="1750" t="inlineStr">
        <is>
          <t>18.028.003.001</t>
        </is>
      </c>
      <c r="J2874" s="1785" t="inlineStr">
        <is>
          <t>Mão de obra para instalação de portas corta-fogo</t>
        </is>
      </c>
      <c r="K2874" s="1786" t="inlineStr">
        <is>
          <t>un</t>
        </is>
      </c>
      <c r="L2874" s="1787" t="n">
        <v>4</v>
      </c>
      <c r="M2874" s="1787" t="n">
        <v>300</v>
      </c>
      <c r="N2874" s="1754" t="n">
        <v>1200</v>
      </c>
      <c r="O2874" s="1788" t="inlineStr">
        <is>
          <t>Tabela de esquadrias enviada pela Gessele</t>
        </is>
      </c>
      <c r="P2874" s="1721" t="inlineStr">
        <is>
          <t>Pendente</t>
        </is>
      </c>
    </row>
    <row r="2875" hidden="1" outlineLevel="1" ht="13.5" customHeight="1">
      <c r="A2875" s="2117" t="n">
        <v>0</v>
      </c>
      <c r="B2875" s="2117" t="n">
        <v>18</v>
      </c>
      <c r="C2875" s="2117" t="n">
        <v>29</v>
      </c>
      <c r="D2875" s="2118" t="n">
        <v>0</v>
      </c>
      <c r="E2875" s="2118" t="n">
        <v>1</v>
      </c>
      <c r="G2875" s="1796" t="n"/>
      <c r="H2875" s="1771" t="inlineStr">
        <is>
          <t>ETAPA</t>
        </is>
      </c>
      <c r="I2875" s="1735" t="inlineStr">
        <is>
          <t>18.029</t>
        </is>
      </c>
      <c r="J2875" s="1773" t="inlineStr">
        <is>
          <t>PORTAS CORTA-FOGO - Lazer | Garagem</t>
        </is>
      </c>
      <c r="K2875" s="1774" t="n"/>
      <c r="L2875" s="1775" t="n"/>
      <c r="M2875" s="1775" t="n"/>
      <c r="N2875" s="1739" t="n"/>
      <c r="O2875" s="1776" t="n"/>
      <c r="P2875" s="1719" t="n"/>
    </row>
    <row r="2876" hidden="1" outlineLevel="2" ht="13.5" customHeight="1">
      <c r="A2876" s="2117" t="n">
        <v>0</v>
      </c>
      <c r="B2876" s="2117" t="n">
        <v>18</v>
      </c>
      <c r="C2876" s="2117" t="n">
        <v>29</v>
      </c>
      <c r="D2876" s="2118" t="n">
        <v>1</v>
      </c>
      <c r="E2876" s="2118" t="n">
        <v>0</v>
      </c>
      <c r="G2876" s="1797" t="n"/>
      <c r="H2876" s="1777" t="inlineStr">
        <is>
          <t>SUBETAPA</t>
        </is>
      </c>
      <c r="I2876" s="1742" t="inlineStr">
        <is>
          <t>18.029.001</t>
        </is>
      </c>
      <c r="J2876" s="1779" t="inlineStr">
        <is>
          <t>Esquadrias metálicas</t>
        </is>
      </c>
      <c r="K2876" s="1780" t="n"/>
      <c r="L2876" s="1781" t="n"/>
      <c r="M2876" s="1781" t="n"/>
      <c r="N2876" s="1746" t="n">
        <v>4735.305</v>
      </c>
      <c r="O2876" s="1782" t="n"/>
      <c r="P2876" s="1720" t="n"/>
    </row>
    <row r="2877" hidden="1" outlineLevel="3" ht="13.5" customHeight="1">
      <c r="A2877" s="2117" t="n">
        <v>0</v>
      </c>
      <c r="B2877" s="2117" t="n">
        <v>18</v>
      </c>
      <c r="C2877" s="2117" t="n">
        <v>29</v>
      </c>
      <c r="D2877" s="2118" t="n">
        <v>1</v>
      </c>
      <c r="E2877" s="2118" t="n">
        <v>1</v>
      </c>
      <c r="G2877" s="1798" t="inlineStr">
        <is>
          <t>ESQUADRIAS, VIDROS E FERRAGENS</t>
        </is>
      </c>
      <c r="H2877" s="1783" t="inlineStr">
        <is>
          <t>SERVIÇO</t>
        </is>
      </c>
      <c r="I2877" s="1750" t="inlineStr">
        <is>
          <t>18.029.001.001</t>
        </is>
      </c>
      <c r="J2877" s="1785" t="inlineStr">
        <is>
          <t>Contramarco de aço galvanizado - Fixado com Argamassa</t>
        </is>
      </c>
      <c r="K2877" s="1786" t="inlineStr">
        <is>
          <t>m</t>
        </is>
      </c>
      <c r="L2877" s="1787" t="n">
        <v>15.3</v>
      </c>
      <c r="M2877" s="1787" t="n">
        <v>66.84999999999999</v>
      </c>
      <c r="N2877" s="1754" t="n">
        <v>1022.805</v>
      </c>
      <c r="O2877" s="1788" t="inlineStr">
        <is>
          <t>Tabela de esquadrias enviada pela Gessele</t>
        </is>
      </c>
      <c r="P2877" s="1721" t="inlineStr">
        <is>
          <t>Pendente</t>
        </is>
      </c>
    </row>
    <row r="2878" hidden="1" outlineLevel="3" ht="13.5" customHeight="1">
      <c r="A2878" s="2117" t="n">
        <v>0</v>
      </c>
      <c r="B2878" s="2117" t="n">
        <v>18</v>
      </c>
      <c r="C2878" s="2117" t="n">
        <v>29</v>
      </c>
      <c r="D2878" s="2118" t="n">
        <v>1</v>
      </c>
      <c r="E2878" s="2118" t="n">
        <v>2</v>
      </c>
      <c r="G2878" s="1798" t="inlineStr">
        <is>
          <t>ESQUADRIAS, VIDROS E FERRAGENS</t>
        </is>
      </c>
      <c r="H2878" s="1783" t="inlineStr">
        <is>
          <t>SERVIÇO</t>
        </is>
      </c>
      <c r="I2878" s="1750" t="inlineStr">
        <is>
          <t>18.029.001.002</t>
        </is>
      </c>
      <c r="J2878" s="1785" t="inlineStr">
        <is>
          <t>Porta corta-fogo, 1 folha, 90x210 cm</t>
        </is>
      </c>
      <c r="K2878" s="1786" t="inlineStr">
        <is>
          <t>un</t>
        </is>
      </c>
      <c r="L2878" s="1787" t="n">
        <v>3</v>
      </c>
      <c r="M2878" s="1787" t="n">
        <v>1237.5</v>
      </c>
      <c r="N2878" s="1754" t="n">
        <v>3712.5</v>
      </c>
      <c r="O2878" s="1788" t="inlineStr">
        <is>
          <t>Tabela de esquadrias enviada pela Gessele</t>
        </is>
      </c>
      <c r="P2878" s="1721" t="inlineStr">
        <is>
          <t>Pendente</t>
        </is>
      </c>
    </row>
    <row r="2879" hidden="1" outlineLevel="2" ht="13.5" customHeight="1">
      <c r="A2879" s="2117" t="n">
        <v>0</v>
      </c>
      <c r="B2879" s="2117" t="n">
        <v>18</v>
      </c>
      <c r="C2879" s="2117" t="n">
        <v>29</v>
      </c>
      <c r="D2879" s="2118" t="n">
        <v>2</v>
      </c>
      <c r="E2879" s="2118" t="n">
        <v>0</v>
      </c>
      <c r="G2879" s="1797" t="n"/>
      <c r="H2879" s="1777" t="inlineStr">
        <is>
          <t>SUBETAPA</t>
        </is>
      </c>
      <c r="I2879" s="1742" t="inlineStr">
        <is>
          <t>18.029.002</t>
        </is>
      </c>
      <c r="J2879" s="1779" t="inlineStr">
        <is>
          <t>Corrimão metálico</t>
        </is>
      </c>
      <c r="K2879" s="1780" t="n"/>
      <c r="L2879" s="1781" t="n"/>
      <c r="M2879" s="1781" t="n"/>
      <c r="N2879" s="1746" t="n"/>
      <c r="O2879" s="1782" t="n"/>
      <c r="P2879" s="1720" t="n"/>
    </row>
    <row r="2880" hidden="1" outlineLevel="3" ht="13.5" customHeight="1">
      <c r="A2880" s="2117" t="n">
        <v>0</v>
      </c>
      <c r="B2880" s="2117" t="n">
        <v>18</v>
      </c>
      <c r="C2880" s="2117" t="n">
        <v>29</v>
      </c>
      <c r="D2880" s="2118" t="n">
        <v>2</v>
      </c>
      <c r="E2880" s="2118" t="n">
        <v>1</v>
      </c>
      <c r="G2880" s="1798" t="inlineStr">
        <is>
          <t>ESQUADRIAS, VIDROS E FERRAGENS</t>
        </is>
      </c>
      <c r="H2880" s="1783" t="inlineStr">
        <is>
          <t>SERVIÇO</t>
        </is>
      </c>
      <c r="I2880" s="1750" t="inlineStr">
        <is>
          <t>18.029.002.001</t>
        </is>
      </c>
      <c r="J2880" s="1785" t="inlineStr">
        <is>
          <t>Corrimão Duplo Metálico - inox escovado 304 - fornecimento e instalação</t>
        </is>
      </c>
      <c r="K2880" s="1786" t="inlineStr">
        <is>
          <t>m</t>
        </is>
      </c>
      <c r="L2880" s="1787" t="e">
        <v>#REF!</v>
      </c>
      <c r="M2880" s="1787" t="n">
        <v>820</v>
      </c>
      <c r="N2880" s="1754" t="n"/>
      <c r="O2880" s="1788" t="inlineStr">
        <is>
          <t>Modelo do visus</t>
        </is>
      </c>
      <c r="P2880" s="1721" t="inlineStr">
        <is>
          <t>Pendente</t>
        </is>
      </c>
    </row>
    <row r="2881" hidden="1" outlineLevel="3" ht="13.5" customHeight="1">
      <c r="A2881" s="2117" t="n">
        <v>0</v>
      </c>
      <c r="B2881" s="2117" t="n">
        <v>18</v>
      </c>
      <c r="C2881" s="2117" t="n">
        <v>29</v>
      </c>
      <c r="D2881" s="2118" t="n">
        <v>2</v>
      </c>
      <c r="E2881" s="2118" t="n">
        <v>2</v>
      </c>
      <c r="G2881" s="1798" t="inlineStr">
        <is>
          <t>ESQUADRIAS, VIDROS E FERRAGENS</t>
        </is>
      </c>
      <c r="H2881" s="1783" t="inlineStr">
        <is>
          <t>SERVIÇO</t>
        </is>
      </c>
      <c r="I2881" s="1750" t="inlineStr">
        <is>
          <t>18.029.002.002</t>
        </is>
      </c>
      <c r="J2881" s="1785" t="inlineStr">
        <is>
          <t>Corrimão Parede Metálico - inox escovado 304 - fornecimento e instalação</t>
        </is>
      </c>
      <c r="K2881" s="1786" t="inlineStr">
        <is>
          <t>m</t>
        </is>
      </c>
      <c r="L2881" s="1787" t="e">
        <v>#REF!</v>
      </c>
      <c r="M2881" s="1787" t="n">
        <v>520</v>
      </c>
      <c r="N2881" s="1754" t="n"/>
      <c r="O2881" s="1788" t="inlineStr">
        <is>
          <t>Modelo do visus</t>
        </is>
      </c>
      <c r="P2881" s="1721" t="inlineStr">
        <is>
          <t>Pendente</t>
        </is>
      </c>
    </row>
    <row r="2882" hidden="1" outlineLevel="2" ht="12.75" customHeight="1">
      <c r="A2882" s="2117" t="n">
        <v>0</v>
      </c>
      <c r="B2882" s="2117" t="n">
        <v>18</v>
      </c>
      <c r="C2882" s="2117" t="n">
        <v>29</v>
      </c>
      <c r="D2882" s="2118" t="n">
        <v>3</v>
      </c>
      <c r="E2882" s="2118" t="n">
        <v>0</v>
      </c>
      <c r="G2882" s="1797" t="n"/>
      <c r="H2882" s="1777" t="inlineStr">
        <is>
          <t>SUBETAPA</t>
        </is>
      </c>
      <c r="I2882" s="1742" t="inlineStr">
        <is>
          <t>18.029.003</t>
        </is>
      </c>
      <c r="J2882" s="1779" t="inlineStr">
        <is>
          <t>Guarda Corpo metálico</t>
        </is>
      </c>
      <c r="K2882" s="1780" t="n"/>
      <c r="L2882" s="1781" t="n"/>
      <c r="M2882" s="1781" t="n"/>
      <c r="N2882" s="1746" t="n"/>
      <c r="O2882" s="1782" t="n"/>
      <c r="P2882" s="1720" t="n"/>
    </row>
    <row r="2883" hidden="1" outlineLevel="3" ht="12.75" customHeight="1">
      <c r="A2883" s="2117" t="n">
        <v>0</v>
      </c>
      <c r="B2883" s="2117" t="n">
        <v>18</v>
      </c>
      <c r="C2883" s="2117" t="n">
        <v>29</v>
      </c>
      <c r="D2883" s="2118" t="n">
        <v>3</v>
      </c>
      <c r="E2883" s="2118" t="n">
        <v>1</v>
      </c>
      <c r="G2883" s="1798" t="inlineStr">
        <is>
          <t>ESQUADRIAS, VIDROS E FERRAGENS</t>
        </is>
      </c>
      <c r="H2883" s="1783" t="inlineStr">
        <is>
          <t>SERVIÇO</t>
        </is>
      </c>
      <c r="I2883" s="1750" t="inlineStr">
        <is>
          <t>18.029.003.001</t>
        </is>
      </c>
      <c r="J2883" s="1785" t="inlineStr">
        <is>
          <t>Guarda Corpo metálico - inox 304 escovado - fornecimento e instalação</t>
        </is>
      </c>
      <c r="K2883" s="1786" t="inlineStr">
        <is>
          <t>m2</t>
        </is>
      </c>
      <c r="L2883" s="1787" t="e">
        <v>#REF!</v>
      </c>
      <c r="M2883" s="1787" t="n">
        <v>1240</v>
      </c>
      <c r="N2883" s="1754" t="n"/>
      <c r="O2883" s="1788" t="inlineStr">
        <is>
          <t>Modelo do visus</t>
        </is>
      </c>
      <c r="P2883" s="1721" t="inlineStr">
        <is>
          <t>Pendente</t>
        </is>
      </c>
    </row>
    <row r="2884" hidden="1" outlineLevel="2" ht="13.5" customHeight="1">
      <c r="A2884" s="2117" t="n">
        <v>0</v>
      </c>
      <c r="B2884" s="2117" t="n">
        <v>18</v>
      </c>
      <c r="C2884" s="2117" t="n">
        <v>29</v>
      </c>
      <c r="D2884" s="2118" t="n">
        <v>4</v>
      </c>
      <c r="E2884" s="2118" t="n">
        <v>0</v>
      </c>
      <c r="G2884" s="1797" t="n"/>
      <c r="H2884" s="1777" t="inlineStr">
        <is>
          <t>SUBETAPA</t>
        </is>
      </c>
      <c r="I2884" s="1742" t="inlineStr">
        <is>
          <t>18.029.004</t>
        </is>
      </c>
      <c r="J2884" s="1779" t="inlineStr">
        <is>
          <t>Mão de obra</t>
        </is>
      </c>
      <c r="K2884" s="1780" t="n"/>
      <c r="L2884" s="1781" t="n"/>
      <c r="M2884" s="1781" t="n"/>
      <c r="N2884" s="1746" t="n">
        <v>900</v>
      </c>
      <c r="O2884" s="1782" t="n">
        <v>0.053732401892097</v>
      </c>
      <c r="P2884" s="1720" t="n"/>
    </row>
    <row r="2885" hidden="1" outlineLevel="3" ht="13.5" customHeight="1">
      <c r="A2885" s="2117" t="n">
        <v>0</v>
      </c>
      <c r="B2885" s="2117" t="n">
        <v>18</v>
      </c>
      <c r="C2885" s="2117" t="n">
        <v>29</v>
      </c>
      <c r="D2885" s="2118" t="n">
        <v>4</v>
      </c>
      <c r="E2885" s="2118" t="n">
        <v>1</v>
      </c>
      <c r="G2885" s="1798" t="inlineStr">
        <is>
          <t>ESQUADRIAS, VIDROS E FERRAGENS</t>
        </is>
      </c>
      <c r="H2885" s="1783" t="inlineStr">
        <is>
          <t>SERVIÇO</t>
        </is>
      </c>
      <c r="I2885" s="1750" t="inlineStr">
        <is>
          <t>18.029.004.001</t>
        </is>
      </c>
      <c r="J2885" s="1785" t="inlineStr">
        <is>
          <t>Mão de obra para instalação de portas corta-fogo</t>
        </is>
      </c>
      <c r="K2885" s="1786" t="inlineStr">
        <is>
          <t>un</t>
        </is>
      </c>
      <c r="L2885" s="1787" t="n">
        <v>3</v>
      </c>
      <c r="M2885" s="1787" t="n">
        <v>300</v>
      </c>
      <c r="N2885" s="1754" t="n">
        <v>900</v>
      </c>
      <c r="O2885" s="1788" t="inlineStr">
        <is>
          <t>Tabela de esquadrias enviada pela Gessele</t>
        </is>
      </c>
      <c r="P2885" s="1721" t="inlineStr">
        <is>
          <t>Pendente</t>
        </is>
      </c>
    </row>
    <row r="2886" hidden="1" outlineLevel="1" ht="13.5" customHeight="1">
      <c r="A2886" s="2117" t="n">
        <v>0</v>
      </c>
      <c r="B2886" s="2117" t="n">
        <v>18</v>
      </c>
      <c r="C2886" s="2117" t="n">
        <v>30</v>
      </c>
      <c r="D2886" s="2118" t="n">
        <v>0</v>
      </c>
      <c r="E2886" s="2118" t="n">
        <v>1</v>
      </c>
      <c r="G2886" s="1796" t="n"/>
      <c r="H2886" s="1771" t="inlineStr">
        <is>
          <t>ETAPA</t>
        </is>
      </c>
      <c r="I2886" s="1735" t="inlineStr">
        <is>
          <t>18.030</t>
        </is>
      </c>
      <c r="J2886" s="1773" t="inlineStr">
        <is>
          <t>PORTAS CORTA-FOGO - Lazer</t>
        </is>
      </c>
      <c r="K2886" s="1774" t="n"/>
      <c r="L2886" s="1775" t="n"/>
      <c r="M2886" s="1775" t="n"/>
      <c r="N2886" s="1739" t="n"/>
      <c r="O2886" s="1776" t="n"/>
      <c r="P2886" s="1719" t="n"/>
    </row>
    <row r="2887" hidden="1" outlineLevel="2" ht="13.5" customHeight="1">
      <c r="A2887" s="2117" t="n">
        <v>0</v>
      </c>
      <c r="B2887" s="2117" t="n">
        <v>18</v>
      </c>
      <c r="C2887" s="2117" t="n">
        <v>30</v>
      </c>
      <c r="D2887" s="2118" t="n">
        <v>1</v>
      </c>
      <c r="E2887" s="2118" t="n">
        <v>0</v>
      </c>
      <c r="G2887" s="1797" t="n"/>
      <c r="H2887" s="1777" t="inlineStr">
        <is>
          <t>SUBETAPA</t>
        </is>
      </c>
      <c r="I2887" s="1742" t="inlineStr">
        <is>
          <t>18.030.001</t>
        </is>
      </c>
      <c r="J2887" s="1779" t="inlineStr">
        <is>
          <t>Esquadrias metálicas</t>
        </is>
      </c>
      <c r="K2887" s="1780" t="n"/>
      <c r="L2887" s="1781" t="n"/>
      <c r="M2887" s="1781" t="n"/>
      <c r="N2887" s="1746" t="n">
        <v>3156.87</v>
      </c>
      <c r="O2887" s="1782" t="n"/>
      <c r="P2887" s="1720" t="n"/>
    </row>
    <row r="2888" hidden="1" outlineLevel="3" ht="13.5" customHeight="1">
      <c r="A2888" s="2117" t="n">
        <v>0</v>
      </c>
      <c r="B2888" s="2117" t="n">
        <v>18</v>
      </c>
      <c r="C2888" s="2117" t="n">
        <v>30</v>
      </c>
      <c r="D2888" s="2118" t="n">
        <v>1</v>
      </c>
      <c r="E2888" s="2118" t="n">
        <v>1</v>
      </c>
      <c r="G2888" s="1798" t="inlineStr">
        <is>
          <t>ESQUADRIAS, VIDROS E FERRAGENS</t>
        </is>
      </c>
      <c r="H2888" s="1783" t="inlineStr">
        <is>
          <t>SERVIÇO</t>
        </is>
      </c>
      <c r="I2888" s="1750" t="inlineStr">
        <is>
          <t>18.030.001.001</t>
        </is>
      </c>
      <c r="J2888" s="1785" t="inlineStr">
        <is>
          <t>Contramarco de aço galvanizado - Fixado com Argamassa</t>
        </is>
      </c>
      <c r="K2888" s="1786" t="inlineStr">
        <is>
          <t>m</t>
        </is>
      </c>
      <c r="L2888" s="1787" t="n">
        <v>10.2</v>
      </c>
      <c r="M2888" s="1787" t="n">
        <v>66.84999999999999</v>
      </c>
      <c r="N2888" s="1754" t="n">
        <v>681.87</v>
      </c>
      <c r="O2888" s="1788" t="inlineStr">
        <is>
          <t>Tabela de esquadrias enviada pela Gessele</t>
        </is>
      </c>
      <c r="P2888" s="1721" t="inlineStr">
        <is>
          <t>Pendente</t>
        </is>
      </c>
    </row>
    <row r="2889" hidden="1" outlineLevel="3" ht="13.5" customHeight="1">
      <c r="A2889" s="2117" t="n">
        <v>0</v>
      </c>
      <c r="B2889" s="2117" t="n">
        <v>18</v>
      </c>
      <c r="C2889" s="2117" t="n">
        <v>30</v>
      </c>
      <c r="D2889" s="2118" t="n">
        <v>1</v>
      </c>
      <c r="E2889" s="2118" t="n">
        <v>2</v>
      </c>
      <c r="G2889" s="1798" t="inlineStr">
        <is>
          <t>ESQUADRIAS, VIDROS E FERRAGENS</t>
        </is>
      </c>
      <c r="H2889" s="1783" t="inlineStr">
        <is>
          <t>SERVIÇO</t>
        </is>
      </c>
      <c r="I2889" s="1750" t="inlineStr">
        <is>
          <t>18.030.001.002</t>
        </is>
      </c>
      <c r="J2889" s="1785" t="inlineStr">
        <is>
          <t>Porta corta-fogo, 1 folha, 90x210 cm</t>
        </is>
      </c>
      <c r="K2889" s="1786" t="inlineStr">
        <is>
          <t>un</t>
        </is>
      </c>
      <c r="L2889" s="1787" t="n">
        <v>2</v>
      </c>
      <c r="M2889" s="1787" t="n">
        <v>1237.5</v>
      </c>
      <c r="N2889" s="1754" t="n">
        <v>2475</v>
      </c>
      <c r="O2889" s="1788" t="inlineStr">
        <is>
          <t>Tabela de esquadrias enviada pela Gessele</t>
        </is>
      </c>
      <c r="P2889" s="1721" t="inlineStr">
        <is>
          <t>Pendente</t>
        </is>
      </c>
    </row>
    <row r="2890" hidden="1" outlineLevel="2" ht="13.5" customHeight="1">
      <c r="A2890" s="2117" t="n">
        <v>0</v>
      </c>
      <c r="B2890" s="2117" t="n">
        <v>18</v>
      </c>
      <c r="C2890" s="2117" t="n">
        <v>30</v>
      </c>
      <c r="D2890" s="2118" t="n">
        <v>2</v>
      </c>
      <c r="E2890" s="2118" t="n">
        <v>0</v>
      </c>
      <c r="G2890" s="1797" t="n"/>
      <c r="H2890" s="1777" t="inlineStr">
        <is>
          <t>SUBETAPA</t>
        </is>
      </c>
      <c r="I2890" s="1742" t="inlineStr">
        <is>
          <t>18.030.002</t>
        </is>
      </c>
      <c r="J2890" s="1779" t="inlineStr">
        <is>
          <t>Corrimão metálico</t>
        </is>
      </c>
      <c r="K2890" s="1780" t="n"/>
      <c r="L2890" s="1781" t="n"/>
      <c r="M2890" s="1781" t="n"/>
      <c r="N2890" s="1746" t="n"/>
      <c r="O2890" s="1782" t="n"/>
      <c r="P2890" s="1720" t="n"/>
    </row>
    <row r="2891" hidden="1" outlineLevel="3" ht="13.5" customHeight="1">
      <c r="A2891" s="2117" t="n">
        <v>0</v>
      </c>
      <c r="B2891" s="2117" t="n">
        <v>18</v>
      </c>
      <c r="C2891" s="2117" t="n">
        <v>30</v>
      </c>
      <c r="D2891" s="2118" t="n">
        <v>2</v>
      </c>
      <c r="E2891" s="2118" t="n">
        <v>1</v>
      </c>
      <c r="G2891" s="1798" t="inlineStr">
        <is>
          <t>ESQUADRIAS, VIDROS E FERRAGENS</t>
        </is>
      </c>
      <c r="H2891" s="1783" t="inlineStr">
        <is>
          <t>SERVIÇO</t>
        </is>
      </c>
      <c r="I2891" s="1750" t="inlineStr">
        <is>
          <t>18.030.002.001</t>
        </is>
      </c>
      <c r="J2891" s="1785" t="inlineStr">
        <is>
          <t>Corrimão Duplo Metálico - inox escovado 304 - fornecimento e instalação</t>
        </is>
      </c>
      <c r="K2891" s="1786" t="inlineStr">
        <is>
          <t>m</t>
        </is>
      </c>
      <c r="L2891" s="1787" t="e">
        <v>#REF!</v>
      </c>
      <c r="M2891" s="1787" t="n">
        <v>820</v>
      </c>
      <c r="N2891" s="1754" t="n"/>
      <c r="O2891" s="1788" t="inlineStr">
        <is>
          <t>Modelo do visus</t>
        </is>
      </c>
      <c r="P2891" s="1721" t="inlineStr">
        <is>
          <t>Pendente</t>
        </is>
      </c>
    </row>
    <row r="2892" hidden="1" outlineLevel="3" ht="13.5" customHeight="1">
      <c r="A2892" s="2117" t="n">
        <v>0</v>
      </c>
      <c r="B2892" s="2117" t="n">
        <v>18</v>
      </c>
      <c r="C2892" s="2117" t="n">
        <v>30</v>
      </c>
      <c r="D2892" s="2118" t="n">
        <v>2</v>
      </c>
      <c r="E2892" s="2118" t="n">
        <v>2</v>
      </c>
      <c r="G2892" s="1798" t="inlineStr">
        <is>
          <t>ESQUADRIAS, VIDROS E FERRAGENS</t>
        </is>
      </c>
      <c r="H2892" s="1783" t="inlineStr">
        <is>
          <t>SERVIÇO</t>
        </is>
      </c>
      <c r="I2892" s="1750" t="inlineStr">
        <is>
          <t>18.030.002.002</t>
        </is>
      </c>
      <c r="J2892" s="1785" t="inlineStr">
        <is>
          <t>Corrimão Parede Metálico - inox escovado 304 - fornecimento e instalação</t>
        </is>
      </c>
      <c r="K2892" s="1786" t="inlineStr">
        <is>
          <t>m</t>
        </is>
      </c>
      <c r="L2892" s="1787" t="e">
        <v>#REF!</v>
      </c>
      <c r="M2892" s="1787" t="n">
        <v>520</v>
      </c>
      <c r="N2892" s="1754" t="n"/>
      <c r="O2892" s="1788" t="inlineStr">
        <is>
          <t>Modelo do visus</t>
        </is>
      </c>
      <c r="P2892" s="1721" t="inlineStr">
        <is>
          <t>Pendente</t>
        </is>
      </c>
    </row>
    <row r="2893" hidden="1" outlineLevel="2" ht="12.75" customHeight="1">
      <c r="A2893" s="2117" t="n">
        <v>0</v>
      </c>
      <c r="B2893" s="2117" t="n">
        <v>18</v>
      </c>
      <c r="C2893" s="2117" t="n">
        <v>30</v>
      </c>
      <c r="D2893" s="2118" t="n">
        <v>3</v>
      </c>
      <c r="E2893" s="2118" t="n">
        <v>0</v>
      </c>
      <c r="G2893" s="1797" t="n"/>
      <c r="H2893" s="1777" t="inlineStr">
        <is>
          <t>SUBETAPA</t>
        </is>
      </c>
      <c r="I2893" s="1742" t="inlineStr">
        <is>
          <t>18.030.003</t>
        </is>
      </c>
      <c r="J2893" s="1779" t="inlineStr">
        <is>
          <t>Guarda Corpo metálico</t>
        </is>
      </c>
      <c r="K2893" s="1780" t="n"/>
      <c r="L2893" s="1781" t="n"/>
      <c r="M2893" s="1781" t="n"/>
      <c r="N2893" s="1746" t="n"/>
      <c r="O2893" s="1782" t="n"/>
      <c r="P2893" s="1720" t="n"/>
    </row>
    <row r="2894" hidden="1" outlineLevel="3" ht="12.75" customHeight="1">
      <c r="A2894" s="2117" t="n">
        <v>0</v>
      </c>
      <c r="B2894" s="2117" t="n">
        <v>18</v>
      </c>
      <c r="C2894" s="2117" t="n">
        <v>30</v>
      </c>
      <c r="D2894" s="2118" t="n">
        <v>3</v>
      </c>
      <c r="E2894" s="2118" t="n">
        <v>1</v>
      </c>
      <c r="G2894" s="1798" t="inlineStr">
        <is>
          <t>ESQUADRIAS, VIDROS E FERRAGENS</t>
        </is>
      </c>
      <c r="H2894" s="1783" t="inlineStr">
        <is>
          <t>SERVIÇO</t>
        </is>
      </c>
      <c r="I2894" s="1750" t="inlineStr">
        <is>
          <t>18.030.003.001</t>
        </is>
      </c>
      <c r="J2894" s="1785" t="inlineStr">
        <is>
          <t>Guarda Corpo metálico - inox 304 escovado - fornecimento e instalação</t>
        </is>
      </c>
      <c r="K2894" s="1786" t="inlineStr">
        <is>
          <t>m2</t>
        </is>
      </c>
      <c r="L2894" s="1787" t="e">
        <v>#REF!</v>
      </c>
      <c r="M2894" s="1787" t="n">
        <v>1240</v>
      </c>
      <c r="N2894" s="1754" t="n"/>
      <c r="O2894" s="1788" t="inlineStr">
        <is>
          <t>Modelo do visus</t>
        </is>
      </c>
      <c r="P2894" s="1721" t="inlineStr">
        <is>
          <t>Pendente</t>
        </is>
      </c>
    </row>
    <row r="2895" hidden="1" outlineLevel="2" ht="13.5" customHeight="1">
      <c r="A2895" s="2117" t="n">
        <v>0</v>
      </c>
      <c r="B2895" s="2117" t="n">
        <v>18</v>
      </c>
      <c r="C2895" s="2117" t="n">
        <v>30</v>
      </c>
      <c r="D2895" s="2118" t="n">
        <v>4</v>
      </c>
      <c r="E2895" s="2118" t="n">
        <v>0</v>
      </c>
      <c r="G2895" s="1797" t="n"/>
      <c r="H2895" s="1777" t="inlineStr">
        <is>
          <t>SUBETAPA</t>
        </is>
      </c>
      <c r="I2895" s="1742" t="inlineStr">
        <is>
          <t>18.030.004</t>
        </is>
      </c>
      <c r="J2895" s="1779" t="inlineStr">
        <is>
          <t>Mão de obra</t>
        </is>
      </c>
      <c r="K2895" s="1780" t="n"/>
      <c r="L2895" s="1781" t="n"/>
      <c r="M2895" s="1781" t="n"/>
      <c r="N2895" s="1746" t="n">
        <v>600</v>
      </c>
      <c r="O2895" s="1782" t="n">
        <v>0.035821601261398</v>
      </c>
      <c r="P2895" s="1720" t="n"/>
    </row>
    <row r="2896" hidden="1" outlineLevel="3" ht="13.5" customHeight="1">
      <c r="A2896" s="2117" t="n">
        <v>0</v>
      </c>
      <c r="B2896" s="2117" t="n">
        <v>18</v>
      </c>
      <c r="C2896" s="2117" t="n">
        <v>30</v>
      </c>
      <c r="D2896" s="2118" t="n">
        <v>4</v>
      </c>
      <c r="E2896" s="2118" t="n">
        <v>1</v>
      </c>
      <c r="G2896" s="1798" t="inlineStr">
        <is>
          <t>ESQUADRIAS, VIDROS E FERRAGENS</t>
        </is>
      </c>
      <c r="H2896" s="1783" t="inlineStr">
        <is>
          <t>SERVIÇO</t>
        </is>
      </c>
      <c r="I2896" s="1750" t="inlineStr">
        <is>
          <t>18.030.004.001</t>
        </is>
      </c>
      <c r="J2896" s="1785" t="inlineStr">
        <is>
          <t>Mão de obra para instalação de portas corta-fogo</t>
        </is>
      </c>
      <c r="K2896" s="1786" t="inlineStr">
        <is>
          <t>un</t>
        </is>
      </c>
      <c r="L2896" s="1787" t="n">
        <v>2</v>
      </c>
      <c r="M2896" s="1787" t="n">
        <v>300</v>
      </c>
      <c r="N2896" s="1754" t="n">
        <v>600</v>
      </c>
      <c r="O2896" s="1788" t="inlineStr">
        <is>
          <t>Tabela de esquadrias enviada pela Gessele</t>
        </is>
      </c>
      <c r="P2896" s="1721" t="inlineStr">
        <is>
          <t>Pendente</t>
        </is>
      </c>
    </row>
    <row r="2897" hidden="1" outlineLevel="1" ht="13.5" customHeight="1">
      <c r="A2897" s="2117" t="n">
        <v>0</v>
      </c>
      <c r="B2897" s="2117" t="n">
        <v>18</v>
      </c>
      <c r="C2897" s="2117" t="n">
        <v>31</v>
      </c>
      <c r="D2897" s="2118" t="n">
        <v>0</v>
      </c>
      <c r="E2897" s="2118" t="n">
        <v>1</v>
      </c>
      <c r="G2897" s="1796" t="n"/>
      <c r="H2897" s="1771" t="inlineStr">
        <is>
          <t>ETAPA</t>
        </is>
      </c>
      <c r="I2897" s="1735" t="inlineStr">
        <is>
          <t>18.031</t>
        </is>
      </c>
      <c r="J2897" s="1773" t="inlineStr">
        <is>
          <t>PORTAS CORTA-FOGO - Tipo diferenciado</t>
        </is>
      </c>
      <c r="K2897" s="1774" t="n"/>
      <c r="L2897" s="1775" t="n"/>
      <c r="M2897" s="1775" t="n"/>
      <c r="N2897" s="1739" t="n"/>
      <c r="O2897" s="1776" t="n"/>
      <c r="P2897" s="1719" t="n"/>
    </row>
    <row r="2898" hidden="1" outlineLevel="2" ht="13.5" customHeight="1">
      <c r="A2898" s="2117" t="n">
        <v>0</v>
      </c>
      <c r="B2898" s="2117" t="n">
        <v>18</v>
      </c>
      <c r="C2898" s="2117" t="n">
        <v>31</v>
      </c>
      <c r="D2898" s="2118" t="n">
        <v>1</v>
      </c>
      <c r="E2898" s="2118" t="n">
        <v>0</v>
      </c>
      <c r="G2898" s="1797" t="n"/>
      <c r="H2898" s="1777" t="inlineStr">
        <is>
          <t>SUBETAPA</t>
        </is>
      </c>
      <c r="I2898" s="1742" t="inlineStr">
        <is>
          <t>18.031.001</t>
        </is>
      </c>
      <c r="J2898" s="1779" t="inlineStr">
        <is>
          <t>Esquadrias metálicas</t>
        </is>
      </c>
      <c r="K2898" s="1780" t="n"/>
      <c r="L2898" s="1781" t="n"/>
      <c r="M2898" s="1781" t="n"/>
      <c r="N2898" s="1746" t="n">
        <v>2868.5</v>
      </c>
      <c r="O2898" s="1782" t="n"/>
      <c r="P2898" s="1720" t="n"/>
    </row>
    <row r="2899" hidden="1" outlineLevel="3" ht="13.5" customHeight="1">
      <c r="A2899" s="2117" t="n">
        <v>0</v>
      </c>
      <c r="B2899" s="2117" t="n">
        <v>18</v>
      </c>
      <c r="C2899" s="2117" t="n">
        <v>31</v>
      </c>
      <c r="D2899" s="2118" t="n">
        <v>1</v>
      </c>
      <c r="E2899" s="2118" t="n">
        <v>1</v>
      </c>
      <c r="G2899" s="1798" t="inlineStr">
        <is>
          <t>ESQUADRIAS, VIDROS E FERRAGENS</t>
        </is>
      </c>
      <c r="H2899" s="1783" t="inlineStr">
        <is>
          <t>SERVIÇO</t>
        </is>
      </c>
      <c r="I2899" s="1750" t="inlineStr">
        <is>
          <t>18.031.001.001</t>
        </is>
      </c>
      <c r="J2899" s="1785" t="inlineStr">
        <is>
          <t>Contramarco de aço galvanizado - Fixado com Argamassa</t>
        </is>
      </c>
      <c r="K2899" s="1786" t="inlineStr">
        <is>
          <t>m</t>
        </is>
      </c>
      <c r="L2899" s="1787" t="n">
        <v>10</v>
      </c>
      <c r="M2899" s="1787" t="n">
        <v>66.84999999999999</v>
      </c>
      <c r="N2899" s="1754" t="n">
        <v>668.5</v>
      </c>
      <c r="O2899" s="1788" t="inlineStr">
        <is>
          <t>Tabela de esquadrias enviada pela Gessele</t>
        </is>
      </c>
      <c r="P2899" s="1721" t="inlineStr">
        <is>
          <t>Pendente</t>
        </is>
      </c>
    </row>
    <row r="2900" hidden="1" outlineLevel="3" ht="13.5" customHeight="1">
      <c r="A2900" s="2117" t="n">
        <v>0</v>
      </c>
      <c r="B2900" s="2117" t="n">
        <v>18</v>
      </c>
      <c r="C2900" s="2117" t="n">
        <v>31</v>
      </c>
      <c r="D2900" s="2118" t="n">
        <v>1</v>
      </c>
      <c r="E2900" s="2118" t="n">
        <v>2</v>
      </c>
      <c r="G2900" s="1798" t="inlineStr">
        <is>
          <t>ESQUADRIAS, VIDROS E FERRAGENS</t>
        </is>
      </c>
      <c r="H2900" s="1783" t="inlineStr">
        <is>
          <t>SERVIÇO</t>
        </is>
      </c>
      <c r="I2900" s="1750" t="inlineStr">
        <is>
          <t>18.031.001.002</t>
        </is>
      </c>
      <c r="J2900" s="1785" t="inlineStr">
        <is>
          <t>Porta corta-fogo, 1 folha, 80x210 cm</t>
        </is>
      </c>
      <c r="K2900" s="1786" t="inlineStr">
        <is>
          <t>un</t>
        </is>
      </c>
      <c r="L2900" s="1787" t="n">
        <v>2</v>
      </c>
      <c r="M2900" s="1787" t="n">
        <v>1100</v>
      </c>
      <c r="N2900" s="1754" t="n">
        <v>2200</v>
      </c>
      <c r="O2900" s="1788" t="inlineStr">
        <is>
          <t>Tabela de esquadrias enviada pela Gessele</t>
        </is>
      </c>
      <c r="P2900" s="1721" t="inlineStr">
        <is>
          <t>Pendente</t>
        </is>
      </c>
    </row>
    <row r="2901" hidden="1" outlineLevel="2" ht="13.5" customHeight="1">
      <c r="A2901" s="2117" t="n">
        <v>0</v>
      </c>
      <c r="B2901" s="2117" t="n">
        <v>18</v>
      </c>
      <c r="C2901" s="2117" t="n">
        <v>31</v>
      </c>
      <c r="D2901" s="2118" t="n">
        <v>2</v>
      </c>
      <c r="E2901" s="2118" t="n">
        <v>0</v>
      </c>
      <c r="G2901" s="1797" t="n"/>
      <c r="H2901" s="1777" t="inlineStr">
        <is>
          <t>SUBETAPA</t>
        </is>
      </c>
      <c r="I2901" s="1742" t="inlineStr">
        <is>
          <t>18.031.002</t>
        </is>
      </c>
      <c r="J2901" s="1779" t="inlineStr">
        <is>
          <t>Corrimão metálico</t>
        </is>
      </c>
      <c r="K2901" s="1780" t="n"/>
      <c r="L2901" s="1781" t="n"/>
      <c r="M2901" s="1781" t="n"/>
      <c r="N2901" s="1746" t="n"/>
      <c r="O2901" s="1782" t="n"/>
      <c r="P2901" s="1720" t="n"/>
    </row>
    <row r="2902" hidden="1" outlineLevel="3" ht="13.5" customHeight="1">
      <c r="A2902" s="2117" t="n">
        <v>0</v>
      </c>
      <c r="B2902" s="2117" t="n">
        <v>18</v>
      </c>
      <c r="C2902" s="2117" t="n">
        <v>31</v>
      </c>
      <c r="D2902" s="2118" t="n">
        <v>2</v>
      </c>
      <c r="E2902" s="2118" t="n">
        <v>1</v>
      </c>
      <c r="G2902" s="1798" t="inlineStr">
        <is>
          <t>ESQUADRIAS, VIDROS E FERRAGENS</t>
        </is>
      </c>
      <c r="H2902" s="1783" t="inlineStr">
        <is>
          <t>SERVIÇO</t>
        </is>
      </c>
      <c r="I2902" s="1750" t="inlineStr">
        <is>
          <t>18.031.002.001</t>
        </is>
      </c>
      <c r="J2902" s="1785" t="inlineStr">
        <is>
          <t>Corrimão Duplo Metálico - inox escovado 304 - fornecimento e instalação</t>
        </is>
      </c>
      <c r="K2902" s="1786" t="inlineStr">
        <is>
          <t>m</t>
        </is>
      </c>
      <c r="L2902" s="1787" t="e">
        <v>#REF!</v>
      </c>
      <c r="M2902" s="1787" t="n">
        <v>820</v>
      </c>
      <c r="N2902" s="1754" t="n"/>
      <c r="O2902" s="1788" t="inlineStr">
        <is>
          <t>Modelo do visus</t>
        </is>
      </c>
      <c r="P2902" s="1721" t="inlineStr">
        <is>
          <t>Pendente</t>
        </is>
      </c>
    </row>
    <row r="2903" hidden="1" outlineLevel="3" ht="13.5" customHeight="1">
      <c r="A2903" s="2117" t="n">
        <v>0</v>
      </c>
      <c r="B2903" s="2117" t="n">
        <v>18</v>
      </c>
      <c r="C2903" s="2117" t="n">
        <v>31</v>
      </c>
      <c r="D2903" s="2118" t="n">
        <v>2</v>
      </c>
      <c r="E2903" s="2118" t="n">
        <v>2</v>
      </c>
      <c r="G2903" s="1798" t="inlineStr">
        <is>
          <t>ESQUADRIAS, VIDROS E FERRAGENS</t>
        </is>
      </c>
      <c r="H2903" s="1783" t="inlineStr">
        <is>
          <t>SERVIÇO</t>
        </is>
      </c>
      <c r="I2903" s="1750" t="inlineStr">
        <is>
          <t>18.031.002.002</t>
        </is>
      </c>
      <c r="J2903" s="1785" t="inlineStr">
        <is>
          <t>Corrimão Parede Metálico - inox escovado 304 - fornecimento e instalação</t>
        </is>
      </c>
      <c r="K2903" s="1786" t="inlineStr">
        <is>
          <t>m</t>
        </is>
      </c>
      <c r="L2903" s="1787" t="e">
        <v>#REF!</v>
      </c>
      <c r="M2903" s="1787" t="n">
        <v>520</v>
      </c>
      <c r="N2903" s="1754" t="n"/>
      <c r="O2903" s="1788" t="inlineStr">
        <is>
          <t>Modelo do visus</t>
        </is>
      </c>
      <c r="P2903" s="1721" t="inlineStr">
        <is>
          <t>Pendente</t>
        </is>
      </c>
    </row>
    <row r="2904" hidden="1" outlineLevel="2" ht="13.5" customHeight="1">
      <c r="A2904" s="2117" t="n">
        <v>0</v>
      </c>
      <c r="B2904" s="2117" t="n">
        <v>18</v>
      </c>
      <c r="C2904" s="2117" t="n">
        <v>31</v>
      </c>
      <c r="D2904" s="2118" t="n">
        <v>3</v>
      </c>
      <c r="E2904" s="2118" t="n">
        <v>0</v>
      </c>
      <c r="G2904" s="1797" t="n"/>
      <c r="H2904" s="1777" t="inlineStr">
        <is>
          <t>SUBETAPA</t>
        </is>
      </c>
      <c r="I2904" s="1742" t="inlineStr">
        <is>
          <t>18.031.003</t>
        </is>
      </c>
      <c r="J2904" s="1779" t="inlineStr">
        <is>
          <t>Mão de obra</t>
        </is>
      </c>
      <c r="K2904" s="1780" t="n"/>
      <c r="L2904" s="1781" t="n"/>
      <c r="M2904" s="1781" t="n"/>
      <c r="N2904" s="1746" t="n">
        <v>600</v>
      </c>
      <c r="O2904" s="1782" t="n">
        <v>0.035821601261398</v>
      </c>
      <c r="P2904" s="1720" t="n"/>
    </row>
    <row r="2905" hidden="1" outlineLevel="3" ht="13.5" customHeight="1">
      <c r="A2905" s="2117" t="n">
        <v>0</v>
      </c>
      <c r="B2905" s="2117" t="n">
        <v>18</v>
      </c>
      <c r="C2905" s="2117" t="n">
        <v>31</v>
      </c>
      <c r="D2905" s="2118" t="n">
        <v>3</v>
      </c>
      <c r="E2905" s="2118" t="n">
        <v>1</v>
      </c>
      <c r="G2905" s="1798" t="inlineStr">
        <is>
          <t>ESQUADRIAS, VIDROS E FERRAGENS</t>
        </is>
      </c>
      <c r="H2905" s="1783" t="inlineStr">
        <is>
          <t>SERVIÇO</t>
        </is>
      </c>
      <c r="I2905" s="1750" t="inlineStr">
        <is>
          <t>18.031.003.001</t>
        </is>
      </c>
      <c r="J2905" s="1785" t="inlineStr">
        <is>
          <t>Mão de obra para instalação de portas corta-fogo</t>
        </is>
      </c>
      <c r="K2905" s="1786" t="inlineStr">
        <is>
          <t>un</t>
        </is>
      </c>
      <c r="L2905" s="1787" t="n">
        <v>2</v>
      </c>
      <c r="M2905" s="1787" t="n">
        <v>300</v>
      </c>
      <c r="N2905" s="1754" t="n">
        <v>600</v>
      </c>
      <c r="O2905" s="1788" t="inlineStr">
        <is>
          <t>Tabela de esquadrias enviada pela Gessele</t>
        </is>
      </c>
      <c r="P2905" s="1721" t="inlineStr">
        <is>
          <t>Pendente</t>
        </is>
      </c>
    </row>
    <row r="2906" hidden="1" outlineLevel="1" ht="13.5" customHeight="1">
      <c r="A2906" s="2117" t="n">
        <v>0</v>
      </c>
      <c r="B2906" s="2117" t="n">
        <v>18</v>
      </c>
      <c r="C2906" s="2117" t="n">
        <v>32</v>
      </c>
      <c r="D2906" s="2118" t="n">
        <v>0</v>
      </c>
      <c r="E2906" s="2118" t="n">
        <v>1</v>
      </c>
      <c r="G2906" s="1796" t="n"/>
      <c r="H2906" s="1771" t="inlineStr">
        <is>
          <t>ETAPA</t>
        </is>
      </c>
      <c r="I2906" s="1735" t="inlineStr">
        <is>
          <t>18.032</t>
        </is>
      </c>
      <c r="J2906" s="1773" t="inlineStr">
        <is>
          <t>PORTAS CORTA-FOGO - Tipo x8</t>
        </is>
      </c>
      <c r="K2906" s="1774" t="n"/>
      <c r="L2906" s="1775" t="n"/>
      <c r="M2906" s="1775" t="n"/>
      <c r="N2906" s="1739" t="n"/>
      <c r="O2906" s="1776" t="n"/>
      <c r="P2906" s="1719" t="n"/>
    </row>
    <row r="2907" hidden="1" outlineLevel="2" ht="13.5" customHeight="1">
      <c r="A2907" s="2117" t="n">
        <v>0</v>
      </c>
      <c r="B2907" s="2117" t="n">
        <v>18</v>
      </c>
      <c r="C2907" s="2117" t="n">
        <v>32</v>
      </c>
      <c r="D2907" s="2118" t="n">
        <v>1</v>
      </c>
      <c r="E2907" s="2118" t="n">
        <v>0</v>
      </c>
      <c r="G2907" s="1797" t="n"/>
      <c r="H2907" s="1777" t="inlineStr">
        <is>
          <t>SUBETAPA</t>
        </is>
      </c>
      <c r="I2907" s="1742" t="inlineStr">
        <is>
          <t>18.032.001</t>
        </is>
      </c>
      <c r="J2907" s="1779" t="inlineStr">
        <is>
          <t>Esquadrias metálicas</t>
        </is>
      </c>
      <c r="K2907" s="1780" t="n"/>
      <c r="L2907" s="1781" t="n"/>
      <c r="M2907" s="1781" t="n"/>
      <c r="N2907" s="1746" t="n">
        <v>22948</v>
      </c>
      <c r="O2907" s="1782" t="n"/>
      <c r="P2907" s="1720" t="n"/>
    </row>
    <row r="2908" hidden="1" outlineLevel="3" ht="13.5" customHeight="1">
      <c r="A2908" s="2117" t="n">
        <v>0</v>
      </c>
      <c r="B2908" s="2117" t="n">
        <v>18</v>
      </c>
      <c r="C2908" s="2117" t="n">
        <v>32</v>
      </c>
      <c r="D2908" s="2118" t="n">
        <v>1</v>
      </c>
      <c r="E2908" s="2118" t="n">
        <v>1</v>
      </c>
      <c r="G2908" s="1798" t="inlineStr">
        <is>
          <t>ESQUADRIAS, VIDROS E FERRAGENS</t>
        </is>
      </c>
      <c r="H2908" s="1783" t="inlineStr">
        <is>
          <t>SERVIÇO</t>
        </is>
      </c>
      <c r="I2908" s="1750" t="inlineStr">
        <is>
          <t>18.032.001.001</t>
        </is>
      </c>
      <c r="J2908" s="1785" t="inlineStr">
        <is>
          <t>Contramarco de aço galvanizado - Fixado com Argamassa</t>
        </is>
      </c>
      <c r="K2908" s="1786" t="inlineStr">
        <is>
          <t>m</t>
        </is>
      </c>
      <c r="L2908" s="1787" t="n">
        <v>80</v>
      </c>
      <c r="M2908" s="1787" t="n">
        <v>66.84999999999999</v>
      </c>
      <c r="N2908" s="1754" t="n">
        <v>5348</v>
      </c>
      <c r="O2908" s="1788" t="inlineStr">
        <is>
          <t>Tabela de esquadrias enviada pela Gessele</t>
        </is>
      </c>
      <c r="P2908" s="1721" t="inlineStr">
        <is>
          <t>Pendente</t>
        </is>
      </c>
    </row>
    <row r="2909" hidden="1" outlineLevel="3" ht="13.5" customHeight="1">
      <c r="A2909" s="2117" t="n">
        <v>0</v>
      </c>
      <c r="B2909" s="2117" t="n">
        <v>18</v>
      </c>
      <c r="C2909" s="2117" t="n">
        <v>32</v>
      </c>
      <c r="D2909" s="2118" t="n">
        <v>1</v>
      </c>
      <c r="E2909" s="2118" t="n">
        <v>2</v>
      </c>
      <c r="G2909" s="1798" t="inlineStr">
        <is>
          <t>ESQUADRIAS, VIDROS E FERRAGENS</t>
        </is>
      </c>
      <c r="H2909" s="1783" t="inlineStr">
        <is>
          <t>SERVIÇO</t>
        </is>
      </c>
      <c r="I2909" s="1750" t="inlineStr">
        <is>
          <t>18.032.001.002</t>
        </is>
      </c>
      <c r="J2909" s="1785" t="inlineStr">
        <is>
          <t>Porta corta-fogo, 1 folha, 80x210 cm</t>
        </is>
      </c>
      <c r="K2909" s="1786" t="inlineStr">
        <is>
          <t>un</t>
        </is>
      </c>
      <c r="L2909" s="1787" t="n">
        <v>16</v>
      </c>
      <c r="M2909" s="1787" t="n">
        <v>1100</v>
      </c>
      <c r="N2909" s="1754" t="n">
        <v>17600</v>
      </c>
      <c r="O2909" s="1788" t="inlineStr">
        <is>
          <t>Tabela de esquadrias enviada pela Gessele</t>
        </is>
      </c>
      <c r="P2909" s="1721" t="inlineStr">
        <is>
          <t>Pendente</t>
        </is>
      </c>
    </row>
    <row r="2910" hidden="1" outlineLevel="2" ht="13.5" customHeight="1">
      <c r="A2910" s="2117" t="n">
        <v>0</v>
      </c>
      <c r="B2910" s="2117" t="n">
        <v>18</v>
      </c>
      <c r="C2910" s="2117" t="n">
        <v>32</v>
      </c>
      <c r="D2910" s="2118" t="n">
        <v>2</v>
      </c>
      <c r="E2910" s="2118" t="n">
        <v>0</v>
      </c>
      <c r="G2910" s="1797" t="n"/>
      <c r="H2910" s="1777" t="inlineStr">
        <is>
          <t>SUBETAPA</t>
        </is>
      </c>
      <c r="I2910" s="1742" t="inlineStr">
        <is>
          <t>18.032.002</t>
        </is>
      </c>
      <c r="J2910" s="1779" t="inlineStr">
        <is>
          <t>Corrimão metálico</t>
        </is>
      </c>
      <c r="K2910" s="1780" t="n"/>
      <c r="L2910" s="1781" t="n"/>
      <c r="M2910" s="1781" t="n"/>
      <c r="N2910" s="1746" t="n"/>
      <c r="O2910" s="1782" t="n"/>
      <c r="P2910" s="1720" t="n"/>
    </row>
    <row r="2911" hidden="1" outlineLevel="3" ht="13.5" customHeight="1">
      <c r="A2911" s="2117" t="n">
        <v>0</v>
      </c>
      <c r="B2911" s="2117" t="n">
        <v>18</v>
      </c>
      <c r="C2911" s="2117" t="n">
        <v>32</v>
      </c>
      <c r="D2911" s="2118" t="n">
        <v>2</v>
      </c>
      <c r="E2911" s="2118" t="n">
        <v>1</v>
      </c>
      <c r="G2911" s="1798" t="inlineStr">
        <is>
          <t>ESQUADRIAS, VIDROS E FERRAGENS</t>
        </is>
      </c>
      <c r="H2911" s="1783" t="inlineStr">
        <is>
          <t>SERVIÇO</t>
        </is>
      </c>
      <c r="I2911" s="1750" t="inlineStr">
        <is>
          <t>18.032.002.001</t>
        </is>
      </c>
      <c r="J2911" s="1785" t="inlineStr">
        <is>
          <t>Corrimão Duplo Metálico - inox escovado 304 - fornecimento e instalação</t>
        </is>
      </c>
      <c r="K2911" s="1786" t="inlineStr">
        <is>
          <t>m</t>
        </is>
      </c>
      <c r="L2911" s="1787" t="e">
        <v>#REF!</v>
      </c>
      <c r="M2911" s="1787" t="n">
        <v>820</v>
      </c>
      <c r="N2911" s="1754" t="n"/>
      <c r="O2911" s="1788" t="inlineStr">
        <is>
          <t>Modelo do visus</t>
        </is>
      </c>
      <c r="P2911" s="1721" t="inlineStr">
        <is>
          <t>Pendente</t>
        </is>
      </c>
    </row>
    <row r="2912" hidden="1" outlineLevel="3" ht="13.5" customHeight="1">
      <c r="A2912" s="2117" t="n">
        <v>0</v>
      </c>
      <c r="B2912" s="2117" t="n">
        <v>18</v>
      </c>
      <c r="C2912" s="2117" t="n">
        <v>32</v>
      </c>
      <c r="D2912" s="2118" t="n">
        <v>2</v>
      </c>
      <c r="E2912" s="2118" t="n">
        <v>2</v>
      </c>
      <c r="G2912" s="1798" t="inlineStr">
        <is>
          <t>ESQUADRIAS, VIDROS E FERRAGENS</t>
        </is>
      </c>
      <c r="H2912" s="1783" t="inlineStr">
        <is>
          <t>SERVIÇO</t>
        </is>
      </c>
      <c r="I2912" s="1750" t="inlineStr">
        <is>
          <t>18.032.002.002</t>
        </is>
      </c>
      <c r="J2912" s="1785" t="inlineStr">
        <is>
          <t>Corrimão Parede Metálico - inox escovado 304 - fornecimento e instalação</t>
        </is>
      </c>
      <c r="K2912" s="1786" t="inlineStr">
        <is>
          <t>m</t>
        </is>
      </c>
      <c r="L2912" s="1787" t="e">
        <v>#REF!</v>
      </c>
      <c r="M2912" s="1787" t="n">
        <v>520</v>
      </c>
      <c r="N2912" s="1754" t="n"/>
      <c r="O2912" s="1788" t="inlineStr">
        <is>
          <t>Modelo do visus</t>
        </is>
      </c>
      <c r="P2912" s="1721" t="inlineStr">
        <is>
          <t>Pendente</t>
        </is>
      </c>
    </row>
    <row r="2913" hidden="1" outlineLevel="2" ht="13.5" customHeight="1">
      <c r="A2913" s="2117" t="n">
        <v>0</v>
      </c>
      <c r="B2913" s="2117" t="n">
        <v>18</v>
      </c>
      <c r="C2913" s="2117" t="n">
        <v>32</v>
      </c>
      <c r="D2913" s="2118" t="n">
        <v>3</v>
      </c>
      <c r="E2913" s="2118" t="n">
        <v>0</v>
      </c>
      <c r="G2913" s="1797" t="n"/>
      <c r="H2913" s="1777" t="inlineStr">
        <is>
          <t>SUBETAPA</t>
        </is>
      </c>
      <c r="I2913" s="1742" t="inlineStr">
        <is>
          <t>18.032.003</t>
        </is>
      </c>
      <c r="J2913" s="1779" t="inlineStr">
        <is>
          <t>Mão de obra</t>
        </is>
      </c>
      <c r="K2913" s="1780" t="n"/>
      <c r="L2913" s="1781" t="n"/>
      <c r="M2913" s="1781" t="n"/>
      <c r="N2913" s="1746" t="n">
        <v>4800</v>
      </c>
      <c r="O2913" s="1782" t="n">
        <v>0.286572810091184</v>
      </c>
      <c r="P2913" s="1720" t="n"/>
    </row>
    <row r="2914" hidden="1" outlineLevel="3" ht="13.5" customHeight="1">
      <c r="A2914" s="2117" t="n">
        <v>0</v>
      </c>
      <c r="B2914" s="2117" t="n">
        <v>18</v>
      </c>
      <c r="C2914" s="2117" t="n">
        <v>32</v>
      </c>
      <c r="D2914" s="2118" t="n">
        <v>3</v>
      </c>
      <c r="E2914" s="2118" t="n">
        <v>1</v>
      </c>
      <c r="G2914" s="1798" t="inlineStr">
        <is>
          <t>ESQUADRIAS, VIDROS E FERRAGENS</t>
        </is>
      </c>
      <c r="H2914" s="1783" t="inlineStr">
        <is>
          <t>SERVIÇO</t>
        </is>
      </c>
      <c r="I2914" s="1750" t="inlineStr">
        <is>
          <t>18.032.003.001</t>
        </is>
      </c>
      <c r="J2914" s="1785" t="inlineStr">
        <is>
          <t>Mão de obra para instalação de portas corta-fogo</t>
        </is>
      </c>
      <c r="K2914" s="1786" t="inlineStr">
        <is>
          <t>un</t>
        </is>
      </c>
      <c r="L2914" s="1787" t="n">
        <v>16</v>
      </c>
      <c r="M2914" s="1787" t="n">
        <v>300</v>
      </c>
      <c r="N2914" s="1754" t="n">
        <v>4800</v>
      </c>
      <c r="O2914" s="1788" t="inlineStr">
        <is>
          <t>Tabela de esquadrias enviada pela Gessele</t>
        </is>
      </c>
      <c r="P2914" s="1721" t="inlineStr">
        <is>
          <t>Pendente</t>
        </is>
      </c>
    </row>
    <row r="2915" hidden="1" outlineLevel="1" ht="13.5" customHeight="1">
      <c r="A2915" s="2117" t="n">
        <v>0</v>
      </c>
      <c r="B2915" s="2117" t="n">
        <v>18</v>
      </c>
      <c r="C2915" s="2117" t="n">
        <v>33</v>
      </c>
      <c r="D2915" s="2118" t="n">
        <v>0</v>
      </c>
      <c r="E2915" s="2118" t="n">
        <v>1</v>
      </c>
      <c r="G2915" s="1796" t="n"/>
      <c r="H2915" s="1771" t="inlineStr">
        <is>
          <t>ETAPA</t>
        </is>
      </c>
      <c r="I2915" s="1735" t="inlineStr">
        <is>
          <t>18.033</t>
        </is>
      </c>
      <c r="J2915" s="1773" t="inlineStr">
        <is>
          <t>PORTAS CORTA-FOGO - Penthouse x22</t>
        </is>
      </c>
      <c r="K2915" s="1774" t="n"/>
      <c r="L2915" s="1775" t="n"/>
      <c r="M2915" s="1775" t="n"/>
      <c r="N2915" s="1739" t="n"/>
      <c r="O2915" s="1776" t="n"/>
      <c r="P2915" s="1719" t="n"/>
    </row>
    <row r="2916" hidden="1" outlineLevel="2" ht="13.5" customHeight="1">
      <c r="A2916" s="2117" t="n">
        <v>0</v>
      </c>
      <c r="B2916" s="2117" t="n">
        <v>18</v>
      </c>
      <c r="C2916" s="2117" t="n">
        <v>33</v>
      </c>
      <c r="D2916" s="2118" t="n">
        <v>1</v>
      </c>
      <c r="E2916" s="2118" t="n">
        <v>0</v>
      </c>
      <c r="G2916" s="1797" t="n"/>
      <c r="H2916" s="1777" t="inlineStr">
        <is>
          <t>SUBETAPA</t>
        </is>
      </c>
      <c r="I2916" s="1742" t="inlineStr">
        <is>
          <t>18.033.001</t>
        </is>
      </c>
      <c r="J2916" s="1779" t="inlineStr">
        <is>
          <t>Esquadrias metálicas</t>
        </is>
      </c>
      <c r="K2916" s="1780" t="n"/>
      <c r="L2916" s="1781" t="n"/>
      <c r="M2916" s="1781" t="n"/>
      <c r="N2916" s="1746" t="n">
        <v>63107</v>
      </c>
      <c r="O2916" s="1782" t="n"/>
      <c r="P2916" s="1720" t="n"/>
    </row>
    <row r="2917" hidden="1" outlineLevel="3" ht="13.5" customHeight="1">
      <c r="A2917" s="2117" t="n">
        <v>0</v>
      </c>
      <c r="B2917" s="2117" t="n">
        <v>18</v>
      </c>
      <c r="C2917" s="2117" t="n">
        <v>33</v>
      </c>
      <c r="D2917" s="2118" t="n">
        <v>1</v>
      </c>
      <c r="E2917" s="2118" t="n">
        <v>1</v>
      </c>
      <c r="G2917" s="1798" t="inlineStr">
        <is>
          <t>ESQUADRIAS, VIDROS E FERRAGENS</t>
        </is>
      </c>
      <c r="H2917" s="1783" t="inlineStr">
        <is>
          <t>SERVIÇO</t>
        </is>
      </c>
      <c r="I2917" s="1750" t="inlineStr">
        <is>
          <t>18.033.001.001</t>
        </is>
      </c>
      <c r="J2917" s="1785" t="inlineStr">
        <is>
          <t>Contramarco de aço galvanizado - Fixado com Argamassa</t>
        </is>
      </c>
      <c r="K2917" s="1786" t="inlineStr">
        <is>
          <t>m</t>
        </is>
      </c>
      <c r="L2917" s="1787" t="n">
        <v>220</v>
      </c>
      <c r="M2917" s="1787" t="n">
        <v>66.84999999999999</v>
      </c>
      <c r="N2917" s="1754" t="n">
        <v>14707</v>
      </c>
      <c r="O2917" s="1788" t="inlineStr">
        <is>
          <t>Tabela de esquadrias enviada pela Gessele</t>
        </is>
      </c>
      <c r="P2917" s="1721" t="inlineStr">
        <is>
          <t>Pendente</t>
        </is>
      </c>
    </row>
    <row r="2918" hidden="1" outlineLevel="3" ht="13.5" customHeight="1">
      <c r="A2918" s="2117" t="n">
        <v>0</v>
      </c>
      <c r="B2918" s="2117" t="n">
        <v>18</v>
      </c>
      <c r="C2918" s="2117" t="n">
        <v>33</v>
      </c>
      <c r="D2918" s="2118" t="n">
        <v>1</v>
      </c>
      <c r="E2918" s="2118" t="n">
        <v>2</v>
      </c>
      <c r="G2918" s="1798" t="inlineStr">
        <is>
          <t>ESQUADRIAS, VIDROS E FERRAGENS</t>
        </is>
      </c>
      <c r="H2918" s="1783" t="inlineStr">
        <is>
          <t>SERVIÇO</t>
        </is>
      </c>
      <c r="I2918" s="1750" t="inlineStr">
        <is>
          <t>18.033.001.002</t>
        </is>
      </c>
      <c r="J2918" s="1785" t="inlineStr">
        <is>
          <t>Porta corta-fogo, 1 folha, 80x210 cm</t>
        </is>
      </c>
      <c r="K2918" s="1786" t="inlineStr">
        <is>
          <t>un</t>
        </is>
      </c>
      <c r="L2918" s="1787" t="n">
        <v>44</v>
      </c>
      <c r="M2918" s="1787" t="n">
        <v>1100</v>
      </c>
      <c r="N2918" s="1754" t="n">
        <v>48400</v>
      </c>
      <c r="O2918" s="1788" t="inlineStr">
        <is>
          <t>Tabela de esquadrias enviada pela Gessele</t>
        </is>
      </c>
      <c r="P2918" s="1721" t="inlineStr">
        <is>
          <t>Pendente</t>
        </is>
      </c>
    </row>
    <row r="2919" hidden="1" outlineLevel="2" ht="13.5" customHeight="1">
      <c r="A2919" s="2117" t="n">
        <v>0</v>
      </c>
      <c r="B2919" s="2117" t="n">
        <v>18</v>
      </c>
      <c r="C2919" s="2117" t="n">
        <v>33</v>
      </c>
      <c r="D2919" s="2118" t="n">
        <v>2</v>
      </c>
      <c r="E2919" s="2118" t="n">
        <v>0</v>
      </c>
      <c r="G2919" s="1797" t="n"/>
      <c r="H2919" s="1777" t="inlineStr">
        <is>
          <t>SUBETAPA</t>
        </is>
      </c>
      <c r="I2919" s="1742" t="inlineStr">
        <is>
          <t>18.033.002</t>
        </is>
      </c>
      <c r="J2919" s="1779" t="inlineStr">
        <is>
          <t>Corrimão metálico</t>
        </is>
      </c>
      <c r="K2919" s="1780" t="n"/>
      <c r="L2919" s="1781" t="n"/>
      <c r="M2919" s="1781" t="n"/>
      <c r="N2919" s="1746" t="n"/>
      <c r="O2919" s="1782" t="n"/>
      <c r="P2919" s="1720" t="n"/>
    </row>
    <row r="2920" hidden="1" outlineLevel="3" ht="13.5" customHeight="1">
      <c r="A2920" s="2117" t="n">
        <v>0</v>
      </c>
      <c r="B2920" s="2117" t="n">
        <v>18</v>
      </c>
      <c r="C2920" s="2117" t="n">
        <v>33</v>
      </c>
      <c r="D2920" s="2118" t="n">
        <v>2</v>
      </c>
      <c r="E2920" s="2118" t="n">
        <v>1</v>
      </c>
      <c r="G2920" s="1798" t="inlineStr">
        <is>
          <t>ESQUADRIAS, VIDROS E FERRAGENS</t>
        </is>
      </c>
      <c r="H2920" s="1783" t="inlineStr">
        <is>
          <t>SERVIÇO</t>
        </is>
      </c>
      <c r="I2920" s="1750" t="inlineStr">
        <is>
          <t>18.033.002.001</t>
        </is>
      </c>
      <c r="J2920" s="1785" t="inlineStr">
        <is>
          <t>Corrimão Duplo Metálico - inox escovado 304 - fornecimento e instalação</t>
        </is>
      </c>
      <c r="K2920" s="1786" t="inlineStr">
        <is>
          <t>m</t>
        </is>
      </c>
      <c r="L2920" s="1787" t="e">
        <v>#REF!</v>
      </c>
      <c r="M2920" s="1787" t="n">
        <v>820</v>
      </c>
      <c r="N2920" s="1754" t="n"/>
      <c r="O2920" s="1788" t="inlineStr">
        <is>
          <t>Modelo do visus</t>
        </is>
      </c>
      <c r="P2920" s="1721" t="inlineStr">
        <is>
          <t>Pendente</t>
        </is>
      </c>
    </row>
    <row r="2921" hidden="1" outlineLevel="3" ht="13.5" customHeight="1">
      <c r="A2921" s="2117" t="n">
        <v>0</v>
      </c>
      <c r="B2921" s="2117" t="n">
        <v>18</v>
      </c>
      <c r="C2921" s="2117" t="n">
        <v>33</v>
      </c>
      <c r="D2921" s="2118" t="n">
        <v>2</v>
      </c>
      <c r="E2921" s="2118" t="n">
        <v>2</v>
      </c>
      <c r="G2921" s="1798" t="inlineStr">
        <is>
          <t>ESQUADRIAS, VIDROS E FERRAGENS</t>
        </is>
      </c>
      <c r="H2921" s="1783" t="inlineStr">
        <is>
          <t>SERVIÇO</t>
        </is>
      </c>
      <c r="I2921" s="1750" t="inlineStr">
        <is>
          <t>18.033.002.002</t>
        </is>
      </c>
      <c r="J2921" s="1785" t="inlineStr">
        <is>
          <t>Corrimão Parede Metálico - inox escovado 304 - fornecimento e instalação</t>
        </is>
      </c>
      <c r="K2921" s="1786" t="inlineStr">
        <is>
          <t>m</t>
        </is>
      </c>
      <c r="L2921" s="1787" t="e">
        <v>#REF!</v>
      </c>
      <c r="M2921" s="1787" t="n">
        <v>520</v>
      </c>
      <c r="N2921" s="1754" t="n"/>
      <c r="O2921" s="1788" t="inlineStr">
        <is>
          <t>Modelo do visus</t>
        </is>
      </c>
      <c r="P2921" s="1721" t="inlineStr">
        <is>
          <t>Pendente</t>
        </is>
      </c>
    </row>
    <row r="2922" hidden="1" outlineLevel="2" ht="13.5" customHeight="1">
      <c r="A2922" s="2117" t="n">
        <v>0</v>
      </c>
      <c r="B2922" s="2117" t="n">
        <v>18</v>
      </c>
      <c r="C2922" s="2117" t="n">
        <v>33</v>
      </c>
      <c r="D2922" s="2118" t="n">
        <v>3</v>
      </c>
      <c r="E2922" s="2118" t="n">
        <v>0</v>
      </c>
      <c r="G2922" s="1797" t="n"/>
      <c r="H2922" s="1777" t="inlineStr">
        <is>
          <t>SUBETAPA</t>
        </is>
      </c>
      <c r="I2922" s="1742" t="inlineStr">
        <is>
          <t>18.033.003</t>
        </is>
      </c>
      <c r="J2922" s="1779" t="inlineStr">
        <is>
          <t>Mão de obra</t>
        </is>
      </c>
      <c r="K2922" s="1780" t="n"/>
      <c r="L2922" s="1781" t="n"/>
      <c r="M2922" s="1781" t="n"/>
      <c r="N2922" s="1746" t="n">
        <v>13200</v>
      </c>
      <c r="O2922" s="1782" t="n">
        <v>0.788075227750756</v>
      </c>
      <c r="P2922" s="1720" t="n"/>
    </row>
    <row r="2923" hidden="1" outlineLevel="3" ht="13.5" customHeight="1">
      <c r="A2923" s="2117" t="n">
        <v>0</v>
      </c>
      <c r="B2923" s="2117" t="n">
        <v>18</v>
      </c>
      <c r="C2923" s="2117" t="n">
        <v>33</v>
      </c>
      <c r="D2923" s="2118" t="n">
        <v>3</v>
      </c>
      <c r="E2923" s="2118" t="n">
        <v>1</v>
      </c>
      <c r="G2923" s="1798" t="inlineStr">
        <is>
          <t>ESQUADRIAS, VIDROS E FERRAGENS</t>
        </is>
      </c>
      <c r="H2923" s="1783" t="inlineStr">
        <is>
          <t>SERVIÇO</t>
        </is>
      </c>
      <c r="I2923" s="1750" t="inlineStr">
        <is>
          <t>18.033.003.001</t>
        </is>
      </c>
      <c r="J2923" s="1785" t="inlineStr">
        <is>
          <t>Mão de obra para instalação de portas corta-fogo</t>
        </is>
      </c>
      <c r="K2923" s="1786" t="inlineStr">
        <is>
          <t>un</t>
        </is>
      </c>
      <c r="L2923" s="1787" t="n">
        <v>44</v>
      </c>
      <c r="M2923" s="1787" t="n">
        <v>300</v>
      </c>
      <c r="N2923" s="1754" t="n">
        <v>13200</v>
      </c>
      <c r="O2923" s="1788" t="inlineStr">
        <is>
          <t>Tabela de esquadrias enviada pela Gessele</t>
        </is>
      </c>
      <c r="P2923" s="1721" t="inlineStr">
        <is>
          <t>Pendente</t>
        </is>
      </c>
    </row>
    <row r="2924" hidden="1" outlineLevel="1" ht="13.5" customHeight="1">
      <c r="A2924" s="2117" t="n">
        <v>0</v>
      </c>
      <c r="B2924" s="2117" t="n">
        <v>18</v>
      </c>
      <c r="C2924" s="2117" t="n">
        <v>34</v>
      </c>
      <c r="D2924" s="2118" t="n">
        <v>0</v>
      </c>
      <c r="E2924" s="2118" t="n">
        <v>1</v>
      </c>
      <c r="G2924" s="1796" t="n"/>
      <c r="H2924" s="1771" t="inlineStr">
        <is>
          <t>ETAPA</t>
        </is>
      </c>
      <c r="I2924" s="1735" t="inlineStr">
        <is>
          <t>18.034</t>
        </is>
      </c>
      <c r="J2924" s="1773" t="inlineStr">
        <is>
          <t>PORTAS CORTA-FOGO - Duplex Inferior</t>
        </is>
      </c>
      <c r="K2924" s="1774" t="n"/>
      <c r="L2924" s="1775" t="n"/>
      <c r="M2924" s="1775" t="n"/>
      <c r="N2924" s="1739" t="n"/>
      <c r="O2924" s="1776" t="n"/>
      <c r="P2924" s="1719" t="n"/>
    </row>
    <row r="2925" hidden="1" outlineLevel="2" ht="13.5" customHeight="1">
      <c r="A2925" s="2117" t="n">
        <v>0</v>
      </c>
      <c r="B2925" s="2117" t="n">
        <v>18</v>
      </c>
      <c r="C2925" s="2117" t="n">
        <v>34</v>
      </c>
      <c r="D2925" s="2118" t="n">
        <v>1</v>
      </c>
      <c r="E2925" s="2118" t="n">
        <v>0</v>
      </c>
      <c r="G2925" s="1797" t="n"/>
      <c r="H2925" s="1777" t="inlineStr">
        <is>
          <t>SUBETAPA</t>
        </is>
      </c>
      <c r="I2925" s="1742" t="inlineStr">
        <is>
          <t>18.034.001</t>
        </is>
      </c>
      <c r="J2925" s="1779" t="inlineStr">
        <is>
          <t>Esquadrias metálicas</t>
        </is>
      </c>
      <c r="K2925" s="1780" t="n"/>
      <c r="L2925" s="1781" t="n"/>
      <c r="M2925" s="1781" t="n"/>
      <c r="N2925" s="1746" t="n">
        <v>2868.5</v>
      </c>
      <c r="O2925" s="1782" t="n"/>
      <c r="P2925" s="1720" t="n"/>
    </row>
    <row r="2926" hidden="1" outlineLevel="3" ht="13.5" customHeight="1">
      <c r="A2926" s="2117" t="n">
        <v>0</v>
      </c>
      <c r="B2926" s="2117" t="n">
        <v>18</v>
      </c>
      <c r="C2926" s="2117" t="n">
        <v>34</v>
      </c>
      <c r="D2926" s="2118" t="n">
        <v>1</v>
      </c>
      <c r="E2926" s="2118" t="n">
        <v>1</v>
      </c>
      <c r="G2926" s="1798" t="inlineStr">
        <is>
          <t>ESQUADRIAS, VIDROS E FERRAGENS</t>
        </is>
      </c>
      <c r="H2926" s="1783" t="inlineStr">
        <is>
          <t>SERVIÇO</t>
        </is>
      </c>
      <c r="I2926" s="1750" t="inlineStr">
        <is>
          <t>18.034.001.001</t>
        </is>
      </c>
      <c r="J2926" s="1785" t="inlineStr">
        <is>
          <t>Contramarco de aço galvanizado - Fixado com Argamassa</t>
        </is>
      </c>
      <c r="K2926" s="1786" t="inlineStr">
        <is>
          <t>m</t>
        </is>
      </c>
      <c r="L2926" s="1787" t="n">
        <v>10</v>
      </c>
      <c r="M2926" s="1787" t="n">
        <v>66.84999999999999</v>
      </c>
      <c r="N2926" s="1754" t="n">
        <v>668.5</v>
      </c>
      <c r="O2926" s="1788" t="inlineStr">
        <is>
          <t>Tabela de esquadrias enviada pela Gessele</t>
        </is>
      </c>
      <c r="P2926" s="1721" t="inlineStr">
        <is>
          <t>Pendente</t>
        </is>
      </c>
    </row>
    <row r="2927" hidden="1" outlineLevel="3" ht="13.5" customHeight="1">
      <c r="A2927" s="2117" t="n">
        <v>0</v>
      </c>
      <c r="B2927" s="2117" t="n">
        <v>18</v>
      </c>
      <c r="C2927" s="2117" t="n">
        <v>34</v>
      </c>
      <c r="D2927" s="2118" t="n">
        <v>1</v>
      </c>
      <c r="E2927" s="2118" t="n">
        <v>2</v>
      </c>
      <c r="G2927" s="1798" t="inlineStr">
        <is>
          <t>ESQUADRIAS, VIDROS E FERRAGENS</t>
        </is>
      </c>
      <c r="H2927" s="1783" t="inlineStr">
        <is>
          <t>SERVIÇO</t>
        </is>
      </c>
      <c r="I2927" s="1750" t="inlineStr">
        <is>
          <t>18.034.001.002</t>
        </is>
      </c>
      <c r="J2927" s="1785" t="inlineStr">
        <is>
          <t>Porta corta-fogo, 1 folha, 80x210 cm</t>
        </is>
      </c>
      <c r="K2927" s="1786" t="inlineStr">
        <is>
          <t>un</t>
        </is>
      </c>
      <c r="L2927" s="1787" t="n">
        <v>2</v>
      </c>
      <c r="M2927" s="1787" t="n">
        <v>1100</v>
      </c>
      <c r="N2927" s="1754" t="n">
        <v>2200</v>
      </c>
      <c r="O2927" s="1788" t="inlineStr">
        <is>
          <t>Tabela de esquadrias enviada pela Gessele</t>
        </is>
      </c>
      <c r="P2927" s="1721" t="inlineStr">
        <is>
          <t>Pendente</t>
        </is>
      </c>
    </row>
    <row r="2928" hidden="1" outlineLevel="2" ht="13.5" customHeight="1">
      <c r="A2928" s="2117" t="n">
        <v>0</v>
      </c>
      <c r="B2928" s="2117" t="n">
        <v>18</v>
      </c>
      <c r="C2928" s="2117" t="n">
        <v>34</v>
      </c>
      <c r="D2928" s="2118" t="n">
        <v>2</v>
      </c>
      <c r="E2928" s="2118" t="n">
        <v>0</v>
      </c>
      <c r="G2928" s="1797" t="n"/>
      <c r="H2928" s="1777" t="inlineStr">
        <is>
          <t>SUBETAPA</t>
        </is>
      </c>
      <c r="I2928" s="1742" t="inlineStr">
        <is>
          <t>18.034.002</t>
        </is>
      </c>
      <c r="J2928" s="1779" t="inlineStr">
        <is>
          <t>Corrimão metálico</t>
        </is>
      </c>
      <c r="K2928" s="1780" t="n"/>
      <c r="L2928" s="1781" t="n"/>
      <c r="M2928" s="1781" t="n"/>
      <c r="N2928" s="1746" t="n"/>
      <c r="O2928" s="1782" t="n"/>
      <c r="P2928" s="1720" t="n"/>
    </row>
    <row r="2929" hidden="1" outlineLevel="3" ht="13.5" customHeight="1">
      <c r="A2929" s="2117" t="n">
        <v>0</v>
      </c>
      <c r="B2929" s="2117" t="n">
        <v>18</v>
      </c>
      <c r="C2929" s="2117" t="n">
        <v>34</v>
      </c>
      <c r="D2929" s="2118" t="n">
        <v>2</v>
      </c>
      <c r="E2929" s="2118" t="n">
        <v>1</v>
      </c>
      <c r="G2929" s="1798" t="inlineStr">
        <is>
          <t>ESQUADRIAS, VIDROS E FERRAGENS</t>
        </is>
      </c>
      <c r="H2929" s="1783" t="inlineStr">
        <is>
          <t>SERVIÇO</t>
        </is>
      </c>
      <c r="I2929" s="1750" t="inlineStr">
        <is>
          <t>18.034.002.001</t>
        </is>
      </c>
      <c r="J2929" s="1785" t="inlineStr">
        <is>
          <t>Corrimão Duplo Metálico - inox escovado 304 - fornecimento e instalação</t>
        </is>
      </c>
      <c r="K2929" s="1786" t="inlineStr">
        <is>
          <t>m</t>
        </is>
      </c>
      <c r="L2929" s="1787" t="e">
        <v>#REF!</v>
      </c>
      <c r="M2929" s="1787" t="n">
        <v>820</v>
      </c>
      <c r="N2929" s="1754" t="n"/>
      <c r="O2929" s="1788" t="inlineStr">
        <is>
          <t>Modelo do visus</t>
        </is>
      </c>
      <c r="P2929" s="1721" t="inlineStr">
        <is>
          <t>Pendente</t>
        </is>
      </c>
    </row>
    <row r="2930" hidden="1" outlineLevel="3" ht="13.5" customHeight="1">
      <c r="A2930" s="2117" t="n">
        <v>0</v>
      </c>
      <c r="B2930" s="2117" t="n">
        <v>18</v>
      </c>
      <c r="C2930" s="2117" t="n">
        <v>34</v>
      </c>
      <c r="D2930" s="2118" t="n">
        <v>2</v>
      </c>
      <c r="E2930" s="2118" t="n">
        <v>2</v>
      </c>
      <c r="G2930" s="1798" t="inlineStr">
        <is>
          <t>ESQUADRIAS, VIDROS E FERRAGENS</t>
        </is>
      </c>
      <c r="H2930" s="1783" t="inlineStr">
        <is>
          <t>SERVIÇO</t>
        </is>
      </c>
      <c r="I2930" s="1750" t="inlineStr">
        <is>
          <t>18.034.002.002</t>
        </is>
      </c>
      <c r="J2930" s="1785" t="inlineStr">
        <is>
          <t>Corrimão Parede Metálico - inox escovado 304 - fornecimento e instalação</t>
        </is>
      </c>
      <c r="K2930" s="1786" t="inlineStr">
        <is>
          <t>m</t>
        </is>
      </c>
      <c r="L2930" s="1787" t="e">
        <v>#REF!</v>
      </c>
      <c r="M2930" s="1787" t="n">
        <v>520</v>
      </c>
      <c r="N2930" s="1754" t="n"/>
      <c r="O2930" s="1788" t="inlineStr">
        <is>
          <t>Modelo do visus</t>
        </is>
      </c>
      <c r="P2930" s="1721" t="inlineStr">
        <is>
          <t>Pendente</t>
        </is>
      </c>
    </row>
    <row r="2931" hidden="1" outlineLevel="2" ht="13.5" customHeight="1">
      <c r="A2931" s="2117" t="n">
        <v>0</v>
      </c>
      <c r="B2931" s="2117" t="n">
        <v>18</v>
      </c>
      <c r="C2931" s="2117" t="n">
        <v>34</v>
      </c>
      <c r="D2931" s="2118" t="n">
        <v>3</v>
      </c>
      <c r="E2931" s="2118" t="n">
        <v>0</v>
      </c>
      <c r="G2931" s="1797" t="n"/>
      <c r="H2931" s="1777" t="inlineStr">
        <is>
          <t>SUBETAPA</t>
        </is>
      </c>
      <c r="I2931" s="1742" t="inlineStr">
        <is>
          <t>18.034.003</t>
        </is>
      </c>
      <c r="J2931" s="1779" t="inlineStr">
        <is>
          <t>Mão de obra</t>
        </is>
      </c>
      <c r="K2931" s="1780" t="n"/>
      <c r="L2931" s="1781" t="n"/>
      <c r="M2931" s="1781" t="n"/>
      <c r="N2931" s="1746" t="n">
        <v>600</v>
      </c>
      <c r="O2931" s="1782" t="n">
        <v>0.035821601261398</v>
      </c>
      <c r="P2931" s="1720" t="n"/>
    </row>
    <row r="2932" hidden="1" outlineLevel="3" ht="13.5" customHeight="1">
      <c r="A2932" s="2117" t="n">
        <v>0</v>
      </c>
      <c r="B2932" s="2117" t="n">
        <v>18</v>
      </c>
      <c r="C2932" s="2117" t="n">
        <v>34</v>
      </c>
      <c r="D2932" s="2118" t="n">
        <v>3</v>
      </c>
      <c r="E2932" s="2118" t="n">
        <v>1</v>
      </c>
      <c r="G2932" s="1798" t="inlineStr">
        <is>
          <t>ESQUADRIAS, VIDROS E FERRAGENS</t>
        </is>
      </c>
      <c r="H2932" s="1783" t="inlineStr">
        <is>
          <t>SERVIÇO</t>
        </is>
      </c>
      <c r="I2932" s="1750" t="inlineStr">
        <is>
          <t>18.034.003.001</t>
        </is>
      </c>
      <c r="J2932" s="1785" t="inlineStr">
        <is>
          <t>Mão de obra para instalação de portas corta-fogo</t>
        </is>
      </c>
      <c r="K2932" s="1786" t="inlineStr">
        <is>
          <t>un</t>
        </is>
      </c>
      <c r="L2932" s="1787" t="n">
        <v>2</v>
      </c>
      <c r="M2932" s="1787" t="n">
        <v>300</v>
      </c>
      <c r="N2932" s="1754" t="n">
        <v>600</v>
      </c>
      <c r="O2932" s="1788" t="inlineStr">
        <is>
          <t>Tabela de esquadrias enviada pela Gessele</t>
        </is>
      </c>
      <c r="P2932" s="1721" t="inlineStr">
        <is>
          <t>Pendente</t>
        </is>
      </c>
    </row>
    <row r="2933" hidden="1" outlineLevel="1" ht="13.5" customHeight="1">
      <c r="A2933" s="2117" t="n">
        <v>0</v>
      </c>
      <c r="B2933" s="2117" t="n">
        <v>18</v>
      </c>
      <c r="C2933" s="2117" t="n">
        <v>35</v>
      </c>
      <c r="D2933" s="2118" t="n">
        <v>0</v>
      </c>
      <c r="E2933" s="2118" t="n">
        <v>1</v>
      </c>
      <c r="G2933" s="1796" t="n"/>
      <c r="H2933" s="1771" t="inlineStr">
        <is>
          <t>ETAPA</t>
        </is>
      </c>
      <c r="I2933" s="1735" t="inlineStr">
        <is>
          <t>18.035</t>
        </is>
      </c>
      <c r="J2933" s="1773" t="inlineStr">
        <is>
          <t>PORTAS CORTA-FOGO - Duplex Superior</t>
        </is>
      </c>
      <c r="K2933" s="1774" t="n"/>
      <c r="L2933" s="1775" t="n"/>
      <c r="M2933" s="1775" t="n"/>
      <c r="N2933" s="1739" t="n"/>
      <c r="O2933" s="1776" t="n"/>
      <c r="P2933" s="1719" t="n"/>
    </row>
    <row r="2934" hidden="1" outlineLevel="2" ht="13.5" customHeight="1">
      <c r="A2934" s="2117" t="n">
        <v>0</v>
      </c>
      <c r="B2934" s="2117" t="n">
        <v>18</v>
      </c>
      <c r="C2934" s="2117" t="n">
        <v>35</v>
      </c>
      <c r="D2934" s="2118" t="n">
        <v>1</v>
      </c>
      <c r="E2934" s="2118" t="n">
        <v>0</v>
      </c>
      <c r="G2934" s="1797" t="n"/>
      <c r="H2934" s="1777" t="inlineStr">
        <is>
          <t>SUBETAPA</t>
        </is>
      </c>
      <c r="I2934" s="1742" t="inlineStr">
        <is>
          <t>18.035.001</t>
        </is>
      </c>
      <c r="J2934" s="1779" t="inlineStr">
        <is>
          <t>Esquadrias metálicas</t>
        </is>
      </c>
      <c r="K2934" s="1780" t="n"/>
      <c r="L2934" s="1781" t="n"/>
      <c r="M2934" s="1781" t="n"/>
      <c r="N2934" s="1746" t="n">
        <v>2868.5</v>
      </c>
      <c r="O2934" s="1782" t="n"/>
      <c r="P2934" s="1720" t="n"/>
    </row>
    <row r="2935" hidden="1" outlineLevel="3" ht="13.5" customHeight="1">
      <c r="A2935" s="2117" t="n">
        <v>0</v>
      </c>
      <c r="B2935" s="2117" t="n">
        <v>18</v>
      </c>
      <c r="C2935" s="2117" t="n">
        <v>35</v>
      </c>
      <c r="D2935" s="2118" t="n">
        <v>1</v>
      </c>
      <c r="E2935" s="2118" t="n">
        <v>1</v>
      </c>
      <c r="G2935" s="1798" t="inlineStr">
        <is>
          <t>ESQUADRIAS, VIDROS E FERRAGENS</t>
        </is>
      </c>
      <c r="H2935" s="1783" t="inlineStr">
        <is>
          <t>SERVIÇO</t>
        </is>
      </c>
      <c r="I2935" s="1750" t="inlineStr">
        <is>
          <t>18.035.001.001</t>
        </is>
      </c>
      <c r="J2935" s="1785" t="inlineStr">
        <is>
          <t>Contramarco de aço galvanizado - Fixado com Argamassa</t>
        </is>
      </c>
      <c r="K2935" s="1786" t="inlineStr">
        <is>
          <t>m</t>
        </is>
      </c>
      <c r="L2935" s="1787" t="n">
        <v>10</v>
      </c>
      <c r="M2935" s="1787" t="n">
        <v>66.84999999999999</v>
      </c>
      <c r="N2935" s="1754" t="n">
        <v>668.5</v>
      </c>
      <c r="O2935" s="1788" t="inlineStr">
        <is>
          <t>Tabela de esquadrias enviada pela Gessele</t>
        </is>
      </c>
      <c r="P2935" s="1721" t="inlineStr">
        <is>
          <t>Pendente</t>
        </is>
      </c>
    </row>
    <row r="2936" hidden="1" outlineLevel="3" ht="13.5" customHeight="1">
      <c r="A2936" s="2117" t="n">
        <v>0</v>
      </c>
      <c r="B2936" s="2117" t="n">
        <v>18</v>
      </c>
      <c r="C2936" s="2117" t="n">
        <v>35</v>
      </c>
      <c r="D2936" s="2118" t="n">
        <v>1</v>
      </c>
      <c r="E2936" s="2118" t="n">
        <v>2</v>
      </c>
      <c r="G2936" s="1798" t="inlineStr">
        <is>
          <t>ESQUADRIAS, VIDROS E FERRAGENS</t>
        </is>
      </c>
      <c r="H2936" s="1783" t="inlineStr">
        <is>
          <t>SERVIÇO</t>
        </is>
      </c>
      <c r="I2936" s="1750" t="inlineStr">
        <is>
          <t>18.035.001.002</t>
        </is>
      </c>
      <c r="J2936" s="1785" t="inlineStr">
        <is>
          <t>Porta corta-fogo, 1 folha, 80x210 cm</t>
        </is>
      </c>
      <c r="K2936" s="1786" t="inlineStr">
        <is>
          <t>un</t>
        </is>
      </c>
      <c r="L2936" s="1787" t="n">
        <v>2</v>
      </c>
      <c r="M2936" s="1787" t="n">
        <v>1100</v>
      </c>
      <c r="N2936" s="1754" t="n">
        <v>2200</v>
      </c>
      <c r="O2936" s="1788" t="inlineStr">
        <is>
          <t>Tabela de esquadrias enviada pela Gessele</t>
        </is>
      </c>
      <c r="P2936" s="1721" t="inlineStr">
        <is>
          <t>Pendente</t>
        </is>
      </c>
    </row>
    <row r="2937" hidden="1" outlineLevel="2" ht="13.5" customHeight="1">
      <c r="A2937" s="2117" t="n">
        <v>0</v>
      </c>
      <c r="B2937" s="2117" t="n">
        <v>18</v>
      </c>
      <c r="C2937" s="2117" t="n">
        <v>35</v>
      </c>
      <c r="D2937" s="2118" t="n">
        <v>2</v>
      </c>
      <c r="E2937" s="2118" t="n">
        <v>0</v>
      </c>
      <c r="G2937" s="1797" t="n"/>
      <c r="H2937" s="1777" t="inlineStr">
        <is>
          <t>SUBETAPA</t>
        </is>
      </c>
      <c r="I2937" s="1742" t="inlineStr">
        <is>
          <t>18.035.002</t>
        </is>
      </c>
      <c r="J2937" s="1779" t="inlineStr">
        <is>
          <t>Corrimão metálico</t>
        </is>
      </c>
      <c r="K2937" s="1780" t="n"/>
      <c r="L2937" s="1781" t="n"/>
      <c r="M2937" s="1781" t="n"/>
      <c r="N2937" s="1746" t="n"/>
      <c r="O2937" s="1782" t="n"/>
      <c r="P2937" s="1720" t="n"/>
    </row>
    <row r="2938" hidden="1" outlineLevel="3" ht="13.5" customHeight="1">
      <c r="A2938" s="2117" t="n">
        <v>0</v>
      </c>
      <c r="B2938" s="2117" t="n">
        <v>18</v>
      </c>
      <c r="C2938" s="2117" t="n">
        <v>35</v>
      </c>
      <c r="D2938" s="2118" t="n">
        <v>2</v>
      </c>
      <c r="E2938" s="2118" t="n">
        <v>1</v>
      </c>
      <c r="G2938" s="1798" t="inlineStr">
        <is>
          <t>ESQUADRIAS, VIDROS E FERRAGENS</t>
        </is>
      </c>
      <c r="H2938" s="1783" t="inlineStr">
        <is>
          <t>SERVIÇO</t>
        </is>
      </c>
      <c r="I2938" s="1750" t="inlineStr">
        <is>
          <t>18.035.002.001</t>
        </is>
      </c>
      <c r="J2938" s="1785" t="inlineStr">
        <is>
          <t>Corrimão Duplo Metálico - inox escovado 304 - fornecimento e instalação</t>
        </is>
      </c>
      <c r="K2938" s="1786" t="inlineStr">
        <is>
          <t>m</t>
        </is>
      </c>
      <c r="L2938" s="1787" t="e">
        <v>#REF!</v>
      </c>
      <c r="M2938" s="1787" t="n">
        <v>820</v>
      </c>
      <c r="N2938" s="1754" t="n"/>
      <c r="O2938" s="1788" t="inlineStr">
        <is>
          <t>Modelo do visus</t>
        </is>
      </c>
      <c r="P2938" s="1721" t="inlineStr">
        <is>
          <t>Pendente</t>
        </is>
      </c>
    </row>
    <row r="2939" hidden="1" outlineLevel="3" ht="13.5" customHeight="1">
      <c r="A2939" s="2117" t="n">
        <v>0</v>
      </c>
      <c r="B2939" s="2117" t="n">
        <v>18</v>
      </c>
      <c r="C2939" s="2117" t="n">
        <v>35</v>
      </c>
      <c r="D2939" s="2118" t="n">
        <v>2</v>
      </c>
      <c r="E2939" s="2118" t="n">
        <v>2</v>
      </c>
      <c r="G2939" s="1798" t="inlineStr">
        <is>
          <t>ESQUADRIAS, VIDROS E FERRAGENS</t>
        </is>
      </c>
      <c r="H2939" s="1783" t="inlineStr">
        <is>
          <t>SERVIÇO</t>
        </is>
      </c>
      <c r="I2939" s="1750" t="inlineStr">
        <is>
          <t>18.035.002.002</t>
        </is>
      </c>
      <c r="J2939" s="1785" t="inlineStr">
        <is>
          <t>Corrimão Parede Metálico - inox escovado 304 - fornecimento e instalação</t>
        </is>
      </c>
      <c r="K2939" s="1786" t="inlineStr">
        <is>
          <t>m</t>
        </is>
      </c>
      <c r="L2939" s="1787" t="e">
        <v>#REF!</v>
      </c>
      <c r="M2939" s="1787" t="n">
        <v>520</v>
      </c>
      <c r="N2939" s="1754" t="n"/>
      <c r="O2939" s="1788" t="inlineStr">
        <is>
          <t>Modelo do visus</t>
        </is>
      </c>
      <c r="P2939" s="1721" t="inlineStr">
        <is>
          <t>Pendente</t>
        </is>
      </c>
    </row>
    <row r="2940" hidden="1" outlineLevel="2" ht="12.75" customHeight="1">
      <c r="A2940" s="2117" t="n">
        <v>0</v>
      </c>
      <c r="B2940" s="2117" t="n">
        <v>18</v>
      </c>
      <c r="C2940" s="2117" t="n">
        <v>35</v>
      </c>
      <c r="D2940" s="2118" t="n">
        <v>3</v>
      </c>
      <c r="E2940" s="2118" t="n">
        <v>0</v>
      </c>
      <c r="G2940" s="1797" t="n"/>
      <c r="H2940" s="1777" t="inlineStr">
        <is>
          <t>SUBETAPA</t>
        </is>
      </c>
      <c r="I2940" s="1742" t="inlineStr">
        <is>
          <t>18.035.003</t>
        </is>
      </c>
      <c r="J2940" s="1779" t="inlineStr">
        <is>
          <t>Guarda Corpo metálico</t>
        </is>
      </c>
      <c r="K2940" s="1780" t="n"/>
      <c r="L2940" s="1781" t="n"/>
      <c r="M2940" s="1781" t="n"/>
      <c r="N2940" s="1746" t="n"/>
      <c r="O2940" s="1782" t="n"/>
      <c r="P2940" s="1720" t="n"/>
    </row>
    <row r="2941" hidden="1" outlineLevel="3" ht="12.75" customHeight="1">
      <c r="A2941" s="2117" t="n">
        <v>0</v>
      </c>
      <c r="B2941" s="2117" t="n">
        <v>18</v>
      </c>
      <c r="C2941" s="2117" t="n">
        <v>35</v>
      </c>
      <c r="D2941" s="2118" t="n">
        <v>3</v>
      </c>
      <c r="E2941" s="2118" t="n">
        <v>1</v>
      </c>
      <c r="G2941" s="1798" t="inlineStr">
        <is>
          <t>ESQUADRIAS, VIDROS E FERRAGENS</t>
        </is>
      </c>
      <c r="H2941" s="1783" t="inlineStr">
        <is>
          <t>SERVIÇO</t>
        </is>
      </c>
      <c r="I2941" s="1750" t="inlineStr">
        <is>
          <t>18.035.003.001</t>
        </is>
      </c>
      <c r="J2941" s="1785" t="inlineStr">
        <is>
          <t>Guarda Corpo metálico - inox 304 escovado - fornecimento e instalação</t>
        </is>
      </c>
      <c r="K2941" s="1786" t="inlineStr">
        <is>
          <t>m2</t>
        </is>
      </c>
      <c r="L2941" s="1787" t="e">
        <v>#REF!</v>
      </c>
      <c r="M2941" s="1787" t="n">
        <v>1240</v>
      </c>
      <c r="N2941" s="1754" t="n"/>
      <c r="O2941" s="1788" t="inlineStr">
        <is>
          <t>Modelo do visus</t>
        </is>
      </c>
      <c r="P2941" s="1721" t="inlineStr">
        <is>
          <t>Pendente</t>
        </is>
      </c>
    </row>
    <row r="2942" hidden="1" outlineLevel="2" ht="13.5" customHeight="1">
      <c r="A2942" s="2117" t="n">
        <v>0</v>
      </c>
      <c r="B2942" s="2117" t="n">
        <v>18</v>
      </c>
      <c r="C2942" s="2117" t="n">
        <v>35</v>
      </c>
      <c r="D2942" s="2118" t="n">
        <v>4</v>
      </c>
      <c r="E2942" s="2118" t="n">
        <v>0</v>
      </c>
      <c r="G2942" s="1797" t="n"/>
      <c r="H2942" s="1777" t="inlineStr">
        <is>
          <t>SUBETAPA</t>
        </is>
      </c>
      <c r="I2942" s="1742" t="inlineStr">
        <is>
          <t>18.035.004</t>
        </is>
      </c>
      <c r="J2942" s="1779" t="inlineStr">
        <is>
          <t>Mão de obra</t>
        </is>
      </c>
      <c r="K2942" s="1780" t="n"/>
      <c r="L2942" s="1781" t="n"/>
      <c r="M2942" s="1781" t="n"/>
      <c r="N2942" s="1746" t="n">
        <v>600</v>
      </c>
      <c r="O2942" s="1782" t="n">
        <v>0.035821601261398</v>
      </c>
      <c r="P2942" s="1720" t="n"/>
    </row>
    <row r="2943" hidden="1" outlineLevel="3" ht="13.5" customHeight="1">
      <c r="A2943" s="2117" t="n">
        <v>0</v>
      </c>
      <c r="B2943" s="2117" t="n">
        <v>18</v>
      </c>
      <c r="C2943" s="2117" t="n">
        <v>35</v>
      </c>
      <c r="D2943" s="2118" t="n">
        <v>4</v>
      </c>
      <c r="E2943" s="2118" t="n">
        <v>1</v>
      </c>
      <c r="G2943" s="1798" t="inlineStr">
        <is>
          <t>ESQUADRIAS, VIDROS E FERRAGENS</t>
        </is>
      </c>
      <c r="H2943" s="1783" t="inlineStr">
        <is>
          <t>SERVIÇO</t>
        </is>
      </c>
      <c r="I2943" s="1750" t="inlineStr">
        <is>
          <t>18.035.004.001</t>
        </is>
      </c>
      <c r="J2943" s="1785" t="inlineStr">
        <is>
          <t>Mão de obra para instalação de portas corta-fogo</t>
        </is>
      </c>
      <c r="K2943" s="1786" t="inlineStr">
        <is>
          <t>un</t>
        </is>
      </c>
      <c r="L2943" s="1787" t="n">
        <v>2</v>
      </c>
      <c r="M2943" s="1787" t="n">
        <v>300</v>
      </c>
      <c r="N2943" s="1754" t="n">
        <v>600</v>
      </c>
      <c r="O2943" s="1788" t="inlineStr">
        <is>
          <t>Tabela de esquadrias enviada pela Gessele</t>
        </is>
      </c>
      <c r="P2943" s="1721" t="inlineStr">
        <is>
          <t>Pendente</t>
        </is>
      </c>
    </row>
    <row r="2944" hidden="1" outlineLevel="1" ht="13.5" customHeight="1">
      <c r="A2944" s="2117" t="n">
        <v>0</v>
      </c>
      <c r="B2944" s="2117" t="n">
        <v>18</v>
      </c>
      <c r="C2944" s="2117" t="n">
        <v>36</v>
      </c>
      <c r="D2944" s="2118" t="n">
        <v>0</v>
      </c>
      <c r="E2944" s="2118" t="n">
        <v>1</v>
      </c>
      <c r="G2944" s="1796" t="n"/>
      <c r="H2944" s="1771" t="inlineStr">
        <is>
          <t>ETAPA</t>
        </is>
      </c>
      <c r="I2944" s="1735" t="inlineStr">
        <is>
          <t>18.036</t>
        </is>
      </c>
      <c r="J2944" s="1773" t="inlineStr">
        <is>
          <t>PORTAS CORTA-FOGO - Cobertura | Barrilete</t>
        </is>
      </c>
      <c r="K2944" s="1774" t="n"/>
      <c r="L2944" s="1775" t="n"/>
      <c r="M2944" s="1775" t="n"/>
      <c r="N2944" s="1739" t="n"/>
      <c r="O2944" s="1776" t="n"/>
      <c r="P2944" s="1719" t="n"/>
    </row>
    <row r="2945" hidden="1" outlineLevel="2" ht="13.5" customHeight="1">
      <c r="A2945" s="2117" t="n">
        <v>0</v>
      </c>
      <c r="B2945" s="2117" t="n">
        <v>18</v>
      </c>
      <c r="C2945" s="2117" t="n">
        <v>36</v>
      </c>
      <c r="D2945" s="2118" t="n">
        <v>1</v>
      </c>
      <c r="E2945" s="2118" t="n">
        <v>0</v>
      </c>
      <c r="G2945" s="1797" t="n"/>
      <c r="H2945" s="1777" t="inlineStr">
        <is>
          <t>SUBETAPA</t>
        </is>
      </c>
      <c r="I2945" s="1742" t="inlineStr">
        <is>
          <t>18.036.001</t>
        </is>
      </c>
      <c r="J2945" s="1779" t="inlineStr">
        <is>
          <t>Esquadrias metálicas</t>
        </is>
      </c>
      <c r="K2945" s="1780" t="n"/>
      <c r="L2945" s="1781" t="n"/>
      <c r="M2945" s="1781" t="n"/>
      <c r="N2945" s="1746" t="n">
        <v>1434.25</v>
      </c>
      <c r="O2945" s="1782" t="n"/>
      <c r="P2945" s="1720" t="n"/>
    </row>
    <row r="2946" hidden="1" outlineLevel="3" ht="13.5" customHeight="1">
      <c r="A2946" s="2117" t="n">
        <v>0</v>
      </c>
      <c r="B2946" s="2117" t="n">
        <v>18</v>
      </c>
      <c r="C2946" s="2117" t="n">
        <v>36</v>
      </c>
      <c r="D2946" s="2118" t="n">
        <v>1</v>
      </c>
      <c r="E2946" s="2118" t="n">
        <v>1</v>
      </c>
      <c r="G2946" s="1798" t="inlineStr">
        <is>
          <t>ESQUADRIAS, VIDROS E FERRAGENS</t>
        </is>
      </c>
      <c r="H2946" s="1783" t="inlineStr">
        <is>
          <t>SERVIÇO</t>
        </is>
      </c>
      <c r="I2946" s="1750" t="inlineStr">
        <is>
          <t>18.036.001.001</t>
        </is>
      </c>
      <c r="J2946" s="1785" t="inlineStr">
        <is>
          <t>Contramarco de aço galvanizado - Fixado com Argamassa</t>
        </is>
      </c>
      <c r="K2946" s="1786" t="inlineStr">
        <is>
          <t>m</t>
        </is>
      </c>
      <c r="L2946" s="1787" t="n">
        <v>5</v>
      </c>
      <c r="M2946" s="1787" t="n">
        <v>66.84999999999999</v>
      </c>
      <c r="N2946" s="1754" t="n">
        <v>334.25</v>
      </c>
      <c r="O2946" s="1788" t="inlineStr">
        <is>
          <t>Tabela de esquadrias enviada pela Gessele</t>
        </is>
      </c>
      <c r="P2946" s="1721" t="inlineStr">
        <is>
          <t>Pendente</t>
        </is>
      </c>
    </row>
    <row r="2947" hidden="1" outlineLevel="3" ht="13.5" customHeight="1">
      <c r="A2947" s="2117" t="n">
        <v>0</v>
      </c>
      <c r="B2947" s="2117" t="n">
        <v>18</v>
      </c>
      <c r="C2947" s="2117" t="n">
        <v>36</v>
      </c>
      <c r="D2947" s="2118" t="n">
        <v>1</v>
      </c>
      <c r="E2947" s="2118" t="n">
        <v>2</v>
      </c>
      <c r="G2947" s="1798" t="inlineStr">
        <is>
          <t>ESQUADRIAS, VIDROS E FERRAGENS</t>
        </is>
      </c>
      <c r="H2947" s="1783" t="inlineStr">
        <is>
          <t>SERVIÇO</t>
        </is>
      </c>
      <c r="I2947" s="1750" t="inlineStr">
        <is>
          <t>18.036.001.002</t>
        </is>
      </c>
      <c r="J2947" s="1785" t="inlineStr">
        <is>
          <t>Porta corta-fogo, 1 folha, 80x210 cm</t>
        </is>
      </c>
      <c r="K2947" s="1786" t="inlineStr">
        <is>
          <t>un</t>
        </is>
      </c>
      <c r="L2947" s="1787" t="n">
        <v>1</v>
      </c>
      <c r="M2947" s="1787" t="n">
        <v>1100</v>
      </c>
      <c r="N2947" s="1754" t="n">
        <v>1100</v>
      </c>
      <c r="O2947" s="1788" t="inlineStr">
        <is>
          <t>Tabela de esquadrias enviada pela Gessele</t>
        </is>
      </c>
      <c r="P2947" s="1721" t="inlineStr">
        <is>
          <t>Pendente</t>
        </is>
      </c>
    </row>
    <row r="2948" hidden="1" outlineLevel="2" ht="12.75" customHeight="1">
      <c r="A2948" s="2117" t="n">
        <v>0</v>
      </c>
      <c r="B2948" s="2117" t="n">
        <v>18</v>
      </c>
      <c r="C2948" s="2117" t="n">
        <v>36</v>
      </c>
      <c r="D2948" s="2118" t="n">
        <v>2</v>
      </c>
      <c r="E2948" s="2118" t="n">
        <v>0</v>
      </c>
      <c r="G2948" s="1797" t="n"/>
      <c r="H2948" s="1777" t="inlineStr">
        <is>
          <t>SUBETAPA</t>
        </is>
      </c>
      <c r="I2948" s="1742" t="inlineStr">
        <is>
          <t>18.036.002</t>
        </is>
      </c>
      <c r="J2948" s="1779" t="inlineStr">
        <is>
          <t>Guarda Corpo metálico</t>
        </is>
      </c>
      <c r="K2948" s="1780" t="n"/>
      <c r="L2948" s="1781" t="n"/>
      <c r="M2948" s="1781" t="n"/>
      <c r="N2948" s="1746" t="n"/>
      <c r="O2948" s="1782" t="n"/>
      <c r="P2948" s="1720" t="n"/>
    </row>
    <row r="2949" hidden="1" outlineLevel="3" ht="12.75" customHeight="1">
      <c r="A2949" s="2117" t="n">
        <v>0</v>
      </c>
      <c r="B2949" s="2117" t="n">
        <v>18</v>
      </c>
      <c r="C2949" s="2117" t="n">
        <v>36</v>
      </c>
      <c r="D2949" s="2118" t="n">
        <v>2</v>
      </c>
      <c r="E2949" s="2118" t="n">
        <v>1</v>
      </c>
      <c r="G2949" s="1798" t="inlineStr">
        <is>
          <t>ESQUADRIAS, VIDROS E FERRAGENS</t>
        </is>
      </c>
      <c r="H2949" s="1783" t="inlineStr">
        <is>
          <t>SERVIÇO</t>
        </is>
      </c>
      <c r="I2949" s="1750" t="inlineStr">
        <is>
          <t>18.036.002.001</t>
        </is>
      </c>
      <c r="J2949" s="1785" t="inlineStr">
        <is>
          <t>Guarda Corpo metálico - inox 304 escovado - fornecimento e instalação</t>
        </is>
      </c>
      <c r="K2949" s="1786" t="inlineStr">
        <is>
          <t>m2</t>
        </is>
      </c>
      <c r="L2949" s="1787" t="e">
        <v>#REF!</v>
      </c>
      <c r="M2949" s="1787" t="n">
        <v>1240</v>
      </c>
      <c r="N2949" s="1754" t="n"/>
      <c r="O2949" s="1788" t="inlineStr">
        <is>
          <t>Modelo do visus</t>
        </is>
      </c>
      <c r="P2949" s="1721" t="inlineStr">
        <is>
          <t>Pendente</t>
        </is>
      </c>
    </row>
    <row r="2950" hidden="1" outlineLevel="2" ht="12.75" customHeight="1">
      <c r="A2950" s="2117" t="n">
        <v>0</v>
      </c>
      <c r="B2950" s="2117" t="n">
        <v>18</v>
      </c>
      <c r="C2950" s="2117" t="n">
        <v>36</v>
      </c>
      <c r="D2950" s="2118" t="n">
        <v>3</v>
      </c>
      <c r="E2950" s="2118" t="n">
        <v>0</v>
      </c>
      <c r="G2950" s="1797" t="n"/>
      <c r="H2950" s="1777" t="inlineStr">
        <is>
          <t>SUBETAPA</t>
        </is>
      </c>
      <c r="I2950" s="1742" t="inlineStr">
        <is>
          <t>18.036.003</t>
        </is>
      </c>
      <c r="J2950" s="1779" t="inlineStr">
        <is>
          <t>Serralheria</t>
        </is>
      </c>
      <c r="K2950" s="1780" t="n"/>
      <c r="L2950" s="1781" t="n"/>
      <c r="M2950" s="1781" t="n"/>
      <c r="N2950" s="1746" t="n">
        <v>2405</v>
      </c>
      <c r="O2950" s="1782" t="n"/>
      <c r="P2950" s="1720" t="n"/>
    </row>
    <row r="2951" hidden="1" outlineLevel="3" ht="12.75" customHeight="1">
      <c r="A2951" s="2117" t="n">
        <v>0</v>
      </c>
      <c r="B2951" s="2117" t="n">
        <v>18</v>
      </c>
      <c r="C2951" s="2117" t="n">
        <v>36</v>
      </c>
      <c r="D2951" s="2118" t="n">
        <v>3</v>
      </c>
      <c r="E2951" s="2118" t="n">
        <v>1</v>
      </c>
      <c r="G2951" s="1798" t="inlineStr">
        <is>
          <t>ESQUADRIAS, VIDROS E FERRAGENS</t>
        </is>
      </c>
      <c r="H2951" s="1783" t="inlineStr">
        <is>
          <t>SERVIÇO</t>
        </is>
      </c>
      <c r="I2951" s="1750" t="inlineStr">
        <is>
          <t>18.036.003.001</t>
        </is>
      </c>
      <c r="J2951" s="1785" t="inlineStr">
        <is>
          <t>Escada de marinheiro</t>
        </is>
      </c>
      <c r="K2951" s="1786" t="inlineStr">
        <is>
          <t>un</t>
        </is>
      </c>
      <c r="L2951" s="1787" t="n">
        <v>1</v>
      </c>
      <c r="M2951" s="1787" t="n">
        <v>2405</v>
      </c>
      <c r="N2951" s="1754" t="n">
        <v>2405</v>
      </c>
      <c r="O2951" s="1788" t="n"/>
      <c r="P2951" s="1721" t="inlineStr">
        <is>
          <t>Pendente</t>
        </is>
      </c>
    </row>
    <row r="2952" hidden="1" outlineLevel="2" ht="13.5" customHeight="1">
      <c r="A2952" s="2117" t="n">
        <v>0</v>
      </c>
      <c r="B2952" s="2117" t="n">
        <v>18</v>
      </c>
      <c r="C2952" s="2117" t="n">
        <v>36</v>
      </c>
      <c r="D2952" s="2118" t="n">
        <v>4</v>
      </c>
      <c r="E2952" s="2118" t="n">
        <v>0</v>
      </c>
      <c r="G2952" s="1797" t="n"/>
      <c r="H2952" s="1777" t="inlineStr">
        <is>
          <t>SUBETAPA</t>
        </is>
      </c>
      <c r="I2952" s="1742" t="inlineStr">
        <is>
          <t>18.036.004</t>
        </is>
      </c>
      <c r="J2952" s="1779" t="inlineStr">
        <is>
          <t>Mão de obra</t>
        </is>
      </c>
      <c r="K2952" s="1780" t="n"/>
      <c r="L2952" s="1781" t="n"/>
      <c r="M2952" s="1781" t="n"/>
      <c r="N2952" s="1746" t="n">
        <v>300</v>
      </c>
      <c r="O2952" s="1782" t="n">
        <v>0.017910800630699</v>
      </c>
      <c r="P2952" s="1720" t="n"/>
    </row>
    <row r="2953" hidden="1" outlineLevel="3" ht="13.5" customHeight="1">
      <c r="A2953" s="2117" t="n">
        <v>0</v>
      </c>
      <c r="B2953" s="2117" t="n">
        <v>18</v>
      </c>
      <c r="C2953" s="2117" t="n">
        <v>36</v>
      </c>
      <c r="D2953" s="2118" t="n">
        <v>4</v>
      </c>
      <c r="E2953" s="2118" t="n">
        <v>1</v>
      </c>
      <c r="G2953" s="1798" t="inlineStr">
        <is>
          <t>ESQUADRIAS, VIDROS E FERRAGENS</t>
        </is>
      </c>
      <c r="H2953" s="1783" t="inlineStr">
        <is>
          <t>SERVIÇO</t>
        </is>
      </c>
      <c r="I2953" s="1750" t="inlineStr">
        <is>
          <t>18.036.004.001</t>
        </is>
      </c>
      <c r="J2953" s="1785" t="inlineStr">
        <is>
          <t>Mão de obra para instalação de portas corta-fogo</t>
        </is>
      </c>
      <c r="K2953" s="1786" t="inlineStr">
        <is>
          <t>un</t>
        </is>
      </c>
      <c r="L2953" s="1787" t="n">
        <v>1</v>
      </c>
      <c r="M2953" s="1787" t="n">
        <v>300</v>
      </c>
      <c r="N2953" s="1754" t="n">
        <v>300</v>
      </c>
      <c r="O2953" s="1788" t="inlineStr">
        <is>
          <t>Tabela de esquadrias enviada pela Gessele</t>
        </is>
      </c>
      <c r="P2953" s="1721" t="inlineStr">
        <is>
          <t>Pendente</t>
        </is>
      </c>
    </row>
    <row r="2954" collapsed="1" ht="13.9" customHeight="1">
      <c r="A2954" s="2117" t="n">
        <v>0</v>
      </c>
      <c r="B2954" s="2117" t="n">
        <v>19</v>
      </c>
      <c r="C2954" s="2117" t="n">
        <v>0</v>
      </c>
      <c r="D2954" s="2118" t="n">
        <v>4</v>
      </c>
      <c r="E2954" s="2118" t="n">
        <v>1</v>
      </c>
      <c r="F2954" s="569" t="n"/>
      <c r="G2954" s="1794" t="n"/>
      <c r="H2954" s="1766" t="inlineStr">
        <is>
          <t>CÉLULA CONSTRUTIVA</t>
        </is>
      </c>
      <c r="I2954" s="1728" t="inlineStr">
        <is>
          <t>19</t>
        </is>
      </c>
      <c r="J2954" s="1795" t="inlineStr">
        <is>
          <t>LOUÇAS E METAIS</t>
        </is>
      </c>
      <c r="K2954" s="1768" t="n"/>
      <c r="L2954" s="1769" t="n"/>
      <c r="M2954" s="1769" t="n"/>
      <c r="N2954" s="1732" t="n">
        <v>500535.85</v>
      </c>
      <c r="O2954" s="1770" t="n">
        <v>29.8833260595582</v>
      </c>
      <c r="P2954" s="1724" t="n"/>
    </row>
    <row r="2955" hidden="1" outlineLevel="1" ht="13.9" customHeight="1">
      <c r="A2955" s="2117" t="n">
        <v>0</v>
      </c>
      <c r="B2955" s="2117" t="n">
        <v>19</v>
      </c>
      <c r="C2955" s="2117" t="n">
        <v>1</v>
      </c>
      <c r="D2955" s="2118" t="n">
        <v>0</v>
      </c>
      <c r="E2955" s="2118" t="n">
        <v>1</v>
      </c>
      <c r="F2955" s="569" t="n"/>
      <c r="G2955" s="1796" t="n"/>
      <c r="H2955" s="1771" t="inlineStr">
        <is>
          <t>ETAPA</t>
        </is>
      </c>
      <c r="I2955" s="1735" t="inlineStr">
        <is>
          <t>19.001</t>
        </is>
      </c>
      <c r="J2955" s="1773" t="inlineStr">
        <is>
          <t>LOUÇAS E METAIS - Térreo</t>
        </is>
      </c>
      <c r="K2955" s="1774" t="n"/>
      <c r="L2955" s="1775" t="n"/>
      <c r="M2955" s="1775" t="n"/>
      <c r="N2955" s="1739" t="n">
        <v>110511.67</v>
      </c>
      <c r="O2955" s="1776" t="n"/>
      <c r="P2955" s="1725" t="n"/>
    </row>
    <row r="2956" hidden="1" outlineLevel="2" ht="15.75" customHeight="1">
      <c r="A2956" s="2117" t="n">
        <v>0</v>
      </c>
      <c r="B2956" s="2117" t="n">
        <v>19</v>
      </c>
      <c r="C2956" s="2117" t="n">
        <v>1</v>
      </c>
      <c r="D2956" s="2118" t="n">
        <v>1</v>
      </c>
      <c r="E2956" s="2118" t="n">
        <v>0</v>
      </c>
      <c r="F2956" s="569" t="n"/>
      <c r="G2956" s="1797" t="n"/>
      <c r="H2956" s="1777" t="inlineStr">
        <is>
          <t>SUBETAPA</t>
        </is>
      </c>
      <c r="I2956" s="1742" t="inlineStr">
        <is>
          <t>19.001.001</t>
        </is>
      </c>
      <c r="J2956" s="1779" t="inlineStr">
        <is>
          <t>Louças</t>
        </is>
      </c>
      <c r="K2956" s="1780" t="n"/>
      <c r="L2956" s="1781" t="n"/>
      <c r="M2956" s="1781" t="n"/>
      <c r="N2956" s="1746" t="n">
        <v>14835.12</v>
      </c>
      <c r="O2956" s="1782" t="n"/>
      <c r="P2956" s="1720" t="n"/>
    </row>
    <row r="2957" hidden="1" outlineLevel="3" ht="13.9" customHeight="1">
      <c r="A2957" s="2117" t="n">
        <v>0</v>
      </c>
      <c r="B2957" s="2117" t="n">
        <v>19</v>
      </c>
      <c r="C2957" s="2117" t="n">
        <v>1</v>
      </c>
      <c r="D2957" s="2118" t="n">
        <v>1</v>
      </c>
      <c r="E2957" s="2118" t="n">
        <v>1</v>
      </c>
      <c r="F2957" s="569" t="n"/>
      <c r="G2957" s="1798" t="inlineStr">
        <is>
          <t>LOUÇAS E METAIS</t>
        </is>
      </c>
      <c r="H2957" s="1783" t="inlineStr">
        <is>
          <t>SERVIÇO</t>
        </is>
      </c>
      <c r="I2957" s="1750" t="inlineStr">
        <is>
          <t>19.001.001.001</t>
        </is>
      </c>
      <c r="J2957" s="1785" t="inlineStr">
        <is>
          <t xml:space="preserve">Louças </t>
        </is>
      </c>
      <c r="K2957" s="1786" t="inlineStr">
        <is>
          <t>vb</t>
        </is>
      </c>
      <c r="L2957" s="1787" t="n">
        <v>1</v>
      </c>
      <c r="M2957" s="1787" t="n">
        <v>14835.12</v>
      </c>
      <c r="N2957" s="1754" t="n">
        <v>14835.12</v>
      </c>
      <c r="O2957" s="1788" t="n"/>
      <c r="P2957" s="1721" t="inlineStr">
        <is>
          <t>Pendente</t>
        </is>
      </c>
    </row>
    <row r="2958" hidden="1" outlineLevel="2" ht="13.9" customHeight="1">
      <c r="A2958" s="2117" t="n">
        <v>0</v>
      </c>
      <c r="B2958" s="2117" t="n">
        <v>19</v>
      </c>
      <c r="C2958" s="2117" t="n">
        <v>1</v>
      </c>
      <c r="D2958" s="2118" t="n">
        <v>2</v>
      </c>
      <c r="E2958" s="2118" t="n">
        <v>0</v>
      </c>
      <c r="F2958" s="569" t="n"/>
      <c r="G2958" s="1797" t="n"/>
      <c r="H2958" s="1777" t="inlineStr">
        <is>
          <t>SUBETAPA</t>
        </is>
      </c>
      <c r="I2958" s="1742" t="inlineStr">
        <is>
          <t>19.001.002</t>
        </is>
      </c>
      <c r="J2958" s="1779" t="inlineStr">
        <is>
          <t>Metais e acessórios</t>
        </is>
      </c>
      <c r="K2958" s="1780" t="n"/>
      <c r="L2958" s="1781" t="n"/>
      <c r="M2958" s="1781" t="n"/>
      <c r="N2958" s="1746" t="n">
        <v>67242.11</v>
      </c>
      <c r="O2958" s="1782" t="n"/>
      <c r="P2958" s="1720" t="n"/>
    </row>
    <row r="2959" hidden="1" outlineLevel="3" ht="13.9" customHeight="1">
      <c r="A2959" s="2117" t="n">
        <v>0</v>
      </c>
      <c r="B2959" s="2117" t="n">
        <v>19</v>
      </c>
      <c r="C2959" s="2117" t="n">
        <v>1</v>
      </c>
      <c r="D2959" s="2118" t="n">
        <v>2</v>
      </c>
      <c r="E2959" s="2118" t="n">
        <v>1</v>
      </c>
      <c r="F2959" s="569" t="n"/>
      <c r="G2959" s="1798" t="inlineStr">
        <is>
          <t>LOUÇAS E METAIS</t>
        </is>
      </c>
      <c r="H2959" s="1783" t="inlineStr">
        <is>
          <t>SERVIÇO</t>
        </is>
      </c>
      <c r="I2959" s="1750" t="inlineStr">
        <is>
          <t>19.001.002.001</t>
        </is>
      </c>
      <c r="J2959" s="1785" t="inlineStr">
        <is>
          <t>Acabamentos e acessórios</t>
        </is>
      </c>
      <c r="K2959" s="1786" t="inlineStr">
        <is>
          <t>vb</t>
        </is>
      </c>
      <c r="L2959" s="1787" t="n">
        <v>1</v>
      </c>
      <c r="M2959" s="1787" t="n">
        <v>67242.11</v>
      </c>
      <c r="N2959" s="1754" t="n">
        <v>67242.11</v>
      </c>
      <c r="O2959" s="1788" t="n"/>
      <c r="P2959" s="1721" t="inlineStr">
        <is>
          <t>Pendente</t>
        </is>
      </c>
    </row>
    <row r="2960" hidden="1" outlineLevel="2" ht="13.9" customHeight="1">
      <c r="A2960" s="2117" t="n">
        <v>0</v>
      </c>
      <c r="B2960" s="2117" t="n">
        <v>19</v>
      </c>
      <c r="C2960" s="2117" t="n">
        <v>1</v>
      </c>
      <c r="D2960" s="2118" t="n">
        <v>3</v>
      </c>
      <c r="E2960" s="2118" t="n">
        <v>0</v>
      </c>
      <c r="F2960" s="569" t="n"/>
      <c r="G2960" s="1797" t="n"/>
      <c r="H2960" s="1777" t="inlineStr">
        <is>
          <t>SUBETAPA</t>
        </is>
      </c>
      <c r="I2960" s="1742" t="inlineStr">
        <is>
          <t>19.001.003</t>
        </is>
      </c>
      <c r="J2960" s="1779" t="inlineStr">
        <is>
          <t>Bancadas, pias e divisórias</t>
        </is>
      </c>
      <c r="K2960" s="1780" t="n"/>
      <c r="L2960" s="1781" t="n"/>
      <c r="M2960" s="1781" t="n"/>
      <c r="N2960" s="1746" t="n">
        <v>22157.8</v>
      </c>
      <c r="O2960" s="1782" t="n"/>
      <c r="P2960" s="1720" t="n"/>
    </row>
    <row r="2961" hidden="1" outlineLevel="3" ht="13.9" customHeight="1">
      <c r="A2961" s="2117" t="n">
        <v>0</v>
      </c>
      <c r="B2961" s="2117" t="n">
        <v>19</v>
      </c>
      <c r="C2961" s="2117" t="n">
        <v>1</v>
      </c>
      <c r="D2961" s="2118" t="n">
        <v>3</v>
      </c>
      <c r="E2961" s="2118" t="n">
        <v>1</v>
      </c>
      <c r="F2961" s="569" t="n"/>
      <c r="G2961" s="1798" t="inlineStr">
        <is>
          <t>LOUÇAS E METAIS</t>
        </is>
      </c>
      <c r="H2961" s="1783" t="inlineStr">
        <is>
          <t>SERVIÇO</t>
        </is>
      </c>
      <c r="I2961" s="1750" t="inlineStr">
        <is>
          <t>19.001.003.001</t>
        </is>
      </c>
      <c r="J2961" s="1785" t="inlineStr">
        <is>
          <t xml:space="preserve">Tampo de Granito </t>
        </is>
      </c>
      <c r="K2961" s="1786" t="inlineStr">
        <is>
          <t>vb</t>
        </is>
      </c>
      <c r="L2961" s="1787" t="n">
        <v>1</v>
      </c>
      <c r="M2961" s="1787" t="n">
        <v>22157.8</v>
      </c>
      <c r="N2961" s="1754" t="n">
        <v>22157.8</v>
      </c>
      <c r="O2961" s="1788" t="n"/>
      <c r="P2961" s="1721" t="inlineStr">
        <is>
          <t>Pendente</t>
        </is>
      </c>
    </row>
    <row r="2962" hidden="1" outlineLevel="2" ht="13.9" customHeight="1">
      <c r="A2962" s="2117" t="n">
        <v>0</v>
      </c>
      <c r="B2962" s="2117" t="n">
        <v>19</v>
      </c>
      <c r="C2962" s="2117" t="n">
        <v>1</v>
      </c>
      <c r="D2962" s="2118" t="n">
        <v>4</v>
      </c>
      <c r="E2962" s="2118" t="n">
        <v>0</v>
      </c>
      <c r="F2962" s="569" t="n"/>
      <c r="G2962" s="1797" t="n"/>
      <c r="H2962" s="1777" t="inlineStr">
        <is>
          <t>SUBETAPA</t>
        </is>
      </c>
      <c r="I2962" s="1742" t="inlineStr">
        <is>
          <t>19.001.004</t>
        </is>
      </c>
      <c r="J2962" s="1779" t="inlineStr">
        <is>
          <t>Mão de obra</t>
        </is>
      </c>
      <c r="K2962" s="1780" t="n"/>
      <c r="L2962" s="1781" t="n"/>
      <c r="M2962" s="1781" t="n"/>
      <c r="N2962" s="1746" t="n">
        <v>6276.64</v>
      </c>
      <c r="O2962" s="1782" t="n"/>
      <c r="P2962" s="1720" t="n"/>
    </row>
    <row r="2963" hidden="1" outlineLevel="3" ht="13.9" customHeight="1">
      <c r="A2963" s="2117" t="n">
        <v>0</v>
      </c>
      <c r="B2963" s="2117" t="n">
        <v>19</v>
      </c>
      <c r="C2963" s="2117" t="n">
        <v>1</v>
      </c>
      <c r="D2963" s="2118" t="n">
        <v>4</v>
      </c>
      <c r="E2963" s="2118" t="n">
        <v>1</v>
      </c>
      <c r="F2963" s="569" t="n"/>
      <c r="G2963" s="1798" t="inlineStr">
        <is>
          <t>LOUÇAS E METAIS</t>
        </is>
      </c>
      <c r="H2963" s="1783" t="inlineStr">
        <is>
          <t>SERVIÇO</t>
        </is>
      </c>
      <c r="I2963" s="1750" t="inlineStr">
        <is>
          <t>19.001.004.001</t>
        </is>
      </c>
      <c r="J2963" s="1785" t="inlineStr">
        <is>
          <t>Instalação de louças e metais sanitários</t>
        </is>
      </c>
      <c r="K2963" s="1786" t="inlineStr">
        <is>
          <t>vb</t>
        </is>
      </c>
      <c r="L2963" s="1787" t="n">
        <v>1</v>
      </c>
      <c r="M2963" s="1787" t="n">
        <v>6276.64</v>
      </c>
      <c r="N2963" s="1754" t="n">
        <v>6276.64</v>
      </c>
      <c r="O2963" s="1788" t="n"/>
      <c r="P2963" s="1721" t="inlineStr">
        <is>
          <t>Pendente</t>
        </is>
      </c>
    </row>
    <row r="2964" hidden="1" outlineLevel="1" ht="13.9" customHeight="1">
      <c r="A2964" s="2117" t="n">
        <v>0</v>
      </c>
      <c r="B2964" s="2117" t="n">
        <v>19</v>
      </c>
      <c r="C2964" s="2117" t="n">
        <v>2</v>
      </c>
      <c r="D2964" s="2118" t="n">
        <v>0</v>
      </c>
      <c r="E2964" s="2118" t="n">
        <v>1</v>
      </c>
      <c r="F2964" s="569" t="n"/>
      <c r="G2964" s="1796" t="n"/>
      <c r="H2964" s="1771" t="inlineStr">
        <is>
          <t>ETAPA</t>
        </is>
      </c>
      <c r="I2964" s="1735" t="inlineStr">
        <is>
          <t>19.002</t>
        </is>
      </c>
      <c r="J2964" s="1773" t="inlineStr">
        <is>
          <t>LOUÇAS E METAIS - Mezanino G1</t>
        </is>
      </c>
      <c r="K2964" s="1774" t="n"/>
      <c r="L2964" s="1775" t="n"/>
      <c r="M2964" s="1775" t="n"/>
      <c r="N2964" s="1739" t="n">
        <v>6937.22</v>
      </c>
      <c r="O2964" s="1776" t="n"/>
      <c r="P2964" s="1725" t="n"/>
    </row>
    <row r="2965" hidden="1" outlineLevel="2" ht="13.9" customHeight="1">
      <c r="A2965" s="2117" t="n">
        <v>0</v>
      </c>
      <c r="B2965" s="2117" t="n">
        <v>19</v>
      </c>
      <c r="C2965" s="2117" t="n">
        <v>2</v>
      </c>
      <c r="D2965" s="2118" t="n">
        <v>1</v>
      </c>
      <c r="E2965" s="2118" t="n">
        <v>0</v>
      </c>
      <c r="F2965" s="569" t="n"/>
      <c r="G2965" s="1797" t="n"/>
      <c r="H2965" s="1777" t="inlineStr">
        <is>
          <t>SUBETAPA</t>
        </is>
      </c>
      <c r="I2965" s="1742" t="inlineStr">
        <is>
          <t>19.002.001</t>
        </is>
      </c>
      <c r="J2965" s="1779" t="inlineStr">
        <is>
          <t>Metais e acessórios</t>
        </is>
      </c>
      <c r="K2965" s="1780" t="n"/>
      <c r="L2965" s="1781" t="n"/>
      <c r="M2965" s="1781" t="n"/>
      <c r="N2965" s="1746" t="n">
        <v>528.02</v>
      </c>
      <c r="O2965" s="1782" t="n"/>
      <c r="P2965" s="1720" t="n"/>
    </row>
    <row r="2966" hidden="1" outlineLevel="3" ht="13.9" customHeight="1">
      <c r="A2966" s="2117" t="n">
        <v>0</v>
      </c>
      <c r="B2966" s="2117" t="n">
        <v>19</v>
      </c>
      <c r="C2966" s="2117" t="n">
        <v>2</v>
      </c>
      <c r="D2966" s="2118" t="n">
        <v>1</v>
      </c>
      <c r="E2966" s="2118" t="n">
        <v>1</v>
      </c>
      <c r="F2966" s="569" t="n"/>
      <c r="G2966" s="1798" t="inlineStr">
        <is>
          <t>LOUÇAS E METAIS</t>
        </is>
      </c>
      <c r="H2966" s="1783" t="inlineStr">
        <is>
          <t>SERVIÇO</t>
        </is>
      </c>
      <c r="I2966" s="1750" t="inlineStr">
        <is>
          <t>19.002.001.001</t>
        </is>
      </c>
      <c r="J2966" s="1785" t="inlineStr">
        <is>
          <t>Acabamentos e acessórios</t>
        </is>
      </c>
      <c r="K2966" s="1786" t="inlineStr">
        <is>
          <t>vb</t>
        </is>
      </c>
      <c r="L2966" s="1787" t="n">
        <v>1</v>
      </c>
      <c r="M2966" s="1787" t="n">
        <v>528.02</v>
      </c>
      <c r="N2966" s="1754" t="n">
        <v>528.02</v>
      </c>
      <c r="O2966" s="1788" t="n"/>
      <c r="P2966" s="1721" t="inlineStr">
        <is>
          <t>Pendente</t>
        </is>
      </c>
    </row>
    <row r="2967" hidden="1" outlineLevel="2" ht="13.9" customHeight="1">
      <c r="A2967" s="2117" t="n">
        <v>0</v>
      </c>
      <c r="B2967" s="2117" t="n">
        <v>19</v>
      </c>
      <c r="C2967" s="2117" t="n">
        <v>2</v>
      </c>
      <c r="D2967" s="2118" t="n">
        <v>2</v>
      </c>
      <c r="E2967" s="2118" t="n">
        <v>0</v>
      </c>
      <c r="F2967" s="569" t="n"/>
      <c r="G2967" s="1797" t="n"/>
      <c r="H2967" s="1777" t="inlineStr">
        <is>
          <t>SUBETAPA</t>
        </is>
      </c>
      <c r="I2967" s="1742" t="inlineStr">
        <is>
          <t>19.002.002</t>
        </is>
      </c>
      <c r="J2967" s="1779" t="inlineStr">
        <is>
          <t>Mão de obra</t>
        </is>
      </c>
      <c r="K2967" s="1780" t="n"/>
      <c r="L2967" s="1781" t="n"/>
      <c r="M2967" s="1781" t="n"/>
      <c r="N2967" s="1746" t="n">
        <v>6409.2</v>
      </c>
      <c r="O2967" s="1782" t="n"/>
      <c r="P2967" s="1720" t="n"/>
    </row>
    <row r="2968" hidden="1" outlineLevel="3" ht="13.9" customHeight="1">
      <c r="A2968" s="2117" t="n">
        <v>0</v>
      </c>
      <c r="B2968" s="2117" t="n">
        <v>19</v>
      </c>
      <c r="C2968" s="2117" t="n">
        <v>2</v>
      </c>
      <c r="D2968" s="2118" t="n">
        <v>2</v>
      </c>
      <c r="E2968" s="2118" t="n">
        <v>1</v>
      </c>
      <c r="F2968" s="569" t="n"/>
      <c r="G2968" s="1798" t="inlineStr">
        <is>
          <t>LOUÇAS E METAIS</t>
        </is>
      </c>
      <c r="H2968" s="1783" t="inlineStr">
        <is>
          <t>SERVIÇO</t>
        </is>
      </c>
      <c r="I2968" s="1750" t="inlineStr">
        <is>
          <t>19.002.002.001</t>
        </is>
      </c>
      <c r="J2968" s="1785" t="inlineStr">
        <is>
          <t>Instalação de louças e metais sanitários</t>
        </is>
      </c>
      <c r="K2968" s="1786" t="inlineStr">
        <is>
          <t>vb</t>
        </is>
      </c>
      <c r="L2968" s="1787" t="n">
        <v>1</v>
      </c>
      <c r="M2968" s="1787" t="n">
        <v>6409.2</v>
      </c>
      <c r="N2968" s="1754" t="n">
        <v>6409.2</v>
      </c>
      <c r="O2968" s="1788" t="n"/>
      <c r="P2968" s="1721" t="inlineStr">
        <is>
          <t>Pendente</t>
        </is>
      </c>
    </row>
    <row r="2969" hidden="1" outlineLevel="1" ht="13.9" customHeight="1">
      <c r="A2969" s="2117" t="n">
        <v>0</v>
      </c>
      <c r="B2969" s="2117" t="n">
        <v>19</v>
      </c>
      <c r="C2969" s="2117" t="n">
        <v>3</v>
      </c>
      <c r="D2969" s="2118" t="n">
        <v>0</v>
      </c>
      <c r="E2969" s="2118" t="n">
        <v>1</v>
      </c>
      <c r="F2969" s="569" t="n"/>
      <c r="G2969" s="1796" t="n"/>
      <c r="H2969" s="1771" t="inlineStr">
        <is>
          <t>ETAPA</t>
        </is>
      </c>
      <c r="I2969" s="1735" t="inlineStr">
        <is>
          <t>19.003</t>
        </is>
      </c>
      <c r="J2969" s="1773" t="inlineStr">
        <is>
          <t>LOUÇAS E METAIS - G2</t>
        </is>
      </c>
      <c r="K2969" s="1774" t="n"/>
      <c r="L2969" s="1775" t="n"/>
      <c r="M2969" s="1775" t="n"/>
      <c r="N2969" s="1739" t="n">
        <v>7556.02</v>
      </c>
      <c r="O2969" s="1776" t="n"/>
      <c r="P2969" s="1725" t="n"/>
    </row>
    <row r="2970" hidden="1" outlineLevel="2" ht="13.9" customHeight="1">
      <c r="A2970" s="2117" t="n">
        <v>0</v>
      </c>
      <c r="B2970" s="2117" t="n">
        <v>19</v>
      </c>
      <c r="C2970" s="2117" t="n">
        <v>3</v>
      </c>
      <c r="D2970" s="2118" t="n">
        <v>1</v>
      </c>
      <c r="E2970" s="2118" t="n">
        <v>0</v>
      </c>
      <c r="F2970" s="569" t="n"/>
      <c r="G2970" s="1797" t="n"/>
      <c r="H2970" s="1777" t="inlineStr">
        <is>
          <t>SUBETAPA</t>
        </is>
      </c>
      <c r="I2970" s="1742" t="inlineStr">
        <is>
          <t>19.003.001</t>
        </is>
      </c>
      <c r="J2970" s="1779" t="inlineStr">
        <is>
          <t>Metais e acessórios</t>
        </is>
      </c>
      <c r="K2970" s="1780" t="n"/>
      <c r="L2970" s="1781" t="n"/>
      <c r="M2970" s="1781" t="n"/>
      <c r="N2970" s="1746" t="n">
        <v>528.02</v>
      </c>
      <c r="O2970" s="1782" t="n"/>
      <c r="P2970" s="1720" t="n"/>
    </row>
    <row r="2971" hidden="1" outlineLevel="3" ht="13.9" customHeight="1">
      <c r="A2971" s="2117" t="n">
        <v>0</v>
      </c>
      <c r="B2971" s="2117" t="n">
        <v>19</v>
      </c>
      <c r="C2971" s="2117" t="n">
        <v>3</v>
      </c>
      <c r="D2971" s="2118" t="n">
        <v>1</v>
      </c>
      <c r="E2971" s="2118" t="n">
        <v>1</v>
      </c>
      <c r="F2971" s="569" t="n"/>
      <c r="G2971" s="1798" t="inlineStr">
        <is>
          <t>LOUÇAS E METAIS</t>
        </is>
      </c>
      <c r="H2971" s="1783" t="inlineStr">
        <is>
          <t>SERVIÇO</t>
        </is>
      </c>
      <c r="I2971" s="1750" t="inlineStr">
        <is>
          <t>19.003.001.001</t>
        </is>
      </c>
      <c r="J2971" s="1785" t="inlineStr">
        <is>
          <t>Acabamentos e acessórios</t>
        </is>
      </c>
      <c r="K2971" s="1786" t="inlineStr">
        <is>
          <t>vb</t>
        </is>
      </c>
      <c r="L2971" s="1787" t="n">
        <v>1</v>
      </c>
      <c r="M2971" s="1787" t="n">
        <v>528.02</v>
      </c>
      <c r="N2971" s="1754" t="n">
        <v>528.02</v>
      </c>
      <c r="O2971" s="1788" t="n"/>
      <c r="P2971" s="1721" t="inlineStr">
        <is>
          <t>Pendente</t>
        </is>
      </c>
    </row>
    <row r="2972" hidden="1" outlineLevel="2" ht="13.9" customHeight="1">
      <c r="A2972" s="2117" t="n">
        <v>0</v>
      </c>
      <c r="B2972" s="2117" t="n">
        <v>19</v>
      </c>
      <c r="C2972" s="2117" t="n">
        <v>3</v>
      </c>
      <c r="D2972" s="2118" t="n">
        <v>2</v>
      </c>
      <c r="E2972" s="2118" t="n">
        <v>0</v>
      </c>
      <c r="F2972" s="569" t="n"/>
      <c r="G2972" s="1797" t="n"/>
      <c r="H2972" s="1777" t="inlineStr">
        <is>
          <t>SUBETAPA</t>
        </is>
      </c>
      <c r="I2972" s="1742" t="inlineStr">
        <is>
          <t>19.003.002</t>
        </is>
      </c>
      <c r="J2972" s="1779" t="inlineStr">
        <is>
          <t>Mão de obra</t>
        </is>
      </c>
      <c r="K2972" s="1780" t="n"/>
      <c r="L2972" s="1781" t="n"/>
      <c r="M2972" s="1781" t="n"/>
      <c r="N2972" s="1746" t="n">
        <v>7028</v>
      </c>
      <c r="O2972" s="1782" t="n"/>
      <c r="P2972" s="1720" t="n"/>
    </row>
    <row r="2973" hidden="1" outlineLevel="3" ht="13.9" customHeight="1">
      <c r="A2973" s="2117" t="n">
        <v>0</v>
      </c>
      <c r="B2973" s="2117" t="n">
        <v>19</v>
      </c>
      <c r="C2973" s="2117" t="n">
        <v>3</v>
      </c>
      <c r="D2973" s="2118" t="n">
        <v>2</v>
      </c>
      <c r="E2973" s="2118" t="n">
        <v>1</v>
      </c>
      <c r="F2973" s="569" t="n"/>
      <c r="G2973" s="1798" t="inlineStr">
        <is>
          <t>LOUÇAS E METAIS</t>
        </is>
      </c>
      <c r="H2973" s="1783" t="inlineStr">
        <is>
          <t>SERVIÇO</t>
        </is>
      </c>
      <c r="I2973" s="1750" t="inlineStr">
        <is>
          <t>19.003.002.001</t>
        </is>
      </c>
      <c r="J2973" s="1785" t="inlineStr">
        <is>
          <t>Instalação de louças e metais sanitários</t>
        </is>
      </c>
      <c r="K2973" s="1786" t="inlineStr">
        <is>
          <t>vb</t>
        </is>
      </c>
      <c r="L2973" s="1787" t="n">
        <v>1</v>
      </c>
      <c r="M2973" s="1787" t="n">
        <v>7028</v>
      </c>
      <c r="N2973" s="1754" t="n">
        <v>7028</v>
      </c>
      <c r="O2973" s="1788" t="n"/>
      <c r="P2973" s="1721" t="inlineStr">
        <is>
          <t>Pendente</t>
        </is>
      </c>
    </row>
    <row r="2974" hidden="1" outlineLevel="1" ht="13.9" customHeight="1">
      <c r="A2974" s="2117" t="n">
        <v>0</v>
      </c>
      <c r="B2974" s="2117" t="n">
        <v>19</v>
      </c>
      <c r="C2974" s="2117" t="n">
        <v>4</v>
      </c>
      <c r="D2974" s="2118" t="n">
        <v>0</v>
      </c>
      <c r="E2974" s="2118" t="n">
        <v>1</v>
      </c>
      <c r="F2974" s="569" t="n"/>
      <c r="G2974" s="1796" t="n"/>
      <c r="H2974" s="1771" t="inlineStr">
        <is>
          <t>ETAPA</t>
        </is>
      </c>
      <c r="I2974" s="1735" t="inlineStr">
        <is>
          <t>19.004</t>
        </is>
      </c>
      <c r="J2974" s="1773" t="inlineStr">
        <is>
          <t>LOUÇAS E METAIS - Mezanino G2</t>
        </is>
      </c>
      <c r="K2974" s="1774" t="n"/>
      <c r="L2974" s="1775" t="n"/>
      <c r="M2974" s="1775" t="n"/>
      <c r="N2974" s="1739" t="n">
        <v>7556.02</v>
      </c>
      <c r="O2974" s="1776" t="n"/>
      <c r="P2974" s="1725" t="n"/>
    </row>
    <row r="2975" hidden="1" outlineLevel="2" ht="13.9" customHeight="1">
      <c r="A2975" s="2117" t="n">
        <v>0</v>
      </c>
      <c r="B2975" s="2117" t="n">
        <v>19</v>
      </c>
      <c r="C2975" s="2117" t="n">
        <v>4</v>
      </c>
      <c r="D2975" s="2118" t="n">
        <v>1</v>
      </c>
      <c r="E2975" s="2118" t="n">
        <v>0</v>
      </c>
      <c r="F2975" s="569" t="n"/>
      <c r="G2975" s="1797" t="n"/>
      <c r="H2975" s="1777" t="inlineStr">
        <is>
          <t>SUBETAPA</t>
        </is>
      </c>
      <c r="I2975" s="1742" t="inlineStr">
        <is>
          <t>19.004.001</t>
        </is>
      </c>
      <c r="J2975" s="1779" t="inlineStr">
        <is>
          <t>Metais e acessórios</t>
        </is>
      </c>
      <c r="K2975" s="1780" t="n"/>
      <c r="L2975" s="1781" t="n"/>
      <c r="M2975" s="1781" t="n"/>
      <c r="N2975" s="1746" t="n">
        <v>528.02</v>
      </c>
      <c r="O2975" s="1782" t="n"/>
      <c r="P2975" s="1720" t="n"/>
    </row>
    <row r="2976" hidden="1" outlineLevel="3" ht="13.9" customHeight="1">
      <c r="A2976" s="2117" t="n">
        <v>0</v>
      </c>
      <c r="B2976" s="2117" t="n">
        <v>19</v>
      </c>
      <c r="C2976" s="2117" t="n">
        <v>4</v>
      </c>
      <c r="D2976" s="2118" t="n">
        <v>1</v>
      </c>
      <c r="E2976" s="2118" t="n">
        <v>1</v>
      </c>
      <c r="F2976" s="569" t="n"/>
      <c r="G2976" s="1798" t="inlineStr">
        <is>
          <t>LOUÇAS E METAIS</t>
        </is>
      </c>
      <c r="H2976" s="1783" t="inlineStr">
        <is>
          <t>SERVIÇO</t>
        </is>
      </c>
      <c r="I2976" s="1750" t="inlineStr">
        <is>
          <t>19.004.001.001</t>
        </is>
      </c>
      <c r="J2976" s="1785" t="inlineStr">
        <is>
          <t>Acabamentos e acessórios</t>
        </is>
      </c>
      <c r="K2976" s="1786" t="inlineStr">
        <is>
          <t>vb</t>
        </is>
      </c>
      <c r="L2976" s="1787" t="n">
        <v>1</v>
      </c>
      <c r="M2976" s="1787" t="n">
        <v>528.02</v>
      </c>
      <c r="N2976" s="1754" t="n">
        <v>528.02</v>
      </c>
      <c r="O2976" s="1788" t="n"/>
      <c r="P2976" s="1721" t="inlineStr">
        <is>
          <t>Pendente</t>
        </is>
      </c>
    </row>
    <row r="2977" hidden="1" outlineLevel="2" ht="13.9" customHeight="1">
      <c r="A2977" s="2117" t="n">
        <v>0</v>
      </c>
      <c r="B2977" s="2117" t="n">
        <v>19</v>
      </c>
      <c r="C2977" s="2117" t="n">
        <v>4</v>
      </c>
      <c r="D2977" s="2118" t="n">
        <v>2</v>
      </c>
      <c r="E2977" s="2118" t="n">
        <v>0</v>
      </c>
      <c r="F2977" s="569" t="n"/>
      <c r="G2977" s="1797" t="n"/>
      <c r="H2977" s="1777" t="inlineStr">
        <is>
          <t>SUBETAPA</t>
        </is>
      </c>
      <c r="I2977" s="1742" t="inlineStr">
        <is>
          <t>19.004.002</t>
        </is>
      </c>
      <c r="J2977" s="1779" t="inlineStr">
        <is>
          <t>Mão de obra</t>
        </is>
      </c>
      <c r="K2977" s="1780" t="n"/>
      <c r="L2977" s="1781" t="n"/>
      <c r="M2977" s="1781" t="n"/>
      <c r="N2977" s="1746" t="n">
        <v>7028</v>
      </c>
      <c r="O2977" s="1782" t="n"/>
      <c r="P2977" s="1720" t="n"/>
    </row>
    <row r="2978" hidden="1" outlineLevel="3" ht="13.9" customHeight="1">
      <c r="A2978" s="2117" t="n">
        <v>0</v>
      </c>
      <c r="B2978" s="2117" t="n">
        <v>19</v>
      </c>
      <c r="C2978" s="2117" t="n">
        <v>4</v>
      </c>
      <c r="D2978" s="2118" t="n">
        <v>2</v>
      </c>
      <c r="E2978" s="2118" t="n">
        <v>1</v>
      </c>
      <c r="F2978" s="569" t="n"/>
      <c r="G2978" s="1798" t="inlineStr">
        <is>
          <t>LOUÇAS E METAIS</t>
        </is>
      </c>
      <c r="H2978" s="1783" t="inlineStr">
        <is>
          <t>SERVIÇO</t>
        </is>
      </c>
      <c r="I2978" s="1750" t="inlineStr">
        <is>
          <t>19.004.002.001</t>
        </is>
      </c>
      <c r="J2978" s="1785" t="inlineStr">
        <is>
          <t>Instalação de louças e metais sanitários</t>
        </is>
      </c>
      <c r="K2978" s="1786" t="inlineStr">
        <is>
          <t>vb</t>
        </is>
      </c>
      <c r="L2978" s="1787" t="n">
        <v>1</v>
      </c>
      <c r="M2978" s="1787" t="n">
        <v>7028</v>
      </c>
      <c r="N2978" s="1754" t="n">
        <v>7028</v>
      </c>
      <c r="O2978" s="1788" t="n"/>
      <c r="P2978" s="1721" t="inlineStr">
        <is>
          <t>Pendente</t>
        </is>
      </c>
    </row>
    <row r="2979" hidden="1" outlineLevel="1" ht="13.9" customHeight="1">
      <c r="A2979" s="2117" t="n">
        <v>0</v>
      </c>
      <c r="B2979" s="2117" t="n">
        <v>19</v>
      </c>
      <c r="C2979" s="2117" t="n">
        <v>5</v>
      </c>
      <c r="D2979" s="2118" t="n">
        <v>0</v>
      </c>
      <c r="E2979" s="2118" t="n">
        <v>1</v>
      </c>
      <c r="F2979" s="569" t="n"/>
      <c r="G2979" s="1796" t="n"/>
      <c r="H2979" s="1771" t="inlineStr">
        <is>
          <t>ETAPA</t>
        </is>
      </c>
      <c r="I2979" s="1735" t="inlineStr">
        <is>
          <t>19.005</t>
        </is>
      </c>
      <c r="J2979" s="1773" t="inlineStr">
        <is>
          <t>LOUÇAS E METAIS - G3</t>
        </is>
      </c>
      <c r="K2979" s="1774" t="n"/>
      <c r="L2979" s="1775" t="n"/>
      <c r="M2979" s="1775" t="n"/>
      <c r="N2979" s="1739" t="n">
        <v>7556.02</v>
      </c>
      <c r="O2979" s="1776" t="n"/>
      <c r="P2979" s="1725" t="n"/>
    </row>
    <row r="2980" hidden="1" outlineLevel="2" ht="13.9" customHeight="1">
      <c r="A2980" s="2117" t="n">
        <v>0</v>
      </c>
      <c r="B2980" s="2117" t="n">
        <v>19</v>
      </c>
      <c r="C2980" s="2117" t="n">
        <v>5</v>
      </c>
      <c r="D2980" s="2118" t="n">
        <v>1</v>
      </c>
      <c r="E2980" s="2118" t="n">
        <v>0</v>
      </c>
      <c r="F2980" s="569" t="n"/>
      <c r="G2980" s="1797" t="n"/>
      <c r="H2980" s="1777" t="inlineStr">
        <is>
          <t>SUBETAPA</t>
        </is>
      </c>
      <c r="I2980" s="1742" t="inlineStr">
        <is>
          <t>19.005.001</t>
        </is>
      </c>
      <c r="J2980" s="1779" t="inlineStr">
        <is>
          <t>Metais e acessórios</t>
        </is>
      </c>
      <c r="K2980" s="1780" t="n"/>
      <c r="L2980" s="1781" t="n"/>
      <c r="M2980" s="1781" t="n"/>
      <c r="N2980" s="1746" t="n">
        <v>528.02</v>
      </c>
      <c r="O2980" s="1782" t="n"/>
      <c r="P2980" s="1720" t="n"/>
    </row>
    <row r="2981" hidden="1" outlineLevel="3" ht="13.9" customHeight="1">
      <c r="A2981" s="2117" t="n">
        <v>0</v>
      </c>
      <c r="B2981" s="2117" t="n">
        <v>19</v>
      </c>
      <c r="C2981" s="2117" t="n">
        <v>5</v>
      </c>
      <c r="D2981" s="2118" t="n">
        <v>1</v>
      </c>
      <c r="E2981" s="2118" t="n">
        <v>1</v>
      </c>
      <c r="F2981" s="569" t="n"/>
      <c r="G2981" s="1798" t="inlineStr">
        <is>
          <t>LOUÇAS E METAIS</t>
        </is>
      </c>
      <c r="H2981" s="1783" t="inlineStr">
        <is>
          <t>SERVIÇO</t>
        </is>
      </c>
      <c r="I2981" s="1750" t="inlineStr">
        <is>
          <t>19.005.001.001</t>
        </is>
      </c>
      <c r="J2981" s="1785" t="inlineStr">
        <is>
          <t>Acabamentos e acessórios</t>
        </is>
      </c>
      <c r="K2981" s="1786" t="inlineStr">
        <is>
          <t>vb</t>
        </is>
      </c>
      <c r="L2981" s="1787" t="n">
        <v>1</v>
      </c>
      <c r="M2981" s="1787" t="n">
        <v>528.02</v>
      </c>
      <c r="N2981" s="1754" t="n">
        <v>528.02</v>
      </c>
      <c r="O2981" s="1788" t="n"/>
      <c r="P2981" s="1721" t="inlineStr">
        <is>
          <t>Pendente</t>
        </is>
      </c>
    </row>
    <row r="2982" hidden="1" outlineLevel="2" ht="13.9" customHeight="1">
      <c r="A2982" s="2117" t="n">
        <v>0</v>
      </c>
      <c r="B2982" s="2117" t="n">
        <v>19</v>
      </c>
      <c r="C2982" s="2117" t="n">
        <v>5</v>
      </c>
      <c r="D2982" s="2118" t="n">
        <v>2</v>
      </c>
      <c r="E2982" s="2118" t="n">
        <v>0</v>
      </c>
      <c r="F2982" s="569" t="n"/>
      <c r="G2982" s="1797" t="n"/>
      <c r="H2982" s="1777" t="inlineStr">
        <is>
          <t>SUBETAPA</t>
        </is>
      </c>
      <c r="I2982" s="1742" t="inlineStr">
        <is>
          <t>19.005.002</t>
        </is>
      </c>
      <c r="J2982" s="1779" t="inlineStr">
        <is>
          <t>Mão de obra</t>
        </is>
      </c>
      <c r="K2982" s="1780" t="n"/>
      <c r="L2982" s="1781" t="n"/>
      <c r="M2982" s="1781" t="n"/>
      <c r="N2982" s="1746" t="n">
        <v>7028</v>
      </c>
      <c r="O2982" s="1782" t="n"/>
      <c r="P2982" s="1720" t="n"/>
    </row>
    <row r="2983" hidden="1" outlineLevel="3" ht="13.9" customHeight="1">
      <c r="A2983" s="2117" t="n">
        <v>0</v>
      </c>
      <c r="B2983" s="2117" t="n">
        <v>19</v>
      </c>
      <c r="C2983" s="2117" t="n">
        <v>5</v>
      </c>
      <c r="D2983" s="2118" t="n">
        <v>2</v>
      </c>
      <c r="E2983" s="2118" t="n">
        <v>1</v>
      </c>
      <c r="F2983" s="569" t="n"/>
      <c r="G2983" s="1798" t="inlineStr">
        <is>
          <t>LOUÇAS E METAIS</t>
        </is>
      </c>
      <c r="H2983" s="1783" t="inlineStr">
        <is>
          <t>SERVIÇO</t>
        </is>
      </c>
      <c r="I2983" s="1750" t="inlineStr">
        <is>
          <t>19.005.002.001</t>
        </is>
      </c>
      <c r="J2983" s="1785" t="inlineStr">
        <is>
          <t>Instalação de louças e metais sanitários</t>
        </is>
      </c>
      <c r="K2983" s="1786" t="inlineStr">
        <is>
          <t>vb</t>
        </is>
      </c>
      <c r="L2983" s="1787" t="n">
        <v>1</v>
      </c>
      <c r="M2983" s="1787" t="n">
        <v>7028</v>
      </c>
      <c r="N2983" s="1754" t="n">
        <v>7028</v>
      </c>
      <c r="O2983" s="1788" t="n"/>
      <c r="P2983" s="1721" t="inlineStr">
        <is>
          <t>Pendente</t>
        </is>
      </c>
    </row>
    <row r="2984" hidden="1" outlineLevel="1" ht="13.9" customHeight="1">
      <c r="A2984" s="2117" t="n">
        <v>0</v>
      </c>
      <c r="B2984" s="2117" t="n">
        <v>19</v>
      </c>
      <c r="C2984" s="2117" t="n">
        <v>6</v>
      </c>
      <c r="D2984" s="2118" t="n">
        <v>0</v>
      </c>
      <c r="E2984" s="2118" t="n">
        <v>1</v>
      </c>
      <c r="F2984" s="569" t="n"/>
      <c r="G2984" s="1796" t="n"/>
      <c r="H2984" s="1771" t="inlineStr">
        <is>
          <t>ETAPA</t>
        </is>
      </c>
      <c r="I2984" s="1735" t="inlineStr">
        <is>
          <t>19.006</t>
        </is>
      </c>
      <c r="J2984" s="1773" t="inlineStr">
        <is>
          <t>LOUÇAS E METAIS - Mezanino G3</t>
        </is>
      </c>
      <c r="K2984" s="1774" t="n"/>
      <c r="L2984" s="1775" t="n"/>
      <c r="M2984" s="1775" t="n"/>
      <c r="N2984" s="1739" t="n">
        <v>7667.62</v>
      </c>
      <c r="O2984" s="1776" t="n"/>
      <c r="P2984" s="1725" t="n"/>
    </row>
    <row r="2985" hidden="1" outlineLevel="2" ht="13.9" customHeight="1">
      <c r="A2985" s="2117" t="n">
        <v>0</v>
      </c>
      <c r="B2985" s="2117" t="n">
        <v>19</v>
      </c>
      <c r="C2985" s="2117" t="n">
        <v>6</v>
      </c>
      <c r="D2985" s="2118" t="n">
        <v>1</v>
      </c>
      <c r="E2985" s="2118" t="n">
        <v>0</v>
      </c>
      <c r="F2985" s="569" t="n"/>
      <c r="G2985" s="1797" t="n"/>
      <c r="H2985" s="1777" t="inlineStr">
        <is>
          <t>SUBETAPA</t>
        </is>
      </c>
      <c r="I2985" s="1742" t="inlineStr">
        <is>
          <t>19.006.001</t>
        </is>
      </c>
      <c r="J2985" s="1779" t="inlineStr">
        <is>
          <t>Metais e acessórios</t>
        </is>
      </c>
      <c r="K2985" s="1780" t="n"/>
      <c r="L2985" s="1781" t="n"/>
      <c r="M2985" s="1781" t="n"/>
      <c r="N2985" s="1746" t="n">
        <v>528.02</v>
      </c>
      <c r="O2985" s="1782" t="n"/>
      <c r="P2985" s="1720" t="n"/>
    </row>
    <row r="2986" hidden="1" outlineLevel="3" ht="13.9" customHeight="1">
      <c r="A2986" s="2117" t="n">
        <v>0</v>
      </c>
      <c r="B2986" s="2117" t="n">
        <v>19</v>
      </c>
      <c r="C2986" s="2117" t="n">
        <v>6</v>
      </c>
      <c r="D2986" s="2118" t="n">
        <v>1</v>
      </c>
      <c r="E2986" s="2118" t="n">
        <v>1</v>
      </c>
      <c r="F2986" s="569" t="n"/>
      <c r="G2986" s="1798" t="inlineStr">
        <is>
          <t>LOUÇAS E METAIS</t>
        </is>
      </c>
      <c r="H2986" s="1783" t="inlineStr">
        <is>
          <t>SERVIÇO</t>
        </is>
      </c>
      <c r="I2986" s="1750" t="inlineStr">
        <is>
          <t>19.006.001.001</t>
        </is>
      </c>
      <c r="J2986" s="1785" t="inlineStr">
        <is>
          <t>Acabamentos e acessórios</t>
        </is>
      </c>
      <c r="K2986" s="1786" t="inlineStr">
        <is>
          <t>vb</t>
        </is>
      </c>
      <c r="L2986" s="1787" t="n">
        <v>1</v>
      </c>
      <c r="M2986" s="1787" t="n">
        <v>528.02</v>
      </c>
      <c r="N2986" s="1754" t="n">
        <v>528.02</v>
      </c>
      <c r="O2986" s="1788" t="n"/>
      <c r="P2986" s="1721" t="inlineStr">
        <is>
          <t>Pendente</t>
        </is>
      </c>
    </row>
    <row r="2987" hidden="1" outlineLevel="2" ht="13.9" customHeight="1">
      <c r="A2987" s="2117" t="n">
        <v>0</v>
      </c>
      <c r="B2987" s="2117" t="n">
        <v>19</v>
      </c>
      <c r="C2987" s="2117" t="n">
        <v>6</v>
      </c>
      <c r="D2987" s="2118" t="n">
        <v>2</v>
      </c>
      <c r="E2987" s="2118" t="n">
        <v>0</v>
      </c>
      <c r="F2987" s="569" t="n"/>
      <c r="G2987" s="1797" t="n"/>
      <c r="H2987" s="1777" t="inlineStr">
        <is>
          <t>SUBETAPA</t>
        </is>
      </c>
      <c r="I2987" s="1742" t="inlineStr">
        <is>
          <t>19.006.002</t>
        </is>
      </c>
      <c r="J2987" s="1779" t="inlineStr">
        <is>
          <t>Mão de obra</t>
        </is>
      </c>
      <c r="K2987" s="1780" t="n"/>
      <c r="L2987" s="1781" t="n"/>
      <c r="M2987" s="1781" t="n"/>
      <c r="N2987" s="1746" t="n">
        <v>7139.6</v>
      </c>
      <c r="O2987" s="1782" t="n"/>
      <c r="P2987" s="1720" t="n"/>
    </row>
    <row r="2988" hidden="1" outlineLevel="3" ht="13.9" customHeight="1">
      <c r="A2988" s="2117" t="n">
        <v>0</v>
      </c>
      <c r="B2988" s="2117" t="n">
        <v>19</v>
      </c>
      <c r="C2988" s="2117" t="n">
        <v>6</v>
      </c>
      <c r="D2988" s="2118" t="n">
        <v>2</v>
      </c>
      <c r="E2988" s="2118" t="n">
        <v>1</v>
      </c>
      <c r="F2988" s="569" t="n"/>
      <c r="G2988" s="1798" t="inlineStr">
        <is>
          <t>LOUÇAS E METAIS</t>
        </is>
      </c>
      <c r="H2988" s="1783" t="inlineStr">
        <is>
          <t>SERVIÇO</t>
        </is>
      </c>
      <c r="I2988" s="1750" t="inlineStr">
        <is>
          <t>19.006.002.001</t>
        </is>
      </c>
      <c r="J2988" s="1785" t="inlineStr">
        <is>
          <t>Instalação de louças e metais sanitários</t>
        </is>
      </c>
      <c r="K2988" s="1786" t="inlineStr">
        <is>
          <t>vb</t>
        </is>
      </c>
      <c r="L2988" s="1787" t="n">
        <v>1</v>
      </c>
      <c r="M2988" s="1787" t="n">
        <v>7139.6</v>
      </c>
      <c r="N2988" s="1754" t="n">
        <v>7139.6</v>
      </c>
      <c r="O2988" s="1788" t="n"/>
      <c r="P2988" s="1721" t="inlineStr">
        <is>
          <t>Pendente</t>
        </is>
      </c>
    </row>
    <row r="2989" hidden="1" outlineLevel="1" ht="13.9" customHeight="1">
      <c r="A2989" s="2117" t="n">
        <v>0</v>
      </c>
      <c r="B2989" s="2117" t="n">
        <v>19</v>
      </c>
      <c r="C2989" s="2117" t="n">
        <v>7</v>
      </c>
      <c r="D2989" s="2118" t="n">
        <v>0</v>
      </c>
      <c r="E2989" s="2118" t="n">
        <v>1</v>
      </c>
      <c r="F2989" s="569" t="n"/>
      <c r="G2989" s="1796" t="n"/>
      <c r="H2989" s="1771" t="inlineStr">
        <is>
          <t>ETAPA</t>
        </is>
      </c>
      <c r="I2989" s="1735" t="inlineStr">
        <is>
          <t>19.007</t>
        </is>
      </c>
      <c r="J2989" s="1773" t="inlineStr">
        <is>
          <t>LOUÇAS E METAIS - Lazer | Garagem</t>
        </is>
      </c>
      <c r="K2989" s="1774" t="n"/>
      <c r="L2989" s="1775" t="n"/>
      <c r="M2989" s="1775" t="n"/>
      <c r="N2989" s="1739" t="n">
        <v>28431.88</v>
      </c>
      <c r="O2989" s="1776" t="n"/>
      <c r="P2989" s="1725" t="n"/>
    </row>
    <row r="2990" hidden="1" outlineLevel="2" ht="15.75" customHeight="1">
      <c r="A2990" s="2117" t="n">
        <v>0</v>
      </c>
      <c r="B2990" s="2117" t="n">
        <v>19</v>
      </c>
      <c r="C2990" s="2117" t="n">
        <v>7</v>
      </c>
      <c r="D2990" s="2118" t="n">
        <v>1</v>
      </c>
      <c r="E2990" s="2118" t="n">
        <v>0</v>
      </c>
      <c r="F2990" s="569" t="n"/>
      <c r="G2990" s="1797" t="n"/>
      <c r="H2990" s="1777" t="inlineStr">
        <is>
          <t>SUBETAPA</t>
        </is>
      </c>
      <c r="I2990" s="1742" t="inlineStr">
        <is>
          <t>19.007.001</t>
        </is>
      </c>
      <c r="J2990" s="1779" t="inlineStr">
        <is>
          <t>Louças</t>
        </is>
      </c>
      <c r="K2990" s="1780" t="n"/>
      <c r="L2990" s="1781" t="n"/>
      <c r="M2990" s="1781" t="n"/>
      <c r="N2990" s="1746" t="n">
        <v>4387.07</v>
      </c>
      <c r="O2990" s="1782" t="n"/>
      <c r="P2990" s="1720" t="n"/>
    </row>
    <row r="2991" hidden="1" outlineLevel="3" ht="13.9" customHeight="1">
      <c r="A2991" s="2117" t="n">
        <v>0</v>
      </c>
      <c r="B2991" s="2117" t="n">
        <v>19</v>
      </c>
      <c r="C2991" s="2117" t="n">
        <v>7</v>
      </c>
      <c r="D2991" s="2118" t="n">
        <v>1</v>
      </c>
      <c r="E2991" s="2118" t="n">
        <v>1</v>
      </c>
      <c r="F2991" s="569" t="n"/>
      <c r="G2991" s="1798" t="inlineStr">
        <is>
          <t>LOUÇAS E METAIS</t>
        </is>
      </c>
      <c r="H2991" s="1783" t="inlineStr">
        <is>
          <t>SERVIÇO</t>
        </is>
      </c>
      <c r="I2991" s="1750" t="inlineStr">
        <is>
          <t>19.007.001.001</t>
        </is>
      </c>
      <c r="J2991" s="1785" t="inlineStr">
        <is>
          <t xml:space="preserve">Louças </t>
        </is>
      </c>
      <c r="K2991" s="1786" t="inlineStr">
        <is>
          <t>vb</t>
        </is>
      </c>
      <c r="L2991" s="1787" t="n">
        <v>1</v>
      </c>
      <c r="M2991" s="1787" t="n">
        <v>4387.07</v>
      </c>
      <c r="N2991" s="1754" t="n">
        <v>4387.07</v>
      </c>
      <c r="O2991" s="1788" t="n"/>
      <c r="P2991" s="1721" t="inlineStr">
        <is>
          <t>Pendente</t>
        </is>
      </c>
    </row>
    <row r="2992" hidden="1" outlineLevel="2" ht="13.9" customHeight="1">
      <c r="A2992" s="2117" t="n">
        <v>0</v>
      </c>
      <c r="B2992" s="2117" t="n">
        <v>19</v>
      </c>
      <c r="C2992" s="2117" t="n">
        <v>7</v>
      </c>
      <c r="D2992" s="2118" t="n">
        <v>2</v>
      </c>
      <c r="E2992" s="2118" t="n">
        <v>0</v>
      </c>
      <c r="F2992" s="569" t="n"/>
      <c r="G2992" s="1797" t="n"/>
      <c r="H2992" s="1777" t="inlineStr">
        <is>
          <t>SUBETAPA</t>
        </is>
      </c>
      <c r="I2992" s="1742" t="inlineStr">
        <is>
          <t>19.007.002</t>
        </is>
      </c>
      <c r="J2992" s="1779" t="inlineStr">
        <is>
          <t>Metais e acessórios</t>
        </is>
      </c>
      <c r="K2992" s="1780" t="n"/>
      <c r="L2992" s="1781" t="n"/>
      <c r="M2992" s="1781" t="n"/>
      <c r="N2992" s="1746" t="n">
        <v>16905.21</v>
      </c>
      <c r="O2992" s="1782" t="n"/>
      <c r="P2992" s="1720" t="n"/>
    </row>
    <row r="2993" hidden="1" outlineLevel="3" ht="13.9" customHeight="1">
      <c r="A2993" s="2117" t="n">
        <v>0</v>
      </c>
      <c r="B2993" s="2117" t="n">
        <v>19</v>
      </c>
      <c r="C2993" s="2117" t="n">
        <v>7</v>
      </c>
      <c r="D2993" s="2118" t="n">
        <v>2</v>
      </c>
      <c r="E2993" s="2118" t="n">
        <v>1</v>
      </c>
      <c r="F2993" s="569" t="n"/>
      <c r="G2993" s="1798" t="inlineStr">
        <is>
          <t>LOUÇAS E METAIS</t>
        </is>
      </c>
      <c r="H2993" s="1783" t="inlineStr">
        <is>
          <t>SERVIÇO</t>
        </is>
      </c>
      <c r="I2993" s="1750" t="inlineStr">
        <is>
          <t>19.007.002.001</t>
        </is>
      </c>
      <c r="J2993" s="1785" t="inlineStr">
        <is>
          <t>Acabamentos e acessórios</t>
        </is>
      </c>
      <c r="K2993" s="1786" t="inlineStr">
        <is>
          <t>vb</t>
        </is>
      </c>
      <c r="L2993" s="1787" t="n">
        <v>1</v>
      </c>
      <c r="M2993" s="1787" t="n">
        <v>16905.21</v>
      </c>
      <c r="N2993" s="1754" t="n">
        <v>16905.21</v>
      </c>
      <c r="O2993" s="1788" t="n"/>
      <c r="P2993" s="1721" t="inlineStr">
        <is>
          <t>Pendente</t>
        </is>
      </c>
    </row>
    <row r="2994" hidden="1" outlineLevel="2" ht="13.9" customHeight="1">
      <c r="A2994" s="2117" t="n">
        <v>0</v>
      </c>
      <c r="B2994" s="2117" t="n">
        <v>19</v>
      </c>
      <c r="C2994" s="2117" t="n">
        <v>7</v>
      </c>
      <c r="D2994" s="2118" t="n">
        <v>3</v>
      </c>
      <c r="E2994" s="2118" t="n">
        <v>0</v>
      </c>
      <c r="F2994" s="569" t="n"/>
      <c r="G2994" s="1797" t="n"/>
      <c r="H2994" s="1777" t="inlineStr">
        <is>
          <t>SUBETAPA</t>
        </is>
      </c>
      <c r="I2994" s="1742" t="inlineStr">
        <is>
          <t>19.007.003</t>
        </is>
      </c>
      <c r="J2994" s="1779" t="inlineStr">
        <is>
          <t>Mão de obra</t>
        </is>
      </c>
      <c r="K2994" s="1780" t="n"/>
      <c r="L2994" s="1781" t="n"/>
      <c r="M2994" s="1781" t="n"/>
      <c r="N2994" s="1746" t="n">
        <v>7139.6</v>
      </c>
      <c r="O2994" s="1782" t="n"/>
      <c r="P2994" s="1720" t="n"/>
    </row>
    <row r="2995" hidden="1" outlineLevel="3" ht="13.9" customHeight="1">
      <c r="A2995" s="2117" t="n">
        <v>0</v>
      </c>
      <c r="B2995" s="2117" t="n">
        <v>19</v>
      </c>
      <c r="C2995" s="2117" t="n">
        <v>7</v>
      </c>
      <c r="D2995" s="2118" t="n">
        <v>3</v>
      </c>
      <c r="E2995" s="2118" t="n">
        <v>1</v>
      </c>
      <c r="F2995" s="569" t="n"/>
      <c r="G2995" s="1798" t="inlineStr">
        <is>
          <t>LOUÇAS E METAIS</t>
        </is>
      </c>
      <c r="H2995" s="1783" t="inlineStr">
        <is>
          <t>SERVIÇO</t>
        </is>
      </c>
      <c r="I2995" s="1750" t="inlineStr">
        <is>
          <t>19.007.003.001</t>
        </is>
      </c>
      <c r="J2995" s="1785" t="inlineStr">
        <is>
          <t>Instalação de louças e metais sanitários</t>
        </is>
      </c>
      <c r="K2995" s="1786" t="inlineStr">
        <is>
          <t>vb</t>
        </is>
      </c>
      <c r="L2995" s="1787" t="n">
        <v>1</v>
      </c>
      <c r="M2995" s="1787" t="n">
        <v>7139.6</v>
      </c>
      <c r="N2995" s="1754" t="n">
        <v>7139.6</v>
      </c>
      <c r="O2995" s="1788" t="n"/>
      <c r="P2995" s="1721" t="inlineStr">
        <is>
          <t>Pendente</t>
        </is>
      </c>
    </row>
    <row r="2996" hidden="1" outlineLevel="1" ht="13.9" customHeight="1">
      <c r="A2996" s="2117" t="n">
        <v>0</v>
      </c>
      <c r="B2996" s="2117" t="n">
        <v>19</v>
      </c>
      <c r="C2996" s="2117" t="n">
        <v>8</v>
      </c>
      <c r="D2996" s="2118" t="n">
        <v>0</v>
      </c>
      <c r="E2996" s="2118" t="n">
        <v>1</v>
      </c>
      <c r="F2996" s="569" t="n"/>
      <c r="G2996" s="1796" t="n"/>
      <c r="H2996" s="1771" t="inlineStr">
        <is>
          <t>ETAPA</t>
        </is>
      </c>
      <c r="I2996" s="1735" t="inlineStr">
        <is>
          <t>19.008</t>
        </is>
      </c>
      <c r="J2996" s="1773" t="inlineStr">
        <is>
          <t>LOUÇAS E METAIS - Lazer</t>
        </is>
      </c>
      <c r="K2996" s="1774" t="n"/>
      <c r="L2996" s="1775" t="n"/>
      <c r="M2996" s="1775" t="n"/>
      <c r="N2996" s="1739" t="n">
        <v>38811.06</v>
      </c>
      <c r="O2996" s="1776" t="n"/>
      <c r="P2996" s="1725" t="n"/>
    </row>
    <row r="2997" hidden="1" outlineLevel="2" ht="15.75" customHeight="1">
      <c r="A2997" s="2117" t="n">
        <v>0</v>
      </c>
      <c r="B2997" s="2117" t="n">
        <v>19</v>
      </c>
      <c r="C2997" s="2117" t="n">
        <v>8</v>
      </c>
      <c r="D2997" s="2118" t="n">
        <v>1</v>
      </c>
      <c r="E2997" s="2118" t="n">
        <v>0</v>
      </c>
      <c r="F2997" s="569" t="n"/>
      <c r="G2997" s="1797" t="n"/>
      <c r="H2997" s="1777" t="inlineStr">
        <is>
          <t>SUBETAPA</t>
        </is>
      </c>
      <c r="I2997" s="1742" t="inlineStr">
        <is>
          <t>19.008.001</t>
        </is>
      </c>
      <c r="J2997" s="1779" t="inlineStr">
        <is>
          <t>Louças</t>
        </is>
      </c>
      <c r="K2997" s="1780" t="n"/>
      <c r="L2997" s="1781" t="n"/>
      <c r="M2997" s="1781" t="n"/>
      <c r="N2997" s="1746" t="n">
        <v>5408.04</v>
      </c>
      <c r="O2997" s="1782" t="n"/>
      <c r="P2997" s="1720" t="n"/>
    </row>
    <row r="2998" hidden="1" outlineLevel="3" ht="13.9" customHeight="1">
      <c r="A2998" s="2117" t="n">
        <v>0</v>
      </c>
      <c r="B2998" s="2117" t="n">
        <v>19</v>
      </c>
      <c r="C2998" s="2117" t="n">
        <v>8</v>
      </c>
      <c r="D2998" s="2118" t="n">
        <v>1</v>
      </c>
      <c r="E2998" s="2118" t="n">
        <v>1</v>
      </c>
      <c r="F2998" s="569" t="n"/>
      <c r="G2998" s="1798" t="inlineStr">
        <is>
          <t>LOUÇAS E METAIS</t>
        </is>
      </c>
      <c r="H2998" s="1783" t="inlineStr">
        <is>
          <t>SERVIÇO</t>
        </is>
      </c>
      <c r="I2998" s="1750" t="inlineStr">
        <is>
          <t>19.008.001.001</t>
        </is>
      </c>
      <c r="J2998" s="1785" t="inlineStr">
        <is>
          <t xml:space="preserve">Louças </t>
        </is>
      </c>
      <c r="K2998" s="1786" t="inlineStr">
        <is>
          <t>vb</t>
        </is>
      </c>
      <c r="L2998" s="1787" t="n">
        <v>1</v>
      </c>
      <c r="M2998" s="1787" t="n">
        <v>5408.04</v>
      </c>
      <c r="N2998" s="1754" t="n">
        <v>5408.04</v>
      </c>
      <c r="O2998" s="1788" t="n"/>
      <c r="P2998" s="1721" t="inlineStr">
        <is>
          <t>Pendente</t>
        </is>
      </c>
    </row>
    <row r="2999" hidden="1" outlineLevel="2" ht="13.9" customHeight="1">
      <c r="A2999" s="2117" t="n">
        <v>0</v>
      </c>
      <c r="B2999" s="2117" t="n">
        <v>19</v>
      </c>
      <c r="C2999" s="2117" t="n">
        <v>8</v>
      </c>
      <c r="D2999" s="2118" t="n">
        <v>2</v>
      </c>
      <c r="E2999" s="2118" t="n">
        <v>0</v>
      </c>
      <c r="F2999" s="569" t="n"/>
      <c r="G2999" s="1797" t="n"/>
      <c r="H2999" s="1777" t="inlineStr">
        <is>
          <t>SUBETAPA</t>
        </is>
      </c>
      <c r="I2999" s="1742" t="inlineStr">
        <is>
          <t>19.008.002</t>
        </is>
      </c>
      <c r="J2999" s="1779" t="inlineStr">
        <is>
          <t>Metais e acessórios</t>
        </is>
      </c>
      <c r="K2999" s="1780" t="n"/>
      <c r="L2999" s="1781" t="n"/>
      <c r="M2999" s="1781" t="n"/>
      <c r="N2999" s="1746" t="n">
        <v>20630.86</v>
      </c>
      <c r="O2999" s="1782" t="n"/>
      <c r="P2999" s="1720" t="n"/>
    </row>
    <row r="3000" hidden="1" outlineLevel="3" ht="13.9" customHeight="1">
      <c r="A3000" s="2117" t="n">
        <v>0</v>
      </c>
      <c r="B3000" s="2117" t="n">
        <v>19</v>
      </c>
      <c r="C3000" s="2117" t="n">
        <v>8</v>
      </c>
      <c r="D3000" s="2118" t="n">
        <v>2</v>
      </c>
      <c r="E3000" s="2118" t="n">
        <v>1</v>
      </c>
      <c r="F3000" s="569" t="n"/>
      <c r="G3000" s="1798" t="inlineStr">
        <is>
          <t>LOUÇAS E METAIS</t>
        </is>
      </c>
      <c r="H3000" s="1783" t="inlineStr">
        <is>
          <t>SERVIÇO</t>
        </is>
      </c>
      <c r="I3000" s="1750" t="inlineStr">
        <is>
          <t>19.008.002.001</t>
        </is>
      </c>
      <c r="J3000" s="1785" t="inlineStr">
        <is>
          <t>Acabamentos e acessórios</t>
        </is>
      </c>
      <c r="K3000" s="1786" t="inlineStr">
        <is>
          <t>vb</t>
        </is>
      </c>
      <c r="L3000" s="1787" t="n">
        <v>1</v>
      </c>
      <c r="M3000" s="1787" t="n">
        <v>20630.86</v>
      </c>
      <c r="N3000" s="1754" t="n">
        <v>20630.86</v>
      </c>
      <c r="O3000" s="1788" t="n"/>
      <c r="P3000" s="1721" t="inlineStr">
        <is>
          <t>Pendente</t>
        </is>
      </c>
    </row>
    <row r="3001" hidden="1" outlineLevel="2" ht="13.9" customHeight="1">
      <c r="A3001" s="2117" t="n">
        <v>0</v>
      </c>
      <c r="B3001" s="2117" t="n">
        <v>19</v>
      </c>
      <c r="C3001" s="2117" t="n">
        <v>8</v>
      </c>
      <c r="D3001" s="2118" t="n">
        <v>3</v>
      </c>
      <c r="E3001" s="2118" t="n">
        <v>0</v>
      </c>
      <c r="F3001" s="569" t="n"/>
      <c r="G3001" s="1797" t="n"/>
      <c r="H3001" s="1777" t="inlineStr">
        <is>
          <t>SUBETAPA</t>
        </is>
      </c>
      <c r="I3001" s="1742" t="inlineStr">
        <is>
          <t>19.008.003</t>
        </is>
      </c>
      <c r="J3001" s="1779" t="inlineStr">
        <is>
          <t>Bancadas, pias e divisórias</t>
        </is>
      </c>
      <c r="K3001" s="1780" t="n"/>
      <c r="L3001" s="1781" t="n"/>
      <c r="M3001" s="1781" t="n"/>
      <c r="N3001" s="1746" t="n">
        <v>8778</v>
      </c>
      <c r="O3001" s="1782" t="n"/>
      <c r="P3001" s="1720" t="n"/>
    </row>
    <row r="3002" hidden="1" outlineLevel="3" ht="13.9" customHeight="1">
      <c r="A3002" s="2117" t="n">
        <v>0</v>
      </c>
      <c r="B3002" s="2117" t="n">
        <v>19</v>
      </c>
      <c r="C3002" s="2117" t="n">
        <v>8</v>
      </c>
      <c r="D3002" s="2118" t="n">
        <v>3</v>
      </c>
      <c r="E3002" s="2118" t="n">
        <v>1</v>
      </c>
      <c r="F3002" s="569" t="n"/>
      <c r="G3002" s="1798" t="inlineStr">
        <is>
          <t>LOUÇAS E METAIS</t>
        </is>
      </c>
      <c r="H3002" s="1783" t="inlineStr">
        <is>
          <t>SERVIÇO</t>
        </is>
      </c>
      <c r="I3002" s="1750" t="inlineStr">
        <is>
          <t>19.008.003.001</t>
        </is>
      </c>
      <c r="J3002" s="1785" t="inlineStr">
        <is>
          <t xml:space="preserve">Tampo de Granito </t>
        </is>
      </c>
      <c r="K3002" s="1786" t="inlineStr">
        <is>
          <t>vb</t>
        </is>
      </c>
      <c r="L3002" s="1787" t="n">
        <v>1</v>
      </c>
      <c r="M3002" s="1787" t="n">
        <v>8778</v>
      </c>
      <c r="N3002" s="1754" t="n">
        <v>8778</v>
      </c>
      <c r="O3002" s="1788" t="n"/>
      <c r="P3002" s="1721" t="inlineStr">
        <is>
          <t>Pendente</t>
        </is>
      </c>
    </row>
    <row r="3003" hidden="1" outlineLevel="2" ht="13.9" customHeight="1">
      <c r="A3003" s="2117" t="n">
        <v>0</v>
      </c>
      <c r="B3003" s="2117" t="n">
        <v>19</v>
      </c>
      <c r="C3003" s="2117" t="n">
        <v>8</v>
      </c>
      <c r="D3003" s="2118" t="n">
        <v>4</v>
      </c>
      <c r="E3003" s="2118" t="n">
        <v>0</v>
      </c>
      <c r="F3003" s="569" t="n"/>
      <c r="G3003" s="1797" t="n"/>
      <c r="H3003" s="1777" t="inlineStr">
        <is>
          <t>SUBETAPA</t>
        </is>
      </c>
      <c r="I3003" s="1742" t="inlineStr">
        <is>
          <t>19.008.004</t>
        </is>
      </c>
      <c r="J3003" s="1779" t="inlineStr">
        <is>
          <t>Mão de obra</t>
        </is>
      </c>
      <c r="K3003" s="1780" t="n"/>
      <c r="L3003" s="1781" t="n"/>
      <c r="M3003" s="1781" t="n"/>
      <c r="N3003" s="1746" t="n">
        <v>3994.16</v>
      </c>
      <c r="O3003" s="1782" t="n"/>
      <c r="P3003" s="1720" t="n"/>
    </row>
    <row r="3004" hidden="1" outlineLevel="3" ht="13.9" customHeight="1">
      <c r="A3004" s="2117" t="n">
        <v>0</v>
      </c>
      <c r="B3004" s="2117" t="n">
        <v>19</v>
      </c>
      <c r="C3004" s="2117" t="n">
        <v>8</v>
      </c>
      <c r="D3004" s="2118" t="n">
        <v>4</v>
      </c>
      <c r="E3004" s="2118" t="n">
        <v>1</v>
      </c>
      <c r="F3004" s="569" t="n"/>
      <c r="G3004" s="1798" t="inlineStr">
        <is>
          <t>LOUÇAS E METAIS</t>
        </is>
      </c>
      <c r="H3004" s="1783" t="inlineStr">
        <is>
          <t>SERVIÇO</t>
        </is>
      </c>
      <c r="I3004" s="1750" t="inlineStr">
        <is>
          <t>19.008.004.001</t>
        </is>
      </c>
      <c r="J3004" s="1785" t="inlineStr">
        <is>
          <t>Instalação de louças e metais sanitários</t>
        </is>
      </c>
      <c r="K3004" s="1786" t="inlineStr">
        <is>
          <t>vb</t>
        </is>
      </c>
      <c r="L3004" s="1787" t="n">
        <v>1</v>
      </c>
      <c r="M3004" s="1787" t="n">
        <v>3994.16</v>
      </c>
      <c r="N3004" s="1754" t="n">
        <v>3994.16</v>
      </c>
      <c r="O3004" s="1788" t="n"/>
      <c r="P3004" s="1721" t="inlineStr">
        <is>
          <t>Pendente</t>
        </is>
      </c>
    </row>
    <row r="3005" hidden="1" outlineLevel="1" ht="13.9" customHeight="1">
      <c r="A3005" s="2117" t="n">
        <v>0</v>
      </c>
      <c r="B3005" s="2117" t="n">
        <v>19</v>
      </c>
      <c r="C3005" s="2117" t="n">
        <v>9</v>
      </c>
      <c r="D3005" s="2118" t="n">
        <v>0</v>
      </c>
      <c r="E3005" s="2118" t="n">
        <v>1</v>
      </c>
      <c r="F3005" s="569" t="n"/>
      <c r="G3005" s="1796" t="n"/>
      <c r="H3005" s="1771" t="inlineStr">
        <is>
          <t>ETAPA</t>
        </is>
      </c>
      <c r="I3005" s="1735" t="inlineStr">
        <is>
          <t>19.009</t>
        </is>
      </c>
      <c r="J3005" s="1773" t="inlineStr">
        <is>
          <t>LOUÇAS E METAIS - Tipo diferenciado</t>
        </is>
      </c>
      <c r="K3005" s="1774" t="n"/>
      <c r="L3005" s="1775" t="n"/>
      <c r="M3005" s="1775" t="n"/>
      <c r="N3005" s="1739" t="n">
        <v>10604.46</v>
      </c>
      <c r="O3005" s="1776" t="n"/>
      <c r="P3005" s="1725" t="n"/>
    </row>
    <row r="3006" hidden="1" outlineLevel="2" ht="15.75" customHeight="1">
      <c r="A3006" s="2117" t="n">
        <v>0</v>
      </c>
      <c r="B3006" s="2117" t="n">
        <v>19</v>
      </c>
      <c r="C3006" s="2117" t="n">
        <v>9</v>
      </c>
      <c r="D3006" s="2118" t="n">
        <v>1</v>
      </c>
      <c r="E3006" s="2118" t="n">
        <v>0</v>
      </c>
      <c r="F3006" s="569" t="n"/>
      <c r="G3006" s="1797" t="n"/>
      <c r="H3006" s="1777" t="inlineStr">
        <is>
          <t>SUBETAPA</t>
        </is>
      </c>
      <c r="I3006" s="1742" t="inlineStr">
        <is>
          <t>19.009.001</t>
        </is>
      </c>
      <c r="J3006" s="1779" t="inlineStr">
        <is>
          <t>Louças</t>
        </is>
      </c>
      <c r="K3006" s="1780" t="n"/>
      <c r="L3006" s="1781" t="n"/>
      <c r="M3006" s="1781" t="n"/>
      <c r="N3006" s="1746" t="n">
        <v>5974.08</v>
      </c>
      <c r="O3006" s="1782" t="n"/>
      <c r="P3006" s="1720" t="n"/>
    </row>
    <row r="3007" hidden="1" outlineLevel="3" ht="13.9" customHeight="1">
      <c r="A3007" s="2117" t="n">
        <v>0</v>
      </c>
      <c r="B3007" s="2117" t="n">
        <v>19</v>
      </c>
      <c r="C3007" s="2117" t="n">
        <v>9</v>
      </c>
      <c r="D3007" s="2118" t="n">
        <v>1</v>
      </c>
      <c r="E3007" s="2118" t="n">
        <v>1</v>
      </c>
      <c r="F3007" s="569" t="n"/>
      <c r="G3007" s="1798" t="inlineStr">
        <is>
          <t>LOUÇAS E METAIS</t>
        </is>
      </c>
      <c r="H3007" s="1783" t="inlineStr">
        <is>
          <t>SERVIÇO</t>
        </is>
      </c>
      <c r="I3007" s="1750" t="inlineStr">
        <is>
          <t>19.009.001.001</t>
        </is>
      </c>
      <c r="J3007" s="1785" t="inlineStr">
        <is>
          <t xml:space="preserve">Louças </t>
        </is>
      </c>
      <c r="K3007" s="1786" t="inlineStr">
        <is>
          <t>vb</t>
        </is>
      </c>
      <c r="L3007" s="1787" t="n">
        <v>1</v>
      </c>
      <c r="M3007" s="1787" t="n">
        <v>5974.08</v>
      </c>
      <c r="N3007" s="1754" t="n">
        <v>5974.08</v>
      </c>
      <c r="O3007" s="1788" t="n"/>
      <c r="P3007" s="1721" t="inlineStr">
        <is>
          <t>Pendente</t>
        </is>
      </c>
    </row>
    <row r="3008" hidden="1" outlineLevel="2" ht="13.9" customHeight="1">
      <c r="A3008" s="2117" t="n">
        <v>0</v>
      </c>
      <c r="B3008" s="2117" t="n">
        <v>19</v>
      </c>
      <c r="C3008" s="2117" t="n">
        <v>9</v>
      </c>
      <c r="D3008" s="2118" t="n">
        <v>2</v>
      </c>
      <c r="E3008" s="2118" t="n">
        <v>0</v>
      </c>
      <c r="F3008" s="569" t="n"/>
      <c r="G3008" s="1797" t="n"/>
      <c r="H3008" s="1777" t="inlineStr">
        <is>
          <t>SUBETAPA</t>
        </is>
      </c>
      <c r="I3008" s="1742" t="inlineStr">
        <is>
          <t>19.009.002</t>
        </is>
      </c>
      <c r="J3008" s="1779" t="inlineStr">
        <is>
          <t>Metais e acessórios</t>
        </is>
      </c>
      <c r="K3008" s="1780" t="n"/>
      <c r="L3008" s="1781" t="n"/>
      <c r="M3008" s="1781" t="n"/>
      <c r="N3008" s="1746" t="n">
        <v>1866.14</v>
      </c>
      <c r="O3008" s="1782" t="n"/>
      <c r="P3008" s="1720" t="n"/>
    </row>
    <row r="3009" hidden="1" outlineLevel="3" ht="13.9" customHeight="1">
      <c r="A3009" s="2117" t="n">
        <v>0</v>
      </c>
      <c r="B3009" s="2117" t="n">
        <v>19</v>
      </c>
      <c r="C3009" s="2117" t="n">
        <v>9</v>
      </c>
      <c r="D3009" s="2118" t="n">
        <v>2</v>
      </c>
      <c r="E3009" s="2118" t="n">
        <v>1</v>
      </c>
      <c r="F3009" s="569" t="n"/>
      <c r="G3009" s="1798" t="inlineStr">
        <is>
          <t>LOUÇAS E METAIS</t>
        </is>
      </c>
      <c r="H3009" s="1783" t="inlineStr">
        <is>
          <t>SERVIÇO</t>
        </is>
      </c>
      <c r="I3009" s="1750" t="inlineStr">
        <is>
          <t>19.009.002.001</t>
        </is>
      </c>
      <c r="J3009" s="1785" t="inlineStr">
        <is>
          <t>Acabamentos e acessórios</t>
        </is>
      </c>
      <c r="K3009" s="1786" t="inlineStr">
        <is>
          <t>vb</t>
        </is>
      </c>
      <c r="L3009" s="1787" t="n">
        <v>1</v>
      </c>
      <c r="M3009" s="1787" t="n">
        <v>1866.14</v>
      </c>
      <c r="N3009" s="1754" t="n">
        <v>1866.14</v>
      </c>
      <c r="O3009" s="1788" t="n"/>
      <c r="P3009" s="1721" t="inlineStr">
        <is>
          <t>Pendente</t>
        </is>
      </c>
    </row>
    <row r="3010" hidden="1" outlineLevel="2" ht="13.9" customHeight="1">
      <c r="A3010" s="2117" t="n">
        <v>0</v>
      </c>
      <c r="B3010" s="2117" t="n">
        <v>19</v>
      </c>
      <c r="C3010" s="2117" t="n">
        <v>9</v>
      </c>
      <c r="D3010" s="2118" t="n">
        <v>3</v>
      </c>
      <c r="E3010" s="2118" t="n">
        <v>0</v>
      </c>
      <c r="F3010" s="569" t="n"/>
      <c r="G3010" s="1797" t="n"/>
      <c r="H3010" s="1777" t="inlineStr">
        <is>
          <t>SUBETAPA</t>
        </is>
      </c>
      <c r="I3010" s="1742" t="inlineStr">
        <is>
          <t>19.009.003</t>
        </is>
      </c>
      <c r="J3010" s="1779" t="inlineStr">
        <is>
          <t>Mão de obra</t>
        </is>
      </c>
      <c r="K3010" s="1780" t="n"/>
      <c r="L3010" s="1781" t="n"/>
      <c r="M3010" s="1781" t="n"/>
      <c r="N3010" s="1746" t="n">
        <v>2764.24</v>
      </c>
      <c r="O3010" s="1782" t="n"/>
      <c r="P3010" s="1720" t="n"/>
    </row>
    <row r="3011" hidden="1" outlineLevel="3" ht="13.9" customHeight="1">
      <c r="A3011" s="2117" t="n">
        <v>0</v>
      </c>
      <c r="B3011" s="2117" t="n">
        <v>19</v>
      </c>
      <c r="C3011" s="2117" t="n">
        <v>9</v>
      </c>
      <c r="D3011" s="2118" t="n">
        <v>3</v>
      </c>
      <c r="E3011" s="2118" t="n">
        <v>1</v>
      </c>
      <c r="F3011" s="569" t="n"/>
      <c r="G3011" s="1798" t="inlineStr">
        <is>
          <t>LOUÇAS E METAIS</t>
        </is>
      </c>
      <c r="H3011" s="1783" t="inlineStr">
        <is>
          <t>SERVIÇO</t>
        </is>
      </c>
      <c r="I3011" s="1750" t="inlineStr">
        <is>
          <t>19.009.003.001</t>
        </is>
      </c>
      <c r="J3011" s="1785" t="inlineStr">
        <is>
          <t>Instalação de louças e metais sanitários</t>
        </is>
      </c>
      <c r="K3011" s="1786" t="inlineStr">
        <is>
          <t>vb</t>
        </is>
      </c>
      <c r="L3011" s="1787" t="n">
        <v>1</v>
      </c>
      <c r="M3011" s="1787" t="n">
        <v>2764.24</v>
      </c>
      <c r="N3011" s="1754" t="n">
        <v>2764.24</v>
      </c>
      <c r="O3011" s="1788" t="n"/>
      <c r="P3011" s="1721" t="inlineStr">
        <is>
          <t>Pendente</t>
        </is>
      </c>
    </row>
    <row r="3012" hidden="1" outlineLevel="1" ht="13.9" customHeight="1">
      <c r="A3012" s="2117" t="n">
        <v>0</v>
      </c>
      <c r="B3012" s="2117" t="n">
        <v>19</v>
      </c>
      <c r="C3012" s="2117" t="n">
        <v>10</v>
      </c>
      <c r="D3012" s="2118" t="n">
        <v>0</v>
      </c>
      <c r="E3012" s="2118" t="n">
        <v>1</v>
      </c>
      <c r="F3012" s="569" t="n"/>
      <c r="G3012" s="1796" t="n"/>
      <c r="H3012" s="1771" t="inlineStr">
        <is>
          <t>ETAPA</t>
        </is>
      </c>
      <c r="I3012" s="1735" t="inlineStr">
        <is>
          <t>19.010</t>
        </is>
      </c>
      <c r="J3012" s="1773" t="inlineStr">
        <is>
          <t>LOUÇAS E METAIS - Tipo x8</t>
        </is>
      </c>
      <c r="K3012" s="1774" t="n"/>
      <c r="L3012" s="1775" t="n"/>
      <c r="M3012" s="1775" t="n"/>
      <c r="N3012" s="1739" t="n">
        <v>82140</v>
      </c>
      <c r="O3012" s="1776" t="n"/>
      <c r="P3012" s="1725" t="n"/>
    </row>
    <row r="3013" hidden="1" outlineLevel="2" ht="15.75" customHeight="1">
      <c r="A3013" s="2117" t="n">
        <v>0</v>
      </c>
      <c r="B3013" s="2117" t="n">
        <v>19</v>
      </c>
      <c r="C3013" s="2117" t="n">
        <v>10</v>
      </c>
      <c r="D3013" s="2118" t="n">
        <v>1</v>
      </c>
      <c r="E3013" s="2118" t="n">
        <v>0</v>
      </c>
      <c r="F3013" s="569" t="n"/>
      <c r="G3013" s="1797" t="n"/>
      <c r="H3013" s="1777" t="inlineStr">
        <is>
          <t>SUBETAPA</t>
        </is>
      </c>
      <c r="I3013" s="1742" t="inlineStr">
        <is>
          <t>19.010.001</t>
        </is>
      </c>
      <c r="J3013" s="1779" t="inlineStr">
        <is>
          <t>Louças</t>
        </is>
      </c>
      <c r="K3013" s="1780" t="n"/>
      <c r="L3013" s="1781" t="n"/>
      <c r="M3013" s="1781" t="n"/>
      <c r="N3013" s="1746" t="n">
        <v>47792.64</v>
      </c>
      <c r="O3013" s="1782" t="n"/>
      <c r="P3013" s="1720" t="n"/>
    </row>
    <row r="3014" hidden="1" outlineLevel="3" ht="13.9" customHeight="1">
      <c r="A3014" s="2117" t="n">
        <v>0</v>
      </c>
      <c r="B3014" s="2117" t="n">
        <v>19</v>
      </c>
      <c r="C3014" s="2117" t="n">
        <v>10</v>
      </c>
      <c r="D3014" s="2118" t="n">
        <v>1</v>
      </c>
      <c r="E3014" s="2118" t="n">
        <v>1</v>
      </c>
      <c r="F3014" s="569" t="n"/>
      <c r="G3014" s="1798" t="inlineStr">
        <is>
          <t>LOUÇAS E METAIS</t>
        </is>
      </c>
      <c r="H3014" s="1783" t="inlineStr">
        <is>
          <t>SERVIÇO</t>
        </is>
      </c>
      <c r="I3014" s="1750" t="inlineStr">
        <is>
          <t>19.010.001.001</t>
        </is>
      </c>
      <c r="J3014" s="1785" t="inlineStr">
        <is>
          <t xml:space="preserve">Louças </t>
        </is>
      </c>
      <c r="K3014" s="1786" t="inlineStr">
        <is>
          <t>vb</t>
        </is>
      </c>
      <c r="L3014" s="1787" t="n">
        <v>1</v>
      </c>
      <c r="M3014" s="1787" t="n">
        <v>47792.64</v>
      </c>
      <c r="N3014" s="1754" t="n">
        <v>47792.64</v>
      </c>
      <c r="O3014" s="1788" t="n"/>
      <c r="P3014" s="1721" t="inlineStr">
        <is>
          <t>Pendente</t>
        </is>
      </c>
    </row>
    <row r="3015" hidden="1" outlineLevel="2" ht="13.9" customHeight="1">
      <c r="A3015" s="2117" t="n">
        <v>0</v>
      </c>
      <c r="B3015" s="2117" t="n">
        <v>19</v>
      </c>
      <c r="C3015" s="2117" t="n">
        <v>10</v>
      </c>
      <c r="D3015" s="2118" t="n">
        <v>2</v>
      </c>
      <c r="E3015" s="2118" t="n">
        <v>0</v>
      </c>
      <c r="F3015" s="569" t="n"/>
      <c r="G3015" s="1797" t="n"/>
      <c r="H3015" s="1777" t="inlineStr">
        <is>
          <t>SUBETAPA</t>
        </is>
      </c>
      <c r="I3015" s="1742" t="inlineStr">
        <is>
          <t>19.010.002</t>
        </is>
      </c>
      <c r="J3015" s="1779" t="inlineStr">
        <is>
          <t>Metais e acessórios</t>
        </is>
      </c>
      <c r="K3015" s="1780" t="n"/>
      <c r="L3015" s="1781" t="n"/>
      <c r="M3015" s="1781" t="n"/>
      <c r="N3015" s="1746" t="n">
        <v>14929.12</v>
      </c>
      <c r="O3015" s="1782" t="n"/>
      <c r="P3015" s="1720" t="n"/>
    </row>
    <row r="3016" hidden="1" outlineLevel="3" ht="13.9" customHeight="1">
      <c r="A3016" s="2117" t="n">
        <v>0</v>
      </c>
      <c r="B3016" s="2117" t="n">
        <v>19</v>
      </c>
      <c r="C3016" s="2117" t="n">
        <v>10</v>
      </c>
      <c r="D3016" s="2118" t="n">
        <v>2</v>
      </c>
      <c r="E3016" s="2118" t="n">
        <v>1</v>
      </c>
      <c r="F3016" s="569" t="n"/>
      <c r="G3016" s="1798" t="inlineStr">
        <is>
          <t>LOUÇAS E METAIS</t>
        </is>
      </c>
      <c r="H3016" s="1783" t="inlineStr">
        <is>
          <t>SERVIÇO</t>
        </is>
      </c>
      <c r="I3016" s="1750" t="inlineStr">
        <is>
          <t>19.010.002.001</t>
        </is>
      </c>
      <c r="J3016" s="1785" t="inlineStr">
        <is>
          <t>Acabamentos e acessórios</t>
        </is>
      </c>
      <c r="K3016" s="1786" t="inlineStr">
        <is>
          <t>vb</t>
        </is>
      </c>
      <c r="L3016" s="1787" t="n">
        <v>1</v>
      </c>
      <c r="M3016" s="1787" t="n">
        <v>14929.12</v>
      </c>
      <c r="N3016" s="1754" t="n">
        <v>14929.12</v>
      </c>
      <c r="O3016" s="1788" t="n"/>
      <c r="P3016" s="1721" t="inlineStr">
        <is>
          <t>Pendente</t>
        </is>
      </c>
    </row>
    <row r="3017" hidden="1" outlineLevel="2" ht="13.9" customHeight="1">
      <c r="A3017" s="2117" t="n">
        <v>0</v>
      </c>
      <c r="B3017" s="2117" t="n">
        <v>19</v>
      </c>
      <c r="C3017" s="2117" t="n">
        <v>10</v>
      </c>
      <c r="D3017" s="2118" t="n">
        <v>3</v>
      </c>
      <c r="E3017" s="2118" t="n">
        <v>0</v>
      </c>
      <c r="F3017" s="569" t="n"/>
      <c r="G3017" s="1797" t="n"/>
      <c r="H3017" s="1777" t="inlineStr">
        <is>
          <t>SUBETAPA</t>
        </is>
      </c>
      <c r="I3017" s="1742" t="inlineStr">
        <is>
          <t>19.010.003</t>
        </is>
      </c>
      <c r="J3017" s="1779" t="inlineStr">
        <is>
          <t>Mão de obra</t>
        </is>
      </c>
      <c r="K3017" s="1780" t="n"/>
      <c r="L3017" s="1781" t="n"/>
      <c r="M3017" s="1781" t="n"/>
      <c r="N3017" s="1746" t="n">
        <v>19418.24</v>
      </c>
      <c r="O3017" s="1782" t="n"/>
      <c r="P3017" s="1720" t="n"/>
    </row>
    <row r="3018" hidden="1" outlineLevel="3" ht="13.9" customHeight="1">
      <c r="A3018" s="2117" t="n">
        <v>0</v>
      </c>
      <c r="B3018" s="2117" t="n">
        <v>19</v>
      </c>
      <c r="C3018" s="2117" t="n">
        <v>10</v>
      </c>
      <c r="D3018" s="2118" t="n">
        <v>3</v>
      </c>
      <c r="E3018" s="2118" t="n">
        <v>1</v>
      </c>
      <c r="F3018" s="569" t="n"/>
      <c r="G3018" s="1798" t="inlineStr">
        <is>
          <t>LOUÇAS E METAIS</t>
        </is>
      </c>
      <c r="H3018" s="1783" t="inlineStr">
        <is>
          <t>SERVIÇO</t>
        </is>
      </c>
      <c r="I3018" s="1750" t="inlineStr">
        <is>
          <t>19.010.003.001</t>
        </is>
      </c>
      <c r="J3018" s="1785" t="inlineStr">
        <is>
          <t>Instalação de louças e metais sanitários</t>
        </is>
      </c>
      <c r="K3018" s="1786" t="inlineStr">
        <is>
          <t>vb</t>
        </is>
      </c>
      <c r="L3018" s="1787" t="n">
        <v>1</v>
      </c>
      <c r="M3018" s="1787" t="n">
        <v>19418.24</v>
      </c>
      <c r="N3018" s="1754" t="n">
        <v>19418.24</v>
      </c>
      <c r="O3018" s="1788" t="n"/>
      <c r="P3018" s="1721" t="inlineStr">
        <is>
          <t>Pendente</t>
        </is>
      </c>
    </row>
    <row r="3019" hidden="1" outlineLevel="1" ht="13.9" customHeight="1">
      <c r="A3019" s="2117" t="n">
        <v>0</v>
      </c>
      <c r="B3019" s="2117" t="n">
        <v>19</v>
      </c>
      <c r="C3019" s="2117" t="n">
        <v>11</v>
      </c>
      <c r="D3019" s="2118" t="n">
        <v>0</v>
      </c>
      <c r="E3019" s="2118" t="n">
        <v>1</v>
      </c>
      <c r="F3019" s="569" t="n"/>
      <c r="G3019" s="1796" t="n"/>
      <c r="H3019" s="1771" t="inlineStr">
        <is>
          <t>ETAPA</t>
        </is>
      </c>
      <c r="I3019" s="1735" t="inlineStr">
        <is>
          <t>19.011</t>
        </is>
      </c>
      <c r="J3019" s="1773" t="inlineStr">
        <is>
          <t>LOUÇAS E METAIS - Penthouse x22</t>
        </is>
      </c>
      <c r="K3019" s="1774" t="n"/>
      <c r="L3019" s="1775" t="n"/>
      <c r="M3019" s="1775" t="n"/>
      <c r="N3019" s="1739" t="n">
        <v>179316.28</v>
      </c>
      <c r="O3019" s="1776" t="n"/>
      <c r="P3019" s="1725" t="n"/>
    </row>
    <row r="3020" hidden="1" outlineLevel="2" ht="15.75" customHeight="1">
      <c r="A3020" s="2117" t="n">
        <v>0</v>
      </c>
      <c r="B3020" s="2117" t="n">
        <v>19</v>
      </c>
      <c r="C3020" s="2117" t="n">
        <v>11</v>
      </c>
      <c r="D3020" s="2118" t="n">
        <v>1</v>
      </c>
      <c r="E3020" s="2118" t="n">
        <v>0</v>
      </c>
      <c r="F3020" s="569" t="n"/>
      <c r="G3020" s="1797" t="n"/>
      <c r="H3020" s="1777" t="inlineStr">
        <is>
          <t>SUBETAPA</t>
        </is>
      </c>
      <c r="I3020" s="1742" t="inlineStr">
        <is>
          <t>19.011.001</t>
        </is>
      </c>
      <c r="J3020" s="1779" t="inlineStr">
        <is>
          <t>Louças</t>
        </is>
      </c>
      <c r="K3020" s="1780" t="n"/>
      <c r="L3020" s="1781" t="n"/>
      <c r="M3020" s="1781" t="n"/>
      <c r="N3020" s="1746" t="n">
        <v>93083.32000000001</v>
      </c>
      <c r="O3020" s="1782" t="n"/>
      <c r="P3020" s="1720" t="n"/>
    </row>
    <row r="3021" hidden="1" outlineLevel="3" ht="13.9" customHeight="1">
      <c r="A3021" s="2117" t="n">
        <v>0</v>
      </c>
      <c r="B3021" s="2117" t="n">
        <v>19</v>
      </c>
      <c r="C3021" s="2117" t="n">
        <v>11</v>
      </c>
      <c r="D3021" s="2118" t="n">
        <v>1</v>
      </c>
      <c r="E3021" s="2118" t="n">
        <v>1</v>
      </c>
      <c r="F3021" s="569" t="n"/>
      <c r="G3021" s="1798" t="inlineStr">
        <is>
          <t>LOUÇAS E METAIS</t>
        </is>
      </c>
      <c r="H3021" s="1783" t="inlineStr">
        <is>
          <t>SERVIÇO</t>
        </is>
      </c>
      <c r="I3021" s="1750" t="inlineStr">
        <is>
          <t>19.011.001.001</t>
        </is>
      </c>
      <c r="J3021" s="1785" t="inlineStr">
        <is>
          <t xml:space="preserve">Louças </t>
        </is>
      </c>
      <c r="K3021" s="1786" t="inlineStr">
        <is>
          <t>vb</t>
        </is>
      </c>
      <c r="L3021" s="1787" t="n">
        <v>1</v>
      </c>
      <c r="M3021" s="1787" t="n">
        <v>93083.31999999999</v>
      </c>
      <c r="N3021" s="1754" t="n">
        <v>93083.32000000001</v>
      </c>
      <c r="O3021" s="1788" t="n"/>
      <c r="P3021" s="1721" t="inlineStr">
        <is>
          <t>Pendente</t>
        </is>
      </c>
    </row>
    <row r="3022" hidden="1" outlineLevel="2" ht="13.9" customHeight="1">
      <c r="A3022" s="2117" t="n">
        <v>0</v>
      </c>
      <c r="B3022" s="2117" t="n">
        <v>19</v>
      </c>
      <c r="C3022" s="2117" t="n">
        <v>11</v>
      </c>
      <c r="D3022" s="2118" t="n">
        <v>2</v>
      </c>
      <c r="E3022" s="2118" t="n">
        <v>0</v>
      </c>
      <c r="F3022" s="569" t="n"/>
      <c r="G3022" s="1797" t="n"/>
      <c r="H3022" s="1777" t="inlineStr">
        <is>
          <t>SUBETAPA</t>
        </is>
      </c>
      <c r="I3022" s="1742" t="inlineStr">
        <is>
          <t>19.011.002</t>
        </is>
      </c>
      <c r="J3022" s="1779" t="inlineStr">
        <is>
          <t>Metais e acessórios</t>
        </is>
      </c>
      <c r="K3022" s="1780" t="n"/>
      <c r="L3022" s="1781" t="n"/>
      <c r="M3022" s="1781" t="n"/>
      <c r="N3022" s="1746" t="n">
        <v>32804.64</v>
      </c>
      <c r="O3022" s="1782" t="n"/>
      <c r="P3022" s="1720" t="n"/>
    </row>
    <row r="3023" hidden="1" outlineLevel="3" ht="13.9" customHeight="1">
      <c r="A3023" s="2117" t="n">
        <v>0</v>
      </c>
      <c r="B3023" s="2117" t="n">
        <v>19</v>
      </c>
      <c r="C3023" s="2117" t="n">
        <v>11</v>
      </c>
      <c r="D3023" s="2118" t="n">
        <v>2</v>
      </c>
      <c r="E3023" s="2118" t="n">
        <v>1</v>
      </c>
      <c r="F3023" s="569" t="n"/>
      <c r="G3023" s="1798" t="inlineStr">
        <is>
          <t>LOUÇAS E METAIS</t>
        </is>
      </c>
      <c r="H3023" s="1783" t="inlineStr">
        <is>
          <t>SERVIÇO</t>
        </is>
      </c>
      <c r="I3023" s="1750" t="inlineStr">
        <is>
          <t>19.011.002.001</t>
        </is>
      </c>
      <c r="J3023" s="1785" t="inlineStr">
        <is>
          <t>Acabamentos e acessórios</t>
        </is>
      </c>
      <c r="K3023" s="1786" t="inlineStr">
        <is>
          <t>vb</t>
        </is>
      </c>
      <c r="L3023" s="1787" t="n">
        <v>1</v>
      </c>
      <c r="M3023" s="1787" t="n">
        <v>32804.64</v>
      </c>
      <c r="N3023" s="1754" t="n">
        <v>32804.64</v>
      </c>
      <c r="O3023" s="1788" t="n"/>
      <c r="P3023" s="1721" t="inlineStr">
        <is>
          <t>Pendente</t>
        </is>
      </c>
    </row>
    <row r="3024" hidden="1" outlineLevel="2" ht="13.9" customHeight="1">
      <c r="A3024" s="2117" t="n">
        <v>0</v>
      </c>
      <c r="B3024" s="2117" t="n">
        <v>19</v>
      </c>
      <c r="C3024" s="2117" t="n">
        <v>11</v>
      </c>
      <c r="D3024" s="2118" t="n">
        <v>3</v>
      </c>
      <c r="E3024" s="2118" t="n">
        <v>0</v>
      </c>
      <c r="F3024" s="569" t="n"/>
      <c r="G3024" s="1797" t="n"/>
      <c r="H3024" s="1777" t="inlineStr">
        <is>
          <t>SUBETAPA</t>
        </is>
      </c>
      <c r="I3024" s="1742" t="inlineStr">
        <is>
          <t>19.011.003</t>
        </is>
      </c>
      <c r="J3024" s="1779" t="inlineStr">
        <is>
          <t>Mão de obra</t>
        </is>
      </c>
      <c r="K3024" s="1780" t="n"/>
      <c r="L3024" s="1781" t="n"/>
      <c r="M3024" s="1781" t="n"/>
      <c r="N3024" s="1746" t="n">
        <v>53428.32</v>
      </c>
      <c r="O3024" s="1782" t="n"/>
      <c r="P3024" s="1720" t="n"/>
    </row>
    <row r="3025" hidden="1" outlineLevel="3" ht="13.9" customHeight="1">
      <c r="A3025" s="2117" t="n">
        <v>0</v>
      </c>
      <c r="B3025" s="2117" t="n">
        <v>19</v>
      </c>
      <c r="C3025" s="2117" t="n">
        <v>11</v>
      </c>
      <c r="D3025" s="2118" t="n">
        <v>3</v>
      </c>
      <c r="E3025" s="2118" t="n">
        <v>1</v>
      </c>
      <c r="F3025" s="569" t="n"/>
      <c r="G3025" s="1798" t="inlineStr">
        <is>
          <t>LOUÇAS E METAIS</t>
        </is>
      </c>
      <c r="H3025" s="1783" t="inlineStr">
        <is>
          <t>SERVIÇO</t>
        </is>
      </c>
      <c r="I3025" s="1750" t="inlineStr">
        <is>
          <t>19.011.003.001</t>
        </is>
      </c>
      <c r="J3025" s="1785" t="inlineStr">
        <is>
          <t>Instalação de louças e metais sanitários</t>
        </is>
      </c>
      <c r="K3025" s="1786" t="inlineStr">
        <is>
          <t>vb</t>
        </is>
      </c>
      <c r="L3025" s="1787" t="n">
        <v>1</v>
      </c>
      <c r="M3025" s="1787" t="n">
        <v>53428.32</v>
      </c>
      <c r="N3025" s="1754" t="n">
        <v>53428.32</v>
      </c>
      <c r="O3025" s="1788" t="n"/>
      <c r="P3025" s="1721" t="inlineStr">
        <is>
          <t>Pendente</t>
        </is>
      </c>
    </row>
    <row r="3026" hidden="1" outlineLevel="1" ht="13.9" customHeight="1">
      <c r="A3026" s="2117" t="n">
        <v>0</v>
      </c>
      <c r="B3026" s="2117" t="n">
        <v>19</v>
      </c>
      <c r="C3026" s="2117" t="n">
        <v>12</v>
      </c>
      <c r="D3026" s="2118" t="n">
        <v>0</v>
      </c>
      <c r="E3026" s="2118" t="n">
        <v>1</v>
      </c>
      <c r="F3026" s="569" t="n"/>
      <c r="G3026" s="1796" t="n"/>
      <c r="H3026" s="1771" t="inlineStr">
        <is>
          <t>ETAPA</t>
        </is>
      </c>
      <c r="I3026" s="1735" t="inlineStr">
        <is>
          <t>19.012</t>
        </is>
      </c>
      <c r="J3026" s="1773" t="inlineStr">
        <is>
          <t>LOUÇAS E METAIS - Duplex Inferior</t>
        </is>
      </c>
      <c r="K3026" s="1774" t="n"/>
      <c r="L3026" s="1775" t="n"/>
      <c r="M3026" s="1775" t="n"/>
      <c r="N3026" s="1739" t="n">
        <v>8437.389999999999</v>
      </c>
      <c r="O3026" s="1776" t="n"/>
      <c r="P3026" s="1725" t="n"/>
    </row>
    <row r="3027" hidden="1" outlineLevel="2" ht="15.75" customHeight="1">
      <c r="A3027" s="2117" t="n">
        <v>0</v>
      </c>
      <c r="B3027" s="2117" t="n">
        <v>19</v>
      </c>
      <c r="C3027" s="2117" t="n">
        <v>12</v>
      </c>
      <c r="D3027" s="2118" t="n">
        <v>1</v>
      </c>
      <c r="E3027" s="2118" t="n">
        <v>0</v>
      </c>
      <c r="F3027" s="569" t="n"/>
      <c r="G3027" s="1797" t="n"/>
      <c r="H3027" s="1777" t="inlineStr">
        <is>
          <t>SUBETAPA</t>
        </is>
      </c>
      <c r="I3027" s="1742" t="inlineStr">
        <is>
          <t>19.012.001</t>
        </is>
      </c>
      <c r="J3027" s="1779" t="inlineStr">
        <is>
          <t>Louças</t>
        </is>
      </c>
      <c r="K3027" s="1780" t="n"/>
      <c r="L3027" s="1781" t="n"/>
      <c r="M3027" s="1781" t="n"/>
      <c r="N3027" s="1746" t="n">
        <v>4354.07</v>
      </c>
      <c r="O3027" s="1782" t="n"/>
      <c r="P3027" s="1720" t="n"/>
    </row>
    <row r="3028" hidden="1" outlineLevel="3" ht="13.9" customHeight="1">
      <c r="A3028" s="2117" t="n">
        <v>0</v>
      </c>
      <c r="B3028" s="2117" t="n">
        <v>19</v>
      </c>
      <c r="C3028" s="2117" t="n">
        <v>12</v>
      </c>
      <c r="D3028" s="2118" t="n">
        <v>1</v>
      </c>
      <c r="E3028" s="2118" t="n">
        <v>1</v>
      </c>
      <c r="F3028" s="569" t="n"/>
      <c r="G3028" s="1798" t="inlineStr">
        <is>
          <t>LOUÇAS E METAIS</t>
        </is>
      </c>
      <c r="H3028" s="1783" t="inlineStr">
        <is>
          <t>SERVIÇO</t>
        </is>
      </c>
      <c r="I3028" s="1750" t="inlineStr">
        <is>
          <t>19.012.001.001</t>
        </is>
      </c>
      <c r="J3028" s="1785" t="inlineStr">
        <is>
          <t xml:space="preserve">Louças </t>
        </is>
      </c>
      <c r="K3028" s="1786" t="inlineStr">
        <is>
          <t>vb</t>
        </is>
      </c>
      <c r="L3028" s="1787" t="n">
        <v>1</v>
      </c>
      <c r="M3028" s="1787" t="n">
        <v>4354.07</v>
      </c>
      <c r="N3028" s="1754" t="n">
        <v>4354.07</v>
      </c>
      <c r="O3028" s="1788" t="n"/>
      <c r="P3028" s="1721" t="inlineStr">
        <is>
          <t>Pendente</t>
        </is>
      </c>
    </row>
    <row r="3029" hidden="1" outlineLevel="2" ht="13.9" customHeight="1">
      <c r="A3029" s="2117" t="n">
        <v>0</v>
      </c>
      <c r="B3029" s="2117" t="n">
        <v>19</v>
      </c>
      <c r="C3029" s="2117" t="n">
        <v>12</v>
      </c>
      <c r="D3029" s="2118" t="n">
        <v>2</v>
      </c>
      <c r="E3029" s="2118" t="n">
        <v>0</v>
      </c>
      <c r="F3029" s="569" t="n"/>
      <c r="G3029" s="1797" t="n"/>
      <c r="H3029" s="1777" t="inlineStr">
        <is>
          <t>SUBETAPA</t>
        </is>
      </c>
      <c r="I3029" s="1742" t="inlineStr">
        <is>
          <t>19.012.002</t>
        </is>
      </c>
      <c r="J3029" s="1779" t="inlineStr">
        <is>
          <t>Metais e acessórios</t>
        </is>
      </c>
      <c r="K3029" s="1780" t="n"/>
      <c r="L3029" s="1781" t="n"/>
      <c r="M3029" s="1781" t="n"/>
      <c r="N3029" s="1746" t="n">
        <v>1739.64</v>
      </c>
      <c r="O3029" s="1782" t="n"/>
      <c r="P3029" s="1720" t="n"/>
    </row>
    <row r="3030" hidden="1" outlineLevel="3" ht="13.9" customHeight="1">
      <c r="A3030" s="2117" t="n">
        <v>0</v>
      </c>
      <c r="B3030" s="2117" t="n">
        <v>19</v>
      </c>
      <c r="C3030" s="2117" t="n">
        <v>12</v>
      </c>
      <c r="D3030" s="2118" t="n">
        <v>2</v>
      </c>
      <c r="E3030" s="2118" t="n">
        <v>1</v>
      </c>
      <c r="F3030" s="569" t="n"/>
      <c r="G3030" s="1798" t="inlineStr">
        <is>
          <t>LOUÇAS E METAIS</t>
        </is>
      </c>
      <c r="H3030" s="1783" t="inlineStr">
        <is>
          <t>SERVIÇO</t>
        </is>
      </c>
      <c r="I3030" s="1750" t="inlineStr">
        <is>
          <t>19.012.002.001</t>
        </is>
      </c>
      <c r="J3030" s="1785" t="inlineStr">
        <is>
          <t>Acabamentos e acessórios</t>
        </is>
      </c>
      <c r="K3030" s="1786" t="inlineStr">
        <is>
          <t>vb</t>
        </is>
      </c>
      <c r="L3030" s="1787" t="n">
        <v>1</v>
      </c>
      <c r="M3030" s="1787" t="n">
        <v>1739.64</v>
      </c>
      <c r="N3030" s="1754" t="n">
        <v>1739.64</v>
      </c>
      <c r="O3030" s="1788" t="n"/>
      <c r="P3030" s="1721" t="inlineStr">
        <is>
          <t>Pendente</t>
        </is>
      </c>
    </row>
    <row r="3031" hidden="1" outlineLevel="2" ht="13.9" customHeight="1">
      <c r="A3031" s="2117" t="n">
        <v>0</v>
      </c>
      <c r="B3031" s="2117" t="n">
        <v>19</v>
      </c>
      <c r="C3031" s="2117" t="n">
        <v>12</v>
      </c>
      <c r="D3031" s="2118" t="n">
        <v>3</v>
      </c>
      <c r="E3031" s="2118" t="n">
        <v>0</v>
      </c>
      <c r="F3031" s="569" t="n"/>
      <c r="G3031" s="1797" t="n"/>
      <c r="H3031" s="1777" t="inlineStr">
        <is>
          <t>SUBETAPA</t>
        </is>
      </c>
      <c r="I3031" s="1742" t="inlineStr">
        <is>
          <t>19.012.003</t>
        </is>
      </c>
      <c r="J3031" s="1779" t="inlineStr">
        <is>
          <t>Mão de obra</t>
        </is>
      </c>
      <c r="K3031" s="1780" t="n"/>
      <c r="L3031" s="1781" t="n"/>
      <c r="M3031" s="1781" t="n"/>
      <c r="N3031" s="1746" t="n">
        <v>2343.68</v>
      </c>
      <c r="O3031" s="1782" t="n"/>
      <c r="P3031" s="1720" t="n"/>
    </row>
    <row r="3032" hidden="1" outlineLevel="3" ht="13.9" customHeight="1">
      <c r="A3032" s="2117" t="n">
        <v>0</v>
      </c>
      <c r="B3032" s="2117" t="n">
        <v>19</v>
      </c>
      <c r="C3032" s="2117" t="n">
        <v>12</v>
      </c>
      <c r="D3032" s="2118" t="n">
        <v>3</v>
      </c>
      <c r="E3032" s="2118" t="n">
        <v>1</v>
      </c>
      <c r="F3032" s="569" t="n"/>
      <c r="G3032" s="1798" t="inlineStr">
        <is>
          <t>LOUÇAS E METAIS</t>
        </is>
      </c>
      <c r="H3032" s="1783" t="inlineStr">
        <is>
          <t>SERVIÇO</t>
        </is>
      </c>
      <c r="I3032" s="1750" t="inlineStr">
        <is>
          <t>19.012.003.001</t>
        </is>
      </c>
      <c r="J3032" s="1785" t="inlineStr">
        <is>
          <t>Instalação de louças e metais sanitários</t>
        </is>
      </c>
      <c r="K3032" s="1786" t="inlineStr">
        <is>
          <t>vb</t>
        </is>
      </c>
      <c r="L3032" s="1787" t="n">
        <v>1</v>
      </c>
      <c r="M3032" s="1787" t="n">
        <v>2343.68</v>
      </c>
      <c r="N3032" s="1754" t="n">
        <v>2343.68</v>
      </c>
      <c r="O3032" s="1788" t="n"/>
      <c r="P3032" s="1721" t="inlineStr">
        <is>
          <t>Pendente</t>
        </is>
      </c>
    </row>
    <row r="3033" hidden="1" outlineLevel="1" ht="13.9" customHeight="1">
      <c r="A3033" s="2117" t="n">
        <v>0</v>
      </c>
      <c r="B3033" s="2117" t="n">
        <v>19</v>
      </c>
      <c r="C3033" s="2117" t="n">
        <v>13</v>
      </c>
      <c r="D3033" s="2118" t="n">
        <v>0</v>
      </c>
      <c r="E3033" s="2118" t="n">
        <v>1</v>
      </c>
      <c r="F3033" s="569" t="n"/>
      <c r="G3033" s="1796" t="n"/>
      <c r="H3033" s="1771" t="inlineStr">
        <is>
          <t>ETAPA</t>
        </is>
      </c>
      <c r="I3033" s="1735" t="inlineStr">
        <is>
          <t>19.013</t>
        </is>
      </c>
      <c r="J3033" s="1773" t="inlineStr">
        <is>
          <t>LOUÇAS E METAIS - Duplex Superior</t>
        </is>
      </c>
      <c r="K3033" s="1774" t="n"/>
      <c r="L3033" s="1775" t="n"/>
      <c r="M3033" s="1775" t="n"/>
      <c r="N3033" s="1739" t="n">
        <v>3820.45</v>
      </c>
      <c r="O3033" s="1776" t="n"/>
      <c r="P3033" s="1725" t="n"/>
    </row>
    <row r="3034" hidden="1" outlineLevel="2" ht="15.75" customHeight="1">
      <c r="A3034" s="2117" t="n">
        <v>0</v>
      </c>
      <c r="B3034" s="2117" t="n">
        <v>19</v>
      </c>
      <c r="C3034" s="2117" t="n">
        <v>13</v>
      </c>
      <c r="D3034" s="2118" t="n">
        <v>1</v>
      </c>
      <c r="E3034" s="2118" t="n">
        <v>0</v>
      </c>
      <c r="F3034" s="569" t="n"/>
      <c r="G3034" s="1797" t="n"/>
      <c r="H3034" s="1777" t="inlineStr">
        <is>
          <t>SUBETAPA</t>
        </is>
      </c>
      <c r="I3034" s="1742" t="inlineStr">
        <is>
          <t>19.013.001</t>
        </is>
      </c>
      <c r="J3034" s="1779" t="inlineStr">
        <is>
          <t>Louças</t>
        </is>
      </c>
      <c r="K3034" s="1780" t="n"/>
      <c r="L3034" s="1781" t="n"/>
      <c r="M3034" s="1781" t="n"/>
      <c r="N3034" s="1746" t="n">
        <v>1244.02</v>
      </c>
      <c r="O3034" s="1782" t="n"/>
      <c r="P3034" s="1720" t="n"/>
    </row>
    <row r="3035" hidden="1" outlineLevel="3" ht="13.9" customHeight="1">
      <c r="A3035" s="2117" t="n">
        <v>0</v>
      </c>
      <c r="B3035" s="2117" t="n">
        <v>19</v>
      </c>
      <c r="C3035" s="2117" t="n">
        <v>13</v>
      </c>
      <c r="D3035" s="2118" t="n">
        <v>1</v>
      </c>
      <c r="E3035" s="2118" t="n">
        <v>1</v>
      </c>
      <c r="F3035" s="569" t="n"/>
      <c r="G3035" s="1798" t="inlineStr">
        <is>
          <t>LOUÇAS E METAIS</t>
        </is>
      </c>
      <c r="H3035" s="1783" t="inlineStr">
        <is>
          <t>SERVIÇO</t>
        </is>
      </c>
      <c r="I3035" s="1750" t="inlineStr">
        <is>
          <t>19.013.001.001</t>
        </is>
      </c>
      <c r="J3035" s="1785" t="inlineStr">
        <is>
          <t xml:space="preserve">Louças </t>
        </is>
      </c>
      <c r="K3035" s="1786" t="inlineStr">
        <is>
          <t>vb</t>
        </is>
      </c>
      <c r="L3035" s="1787" t="n">
        <v>1</v>
      </c>
      <c r="M3035" s="1787" t="n">
        <v>1244.02</v>
      </c>
      <c r="N3035" s="1754" t="n">
        <v>1244.02</v>
      </c>
      <c r="O3035" s="1788" t="n"/>
      <c r="P3035" s="1721" t="inlineStr">
        <is>
          <t>Pendente</t>
        </is>
      </c>
    </row>
    <row r="3036" hidden="1" outlineLevel="2" ht="13.9" customHeight="1">
      <c r="A3036" s="2117" t="n">
        <v>0</v>
      </c>
      <c r="B3036" s="2117" t="n">
        <v>19</v>
      </c>
      <c r="C3036" s="2117" t="n">
        <v>13</v>
      </c>
      <c r="D3036" s="2118" t="n">
        <v>2</v>
      </c>
      <c r="E3036" s="2118" t="n">
        <v>0</v>
      </c>
      <c r="F3036" s="569" t="n"/>
      <c r="G3036" s="1797" t="n"/>
      <c r="H3036" s="1777" t="inlineStr">
        <is>
          <t>SUBETAPA</t>
        </is>
      </c>
      <c r="I3036" s="1742" t="inlineStr">
        <is>
          <t>19.013.002</t>
        </is>
      </c>
      <c r="J3036" s="1779" t="inlineStr">
        <is>
          <t>Metais e acessórios</t>
        </is>
      </c>
      <c r="K3036" s="1780" t="n"/>
      <c r="L3036" s="1781" t="n"/>
      <c r="M3036" s="1781" t="n"/>
      <c r="N3036" s="1746" t="n">
        <v>346.03</v>
      </c>
      <c r="O3036" s="1782" t="n"/>
      <c r="P3036" s="1720" t="n"/>
    </row>
    <row r="3037" hidden="1" outlineLevel="3" ht="13.9" customHeight="1">
      <c r="A3037" s="2117" t="n">
        <v>0</v>
      </c>
      <c r="B3037" s="2117" t="n">
        <v>19</v>
      </c>
      <c r="C3037" s="2117" t="n">
        <v>13</v>
      </c>
      <c r="D3037" s="2118" t="n">
        <v>2</v>
      </c>
      <c r="E3037" s="2118" t="n">
        <v>1</v>
      </c>
      <c r="F3037" s="569" t="n"/>
      <c r="G3037" s="1798" t="inlineStr">
        <is>
          <t>LOUÇAS E METAIS</t>
        </is>
      </c>
      <c r="H3037" s="1783" t="inlineStr">
        <is>
          <t>SERVIÇO</t>
        </is>
      </c>
      <c r="I3037" s="1750" t="inlineStr">
        <is>
          <t>19.013.002.001</t>
        </is>
      </c>
      <c r="J3037" s="1785" t="inlineStr">
        <is>
          <t>Acabamentos e acessórios</t>
        </is>
      </c>
      <c r="K3037" s="1786" t="inlineStr">
        <is>
          <t>vb</t>
        </is>
      </c>
      <c r="L3037" s="1787" t="n">
        <v>1</v>
      </c>
      <c r="M3037" s="1787" t="n">
        <v>346.03</v>
      </c>
      <c r="N3037" s="1754" t="n">
        <v>346.03</v>
      </c>
      <c r="O3037" s="1788" t="n"/>
      <c r="P3037" s="1721" t="inlineStr">
        <is>
          <t>Pendente</t>
        </is>
      </c>
    </row>
    <row r="3038" hidden="1" outlineLevel="2" ht="13.9" customHeight="1">
      <c r="A3038" s="2117" t="n">
        <v>0</v>
      </c>
      <c r="B3038" s="2117" t="n">
        <v>19</v>
      </c>
      <c r="C3038" s="2117" t="n">
        <v>13</v>
      </c>
      <c r="D3038" s="2118" t="n">
        <v>3</v>
      </c>
      <c r="E3038" s="2118" t="n">
        <v>0</v>
      </c>
      <c r="F3038" s="569" t="n"/>
      <c r="G3038" s="1797" t="n"/>
      <c r="H3038" s="1777" t="inlineStr">
        <is>
          <t>SUBETAPA</t>
        </is>
      </c>
      <c r="I3038" s="1742" t="inlineStr">
        <is>
          <t>19.013.003</t>
        </is>
      </c>
      <c r="J3038" s="1779" t="inlineStr">
        <is>
          <t>Mão de obra</t>
        </is>
      </c>
      <c r="K3038" s="1780" t="n"/>
      <c r="L3038" s="1781" t="n"/>
      <c r="M3038" s="1781" t="n"/>
      <c r="N3038" s="1746" t="n">
        <v>2230.4</v>
      </c>
      <c r="O3038" s="1782" t="n"/>
      <c r="P3038" s="1720" t="n"/>
    </row>
    <row r="3039" hidden="1" outlineLevel="3" ht="13.9" customHeight="1">
      <c r="A3039" s="2117" t="n">
        <v>0</v>
      </c>
      <c r="B3039" s="2117" t="n">
        <v>19</v>
      </c>
      <c r="C3039" s="2117" t="n">
        <v>13</v>
      </c>
      <c r="D3039" s="2118" t="n">
        <v>3</v>
      </c>
      <c r="E3039" s="2118" t="n">
        <v>1</v>
      </c>
      <c r="F3039" s="569" t="n"/>
      <c r="G3039" s="1798" t="inlineStr">
        <is>
          <t>LOUÇAS E METAIS</t>
        </is>
      </c>
      <c r="H3039" s="1783" t="inlineStr">
        <is>
          <t>SERVIÇO</t>
        </is>
      </c>
      <c r="I3039" s="1750" t="inlineStr">
        <is>
          <t>19.013.003.001</t>
        </is>
      </c>
      <c r="J3039" s="1785" t="inlineStr">
        <is>
          <t>Instalação de louças e metais sanitários</t>
        </is>
      </c>
      <c r="K3039" s="1786" t="inlineStr">
        <is>
          <t>vb</t>
        </is>
      </c>
      <c r="L3039" s="1787" t="n">
        <v>1</v>
      </c>
      <c r="M3039" s="1787" t="n">
        <v>2230.4</v>
      </c>
      <c r="N3039" s="1754" t="n">
        <v>2230.4</v>
      </c>
      <c r="O3039" s="1788" t="n"/>
      <c r="P3039" s="1721" t="inlineStr">
        <is>
          <t>Pendente</t>
        </is>
      </c>
    </row>
    <row r="3040" hidden="1" outlineLevel="1" ht="13.9" customHeight="1">
      <c r="A3040" s="2117" t="n">
        <v>0</v>
      </c>
      <c r="B3040" s="2117" t="n">
        <v>19</v>
      </c>
      <c r="C3040" s="2117" t="n">
        <v>14</v>
      </c>
      <c r="D3040" s="2118" t="n">
        <v>0</v>
      </c>
      <c r="E3040" s="2118" t="n">
        <v>1</v>
      </c>
      <c r="F3040" s="569" t="n"/>
      <c r="G3040" s="1796" t="n"/>
      <c r="H3040" s="1771" t="inlineStr">
        <is>
          <t>ETAPA</t>
        </is>
      </c>
      <c r="I3040" s="1735" t="inlineStr">
        <is>
          <t>19.014</t>
        </is>
      </c>
      <c r="J3040" s="1773" t="inlineStr">
        <is>
          <t>LOUÇAS E METAIS - Cobertura | Barrilete</t>
        </is>
      </c>
      <c r="K3040" s="1774" t="n"/>
      <c r="L3040" s="1775" t="n"/>
      <c r="M3040" s="1775" t="n"/>
      <c r="N3040" s="1739" t="n">
        <v>1189.76</v>
      </c>
      <c r="O3040" s="1776" t="n"/>
      <c r="P3040" s="1725" t="n"/>
    </row>
    <row r="3041" hidden="1" outlineLevel="2" ht="13.9" customHeight="1">
      <c r="A3041" s="2117" t="n">
        <v>0</v>
      </c>
      <c r="B3041" s="2117" t="n">
        <v>19</v>
      </c>
      <c r="C3041" s="2117" t="n">
        <v>14</v>
      </c>
      <c r="D3041" s="2118" t="n">
        <v>1</v>
      </c>
      <c r="E3041" s="2118" t="n">
        <v>0</v>
      </c>
      <c r="F3041" s="569" t="n"/>
      <c r="G3041" s="1797" t="n"/>
      <c r="H3041" s="1777" t="inlineStr">
        <is>
          <t>SUBETAPA</t>
        </is>
      </c>
      <c r="I3041" s="1742" t="inlineStr">
        <is>
          <t>19.014.001</t>
        </is>
      </c>
      <c r="J3041" s="1779" t="inlineStr">
        <is>
          <t>Metais e acessórios</t>
        </is>
      </c>
      <c r="K3041" s="1780" t="n"/>
      <c r="L3041" s="1781" t="n"/>
      <c r="M3041" s="1781" t="n"/>
      <c r="N3041" s="1746" t="n">
        <v>600</v>
      </c>
      <c r="O3041" s="1782" t="n"/>
      <c r="P3041" s="1720" t="n"/>
    </row>
    <row r="3042" hidden="1" outlineLevel="3" ht="13.9" customHeight="1">
      <c r="A3042" s="2117" t="n">
        <v>0</v>
      </c>
      <c r="B3042" s="2117" t="n">
        <v>19</v>
      </c>
      <c r="C3042" s="2117" t="n">
        <v>14</v>
      </c>
      <c r="D3042" s="2118" t="n">
        <v>1</v>
      </c>
      <c r="E3042" s="2118" t="n">
        <v>1</v>
      </c>
      <c r="F3042" s="569" t="n"/>
      <c r="G3042" s="1798" t="inlineStr">
        <is>
          <t>LOUÇAS E METAIS</t>
        </is>
      </c>
      <c r="H3042" s="1783" t="inlineStr">
        <is>
          <t>SERVIÇO</t>
        </is>
      </c>
      <c r="I3042" s="1750" t="inlineStr">
        <is>
          <t>19.014.001.001</t>
        </is>
      </c>
      <c r="J3042" s="1785" t="inlineStr">
        <is>
          <t>Acabamentos e acessórios</t>
        </is>
      </c>
      <c r="K3042" s="1786" t="inlineStr">
        <is>
          <t>vb</t>
        </is>
      </c>
      <c r="L3042" s="1787" t="n">
        <v>1</v>
      </c>
      <c r="M3042" s="1787" t="n">
        <v>600</v>
      </c>
      <c r="N3042" s="1754" t="n">
        <v>600</v>
      </c>
      <c r="O3042" s="1788" t="n"/>
      <c r="P3042" s="1721" t="inlineStr">
        <is>
          <t>Pendente</t>
        </is>
      </c>
    </row>
    <row r="3043" hidden="1" outlineLevel="2" ht="13.9" customHeight="1">
      <c r="A3043" s="2117" t="n">
        <v>0</v>
      </c>
      <c r="B3043" s="2117" t="n">
        <v>19</v>
      </c>
      <c r="C3043" s="2117" t="n">
        <v>14</v>
      </c>
      <c r="D3043" s="2118" t="n">
        <v>2</v>
      </c>
      <c r="E3043" s="2118" t="n">
        <v>0</v>
      </c>
      <c r="F3043" s="569" t="n"/>
      <c r="G3043" s="1797" t="n"/>
      <c r="H3043" s="1777" t="inlineStr">
        <is>
          <t>SUBETAPA</t>
        </is>
      </c>
      <c r="I3043" s="1742" t="inlineStr">
        <is>
          <t>19.014.002</t>
        </is>
      </c>
      <c r="J3043" s="1779" t="inlineStr">
        <is>
          <t>Mão de obra</t>
        </is>
      </c>
      <c r="K3043" s="1780" t="n"/>
      <c r="L3043" s="1781" t="n"/>
      <c r="M3043" s="1781" t="n"/>
      <c r="N3043" s="1746" t="n">
        <v>589.76</v>
      </c>
      <c r="O3043" s="1782" t="n"/>
      <c r="P3043" s="1720" t="n"/>
    </row>
    <row r="3044" hidden="1" outlineLevel="3" ht="13.9" customHeight="1">
      <c r="A3044" s="2117" t="n">
        <v>0</v>
      </c>
      <c r="B3044" s="2117" t="n">
        <v>19</v>
      </c>
      <c r="C3044" s="2117" t="n">
        <v>14</v>
      </c>
      <c r="D3044" s="2118" t="n">
        <v>2</v>
      </c>
      <c r="E3044" s="2118" t="n">
        <v>1</v>
      </c>
      <c r="F3044" s="569" t="n"/>
      <c r="G3044" s="1798" t="inlineStr">
        <is>
          <t>LOUÇAS E METAIS</t>
        </is>
      </c>
      <c r="H3044" s="1783" t="inlineStr">
        <is>
          <t>SERVIÇO</t>
        </is>
      </c>
      <c r="I3044" s="1750" t="inlineStr">
        <is>
          <t>19.014.002.001</t>
        </is>
      </c>
      <c r="J3044" s="1785" t="inlineStr">
        <is>
          <t>Instalação de louças e metais sanitários</t>
        </is>
      </c>
      <c r="K3044" s="1786" t="inlineStr">
        <is>
          <t>vb</t>
        </is>
      </c>
      <c r="L3044" s="1787" t="n">
        <v>1</v>
      </c>
      <c r="M3044" s="1787" t="n">
        <v>589.76</v>
      </c>
      <c r="N3044" s="1754" t="n">
        <v>589.76</v>
      </c>
      <c r="O3044" s="1788" t="n"/>
      <c r="P3044" s="1721" t="inlineStr">
        <is>
          <t>Pendente</t>
        </is>
      </c>
    </row>
    <row r="3045" collapsed="1" ht="13.9" customHeight="1">
      <c r="A3045" s="2117" t="n">
        <v>0</v>
      </c>
      <c r="B3045" s="2117" t="n">
        <v>20</v>
      </c>
      <c r="C3045" s="2117" t="n">
        <v>0</v>
      </c>
      <c r="D3045" s="2118" t="n">
        <v>2</v>
      </c>
      <c r="E3045" s="2118" t="n">
        <v>1</v>
      </c>
      <c r="F3045" s="569" t="n"/>
      <c r="G3045" s="1794" t="n"/>
      <c r="H3045" s="1766" t="inlineStr">
        <is>
          <t>CÉLULA CONSTRUTIVA</t>
        </is>
      </c>
      <c r="I3045" s="1728" t="inlineStr">
        <is>
          <t>20</t>
        </is>
      </c>
      <c r="J3045" s="1795" t="inlineStr">
        <is>
          <t>COBERTURA</t>
        </is>
      </c>
      <c r="K3045" s="1768" t="n"/>
      <c r="L3045" s="1769" t="n"/>
      <c r="M3045" s="1769" t="n"/>
      <c r="N3045" s="1732" t="n">
        <v>34721</v>
      </c>
      <c r="O3045" s="1770" t="n">
        <v>2.07293636232833</v>
      </c>
      <c r="P3045" s="1724" t="n"/>
    </row>
    <row r="3046" hidden="1" outlineLevel="1" ht="13.9" customHeight="1">
      <c r="A3046" s="2117" t="n">
        <v>0</v>
      </c>
      <c r="B3046" s="2117" t="n">
        <v>20</v>
      </c>
      <c r="C3046" s="2117" t="n">
        <v>1</v>
      </c>
      <c r="D3046" s="2118" t="n">
        <v>0</v>
      </c>
      <c r="E3046" s="2118" t="n">
        <v>1</v>
      </c>
      <c r="F3046" s="569" t="n"/>
      <c r="G3046" s="1796" t="n"/>
      <c r="H3046" s="1771" t="inlineStr">
        <is>
          <t>ETAPA</t>
        </is>
      </c>
      <c r="I3046" s="1735" t="inlineStr">
        <is>
          <t>20.001</t>
        </is>
      </c>
      <c r="J3046" s="1773" t="inlineStr">
        <is>
          <t>COBERTURA</t>
        </is>
      </c>
      <c r="K3046" s="1774" t="n"/>
      <c r="L3046" s="1775" t="n"/>
      <c r="M3046" s="1775" t="n"/>
      <c r="N3046" s="1739" t="n">
        <v>34721</v>
      </c>
      <c r="O3046" s="1776" t="n"/>
      <c r="P3046" s="1725" t="n"/>
    </row>
    <row r="3047" hidden="1" outlineLevel="2" ht="13.9" customHeight="1">
      <c r="A3047" s="2117" t="n">
        <v>0</v>
      </c>
      <c r="B3047" s="2117" t="n">
        <v>20</v>
      </c>
      <c r="C3047" s="2117" t="n">
        <v>1</v>
      </c>
      <c r="D3047" s="2118" t="n">
        <v>1</v>
      </c>
      <c r="E3047" s="2118" t="n">
        <v>0</v>
      </c>
      <c r="F3047" s="569" t="n"/>
      <c r="G3047" s="1797" t="n"/>
      <c r="H3047" s="1777" t="inlineStr">
        <is>
          <t>SUBETAPA</t>
        </is>
      </c>
      <c r="I3047" s="1742" t="inlineStr">
        <is>
          <t>20.001.001</t>
        </is>
      </c>
      <c r="J3047" s="1779" t="inlineStr">
        <is>
          <t>Serviços complementares</t>
        </is>
      </c>
      <c r="K3047" s="1780" t="n"/>
      <c r="L3047" s="1781" t="n"/>
      <c r="M3047" s="1781" t="n"/>
      <c r="N3047" s="1746" t="n">
        <v>34721</v>
      </c>
      <c r="O3047" s="1782" t="n"/>
      <c r="P3047" s="1720" t="n"/>
    </row>
    <row r="3048" hidden="1" outlineLevel="3" ht="13.9" customHeight="1">
      <c r="A3048" s="2117" t="n">
        <v>0</v>
      </c>
      <c r="B3048" s="2117" t="n">
        <v>20</v>
      </c>
      <c r="C3048" s="2117" t="n">
        <v>1</v>
      </c>
      <c r="D3048" s="2118" t="n">
        <v>1</v>
      </c>
      <c r="E3048" s="2118" t="n">
        <v>1</v>
      </c>
      <c r="F3048" s="569" t="n"/>
      <c r="G3048" s="1798" t="inlineStr">
        <is>
          <t>COBERTURA</t>
        </is>
      </c>
      <c r="H3048" s="1783" t="inlineStr">
        <is>
          <t>SERVIÇO</t>
        </is>
      </c>
      <c r="I3048" s="1750" t="inlineStr">
        <is>
          <t>20.001.001.001</t>
        </is>
      </c>
      <c r="J3048" s="1785" t="inlineStr">
        <is>
          <t>Pergolado</t>
        </is>
      </c>
      <c r="K3048" s="1786" t="inlineStr">
        <is>
          <t>um</t>
        </is>
      </c>
      <c r="L3048" s="1787" t="n">
        <v>1</v>
      </c>
      <c r="M3048" s="1787" t="n">
        <v>34721</v>
      </c>
      <c r="N3048" s="1754" t="n">
        <v>34721</v>
      </c>
      <c r="O3048" s="1788" t="n"/>
      <c r="P3048" s="1721" t="inlineStr">
        <is>
          <t>Pendente</t>
        </is>
      </c>
    </row>
    <row r="3049" collapsed="1" ht="13.9" customHeight="1">
      <c r="A3049" s="2117" t="n">
        <v>0</v>
      </c>
      <c r="B3049" s="2117" t="n">
        <v>21</v>
      </c>
      <c r="C3049" s="2117" t="n">
        <v>0</v>
      </c>
      <c r="D3049" s="2118" t="n">
        <v>1</v>
      </c>
      <c r="E3049" s="2118" t="n">
        <v>1</v>
      </c>
      <c r="F3049" s="569" t="n"/>
      <c r="G3049" s="1794" t="n"/>
      <c r="H3049" s="1766" t="inlineStr">
        <is>
          <t>CÉLULA CONSTRUTIVA</t>
        </is>
      </c>
      <c r="I3049" s="1728" t="inlineStr">
        <is>
          <t>21</t>
        </is>
      </c>
      <c r="J3049" s="1795" t="inlineStr">
        <is>
          <t>REVESTIMENTOS E ACABAMENTOS EM FACHADA</t>
        </is>
      </c>
      <c r="K3049" s="1768" t="n"/>
      <c r="L3049" s="1769" t="n"/>
      <c r="M3049" s="1769" t="n"/>
      <c r="N3049" s="1732" t="n"/>
      <c r="O3049" s="1770" t="n"/>
      <c r="P3049" s="1723" t="n"/>
    </row>
    <row r="3050" hidden="1" outlineLevel="1" ht="13.9" customHeight="1">
      <c r="A3050" s="2117" t="n">
        <v>0</v>
      </c>
      <c r="B3050" s="2117" t="n">
        <v>21</v>
      </c>
      <c r="C3050" s="2117" t="n">
        <v>1</v>
      </c>
      <c r="D3050" s="2118" t="n">
        <v>0</v>
      </c>
      <c r="E3050" s="2118" t="n">
        <v>1</v>
      </c>
      <c r="F3050" s="130" t="n"/>
      <c r="G3050" s="1796" t="n"/>
      <c r="H3050" s="1771" t="inlineStr">
        <is>
          <t>ETAPA</t>
        </is>
      </c>
      <c r="I3050" s="1735" t="inlineStr">
        <is>
          <t>21.001</t>
        </is>
      </c>
      <c r="J3050" s="1773" t="inlineStr">
        <is>
          <t>REVESTIMENTOS E ACABAMENTOS EM FACHADA - FACHADA FRONTAL</t>
        </is>
      </c>
      <c r="K3050" s="1774" t="n"/>
      <c r="L3050" s="1775" t="n"/>
      <c r="M3050" s="1775" t="n"/>
      <c r="N3050" s="1739" t="n"/>
      <c r="O3050" s="1776" t="n"/>
      <c r="P3050" s="1725" t="n"/>
    </row>
    <row r="3051" hidden="1" outlineLevel="2" ht="13.9" customHeight="1">
      <c r="A3051" s="2117" t="n">
        <v>0</v>
      </c>
      <c r="B3051" s="2117" t="n">
        <v>21</v>
      </c>
      <c r="C3051" s="2117" t="n">
        <v>1</v>
      </c>
      <c r="D3051" s="2118" t="n">
        <v>1</v>
      </c>
      <c r="E3051" s="2118" t="n">
        <v>0</v>
      </c>
      <c r="F3051" s="130" t="n"/>
      <c r="G3051" s="1797" t="n"/>
      <c r="H3051" s="1777" t="inlineStr">
        <is>
          <t>SUBETAPA</t>
        </is>
      </c>
      <c r="I3051" s="1742" t="inlineStr">
        <is>
          <t>21.001.001</t>
        </is>
      </c>
      <c r="J3051" s="1779" t="inlineStr">
        <is>
          <t>Revestimento argamassado em fachada</t>
        </is>
      </c>
      <c r="K3051" s="1780" t="n"/>
      <c r="L3051" s="1781" t="n"/>
      <c r="M3051" s="1781" t="n"/>
      <c r="N3051" s="1746" t="n"/>
      <c r="O3051" s="1782" t="n"/>
      <c r="P3051" s="1720" t="n"/>
    </row>
    <row r="3052" hidden="1" outlineLevel="3" ht="13.9" customHeight="1">
      <c r="A3052" s="2117" t="n">
        <v>0</v>
      </c>
      <c r="B3052" s="2117" t="n">
        <v>21</v>
      </c>
      <c r="C3052" s="2117" t="n">
        <v>1</v>
      </c>
      <c r="D3052" s="2118" t="n">
        <v>1</v>
      </c>
      <c r="E3052" s="2118" t="n">
        <v>1</v>
      </c>
      <c r="F3052" s="130" t="n"/>
      <c r="G3052" s="1798" t="inlineStr">
        <is>
          <t>REVESTIMENTOS E ACABAMENTOS DE FACHADA</t>
        </is>
      </c>
      <c r="H3052" s="1783" t="inlineStr">
        <is>
          <t>SERVIÇO</t>
        </is>
      </c>
      <c r="I3052" s="1750" t="inlineStr">
        <is>
          <t>21.001.001.001</t>
        </is>
      </c>
      <c r="J3052" s="1785" t="inlineStr">
        <is>
          <t>Chapisco externo de argamassa pré-fabricada adesiva de cimento colante - aplicação rolada em paredes externas</t>
        </is>
      </c>
      <c r="K3052" s="1786" t="inlineStr">
        <is>
          <t>m2</t>
        </is>
      </c>
      <c r="L3052" s="1787" t="e">
        <v>#REF!</v>
      </c>
      <c r="M3052" s="1787" t="n">
        <v>10.11778</v>
      </c>
      <c r="N3052" s="1754" t="n"/>
      <c r="O3052" s="1788" t="n"/>
      <c r="P3052" s="1721" t="inlineStr">
        <is>
          <t>Pendente</t>
        </is>
      </c>
    </row>
    <row r="3053" hidden="1" outlineLevel="3" ht="13.9" customHeight="1">
      <c r="A3053" s="2117" t="n">
        <v>0</v>
      </c>
      <c r="B3053" s="2117" t="n">
        <v>21</v>
      </c>
      <c r="C3053" s="2117" t="n">
        <v>1</v>
      </c>
      <c r="D3053" s="2118" t="n">
        <v>1</v>
      </c>
      <c r="E3053" s="2118" t="n">
        <v>2</v>
      </c>
      <c r="F3053" s="130" t="n"/>
      <c r="G3053" s="1798" t="inlineStr">
        <is>
          <t>REVESTIMENTOS E ACABAMENTOS DE FACHADA</t>
        </is>
      </c>
      <c r="H3053" s="1783" t="inlineStr">
        <is>
          <t>SERVIÇO</t>
        </is>
      </c>
      <c r="I3053" s="1750" t="inlineStr">
        <is>
          <t>21.001.001.002</t>
        </is>
      </c>
      <c r="J3053" s="1785" t="inlineStr">
        <is>
          <t>Chapisco externo de argamassa preparada em obra de cimento e areia - traço 1:4 - aplicação em paredes externas</t>
        </is>
      </c>
      <c r="K3053" s="1786" t="inlineStr">
        <is>
          <t>m2</t>
        </is>
      </c>
      <c r="L3053" s="1787" t="e">
        <v>#REF!</v>
      </c>
      <c r="M3053" s="1787" t="n">
        <v>3.28945</v>
      </c>
      <c r="N3053" s="1754" t="n"/>
      <c r="O3053" s="1788" t="n"/>
      <c r="P3053" s="1721" t="inlineStr">
        <is>
          <t>Pendente</t>
        </is>
      </c>
    </row>
    <row r="3054" hidden="1" outlineLevel="3" ht="13.9" customHeight="1">
      <c r="A3054" s="2117" t="n">
        <v>0</v>
      </c>
      <c r="B3054" s="2117" t="n">
        <v>21</v>
      </c>
      <c r="C3054" s="2117" t="n">
        <v>1</v>
      </c>
      <c r="D3054" s="2118" t="n">
        <v>1</v>
      </c>
      <c r="E3054" s="2118" t="n">
        <v>3</v>
      </c>
      <c r="F3054" s="130" t="n"/>
      <c r="G3054" s="1798" t="inlineStr">
        <is>
          <t>REVESTIMENTOS E ACABAMENTOS DE FACHADA</t>
        </is>
      </c>
      <c r="H3054" s="1783" t="inlineStr">
        <is>
          <t>SERVIÇO</t>
        </is>
      </c>
      <c r="I3054" s="1750" t="inlineStr">
        <is>
          <t>21.001.001.003</t>
        </is>
      </c>
      <c r="J3054" s="1785" t="inlineStr">
        <is>
          <t>Massa unica para reboco externo em argamassa estabilizada, espessura de 2,5cm, com execução desempenado fino</t>
        </is>
      </c>
      <c r="K3054" s="1786" t="inlineStr">
        <is>
          <t>m2</t>
        </is>
      </c>
      <c r="L3054" s="1787" t="e">
        <v>#REF!</v>
      </c>
      <c r="M3054" s="1787" t="n">
        <v>10.89375</v>
      </c>
      <c r="N3054" s="1754" t="n"/>
      <c r="O3054" s="1788" t="n"/>
      <c r="P3054" s="1721" t="inlineStr">
        <is>
          <t>Pendente</t>
        </is>
      </c>
    </row>
    <row r="3055" hidden="1" outlineLevel="2" ht="13.9" customHeight="1">
      <c r="A3055" s="2117" t="n">
        <v>0</v>
      </c>
      <c r="B3055" s="2117" t="n">
        <v>21</v>
      </c>
      <c r="C3055" s="2117" t="n">
        <v>1</v>
      </c>
      <c r="D3055" s="2118" t="n">
        <v>2</v>
      </c>
      <c r="E3055" s="2118" t="n">
        <v>0</v>
      </c>
      <c r="F3055" s="130" t="n"/>
      <c r="G3055" s="1797" t="n"/>
      <c r="H3055" s="1777" t="inlineStr">
        <is>
          <t>SUBETAPA</t>
        </is>
      </c>
      <c r="I3055" s="1742" t="inlineStr">
        <is>
          <t>21.001.002</t>
        </is>
      </c>
      <c r="J3055" s="1779" t="inlineStr">
        <is>
          <t>Pintura e textura em fachada</t>
        </is>
      </c>
      <c r="K3055" s="1780" t="n"/>
      <c r="L3055" s="1781" t="n"/>
      <c r="M3055" s="1781" t="n"/>
      <c r="N3055" s="1746" t="n"/>
      <c r="O3055" s="1782" t="n"/>
      <c r="P3055" s="1720" t="n"/>
    </row>
    <row r="3056" hidden="1" outlineLevel="3" ht="12.75" customHeight="1">
      <c r="A3056" s="2117" t="n">
        <v>0</v>
      </c>
      <c r="B3056" s="2117" t="n">
        <v>21</v>
      </c>
      <c r="C3056" s="2117" t="n">
        <v>1</v>
      </c>
      <c r="D3056" s="2118" t="n">
        <v>2</v>
      </c>
      <c r="E3056" s="2118" t="n">
        <v>1</v>
      </c>
      <c r="F3056" s="130" t="n"/>
      <c r="G3056" s="1798" t="inlineStr">
        <is>
          <t>REVESTIMENTOS E ACABAMENTOS DE FACHADA</t>
        </is>
      </c>
      <c r="H3056" s="1783" t="inlineStr">
        <is>
          <t>SERVIÇO</t>
        </is>
      </c>
      <c r="I3056" s="1750" t="inlineStr">
        <is>
          <t>21.001.002.001</t>
        </is>
      </c>
      <c r="J3056" s="1785" t="inlineStr">
        <is>
          <t>Pintura Com Tinta Latex Acrilica em Paredes Externas, 3 Demaos (Incluso fundo) - Cor preto</t>
        </is>
      </c>
      <c r="K3056" s="1786" t="inlineStr">
        <is>
          <t>m2</t>
        </is>
      </c>
      <c r="L3056" s="1787" t="e">
        <v>#REF!</v>
      </c>
      <c r="M3056" s="1787" t="n">
        <v>35.78623533333334</v>
      </c>
      <c r="N3056" s="1754" t="n"/>
      <c r="O3056" s="1788" t="n"/>
      <c r="P3056" s="1721" t="inlineStr">
        <is>
          <t>Pendente</t>
        </is>
      </c>
    </row>
    <row r="3057" hidden="1" outlineLevel="3" ht="12.75" customHeight="1">
      <c r="A3057" s="2117" t="n">
        <v>0</v>
      </c>
      <c r="B3057" s="2117" t="n">
        <v>21</v>
      </c>
      <c r="C3057" s="2117" t="n">
        <v>1</v>
      </c>
      <c r="D3057" s="2118" t="n">
        <v>2</v>
      </c>
      <c r="E3057" s="2118" t="n">
        <v>2</v>
      </c>
      <c r="F3057" s="130" t="n"/>
      <c r="G3057" s="1798" t="inlineStr">
        <is>
          <t>REVESTIMENTOS E ACABAMENTOS DE FACHADA</t>
        </is>
      </c>
      <c r="H3057" s="1783" t="inlineStr">
        <is>
          <t>SERVIÇO</t>
        </is>
      </c>
      <c r="I3057" s="1750" t="inlineStr">
        <is>
          <t>21.001.002.002</t>
        </is>
      </c>
      <c r="J3057" s="1785" t="inlineStr">
        <is>
          <t>Pintura Com Tinta Latex Acrilica em Paredes Externas, 3 Demaos (Incluso fundo) - Cor preto</t>
        </is>
      </c>
      <c r="K3057" s="1786" t="inlineStr">
        <is>
          <t>m2</t>
        </is>
      </c>
      <c r="L3057" s="1787" t="e">
        <v>#REF!</v>
      </c>
      <c r="M3057" s="1787" t="n">
        <v>35.78623533333334</v>
      </c>
      <c r="N3057" s="1754" t="n"/>
      <c r="O3057" s="1788" t="n"/>
      <c r="P3057" s="1721" t="inlineStr">
        <is>
          <t>Pendente</t>
        </is>
      </c>
    </row>
    <row r="3058" hidden="1" outlineLevel="3" ht="12.75" customHeight="1">
      <c r="A3058" s="2117" t="n">
        <v>0</v>
      </c>
      <c r="B3058" s="2117" t="n">
        <v>21</v>
      </c>
      <c r="C3058" s="2117" t="n">
        <v>1</v>
      </c>
      <c r="D3058" s="2118" t="n">
        <v>2</v>
      </c>
      <c r="E3058" s="2118" t="n">
        <v>3</v>
      </c>
      <c r="F3058" s="130" t="n"/>
      <c r="G3058" s="1798" t="inlineStr">
        <is>
          <t>REVESTIMENTOS E ACABAMENTOS DE FACHADA</t>
        </is>
      </c>
      <c r="H3058" s="1783" t="inlineStr">
        <is>
          <t>SERVIÇO</t>
        </is>
      </c>
      <c r="I3058" s="1750" t="inlineStr">
        <is>
          <t>21.001.002.003</t>
        </is>
      </c>
      <c r="J3058" s="1785" t="inlineStr">
        <is>
          <t xml:space="preserve">Textura acrílica com selador, aplicação em paredes externas, 1 demão - Textura Terracal / Marca: Terracor </t>
        </is>
      </c>
      <c r="K3058" s="1786" t="inlineStr">
        <is>
          <t>m2</t>
        </is>
      </c>
      <c r="L3058" s="1787" t="e">
        <v>#REF!</v>
      </c>
      <c r="M3058" s="1787" t="n">
        <v>68.50855555555556</v>
      </c>
      <c r="N3058" s="1754" t="n"/>
      <c r="O3058" s="1788" t="n"/>
      <c r="P3058" s="1721" t="inlineStr">
        <is>
          <t>Pendente</t>
        </is>
      </c>
    </row>
    <row r="3059" hidden="1" outlineLevel="2" ht="13.9" customHeight="1">
      <c r="A3059" s="2117" t="n">
        <v>0</v>
      </c>
      <c r="B3059" s="2117" t="n">
        <v>21</v>
      </c>
      <c r="C3059" s="2117" t="n">
        <v>1</v>
      </c>
      <c r="D3059" s="2118" t="n">
        <v>3</v>
      </c>
      <c r="E3059" s="2118" t="n">
        <v>0</v>
      </c>
      <c r="F3059" s="130" t="n"/>
      <c r="G3059" s="1797" t="n"/>
      <c r="H3059" s="1777" t="inlineStr">
        <is>
          <t>SUBETAPA</t>
        </is>
      </c>
      <c r="I3059" s="1742" t="inlineStr">
        <is>
          <t>21.001.003</t>
        </is>
      </c>
      <c r="J3059" s="1779" t="inlineStr">
        <is>
          <t>Acabamentos especiais em fachada</t>
        </is>
      </c>
      <c r="K3059" s="1780" t="n"/>
      <c r="L3059" s="1781" t="n"/>
      <c r="M3059" s="1781" t="n"/>
      <c r="N3059" s="1746" t="n"/>
      <c r="O3059" s="1782" t="n"/>
      <c r="P3059" s="1720" t="n"/>
    </row>
    <row r="3060" hidden="1" outlineLevel="3" ht="13.9" customHeight="1">
      <c r="A3060" s="2117" t="n">
        <v>0</v>
      </c>
      <c r="B3060" s="2117" t="n">
        <v>21</v>
      </c>
      <c r="C3060" s="2117" t="n">
        <v>1</v>
      </c>
      <c r="D3060" s="2118" t="n">
        <v>3</v>
      </c>
      <c r="E3060" s="2118" t="n">
        <v>1</v>
      </c>
      <c r="F3060" s="130" t="n"/>
      <c r="G3060" s="1798" t="inlineStr">
        <is>
          <t>REVESTIMENTOS E ACABAMENTOS DE FACHADA</t>
        </is>
      </c>
      <c r="H3060" s="1783" t="inlineStr">
        <is>
          <t>SERVIÇO</t>
        </is>
      </c>
      <c r="I3060" s="1750" t="inlineStr">
        <is>
          <t>21.001.003.001</t>
        </is>
      </c>
      <c r="J3060" s="1785" t="inlineStr">
        <is>
          <t>Moldura em EPS fachada - Material e Mão de obra</t>
        </is>
      </c>
      <c r="K3060" s="1786" t="inlineStr">
        <is>
          <t>m2</t>
        </is>
      </c>
      <c r="L3060" s="1787" t="e">
        <v>#REF!</v>
      </c>
      <c r="M3060" s="1787" t="n">
        <v>412.9329848484849</v>
      </c>
      <c r="N3060" s="1754" t="n"/>
      <c r="O3060" s="1788" t="inlineStr">
        <is>
          <t>Pórtico da entrada</t>
        </is>
      </c>
      <c r="P3060" s="1721" t="inlineStr">
        <is>
          <t>Pendente</t>
        </is>
      </c>
    </row>
    <row r="3061" hidden="1" outlineLevel="3" ht="13.9" customHeight="1">
      <c r="A3061" s="2117" t="n">
        <v>0</v>
      </c>
      <c r="B3061" s="2117" t="n">
        <v>21</v>
      </c>
      <c r="C3061" s="2117" t="n">
        <v>1</v>
      </c>
      <c r="D3061" s="2118" t="n">
        <v>3</v>
      </c>
      <c r="E3061" s="2118" t="n">
        <v>2</v>
      </c>
      <c r="F3061" s="130" t="n"/>
      <c r="G3061" s="1798" t="inlineStr">
        <is>
          <t>REVESTIMENTOS E ACABAMENTOS DE FACHADA</t>
        </is>
      </c>
      <c r="H3061" s="1783" t="inlineStr">
        <is>
          <t>SERVIÇO</t>
        </is>
      </c>
      <c r="I3061" s="1750" t="inlineStr">
        <is>
          <t>21.001.003.002</t>
        </is>
      </c>
      <c r="J3061" s="1785" t="inlineStr">
        <is>
          <t>Revestimento de Cerâmica extrudada Brick Tile, 60x15cm ventilado, com toda a estrutura - Material e Mão de Obra</t>
        </is>
      </c>
      <c r="K3061" s="1786" t="inlineStr">
        <is>
          <t>m2</t>
        </is>
      </c>
      <c r="L3061" s="1787" t="e">
        <v>#REF!</v>
      </c>
      <c r="M3061" s="1787" t="n">
        <v>1102</v>
      </c>
      <c r="N3061" s="1754" t="n"/>
      <c r="O3061" s="1788" t="n"/>
      <c r="P3061" s="1721" t="inlineStr">
        <is>
          <t>Pendente</t>
        </is>
      </c>
    </row>
    <row r="3062" hidden="1" outlineLevel="3" ht="13.9" customHeight="1">
      <c r="A3062" s="2117" t="n">
        <v>0</v>
      </c>
      <c r="B3062" s="2117" t="n">
        <v>21</v>
      </c>
      <c r="C3062" s="2117" t="n">
        <v>1</v>
      </c>
      <c r="D3062" s="2118" t="n">
        <v>3</v>
      </c>
      <c r="E3062" s="2118" t="n">
        <v>3</v>
      </c>
      <c r="F3062" s="130" t="n"/>
      <c r="G3062" s="1798" t="inlineStr">
        <is>
          <t>REVESTIMENTOS E ACABAMENTOS DE FACHADA</t>
        </is>
      </c>
      <c r="H3062" s="1783" t="inlineStr">
        <is>
          <t>SERVIÇO</t>
        </is>
      </c>
      <c r="I3062" s="1750" t="inlineStr">
        <is>
          <t>21.001.003.003</t>
        </is>
      </c>
      <c r="J3062" s="1785" t="inlineStr">
        <is>
          <t>Moldura de fachada, com revestimento externo de Cerâmica extrudada Brick Tile, 60x15cm, com Junta de 2mm e largura de 30 cm</t>
        </is>
      </c>
      <c r="K3062" s="1786" t="inlineStr">
        <is>
          <t>m</t>
        </is>
      </c>
      <c r="L3062" s="1787" t="e">
        <v>#REF!</v>
      </c>
      <c r="M3062" s="1787" t="n">
        <v>211.4773754545455</v>
      </c>
      <c r="N3062" s="1754" t="n"/>
      <c r="O3062" s="1788" t="n"/>
      <c r="P3062" s="1721" t="inlineStr">
        <is>
          <t>Pendente</t>
        </is>
      </c>
    </row>
    <row r="3063" hidden="1" outlineLevel="3" ht="13.9" customHeight="1">
      <c r="A3063" s="2117" t="n">
        <v>0</v>
      </c>
      <c r="B3063" s="2117" t="n">
        <v>21</v>
      </c>
      <c r="C3063" s="2117" t="n">
        <v>1</v>
      </c>
      <c r="D3063" s="2118" t="n">
        <v>3</v>
      </c>
      <c r="E3063" s="2118" t="n">
        <v>4</v>
      </c>
      <c r="F3063" s="130" t="n"/>
      <c r="G3063" s="1798" t="inlineStr">
        <is>
          <t>REVESTIMENTOS E ACABAMENTOS DE FACHADA</t>
        </is>
      </c>
      <c r="H3063" s="1783" t="inlineStr">
        <is>
          <t>SERVIÇO</t>
        </is>
      </c>
      <c r="I3063" s="1750" t="inlineStr">
        <is>
          <t>21.001.003.004</t>
        </is>
      </c>
      <c r="J3063" s="1785" t="inlineStr">
        <is>
          <t>Moldura de fachada, com revestimento de pastilha azul (OM15645 – 7,5x7,5), com largura de  30 cm - atlas</t>
        </is>
      </c>
      <c r="K3063" s="1786" t="inlineStr">
        <is>
          <t>m</t>
        </is>
      </c>
      <c r="L3063" s="1787" t="e">
        <v>#REF!</v>
      </c>
      <c r="M3063" s="1787" t="n">
        <v>150.3801854545455</v>
      </c>
      <c r="N3063" s="1754" t="n"/>
      <c r="O3063" s="1788" t="n"/>
      <c r="P3063" s="1721" t="inlineStr">
        <is>
          <t>Pendente</t>
        </is>
      </c>
    </row>
    <row r="3064" hidden="1" outlineLevel="3" ht="13.9" customHeight="1">
      <c r="A3064" s="2117" t="n">
        <v>0</v>
      </c>
      <c r="B3064" s="2117" t="n">
        <v>21</v>
      </c>
      <c r="C3064" s="2117" t="n">
        <v>1</v>
      </c>
      <c r="D3064" s="2118" t="n">
        <v>3</v>
      </c>
      <c r="E3064" s="2118" t="n">
        <v>5</v>
      </c>
      <c r="F3064" s="130" t="n"/>
      <c r="G3064" s="1798" t="inlineStr">
        <is>
          <t>REVESTIMENTOS E ACABAMENTOS DE FACHADA</t>
        </is>
      </c>
      <c r="H3064" s="1783" t="inlineStr">
        <is>
          <t>SERVIÇO</t>
        </is>
      </c>
      <c r="I3064" s="1750" t="inlineStr">
        <is>
          <t>21.001.003.005</t>
        </is>
      </c>
      <c r="J3064" s="1785" t="inlineStr">
        <is>
          <t>Revestimento externo de Cerâmica extrudada Brick Tile, 60x15cm com Junta de 2mm</t>
        </is>
      </c>
      <c r="K3064" s="1786" t="inlineStr">
        <is>
          <t>m2</t>
        </is>
      </c>
      <c r="L3064" s="1787" t="e">
        <v>#REF!</v>
      </c>
      <c r="M3064" s="1787" t="n">
        <v>443.2856</v>
      </c>
      <c r="N3064" s="1754" t="n"/>
      <c r="O3064" s="1788" t="n"/>
      <c r="P3064" s="1721" t="inlineStr">
        <is>
          <t>Pendente</t>
        </is>
      </c>
    </row>
    <row r="3065" hidden="1" outlineLevel="3" ht="13.9" customHeight="1">
      <c r="A3065" s="2117" t="n">
        <v>0</v>
      </c>
      <c r="B3065" s="2117" t="n">
        <v>21</v>
      </c>
      <c r="C3065" s="2117" t="n">
        <v>1</v>
      </c>
      <c r="D3065" s="2118" t="n">
        <v>3</v>
      </c>
      <c r="E3065" s="2118" t="n">
        <v>6</v>
      </c>
      <c r="F3065" s="130" t="n"/>
      <c r="G3065" s="1798" t="inlineStr">
        <is>
          <t>REVESTIMENTOS E ACABAMENTOS DE FACHADA</t>
        </is>
      </c>
      <c r="H3065" s="1783" t="inlineStr">
        <is>
          <t>SERVIÇO</t>
        </is>
      </c>
      <c r="I3065" s="1750" t="inlineStr">
        <is>
          <t>21.001.003.006</t>
        </is>
      </c>
      <c r="J3065" s="1785" t="inlineStr">
        <is>
          <t>Moldura de fachada, com revestimento de marmore travertino romano</t>
        </is>
      </c>
      <c r="K3065" s="1786" t="inlineStr">
        <is>
          <t>m</t>
        </is>
      </c>
      <c r="L3065" s="1787" t="e">
        <v>#REF!</v>
      </c>
      <c r="M3065" s="1787" t="n">
        <v>173.832</v>
      </c>
      <c r="N3065" s="1754" t="n"/>
      <c r="O3065" s="1788" t="n"/>
      <c r="P3065" s="1721" t="inlineStr">
        <is>
          <t>Pendente</t>
        </is>
      </c>
    </row>
    <row r="3066" hidden="1" outlineLevel="3" ht="13.9" customHeight="1">
      <c r="A3066" s="2117" t="n">
        <v>0</v>
      </c>
      <c r="B3066" s="2117" t="n">
        <v>21</v>
      </c>
      <c r="C3066" s="2117" t="n">
        <v>1</v>
      </c>
      <c r="D3066" s="2118" t="n">
        <v>3</v>
      </c>
      <c r="E3066" s="2118" t="n">
        <v>7</v>
      </c>
      <c r="F3066" s="130" t="n"/>
      <c r="G3066" s="1798" t="inlineStr">
        <is>
          <t>REVESTIMENTOS E ACABAMENTOS DE FACHADA</t>
        </is>
      </c>
      <c r="H3066" s="1783" t="inlineStr">
        <is>
          <t>SERVIÇO</t>
        </is>
      </c>
      <c r="I3066" s="1750" t="inlineStr">
        <is>
          <t>21.001.003.007</t>
        </is>
      </c>
      <c r="J3066" s="1785" t="inlineStr">
        <is>
          <t>Revestimento de tijolinho ventilado, com toda a estrutura, cores rosado e tabaco - Material e Mão de Obra</t>
        </is>
      </c>
      <c r="K3066" s="1786" t="inlineStr">
        <is>
          <t>m2</t>
        </is>
      </c>
      <c r="L3066" s="1787" t="e">
        <v>#REF!</v>
      </c>
      <c r="M3066" s="1787" t="n">
        <v>1843.344</v>
      </c>
      <c r="N3066" s="1754" t="n"/>
      <c r="O3066" s="1788" t="n"/>
      <c r="P3066" s="1721" t="inlineStr">
        <is>
          <t>Pendente</t>
        </is>
      </c>
    </row>
    <row r="3067" hidden="1" outlineLevel="3" ht="13.9" customHeight="1">
      <c r="A3067" s="2117" t="n">
        <v>0</v>
      </c>
      <c r="B3067" s="2117" t="n">
        <v>21</v>
      </c>
      <c r="C3067" s="2117" t="n">
        <v>1</v>
      </c>
      <c r="D3067" s="2118" t="n">
        <v>3</v>
      </c>
      <c r="E3067" s="2118" t="n">
        <v>8</v>
      </c>
      <c r="F3067" s="130" t="n"/>
      <c r="G3067" s="1798" t="inlineStr">
        <is>
          <t>REVESTIMENTOS E ACABAMENTOS DE FACHADA</t>
        </is>
      </c>
      <c r="H3067" s="1783" t="inlineStr">
        <is>
          <t>SERVIÇO</t>
        </is>
      </c>
      <c r="I3067" s="1750" t="inlineStr">
        <is>
          <t>21.001.003.008</t>
        </is>
      </c>
      <c r="J3067" s="1785" t="inlineStr">
        <is>
          <t>Revestimento de Porcelanato Kyoto 120x60 cm ventilado, com toda a estrutura - Material e Mão de Obra</t>
        </is>
      </c>
      <c r="K3067" s="1786" t="inlineStr">
        <is>
          <t>m2</t>
        </is>
      </c>
      <c r="L3067" s="1787" t="e">
        <v>#REF!</v>
      </c>
      <c r="M3067" s="1787" t="n">
        <v>807.74</v>
      </c>
      <c r="N3067" s="1754" t="n"/>
      <c r="O3067" s="1788" t="n"/>
      <c r="P3067" s="1721" t="inlineStr">
        <is>
          <t>Pendente</t>
        </is>
      </c>
    </row>
    <row r="3068" hidden="1" outlineLevel="3" ht="13.9" customHeight="1">
      <c r="A3068" s="2117" t="n">
        <v>0</v>
      </c>
      <c r="B3068" s="2117" t="n">
        <v>21</v>
      </c>
      <c r="C3068" s="2117" t="n">
        <v>1</v>
      </c>
      <c r="D3068" s="2118" t="n">
        <v>3</v>
      </c>
      <c r="E3068" s="2118" t="n">
        <v>9</v>
      </c>
      <c r="F3068" s="130" t="n"/>
      <c r="G3068" s="1798" t="inlineStr">
        <is>
          <t>REVESTIMENTOS E ACABAMENTOS DE FACHADA</t>
        </is>
      </c>
      <c r="H3068" s="1783" t="inlineStr">
        <is>
          <t>SERVIÇO</t>
        </is>
      </c>
      <c r="I3068" s="1750" t="inlineStr">
        <is>
          <t>21.001.003.009</t>
        </is>
      </c>
      <c r="J3068" s="1785" t="inlineStr">
        <is>
          <t>Revestimento externo de porcelanato painel kyoto, 60 x120cm com Junta de 2mm</t>
        </is>
      </c>
      <c r="K3068" s="1786" t="inlineStr">
        <is>
          <t>m2</t>
        </is>
      </c>
      <c r="L3068" s="1787" t="e">
        <v>#REF!</v>
      </c>
      <c r="M3068" s="1787" t="n">
        <v>172.0256</v>
      </c>
      <c r="N3068" s="1754" t="n"/>
      <c r="O3068" s="1788" t="inlineStr">
        <is>
          <t>"Teto" da moldura</t>
        </is>
      </c>
      <c r="P3068" s="1721" t="inlineStr">
        <is>
          <t>Pendente</t>
        </is>
      </c>
    </row>
    <row r="3069" hidden="1" outlineLevel="3" ht="13.9" customHeight="1">
      <c r="A3069" s="2117" t="n">
        <v>0</v>
      </c>
      <c r="B3069" s="2117" t="n">
        <v>21</v>
      </c>
      <c r="C3069" s="2117" t="n">
        <v>1</v>
      </c>
      <c r="D3069" s="2118" t="n">
        <v>3</v>
      </c>
      <c r="E3069" s="2118" t="n">
        <v>10</v>
      </c>
      <c r="F3069" s="130" t="n"/>
      <c r="G3069" s="1798" t="inlineStr">
        <is>
          <t>REVESTIMENTOS E ACABAMENTOS DE FACHADA</t>
        </is>
      </c>
      <c r="H3069" s="1783" t="inlineStr">
        <is>
          <t>SERVIÇO</t>
        </is>
      </c>
      <c r="I3069" s="1750" t="inlineStr">
        <is>
          <t>21.001.003.010</t>
        </is>
      </c>
      <c r="J3069" s="1785" t="inlineStr">
        <is>
          <t>Moldura de fachada, com revestimento externo de porcelanato painel kyoto, 60 x120cm com Junta de 2mm e largura de 30 cm</t>
        </is>
      </c>
      <c r="K3069" s="1786" t="inlineStr">
        <is>
          <t>m</t>
        </is>
      </c>
      <c r="L3069" s="1787" t="e">
        <v>#REF!</v>
      </c>
      <c r="M3069" s="1787" t="n">
        <v>130.0993754545455</v>
      </c>
      <c r="N3069" s="1754" t="n"/>
      <c r="O3069" s="1788" t="inlineStr">
        <is>
          <t>Torre</t>
        </is>
      </c>
      <c r="P3069" s="1721" t="inlineStr">
        <is>
          <t>Pendente</t>
        </is>
      </c>
    </row>
    <row r="3070" hidden="1" outlineLevel="3" ht="13.9" customHeight="1">
      <c r="A3070" s="2117" t="n">
        <v>0</v>
      </c>
      <c r="B3070" s="2117" t="n">
        <v>21</v>
      </c>
      <c r="C3070" s="2117" t="n">
        <v>1</v>
      </c>
      <c r="D3070" s="2118" t="n">
        <v>3</v>
      </c>
      <c r="E3070" s="2118" t="n">
        <v>11</v>
      </c>
      <c r="F3070" s="130" t="n"/>
      <c r="G3070" s="1798" t="inlineStr">
        <is>
          <t>REVESTIMENTOS E ACABAMENTOS DE FACHADA</t>
        </is>
      </c>
      <c r="H3070" s="1783" t="inlineStr">
        <is>
          <t>SERVIÇO</t>
        </is>
      </c>
      <c r="I3070" s="1750" t="inlineStr">
        <is>
          <t>21.001.003.011</t>
        </is>
      </c>
      <c r="J3070" s="1785" t="inlineStr">
        <is>
          <t>Revestimento de pastilha azul (OM15645 – 20x20) - atlas</t>
        </is>
      </c>
      <c r="K3070" s="1786" t="inlineStr">
        <is>
          <t>m2</t>
        </is>
      </c>
      <c r="L3070" s="1787" t="e">
        <v>#REF!</v>
      </c>
      <c r="M3070" s="1787" t="n">
        <v>164.302</v>
      </c>
      <c r="N3070" s="1754" t="n"/>
      <c r="O3070" s="1788" t="n"/>
      <c r="P3070" s="1721" t="inlineStr">
        <is>
          <t>Pendente</t>
        </is>
      </c>
    </row>
    <row r="3071" hidden="1" outlineLevel="3" ht="13.9" customHeight="1">
      <c r="A3071" s="2117" t="n">
        <v>0</v>
      </c>
      <c r="B3071" s="2117" t="n">
        <v>21</v>
      </c>
      <c r="C3071" s="2117" t="n">
        <v>1</v>
      </c>
      <c r="D3071" s="2118" t="n">
        <v>3</v>
      </c>
      <c r="E3071" s="2118" t="n">
        <v>12</v>
      </c>
      <c r="F3071" s="130" t="n"/>
      <c r="G3071" s="1798" t="inlineStr">
        <is>
          <t>REVESTIMENTOS E ACABAMENTOS DE FACHADA</t>
        </is>
      </c>
      <c r="H3071" s="1783" t="inlineStr">
        <is>
          <t>SERVIÇO</t>
        </is>
      </c>
      <c r="I3071" s="1750" t="inlineStr">
        <is>
          <t>21.001.003.012</t>
        </is>
      </c>
      <c r="J3071" s="1785" t="inlineStr">
        <is>
          <t>Revestimento de Mármore Travertino Romano em Paredes</t>
        </is>
      </c>
      <c r="K3071" s="1786" t="inlineStr">
        <is>
          <t>m2</t>
        </is>
      </c>
      <c r="L3071" s="1787" t="e">
        <v>#REF!</v>
      </c>
      <c r="M3071" s="1787" t="n">
        <v>1448.2455</v>
      </c>
      <c r="N3071" s="1754" t="n"/>
      <c r="O3071" s="1788" t="n"/>
      <c r="P3071" s="1721" t="inlineStr">
        <is>
          <t>Pendente</t>
        </is>
      </c>
    </row>
    <row r="3072" hidden="1" outlineLevel="3" ht="13.9" customHeight="1">
      <c r="A3072" s="2117" t="n">
        <v>0</v>
      </c>
      <c r="B3072" s="2117" t="n">
        <v>21</v>
      </c>
      <c r="C3072" s="2117" t="n">
        <v>1</v>
      </c>
      <c r="D3072" s="2118" t="n">
        <v>3</v>
      </c>
      <c r="E3072" s="2118" t="n">
        <v>13</v>
      </c>
      <c r="F3072" s="130" t="n"/>
      <c r="G3072" s="1798" t="inlineStr">
        <is>
          <t>REVESTIMENTOS E ACABAMENTOS DE FACHADA</t>
        </is>
      </c>
      <c r="H3072" s="1783" t="inlineStr">
        <is>
          <t>SERVIÇO</t>
        </is>
      </c>
      <c r="I3072" s="1750" t="inlineStr">
        <is>
          <t>21.001.003.013</t>
        </is>
      </c>
      <c r="J3072" s="1785" t="inlineStr">
        <is>
          <t>Revestimento de Mármore Natural em Paredes</t>
        </is>
      </c>
      <c r="K3072" s="1786" t="inlineStr">
        <is>
          <t>m2</t>
        </is>
      </c>
      <c r="L3072" s="1787" t="e">
        <v>#REF!</v>
      </c>
      <c r="M3072" s="1787" t="n">
        <v>898.2455000000001</v>
      </c>
      <c r="N3072" s="1754" t="n"/>
      <c r="O3072" s="1788" t="n"/>
      <c r="P3072" s="1721" t="inlineStr">
        <is>
          <t>Pendente</t>
        </is>
      </c>
    </row>
    <row r="3073" hidden="1" outlineLevel="2" ht="13.9" customHeight="1">
      <c r="A3073" s="2117" t="n">
        <v>0</v>
      </c>
      <c r="B3073" s="2117" t="n">
        <v>21</v>
      </c>
      <c r="C3073" s="2117" t="n">
        <v>1</v>
      </c>
      <c r="D3073" s="2118" t="n">
        <v>4</v>
      </c>
      <c r="E3073" s="2118" t="n">
        <v>0</v>
      </c>
      <c r="F3073" s="130" t="n"/>
      <c r="G3073" s="1797" t="n"/>
      <c r="H3073" s="1777" t="inlineStr">
        <is>
          <t>SUBETAPA</t>
        </is>
      </c>
      <c r="I3073" s="1742" t="inlineStr">
        <is>
          <t>21.001.004</t>
        </is>
      </c>
      <c r="J3073" s="1779" t="inlineStr">
        <is>
          <t>Mão de obra - Revestimentos</t>
        </is>
      </c>
      <c r="K3073" s="1780" t="n"/>
      <c r="L3073" s="1781" t="n"/>
      <c r="M3073" s="1781" t="n"/>
      <c r="N3073" s="1746" t="n"/>
      <c r="O3073" s="1782" t="n"/>
      <c r="P3073" s="1720" t="n"/>
    </row>
    <row r="3074" hidden="1" outlineLevel="3" ht="13.9" customHeight="1">
      <c r="A3074" s="2117" t="n">
        <v>0</v>
      </c>
      <c r="B3074" s="2117" t="n">
        <v>21</v>
      </c>
      <c r="C3074" s="2117" t="n">
        <v>1</v>
      </c>
      <c r="D3074" s="2118" t="n">
        <v>4</v>
      </c>
      <c r="E3074" s="2118" t="n">
        <v>1</v>
      </c>
      <c r="F3074" s="130" t="n"/>
      <c r="G3074" s="1798" t="inlineStr">
        <is>
          <t>REVESTIMENTOS E ACABAMENTOS DE FACHADA</t>
        </is>
      </c>
      <c r="H3074" s="1783" t="inlineStr">
        <is>
          <t>SERVIÇO</t>
        </is>
      </c>
      <c r="I3074" s="1750" t="inlineStr">
        <is>
          <t>21.001.004.001</t>
        </is>
      </c>
      <c r="J3074" s="1785" t="inlineStr">
        <is>
          <t>Mao de obra para reboco externo - inclui chapisco</t>
        </is>
      </c>
      <c r="K3074" s="1786" t="inlineStr">
        <is>
          <t>m2</t>
        </is>
      </c>
      <c r="L3074" s="1787" t="e">
        <v>#REF!</v>
      </c>
      <c r="M3074" s="1787" t="n">
        <v>62</v>
      </c>
      <c r="N3074" s="1754" t="n"/>
      <c r="O3074" s="1788" t="n"/>
      <c r="P3074" s="1721" t="inlineStr">
        <is>
          <t>Pendente</t>
        </is>
      </c>
    </row>
    <row r="3075" hidden="1" outlineLevel="3" ht="13.9" customHeight="1">
      <c r="A3075" s="2117" t="n">
        <v>0</v>
      </c>
      <c r="B3075" s="2117" t="n">
        <v>21</v>
      </c>
      <c r="C3075" s="2117" t="n">
        <v>1</v>
      </c>
      <c r="D3075" s="2118" t="n">
        <v>4</v>
      </c>
      <c r="E3075" s="2118" t="n">
        <v>2</v>
      </c>
      <c r="F3075" s="130" t="n"/>
      <c r="G3075" s="1798" t="inlineStr">
        <is>
          <t>REVESTIMENTOS E ACABAMENTOS DE FACHADA</t>
        </is>
      </c>
      <c r="H3075" s="1783" t="inlineStr">
        <is>
          <t>SERVIÇO</t>
        </is>
      </c>
      <c r="I3075" s="1750" t="inlineStr">
        <is>
          <t>21.001.004.002</t>
        </is>
      </c>
      <c r="J3075" s="1785" t="inlineStr">
        <is>
          <t>Mão de obra para aplicação de Pastilhas em paredes externas</t>
        </is>
      </c>
      <c r="K3075" s="1786" t="inlineStr">
        <is>
          <t>m2</t>
        </is>
      </c>
      <c r="L3075" s="1787" t="e">
        <v>#REF!</v>
      </c>
      <c r="M3075" s="1787" t="n">
        <v>95</v>
      </c>
      <c r="N3075" s="1754" t="n"/>
      <c r="O3075" s="1788" t="n"/>
      <c r="P3075" s="1721" t="inlineStr">
        <is>
          <t>Pendente</t>
        </is>
      </c>
    </row>
    <row r="3076" hidden="1" outlineLevel="3" ht="13.9" customHeight="1">
      <c r="A3076" s="2117" t="n">
        <v>0</v>
      </c>
      <c r="B3076" s="2117" t="n">
        <v>21</v>
      </c>
      <c r="C3076" s="2117" t="n">
        <v>1</v>
      </c>
      <c r="D3076" s="2118" t="n">
        <v>4</v>
      </c>
      <c r="E3076" s="2118" t="n">
        <v>3</v>
      </c>
      <c r="F3076" s="130" t="n"/>
      <c r="G3076" s="1798" t="inlineStr">
        <is>
          <t>REVESTIMENTOS E ACABAMENTOS DE FACHADA</t>
        </is>
      </c>
      <c r="H3076" s="1783" t="inlineStr">
        <is>
          <t>SERVIÇO</t>
        </is>
      </c>
      <c r="I3076" s="1750" t="inlineStr">
        <is>
          <t>21.001.004.003</t>
        </is>
      </c>
      <c r="J3076" s="1785" t="inlineStr">
        <is>
          <t>Mão de obra para aplicação de Porcelanato em paredes externas</t>
        </is>
      </c>
      <c r="K3076" s="1786" t="inlineStr">
        <is>
          <t>m2</t>
        </is>
      </c>
      <c r="L3076" s="1787" t="e">
        <v>#REF!</v>
      </c>
      <c r="M3076" s="1787" t="n">
        <v>85</v>
      </c>
      <c r="N3076" s="1754" t="n"/>
      <c r="O3076" s="1788" t="n"/>
      <c r="P3076" s="1721" t="inlineStr">
        <is>
          <t>Pendente</t>
        </is>
      </c>
    </row>
    <row r="3077" hidden="1" outlineLevel="3" ht="13.9" customHeight="1">
      <c r="A3077" s="2117" t="n">
        <v>0</v>
      </c>
      <c r="B3077" s="2117" t="n">
        <v>21</v>
      </c>
      <c r="C3077" s="2117" t="n">
        <v>1</v>
      </c>
      <c r="D3077" s="2118" t="n">
        <v>4</v>
      </c>
      <c r="E3077" s="2118" t="n">
        <v>4</v>
      </c>
      <c r="F3077" s="130" t="n"/>
      <c r="G3077" s="1798" t="inlineStr">
        <is>
          <t>REVESTIMENTOS E ACABAMENTOS DE FACHADA</t>
        </is>
      </c>
      <c r="H3077" s="1783" t="inlineStr">
        <is>
          <t>SERVIÇO</t>
        </is>
      </c>
      <c r="I3077" s="1750" t="inlineStr">
        <is>
          <t>21.001.004.004</t>
        </is>
      </c>
      <c r="J3077" s="1785" t="inlineStr">
        <is>
          <t>Mão de obra para aplicação de molduras em paredes externas</t>
        </is>
      </c>
      <c r="K3077" s="1786" t="inlineStr">
        <is>
          <t>m</t>
        </is>
      </c>
      <c r="L3077" s="1787" t="e">
        <v>#REF!</v>
      </c>
      <c r="M3077" s="1787" t="n">
        <v>120</v>
      </c>
      <c r="N3077" s="1754" t="n"/>
      <c r="O3077" s="1788" t="n"/>
      <c r="P3077" s="1721" t="inlineStr">
        <is>
          <t>Pendente</t>
        </is>
      </c>
    </row>
    <row r="3078" hidden="1" outlineLevel="3" ht="13.9" customHeight="1">
      <c r="A3078" s="2117" t="n">
        <v>0</v>
      </c>
      <c r="B3078" s="2117" t="n">
        <v>21</v>
      </c>
      <c r="C3078" s="2117" t="n">
        <v>1</v>
      </c>
      <c r="D3078" s="2118" t="n">
        <v>4</v>
      </c>
      <c r="E3078" s="2118" t="n">
        <v>5</v>
      </c>
      <c r="F3078" s="130" t="n"/>
      <c r="G3078" s="1798" t="inlineStr">
        <is>
          <t>REVESTIMENTOS E ACABAMENTOS DE FACHADA</t>
        </is>
      </c>
      <c r="H3078" s="1783" t="inlineStr">
        <is>
          <t>SERVIÇO</t>
        </is>
      </c>
      <c r="I3078" s="1750" t="inlineStr">
        <is>
          <t>21.001.004.005</t>
        </is>
      </c>
      <c r="J3078" s="1785" t="inlineStr">
        <is>
          <t>Mão de obra para aplicação de Mármore Travertino em paredes externas</t>
        </is>
      </c>
      <c r="K3078" s="1786" t="inlineStr">
        <is>
          <t>m2</t>
        </is>
      </c>
      <c r="L3078" s="1787" t="e">
        <v>#REF!</v>
      </c>
      <c r="M3078" s="1787" t="n">
        <v>95</v>
      </c>
      <c r="N3078" s="1754" t="n"/>
      <c r="O3078" s="1788" t="n"/>
      <c r="P3078" s="1721" t="inlineStr">
        <is>
          <t>Pendente</t>
        </is>
      </c>
    </row>
    <row r="3079" hidden="1" outlineLevel="3" ht="13.9" customHeight="1">
      <c r="A3079" s="2117" t="n">
        <v>0</v>
      </c>
      <c r="B3079" s="2117" t="n">
        <v>21</v>
      </c>
      <c r="C3079" s="2117" t="n">
        <v>1</v>
      </c>
      <c r="D3079" s="2118" t="n">
        <v>4</v>
      </c>
      <c r="E3079" s="2118" t="n">
        <v>6</v>
      </c>
      <c r="F3079" s="130" t="n"/>
      <c r="G3079" s="1798" t="inlineStr">
        <is>
          <t>REVESTIMENTOS E ACABAMENTOS DE FACHADA</t>
        </is>
      </c>
      <c r="H3079" s="1783" t="inlineStr">
        <is>
          <t>SERVIÇO</t>
        </is>
      </c>
      <c r="I3079" s="1750" t="inlineStr">
        <is>
          <t>21.001.004.006</t>
        </is>
      </c>
      <c r="J3079" s="1785" t="inlineStr">
        <is>
          <t>Mão de obra para aplicação de Pintura em paredes externas - 3 demãos</t>
        </is>
      </c>
      <c r="K3079" s="1786" t="inlineStr">
        <is>
          <t>m2</t>
        </is>
      </c>
      <c r="L3079" s="1787" t="e">
        <v>#REF!</v>
      </c>
      <c r="M3079" s="1787" t="n">
        <v>58</v>
      </c>
      <c r="N3079" s="1754" t="n"/>
      <c r="O3079" s="1788" t="n"/>
      <c r="P3079" s="1721" t="inlineStr">
        <is>
          <t>Pendente</t>
        </is>
      </c>
    </row>
    <row r="3080" hidden="1" outlineLevel="3" ht="13.9" customHeight="1">
      <c r="A3080" s="2117" t="n">
        <v>0</v>
      </c>
      <c r="B3080" s="2117" t="n">
        <v>21</v>
      </c>
      <c r="C3080" s="2117" t="n">
        <v>1</v>
      </c>
      <c r="D3080" s="2118" t="n">
        <v>4</v>
      </c>
      <c r="E3080" s="2118" t="n">
        <v>7</v>
      </c>
      <c r="F3080" s="130" t="n"/>
      <c r="G3080" s="1798" t="inlineStr">
        <is>
          <t>REVESTIMENTOS E ACABAMENTOS DE FACHADA</t>
        </is>
      </c>
      <c r="H3080" s="1783" t="inlineStr">
        <is>
          <t>SERVIÇO</t>
        </is>
      </c>
      <c r="I3080" s="1750" t="inlineStr">
        <is>
          <t>21.001.004.007</t>
        </is>
      </c>
      <c r="J3080" s="1785" t="inlineStr">
        <is>
          <t>Mão de obra para aplicação de textura em paredes externas - 1 demão</t>
        </is>
      </c>
      <c r="K3080" s="1786" t="inlineStr">
        <is>
          <t>m2</t>
        </is>
      </c>
      <c r="L3080" s="1787" t="e">
        <v>#REF!</v>
      </c>
      <c r="M3080" s="1787" t="n">
        <v>58</v>
      </c>
      <c r="N3080" s="1754" t="n"/>
      <c r="O3080" s="1788" t="n"/>
      <c r="P3080" s="1721" t="inlineStr">
        <is>
          <t>Pendente</t>
        </is>
      </c>
    </row>
    <row r="3081" hidden="1" outlineLevel="1" ht="13.9" customHeight="1">
      <c r="A3081" s="2117" t="n">
        <v>0</v>
      </c>
      <c r="B3081" s="2117" t="n">
        <v>21</v>
      </c>
      <c r="C3081" s="2117" t="n">
        <v>2</v>
      </c>
      <c r="D3081" s="2118" t="n">
        <v>0</v>
      </c>
      <c r="E3081" s="2118" t="n">
        <v>7</v>
      </c>
      <c r="F3081" s="130" t="n"/>
      <c r="G3081" s="1796" t="n"/>
      <c r="H3081" s="1771" t="inlineStr">
        <is>
          <t>ETAPA</t>
        </is>
      </c>
      <c r="I3081" s="1735" t="inlineStr">
        <is>
          <t>21.002</t>
        </is>
      </c>
      <c r="J3081" s="1773" t="inlineStr">
        <is>
          <t>REVESTIMENTOS E ACABAMENTOS EM FACHADA - FACHADA DIREITA</t>
        </is>
      </c>
      <c r="K3081" s="1774" t="n"/>
      <c r="L3081" s="1775" t="n"/>
      <c r="M3081" s="1775" t="n"/>
      <c r="N3081" s="1739" t="n"/>
      <c r="O3081" s="1776" t="n"/>
      <c r="P3081" s="1725" t="n"/>
    </row>
    <row r="3082" hidden="1" outlineLevel="2" ht="13.9" customHeight="1">
      <c r="A3082" s="2117" t="n">
        <v>0</v>
      </c>
      <c r="B3082" s="2117" t="n">
        <v>21</v>
      </c>
      <c r="C3082" s="2117" t="n">
        <v>2</v>
      </c>
      <c r="D3082" s="2118" t="n">
        <v>1</v>
      </c>
      <c r="E3082" s="2118" t="n">
        <v>0</v>
      </c>
      <c r="F3082" s="130" t="n"/>
      <c r="G3082" s="1797" t="n"/>
      <c r="H3082" s="1777" t="inlineStr">
        <is>
          <t>SUBETAPA</t>
        </is>
      </c>
      <c r="I3082" s="1742" t="inlineStr">
        <is>
          <t>21.002.001</t>
        </is>
      </c>
      <c r="J3082" s="1779" t="inlineStr">
        <is>
          <t>Revestimento argamassado em fachada</t>
        </is>
      </c>
      <c r="K3082" s="1780" t="n"/>
      <c r="L3082" s="1781" t="n"/>
      <c r="M3082" s="1781" t="n"/>
      <c r="N3082" s="1746" t="n"/>
      <c r="O3082" s="1782" t="n"/>
      <c r="P3082" s="1720" t="n"/>
    </row>
    <row r="3083" hidden="1" outlineLevel="3" ht="13.9" customHeight="1">
      <c r="A3083" s="2117" t="n">
        <v>0</v>
      </c>
      <c r="B3083" s="2117" t="n">
        <v>21</v>
      </c>
      <c r="C3083" s="2117" t="n">
        <v>2</v>
      </c>
      <c r="D3083" s="2118" t="n">
        <v>1</v>
      </c>
      <c r="E3083" s="2118" t="n">
        <v>1</v>
      </c>
      <c r="F3083" s="130" t="n"/>
      <c r="G3083" s="1798" t="inlineStr">
        <is>
          <t>REVESTIMENTOS E ACABAMENTOS DE FACHADA</t>
        </is>
      </c>
      <c r="H3083" s="1783" t="inlineStr">
        <is>
          <t>SERVIÇO</t>
        </is>
      </c>
      <c r="I3083" s="1750" t="inlineStr">
        <is>
          <t>21.002.001.001</t>
        </is>
      </c>
      <c r="J3083" s="1785" t="inlineStr">
        <is>
          <t>Chapisco externo de argamassa pré-fabricada adesiva de cimento colante - aplicação rolada em paredes externas</t>
        </is>
      </c>
      <c r="K3083" s="1786" t="inlineStr">
        <is>
          <t>m2</t>
        </is>
      </c>
      <c r="L3083" s="1787" t="e">
        <v>#REF!</v>
      </c>
      <c r="M3083" s="1787" t="n">
        <v>10.11778</v>
      </c>
      <c r="N3083" s="1754" t="n"/>
      <c r="O3083" s="1788" t="n"/>
      <c r="P3083" s="1721" t="inlineStr">
        <is>
          <t>Pendente</t>
        </is>
      </c>
    </row>
    <row r="3084" hidden="1" outlineLevel="3" ht="13.9" customHeight="1">
      <c r="A3084" s="2117" t="n">
        <v>0</v>
      </c>
      <c r="B3084" s="2117" t="n">
        <v>21</v>
      </c>
      <c r="C3084" s="2117" t="n">
        <v>2</v>
      </c>
      <c r="D3084" s="2118" t="n">
        <v>1</v>
      </c>
      <c r="E3084" s="2118" t="n">
        <v>2</v>
      </c>
      <c r="F3084" s="130" t="n"/>
      <c r="G3084" s="1798" t="inlineStr">
        <is>
          <t>REVESTIMENTOS E ACABAMENTOS DE FACHADA</t>
        </is>
      </c>
      <c r="H3084" s="1783" t="inlineStr">
        <is>
          <t>SERVIÇO</t>
        </is>
      </c>
      <c r="I3084" s="1750" t="inlineStr">
        <is>
          <t>21.002.001.002</t>
        </is>
      </c>
      <c r="J3084" s="1785" t="inlineStr">
        <is>
          <t>Chapisco externo de argamassa preparada em obra de cimento e areia - traço 1:4 - aplicação em paredes externas</t>
        </is>
      </c>
      <c r="K3084" s="1786" t="inlineStr">
        <is>
          <t>m2</t>
        </is>
      </c>
      <c r="L3084" s="1787" t="e">
        <v>#REF!</v>
      </c>
      <c r="M3084" s="1787" t="n">
        <v>3.28945</v>
      </c>
      <c r="N3084" s="1754" t="n"/>
      <c r="O3084" s="1788" t="n"/>
      <c r="P3084" s="1721" t="inlineStr">
        <is>
          <t>Pendente</t>
        </is>
      </c>
    </row>
    <row r="3085" hidden="1" outlineLevel="3" ht="13.9" customHeight="1">
      <c r="A3085" s="2117" t="n">
        <v>0</v>
      </c>
      <c r="B3085" s="2117" t="n">
        <v>21</v>
      </c>
      <c r="C3085" s="2117" t="n">
        <v>2</v>
      </c>
      <c r="D3085" s="2118" t="n">
        <v>1</v>
      </c>
      <c r="E3085" s="2118" t="n">
        <v>3</v>
      </c>
      <c r="F3085" s="130" t="n"/>
      <c r="G3085" s="1798" t="inlineStr">
        <is>
          <t>REVESTIMENTOS E ACABAMENTOS DE FACHADA</t>
        </is>
      </c>
      <c r="H3085" s="1783" t="inlineStr">
        <is>
          <t>SERVIÇO</t>
        </is>
      </c>
      <c r="I3085" s="1750" t="inlineStr">
        <is>
          <t>21.002.001.003</t>
        </is>
      </c>
      <c r="J3085" s="1785" t="inlineStr">
        <is>
          <t>Massa unica para reboco externo em argamassa estabilizada, espessura de 2,5cm, com execução desempenado fino</t>
        </is>
      </c>
      <c r="K3085" s="1786" t="inlineStr">
        <is>
          <t>m2</t>
        </is>
      </c>
      <c r="L3085" s="1787" t="e">
        <v>#REF!</v>
      </c>
      <c r="M3085" s="1787" t="n">
        <v>10.89375</v>
      </c>
      <c r="N3085" s="1754" t="n"/>
      <c r="O3085" s="1788" t="n"/>
      <c r="P3085" s="1721" t="inlineStr">
        <is>
          <t>Pendente</t>
        </is>
      </c>
    </row>
    <row r="3086" hidden="1" outlineLevel="2" ht="13.9" customHeight="1">
      <c r="A3086" s="2117" t="n">
        <v>0</v>
      </c>
      <c r="B3086" s="2117" t="n">
        <v>21</v>
      </c>
      <c r="C3086" s="2117" t="n">
        <v>2</v>
      </c>
      <c r="D3086" s="2118" t="n">
        <v>2</v>
      </c>
      <c r="E3086" s="2118" t="n">
        <v>0</v>
      </c>
      <c r="F3086" s="130" t="n"/>
      <c r="G3086" s="1797" t="n"/>
      <c r="H3086" s="1777" t="inlineStr">
        <is>
          <t>SUBETAPA</t>
        </is>
      </c>
      <c r="I3086" s="1742" t="inlineStr">
        <is>
          <t>21.002.002</t>
        </is>
      </c>
      <c r="J3086" s="1779" t="inlineStr">
        <is>
          <t>Acabamentos especiais em fachada</t>
        </is>
      </c>
      <c r="K3086" s="1780" t="n"/>
      <c r="L3086" s="1781" t="n"/>
      <c r="M3086" s="1781" t="n"/>
      <c r="N3086" s="1746" t="n"/>
      <c r="O3086" s="1782" t="n"/>
      <c r="P3086" s="1720" t="n"/>
    </row>
    <row r="3087" hidden="1" outlineLevel="3" ht="13.9" customHeight="1">
      <c r="A3087" s="2117" t="n">
        <v>0</v>
      </c>
      <c r="B3087" s="2117" t="n">
        <v>21</v>
      </c>
      <c r="C3087" s="2117" t="n">
        <v>2</v>
      </c>
      <c r="D3087" s="2118" t="n">
        <v>2</v>
      </c>
      <c r="E3087" s="2118" t="n">
        <v>1</v>
      </c>
      <c r="F3087" s="130" t="n"/>
      <c r="G3087" s="1798" t="inlineStr">
        <is>
          <t>REVESTIMENTOS E ACABAMENTOS DE FACHADA</t>
        </is>
      </c>
      <c r="H3087" s="1783" t="inlineStr">
        <is>
          <t>SERVIÇO</t>
        </is>
      </c>
      <c r="I3087" s="1750" t="inlineStr">
        <is>
          <t>21.002.002.001</t>
        </is>
      </c>
      <c r="J3087" s="1785" t="inlineStr">
        <is>
          <t>Revestimento de Cerâmica extrudada Brick Tile, 60x15cm ventilado, com toda a estrutura - Material e Mão de Obra</t>
        </is>
      </c>
      <c r="K3087" s="1786" t="inlineStr">
        <is>
          <t>m2</t>
        </is>
      </c>
      <c r="L3087" s="1787" t="e">
        <v>#REF!</v>
      </c>
      <c r="M3087" s="1787" t="n">
        <v>1102</v>
      </c>
      <c r="N3087" s="1754" t="n"/>
      <c r="O3087" s="1788" t="n"/>
      <c r="P3087" s="1721" t="inlineStr">
        <is>
          <t>Pendente</t>
        </is>
      </c>
    </row>
    <row r="3088" hidden="1" outlineLevel="3" ht="13.9" customHeight="1">
      <c r="A3088" s="2117" t="n">
        <v>0</v>
      </c>
      <c r="B3088" s="2117" t="n">
        <v>21</v>
      </c>
      <c r="C3088" s="2117" t="n">
        <v>2</v>
      </c>
      <c r="D3088" s="2118" t="n">
        <v>2</v>
      </c>
      <c r="E3088" s="2118" t="n">
        <v>2</v>
      </c>
      <c r="F3088" s="130" t="n"/>
      <c r="G3088" s="1798" t="inlineStr">
        <is>
          <t>REVESTIMENTOS E ACABAMENTOS DE FACHADA</t>
        </is>
      </c>
      <c r="H3088" s="1783" t="inlineStr">
        <is>
          <t>SERVIÇO</t>
        </is>
      </c>
      <c r="I3088" s="1750" t="inlineStr">
        <is>
          <t>21.002.002.002</t>
        </is>
      </c>
      <c r="J3088" s="1785" t="inlineStr">
        <is>
          <t>Moldura de fachada, com revestimento externo de Cerâmica extrudada Brick Tile, 60x15cm, com Junta de 2mm e largura de 30 cm</t>
        </is>
      </c>
      <c r="K3088" s="1786" t="inlineStr">
        <is>
          <t>m</t>
        </is>
      </c>
      <c r="L3088" s="1787" t="e">
        <v>#REF!</v>
      </c>
      <c r="M3088" s="1787" t="n">
        <v>211.4773754545455</v>
      </c>
      <c r="N3088" s="1754" t="n"/>
      <c r="O3088" s="1788" t="n"/>
      <c r="P3088" s="1721" t="inlineStr">
        <is>
          <t>Pendente</t>
        </is>
      </c>
    </row>
    <row r="3089" hidden="1" outlineLevel="3" ht="13.9" customHeight="1">
      <c r="A3089" s="2117" t="n">
        <v>0</v>
      </c>
      <c r="B3089" s="2117" t="n">
        <v>21</v>
      </c>
      <c r="C3089" s="2117" t="n">
        <v>2</v>
      </c>
      <c r="D3089" s="2118" t="n">
        <v>2</v>
      </c>
      <c r="E3089" s="2118" t="n">
        <v>3</v>
      </c>
      <c r="F3089" s="130" t="n"/>
      <c r="G3089" s="1798" t="inlineStr">
        <is>
          <t>REVESTIMENTOS E ACABAMENTOS DE FACHADA</t>
        </is>
      </c>
      <c r="H3089" s="1783" t="inlineStr">
        <is>
          <t>SERVIÇO</t>
        </is>
      </c>
      <c r="I3089" s="1750" t="inlineStr">
        <is>
          <t>21.002.002.003</t>
        </is>
      </c>
      <c r="J3089" s="1785" t="inlineStr">
        <is>
          <t>Moldura de fachada, com revestimento de pastilha azul (OM15645 – 7,5x7,5), com largura de  30 cm - atlas</t>
        </is>
      </c>
      <c r="K3089" s="1786" t="inlineStr">
        <is>
          <t>m</t>
        </is>
      </c>
      <c r="L3089" s="1787" t="e">
        <v>#REF!</v>
      </c>
      <c r="M3089" s="1787" t="n">
        <v>150.3801854545455</v>
      </c>
      <c r="N3089" s="1754" t="n"/>
      <c r="O3089" s="1788" t="n"/>
      <c r="P3089" s="1721" t="inlineStr">
        <is>
          <t>Pendente</t>
        </is>
      </c>
    </row>
    <row r="3090" hidden="1" outlineLevel="3" ht="13.9" customHeight="1">
      <c r="A3090" s="2117" t="n">
        <v>0</v>
      </c>
      <c r="B3090" s="2117" t="n">
        <v>21</v>
      </c>
      <c r="C3090" s="2117" t="n">
        <v>2</v>
      </c>
      <c r="D3090" s="2118" t="n">
        <v>2</v>
      </c>
      <c r="E3090" s="2118" t="n">
        <v>4</v>
      </c>
      <c r="F3090" s="130" t="n"/>
      <c r="G3090" s="1798" t="inlineStr">
        <is>
          <t>REVESTIMENTOS E ACABAMENTOS DE FACHADA</t>
        </is>
      </c>
      <c r="H3090" s="1783" t="inlineStr">
        <is>
          <t>SERVIÇO</t>
        </is>
      </c>
      <c r="I3090" s="1750" t="inlineStr">
        <is>
          <t>21.002.002.004</t>
        </is>
      </c>
      <c r="J3090" s="1785" t="inlineStr">
        <is>
          <t>Revestimento externo de Cerâmica extrudada Brick Tile, 60x15cm com Junta de 2mm</t>
        </is>
      </c>
      <c r="K3090" s="1786" t="inlineStr">
        <is>
          <t>m2</t>
        </is>
      </c>
      <c r="L3090" s="1787" t="e">
        <v>#REF!</v>
      </c>
      <c r="M3090" s="1787" t="n">
        <v>443.2856</v>
      </c>
      <c r="N3090" s="1754" t="n"/>
      <c r="O3090" s="1788" t="n"/>
      <c r="P3090" s="1721" t="inlineStr">
        <is>
          <t>Pendente</t>
        </is>
      </c>
    </row>
    <row r="3091" hidden="1" outlineLevel="3" ht="13.9" customHeight="1">
      <c r="A3091" s="2117" t="n">
        <v>0</v>
      </c>
      <c r="B3091" s="2117" t="n">
        <v>21</v>
      </c>
      <c r="C3091" s="2117" t="n">
        <v>2</v>
      </c>
      <c r="D3091" s="2118" t="n">
        <v>2</v>
      </c>
      <c r="E3091" s="2118" t="n">
        <v>5</v>
      </c>
      <c r="F3091" s="130" t="n"/>
      <c r="G3091" s="1798" t="inlineStr">
        <is>
          <t>REVESTIMENTOS E ACABAMENTOS DE FACHADA</t>
        </is>
      </c>
      <c r="H3091" s="1783" t="inlineStr">
        <is>
          <t>SERVIÇO</t>
        </is>
      </c>
      <c r="I3091" s="1750" t="inlineStr">
        <is>
          <t>21.002.002.005</t>
        </is>
      </c>
      <c r="J3091" s="1785" t="inlineStr">
        <is>
          <t>Revestimento de Porcelanato Kyoto 120x60 cm ventilado, com toda a estrutura - Material e Mão de Obra</t>
        </is>
      </c>
      <c r="K3091" s="1786" t="inlineStr">
        <is>
          <t>m2</t>
        </is>
      </c>
      <c r="L3091" s="1787" t="e">
        <v>#REF!</v>
      </c>
      <c r="M3091" s="1787" t="n">
        <v>807.74</v>
      </c>
      <c r="N3091" s="1754" t="n"/>
      <c r="O3091" s="1788" t="n"/>
      <c r="P3091" s="1721" t="inlineStr">
        <is>
          <t>Pendente</t>
        </is>
      </c>
    </row>
    <row r="3092" hidden="1" outlineLevel="3" ht="13.9" customHeight="1">
      <c r="A3092" s="2117" t="n">
        <v>0</v>
      </c>
      <c r="B3092" s="2117" t="n">
        <v>21</v>
      </c>
      <c r="C3092" s="2117" t="n">
        <v>2</v>
      </c>
      <c r="D3092" s="2118" t="n">
        <v>2</v>
      </c>
      <c r="E3092" s="2118" t="n">
        <v>6</v>
      </c>
      <c r="F3092" s="130" t="n"/>
      <c r="G3092" s="1798" t="inlineStr">
        <is>
          <t>REVESTIMENTOS E ACABAMENTOS DE FACHADA</t>
        </is>
      </c>
      <c r="H3092" s="1783" t="inlineStr">
        <is>
          <t>SERVIÇO</t>
        </is>
      </c>
      <c r="I3092" s="1750" t="inlineStr">
        <is>
          <t>21.002.002.006</t>
        </is>
      </c>
      <c r="J3092" s="1785" t="inlineStr">
        <is>
          <t>Revestimento externo de porcelanato painel kyoto, 60 x120cm com Junta de 2mm</t>
        </is>
      </c>
      <c r="K3092" s="1786" t="inlineStr">
        <is>
          <t>m2</t>
        </is>
      </c>
      <c r="L3092" s="1787" t="e">
        <v>#REF!</v>
      </c>
      <c r="M3092" s="1787" t="n">
        <v>172.0256</v>
      </c>
      <c r="N3092" s="1754" t="n"/>
      <c r="O3092" s="1788" t="inlineStr">
        <is>
          <t>"Teto" da moldura</t>
        </is>
      </c>
      <c r="P3092" s="1721" t="inlineStr">
        <is>
          <t>Pendente</t>
        </is>
      </c>
    </row>
    <row r="3093" hidden="1" outlineLevel="3" ht="13.9" customHeight="1">
      <c r="A3093" s="2117" t="n">
        <v>0</v>
      </c>
      <c r="B3093" s="2117" t="n">
        <v>21</v>
      </c>
      <c r="C3093" s="2117" t="n">
        <v>2</v>
      </c>
      <c r="D3093" s="2118" t="n">
        <v>2</v>
      </c>
      <c r="E3093" s="2118" t="n">
        <v>7</v>
      </c>
      <c r="F3093" s="130" t="n"/>
      <c r="G3093" s="1798" t="inlineStr">
        <is>
          <t>REVESTIMENTOS E ACABAMENTOS DE FACHADA</t>
        </is>
      </c>
      <c r="H3093" s="1783" t="inlineStr">
        <is>
          <t>SERVIÇO</t>
        </is>
      </c>
      <c r="I3093" s="1750" t="inlineStr">
        <is>
          <t>21.002.002.007</t>
        </is>
      </c>
      <c r="J3093" s="1785" t="inlineStr">
        <is>
          <t>Moldura de fachada, com revestimento externo de porcelanato painel kyoto, 60 x120cm com Junta de 2mm e largura de 30 cm</t>
        </is>
      </c>
      <c r="K3093" s="1786" t="inlineStr">
        <is>
          <t>m</t>
        </is>
      </c>
      <c r="L3093" s="1787" t="e">
        <v>#REF!</v>
      </c>
      <c r="M3093" s="1787" t="n">
        <v>130.0993754545455</v>
      </c>
      <c r="N3093" s="1754" t="n"/>
      <c r="O3093" s="1788" t="inlineStr">
        <is>
          <t>Torre</t>
        </is>
      </c>
      <c r="P3093" s="1721" t="inlineStr">
        <is>
          <t>Pendente</t>
        </is>
      </c>
    </row>
    <row r="3094" hidden="1" outlineLevel="3" ht="13.9" customHeight="1">
      <c r="A3094" s="2117" t="n">
        <v>0</v>
      </c>
      <c r="B3094" s="2117" t="n">
        <v>21</v>
      </c>
      <c r="C3094" s="2117" t="n">
        <v>2</v>
      </c>
      <c r="D3094" s="2118" t="n">
        <v>2</v>
      </c>
      <c r="E3094" s="2118" t="n">
        <v>8</v>
      </c>
      <c r="F3094" s="130" t="n"/>
      <c r="G3094" s="1798" t="inlineStr">
        <is>
          <t>REVESTIMENTOS E ACABAMENTOS DE FACHADA</t>
        </is>
      </c>
      <c r="H3094" s="1783" t="inlineStr">
        <is>
          <t>SERVIÇO</t>
        </is>
      </c>
      <c r="I3094" s="1750" t="inlineStr">
        <is>
          <t>21.002.002.008</t>
        </is>
      </c>
      <c r="J3094" s="1785" t="inlineStr">
        <is>
          <t>Revestimento de pastilha azul (OM15645 – 20x20) - atlas</t>
        </is>
      </c>
      <c r="K3094" s="1786" t="inlineStr">
        <is>
          <t>m2</t>
        </is>
      </c>
      <c r="L3094" s="1787" t="e">
        <v>#REF!</v>
      </c>
      <c r="M3094" s="1787" t="n">
        <v>164.302</v>
      </c>
      <c r="N3094" s="1754" t="n"/>
      <c r="O3094" s="1788" t="n"/>
      <c r="P3094" s="1721" t="inlineStr">
        <is>
          <t>Pendente</t>
        </is>
      </c>
    </row>
    <row r="3095" hidden="1" outlineLevel="2" ht="13.9" customHeight="1">
      <c r="A3095" s="2117" t="n">
        <v>0</v>
      </c>
      <c r="B3095" s="2117" t="n">
        <v>21</v>
      </c>
      <c r="C3095" s="2117" t="n">
        <v>2</v>
      </c>
      <c r="D3095" s="2118" t="n">
        <v>3</v>
      </c>
      <c r="E3095" s="2118" t="n">
        <v>0</v>
      </c>
      <c r="F3095" s="130" t="n"/>
      <c r="G3095" s="1797" t="n"/>
      <c r="H3095" s="1777" t="inlineStr">
        <is>
          <t>SUBETAPA</t>
        </is>
      </c>
      <c r="I3095" s="1742" t="inlineStr">
        <is>
          <t>21.002.003</t>
        </is>
      </c>
      <c r="J3095" s="1779" t="inlineStr">
        <is>
          <t>Mão de obra - Revestimentos</t>
        </is>
      </c>
      <c r="K3095" s="1780" t="n"/>
      <c r="L3095" s="1781" t="n"/>
      <c r="M3095" s="1781" t="n"/>
      <c r="N3095" s="1746" t="n"/>
      <c r="O3095" s="1782" t="n"/>
      <c r="P3095" s="1720" t="n"/>
    </row>
    <row r="3096" hidden="1" outlineLevel="3" ht="13.9" customHeight="1">
      <c r="A3096" s="2117" t="n">
        <v>0</v>
      </c>
      <c r="B3096" s="2117" t="n">
        <v>21</v>
      </c>
      <c r="C3096" s="2117" t="n">
        <v>2</v>
      </c>
      <c r="D3096" s="2118" t="n">
        <v>3</v>
      </c>
      <c r="E3096" s="2118" t="n">
        <v>1</v>
      </c>
      <c r="F3096" s="130" t="n"/>
      <c r="G3096" s="1798" t="inlineStr">
        <is>
          <t>REVESTIMENTOS E ACABAMENTOS DE FACHADA</t>
        </is>
      </c>
      <c r="H3096" s="1783" t="inlineStr">
        <is>
          <t>SERVIÇO</t>
        </is>
      </c>
      <c r="I3096" s="1750" t="inlineStr">
        <is>
          <t>21.002.003.001</t>
        </is>
      </c>
      <c r="J3096" s="1785" t="inlineStr">
        <is>
          <t>Mao de obra para reboco externo - inclui chapisco</t>
        </is>
      </c>
      <c r="K3096" s="1786" t="inlineStr">
        <is>
          <t>m2</t>
        </is>
      </c>
      <c r="L3096" s="1787" t="e">
        <v>#REF!</v>
      </c>
      <c r="M3096" s="1787" t="n">
        <v>62</v>
      </c>
      <c r="N3096" s="1754" t="n"/>
      <c r="O3096" s="1788" t="n"/>
      <c r="P3096" s="1721" t="inlineStr">
        <is>
          <t>Pendente</t>
        </is>
      </c>
    </row>
    <row r="3097" hidden="1" outlineLevel="3" ht="13.9" customHeight="1">
      <c r="A3097" s="2117" t="n">
        <v>0</v>
      </c>
      <c r="B3097" s="2117" t="n">
        <v>21</v>
      </c>
      <c r="C3097" s="2117" t="n">
        <v>2</v>
      </c>
      <c r="D3097" s="2118" t="n">
        <v>3</v>
      </c>
      <c r="E3097" s="2118" t="n">
        <v>2</v>
      </c>
      <c r="F3097" s="130" t="n"/>
      <c r="G3097" s="1798" t="inlineStr">
        <is>
          <t>REVESTIMENTOS E ACABAMENTOS DE FACHADA</t>
        </is>
      </c>
      <c r="H3097" s="1783" t="inlineStr">
        <is>
          <t>SERVIÇO</t>
        </is>
      </c>
      <c r="I3097" s="1750" t="inlineStr">
        <is>
          <t>21.002.003.002</t>
        </is>
      </c>
      <c r="J3097" s="1785" t="inlineStr">
        <is>
          <t>Mão de obra para aplicação de Pastilhas em paredes externas</t>
        </is>
      </c>
      <c r="K3097" s="1786" t="inlineStr">
        <is>
          <t>m2</t>
        </is>
      </c>
      <c r="L3097" s="1787" t="e">
        <v>#REF!</v>
      </c>
      <c r="M3097" s="1787" t="n">
        <v>95</v>
      </c>
      <c r="N3097" s="1754" t="n"/>
      <c r="O3097" s="1788" t="n"/>
      <c r="P3097" s="1721" t="inlineStr">
        <is>
          <t>Pendente</t>
        </is>
      </c>
    </row>
    <row r="3098" hidden="1" outlineLevel="3" ht="13.9" customHeight="1">
      <c r="A3098" s="2117" t="n">
        <v>0</v>
      </c>
      <c r="B3098" s="2117" t="n">
        <v>21</v>
      </c>
      <c r="C3098" s="2117" t="n">
        <v>2</v>
      </c>
      <c r="D3098" s="2118" t="n">
        <v>3</v>
      </c>
      <c r="E3098" s="2118" t="n">
        <v>3</v>
      </c>
      <c r="F3098" s="130" t="n"/>
      <c r="G3098" s="1798" t="inlineStr">
        <is>
          <t>REVESTIMENTOS E ACABAMENTOS DE FACHADA</t>
        </is>
      </c>
      <c r="H3098" s="1783" t="inlineStr">
        <is>
          <t>SERVIÇO</t>
        </is>
      </c>
      <c r="I3098" s="1750" t="inlineStr">
        <is>
          <t>21.002.003.003</t>
        </is>
      </c>
      <c r="J3098" s="1785" t="inlineStr">
        <is>
          <t>Mão de obra para aplicação de Porcelanato em paredes externas</t>
        </is>
      </c>
      <c r="K3098" s="1786" t="inlineStr">
        <is>
          <t>m2</t>
        </is>
      </c>
      <c r="L3098" s="1787" t="e">
        <v>#REF!</v>
      </c>
      <c r="M3098" s="1787" t="n">
        <v>85</v>
      </c>
      <c r="N3098" s="1754" t="n"/>
      <c r="O3098" s="1788" t="n"/>
      <c r="P3098" s="1721" t="inlineStr">
        <is>
          <t>Pendente</t>
        </is>
      </c>
    </row>
    <row r="3099" hidden="1" outlineLevel="3" ht="13.9" customHeight="1">
      <c r="A3099" s="2117" t="n">
        <v>0</v>
      </c>
      <c r="B3099" s="2117" t="n">
        <v>21</v>
      </c>
      <c r="C3099" s="2117" t="n">
        <v>2</v>
      </c>
      <c r="D3099" s="2118" t="n">
        <v>3</v>
      </c>
      <c r="E3099" s="2118" t="n">
        <v>4</v>
      </c>
      <c r="F3099" s="130" t="n"/>
      <c r="G3099" s="1798" t="inlineStr">
        <is>
          <t>REVESTIMENTOS E ACABAMENTOS DE FACHADA</t>
        </is>
      </c>
      <c r="H3099" s="1783" t="inlineStr">
        <is>
          <t>SERVIÇO</t>
        </is>
      </c>
      <c r="I3099" s="1750" t="inlineStr">
        <is>
          <t>21.002.003.004</t>
        </is>
      </c>
      <c r="J3099" s="1785" t="inlineStr">
        <is>
          <t>Mão de obra para aplicação de molduras em paredes externas</t>
        </is>
      </c>
      <c r="K3099" s="1786" t="inlineStr">
        <is>
          <t>m2</t>
        </is>
      </c>
      <c r="L3099" s="1787" t="e">
        <v>#REF!</v>
      </c>
      <c r="M3099" s="1787" t="n">
        <v>120</v>
      </c>
      <c r="N3099" s="1754" t="n"/>
      <c r="O3099" s="1788" t="n"/>
      <c r="P3099" s="1721" t="inlineStr">
        <is>
          <t>Pendente</t>
        </is>
      </c>
    </row>
    <row r="3100" hidden="1" outlineLevel="1" ht="13.9" customHeight="1">
      <c r="A3100" s="2117" t="n">
        <v>0</v>
      </c>
      <c r="B3100" s="2117" t="n">
        <v>21</v>
      </c>
      <c r="C3100" s="2117" t="n">
        <v>3</v>
      </c>
      <c r="D3100" s="2118" t="n">
        <v>0</v>
      </c>
      <c r="E3100" s="2118" t="n">
        <v>4</v>
      </c>
      <c r="F3100" s="130" t="n"/>
      <c r="G3100" s="1796" t="n"/>
      <c r="H3100" s="1771" t="inlineStr">
        <is>
          <t>ETAPA</t>
        </is>
      </c>
      <c r="I3100" s="1735" t="inlineStr">
        <is>
          <t>21.003</t>
        </is>
      </c>
      <c r="J3100" s="1773" t="inlineStr">
        <is>
          <t>REVESTIMENTOS E ACABAMENTOS EM FACHADA - FACHADA POSTERIOR</t>
        </is>
      </c>
      <c r="K3100" s="1774" t="n"/>
      <c r="L3100" s="1775" t="n"/>
      <c r="M3100" s="1775" t="n"/>
      <c r="N3100" s="1739" t="n"/>
      <c r="O3100" s="1776" t="n"/>
      <c r="P3100" s="1725" t="n"/>
    </row>
    <row r="3101" hidden="1" outlineLevel="2" ht="13.9" customHeight="1">
      <c r="A3101" s="2117" t="n">
        <v>0</v>
      </c>
      <c r="B3101" s="2117" t="n">
        <v>21</v>
      </c>
      <c r="C3101" s="2117" t="n">
        <v>3</v>
      </c>
      <c r="D3101" s="2118" t="n">
        <v>1</v>
      </c>
      <c r="E3101" s="2118" t="n">
        <v>0</v>
      </c>
      <c r="F3101" s="130" t="n"/>
      <c r="G3101" s="1797" t="n"/>
      <c r="H3101" s="1777" t="inlineStr">
        <is>
          <t>SUBETAPA</t>
        </is>
      </c>
      <c r="I3101" s="1742" t="inlineStr">
        <is>
          <t>21.003.001</t>
        </is>
      </c>
      <c r="J3101" s="1779" t="inlineStr">
        <is>
          <t>Revestimento argamassado em fachada</t>
        </is>
      </c>
      <c r="K3101" s="1780" t="n"/>
      <c r="L3101" s="1781" t="n"/>
      <c r="M3101" s="1781" t="n"/>
      <c r="N3101" s="1746" t="n"/>
      <c r="O3101" s="1782" t="n"/>
      <c r="P3101" s="1720" t="n"/>
    </row>
    <row r="3102" hidden="1" outlineLevel="3" ht="13.9" customHeight="1">
      <c r="A3102" s="2117" t="n">
        <v>0</v>
      </c>
      <c r="B3102" s="2117" t="n">
        <v>21</v>
      </c>
      <c r="C3102" s="2117" t="n">
        <v>3</v>
      </c>
      <c r="D3102" s="2118" t="n">
        <v>1</v>
      </c>
      <c r="E3102" s="2118" t="n">
        <v>1</v>
      </c>
      <c r="F3102" s="130" t="n"/>
      <c r="G3102" s="1798" t="inlineStr">
        <is>
          <t>REVESTIMENTOS E ACABAMENTOS DE FACHADA</t>
        </is>
      </c>
      <c r="H3102" s="1783" t="inlineStr">
        <is>
          <t>SERVIÇO</t>
        </is>
      </c>
      <c r="I3102" s="1750" t="inlineStr">
        <is>
          <t>21.003.001.001</t>
        </is>
      </c>
      <c r="J3102" s="1785" t="inlineStr">
        <is>
          <t>Chapisco externo de argamassa pré-fabricada adesiva de cimento colante - aplicação rolada em paredes externas</t>
        </is>
      </c>
      <c r="K3102" s="1786" t="inlineStr">
        <is>
          <t>m2</t>
        </is>
      </c>
      <c r="L3102" s="1787" t="e">
        <v>#REF!</v>
      </c>
      <c r="M3102" s="1787" t="n">
        <v>10.11778</v>
      </c>
      <c r="N3102" s="1754" t="n"/>
      <c r="O3102" s="1788" t="n"/>
      <c r="P3102" s="1721" t="inlineStr">
        <is>
          <t>Pendente</t>
        </is>
      </c>
    </row>
    <row r="3103" hidden="1" outlineLevel="3" ht="13.9" customHeight="1">
      <c r="A3103" s="2117" t="n">
        <v>0</v>
      </c>
      <c r="B3103" s="2117" t="n">
        <v>21</v>
      </c>
      <c r="C3103" s="2117" t="n">
        <v>3</v>
      </c>
      <c r="D3103" s="2118" t="n">
        <v>1</v>
      </c>
      <c r="E3103" s="2118" t="n">
        <v>2</v>
      </c>
      <c r="F3103" s="130" t="n"/>
      <c r="G3103" s="1798" t="inlineStr">
        <is>
          <t>REVESTIMENTOS E ACABAMENTOS DE FACHADA</t>
        </is>
      </c>
      <c r="H3103" s="1783" t="inlineStr">
        <is>
          <t>SERVIÇO</t>
        </is>
      </c>
      <c r="I3103" s="1750" t="inlineStr">
        <is>
          <t>21.003.001.002</t>
        </is>
      </c>
      <c r="J3103" s="1785" t="inlineStr">
        <is>
          <t>Chapisco externo de argamassa preparada em obra de cimento e areia - traço 1:4 - aplicação em paredes externas</t>
        </is>
      </c>
      <c r="K3103" s="1786" t="inlineStr">
        <is>
          <t>m2</t>
        </is>
      </c>
      <c r="L3103" s="1787" t="e">
        <v>#REF!</v>
      </c>
      <c r="M3103" s="1787" t="n">
        <v>3.28945</v>
      </c>
      <c r="N3103" s="1754" t="n"/>
      <c r="O3103" s="1788" t="n"/>
      <c r="P3103" s="1721" t="inlineStr">
        <is>
          <t>Pendente</t>
        </is>
      </c>
    </row>
    <row r="3104" hidden="1" outlineLevel="3" ht="13.9" customHeight="1">
      <c r="A3104" s="2117" t="n">
        <v>0</v>
      </c>
      <c r="B3104" s="2117" t="n">
        <v>21</v>
      </c>
      <c r="C3104" s="2117" t="n">
        <v>3</v>
      </c>
      <c r="D3104" s="2118" t="n">
        <v>1</v>
      </c>
      <c r="E3104" s="2118" t="n">
        <v>3</v>
      </c>
      <c r="F3104" s="130" t="n"/>
      <c r="G3104" s="1798" t="inlineStr">
        <is>
          <t>REVESTIMENTOS E ACABAMENTOS DE FACHADA</t>
        </is>
      </c>
      <c r="H3104" s="1783" t="inlineStr">
        <is>
          <t>SERVIÇO</t>
        </is>
      </c>
      <c r="I3104" s="1750" t="inlineStr">
        <is>
          <t>21.003.001.003</t>
        </is>
      </c>
      <c r="J3104" s="1785" t="inlineStr">
        <is>
          <t>Massa unica para reboco externo em argamassa estabilizada, espessura de 2,5cm, com execução desempenado fino</t>
        </is>
      </c>
      <c r="K3104" s="1786" t="inlineStr">
        <is>
          <t>m2</t>
        </is>
      </c>
      <c r="L3104" s="1787" t="e">
        <v>#REF!</v>
      </c>
      <c r="M3104" s="1787" t="n">
        <v>10.89375</v>
      </c>
      <c r="N3104" s="1754" t="n"/>
      <c r="O3104" s="1788" t="n"/>
      <c r="P3104" s="1721" t="inlineStr">
        <is>
          <t>Pendente</t>
        </is>
      </c>
    </row>
    <row r="3105" hidden="1" outlineLevel="2" ht="13.9" customHeight="1">
      <c r="A3105" s="2117" t="n">
        <v>0</v>
      </c>
      <c r="B3105" s="2117" t="n">
        <v>21</v>
      </c>
      <c r="C3105" s="2117" t="n">
        <v>3</v>
      </c>
      <c r="D3105" s="2118" t="n">
        <v>2</v>
      </c>
      <c r="E3105" s="2118" t="n">
        <v>0</v>
      </c>
      <c r="F3105" s="130" t="n"/>
      <c r="G3105" s="1797" t="n"/>
      <c r="H3105" s="1777" t="inlineStr">
        <is>
          <t>SUBETAPA</t>
        </is>
      </c>
      <c r="I3105" s="1742" t="inlineStr">
        <is>
          <t>21.003.002</t>
        </is>
      </c>
      <c r="J3105" s="1779" t="inlineStr">
        <is>
          <t>Pintura e textura em fachada</t>
        </is>
      </c>
      <c r="K3105" s="1780" t="n"/>
      <c r="L3105" s="1781" t="n"/>
      <c r="M3105" s="1781" t="n"/>
      <c r="N3105" s="1746" t="n"/>
      <c r="O3105" s="1782" t="n"/>
      <c r="P3105" s="1720" t="n"/>
    </row>
    <row r="3106" hidden="1" outlineLevel="3" ht="12.75" customHeight="1">
      <c r="A3106" s="2117" t="n">
        <v>0</v>
      </c>
      <c r="B3106" s="2117" t="n">
        <v>21</v>
      </c>
      <c r="C3106" s="2117" t="n">
        <v>3</v>
      </c>
      <c r="D3106" s="2118" t="n">
        <v>2</v>
      </c>
      <c r="E3106" s="2118" t="n">
        <v>1</v>
      </c>
      <c r="F3106" s="130" t="n"/>
      <c r="G3106" s="1798" t="inlineStr">
        <is>
          <t>REVESTIMENTOS E ACABAMENTOS DE FACHADA</t>
        </is>
      </c>
      <c r="H3106" s="1783" t="inlineStr">
        <is>
          <t>SERVIÇO</t>
        </is>
      </c>
      <c r="I3106" s="1750" t="inlineStr">
        <is>
          <t>21.003.002.001</t>
        </is>
      </c>
      <c r="J3106" s="1785" t="inlineStr">
        <is>
          <t xml:space="preserve">Textura acrílica com selador, aplicação em paredes externas, 1 demão - Textura Terracal / Marca: Terracor </t>
        </is>
      </c>
      <c r="K3106" s="1786" t="inlineStr">
        <is>
          <t>m2</t>
        </is>
      </c>
      <c r="L3106" s="1787" t="e">
        <v>#REF!</v>
      </c>
      <c r="M3106" s="1787" t="n">
        <v>68.50855555555556</v>
      </c>
      <c r="N3106" s="1754" t="n"/>
      <c r="O3106" s="1788" t="n"/>
      <c r="P3106" s="1721" t="inlineStr">
        <is>
          <t>Pendente</t>
        </is>
      </c>
    </row>
    <row r="3107" hidden="1" outlineLevel="2" ht="13.9" customHeight="1">
      <c r="A3107" s="2117" t="n">
        <v>0</v>
      </c>
      <c r="B3107" s="2117" t="n">
        <v>21</v>
      </c>
      <c r="C3107" s="2117" t="n">
        <v>3</v>
      </c>
      <c r="D3107" s="2118" t="n">
        <v>3</v>
      </c>
      <c r="E3107" s="2118" t="n">
        <v>0</v>
      </c>
      <c r="F3107" s="130" t="n"/>
      <c r="G3107" s="1797" t="n"/>
      <c r="H3107" s="1777" t="inlineStr">
        <is>
          <t>SUBETAPA</t>
        </is>
      </c>
      <c r="I3107" s="1742" t="inlineStr">
        <is>
          <t>21.003.003</t>
        </is>
      </c>
      <c r="J3107" s="1779" t="inlineStr">
        <is>
          <t>Acabamentos especiais em fachada</t>
        </is>
      </c>
      <c r="K3107" s="1780" t="n"/>
      <c r="L3107" s="1781" t="n"/>
      <c r="M3107" s="1781" t="n"/>
      <c r="N3107" s="1746" t="n"/>
      <c r="O3107" s="1782" t="n"/>
      <c r="P3107" s="1720" t="n"/>
    </row>
    <row r="3108" hidden="1" outlineLevel="3" ht="13.9" customHeight="1">
      <c r="A3108" s="2117" t="n">
        <v>0</v>
      </c>
      <c r="B3108" s="2117" t="n">
        <v>21</v>
      </c>
      <c r="C3108" s="2117" t="n">
        <v>3</v>
      </c>
      <c r="D3108" s="2118" t="n">
        <v>3</v>
      </c>
      <c r="E3108" s="2118" t="n">
        <v>1</v>
      </c>
      <c r="F3108" s="130" t="n"/>
      <c r="G3108" s="1798" t="inlineStr">
        <is>
          <t>REVESTIMENTOS E ACABAMENTOS DE FACHADA</t>
        </is>
      </c>
      <c r="H3108" s="1783" t="inlineStr">
        <is>
          <t>SERVIÇO</t>
        </is>
      </c>
      <c r="I3108" s="1750" t="inlineStr">
        <is>
          <t>21.003.003.001</t>
        </is>
      </c>
      <c r="J3108" s="1785" t="inlineStr">
        <is>
          <t>Revestimento de Cerâmica extrudada Brick Tile, 60x15cm ventilado, com toda a estrutura - Material e Mão de Obra</t>
        </is>
      </c>
      <c r="K3108" s="1786" t="inlineStr">
        <is>
          <t>m2</t>
        </is>
      </c>
      <c r="L3108" s="1787" t="e">
        <v>#REF!</v>
      </c>
      <c r="M3108" s="1787" t="n">
        <v>1102</v>
      </c>
      <c r="N3108" s="1754" t="n"/>
      <c r="O3108" s="1788" t="n"/>
      <c r="P3108" s="1721" t="inlineStr">
        <is>
          <t>Pendente</t>
        </is>
      </c>
    </row>
    <row r="3109" hidden="1" outlineLevel="3" ht="13.9" customHeight="1">
      <c r="A3109" s="2117" t="n">
        <v>0</v>
      </c>
      <c r="B3109" s="2117" t="n">
        <v>21</v>
      </c>
      <c r="C3109" s="2117" t="n">
        <v>3</v>
      </c>
      <c r="D3109" s="2118" t="n">
        <v>3</v>
      </c>
      <c r="E3109" s="2118" t="n">
        <v>2</v>
      </c>
      <c r="F3109" s="130" t="n"/>
      <c r="G3109" s="1798" t="inlineStr">
        <is>
          <t>REVESTIMENTOS E ACABAMENTOS DE FACHADA</t>
        </is>
      </c>
      <c r="H3109" s="1783" t="inlineStr">
        <is>
          <t>SERVIÇO</t>
        </is>
      </c>
      <c r="I3109" s="1750" t="inlineStr">
        <is>
          <t>21.003.003.002</t>
        </is>
      </c>
      <c r="J3109" s="1785" t="inlineStr">
        <is>
          <t>Moldura de fachada, com revestimento externo de Cerâmica extrudada Brick Tile, 60x15cm, com Junta de 2mm e largura de 30 cm</t>
        </is>
      </c>
      <c r="K3109" s="1786" t="inlineStr">
        <is>
          <t>m</t>
        </is>
      </c>
      <c r="L3109" s="1787" t="e">
        <v>#REF!</v>
      </c>
      <c r="M3109" s="1787" t="n">
        <v>211.4773754545455</v>
      </c>
      <c r="N3109" s="1754" t="n"/>
      <c r="O3109" s="1788" t="n"/>
      <c r="P3109" s="1721" t="inlineStr">
        <is>
          <t>Pendente</t>
        </is>
      </c>
    </row>
    <row r="3110" hidden="1" outlineLevel="3" ht="13.9" customHeight="1">
      <c r="A3110" s="2117" t="n">
        <v>0</v>
      </c>
      <c r="B3110" s="2117" t="n">
        <v>21</v>
      </c>
      <c r="C3110" s="2117" t="n">
        <v>3</v>
      </c>
      <c r="D3110" s="2118" t="n">
        <v>3</v>
      </c>
      <c r="E3110" s="2118" t="n">
        <v>3</v>
      </c>
      <c r="F3110" s="130" t="n"/>
      <c r="G3110" s="1798" t="inlineStr">
        <is>
          <t>REVESTIMENTOS E ACABAMENTOS DE FACHADA</t>
        </is>
      </c>
      <c r="H3110" s="1783" t="inlineStr">
        <is>
          <t>SERVIÇO</t>
        </is>
      </c>
      <c r="I3110" s="1750" t="inlineStr">
        <is>
          <t>21.003.003.003</t>
        </is>
      </c>
      <c r="J3110" s="1785" t="inlineStr">
        <is>
          <t>Moldura de fachada, com revestimento de pastilha azul (OM15645 – 7,5x7,5), com largura de  30 cm - atlas</t>
        </is>
      </c>
      <c r="K3110" s="1786" t="inlineStr">
        <is>
          <t>m</t>
        </is>
      </c>
      <c r="L3110" s="1787" t="e">
        <v>#REF!</v>
      </c>
      <c r="M3110" s="1787" t="n">
        <v>150.3801854545455</v>
      </c>
      <c r="N3110" s="1754" t="n"/>
      <c r="O3110" s="1788" t="n"/>
      <c r="P3110" s="1721" t="inlineStr">
        <is>
          <t>Pendente</t>
        </is>
      </c>
    </row>
    <row r="3111" hidden="1" outlineLevel="3" ht="13.9" customHeight="1">
      <c r="A3111" s="2117" t="n">
        <v>0</v>
      </c>
      <c r="B3111" s="2117" t="n">
        <v>21</v>
      </c>
      <c r="C3111" s="2117" t="n">
        <v>3</v>
      </c>
      <c r="D3111" s="2118" t="n">
        <v>3</v>
      </c>
      <c r="E3111" s="2118" t="n">
        <v>4</v>
      </c>
      <c r="F3111" s="130" t="n"/>
      <c r="G3111" s="1798" t="inlineStr">
        <is>
          <t>REVESTIMENTOS E ACABAMENTOS DE FACHADA</t>
        </is>
      </c>
      <c r="H3111" s="1783" t="inlineStr">
        <is>
          <t>SERVIÇO</t>
        </is>
      </c>
      <c r="I3111" s="1750" t="inlineStr">
        <is>
          <t>21.003.003.004</t>
        </is>
      </c>
      <c r="J3111" s="1785" t="inlineStr">
        <is>
          <t>Revestimento externo de Cerâmica extrudada Brick Tile, 60x15cm com Junta de 2mm</t>
        </is>
      </c>
      <c r="K3111" s="1786" t="inlineStr">
        <is>
          <t>m2</t>
        </is>
      </c>
      <c r="L3111" s="1787" t="e">
        <v>#REF!</v>
      </c>
      <c r="M3111" s="1787" t="n">
        <v>443.2856</v>
      </c>
      <c r="N3111" s="1754" t="n"/>
      <c r="O3111" s="1788" t="n"/>
      <c r="P3111" s="1721" t="inlineStr">
        <is>
          <t>Pendente</t>
        </is>
      </c>
    </row>
    <row r="3112" hidden="1" outlineLevel="3" ht="13.9" customHeight="1">
      <c r="A3112" s="2117" t="n">
        <v>0</v>
      </c>
      <c r="B3112" s="2117" t="n">
        <v>21</v>
      </c>
      <c r="C3112" s="2117" t="n">
        <v>3</v>
      </c>
      <c r="D3112" s="2118" t="n">
        <v>3</v>
      </c>
      <c r="E3112" s="2118" t="n">
        <v>5</v>
      </c>
      <c r="F3112" s="130" t="n"/>
      <c r="G3112" s="1798" t="inlineStr">
        <is>
          <t>REVESTIMENTOS E ACABAMENTOS DE FACHADA</t>
        </is>
      </c>
      <c r="H3112" s="1783" t="inlineStr">
        <is>
          <t>SERVIÇO</t>
        </is>
      </c>
      <c r="I3112" s="1750" t="inlineStr">
        <is>
          <t>21.003.003.005</t>
        </is>
      </c>
      <c r="J3112" s="1785" t="inlineStr">
        <is>
          <t>Revestimento de Porcelanato Kyoto 120x60 cm ventilado, com toda a estrutura - Material e Mão de Obra</t>
        </is>
      </c>
      <c r="K3112" s="1786" t="inlineStr">
        <is>
          <t>m2</t>
        </is>
      </c>
      <c r="L3112" s="1787" t="e">
        <v>#REF!</v>
      </c>
      <c r="M3112" s="1787" t="n">
        <v>807.74</v>
      </c>
      <c r="N3112" s="1754" t="n"/>
      <c r="O3112" s="1788" t="n"/>
      <c r="P3112" s="1721" t="inlineStr">
        <is>
          <t>Pendente</t>
        </is>
      </c>
    </row>
    <row r="3113" hidden="1" outlineLevel="3" ht="13.9" customHeight="1">
      <c r="A3113" s="2117" t="n">
        <v>0</v>
      </c>
      <c r="B3113" s="2117" t="n">
        <v>21</v>
      </c>
      <c r="C3113" s="2117" t="n">
        <v>3</v>
      </c>
      <c r="D3113" s="2118" t="n">
        <v>3</v>
      </c>
      <c r="E3113" s="2118" t="n">
        <v>6</v>
      </c>
      <c r="F3113" s="130" t="n"/>
      <c r="G3113" s="1798" t="inlineStr">
        <is>
          <t>REVESTIMENTOS E ACABAMENTOS DE FACHADA</t>
        </is>
      </c>
      <c r="H3113" s="1783" t="inlineStr">
        <is>
          <t>SERVIÇO</t>
        </is>
      </c>
      <c r="I3113" s="1750" t="inlineStr">
        <is>
          <t>21.003.003.006</t>
        </is>
      </c>
      <c r="J3113" s="1785" t="inlineStr">
        <is>
          <t>Revestimento externo de porcelanato painel kyoto, 60 x120cm com Junta de 2mm</t>
        </is>
      </c>
      <c r="K3113" s="1786" t="inlineStr">
        <is>
          <t>m2</t>
        </is>
      </c>
      <c r="L3113" s="1787" t="e">
        <v>#REF!</v>
      </c>
      <c r="M3113" s="1787" t="n">
        <v>172.0256</v>
      </c>
      <c r="N3113" s="1754" t="n"/>
      <c r="O3113" s="1788" t="inlineStr">
        <is>
          <t>"Teto" da moldura</t>
        </is>
      </c>
      <c r="P3113" s="1721" t="inlineStr">
        <is>
          <t>Pendente</t>
        </is>
      </c>
    </row>
    <row r="3114" hidden="1" outlineLevel="3" ht="13.9" customHeight="1">
      <c r="A3114" s="2117" t="n">
        <v>0</v>
      </c>
      <c r="B3114" s="2117" t="n">
        <v>21</v>
      </c>
      <c r="C3114" s="2117" t="n">
        <v>3</v>
      </c>
      <c r="D3114" s="2118" t="n">
        <v>3</v>
      </c>
      <c r="E3114" s="2118" t="n">
        <v>7</v>
      </c>
      <c r="F3114" s="130" t="n"/>
      <c r="G3114" s="1798" t="inlineStr">
        <is>
          <t>REVESTIMENTOS E ACABAMENTOS DE FACHADA</t>
        </is>
      </c>
      <c r="H3114" s="1783" t="inlineStr">
        <is>
          <t>SERVIÇO</t>
        </is>
      </c>
      <c r="I3114" s="1750" t="inlineStr">
        <is>
          <t>21.003.003.007</t>
        </is>
      </c>
      <c r="J3114" s="1785" t="inlineStr">
        <is>
          <t>Moldura de fachada, com revestimento externo de porcelanato painel kyoto, 60 x120cm com Junta de 2mm e largura de 30 cm</t>
        </is>
      </c>
      <c r="K3114" s="1786" t="inlineStr">
        <is>
          <t>m</t>
        </is>
      </c>
      <c r="L3114" s="1787" t="e">
        <v>#REF!</v>
      </c>
      <c r="M3114" s="1787" t="n">
        <v>130.0993754545455</v>
      </c>
      <c r="N3114" s="1754" t="n"/>
      <c r="O3114" s="1788" t="inlineStr">
        <is>
          <t>Torre</t>
        </is>
      </c>
      <c r="P3114" s="1721" t="inlineStr">
        <is>
          <t>Pendente</t>
        </is>
      </c>
    </row>
    <row r="3115" hidden="1" outlineLevel="3" ht="13.9" customHeight="1">
      <c r="A3115" s="2117" t="n">
        <v>0</v>
      </c>
      <c r="B3115" s="2117" t="n">
        <v>21</v>
      </c>
      <c r="C3115" s="2117" t="n">
        <v>3</v>
      </c>
      <c r="D3115" s="2118" t="n">
        <v>3</v>
      </c>
      <c r="E3115" s="2118" t="n">
        <v>8</v>
      </c>
      <c r="F3115" s="130" t="n"/>
      <c r="G3115" s="1798" t="inlineStr">
        <is>
          <t>REVESTIMENTOS E ACABAMENTOS DE FACHADA</t>
        </is>
      </c>
      <c r="H3115" s="1783" t="inlineStr">
        <is>
          <t>SERVIÇO</t>
        </is>
      </c>
      <c r="I3115" s="1750" t="inlineStr">
        <is>
          <t>21.003.003.008</t>
        </is>
      </c>
      <c r="J3115" s="1785" t="inlineStr">
        <is>
          <t>Revestimento de pastilha azul (OM15645 – 20x20) - atlas</t>
        </is>
      </c>
      <c r="K3115" s="1786" t="inlineStr">
        <is>
          <t>m2</t>
        </is>
      </c>
      <c r="L3115" s="1787" t="e">
        <v>#REF!</v>
      </c>
      <c r="M3115" s="1787" t="n">
        <v>164.302</v>
      </c>
      <c r="N3115" s="1754" t="n"/>
      <c r="O3115" s="1788" t="n"/>
      <c r="P3115" s="1721" t="inlineStr">
        <is>
          <t>Pendente</t>
        </is>
      </c>
    </row>
    <row r="3116" hidden="1" outlineLevel="3" ht="13.9" customHeight="1">
      <c r="A3116" s="2117" t="n">
        <v>0</v>
      </c>
      <c r="B3116" s="2117" t="n">
        <v>21</v>
      </c>
      <c r="C3116" s="2117" t="n">
        <v>3</v>
      </c>
      <c r="D3116" s="2118" t="n">
        <v>3</v>
      </c>
      <c r="E3116" s="2118" t="n">
        <v>9</v>
      </c>
      <c r="F3116" s="130" t="n"/>
      <c r="G3116" s="1798" t="inlineStr">
        <is>
          <t>REVESTIMENTOS E ACABAMENTOS DE FACHADA</t>
        </is>
      </c>
      <c r="H3116" s="1783" t="inlineStr">
        <is>
          <t>SERVIÇO</t>
        </is>
      </c>
      <c r="I3116" s="1750" t="inlineStr">
        <is>
          <t>21.003.003.009</t>
        </is>
      </c>
      <c r="J3116" s="1785" t="inlineStr">
        <is>
          <t>Revestimento externo em Ladrilho Hidráulico 10x10cm - Cor: laranja e off-white - Marca: Ladrilar, com junta de 2 cm e rejunte acrilico cinza platina</t>
        </is>
      </c>
      <c r="K3116" s="1786" t="inlineStr">
        <is>
          <t>m2</t>
        </is>
      </c>
      <c r="L3116" s="1787" t="e">
        <v>#REF!</v>
      </c>
      <c r="M3116" s="1787" t="n">
        <v>450.239275</v>
      </c>
      <c r="N3116" s="1754" t="n"/>
      <c r="O3116" s="1788" t="n"/>
      <c r="P3116" s="1721" t="inlineStr">
        <is>
          <t>Pendente</t>
        </is>
      </c>
    </row>
    <row r="3117" hidden="1" outlineLevel="2" ht="13.9" customHeight="1">
      <c r="A3117" s="2117" t="n">
        <v>0</v>
      </c>
      <c r="B3117" s="2117" t="n">
        <v>21</v>
      </c>
      <c r="C3117" s="2117" t="n">
        <v>3</v>
      </c>
      <c r="D3117" s="2118" t="n">
        <v>4</v>
      </c>
      <c r="E3117" s="2118" t="n">
        <v>0</v>
      </c>
      <c r="F3117" s="130" t="n"/>
      <c r="G3117" s="1797" t="n"/>
      <c r="H3117" s="1777" t="inlineStr">
        <is>
          <t>SUBETAPA</t>
        </is>
      </c>
      <c r="I3117" s="1742" t="inlineStr">
        <is>
          <t>21.003.004</t>
        </is>
      </c>
      <c r="J3117" s="1779" t="inlineStr">
        <is>
          <t>Mão de obra - Revestimentos</t>
        </is>
      </c>
      <c r="K3117" s="1780" t="n"/>
      <c r="L3117" s="1781" t="n"/>
      <c r="M3117" s="1781" t="n"/>
      <c r="N3117" s="1746" t="n"/>
      <c r="O3117" s="1782" t="n"/>
      <c r="P3117" s="1720" t="n"/>
    </row>
    <row r="3118" hidden="1" outlineLevel="3" ht="13.9" customHeight="1">
      <c r="A3118" s="2117" t="n">
        <v>0</v>
      </c>
      <c r="B3118" s="2117" t="n">
        <v>21</v>
      </c>
      <c r="C3118" s="2117" t="n">
        <v>3</v>
      </c>
      <c r="D3118" s="2118" t="n">
        <v>4</v>
      </c>
      <c r="E3118" s="2118" t="n">
        <v>1</v>
      </c>
      <c r="F3118" s="130" t="n"/>
      <c r="G3118" s="1798" t="inlineStr">
        <is>
          <t>REVESTIMENTOS E ACABAMENTOS DE FACHADA</t>
        </is>
      </c>
      <c r="H3118" s="1783" t="inlineStr">
        <is>
          <t>SERVIÇO</t>
        </is>
      </c>
      <c r="I3118" s="1750" t="inlineStr">
        <is>
          <t>21.003.004.001</t>
        </is>
      </c>
      <c r="J3118" s="1785" t="inlineStr">
        <is>
          <t>Mao de obra para reboco externo - inclui chapisco</t>
        </is>
      </c>
      <c r="K3118" s="1786" t="inlineStr">
        <is>
          <t>m2</t>
        </is>
      </c>
      <c r="L3118" s="1787" t="e">
        <v>#REF!</v>
      </c>
      <c r="M3118" s="1787" t="n">
        <v>62</v>
      </c>
      <c r="N3118" s="1754" t="n"/>
      <c r="O3118" s="1788" t="n"/>
      <c r="P3118" s="1721" t="inlineStr">
        <is>
          <t>Pendente</t>
        </is>
      </c>
    </row>
    <row r="3119" hidden="1" outlineLevel="3" ht="13.9" customHeight="1">
      <c r="A3119" s="2117" t="n">
        <v>0</v>
      </c>
      <c r="B3119" s="2117" t="n">
        <v>21</v>
      </c>
      <c r="C3119" s="2117" t="n">
        <v>3</v>
      </c>
      <c r="D3119" s="2118" t="n">
        <v>4</v>
      </c>
      <c r="E3119" s="2118" t="n">
        <v>2</v>
      </c>
      <c r="F3119" s="130" t="n"/>
      <c r="G3119" s="1798" t="inlineStr">
        <is>
          <t>REVESTIMENTOS E ACABAMENTOS DE FACHADA</t>
        </is>
      </c>
      <c r="H3119" s="1783" t="inlineStr">
        <is>
          <t>SERVIÇO</t>
        </is>
      </c>
      <c r="I3119" s="1750" t="inlineStr">
        <is>
          <t>21.003.004.002</t>
        </is>
      </c>
      <c r="J3119" s="1785" t="inlineStr">
        <is>
          <t>Mão de obra para aplicação de Pastilhas em paredes externas</t>
        </is>
      </c>
      <c r="K3119" s="1786" t="inlineStr">
        <is>
          <t>m2</t>
        </is>
      </c>
      <c r="L3119" s="1787" t="e">
        <v>#REF!</v>
      </c>
      <c r="M3119" s="1787" t="n">
        <v>95</v>
      </c>
      <c r="N3119" s="1754" t="n"/>
      <c r="O3119" s="1788" t="n"/>
      <c r="P3119" s="1721" t="inlineStr">
        <is>
          <t>Pendente</t>
        </is>
      </c>
    </row>
    <row r="3120" hidden="1" outlineLevel="3" ht="13.9" customHeight="1">
      <c r="A3120" s="2117" t="n">
        <v>0</v>
      </c>
      <c r="B3120" s="2117" t="n">
        <v>21</v>
      </c>
      <c r="C3120" s="2117" t="n">
        <v>3</v>
      </c>
      <c r="D3120" s="2118" t="n">
        <v>4</v>
      </c>
      <c r="E3120" s="2118" t="n">
        <v>3</v>
      </c>
      <c r="F3120" s="130" t="n"/>
      <c r="G3120" s="1798" t="inlineStr">
        <is>
          <t>REVESTIMENTOS E ACABAMENTOS DE FACHADA</t>
        </is>
      </c>
      <c r="H3120" s="1783" t="inlineStr">
        <is>
          <t>SERVIÇO</t>
        </is>
      </c>
      <c r="I3120" s="1750" t="inlineStr">
        <is>
          <t>21.003.004.003</t>
        </is>
      </c>
      <c r="J3120" s="1785" t="inlineStr">
        <is>
          <t>Mão de obra para aplicação de Porcelanato em paredes externas</t>
        </is>
      </c>
      <c r="K3120" s="1786" t="inlineStr">
        <is>
          <t>m2</t>
        </is>
      </c>
      <c r="L3120" s="1787" t="e">
        <v>#REF!</v>
      </c>
      <c r="M3120" s="1787" t="n">
        <v>85</v>
      </c>
      <c r="N3120" s="1754" t="n"/>
      <c r="O3120" s="1788" t="n"/>
      <c r="P3120" s="1721" t="inlineStr">
        <is>
          <t>Pendente</t>
        </is>
      </c>
    </row>
    <row r="3121" hidden="1" outlineLevel="3" ht="13.9" customHeight="1">
      <c r="A3121" s="2117" t="n">
        <v>0</v>
      </c>
      <c r="B3121" s="2117" t="n">
        <v>21</v>
      </c>
      <c r="C3121" s="2117" t="n">
        <v>3</v>
      </c>
      <c r="D3121" s="2118" t="n">
        <v>4</v>
      </c>
      <c r="E3121" s="2118" t="n">
        <v>4</v>
      </c>
      <c r="F3121" s="130" t="n"/>
      <c r="G3121" s="1798" t="inlineStr">
        <is>
          <t>REVESTIMENTOS E ACABAMENTOS DE FACHADA</t>
        </is>
      </c>
      <c r="H3121" s="1783" t="inlineStr">
        <is>
          <t>SERVIÇO</t>
        </is>
      </c>
      <c r="I3121" s="1750" t="inlineStr">
        <is>
          <t>21.003.004.004</t>
        </is>
      </c>
      <c r="J3121" s="1785" t="inlineStr">
        <is>
          <t>Mão de obra para aplicação de molduras em paredes externas</t>
        </is>
      </c>
      <c r="K3121" s="1786" t="inlineStr">
        <is>
          <t>m2</t>
        </is>
      </c>
      <c r="L3121" s="1787" t="e">
        <v>#REF!</v>
      </c>
      <c r="M3121" s="1787" t="n">
        <v>120</v>
      </c>
      <c r="N3121" s="1754" t="n"/>
      <c r="O3121" s="1788" t="n"/>
      <c r="P3121" s="1721" t="inlineStr">
        <is>
          <t>Pendente</t>
        </is>
      </c>
    </row>
    <row r="3122" hidden="1" outlineLevel="3" ht="13.9" customHeight="1">
      <c r="A3122" s="2117" t="n">
        <v>0</v>
      </c>
      <c r="B3122" s="2117" t="n">
        <v>21</v>
      </c>
      <c r="C3122" s="2117" t="n">
        <v>3</v>
      </c>
      <c r="D3122" s="2118" t="n">
        <v>4</v>
      </c>
      <c r="E3122" s="2118" t="n">
        <v>5</v>
      </c>
      <c r="F3122" s="130" t="n"/>
      <c r="G3122" s="1798" t="inlineStr">
        <is>
          <t>REVESTIMENTOS E ACABAMENTOS DE FACHADA</t>
        </is>
      </c>
      <c r="H3122" s="1783" t="inlineStr">
        <is>
          <t>SERVIÇO</t>
        </is>
      </c>
      <c r="I3122" s="1750" t="inlineStr">
        <is>
          <t>21.003.004.005</t>
        </is>
      </c>
      <c r="J3122" s="1785" t="inlineStr">
        <is>
          <t>Mão de obra para aplicação de textura em paredes externas - 1 demão</t>
        </is>
      </c>
      <c r="K3122" s="1786" t="inlineStr">
        <is>
          <t>m2</t>
        </is>
      </c>
      <c r="L3122" s="1787" t="e">
        <v>#REF!</v>
      </c>
      <c r="M3122" s="1787" t="n">
        <v>58</v>
      </c>
      <c r="N3122" s="1754" t="n"/>
      <c r="O3122" s="1788" t="n"/>
      <c r="P3122" s="1721" t="inlineStr">
        <is>
          <t>Pendente</t>
        </is>
      </c>
    </row>
    <row r="3123" hidden="1" outlineLevel="1" ht="13.9" customHeight="1">
      <c r="A3123" s="2117" t="n">
        <v>0</v>
      </c>
      <c r="B3123" s="2117" t="n">
        <v>21</v>
      </c>
      <c r="C3123" s="2117" t="n">
        <v>4</v>
      </c>
      <c r="D3123" s="2118" t="n">
        <v>0</v>
      </c>
      <c r="E3123" s="2118" t="n">
        <v>5</v>
      </c>
      <c r="F3123" s="130" t="n"/>
      <c r="G3123" s="1796" t="n"/>
      <c r="H3123" s="1771" t="inlineStr">
        <is>
          <t>ETAPA</t>
        </is>
      </c>
      <c r="I3123" s="1735" t="inlineStr">
        <is>
          <t>21.004</t>
        </is>
      </c>
      <c r="J3123" s="1773" t="inlineStr">
        <is>
          <t>REVESTIMENTOS E ACABAMENTOS EM FACHADA - FACHADA ESQUERDA</t>
        </is>
      </c>
      <c r="K3123" s="1774" t="n"/>
      <c r="L3123" s="1775" t="n"/>
      <c r="M3123" s="1775" t="n"/>
      <c r="N3123" s="1739" t="n"/>
      <c r="O3123" s="1776" t="n"/>
      <c r="P3123" s="1725" t="n"/>
    </row>
    <row r="3124" hidden="1" outlineLevel="2" ht="13.9" customHeight="1">
      <c r="A3124" s="2117" t="n">
        <v>0</v>
      </c>
      <c r="B3124" s="2117" t="n">
        <v>21</v>
      </c>
      <c r="C3124" s="2117" t="n">
        <v>4</v>
      </c>
      <c r="D3124" s="2118" t="n">
        <v>1</v>
      </c>
      <c r="E3124" s="2118" t="n">
        <v>0</v>
      </c>
      <c r="F3124" s="130" t="n"/>
      <c r="G3124" s="1797" t="n"/>
      <c r="H3124" s="1777" t="inlineStr">
        <is>
          <t>SUBETAPA</t>
        </is>
      </c>
      <c r="I3124" s="1742" t="inlineStr">
        <is>
          <t>21.004.001</t>
        </is>
      </c>
      <c r="J3124" s="1779" t="inlineStr">
        <is>
          <t>Revestimento argamassado em fachada</t>
        </is>
      </c>
      <c r="K3124" s="1780" t="n"/>
      <c r="L3124" s="1781" t="n"/>
      <c r="M3124" s="1781" t="n"/>
      <c r="N3124" s="1746" t="n"/>
      <c r="O3124" s="1782" t="n"/>
      <c r="P3124" s="1720" t="n"/>
    </row>
    <row r="3125" hidden="1" outlineLevel="3" ht="13.9" customHeight="1">
      <c r="A3125" s="2117" t="n">
        <v>0</v>
      </c>
      <c r="B3125" s="2117" t="n">
        <v>21</v>
      </c>
      <c r="C3125" s="2117" t="n">
        <v>4</v>
      </c>
      <c r="D3125" s="2118" t="n">
        <v>1</v>
      </c>
      <c r="E3125" s="2118" t="n">
        <v>1</v>
      </c>
      <c r="F3125" s="130" t="n"/>
      <c r="G3125" s="1798" t="inlineStr">
        <is>
          <t>REVESTIMENTOS E ACABAMENTOS DE FACHADA</t>
        </is>
      </c>
      <c r="H3125" s="1783" t="inlineStr">
        <is>
          <t>SERVIÇO</t>
        </is>
      </c>
      <c r="I3125" s="1750" t="inlineStr">
        <is>
          <t>21.004.001.001</t>
        </is>
      </c>
      <c r="J3125" s="1785" t="inlineStr">
        <is>
          <t>Chapisco externo de argamassa pré-fabricada adesiva de cimento colante - aplicação rolada em paredes externas</t>
        </is>
      </c>
      <c r="K3125" s="1786" t="inlineStr">
        <is>
          <t>m2</t>
        </is>
      </c>
      <c r="L3125" s="1787" t="e">
        <v>#REF!</v>
      </c>
      <c r="M3125" s="1787" t="n">
        <v>10.11778</v>
      </c>
      <c r="N3125" s="1754" t="n"/>
      <c r="O3125" s="1788" t="n"/>
      <c r="P3125" s="1721" t="inlineStr">
        <is>
          <t>Pendente</t>
        </is>
      </c>
    </row>
    <row r="3126" hidden="1" outlineLevel="3" ht="13.9" customHeight="1">
      <c r="A3126" s="2117" t="n">
        <v>0</v>
      </c>
      <c r="B3126" s="2117" t="n">
        <v>21</v>
      </c>
      <c r="C3126" s="2117" t="n">
        <v>4</v>
      </c>
      <c r="D3126" s="2118" t="n">
        <v>1</v>
      </c>
      <c r="E3126" s="2118" t="n">
        <v>2</v>
      </c>
      <c r="F3126" s="130" t="n"/>
      <c r="G3126" s="1798" t="inlineStr">
        <is>
          <t>REVESTIMENTOS E ACABAMENTOS DE FACHADA</t>
        </is>
      </c>
      <c r="H3126" s="1783" t="inlineStr">
        <is>
          <t>SERVIÇO</t>
        </is>
      </c>
      <c r="I3126" s="1750" t="inlineStr">
        <is>
          <t>21.004.001.002</t>
        </is>
      </c>
      <c r="J3126" s="1785" t="inlineStr">
        <is>
          <t>Chapisco externo de argamassa preparada em obra de cimento e areia - traço 1:4 - aplicação em paredes externas</t>
        </is>
      </c>
      <c r="K3126" s="1786" t="inlineStr">
        <is>
          <t>m2</t>
        </is>
      </c>
      <c r="L3126" s="1787" t="e">
        <v>#REF!</v>
      </c>
      <c r="M3126" s="1787" t="n">
        <v>3.28945</v>
      </c>
      <c r="N3126" s="1754" t="n"/>
      <c r="O3126" s="1788" t="n"/>
      <c r="P3126" s="1721" t="inlineStr">
        <is>
          <t>Pendente</t>
        </is>
      </c>
    </row>
    <row r="3127" hidden="1" outlineLevel="3" ht="13.9" customHeight="1">
      <c r="A3127" s="2117" t="n">
        <v>0</v>
      </c>
      <c r="B3127" s="2117" t="n">
        <v>21</v>
      </c>
      <c r="C3127" s="2117" t="n">
        <v>4</v>
      </c>
      <c r="D3127" s="2118" t="n">
        <v>1</v>
      </c>
      <c r="E3127" s="2118" t="n">
        <v>3</v>
      </c>
      <c r="F3127" s="130" t="n"/>
      <c r="G3127" s="1798" t="inlineStr">
        <is>
          <t>REVESTIMENTOS E ACABAMENTOS DE FACHADA</t>
        </is>
      </c>
      <c r="H3127" s="1783" t="inlineStr">
        <is>
          <t>SERVIÇO</t>
        </is>
      </c>
      <c r="I3127" s="1750" t="inlineStr">
        <is>
          <t>21.004.001.003</t>
        </is>
      </c>
      <c r="J3127" s="1785" t="inlineStr">
        <is>
          <t>Massa unica para reboco externo em argamassa estabilizada, espessura de 2,5cm, com execução desempenado fino</t>
        </is>
      </c>
      <c r="K3127" s="1786" t="inlineStr">
        <is>
          <t>m2</t>
        </is>
      </c>
      <c r="L3127" s="1787" t="e">
        <v>#REF!</v>
      </c>
      <c r="M3127" s="1787" t="n">
        <v>10.89375</v>
      </c>
      <c r="N3127" s="1754" t="n"/>
      <c r="O3127" s="1788" t="n"/>
      <c r="P3127" s="1721" t="inlineStr">
        <is>
          <t>Pendente</t>
        </is>
      </c>
    </row>
    <row r="3128" hidden="1" outlineLevel="2" ht="13.9" customHeight="1">
      <c r="A3128" s="2117" t="n">
        <v>0</v>
      </c>
      <c r="B3128" s="2117" t="n">
        <v>21</v>
      </c>
      <c r="C3128" s="2117" t="n">
        <v>4</v>
      </c>
      <c r="D3128" s="2118" t="n">
        <v>2</v>
      </c>
      <c r="E3128" s="2118" t="n">
        <v>0</v>
      </c>
      <c r="F3128" s="130" t="n"/>
      <c r="G3128" s="1797" t="n"/>
      <c r="H3128" s="1777" t="inlineStr">
        <is>
          <t>SUBETAPA</t>
        </is>
      </c>
      <c r="I3128" s="1742" t="inlineStr">
        <is>
          <t>21.004.002</t>
        </is>
      </c>
      <c r="J3128" s="1779" t="inlineStr">
        <is>
          <t>Pintura e textura em fachada</t>
        </is>
      </c>
      <c r="K3128" s="1780" t="n"/>
      <c r="L3128" s="1781" t="n"/>
      <c r="M3128" s="1781" t="n"/>
      <c r="N3128" s="1746" t="n"/>
      <c r="O3128" s="1782" t="n"/>
      <c r="P3128" s="1720" t="n"/>
    </row>
    <row r="3129" hidden="1" outlineLevel="3" ht="12.75" customHeight="1">
      <c r="A3129" s="2117" t="n">
        <v>0</v>
      </c>
      <c r="B3129" s="2117" t="n">
        <v>21</v>
      </c>
      <c r="C3129" s="2117" t="n">
        <v>4</v>
      </c>
      <c r="D3129" s="2118" t="n">
        <v>2</v>
      </c>
      <c r="E3129" s="2118" t="n">
        <v>1</v>
      </c>
      <c r="F3129" s="130" t="n"/>
      <c r="G3129" s="1798" t="inlineStr">
        <is>
          <t>REVESTIMENTOS E ACABAMENTOS DE FACHADA</t>
        </is>
      </c>
      <c r="H3129" s="1783" t="inlineStr">
        <is>
          <t>SERVIÇO</t>
        </is>
      </c>
      <c r="I3129" s="1750" t="inlineStr">
        <is>
          <t>21.004.002.001</t>
        </is>
      </c>
      <c r="J3129" s="1785" t="inlineStr">
        <is>
          <t>Pintura Com Tinta Latex Acrilica em Paredes Externas, 3 Demaos (Incluso fundo) - Cor preto</t>
        </is>
      </c>
      <c r="K3129" s="1786" t="inlineStr">
        <is>
          <t>m2</t>
        </is>
      </c>
      <c r="L3129" s="1787" t="e">
        <v>#REF!</v>
      </c>
      <c r="M3129" s="1787" t="n">
        <v>35.78623533333334</v>
      </c>
      <c r="N3129" s="1754" t="n"/>
      <c r="O3129" s="1788" t="n"/>
      <c r="P3129" s="1721" t="inlineStr">
        <is>
          <t>Pendente</t>
        </is>
      </c>
    </row>
    <row r="3130" hidden="1" outlineLevel="2" ht="13.9" customHeight="1">
      <c r="A3130" s="2117" t="n">
        <v>0</v>
      </c>
      <c r="B3130" s="2117" t="n">
        <v>21</v>
      </c>
      <c r="C3130" s="2117" t="n">
        <v>4</v>
      </c>
      <c r="D3130" s="2118" t="n">
        <v>3</v>
      </c>
      <c r="E3130" s="2118" t="n">
        <v>0</v>
      </c>
      <c r="F3130" s="130" t="n"/>
      <c r="G3130" s="1797" t="n"/>
      <c r="H3130" s="1777" t="inlineStr">
        <is>
          <t>SUBETAPA</t>
        </is>
      </c>
      <c r="I3130" s="1742" t="inlineStr">
        <is>
          <t>21.004.003</t>
        </is>
      </c>
      <c r="J3130" s="1779" t="inlineStr">
        <is>
          <t>Acabamentos especiais em fachada</t>
        </is>
      </c>
      <c r="K3130" s="1780" t="n"/>
      <c r="L3130" s="1781" t="n"/>
      <c r="M3130" s="1781" t="n"/>
      <c r="N3130" s="1746" t="n"/>
      <c r="O3130" s="1782" t="n"/>
      <c r="P3130" s="1720" t="n"/>
    </row>
    <row r="3131" hidden="1" outlineLevel="3" ht="13.9" customHeight="1">
      <c r="A3131" s="2117" t="n">
        <v>0</v>
      </c>
      <c r="B3131" s="2117" t="n">
        <v>21</v>
      </c>
      <c r="C3131" s="2117" t="n">
        <v>4</v>
      </c>
      <c r="D3131" s="2118" t="n">
        <v>3</v>
      </c>
      <c r="E3131" s="2118" t="n">
        <v>1</v>
      </c>
      <c r="F3131" s="130" t="n"/>
      <c r="G3131" s="1798" t="inlineStr">
        <is>
          <t>REVESTIMENTOS E ACABAMENTOS DE FACHADA</t>
        </is>
      </c>
      <c r="H3131" s="1783" t="inlineStr">
        <is>
          <t>SERVIÇO</t>
        </is>
      </c>
      <c r="I3131" s="1750" t="inlineStr">
        <is>
          <t>21.004.003.001</t>
        </is>
      </c>
      <c r="J3131" s="1785" t="inlineStr">
        <is>
          <t>Revestimento de Cerâmica extrudada Brick Tile, 60x15cm ventilado, com toda a estrutura - Material e Mão de Obra</t>
        </is>
      </c>
      <c r="K3131" s="1786" t="inlineStr">
        <is>
          <t>m2</t>
        </is>
      </c>
      <c r="L3131" s="1787" t="e">
        <v>#REF!</v>
      </c>
      <c r="M3131" s="1787" t="n">
        <v>1102</v>
      </c>
      <c r="N3131" s="1754" t="n"/>
      <c r="O3131" s="1788" t="n"/>
      <c r="P3131" s="1721" t="inlineStr">
        <is>
          <t>Pendente</t>
        </is>
      </c>
    </row>
    <row r="3132" hidden="1" outlineLevel="3" ht="13.9" customHeight="1">
      <c r="A3132" s="2117" t="n">
        <v>0</v>
      </c>
      <c r="B3132" s="2117" t="n">
        <v>21</v>
      </c>
      <c r="C3132" s="2117" t="n">
        <v>4</v>
      </c>
      <c r="D3132" s="2118" t="n">
        <v>3</v>
      </c>
      <c r="E3132" s="2118" t="n">
        <v>2</v>
      </c>
      <c r="F3132" s="130" t="n"/>
      <c r="G3132" s="1798" t="inlineStr">
        <is>
          <t>REVESTIMENTOS E ACABAMENTOS DE FACHADA</t>
        </is>
      </c>
      <c r="H3132" s="1783" t="inlineStr">
        <is>
          <t>SERVIÇO</t>
        </is>
      </c>
      <c r="I3132" s="1750" t="inlineStr">
        <is>
          <t>21.004.003.002</t>
        </is>
      </c>
      <c r="J3132" s="1785" t="inlineStr">
        <is>
          <t>Moldura de fachada, com revestimento externo de Cerâmica extrudada Brick Tile, 60x15cm, com Junta de 2mm e largura de 30 cm</t>
        </is>
      </c>
      <c r="K3132" s="1786" t="inlineStr">
        <is>
          <t>m</t>
        </is>
      </c>
      <c r="L3132" s="1787" t="e">
        <v>#REF!</v>
      </c>
      <c r="M3132" s="1787" t="n">
        <v>211.4773754545455</v>
      </c>
      <c r="N3132" s="1754" t="n"/>
      <c r="O3132" s="1788" t="n"/>
      <c r="P3132" s="1721" t="inlineStr">
        <is>
          <t>Pendente</t>
        </is>
      </c>
    </row>
    <row r="3133" hidden="1" outlineLevel="3" ht="13.9" customHeight="1">
      <c r="A3133" s="2117" t="n">
        <v>0</v>
      </c>
      <c r="B3133" s="2117" t="n">
        <v>21</v>
      </c>
      <c r="C3133" s="2117" t="n">
        <v>4</v>
      </c>
      <c r="D3133" s="2118" t="n">
        <v>3</v>
      </c>
      <c r="E3133" s="2118" t="n">
        <v>3</v>
      </c>
      <c r="F3133" s="130" t="n"/>
      <c r="G3133" s="1798" t="inlineStr">
        <is>
          <t>REVESTIMENTOS E ACABAMENTOS DE FACHADA</t>
        </is>
      </c>
      <c r="H3133" s="1783" t="inlineStr">
        <is>
          <t>SERVIÇO</t>
        </is>
      </c>
      <c r="I3133" s="1750" t="inlineStr">
        <is>
          <t>21.004.003.003</t>
        </is>
      </c>
      <c r="J3133" s="1785" t="inlineStr">
        <is>
          <t>Moldura de fachada, com revestimento de pastilha azul (OM15645 – 7,5x7,5), com largura de  30 cm - atlas</t>
        </is>
      </c>
      <c r="K3133" s="1786" t="inlineStr">
        <is>
          <t>m</t>
        </is>
      </c>
      <c r="L3133" s="1787" t="e">
        <v>#REF!</v>
      </c>
      <c r="M3133" s="1787" t="n">
        <v>150.3801854545455</v>
      </c>
      <c r="N3133" s="1754" t="n"/>
      <c r="O3133" s="1788" t="n"/>
      <c r="P3133" s="1721" t="inlineStr">
        <is>
          <t>Pendente</t>
        </is>
      </c>
    </row>
    <row r="3134" hidden="1" outlineLevel="3" ht="13.9" customHeight="1">
      <c r="A3134" s="2117" t="n">
        <v>0</v>
      </c>
      <c r="B3134" s="2117" t="n">
        <v>21</v>
      </c>
      <c r="C3134" s="2117" t="n">
        <v>4</v>
      </c>
      <c r="D3134" s="2118" t="n">
        <v>3</v>
      </c>
      <c r="E3134" s="2118" t="n">
        <v>4</v>
      </c>
      <c r="F3134" s="130" t="n"/>
      <c r="G3134" s="1798" t="inlineStr">
        <is>
          <t>REVESTIMENTOS E ACABAMENTOS DE FACHADA</t>
        </is>
      </c>
      <c r="H3134" s="1783" t="inlineStr">
        <is>
          <t>SERVIÇO</t>
        </is>
      </c>
      <c r="I3134" s="1750" t="inlineStr">
        <is>
          <t>21.004.003.004</t>
        </is>
      </c>
      <c r="J3134" s="1785" t="inlineStr">
        <is>
          <t>Revestimento externo de Cerâmica extrudada Brick Tile, 60x15cm com Junta de 2mm</t>
        </is>
      </c>
      <c r="K3134" s="1786" t="inlineStr">
        <is>
          <t>m2</t>
        </is>
      </c>
      <c r="L3134" s="1787" t="e">
        <v>#REF!</v>
      </c>
      <c r="M3134" s="1787" t="n">
        <v>443.2856</v>
      </c>
      <c r="N3134" s="1754" t="n"/>
      <c r="O3134" s="1788" t="n"/>
      <c r="P3134" s="1721" t="inlineStr">
        <is>
          <t>Pendente</t>
        </is>
      </c>
    </row>
    <row r="3135" hidden="1" outlineLevel="3" ht="13.9" customHeight="1">
      <c r="A3135" s="2117" t="n">
        <v>0</v>
      </c>
      <c r="B3135" s="2117" t="n">
        <v>21</v>
      </c>
      <c r="C3135" s="2117" t="n">
        <v>4</v>
      </c>
      <c r="D3135" s="2118" t="n">
        <v>3</v>
      </c>
      <c r="E3135" s="2118" t="n">
        <v>5</v>
      </c>
      <c r="F3135" s="130" t="n"/>
      <c r="G3135" s="1798" t="inlineStr">
        <is>
          <t>REVESTIMENTOS E ACABAMENTOS DE FACHADA</t>
        </is>
      </c>
      <c r="H3135" s="1783" t="inlineStr">
        <is>
          <t>SERVIÇO</t>
        </is>
      </c>
      <c r="I3135" s="1750" t="inlineStr">
        <is>
          <t>21.004.003.005</t>
        </is>
      </c>
      <c r="J3135" s="1785" t="inlineStr">
        <is>
          <t>Revestimento de tijolinho ventilado, com toda a estrutura, cores rosado e tabaco - Material e Mão de Obra</t>
        </is>
      </c>
      <c r="K3135" s="1786" t="inlineStr">
        <is>
          <t>m2</t>
        </is>
      </c>
      <c r="L3135" s="1787" t="e">
        <v>#REF!</v>
      </c>
      <c r="M3135" s="1787" t="n">
        <v>1843.344</v>
      </c>
      <c r="N3135" s="1754" t="n"/>
      <c r="O3135" s="1788" t="inlineStr">
        <is>
          <t>Fachada ventilada na entrada, considerando, conforme imagens comerciais, uma quantidades na proporção de 80% rosado + 20% de tabaco, por m²</t>
        </is>
      </c>
      <c r="P3135" s="1721" t="inlineStr">
        <is>
          <t>Pendente</t>
        </is>
      </c>
    </row>
    <row r="3136" hidden="1" outlineLevel="3" ht="13.9" customHeight="1">
      <c r="A3136" s="2117" t="n">
        <v>0</v>
      </c>
      <c r="B3136" s="2117" t="n">
        <v>21</v>
      </c>
      <c r="C3136" s="2117" t="n">
        <v>4</v>
      </c>
      <c r="D3136" s="2118" t="n">
        <v>3</v>
      </c>
      <c r="E3136" s="2118" t="n">
        <v>6</v>
      </c>
      <c r="F3136" s="130" t="n"/>
      <c r="G3136" s="1798" t="inlineStr">
        <is>
          <t>REVESTIMENTOS E ACABAMENTOS DE FACHADA</t>
        </is>
      </c>
      <c r="H3136" s="1783" t="inlineStr">
        <is>
          <t>SERVIÇO</t>
        </is>
      </c>
      <c r="I3136" s="1750" t="inlineStr">
        <is>
          <t>21.004.003.006</t>
        </is>
      </c>
      <c r="J3136" s="1785" t="inlineStr">
        <is>
          <t>Revestimento de Porcelanato Kyoto 120x60 cm ventilado, com toda a estrutura - Material e Mão de Obra</t>
        </is>
      </c>
      <c r="K3136" s="1786" t="inlineStr">
        <is>
          <t>m2</t>
        </is>
      </c>
      <c r="L3136" s="1787" t="e">
        <v>#REF!</v>
      </c>
      <c r="M3136" s="1787" t="n">
        <v>807.74</v>
      </c>
      <c r="N3136" s="1754" t="n"/>
      <c r="O3136" s="1788" t="n"/>
      <c r="P3136" s="1721" t="inlineStr">
        <is>
          <t>Pendente</t>
        </is>
      </c>
    </row>
    <row r="3137" hidden="1" outlineLevel="3" ht="13.9" customHeight="1">
      <c r="A3137" s="2117" t="n">
        <v>0</v>
      </c>
      <c r="B3137" s="2117" t="n">
        <v>21</v>
      </c>
      <c r="C3137" s="2117" t="n">
        <v>4</v>
      </c>
      <c r="D3137" s="2118" t="n">
        <v>3</v>
      </c>
      <c r="E3137" s="2118" t="n">
        <v>7</v>
      </c>
      <c r="F3137" s="130" t="n"/>
      <c r="G3137" s="1798" t="inlineStr">
        <is>
          <t>REVESTIMENTOS E ACABAMENTOS DE FACHADA</t>
        </is>
      </c>
      <c r="H3137" s="1783" t="inlineStr">
        <is>
          <t>SERVIÇO</t>
        </is>
      </c>
      <c r="I3137" s="1750" t="inlineStr">
        <is>
          <t>21.004.003.007</t>
        </is>
      </c>
      <c r="J3137" s="1785" t="inlineStr">
        <is>
          <t>Revestimento externo de porcelanato painel kyoto, 60 x120cm com Junta de 2mm</t>
        </is>
      </c>
      <c r="K3137" s="1786" t="inlineStr">
        <is>
          <t>m2</t>
        </is>
      </c>
      <c r="L3137" s="1787" t="e">
        <v>#REF!</v>
      </c>
      <c r="M3137" s="1787" t="n">
        <v>172.0256</v>
      </c>
      <c r="N3137" s="1754" t="n"/>
      <c r="O3137" s="1788" t="inlineStr">
        <is>
          <t>"Teto" da moldura</t>
        </is>
      </c>
      <c r="P3137" s="1721" t="inlineStr">
        <is>
          <t>Pendente</t>
        </is>
      </c>
    </row>
    <row r="3138" hidden="1" outlineLevel="3" ht="13.9" customHeight="1">
      <c r="A3138" s="2117" t="n">
        <v>0</v>
      </c>
      <c r="B3138" s="2117" t="n">
        <v>21</v>
      </c>
      <c r="C3138" s="2117" t="n">
        <v>4</v>
      </c>
      <c r="D3138" s="2118" t="n">
        <v>3</v>
      </c>
      <c r="E3138" s="2118" t="n">
        <v>8</v>
      </c>
      <c r="F3138" s="130" t="n"/>
      <c r="G3138" s="1798" t="inlineStr">
        <is>
          <t>REVESTIMENTOS E ACABAMENTOS DE FACHADA</t>
        </is>
      </c>
      <c r="H3138" s="1783" t="inlineStr">
        <is>
          <t>SERVIÇO</t>
        </is>
      </c>
      <c r="I3138" s="1750" t="inlineStr">
        <is>
          <t>21.004.003.008</t>
        </is>
      </c>
      <c r="J3138" s="1785" t="inlineStr">
        <is>
          <t>Moldura de fachada, com revestimento externo de porcelanato painel kyoto, 60 x120cm com Junta de 2mm e largura de 30 cm</t>
        </is>
      </c>
      <c r="K3138" s="1786" t="inlineStr">
        <is>
          <t>m</t>
        </is>
      </c>
      <c r="L3138" s="1787" t="e">
        <v>#REF!</v>
      </c>
      <c r="M3138" s="1787" t="n">
        <v>130.0993754545455</v>
      </c>
      <c r="N3138" s="1754" t="n"/>
      <c r="O3138" s="1788" t="inlineStr">
        <is>
          <t>Torre</t>
        </is>
      </c>
      <c r="P3138" s="1721" t="inlineStr">
        <is>
          <t>Pendente</t>
        </is>
      </c>
    </row>
    <row r="3139" hidden="1" outlineLevel="3" ht="13.9" customHeight="1">
      <c r="A3139" s="2117" t="n">
        <v>0</v>
      </c>
      <c r="B3139" s="2117" t="n">
        <v>21</v>
      </c>
      <c r="C3139" s="2117" t="n">
        <v>4</v>
      </c>
      <c r="D3139" s="2118" t="n">
        <v>3</v>
      </c>
      <c r="E3139" s="2118" t="n">
        <v>9</v>
      </c>
      <c r="F3139" s="130" t="n"/>
      <c r="G3139" s="1798" t="inlineStr">
        <is>
          <t>REVESTIMENTOS E ACABAMENTOS DE FACHADA</t>
        </is>
      </c>
      <c r="H3139" s="1783" t="inlineStr">
        <is>
          <t>SERVIÇO</t>
        </is>
      </c>
      <c r="I3139" s="1750" t="inlineStr">
        <is>
          <t>21.004.003.009</t>
        </is>
      </c>
      <c r="J3139" s="1785" t="inlineStr">
        <is>
          <t>Revestimento de pastilha azul (OM15645 – 20x20) - atlas</t>
        </is>
      </c>
      <c r="K3139" s="1786" t="inlineStr">
        <is>
          <t>m2</t>
        </is>
      </c>
      <c r="L3139" s="1787" t="e">
        <v>#REF!</v>
      </c>
      <c r="M3139" s="1787" t="n">
        <v>164.302</v>
      </c>
      <c r="N3139" s="1754" t="n"/>
      <c r="O3139" s="1788" t="n"/>
      <c r="P3139" s="1721" t="inlineStr">
        <is>
          <t>Pendente</t>
        </is>
      </c>
    </row>
    <row r="3140" hidden="1" outlineLevel="2" ht="13.9" customHeight="1">
      <c r="A3140" s="2117" t="n">
        <v>0</v>
      </c>
      <c r="B3140" s="2117" t="n">
        <v>21</v>
      </c>
      <c r="C3140" s="2117" t="n">
        <v>4</v>
      </c>
      <c r="D3140" s="2118" t="n">
        <v>4</v>
      </c>
      <c r="E3140" s="2118" t="n">
        <v>0</v>
      </c>
      <c r="F3140" s="130" t="n"/>
      <c r="G3140" s="1797" t="n"/>
      <c r="H3140" s="1777" t="inlineStr">
        <is>
          <t>SUBETAPA</t>
        </is>
      </c>
      <c r="I3140" s="1742" t="inlineStr">
        <is>
          <t>21.004.004</t>
        </is>
      </c>
      <c r="J3140" s="1779" t="inlineStr">
        <is>
          <t>Mão de obra - Revestimentos</t>
        </is>
      </c>
      <c r="K3140" s="1780" t="n"/>
      <c r="L3140" s="1781" t="n"/>
      <c r="M3140" s="1781" t="n"/>
      <c r="N3140" s="1746" t="n"/>
      <c r="O3140" s="1782" t="n"/>
      <c r="P3140" s="1720" t="n"/>
    </row>
    <row r="3141" hidden="1" outlineLevel="3" ht="13.9" customHeight="1">
      <c r="A3141" s="2117" t="n">
        <v>0</v>
      </c>
      <c r="B3141" s="2117" t="n">
        <v>21</v>
      </c>
      <c r="C3141" s="2117" t="n">
        <v>4</v>
      </c>
      <c r="D3141" s="2118" t="n">
        <v>4</v>
      </c>
      <c r="E3141" s="2118" t="n">
        <v>1</v>
      </c>
      <c r="F3141" s="130" t="n"/>
      <c r="G3141" s="1798" t="inlineStr">
        <is>
          <t>REVESTIMENTOS E ACABAMENTOS DE FACHADA</t>
        </is>
      </c>
      <c r="H3141" s="1783" t="inlineStr">
        <is>
          <t>SERVIÇO</t>
        </is>
      </c>
      <c r="I3141" s="1750" t="inlineStr">
        <is>
          <t>21.004.004.001</t>
        </is>
      </c>
      <c r="J3141" s="1785" t="inlineStr">
        <is>
          <t>Mao de obra para reboco externo - inclui chapisco</t>
        </is>
      </c>
      <c r="K3141" s="1786" t="inlineStr">
        <is>
          <t>m2</t>
        </is>
      </c>
      <c r="L3141" s="1787" t="e">
        <v>#REF!</v>
      </c>
      <c r="M3141" s="1787" t="n">
        <v>62</v>
      </c>
      <c r="N3141" s="1754" t="n"/>
      <c r="O3141" s="1788" t="n"/>
      <c r="P3141" s="1721" t="inlineStr">
        <is>
          <t>Pendente</t>
        </is>
      </c>
    </row>
    <row r="3142" hidden="1" outlineLevel="3" ht="13.9" customHeight="1">
      <c r="A3142" s="2117" t="n">
        <v>0</v>
      </c>
      <c r="B3142" s="2117" t="n">
        <v>21</v>
      </c>
      <c r="C3142" s="2117" t="n">
        <v>4</v>
      </c>
      <c r="D3142" s="2118" t="n">
        <v>4</v>
      </c>
      <c r="E3142" s="2118" t="n">
        <v>2</v>
      </c>
      <c r="F3142" s="130" t="n"/>
      <c r="G3142" s="1798" t="inlineStr">
        <is>
          <t>REVESTIMENTOS E ACABAMENTOS DE FACHADA</t>
        </is>
      </c>
      <c r="H3142" s="1783" t="inlineStr">
        <is>
          <t>SERVIÇO</t>
        </is>
      </c>
      <c r="I3142" s="1750" t="inlineStr">
        <is>
          <t>21.004.004.002</t>
        </is>
      </c>
      <c r="J3142" s="1785" t="inlineStr">
        <is>
          <t>Mão de obra para aplicação de Pastilhas em paredes externas</t>
        </is>
      </c>
      <c r="K3142" s="1786" t="inlineStr">
        <is>
          <t>m2</t>
        </is>
      </c>
      <c r="L3142" s="1787" t="e">
        <v>#REF!</v>
      </c>
      <c r="M3142" s="1787" t="n">
        <v>95</v>
      </c>
      <c r="N3142" s="1754" t="n"/>
      <c r="O3142" s="1788" t="n"/>
      <c r="P3142" s="1721" t="inlineStr">
        <is>
          <t>Pendente</t>
        </is>
      </c>
    </row>
    <row r="3143" hidden="1" outlineLevel="3" ht="13.9" customHeight="1">
      <c r="A3143" s="2117" t="n">
        <v>0</v>
      </c>
      <c r="B3143" s="2117" t="n">
        <v>21</v>
      </c>
      <c r="C3143" s="2117" t="n">
        <v>4</v>
      </c>
      <c r="D3143" s="2118" t="n">
        <v>4</v>
      </c>
      <c r="E3143" s="2118" t="n">
        <v>3</v>
      </c>
      <c r="F3143" s="130" t="n"/>
      <c r="G3143" s="1798" t="inlineStr">
        <is>
          <t>REVESTIMENTOS E ACABAMENTOS DE FACHADA</t>
        </is>
      </c>
      <c r="H3143" s="1783" t="inlineStr">
        <is>
          <t>SERVIÇO</t>
        </is>
      </c>
      <c r="I3143" s="1750" t="inlineStr">
        <is>
          <t>21.004.004.003</t>
        </is>
      </c>
      <c r="J3143" s="1785" t="inlineStr">
        <is>
          <t>Mão de obra para aplicação de Porcelanato em paredes externas</t>
        </is>
      </c>
      <c r="K3143" s="1786" t="inlineStr">
        <is>
          <t>m2</t>
        </is>
      </c>
      <c r="L3143" s="1787" t="e">
        <v>#REF!</v>
      </c>
      <c r="M3143" s="1787" t="n">
        <v>85</v>
      </c>
      <c r="N3143" s="1754" t="n"/>
      <c r="O3143" s="1788" t="n"/>
      <c r="P3143" s="1721" t="inlineStr">
        <is>
          <t>Pendente</t>
        </is>
      </c>
    </row>
    <row r="3144" hidden="1" outlineLevel="3" ht="13.9" customHeight="1">
      <c r="A3144" s="2117" t="n">
        <v>0</v>
      </c>
      <c r="B3144" s="2117" t="n">
        <v>21</v>
      </c>
      <c r="C3144" s="2117" t="n">
        <v>4</v>
      </c>
      <c r="D3144" s="2118" t="n">
        <v>4</v>
      </c>
      <c r="E3144" s="2118" t="n">
        <v>4</v>
      </c>
      <c r="F3144" s="130" t="n"/>
      <c r="G3144" s="1798" t="inlineStr">
        <is>
          <t>REVESTIMENTOS E ACABAMENTOS DE FACHADA</t>
        </is>
      </c>
      <c r="H3144" s="1783" t="inlineStr">
        <is>
          <t>SERVIÇO</t>
        </is>
      </c>
      <c r="I3144" s="1750" t="inlineStr">
        <is>
          <t>21.004.004.004</t>
        </is>
      </c>
      <c r="J3144" s="1785" t="inlineStr">
        <is>
          <t>Mão de obra para aplicação de molduras em paredes externas</t>
        </is>
      </c>
      <c r="K3144" s="1786" t="inlineStr">
        <is>
          <t>m2</t>
        </is>
      </c>
      <c r="L3144" s="1787" t="e">
        <v>#REF!</v>
      </c>
      <c r="M3144" s="1787" t="n">
        <v>120</v>
      </c>
      <c r="N3144" s="1754" t="n"/>
      <c r="O3144" s="1788" t="n"/>
      <c r="P3144" s="1721" t="inlineStr">
        <is>
          <t>Pendente</t>
        </is>
      </c>
    </row>
    <row r="3145" hidden="1" outlineLevel="3" ht="13.9" customHeight="1">
      <c r="A3145" s="2117" t="n">
        <v>0</v>
      </c>
      <c r="B3145" s="2117" t="n">
        <v>21</v>
      </c>
      <c r="C3145" s="2117" t="n">
        <v>4</v>
      </c>
      <c r="D3145" s="2118" t="n">
        <v>4</v>
      </c>
      <c r="E3145" s="2118" t="n">
        <v>5</v>
      </c>
      <c r="F3145" s="130" t="n"/>
      <c r="G3145" s="1798" t="inlineStr">
        <is>
          <t>REVESTIMENTOS E ACABAMENTOS DE FACHADA</t>
        </is>
      </c>
      <c r="H3145" s="1783" t="inlineStr">
        <is>
          <t>SERVIÇO</t>
        </is>
      </c>
      <c r="I3145" s="1750" t="inlineStr">
        <is>
          <t>21.004.004.005</t>
        </is>
      </c>
      <c r="J3145" s="1785" t="inlineStr">
        <is>
          <t>Mão de obra para aplicação de Pintura em paredes externas - 3 demãos</t>
        </is>
      </c>
      <c r="K3145" s="1786" t="inlineStr">
        <is>
          <t>m2</t>
        </is>
      </c>
      <c r="L3145" s="1787" t="e">
        <v>#REF!</v>
      </c>
      <c r="M3145" s="1787" t="n">
        <v>58</v>
      </c>
      <c r="N3145" s="1754" t="n"/>
      <c r="O3145" s="1788" t="n"/>
      <c r="P3145" s="1721" t="inlineStr">
        <is>
          <t>Pendente</t>
        </is>
      </c>
    </row>
    <row r="3146" collapsed="1" ht="13.9" customHeight="1">
      <c r="A3146" s="2117" t="n">
        <v>0</v>
      </c>
      <c r="B3146" s="2117" t="n">
        <v>22</v>
      </c>
      <c r="C3146" s="2117" t="n">
        <v>0</v>
      </c>
      <c r="D3146" s="2118" t="n">
        <v>4</v>
      </c>
      <c r="E3146" s="2118" t="n">
        <v>5</v>
      </c>
      <c r="F3146" s="569" t="n"/>
      <c r="G3146" s="1794" t="n"/>
      <c r="H3146" s="1766" t="inlineStr">
        <is>
          <t>CÉLULA CONSTRUTIVA</t>
        </is>
      </c>
      <c r="I3146" s="1728" t="inlineStr">
        <is>
          <t>22</t>
        </is>
      </c>
      <c r="J3146" s="1795" t="inlineStr">
        <is>
          <t>SERVIÇOS COMPLEMENTARES E FINAIS</t>
        </is>
      </c>
      <c r="K3146" s="1768" t="n"/>
      <c r="L3146" s="1769" t="n"/>
      <c r="M3146" s="1769" t="n"/>
      <c r="N3146" s="1732" t="n"/>
      <c r="O3146" s="1770" t="n"/>
      <c r="P3146" s="1723" t="n"/>
    </row>
    <row r="3147" hidden="1" outlineLevel="1" ht="13.9" customHeight="1">
      <c r="A3147" s="2117" t="n">
        <v>0</v>
      </c>
      <c r="B3147" s="2117" t="n">
        <v>22</v>
      </c>
      <c r="C3147" s="2117" t="n">
        <v>1</v>
      </c>
      <c r="D3147" s="2118" t="n">
        <v>0</v>
      </c>
      <c r="E3147" s="2118" t="n">
        <v>5</v>
      </c>
      <c r="F3147" s="130" t="n"/>
      <c r="G3147" s="1796" t="n"/>
      <c r="H3147" s="1771" t="inlineStr">
        <is>
          <t>ETAPA</t>
        </is>
      </c>
      <c r="I3147" s="1735" t="inlineStr">
        <is>
          <t>22.001</t>
        </is>
      </c>
      <c r="J3147" s="1773" t="inlineStr">
        <is>
          <t>SERVIÇOS COMPLEMENTARES EXTERNOS</t>
        </is>
      </c>
      <c r="K3147" s="1774" t="n"/>
      <c r="L3147" s="1775" t="n"/>
      <c r="M3147" s="1775" t="n"/>
      <c r="N3147" s="1739" t="n"/>
      <c r="O3147" s="1776" t="n"/>
      <c r="P3147" s="1725" t="n"/>
    </row>
    <row r="3148" hidden="1" outlineLevel="2" ht="13.9" customHeight="1">
      <c r="A3148" s="2117" t="n">
        <v>0</v>
      </c>
      <c r="B3148" s="2117" t="n">
        <v>22</v>
      </c>
      <c r="C3148" s="2117" t="n">
        <v>1</v>
      </c>
      <c r="D3148" s="2118" t="n">
        <v>1</v>
      </c>
      <c r="E3148" s="2118" t="n">
        <v>0</v>
      </c>
      <c r="F3148" s="130" t="n"/>
      <c r="G3148" s="1797" t="n"/>
      <c r="H3148" s="1777" t="inlineStr">
        <is>
          <t>SUBETAPA</t>
        </is>
      </c>
      <c r="I3148" s="1742" t="inlineStr">
        <is>
          <t>22.001.001</t>
        </is>
      </c>
      <c r="J3148" s="1779" t="inlineStr">
        <is>
          <t>Calçadas e Passeios</t>
        </is>
      </c>
      <c r="K3148" s="1780" t="n"/>
      <c r="L3148" s="1781" t="n"/>
      <c r="M3148" s="1781" t="n"/>
      <c r="N3148" s="1746" t="n"/>
      <c r="O3148" s="1782" t="n"/>
      <c r="P3148" s="1720" t="n"/>
    </row>
    <row r="3149" hidden="1" outlineLevel="3" ht="13.9" customHeight="1">
      <c r="A3149" s="2117" t="n">
        <v>0</v>
      </c>
      <c r="B3149" s="2117" t="n">
        <v>22</v>
      </c>
      <c r="C3149" s="2117" t="n">
        <v>1</v>
      </c>
      <c r="D3149" s="2118" t="n">
        <v>1</v>
      </c>
      <c r="E3149" s="2118" t="n">
        <v>1</v>
      </c>
      <c r="F3149" s="130" t="n"/>
      <c r="G3149" s="1798" t="inlineStr">
        <is>
          <t>SERVIÇOS COMPLEMENTARES</t>
        </is>
      </c>
      <c r="H3149" s="1783" t="inlineStr">
        <is>
          <t>SERVIÇO</t>
        </is>
      </c>
      <c r="I3149" s="1750" t="inlineStr">
        <is>
          <t>22.001.001.001</t>
        </is>
      </c>
      <c r="J3149" s="1785" t="inlineStr">
        <is>
          <t>Piso de concreto, acabamento estampado, espessura 6 cm</t>
        </is>
      </c>
      <c r="K3149" s="1786" t="inlineStr">
        <is>
          <t>m2</t>
        </is>
      </c>
      <c r="L3149" s="1787" t="e">
        <v>#REF!</v>
      </c>
      <c r="M3149" s="1787" t="n">
        <v>77.36682066666667</v>
      </c>
      <c r="N3149" s="1754" t="n"/>
      <c r="O3149" s="1788" t="inlineStr">
        <is>
          <t>Calçada passeio</t>
        </is>
      </c>
      <c r="P3149" s="1721" t="inlineStr">
        <is>
          <t>Pendente</t>
        </is>
      </c>
    </row>
    <row r="3150" hidden="1" outlineLevel="3" ht="13.9" customHeight="1">
      <c r="A3150" s="2117" t="n">
        <v>0</v>
      </c>
      <c r="B3150" s="2117" t="n">
        <v>22</v>
      </c>
      <c r="C3150" s="2117" t="n">
        <v>1</v>
      </c>
      <c r="D3150" s="2118" t="n">
        <v>1</v>
      </c>
      <c r="E3150" s="2118" t="n">
        <v>2</v>
      </c>
      <c r="F3150" s="130" t="n"/>
      <c r="G3150" s="1798" t="inlineStr">
        <is>
          <t>SERVIÇOS COMPLEMENTARES</t>
        </is>
      </c>
      <c r="H3150" s="1783" t="inlineStr">
        <is>
          <t>SERVIÇO</t>
        </is>
      </c>
      <c r="I3150" s="1750" t="inlineStr">
        <is>
          <t>22.001.001.002</t>
        </is>
      </c>
      <c r="J3150" s="1785" t="inlineStr">
        <is>
          <t>Mão de obra execução Piso de concreto</t>
        </is>
      </c>
      <c r="K3150" s="1786" t="inlineStr">
        <is>
          <t>m2</t>
        </is>
      </c>
      <c r="L3150" s="1787" t="e">
        <v>#REF!</v>
      </c>
      <c r="M3150" s="1787" t="n">
        <v>25</v>
      </c>
      <c r="N3150" s="1754" t="n"/>
      <c r="O3150" s="1788" t="n"/>
      <c r="P3150" s="1721" t="inlineStr">
        <is>
          <t>Pendente</t>
        </is>
      </c>
    </row>
    <row r="3151" hidden="1" outlineLevel="2" ht="13.9" customHeight="1">
      <c r="A3151" s="2117" t="n">
        <v>0</v>
      </c>
      <c r="B3151" s="2117" t="n">
        <v>22</v>
      </c>
      <c r="C3151" s="2117" t="n">
        <v>1</v>
      </c>
      <c r="D3151" s="2118" t="n">
        <v>2</v>
      </c>
      <c r="E3151" s="2118" t="n">
        <v>0</v>
      </c>
      <c r="F3151" s="130" t="n"/>
      <c r="G3151" s="1797" t="n"/>
      <c r="H3151" s="1777" t="inlineStr">
        <is>
          <t>SUBETAPA</t>
        </is>
      </c>
      <c r="I3151" s="1742" t="inlineStr">
        <is>
          <t>22.001.002</t>
        </is>
      </c>
      <c r="J3151" s="1779" t="inlineStr">
        <is>
          <t>Rede de drenagem</t>
        </is>
      </c>
      <c r="K3151" s="1780" t="n"/>
      <c r="L3151" s="1781" t="n"/>
      <c r="M3151" s="1781" t="n"/>
      <c r="N3151" s="1746" t="n">
        <v>167496.7</v>
      </c>
      <c r="O3151" s="1782" t="n"/>
      <c r="P3151" s="1720" t="n"/>
    </row>
    <row r="3152" hidden="1" outlineLevel="3" ht="13.9" customHeight="1">
      <c r="A3152" s="2117" t="n">
        <v>0</v>
      </c>
      <c r="B3152" s="2117" t="n">
        <v>22</v>
      </c>
      <c r="C3152" s="2117" t="n">
        <v>1</v>
      </c>
      <c r="D3152" s="2118" t="n">
        <v>2</v>
      </c>
      <c r="E3152" s="2118" t="n">
        <v>1</v>
      </c>
      <c r="F3152" s="130" t="n"/>
      <c r="G3152" s="1798" t="inlineStr">
        <is>
          <t>SERVIÇOS COMPLEMENTARES</t>
        </is>
      </c>
      <c r="H3152" s="1783" t="inlineStr">
        <is>
          <t>SERVIÇO</t>
        </is>
      </c>
      <c r="I3152" s="1750" t="inlineStr">
        <is>
          <t>22.001.002.001</t>
        </is>
      </c>
      <c r="J3152" s="1785" t="inlineStr">
        <is>
          <t>Rede de drenagem</t>
        </is>
      </c>
      <c r="K3152" s="1786" t="inlineStr">
        <is>
          <t>vb</t>
        </is>
      </c>
      <c r="L3152" s="1787" t="n">
        <v>1</v>
      </c>
      <c r="M3152" s="1787" t="n">
        <v>167496.7</v>
      </c>
      <c r="N3152" s="1754" t="n">
        <v>167496.7</v>
      </c>
      <c r="O3152" s="1788" t="n"/>
      <c r="P3152" s="1721" t="inlineStr">
        <is>
          <t>Pendente</t>
        </is>
      </c>
    </row>
    <row r="3153" hidden="1" outlineLevel="2" ht="13.9" customHeight="1">
      <c r="A3153" s="2117" t="n">
        <v>0</v>
      </c>
      <c r="B3153" s="2117" t="n">
        <v>22</v>
      </c>
      <c r="C3153" s="2117" t="n">
        <v>1</v>
      </c>
      <c r="D3153" s="2118" t="n">
        <v>3</v>
      </c>
      <c r="E3153" s="2118" t="n">
        <v>0</v>
      </c>
      <c r="F3153" s="130" t="n"/>
      <c r="G3153" s="1797" t="n"/>
      <c r="H3153" s="1777" t="inlineStr">
        <is>
          <t>SUBETAPA</t>
        </is>
      </c>
      <c r="I3153" s="1742" t="inlineStr">
        <is>
          <t>22.001.003</t>
        </is>
      </c>
      <c r="J3153" s="1779" t="inlineStr">
        <is>
          <t>Reforço de rede elétrica</t>
        </is>
      </c>
      <c r="K3153" s="1780" t="n"/>
      <c r="L3153" s="1781" t="n"/>
      <c r="M3153" s="1781" t="n"/>
      <c r="N3153" s="1746" t="n">
        <v>167496.7</v>
      </c>
      <c r="O3153" s="1782" t="n"/>
      <c r="P3153" s="1720" t="n"/>
    </row>
    <row r="3154" hidden="1" outlineLevel="3" ht="13.9" customHeight="1">
      <c r="A3154" s="2117" t="n">
        <v>0</v>
      </c>
      <c r="B3154" s="2117" t="n">
        <v>22</v>
      </c>
      <c r="C3154" s="2117" t="n">
        <v>1</v>
      </c>
      <c r="D3154" s="2118" t="n">
        <v>3</v>
      </c>
      <c r="E3154" s="2118" t="n">
        <v>1</v>
      </c>
      <c r="F3154" s="130" t="n"/>
      <c r="G3154" s="1798" t="inlineStr">
        <is>
          <t>SERVIÇOS COMPLEMENTARES</t>
        </is>
      </c>
      <c r="H3154" s="1783" t="inlineStr">
        <is>
          <t>SERVIÇO</t>
        </is>
      </c>
      <c r="I3154" s="1750" t="inlineStr">
        <is>
          <t>22.001.003.001</t>
        </is>
      </c>
      <c r="J3154" s="1785" t="inlineStr">
        <is>
          <t>Reforço de rede elétrica</t>
        </is>
      </c>
      <c r="K3154" s="1786" t="inlineStr">
        <is>
          <t>vb</t>
        </is>
      </c>
      <c r="L3154" s="1787" t="n">
        <v>1</v>
      </c>
      <c r="M3154" s="1787" t="n">
        <v>167496.7</v>
      </c>
      <c r="N3154" s="1754" t="n">
        <v>167496.7</v>
      </c>
      <c r="O3154" s="1788" t="n"/>
      <c r="P3154" s="1721" t="inlineStr">
        <is>
          <t>Pendente</t>
        </is>
      </c>
    </row>
    <row r="3155" hidden="1" outlineLevel="1" ht="13.9" customHeight="1">
      <c r="A3155" s="2117" t="n">
        <v>0</v>
      </c>
      <c r="B3155" s="2117" t="n">
        <v>22</v>
      </c>
      <c r="C3155" s="2117" t="n">
        <v>2</v>
      </c>
      <c r="D3155" s="2118" t="n">
        <v>0</v>
      </c>
      <c r="E3155" s="2118" t="n">
        <v>1</v>
      </c>
      <c r="F3155" s="130" t="n"/>
      <c r="G3155" s="1796" t="n"/>
      <c r="H3155" s="1771" t="inlineStr">
        <is>
          <t>ETAPA</t>
        </is>
      </c>
      <c r="I3155" s="1735" t="inlineStr">
        <is>
          <t>22.002</t>
        </is>
      </c>
      <c r="J3155" s="1773" t="inlineStr">
        <is>
          <t>SERVIÇOS COMPLEMENTARES</t>
        </is>
      </c>
      <c r="K3155" s="1774" t="n"/>
      <c r="L3155" s="1775" t="n"/>
      <c r="M3155" s="1775" t="n"/>
      <c r="N3155" s="1739" t="n">
        <v>5698605.0458</v>
      </c>
      <c r="O3155" s="1776" t="n"/>
      <c r="P3155" s="1725" t="n"/>
    </row>
    <row r="3156" hidden="1" outlineLevel="2" ht="13.9" customHeight="1">
      <c r="A3156" s="2117" t="n">
        <v>0</v>
      </c>
      <c r="B3156" s="2117" t="n">
        <v>22</v>
      </c>
      <c r="C3156" s="2117" t="n">
        <v>2</v>
      </c>
      <c r="D3156" s="2118" t="n">
        <v>1</v>
      </c>
      <c r="E3156" s="2118" t="n">
        <v>0</v>
      </c>
      <c r="F3156" s="130" t="n"/>
      <c r="G3156" s="1797" t="n"/>
      <c r="H3156" s="1777" t="inlineStr">
        <is>
          <t>SUBETAPA</t>
        </is>
      </c>
      <c r="I3156" s="1742" t="inlineStr">
        <is>
          <t>22.002.001</t>
        </is>
      </c>
      <c r="J3156" s="1779" t="inlineStr">
        <is>
          <t>Limpeza Final de Obra</t>
        </is>
      </c>
      <c r="K3156" s="1780" t="n"/>
      <c r="L3156" s="1781" t="n"/>
      <c r="M3156" s="1781" t="n"/>
      <c r="N3156" s="1746" t="n">
        <v>586238.45</v>
      </c>
      <c r="O3156" s="1782" t="n"/>
      <c r="P3156" s="1720" t="n"/>
    </row>
    <row r="3157" hidden="1" outlineLevel="3" ht="13.9" customHeight="1">
      <c r="A3157" s="2117" t="n">
        <v>0</v>
      </c>
      <c r="B3157" s="2117" t="n">
        <v>22</v>
      </c>
      <c r="C3157" s="2117" t="n">
        <v>2</v>
      </c>
      <c r="D3157" s="2118" t="n">
        <v>1</v>
      </c>
      <c r="E3157" s="2118" t="n">
        <v>1</v>
      </c>
      <c r="F3157" s="130" t="n"/>
      <c r="G3157" s="1798" t="inlineStr">
        <is>
          <t>SERVIÇOS COMPLEMENTARES</t>
        </is>
      </c>
      <c r="H3157" s="1783" t="inlineStr">
        <is>
          <t>SERVIÇO</t>
        </is>
      </c>
      <c r="I3157" s="1750" t="inlineStr">
        <is>
          <t>22.002.001.001</t>
        </is>
      </c>
      <c r="J3157" s="1785" t="inlineStr">
        <is>
          <t>Limpeza final</t>
        </is>
      </c>
      <c r="K3157" s="1786" t="inlineStr">
        <is>
          <t>vb</t>
        </is>
      </c>
      <c r="L3157" s="1787" t="n">
        <v>1</v>
      </c>
      <c r="M3157" s="1787" t="n">
        <v>586238.4500000001</v>
      </c>
      <c r="N3157" s="1754" t="n">
        <v>586238.45</v>
      </c>
      <c r="O3157" s="1788" t="n"/>
      <c r="P3157" s="1721" t="inlineStr">
        <is>
          <t>Pendente</t>
        </is>
      </c>
    </row>
    <row r="3158" hidden="1" outlineLevel="2" ht="13.9" customHeight="1">
      <c r="A3158" s="2117" t="n">
        <v>0</v>
      </c>
      <c r="B3158" s="2117" t="n">
        <v>22</v>
      </c>
      <c r="C3158" s="2117" t="n">
        <v>2</v>
      </c>
      <c r="D3158" s="2118" t="n">
        <v>2</v>
      </c>
      <c r="E3158" s="2118" t="n">
        <v>0</v>
      </c>
      <c r="F3158" s="130" t="n"/>
      <c r="G3158" s="1797" t="n"/>
      <c r="H3158" s="1777" t="inlineStr">
        <is>
          <t>SUBETAPA</t>
        </is>
      </c>
      <c r="I3158" s="1742" t="inlineStr">
        <is>
          <t>22.002.002</t>
        </is>
      </c>
      <c r="J3158" s="1779" t="inlineStr">
        <is>
          <t>Decoração e mobiliário área comum</t>
        </is>
      </c>
      <c r="K3158" s="1780" t="n"/>
      <c r="L3158" s="1781" t="n"/>
      <c r="M3158" s="1781" t="n"/>
      <c r="N3158" s="1746" t="n">
        <v>4563982.4</v>
      </c>
      <c r="O3158" s="1782" t="n"/>
      <c r="P3158" s="1720" t="n"/>
    </row>
    <row r="3159" hidden="1" outlineLevel="3" ht="13.9" customHeight="1">
      <c r="A3159" s="2117" t="n">
        <v>0</v>
      </c>
      <c r="B3159" s="2117" t="n">
        <v>22</v>
      </c>
      <c r="C3159" s="2117" t="n">
        <v>2</v>
      </c>
      <c r="D3159" s="2118" t="n">
        <v>2</v>
      </c>
      <c r="E3159" s="2118" t="n">
        <v>1</v>
      </c>
      <c r="F3159" s="130" t="n"/>
      <c r="G3159" s="1798" t="inlineStr">
        <is>
          <t>SERVIÇOS COMPLEMENTARES</t>
        </is>
      </c>
      <c r="H3159" s="1783" t="inlineStr">
        <is>
          <t>SERVIÇO</t>
        </is>
      </c>
      <c r="I3159" s="1750" t="inlineStr">
        <is>
          <t>22.002.002.001</t>
        </is>
      </c>
      <c r="J3159" s="1785" t="inlineStr">
        <is>
          <t xml:space="preserve">Mobiliário e decoração </t>
        </is>
      </c>
      <c r="K3159" s="1786" t="inlineStr">
        <is>
          <t>vb</t>
        </is>
      </c>
      <c r="L3159" s="1787" t="n">
        <v>1</v>
      </c>
      <c r="M3159" s="1787" t="n">
        <v>4563982.4</v>
      </c>
      <c r="N3159" s="1754" t="n">
        <v>4563982.4</v>
      </c>
      <c r="O3159" s="1788" t="n"/>
      <c r="P3159" s="1721" t="inlineStr">
        <is>
          <t>Pendente</t>
        </is>
      </c>
    </row>
    <row r="3160" hidden="1" outlineLevel="2" ht="13.9" customHeight="1">
      <c r="A3160" s="2117" t="n">
        <v>0</v>
      </c>
      <c r="B3160" s="2117" t="n">
        <v>22</v>
      </c>
      <c r="C3160" s="2117" t="n">
        <v>2</v>
      </c>
      <c r="D3160" s="2118" t="n">
        <v>3</v>
      </c>
      <c r="E3160" s="2118" t="n">
        <v>0</v>
      </c>
      <c r="F3160" s="130" t="n"/>
      <c r="G3160" s="1797" t="n"/>
      <c r="H3160" s="1777" t="inlineStr">
        <is>
          <t>SUBETAPA</t>
        </is>
      </c>
      <c r="I3160" s="1742" t="inlineStr">
        <is>
          <t>22.002.003</t>
        </is>
      </c>
      <c r="J3160" s="1779" t="inlineStr">
        <is>
          <t>Comunicação visual</t>
        </is>
      </c>
      <c r="K3160" s="1780" t="n"/>
      <c r="L3160" s="1781" t="n"/>
      <c r="M3160" s="1781" t="n"/>
      <c r="N3160" s="1746" t="n">
        <v>184246.37</v>
      </c>
      <c r="O3160" s="1782" t="n"/>
      <c r="P3160" s="1720" t="n"/>
    </row>
    <row r="3161" hidden="1" outlineLevel="3" ht="13.9" customHeight="1">
      <c r="A3161" s="2117" t="n">
        <v>0</v>
      </c>
      <c r="B3161" s="2117" t="n">
        <v>22</v>
      </c>
      <c r="C3161" s="2117" t="n">
        <v>2</v>
      </c>
      <c r="D3161" s="2118" t="n">
        <v>3</v>
      </c>
      <c r="E3161" s="2118" t="n">
        <v>1</v>
      </c>
      <c r="F3161" s="130" t="n"/>
      <c r="G3161" s="1798" t="inlineStr">
        <is>
          <t>SERVIÇOS COMPLEMENTARES</t>
        </is>
      </c>
      <c r="H3161" s="1783" t="inlineStr">
        <is>
          <t>SERVIÇO</t>
        </is>
      </c>
      <c r="I3161" s="1750" t="inlineStr">
        <is>
          <t>22.002.003.001</t>
        </is>
      </c>
      <c r="J3161" s="1785" t="inlineStr">
        <is>
          <t>Comunicação visual</t>
        </is>
      </c>
      <c r="K3161" s="1786" t="inlineStr">
        <is>
          <t>vb</t>
        </is>
      </c>
      <c r="L3161" s="1787" t="n">
        <v>1</v>
      </c>
      <c r="M3161" s="1787" t="n">
        <v>184246.37</v>
      </c>
      <c r="N3161" s="1754" t="n">
        <v>184246.37</v>
      </c>
      <c r="O3161" s="1788" t="n"/>
      <c r="P3161" s="1721" t="inlineStr">
        <is>
          <t>Pendente</t>
        </is>
      </c>
    </row>
    <row r="3162" hidden="1" outlineLevel="2" ht="13.9" customHeight="1">
      <c r="A3162" s="2117" t="n">
        <v>0</v>
      </c>
      <c r="B3162" s="2117" t="n">
        <v>22</v>
      </c>
      <c r="C3162" s="2117" t="n">
        <v>2</v>
      </c>
      <c r="D3162" s="2118" t="n">
        <v>4</v>
      </c>
      <c r="E3162" s="2118" t="n">
        <v>0</v>
      </c>
      <c r="F3162" s="130" t="n"/>
      <c r="G3162" s="1797" t="n"/>
      <c r="H3162" s="1777" t="inlineStr">
        <is>
          <t>SUBETAPA</t>
        </is>
      </c>
      <c r="I3162" s="1742" t="inlineStr">
        <is>
          <t>22.002.004</t>
        </is>
      </c>
      <c r="J3162" s="1779" t="inlineStr">
        <is>
          <t>Paisagismo</t>
        </is>
      </c>
      <c r="K3162" s="1780" t="n"/>
      <c r="L3162" s="1781" t="n"/>
      <c r="M3162" s="1781" t="n"/>
      <c r="N3162" s="1746" t="n">
        <v>213390.7958</v>
      </c>
      <c r="O3162" s="1782" t="n"/>
      <c r="P3162" s="1720" t="n"/>
    </row>
    <row r="3163" hidden="1" outlineLevel="3" ht="13.9" customHeight="1">
      <c r="A3163" s="2117" t="n">
        <v>0</v>
      </c>
      <c r="B3163" s="2117" t="n">
        <v>22</v>
      </c>
      <c r="C3163" s="2117" t="n">
        <v>2</v>
      </c>
      <c r="D3163" s="2118" t="n">
        <v>4</v>
      </c>
      <c r="E3163" s="2118" t="n">
        <v>1</v>
      </c>
      <c r="F3163" s="130" t="n"/>
      <c r="G3163" s="1798" t="inlineStr">
        <is>
          <t>SERVIÇOS COMPLEMENTARES</t>
        </is>
      </c>
      <c r="H3163" s="1783" t="inlineStr">
        <is>
          <t>SERVIÇO</t>
        </is>
      </c>
      <c r="I3163" s="1750" t="inlineStr">
        <is>
          <t>22.002.004.001</t>
        </is>
      </c>
      <c r="J3163" s="1785" t="inlineStr">
        <is>
          <t xml:space="preserve">Paisagismo </t>
        </is>
      </c>
      <c r="K3163" s="1786" t="inlineStr">
        <is>
          <t>vb</t>
        </is>
      </c>
      <c r="L3163" s="1787" t="n">
        <v>1</v>
      </c>
      <c r="M3163" s="1787" t="n">
        <v>133997.36</v>
      </c>
      <c r="N3163" s="1754" t="n">
        <v>133997.36</v>
      </c>
      <c r="O3163" s="1761" t="inlineStr">
        <is>
          <t>Repessado pela Gessele na reunião do dia 05/03/2026 - rever custo</t>
        </is>
      </c>
      <c r="P3163" s="1721" t="inlineStr">
        <is>
          <t>Pendente</t>
        </is>
      </c>
    </row>
    <row r="3164" hidden="1" outlineLevel="3" ht="13.9" customHeight="1">
      <c r="A3164" s="2117" t="n">
        <v>0</v>
      </c>
      <c r="B3164" s="2117" t="n">
        <v>22</v>
      </c>
      <c r="C3164" s="2117" t="n">
        <v>2</v>
      </c>
      <c r="D3164" s="2118" t="n">
        <v>4</v>
      </c>
      <c r="E3164" s="2118" t="n">
        <v>2</v>
      </c>
      <c r="F3164" s="130" t="n"/>
      <c r="G3164" s="1798" t="inlineStr">
        <is>
          <t>SERVIÇOS COMPLEMENTARES</t>
        </is>
      </c>
      <c r="H3164" s="1783" t="inlineStr">
        <is>
          <t>SERVIÇO</t>
        </is>
      </c>
      <c r="I3164" s="1750" t="inlineStr">
        <is>
          <t>22.002.004.002</t>
        </is>
      </c>
      <c r="J3164" s="1785" t="inlineStr">
        <is>
          <t>Luminotécnico do Paisagismo</t>
        </is>
      </c>
      <c r="K3164" s="1786" t="inlineStr">
        <is>
          <t>vb</t>
        </is>
      </c>
      <c r="L3164" s="1787" t="n">
        <v>1</v>
      </c>
      <c r="M3164" s="1787" t="n">
        <v>45894.09580000001</v>
      </c>
      <c r="N3164" s="1754" t="n">
        <v>45894.0958</v>
      </c>
      <c r="O3164" s="1788" t="n"/>
      <c r="P3164" s="1721" t="inlineStr">
        <is>
          <t>Pendente</t>
        </is>
      </c>
    </row>
    <row r="3165" hidden="1" outlineLevel="3" ht="13.9" customHeight="1">
      <c r="A3165" s="2117" t="n">
        <v>0</v>
      </c>
      <c r="B3165" s="2117" t="n">
        <v>22</v>
      </c>
      <c r="C3165" s="2117" t="n">
        <v>2</v>
      </c>
      <c r="D3165" s="2118" t="n">
        <v>4</v>
      </c>
      <c r="E3165" s="2118" t="n">
        <v>3</v>
      </c>
      <c r="F3165" s="130" t="n"/>
      <c r="G3165" s="1798" t="inlineStr">
        <is>
          <t>SERVIÇOS COMPLEMENTARES</t>
        </is>
      </c>
      <c r="H3165" s="1783" t="inlineStr">
        <is>
          <t>SERVIÇO</t>
        </is>
      </c>
      <c r="I3165" s="1750" t="inlineStr">
        <is>
          <t>22.002.004.003</t>
        </is>
      </c>
      <c r="J3165" s="1785" t="inlineStr">
        <is>
          <t>Irrigação do Paisagismo</t>
        </is>
      </c>
      <c r="K3165" s="1786" t="inlineStr">
        <is>
          <t>vb</t>
        </is>
      </c>
      <c r="L3165" s="1787" t="n">
        <v>1</v>
      </c>
      <c r="M3165" s="1787" t="n">
        <v>33499.34</v>
      </c>
      <c r="N3165" s="1754" t="n">
        <v>33499.34</v>
      </c>
      <c r="O3165" s="1788" t="n"/>
      <c r="P3165" s="1721" t="inlineStr">
        <is>
          <t>Pendente</t>
        </is>
      </c>
    </row>
    <row r="3166" hidden="1" outlineLevel="2" ht="13.9" customHeight="1">
      <c r="A3166" s="2117" t="n">
        <v>0</v>
      </c>
      <c r="B3166" s="2117" t="n">
        <v>22</v>
      </c>
      <c r="C3166" s="2117" t="n">
        <v>2</v>
      </c>
      <c r="D3166" s="2118" t="n">
        <v>5</v>
      </c>
      <c r="E3166" s="2118" t="n">
        <v>0</v>
      </c>
      <c r="F3166" s="130" t="n"/>
      <c r="G3166" s="1797" t="n"/>
      <c r="H3166" s="1777" t="inlineStr">
        <is>
          <t>SUBETAPA</t>
        </is>
      </c>
      <c r="I3166" s="1742" t="inlineStr">
        <is>
          <t>22.002.005</t>
        </is>
      </c>
      <c r="J3166" s="1779" t="inlineStr">
        <is>
          <t>Serviços Finais</t>
        </is>
      </c>
      <c r="K3166" s="1780" t="n"/>
      <c r="L3166" s="1781" t="n"/>
      <c r="M3166" s="1781" t="n"/>
      <c r="N3166" s="1746" t="n">
        <v>150747.03</v>
      </c>
      <c r="O3166" s="1782" t="n"/>
      <c r="P3166" s="1720" t="n"/>
    </row>
    <row r="3167" hidden="1" outlineLevel="3" ht="13.9" customHeight="1">
      <c r="A3167" s="2117" t="n">
        <v>0</v>
      </c>
      <c r="B3167" s="2117" t="n">
        <v>22</v>
      </c>
      <c r="C3167" s="2117" t="n">
        <v>2</v>
      </c>
      <c r="D3167" s="2118" t="n">
        <v>5</v>
      </c>
      <c r="E3167" s="2118" t="n">
        <v>1</v>
      </c>
      <c r="F3167" s="130" t="n"/>
      <c r="G3167" s="1798" t="inlineStr">
        <is>
          <t>SERVIÇOS COMPLEMENTARES</t>
        </is>
      </c>
      <c r="H3167" s="1783" t="inlineStr">
        <is>
          <t>SERVIÇO</t>
        </is>
      </c>
      <c r="I3167" s="1750" t="inlineStr">
        <is>
          <t>22.002.005.001</t>
        </is>
      </c>
      <c r="J3167" s="1785" t="inlineStr">
        <is>
          <t>Desmobilização</t>
        </is>
      </c>
      <c r="K3167" s="1786" t="inlineStr">
        <is>
          <t>vb</t>
        </is>
      </c>
      <c r="L3167" s="1787" t="n">
        <v>1</v>
      </c>
      <c r="M3167" s="1787" t="n">
        <v>83748.35000000001</v>
      </c>
      <c r="N3167" s="1754" t="n">
        <v>83748.35000000001</v>
      </c>
      <c r="O3167" s="1788" t="n"/>
      <c r="P3167" s="1721" t="inlineStr">
        <is>
          <t>Pendente</t>
        </is>
      </c>
    </row>
    <row r="3168" hidden="1" outlineLevel="3" ht="11.25" customHeight="1">
      <c r="A3168" s="2117" t="n">
        <v>0</v>
      </c>
      <c r="B3168" s="2117" t="n">
        <v>22</v>
      </c>
      <c r="C3168" s="2117" t="n">
        <v>2</v>
      </c>
      <c r="D3168" s="2118" t="n">
        <v>5</v>
      </c>
      <c r="E3168" s="2118" t="n">
        <v>2</v>
      </c>
      <c r="F3168" s="130" t="n"/>
      <c r="G3168" s="1798" t="inlineStr">
        <is>
          <t>SERVIÇOS COMPLEMENTARES</t>
        </is>
      </c>
      <c r="H3168" s="1783" t="inlineStr">
        <is>
          <t>SERVIÇO</t>
        </is>
      </c>
      <c r="I3168" s="1750" t="inlineStr">
        <is>
          <t>22.002.005.002</t>
        </is>
      </c>
      <c r="J3168" s="1785" t="inlineStr">
        <is>
          <t>Ligações definitivas</t>
        </is>
      </c>
      <c r="K3168" s="1786" t="inlineStr">
        <is>
          <t>vb</t>
        </is>
      </c>
      <c r="L3168" s="1787" t="n">
        <v>1</v>
      </c>
      <c r="M3168" s="1787" t="n">
        <v>66998.68000000001</v>
      </c>
      <c r="N3168" s="1754" t="n">
        <v>66998.67999999999</v>
      </c>
      <c r="O3168" s="1788" t="n"/>
      <c r="P3168" s="1721" t="inlineStr">
        <is>
          <t>Pendente</t>
        </is>
      </c>
    </row>
    <row r="3169" collapsed="1" ht="13.9" customHeight="1">
      <c r="A3169" s="2117" t="n">
        <v>0</v>
      </c>
      <c r="B3169" s="2117" t="n">
        <v>23</v>
      </c>
      <c r="C3169" s="2117" t="n">
        <v>0</v>
      </c>
      <c r="D3169" s="2118" t="n">
        <v>5</v>
      </c>
      <c r="E3169" s="2118" t="n">
        <v>2</v>
      </c>
      <c r="F3169" s="569" t="n"/>
      <c r="G3169" s="1794" t="n"/>
      <c r="H3169" s="1766" t="inlineStr">
        <is>
          <t>CÉLULA CONSTRUTIVA</t>
        </is>
      </c>
      <c r="I3169" s="1728" t="inlineStr">
        <is>
          <t>23</t>
        </is>
      </c>
      <c r="J3169" s="1795" t="inlineStr">
        <is>
          <t>IMPREVISTOS E CONTINGÊNCIAS</t>
        </is>
      </c>
      <c r="K3169" s="1768" t="n"/>
      <c r="L3169" s="1769" t="n"/>
      <c r="M3169" s="1769" t="n"/>
      <c r="N3169" s="1732" t="n"/>
      <c r="O3169" s="1770" t="n"/>
      <c r="P3169" s="1723" t="n"/>
    </row>
    <row r="3170" hidden="1" outlineLevel="1" ht="13.9" customHeight="1">
      <c r="A3170" s="2117" t="n">
        <v>0</v>
      </c>
      <c r="B3170" s="2117" t="n">
        <v>23</v>
      </c>
      <c r="C3170" s="2117" t="n">
        <v>1</v>
      </c>
      <c r="D3170" s="2118" t="n">
        <v>0</v>
      </c>
      <c r="E3170" s="2118" t="n">
        <v>2</v>
      </c>
      <c r="F3170" s="130" t="n"/>
      <c r="G3170" s="1796" t="n"/>
      <c r="H3170" s="1771" t="inlineStr">
        <is>
          <t>ETAPA</t>
        </is>
      </c>
      <c r="I3170" s="1735" t="inlineStr">
        <is>
          <t>23.001</t>
        </is>
      </c>
      <c r="J3170" s="1773" t="inlineStr">
        <is>
          <t>Imprevistos e contingências</t>
        </is>
      </c>
      <c r="K3170" s="1774" t="n"/>
      <c r="L3170" s="1775" t="n"/>
      <c r="M3170" s="1775" t="n"/>
      <c r="N3170" s="1739" t="n"/>
      <c r="O3170" s="1776" t="n"/>
      <c r="P3170" s="1725" t="n"/>
    </row>
    <row r="3171" hidden="1" outlineLevel="2" ht="13.9" customHeight="1">
      <c r="A3171" s="2117" t="n">
        <v>0</v>
      </c>
      <c r="B3171" s="2117" t="n">
        <v>23</v>
      </c>
      <c r="C3171" s="2117" t="n">
        <v>1</v>
      </c>
      <c r="D3171" s="2118" t="n">
        <v>1</v>
      </c>
      <c r="E3171" s="2118" t="n">
        <v>0</v>
      </c>
      <c r="F3171" s="130" t="n"/>
      <c r="G3171" s="1797" t="n"/>
      <c r="H3171" s="1777" t="inlineStr">
        <is>
          <t>SUBETAPA</t>
        </is>
      </c>
      <c r="I3171" s="1742" t="inlineStr">
        <is>
          <t>23.001.001</t>
        </is>
      </c>
      <c r="J3171" s="1779" t="inlineStr">
        <is>
          <t>Imprevistos e contingências</t>
        </is>
      </c>
      <c r="K3171" s="1780" t="n"/>
      <c r="L3171" s="1781" t="n"/>
      <c r="M3171" s="1781" t="n"/>
      <c r="N3171" s="1746" t="n"/>
      <c r="O3171" s="1782" t="n"/>
      <c r="P3171" s="1720" t="n"/>
    </row>
    <row r="3172" hidden="1" outlineLevel="3" ht="12.75" customHeight="1">
      <c r="A3172" s="2117" t="n">
        <v>0</v>
      </c>
      <c r="B3172" s="2117" t="n">
        <v>23</v>
      </c>
      <c r="C3172" s="2117" t="n">
        <v>1</v>
      </c>
      <c r="D3172" s="2118" t="n">
        <v>1</v>
      </c>
      <c r="E3172" s="2118" t="n">
        <v>1</v>
      </c>
      <c r="F3172" s="130" t="n"/>
      <c r="G3172" s="1798" t="inlineStr">
        <is>
          <t>IMPREVISTOS</t>
        </is>
      </c>
      <c r="H3172" s="1783" t="inlineStr">
        <is>
          <t>SERVIÇO</t>
        </is>
      </c>
      <c r="I3172" s="1784" t="inlineStr">
        <is>
          <t>23.001.001.001</t>
        </is>
      </c>
      <c r="J3172" s="1785" t="inlineStr">
        <is>
          <t>Imprevistos e contingências</t>
        </is>
      </c>
      <c r="K3172" s="1786" t="inlineStr">
        <is>
          <t>vb</t>
        </is>
      </c>
      <c r="L3172" s="1787" t="n">
        <v>1</v>
      </c>
      <c r="M3172" s="1787" t="e">
        <v>#REF!</v>
      </c>
      <c r="N3172" s="1754" t="n"/>
      <c r="O3172" s="1788" t="n"/>
      <c r="P3172" s="1721" t="inlineStr">
        <is>
          <t>Pendente</t>
        </is>
      </c>
    </row>
    <row r="3173" hidden="1" ht="12.75" customHeight="1">
      <c r="A3173" s="2117" t="n">
        <v>0</v>
      </c>
      <c r="B3173" s="2117" t="n">
        <v>23</v>
      </c>
      <c r="C3173" s="2117" t="n">
        <v>1</v>
      </c>
      <c r="D3173" s="2118" t="n">
        <v>1</v>
      </c>
      <c r="E3173" s="2118" t="n">
        <v>1</v>
      </c>
      <c r="G3173" s="59" t="n"/>
      <c r="H3173" s="59" t="n"/>
      <c r="I3173" s="59" t="n"/>
      <c r="J3173" s="62" t="n"/>
      <c r="K3173" s="60" t="n"/>
      <c r="L3173" s="58" t="e">
        <v>#REF!</v>
      </c>
      <c r="M3173" s="2119" t="e">
        <v>#REF!</v>
      </c>
      <c r="N3173" s="61" t="inlineStr">
        <is>
          <t>CÉLULA CONSTRUTIVA</t>
        </is>
      </c>
      <c r="O3173" s="62" t="n"/>
      <c r="P3173" s="63" t="n"/>
    </row>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5"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5"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5"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5"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5"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5"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5" customHeight="1"/>
    <row r="3295" ht="15" customHeight="1"/>
    <row r="3296" ht="15" customHeight="1"/>
    <row r="3297" ht="15" customHeight="1"/>
    <row r="3298" ht="15" customHeight="1"/>
    <row r="3299" ht="15" customHeight="1"/>
    <row r="3300" ht="15" customHeight="1"/>
    <row r="3301" ht="15" customHeight="1"/>
    <row r="3302" ht="15" customHeight="1"/>
    <row r="3303" ht="15" customHeight="1"/>
    <row r="3304" ht="15" customHeight="1"/>
    <row r="3305" ht="15" customHeight="1"/>
    <row r="3306" ht="15" customHeight="1"/>
    <row r="3307" ht="15" customHeight="1"/>
    <row r="3308" ht="15" customHeight="1"/>
    <row r="3309" ht="15" customHeight="1"/>
    <row r="3310" ht="15" customHeight="1"/>
    <row r="3311" ht="15" customHeight="1"/>
    <row r="3312" ht="15" customHeight="1"/>
    <row r="3313" ht="15" customHeight="1"/>
    <row r="3314" ht="15" customHeight="1"/>
    <row r="3315" ht="15" customHeight="1"/>
    <row r="3316" ht="15" customHeight="1"/>
    <row r="3317" ht="15" customHeight="1"/>
    <row r="3318" ht="15" customHeight="1"/>
    <row r="3319" ht="15" customHeight="1"/>
    <row r="3320" ht="15" customHeight="1"/>
    <row r="3321" ht="15" customHeight="1"/>
    <row r="3322" ht="15" customHeight="1"/>
    <row r="3323" ht="15" customHeight="1"/>
    <row r="3324" ht="15"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5"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5" customHeight="1"/>
    <row r="3353" ht="15" customHeight="1"/>
    <row r="3354" ht="15" customHeight="1"/>
    <row r="3355" ht="15" customHeight="1"/>
    <row r="3356" ht="15" customHeight="1"/>
    <row r="3357" ht="15" customHeight="1"/>
    <row r="3358" ht="15" customHeight="1"/>
    <row r="3359" ht="15" customHeight="1"/>
    <row r="3360" ht="15" customHeight="1"/>
    <row r="3361" ht="15"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5" customHeight="1"/>
    <row r="3379" ht="15" customHeight="1"/>
    <row r="3380" ht="15" customHeight="1"/>
    <row r="3381" ht="15" customHeight="1"/>
    <row r="3382" ht="15" customHeight="1"/>
    <row r="3383" ht="15" customHeight="1"/>
    <row r="3384" ht="15" customHeight="1"/>
    <row r="3385" ht="15"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5" customHeight="1"/>
    <row r="3397" ht="15" customHeight="1"/>
    <row r="3398" ht="15" customHeight="1"/>
    <row r="3399" ht="15"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5" customHeight="1"/>
    <row r="3411" ht="15" customHeight="1"/>
    <row r="3412" ht="15" customHeight="1"/>
    <row r="3413" ht="15" customHeight="1"/>
    <row r="3414" ht="15" customHeight="1"/>
    <row r="3415" ht="15" customHeight="1"/>
    <row r="3416" ht="15" customHeight="1"/>
    <row r="3417" ht="15" customHeight="1"/>
    <row r="3418" ht="15" customHeight="1"/>
    <row r="3419" ht="15" customHeight="1"/>
    <row r="3420" ht="15" customHeight="1"/>
    <row r="3421" ht="15" customHeight="1"/>
    <row r="3422" ht="15" customHeight="1"/>
    <row r="3423" ht="15" customHeight="1"/>
    <row r="3424" ht="15" customHeight="1"/>
    <row r="3425" ht="15" customHeight="1"/>
    <row r="3426" ht="15" customHeight="1"/>
    <row r="3427" ht="15" customHeight="1"/>
    <row r="3428" ht="15" customHeight="1"/>
    <row r="3429" ht="15" customHeight="1"/>
    <row r="3430" ht="15" customHeight="1"/>
    <row r="3431" ht="15" customHeight="1"/>
    <row r="3432" ht="15" customHeight="1"/>
    <row r="3433" ht="15" customHeight="1"/>
    <row r="3434" ht="15" customHeight="1"/>
    <row r="3435" ht="15" customHeight="1"/>
    <row r="3436" ht="15" customHeight="1"/>
    <row r="3437" ht="15" customHeight="1"/>
    <row r="3438" ht="15" customHeight="1"/>
    <row r="3439" ht="15" customHeight="1"/>
    <row r="3440" ht="15" customHeight="1"/>
    <row r="3441" ht="15" customHeight="1"/>
    <row r="3442" ht="15" customHeight="1"/>
    <row r="3443" ht="15" customHeight="1"/>
    <row r="3444" ht="15" customHeight="1"/>
    <row r="3445" ht="15" customHeight="1"/>
    <row r="3446" ht="15" customHeight="1"/>
    <row r="3447" ht="15" customHeight="1"/>
    <row r="3448" ht="15" customHeight="1"/>
    <row r="3449" ht="15"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5"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5" customHeight="1"/>
    <row r="3478" ht="15" customHeight="1"/>
    <row r="3479" ht="15" customHeight="1"/>
    <row r="3480" ht="15" customHeight="1"/>
    <row r="3481" ht="15" customHeight="1"/>
    <row r="3482" ht="15" customHeight="1"/>
    <row r="3483" ht="15" customHeight="1"/>
    <row r="3484" ht="15" customHeight="1"/>
    <row r="3485" ht="15" customHeight="1"/>
    <row r="3486" ht="15"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5" customHeight="1"/>
    <row r="3504" ht="15" customHeight="1"/>
    <row r="3505" ht="15" customHeight="1"/>
    <row r="3506" ht="15" customHeight="1"/>
    <row r="3507" ht="15" customHeight="1"/>
    <row r="3508" ht="15" customHeight="1"/>
    <row r="3509" ht="15" customHeight="1"/>
    <row r="3510" ht="15"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5" customHeight="1"/>
    <row r="3522" ht="15" customHeight="1"/>
    <row r="3523" ht="15" customHeight="1"/>
    <row r="3524" ht="15"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5" customHeight="1"/>
    <row r="3536" ht="15" customHeight="1"/>
    <row r="3537" ht="15" customHeight="1"/>
    <row r="3538" ht="15" customHeight="1"/>
    <row r="3539" ht="15" customHeight="1"/>
    <row r="3540" ht="15" customHeight="1"/>
    <row r="3541" ht="15" customHeight="1"/>
    <row r="3542" ht="15" customHeight="1"/>
    <row r="3543" ht="15" customHeight="1"/>
    <row r="3544" ht="15" customHeight="1"/>
    <row r="3545" ht="15" customHeight="1"/>
    <row r="3546" ht="15" customHeight="1"/>
    <row r="3547" ht="15" customHeight="1"/>
    <row r="3548" ht="15" customHeight="1"/>
    <row r="3549" ht="15" customHeight="1"/>
    <row r="3550" ht="15" customHeight="1"/>
    <row r="3551" ht="15" customHeight="1"/>
    <row r="3552" ht="15" customHeight="1"/>
    <row r="3553" ht="15" customHeight="1"/>
    <row r="3554" ht="15" customHeight="1"/>
    <row r="3555" ht="15" customHeight="1"/>
    <row r="3556" ht="15" customHeight="1"/>
    <row r="3557" ht="15" customHeight="1"/>
    <row r="3558" ht="15" customHeight="1"/>
    <row r="3559" ht="15" customHeight="1"/>
    <row r="3560" ht="15" customHeight="1"/>
    <row r="3561" ht="15" customHeight="1"/>
    <row r="3562" ht="15" customHeight="1"/>
    <row r="3563" ht="15" customHeight="1"/>
    <row r="3564" ht="15" customHeight="1"/>
    <row r="3565" ht="15" customHeight="1"/>
    <row r="3566" ht="15" customHeight="1"/>
    <row r="3567" ht="15" customHeight="1"/>
    <row r="3568" ht="15" customHeight="1"/>
    <row r="3569" ht="15" customHeight="1"/>
    <row r="3570" ht="15" customHeight="1"/>
    <row r="3571" ht="15" customHeight="1"/>
    <row r="3572" ht="15" customHeight="1"/>
    <row r="3573" ht="15" customHeight="1"/>
    <row r="3574" ht="15"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5"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5" customHeight="1"/>
    <row r="3603" ht="15" customHeight="1"/>
    <row r="3604" ht="15" customHeight="1"/>
    <row r="3605" ht="15" customHeight="1"/>
    <row r="3606" ht="15" customHeight="1"/>
    <row r="3607" ht="15" customHeight="1"/>
    <row r="3608" ht="15" customHeight="1"/>
    <row r="3609" ht="15" customHeight="1"/>
    <row r="3610" ht="15" customHeight="1"/>
    <row r="3611" ht="15"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5" customHeight="1"/>
    <row r="3629" ht="15" customHeight="1"/>
    <row r="3630" ht="15" customHeight="1"/>
    <row r="3631" ht="15" customHeight="1"/>
    <row r="3632" ht="15" customHeight="1"/>
    <row r="3633" ht="15" customHeight="1"/>
    <row r="3634" ht="15" customHeight="1"/>
    <row r="3635" ht="15"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5" customHeight="1"/>
    <row r="3647" ht="15" customHeight="1"/>
    <row r="3648" ht="15" customHeight="1"/>
    <row r="3649" ht="15"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5" customHeight="1"/>
    <row r="3661" ht="15" customHeight="1"/>
    <row r="3662" ht="15" customHeight="1"/>
    <row r="3663" ht="15" customHeight="1"/>
    <row r="3664" ht="15" customHeight="1"/>
    <row r="3665" ht="15" customHeight="1"/>
    <row r="3666" ht="15" customHeight="1"/>
    <row r="3667" ht="15" customHeight="1"/>
    <row r="3668" ht="15" customHeight="1"/>
    <row r="3669" ht="15" customHeight="1"/>
    <row r="3670" ht="15" customHeight="1"/>
    <row r="3671" ht="15" customHeight="1"/>
    <row r="3672" ht="15" customHeight="1"/>
    <row r="3673" ht="15" customHeight="1"/>
    <row r="3674" ht="15" customHeight="1"/>
    <row r="3675" ht="15" customHeight="1"/>
    <row r="3676" ht="15" customHeight="1"/>
    <row r="3677" ht="15" customHeight="1"/>
    <row r="3678" ht="15" customHeight="1"/>
    <row r="3679" ht="15" customHeight="1"/>
    <row r="3680" ht="15" customHeight="1"/>
    <row r="3681" ht="15" customHeight="1"/>
    <row r="3682" ht="15" customHeight="1"/>
    <row r="3683" ht="15" customHeight="1"/>
    <row r="3684" ht="15" customHeight="1"/>
    <row r="3685" ht="15" customHeight="1"/>
    <row r="3686" ht="15" customHeight="1"/>
    <row r="3687" ht="15" customHeight="1"/>
    <row r="3688" ht="15" customHeight="1"/>
    <row r="3689" ht="15" customHeight="1"/>
    <row r="3690" ht="15" customHeight="1"/>
    <row r="3691" ht="15" customHeight="1"/>
    <row r="3692" ht="15" customHeight="1"/>
    <row r="3693" ht="15" customHeight="1"/>
    <row r="3694" ht="15" customHeight="1"/>
    <row r="3695" ht="15" customHeight="1"/>
    <row r="3696" ht="15" customHeight="1"/>
    <row r="3697" ht="15" customHeight="1"/>
    <row r="3698" ht="15" customHeight="1"/>
    <row r="3699" ht="15"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5"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5" customHeight="1"/>
    <row r="3728" ht="15" customHeight="1"/>
    <row r="3729" ht="15" customHeight="1"/>
    <row r="3730" ht="15" customHeight="1"/>
    <row r="3731" ht="15" customHeight="1"/>
    <row r="3732" ht="15" customHeight="1"/>
    <row r="3733" ht="15" customHeight="1"/>
    <row r="3734" ht="15" customHeight="1"/>
    <row r="3735" ht="15" customHeight="1"/>
    <row r="3736" ht="15"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5" customHeight="1"/>
    <row r="3754" ht="15" customHeight="1"/>
    <row r="3755" ht="15" customHeight="1"/>
    <row r="3756" ht="15" customHeight="1"/>
    <row r="3757" ht="15" customHeight="1"/>
    <row r="3758" ht="15" customHeight="1"/>
    <row r="3759" ht="15" customHeight="1"/>
    <row r="3760" ht="15"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5" customHeight="1"/>
    <row r="3772" ht="15" customHeight="1"/>
    <row r="3773" ht="15" customHeight="1"/>
    <row r="3774" ht="15"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5" customHeight="1"/>
    <row r="3786" ht="15" customHeight="1"/>
    <row r="3787" ht="15" customHeight="1"/>
    <row r="3788" ht="15" customHeight="1"/>
    <row r="3789" ht="15" customHeight="1"/>
    <row r="3790" ht="15" customHeight="1"/>
    <row r="3791" ht="15" customHeight="1"/>
    <row r="3792" ht="15" customHeight="1"/>
    <row r="3793" ht="15" customHeight="1"/>
    <row r="3794" ht="15" customHeight="1"/>
    <row r="3795" ht="15" customHeight="1"/>
    <row r="3796" ht="15" customHeight="1"/>
    <row r="3797" ht="15" customHeight="1"/>
    <row r="3798" ht="15" customHeight="1"/>
    <row r="3799" ht="15" customHeight="1"/>
    <row r="3800" ht="15" customHeight="1"/>
    <row r="3801" ht="15" customHeight="1"/>
    <row r="3802" ht="15" customHeight="1"/>
    <row r="3803" ht="15" customHeight="1"/>
    <row r="3804" ht="15" customHeight="1"/>
    <row r="3805" ht="15" customHeight="1"/>
    <row r="3806" ht="15" customHeight="1"/>
    <row r="3807" ht="15" customHeight="1"/>
    <row r="3808" ht="15" customHeight="1"/>
    <row r="3809" ht="15" customHeight="1"/>
    <row r="3810" ht="15" customHeight="1"/>
    <row r="3811" ht="15" customHeight="1"/>
    <row r="3812" ht="15" customHeight="1"/>
    <row r="3813" ht="15" customHeight="1"/>
    <row r="3814" ht="15" customHeight="1"/>
    <row r="3815" ht="15" customHeight="1"/>
    <row r="3816" ht="15" customHeight="1"/>
    <row r="3817" ht="15" customHeight="1"/>
    <row r="3818" ht="15" customHeight="1"/>
    <row r="3819" ht="15" customHeight="1"/>
    <row r="3820" ht="15" customHeight="1"/>
    <row r="3821" ht="15" customHeight="1"/>
    <row r="3822" ht="15" customHeight="1"/>
    <row r="3823" ht="15" customHeight="1"/>
    <row r="3824" ht="15"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5"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5" customHeight="1"/>
    <row r="3853" ht="15" customHeight="1"/>
    <row r="3854" ht="15" customHeight="1"/>
    <row r="3855" ht="15" customHeight="1"/>
    <row r="3856" ht="15" customHeight="1"/>
    <row r="3857" ht="15" customHeight="1"/>
    <row r="3858" ht="15" customHeight="1"/>
    <row r="3859" ht="15" customHeight="1"/>
    <row r="3860" ht="15" customHeight="1"/>
    <row r="3861" ht="15"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5" customHeight="1"/>
    <row r="3879" ht="15" customHeight="1"/>
    <row r="3880" ht="15" customHeight="1"/>
    <row r="3881" ht="15" customHeight="1"/>
    <row r="3882" ht="15" customHeight="1"/>
    <row r="3883" ht="15" customHeight="1"/>
    <row r="3884" ht="15" customHeight="1"/>
    <row r="3885" ht="15"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5" customHeight="1"/>
    <row r="3897" ht="15" customHeight="1"/>
    <row r="3898" ht="15" customHeight="1"/>
    <row r="3899" ht="15"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5" customHeight="1"/>
    <row r="3911" ht="15" customHeight="1"/>
    <row r="3912" ht="15" customHeight="1"/>
    <row r="3913" ht="15" customHeight="1"/>
    <row r="3914" ht="15" customHeight="1"/>
    <row r="3915" ht="15" customHeight="1"/>
    <row r="3916" ht="15" customHeight="1"/>
    <row r="3917" ht="15" customHeight="1"/>
    <row r="3918" ht="15" customHeight="1"/>
    <row r="3919" ht="15" customHeight="1"/>
    <row r="3920" ht="15" customHeight="1"/>
    <row r="3921" ht="15" customHeight="1"/>
    <row r="3922" ht="15" customHeight="1"/>
    <row r="3923" ht="15" customHeight="1"/>
    <row r="3924" ht="15" customHeight="1"/>
    <row r="3925" ht="15" customHeight="1"/>
    <row r="3926" ht="15" customHeight="1"/>
    <row r="3927" ht="15" customHeight="1"/>
    <row r="3928" ht="15" customHeight="1"/>
    <row r="3929" ht="15" customHeight="1"/>
    <row r="3930" ht="15" customHeight="1"/>
    <row r="3931" ht="15" customHeight="1"/>
    <row r="3932" ht="15" customHeight="1"/>
    <row r="3933" ht="15" customHeight="1"/>
    <row r="3934" ht="15" customHeight="1"/>
    <row r="3935" ht="15" customHeight="1"/>
    <row r="3936" ht="15" customHeight="1"/>
    <row r="3937" ht="15" customHeight="1"/>
    <row r="3938" ht="15" customHeight="1"/>
    <row r="3939" ht="15" customHeight="1"/>
    <row r="3940" ht="15" customHeight="1"/>
    <row r="3941" ht="15" customHeight="1"/>
    <row r="3942" ht="15" customHeight="1"/>
    <row r="3943" ht="15" customHeight="1"/>
    <row r="3944" ht="15" customHeight="1"/>
    <row r="3945" ht="15" customHeight="1"/>
    <row r="3946" ht="15" customHeight="1"/>
    <row r="3947" ht="15" customHeight="1"/>
    <row r="3948" ht="15" customHeight="1"/>
    <row r="3949" ht="15"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5"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5" customHeight="1"/>
    <row r="3978" ht="15" customHeight="1"/>
    <row r="3979" ht="15" customHeight="1"/>
    <row r="3980" ht="15" customHeight="1"/>
    <row r="3981" ht="15" customHeight="1"/>
    <row r="3982" ht="15" customHeight="1"/>
    <row r="3983" ht="15" customHeight="1"/>
    <row r="3984" ht="15" customHeight="1"/>
    <row r="3985" ht="15" customHeight="1"/>
    <row r="3986" ht="15"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5" customHeight="1"/>
    <row r="4004" ht="15" customHeight="1"/>
    <row r="4005" ht="15" customHeight="1"/>
    <row r="4006" ht="15" customHeight="1"/>
    <row r="4007" ht="15" customHeight="1"/>
    <row r="4008" ht="15" customHeight="1"/>
    <row r="4009" ht="15" customHeight="1"/>
    <row r="4010" ht="15"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5" customHeight="1"/>
    <row r="4022" ht="15" customHeight="1"/>
    <row r="4023" ht="15" customHeight="1"/>
    <row r="4024" ht="15"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5" customHeight="1"/>
    <row r="4036" ht="15" customHeight="1"/>
    <row r="4037" ht="15" customHeight="1"/>
    <row r="4038" ht="15" customHeight="1"/>
    <row r="4039" ht="15" customHeight="1"/>
    <row r="4040" ht="15" customHeight="1"/>
    <row r="4041" ht="15" customHeight="1"/>
    <row r="4042" ht="15" customHeight="1"/>
    <row r="4043" ht="15" customHeight="1"/>
    <row r="4044" ht="15" customHeight="1"/>
    <row r="4045" ht="15" customHeight="1"/>
    <row r="4046" ht="15" customHeight="1"/>
    <row r="4047" ht="15" customHeight="1"/>
    <row r="4048" ht="15" customHeight="1"/>
    <row r="4049" ht="15" customHeight="1"/>
    <row r="4050" ht="15" customHeight="1"/>
    <row r="4051" ht="15" customHeight="1"/>
    <row r="4052" ht="15" customHeight="1"/>
    <row r="4053" ht="15" customHeight="1"/>
    <row r="4054" ht="15" customHeight="1"/>
    <row r="4055" ht="15" customHeight="1"/>
    <row r="4056" ht="15" customHeight="1"/>
    <row r="4057" ht="15" customHeight="1"/>
    <row r="4058" ht="15" customHeight="1"/>
    <row r="4059" ht="15" customHeight="1"/>
    <row r="4060" ht="15" customHeight="1"/>
    <row r="4061" ht="15" customHeight="1"/>
    <row r="4062" ht="15" customHeight="1"/>
    <row r="4063" ht="15" customHeight="1"/>
    <row r="4064" ht="15" customHeight="1"/>
    <row r="4065" ht="15" customHeight="1"/>
    <row r="4066" ht="15" customHeight="1"/>
    <row r="4067" ht="15" customHeight="1"/>
    <row r="4068" ht="15" customHeight="1"/>
    <row r="4069" ht="15" customHeight="1"/>
    <row r="4070" ht="15" customHeight="1"/>
    <row r="4071" ht="15" customHeight="1"/>
    <row r="4072" ht="15" customHeight="1"/>
    <row r="4073" ht="15" customHeight="1"/>
    <row r="4074" ht="15"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5"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5" customHeight="1"/>
    <row r="4103" ht="15" customHeight="1"/>
    <row r="4104" ht="15" customHeight="1"/>
    <row r="4105" ht="15" customHeight="1"/>
    <row r="4106" ht="15" customHeight="1"/>
    <row r="4107" ht="15" customHeight="1"/>
    <row r="4108" ht="15" customHeight="1"/>
    <row r="4109" ht="15" customHeight="1"/>
    <row r="4110" ht="15" customHeight="1"/>
    <row r="4111" ht="15"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5" customHeight="1"/>
    <row r="4129" ht="15" customHeight="1"/>
    <row r="4130" ht="15" customHeight="1"/>
    <row r="4131" ht="15" customHeight="1"/>
    <row r="4132" ht="15" customHeight="1"/>
    <row r="4133" ht="15" customHeight="1"/>
    <row r="4134" ht="15" customHeight="1"/>
    <row r="4135" ht="15"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5" customHeight="1"/>
    <row r="4147" ht="15" customHeight="1"/>
    <row r="4148" ht="15" customHeight="1"/>
    <row r="4149" ht="15"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5" customHeight="1"/>
    <row r="4161" ht="15" customHeight="1"/>
    <row r="4162" ht="15" customHeight="1"/>
    <row r="4163" ht="15" customHeight="1"/>
    <row r="4164" ht="15" customHeight="1"/>
    <row r="4165" ht="15" customHeight="1"/>
    <row r="4166" ht="15" customHeight="1"/>
    <row r="4167" ht="15" customHeight="1"/>
    <row r="4168" ht="15" customHeight="1"/>
    <row r="4169" ht="15" customHeight="1"/>
    <row r="4170" ht="15" customHeight="1"/>
    <row r="4171" ht="15" customHeight="1"/>
    <row r="4172" ht="15" customHeight="1"/>
    <row r="4173" ht="15" customHeight="1"/>
    <row r="4174" ht="15" customHeight="1"/>
    <row r="4175" ht="15" customHeight="1"/>
    <row r="4176" ht="15" customHeight="1"/>
    <row r="4177" ht="15" customHeight="1"/>
    <row r="4178" ht="15" customHeight="1"/>
    <row r="4179" ht="15" customHeight="1"/>
    <row r="4180" ht="15" customHeight="1"/>
    <row r="4181" ht="15" customHeight="1"/>
    <row r="4182" ht="15" customHeight="1"/>
    <row r="4183" ht="15" customHeight="1"/>
    <row r="4184" ht="15" customHeight="1"/>
    <row r="4185" ht="15" customHeight="1"/>
    <row r="4186" ht="15" customHeight="1"/>
    <row r="4187" ht="15" customHeight="1"/>
    <row r="4188" ht="15" customHeight="1"/>
    <row r="4189" ht="15" customHeight="1"/>
    <row r="4190" ht="15" customHeight="1"/>
    <row r="4191" ht="15" customHeight="1"/>
    <row r="4192" ht="15" customHeight="1"/>
    <row r="4193" ht="15" customHeight="1"/>
    <row r="4194" ht="15" customHeight="1"/>
    <row r="4195" ht="15" customHeight="1"/>
    <row r="4196" ht="15" customHeight="1"/>
    <row r="4197" ht="15" customHeight="1"/>
    <row r="4198" ht="15" customHeight="1"/>
    <row r="4199" ht="15"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5"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5" customHeight="1"/>
    <row r="4228" ht="15" customHeight="1"/>
    <row r="4229" ht="15" customHeight="1"/>
    <row r="4230" ht="15" customHeight="1"/>
    <row r="4231" ht="15" customHeight="1"/>
    <row r="4232" ht="15" customHeight="1"/>
    <row r="4233" ht="15" customHeight="1"/>
    <row r="4234" ht="15" customHeight="1"/>
    <row r="4235" ht="15" customHeight="1"/>
    <row r="4236" ht="15"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5" customHeight="1"/>
    <row r="4254" ht="15" customHeight="1"/>
    <row r="4255" ht="15" customHeight="1"/>
    <row r="4256" ht="15" customHeight="1"/>
    <row r="4257" ht="15" customHeight="1"/>
    <row r="4258" ht="15" customHeight="1"/>
    <row r="4259" ht="15" customHeight="1"/>
    <row r="4260" ht="15"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5" customHeight="1"/>
    <row r="4272" ht="15" customHeight="1"/>
    <row r="4273" ht="15" customHeight="1"/>
    <row r="4274" ht="15"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5" customHeight="1"/>
    <row r="4286" ht="15" customHeight="1"/>
    <row r="4287" ht="15" customHeight="1"/>
    <row r="4288" ht="15" customHeight="1"/>
    <row r="4289" ht="15" customHeight="1"/>
    <row r="4290" ht="15" customHeight="1"/>
    <row r="4291" ht="15" customHeight="1"/>
    <row r="4292" ht="15" customHeight="1"/>
    <row r="4293" ht="15" customHeight="1"/>
    <row r="4294" ht="15" customHeight="1"/>
    <row r="4295" ht="15" customHeight="1"/>
    <row r="4296" ht="15" customHeight="1"/>
    <row r="4297" ht="15" customHeight="1"/>
    <row r="4298" ht="15" customHeight="1"/>
    <row r="4299" ht="15" customHeight="1"/>
    <row r="4300" ht="15" customHeight="1"/>
    <row r="4301" ht="15" customHeight="1"/>
    <row r="4302" ht="15" customHeight="1"/>
    <row r="4303" ht="15" customHeight="1"/>
    <row r="4304" ht="15" customHeight="1"/>
    <row r="4305" ht="15" customHeight="1"/>
    <row r="4306" ht="15" customHeight="1"/>
    <row r="4307" ht="15" customHeight="1"/>
    <row r="4308" ht="15" customHeight="1"/>
    <row r="4309" ht="15" customHeight="1"/>
    <row r="4310" ht="15" customHeight="1"/>
    <row r="4311" ht="15" customHeight="1"/>
    <row r="4312" ht="15" customHeight="1"/>
    <row r="4313" ht="15" customHeight="1"/>
    <row r="4314" ht="15" customHeight="1"/>
    <row r="4315" ht="15" customHeight="1"/>
    <row r="4316" ht="15" customHeight="1"/>
    <row r="4317" ht="15" customHeight="1"/>
    <row r="4318" ht="15" customHeight="1"/>
    <row r="4319" ht="15" customHeight="1"/>
    <row r="4320" ht="15" customHeight="1"/>
    <row r="4321" ht="15" customHeight="1"/>
    <row r="4322" ht="15" customHeight="1"/>
    <row r="4323" ht="15" customHeight="1"/>
    <row r="4324" ht="15"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5"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5" customHeight="1"/>
    <row r="4353" ht="15" customHeight="1"/>
    <row r="4354" ht="15" customHeight="1"/>
    <row r="4355" ht="15" customHeight="1"/>
    <row r="4356" ht="15" customHeight="1"/>
    <row r="4357" ht="15" customHeight="1"/>
    <row r="4358" ht="15" customHeight="1"/>
    <row r="4359" ht="15" customHeight="1"/>
    <row r="4360" ht="15" customHeight="1"/>
    <row r="4361" ht="15"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5" customHeight="1"/>
    <row r="4379" ht="15" customHeight="1"/>
    <row r="4380" ht="15" customHeight="1"/>
    <row r="4381" ht="15" customHeight="1"/>
    <row r="4382" ht="15" customHeight="1"/>
    <row r="4383" ht="15" customHeight="1"/>
    <row r="4384" ht="15" customHeight="1"/>
    <row r="4385" ht="15"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5" customHeight="1"/>
    <row r="4397" ht="15" customHeight="1"/>
    <row r="4398" ht="15" customHeight="1"/>
    <row r="4399" ht="15"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row r="4410" ht="15" customHeight="1"/>
    <row r="4411" ht="15" customHeight="1"/>
    <row r="4412" ht="15" customHeight="1"/>
    <row r="4413" ht="15" customHeight="1"/>
    <row r="4414" ht="15" customHeight="1"/>
    <row r="4415" ht="15" customHeight="1"/>
    <row r="4416" ht="15" customHeight="1"/>
    <row r="4417" ht="15" customHeight="1"/>
    <row r="4418" ht="15" customHeight="1"/>
    <row r="4419" ht="15" customHeight="1"/>
    <row r="4420" ht="15" customHeight="1"/>
    <row r="4421" ht="15" customHeight="1"/>
    <row r="4422" ht="15" customHeight="1"/>
    <row r="4423" ht="15" customHeight="1"/>
    <row r="4424" ht="15" customHeight="1"/>
    <row r="4425" ht="15" customHeight="1"/>
    <row r="4426" ht="15" customHeight="1"/>
    <row r="4427" ht="15" customHeight="1"/>
    <row r="4428" ht="15" customHeight="1"/>
    <row r="4429" ht="15" customHeight="1"/>
    <row r="4430" ht="15" customHeight="1"/>
    <row r="4431" ht="15" customHeight="1"/>
    <row r="4432" ht="15" customHeight="1"/>
    <row r="4433" ht="15" customHeight="1"/>
    <row r="4434" ht="15" customHeight="1"/>
    <row r="4435" ht="15" customHeight="1"/>
    <row r="4436" ht="15" customHeight="1"/>
    <row r="4437" ht="15" customHeight="1"/>
    <row r="4438" ht="15" customHeight="1"/>
    <row r="4439" ht="15" customHeight="1"/>
    <row r="4440" ht="15" customHeight="1"/>
    <row r="4441" ht="15" customHeight="1"/>
    <row r="4442" ht="15" customHeight="1"/>
    <row r="4443" ht="15" customHeight="1"/>
    <row r="4444" ht="15" customHeight="1"/>
    <row r="4445" ht="15" customHeight="1"/>
    <row r="4446" ht="15" customHeight="1"/>
    <row r="4447" ht="15" customHeight="1"/>
    <row r="4448" ht="15" customHeight="1"/>
    <row r="4449" ht="15" customHeight="1"/>
    <row r="4450" ht="15" customHeight="1"/>
    <row r="4451" ht="15" customHeight="1"/>
    <row r="4452" ht="15" customHeight="1"/>
    <row r="4453" ht="15" customHeight="1"/>
    <row r="4454" ht="15" customHeight="1"/>
    <row r="4455" ht="15" customHeight="1"/>
    <row r="4456" ht="15" customHeight="1"/>
    <row r="4457" ht="15" customHeight="1"/>
    <row r="4458" ht="15" customHeight="1"/>
    <row r="4459" ht="15" customHeight="1"/>
    <row r="4460" ht="15" customHeight="1"/>
    <row r="4461" ht="15" customHeight="1"/>
    <row r="4462" ht="15" customHeight="1"/>
    <row r="4463" ht="15" customHeight="1"/>
    <row r="4464" ht="15" customHeight="1"/>
    <row r="4465" ht="15" customHeight="1"/>
    <row r="4466" ht="15" customHeight="1"/>
    <row r="4467" ht="15" customHeight="1"/>
    <row r="4468" ht="15" customHeight="1"/>
    <row r="4469" ht="15" customHeight="1"/>
    <row r="4470" ht="15" customHeight="1"/>
    <row r="4471" ht="15" customHeight="1"/>
    <row r="4472" ht="15" customHeight="1"/>
    <row r="4473" ht="15" customHeight="1"/>
    <row r="4474" ht="15" customHeight="1"/>
    <row r="4475" ht="15" customHeight="1"/>
    <row r="4476" ht="15" customHeight="1"/>
    <row r="4477" ht="15" customHeight="1"/>
    <row r="4478" ht="15" customHeight="1"/>
    <row r="4479" ht="15" customHeight="1"/>
    <row r="4480" ht="15" customHeight="1"/>
    <row r="4481" ht="15" customHeight="1"/>
    <row r="4482" ht="15" customHeight="1"/>
    <row r="4483" ht="15" customHeight="1"/>
    <row r="4484" ht="15" customHeight="1"/>
    <row r="4485" ht="15" customHeight="1"/>
    <row r="4486" ht="15" customHeight="1"/>
    <row r="4487" ht="15" customHeight="1"/>
    <row r="4488" ht="15" customHeight="1"/>
    <row r="4489" ht="15" customHeight="1"/>
    <row r="4490" ht="15" customHeight="1"/>
    <row r="4491" ht="15" customHeight="1"/>
    <row r="4492" ht="15" customHeight="1"/>
    <row r="4493" ht="15" customHeight="1"/>
    <row r="4494" ht="15" customHeight="1"/>
    <row r="4495" ht="15" customHeight="1"/>
    <row r="4496" ht="15" customHeight="1"/>
    <row r="4497" ht="15" customHeight="1"/>
    <row r="4498" ht="15" customHeight="1"/>
    <row r="4499" ht="15" customHeight="1"/>
    <row r="4500" ht="15" customHeight="1"/>
    <row r="4501" ht="15" customHeight="1"/>
    <row r="4502" ht="15" customHeight="1"/>
    <row r="4503" ht="15" customHeight="1"/>
    <row r="4504" ht="15" customHeight="1"/>
    <row r="4505" ht="15" customHeight="1"/>
    <row r="4506" ht="15" customHeight="1"/>
    <row r="4507" ht="15" customHeight="1"/>
    <row r="4508" ht="15" customHeight="1"/>
    <row r="4509" ht="15" customHeight="1"/>
    <row r="4510" ht="15" customHeight="1"/>
    <row r="4511" ht="15" customHeight="1"/>
    <row r="4512" ht="15" customHeight="1"/>
    <row r="4513" ht="15" customHeight="1"/>
    <row r="4514" ht="15" customHeight="1"/>
    <row r="4515" ht="15" customHeight="1"/>
    <row r="4516" ht="15" customHeight="1"/>
    <row r="4517" ht="15" customHeight="1"/>
    <row r="4518" ht="15" customHeight="1"/>
    <row r="4519" ht="15" customHeight="1"/>
    <row r="4520" ht="15" customHeight="1"/>
    <row r="4521" ht="15" customHeight="1"/>
    <row r="4522" ht="15" customHeight="1"/>
    <row r="4523" ht="15" customHeight="1"/>
    <row r="4524" ht="15" customHeight="1"/>
    <row r="4525" ht="15" customHeight="1"/>
    <row r="4526" ht="15" customHeight="1"/>
    <row r="4527" ht="15" customHeight="1"/>
    <row r="4528" ht="15" customHeight="1"/>
    <row r="4529" ht="15" customHeight="1"/>
    <row r="4530" ht="15" customHeight="1"/>
    <row r="4531" ht="15" customHeight="1"/>
    <row r="4532" ht="15" customHeight="1"/>
    <row r="4533" ht="15" customHeight="1"/>
    <row r="4534" ht="15" customHeight="1"/>
    <row r="4535" ht="15" customHeight="1"/>
    <row r="4536" ht="15" customHeight="1"/>
    <row r="4537" ht="15" customHeight="1"/>
    <row r="4538" ht="15" customHeight="1"/>
    <row r="4539" ht="15" customHeight="1"/>
    <row r="4540" ht="15" customHeight="1"/>
    <row r="4541" ht="15" customHeight="1"/>
    <row r="4542" ht="15" customHeight="1"/>
    <row r="4543" ht="15" customHeight="1"/>
    <row r="4544" ht="15" customHeight="1"/>
    <row r="4545" ht="15" customHeight="1"/>
    <row r="4546" ht="15" customHeight="1"/>
    <row r="4547" ht="15" customHeight="1"/>
    <row r="4548" ht="15" customHeight="1"/>
    <row r="4549" ht="15" customHeight="1"/>
    <row r="4550" ht="15" customHeight="1"/>
    <row r="4551" ht="15" customHeight="1"/>
    <row r="4552" ht="15" customHeight="1"/>
    <row r="4553" ht="15" customHeight="1"/>
    <row r="4554" ht="15" customHeight="1"/>
    <row r="4555" ht="15" customHeight="1"/>
    <row r="4556" ht="15" customHeight="1"/>
    <row r="4557" ht="15" customHeight="1"/>
    <row r="4558" ht="15" customHeight="1"/>
    <row r="4559" ht="15" customHeight="1"/>
    <row r="4560" ht="15" customHeight="1"/>
    <row r="4561" ht="15" customHeight="1"/>
    <row r="4562" ht="15" customHeight="1"/>
    <row r="4563" ht="15" customHeight="1"/>
    <row r="4564" ht="15" customHeight="1"/>
    <row r="4565" ht="15" customHeight="1"/>
    <row r="4566" ht="15" customHeight="1"/>
    <row r="4567" ht="15" customHeight="1"/>
    <row r="4568" ht="15" customHeight="1"/>
    <row r="4569" ht="15" customHeight="1"/>
    <row r="4570" ht="15" customHeight="1"/>
    <row r="4571" ht="15" customHeight="1"/>
    <row r="4572" ht="15" customHeight="1"/>
    <row r="4573" ht="15" customHeight="1"/>
    <row r="4574" ht="15" customHeight="1"/>
    <row r="4575" ht="15" customHeight="1"/>
    <row r="4576" ht="15" customHeight="1"/>
    <row r="4577" ht="15" customHeight="1"/>
    <row r="4578" ht="15" customHeight="1"/>
    <row r="4579" ht="15" customHeight="1"/>
    <row r="4580" ht="15" customHeight="1"/>
    <row r="4581" ht="15" customHeight="1"/>
    <row r="4582" ht="15" customHeight="1"/>
    <row r="4583" ht="15" customHeight="1"/>
    <row r="4584" ht="15" customHeight="1"/>
    <row r="4585" ht="15" customHeight="1"/>
    <row r="4586" ht="15" customHeight="1"/>
    <row r="4587" ht="15" customHeight="1"/>
    <row r="4588" ht="15" customHeight="1"/>
    <row r="4589" ht="15" customHeight="1"/>
    <row r="4590" ht="15" customHeight="1"/>
    <row r="4591" ht="15" customHeight="1"/>
    <row r="4592" ht="15" customHeight="1"/>
    <row r="4593" ht="15" customHeight="1"/>
    <row r="4594" ht="15" customHeight="1"/>
    <row r="4595" ht="15" customHeight="1"/>
    <row r="4596" ht="15" customHeight="1"/>
    <row r="4597" ht="15" customHeight="1"/>
    <row r="4598" ht="15" customHeight="1"/>
    <row r="4599" ht="15" customHeight="1"/>
    <row r="4600" ht="15" customHeight="1"/>
    <row r="4601" ht="15" customHeight="1"/>
    <row r="4602" ht="15" customHeight="1"/>
    <row r="4603" ht="15" customHeight="1"/>
    <row r="4604" ht="15" customHeight="1"/>
    <row r="4605" ht="15" customHeight="1"/>
    <row r="4606" ht="15" customHeight="1"/>
    <row r="4607" ht="15" customHeight="1"/>
    <row r="4608" ht="15" customHeight="1"/>
    <row r="4609" ht="15" customHeight="1"/>
    <row r="4610" ht="15" customHeight="1"/>
    <row r="4611" ht="15" customHeight="1"/>
    <row r="4612" ht="15" customHeight="1"/>
    <row r="4613" ht="15" customHeight="1"/>
    <row r="4614" ht="15" customHeight="1"/>
    <row r="4615" ht="15" customHeight="1"/>
    <row r="4616" ht="15" customHeight="1"/>
    <row r="4617" ht="15" customHeight="1"/>
    <row r="4618" ht="15" customHeight="1"/>
    <row r="4619" ht="15" customHeight="1"/>
    <row r="4620" ht="15" customHeight="1"/>
    <row r="4621" ht="15" customHeight="1"/>
    <row r="4622" ht="15" customHeight="1"/>
    <row r="4623" ht="15" customHeight="1"/>
    <row r="4624" ht="15" customHeight="1"/>
    <row r="4625" ht="15" customHeight="1"/>
    <row r="4626" ht="15" customHeight="1"/>
    <row r="4627" ht="15" customHeight="1"/>
    <row r="4628" ht="15" customHeight="1"/>
    <row r="4629" ht="15" customHeight="1"/>
    <row r="4630" ht="15" customHeight="1"/>
    <row r="4631" ht="15" customHeight="1"/>
    <row r="4632" ht="15" customHeight="1"/>
    <row r="4633" ht="15" customHeight="1"/>
    <row r="4634" ht="15" customHeight="1"/>
    <row r="4635" ht="15" customHeight="1"/>
    <row r="4636" ht="15" customHeight="1"/>
    <row r="4637" ht="15" customHeight="1"/>
    <row r="4638" ht="15" customHeight="1"/>
    <row r="4639" ht="15" customHeight="1"/>
    <row r="4640" ht="15" customHeight="1"/>
    <row r="4641" ht="15" customHeight="1"/>
    <row r="4642" ht="15" customHeight="1"/>
    <row r="4643" ht="15" customHeight="1"/>
    <row r="4644" ht="15" customHeight="1"/>
    <row r="4645" ht="15" customHeight="1"/>
    <row r="4646" ht="15" customHeight="1"/>
    <row r="4647" ht="15" customHeight="1"/>
    <row r="4648" ht="15" customHeight="1"/>
    <row r="4649" ht="15" customHeight="1"/>
    <row r="4650" ht="15" customHeight="1"/>
    <row r="4651" ht="15" customHeight="1"/>
    <row r="4652" ht="15" customHeight="1"/>
    <row r="4653" ht="15" customHeight="1"/>
    <row r="4654" ht="15" customHeight="1"/>
    <row r="4655" ht="15" customHeight="1"/>
    <row r="4656" ht="15" customHeight="1"/>
    <row r="4657" ht="15" customHeight="1"/>
    <row r="4658" ht="15" customHeight="1"/>
    <row r="4659" ht="15" customHeight="1"/>
    <row r="4660" ht="15" customHeight="1"/>
    <row r="4661" ht="15" customHeight="1"/>
    <row r="4662" ht="15" customHeight="1"/>
    <row r="4663" ht="15" customHeight="1"/>
    <row r="4664" ht="15" customHeight="1"/>
    <row r="4665" ht="15" customHeight="1"/>
    <row r="4666" ht="15" customHeight="1"/>
    <row r="4667" ht="15" customHeight="1"/>
    <row r="4668" ht="15" customHeight="1"/>
    <row r="4669" ht="15" customHeight="1"/>
    <row r="4670" ht="15" customHeight="1"/>
    <row r="4671" ht="15" customHeight="1"/>
    <row r="4672" ht="15" customHeight="1"/>
    <row r="4673" ht="15" customHeight="1"/>
    <row r="4674" ht="15" customHeight="1"/>
    <row r="4675" ht="15" customHeight="1"/>
    <row r="4676" ht="15" customHeight="1"/>
    <row r="4677" ht="15" customHeight="1"/>
    <row r="4678" ht="15" customHeight="1"/>
    <row r="4679" ht="15" customHeight="1"/>
    <row r="4680" ht="15" customHeight="1"/>
    <row r="4681" ht="15" customHeight="1"/>
    <row r="4682" ht="15" customHeight="1"/>
    <row r="4683" ht="15" customHeight="1"/>
    <row r="4684" ht="15" customHeight="1"/>
    <row r="4685" ht="15" customHeight="1"/>
    <row r="4686" ht="15" customHeight="1"/>
    <row r="4687" ht="15" customHeight="1"/>
    <row r="4688" ht="15" customHeight="1"/>
    <row r="4689" ht="15" customHeight="1"/>
    <row r="4690" ht="15" customHeight="1"/>
    <row r="4691" ht="15" customHeight="1"/>
    <row r="4692" ht="15" customHeight="1"/>
    <row r="4693" ht="15" customHeight="1"/>
    <row r="4694" ht="15" customHeight="1"/>
    <row r="4695" ht="15" customHeight="1"/>
    <row r="4696" ht="15" customHeight="1"/>
    <row r="4697" ht="15" customHeight="1"/>
    <row r="4698" ht="15" customHeight="1"/>
    <row r="4699" ht="15" customHeight="1"/>
    <row r="4700" ht="15" customHeight="1"/>
    <row r="4701" ht="15" customHeight="1"/>
    <row r="4702" ht="15" customHeight="1"/>
    <row r="4703" ht="15" customHeight="1"/>
    <row r="4704" ht="15" customHeight="1"/>
    <row r="4705" ht="15" customHeight="1"/>
    <row r="4706" ht="15" customHeight="1"/>
    <row r="4707" ht="15" customHeight="1"/>
    <row r="4708" ht="15" customHeight="1"/>
    <row r="4709" ht="15" customHeight="1"/>
    <row r="4710" ht="15" customHeight="1"/>
    <row r="4711" ht="15" customHeight="1"/>
    <row r="4712" ht="15" customHeight="1"/>
    <row r="4713" ht="15" customHeight="1"/>
    <row r="4714" ht="15" customHeight="1"/>
    <row r="4715" ht="15" customHeight="1"/>
    <row r="4716" ht="15" customHeight="1"/>
    <row r="4717" ht="15" customHeight="1"/>
    <row r="4718" ht="15" customHeight="1"/>
    <row r="4719" ht="15" customHeight="1"/>
    <row r="4720" ht="15" customHeight="1"/>
    <row r="4721" ht="15" customHeight="1"/>
    <row r="4722" ht="15" customHeight="1"/>
    <row r="4723" ht="15" customHeight="1"/>
    <row r="4724" ht="15" customHeight="1"/>
    <row r="4725" ht="15" customHeight="1"/>
    <row r="4726" ht="15" customHeight="1"/>
    <row r="4727" ht="15" customHeight="1"/>
    <row r="4728" ht="15" customHeight="1"/>
    <row r="4729" ht="15" customHeight="1"/>
    <row r="4730" ht="15" customHeight="1"/>
    <row r="4731" ht="15" customHeight="1"/>
    <row r="4732" ht="15" customHeight="1"/>
    <row r="4733" ht="15" customHeight="1"/>
    <row r="4734" ht="15" customHeight="1"/>
    <row r="4735" ht="15" customHeight="1"/>
    <row r="4736" ht="15" customHeight="1"/>
    <row r="4737" ht="15" customHeight="1"/>
    <row r="4738" ht="15" customHeight="1"/>
    <row r="4739" ht="15" customHeight="1"/>
    <row r="4740" ht="15" customHeight="1"/>
    <row r="4741" ht="15" customHeight="1"/>
    <row r="4742" ht="15" customHeight="1"/>
    <row r="4743" ht="15" customHeight="1"/>
    <row r="4744" ht="15" customHeight="1"/>
    <row r="4745" ht="15" customHeight="1"/>
    <row r="4746" ht="15" customHeight="1"/>
    <row r="4747" ht="15" customHeight="1"/>
    <row r="4748" ht="15" customHeight="1"/>
    <row r="4749" ht="15" customHeight="1"/>
    <row r="4750" ht="15" customHeight="1"/>
    <row r="4751" ht="15" customHeight="1"/>
    <row r="4752" ht="15" customHeight="1"/>
    <row r="4753" ht="15" customHeight="1"/>
    <row r="4754" ht="15" customHeight="1"/>
    <row r="4755" ht="15" customHeight="1"/>
    <row r="4756" ht="15" customHeight="1"/>
    <row r="4757" ht="15" customHeight="1"/>
    <row r="4758" ht="15" customHeight="1"/>
    <row r="4759" ht="15" customHeight="1"/>
    <row r="4760" ht="15" customHeight="1"/>
    <row r="4761" ht="15" customHeight="1"/>
    <row r="4762" ht="15" customHeight="1"/>
    <row r="4763" ht="15" customHeight="1"/>
    <row r="4764" ht="15" customHeight="1"/>
    <row r="4765" ht="15" customHeight="1"/>
    <row r="4766" ht="15" customHeight="1"/>
    <row r="4767" ht="15" customHeight="1"/>
    <row r="4768" ht="15" customHeight="1"/>
    <row r="4769" ht="15" customHeight="1"/>
    <row r="4770" ht="15" customHeight="1"/>
    <row r="4771" ht="15" customHeight="1"/>
    <row r="4772" ht="15" customHeight="1"/>
    <row r="4773" ht="15" customHeight="1"/>
    <row r="4774" ht="15" customHeight="1"/>
    <row r="4775" ht="15" customHeight="1"/>
    <row r="4776" ht="15" customHeight="1"/>
    <row r="4777" ht="15" customHeight="1"/>
    <row r="4778" ht="15" customHeight="1"/>
    <row r="4779" ht="15" customHeight="1"/>
    <row r="4780" ht="15" customHeight="1"/>
    <row r="4781" ht="15" customHeight="1"/>
    <row r="4782" ht="15" customHeight="1"/>
    <row r="4783" ht="15" customHeight="1"/>
    <row r="4784" ht="15" customHeight="1"/>
    <row r="4785" ht="15" customHeight="1"/>
    <row r="4786" ht="15" customHeight="1"/>
    <row r="4787" ht="15" customHeight="1"/>
    <row r="4788" ht="15" customHeight="1"/>
    <row r="4789" ht="15" customHeight="1"/>
    <row r="4790" ht="15" customHeight="1"/>
    <row r="4791" ht="15" customHeight="1"/>
    <row r="4792" ht="15" customHeight="1"/>
    <row r="4793" ht="15" customHeight="1"/>
    <row r="4794" ht="15" customHeight="1"/>
    <row r="4795" ht="15" customHeight="1"/>
    <row r="4796" ht="15" customHeight="1"/>
    <row r="4797" ht="15" customHeight="1"/>
    <row r="4798" ht="15" customHeight="1"/>
    <row r="4799" ht="15" customHeight="1"/>
    <row r="4800" ht="15" customHeight="1"/>
    <row r="4801" ht="15" customHeight="1"/>
    <row r="4802" ht="15" customHeight="1"/>
    <row r="4803" ht="15" customHeight="1"/>
    <row r="4804" ht="15" customHeight="1"/>
    <row r="4805" ht="15" customHeight="1"/>
    <row r="4806" ht="15" customHeight="1"/>
    <row r="4807" ht="15" customHeight="1"/>
    <row r="4808" ht="15" customHeight="1"/>
    <row r="4809" ht="15" customHeight="1"/>
    <row r="4810" ht="15" customHeight="1"/>
    <row r="4811" ht="15" customHeight="1"/>
    <row r="4812" ht="15" customHeight="1"/>
    <row r="4813" ht="15" customHeight="1"/>
    <row r="4814" ht="15" customHeight="1"/>
    <row r="4815" ht="15" customHeight="1"/>
    <row r="4816" ht="15" customHeight="1"/>
    <row r="4817" ht="15" customHeight="1"/>
    <row r="4818" ht="15" customHeight="1"/>
    <row r="4819" ht="15" customHeight="1"/>
    <row r="4820" ht="15" customHeight="1"/>
    <row r="4821" ht="15" customHeight="1"/>
    <row r="4822" ht="15" customHeight="1"/>
    <row r="4823" ht="15" customHeight="1"/>
    <row r="4824" ht="15" customHeight="1"/>
    <row r="4825" ht="15" customHeight="1"/>
    <row r="4826" ht="15" customHeight="1"/>
    <row r="4827" ht="15" customHeight="1"/>
    <row r="4828" ht="15" customHeight="1"/>
    <row r="4829" ht="15" customHeight="1"/>
    <row r="4830" ht="15" customHeight="1"/>
    <row r="4831" ht="15" customHeight="1"/>
    <row r="4832" ht="15" customHeight="1"/>
    <row r="4833" ht="15" customHeight="1"/>
    <row r="4834" ht="15" customHeight="1"/>
    <row r="4835" ht="15" customHeight="1"/>
    <row r="4836" ht="15" customHeight="1"/>
    <row r="4837" ht="15" customHeight="1"/>
    <row r="4838" ht="15" customHeight="1"/>
    <row r="4839" ht="15" customHeight="1"/>
    <row r="4840" ht="15" customHeight="1"/>
    <row r="4841" ht="15" customHeight="1"/>
    <row r="4842" ht="15" customHeight="1"/>
    <row r="4843" ht="15" customHeight="1"/>
    <row r="4844" ht="15" customHeight="1"/>
    <row r="4845" ht="15" customHeight="1"/>
    <row r="4846" ht="15" customHeight="1"/>
    <row r="4847" ht="15" customHeight="1"/>
    <row r="4848" ht="15" customHeight="1"/>
    <row r="4849" ht="15" customHeight="1"/>
    <row r="4850" ht="15" customHeight="1"/>
    <row r="4851" ht="15" customHeight="1"/>
    <row r="4852" ht="15" customHeight="1"/>
    <row r="4853" ht="15" customHeight="1"/>
    <row r="4854" ht="15" customHeight="1"/>
    <row r="4855" ht="15" customHeight="1"/>
    <row r="4856" ht="15" customHeight="1"/>
    <row r="4857" ht="15" customHeight="1"/>
    <row r="4858" ht="15" customHeight="1"/>
    <row r="4859" ht="15" customHeight="1"/>
    <row r="4860" ht="15" customHeight="1"/>
    <row r="4861" ht="15" customHeight="1"/>
    <row r="4862" ht="15" customHeight="1"/>
    <row r="4863" ht="15" customHeight="1"/>
    <row r="4864" ht="15" customHeight="1"/>
    <row r="4865" ht="15" customHeight="1"/>
    <row r="4866" ht="15" customHeight="1"/>
    <row r="4867" ht="15" customHeight="1"/>
    <row r="4868" ht="15" customHeight="1"/>
    <row r="4869" ht="15" customHeight="1"/>
    <row r="4870" ht="15" customHeight="1"/>
    <row r="4871" ht="15" customHeight="1"/>
    <row r="4872" ht="15" customHeight="1"/>
    <row r="4873" ht="15" customHeight="1"/>
    <row r="4874" ht="15" customHeight="1"/>
    <row r="4875" ht="15" customHeight="1"/>
    <row r="4876" ht="15" customHeight="1"/>
    <row r="4877" ht="15" customHeight="1"/>
    <row r="4878" ht="15" customHeight="1"/>
    <row r="4879" ht="15" customHeight="1"/>
    <row r="4880" ht="15" customHeight="1"/>
    <row r="4881" ht="15" customHeight="1"/>
    <row r="4882" ht="15" customHeight="1"/>
    <row r="4883" ht="15" customHeight="1"/>
    <row r="4884" ht="15" customHeight="1"/>
    <row r="4885" ht="15" customHeight="1"/>
    <row r="4886" ht="15" customHeight="1"/>
    <row r="4887" ht="15" customHeight="1"/>
    <row r="4888" ht="15" customHeight="1"/>
    <row r="4889" ht="15" customHeight="1"/>
    <row r="4890" ht="15" customHeight="1"/>
    <row r="4891" ht="15" customHeight="1"/>
    <row r="4892" ht="15" customHeight="1"/>
    <row r="4893" ht="15" customHeight="1"/>
    <row r="4894" ht="15" customHeight="1"/>
    <row r="4895" ht="15" customHeight="1"/>
    <row r="4896" ht="15" customHeight="1"/>
    <row r="4897" ht="15" customHeight="1"/>
    <row r="4898" ht="15" customHeight="1"/>
    <row r="4899" ht="15" customHeight="1"/>
    <row r="4900" ht="15" customHeight="1"/>
    <row r="4901" ht="15" customHeight="1"/>
    <row r="4902" ht="15" customHeight="1"/>
    <row r="4903" ht="15" customHeight="1"/>
    <row r="4904" ht="15" customHeight="1"/>
    <row r="4905" ht="15" customHeight="1"/>
    <row r="4906" ht="15" customHeight="1"/>
    <row r="4907" ht="15" customHeight="1"/>
    <row r="4908" ht="15" customHeight="1"/>
    <row r="4909" ht="15" customHeight="1"/>
    <row r="4910" ht="15" customHeight="1"/>
    <row r="4911" ht="15" customHeight="1"/>
    <row r="4912" ht="15" customHeight="1"/>
    <row r="4913" ht="15" customHeight="1"/>
    <row r="4914" ht="15" customHeight="1"/>
    <row r="4915" ht="15" customHeight="1"/>
    <row r="4916" ht="15" customHeight="1"/>
    <row r="4917" ht="15" customHeight="1"/>
    <row r="4918" ht="15" customHeight="1"/>
    <row r="4919" ht="15" customHeight="1"/>
    <row r="4920" ht="15" customHeight="1"/>
    <row r="4921" ht="15" customHeight="1"/>
    <row r="4922" ht="15" customHeight="1"/>
    <row r="4923" ht="15" customHeight="1"/>
    <row r="4924" ht="15" customHeight="1"/>
    <row r="4925" ht="15" customHeight="1"/>
    <row r="4926" ht="15" customHeight="1"/>
    <row r="4927" ht="15" customHeight="1"/>
    <row r="4928" ht="15" customHeight="1"/>
    <row r="4929" ht="15" customHeight="1"/>
    <row r="4930" ht="15" customHeight="1"/>
    <row r="4931" ht="15" customHeight="1"/>
    <row r="4932" ht="15" customHeight="1"/>
    <row r="4933" ht="15" customHeight="1"/>
    <row r="4934" ht="15" customHeight="1"/>
    <row r="4935" ht="15" customHeight="1"/>
    <row r="4936" ht="15" customHeight="1"/>
    <row r="4937" ht="15" customHeight="1"/>
    <row r="4938" ht="15" customHeight="1"/>
    <row r="4939" ht="15" customHeight="1"/>
    <row r="4940" ht="15" customHeight="1"/>
    <row r="4941" ht="15" customHeight="1"/>
    <row r="4942" ht="15" customHeight="1"/>
    <row r="4943" ht="15" customHeight="1"/>
    <row r="4944" ht="15" customHeight="1"/>
    <row r="4945" ht="15" customHeight="1"/>
    <row r="4946" ht="15" customHeight="1"/>
    <row r="4947" ht="15" customHeight="1"/>
    <row r="4948" ht="15" customHeight="1"/>
    <row r="4949" ht="15" customHeight="1"/>
    <row r="4950" ht="15" customHeight="1"/>
    <row r="4951" ht="15" customHeight="1"/>
    <row r="4952" ht="15" customHeight="1"/>
    <row r="4953" ht="15" customHeight="1"/>
    <row r="4954" ht="15" customHeight="1"/>
    <row r="4955" ht="15" customHeight="1"/>
    <row r="4956" ht="15" customHeight="1"/>
    <row r="4957" ht="15" customHeight="1"/>
    <row r="4958" ht="15" customHeight="1"/>
    <row r="4959" ht="15" customHeight="1"/>
    <row r="4960" ht="15" customHeight="1"/>
    <row r="4961" ht="15" customHeight="1"/>
    <row r="4962" ht="15" customHeight="1"/>
    <row r="4963" ht="15" customHeight="1"/>
    <row r="4964" ht="15" customHeight="1"/>
    <row r="4965" ht="15" customHeight="1"/>
    <row r="4966" ht="15" customHeight="1"/>
    <row r="4967" ht="15" customHeight="1"/>
    <row r="4968" ht="15" customHeight="1"/>
    <row r="4969" ht="15" customHeight="1"/>
    <row r="4970" ht="15" customHeight="1"/>
    <row r="4971" ht="15" customHeight="1"/>
    <row r="4972" ht="15" customHeight="1"/>
    <row r="4973" ht="15" customHeight="1"/>
    <row r="4974" ht="15" customHeight="1"/>
    <row r="4975" ht="15" customHeight="1"/>
    <row r="4976" ht="15" customHeight="1"/>
    <row r="4977" ht="15" customHeight="1"/>
    <row r="4978" ht="15" customHeight="1"/>
    <row r="4979" ht="15" customHeight="1"/>
    <row r="4980" ht="15" customHeight="1"/>
    <row r="4981" ht="15" customHeight="1"/>
    <row r="4982" ht="15" customHeight="1"/>
    <row r="4983" ht="15" customHeight="1"/>
    <row r="4984" ht="15" customHeight="1"/>
    <row r="4985" ht="15" customHeight="1"/>
    <row r="4986" ht="15" customHeight="1"/>
    <row r="4987" ht="15" customHeight="1"/>
    <row r="4988" ht="15" customHeight="1"/>
    <row r="4989" ht="15" customHeight="1"/>
    <row r="4990" ht="15" customHeight="1"/>
    <row r="4991" ht="15" customHeight="1"/>
    <row r="4992" ht="15" customHeight="1"/>
    <row r="4993" ht="15" customHeight="1"/>
    <row r="4994" ht="15" customHeight="1"/>
    <row r="4995" ht="15" customHeight="1"/>
    <row r="4996" ht="15" customHeight="1"/>
    <row r="4997" ht="15" customHeight="1"/>
    <row r="4998" ht="15" customHeight="1"/>
    <row r="4999" ht="15" customHeight="1"/>
    <row r="5000" ht="15" customHeight="1"/>
    <row r="5001" ht="15" customHeight="1"/>
    <row r="5002" ht="15" customHeight="1"/>
    <row r="5003" ht="15" customHeight="1"/>
    <row r="5004" ht="15" customHeight="1"/>
    <row r="5005" ht="15" customHeight="1"/>
    <row r="5006" ht="15" customHeight="1"/>
    <row r="5007" ht="15" customHeight="1"/>
    <row r="5008" ht="15" customHeight="1"/>
    <row r="5009" ht="15" customHeight="1"/>
    <row r="5010" ht="15" customHeight="1"/>
    <row r="5011" ht="15" customHeight="1"/>
    <row r="5012" ht="15" customHeight="1"/>
    <row r="5013" ht="15" customHeight="1"/>
    <row r="5014" ht="15" customHeight="1"/>
    <row r="5015" ht="15" customHeight="1"/>
    <row r="5016" ht="15" customHeight="1"/>
    <row r="5017" ht="15" customHeight="1"/>
    <row r="5018" ht="15" customHeight="1"/>
    <row r="5019" ht="15" customHeight="1"/>
    <row r="5020" ht="15" customHeight="1"/>
    <row r="5021" ht="15" customHeight="1"/>
    <row r="5022" ht="15" customHeight="1"/>
    <row r="5023" ht="15" customHeight="1"/>
    <row r="5024" ht="15" customHeight="1"/>
    <row r="5025" ht="15" customHeight="1"/>
    <row r="5026" ht="15" customHeight="1"/>
    <row r="5027" ht="15" customHeight="1"/>
    <row r="5028" ht="15" customHeight="1"/>
    <row r="5029" ht="15" customHeight="1"/>
    <row r="5030" ht="15" customHeight="1"/>
    <row r="5031" ht="15" customHeight="1"/>
    <row r="5032" ht="15" customHeight="1"/>
    <row r="5033" ht="15" customHeight="1"/>
    <row r="5034" ht="15" customHeight="1"/>
    <row r="5035" ht="15" customHeight="1"/>
    <row r="5036" ht="15" customHeight="1"/>
    <row r="5037" ht="15" customHeight="1"/>
    <row r="5038" ht="15" customHeight="1"/>
    <row r="5039" ht="15" customHeight="1"/>
    <row r="5040" ht="15" customHeight="1"/>
    <row r="5041" ht="15" customHeight="1"/>
    <row r="5042" ht="15" customHeight="1"/>
    <row r="5043" ht="15" customHeight="1"/>
    <row r="5044" ht="15" customHeight="1"/>
    <row r="5045" ht="15" customHeight="1"/>
    <row r="5046" ht="15" customHeight="1"/>
    <row r="5047" ht="15" customHeight="1"/>
    <row r="5048" ht="15" customHeight="1"/>
    <row r="5049" ht="15" customHeight="1"/>
    <row r="5050" ht="15" customHeight="1"/>
    <row r="5051" ht="15" customHeight="1"/>
    <row r="5052" ht="15" customHeight="1"/>
    <row r="5053" ht="15" customHeight="1"/>
    <row r="5054" ht="15" customHeight="1"/>
    <row r="5055" ht="15" customHeight="1"/>
    <row r="5056" ht="15" customHeight="1"/>
    <row r="5057" ht="15" customHeight="1"/>
    <row r="5058" ht="15" customHeight="1"/>
    <row r="5059" ht="15" customHeight="1"/>
    <row r="5060" ht="15" customHeight="1"/>
    <row r="5061" ht="15" customHeight="1"/>
    <row r="5062" ht="15" customHeight="1"/>
    <row r="5063" ht="15" customHeight="1"/>
    <row r="5064" ht="15" customHeight="1"/>
    <row r="5065" ht="15" customHeight="1"/>
    <row r="5066" ht="15" customHeight="1"/>
    <row r="5067" ht="15" customHeight="1"/>
    <row r="5068" ht="15" customHeight="1"/>
    <row r="5069" ht="15" customHeight="1"/>
    <row r="5070" ht="15" customHeight="1"/>
    <row r="5071" ht="15" customHeight="1"/>
    <row r="5072" ht="15" customHeight="1"/>
    <row r="5073" ht="15" customHeight="1"/>
    <row r="5074" ht="15" customHeight="1"/>
    <row r="5075" ht="15" customHeight="1"/>
    <row r="5076" ht="15" customHeight="1"/>
    <row r="5077" ht="15" customHeight="1"/>
    <row r="5078" ht="15" customHeight="1"/>
    <row r="5079" ht="15" customHeight="1"/>
    <row r="5080" ht="15" customHeight="1"/>
    <row r="5081" ht="15" customHeight="1"/>
    <row r="5082" ht="15" customHeight="1"/>
    <row r="5083" ht="15" customHeight="1"/>
    <row r="5084" ht="15" customHeight="1"/>
    <row r="5085" ht="15" customHeight="1"/>
    <row r="5086" ht="15" customHeight="1"/>
    <row r="5087" ht="15" customHeight="1"/>
    <row r="5088" ht="15" customHeight="1"/>
    <row r="5089" ht="15" customHeight="1"/>
    <row r="5090" ht="15" customHeight="1"/>
    <row r="5091" ht="15" customHeight="1"/>
    <row r="5092" ht="15" customHeight="1"/>
    <row r="5093" ht="15" customHeight="1"/>
    <row r="5094" ht="15" customHeight="1"/>
    <row r="5095" ht="15" customHeight="1"/>
    <row r="5096" ht="15" customHeight="1"/>
    <row r="5097" ht="15" customHeight="1"/>
    <row r="5098" ht="15" customHeight="1"/>
    <row r="5099" ht="15" customHeight="1"/>
    <row r="5100" ht="15" customHeight="1"/>
    <row r="5101" ht="15" customHeight="1"/>
    <row r="5102" ht="15" customHeight="1"/>
    <row r="5103" ht="15" customHeight="1"/>
    <row r="5104" ht="15" customHeight="1"/>
    <row r="5105" ht="15" customHeight="1"/>
    <row r="5106" ht="15" customHeight="1"/>
    <row r="5107" ht="15" customHeight="1"/>
    <row r="5108" ht="15" customHeight="1"/>
    <row r="5109" ht="15" customHeight="1"/>
    <row r="5110" ht="15" customHeight="1"/>
    <row r="5111" ht="15" customHeight="1"/>
    <row r="5112" ht="15" customHeight="1"/>
    <row r="5113" ht="15" customHeight="1"/>
    <row r="5114" ht="15" customHeight="1"/>
    <row r="5115" ht="15" customHeight="1"/>
    <row r="5116" ht="15" customHeight="1"/>
    <row r="5117" ht="15" customHeight="1"/>
    <row r="5118" ht="15" customHeight="1"/>
    <row r="5119" ht="15" customHeight="1"/>
    <row r="5120" ht="15" customHeight="1"/>
    <row r="5121" ht="15" customHeight="1"/>
    <row r="5122" ht="15" customHeight="1"/>
    <row r="5123" ht="15" customHeight="1"/>
    <row r="5124" ht="15" customHeight="1"/>
    <row r="5125" ht="15" customHeight="1"/>
    <row r="5126" ht="15" customHeight="1"/>
    <row r="5127" ht="15" customHeight="1"/>
    <row r="5128" ht="15" customHeight="1"/>
    <row r="5129" ht="15" customHeight="1"/>
    <row r="5130" ht="15" customHeight="1"/>
    <row r="5131" ht="15" customHeight="1"/>
    <row r="5132" ht="15" customHeight="1"/>
    <row r="5133" ht="15" customHeight="1"/>
    <row r="5134" ht="15" customHeight="1"/>
    <row r="5135" ht="15" customHeight="1"/>
    <row r="5136" ht="15" customHeight="1"/>
    <row r="5137" ht="15" customHeight="1"/>
    <row r="5138" ht="15" customHeight="1"/>
    <row r="5139" ht="15" customHeight="1"/>
    <row r="5140" ht="15" customHeight="1"/>
    <row r="5141" ht="15" customHeight="1"/>
    <row r="5142" ht="15" customHeight="1"/>
    <row r="5143" ht="15" customHeight="1"/>
    <row r="5144" ht="15" customHeight="1"/>
    <row r="5145" ht="15" customHeight="1"/>
    <row r="5146" ht="15" customHeight="1"/>
    <row r="5147" ht="15" customHeight="1"/>
    <row r="5148" ht="15" customHeight="1"/>
    <row r="5149" ht="15" customHeight="1"/>
    <row r="5150" ht="15" customHeight="1"/>
    <row r="5151" ht="15" customHeight="1"/>
    <row r="5152" ht="15" customHeight="1"/>
    <row r="5153" ht="15" customHeight="1"/>
    <row r="5154" ht="15" customHeight="1"/>
    <row r="5155" ht="15" customHeight="1"/>
    <row r="5156" ht="15" customHeight="1"/>
    <row r="5157" ht="15" customHeight="1"/>
    <row r="5158" ht="15" customHeight="1"/>
    <row r="5159" ht="15" customHeight="1"/>
    <row r="5160" ht="15" customHeight="1"/>
    <row r="5161" ht="15" customHeight="1"/>
    <row r="5162" ht="15" customHeight="1"/>
    <row r="5163" ht="15" customHeight="1"/>
    <row r="5164" ht="15" customHeight="1"/>
    <row r="5165" ht="15" customHeight="1"/>
    <row r="5166" ht="15" customHeight="1"/>
    <row r="5167" ht="15" customHeight="1"/>
    <row r="5168" ht="15" customHeight="1"/>
    <row r="5169" ht="15" customHeight="1"/>
    <row r="5170" ht="15" customHeight="1"/>
    <row r="5171" ht="15" customHeight="1"/>
    <row r="5172" ht="15" customHeight="1"/>
    <row r="5173" ht="15" customHeight="1"/>
    <row r="5174" ht="15" customHeight="1"/>
    <row r="5175" ht="15" customHeight="1"/>
    <row r="5176" ht="15" customHeight="1"/>
    <row r="5177" ht="15" customHeight="1"/>
    <row r="5178" ht="15" customHeight="1"/>
    <row r="5179" ht="15" customHeight="1"/>
    <row r="5180" ht="15" customHeight="1"/>
    <row r="5181" ht="15" customHeight="1"/>
    <row r="5182" ht="15" customHeight="1"/>
    <row r="5183" ht="15" customHeight="1"/>
    <row r="5184" ht="15" customHeight="1"/>
    <row r="5185" ht="15" customHeight="1"/>
    <row r="5186" ht="15" customHeight="1"/>
    <row r="5187" ht="15" customHeight="1"/>
    <row r="5188" ht="15" customHeight="1"/>
    <row r="5189" ht="15" customHeight="1"/>
    <row r="5190" ht="15" customHeight="1"/>
    <row r="5191" ht="15" customHeight="1"/>
    <row r="5192" ht="15" customHeight="1"/>
    <row r="5193" ht="15" customHeight="1"/>
    <row r="5194" ht="15" customHeight="1"/>
    <row r="5195" ht="15" customHeight="1"/>
    <row r="5196" ht="15" customHeight="1"/>
    <row r="5197" ht="15" customHeight="1"/>
    <row r="5198" ht="15" customHeight="1"/>
    <row r="5199" ht="15" customHeight="1"/>
    <row r="5200" ht="15" customHeight="1"/>
    <row r="5201" ht="15" customHeight="1"/>
    <row r="5202" ht="15" customHeight="1"/>
    <row r="5203" ht="15" customHeight="1"/>
    <row r="5204" ht="15" customHeight="1"/>
    <row r="5205" ht="15" customHeight="1"/>
    <row r="5206" ht="15" customHeight="1"/>
    <row r="5207" ht="15" customHeight="1"/>
    <row r="5208" ht="15" customHeight="1"/>
    <row r="5209" ht="15" customHeight="1"/>
    <row r="5210" ht="15" customHeight="1"/>
    <row r="5211" ht="15" customHeight="1"/>
    <row r="5212" ht="15" customHeight="1"/>
    <row r="5213" ht="15" customHeight="1"/>
    <row r="5214" ht="15" customHeight="1"/>
    <row r="5215" ht="15" customHeight="1"/>
    <row r="5216" ht="15" customHeight="1"/>
    <row r="5217" ht="15" customHeight="1"/>
    <row r="5218" ht="15" customHeight="1"/>
    <row r="5219" ht="15" customHeight="1"/>
    <row r="5220" ht="15" customHeight="1"/>
    <row r="5221" ht="15" customHeight="1"/>
    <row r="5222" ht="15" customHeight="1"/>
    <row r="5223" ht="15" customHeight="1"/>
    <row r="5224" ht="15" customHeight="1"/>
    <row r="5225" ht="15" customHeight="1"/>
    <row r="5226" ht="15" customHeight="1"/>
    <row r="5227" ht="15" customHeight="1"/>
    <row r="5228" ht="15" customHeight="1"/>
    <row r="5229" ht="15" customHeight="1"/>
    <row r="5230" ht="15" customHeight="1"/>
    <row r="5231" ht="15" customHeight="1"/>
    <row r="5232" ht="15" customHeight="1"/>
    <row r="5233" ht="15" customHeight="1"/>
    <row r="5234" ht="15" customHeight="1"/>
    <row r="5235" ht="15" customHeight="1"/>
    <row r="5236" ht="15" customHeight="1"/>
    <row r="5237" ht="15" customHeight="1"/>
    <row r="5238" ht="15" customHeight="1"/>
    <row r="5239" ht="15" customHeight="1"/>
    <row r="5240" ht="15" customHeight="1"/>
    <row r="5241" ht="15" customHeight="1"/>
    <row r="5242" ht="15" customHeight="1"/>
    <row r="5243" ht="15" customHeight="1"/>
    <row r="5244" ht="15" customHeight="1"/>
    <row r="5245" ht="15" customHeight="1"/>
    <row r="5246" ht="15" customHeight="1"/>
    <row r="5247" ht="15" customHeight="1"/>
    <row r="5248" ht="15" customHeight="1"/>
    <row r="5249" ht="15" customHeight="1"/>
    <row r="5250" ht="15" customHeight="1"/>
    <row r="5251" ht="15" customHeight="1"/>
    <row r="5252" ht="15" customHeight="1"/>
    <row r="5253" ht="15" customHeight="1"/>
    <row r="5254" ht="15" customHeight="1"/>
    <row r="5255" ht="15" customHeight="1"/>
    <row r="5256" ht="15" customHeight="1"/>
    <row r="5257" ht="15" customHeight="1"/>
    <row r="5258" ht="15" customHeight="1"/>
    <row r="5259" ht="15" customHeight="1"/>
    <row r="5260" ht="15" customHeight="1"/>
    <row r="5261" ht="15" customHeight="1"/>
    <row r="5262" ht="15" customHeight="1"/>
    <row r="5263" ht="15" customHeight="1"/>
    <row r="5264" ht="15" customHeight="1"/>
    <row r="5265" ht="15" customHeight="1"/>
    <row r="5266" ht="15" customHeight="1"/>
    <row r="5267" ht="15" customHeight="1"/>
    <row r="5268" ht="15" customHeight="1"/>
    <row r="5269" ht="15" customHeight="1"/>
    <row r="5270" ht="15" customHeight="1"/>
    <row r="5271" ht="15" customHeight="1"/>
    <row r="5272" ht="15" customHeight="1"/>
    <row r="5273" ht="15" customHeight="1"/>
    <row r="5274" ht="15" customHeight="1"/>
    <row r="5275" ht="15" customHeight="1"/>
    <row r="5276" ht="15" customHeight="1"/>
    <row r="5277" ht="15" customHeight="1"/>
    <row r="5278" ht="15" customHeight="1"/>
    <row r="5279" ht="15" customHeight="1"/>
    <row r="5280" ht="15" customHeight="1"/>
    <row r="5281" ht="15" customHeight="1"/>
    <row r="5282" ht="15" customHeight="1"/>
    <row r="5283" ht="15" customHeight="1"/>
    <row r="5284" ht="15" customHeight="1"/>
    <row r="5285" ht="15" customHeight="1"/>
    <row r="5286" ht="15" customHeight="1"/>
    <row r="5287" ht="15" customHeight="1"/>
    <row r="5288" ht="15" customHeight="1"/>
    <row r="5289" ht="15" customHeight="1"/>
    <row r="5290" ht="15" customHeight="1"/>
    <row r="5291" ht="15" customHeight="1"/>
    <row r="5292" ht="15" customHeight="1"/>
    <row r="5293" ht="15" customHeight="1"/>
    <row r="5294" ht="15" customHeight="1"/>
    <row r="5295" ht="15" customHeight="1"/>
    <row r="5296" ht="15" customHeight="1"/>
    <row r="5297" ht="15" customHeight="1"/>
    <row r="5298" ht="15" customHeight="1"/>
    <row r="5299" ht="15" customHeight="1"/>
    <row r="5300" ht="15" customHeight="1"/>
    <row r="5301" ht="15" customHeight="1"/>
    <row r="5302" ht="15" customHeight="1"/>
    <row r="5303" ht="15" customHeight="1"/>
    <row r="5304" ht="15" customHeight="1"/>
    <row r="5305" ht="15" customHeight="1"/>
    <row r="5306" ht="15" customHeight="1"/>
    <row r="5307" ht="15" customHeight="1"/>
    <row r="5308" ht="15" customHeight="1"/>
    <row r="5309" ht="15" customHeight="1"/>
    <row r="5310" ht="15" customHeight="1"/>
    <row r="5311" ht="15" customHeight="1"/>
    <row r="5312" ht="15" customHeight="1"/>
    <row r="5313" ht="15" customHeight="1"/>
    <row r="5314" ht="15" customHeight="1"/>
    <row r="5315" ht="15" customHeight="1"/>
    <row r="5316" ht="15" customHeight="1"/>
    <row r="5317" ht="15" customHeight="1"/>
    <row r="5318" ht="15" customHeight="1"/>
    <row r="5319" ht="15" customHeight="1"/>
    <row r="5320" ht="15" customHeight="1"/>
    <row r="5321" ht="15" customHeight="1"/>
    <row r="5322" ht="15" customHeight="1"/>
    <row r="5323" ht="15" customHeight="1"/>
    <row r="5324" ht="15" customHeight="1"/>
    <row r="5325" ht="15" customHeight="1"/>
    <row r="5326" ht="15" customHeight="1"/>
    <row r="5327" ht="15" customHeight="1"/>
    <row r="5328" ht="15" customHeight="1"/>
    <row r="5329" ht="15" customHeight="1"/>
    <row r="5330" ht="15" customHeight="1"/>
    <row r="5331" ht="15" customHeight="1"/>
    <row r="5332" ht="15" customHeight="1"/>
    <row r="5333" ht="15" customHeight="1"/>
    <row r="5334" ht="15" customHeight="1"/>
    <row r="5335" ht="15" customHeight="1"/>
    <row r="5336" ht="15" customHeight="1"/>
    <row r="5337" ht="15" customHeight="1"/>
    <row r="5338" ht="15" customHeight="1"/>
    <row r="5339" ht="15" customHeight="1"/>
    <row r="5340" ht="15" customHeight="1"/>
    <row r="5341" ht="15" customHeight="1"/>
    <row r="5342" ht="15" customHeight="1"/>
    <row r="5343" ht="15" customHeight="1"/>
    <row r="5344" ht="15" customHeight="1"/>
    <row r="5345" ht="15" customHeight="1"/>
    <row r="5346" ht="15" customHeight="1"/>
    <row r="5347" ht="15" customHeight="1"/>
    <row r="5348" ht="15" customHeight="1"/>
    <row r="5349" ht="15" customHeight="1"/>
    <row r="5350" ht="15" customHeight="1"/>
    <row r="5351" ht="15" customHeight="1"/>
    <row r="5352" ht="15" customHeight="1"/>
    <row r="5353" ht="15" customHeight="1"/>
    <row r="5354" ht="15" customHeight="1"/>
    <row r="5355" ht="15" customHeight="1"/>
    <row r="5356" ht="15" customHeight="1"/>
    <row r="5357" ht="15" customHeight="1"/>
    <row r="5358" ht="15" customHeight="1"/>
    <row r="5359" ht="15" customHeight="1"/>
    <row r="5360" ht="15" customHeight="1"/>
    <row r="5361" ht="15" customHeight="1"/>
    <row r="5362" ht="15" customHeight="1"/>
    <row r="5363" ht="15" customHeight="1"/>
    <row r="5364" ht="15" customHeight="1"/>
    <row r="5365" ht="15" customHeight="1"/>
    <row r="5366" ht="15" customHeight="1"/>
    <row r="5367" ht="15" customHeight="1"/>
    <row r="5368" ht="15" customHeight="1"/>
    <row r="5369" ht="15" customHeight="1"/>
    <row r="5370" ht="15" customHeight="1"/>
    <row r="5371" ht="15" customHeight="1"/>
    <row r="5372" ht="15" customHeight="1"/>
    <row r="5373" ht="15" customHeight="1"/>
    <row r="5374" ht="15" customHeight="1"/>
    <row r="5375" ht="15" customHeight="1"/>
    <row r="5376" ht="15" customHeight="1"/>
    <row r="5377" ht="15" customHeight="1"/>
    <row r="5378" ht="15" customHeight="1"/>
    <row r="5379" ht="15" customHeight="1"/>
    <row r="5380" ht="15" customHeight="1"/>
    <row r="5381" ht="15" customHeight="1"/>
    <row r="5382" ht="15" customHeight="1"/>
    <row r="5383" ht="15" customHeight="1"/>
    <row r="5384" ht="15" customHeight="1"/>
    <row r="5385" ht="15" customHeight="1"/>
    <row r="5386" ht="15" customHeight="1"/>
    <row r="5387" ht="15" customHeight="1"/>
    <row r="5388" ht="15" customHeight="1"/>
    <row r="5389" ht="15" customHeight="1"/>
    <row r="5390" ht="15" customHeight="1"/>
    <row r="5391" ht="15" customHeight="1"/>
    <row r="5392" ht="15" customHeight="1"/>
    <row r="5393" ht="15" customHeight="1"/>
    <row r="5394" ht="15" customHeight="1"/>
    <row r="5395" ht="15" customHeight="1"/>
    <row r="5396" ht="15" customHeight="1"/>
    <row r="5397" ht="15" customHeight="1"/>
    <row r="5398" ht="15" customHeight="1"/>
    <row r="5399" ht="15" customHeight="1"/>
    <row r="5400" ht="15" customHeight="1"/>
    <row r="5401" ht="15" customHeight="1"/>
    <row r="5402" ht="15" customHeight="1"/>
    <row r="5403" ht="15" customHeight="1"/>
    <row r="5404" ht="15" customHeight="1"/>
    <row r="5405" ht="15" customHeight="1"/>
    <row r="5406" ht="15" customHeight="1"/>
    <row r="5407" ht="15" customHeight="1"/>
    <row r="5408" ht="15" customHeight="1"/>
    <row r="5409" ht="15" customHeight="1"/>
    <row r="5410" ht="15" customHeight="1"/>
    <row r="5411" ht="15" customHeight="1"/>
    <row r="5412" ht="15" customHeight="1"/>
    <row r="5413" ht="15" customHeight="1"/>
    <row r="5414" ht="15" customHeight="1"/>
    <row r="5415" ht="15" customHeight="1"/>
    <row r="5416" ht="15" customHeight="1"/>
    <row r="5417" ht="15" customHeight="1"/>
    <row r="5418" ht="15" customHeight="1"/>
    <row r="5419" ht="15" customHeight="1"/>
    <row r="5420" ht="15" customHeight="1"/>
    <row r="5421" ht="15" customHeight="1"/>
    <row r="5422" ht="15" customHeight="1"/>
    <row r="5423" ht="15" customHeight="1"/>
    <row r="5424" ht="15" customHeight="1"/>
    <row r="5425" ht="15" customHeight="1"/>
    <row r="5426" ht="15" customHeight="1"/>
    <row r="5427" ht="15" customHeight="1"/>
    <row r="5428" ht="15" customHeight="1"/>
    <row r="5429" ht="15" customHeight="1"/>
    <row r="5430" ht="15" customHeight="1"/>
    <row r="5431" ht="15" customHeight="1"/>
    <row r="5432" ht="15" customHeight="1"/>
    <row r="5433" ht="15" customHeight="1"/>
    <row r="5434" ht="15" customHeight="1"/>
    <row r="5435" ht="15" customHeight="1"/>
    <row r="5436" ht="15" customHeight="1"/>
    <row r="5437" ht="15" customHeight="1"/>
    <row r="5438" ht="15" customHeight="1"/>
    <row r="5439" ht="15" customHeight="1"/>
    <row r="5440" ht="15" customHeight="1"/>
    <row r="5441" ht="15" customHeight="1"/>
    <row r="5442" ht="15" customHeight="1"/>
    <row r="5443" ht="15" customHeight="1"/>
    <row r="5444" ht="15" customHeight="1"/>
    <row r="5445" ht="15" customHeight="1"/>
    <row r="5446" ht="15" customHeight="1"/>
    <row r="5447" ht="15" customHeight="1"/>
    <row r="5448" ht="15" customHeight="1"/>
    <row r="5449" ht="15" customHeight="1"/>
    <row r="5450" ht="15" customHeight="1"/>
    <row r="5451" ht="15" customHeight="1"/>
    <row r="5452" ht="15" customHeight="1"/>
    <row r="5453" ht="15" customHeight="1"/>
    <row r="5454" ht="15" customHeight="1"/>
    <row r="5455" ht="15" customHeight="1"/>
    <row r="5456" ht="15" customHeight="1"/>
    <row r="5457" ht="15" customHeight="1"/>
    <row r="5458" ht="15" customHeight="1"/>
    <row r="5459" ht="15" customHeight="1"/>
    <row r="5460" ht="15" customHeight="1"/>
    <row r="5461" ht="15" customHeight="1"/>
    <row r="5462" ht="15" customHeight="1"/>
    <row r="5463" ht="15" customHeight="1"/>
    <row r="5464" ht="15" customHeight="1"/>
    <row r="5465" ht="15" customHeight="1"/>
    <row r="5466" ht="15" customHeight="1"/>
    <row r="5467" ht="15" customHeight="1"/>
    <row r="5468" ht="15" customHeight="1"/>
    <row r="5469" ht="15" customHeight="1"/>
    <row r="5470" ht="15" customHeight="1"/>
    <row r="5471" ht="15" customHeight="1"/>
    <row r="5472" ht="15" customHeight="1"/>
    <row r="5473" ht="15" customHeight="1"/>
    <row r="5474" ht="15" customHeight="1"/>
    <row r="5475" ht="15" customHeight="1"/>
    <row r="5476" ht="15" customHeight="1"/>
    <row r="5477" ht="15" customHeight="1"/>
    <row r="5478" ht="15" customHeight="1"/>
    <row r="5479" ht="15" customHeight="1"/>
    <row r="5480" ht="15" customHeight="1"/>
    <row r="5481" ht="15" customHeight="1"/>
    <row r="5482" ht="15" customHeight="1"/>
    <row r="5483" ht="15" customHeight="1"/>
    <row r="5484" ht="15" customHeight="1"/>
    <row r="5485" ht="15" customHeight="1"/>
    <row r="5486" ht="15" customHeight="1"/>
    <row r="5487" ht="15" customHeight="1"/>
    <row r="5488" ht="15" customHeight="1"/>
    <row r="5489" ht="15" customHeight="1"/>
    <row r="5490" ht="15" customHeight="1"/>
    <row r="5491" ht="15" customHeight="1"/>
    <row r="5492" ht="15" customHeight="1"/>
    <row r="5493" ht="15" customHeight="1"/>
    <row r="5494" ht="15" customHeight="1"/>
    <row r="5495" ht="15" customHeight="1"/>
    <row r="5496" ht="15" customHeight="1"/>
    <row r="5497" ht="15" customHeight="1"/>
    <row r="5498" ht="15" customHeight="1"/>
    <row r="5499" ht="15" customHeight="1"/>
    <row r="5500" ht="15" customHeight="1"/>
    <row r="5501" ht="15" customHeight="1"/>
    <row r="5502" ht="15" customHeight="1"/>
    <row r="5503" ht="15" customHeight="1"/>
    <row r="5504" ht="15" customHeight="1"/>
    <row r="5505" ht="15" customHeight="1"/>
    <row r="5506" ht="15" customHeight="1"/>
    <row r="5507" ht="15" customHeight="1"/>
    <row r="5508" ht="15" customHeight="1"/>
    <row r="5509" ht="15" customHeight="1"/>
    <row r="5510" ht="15" customHeight="1"/>
    <row r="5511" ht="15" customHeight="1"/>
    <row r="5512" ht="15" customHeight="1"/>
    <row r="5513" ht="15" customHeight="1"/>
    <row r="5514" ht="15" customHeight="1"/>
    <row r="5515" ht="15" customHeight="1"/>
    <row r="5516" ht="15" customHeight="1"/>
    <row r="5517" ht="15" customHeight="1"/>
    <row r="5518" ht="15" customHeight="1"/>
    <row r="5519" ht="15" customHeight="1"/>
    <row r="5520" ht="15" customHeight="1"/>
    <row r="5521" ht="15" customHeight="1"/>
    <row r="5522" ht="15" customHeight="1"/>
    <row r="5523" ht="15" customHeight="1"/>
    <row r="5524" ht="15" customHeight="1"/>
    <row r="5525" ht="15" customHeight="1"/>
    <row r="5526" ht="15" customHeight="1"/>
    <row r="5527" ht="15" customHeight="1"/>
    <row r="5528" ht="15" customHeight="1"/>
    <row r="5529" ht="15" customHeight="1"/>
    <row r="5530" ht="15" customHeight="1"/>
    <row r="5531" ht="15" customHeight="1"/>
    <row r="5532" ht="15" customHeight="1"/>
    <row r="5533" ht="15" customHeight="1"/>
    <row r="5534" ht="15" customHeight="1"/>
    <row r="5535" ht="15" customHeight="1"/>
    <row r="5536" ht="15" customHeight="1"/>
    <row r="5537" ht="15" customHeight="1"/>
    <row r="5538" ht="15" customHeight="1"/>
    <row r="5539" ht="15" customHeight="1"/>
    <row r="5540" ht="15" customHeight="1"/>
    <row r="5541" ht="15" customHeight="1"/>
    <row r="5542" ht="15" customHeight="1"/>
    <row r="5543" ht="15" customHeight="1"/>
    <row r="5544" ht="15" customHeight="1"/>
    <row r="5545" ht="15" customHeight="1"/>
    <row r="5546" ht="15" customHeight="1"/>
    <row r="5547" ht="15" customHeight="1"/>
    <row r="5548" ht="15" customHeight="1"/>
    <row r="5549" ht="15" customHeight="1"/>
    <row r="5550" ht="15" customHeight="1"/>
    <row r="5551" ht="15" customHeight="1"/>
    <row r="5552" ht="15" customHeight="1"/>
    <row r="5553" ht="15" customHeight="1"/>
    <row r="5554" ht="15" customHeight="1"/>
    <row r="5555" ht="15" customHeight="1"/>
    <row r="5556" ht="15" customHeight="1"/>
    <row r="5557" ht="15" customHeight="1"/>
    <row r="5558" ht="15" customHeight="1"/>
    <row r="5559" ht="15" customHeight="1"/>
    <row r="5560" ht="15" customHeight="1"/>
    <row r="5561" ht="15" customHeight="1"/>
    <row r="5562" ht="15" customHeight="1"/>
    <row r="5563" ht="15" customHeight="1"/>
    <row r="5564" ht="15" customHeight="1"/>
    <row r="5565" ht="15" customHeight="1"/>
    <row r="5566" ht="15" customHeight="1"/>
    <row r="5567" ht="15" customHeight="1"/>
    <row r="5568" ht="15" customHeight="1"/>
    <row r="5569" ht="15" customHeight="1"/>
    <row r="5570" ht="15" customHeight="1"/>
    <row r="5571" ht="15" customHeight="1"/>
    <row r="5572" ht="15" customHeight="1"/>
    <row r="5573" ht="15" customHeight="1"/>
    <row r="5574" ht="15" customHeight="1"/>
    <row r="5575" ht="15" customHeight="1"/>
    <row r="5576" ht="15" customHeight="1"/>
    <row r="5577" ht="15" customHeight="1"/>
    <row r="5578" ht="15" customHeight="1"/>
    <row r="5579" ht="15" customHeight="1"/>
    <row r="5580" ht="15" customHeight="1"/>
    <row r="5581" ht="15" customHeight="1"/>
    <row r="5582" ht="15" customHeight="1"/>
    <row r="5583" ht="15" customHeight="1"/>
    <row r="5584" ht="15" customHeight="1"/>
    <row r="5585" ht="15" customHeight="1"/>
    <row r="5586" ht="15" customHeight="1"/>
    <row r="5587" ht="15" customHeight="1"/>
    <row r="5588" ht="15" customHeight="1"/>
    <row r="5589" ht="15" customHeight="1"/>
    <row r="5590" ht="15" customHeight="1"/>
    <row r="5591" ht="15" customHeight="1"/>
    <row r="5592" ht="15" customHeight="1"/>
    <row r="5593" ht="15" customHeight="1"/>
    <row r="5594" ht="15" customHeight="1"/>
    <row r="5595" ht="15" customHeight="1"/>
    <row r="5596" ht="15" customHeight="1"/>
    <row r="5597" ht="15" customHeight="1"/>
    <row r="5598" ht="15" customHeight="1"/>
    <row r="5599" ht="15" customHeight="1"/>
    <row r="5600" ht="15" customHeight="1"/>
    <row r="5601" ht="15" customHeight="1"/>
    <row r="5602" ht="15" customHeight="1"/>
    <row r="5603" ht="15" customHeight="1"/>
    <row r="5604" ht="15" customHeight="1"/>
    <row r="5605" ht="15" customHeight="1"/>
    <row r="5606" ht="15" customHeight="1"/>
    <row r="5607" ht="15" customHeight="1"/>
    <row r="5608" ht="15" customHeight="1"/>
    <row r="5609" ht="15" customHeight="1"/>
    <row r="5610" ht="15" customHeight="1"/>
    <row r="5611" ht="15" customHeight="1"/>
    <row r="5612" ht="15" customHeight="1"/>
    <row r="5613" ht="15" customHeight="1"/>
    <row r="5614" ht="15" customHeight="1"/>
    <row r="5615" ht="15" customHeight="1"/>
    <row r="5616" ht="15" customHeight="1"/>
    <row r="5617" ht="15" customHeight="1"/>
    <row r="5618" ht="15" customHeight="1"/>
    <row r="5619" ht="15" customHeight="1"/>
    <row r="5620" ht="15" customHeight="1"/>
    <row r="5621" ht="15" customHeight="1"/>
    <row r="5622" ht="15" customHeight="1"/>
    <row r="5623" ht="15" customHeight="1"/>
    <row r="5624" ht="15" customHeight="1"/>
    <row r="5625" ht="15" customHeight="1"/>
    <row r="5626" ht="15" customHeight="1"/>
    <row r="5627" ht="15" customHeight="1"/>
    <row r="5628" ht="15" customHeight="1"/>
    <row r="5629" ht="15" customHeight="1"/>
    <row r="5630" ht="15" customHeight="1"/>
    <row r="5631" ht="15" customHeight="1"/>
    <row r="5632" ht="15" customHeight="1"/>
    <row r="5633" ht="15" customHeight="1"/>
    <row r="5634" ht="15" customHeight="1"/>
    <row r="5635" ht="15" customHeight="1"/>
    <row r="5636" ht="15" customHeight="1"/>
    <row r="5637" ht="15" customHeight="1"/>
    <row r="5638" ht="15" customHeight="1"/>
    <row r="5639" ht="15" customHeight="1"/>
    <row r="5640" ht="15" customHeight="1"/>
    <row r="5641" ht="15" customHeight="1"/>
    <row r="5642" ht="15" customHeight="1"/>
    <row r="5643" ht="15" customHeight="1"/>
    <row r="5644" ht="15" customHeight="1"/>
    <row r="5645" ht="15" customHeight="1"/>
    <row r="5646" ht="15" customHeight="1"/>
    <row r="5647" ht="15" customHeight="1"/>
    <row r="5648" ht="15" customHeight="1"/>
    <row r="5649" ht="15" customHeight="1"/>
    <row r="5650" ht="15" customHeight="1"/>
    <row r="5651" ht="15" customHeight="1"/>
    <row r="5652" ht="15" customHeight="1"/>
    <row r="5653" ht="15" customHeight="1"/>
    <row r="5654" ht="15" customHeight="1"/>
    <row r="5655" ht="15" customHeight="1"/>
    <row r="5656" ht="15" customHeight="1"/>
    <row r="5657" ht="15" customHeight="1"/>
    <row r="5658" ht="15" customHeight="1"/>
    <row r="5659" ht="15" customHeight="1"/>
    <row r="5660" ht="15" customHeight="1"/>
    <row r="5661" ht="15" customHeight="1"/>
    <row r="5662" ht="15" customHeight="1"/>
    <row r="5663" ht="15" customHeight="1"/>
    <row r="5664" ht="15" customHeight="1"/>
    <row r="5665" ht="15" customHeight="1"/>
    <row r="5666" ht="15" customHeight="1"/>
    <row r="5667" ht="15" customHeight="1"/>
    <row r="5668" ht="15" customHeight="1"/>
    <row r="5669" ht="15" customHeight="1"/>
    <row r="5670" ht="15" customHeight="1"/>
    <row r="5671" ht="15" customHeight="1"/>
    <row r="5672" ht="15" customHeight="1"/>
    <row r="5673" ht="15" customHeight="1"/>
    <row r="5674" ht="15" customHeight="1"/>
    <row r="5675" ht="15" customHeight="1"/>
    <row r="5676" ht="15" customHeight="1"/>
    <row r="5677" ht="15" customHeight="1"/>
    <row r="5678" ht="15" customHeight="1"/>
    <row r="5679" ht="15" customHeight="1"/>
    <row r="5680" ht="15" customHeight="1"/>
    <row r="5681" ht="15" customHeight="1"/>
    <row r="5682" ht="15" customHeight="1"/>
    <row r="5683" ht="15" customHeight="1"/>
    <row r="5684" ht="15" customHeight="1"/>
    <row r="5685" ht="15" customHeight="1"/>
    <row r="5686" ht="15" customHeight="1"/>
    <row r="5687" ht="15" customHeight="1"/>
    <row r="5688" ht="15" customHeight="1"/>
    <row r="5689" ht="15" customHeight="1"/>
    <row r="5690" ht="15" customHeight="1"/>
    <row r="5691" ht="15" customHeight="1"/>
    <row r="5692" ht="15" customHeight="1"/>
    <row r="5693" ht="15" customHeight="1"/>
    <row r="5694" ht="15" customHeight="1"/>
    <row r="5695" ht="15" customHeight="1"/>
    <row r="5696" ht="15" customHeight="1"/>
    <row r="5697" ht="15" customHeight="1"/>
    <row r="5698" ht="15" customHeight="1"/>
    <row r="5699" ht="15" customHeight="1"/>
    <row r="5700" ht="15" customHeight="1"/>
    <row r="5701" ht="15" customHeight="1"/>
    <row r="5702" ht="15" customHeight="1"/>
    <row r="5703" ht="15" customHeight="1"/>
    <row r="5704" ht="15" customHeight="1"/>
    <row r="5705" ht="15" customHeight="1"/>
    <row r="5706" ht="15" customHeight="1"/>
    <row r="5707" ht="15" customHeight="1"/>
    <row r="5708" ht="15" customHeight="1"/>
    <row r="5709" ht="15" customHeight="1"/>
    <row r="5710" ht="15" customHeight="1"/>
    <row r="5711" ht="15" customHeight="1"/>
    <row r="5712" ht="15" customHeight="1"/>
    <row r="5713" ht="15" customHeight="1"/>
    <row r="5714" ht="15" customHeight="1"/>
    <row r="5715" ht="15" customHeight="1"/>
    <row r="5716" ht="15" customHeight="1"/>
    <row r="5717" ht="15" customHeight="1"/>
    <row r="5718" ht="15" customHeight="1"/>
    <row r="5719" ht="15" customHeight="1"/>
    <row r="5720" ht="15" customHeight="1"/>
    <row r="5721" ht="15" customHeight="1"/>
    <row r="5722" ht="15" customHeight="1"/>
    <row r="5723" ht="15" customHeight="1"/>
    <row r="5724" ht="15" customHeight="1"/>
    <row r="5725" ht="15" customHeight="1"/>
    <row r="5726" ht="15" customHeight="1"/>
    <row r="5727" ht="15" customHeight="1"/>
    <row r="5728" ht="15" customHeight="1"/>
    <row r="5729" ht="15" customHeight="1"/>
    <row r="5730" ht="15" customHeight="1"/>
    <row r="5731" ht="15" customHeight="1"/>
    <row r="5732" ht="15" customHeight="1"/>
    <row r="5733" ht="15" customHeight="1"/>
    <row r="5734" ht="15" customHeight="1"/>
    <row r="5735" ht="15" customHeight="1"/>
    <row r="5736" ht="15" customHeight="1"/>
    <row r="5737" ht="15" customHeight="1"/>
    <row r="5738" ht="15" customHeight="1"/>
    <row r="5739" ht="15" customHeight="1"/>
    <row r="5740" ht="15" customHeight="1"/>
    <row r="5741" ht="15" customHeight="1"/>
    <row r="5742" ht="15" customHeight="1"/>
    <row r="5743" ht="15" customHeight="1"/>
    <row r="5744" ht="15" customHeight="1"/>
    <row r="5745" ht="15" customHeight="1"/>
    <row r="5746" ht="15" customHeight="1"/>
    <row r="5747" ht="15" customHeight="1"/>
    <row r="5748" ht="15" customHeight="1"/>
    <row r="5749" ht="15" customHeight="1"/>
    <row r="5750" ht="15" customHeight="1"/>
    <row r="5751" ht="15" customHeight="1"/>
    <row r="5752" ht="15" customHeight="1"/>
    <row r="5753" ht="15" customHeight="1"/>
    <row r="5754" ht="15" customHeight="1"/>
    <row r="5755" ht="15" customHeight="1"/>
    <row r="5756" ht="15" customHeight="1"/>
    <row r="5757" ht="15" customHeight="1"/>
    <row r="5758" ht="15" customHeight="1"/>
    <row r="5759" ht="15" customHeight="1"/>
    <row r="5760" ht="15" customHeight="1"/>
    <row r="5761" ht="15" customHeight="1"/>
    <row r="5762" ht="15" customHeight="1"/>
    <row r="5763" ht="15" customHeight="1"/>
    <row r="5764" ht="15" customHeight="1"/>
    <row r="5765" ht="15" customHeight="1"/>
    <row r="5766" ht="15" customHeight="1"/>
    <row r="5767" ht="15" customHeight="1"/>
    <row r="5768" ht="15" customHeight="1"/>
    <row r="5769" ht="15" customHeight="1"/>
    <row r="5770" ht="15" customHeight="1"/>
    <row r="5771" ht="15" customHeight="1"/>
    <row r="5772" ht="15" customHeight="1"/>
    <row r="5773" ht="15" customHeight="1"/>
    <row r="5774" ht="15" customHeight="1"/>
    <row r="5775" ht="15" customHeight="1"/>
    <row r="5776" ht="15" customHeight="1"/>
    <row r="5777" ht="15" customHeight="1"/>
    <row r="5778" ht="15" customHeight="1"/>
    <row r="5779" ht="15" customHeight="1"/>
    <row r="5780" ht="15" customHeight="1"/>
    <row r="5781" ht="15" customHeight="1"/>
    <row r="5782" ht="15" customHeight="1"/>
    <row r="5783" ht="15" customHeight="1"/>
    <row r="5784" ht="15" customHeight="1"/>
    <row r="5785" ht="15" customHeight="1"/>
    <row r="5786" ht="15" customHeight="1"/>
    <row r="5787" ht="15" customHeight="1"/>
    <row r="5788" ht="15" customHeight="1"/>
    <row r="5789" ht="15" customHeight="1"/>
    <row r="5790" ht="15" customHeight="1"/>
    <row r="5791" ht="15" customHeight="1"/>
    <row r="5792" ht="15" customHeight="1"/>
    <row r="5793" ht="15" customHeight="1"/>
    <row r="5794" ht="15" customHeight="1"/>
    <row r="5795" ht="15" customHeight="1"/>
    <row r="5796" ht="15" customHeight="1"/>
    <row r="5797" ht="15" customHeight="1"/>
    <row r="5798" ht="15" customHeight="1"/>
    <row r="5799" ht="15" customHeight="1"/>
    <row r="5800" ht="15" customHeight="1"/>
    <row r="5801" ht="15" customHeight="1"/>
    <row r="5802" ht="15" customHeight="1"/>
    <row r="5803" ht="15" customHeight="1"/>
    <row r="5804" ht="15" customHeight="1"/>
    <row r="5805" ht="15" customHeight="1"/>
    <row r="5806" ht="15" customHeight="1"/>
    <row r="5807" ht="15" customHeight="1"/>
    <row r="5808" ht="15" customHeight="1"/>
    <row r="5809" ht="15" customHeight="1"/>
    <row r="5810" ht="15" customHeight="1"/>
    <row r="5811" ht="15" customHeight="1"/>
    <row r="5812" ht="15" customHeight="1"/>
    <row r="5813" ht="15" customHeight="1"/>
    <row r="5814" ht="15" customHeight="1"/>
    <row r="5815" ht="15" customHeight="1"/>
    <row r="5816" ht="15" customHeight="1"/>
    <row r="5817" ht="15" customHeight="1"/>
    <row r="5818" ht="15" customHeight="1"/>
    <row r="5819" ht="15" customHeight="1"/>
    <row r="5820" ht="15" customHeight="1"/>
    <row r="5821" ht="15" customHeight="1"/>
    <row r="5822" ht="15" customHeight="1"/>
    <row r="5823" ht="15" customHeight="1"/>
    <row r="5824" ht="15" customHeight="1"/>
    <row r="5825" ht="15" customHeight="1"/>
    <row r="5826" ht="15" customHeight="1"/>
    <row r="5827" ht="15" customHeight="1"/>
    <row r="5828" ht="15" customHeight="1"/>
    <row r="5829" ht="15" customHeight="1"/>
    <row r="5830" ht="15" customHeight="1"/>
    <row r="5831" ht="15" customHeight="1"/>
    <row r="5832" ht="15" customHeight="1"/>
    <row r="5833" ht="15" customHeight="1"/>
    <row r="5834" ht="15" customHeight="1"/>
    <row r="5835" ht="15" customHeight="1"/>
    <row r="5836" ht="15" customHeight="1"/>
    <row r="5837" ht="15" customHeight="1"/>
    <row r="5838" ht="15" customHeight="1"/>
    <row r="5839" ht="15" customHeight="1"/>
    <row r="5840" ht="15" customHeight="1"/>
    <row r="5841" ht="15" customHeight="1"/>
    <row r="5842" ht="15" customHeight="1"/>
    <row r="5843" ht="15" customHeight="1"/>
    <row r="5844" ht="15" customHeight="1"/>
    <row r="5845" ht="15" customHeight="1"/>
    <row r="5846" ht="15" customHeight="1"/>
    <row r="5847" ht="15" customHeight="1"/>
    <row r="5848" ht="15" customHeight="1"/>
    <row r="5849" ht="15" customHeight="1"/>
    <row r="5850" ht="15" customHeight="1"/>
    <row r="5851" ht="15" customHeight="1"/>
    <row r="5852" ht="15" customHeight="1"/>
    <row r="5853" ht="15" customHeight="1"/>
    <row r="5854" ht="15" customHeight="1"/>
    <row r="5855" ht="15" customHeight="1"/>
    <row r="5856" ht="15" customHeight="1"/>
    <row r="5857" ht="15" customHeight="1"/>
    <row r="5858" ht="15" customHeight="1"/>
    <row r="5859" ht="15" customHeight="1"/>
    <row r="5860" ht="15" customHeight="1"/>
    <row r="5861" ht="15" customHeight="1"/>
    <row r="5862" ht="15" customHeight="1"/>
    <row r="5863" ht="15" customHeight="1"/>
    <row r="5864" ht="15" customHeight="1"/>
    <row r="5865" ht="15" customHeight="1"/>
    <row r="5866" ht="15" customHeight="1"/>
    <row r="5867" ht="15" customHeight="1"/>
    <row r="5868" ht="15" customHeight="1"/>
    <row r="5869" ht="15" customHeight="1"/>
    <row r="5870" ht="15" customHeight="1"/>
    <row r="5871" ht="15" customHeight="1"/>
    <row r="5872" ht="15" customHeight="1"/>
    <row r="5873" ht="15" customHeight="1"/>
    <row r="5874" ht="15" customHeight="1"/>
    <row r="5875" ht="15" customHeight="1"/>
    <row r="5876" ht="15" customHeight="1"/>
    <row r="5877" ht="15" customHeight="1"/>
    <row r="5878" ht="15" customHeight="1"/>
    <row r="5879" ht="15" customHeight="1"/>
    <row r="5880" ht="15" customHeight="1"/>
    <row r="5881" ht="15" customHeight="1"/>
    <row r="5882" ht="15" customHeight="1"/>
    <row r="5883" ht="15" customHeight="1"/>
    <row r="5884" ht="15" customHeight="1"/>
    <row r="5885" ht="15" customHeight="1"/>
    <row r="5886" ht="15" customHeight="1"/>
    <row r="5887" ht="15" customHeight="1"/>
    <row r="5888" ht="15" customHeight="1"/>
    <row r="5889" ht="15" customHeight="1"/>
    <row r="5890" ht="15" customHeight="1"/>
    <row r="5891" ht="15" customHeight="1"/>
    <row r="5892" ht="15" customHeight="1"/>
    <row r="5893" ht="15" customHeight="1"/>
    <row r="5894" ht="15" customHeight="1"/>
    <row r="5895" ht="15" customHeight="1"/>
    <row r="5896" ht="15" customHeight="1"/>
    <row r="5897" ht="15" customHeight="1"/>
    <row r="5898" ht="15" customHeight="1"/>
    <row r="5899" ht="15" customHeight="1"/>
    <row r="5900" ht="15" customHeight="1"/>
    <row r="5901" ht="15" customHeight="1"/>
    <row r="5902" ht="15" customHeight="1"/>
    <row r="5903" ht="15" customHeight="1"/>
    <row r="5904" ht="15" customHeight="1"/>
    <row r="5905" ht="15" customHeight="1"/>
    <row r="5906" ht="15" customHeight="1"/>
    <row r="5907" ht="15" customHeight="1"/>
    <row r="5908" ht="15" customHeight="1"/>
    <row r="5909" ht="15" customHeight="1"/>
    <row r="5910" ht="15" customHeight="1"/>
    <row r="5911" ht="15" customHeight="1"/>
    <row r="5912" ht="15" customHeight="1"/>
    <row r="5913" ht="15" customHeight="1"/>
    <row r="5914" ht="15" customHeight="1"/>
    <row r="5915" ht="15" customHeight="1"/>
    <row r="5916" ht="15" customHeight="1"/>
    <row r="5917" ht="15" customHeight="1"/>
    <row r="5918" ht="15" customHeight="1"/>
    <row r="5919" ht="15" customHeight="1"/>
    <row r="5920" ht="15" customHeight="1"/>
    <row r="5921" ht="15" customHeight="1"/>
    <row r="5922" ht="15" customHeight="1"/>
    <row r="5923" ht="15" customHeight="1"/>
    <row r="5924" ht="15" customHeight="1"/>
    <row r="5925" ht="15" customHeight="1"/>
    <row r="5926" ht="15" customHeight="1"/>
    <row r="5927" ht="15" customHeight="1"/>
    <row r="5928" ht="15" customHeight="1"/>
    <row r="5929" ht="15" customHeight="1"/>
    <row r="5930" ht="15" customHeight="1"/>
    <row r="5931" ht="15" customHeight="1"/>
    <row r="5932" ht="15" customHeight="1"/>
    <row r="5933" ht="15" customHeight="1"/>
    <row r="5934" ht="15" customHeight="1"/>
    <row r="5935" ht="15" customHeight="1"/>
    <row r="5936" ht="15" customHeight="1"/>
    <row r="5937" ht="15" customHeight="1"/>
    <row r="5938" ht="15" customHeight="1"/>
    <row r="5939" ht="15" customHeight="1"/>
    <row r="5940" ht="15" customHeight="1"/>
    <row r="5941" ht="15" customHeight="1"/>
    <row r="5942" ht="15" customHeight="1"/>
    <row r="5943" ht="15" customHeight="1"/>
    <row r="5944" ht="15" customHeight="1"/>
    <row r="5945" ht="15" customHeight="1"/>
    <row r="5946" ht="15" customHeight="1"/>
    <row r="5947" ht="15" customHeight="1"/>
    <row r="5948" ht="15" customHeight="1"/>
    <row r="5949" ht="15" customHeight="1"/>
    <row r="5950" ht="15" customHeight="1"/>
    <row r="5951" ht="15" customHeight="1"/>
    <row r="5952" ht="15" customHeight="1"/>
    <row r="5953" ht="15" customHeight="1"/>
    <row r="5954" ht="15" customHeight="1"/>
    <row r="5955" ht="15" customHeight="1"/>
    <row r="5956" ht="15" customHeight="1"/>
    <row r="5957" ht="15" customHeight="1"/>
    <row r="5958" ht="15" customHeight="1"/>
    <row r="5959" ht="15" customHeight="1"/>
    <row r="5960" ht="15" customHeight="1"/>
    <row r="5961" ht="15" customHeight="1"/>
    <row r="5962" ht="15" customHeight="1"/>
    <row r="5963" ht="15" customHeight="1"/>
    <row r="5964" ht="15" customHeight="1"/>
    <row r="5965" ht="15" customHeight="1"/>
    <row r="5966" ht="15" customHeight="1"/>
    <row r="5967" ht="15" customHeight="1"/>
    <row r="5968" ht="15" customHeight="1"/>
    <row r="5969" ht="15" customHeight="1"/>
    <row r="5970" ht="15" customHeight="1"/>
    <row r="5971" ht="15" customHeight="1"/>
    <row r="5972" ht="15" customHeight="1"/>
    <row r="5973" ht="15" customHeight="1"/>
    <row r="5974" ht="15" customHeight="1"/>
    <row r="5975" ht="15" customHeight="1"/>
    <row r="5976" ht="15" customHeight="1"/>
    <row r="5977" ht="15" customHeight="1"/>
    <row r="5978" ht="15" customHeight="1"/>
    <row r="5979" ht="15" customHeight="1"/>
    <row r="5980" ht="15" customHeight="1"/>
    <row r="5981" ht="15" customHeight="1"/>
    <row r="5982" ht="15" customHeight="1"/>
    <row r="5983" ht="15" customHeight="1"/>
    <row r="5984" ht="15" customHeight="1"/>
    <row r="5985" ht="15" customHeight="1"/>
    <row r="5986" ht="15" customHeight="1"/>
    <row r="5987" ht="15" customHeight="1"/>
    <row r="5988" ht="15" customHeight="1"/>
    <row r="5989" ht="15" customHeight="1"/>
    <row r="5990" ht="15" customHeight="1"/>
    <row r="5991" ht="15" customHeight="1"/>
    <row r="5992" ht="15" customHeight="1"/>
    <row r="5993" ht="15" customHeight="1"/>
    <row r="5994" ht="15" customHeight="1"/>
    <row r="5995" ht="15" customHeight="1"/>
    <row r="5996" ht="15" customHeight="1"/>
    <row r="5997" ht="15" customHeight="1"/>
    <row r="5998" ht="15" customHeight="1"/>
    <row r="5999" ht="15" customHeight="1"/>
    <row r="6000" ht="15" customHeight="1"/>
    <row r="6001" ht="15" customHeight="1"/>
    <row r="6002" ht="15" customHeight="1"/>
    <row r="6003" ht="15" customHeight="1"/>
    <row r="6004" ht="15" customHeight="1"/>
    <row r="6005" ht="15" customHeight="1"/>
    <row r="6006" ht="15" customHeight="1"/>
    <row r="6007" ht="15" customHeight="1"/>
    <row r="6008" ht="15" customHeight="1"/>
    <row r="6009" ht="15" customHeight="1"/>
    <row r="6010" ht="15" customHeight="1"/>
    <row r="6011" ht="15" customHeight="1"/>
    <row r="6012" ht="15" customHeight="1"/>
    <row r="6013" ht="15" customHeight="1"/>
    <row r="6014" ht="15" customHeight="1"/>
    <row r="6015" ht="15" customHeight="1"/>
    <row r="6016" ht="15" customHeight="1"/>
    <row r="6017" ht="15" customHeight="1"/>
    <row r="6018" ht="15" customHeight="1"/>
    <row r="6019" ht="15" customHeight="1"/>
    <row r="6020" ht="15" customHeight="1"/>
    <row r="6021" ht="15" customHeight="1"/>
    <row r="6022" ht="15" customHeight="1"/>
    <row r="6023" ht="15" customHeight="1"/>
    <row r="6024" ht="15" customHeight="1"/>
    <row r="6025" ht="15" customHeight="1"/>
    <row r="6026" ht="15" customHeight="1"/>
    <row r="6027" ht="15" customHeight="1"/>
    <row r="6028" ht="15" customHeight="1"/>
    <row r="6029" ht="15" customHeight="1"/>
    <row r="6030" ht="15" customHeight="1"/>
    <row r="6031" ht="15" customHeight="1"/>
    <row r="6032" ht="15" customHeight="1"/>
    <row r="6033" ht="15" customHeight="1"/>
    <row r="6034" ht="15" customHeight="1"/>
    <row r="6035" ht="15" customHeight="1"/>
    <row r="6036" ht="15" customHeight="1"/>
    <row r="6037" ht="15" customHeight="1"/>
    <row r="6038" ht="15" customHeight="1"/>
    <row r="6039" ht="15" customHeight="1"/>
    <row r="6040" ht="15" customHeight="1"/>
    <row r="6041" ht="15" customHeight="1"/>
    <row r="6042" ht="15" customHeight="1"/>
    <row r="6043" ht="15" customHeight="1"/>
    <row r="6044" ht="15" customHeight="1"/>
    <row r="6045" ht="15" customHeight="1"/>
    <row r="6046" ht="15" customHeight="1"/>
    <row r="6047" ht="15" customHeight="1"/>
    <row r="6048" ht="15" customHeight="1"/>
    <row r="6049" ht="15" customHeight="1"/>
    <row r="6050" ht="15" customHeight="1"/>
    <row r="6051" ht="15" customHeight="1"/>
    <row r="6052" ht="15" customHeight="1"/>
    <row r="6053" ht="15" customHeight="1"/>
    <row r="6054" ht="15" customHeight="1"/>
    <row r="6055" ht="15" customHeight="1"/>
    <row r="6056" ht="15" customHeight="1"/>
    <row r="6057" ht="15" customHeight="1"/>
    <row r="6058" ht="15" customHeight="1"/>
    <row r="6059" ht="15" customHeight="1"/>
    <row r="6060" ht="15" customHeight="1"/>
    <row r="6061" ht="15" customHeight="1"/>
    <row r="6062" ht="15" customHeight="1"/>
    <row r="6063" ht="15" customHeight="1"/>
    <row r="6064" ht="15" customHeight="1"/>
    <row r="6065" ht="15" customHeight="1"/>
    <row r="6066" ht="15" customHeight="1"/>
    <row r="6067" ht="15" customHeight="1"/>
    <row r="6068" ht="15" customHeight="1"/>
    <row r="6069" ht="15" customHeight="1"/>
    <row r="6070" ht="15" customHeight="1"/>
    <row r="6071" ht="15" customHeight="1"/>
    <row r="6072" ht="15" customHeight="1"/>
    <row r="6073" ht="15" customHeight="1"/>
    <row r="6074" ht="15" customHeight="1"/>
    <row r="6075" ht="15" customHeight="1"/>
    <row r="6076" ht="15" customHeight="1"/>
    <row r="6077" ht="15" customHeight="1"/>
    <row r="6078" ht="15" customHeight="1"/>
    <row r="6079" ht="15" customHeight="1"/>
    <row r="6080" ht="15" customHeight="1"/>
    <row r="6081" ht="15" customHeight="1"/>
    <row r="6082" ht="15" customHeight="1"/>
    <row r="6083" ht="15" customHeight="1"/>
    <row r="6084" ht="15" customHeight="1"/>
    <row r="6085" ht="15" customHeight="1"/>
    <row r="6086" ht="15" customHeight="1"/>
    <row r="6087" ht="15" customHeight="1"/>
    <row r="6088" ht="15" customHeight="1"/>
    <row r="6089" ht="15" customHeight="1"/>
    <row r="6090" ht="15" customHeight="1"/>
    <row r="6091" ht="15" customHeight="1"/>
    <row r="6092" ht="15" customHeight="1"/>
    <row r="6093" ht="15" customHeight="1"/>
    <row r="6094" ht="15" customHeight="1"/>
    <row r="6095" ht="15" customHeight="1"/>
    <row r="6096" ht="15" customHeight="1"/>
    <row r="6097" ht="15" customHeight="1"/>
    <row r="6098" ht="15" customHeight="1"/>
    <row r="6099" ht="15" customHeight="1"/>
    <row r="6100" ht="15" customHeight="1"/>
    <row r="6101" ht="15" customHeight="1"/>
    <row r="6102" ht="15" customHeight="1"/>
    <row r="6103" ht="15" customHeight="1"/>
    <row r="6104" ht="15" customHeight="1"/>
    <row r="6105" ht="15" customHeight="1"/>
    <row r="6106" ht="15" customHeight="1"/>
    <row r="6107" ht="15" customHeight="1"/>
    <row r="6108" ht="15" customHeight="1"/>
    <row r="6109" ht="15" customHeight="1"/>
    <row r="6110" ht="15" customHeight="1"/>
    <row r="6111" ht="15" customHeight="1"/>
    <row r="6112" ht="15" customHeight="1"/>
    <row r="6113" ht="15" customHeight="1"/>
    <row r="6114" ht="15" customHeight="1"/>
    <row r="6115" ht="15" customHeight="1"/>
    <row r="6116" ht="15" customHeight="1"/>
    <row r="6117" ht="15" customHeight="1"/>
    <row r="6118" ht="15" customHeight="1"/>
    <row r="6119" ht="15" customHeight="1"/>
    <row r="6120" ht="15" customHeight="1"/>
    <row r="6121" ht="15" customHeight="1"/>
    <row r="6122" ht="15" customHeight="1"/>
    <row r="6123" ht="15" customHeight="1"/>
    <row r="6124" ht="15" customHeight="1"/>
    <row r="6125" ht="15" customHeight="1"/>
    <row r="6126" ht="15" customHeight="1"/>
    <row r="6127" ht="15" customHeight="1"/>
    <row r="6128" ht="15" customHeight="1"/>
    <row r="6129" ht="15" customHeight="1"/>
    <row r="6130" ht="15" customHeight="1"/>
    <row r="6131" ht="15" customHeight="1"/>
    <row r="6132" ht="15" customHeight="1"/>
    <row r="6133" ht="15" customHeight="1"/>
    <row r="6134" ht="15" customHeight="1"/>
    <row r="6135" ht="15" customHeight="1"/>
    <row r="6136" ht="15" customHeight="1"/>
    <row r="6137" ht="15" customHeight="1"/>
    <row r="6138" ht="15" customHeight="1"/>
    <row r="6139" ht="15" customHeight="1"/>
    <row r="6140" ht="15" customHeight="1"/>
    <row r="6141" ht="15" customHeight="1"/>
    <row r="6142" ht="15" customHeight="1"/>
    <row r="6143" ht="15" customHeight="1"/>
    <row r="6144" ht="15" customHeight="1"/>
    <row r="6145" ht="15" customHeight="1"/>
    <row r="6146" ht="15" customHeight="1"/>
    <row r="6147" ht="15" customHeight="1"/>
    <row r="6148" ht="15" customHeight="1"/>
    <row r="6149" ht="15" customHeight="1"/>
    <row r="6150" ht="15" customHeight="1"/>
    <row r="6151" ht="15" customHeight="1"/>
    <row r="6152" ht="15" customHeight="1"/>
    <row r="6153" ht="15" customHeight="1"/>
    <row r="6154" ht="15" customHeight="1"/>
    <row r="6155" ht="15" customHeight="1"/>
    <row r="6156" ht="15" customHeight="1"/>
    <row r="6157" ht="15" customHeight="1"/>
    <row r="6158" ht="15" customHeight="1"/>
    <row r="6159" ht="15" customHeight="1"/>
    <row r="6160" ht="15" customHeight="1"/>
    <row r="6161" ht="15" customHeight="1"/>
    <row r="6162" ht="15" customHeight="1"/>
    <row r="6163" ht="15" customHeight="1"/>
    <row r="6164" ht="15" customHeight="1"/>
    <row r="6165" ht="15" customHeight="1"/>
    <row r="6166" ht="15" customHeight="1"/>
    <row r="6167" ht="15" customHeight="1"/>
    <row r="6168" ht="15" customHeight="1"/>
    <row r="6169" ht="15" customHeight="1"/>
    <row r="6170" ht="15" customHeight="1"/>
    <row r="6171" ht="15" customHeight="1"/>
    <row r="6172" ht="15" customHeight="1"/>
    <row r="6173" ht="15" customHeight="1"/>
    <row r="6174" ht="15" customHeight="1"/>
    <row r="6175" ht="15" customHeight="1"/>
    <row r="6176" ht="15" customHeight="1"/>
    <row r="6177" ht="15" customHeight="1"/>
    <row r="6178" ht="15" customHeight="1"/>
    <row r="6179" ht="15" customHeight="1"/>
    <row r="6180" ht="15" customHeight="1"/>
    <row r="6181" ht="15" customHeight="1"/>
    <row r="6182" ht="15" customHeight="1"/>
    <row r="6183" ht="15" customHeight="1"/>
    <row r="6184" ht="15" customHeight="1"/>
    <row r="6185" ht="15" customHeight="1"/>
    <row r="6186" ht="15" customHeight="1"/>
    <row r="6187" ht="15" customHeight="1"/>
    <row r="6188" ht="15" customHeight="1"/>
    <row r="6189" ht="15" customHeight="1"/>
    <row r="6190" ht="15" customHeight="1"/>
    <row r="6191" ht="15" customHeight="1"/>
    <row r="6192" ht="15" customHeight="1"/>
    <row r="6193" ht="15" customHeight="1"/>
    <row r="6194" ht="15" customHeight="1"/>
    <row r="6195" ht="15" customHeight="1"/>
    <row r="6196" ht="15" customHeight="1"/>
    <row r="6197" ht="15" customHeight="1"/>
    <row r="6198" ht="15" customHeight="1"/>
    <row r="6199" ht="15" customHeight="1"/>
    <row r="6200" ht="15" customHeight="1"/>
    <row r="6201" ht="15" customHeight="1"/>
    <row r="6202" ht="15" customHeight="1"/>
    <row r="6203" ht="15" customHeight="1"/>
    <row r="6204" ht="15" customHeight="1"/>
    <row r="6205" ht="15" customHeight="1"/>
    <row r="6206" ht="15" customHeight="1"/>
    <row r="6207" ht="15" customHeight="1"/>
    <row r="6208" ht="15" customHeight="1"/>
    <row r="6209" ht="15" customHeight="1"/>
    <row r="6210" ht="15" customHeight="1"/>
    <row r="6211" ht="15" customHeight="1"/>
    <row r="6212" ht="15" customHeight="1"/>
    <row r="6213" ht="15" customHeight="1"/>
    <row r="6214" ht="15" customHeight="1"/>
    <row r="6215" ht="15" customHeight="1"/>
    <row r="6216" ht="15" customHeight="1"/>
    <row r="6217" ht="15" customHeight="1"/>
    <row r="6218" ht="15" customHeight="1"/>
    <row r="6219" ht="15" customHeight="1"/>
    <row r="6220" ht="15" customHeight="1"/>
    <row r="6221" ht="15" customHeight="1"/>
    <row r="6222" ht="15" customHeight="1"/>
    <row r="6223" ht="15" customHeight="1"/>
    <row r="6224" ht="15" customHeight="1"/>
    <row r="6225" ht="15" customHeight="1"/>
    <row r="6226" ht="15" customHeight="1"/>
    <row r="6227" ht="15" customHeight="1"/>
    <row r="6228" ht="15" customHeight="1"/>
    <row r="6229" ht="15" customHeight="1"/>
    <row r="6230" ht="15" customHeight="1"/>
    <row r="6231" ht="15" customHeight="1"/>
    <row r="6232" ht="15" customHeight="1"/>
    <row r="6233" ht="15" customHeight="1"/>
    <row r="6234" ht="15" customHeight="1"/>
    <row r="6235" ht="15" customHeight="1"/>
    <row r="6236" ht="15" customHeight="1"/>
    <row r="6237" ht="15" customHeight="1"/>
    <row r="6238" ht="15" customHeight="1"/>
    <row r="6239" ht="15" customHeight="1"/>
    <row r="6240" ht="15" customHeight="1"/>
    <row r="6241" ht="15" customHeight="1"/>
    <row r="6242" ht="15" customHeight="1"/>
    <row r="6243" ht="15" customHeight="1"/>
    <row r="6244" ht="15" customHeight="1"/>
    <row r="6245" ht="15" customHeight="1"/>
    <row r="6246" ht="15" customHeight="1"/>
    <row r="6247" ht="15" customHeight="1"/>
    <row r="6248" ht="15" customHeight="1"/>
    <row r="6249" ht="15" customHeight="1"/>
    <row r="6250" ht="15" customHeight="1"/>
    <row r="6251" ht="15" customHeight="1"/>
    <row r="6252" ht="15" customHeight="1"/>
    <row r="6253" ht="15" customHeight="1"/>
    <row r="6254" ht="15" customHeight="1"/>
    <row r="6255" ht="15" customHeight="1"/>
    <row r="6256" ht="15" customHeight="1"/>
    <row r="6257" ht="15" customHeight="1"/>
    <row r="6258" ht="15" customHeight="1"/>
    <row r="6259" ht="15" customHeight="1"/>
    <row r="6260" ht="15" customHeight="1"/>
    <row r="6261" ht="15" customHeight="1"/>
    <row r="6262" ht="15" customHeight="1"/>
    <row r="6263" ht="15" customHeight="1"/>
    <row r="6264" ht="15" customHeight="1"/>
    <row r="6265" ht="15" customHeight="1"/>
    <row r="6266" ht="15" customHeight="1"/>
    <row r="6267" ht="15" customHeight="1"/>
    <row r="6268" ht="15" customHeight="1"/>
    <row r="6269" ht="15" customHeight="1"/>
    <row r="6270" ht="15" customHeight="1"/>
    <row r="6271" ht="15" customHeight="1"/>
    <row r="6272" ht="15" customHeight="1"/>
    <row r="6273" ht="15" customHeight="1"/>
    <row r="6274" ht="15" customHeight="1"/>
    <row r="6275" ht="15" customHeight="1"/>
    <row r="6276" ht="15" customHeight="1"/>
    <row r="6277" ht="15" customHeight="1"/>
    <row r="6278" ht="15" customHeight="1"/>
    <row r="6279" ht="15" customHeight="1"/>
    <row r="6280" ht="15" customHeight="1"/>
    <row r="6281" ht="15" customHeight="1"/>
    <row r="6282" ht="15" customHeight="1"/>
    <row r="6283" ht="15" customHeight="1"/>
    <row r="6284" ht="15" customHeight="1"/>
    <row r="6285" ht="15" customHeight="1"/>
    <row r="6286" ht="15" customHeight="1"/>
    <row r="6287" ht="15" customHeight="1"/>
    <row r="6288" ht="15" customHeight="1"/>
    <row r="6289" ht="15" customHeight="1"/>
    <row r="6290" ht="15" customHeight="1"/>
    <row r="6291" ht="15" customHeight="1"/>
    <row r="6292" ht="15" customHeight="1"/>
    <row r="6293" ht="15" customHeight="1"/>
    <row r="6294" ht="15" customHeight="1"/>
    <row r="6295" ht="15" customHeight="1"/>
    <row r="6296" ht="15" customHeight="1"/>
    <row r="6297" ht="15" customHeight="1"/>
    <row r="6298" ht="15" customHeight="1"/>
    <row r="6299" ht="15" customHeight="1"/>
    <row r="6300" ht="15" customHeight="1"/>
    <row r="6301" ht="15" customHeight="1"/>
    <row r="6302" ht="15" customHeight="1"/>
    <row r="6303" ht="15" customHeight="1"/>
    <row r="6304" ht="15" customHeight="1"/>
    <row r="6305" ht="15" customHeight="1"/>
    <row r="6306" ht="15" customHeight="1"/>
    <row r="6307" ht="15" customHeight="1"/>
    <row r="6308" ht="15" customHeight="1"/>
    <row r="6309" ht="15" customHeight="1"/>
    <row r="6310" ht="15" customHeight="1"/>
    <row r="6311" ht="15" customHeight="1"/>
    <row r="6312" ht="15" customHeight="1"/>
    <row r="6313" ht="15" customHeight="1"/>
    <row r="6314" ht="15" customHeight="1"/>
    <row r="6315" ht="15" customHeight="1"/>
    <row r="6316" ht="15" customHeight="1"/>
    <row r="6317" ht="15" customHeight="1"/>
    <row r="6318" ht="15" customHeight="1"/>
    <row r="6319" ht="15" customHeight="1"/>
    <row r="6320" ht="15" customHeight="1"/>
    <row r="6321" ht="15" customHeight="1"/>
    <row r="6322" ht="15" customHeight="1"/>
    <row r="6323" ht="15" customHeight="1"/>
    <row r="6324" ht="15" customHeight="1"/>
    <row r="6325" ht="15" customHeight="1"/>
    <row r="6326" ht="15" customHeight="1"/>
    <row r="6327" ht="15" customHeight="1"/>
    <row r="6328" ht="15" customHeight="1"/>
    <row r="6329" ht="15" customHeight="1"/>
    <row r="6330" ht="15" customHeight="1"/>
    <row r="6331" ht="15" customHeight="1"/>
    <row r="6332" ht="15" customHeight="1"/>
    <row r="6333" ht="15" customHeight="1"/>
    <row r="6334" ht="15" customHeight="1"/>
    <row r="6335" ht="15" customHeight="1"/>
    <row r="6336" ht="15" customHeight="1"/>
    <row r="6337" ht="15" customHeight="1"/>
    <row r="6338" ht="15" customHeight="1"/>
    <row r="6339" ht="15" customHeight="1"/>
    <row r="6340" ht="15" customHeight="1"/>
    <row r="6341" ht="15" customHeight="1"/>
    <row r="6342" ht="15" customHeight="1"/>
    <row r="6343" ht="15" customHeight="1"/>
    <row r="6344" ht="15" customHeight="1"/>
    <row r="6345" ht="15" customHeight="1"/>
    <row r="6346" ht="15" customHeight="1"/>
    <row r="6347" ht="15" customHeight="1"/>
    <row r="6348" ht="15" customHeight="1"/>
    <row r="6349" ht="15" customHeight="1"/>
    <row r="6350" ht="15" customHeight="1"/>
    <row r="6351" ht="15" customHeight="1"/>
    <row r="6352" ht="15" customHeight="1"/>
    <row r="6353" ht="15" customHeight="1"/>
    <row r="6354" ht="15" customHeight="1"/>
    <row r="6355" ht="15" customHeight="1"/>
    <row r="6356" ht="15" customHeight="1"/>
    <row r="6357" ht="15" customHeight="1"/>
    <row r="6358" ht="15" customHeight="1"/>
    <row r="6359" ht="15" customHeight="1"/>
    <row r="6360" ht="15" customHeight="1"/>
    <row r="6361" ht="15" customHeight="1"/>
    <row r="6362" ht="15" customHeight="1"/>
    <row r="6363" ht="15" customHeight="1"/>
    <row r="6364" ht="15" customHeight="1"/>
    <row r="6365" ht="15" customHeight="1"/>
    <row r="6366" ht="15" customHeight="1"/>
    <row r="6367" ht="15" customHeight="1"/>
    <row r="6368" ht="15" customHeight="1"/>
    <row r="6369" ht="15" customHeight="1"/>
    <row r="6370" ht="15" customHeight="1"/>
    <row r="6371" ht="15" customHeight="1"/>
    <row r="6372" ht="15" customHeight="1"/>
    <row r="6373" ht="15" customHeight="1"/>
    <row r="6374" ht="15" customHeight="1"/>
    <row r="6375" ht="15" customHeight="1"/>
    <row r="6376" ht="15" customHeight="1"/>
    <row r="6377" ht="15" customHeight="1"/>
    <row r="6378" ht="15" customHeight="1"/>
    <row r="6379" ht="15" customHeight="1"/>
    <row r="6380" ht="15" customHeight="1"/>
    <row r="6381" ht="15" customHeight="1"/>
    <row r="6382" ht="15" customHeight="1"/>
    <row r="6383" ht="15" customHeight="1"/>
    <row r="6384" ht="15" customHeight="1"/>
    <row r="6385" ht="15" customHeight="1"/>
    <row r="6386" ht="15" customHeight="1"/>
    <row r="6387" ht="15" customHeight="1"/>
    <row r="6388" ht="15" customHeight="1"/>
    <row r="6389" ht="15" customHeight="1"/>
    <row r="6390" ht="15" customHeight="1"/>
    <row r="6391" ht="15" customHeight="1"/>
    <row r="6392" ht="15" customHeight="1"/>
    <row r="6393" ht="15" customHeight="1"/>
    <row r="6394" ht="15" customHeight="1"/>
    <row r="6395" ht="15" customHeight="1"/>
    <row r="6396" ht="15" customHeight="1"/>
    <row r="6397" ht="15" customHeight="1"/>
    <row r="6398" ht="15" customHeight="1"/>
    <row r="6399" ht="15" customHeight="1"/>
    <row r="6400" ht="15" customHeight="1"/>
    <row r="6401" ht="15" customHeight="1"/>
    <row r="6402" ht="15" customHeight="1"/>
    <row r="6403" ht="15" customHeight="1"/>
    <row r="6404" ht="15" customHeight="1"/>
    <row r="6405" ht="15" customHeight="1"/>
    <row r="6406" ht="15" customHeight="1"/>
    <row r="6407" ht="15" customHeight="1"/>
    <row r="6408" ht="15" customHeight="1"/>
    <row r="6409" ht="15" customHeight="1"/>
    <row r="6410" ht="15" customHeight="1"/>
    <row r="6411" ht="15" customHeight="1"/>
    <row r="6412" ht="15" customHeight="1"/>
    <row r="6413" ht="15" customHeight="1"/>
    <row r="6414" ht="15" customHeight="1"/>
    <row r="6415" ht="15" customHeight="1"/>
    <row r="6416" ht="15" customHeight="1"/>
    <row r="6417" ht="15" customHeight="1"/>
    <row r="6418" ht="15" customHeight="1"/>
    <row r="6419" ht="15" customHeight="1"/>
    <row r="6420" ht="15" customHeight="1"/>
    <row r="6421" ht="15" customHeight="1"/>
    <row r="6422" ht="15" customHeight="1"/>
    <row r="6423" ht="15" customHeight="1"/>
    <row r="6424" ht="15" customHeight="1"/>
    <row r="6425" ht="15" customHeight="1"/>
    <row r="6426" ht="15" customHeight="1"/>
    <row r="6427" ht="15" customHeight="1"/>
    <row r="6428" ht="15" customHeight="1"/>
    <row r="6429" ht="15" customHeight="1"/>
    <row r="6430" ht="15" customHeight="1"/>
    <row r="6431" ht="15" customHeight="1"/>
    <row r="6432" ht="15" customHeight="1"/>
    <row r="6433" ht="15" customHeight="1"/>
    <row r="6434" ht="15" customHeight="1"/>
    <row r="6435" ht="15" customHeight="1"/>
    <row r="6436" ht="15" customHeight="1"/>
    <row r="6437" ht="15" customHeight="1"/>
    <row r="6438" ht="15" customHeight="1"/>
    <row r="6439" ht="15" customHeight="1"/>
    <row r="6440" ht="15" customHeight="1"/>
    <row r="6441" ht="15" customHeight="1"/>
    <row r="6442" ht="15" customHeight="1"/>
    <row r="6443" ht="15" customHeight="1"/>
    <row r="6444" ht="15" customHeight="1"/>
    <row r="6445" ht="15" customHeight="1"/>
    <row r="6446" ht="15" customHeight="1"/>
    <row r="6447" ht="15" customHeight="1"/>
    <row r="6448" ht="15" customHeight="1"/>
    <row r="6449" ht="15" customHeight="1"/>
    <row r="6450" ht="15" customHeight="1"/>
    <row r="6451" ht="15" customHeight="1"/>
    <row r="6452" ht="15" customHeight="1"/>
    <row r="6453" ht="15" customHeight="1"/>
    <row r="6454" ht="15" customHeight="1"/>
    <row r="6455" ht="15" customHeight="1"/>
    <row r="6456" ht="15" customHeight="1"/>
    <row r="6457" ht="15" customHeight="1"/>
    <row r="6458" ht="15" customHeight="1"/>
    <row r="6459" ht="15" customHeight="1"/>
    <row r="6460" ht="15" customHeight="1"/>
    <row r="6461" ht="15" customHeight="1"/>
    <row r="6462" ht="15" customHeight="1"/>
    <row r="6463" ht="15" customHeight="1"/>
    <row r="6464" ht="15" customHeight="1"/>
    <row r="6465" ht="15" customHeight="1"/>
    <row r="6466" ht="15" customHeight="1"/>
    <row r="6467" ht="15" customHeight="1"/>
    <row r="6468" ht="15" customHeight="1"/>
    <row r="6469" ht="15" customHeight="1"/>
    <row r="6470" ht="15" customHeight="1"/>
    <row r="6471" ht="15" customHeight="1"/>
    <row r="6472" ht="15" customHeight="1"/>
    <row r="6473" ht="15" customHeight="1"/>
    <row r="6474" ht="15" customHeight="1"/>
    <row r="6475" ht="15" customHeight="1"/>
    <row r="6476" ht="15" customHeight="1"/>
    <row r="6477" ht="15" customHeight="1"/>
    <row r="6478" ht="15" customHeight="1"/>
    <row r="6479" ht="15" customHeight="1"/>
    <row r="6480" ht="15" customHeight="1"/>
    <row r="6481" ht="15" customHeight="1"/>
    <row r="6482" ht="15" customHeight="1"/>
    <row r="6483" ht="15" customHeight="1"/>
    <row r="6484" ht="15" customHeight="1"/>
    <row r="6485" ht="15" customHeight="1"/>
    <row r="6486" ht="15" customHeight="1"/>
    <row r="6487" ht="15" customHeight="1"/>
    <row r="6488" ht="15" customHeight="1"/>
    <row r="6489" ht="15" customHeight="1"/>
    <row r="6490" ht="15" customHeight="1"/>
    <row r="6491" ht="15" customHeight="1"/>
    <row r="6492" ht="15" customHeight="1"/>
    <row r="6493" ht="15" customHeight="1"/>
    <row r="6494" ht="15" customHeight="1"/>
    <row r="6495" ht="15" customHeight="1"/>
    <row r="6496" ht="15" customHeight="1"/>
    <row r="6497" ht="15" customHeight="1"/>
    <row r="6498" ht="15" customHeight="1"/>
    <row r="6499" ht="15" customHeight="1"/>
    <row r="6500" ht="15" customHeight="1"/>
    <row r="6501" ht="15" customHeight="1"/>
    <row r="6502" ht="15" customHeight="1"/>
    <row r="6503" ht="15" customHeight="1"/>
    <row r="6504" ht="15" customHeight="1"/>
    <row r="6505" ht="15" customHeight="1"/>
    <row r="6506" ht="15" customHeight="1"/>
    <row r="6507" ht="15" customHeight="1"/>
    <row r="6508" ht="15" customHeight="1"/>
    <row r="6509" ht="15" customHeight="1"/>
    <row r="6510" ht="15" customHeight="1"/>
    <row r="6511" ht="15" customHeight="1"/>
    <row r="6512" ht="15" customHeight="1"/>
    <row r="6513" ht="15" customHeight="1"/>
    <row r="6514" ht="15" customHeight="1"/>
    <row r="6515" ht="15" customHeight="1"/>
    <row r="6516" ht="15" customHeight="1"/>
    <row r="6517" ht="15" customHeight="1"/>
    <row r="6518" ht="15" customHeight="1"/>
    <row r="6519" ht="15" customHeight="1"/>
    <row r="6520" ht="15" customHeight="1"/>
    <row r="6521" ht="15" customHeight="1"/>
    <row r="6522" ht="15" customHeight="1"/>
    <row r="6523" ht="15" customHeight="1"/>
    <row r="6524" ht="15" customHeight="1"/>
    <row r="6525" ht="15" customHeight="1"/>
    <row r="6526" ht="15" customHeight="1"/>
    <row r="6527" ht="15" customHeight="1"/>
    <row r="6528" ht="15" customHeight="1"/>
    <row r="6529" ht="15" customHeight="1"/>
    <row r="6530" ht="15" customHeight="1"/>
    <row r="6531" ht="15" customHeight="1"/>
    <row r="6532" ht="15" customHeight="1"/>
    <row r="6533" ht="15" customHeight="1"/>
    <row r="6534" ht="15" customHeight="1"/>
    <row r="6535" ht="15" customHeight="1"/>
    <row r="6536" ht="15" customHeight="1"/>
    <row r="6537" ht="15" customHeight="1"/>
    <row r="6538" ht="15" customHeight="1"/>
    <row r="6539" ht="15" customHeight="1"/>
    <row r="6540" ht="15" customHeight="1"/>
    <row r="6541" ht="15" customHeight="1"/>
    <row r="6542" ht="15" customHeight="1"/>
    <row r="6543" ht="15" customHeight="1"/>
    <row r="6544" ht="15" customHeight="1"/>
    <row r="6545" ht="15" customHeight="1"/>
    <row r="6546" ht="15" customHeight="1"/>
    <row r="6547" ht="15" customHeight="1"/>
    <row r="6548" ht="15" customHeight="1"/>
    <row r="6549" ht="15" customHeight="1"/>
    <row r="6550" ht="15" customHeight="1"/>
    <row r="6551" ht="15" customHeight="1"/>
    <row r="6552" ht="15" customHeight="1"/>
    <row r="6553" ht="15" customHeight="1"/>
    <row r="6554" ht="15" customHeight="1"/>
    <row r="6555" ht="15" customHeight="1"/>
    <row r="6556" ht="15" customHeight="1"/>
    <row r="6557" ht="15" customHeight="1"/>
    <row r="6558" ht="15" customHeight="1"/>
    <row r="6559" ht="15" customHeight="1"/>
    <row r="6560" ht="15" customHeight="1"/>
    <row r="6561" ht="15" customHeight="1"/>
    <row r="6562" ht="15" customHeight="1"/>
    <row r="6563" ht="15" customHeight="1"/>
    <row r="6564" ht="15" customHeight="1"/>
    <row r="6565" ht="15" customHeight="1"/>
    <row r="6566" ht="15" customHeight="1"/>
    <row r="6567" ht="15" customHeight="1"/>
    <row r="6568" ht="15" customHeight="1"/>
    <row r="6569" ht="15" customHeight="1"/>
    <row r="6570" ht="15" customHeight="1"/>
    <row r="6571" ht="15" customHeight="1"/>
    <row r="6572" ht="15" customHeight="1"/>
    <row r="6573" ht="15" customHeight="1"/>
    <row r="6574" ht="15" customHeight="1"/>
    <row r="6575" ht="15" customHeight="1"/>
    <row r="6576" ht="15" customHeight="1"/>
    <row r="6577" ht="15" customHeight="1"/>
    <row r="6578" ht="15" customHeight="1"/>
    <row r="6579" ht="15" customHeight="1"/>
    <row r="6580" ht="15" customHeight="1"/>
    <row r="6581" ht="15" customHeight="1"/>
    <row r="6582" ht="15" customHeight="1"/>
    <row r="6583" ht="15" customHeight="1"/>
    <row r="6584" ht="15" customHeight="1"/>
    <row r="6585" ht="15" customHeight="1"/>
    <row r="6586" ht="15" customHeight="1"/>
    <row r="6587" ht="15" customHeight="1"/>
    <row r="6588" ht="15" customHeight="1"/>
    <row r="6589" ht="15" customHeight="1"/>
    <row r="6590" ht="15" customHeight="1"/>
    <row r="6591" ht="15" customHeight="1"/>
    <row r="6592" ht="15" customHeight="1"/>
    <row r="6593" ht="15" customHeight="1"/>
    <row r="6594" ht="15" customHeight="1"/>
    <row r="6595" ht="15" customHeight="1"/>
    <row r="6596" ht="15" customHeight="1"/>
    <row r="6597" ht="15" customHeight="1"/>
    <row r="6598" ht="15" customHeight="1"/>
    <row r="6599" ht="15" customHeight="1"/>
    <row r="6600" ht="15" customHeight="1"/>
    <row r="6601" ht="15" customHeight="1"/>
    <row r="6602" ht="15" customHeight="1"/>
    <row r="6603" ht="15" customHeight="1"/>
    <row r="6604" ht="15" customHeight="1"/>
    <row r="6605" ht="15" customHeight="1"/>
    <row r="6606" ht="15" customHeight="1"/>
    <row r="6607" ht="15" customHeight="1"/>
    <row r="6608" ht="15" customHeight="1"/>
    <row r="6609" ht="15" customHeight="1"/>
    <row r="6610" ht="15" customHeight="1"/>
    <row r="6611" ht="15" customHeight="1"/>
    <row r="6612" ht="15" customHeight="1"/>
    <row r="6613" ht="15" customHeight="1"/>
    <row r="6614" ht="15" customHeight="1"/>
    <row r="6615" ht="15" customHeight="1"/>
    <row r="6616" ht="15" customHeight="1"/>
    <row r="6617" ht="15" customHeight="1"/>
    <row r="6618" ht="15" customHeight="1"/>
    <row r="6619" ht="15" customHeight="1"/>
    <row r="6620" ht="15" customHeight="1"/>
    <row r="6621" ht="15" customHeight="1"/>
    <row r="6622" ht="15" customHeight="1"/>
    <row r="6623" ht="15" customHeight="1"/>
    <row r="6624" ht="15" customHeight="1"/>
    <row r="6625" ht="15" customHeight="1"/>
    <row r="6626" ht="15" customHeight="1"/>
    <row r="6627" ht="15" customHeight="1"/>
    <row r="6628" ht="15" customHeight="1"/>
    <row r="6629" ht="15" customHeight="1"/>
    <row r="6630" ht="15" customHeight="1"/>
    <row r="6631" ht="15" customHeight="1"/>
    <row r="6632" ht="15" customHeight="1"/>
    <row r="6633" ht="15" customHeight="1"/>
    <row r="6634" ht="15" customHeight="1"/>
    <row r="6635" ht="15" customHeight="1"/>
    <row r="6636" ht="15" customHeight="1"/>
    <row r="6637" ht="15" customHeight="1"/>
    <row r="6638" ht="15" customHeight="1"/>
    <row r="6639" ht="15" customHeight="1"/>
    <row r="6640" ht="15" customHeight="1"/>
    <row r="6641" ht="15" customHeight="1"/>
    <row r="6642" ht="15" customHeight="1"/>
    <row r="6643" ht="15" customHeight="1"/>
    <row r="6644" ht="15" customHeight="1"/>
    <row r="6645" ht="15" customHeight="1"/>
    <row r="6646" ht="15" customHeight="1"/>
    <row r="6647" ht="15" customHeight="1"/>
    <row r="6648" ht="15" customHeight="1"/>
    <row r="6649" ht="15" customHeight="1"/>
    <row r="6650" ht="15" customHeight="1"/>
    <row r="6651" ht="15" customHeight="1"/>
    <row r="6652" ht="15" customHeight="1"/>
    <row r="6653" ht="15" customHeight="1"/>
    <row r="6654" ht="15" customHeight="1"/>
    <row r="6655" ht="15" customHeight="1"/>
    <row r="6656" ht="15" customHeight="1"/>
    <row r="6657" ht="15" customHeight="1"/>
    <row r="6658" ht="15" customHeight="1"/>
    <row r="6659" ht="15" customHeight="1"/>
    <row r="6660" ht="15" customHeight="1"/>
    <row r="6661" ht="15" customHeight="1"/>
    <row r="6662" ht="15" customHeight="1"/>
    <row r="6663" ht="15" customHeight="1"/>
    <row r="6664" ht="15" customHeight="1"/>
    <row r="6665" ht="15" customHeight="1"/>
    <row r="6666" ht="15" customHeight="1"/>
    <row r="6667" ht="15" customHeight="1"/>
    <row r="6668" ht="15" customHeight="1"/>
    <row r="6669" ht="15" customHeight="1"/>
    <row r="6670" ht="15" customHeight="1"/>
    <row r="6671" ht="15" customHeight="1"/>
    <row r="6672" ht="15" customHeight="1"/>
    <row r="6673" ht="15" customHeight="1"/>
    <row r="6674" ht="15" customHeight="1"/>
    <row r="6675" ht="15" customHeight="1"/>
    <row r="6676" ht="15" customHeight="1"/>
    <row r="6677" ht="15" customHeight="1"/>
    <row r="6678" ht="15" customHeight="1"/>
    <row r="6679" ht="15" customHeight="1"/>
    <row r="6680" ht="15" customHeight="1"/>
    <row r="6681" ht="15" customHeight="1"/>
    <row r="6682" ht="15" customHeight="1"/>
    <row r="6683" ht="15" customHeight="1"/>
    <row r="6684" ht="15" customHeight="1"/>
    <row r="6685" ht="15" customHeight="1"/>
    <row r="6686" ht="15" customHeight="1"/>
    <row r="6687" ht="15" customHeight="1"/>
    <row r="6688" ht="15" customHeight="1"/>
    <row r="6689" ht="15" customHeight="1"/>
    <row r="6690" ht="15" customHeight="1"/>
    <row r="6691" ht="15" customHeight="1"/>
    <row r="6692" ht="15" customHeight="1"/>
    <row r="6693" ht="15" customHeight="1"/>
    <row r="6694" ht="15" customHeight="1"/>
    <row r="6695" ht="15" customHeight="1"/>
    <row r="6696" ht="15" customHeight="1"/>
    <row r="6697" ht="15" customHeight="1"/>
    <row r="6698" ht="15" customHeight="1"/>
    <row r="6699" ht="15" customHeight="1"/>
    <row r="6700" ht="15" customHeight="1"/>
    <row r="6701" ht="15" customHeight="1"/>
    <row r="6702" ht="15" customHeight="1"/>
    <row r="6703" ht="15" customHeight="1"/>
    <row r="6704" ht="15" customHeight="1"/>
    <row r="6705" ht="15" customHeight="1"/>
    <row r="6706" ht="15" customHeight="1"/>
    <row r="6707" ht="15" customHeight="1"/>
    <row r="6708" ht="15" customHeight="1"/>
    <row r="6709" ht="15" customHeight="1"/>
    <row r="6710" ht="15" customHeight="1"/>
    <row r="6711" ht="15" customHeight="1"/>
    <row r="6712" ht="15" customHeight="1"/>
    <row r="6713" ht="15" customHeight="1"/>
    <row r="6714" ht="15" customHeight="1"/>
    <row r="6715" ht="15" customHeight="1"/>
    <row r="6716" ht="15" customHeight="1"/>
    <row r="6717" ht="15" customHeight="1"/>
    <row r="6718" ht="15" customHeight="1"/>
    <row r="6719" ht="15" customHeight="1"/>
    <row r="6720" ht="15" customHeight="1"/>
    <row r="6721" ht="15" customHeight="1"/>
    <row r="6722" ht="15" customHeight="1"/>
    <row r="6723" ht="15" customHeight="1"/>
    <row r="6724" ht="15" customHeight="1"/>
    <row r="6725" ht="15" customHeight="1"/>
    <row r="6726" ht="15" customHeight="1"/>
    <row r="6727" ht="15" customHeight="1"/>
    <row r="6728" ht="15" customHeight="1"/>
    <row r="6729" ht="15" customHeight="1"/>
    <row r="6730" ht="15" customHeight="1"/>
    <row r="6731" ht="15" customHeight="1"/>
    <row r="6732" ht="15" customHeight="1"/>
    <row r="6733" ht="15" customHeight="1"/>
    <row r="6734" ht="15" customHeight="1"/>
    <row r="6735" ht="15" customHeight="1"/>
    <row r="6736" ht="15" customHeight="1"/>
    <row r="6737" ht="15" customHeight="1"/>
    <row r="6738" ht="15" customHeight="1"/>
    <row r="6739" ht="15" customHeight="1"/>
    <row r="6740" ht="15" customHeight="1"/>
    <row r="6741" ht="15" customHeight="1"/>
    <row r="6742" ht="15" customHeight="1"/>
    <row r="6743" ht="15" customHeight="1"/>
    <row r="6744" ht="15" customHeight="1"/>
    <row r="6745" ht="15" customHeight="1"/>
    <row r="6746" ht="15" customHeight="1"/>
    <row r="6747" ht="15" customHeight="1"/>
    <row r="6748" ht="15" customHeight="1"/>
    <row r="6749" ht="15" customHeight="1"/>
    <row r="6750" ht="15" customHeight="1"/>
    <row r="6751" ht="15" customHeight="1"/>
    <row r="6752" ht="15" customHeight="1"/>
    <row r="6753" ht="15" customHeight="1"/>
    <row r="6754" ht="15" customHeight="1"/>
    <row r="6755" ht="15" customHeight="1"/>
    <row r="6756" ht="15" customHeight="1"/>
    <row r="6757" ht="15" customHeight="1"/>
    <row r="6758" ht="15" customHeight="1"/>
    <row r="6759" ht="15" customHeight="1"/>
    <row r="6760" ht="15" customHeight="1"/>
    <row r="6761" ht="15" customHeight="1"/>
    <row r="6762" ht="15" customHeight="1"/>
    <row r="6763" ht="15" customHeight="1"/>
    <row r="6764" ht="15" customHeight="1"/>
    <row r="6765" ht="15" customHeight="1"/>
    <row r="6766" ht="15" customHeight="1"/>
    <row r="6767" ht="15" customHeight="1"/>
    <row r="6768" ht="15" customHeight="1"/>
    <row r="6769" ht="15" customHeight="1"/>
    <row r="6770" ht="15" customHeight="1"/>
    <row r="6771" ht="15" customHeight="1"/>
    <row r="6772" ht="15" customHeight="1"/>
    <row r="6773" ht="15" customHeight="1"/>
    <row r="6774" ht="15" customHeight="1"/>
    <row r="6775" ht="15" customHeight="1"/>
    <row r="6776" ht="15" customHeight="1"/>
    <row r="6777" ht="15" customHeight="1"/>
    <row r="6778" ht="15" customHeight="1"/>
    <row r="6779" ht="15" customHeight="1"/>
    <row r="6780" ht="15" customHeight="1"/>
    <row r="6781" ht="15" customHeight="1"/>
    <row r="6782" ht="15" customHeight="1"/>
    <row r="6783" ht="15" customHeight="1"/>
    <row r="6784" ht="15" customHeight="1"/>
    <row r="6785" ht="15" customHeight="1"/>
    <row r="6786" ht="15" customHeight="1"/>
    <row r="6787" ht="15" customHeight="1"/>
    <row r="6788" ht="15" customHeight="1"/>
    <row r="6789" ht="15" customHeight="1"/>
    <row r="6790" ht="15" customHeight="1"/>
    <row r="6791" ht="15" customHeight="1"/>
    <row r="6792" ht="15" customHeight="1"/>
    <row r="6793" ht="15" customHeight="1"/>
    <row r="6794" ht="15" customHeight="1"/>
    <row r="6795" ht="15" customHeight="1"/>
    <row r="6796" ht="15" customHeight="1"/>
    <row r="6797" ht="15" customHeight="1"/>
    <row r="6798" ht="15" customHeight="1"/>
    <row r="6799" ht="15" customHeight="1"/>
    <row r="6800" ht="15" customHeight="1"/>
    <row r="6801" ht="15" customHeight="1"/>
    <row r="6802" ht="15" customHeight="1"/>
    <row r="6803" ht="15" customHeight="1"/>
    <row r="6804" ht="15" customHeight="1"/>
    <row r="6805" ht="15" customHeight="1"/>
    <row r="6806" ht="15" customHeight="1"/>
    <row r="6807" ht="15" customHeight="1"/>
    <row r="6808" ht="15" customHeight="1"/>
    <row r="6809" ht="15" customHeight="1"/>
    <row r="6810" ht="15" customHeight="1"/>
    <row r="6811" ht="15" customHeight="1"/>
    <row r="6812" ht="15" customHeight="1"/>
    <row r="6813" ht="15" customHeight="1"/>
    <row r="6814" ht="15" customHeight="1"/>
    <row r="6815" ht="15" customHeight="1"/>
    <row r="6816" ht="15" customHeight="1"/>
    <row r="6817" ht="15" customHeight="1"/>
    <row r="6818" ht="15" customHeight="1"/>
    <row r="6819" ht="15" customHeight="1"/>
    <row r="6820" ht="15" customHeight="1"/>
    <row r="6821" ht="15" customHeight="1"/>
    <row r="6822" ht="15" customHeight="1"/>
    <row r="6823" ht="15" customHeight="1"/>
    <row r="6824" ht="15" customHeight="1"/>
    <row r="6825" ht="15" customHeight="1"/>
    <row r="6826" ht="15" customHeight="1"/>
    <row r="6827" ht="15" customHeight="1"/>
    <row r="6828" ht="15" customHeight="1"/>
    <row r="6829" ht="15" customHeight="1"/>
    <row r="6830" ht="15" customHeight="1"/>
    <row r="6831" ht="15" customHeight="1"/>
    <row r="6832" ht="15" customHeight="1"/>
    <row r="6833" ht="15" customHeight="1"/>
    <row r="6834" ht="15" customHeight="1"/>
    <row r="6835" ht="15" customHeight="1"/>
    <row r="6836" ht="15" customHeight="1"/>
    <row r="6837" ht="15" customHeight="1"/>
    <row r="6838" ht="15" customHeight="1"/>
    <row r="6839" ht="15" customHeight="1"/>
    <row r="6840" ht="15" customHeight="1"/>
    <row r="6841" ht="15" customHeight="1"/>
    <row r="6842" ht="15" customHeight="1"/>
    <row r="6843" ht="15" customHeight="1"/>
    <row r="6844" ht="15" customHeight="1"/>
    <row r="6845" ht="15" customHeight="1"/>
    <row r="6846" ht="15" customHeight="1"/>
    <row r="6847" ht="15" customHeight="1"/>
    <row r="6848" ht="15" customHeight="1"/>
    <row r="6849" ht="15" customHeight="1"/>
    <row r="6850" ht="15" customHeight="1"/>
    <row r="6851" ht="15" customHeight="1"/>
    <row r="6852" ht="15" customHeight="1"/>
    <row r="6853" ht="15" customHeight="1"/>
    <row r="6854" ht="15" customHeight="1"/>
    <row r="6855" ht="15" customHeight="1"/>
    <row r="6856" ht="15" customHeight="1"/>
    <row r="6857" ht="15" customHeight="1"/>
    <row r="6858" ht="15" customHeight="1"/>
    <row r="6859" ht="15" customHeight="1"/>
    <row r="6860" ht="15" customHeight="1"/>
    <row r="6861" ht="15" customHeight="1"/>
    <row r="6862" ht="15" customHeight="1"/>
    <row r="6863" ht="15" customHeight="1"/>
    <row r="6864" ht="15" customHeight="1"/>
    <row r="6865" ht="15" customHeight="1"/>
    <row r="6866" ht="15" customHeight="1"/>
    <row r="6867" ht="15" customHeight="1"/>
    <row r="6868" ht="15" customHeight="1"/>
    <row r="6869" ht="15" customHeight="1"/>
    <row r="6870" ht="15" customHeight="1"/>
    <row r="6871" ht="15" customHeight="1"/>
    <row r="6872" ht="15" customHeight="1"/>
    <row r="6873" ht="15" customHeight="1"/>
    <row r="6874" ht="15" customHeight="1"/>
    <row r="6875" ht="15" customHeight="1"/>
    <row r="6876" ht="15" customHeight="1"/>
    <row r="6877" ht="15" customHeight="1"/>
    <row r="6878" ht="15" customHeight="1"/>
    <row r="6879" ht="15" customHeight="1"/>
    <row r="6880" ht="15" customHeight="1"/>
    <row r="6881" ht="15" customHeight="1"/>
    <row r="6882" ht="15" customHeight="1"/>
    <row r="6883" ht="15" customHeight="1"/>
    <row r="6884" ht="15" customHeight="1"/>
    <row r="6885" ht="15" customHeight="1"/>
    <row r="6886" ht="15" customHeight="1"/>
    <row r="6887" ht="15" customHeight="1"/>
    <row r="6888" ht="15" customHeight="1"/>
    <row r="6889" ht="15" customHeight="1"/>
    <row r="6890" ht="15" customHeight="1"/>
    <row r="6891" ht="15" customHeight="1"/>
    <row r="6892" ht="15" customHeight="1"/>
    <row r="6893" ht="15" customHeight="1"/>
    <row r="6894" ht="15" customHeight="1"/>
    <row r="6895" ht="15" customHeight="1"/>
    <row r="6896" ht="15" customHeight="1"/>
    <row r="6897" ht="15" customHeight="1"/>
    <row r="6898" ht="15" customHeight="1"/>
    <row r="6899" ht="15" customHeight="1"/>
    <row r="6900" ht="15" customHeight="1"/>
    <row r="6901" ht="15" customHeight="1"/>
    <row r="6902" ht="15" customHeight="1"/>
    <row r="6903" ht="15" customHeight="1"/>
    <row r="6904" ht="15" customHeight="1"/>
    <row r="6905" ht="15" customHeight="1"/>
    <row r="6906" ht="15" customHeight="1"/>
    <row r="6907" ht="15" customHeight="1"/>
    <row r="6908" ht="15" customHeight="1"/>
    <row r="6909" ht="15" customHeight="1"/>
    <row r="6910" ht="15" customHeight="1"/>
    <row r="6911" ht="15" customHeight="1"/>
    <row r="6912" ht="15" customHeight="1"/>
    <row r="6913" ht="15" customHeight="1"/>
    <row r="6914" ht="15" customHeight="1"/>
    <row r="6915" ht="15" customHeight="1"/>
    <row r="6916" ht="15" customHeight="1"/>
    <row r="6917" ht="15" customHeight="1"/>
    <row r="6918" ht="15" customHeight="1"/>
    <row r="6919" ht="15" customHeight="1"/>
    <row r="6920" ht="15" customHeight="1"/>
    <row r="6921" ht="15" customHeight="1"/>
    <row r="6922" ht="15" customHeight="1"/>
    <row r="6923" ht="15" customHeight="1"/>
    <row r="6924" ht="15" customHeight="1"/>
    <row r="6925" ht="15" customHeight="1"/>
    <row r="6926" ht="15" customHeight="1"/>
    <row r="6927" ht="15" customHeight="1"/>
    <row r="6928" ht="15" customHeight="1"/>
    <row r="6929" ht="15" customHeight="1"/>
    <row r="6930" ht="15" customHeight="1"/>
    <row r="6931" ht="15" customHeight="1"/>
    <row r="6932" ht="15" customHeight="1"/>
    <row r="6933" ht="15" customHeight="1"/>
    <row r="6934" ht="15" customHeight="1"/>
    <row r="6935" ht="15" customHeight="1"/>
    <row r="6936" ht="15" customHeight="1"/>
    <row r="6937" ht="15" customHeight="1"/>
    <row r="6938" ht="15" customHeight="1"/>
    <row r="6939" ht="15" customHeight="1"/>
    <row r="6940" ht="15" customHeight="1"/>
    <row r="6941" ht="15" customHeight="1"/>
    <row r="6942" ht="15" customHeight="1"/>
    <row r="6943" ht="15" customHeight="1"/>
    <row r="6944" ht="15" customHeight="1"/>
    <row r="6945" ht="15" customHeight="1"/>
    <row r="6946" ht="15" customHeight="1"/>
    <row r="6947" ht="15" customHeight="1"/>
    <row r="6948" ht="15" customHeight="1"/>
    <row r="6949" ht="15" customHeight="1"/>
    <row r="6950" ht="15" customHeight="1"/>
    <row r="6951" ht="15" customHeight="1"/>
    <row r="6952" ht="15" customHeight="1"/>
    <row r="6953" ht="15" customHeight="1"/>
    <row r="6954" ht="15" customHeight="1"/>
    <row r="6955" ht="15" customHeight="1"/>
    <row r="6956" ht="15" customHeight="1"/>
    <row r="6957" ht="15" customHeight="1"/>
    <row r="6958" ht="15" customHeight="1"/>
    <row r="6959" ht="15" customHeight="1"/>
    <row r="6960" ht="15" customHeight="1"/>
    <row r="6961" ht="15" customHeight="1"/>
    <row r="6962" ht="15" customHeight="1"/>
    <row r="6963" ht="15" customHeight="1"/>
    <row r="6964" ht="15" customHeight="1"/>
    <row r="6965" ht="15" customHeight="1"/>
    <row r="6966" ht="15" customHeight="1"/>
    <row r="6967" ht="15" customHeight="1"/>
    <row r="6968" ht="15" customHeight="1"/>
    <row r="6969" ht="15" customHeight="1"/>
    <row r="6970" ht="15" customHeight="1"/>
    <row r="6971" ht="15" customHeight="1"/>
    <row r="6972" ht="15" customHeight="1"/>
    <row r="6973" ht="15" customHeight="1"/>
    <row r="6974" ht="15" customHeight="1"/>
    <row r="6975" ht="15" customHeight="1"/>
    <row r="6976" ht="15" customHeight="1"/>
    <row r="6977" ht="15" customHeight="1"/>
    <row r="6978" ht="15" customHeight="1"/>
    <row r="6979" ht="15" customHeight="1"/>
    <row r="6980" ht="15" customHeight="1"/>
    <row r="6981" ht="15" customHeight="1"/>
    <row r="6982" ht="15" customHeight="1"/>
    <row r="6983" ht="15" customHeight="1"/>
    <row r="6984" ht="15" customHeight="1"/>
    <row r="6985" ht="15" customHeight="1"/>
    <row r="6986" ht="15" customHeight="1"/>
    <row r="6987" ht="15" customHeight="1"/>
    <row r="6988" ht="15" customHeight="1"/>
    <row r="6989" ht="15" customHeight="1"/>
    <row r="6990" ht="15" customHeight="1"/>
    <row r="6991" ht="15" customHeight="1"/>
    <row r="6992" ht="15" customHeight="1"/>
    <row r="6993" ht="15" customHeight="1"/>
    <row r="6994" ht="15" customHeight="1"/>
    <row r="6995" ht="15" customHeight="1"/>
    <row r="6996" ht="15" customHeight="1"/>
    <row r="6997" ht="15" customHeight="1"/>
    <row r="6998" ht="15" customHeight="1"/>
    <row r="6999" ht="15" customHeight="1"/>
    <row r="7000" ht="15" customHeight="1"/>
    <row r="7001" ht="15" customHeight="1"/>
    <row r="7002" ht="15" customHeight="1"/>
    <row r="7003" ht="15" customHeight="1"/>
    <row r="7004" ht="15" customHeight="1"/>
    <row r="7005" ht="15" customHeight="1"/>
    <row r="7006" ht="15" customHeight="1"/>
    <row r="7007" ht="15" customHeight="1"/>
    <row r="7008" ht="15" customHeight="1"/>
    <row r="7009" ht="15" customHeight="1"/>
    <row r="7010" ht="15" customHeight="1"/>
    <row r="7011" ht="15" customHeight="1"/>
    <row r="7012" ht="15" customHeight="1"/>
    <row r="7013" ht="15" customHeight="1"/>
    <row r="7014" ht="15" customHeight="1"/>
    <row r="7015" ht="15" customHeight="1"/>
    <row r="7016" ht="15" customHeight="1"/>
    <row r="7017" ht="15" customHeight="1"/>
    <row r="7018" ht="15" customHeight="1"/>
    <row r="7019" ht="15" customHeight="1"/>
    <row r="7020" ht="15" customHeight="1"/>
    <row r="7021" ht="15" customHeight="1"/>
    <row r="7022" ht="15" customHeight="1"/>
    <row r="7023" ht="15" customHeight="1"/>
    <row r="7024" ht="15" customHeight="1"/>
    <row r="7025" ht="15" customHeight="1"/>
    <row r="7026" ht="15" customHeight="1"/>
    <row r="7027" ht="15" customHeight="1"/>
    <row r="7028" ht="15" customHeight="1"/>
    <row r="7029" ht="15" customHeight="1"/>
    <row r="7030" ht="15" customHeight="1"/>
    <row r="7031" ht="15" customHeight="1"/>
    <row r="7032" ht="15" customHeight="1"/>
    <row r="7033" ht="15" customHeight="1"/>
    <row r="7034" ht="15" customHeight="1"/>
    <row r="7035" ht="15" customHeight="1"/>
    <row r="7036" ht="15" customHeight="1"/>
    <row r="7037" ht="15" customHeight="1"/>
    <row r="7038" ht="15" customHeight="1"/>
    <row r="7039" ht="15" customHeight="1"/>
    <row r="7040" ht="15" customHeight="1"/>
    <row r="7041" ht="15" customHeight="1"/>
    <row r="7042" ht="15" customHeight="1"/>
    <row r="7043" ht="15" customHeight="1"/>
    <row r="7044" ht="15" customHeight="1"/>
    <row r="7045" ht="15" customHeight="1"/>
    <row r="7046" ht="15" customHeight="1"/>
    <row r="7047" ht="15" customHeight="1"/>
    <row r="7048" ht="15" customHeight="1"/>
    <row r="7049" ht="15" customHeight="1"/>
    <row r="7050" ht="15" customHeight="1"/>
    <row r="7051" ht="15" customHeight="1"/>
    <row r="7052" ht="15" customHeight="1"/>
    <row r="7053" ht="15" customHeight="1"/>
    <row r="7054" ht="15" customHeight="1"/>
    <row r="7055" ht="15" customHeight="1"/>
    <row r="7056" ht="15" customHeight="1"/>
    <row r="7057" ht="15" customHeight="1"/>
    <row r="7058" ht="15" customHeight="1"/>
    <row r="7059" ht="15" customHeight="1"/>
    <row r="7060" ht="15" customHeight="1"/>
    <row r="7061" ht="15" customHeight="1"/>
    <row r="7062" ht="15" customHeight="1"/>
    <row r="7063" ht="15" customHeight="1"/>
    <row r="7064" ht="15" customHeight="1"/>
    <row r="7065" ht="15" customHeight="1"/>
    <row r="7066" ht="15" customHeight="1"/>
    <row r="7067" ht="15" customHeight="1"/>
    <row r="7068" ht="15" customHeight="1"/>
    <row r="7069" ht="15" customHeight="1"/>
    <row r="7070" ht="15" customHeight="1"/>
    <row r="7071" ht="15" customHeight="1"/>
    <row r="7072" ht="15" customHeight="1"/>
    <row r="7073" ht="15" customHeight="1"/>
    <row r="7074" ht="15" customHeight="1"/>
    <row r="7075" ht="15" customHeight="1"/>
    <row r="7076" ht="15" customHeight="1"/>
    <row r="7077" ht="15" customHeight="1"/>
    <row r="7078" ht="15" customHeight="1"/>
    <row r="7079" ht="15" customHeight="1"/>
    <row r="7080" ht="15" customHeight="1"/>
    <row r="7081" ht="15" customHeight="1"/>
    <row r="7082" ht="15" customHeight="1"/>
    <row r="7083" ht="15" customHeight="1"/>
    <row r="7084" ht="15" customHeight="1"/>
    <row r="7085" ht="15" customHeight="1"/>
    <row r="7086" ht="15" customHeight="1"/>
    <row r="7087" ht="15" customHeight="1"/>
    <row r="7088" ht="15" customHeight="1"/>
    <row r="7089" ht="15" customHeight="1"/>
    <row r="7090" ht="15" customHeight="1"/>
    <row r="7091" ht="15" customHeight="1"/>
    <row r="7092" ht="15" customHeight="1"/>
    <row r="7093" ht="15" customHeight="1"/>
    <row r="7094" ht="15" customHeight="1"/>
    <row r="7095" ht="15" customHeight="1"/>
    <row r="7096" ht="15" customHeight="1"/>
    <row r="7097" ht="15" customHeight="1"/>
    <row r="7098" ht="15" customHeight="1"/>
    <row r="7099" ht="15" customHeight="1"/>
    <row r="7100" ht="15" customHeight="1"/>
    <row r="7101" ht="15" customHeight="1"/>
    <row r="7102" ht="15" customHeight="1"/>
    <row r="7103" ht="15" customHeight="1"/>
    <row r="7104" ht="15" customHeight="1"/>
    <row r="7105" ht="15" customHeight="1"/>
    <row r="7106" ht="15" customHeight="1"/>
    <row r="7107" ht="15" customHeight="1"/>
    <row r="7108" ht="15" customHeight="1"/>
    <row r="7109" ht="15" customHeight="1"/>
    <row r="7110" ht="15" customHeight="1"/>
    <row r="7111" ht="15" customHeight="1"/>
    <row r="7112" ht="15" customHeight="1"/>
    <row r="7113" ht="15" customHeight="1"/>
    <row r="7114" ht="15" customHeight="1"/>
    <row r="7115" ht="15" customHeight="1"/>
    <row r="7116" ht="15" customHeight="1"/>
    <row r="7117" ht="15" customHeight="1"/>
    <row r="7118" ht="15" customHeight="1"/>
    <row r="7119" ht="15" customHeight="1"/>
    <row r="7120" ht="15" customHeight="1"/>
    <row r="7121" ht="15" customHeight="1"/>
    <row r="7122" ht="15" customHeight="1"/>
    <row r="7123" ht="15" customHeight="1"/>
    <row r="7124" ht="15" customHeight="1"/>
    <row r="7125" ht="15" customHeight="1"/>
    <row r="7126" ht="15" customHeight="1"/>
    <row r="7127" ht="15" customHeight="1"/>
    <row r="7128" ht="15" customHeight="1"/>
    <row r="7129" ht="15" customHeight="1"/>
    <row r="7130" ht="15" customHeight="1"/>
    <row r="7131" ht="15" customHeight="1"/>
    <row r="7132" ht="15" customHeight="1"/>
    <row r="7133" ht="15" customHeight="1"/>
    <row r="7134" ht="15" customHeight="1"/>
    <row r="7135" ht="15" customHeight="1"/>
    <row r="7136" ht="15" customHeight="1"/>
    <row r="7137" ht="15" customHeight="1"/>
    <row r="7138" ht="15" customHeight="1"/>
    <row r="7139" ht="15" customHeight="1"/>
    <row r="7140" ht="15" customHeight="1"/>
    <row r="7141" ht="15" customHeight="1"/>
    <row r="7142" ht="15" customHeight="1"/>
    <row r="7143" ht="15" customHeight="1"/>
    <row r="7144" ht="15" customHeight="1"/>
    <row r="7145" ht="15" customHeight="1"/>
    <row r="7146" ht="15" customHeight="1"/>
    <row r="7147" ht="15" customHeight="1"/>
    <row r="7148" ht="15" customHeight="1"/>
    <row r="7149" ht="15" customHeight="1"/>
    <row r="7150" ht="15" customHeight="1"/>
    <row r="7151" ht="15" customHeight="1"/>
    <row r="7152" ht="15" customHeight="1"/>
    <row r="7153" ht="15" customHeight="1"/>
    <row r="7154" ht="15" customHeight="1"/>
    <row r="7155" ht="15" customHeight="1"/>
    <row r="7156" ht="15" customHeight="1"/>
    <row r="7157" ht="15" customHeight="1"/>
    <row r="7158" ht="15" customHeight="1"/>
    <row r="7159" ht="15" customHeight="1"/>
    <row r="7160" ht="15" customHeight="1"/>
    <row r="7161" ht="15" customHeight="1"/>
    <row r="7162" ht="15" customHeight="1"/>
    <row r="7163" ht="15" customHeight="1"/>
    <row r="7164" ht="15" customHeight="1"/>
    <row r="7165" ht="15" customHeight="1"/>
    <row r="7166" ht="15" customHeight="1"/>
    <row r="7167" ht="15" customHeight="1"/>
    <row r="7168" ht="15" customHeight="1"/>
    <row r="7169" ht="15" customHeight="1"/>
    <row r="7170" ht="15" customHeight="1"/>
    <row r="7171" ht="15" customHeight="1"/>
    <row r="7172" ht="15" customHeight="1"/>
    <row r="7173" ht="15" customHeight="1"/>
    <row r="7174" ht="15" customHeight="1"/>
    <row r="7175" ht="15" customHeight="1"/>
    <row r="7176" ht="15" customHeight="1"/>
    <row r="7177" ht="15" customHeight="1"/>
    <row r="7178" ht="15" customHeight="1"/>
    <row r="7179" ht="15" customHeight="1"/>
    <row r="7180" ht="15" customHeight="1"/>
    <row r="7181" ht="15" customHeight="1"/>
    <row r="7182" ht="15" customHeight="1"/>
    <row r="7183" ht="15" customHeight="1"/>
    <row r="7184" ht="15" customHeight="1"/>
    <row r="7185" ht="15" customHeight="1"/>
    <row r="7186" ht="15" customHeight="1"/>
    <row r="7187" ht="15" customHeight="1"/>
    <row r="7188" ht="15" customHeight="1"/>
    <row r="7189" ht="15" customHeight="1"/>
    <row r="7190" ht="15" customHeight="1"/>
    <row r="7191" ht="15" customHeight="1"/>
    <row r="7192" ht="15" customHeight="1"/>
    <row r="7193" ht="15" customHeight="1"/>
    <row r="7194" ht="15" customHeight="1"/>
    <row r="7195" ht="15" customHeight="1"/>
    <row r="7196" ht="15" customHeight="1"/>
    <row r="7197" ht="15" customHeight="1"/>
    <row r="7198" ht="15" customHeight="1"/>
    <row r="7199" ht="15" customHeight="1"/>
    <row r="7200" ht="15" customHeight="1"/>
    <row r="7201" ht="15" customHeight="1"/>
    <row r="7202" ht="15" customHeight="1"/>
    <row r="7203" ht="15" customHeight="1"/>
    <row r="7204" ht="15" customHeight="1"/>
    <row r="7205" ht="15" customHeight="1"/>
    <row r="7206" ht="15" customHeight="1"/>
    <row r="7207" ht="15" customHeight="1"/>
    <row r="7208" ht="15" customHeight="1"/>
    <row r="7209" ht="15" customHeight="1"/>
    <row r="7210" ht="15" customHeight="1"/>
    <row r="7211" ht="15" customHeight="1"/>
    <row r="7212" ht="15" customHeight="1"/>
    <row r="7213" ht="15" customHeight="1"/>
    <row r="7214" ht="15" customHeight="1"/>
    <row r="7215" ht="15" customHeight="1"/>
    <row r="7216" ht="15" customHeight="1"/>
    <row r="7217" ht="15" customHeight="1"/>
    <row r="7218" ht="15" customHeight="1"/>
    <row r="7219" ht="15" customHeight="1"/>
    <row r="7220" ht="15" customHeight="1"/>
    <row r="7221" ht="15" customHeight="1"/>
    <row r="7222" ht="15" customHeight="1"/>
    <row r="7223" ht="15" customHeight="1"/>
    <row r="7224" ht="15" customHeight="1"/>
    <row r="7225" ht="15" customHeight="1"/>
    <row r="7226" ht="15" customHeight="1"/>
    <row r="7227" ht="15" customHeight="1"/>
    <row r="7228" ht="15" customHeight="1"/>
    <row r="7229" ht="15" customHeight="1"/>
    <row r="7230" ht="15" customHeight="1"/>
    <row r="7231" ht="15" customHeight="1"/>
    <row r="7232" ht="15" customHeight="1"/>
    <row r="7233" ht="15" customHeight="1"/>
    <row r="7234" ht="15" customHeight="1"/>
    <row r="7235" ht="15" customHeight="1"/>
    <row r="7236" ht="15" customHeight="1"/>
    <row r="7237" ht="15" customHeight="1"/>
    <row r="7238" ht="15" customHeight="1"/>
    <row r="7239" ht="15" customHeight="1"/>
    <row r="7240" ht="15" customHeight="1"/>
    <row r="7241" ht="15" customHeight="1"/>
    <row r="7242" ht="15" customHeight="1"/>
    <row r="7243" ht="15" customHeight="1"/>
    <row r="7244" ht="15" customHeight="1"/>
    <row r="7245" ht="15" customHeight="1"/>
    <row r="7246" ht="15" customHeight="1"/>
    <row r="7247" ht="15" customHeight="1"/>
    <row r="7248" ht="15" customHeight="1"/>
    <row r="7249" ht="15" customHeight="1"/>
    <row r="7250" ht="15" customHeight="1"/>
    <row r="7251" ht="15" customHeight="1"/>
    <row r="7252" ht="15" customHeight="1"/>
    <row r="7253" ht="15" customHeight="1"/>
    <row r="7254" ht="15" customHeight="1"/>
    <row r="7255" ht="15" customHeight="1"/>
    <row r="7256" ht="15" customHeight="1"/>
    <row r="7257" ht="15" customHeight="1"/>
    <row r="7258" ht="15" customHeight="1"/>
    <row r="7259" ht="15" customHeight="1"/>
    <row r="7260" ht="15" customHeight="1"/>
    <row r="7261" ht="15" customHeight="1"/>
    <row r="7262" ht="15" customHeight="1"/>
    <row r="7263" ht="15" customHeight="1"/>
    <row r="7264" ht="15" customHeight="1"/>
    <row r="7265" ht="15" customHeight="1"/>
    <row r="7266" ht="15" customHeight="1"/>
    <row r="7267" ht="15" customHeight="1"/>
    <row r="7268" ht="15" customHeight="1"/>
    <row r="7269" ht="15" customHeight="1"/>
    <row r="7270" ht="15" customHeight="1"/>
    <row r="7271" ht="15" customHeight="1"/>
    <row r="7272" ht="15" customHeight="1"/>
    <row r="7273" ht="15" customHeight="1"/>
    <row r="7274" ht="15" customHeight="1"/>
    <row r="7275" ht="15" customHeight="1"/>
    <row r="7276" ht="15" customHeight="1"/>
    <row r="7277" ht="15" customHeight="1"/>
    <row r="7278" ht="15" customHeight="1"/>
    <row r="7279" ht="15" customHeight="1"/>
    <row r="7280" ht="15" customHeight="1"/>
    <row r="7281" ht="15" customHeight="1"/>
    <row r="7282" ht="15" customHeight="1"/>
    <row r="7283" ht="15" customHeight="1"/>
    <row r="7284" ht="15" customHeight="1"/>
    <row r="7285" ht="15" customHeight="1"/>
    <row r="7286" ht="15" customHeight="1"/>
    <row r="7287" ht="15" customHeight="1"/>
    <row r="7288" ht="15" customHeight="1"/>
    <row r="7289" ht="15" customHeight="1"/>
    <row r="7290" ht="15" customHeight="1"/>
    <row r="7291" ht="15" customHeight="1"/>
    <row r="7292" ht="15" customHeight="1"/>
    <row r="7293" ht="15" customHeight="1"/>
    <row r="7294" ht="15" customHeight="1"/>
    <row r="7295" ht="15" customHeight="1"/>
    <row r="7296" ht="15" customHeight="1"/>
    <row r="7297" ht="15" customHeight="1"/>
    <row r="7298" ht="15" customHeight="1"/>
    <row r="7299" ht="15" customHeight="1"/>
    <row r="7300" ht="15" customHeight="1"/>
    <row r="7301" ht="15" customHeight="1"/>
    <row r="7302" ht="15" customHeight="1"/>
    <row r="7303" ht="15" customHeight="1"/>
    <row r="7304" ht="15" customHeight="1"/>
    <row r="7305" ht="15" customHeight="1"/>
    <row r="7306" ht="15" customHeight="1"/>
    <row r="7307" ht="15" customHeight="1"/>
    <row r="7308" ht="15" customHeight="1"/>
    <row r="7309" ht="15" customHeight="1"/>
    <row r="7310" ht="15" customHeight="1"/>
    <row r="7311" ht="15" customHeight="1"/>
    <row r="7312" ht="15" customHeight="1"/>
    <row r="7313" ht="15" customHeight="1"/>
    <row r="7314" ht="15" customHeight="1"/>
    <row r="7315" ht="15" customHeight="1"/>
    <row r="7316" ht="15" customHeight="1"/>
    <row r="7317" ht="15" customHeight="1"/>
    <row r="7318" ht="15" customHeight="1"/>
    <row r="7319" ht="15" customHeight="1"/>
    <row r="7320" ht="15" customHeight="1"/>
    <row r="7321" ht="15" customHeight="1"/>
    <row r="7322" ht="15" customHeight="1"/>
    <row r="7323" ht="15" customHeight="1"/>
    <row r="7324" ht="15" customHeight="1"/>
    <row r="7325" ht="15" customHeight="1"/>
    <row r="7326" ht="15" customHeight="1"/>
    <row r="7327" ht="15" customHeight="1"/>
    <row r="7328" ht="15" customHeight="1"/>
    <row r="7329" ht="15" customHeight="1"/>
    <row r="7330" ht="15" customHeight="1"/>
    <row r="7331" ht="15" customHeight="1"/>
    <row r="7332" ht="15" customHeight="1"/>
    <row r="7333" ht="15" customHeight="1"/>
    <row r="7334" ht="15" customHeight="1"/>
    <row r="7335" ht="15" customHeight="1"/>
    <row r="7336" ht="15" customHeight="1"/>
    <row r="7337" ht="15" customHeight="1"/>
    <row r="7338" ht="15" customHeight="1"/>
    <row r="7339" ht="15" customHeight="1"/>
    <row r="7340" ht="15" customHeight="1"/>
    <row r="7341" ht="15" customHeight="1"/>
    <row r="7342" ht="15" customHeight="1"/>
    <row r="7343" ht="15" customHeight="1"/>
    <row r="7344" ht="15" customHeight="1"/>
    <row r="7345" ht="15" customHeight="1"/>
    <row r="7346" ht="15" customHeight="1"/>
    <row r="7347" ht="15" customHeight="1"/>
    <row r="7348" ht="15" customHeight="1"/>
    <row r="7349" ht="15" customHeight="1"/>
    <row r="7350" ht="15" customHeight="1"/>
    <row r="7351" ht="15" customHeight="1"/>
    <row r="7352" ht="15" customHeight="1"/>
    <row r="7353" ht="15" customHeight="1"/>
    <row r="7354" ht="15" customHeight="1"/>
    <row r="7355" ht="15" customHeight="1"/>
    <row r="7356" ht="15" customHeight="1"/>
    <row r="7357" ht="15" customHeight="1"/>
    <row r="7358" ht="15" customHeight="1"/>
    <row r="7359" ht="15" customHeight="1"/>
    <row r="7360" ht="15" customHeight="1"/>
    <row r="7361" ht="15" customHeight="1"/>
    <row r="7362" ht="15" customHeight="1"/>
    <row r="7363" ht="15" customHeight="1"/>
    <row r="7364" ht="15" customHeight="1"/>
    <row r="7365" ht="15" customHeight="1"/>
    <row r="7366" ht="15" customHeight="1"/>
    <row r="7367" ht="15" customHeight="1"/>
    <row r="7368" ht="15" customHeight="1"/>
    <row r="7369" ht="15" customHeight="1"/>
    <row r="7370" ht="15" customHeight="1"/>
    <row r="7371" ht="15" customHeight="1"/>
    <row r="7372" ht="15" customHeight="1"/>
    <row r="7373" ht="15" customHeight="1"/>
    <row r="7374" ht="15" customHeight="1"/>
    <row r="7375" ht="15" customHeight="1"/>
    <row r="7376" ht="15" customHeight="1"/>
    <row r="7377" ht="15" customHeight="1"/>
    <row r="7378" ht="15" customHeight="1"/>
    <row r="7379" ht="15" customHeight="1"/>
    <row r="7380" ht="15" customHeight="1"/>
    <row r="7381" ht="15" customHeight="1"/>
    <row r="7382" ht="15" customHeight="1"/>
    <row r="7383" ht="15" customHeight="1"/>
    <row r="7384" ht="15" customHeight="1"/>
    <row r="7385" ht="15" customHeight="1"/>
    <row r="7386" ht="15" customHeight="1"/>
    <row r="7387" ht="15" customHeight="1"/>
    <row r="7388" ht="15" customHeight="1"/>
    <row r="7389" ht="15" customHeight="1"/>
    <row r="7390" ht="15" customHeight="1"/>
    <row r="7391" ht="15" customHeight="1"/>
    <row r="7392" ht="15" customHeight="1"/>
    <row r="7393" ht="15" customHeight="1"/>
    <row r="7394" ht="15" customHeight="1"/>
    <row r="7395" ht="15" customHeight="1"/>
    <row r="7396" ht="15" customHeight="1"/>
    <row r="7397" ht="15" customHeight="1"/>
    <row r="7398" ht="15" customHeight="1"/>
    <row r="7399" ht="15" customHeight="1"/>
    <row r="7400" ht="15" customHeight="1"/>
    <row r="7401" ht="15" customHeight="1"/>
    <row r="7402" ht="15" customHeight="1"/>
    <row r="7403" ht="15" customHeight="1"/>
    <row r="7404" ht="15" customHeight="1"/>
    <row r="7405" ht="15" customHeight="1"/>
    <row r="7406" ht="15" customHeight="1"/>
    <row r="7407" ht="15" customHeight="1"/>
    <row r="7408" ht="15" customHeight="1"/>
    <row r="7409" ht="15" customHeight="1"/>
    <row r="7410" ht="15" customHeight="1"/>
    <row r="7411" ht="15" customHeight="1"/>
    <row r="7412" ht="15" customHeight="1"/>
    <row r="7413" ht="15" customHeight="1"/>
    <row r="7414" ht="15" customHeight="1"/>
    <row r="7415" ht="15" customHeight="1"/>
    <row r="7416" ht="15" customHeight="1"/>
    <row r="7417" ht="15" customHeight="1"/>
    <row r="7418" ht="15" customHeight="1"/>
    <row r="7419" ht="15" customHeight="1"/>
    <row r="7420" ht="15" customHeight="1"/>
    <row r="7421" ht="15" customHeight="1"/>
    <row r="7422" ht="15" customHeight="1"/>
    <row r="7423" ht="15" customHeight="1"/>
    <row r="7424" ht="15" customHeight="1"/>
    <row r="7425" ht="15" customHeight="1"/>
    <row r="7426" ht="15" customHeight="1"/>
    <row r="7427" ht="15" customHeight="1"/>
    <row r="7428" ht="15" customHeight="1"/>
    <row r="7429" ht="15" customHeight="1"/>
    <row r="7430" ht="15" customHeight="1"/>
    <row r="7431" ht="15" customHeight="1"/>
    <row r="7432" ht="15" customHeight="1"/>
    <row r="7433" ht="15" customHeight="1"/>
    <row r="7434" ht="15" customHeight="1"/>
    <row r="7435" ht="15" customHeight="1"/>
    <row r="7436" ht="15" customHeight="1"/>
    <row r="7437" ht="15" customHeight="1"/>
    <row r="7438" ht="15" customHeight="1"/>
    <row r="7439" ht="15" customHeight="1"/>
    <row r="7440" ht="15" customHeight="1"/>
    <row r="7441" ht="15" customHeight="1"/>
    <row r="7442" ht="15" customHeight="1"/>
    <row r="7443" ht="15" customHeight="1"/>
    <row r="7444" ht="15" customHeight="1"/>
    <row r="7445" ht="15" customHeight="1"/>
    <row r="7446" ht="15" customHeight="1"/>
    <row r="7447" ht="15" customHeight="1"/>
    <row r="7448" ht="15" customHeight="1"/>
    <row r="7449" ht="15" customHeight="1"/>
    <row r="7450" ht="15" customHeight="1"/>
    <row r="7451" ht="15" customHeight="1"/>
    <row r="7452" ht="15" customHeight="1"/>
    <row r="7453" ht="15" customHeight="1"/>
    <row r="7454" ht="15" customHeight="1"/>
    <row r="7455" ht="15" customHeight="1"/>
    <row r="7456" ht="15" customHeight="1"/>
    <row r="7457" ht="15" customHeight="1"/>
    <row r="7458" ht="15" customHeight="1"/>
    <row r="7459" ht="15" customHeight="1"/>
    <row r="7460" ht="15" customHeight="1"/>
    <row r="7461" ht="15" customHeight="1"/>
    <row r="7462" ht="15" customHeight="1"/>
    <row r="7463" ht="15" customHeight="1"/>
    <row r="7464" ht="15" customHeight="1"/>
    <row r="7465" ht="15" customHeight="1"/>
    <row r="7466" ht="15" customHeight="1"/>
    <row r="7467" ht="15" customHeight="1"/>
    <row r="7468" ht="15" customHeight="1"/>
    <row r="7469" ht="15" customHeight="1"/>
    <row r="7470" ht="15" customHeight="1"/>
    <row r="7471" ht="15" customHeight="1"/>
    <row r="7472" ht="15" customHeight="1"/>
    <row r="7473" ht="15" customHeight="1"/>
    <row r="7474" ht="15" customHeight="1"/>
    <row r="7475" ht="15" customHeight="1"/>
    <row r="7476" ht="15" customHeight="1"/>
    <row r="7477" ht="15" customHeight="1"/>
    <row r="7478" ht="15" customHeight="1"/>
    <row r="7479" ht="15" customHeight="1"/>
    <row r="7480" ht="15" customHeight="1"/>
    <row r="7481" ht="15" customHeight="1"/>
    <row r="7482" ht="15" customHeight="1"/>
    <row r="7483" ht="15" customHeight="1"/>
    <row r="7484" ht="15" customHeight="1"/>
    <row r="7485" ht="15" customHeight="1"/>
    <row r="7486" ht="15" customHeight="1"/>
    <row r="7487" ht="15" customHeight="1"/>
    <row r="7488" ht="15" customHeight="1"/>
    <row r="7489" ht="15" customHeight="1"/>
    <row r="7490" ht="15" customHeight="1"/>
    <row r="7491" ht="15" customHeight="1"/>
    <row r="7492" ht="15" customHeight="1"/>
    <row r="7493" ht="15" customHeight="1"/>
    <row r="7494" ht="15" customHeight="1"/>
    <row r="7495" ht="15" customHeight="1"/>
    <row r="7496" ht="15" customHeight="1"/>
    <row r="7497" ht="15" customHeight="1"/>
    <row r="7498" ht="15" customHeight="1"/>
    <row r="7499" ht="15" customHeight="1"/>
    <row r="7500" ht="15" customHeight="1"/>
    <row r="7501" ht="15" customHeight="1"/>
    <row r="7502" ht="15" customHeight="1"/>
    <row r="7503" ht="15" customHeight="1"/>
    <row r="7504" ht="15" customHeight="1"/>
    <row r="7505" ht="15" customHeight="1"/>
    <row r="7506" ht="15" customHeight="1"/>
    <row r="7507" ht="15" customHeight="1"/>
    <row r="7508" ht="15" customHeight="1"/>
    <row r="7509" ht="15" customHeight="1"/>
    <row r="7510" ht="15" customHeight="1"/>
    <row r="7511" ht="15" customHeight="1"/>
    <row r="7512" ht="15" customHeight="1"/>
    <row r="7513" ht="15" customHeight="1"/>
    <row r="7514" ht="15" customHeight="1"/>
    <row r="7515" ht="15" customHeight="1"/>
    <row r="7516" ht="15" customHeight="1"/>
    <row r="7517" ht="15" customHeight="1"/>
    <row r="7518" ht="15" customHeight="1"/>
    <row r="7519" ht="15" customHeight="1"/>
    <row r="7520" ht="15" customHeight="1"/>
    <row r="7521" ht="15" customHeight="1"/>
    <row r="7522" ht="15" customHeight="1"/>
    <row r="7523" ht="15" customHeight="1"/>
    <row r="7524" ht="15" customHeight="1"/>
    <row r="7525" ht="15" customHeight="1"/>
    <row r="7526" ht="15" customHeight="1"/>
    <row r="7527" ht="15" customHeight="1"/>
    <row r="7528" ht="15" customHeight="1"/>
    <row r="7529" ht="15" customHeight="1"/>
    <row r="7530" ht="15" customHeight="1"/>
    <row r="7531" ht="15" customHeight="1"/>
    <row r="7532" ht="15" customHeight="1"/>
    <row r="7533" ht="15" customHeight="1"/>
    <row r="7534" ht="15" customHeight="1"/>
    <row r="7535" ht="15" customHeight="1"/>
    <row r="7536" ht="15" customHeight="1"/>
    <row r="7537" ht="15" customHeight="1"/>
    <row r="7538" ht="15" customHeight="1"/>
    <row r="7539" ht="15" customHeight="1"/>
    <row r="7540" ht="15" customHeight="1"/>
    <row r="7541" ht="15" customHeight="1"/>
    <row r="7542" ht="15" customHeight="1"/>
    <row r="7543" ht="15" customHeight="1"/>
    <row r="7544" ht="15" customHeight="1"/>
    <row r="7545" ht="15" customHeight="1"/>
    <row r="7546" ht="15" customHeight="1"/>
    <row r="7547" ht="15" customHeight="1"/>
    <row r="7548" ht="15" customHeight="1"/>
    <row r="7549" ht="15" customHeight="1"/>
    <row r="7550" ht="15" customHeight="1"/>
    <row r="7551" ht="15" customHeight="1"/>
    <row r="7552" ht="15" customHeight="1"/>
    <row r="7553" ht="15" customHeight="1"/>
    <row r="7554" ht="15" customHeight="1"/>
    <row r="7555" ht="15" customHeight="1"/>
    <row r="7556" ht="15" customHeight="1"/>
    <row r="7557" ht="15" customHeight="1"/>
    <row r="7558" ht="15" customHeight="1"/>
    <row r="7559" ht="15" customHeight="1"/>
    <row r="7560" ht="15" customHeight="1"/>
    <row r="7561" ht="15" customHeight="1"/>
    <row r="7562" ht="15" customHeight="1"/>
    <row r="7563" ht="15" customHeight="1"/>
    <row r="7564" ht="15" customHeight="1"/>
    <row r="7565" ht="15" customHeight="1"/>
    <row r="7566" ht="15" customHeight="1"/>
    <row r="7567" ht="15" customHeight="1"/>
    <row r="7568" ht="15" customHeight="1"/>
    <row r="7569" ht="15" customHeight="1"/>
    <row r="7570" ht="15" customHeight="1"/>
    <row r="7571" ht="15" customHeight="1"/>
    <row r="7572" ht="15" customHeight="1"/>
    <row r="7573" ht="15" customHeight="1"/>
    <row r="7574" ht="15" customHeight="1"/>
    <row r="7575" ht="15" customHeight="1"/>
    <row r="7576" ht="15" customHeight="1"/>
    <row r="7577" ht="15" customHeight="1"/>
    <row r="7578" ht="15" customHeight="1"/>
    <row r="7579" ht="15" customHeight="1"/>
    <row r="7580" ht="15" customHeight="1"/>
    <row r="7581" ht="15" customHeight="1"/>
    <row r="7582" ht="15" customHeight="1"/>
    <row r="7583" ht="15" customHeight="1"/>
    <row r="7584" ht="15" customHeight="1"/>
    <row r="7585" ht="15" customHeight="1"/>
    <row r="7586" ht="15" customHeight="1"/>
    <row r="7587" ht="15" customHeight="1"/>
    <row r="7588" ht="15" customHeight="1"/>
    <row r="7589" ht="15" customHeight="1"/>
    <row r="7590" ht="15" customHeight="1"/>
    <row r="7591" ht="15" customHeight="1"/>
    <row r="7592" ht="15" customHeight="1"/>
    <row r="7593" ht="15" customHeight="1"/>
    <row r="7594" ht="15" customHeight="1"/>
    <row r="7595" ht="15" customHeight="1"/>
    <row r="7596" ht="15" customHeight="1"/>
    <row r="7597" ht="15" customHeight="1"/>
    <row r="7598" ht="15" customHeight="1"/>
    <row r="7599" ht="15" customHeight="1"/>
    <row r="7600" ht="15" customHeight="1"/>
    <row r="7601" ht="15" customHeight="1"/>
    <row r="7602" ht="15" customHeight="1"/>
    <row r="7603" ht="15" customHeight="1"/>
    <row r="7604" ht="15" customHeight="1"/>
    <row r="7605" ht="15" customHeight="1"/>
    <row r="7606" ht="15" customHeight="1"/>
    <row r="7607" ht="15" customHeight="1"/>
    <row r="7608" ht="15" customHeight="1"/>
    <row r="7609" ht="15" customHeight="1"/>
    <row r="7610" ht="15" customHeight="1"/>
    <row r="7611" ht="15" customHeight="1"/>
    <row r="7612" ht="15" customHeight="1"/>
    <row r="7613" ht="15" customHeight="1"/>
    <row r="7614" ht="15" customHeight="1"/>
    <row r="7615" ht="15" customHeight="1"/>
    <row r="7616" ht="15" customHeight="1"/>
    <row r="7617" ht="15" customHeight="1"/>
    <row r="7618" ht="15" customHeight="1"/>
    <row r="7619" ht="15" customHeight="1"/>
    <row r="7620" ht="15" customHeight="1"/>
    <row r="7621" ht="15" customHeight="1"/>
    <row r="7622" ht="15" customHeight="1"/>
    <row r="7623" ht="15" customHeight="1"/>
    <row r="7624" ht="15" customHeight="1"/>
    <row r="7625" ht="15" customHeight="1"/>
    <row r="7626" ht="15" customHeight="1"/>
    <row r="7627" ht="15" customHeight="1"/>
    <row r="7628" ht="15" customHeight="1"/>
    <row r="7629" ht="15" customHeight="1"/>
    <row r="7630" ht="15" customHeight="1"/>
    <row r="7631" ht="15" customHeight="1"/>
    <row r="7632" ht="15" customHeight="1"/>
    <row r="7633" ht="15" customHeight="1"/>
    <row r="7634" ht="15" customHeight="1"/>
    <row r="7635" ht="15" customHeight="1"/>
    <row r="7636" ht="15" customHeight="1"/>
    <row r="7637" ht="15" customHeight="1"/>
    <row r="7638" ht="15" customHeight="1"/>
    <row r="7639" ht="15" customHeight="1"/>
    <row r="7640" ht="15" customHeight="1"/>
    <row r="7641" ht="15" customHeight="1"/>
    <row r="7642" ht="15" customHeight="1"/>
    <row r="7643" ht="15" customHeight="1"/>
    <row r="7644" ht="15" customHeight="1"/>
    <row r="7645" ht="15" customHeight="1"/>
    <row r="7646" ht="15" customHeight="1"/>
    <row r="7647" ht="15" customHeight="1"/>
    <row r="7648" ht="15" customHeight="1"/>
    <row r="7649" ht="15" customHeight="1"/>
    <row r="7650" ht="15" customHeight="1"/>
    <row r="7651" ht="15" customHeight="1"/>
    <row r="7652" ht="15" customHeight="1"/>
    <row r="7653" ht="15" customHeight="1"/>
    <row r="7654" ht="15" customHeight="1"/>
    <row r="7655" ht="15" customHeight="1"/>
    <row r="7656" ht="15" customHeight="1"/>
    <row r="7657" ht="15" customHeight="1"/>
    <row r="7658" ht="15" customHeight="1"/>
    <row r="7659" ht="15" customHeight="1"/>
    <row r="7660" ht="15" customHeight="1"/>
    <row r="7661" ht="15" customHeight="1"/>
    <row r="7662" ht="15" customHeight="1"/>
    <row r="7663" ht="15" customHeight="1"/>
    <row r="7664" ht="15" customHeight="1"/>
    <row r="7665" ht="15" customHeight="1"/>
    <row r="7666" ht="15" customHeight="1"/>
    <row r="7667" ht="15" customHeight="1"/>
    <row r="7668" ht="15" customHeight="1"/>
    <row r="7669" ht="15" customHeight="1"/>
    <row r="7670" ht="15" customHeight="1"/>
    <row r="7671" ht="15" customHeight="1"/>
    <row r="7672" ht="15" customHeight="1"/>
    <row r="7673" ht="15" customHeight="1"/>
    <row r="7674" ht="15" customHeight="1"/>
    <row r="7675" ht="15" customHeight="1"/>
    <row r="7676" ht="15" customHeight="1"/>
    <row r="7677" ht="15" customHeight="1"/>
    <row r="7678" ht="15" customHeight="1"/>
    <row r="7679" ht="15" customHeight="1"/>
    <row r="7680" ht="15" customHeight="1"/>
    <row r="7681" ht="15" customHeight="1"/>
    <row r="7682" ht="15" customHeight="1"/>
    <row r="7683" ht="15" customHeight="1"/>
    <row r="7684" ht="15" customHeight="1"/>
    <row r="7685" ht="15" customHeight="1"/>
    <row r="7686" ht="15" customHeight="1"/>
    <row r="7687" ht="15" customHeight="1"/>
    <row r="7688" ht="15" customHeight="1"/>
    <row r="7689" ht="15" customHeight="1"/>
    <row r="7690" ht="15" customHeight="1"/>
    <row r="7691" ht="15" customHeight="1"/>
    <row r="7692" ht="15" customHeight="1"/>
    <row r="7693" ht="15" customHeight="1"/>
    <row r="7694" ht="15" customHeight="1"/>
    <row r="7695" ht="15" customHeight="1"/>
    <row r="7696" ht="15" customHeight="1"/>
    <row r="7697" ht="15" customHeight="1"/>
    <row r="7698" ht="15" customHeight="1"/>
    <row r="7699" ht="15" customHeight="1"/>
    <row r="7700" ht="15" customHeight="1"/>
    <row r="7701" ht="15" customHeight="1"/>
    <row r="7702" ht="15" customHeight="1"/>
    <row r="7703" ht="15" customHeight="1"/>
    <row r="7704" ht="15" customHeight="1"/>
    <row r="7705" ht="15" customHeight="1"/>
    <row r="7706" ht="15" customHeight="1"/>
    <row r="7707" ht="15" customHeight="1"/>
    <row r="7708" ht="15" customHeight="1"/>
    <row r="7709" ht="15" customHeight="1"/>
    <row r="7710" ht="15" customHeight="1"/>
    <row r="7711" ht="15" customHeight="1"/>
    <row r="7712" ht="15" customHeight="1"/>
    <row r="7713" ht="15" customHeight="1"/>
    <row r="7714" ht="15" customHeight="1"/>
    <row r="7715" ht="15" customHeight="1"/>
    <row r="7716" ht="15" customHeight="1"/>
    <row r="7717" ht="15" customHeight="1"/>
    <row r="7718" ht="15" customHeight="1"/>
    <row r="7719" ht="15" customHeight="1"/>
    <row r="7720" ht="15" customHeight="1"/>
    <row r="7721" ht="15" customHeight="1"/>
    <row r="7722" ht="15" customHeight="1"/>
    <row r="7723" ht="15" customHeight="1"/>
    <row r="7724" ht="15" customHeight="1"/>
    <row r="7725" ht="15" customHeight="1"/>
    <row r="7726" ht="15" customHeight="1"/>
    <row r="7727" ht="15" customHeight="1"/>
    <row r="7728" ht="15" customHeight="1"/>
    <row r="7729" ht="15" customHeight="1"/>
    <row r="7730" ht="15" customHeight="1"/>
    <row r="7731" ht="15" customHeight="1"/>
    <row r="7732" ht="15" customHeight="1"/>
    <row r="7733" ht="15" customHeight="1"/>
    <row r="7734" ht="15" customHeight="1"/>
    <row r="7735" ht="15" customHeight="1"/>
    <row r="7736" ht="15" customHeight="1"/>
    <row r="7737" ht="15" customHeight="1"/>
    <row r="7738" ht="15" customHeight="1"/>
    <row r="7739" ht="15" customHeight="1"/>
    <row r="7740" ht="15" customHeight="1"/>
    <row r="7741" ht="15" customHeight="1"/>
    <row r="7742" ht="15" customHeight="1"/>
    <row r="7743" ht="15" customHeight="1"/>
    <row r="7744" ht="15" customHeight="1"/>
    <row r="7745" ht="15" customHeight="1"/>
    <row r="7746" ht="15" customHeight="1"/>
    <row r="7747" ht="15" customHeight="1"/>
    <row r="7748" ht="15" customHeight="1"/>
    <row r="7749" ht="15" customHeight="1"/>
    <row r="7750" ht="15" customHeight="1"/>
    <row r="7751" ht="15" customHeight="1"/>
    <row r="7752" ht="15" customHeight="1"/>
    <row r="7753" ht="15" customHeight="1"/>
    <row r="7754" ht="15" customHeight="1"/>
    <row r="7755" ht="15" customHeight="1"/>
    <row r="7756" ht="15" customHeight="1"/>
    <row r="7757" ht="15" customHeight="1"/>
    <row r="7758" ht="15" customHeight="1"/>
    <row r="7759" ht="15" customHeight="1"/>
    <row r="7760" ht="15" customHeight="1"/>
    <row r="7761" ht="15" customHeight="1"/>
    <row r="7762" ht="15" customHeight="1"/>
    <row r="7763" ht="15" customHeight="1"/>
    <row r="7764" ht="15" customHeight="1"/>
    <row r="7765" ht="15" customHeight="1"/>
    <row r="7766" ht="15" customHeight="1"/>
    <row r="7767" ht="15" customHeight="1"/>
    <row r="7768" ht="15" customHeight="1"/>
    <row r="7769" ht="15" customHeight="1"/>
    <row r="7770" ht="15" customHeight="1"/>
    <row r="7771" ht="15" customHeight="1"/>
    <row r="7772" ht="15" customHeight="1"/>
    <row r="7773" ht="15" customHeight="1"/>
    <row r="7774" ht="15" customHeight="1"/>
    <row r="7775" ht="15" customHeight="1"/>
    <row r="7776" ht="15" customHeight="1"/>
    <row r="7777" ht="15" customHeight="1"/>
    <row r="7778" ht="15" customHeight="1"/>
    <row r="7779" ht="15" customHeight="1"/>
    <row r="7780" ht="15" customHeight="1"/>
    <row r="7781" ht="15" customHeight="1"/>
    <row r="7782" ht="15" customHeight="1"/>
    <row r="7783" ht="15" customHeight="1"/>
    <row r="7784" ht="15" customHeight="1"/>
    <row r="7785" ht="15" customHeight="1"/>
    <row r="7786" ht="15" customHeight="1"/>
    <row r="7787" ht="15" customHeight="1"/>
    <row r="7788" ht="15" customHeight="1"/>
    <row r="7789" ht="15" customHeight="1"/>
    <row r="7790" ht="15" customHeight="1"/>
    <row r="7791" ht="15" customHeight="1"/>
    <row r="7792" ht="15" customHeight="1"/>
    <row r="7793" ht="15" customHeight="1"/>
    <row r="7794" ht="15" customHeight="1"/>
    <row r="7795" ht="15" customHeight="1"/>
    <row r="7796" ht="15" customHeight="1"/>
    <row r="7797" ht="15" customHeight="1"/>
    <row r="7798" ht="15" customHeight="1"/>
    <row r="7799" ht="15" customHeight="1"/>
    <row r="7800" ht="15" customHeight="1"/>
    <row r="7801" ht="15" customHeight="1"/>
    <row r="7802" ht="15" customHeight="1"/>
    <row r="7803" ht="15" customHeight="1"/>
    <row r="7804" ht="15" customHeight="1"/>
    <row r="7805" ht="15" customHeight="1"/>
    <row r="7806" ht="15" customHeight="1"/>
    <row r="7807" ht="15" customHeight="1"/>
    <row r="7808" ht="15" customHeight="1"/>
    <row r="7809" ht="15" customHeight="1"/>
    <row r="7810" ht="15" customHeight="1"/>
    <row r="7811" ht="15" customHeight="1"/>
    <row r="7812" ht="15" customHeight="1"/>
    <row r="7813" ht="15" customHeight="1"/>
    <row r="7814" ht="15" customHeight="1"/>
    <row r="7815" ht="15" customHeight="1"/>
    <row r="7816" ht="15" customHeight="1"/>
    <row r="7817" ht="15" customHeight="1"/>
    <row r="7818" ht="15" customHeight="1"/>
    <row r="7819" ht="15" customHeight="1"/>
    <row r="7820" ht="15" customHeight="1"/>
    <row r="7821" ht="15" customHeight="1"/>
    <row r="7822" ht="15" customHeight="1"/>
    <row r="7823" ht="15" customHeight="1"/>
    <row r="7824" ht="15" customHeight="1"/>
    <row r="7825" ht="15" customHeight="1"/>
    <row r="7826" ht="15" customHeight="1"/>
    <row r="7827" ht="15" customHeight="1"/>
    <row r="7828" ht="15" customHeight="1"/>
    <row r="7829" ht="15" customHeight="1"/>
    <row r="7830" ht="15" customHeight="1"/>
    <row r="7831" ht="15" customHeight="1"/>
    <row r="7832" ht="15" customHeight="1"/>
    <row r="7833" ht="15" customHeight="1"/>
    <row r="7834" ht="15" customHeight="1"/>
    <row r="7835" ht="15" customHeight="1"/>
    <row r="7836" ht="15" customHeight="1"/>
    <row r="7837" ht="15" customHeight="1"/>
    <row r="7838" ht="15" customHeight="1"/>
    <row r="7839" ht="15" customHeight="1"/>
    <row r="7840" ht="15" customHeight="1"/>
    <row r="7841" ht="15" customHeight="1"/>
    <row r="7842" ht="15" customHeight="1"/>
    <row r="7843" ht="15" customHeight="1"/>
    <row r="7844" ht="15" customHeight="1"/>
    <row r="7845" ht="15" customHeight="1"/>
    <row r="7846" ht="15" customHeight="1"/>
    <row r="7847" ht="15" customHeight="1"/>
    <row r="7848" ht="15" customHeight="1"/>
    <row r="7849" ht="15" customHeight="1"/>
    <row r="7850" ht="15" customHeight="1"/>
    <row r="7851" ht="15" customHeight="1"/>
    <row r="7852" ht="15" customHeight="1"/>
    <row r="7853" ht="15" customHeight="1"/>
    <row r="7854" ht="15" customHeight="1"/>
    <row r="7855" ht="15" customHeight="1"/>
    <row r="7856" ht="15" customHeight="1"/>
    <row r="7857" ht="15" customHeight="1"/>
    <row r="7858" ht="15" customHeight="1"/>
    <row r="7859" ht="15" customHeight="1"/>
    <row r="7860" ht="15" customHeight="1"/>
    <row r="7861" ht="15" customHeight="1"/>
    <row r="7862" ht="15" customHeight="1"/>
    <row r="7863" ht="15" customHeight="1"/>
    <row r="7864" ht="15" customHeight="1"/>
    <row r="7865" ht="15" customHeight="1"/>
    <row r="7866" ht="15" customHeight="1"/>
    <row r="7867" ht="15" customHeight="1"/>
    <row r="7868" ht="15" customHeight="1"/>
    <row r="7869" ht="15" customHeight="1"/>
    <row r="7870" ht="15" customHeight="1"/>
    <row r="7871" ht="15" customHeight="1"/>
    <row r="7872" ht="15" customHeight="1"/>
    <row r="7873" ht="15" customHeight="1"/>
    <row r="7874" ht="15" customHeight="1"/>
    <row r="7875" ht="15" customHeight="1"/>
    <row r="7876" ht="15" customHeight="1"/>
    <row r="7877" ht="15" customHeight="1"/>
    <row r="7878" ht="15" customHeight="1"/>
    <row r="7879" ht="15" customHeight="1"/>
    <row r="7880" ht="15" customHeight="1"/>
    <row r="7881" ht="15" customHeight="1"/>
    <row r="7882" ht="15" customHeight="1"/>
    <row r="7883" ht="15" customHeight="1"/>
    <row r="7884" ht="15" customHeight="1"/>
    <row r="7885" ht="15" customHeight="1"/>
    <row r="7886" ht="15" customHeight="1"/>
    <row r="7887" ht="15" customHeight="1"/>
    <row r="7888" ht="15" customHeight="1"/>
    <row r="7889" ht="15" customHeight="1"/>
    <row r="7890" ht="15" customHeight="1"/>
    <row r="7891" ht="15" customHeight="1"/>
    <row r="7892" ht="15" customHeight="1"/>
    <row r="7893" ht="15" customHeight="1"/>
    <row r="7894" ht="15" customHeight="1"/>
    <row r="7895" ht="15" customHeight="1"/>
    <row r="7896" ht="15" customHeight="1"/>
    <row r="7897" ht="15" customHeight="1"/>
    <row r="7898" ht="15" customHeight="1"/>
    <row r="7899" ht="15" customHeight="1"/>
    <row r="7900" ht="15" customHeight="1"/>
    <row r="7901" ht="15" customHeight="1"/>
    <row r="7902" ht="15" customHeight="1"/>
    <row r="7903" ht="15" customHeight="1"/>
    <row r="7904" ht="15" customHeight="1"/>
    <row r="7905" ht="15" customHeight="1"/>
    <row r="7906" ht="15" customHeight="1"/>
    <row r="7907" ht="15" customHeight="1"/>
    <row r="7908" ht="15" customHeight="1"/>
    <row r="7909" ht="15" customHeight="1"/>
    <row r="7910" ht="15" customHeight="1"/>
    <row r="7911" ht="15" customHeight="1"/>
    <row r="7912" ht="15" customHeight="1"/>
    <row r="7913" ht="15" customHeight="1"/>
    <row r="7914" ht="15" customHeight="1"/>
    <row r="7915" ht="15" customHeight="1"/>
    <row r="7916" ht="15" customHeight="1"/>
    <row r="7917" ht="15" customHeight="1"/>
    <row r="7918" ht="15" customHeight="1"/>
    <row r="7919" ht="15" customHeight="1"/>
    <row r="7920" ht="15" customHeight="1"/>
    <row r="7921" ht="15" customHeight="1"/>
    <row r="7922" ht="15" customHeight="1"/>
    <row r="7923" ht="15" customHeight="1"/>
    <row r="7924" ht="15" customHeight="1"/>
    <row r="7925" ht="15" customHeight="1"/>
    <row r="7926" ht="15" customHeight="1"/>
    <row r="7927" ht="15" customHeight="1"/>
    <row r="7928" ht="15" customHeight="1"/>
    <row r="7929" ht="15" customHeight="1"/>
    <row r="7930" ht="15" customHeight="1"/>
    <row r="7931" ht="15" customHeight="1"/>
    <row r="7932" ht="15" customHeight="1"/>
    <row r="7933" ht="15" customHeight="1"/>
    <row r="7934" ht="15" customHeight="1"/>
    <row r="7935" ht="15" customHeight="1"/>
    <row r="7936" ht="15" customHeight="1"/>
    <row r="7937" ht="15" customHeight="1"/>
    <row r="7938" ht="15" customHeight="1"/>
    <row r="7939" ht="15" customHeight="1"/>
    <row r="7940" ht="15" customHeight="1"/>
    <row r="7941" ht="15" customHeight="1"/>
    <row r="7942" ht="15" customHeight="1"/>
    <row r="7943" ht="15" customHeight="1"/>
    <row r="7944" ht="15" customHeight="1"/>
    <row r="7945" ht="15" customHeight="1"/>
    <row r="7946" ht="15" customHeight="1"/>
    <row r="7947" ht="15" customHeight="1"/>
    <row r="7948" ht="15" customHeight="1"/>
    <row r="7949" ht="15" customHeight="1"/>
    <row r="7950" ht="15" customHeight="1"/>
    <row r="7951" ht="15" customHeight="1"/>
    <row r="7952" ht="15" customHeight="1"/>
    <row r="7953" ht="15" customHeight="1"/>
    <row r="7954" ht="15" customHeight="1"/>
    <row r="7955" ht="15" customHeight="1"/>
    <row r="7956" ht="15" customHeight="1"/>
    <row r="7957" ht="15" customHeight="1"/>
    <row r="7958" ht="15" customHeight="1"/>
    <row r="7959" ht="15" customHeight="1"/>
    <row r="7960" ht="15" customHeight="1"/>
    <row r="7961" ht="15" customHeight="1"/>
    <row r="7962" ht="15" customHeight="1"/>
    <row r="7963" ht="15" customHeight="1"/>
    <row r="7964" ht="15" customHeight="1"/>
    <row r="7965" ht="15" customHeight="1"/>
    <row r="7966" ht="15" customHeight="1"/>
    <row r="7967" ht="15" customHeight="1"/>
    <row r="7968" ht="15" customHeight="1"/>
    <row r="7969" ht="15" customHeight="1"/>
    <row r="7970" ht="15" customHeight="1"/>
    <row r="7971" ht="15" customHeight="1"/>
    <row r="7972" ht="15" customHeight="1"/>
    <row r="7973" ht="15" customHeight="1"/>
    <row r="7974" ht="15" customHeight="1"/>
    <row r="7975" ht="15" customHeight="1"/>
    <row r="7976" ht="15" customHeight="1"/>
    <row r="7977" ht="15" customHeight="1"/>
    <row r="7978" ht="15" customHeight="1"/>
    <row r="7979" ht="15" customHeight="1"/>
    <row r="7980" ht="15" customHeight="1"/>
    <row r="7981" ht="15" customHeight="1"/>
    <row r="7982" ht="15" customHeight="1"/>
    <row r="7983" ht="15" customHeight="1"/>
    <row r="7984" ht="15" customHeight="1"/>
    <row r="7985" ht="15" customHeight="1"/>
    <row r="7986" ht="15" customHeight="1"/>
    <row r="7987" ht="15" customHeight="1"/>
    <row r="7988" ht="15" customHeight="1"/>
    <row r="7989" ht="15" customHeight="1"/>
    <row r="7990" ht="15" customHeight="1"/>
    <row r="7991" ht="15" customHeight="1"/>
    <row r="7992" ht="15" customHeight="1"/>
    <row r="7993" ht="15" customHeight="1"/>
    <row r="7994" ht="15" customHeight="1"/>
    <row r="7995" ht="15" customHeight="1"/>
    <row r="7996" ht="15" customHeight="1"/>
    <row r="7997" ht="15" customHeight="1"/>
    <row r="7998" ht="15" customHeight="1"/>
    <row r="7999" ht="15" customHeight="1"/>
    <row r="8000" ht="15" customHeight="1"/>
    <row r="8001" ht="15" customHeight="1"/>
    <row r="8002" ht="15" customHeight="1"/>
    <row r="8003" ht="15" customHeight="1"/>
    <row r="8004" ht="15" customHeight="1"/>
    <row r="8005" ht="15" customHeight="1"/>
    <row r="8006" ht="15" customHeight="1"/>
    <row r="8007" ht="15" customHeight="1"/>
    <row r="8008" ht="15" customHeight="1"/>
    <row r="8009" ht="15" customHeight="1"/>
    <row r="8010" ht="15" customHeight="1"/>
    <row r="8011" ht="15" customHeight="1"/>
    <row r="8012" ht="15" customHeight="1"/>
    <row r="8013" ht="15" customHeight="1"/>
    <row r="8014" ht="15" customHeight="1"/>
    <row r="8015" ht="15" customHeight="1"/>
    <row r="8016" ht="15" customHeight="1"/>
    <row r="8017" ht="15" customHeight="1"/>
    <row r="8018" ht="15" customHeight="1"/>
    <row r="8019" ht="15" customHeight="1"/>
    <row r="8020" ht="15" customHeight="1"/>
    <row r="8021" ht="15" customHeight="1"/>
    <row r="8022" ht="15" customHeight="1"/>
    <row r="8023" ht="15" customHeight="1"/>
    <row r="8024" ht="15" customHeight="1"/>
    <row r="8025" ht="15" customHeight="1"/>
    <row r="8026" ht="15" customHeight="1"/>
    <row r="8027" ht="15" customHeight="1"/>
    <row r="8028" ht="15" customHeight="1"/>
    <row r="8029" ht="15" customHeight="1"/>
    <row r="8030" ht="15" customHeight="1"/>
    <row r="8031" ht="15" customHeight="1"/>
    <row r="8032" ht="15" customHeight="1"/>
    <row r="8033" ht="15" customHeight="1"/>
    <row r="8034" ht="15" customHeight="1"/>
    <row r="8035" ht="15" customHeight="1"/>
    <row r="8036" ht="15" customHeight="1"/>
    <row r="8037" ht="15" customHeight="1"/>
    <row r="8038" ht="15" customHeight="1"/>
    <row r="8039" ht="15" customHeight="1"/>
    <row r="8040" ht="15" customHeight="1"/>
    <row r="8041" ht="15" customHeight="1"/>
    <row r="8042" ht="15" customHeight="1"/>
    <row r="8043" ht="15" customHeight="1"/>
    <row r="8044" ht="15" customHeight="1"/>
    <row r="8045" ht="15" customHeight="1"/>
    <row r="8046" ht="15" customHeight="1"/>
    <row r="8047" ht="15" customHeight="1"/>
    <row r="8048" ht="15" customHeight="1"/>
    <row r="8049" ht="15" customHeight="1"/>
    <row r="8050" ht="15" customHeight="1"/>
    <row r="8051" ht="15" customHeight="1"/>
    <row r="8052" ht="15" customHeight="1"/>
    <row r="8053" ht="15" customHeight="1"/>
    <row r="8054" ht="15" customHeight="1"/>
    <row r="8055" ht="15" customHeight="1"/>
    <row r="8056" ht="15" customHeight="1"/>
    <row r="8057" ht="15" customHeight="1"/>
    <row r="8058" ht="15" customHeight="1"/>
    <row r="8059" ht="15" customHeight="1"/>
    <row r="8060" ht="15" customHeight="1"/>
    <row r="8061" ht="15" customHeight="1"/>
    <row r="8062" ht="15" customHeight="1"/>
    <row r="8063" ht="15" customHeight="1"/>
    <row r="8064" ht="15" customHeight="1"/>
    <row r="8065" ht="15" customHeight="1"/>
    <row r="8066" ht="15" customHeight="1"/>
    <row r="8067" ht="15" customHeight="1"/>
    <row r="8068" ht="15" customHeight="1"/>
    <row r="8069" ht="15" customHeight="1"/>
    <row r="8070" ht="15" customHeight="1"/>
    <row r="8071" ht="15" customHeight="1"/>
    <row r="8072" ht="15" customHeight="1"/>
    <row r="8073" ht="15" customHeight="1"/>
    <row r="8074" ht="15" customHeight="1"/>
    <row r="8075" ht="15" customHeight="1"/>
    <row r="8076" ht="15" customHeight="1"/>
    <row r="8077" ht="15" customHeight="1"/>
    <row r="8078" ht="15" customHeight="1"/>
    <row r="8079" ht="15" customHeight="1"/>
    <row r="8080" ht="15" customHeight="1"/>
    <row r="8081" ht="15" customHeight="1"/>
    <row r="8082" ht="15" customHeight="1"/>
    <row r="8083" ht="15" customHeight="1"/>
    <row r="8084" ht="15" customHeight="1"/>
    <row r="8085" ht="15" customHeight="1"/>
    <row r="8086" ht="15" customHeight="1"/>
    <row r="8087" ht="15" customHeight="1"/>
    <row r="8088" ht="15" customHeight="1"/>
    <row r="8089" ht="15" customHeight="1"/>
    <row r="8090" ht="15" customHeight="1"/>
    <row r="8091" ht="15" customHeight="1"/>
    <row r="8092" ht="15" customHeight="1"/>
    <row r="8093" ht="15" customHeight="1"/>
    <row r="8094" ht="15" customHeight="1"/>
    <row r="8095" ht="15" customHeight="1"/>
    <row r="8096" ht="15" customHeight="1"/>
    <row r="8097" ht="15" customHeight="1"/>
    <row r="8098" ht="15" customHeight="1"/>
    <row r="8099" ht="15" customHeight="1"/>
    <row r="8100" ht="15" customHeight="1"/>
    <row r="8101" ht="15" customHeight="1"/>
    <row r="8102" ht="15" customHeight="1"/>
    <row r="8103" ht="15" customHeight="1"/>
    <row r="8104" ht="15" customHeight="1"/>
    <row r="8105" ht="15" customHeight="1"/>
    <row r="8106" ht="15" customHeight="1"/>
    <row r="8107" ht="15" customHeight="1"/>
    <row r="8108" ht="15" customHeight="1"/>
    <row r="8109" ht="15" customHeight="1"/>
    <row r="8110" ht="15" customHeight="1"/>
    <row r="8111" ht="15" customHeight="1"/>
    <row r="8112" ht="15" customHeight="1"/>
    <row r="8113" ht="15" customHeight="1"/>
    <row r="8114" ht="15" customHeight="1"/>
    <row r="8115" ht="15" customHeight="1"/>
    <row r="8116" ht="15" customHeight="1"/>
    <row r="8117" ht="15" customHeight="1"/>
    <row r="8118" ht="15" customHeight="1"/>
    <row r="8119" ht="15" customHeight="1"/>
    <row r="8120" ht="15" customHeight="1"/>
    <row r="8121" ht="15" customHeight="1"/>
    <row r="8122" ht="15" customHeight="1"/>
    <row r="8123" ht="15" customHeight="1"/>
    <row r="8124" ht="15" customHeight="1"/>
    <row r="8125" ht="15" customHeight="1"/>
    <row r="8126" ht="15" customHeight="1"/>
    <row r="8127" ht="15" customHeight="1"/>
    <row r="8128" ht="15" customHeight="1"/>
    <row r="8129" ht="15" customHeight="1"/>
    <row r="8130" ht="15" customHeight="1"/>
    <row r="8131" ht="15" customHeight="1"/>
    <row r="8132" ht="15" customHeight="1"/>
    <row r="8133" ht="15" customHeight="1"/>
    <row r="8134" ht="15" customHeight="1"/>
    <row r="8135" ht="15" customHeight="1"/>
    <row r="8136" ht="15" customHeight="1"/>
    <row r="8137" ht="15" customHeight="1"/>
    <row r="8138" ht="15" customHeight="1"/>
    <row r="8139" ht="15" customHeight="1"/>
    <row r="8140" ht="15" customHeight="1"/>
    <row r="8141" ht="15" customHeight="1"/>
    <row r="8142" ht="15" customHeight="1"/>
    <row r="8143" ht="15" customHeight="1"/>
    <row r="8144" ht="15" customHeight="1"/>
    <row r="8145" ht="15" customHeight="1"/>
    <row r="8146" ht="15" customHeight="1"/>
    <row r="8147" ht="15" customHeight="1"/>
    <row r="8148" ht="15" customHeight="1"/>
    <row r="8149" ht="15" customHeight="1"/>
    <row r="8150" ht="15" customHeight="1"/>
    <row r="8151" ht="15" customHeight="1"/>
    <row r="8152" ht="15" customHeight="1"/>
    <row r="8153" ht="15" customHeight="1"/>
    <row r="8154" ht="15" customHeight="1"/>
    <row r="8155" ht="15" customHeight="1"/>
    <row r="8156" ht="15" customHeight="1"/>
    <row r="8157" ht="15" customHeight="1"/>
    <row r="8158" ht="15" customHeight="1"/>
    <row r="8159" ht="15" customHeight="1"/>
    <row r="8160" ht="15" customHeight="1"/>
    <row r="8161" ht="15" customHeight="1"/>
    <row r="8162" ht="15" customHeight="1"/>
    <row r="8163" ht="15" customHeight="1"/>
    <row r="8164" ht="15" customHeight="1"/>
    <row r="8165" ht="15" customHeight="1"/>
    <row r="8166" ht="15" customHeight="1"/>
    <row r="8167" ht="15" customHeight="1"/>
    <row r="8168" ht="15" customHeight="1"/>
    <row r="8169" ht="15" customHeight="1"/>
    <row r="8170" ht="15" customHeight="1"/>
    <row r="8171" ht="15" customHeight="1"/>
    <row r="8172" ht="15" customHeight="1"/>
    <row r="8173" ht="15" customHeight="1"/>
  </sheetData>
  <autoFilter ref="F7:P3173"/>
  <mergeCells count="1">
    <mergeCell ref="G6:P6"/>
  </mergeCells>
  <conditionalFormatting sqref="G20 J20 K1685 K1702 K1774 K1845 K1861 K1875 M1902:M1907 M1921:M1922 M1928:M1930 M1941:M1943 M1949:M1952 M1958:M1961 M1963:M1968 M1972:M1983 M1990 M1997 M2004 M2011 M2020 M2026:M2028">
    <cfRule type="expression" priority="46624" dxfId="5">
      <formula>$H20="CÉLULA CONSTRUTIVA"</formula>
    </cfRule>
    <cfRule type="expression" priority="46625" dxfId="3">
      <formula>$H20="ETAPA"</formula>
    </cfRule>
    <cfRule type="expression" priority="46626" dxfId="4">
      <formula>$H20="SUBETAPA"</formula>
    </cfRule>
  </conditionalFormatting>
  <conditionalFormatting sqref="G23">
    <cfRule type="expression" priority="46621" dxfId="5">
      <formula>$H23="CÉLULA CONSTRUTIVA"</formula>
    </cfRule>
    <cfRule type="expression" priority="46622" dxfId="3">
      <formula>$H23="ETAPA"</formula>
    </cfRule>
    <cfRule type="expression" priority="46623" dxfId="4">
      <formula>$H23="SUBETAPA"</formula>
    </cfRule>
  </conditionalFormatting>
  <conditionalFormatting sqref="G29">
    <cfRule type="expression" priority="44" dxfId="5">
      <formula>$H29="CÉLULA CONSTRUTIVA"</formula>
    </cfRule>
    <cfRule type="expression" priority="45" dxfId="4">
      <formula>$H29="SUBETAPA"</formula>
    </cfRule>
    <cfRule type="expression" priority="46" dxfId="3">
      <formula>$H29="ETAPA"</formula>
    </cfRule>
  </conditionalFormatting>
  <conditionalFormatting sqref="G30">
    <cfRule type="expression" priority="41" dxfId="5">
      <formula>$H30="CÉLULA CONSTRUTIVA"</formula>
    </cfRule>
    <cfRule type="expression" priority="42" dxfId="4">
      <formula>$H30="SUBETAPA"</formula>
    </cfRule>
    <cfRule type="expression" priority="43" dxfId="3">
      <formula>$H30="ETAPA"</formula>
    </cfRule>
  </conditionalFormatting>
  <conditionalFormatting sqref="G32">
    <cfRule type="expression" priority="38" dxfId="5">
      <formula>$H32="CÉLULA CONSTRUTIVA"</formula>
    </cfRule>
    <cfRule type="expression" priority="39" dxfId="4">
      <formula>$H32="SUBETAPA"</formula>
    </cfRule>
    <cfRule type="expression" priority="40" dxfId="3">
      <formula>$H32="ETAPA"</formula>
    </cfRule>
  </conditionalFormatting>
  <conditionalFormatting sqref="G35:G38">
    <cfRule type="expression" priority="35" dxfId="5">
      <formula>$H35="CÉLULA CONSTRUTIVA"</formula>
    </cfRule>
    <cfRule type="expression" priority="36" dxfId="4">
      <formula>$H35="SUBETAPA"</formula>
    </cfRule>
    <cfRule type="expression" priority="37" dxfId="3">
      <formula>$H35="ETAPA"</formula>
    </cfRule>
  </conditionalFormatting>
  <conditionalFormatting sqref="G40">
    <cfRule type="expression" priority="32" dxfId="5">
      <formula>$H40="CÉLULA CONSTRUTIVA"</formula>
    </cfRule>
    <cfRule type="expression" priority="33" dxfId="4">
      <formula>$H40="SUBETAPA"</formula>
    </cfRule>
    <cfRule type="expression" priority="34" dxfId="3">
      <formula>$H40="ETAPA"</formula>
    </cfRule>
  </conditionalFormatting>
  <conditionalFormatting sqref="G42 M42:N43">
    <cfRule type="expression" priority="50486" dxfId="4">
      <formula>$H42="SUBETAPA"</formula>
    </cfRule>
  </conditionalFormatting>
  <conditionalFormatting sqref="G42">
    <cfRule type="expression" priority="50488" dxfId="3">
      <formula>$H42="ETAPA"</formula>
    </cfRule>
  </conditionalFormatting>
  <conditionalFormatting sqref="G43">
    <cfRule type="expression" priority="29" dxfId="5">
      <formula>$H43="CÉLULA CONSTRUTIVA"</formula>
    </cfRule>
    <cfRule type="expression" priority="30" dxfId="4">
      <formula>$H43="SUBETAPA"</formula>
    </cfRule>
    <cfRule type="expression" priority="31" dxfId="3">
      <formula>$H43="ETAPA"</formula>
    </cfRule>
  </conditionalFormatting>
  <conditionalFormatting sqref="G45:G48">
    <cfRule type="expression" priority="26" dxfId="5">
      <formula>$H45="CÉLULA CONSTRUTIVA"</formula>
    </cfRule>
    <cfRule type="expression" priority="27" dxfId="4">
      <formula>$H45="SUBETAPA"</formula>
    </cfRule>
    <cfRule type="expression" priority="28" dxfId="3">
      <formula>$H45="ETAPA"</formula>
    </cfRule>
  </conditionalFormatting>
  <conditionalFormatting sqref="G50">
    <cfRule type="expression" priority="23" dxfId="5">
      <formula>$H50="CÉLULA CONSTRUTIVA"</formula>
    </cfRule>
    <cfRule type="expression" priority="24" dxfId="4">
      <formula>$H50="SUBETAPA"</formula>
    </cfRule>
    <cfRule type="expression" priority="25" dxfId="3">
      <formula>$H50="ETAPA"</formula>
    </cfRule>
  </conditionalFormatting>
  <conditionalFormatting sqref="G53">
    <cfRule type="expression" priority="20" dxfId="5">
      <formula>$H53="CÉLULA CONSTRUTIVA"</formula>
    </cfRule>
    <cfRule type="expression" priority="21" dxfId="4">
      <formula>$H53="SUBETAPA"</formula>
    </cfRule>
    <cfRule type="expression" priority="22" dxfId="3">
      <formula>$H53="ETAPA"</formula>
    </cfRule>
  </conditionalFormatting>
  <conditionalFormatting sqref="G54">
    <cfRule type="expression" priority="17" dxfId="5">
      <formula>$H54="CÉLULA CONSTRUTIVA"</formula>
    </cfRule>
    <cfRule type="expression" priority="18" dxfId="4">
      <formula>$H54="SUBETAPA"</formula>
    </cfRule>
    <cfRule type="expression" priority="19" dxfId="3">
      <formula>$H54="ETAPA"</formula>
    </cfRule>
  </conditionalFormatting>
  <conditionalFormatting sqref="G57">
    <cfRule type="expression" priority="14" dxfId="5">
      <formula>$H57="CÉLULA CONSTRUTIVA"</formula>
    </cfRule>
    <cfRule type="expression" priority="15" dxfId="4">
      <formula>$H57="SUBETAPA"</formula>
    </cfRule>
    <cfRule type="expression" priority="16" dxfId="3">
      <formula>$H57="ETAPA"</formula>
    </cfRule>
  </conditionalFormatting>
  <conditionalFormatting sqref="G80:G82 M93 M95">
    <cfRule type="expression" priority="50315" dxfId="3">
      <formula>$H80="ETAPA"</formula>
    </cfRule>
  </conditionalFormatting>
  <conditionalFormatting sqref="G946:G958">
    <cfRule type="expression" priority="51706" dxfId="4">
      <formula>$H946="SUBETAPA"</formula>
    </cfRule>
  </conditionalFormatting>
  <conditionalFormatting sqref="G961:G963 G966:G973">
    <cfRule type="expression" priority="51861" dxfId="4">
      <formula>$H961="SUBETAPA"</formula>
    </cfRule>
  </conditionalFormatting>
  <conditionalFormatting sqref="G964:G965">
    <cfRule type="expression" priority="51494" dxfId="4">
      <formula>$H964="SUBETAPA"</formula>
    </cfRule>
  </conditionalFormatting>
  <conditionalFormatting sqref="G976:G978 G981:G988">
    <cfRule type="expression" priority="52019" dxfId="4">
      <formula>$H976="SUBETAPA"</formula>
    </cfRule>
  </conditionalFormatting>
  <conditionalFormatting sqref="G979:G980">
    <cfRule type="expression" priority="51456" dxfId="4">
      <formula>$H979="SUBETAPA"</formula>
    </cfRule>
  </conditionalFormatting>
  <conditionalFormatting sqref="G991:G993 G996:G1003">
    <cfRule type="expression" priority="52174" dxfId="4">
      <formula>$H991="SUBETAPA"</formula>
    </cfRule>
  </conditionalFormatting>
  <conditionalFormatting sqref="G994:G995">
    <cfRule type="expression" priority="51418" dxfId="4">
      <formula>$H994="SUBETAPA"</formula>
    </cfRule>
  </conditionalFormatting>
  <conditionalFormatting sqref="G1006:G1008 G1011:G1018">
    <cfRule type="expression" priority="52332" dxfId="4">
      <formula>$H1006="SUBETAPA"</formula>
    </cfRule>
  </conditionalFormatting>
  <conditionalFormatting sqref="G1009:G1010">
    <cfRule type="expression" priority="51380" dxfId="4">
      <formula>$H1009="SUBETAPA"</formula>
    </cfRule>
  </conditionalFormatting>
  <conditionalFormatting sqref="G1021:G1023 G1026:G1033">
    <cfRule type="expression" priority="52487" dxfId="4">
      <formula>$H1021="SUBETAPA"</formula>
    </cfRule>
  </conditionalFormatting>
  <conditionalFormatting sqref="G1024:G1025">
    <cfRule type="expression" priority="51342" dxfId="4">
      <formula>$H1024="SUBETAPA"</formula>
    </cfRule>
  </conditionalFormatting>
  <conditionalFormatting sqref="G1036:G1038 G1041:G1048">
    <cfRule type="expression" priority="52642" dxfId="4">
      <formula>$H1036="SUBETAPA"</formula>
    </cfRule>
  </conditionalFormatting>
  <conditionalFormatting sqref="G1039:G1040">
    <cfRule type="expression" priority="51304" dxfId="4">
      <formula>$H1039="SUBETAPA"</formula>
    </cfRule>
  </conditionalFormatting>
  <conditionalFormatting sqref="G1051:G1053 G1056:G1063">
    <cfRule type="expression" priority="52800" dxfId="4">
      <formula>$H1051="SUBETAPA"</formula>
    </cfRule>
  </conditionalFormatting>
  <conditionalFormatting sqref="G1054:G1055">
    <cfRule type="expression" priority="51266" dxfId="4">
      <formula>$H1054="SUBETAPA"</formula>
    </cfRule>
  </conditionalFormatting>
  <conditionalFormatting sqref="G1066:G1068 G1071:G1078">
    <cfRule type="expression" priority="52955" dxfId="4">
      <formula>$H1066="SUBETAPA"</formula>
    </cfRule>
  </conditionalFormatting>
  <conditionalFormatting sqref="G1069:G1070">
    <cfRule type="expression" priority="51228" dxfId="4">
      <formula>$H1069="SUBETAPA"</formula>
    </cfRule>
  </conditionalFormatting>
  <conditionalFormatting sqref="G1081:G1083 G1086:G1093">
    <cfRule type="expression" priority="53113" dxfId="4">
      <formula>$H1081="SUBETAPA"</formula>
    </cfRule>
  </conditionalFormatting>
  <conditionalFormatting sqref="G1084:G1085">
    <cfRule type="expression" priority="51190" dxfId="4">
      <formula>$H1084="SUBETAPA"</formula>
    </cfRule>
  </conditionalFormatting>
  <conditionalFormatting sqref="G1096:G1098 G1101:G1108">
    <cfRule type="expression" priority="53268" dxfId="4">
      <formula>$H1096="SUBETAPA"</formula>
    </cfRule>
  </conditionalFormatting>
  <conditionalFormatting sqref="G1099:G1100">
    <cfRule type="expression" priority="51152" dxfId="4">
      <formula>$H1099="SUBETAPA"</formula>
    </cfRule>
  </conditionalFormatting>
  <conditionalFormatting sqref="G1111:G1113 G1116:G1123">
    <cfRule type="expression" priority="53426" dxfId="4">
      <formula>$H1111="SUBETAPA"</formula>
    </cfRule>
  </conditionalFormatting>
  <conditionalFormatting sqref="G1114:G1115">
    <cfRule type="expression" priority="51114" dxfId="4">
      <formula>$H1114="SUBETAPA"</formula>
    </cfRule>
  </conditionalFormatting>
  <conditionalFormatting sqref="G1126:G1128 G1131:G1138">
    <cfRule type="expression" priority="53581" dxfId="4">
      <formula>$H1126="SUBETAPA"</formula>
    </cfRule>
  </conditionalFormatting>
  <conditionalFormatting sqref="G1129:G1130">
    <cfRule type="expression" priority="51076" dxfId="4">
      <formula>$H1129="SUBETAPA"</formula>
    </cfRule>
  </conditionalFormatting>
  <conditionalFormatting sqref="G1141:G1143 G1146:G1153">
    <cfRule type="expression" priority="53739" dxfId="4">
      <formula>$H1141="SUBETAPA"</formula>
    </cfRule>
  </conditionalFormatting>
  <conditionalFormatting sqref="G1144:G1145">
    <cfRule type="expression" priority="51038" dxfId="4">
      <formula>$H1144="SUBETAPA"</formula>
    </cfRule>
  </conditionalFormatting>
  <conditionalFormatting sqref="G1242">
    <cfRule type="expression" priority="55" dxfId="5">
      <formula>$H1242="CÉLULA CONSTRUTIVA"</formula>
    </cfRule>
    <cfRule type="expression" priority="56" dxfId="4">
      <formula>$H1242="SUBETAPA"</formula>
    </cfRule>
    <cfRule type="expression" priority="57" dxfId="3">
      <formula>$H1242="ETAPA"</formula>
    </cfRule>
  </conditionalFormatting>
  <conditionalFormatting sqref="G1243">
    <cfRule type="expression" priority="52" dxfId="5">
      <formula>$H1243="CÉLULA CONSTRUTIVA"</formula>
    </cfRule>
    <cfRule type="expression" priority="53" dxfId="4">
      <formula>$H1243="SUBETAPA"</formula>
    </cfRule>
    <cfRule type="expression" priority="54" dxfId="3">
      <formula>$H1243="ETAPA"</formula>
    </cfRule>
  </conditionalFormatting>
  <conditionalFormatting sqref="G1245:G1249">
    <cfRule type="expression" priority="50" dxfId="4">
      <formula>$H1245="SUBETAPA"</formula>
    </cfRule>
    <cfRule type="expression" priority="51" dxfId="3">
      <formula>$H1245="ETAPA"</formula>
    </cfRule>
  </conditionalFormatting>
  <conditionalFormatting sqref="G1251">
    <cfRule type="expression" priority="47" dxfId="4">
      <formula>$H1251="SUBETAPA"</formula>
    </cfRule>
    <cfRule type="expression" priority="48" dxfId="3">
      <formula>$H1251="ETAPA"</formula>
    </cfRule>
    <cfRule type="expression" priority="49" dxfId="5">
      <formula>$H1251="CÉLULA CONSTRUTIVA"</formula>
    </cfRule>
  </conditionalFormatting>
  <conditionalFormatting sqref="G1267:G1276">
    <cfRule type="expression" priority="2795" dxfId="5">
      <formula>$H1267="CÉLULA CONSTRUTIVA"</formula>
    </cfRule>
  </conditionalFormatting>
  <conditionalFormatting sqref="G1281:G1290">
    <cfRule type="expression" priority="2864" dxfId="5">
      <formula>$H1281="CÉLULA CONSTRUTIVA"</formula>
    </cfRule>
  </conditionalFormatting>
  <conditionalFormatting sqref="G1295:G1304">
    <cfRule type="expression" priority="2933" dxfId="5">
      <formula>$H1295="CÉLULA CONSTRUTIVA"</formula>
    </cfRule>
  </conditionalFormatting>
  <conditionalFormatting sqref="G1309:G1318">
    <cfRule type="expression" priority="3002" dxfId="5">
      <formula>$H1309="CÉLULA CONSTRUTIVA"</formula>
    </cfRule>
  </conditionalFormatting>
  <conditionalFormatting sqref="G1323:G1332">
    <cfRule type="expression" priority="3071" dxfId="5">
      <formula>$H1323="CÉLULA CONSTRUTIVA"</formula>
    </cfRule>
  </conditionalFormatting>
  <conditionalFormatting sqref="G1337:G1346">
    <cfRule type="expression" priority="3140" dxfId="5">
      <formula>$H1337="CÉLULA CONSTRUTIVA"</formula>
    </cfRule>
  </conditionalFormatting>
  <conditionalFormatting sqref="G1370">
    <cfRule type="expression" priority="80" dxfId="5">
      <formula>$H1370="CÉLULA CONSTRUTIVA"</formula>
    </cfRule>
  </conditionalFormatting>
  <conditionalFormatting sqref="G1373">
    <cfRule type="expression" priority="79" dxfId="5">
      <formula>$H1373="CÉLULA CONSTRUTIVA"</formula>
    </cfRule>
  </conditionalFormatting>
  <conditionalFormatting sqref="G1376">
    <cfRule type="expression" priority="78" dxfId="5">
      <formula>$H1376="CÉLULA CONSTRUTIVA"</formula>
    </cfRule>
  </conditionalFormatting>
  <conditionalFormatting sqref="G1379">
    <cfRule type="expression" priority="77" dxfId="5">
      <formula>$H1379="CÉLULA CONSTRUTIVA"</formula>
    </cfRule>
  </conditionalFormatting>
  <conditionalFormatting sqref="G1382">
    <cfRule type="expression" priority="76" dxfId="5">
      <formula>$H1382="CÉLULA CONSTRUTIVA"</formula>
    </cfRule>
  </conditionalFormatting>
  <conditionalFormatting sqref="G1385">
    <cfRule type="expression" priority="75" dxfId="5">
      <formula>$H1385="CÉLULA CONSTRUTIVA"</formula>
    </cfRule>
  </conditionalFormatting>
  <conditionalFormatting sqref="G1388">
    <cfRule type="expression" priority="73" dxfId="4">
      <formula>$H1388="SUBETAPA"</formula>
    </cfRule>
    <cfRule type="expression" priority="74" dxfId="3">
      <formula>$H1388="ETAPA"</formula>
    </cfRule>
  </conditionalFormatting>
  <conditionalFormatting sqref="G1390">
    <cfRule type="expression" priority="71" dxfId="4">
      <formula>$H1390="SUBETAPA"</formula>
    </cfRule>
    <cfRule type="expression" priority="72" dxfId="3">
      <formula>$H1390="ETAPA"</formula>
    </cfRule>
  </conditionalFormatting>
  <conditionalFormatting sqref="G1392">
    <cfRule type="expression" priority="69" dxfId="4">
      <formula>$H1392="SUBETAPA"</formula>
    </cfRule>
    <cfRule type="expression" priority="70" dxfId="3">
      <formula>$H1392="ETAPA"</formula>
    </cfRule>
  </conditionalFormatting>
  <conditionalFormatting sqref="G1395">
    <cfRule type="expression" priority="67" dxfId="4">
      <formula>$H1395="SUBETAPA"</formula>
    </cfRule>
    <cfRule type="expression" priority="68" dxfId="3">
      <formula>$H1395="ETAPA"</formula>
    </cfRule>
  </conditionalFormatting>
  <conditionalFormatting sqref="G1397">
    <cfRule type="expression" priority="65" dxfId="4">
      <formula>$H1397="SUBETAPA"</formula>
    </cfRule>
    <cfRule type="expression" priority="66" dxfId="3">
      <formula>$H1397="ETAPA"</formula>
    </cfRule>
  </conditionalFormatting>
  <conditionalFormatting sqref="G1399">
    <cfRule type="expression" priority="63" dxfId="4">
      <formula>$H1399="SUBETAPA"</formula>
    </cfRule>
    <cfRule type="expression" priority="64" dxfId="3">
      <formula>$H1399="ETAPA"</formula>
    </cfRule>
  </conditionalFormatting>
  <conditionalFormatting sqref="G1404">
    <cfRule type="expression" priority="62" dxfId="5">
      <formula>$H1404="CÉLULA CONSTRUTIVA"</formula>
    </cfRule>
  </conditionalFormatting>
  <conditionalFormatting sqref="G1409">
    <cfRule type="expression" priority="61" dxfId="5">
      <formula>$H1409="CÉLULA CONSTRUTIVA"</formula>
    </cfRule>
  </conditionalFormatting>
  <conditionalFormatting sqref="G1414">
    <cfRule type="expression" priority="60" dxfId="5">
      <formula>$H1414="CÉLULA CONSTRUTIVA"</formula>
    </cfRule>
  </conditionalFormatting>
  <conditionalFormatting sqref="G1419">
    <cfRule type="expression" priority="59" dxfId="5">
      <formula>$H1419="CÉLULA CONSTRUTIVA"</formula>
    </cfRule>
  </conditionalFormatting>
  <conditionalFormatting sqref="G1422">
    <cfRule type="expression" priority="58" dxfId="5">
      <formula>$H1422="CÉLULA CONSTRUTIVA"</formula>
    </cfRule>
  </conditionalFormatting>
  <conditionalFormatting sqref="G394:J394 G411:J411 G427:J427 G443:J443 G460:J460 G477:J477 G494:J494 G512:J512 G530:J530 G548:J548 G566:J566 G582:J582 G601:J601 G1477 G1574:H1574 G1669:H1669 G1681:G1682 G1691 G1892:H1892 G1936 G2056:G2062 G2078:G2083 G2097:G2100 G2113:G2116 G2130:G2133 G2148:G2151 G2174:G2180 G2205:G2209 G2226:G2229 G2246:G2249 G2268:G2272 G2292:G2296 G2314:G2320 G2331:G2334 G2339 G2961:H2964 G2967:H2969 G2972:H2974 G2977:H2979 G2982:H2984 G2987:H2990 G2994:H2997 G3010:H3013 G3017:H3020 G3024:H3027 G3031:H3034 G3038:H3040 G3043:H3044 G3047:H3047 G3087:H3088 G3108:H3109 G3131:H3132 H2636:H2637 H2644:H2647 H2653:H2655 H2662 H2669 H2677 H2685:H2687 H2695:H2696 H2704:H2707 H2715:H2718 H2726:H2729 H2737:H2740 H2748:H2751 J426 J442 J458:J459 J475:J476 J492:J493 J510:J511 J528:J529 J546:J547 J564:J565 J581 J599:J600 J615 J1565 J1574:L1574 J1583 J1604 J1669:L1669 J1892:M1892 J2355:K2355 J2636:K2637 J2644:K2647 J2653:K2655 J2662:K2662 J2669:K2669 J2677:K2677 J2685:K2687 J2695:K2696 J2704:K2707 J2715:K2718 J2726:K2729 J2737:K2740 J2748:K2751 J2961:L2964 J2967:L2969 J2972:L2974 J2977:L2979 J2982:L2984 J2987:L2990 J2994:L2997 J3010:L3013 J3017:L3020 J3024:L3027 J3031:L3034 J3038:L3040 J3043:L3044 J3046:K3046 J3047:L3047 J3087:K3087 J3100:K3101 J3108:K3108 J3122:K3124 J3131:K3131 J3145:K3148 L1453 L1460 L1467 L1492:L1493 L1575:L1577 L1658:L1660 L1670:L1672 L1911 L1924 L1932 L1937 L1945 L1954 L1970 L2022 L2030 L3087:L3088 L3098:L3099 L3108:L3109 L3120:L3121 L3131:L3132 L3143:L3144 M1371 M1374 M1377 M1380 M1383 M1420 M2636:M2637 M2644:M2647 M2653:M2655 M2662 M2669 M2677 M2685:M2687 M2695:M2696 M2704:M2707 M2715:M2718 M2726:M2729 M2737:M2740 M2748:M2751 O394 O411 O427 O443 O460 O477 O494 O512 O530 O548 O566 O582 O601 O730 O743 O756 O769 O782 O795 O1430 O1523 O1533:O1534 O1546 O1555:O1556 O1566 O1574 O1584 O1593:O1594 O1605 O1614:O1615 O1638:O1639 O1651 O1656:O1657 O1669 O2417 O2440 O2487 O2514 O2536 O2552 O2568 O2584 O2600 O2616 O2961:O2964 O2967:O2969 O2972:O2974 O2977:O2979 O2982:O2984 O2987:O2990 O2994:O2997 O3010:O3013 O3017:O3020 O3024:O3027 O3031:O3034 O3038:O3040 O3043:O3044 O3047 O3098:O3099 O3120:O3121 O3143:O3144">
    <cfRule type="expression" priority="4265" dxfId="4">
      <formula>$H394="SUBETAPA"</formula>
    </cfRule>
    <cfRule type="expression" priority="4266" dxfId="5">
      <formula>$H394="CÉLULA CONSTRUTIVA"</formula>
    </cfRule>
  </conditionalFormatting>
  <conditionalFormatting sqref="G1673:G1679 G2031">
    <cfRule type="expression" priority="5358" dxfId="3">
      <formula>$H1673="ETAPA"</formula>
    </cfRule>
  </conditionalFormatting>
  <conditionalFormatting sqref="G1674:G1675">
    <cfRule type="expression" priority="5727" dxfId="4">
      <formula>$H1674="SUBETAPA"</formula>
    </cfRule>
    <cfRule type="expression" priority="5728" dxfId="5">
      <formula>$H1674="CÉLULA CONSTRUTIVA"</formula>
    </cfRule>
  </conditionalFormatting>
  <conditionalFormatting sqref="G1680 H3070:H3072 H3094 H3115:H3116 J3070:K3072 J3094:K3094 J3115:K3116 L617 L2760:L2761 L2766:L2767 L2772:L2773 M2762:M2763 M2768:M2769 M2774:M2775 M2817:M2818 O1448:O1449 O1455 O1462 O1472 O1487 O1524:O1527 O1564:O1565 O1567:O1570 O1582:O1583 O1603:O1604 O1652:O1654 O3070:O3072 O3094 O3115:O3116">
    <cfRule type="expression" priority="5726" dxfId="3">
      <formula>$H617="ETAPA"</formula>
    </cfRule>
    <cfRule type="expression" priority="6342" dxfId="4">
      <formula>$H617="SUBETAPA"</formula>
    </cfRule>
  </conditionalFormatting>
  <conditionalFormatting sqref="G1674:G1675 G1681">
    <cfRule type="expression" priority="5725" dxfId="3">
      <formula>$H1674="ETAPA"</formula>
    </cfRule>
  </conditionalFormatting>
  <conditionalFormatting sqref="G1683">
    <cfRule type="expression" priority="5297" dxfId="5">
      <formula>$H1683="CÉLULA CONSTRUTIVA"</formula>
    </cfRule>
    <cfRule type="expression" priority="5723" dxfId="3">
      <formula>$H1683="ETAPA"</formula>
    </cfRule>
    <cfRule type="expression" priority="5724" dxfId="4">
      <formula>$H1683="SUBETAPA"</formula>
    </cfRule>
  </conditionalFormatting>
  <conditionalFormatting sqref="G1689">
    <cfRule type="expression" priority="6340" dxfId="3">
      <formula>$H1689="ETAPA"</formula>
    </cfRule>
    <cfRule type="expression" priority="6341" dxfId="4">
      <formula>$H1689="SUBETAPA"</formula>
    </cfRule>
  </conditionalFormatting>
  <conditionalFormatting sqref="G1690">
    <cfRule type="expression" priority="6338" dxfId="3">
      <formula>$H1690="ETAPA"</formula>
    </cfRule>
    <cfRule type="expression" priority="6339" dxfId="4">
      <formula>$H1690="SUBETAPA"</formula>
    </cfRule>
  </conditionalFormatting>
  <conditionalFormatting sqref="G1693 H1162:H1164 H1167:H1169 H1172:H1174 H1177:H1179 H1182:H1184 H1222:H1224 H1234:H1236 H1371 H1374 H1377 H1380 H1383 H1420 J1736 J1748 J1760 J1823 J1836 J1891 J1896 K393:K394 K409:L411 L392:L394 O2100 O2116 O2133 O2151">
    <cfRule type="expression" priority="5296" dxfId="5">
      <formula>$H392="CÉLULA CONSTRUTIVA"</formula>
    </cfRule>
    <cfRule type="expression" priority="5719" dxfId="4">
      <formula>$H392="SUBETAPA"</formula>
    </cfRule>
  </conditionalFormatting>
  <conditionalFormatting sqref="G1693">
    <cfRule type="expression" priority="5312" dxfId="3">
      <formula>$H1693="ETAPA"</formula>
    </cfRule>
  </conditionalFormatting>
  <conditionalFormatting sqref="G1696:G1699">
    <cfRule type="expression" priority="6337" dxfId="3">
      <formula>$H1696="ETAPA"</formula>
    </cfRule>
  </conditionalFormatting>
  <conditionalFormatting sqref="G1700">
    <cfRule type="expression" priority="5712" dxfId="3">
      <formula>$H1700="ETAPA"</formula>
    </cfRule>
    <cfRule type="expression" priority="5713" dxfId="5">
      <formula>$H1700="CÉLULA CONSTRUTIVA"</formula>
    </cfRule>
    <cfRule type="expression" priority="5714" dxfId="4">
      <formula>$H1700="SUBETAPA"</formula>
    </cfRule>
    <cfRule type="expression" priority="6330" dxfId="5">
      <formula>$H1700="CÉLULA CONSTRUTIVA"</formula>
    </cfRule>
    <cfRule type="expression" priority="6331" dxfId="3">
      <formula>$H1700="ETAPA"</formula>
    </cfRule>
    <cfRule type="expression" priority="6332" dxfId="4">
      <formula>$H1700="SUBETAPA"</formula>
    </cfRule>
  </conditionalFormatting>
  <conditionalFormatting sqref="G1702 G1845 G1861 G1875">
    <cfRule type="expression" priority="5709" dxfId="4">
      <formula>$H1702="SUBETAPA"</formula>
    </cfRule>
    <cfRule type="expression" priority="5710" dxfId="5">
      <formula>$H1702="CÉLULA CONSTRUTIVA"</formula>
    </cfRule>
    <cfRule type="expression" priority="5711" dxfId="3">
      <formula>$H1702="ETAPA"</formula>
    </cfRule>
    <cfRule type="expression" priority="6327" dxfId="4">
      <formula>$H1702="SUBETAPA"</formula>
    </cfRule>
    <cfRule type="expression" priority="6328" dxfId="5">
      <formula>$H1702="CÉLULA CONSTRUTIVA"</formula>
    </cfRule>
    <cfRule type="expression" priority="6329" dxfId="3">
      <formula>$H1702="ETAPA"</formula>
    </cfRule>
  </conditionalFormatting>
  <conditionalFormatting sqref="G1706">
    <cfRule type="expression" priority="6319" dxfId="3">
      <formula>$H1706="ETAPA"</formula>
    </cfRule>
    <cfRule type="expression" priority="6320" dxfId="4">
      <formula>$H1706="SUBETAPA"</formula>
    </cfRule>
  </conditionalFormatting>
  <conditionalFormatting sqref="G1707">
    <cfRule type="expression" priority="6317" dxfId="3">
      <formula>$H1707="ETAPA"</formula>
    </cfRule>
    <cfRule type="expression" priority="6318" dxfId="4">
      <formula>$H1707="SUBETAPA"</formula>
    </cfRule>
  </conditionalFormatting>
  <conditionalFormatting sqref="G1709 G1808 G1822 G1835 G1866">
    <cfRule type="expression" priority="5311" dxfId="3">
      <formula>$H1709="ETAPA"</formula>
    </cfRule>
    <cfRule type="expression" priority="6326" dxfId="3">
      <formula>$H1709="ETAPA"</formula>
    </cfRule>
  </conditionalFormatting>
  <conditionalFormatting sqref="G1709">
    <cfRule type="expression" priority="5295" dxfId="5">
      <formula>$H1709="CÉLULA CONSTRUTIVA"</formula>
    </cfRule>
    <cfRule type="expression" priority="5708" dxfId="4">
      <formula>$H1709="SUBETAPA"</formula>
    </cfRule>
    <cfRule type="expression" priority="6324" dxfId="5">
      <formula>$H1709="CÉLULA CONSTRUTIVA"</formula>
    </cfRule>
    <cfRule type="expression" priority="6325" dxfId="4">
      <formula>$H1709="SUBETAPA"</formula>
    </cfRule>
  </conditionalFormatting>
  <conditionalFormatting sqref="G1710:G1711">
    <cfRule type="expression" priority="5701" dxfId="3">
      <formula>$H1710="ETAPA"</formula>
    </cfRule>
    <cfRule type="expression" priority="5703" dxfId="4">
      <formula>$H1710="SUBETAPA"</formula>
    </cfRule>
    <cfRule type="expression" priority="5704" dxfId="5">
      <formula>$H1710="CÉLULA CONSTRUTIVA"</formula>
    </cfRule>
  </conditionalFormatting>
  <conditionalFormatting sqref="G1712:G1715">
    <cfRule type="expression" priority="6314" dxfId="3">
      <formula>$H1712="ETAPA"</formula>
    </cfRule>
  </conditionalFormatting>
  <conditionalFormatting sqref="G1716">
    <cfRule type="expression" priority="5698" dxfId="3">
      <formula>$H1716="ETAPA"</formula>
    </cfRule>
    <cfRule type="expression" priority="5699" dxfId="5">
      <formula>$H1716="CÉLULA CONSTRUTIVA"</formula>
    </cfRule>
    <cfRule type="expression" priority="5700" dxfId="4">
      <formula>$H1716="SUBETAPA"</formula>
    </cfRule>
    <cfRule type="expression" priority="6307" dxfId="5">
      <formula>$H1716="CÉLULA CONSTRUTIVA"</formula>
    </cfRule>
    <cfRule type="expression" priority="6308" dxfId="3">
      <formula>$H1716="ETAPA"</formula>
    </cfRule>
    <cfRule type="expression" priority="6309" dxfId="4">
      <formula>$H1716="SUBETAPA"</formula>
    </cfRule>
  </conditionalFormatting>
  <conditionalFormatting sqref="G1721">
    <cfRule type="expression" priority="6296" dxfId="3">
      <formula>$H1721="ETAPA"</formula>
    </cfRule>
    <cfRule type="expression" priority="6297" dxfId="4">
      <formula>$H1721="SUBETAPA"</formula>
    </cfRule>
  </conditionalFormatting>
  <conditionalFormatting sqref="G1722">
    <cfRule type="expression" priority="6294" dxfId="3">
      <formula>$H1722="ETAPA"</formula>
    </cfRule>
    <cfRule type="expression" priority="6295" dxfId="4">
      <formula>$H1722="SUBETAPA"</formula>
    </cfRule>
  </conditionalFormatting>
  <conditionalFormatting sqref="G1724">
    <cfRule type="expression" priority="5294" dxfId="5">
      <formula>$H1724="CÉLULA CONSTRUTIVA"</formula>
    </cfRule>
    <cfRule type="expression" priority="5310" dxfId="3">
      <formula>$H1724="ETAPA"</formula>
    </cfRule>
    <cfRule type="expression" priority="5694" dxfId="4">
      <formula>$H1724="SUBETAPA"</formula>
    </cfRule>
    <cfRule type="expression" priority="6301" dxfId="5">
      <formula>$H1724="CÉLULA CONSTRUTIVA"</formula>
    </cfRule>
    <cfRule type="expression" priority="6302" dxfId="4">
      <formula>$H1724="SUBETAPA"</formula>
    </cfRule>
    <cfRule type="expression" priority="6303" dxfId="3">
      <formula>$H1724="ETAPA"</formula>
    </cfRule>
  </conditionalFormatting>
  <conditionalFormatting sqref="G1725:G1726">
    <cfRule type="expression" priority="5687" dxfId="3">
      <formula>$H1725="ETAPA"</formula>
    </cfRule>
    <cfRule type="expression" priority="5689" dxfId="4">
      <formula>$H1725="SUBETAPA"</formula>
    </cfRule>
    <cfRule type="expression" priority="5690" dxfId="5">
      <formula>$H1725="CÉLULA CONSTRUTIVA"</formula>
    </cfRule>
  </conditionalFormatting>
  <conditionalFormatting sqref="G1727:G1730">
    <cfRule type="expression" priority="6291" dxfId="3">
      <formula>$H1727="ETAPA"</formula>
    </cfRule>
  </conditionalFormatting>
  <conditionalFormatting sqref="G1731">
    <cfRule type="expression" priority="5684" dxfId="3">
      <formula>$H1731="ETAPA"</formula>
    </cfRule>
    <cfRule type="expression" priority="5685" dxfId="5">
      <formula>$H1731="CÉLULA CONSTRUTIVA"</formula>
    </cfRule>
    <cfRule type="expression" priority="5686" dxfId="4">
      <formula>$H1731="SUBETAPA"</formula>
    </cfRule>
    <cfRule type="expression" priority="6284" dxfId="5">
      <formula>$H1731="CÉLULA CONSTRUTIVA"</formula>
    </cfRule>
    <cfRule type="expression" priority="6285" dxfId="3">
      <formula>$H1731="ETAPA"</formula>
    </cfRule>
    <cfRule type="expression" priority="6286" dxfId="4">
      <formula>$H1731="SUBETAPA"</formula>
    </cfRule>
  </conditionalFormatting>
  <conditionalFormatting sqref="G1734">
    <cfRule type="expression" priority="6273" dxfId="3">
      <formula>$H1734="ETAPA"</formula>
    </cfRule>
    <cfRule type="expression" priority="6274" dxfId="4">
      <formula>$H1734="SUBETAPA"</formula>
    </cfRule>
  </conditionalFormatting>
  <conditionalFormatting sqref="G1735">
    <cfRule type="expression" priority="6271" dxfId="3">
      <formula>$H1735="ETAPA"</formula>
    </cfRule>
    <cfRule type="expression" priority="6272" dxfId="4">
      <formula>$H1735="SUBETAPA"</formula>
    </cfRule>
  </conditionalFormatting>
  <conditionalFormatting sqref="G1737:G1738">
    <cfRule type="expression" priority="5673" dxfId="3">
      <formula>$H1737="ETAPA"</formula>
    </cfRule>
    <cfRule type="expression" priority="5675" dxfId="4">
      <formula>$H1737="SUBETAPA"</formula>
    </cfRule>
    <cfRule type="expression" priority="5676" dxfId="5">
      <formula>$H1737="CÉLULA CONSTRUTIVA"</formula>
    </cfRule>
  </conditionalFormatting>
  <conditionalFormatting sqref="G1743">
    <cfRule type="expression" priority="5670" dxfId="3">
      <formula>$H1743="ETAPA"</formula>
    </cfRule>
    <cfRule type="expression" priority="5671" dxfId="5">
      <formula>$H1743="CÉLULA CONSTRUTIVA"</formula>
    </cfRule>
    <cfRule type="expression" priority="5672" dxfId="4">
      <formula>$H1743="SUBETAPA"</formula>
    </cfRule>
    <cfRule type="expression" priority="6261" dxfId="5">
      <formula>$H1743="CÉLULA CONSTRUTIVA"</formula>
    </cfRule>
    <cfRule type="expression" priority="6262" dxfId="3">
      <formula>$H1743="ETAPA"</formula>
    </cfRule>
    <cfRule type="expression" priority="6263" dxfId="4">
      <formula>$H1743="SUBETAPA"</formula>
    </cfRule>
  </conditionalFormatting>
  <conditionalFormatting sqref="G1746">
    <cfRule type="expression" priority="6250" dxfId="3">
      <formula>$H1746="ETAPA"</formula>
    </cfRule>
    <cfRule type="expression" priority="6251" dxfId="4">
      <formula>$H1746="SUBETAPA"</formula>
    </cfRule>
  </conditionalFormatting>
  <conditionalFormatting sqref="G1747">
    <cfRule type="expression" priority="6248" dxfId="3">
      <formula>$H1747="ETAPA"</formula>
    </cfRule>
    <cfRule type="expression" priority="6249" dxfId="4">
      <formula>$H1747="SUBETAPA"</formula>
    </cfRule>
  </conditionalFormatting>
  <conditionalFormatting sqref="G1749:G1750">
    <cfRule type="expression" priority="5659" dxfId="3">
      <formula>$H1749="ETAPA"</formula>
    </cfRule>
    <cfRule type="expression" priority="5661" dxfId="4">
      <formula>$H1749="SUBETAPA"</formula>
    </cfRule>
    <cfRule type="expression" priority="5662" dxfId="5">
      <formula>$H1749="CÉLULA CONSTRUTIVA"</formula>
    </cfRule>
  </conditionalFormatting>
  <conditionalFormatting sqref="G1751:G1754">
    <cfRule type="expression" priority="6245" dxfId="3">
      <formula>$H1751="ETAPA"</formula>
    </cfRule>
  </conditionalFormatting>
  <conditionalFormatting sqref="G1755">
    <cfRule type="expression" priority="5656" dxfId="3">
      <formula>$H1755="ETAPA"</formula>
    </cfRule>
    <cfRule type="expression" priority="5657" dxfId="5">
      <formula>$H1755="CÉLULA CONSTRUTIVA"</formula>
    </cfRule>
    <cfRule type="expression" priority="5658" dxfId="4">
      <formula>$H1755="SUBETAPA"</formula>
    </cfRule>
    <cfRule type="expression" priority="6238" dxfId="5">
      <formula>$H1755="CÉLULA CONSTRUTIVA"</formula>
    </cfRule>
    <cfRule type="expression" priority="6239" dxfId="3">
      <formula>$H1755="ETAPA"</formula>
    </cfRule>
    <cfRule type="expression" priority="6240" dxfId="4">
      <formula>$H1755="SUBETAPA"</formula>
    </cfRule>
  </conditionalFormatting>
  <conditionalFormatting sqref="G1758">
    <cfRule type="expression" priority="6227" dxfId="3">
      <formula>$H1758="ETAPA"</formula>
    </cfRule>
    <cfRule type="expression" priority="6228" dxfId="4">
      <formula>$H1758="SUBETAPA"</formula>
    </cfRule>
  </conditionalFormatting>
  <conditionalFormatting sqref="G1759">
    <cfRule type="expression" priority="6225" dxfId="3">
      <formula>$H1759="ETAPA"</formula>
    </cfRule>
    <cfRule type="expression" priority="6226" dxfId="4">
      <formula>$H1759="SUBETAPA"</formula>
    </cfRule>
  </conditionalFormatting>
  <conditionalFormatting sqref="G1761:G1762">
    <cfRule type="expression" priority="5645" dxfId="3">
      <formula>$H1761="ETAPA"</formula>
    </cfRule>
    <cfRule type="expression" priority="5647" dxfId="4">
      <formula>$H1761="SUBETAPA"</formula>
    </cfRule>
    <cfRule type="expression" priority="5648" dxfId="5">
      <formula>$H1761="CÉLULA CONSTRUTIVA"</formula>
    </cfRule>
  </conditionalFormatting>
  <conditionalFormatting sqref="G1763:G1766">
    <cfRule type="expression" priority="6222" dxfId="3">
      <formula>$H1763="ETAPA"</formula>
    </cfRule>
  </conditionalFormatting>
  <conditionalFormatting sqref="G1767">
    <cfRule type="expression" priority="5646" dxfId="3">
      <formula>$H1767="ETAPA"</formula>
    </cfRule>
    <cfRule type="expression" priority="6219" dxfId="3">
      <formula>$H1767="ETAPA"</formula>
    </cfRule>
    <cfRule type="expression" priority="6220" dxfId="4">
      <formula>$H1767="SUBETAPA"</formula>
    </cfRule>
    <cfRule type="expression" priority="6221" dxfId="4">
      <formula>$H1767="SUBETAPA"</formula>
    </cfRule>
  </conditionalFormatting>
  <conditionalFormatting sqref="G1768:G1770 G1792 G1808 G1817 G1822 G1830 G1835 G1843 G1850 G1859 G1866 N379:N3172">
    <cfRule type="expression" priority="5351" dxfId="4">
      <formula>$H379="SUBETAPA"</formula>
    </cfRule>
    <cfRule type="expression" priority="5352" dxfId="5">
      <formula>$H379="CÉLULA CONSTRUTIVA"</formula>
    </cfRule>
    <cfRule type="expression" priority="6315" dxfId="4">
      <formula>$H379="SUBETAPA"</formula>
    </cfRule>
    <cfRule type="expression" priority="6316" dxfId="5">
      <formula>$H379="CÉLULA CONSTRUTIVA"</formula>
    </cfRule>
  </conditionalFormatting>
  <conditionalFormatting sqref="G1771">
    <cfRule type="expression" priority="5642" dxfId="3">
      <formula>$H1771="ETAPA"</formula>
    </cfRule>
    <cfRule type="expression" priority="5643" dxfId="5">
      <formula>$H1771="CÉLULA CONSTRUTIVA"</formula>
    </cfRule>
    <cfRule type="expression" priority="5644" dxfId="4">
      <formula>$H1771="SUBETAPA"</formula>
    </cfRule>
    <cfRule type="expression" priority="6215" dxfId="5">
      <formula>$H1771="CÉLULA CONSTRUTIVA"</formula>
    </cfRule>
    <cfRule type="expression" priority="6216" dxfId="3">
      <formula>$H1771="ETAPA"</formula>
    </cfRule>
    <cfRule type="expression" priority="6217" dxfId="4">
      <formula>$H1771="SUBETAPA"</formula>
    </cfRule>
  </conditionalFormatting>
  <conditionalFormatting sqref="G1773 G1781:G1782 G1784">
    <cfRule type="expression" priority="5306" dxfId="3">
      <formula>$H1773="ETAPA"</formula>
    </cfRule>
    <cfRule type="expression" priority="6211" dxfId="3">
      <formula>$H1773="ETAPA"</formula>
    </cfRule>
  </conditionalFormatting>
  <conditionalFormatting sqref="G1773 G1784">
    <cfRule type="expression" priority="5290" dxfId="5">
      <formula>$H1773="CÉLULA CONSTRUTIVA"</formula>
    </cfRule>
    <cfRule type="expression" priority="5638" dxfId="4">
      <formula>$H1773="SUBETAPA"</formula>
    </cfRule>
    <cfRule type="expression" priority="6209" dxfId="5">
      <formula>$H1773="CÉLULA CONSTRUTIVA"</formula>
    </cfRule>
    <cfRule type="expression" priority="6210" dxfId="4">
      <formula>$H1773="SUBETAPA"</formula>
    </cfRule>
  </conditionalFormatting>
  <conditionalFormatting sqref="G1779">
    <cfRule type="expression" priority="6204" dxfId="3">
      <formula>$H1779="ETAPA"</formula>
    </cfRule>
    <cfRule type="expression" priority="6205" dxfId="4">
      <formula>$H1779="SUBETAPA"</formula>
    </cfRule>
  </conditionalFormatting>
  <conditionalFormatting sqref="G1780">
    <cfRule type="expression" priority="6202" dxfId="3">
      <formula>$H1780="ETAPA"</formula>
    </cfRule>
    <cfRule type="expression" priority="6203" dxfId="4">
      <formula>$H1780="SUBETAPA"</formula>
    </cfRule>
  </conditionalFormatting>
  <conditionalFormatting sqref="G1781:G1782">
    <cfRule type="expression" priority="5341" dxfId="4">
      <formula>$H1781="SUBETAPA"</formula>
    </cfRule>
    <cfRule type="expression" priority="5342" dxfId="5">
      <formula>$H1781="CÉLULA CONSTRUTIVA"</formula>
    </cfRule>
    <cfRule type="expression" priority="6200" dxfId="4">
      <formula>$H1781="SUBETAPA"</formula>
    </cfRule>
    <cfRule type="expression" priority="6201" dxfId="5">
      <formula>$H1781="CÉLULA CONSTRUTIVA"</formula>
    </cfRule>
  </conditionalFormatting>
  <conditionalFormatting sqref="G1785:G1786 G1797 G1799">
    <cfRule type="expression" priority="5633" dxfId="4">
      <formula>$H1785="SUBETAPA"</formula>
    </cfRule>
    <cfRule type="expression" priority="5634" dxfId="5">
      <formula>$H1785="CÉLULA CONSTRUTIVA"</formula>
    </cfRule>
  </conditionalFormatting>
  <conditionalFormatting sqref="G1785:G1786">
    <cfRule type="expression" priority="5631" dxfId="3">
      <formula>$H1785="ETAPA"</formula>
    </cfRule>
  </conditionalFormatting>
  <conditionalFormatting sqref="G1787:G1790">
    <cfRule type="expression" priority="6199" dxfId="3">
      <formula>$H1787="ETAPA"</formula>
    </cfRule>
  </conditionalFormatting>
  <conditionalFormatting sqref="G1791">
    <cfRule type="expression" priority="5632" dxfId="3">
      <formula>$H1791="ETAPA"</formula>
    </cfRule>
    <cfRule type="expression" priority="6196" dxfId="3">
      <formula>$H1791="ETAPA"</formula>
    </cfRule>
    <cfRule type="expression" priority="6197" dxfId="4">
      <formula>$H1791="SUBETAPA"</formula>
    </cfRule>
    <cfRule type="expression" priority="6198" dxfId="4">
      <formula>$H1791="SUBETAPA"</formula>
    </cfRule>
  </conditionalFormatting>
  <conditionalFormatting sqref="G1793">
    <cfRule type="expression" priority="5628" dxfId="3">
      <formula>$H1793="ETAPA"</formula>
    </cfRule>
    <cfRule type="expression" priority="5629" dxfId="5">
      <formula>$H1793="CÉLULA CONSTRUTIVA"</formula>
    </cfRule>
    <cfRule type="expression" priority="5630" dxfId="4">
      <formula>$H1793="SUBETAPA"</formula>
    </cfRule>
    <cfRule type="expression" priority="6192" dxfId="5">
      <formula>$H1793="CÉLULA CONSTRUTIVA"</formula>
    </cfRule>
    <cfRule type="expression" priority="6193" dxfId="3">
      <formula>$H1793="ETAPA"</formula>
    </cfRule>
    <cfRule type="expression" priority="6194" dxfId="4">
      <formula>$H1793="SUBETAPA"</formula>
    </cfRule>
  </conditionalFormatting>
  <conditionalFormatting sqref="G1795 G1810">
    <cfRule type="expression" priority="5289" dxfId="5">
      <formula>$H1795="CÉLULA CONSTRUTIVA"</formula>
    </cfRule>
    <cfRule type="expression" priority="5305" dxfId="3">
      <formula>$H1795="ETAPA"</formula>
    </cfRule>
    <cfRule type="expression" priority="5624" dxfId="4">
      <formula>$H1795="SUBETAPA"</formula>
    </cfRule>
    <cfRule type="expression" priority="6186" dxfId="5">
      <formula>$H1795="CÉLULA CONSTRUTIVA"</formula>
    </cfRule>
    <cfRule type="expression" priority="6187" dxfId="4">
      <formula>$H1795="SUBETAPA"</formula>
    </cfRule>
    <cfRule type="expression" priority="6188" dxfId="3">
      <formula>$H1795="ETAPA"</formula>
    </cfRule>
  </conditionalFormatting>
  <conditionalFormatting sqref="G1797 G1799">
    <cfRule type="expression" priority="5320" dxfId="3">
      <formula>$H1797="ETAPA"</formula>
    </cfRule>
  </conditionalFormatting>
  <conditionalFormatting sqref="G1797 G1799:G1801">
    <cfRule type="expression" priority="6183" dxfId="3">
      <formula>$H1797="ETAPA"</formula>
    </cfRule>
    <cfRule type="expression" priority="6184" dxfId="4">
      <formula>$H1797="SUBETAPA"</formula>
    </cfRule>
    <cfRule type="expression" priority="6185" dxfId="5">
      <formula>$H1797="CÉLULA CONSTRUTIVA"</formula>
    </cfRule>
  </conditionalFormatting>
  <conditionalFormatting sqref="G1800:G1801 O2192 O2262 O2286">
    <cfRule type="expression" priority="5621" dxfId="4">
      <formula>$H1800="SUBETAPA"</formula>
    </cfRule>
    <cfRule type="expression" priority="5622" dxfId="5">
      <formula>$H1800="CÉLULA CONSTRUTIVA"</formula>
    </cfRule>
    <cfRule type="expression" priority="5623" dxfId="3">
      <formula>$H1800="ETAPA"</formula>
    </cfRule>
  </conditionalFormatting>
  <conditionalFormatting sqref="G1806">
    <cfRule type="expression" priority="6181" dxfId="3">
      <formula>$H1806="ETAPA"</formula>
    </cfRule>
    <cfRule type="expression" priority="6182" dxfId="4">
      <formula>$H1806="SUBETAPA"</formula>
    </cfRule>
  </conditionalFormatting>
  <conditionalFormatting sqref="G1807">
    <cfRule type="expression" priority="6179" dxfId="3">
      <formula>$H1807="ETAPA"</formula>
    </cfRule>
    <cfRule type="expression" priority="6180" dxfId="4">
      <formula>$H1807="SUBETAPA"</formula>
    </cfRule>
  </conditionalFormatting>
  <conditionalFormatting sqref="G1811:G1812">
    <cfRule type="expression" priority="5617" dxfId="3">
      <formula>$H1811="ETAPA"</formula>
    </cfRule>
    <cfRule type="expression" priority="5619" dxfId="4">
      <formula>$H1811="SUBETAPA"</formula>
    </cfRule>
    <cfRule type="expression" priority="5620" dxfId="5">
      <formula>$H1811="CÉLULA CONSTRUTIVA"</formula>
    </cfRule>
  </conditionalFormatting>
  <conditionalFormatting sqref="G1816">
    <cfRule type="expression" priority="5618" dxfId="3">
      <formula>$H1816="ETAPA"</formula>
    </cfRule>
    <cfRule type="expression" priority="6173" dxfId="3">
      <formula>$H1816="ETAPA"</formula>
    </cfRule>
    <cfRule type="expression" priority="6174" dxfId="4">
      <formula>$H1816="SUBETAPA"</formula>
    </cfRule>
    <cfRule type="expression" priority="6175" dxfId="4">
      <formula>$H1816="SUBETAPA"</formula>
    </cfRule>
  </conditionalFormatting>
  <conditionalFormatting sqref="G1821">
    <cfRule type="expression" priority="6158" dxfId="3">
      <formula>$H1821="ETAPA"</formula>
    </cfRule>
    <cfRule type="expression" priority="6159" dxfId="4">
      <formula>$H1821="SUBETAPA"</formula>
    </cfRule>
  </conditionalFormatting>
  <conditionalFormatting sqref="G1823">
    <cfRule type="expression" priority="5287" dxfId="5">
      <formula>$H1823="CÉLULA CONSTRUTIVA"</formula>
    </cfRule>
    <cfRule type="expression" priority="5304" dxfId="3">
      <formula>$H1823="ETAPA"</formula>
    </cfRule>
    <cfRule type="expression" priority="5611" dxfId="4">
      <formula>$H1823="SUBETAPA"</formula>
    </cfRule>
    <cfRule type="expression" priority="6163" dxfId="5">
      <formula>$H1823="CÉLULA CONSTRUTIVA"</formula>
    </cfRule>
    <cfRule type="expression" priority="6164" dxfId="4">
      <formula>$H1823="SUBETAPA"</formula>
    </cfRule>
    <cfRule type="expression" priority="6165" dxfId="3">
      <formula>$H1823="ETAPA"</formula>
    </cfRule>
  </conditionalFormatting>
  <conditionalFormatting sqref="G1824:G1825">
    <cfRule type="expression" priority="5604" dxfId="3">
      <formula>$H1824="ETAPA"</formula>
    </cfRule>
    <cfRule type="expression" priority="5606" dxfId="4">
      <formula>$H1824="SUBETAPA"</formula>
    </cfRule>
    <cfRule type="expression" priority="5607" dxfId="5">
      <formula>$H1824="CÉLULA CONSTRUTIVA"</formula>
    </cfRule>
  </conditionalFormatting>
  <conditionalFormatting sqref="G1829">
    <cfRule type="expression" priority="5605" dxfId="3">
      <formula>$H1829="ETAPA"</formula>
    </cfRule>
    <cfRule type="expression" priority="6150" dxfId="3">
      <formula>$H1829="ETAPA"</formula>
    </cfRule>
    <cfRule type="expression" priority="6151" dxfId="4">
      <formula>$H1829="SUBETAPA"</formula>
    </cfRule>
    <cfRule type="expression" priority="6152" dxfId="4">
      <formula>$H1829="SUBETAPA"</formula>
    </cfRule>
  </conditionalFormatting>
  <conditionalFormatting sqref="G1834">
    <cfRule type="expression" priority="6135" dxfId="3">
      <formula>$H1834="ETAPA"</formula>
    </cfRule>
    <cfRule type="expression" priority="6136" dxfId="4">
      <formula>$H1834="SUBETAPA"</formula>
    </cfRule>
  </conditionalFormatting>
  <conditionalFormatting sqref="G1836">
    <cfRule type="expression" priority="5285" dxfId="5">
      <formula>$H1836="CÉLULA CONSTRUTIVA"</formula>
    </cfRule>
    <cfRule type="expression" priority="5303" dxfId="3">
      <formula>$H1836="ETAPA"</formula>
    </cfRule>
    <cfRule type="expression" priority="5598" dxfId="4">
      <formula>$H1836="SUBETAPA"</formula>
    </cfRule>
    <cfRule type="expression" priority="6140" dxfId="5">
      <formula>$H1836="CÉLULA CONSTRUTIVA"</formula>
    </cfRule>
    <cfRule type="expression" priority="6141" dxfId="4">
      <formula>$H1836="SUBETAPA"</formula>
    </cfRule>
    <cfRule type="expression" priority="6142" dxfId="3">
      <formula>$H1836="ETAPA"</formula>
    </cfRule>
  </conditionalFormatting>
  <conditionalFormatting sqref="G1837:G1838 G1897:G1898 G1912 G1925 G1933 G1938 G1946 G1955 G1971 G1984 G1991 G1998 G2005 G2012 G2023 G2340">
    <cfRule type="expression" priority="5593" dxfId="5">
      <formula>$H1837="CÉLULA CONSTRUTIVA"</formula>
    </cfRule>
    <cfRule type="expression" priority="5594" dxfId="4">
      <formula>$H1837="SUBETAPA"</formula>
    </cfRule>
  </conditionalFormatting>
  <conditionalFormatting sqref="G1837:G1838">
    <cfRule type="expression" priority="5591" dxfId="3">
      <formula>$H1837="ETAPA"</formula>
    </cfRule>
  </conditionalFormatting>
  <conditionalFormatting sqref="G1842">
    <cfRule type="expression" priority="5592" dxfId="3">
      <formula>$H1842="ETAPA"</formula>
    </cfRule>
    <cfRule type="expression" priority="6127" dxfId="3">
      <formula>$H1842="ETAPA"</formula>
    </cfRule>
    <cfRule type="expression" priority="6128" dxfId="4">
      <formula>$H1842="SUBETAPA"</formula>
    </cfRule>
    <cfRule type="expression" priority="6129" dxfId="4">
      <formula>$H1842="SUBETAPA"</formula>
    </cfRule>
  </conditionalFormatting>
  <conditionalFormatting sqref="G1844">
    <cfRule type="expression" priority="5284" dxfId="5">
      <formula>$H1844="CÉLULA CONSTRUTIVA"</formula>
    </cfRule>
    <cfRule type="expression" priority="5589" dxfId="3">
      <formula>$H1844="ETAPA"</formula>
    </cfRule>
    <cfRule type="expression" priority="5590" dxfId="4">
      <formula>$H1844="SUBETAPA"</formula>
    </cfRule>
    <cfRule type="expression" priority="6123" dxfId="5">
      <formula>$H1844="CÉLULA CONSTRUTIVA"</formula>
    </cfRule>
    <cfRule type="expression" priority="6124" dxfId="3">
      <formula>$H1844="ETAPA"</formula>
    </cfRule>
    <cfRule type="expression" priority="6125" dxfId="4">
      <formula>$H1844="SUBETAPA"</formula>
    </cfRule>
  </conditionalFormatting>
  <conditionalFormatting sqref="G1849">
    <cfRule type="expression" priority="6112" dxfId="3">
      <formula>$H1849="ETAPA"</formula>
    </cfRule>
    <cfRule type="expression" priority="6113" dxfId="4">
      <formula>$H1849="SUBETAPA"</formula>
    </cfRule>
  </conditionalFormatting>
  <conditionalFormatting sqref="G1852 G1912:G1913 G1925:G1926 G1933:G1934 G1938:G1939 G1946:G1947 G1955:G1956 G2012:G2013 G2023:G2024">
    <cfRule type="expression" priority="5401" dxfId="3">
      <formula>$H1852="ETAPA"</formula>
    </cfRule>
  </conditionalFormatting>
  <conditionalFormatting sqref="G1852 L2642:L2643 L2652 L2661 L2668 L2676 L2684 L2694 L2702:L2703 L2713:L2714 L2724:L2725 L2735:L2736 L2746:L2747 L2756:L2757">
    <cfRule type="expression" priority="6117" dxfId="5">
      <formula>$H1852="CÉLULA CONSTRUTIVA"</formula>
    </cfRule>
    <cfRule type="expression" priority="6118" dxfId="4">
      <formula>$H1852="SUBETAPA"</formula>
    </cfRule>
    <cfRule type="expression" priority="6119" dxfId="3">
      <formula>$H1852="ETAPA"</formula>
    </cfRule>
  </conditionalFormatting>
  <conditionalFormatting sqref="G1852">
    <cfRule type="expression" priority="5283" dxfId="5">
      <formula>$H1852="CÉLULA CONSTRUTIVA"</formula>
    </cfRule>
    <cfRule type="expression" priority="5585" dxfId="4">
      <formula>$H1852="SUBETAPA"</formula>
    </cfRule>
  </conditionalFormatting>
  <conditionalFormatting sqref="G1853:G1854">
    <cfRule type="expression" priority="5578" dxfId="3">
      <formula>$H1853="ETAPA"</formula>
    </cfRule>
    <cfRule type="expression" priority="5580" dxfId="4">
      <formula>$H1853="SUBETAPA"</formula>
    </cfRule>
    <cfRule type="expression" priority="5581" dxfId="5">
      <formula>$H1853="CÉLULA CONSTRUTIVA"</formula>
    </cfRule>
  </conditionalFormatting>
  <conditionalFormatting sqref="G1858">
    <cfRule type="expression" priority="5579" dxfId="3">
      <formula>$H1858="ETAPA"</formula>
    </cfRule>
    <cfRule type="expression" priority="6104" dxfId="3">
      <formula>$H1858="ETAPA"</formula>
    </cfRule>
    <cfRule type="expression" priority="6105" dxfId="4">
      <formula>$H1858="SUBETAPA"</formula>
    </cfRule>
    <cfRule type="expression" priority="6106" dxfId="4">
      <formula>$H1858="SUBETAPA"</formula>
    </cfRule>
  </conditionalFormatting>
  <conditionalFormatting sqref="G1860">
    <cfRule type="expression" priority="5282" dxfId="5">
      <formula>$H1860="CÉLULA CONSTRUTIVA"</formula>
    </cfRule>
    <cfRule type="expression" priority="5576" dxfId="3">
      <formula>$H1860="ETAPA"</formula>
    </cfRule>
    <cfRule type="expression" priority="5577" dxfId="4">
      <formula>$H1860="SUBETAPA"</formula>
    </cfRule>
    <cfRule type="expression" priority="6100" dxfId="5">
      <formula>$H1860="CÉLULA CONSTRUTIVA"</formula>
    </cfRule>
    <cfRule type="expression" priority="6101" dxfId="3">
      <formula>$H1860="ETAPA"</formula>
    </cfRule>
    <cfRule type="expression" priority="6102" dxfId="4">
      <formula>$H1860="SUBETAPA"</formula>
    </cfRule>
  </conditionalFormatting>
  <conditionalFormatting sqref="G1865">
    <cfRule type="expression" priority="6089" dxfId="3">
      <formula>$H1865="ETAPA"</formula>
    </cfRule>
    <cfRule type="expression" priority="6090" dxfId="4">
      <formula>$H1865="SUBETAPA"</formula>
    </cfRule>
  </conditionalFormatting>
  <conditionalFormatting sqref="G1868">
    <cfRule type="expression" priority="5281" dxfId="5">
      <formula>$H1868="CÉLULA CONSTRUTIVA"</formula>
    </cfRule>
    <cfRule type="expression" priority="5302" dxfId="3">
      <formula>$H1868="ETAPA"</formula>
    </cfRule>
    <cfRule type="expression" priority="5572" dxfId="4">
      <formula>$H1868="SUBETAPA"</formula>
    </cfRule>
    <cfRule type="expression" priority="6094" dxfId="5">
      <formula>$H1868="CÉLULA CONSTRUTIVA"</formula>
    </cfRule>
    <cfRule type="expression" priority="6095" dxfId="4">
      <formula>$H1868="SUBETAPA"</formula>
    </cfRule>
    <cfRule type="expression" priority="6096" dxfId="3">
      <formula>$H1868="ETAPA"</formula>
    </cfRule>
  </conditionalFormatting>
  <conditionalFormatting sqref="G1869:G1870">
    <cfRule type="expression" priority="5565" dxfId="3">
      <formula>$H1869="ETAPA"</formula>
    </cfRule>
    <cfRule type="expression" priority="5567" dxfId="4">
      <formula>$H1869="SUBETAPA"</formula>
    </cfRule>
    <cfRule type="expression" priority="5568" dxfId="5">
      <formula>$H1869="CÉLULA CONSTRUTIVA"</formula>
    </cfRule>
  </conditionalFormatting>
  <conditionalFormatting sqref="G1874">
    <cfRule type="expression" priority="5280" dxfId="5">
      <formula>$H1874="CÉLULA CONSTRUTIVA"</formula>
    </cfRule>
    <cfRule type="expression" priority="5563" dxfId="3">
      <formula>$H1874="ETAPA"</formula>
    </cfRule>
    <cfRule type="expression" priority="5564" dxfId="4">
      <formula>$H1874="SUBETAPA"</formula>
    </cfRule>
    <cfRule type="expression" priority="6077" dxfId="5">
      <formula>$H1874="CÉLULA CONSTRUTIVA"</formula>
    </cfRule>
    <cfRule type="expression" priority="6078" dxfId="3">
      <formula>$H1874="ETAPA"</formula>
    </cfRule>
    <cfRule type="expression" priority="6079" dxfId="4">
      <formula>$H1874="SUBETAPA"</formula>
    </cfRule>
  </conditionalFormatting>
  <conditionalFormatting sqref="G1879">
    <cfRule type="expression" priority="6066" dxfId="3">
      <formula>$H1879="ETAPA"</formula>
    </cfRule>
    <cfRule type="expression" priority="6067" dxfId="4">
      <formula>$H1879="SUBETAPA"</formula>
    </cfRule>
  </conditionalFormatting>
  <conditionalFormatting sqref="G1881">
    <cfRule type="expression" priority="5279" dxfId="5">
      <formula>$H1881="CÉLULA CONSTRUTIVA"</formula>
    </cfRule>
    <cfRule type="expression" priority="5301" dxfId="3">
      <formula>$H1881="ETAPA"</formula>
    </cfRule>
    <cfRule type="expression" priority="5559" dxfId="4">
      <formula>$H1881="SUBETAPA"</formula>
    </cfRule>
    <cfRule type="expression" priority="6071" dxfId="5">
      <formula>$H1881="CÉLULA CONSTRUTIVA"</formula>
    </cfRule>
    <cfRule type="expression" priority="6072" dxfId="4">
      <formula>$H1881="SUBETAPA"</formula>
    </cfRule>
    <cfRule type="expression" priority="6073" dxfId="3">
      <formula>$H1881="ETAPA"</formula>
    </cfRule>
  </conditionalFormatting>
  <conditionalFormatting sqref="G1882:G1883">
    <cfRule type="expression" priority="5552" dxfId="3">
      <formula>$H1882="ETAPA"</formula>
    </cfRule>
    <cfRule type="expression" priority="5554" dxfId="4">
      <formula>$H1882="SUBETAPA"</formula>
    </cfRule>
    <cfRule type="expression" priority="5555" dxfId="5">
      <formula>$H1882="CÉLULA CONSTRUTIVA"</formula>
    </cfRule>
  </conditionalFormatting>
  <conditionalFormatting sqref="G1890">
    <cfRule type="expression" priority="6043" dxfId="3">
      <formula>$H1890="ETAPA"</formula>
    </cfRule>
    <cfRule type="expression" priority="6044" dxfId="4">
      <formula>$H1890="SUBETAPA"</formula>
    </cfRule>
  </conditionalFormatting>
  <conditionalFormatting sqref="G1891 G1896">
    <cfRule type="expression" priority="5277" dxfId="5">
      <formula>$H1891="CÉLULA CONSTRUTIVA"</formula>
    </cfRule>
    <cfRule type="expression" priority="5300" dxfId="3">
      <formula>$H1891="ETAPA"</formula>
    </cfRule>
    <cfRule type="expression" priority="5546" dxfId="4">
      <formula>$H1891="SUBETAPA"</formula>
    </cfRule>
  </conditionalFormatting>
  <conditionalFormatting sqref="G1891">
    <cfRule type="expression" priority="6048" dxfId="5">
      <formula>$H1891="CÉLULA CONSTRUTIVA"</formula>
    </cfRule>
    <cfRule type="expression" priority="6049" dxfId="4">
      <formula>$H1891="SUBETAPA"</formula>
    </cfRule>
    <cfRule type="expression" priority="6050" dxfId="3">
      <formula>$H1891="ETAPA"</formula>
    </cfRule>
  </conditionalFormatting>
  <conditionalFormatting sqref="G1896">
    <cfRule type="expression" priority="6025" dxfId="5">
      <formula>$H1896="CÉLULA CONSTRUTIVA"</formula>
    </cfRule>
    <cfRule type="expression" priority="6026" dxfId="4">
      <formula>$H1896="SUBETAPA"</formula>
    </cfRule>
    <cfRule type="expression" priority="6027" dxfId="3">
      <formula>$H1896="ETAPA"</formula>
    </cfRule>
  </conditionalFormatting>
  <conditionalFormatting sqref="G1899">
    <cfRule type="expression" priority="5529" dxfId="5">
      <formula>$H1899="CÉLULA CONSTRUTIVA"</formula>
    </cfRule>
    <cfRule type="expression" priority="5530" dxfId="4">
      <formula>$H1899="SUBETAPA"</formula>
    </cfRule>
  </conditionalFormatting>
  <conditionalFormatting sqref="G1908">
    <cfRule type="expression" priority="5528" dxfId="3">
      <formula>$H1908="ETAPA"</formula>
    </cfRule>
  </conditionalFormatting>
  <conditionalFormatting sqref="G1908:G1909">
    <cfRule type="expression" priority="5526" dxfId="4">
      <formula>$H1908="SUBETAPA"</formula>
    </cfRule>
    <cfRule type="expression" priority="5527" dxfId="5">
      <formula>$H1908="CÉLULA CONSTRUTIVA"</formula>
    </cfRule>
  </conditionalFormatting>
  <conditionalFormatting sqref="G1910">
    <cfRule type="expression" priority="5523" dxfId="5">
      <formula>$H1910="CÉLULA CONSTRUTIVA"</formula>
    </cfRule>
    <cfRule type="expression" priority="5524" dxfId="3">
      <formula>$H1910="ETAPA"</formula>
    </cfRule>
    <cfRule type="expression" priority="5525" dxfId="4">
      <formula>$H1910="SUBETAPA"</formula>
    </cfRule>
  </conditionalFormatting>
  <conditionalFormatting sqref="G1913">
    <cfRule type="expression" priority="5521" dxfId="5">
      <formula>$H1913="CÉLULA CONSTRUTIVA"</formula>
    </cfRule>
    <cfRule type="expression" priority="5522" dxfId="4">
      <formula>$H1913="SUBETAPA"</formula>
    </cfRule>
  </conditionalFormatting>
  <conditionalFormatting sqref="G1923">
    <cfRule type="expression" priority="5515" dxfId="5">
      <formula>$H1923="CÉLULA CONSTRUTIVA"</formula>
    </cfRule>
    <cfRule type="expression" priority="5516" dxfId="3">
      <formula>$H1923="ETAPA"</formula>
    </cfRule>
    <cfRule type="expression" priority="5517" dxfId="4">
      <formula>$H1923="SUBETAPA"</formula>
    </cfRule>
  </conditionalFormatting>
  <conditionalFormatting sqref="G1926">
    <cfRule type="expression" priority="5513" dxfId="5">
      <formula>$H1926="CÉLULA CONSTRUTIVA"</formula>
    </cfRule>
    <cfRule type="expression" priority="5514" dxfId="4">
      <formula>$H1926="SUBETAPA"</formula>
    </cfRule>
  </conditionalFormatting>
  <conditionalFormatting sqref="G1931">
    <cfRule type="expression" priority="5507" dxfId="5">
      <formula>$H1931="CÉLULA CONSTRUTIVA"</formula>
    </cfRule>
    <cfRule type="expression" priority="5508" dxfId="3">
      <formula>$H1931="ETAPA"</formula>
    </cfRule>
    <cfRule type="expression" priority="5509" dxfId="4">
      <formula>$H1931="SUBETAPA"</formula>
    </cfRule>
  </conditionalFormatting>
  <conditionalFormatting sqref="G1934">
    <cfRule type="expression" priority="5505" dxfId="5">
      <formula>$H1934="CÉLULA CONSTRUTIVA"</formula>
    </cfRule>
    <cfRule type="expression" priority="5506" dxfId="4">
      <formula>$H1934="SUBETAPA"</formula>
    </cfRule>
  </conditionalFormatting>
  <conditionalFormatting sqref="G1936">
    <cfRule type="expression" priority="5499" dxfId="5">
      <formula>$H1936="CÉLULA CONSTRUTIVA"</formula>
    </cfRule>
    <cfRule type="expression" priority="5500" dxfId="3">
      <formula>$H1936="ETAPA"</formula>
    </cfRule>
    <cfRule type="expression" priority="5501" dxfId="4">
      <formula>$H1936="SUBETAPA"</formula>
    </cfRule>
  </conditionalFormatting>
  <conditionalFormatting sqref="G1939">
    <cfRule type="expression" priority="5497" dxfId="5">
      <formula>$H1939="CÉLULA CONSTRUTIVA"</formula>
    </cfRule>
    <cfRule type="expression" priority="5498" dxfId="4">
      <formula>$H1939="SUBETAPA"</formula>
    </cfRule>
  </conditionalFormatting>
  <conditionalFormatting sqref="G1944">
    <cfRule type="expression" priority="5491" dxfId="5">
      <formula>$H1944="CÉLULA CONSTRUTIVA"</formula>
    </cfRule>
    <cfRule type="expression" priority="5492" dxfId="3">
      <formula>$H1944="ETAPA"</formula>
    </cfRule>
    <cfRule type="expression" priority="5493" dxfId="4">
      <formula>$H1944="SUBETAPA"</formula>
    </cfRule>
  </conditionalFormatting>
  <conditionalFormatting sqref="G1947">
    <cfRule type="expression" priority="5489" dxfId="5">
      <formula>$H1947="CÉLULA CONSTRUTIVA"</formula>
    </cfRule>
    <cfRule type="expression" priority="5490" dxfId="4">
      <formula>$H1947="SUBETAPA"</formula>
    </cfRule>
  </conditionalFormatting>
  <conditionalFormatting sqref="G1953">
    <cfRule type="expression" priority="5483" dxfId="5">
      <formula>$H1953="CÉLULA CONSTRUTIVA"</formula>
    </cfRule>
    <cfRule type="expression" priority="5484" dxfId="3">
      <formula>$H1953="ETAPA"</formula>
    </cfRule>
    <cfRule type="expression" priority="5485" dxfId="4">
      <formula>$H1953="SUBETAPA"</formula>
    </cfRule>
  </conditionalFormatting>
  <conditionalFormatting sqref="G1956">
    <cfRule type="expression" priority="5481" dxfId="5">
      <formula>$H1956="CÉLULA CONSTRUTIVA"</formula>
    </cfRule>
    <cfRule type="expression" priority="5482" dxfId="4">
      <formula>$H1956="SUBETAPA"</formula>
    </cfRule>
  </conditionalFormatting>
  <conditionalFormatting sqref="G1969">
    <cfRule type="expression" priority="5475" dxfId="5">
      <formula>$H1969="CÉLULA CONSTRUTIVA"</formula>
    </cfRule>
    <cfRule type="expression" priority="5476" dxfId="3">
      <formula>$H1969="ETAPA"</formula>
    </cfRule>
    <cfRule type="expression" priority="5477" dxfId="4">
      <formula>$H1969="SUBETAPA"</formula>
    </cfRule>
  </conditionalFormatting>
  <conditionalFormatting sqref="G2013">
    <cfRule type="expression" priority="5433" dxfId="5">
      <formula>$H2013="CÉLULA CONSTRUTIVA"</formula>
    </cfRule>
    <cfRule type="expression" priority="5434" dxfId="4">
      <formula>$H2013="SUBETAPA"</formula>
    </cfRule>
  </conditionalFormatting>
  <conditionalFormatting sqref="G2021">
    <cfRule type="expression" priority="5427" dxfId="5">
      <formula>$H2021="CÉLULA CONSTRUTIVA"</formula>
    </cfRule>
    <cfRule type="expression" priority="5428" dxfId="3">
      <formula>$H2021="ETAPA"</formula>
    </cfRule>
    <cfRule type="expression" priority="5429" dxfId="4">
      <formula>$H2021="SUBETAPA"</formula>
    </cfRule>
  </conditionalFormatting>
  <conditionalFormatting sqref="G2024">
    <cfRule type="expression" priority="5425" dxfId="5">
      <formula>$H2024="CÉLULA CONSTRUTIVA"</formula>
    </cfRule>
    <cfRule type="expression" priority="5426" dxfId="4">
      <formula>$H2024="SUBETAPA"</formula>
    </cfRule>
  </conditionalFormatting>
  <conditionalFormatting sqref="G2029">
    <cfRule type="expression" priority="5419" dxfId="5">
      <formula>$H2029="CÉLULA CONSTRUTIVA"</formula>
    </cfRule>
    <cfRule type="expression" priority="5420" dxfId="3">
      <formula>$H2029="ETAPA"</formula>
    </cfRule>
    <cfRule type="expression" priority="5421" dxfId="4">
      <formula>$H2029="SUBETAPA"</formula>
    </cfRule>
  </conditionalFormatting>
  <conditionalFormatting sqref="G1673:G1679 G1694:G1699 G1710:G1715 G1725:G1730 G1749:G1754 G1761:G1766 G1785:G1790 G2031">
    <cfRule type="expression" priority="5729" dxfId="4">
      <formula>$H1673="SUBETAPA"</formula>
    </cfRule>
  </conditionalFormatting>
  <conditionalFormatting sqref="G2032:G2340 H2642:H2643 H2652 H2661 H2668 H2675:H2676 H2683:H2684 H2693:H2694 H2701:H2703 H2712:H2714 H2723:H2725 H2734:H2736 H2745:H2747 H2756:H2757 J2642:K2643 J2652:K2652 J2661:K2661 J2668:K2668 J2675:K2676 J2683:K2684 J2693:K2694 J2701:K2703 J2712:K2714 J2723:K2725 J2734:K2736 J2745:K2747 J2756:K2757 K20:L20 M1899:M1907 M1913:M1919 M1921:M1922 M1926:M1930 M1934:M1935 M1939:M1943 M1947:M1952 M1956:M1961 M1963:M1968 M1972:M1983 M1985:M1990 M1992:M1997 M1999:M2004 M2006:M2011 M2013:M2020 M2024:M2028 M2349:M2353 M2371:M2377 M2398:M2402 M2421:M2425 M2444:M2448 M2468:M2472 M2494:M2500 M2519:M2524 M2539:M2542 M2555:M2558 M2571:M2574 M2587:M2590 M2603:M2606 M2619:M2621 O1902:O1907 O1914 O1921:O1922 O1927:O1930 O1935 O1940:O1943 O1948:O1952 O1957:O1961 O1963:O1968 O1972:O1983 O1990 O1997 O2004 O2011 O2014 O2020 O2025:O2028">
    <cfRule type="expression" priority="5730" dxfId="5">
      <formula>$H20="CÉLULA CONSTRUTIVA"</formula>
    </cfRule>
    <cfRule type="expression" priority="6344" dxfId="3">
      <formula>$H20="ETAPA"</formula>
    </cfRule>
  </conditionalFormatting>
  <conditionalFormatting sqref="G2035">
    <cfRule type="expression" priority="5275" dxfId="5">
      <formula>$H2035="CÉLULA CONSTRUTIVA"</formula>
    </cfRule>
  </conditionalFormatting>
  <conditionalFormatting sqref="G2032:G2033 G2041">
    <cfRule type="expression" priority="5410" dxfId="3">
      <formula>$H2032="ETAPA"</formula>
    </cfRule>
  </conditionalFormatting>
  <conditionalFormatting sqref="G2047">
    <cfRule type="expression" priority="5298" dxfId="3">
      <formula>$H2047="ETAPA"</formula>
    </cfRule>
    <cfRule type="expression" priority="6015" dxfId="4">
      <formula>$H2047="SUBETAPA"</formula>
    </cfRule>
  </conditionalFormatting>
  <conditionalFormatting sqref="G2035 G2052">
    <cfRule type="expression" priority="5405" dxfId="4">
      <formula>$H2035="SUBETAPA"</formula>
    </cfRule>
  </conditionalFormatting>
  <conditionalFormatting sqref="G2035 G2052 G2061:G2062">
    <cfRule type="expression" priority="5299" dxfId="3">
      <formula>$H2035="ETAPA"</formula>
    </cfRule>
  </conditionalFormatting>
  <conditionalFormatting sqref="G2052">
    <cfRule type="expression" priority="5274" dxfId="5">
      <formula>$H2052="CÉLULA CONSTRUTIVA"</formula>
    </cfRule>
  </conditionalFormatting>
  <conditionalFormatting sqref="G2036 G2054:G2055">
    <cfRule type="expression" priority="5402" dxfId="3">
      <formula>$H2036="ETAPA"</formula>
    </cfRule>
  </conditionalFormatting>
  <conditionalFormatting sqref="G2032:G2033 G2036 G2041 G2054:G2055">
    <cfRule type="expression" priority="5403" dxfId="4">
      <formula>$H2032="SUBETAPA"</formula>
    </cfRule>
    <cfRule type="expression" priority="5404" dxfId="5">
      <formula>$H2032="CÉLULA CONSTRUTIVA"</formula>
    </cfRule>
  </conditionalFormatting>
  <conditionalFormatting sqref="G2061:G2062">
    <cfRule type="expression" priority="5408" dxfId="4">
      <formula>$H2061="SUBETAPA"</formula>
    </cfRule>
    <cfRule type="expression" priority="5409" dxfId="5">
      <formula>$H2061="CÉLULA CONSTRUTIVA"</formula>
    </cfRule>
  </conditionalFormatting>
  <conditionalFormatting sqref="G2063:G2064">
    <cfRule type="expression" priority="5398" dxfId="4">
      <formula>$H2063="SUBETAPA"</formula>
    </cfRule>
    <cfRule type="expression" priority="5399" dxfId="5">
      <formula>$H2063="CÉLULA CONSTRUTIVA"</formula>
    </cfRule>
    <cfRule type="expression" priority="5400" dxfId="3">
      <formula>$H2063="ETAPA"</formula>
    </cfRule>
  </conditionalFormatting>
  <conditionalFormatting sqref="G2066">
    <cfRule type="expression" priority="6010" dxfId="5">
      <formula>$H2066="CÉLULA CONSTRUTIVA"</formula>
    </cfRule>
  </conditionalFormatting>
  <conditionalFormatting sqref="G2072">
    <cfRule type="expression" priority="6005" dxfId="3">
      <formula>$H2072="ETAPA"</formula>
    </cfRule>
  </conditionalFormatting>
  <conditionalFormatting sqref="G2066 G2074">
    <cfRule type="expression" priority="6000" dxfId="4">
      <formula>$H2066="SUBETAPA"</formula>
    </cfRule>
  </conditionalFormatting>
  <conditionalFormatting sqref="G2066 G2074 G2082:G2083">
    <cfRule type="expression" priority="5999" dxfId="3">
      <formula>$H2066="ETAPA"</formula>
    </cfRule>
  </conditionalFormatting>
  <conditionalFormatting sqref="G2074">
    <cfRule type="expression" priority="5998" dxfId="5">
      <formula>$H2074="CÉLULA CONSTRUTIVA"</formula>
    </cfRule>
  </conditionalFormatting>
  <conditionalFormatting sqref="G2072 G2076:G2077">
    <cfRule type="expression" priority="5995" dxfId="4">
      <formula>$H2072="SUBETAPA"</formula>
    </cfRule>
    <cfRule type="expression" priority="5996" dxfId="5">
      <formula>$H2072="CÉLULA CONSTRUTIVA"</formula>
    </cfRule>
  </conditionalFormatting>
  <conditionalFormatting sqref="G2076:G2077">
    <cfRule type="expression" priority="5997" dxfId="3">
      <formula>$H2076="ETAPA"</formula>
    </cfRule>
  </conditionalFormatting>
  <conditionalFormatting sqref="G2082:G2083">
    <cfRule type="expression" priority="6003" dxfId="4">
      <formula>$H2082="SUBETAPA"</formula>
    </cfRule>
    <cfRule type="expression" priority="6004" dxfId="5">
      <formula>$H2082="CÉLULA CONSTRUTIVA"</formula>
    </cfRule>
  </conditionalFormatting>
  <conditionalFormatting sqref="G2084:G2085">
    <cfRule type="expression" priority="5395" dxfId="4">
      <formula>$H2084="SUBETAPA"</formula>
    </cfRule>
    <cfRule type="expression" priority="5396" dxfId="5">
      <formula>$H2084="CÉLULA CONSTRUTIVA"</formula>
    </cfRule>
    <cfRule type="expression" priority="5397" dxfId="3">
      <formula>$H2084="ETAPA"</formula>
    </cfRule>
  </conditionalFormatting>
  <conditionalFormatting sqref="G2087">
    <cfRule type="expression" priority="5990" dxfId="5">
      <formula>$H2087="CÉLULA CONSTRUTIVA"</formula>
    </cfRule>
  </conditionalFormatting>
  <conditionalFormatting sqref="G2092">
    <cfRule type="expression" priority="5985" dxfId="3">
      <formula>$H2092="ETAPA"</formula>
    </cfRule>
  </conditionalFormatting>
  <conditionalFormatting sqref="G2087 G2094">
    <cfRule type="expression" priority="5979" dxfId="3">
      <formula>$H2087="ETAPA"</formula>
    </cfRule>
    <cfRule type="expression" priority="5980" dxfId="4">
      <formula>$H2087="SUBETAPA"</formula>
    </cfRule>
  </conditionalFormatting>
  <conditionalFormatting sqref="G2094">
    <cfRule type="expression" priority="5978" dxfId="5">
      <formula>$H2094="CÉLULA CONSTRUTIVA"</formula>
    </cfRule>
  </conditionalFormatting>
  <conditionalFormatting sqref="G2092 G2095:G2096">
    <cfRule type="expression" priority="5975" dxfId="4">
      <formula>$H2092="SUBETAPA"</formula>
    </cfRule>
    <cfRule type="expression" priority="5976" dxfId="5">
      <formula>$H2092="CÉLULA CONSTRUTIVA"</formula>
    </cfRule>
  </conditionalFormatting>
  <conditionalFormatting sqref="G2095:G2096">
    <cfRule type="expression" priority="5977" dxfId="3">
      <formula>$H2095="ETAPA"</formula>
    </cfRule>
  </conditionalFormatting>
  <conditionalFormatting sqref="G2101:G2102">
    <cfRule type="expression" priority="5392" dxfId="4">
      <formula>$H2101="SUBETAPA"</formula>
    </cfRule>
    <cfRule type="expression" priority="5393" dxfId="5">
      <formula>$H2101="CÉLULA CONSTRUTIVA"</formula>
    </cfRule>
    <cfRule type="expression" priority="5394" dxfId="3">
      <formula>$H2101="ETAPA"</formula>
    </cfRule>
  </conditionalFormatting>
  <conditionalFormatting sqref="G2104">
    <cfRule type="expression" priority="5970" dxfId="5">
      <formula>$H2104="CÉLULA CONSTRUTIVA"</formula>
    </cfRule>
  </conditionalFormatting>
  <conditionalFormatting sqref="G2104 G2110">
    <cfRule type="expression" priority="5959" dxfId="3">
      <formula>$H2104="ETAPA"</formula>
    </cfRule>
    <cfRule type="expression" priority="5960" dxfId="4">
      <formula>$H2104="SUBETAPA"</formula>
    </cfRule>
  </conditionalFormatting>
  <conditionalFormatting sqref="G2110">
    <cfRule type="expression" priority="5958" dxfId="5">
      <formula>$H2110="CÉLULA CONSTRUTIVA"</formula>
    </cfRule>
  </conditionalFormatting>
  <conditionalFormatting sqref="G2111:G2112">
    <cfRule type="expression" priority="5955" dxfId="4">
      <formula>$H2111="SUBETAPA"</formula>
    </cfRule>
    <cfRule type="expression" priority="5956" dxfId="5">
      <formula>$H2111="CÉLULA CONSTRUTIVA"</formula>
    </cfRule>
    <cfRule type="expression" priority="5957" dxfId="3">
      <formula>$H2111="ETAPA"</formula>
    </cfRule>
  </conditionalFormatting>
  <conditionalFormatting sqref="G2117:G2118">
    <cfRule type="expression" priority="5389" dxfId="4">
      <formula>$H2117="SUBETAPA"</formula>
    </cfRule>
    <cfRule type="expression" priority="5390" dxfId="5">
      <formula>$H2117="CÉLULA CONSTRUTIVA"</formula>
    </cfRule>
    <cfRule type="expression" priority="5391" dxfId="3">
      <formula>$H2117="ETAPA"</formula>
    </cfRule>
  </conditionalFormatting>
  <conditionalFormatting sqref="G2120">
    <cfRule type="expression" priority="5950" dxfId="5">
      <formula>$H2120="CÉLULA CONSTRUTIVA"</formula>
    </cfRule>
  </conditionalFormatting>
  <conditionalFormatting sqref="G2125">
    <cfRule type="expression" priority="5945" dxfId="3">
      <formula>$H2125="ETAPA"</formula>
    </cfRule>
  </conditionalFormatting>
  <conditionalFormatting sqref="G2120 G2127">
    <cfRule type="expression" priority="5939" dxfId="3">
      <formula>$H2120="ETAPA"</formula>
    </cfRule>
    <cfRule type="expression" priority="5940" dxfId="4">
      <formula>$H2120="SUBETAPA"</formula>
    </cfRule>
  </conditionalFormatting>
  <conditionalFormatting sqref="G2127">
    <cfRule type="expression" priority="5938" dxfId="5">
      <formula>$H2127="CÉLULA CONSTRUTIVA"</formula>
    </cfRule>
  </conditionalFormatting>
  <conditionalFormatting sqref="G2125 G2128:G2129">
    <cfRule type="expression" priority="5935" dxfId="4">
      <formula>$H2125="SUBETAPA"</formula>
    </cfRule>
    <cfRule type="expression" priority="5936" dxfId="5">
      <formula>$H2125="CÉLULA CONSTRUTIVA"</formula>
    </cfRule>
  </conditionalFormatting>
  <conditionalFormatting sqref="G2128:G2129">
    <cfRule type="expression" priority="5937" dxfId="3">
      <formula>$H2128="ETAPA"</formula>
    </cfRule>
  </conditionalFormatting>
  <conditionalFormatting sqref="G2134:G2135">
    <cfRule type="expression" priority="5386" dxfId="4">
      <formula>$H2134="SUBETAPA"</formula>
    </cfRule>
    <cfRule type="expression" priority="5387" dxfId="5">
      <formula>$H2134="CÉLULA CONSTRUTIVA"</formula>
    </cfRule>
    <cfRule type="expression" priority="5388" dxfId="3">
      <formula>$H2134="ETAPA"</formula>
    </cfRule>
  </conditionalFormatting>
  <conditionalFormatting sqref="G2137">
    <cfRule type="expression" priority="5930" dxfId="5">
      <formula>$H2137="CÉLULA CONSTRUTIVA"</formula>
    </cfRule>
  </conditionalFormatting>
  <conditionalFormatting sqref="G2143">
    <cfRule type="expression" priority="5925" dxfId="3">
      <formula>$H2143="ETAPA"</formula>
    </cfRule>
  </conditionalFormatting>
  <conditionalFormatting sqref="G2137 G2145">
    <cfRule type="expression" priority="5919" dxfId="3">
      <formula>$H2137="ETAPA"</formula>
    </cfRule>
    <cfRule type="expression" priority="5920" dxfId="4">
      <formula>$H2137="SUBETAPA"</formula>
    </cfRule>
  </conditionalFormatting>
  <conditionalFormatting sqref="G2145">
    <cfRule type="expression" priority="5918" dxfId="5">
      <formula>$H2145="CÉLULA CONSTRUTIVA"</formula>
    </cfRule>
  </conditionalFormatting>
  <conditionalFormatting sqref="G2143 G2146:G2147">
    <cfRule type="expression" priority="5915" dxfId="4">
      <formula>$H2143="SUBETAPA"</formula>
    </cfRule>
    <cfRule type="expression" priority="5916" dxfId="5">
      <formula>$H2143="CÉLULA CONSTRUTIVA"</formula>
    </cfRule>
  </conditionalFormatting>
  <conditionalFormatting sqref="G2146:G2147">
    <cfRule type="expression" priority="5917" dxfId="3">
      <formula>$H2146="ETAPA"</formula>
    </cfRule>
  </conditionalFormatting>
  <conditionalFormatting sqref="G2152:G2153">
    <cfRule type="expression" priority="5383" dxfId="4">
      <formula>$H2152="SUBETAPA"</formula>
    </cfRule>
    <cfRule type="expression" priority="5384" dxfId="5">
      <formula>$H2152="CÉLULA CONSTRUTIVA"</formula>
    </cfRule>
    <cfRule type="expression" priority="5385" dxfId="3">
      <formula>$H2152="ETAPA"</formula>
    </cfRule>
  </conditionalFormatting>
  <conditionalFormatting sqref="G2155">
    <cfRule type="expression" priority="5910" dxfId="5">
      <formula>$H2155="CÉLULA CONSTRUTIVA"</formula>
    </cfRule>
  </conditionalFormatting>
  <conditionalFormatting sqref="G2160 G2165">
    <cfRule type="expression" priority="5905" dxfId="3">
      <formula>$H2160="ETAPA"</formula>
    </cfRule>
  </conditionalFormatting>
  <conditionalFormatting sqref="G2165">
    <cfRule type="expression" priority="5908" dxfId="4">
      <formula>$H2165="SUBETAPA"</formula>
    </cfRule>
    <cfRule type="expression" priority="5909" dxfId="5">
      <formula>$H2165="CÉLULA CONSTRUTIVA"</formula>
    </cfRule>
  </conditionalFormatting>
  <conditionalFormatting sqref="G2166">
    <cfRule type="expression" priority="5906" dxfId="4">
      <formula>$H2166="SUBETAPA"</formula>
    </cfRule>
    <cfRule type="expression" priority="5907" dxfId="3">
      <formula>$H2166="ETAPA"</formula>
    </cfRule>
  </conditionalFormatting>
  <conditionalFormatting sqref="G2155 G2169">
    <cfRule type="expression" priority="5900" dxfId="4">
      <formula>$H2155="SUBETAPA"</formula>
    </cfRule>
  </conditionalFormatting>
  <conditionalFormatting sqref="G2155 G2169 G2178:G2179">
    <cfRule type="expression" priority="5899" dxfId="3">
      <formula>$H2155="ETAPA"</formula>
    </cfRule>
  </conditionalFormatting>
  <conditionalFormatting sqref="G2169">
    <cfRule type="expression" priority="5898" dxfId="5">
      <formula>$H2169="CÉLULA CONSTRUTIVA"</formula>
    </cfRule>
  </conditionalFormatting>
  <conditionalFormatting sqref="G2160 G2171 G2173">
    <cfRule type="expression" priority="5895" dxfId="4">
      <formula>$H2160="SUBETAPA"</formula>
    </cfRule>
    <cfRule type="expression" priority="5896" dxfId="5">
      <formula>$H2160="CÉLULA CONSTRUTIVA"</formula>
    </cfRule>
  </conditionalFormatting>
  <conditionalFormatting sqref="G2171 G2173">
    <cfRule type="expression" priority="5897" dxfId="3">
      <formula>$H2171="ETAPA"</formula>
    </cfRule>
  </conditionalFormatting>
  <conditionalFormatting sqref="G2178:G2179">
    <cfRule type="expression" priority="5903" dxfId="4">
      <formula>$H2178="SUBETAPA"</formula>
    </cfRule>
    <cfRule type="expression" priority="5904" dxfId="5">
      <formula>$H2178="CÉLULA CONSTRUTIVA"</formula>
    </cfRule>
  </conditionalFormatting>
  <conditionalFormatting sqref="G2181:G2182">
    <cfRule type="expression" priority="5380" dxfId="4">
      <formula>$H2181="SUBETAPA"</formula>
    </cfRule>
    <cfRule type="expression" priority="5381" dxfId="5">
      <formula>$H2181="CÉLULA CONSTRUTIVA"</formula>
    </cfRule>
    <cfRule type="expression" priority="5382" dxfId="3">
      <formula>$H2181="ETAPA"</formula>
    </cfRule>
  </conditionalFormatting>
  <conditionalFormatting sqref="G2190">
    <cfRule type="expression" priority="5886" dxfId="4">
      <formula>$H2190="SUBETAPA"</formula>
    </cfRule>
    <cfRule type="expression" priority="5887" dxfId="3">
      <formula>$H2190="ETAPA"</formula>
    </cfRule>
  </conditionalFormatting>
  <conditionalFormatting sqref="G2187 G2191 G2196">
    <cfRule type="expression" priority="5885" dxfId="3">
      <formula>$H2187="ETAPA"</formula>
    </cfRule>
  </conditionalFormatting>
  <conditionalFormatting sqref="G2191 G2208:G2209">
    <cfRule type="expression" priority="5883" dxfId="4">
      <formula>$H2191="SUBETAPA"</formula>
    </cfRule>
    <cfRule type="expression" priority="5884" dxfId="5">
      <formula>$H2191="CÉLULA CONSTRUTIVA"</formula>
    </cfRule>
  </conditionalFormatting>
  <conditionalFormatting sqref="G2196">
    <cfRule type="expression" priority="5881" dxfId="4">
      <formula>$H2196="SUBETAPA"</formula>
    </cfRule>
    <cfRule type="expression" priority="5882" dxfId="5">
      <formula>$H2196="CÉLULA CONSTRUTIVA"</formula>
    </cfRule>
  </conditionalFormatting>
  <conditionalFormatting sqref="G2201 G2208:G2209">
    <cfRule type="expression" priority="5879" dxfId="3">
      <formula>$H2201="ETAPA"</formula>
    </cfRule>
  </conditionalFormatting>
  <conditionalFormatting sqref="G2201">
    <cfRule type="expression" priority="5878" dxfId="5">
      <formula>$H2201="CÉLULA CONSTRUTIVA"</formula>
    </cfRule>
    <cfRule type="expression" priority="5880" dxfId="4">
      <formula>$H2201="SUBETAPA"</formula>
    </cfRule>
  </conditionalFormatting>
  <conditionalFormatting sqref="G2187 G2203:G2204">
    <cfRule type="expression" priority="5875" dxfId="4">
      <formula>$H2187="SUBETAPA"</formula>
    </cfRule>
    <cfRule type="expression" priority="5876" dxfId="5">
      <formula>$H2187="CÉLULA CONSTRUTIVA"</formula>
    </cfRule>
  </conditionalFormatting>
  <conditionalFormatting sqref="G2203:G2204">
    <cfRule type="expression" priority="5877" dxfId="3">
      <formula>$H2203="ETAPA"</formula>
    </cfRule>
  </conditionalFormatting>
  <conditionalFormatting sqref="G2210:G2211">
    <cfRule type="expression" priority="5377" dxfId="4">
      <formula>$H2210="SUBETAPA"</formula>
    </cfRule>
    <cfRule type="expression" priority="5378" dxfId="5">
      <formula>$H2210="CÉLULA CONSTRUTIVA"</formula>
    </cfRule>
    <cfRule type="expression" priority="5379" dxfId="3">
      <formula>$H2210="ETAPA"</formula>
    </cfRule>
  </conditionalFormatting>
  <conditionalFormatting sqref="G2218">
    <cfRule type="expression" priority="5865" dxfId="3">
      <formula>$H2218="ETAPA"</formula>
    </cfRule>
  </conditionalFormatting>
  <conditionalFormatting sqref="G2219">
    <cfRule type="expression" priority="5866" dxfId="4">
      <formula>$H2219="SUBETAPA"</formula>
    </cfRule>
    <cfRule type="expression" priority="5867" dxfId="3">
      <formula>$H2219="ETAPA"</formula>
    </cfRule>
  </conditionalFormatting>
  <conditionalFormatting sqref="G2222 G2228:G2229">
    <cfRule type="expression" priority="5859" dxfId="3">
      <formula>$H2222="ETAPA"</formula>
    </cfRule>
  </conditionalFormatting>
  <conditionalFormatting sqref="G2222">
    <cfRule type="expression" priority="5858" dxfId="5">
      <formula>$H2222="CÉLULA CONSTRUTIVA"</formula>
    </cfRule>
    <cfRule type="expression" priority="5860" dxfId="4">
      <formula>$H2222="SUBETAPA"</formula>
    </cfRule>
  </conditionalFormatting>
  <conditionalFormatting sqref="G2218 G2224:G2225">
    <cfRule type="expression" priority="5855" dxfId="4">
      <formula>$H2218="SUBETAPA"</formula>
    </cfRule>
    <cfRule type="expression" priority="5856" dxfId="5">
      <formula>$H2218="CÉLULA CONSTRUTIVA"</formula>
    </cfRule>
  </conditionalFormatting>
  <conditionalFormatting sqref="G2224:G2225">
    <cfRule type="expression" priority="5857" dxfId="3">
      <formula>$H2224="ETAPA"</formula>
    </cfRule>
  </conditionalFormatting>
  <conditionalFormatting sqref="G2228:G2229">
    <cfRule type="expression" priority="5863" dxfId="4">
      <formula>$H2228="SUBETAPA"</formula>
    </cfRule>
    <cfRule type="expression" priority="5864" dxfId="5">
      <formula>$H2228="CÉLULA CONSTRUTIVA"</formula>
    </cfRule>
  </conditionalFormatting>
  <conditionalFormatting sqref="G2230:G2231">
    <cfRule type="expression" priority="5374" dxfId="4">
      <formula>$H2230="SUBETAPA"</formula>
    </cfRule>
    <cfRule type="expression" priority="5375" dxfId="5">
      <formula>$H2230="CÉLULA CONSTRUTIVA"</formula>
    </cfRule>
    <cfRule type="expression" priority="5376" dxfId="3">
      <formula>$H2230="ETAPA"</formula>
    </cfRule>
  </conditionalFormatting>
  <conditionalFormatting sqref="G2238">
    <cfRule type="expression" priority="5845" dxfId="3">
      <formula>$H2238="ETAPA"</formula>
    </cfRule>
  </conditionalFormatting>
  <conditionalFormatting sqref="G2239">
    <cfRule type="expression" priority="5846" dxfId="4">
      <formula>$H2239="SUBETAPA"</formula>
    </cfRule>
    <cfRule type="expression" priority="5847" dxfId="3">
      <formula>$H2239="ETAPA"</formula>
    </cfRule>
  </conditionalFormatting>
  <conditionalFormatting sqref="G2242 G2248:G2249">
    <cfRule type="expression" priority="5839" dxfId="3">
      <formula>$H2242="ETAPA"</formula>
    </cfRule>
  </conditionalFormatting>
  <conditionalFormatting sqref="G2242">
    <cfRule type="expression" priority="5838" dxfId="5">
      <formula>$H2242="CÉLULA CONSTRUTIVA"</formula>
    </cfRule>
    <cfRule type="expression" priority="5840" dxfId="4">
      <formula>$H2242="SUBETAPA"</formula>
    </cfRule>
  </conditionalFormatting>
  <conditionalFormatting sqref="G2238 G2244:G2245">
    <cfRule type="expression" priority="5835" dxfId="4">
      <formula>$H2238="SUBETAPA"</formula>
    </cfRule>
    <cfRule type="expression" priority="5836" dxfId="5">
      <formula>$H2238="CÉLULA CONSTRUTIVA"</formula>
    </cfRule>
  </conditionalFormatting>
  <conditionalFormatting sqref="G2244:G2245">
    <cfRule type="expression" priority="5837" dxfId="3">
      <formula>$H2244="ETAPA"</formula>
    </cfRule>
  </conditionalFormatting>
  <conditionalFormatting sqref="G2248:G2249">
    <cfRule type="expression" priority="5843" dxfId="4">
      <formula>$H2248="SUBETAPA"</formula>
    </cfRule>
    <cfRule type="expression" priority="5844" dxfId="5">
      <formula>$H2248="CÉLULA CONSTRUTIVA"</formula>
    </cfRule>
  </conditionalFormatting>
  <conditionalFormatting sqref="G2250:G2251">
    <cfRule type="expression" priority="5371" dxfId="4">
      <formula>$H2250="SUBETAPA"</formula>
    </cfRule>
    <cfRule type="expression" priority="5372" dxfId="5">
      <formula>$H2250="CÉLULA CONSTRUTIVA"</formula>
    </cfRule>
    <cfRule type="expression" priority="5373" dxfId="3">
      <formula>$H2250="ETAPA"</formula>
    </cfRule>
  </conditionalFormatting>
  <conditionalFormatting sqref="G2258">
    <cfRule type="expression" priority="5825" dxfId="3">
      <formula>$H2258="ETAPA"</formula>
    </cfRule>
  </conditionalFormatting>
  <conditionalFormatting sqref="G2261">
    <cfRule type="expression" priority="5826" dxfId="4">
      <formula>$H2261="SUBETAPA"</formula>
    </cfRule>
    <cfRule type="expression" priority="5827" dxfId="3">
      <formula>$H2261="ETAPA"</formula>
    </cfRule>
  </conditionalFormatting>
  <conditionalFormatting sqref="G2264 G2271:G2272">
    <cfRule type="expression" priority="5819" dxfId="3">
      <formula>$H2264="ETAPA"</formula>
    </cfRule>
  </conditionalFormatting>
  <conditionalFormatting sqref="G2264">
    <cfRule type="expression" priority="5818" dxfId="5">
      <formula>$H2264="CÉLULA CONSTRUTIVA"</formula>
    </cfRule>
    <cfRule type="expression" priority="5820" dxfId="4">
      <formula>$H2264="SUBETAPA"</formula>
    </cfRule>
  </conditionalFormatting>
  <conditionalFormatting sqref="G2258 G2266:G2267">
    <cfRule type="expression" priority="5815" dxfId="4">
      <formula>$H2258="SUBETAPA"</formula>
    </cfRule>
    <cfRule type="expression" priority="5816" dxfId="5">
      <formula>$H2258="CÉLULA CONSTRUTIVA"</formula>
    </cfRule>
  </conditionalFormatting>
  <conditionalFormatting sqref="G2266:G2267">
    <cfRule type="expression" priority="5817" dxfId="3">
      <formula>$H2266="ETAPA"</formula>
    </cfRule>
  </conditionalFormatting>
  <conditionalFormatting sqref="G2271:G2272">
    <cfRule type="expression" priority="5823" dxfId="4">
      <formula>$H2271="SUBETAPA"</formula>
    </cfRule>
    <cfRule type="expression" priority="5824" dxfId="5">
      <formula>$H2271="CÉLULA CONSTRUTIVA"</formula>
    </cfRule>
  </conditionalFormatting>
  <conditionalFormatting sqref="G2273:G2274">
    <cfRule type="expression" priority="5368" dxfId="4">
      <formula>$H2273="SUBETAPA"</formula>
    </cfRule>
    <cfRule type="expression" priority="5369" dxfId="5">
      <formula>$H2273="CÉLULA CONSTRUTIVA"</formula>
    </cfRule>
    <cfRule type="expression" priority="5370" dxfId="3">
      <formula>$H2273="ETAPA"</formula>
    </cfRule>
  </conditionalFormatting>
  <conditionalFormatting sqref="G2281">
    <cfRule type="expression" priority="5805" dxfId="3">
      <formula>$H2281="ETAPA"</formula>
    </cfRule>
  </conditionalFormatting>
  <conditionalFormatting sqref="G2285">
    <cfRule type="expression" priority="5806" dxfId="4">
      <formula>$H2285="SUBETAPA"</formula>
    </cfRule>
    <cfRule type="expression" priority="5807" dxfId="3">
      <formula>$H2285="ETAPA"</formula>
    </cfRule>
  </conditionalFormatting>
  <conditionalFormatting sqref="G2288 G2295:G2296">
    <cfRule type="expression" priority="5799" dxfId="3">
      <formula>$H2288="ETAPA"</formula>
    </cfRule>
  </conditionalFormatting>
  <conditionalFormatting sqref="G2288">
    <cfRule type="expression" priority="5798" dxfId="5">
      <formula>$H2288="CÉLULA CONSTRUTIVA"</formula>
    </cfRule>
    <cfRule type="expression" priority="5800" dxfId="4">
      <formula>$H2288="SUBETAPA"</formula>
    </cfRule>
  </conditionalFormatting>
  <conditionalFormatting sqref="G2281 G2290:G2291">
    <cfRule type="expression" priority="5795" dxfId="4">
      <formula>$H2281="SUBETAPA"</formula>
    </cfRule>
    <cfRule type="expression" priority="5796" dxfId="5">
      <formula>$H2281="CÉLULA CONSTRUTIVA"</formula>
    </cfRule>
  </conditionalFormatting>
  <conditionalFormatting sqref="G2290:G2291">
    <cfRule type="expression" priority="5797" dxfId="3">
      <formula>$H2290="ETAPA"</formula>
    </cfRule>
  </conditionalFormatting>
  <conditionalFormatting sqref="G2295:G2296">
    <cfRule type="expression" priority="5803" dxfId="4">
      <formula>$H2295="SUBETAPA"</formula>
    </cfRule>
    <cfRule type="expression" priority="5804" dxfId="5">
      <formula>$H2295="CÉLULA CONSTRUTIVA"</formula>
    </cfRule>
  </conditionalFormatting>
  <conditionalFormatting sqref="G2297:G2298">
    <cfRule type="expression" priority="5365" dxfId="4">
      <formula>$H2297="SUBETAPA"</formula>
    </cfRule>
    <cfRule type="expression" priority="5366" dxfId="5">
      <formula>$H2297="CÉLULA CONSTRUTIVA"</formula>
    </cfRule>
    <cfRule type="expression" priority="5367" dxfId="3">
      <formula>$H2297="ETAPA"</formula>
    </cfRule>
  </conditionalFormatting>
  <conditionalFormatting sqref="G2306">
    <cfRule type="expression" priority="5785" dxfId="3">
      <formula>$H2306="ETAPA"</formula>
    </cfRule>
  </conditionalFormatting>
  <conditionalFormatting sqref="G2311 G2319:G2320">
    <cfRule type="expression" priority="5779" dxfId="3">
      <formula>$H2311="ETAPA"</formula>
    </cfRule>
  </conditionalFormatting>
  <conditionalFormatting sqref="G2311">
    <cfRule type="expression" priority="5778" dxfId="5">
      <formula>$H2311="CÉLULA CONSTRUTIVA"</formula>
    </cfRule>
    <cfRule type="expression" priority="5780" dxfId="4">
      <formula>$H2311="SUBETAPA"</formula>
    </cfRule>
  </conditionalFormatting>
  <conditionalFormatting sqref="G2306 G2313">
    <cfRule type="expression" priority="5775" dxfId="4">
      <formula>$H2306="SUBETAPA"</formula>
    </cfRule>
    <cfRule type="expression" priority="5776" dxfId="5">
      <formula>$H2306="CÉLULA CONSTRUTIVA"</formula>
    </cfRule>
  </conditionalFormatting>
  <conditionalFormatting sqref="G2313">
    <cfRule type="expression" priority="5777" dxfId="3">
      <formula>$H2313="ETAPA"</formula>
    </cfRule>
  </conditionalFormatting>
  <conditionalFormatting sqref="G2319:G2320">
    <cfRule type="expression" priority="5783" dxfId="4">
      <formula>$H2319="SUBETAPA"</formula>
    </cfRule>
    <cfRule type="expression" priority="5784" dxfId="5">
      <formula>$H2319="CÉLULA CONSTRUTIVA"</formula>
    </cfRule>
  </conditionalFormatting>
  <conditionalFormatting sqref="G2321:G2322">
    <cfRule type="expression" priority="5362" dxfId="4">
      <formula>$H2321="SUBETAPA"</formula>
    </cfRule>
    <cfRule type="expression" priority="5363" dxfId="5">
      <formula>$H2321="CÉLULA CONSTRUTIVA"</formula>
    </cfRule>
    <cfRule type="expression" priority="5364" dxfId="3">
      <formula>$H2321="ETAPA"</formula>
    </cfRule>
  </conditionalFormatting>
  <conditionalFormatting sqref="G2328 G2333:G2334">
    <cfRule type="expression" priority="5759" dxfId="3">
      <formula>$H2328="ETAPA"</formula>
    </cfRule>
  </conditionalFormatting>
  <conditionalFormatting sqref="G2328">
    <cfRule type="expression" priority="5758" dxfId="5">
      <formula>$H2328="CÉLULA CONSTRUTIVA"</formula>
    </cfRule>
    <cfRule type="expression" priority="5760" dxfId="4">
      <formula>$H2328="SUBETAPA"</formula>
    </cfRule>
  </conditionalFormatting>
  <conditionalFormatting sqref="G2330">
    <cfRule type="expression" priority="5755" dxfId="4">
      <formula>$H2330="SUBETAPA"</formula>
    </cfRule>
    <cfRule type="expression" priority="5756" dxfId="5">
      <formula>$H2330="CÉLULA CONSTRUTIVA"</formula>
    </cfRule>
    <cfRule type="expression" priority="5757" dxfId="3">
      <formula>$H2330="ETAPA"</formula>
    </cfRule>
  </conditionalFormatting>
  <conditionalFormatting sqref="G2333:G2334">
    <cfRule type="expression" priority="5763" dxfId="4">
      <formula>$H2333="SUBETAPA"</formula>
    </cfRule>
    <cfRule type="expression" priority="5764" dxfId="5">
      <formula>$H2333="CÉLULA CONSTRUTIVA"</formula>
    </cfRule>
  </conditionalFormatting>
  <conditionalFormatting sqref="G2335:G2336">
    <cfRule type="expression" priority="5359" dxfId="4">
      <formula>$H2335="SUBETAPA"</formula>
    </cfRule>
    <cfRule type="expression" priority="5360" dxfId="5">
      <formula>$H2335="CÉLULA CONSTRUTIVA"</formula>
    </cfRule>
    <cfRule type="expression" priority="5361" dxfId="3">
      <formula>$H2335="ETAPA"</formula>
    </cfRule>
  </conditionalFormatting>
  <conditionalFormatting sqref="G2338">
    <cfRule type="expression" priority="5735" dxfId="4">
      <formula>$H2338="SUBETAPA"</formula>
    </cfRule>
    <cfRule type="expression" priority="5736" dxfId="5">
      <formula>$H2338="CÉLULA CONSTRUTIVA"</formula>
    </cfRule>
    <cfRule type="expression" priority="5737" dxfId="3">
      <formula>$H2338="ETAPA"</formula>
    </cfRule>
  </conditionalFormatting>
  <conditionalFormatting sqref="G2340">
    <cfRule type="expression" priority="5357" dxfId="3">
      <formula>$H2340="ETAPA"</formula>
    </cfRule>
    <cfRule type="expression" priority="6345" dxfId="4">
      <formula>$H2340="SUBETAPA"</formula>
    </cfRule>
  </conditionalFormatting>
  <conditionalFormatting sqref="G2382">
    <cfRule type="expression" priority="62133" dxfId="3">
      <formula>$H2382="ETAPA"</formula>
    </cfRule>
  </conditionalFormatting>
  <conditionalFormatting sqref="G2407">
    <cfRule type="expression" priority="62372" dxfId="3">
      <formula>$H2407="ETAPA"</formula>
    </cfRule>
  </conditionalFormatting>
  <conditionalFormatting sqref="G2430">
    <cfRule type="expression" priority="62611" dxfId="3">
      <formula>$H2430="ETAPA"</formula>
    </cfRule>
  </conditionalFormatting>
  <conditionalFormatting sqref="G2453">
    <cfRule type="expression" priority="62850" dxfId="3">
      <formula>$H2453="ETAPA"</formula>
    </cfRule>
  </conditionalFormatting>
  <conditionalFormatting sqref="G2477">
    <cfRule type="expression" priority="63089" dxfId="3">
      <formula>$H2477="ETAPA"</formula>
    </cfRule>
  </conditionalFormatting>
  <conditionalFormatting sqref="G2504:G2506">
    <cfRule type="expression" priority="63328" dxfId="3">
      <formula>$H2504="ETAPA"</formula>
    </cfRule>
  </conditionalFormatting>
  <conditionalFormatting sqref="G2526">
    <cfRule type="expression" priority="6740" dxfId="5">
      <formula>$H2526="CÉLULA CONSTRUTIVA"</formula>
    </cfRule>
  </conditionalFormatting>
  <conditionalFormatting sqref="G2544">
    <cfRule type="expression" priority="6676" dxfId="5">
      <formula>$H2544="CÉLULA CONSTRUTIVA"</formula>
    </cfRule>
  </conditionalFormatting>
  <conditionalFormatting sqref="G2560">
    <cfRule type="expression" priority="6618" dxfId="5">
      <formula>$H2560="CÉLULA CONSTRUTIVA"</formula>
    </cfRule>
  </conditionalFormatting>
  <conditionalFormatting sqref="G2576">
    <cfRule type="expression" priority="6560" dxfId="5">
      <formula>$H2576="CÉLULA CONSTRUTIVA"</formula>
    </cfRule>
  </conditionalFormatting>
  <conditionalFormatting sqref="G2592">
    <cfRule type="expression" priority="6502" dxfId="5">
      <formula>$H2592="CÉLULA CONSTRUTIVA"</formula>
    </cfRule>
  </conditionalFormatting>
  <conditionalFormatting sqref="G2608">
    <cfRule type="expression" priority="6444" dxfId="5">
      <formula>$H2608="CÉLULA CONSTRUTIVA"</formula>
    </cfRule>
  </conditionalFormatting>
  <conditionalFormatting sqref="G2623">
    <cfRule type="expression" priority="6386" dxfId="5">
      <formula>$H2623="CÉLULA CONSTRUTIVA"</formula>
    </cfRule>
  </conditionalFormatting>
  <conditionalFormatting sqref="G1431:H1431 J1431:M1431">
    <cfRule type="expression" priority="4780" dxfId="4">
      <formula>$H1431="SUBETAPA"</formula>
    </cfRule>
  </conditionalFormatting>
  <conditionalFormatting sqref="G1440:H1441 J1440:L1441 L1443:L1446">
    <cfRule type="expression" priority="92317" dxfId="4">
      <formula>$H1440="SUBETAPA"</formula>
    </cfRule>
    <cfRule type="expression" priority="92318" dxfId="5">
      <formula>$H1440="CÉLULA CONSTRUTIVA"</formula>
    </cfRule>
  </conditionalFormatting>
  <conditionalFormatting sqref="G1440:H1442 H1444 H1446 J1441:L1442 J1444:K1444 J1445 J1446:K1446 O1444 O1446">
    <cfRule type="expression" priority="92315" dxfId="3">
      <formula>$H1440="ETAPA"</formula>
    </cfRule>
  </conditionalFormatting>
  <conditionalFormatting sqref="G1253:G1364 G1388:G1392 G1395:G1399 G1442:H1442 H1160:K1161 H1165:K1166 H1170:K1171 H1175:K1176 H1180:K1181 H1185:K1186 H1192:K1193 H1199:K1200 H1206:K1207 H1213:K1214 H1220:K1221 H1225:K1226 H1232:K1233 H1237:K1238 H1444 H1446 J1442:K1442 J1444:K1444 J1445 J1446:K1446 O1444 O1446">
    <cfRule type="expression" priority="92314" dxfId="4">
      <formula>$H1160="SUBETAPA"</formula>
    </cfRule>
  </conditionalFormatting>
  <conditionalFormatting sqref="G946:G958 G961:G973 G976:G988 G991:G1003 G1006:G1018 G1021:G1033 G1036:G1048 G1051:G1063 G1066:G1078 G1081:G1093 G1096:G1108 G1111:G1123 G1126:G1138 G1245:M1245 G1246:G1249 G1351:G1360 G1368:H1368 G1388:H1388 G1389:G1392 G1395:H1395 G1396:G1399 G1402:H1402 G1407:H1407 G1412:H1412 G1417:H1417 G1442:H1442 G3063:J3063 G3089:J3089 G3110:J3110 G3133:J3133 H812:M813 H823:M824 H832:M833 H841:M842 H850:M851 H859:M860 H868:M869 H877:M878 H886:M887 H895:M896 H906:M907 H917:M918 H926:M927 H935:M936 H1160:K1161 H1165:K1166 H1170:K1171 H1175:K1176 H1180:K1181 H1185:K1186 H1192:K1193 H1199:K1200 H1206:K1207 H1213:K1214 H1220:K1221 H1225:K1226 H1232:K1233 H1237:K1238 H1246:M1247 H1248:J1248 H2037 H2050:M2050 H2069 H2089 H2106 H2122 H2139 H2157 H2167:M2167 H2184 H2188:H2189 H2197:H2198 H2199:M2199 H2213:H2215 H2233:H2235 H2253:H2255 H2276:H2278 H2301:H2303 H2324 H2384:H2386 I2300:J2300 J1442:K1442 J2034 J2037:L2037 J2043 J2065 J2069:L2069 J2086 J2089:L2089 J2103 J2106:L2106 J2119 J2122:L2122 J2136 J2139:L2139 J2154 J2157:L2157 J2183 J2184:L2184 J2188:L2189 J2197:L2198 J2212 J2213:L2215 J2232 J2233:L2235 J2252 J2253:L2255 J2259 J2275 J2276:L2278 J2282 J2299 J2301:L2303 J2307 J2323 J2324:L2324 J2337 J2385:M2386 J2755:K2755 K1248:K1249 L1248:M1248 L2043 L2259 L2282 L2299:L2300 L2307 L2362:M2362 L2389:M2389 L2413:M2413 L2436:M2436 L2459:M2459 L2483:M2483 L3059 L3063:M3063 L3068:L3069 L3079:L3080 L3086 L3089:M3089 L3092:L3093 L3107 L3110:M3110 L3113:L3114 L3122 L3130 L3133:M3133 L3137:L3138 L3145 M610:M613 O810:O811 O821:O822 O830:O831 O839:O840 O848:O849 O857:O858 O866:O867 O875:O876 O884:O885 O893:O894 O904:O905 O915:O916 O924:O925 O933:O934 O1247:O1248 O2068:O2069 O2188:O2189 O2197:O2199 O2362 O2385:O2386 O2389 O2413 O2436 O2459 O2483 O3063 O3089 O3110 O3133">
    <cfRule type="expression" priority="92313" dxfId="5">
      <formula>$H610="CÉLULA CONSTRUTIVA"</formula>
    </cfRule>
  </conditionalFormatting>
  <conditionalFormatting sqref="G1480:H1481">
    <cfRule type="expression" priority="94953" dxfId="4">
      <formula>$H1480="SUBETAPA"</formula>
    </cfRule>
    <cfRule type="expression" priority="94954" dxfId="5">
      <formula>$H1480="CÉLULA CONSTRUTIVA"</formula>
    </cfRule>
  </conditionalFormatting>
  <conditionalFormatting sqref="G1511:H1512">
    <cfRule type="expression" priority="88341" dxfId="4">
      <formula>$H1511="SUBETAPA"</formula>
    </cfRule>
    <cfRule type="expression" priority="88342" dxfId="5">
      <formula>$H1511="CÉLULA CONSTRUTIVA"</formula>
    </cfRule>
  </conditionalFormatting>
  <conditionalFormatting sqref="G1533:H1534 J1533:L1534 L1535:L1538">
    <cfRule type="expression" priority="89000" dxfId="4">
      <formula>$H1533="SUBETAPA"</formula>
    </cfRule>
    <cfRule type="expression" priority="89001" dxfId="5">
      <formula>$H1533="CÉLULA CONSTRUTIVA"</formula>
    </cfRule>
  </conditionalFormatting>
  <conditionalFormatting sqref="G1555:H1556 J1555:L1556 L1557:L1560">
    <cfRule type="expression" priority="89659" dxfId="4">
      <formula>$H1555="SUBETAPA"</formula>
    </cfRule>
    <cfRule type="expression" priority="89660" dxfId="5">
      <formula>$H1555="CÉLULA CONSTRUTIVA"</formula>
    </cfRule>
  </conditionalFormatting>
  <conditionalFormatting sqref="G1593:H1594 J1593:L1594 L1595:L1598">
    <cfRule type="expression" priority="90977" dxfId="4">
      <formula>$H1593="SUBETAPA"</formula>
    </cfRule>
    <cfRule type="expression" priority="90978" dxfId="5">
      <formula>$H1593="CÉLULA CONSTRUTIVA"</formula>
    </cfRule>
  </conditionalFormatting>
  <conditionalFormatting sqref="G1614:H1615 J1614:L1615 L1616:L1619">
    <cfRule type="expression" priority="91637" dxfId="4">
      <formula>$H1614="SUBETAPA"</formula>
    </cfRule>
    <cfRule type="expression" priority="91638" dxfId="5">
      <formula>$H1614="CÉLULA CONSTRUTIVA"</formula>
    </cfRule>
  </conditionalFormatting>
  <conditionalFormatting sqref="G1638:H1639 J1638:L1639 L1640:L1643">
    <cfRule type="expression" priority="96271" dxfId="4">
      <formula>$H1638="SUBETAPA"</formula>
    </cfRule>
    <cfRule type="expression" priority="96272" dxfId="5">
      <formula>$H1638="CÉLULA CONSTRUTIVA"</formula>
    </cfRule>
  </conditionalFormatting>
  <conditionalFormatting sqref="G1656:H1657 J1656:L1657">
    <cfRule type="expression" priority="96930" dxfId="4">
      <formula>$H1656="SUBETAPA"</formula>
    </cfRule>
    <cfRule type="expression" priority="96931" dxfId="5">
      <formula>$H1656="CÉLULA CONSTRUTIVA"</formula>
    </cfRule>
  </conditionalFormatting>
  <conditionalFormatting sqref="G2342:H2342 J2342:M2342">
    <cfRule type="expression" priority="61983" dxfId="5">
      <formula>$H2342="CÉLULA CONSTRUTIVA"</formula>
    </cfRule>
    <cfRule type="expression" priority="61984" dxfId="4">
      <formula>$H2342="SUBETAPA"</formula>
    </cfRule>
  </conditionalFormatting>
  <conditionalFormatting sqref="G2348:H2348 G2354:H2355">
    <cfRule type="expression" priority="61968" dxfId="3">
      <formula>$H2348="ETAPA"</formula>
    </cfRule>
  </conditionalFormatting>
  <conditionalFormatting sqref="G2360:H2361 J2360:M2361">
    <cfRule type="expression" priority="62187" dxfId="3">
      <formula>$H2360="ETAPA"</formula>
    </cfRule>
  </conditionalFormatting>
  <conditionalFormatting sqref="G2361:H2361 J2361:M2361">
    <cfRule type="expression" priority="62193" dxfId="5">
      <formula>$H2361="CÉLULA CONSTRUTIVA"</formula>
    </cfRule>
    <cfRule type="expression" priority="62194" dxfId="4">
      <formula>$H2361="SUBETAPA"</formula>
    </cfRule>
  </conditionalFormatting>
  <conditionalFormatting sqref="G2363:H2363 J2363:M2363">
    <cfRule type="expression" priority="62222" dxfId="5">
      <formula>$H2363="CÉLULA CONSTRUTIVA"</formula>
    </cfRule>
    <cfRule type="expression" priority="62223" dxfId="4">
      <formula>$H2363="SUBETAPA"</formula>
    </cfRule>
  </conditionalFormatting>
  <conditionalFormatting sqref="G2382:H2382 J2382:K2382 M2382 O2382">
    <cfRule type="expression" priority="62126" dxfId="5">
      <formula>$H2382="CÉLULA CONSTRUTIVA"</formula>
    </cfRule>
  </conditionalFormatting>
  <conditionalFormatting sqref="G2387:H2388 J2387:M2388">
    <cfRule type="expression" priority="62426" dxfId="3">
      <formula>$H2387="ETAPA"</formula>
    </cfRule>
  </conditionalFormatting>
  <conditionalFormatting sqref="G2388:H2388 J2388:M2388">
    <cfRule type="expression" priority="62432" dxfId="5">
      <formula>$H2388="CÉLULA CONSTRUTIVA"</formula>
    </cfRule>
    <cfRule type="expression" priority="62433" dxfId="4">
      <formula>$H2388="SUBETAPA"</formula>
    </cfRule>
  </conditionalFormatting>
  <conditionalFormatting sqref="G2390:H2390 J2390:M2390">
    <cfRule type="expression" priority="62461" dxfId="5">
      <formula>$H2390="CÉLULA CONSTRUTIVA"</formula>
    </cfRule>
    <cfRule type="expression" priority="62462" dxfId="4">
      <formula>$H2390="SUBETAPA"</formula>
    </cfRule>
  </conditionalFormatting>
  <conditionalFormatting sqref="G2407:H2407 J2407:K2407 M2407 O2407">
    <cfRule type="expression" priority="62365" dxfId="5">
      <formula>$H2407="CÉLULA CONSTRUTIVA"</formula>
    </cfRule>
  </conditionalFormatting>
  <conditionalFormatting sqref="G2411:H2412 J2411:M2412">
    <cfRule type="expression" priority="62665" dxfId="3">
      <formula>$H2411="ETAPA"</formula>
    </cfRule>
  </conditionalFormatting>
  <conditionalFormatting sqref="G2412:H2412 J2412:M2412">
    <cfRule type="expression" priority="62671" dxfId="5">
      <formula>$H2412="CÉLULA CONSTRUTIVA"</formula>
    </cfRule>
    <cfRule type="expression" priority="62672" dxfId="4">
      <formula>$H2412="SUBETAPA"</formula>
    </cfRule>
  </conditionalFormatting>
  <conditionalFormatting sqref="G2414:H2414 J2414:M2414">
    <cfRule type="expression" priority="62700" dxfId="5">
      <formula>$H2414="CÉLULA CONSTRUTIVA"</formula>
    </cfRule>
    <cfRule type="expression" priority="62701" dxfId="4">
      <formula>$H2414="SUBETAPA"</formula>
    </cfRule>
  </conditionalFormatting>
  <conditionalFormatting sqref="G2430:H2430 J2430:K2430 M2430 O2430">
    <cfRule type="expression" priority="62604" dxfId="5">
      <formula>$H2430="CÉLULA CONSTRUTIVA"</formula>
    </cfRule>
  </conditionalFormatting>
  <conditionalFormatting sqref="G2434:H2435 J2434:M2435">
    <cfRule type="expression" priority="62904" dxfId="3">
      <formula>$H2434="ETAPA"</formula>
    </cfRule>
  </conditionalFormatting>
  <conditionalFormatting sqref="G2435:H2435 J2435:M2435">
    <cfRule type="expression" priority="62910" dxfId="5">
      <formula>$H2435="CÉLULA CONSTRUTIVA"</formula>
    </cfRule>
    <cfRule type="expression" priority="62911" dxfId="4">
      <formula>$H2435="SUBETAPA"</formula>
    </cfRule>
  </conditionalFormatting>
  <conditionalFormatting sqref="G2437:H2437 J2437:M2437">
    <cfRule type="expression" priority="62939" dxfId="5">
      <formula>$H2437="CÉLULA CONSTRUTIVA"</formula>
    </cfRule>
    <cfRule type="expression" priority="62940" dxfId="4">
      <formula>$H2437="SUBETAPA"</formula>
    </cfRule>
  </conditionalFormatting>
  <conditionalFormatting sqref="G2453:H2453 J2453:K2453 M2453 O2453">
    <cfRule type="expression" priority="62843" dxfId="5">
      <formula>$H2453="CÉLULA CONSTRUTIVA"</formula>
    </cfRule>
  </conditionalFormatting>
  <conditionalFormatting sqref="G2457:H2458 J2457:M2458">
    <cfRule type="expression" priority="63143" dxfId="3">
      <formula>$H2457="ETAPA"</formula>
    </cfRule>
  </conditionalFormatting>
  <conditionalFormatting sqref="G2458:H2458 J2458:M2458">
    <cfRule type="expression" priority="63149" dxfId="5">
      <formula>$H2458="CÉLULA CONSTRUTIVA"</formula>
    </cfRule>
    <cfRule type="expression" priority="63150" dxfId="4">
      <formula>$H2458="SUBETAPA"</formula>
    </cfRule>
  </conditionalFormatting>
  <conditionalFormatting sqref="G2460:H2460 J2460:M2460">
    <cfRule type="expression" priority="63178" dxfId="5">
      <formula>$H2460="CÉLULA CONSTRUTIVA"</formula>
    </cfRule>
    <cfRule type="expression" priority="63179" dxfId="4">
      <formula>$H2460="SUBETAPA"</formula>
    </cfRule>
  </conditionalFormatting>
  <conditionalFormatting sqref="G2477:H2477 J2477:K2477 M2477 O2477">
    <cfRule type="expression" priority="63082" dxfId="5">
      <formula>$H2477="CÉLULA CONSTRUTIVA"</formula>
    </cfRule>
  </conditionalFormatting>
  <conditionalFormatting sqref="G2481:H2482 J2481:M2482">
    <cfRule type="expression" priority="63382" dxfId="3">
      <formula>$H2481="ETAPA"</formula>
    </cfRule>
  </conditionalFormatting>
  <conditionalFormatting sqref="G2482:H2482 J2482:M2482">
    <cfRule type="expression" priority="63388" dxfId="5">
      <formula>$H2482="CÉLULA CONSTRUTIVA"</formula>
    </cfRule>
    <cfRule type="expression" priority="63389" dxfId="4">
      <formula>$H2482="SUBETAPA"</formula>
    </cfRule>
  </conditionalFormatting>
  <conditionalFormatting sqref="G2484:H2484 J2484:M2484">
    <cfRule type="expression" priority="63418" dxfId="4">
      <formula>$H2484="SUBETAPA"</formula>
    </cfRule>
  </conditionalFormatting>
  <conditionalFormatting sqref="G2484:H2484 J2484:M2484 O2499:O2500">
    <cfRule type="expression" priority="63417" dxfId="5">
      <formula>$H2484="CÉLULA CONSTRUTIVA"</formula>
    </cfRule>
  </conditionalFormatting>
  <conditionalFormatting sqref="G2506:H2506 J2506:K2506 M2506 O2506">
    <cfRule type="expression" priority="63321" dxfId="5">
      <formula>$H2506="CÉLULA CONSTRUTIVA"</formula>
    </cfRule>
  </conditionalFormatting>
  <conditionalFormatting sqref="G2511:H2511 J2511:M2511">
    <cfRule type="expression" priority="63656" dxfId="5">
      <formula>$H2511="CÉLULA CONSTRUTIVA"</formula>
    </cfRule>
    <cfRule type="expression" priority="63657" dxfId="4">
      <formula>$H2511="SUBETAPA"</formula>
    </cfRule>
  </conditionalFormatting>
  <conditionalFormatting sqref="G2518:H2518 G2525:H2526 J2527:K2528">
    <cfRule type="expression" priority="63641" dxfId="3">
      <formula>$H2518="ETAPA"</formula>
    </cfRule>
  </conditionalFormatting>
  <conditionalFormatting sqref="G2533:H2533 J2533:M2533">
    <cfRule type="expression" priority="63895" dxfId="5">
      <formula>$H2533="CÉLULA CONSTRUTIVA"</formula>
    </cfRule>
    <cfRule type="expression" priority="63896" dxfId="4">
      <formula>$H2533="SUBETAPA"</formula>
    </cfRule>
  </conditionalFormatting>
  <conditionalFormatting sqref="G2538:H2538 G2543:H2544">
    <cfRule type="expression" priority="63880" dxfId="3">
      <formula>$H2538="ETAPA"</formula>
    </cfRule>
  </conditionalFormatting>
  <conditionalFormatting sqref="G2549:H2549 J2549:M2549">
    <cfRule type="expression" priority="64134" dxfId="5">
      <formula>$H2549="CÉLULA CONSTRUTIVA"</formula>
    </cfRule>
    <cfRule type="expression" priority="64135" dxfId="4">
      <formula>$H2549="SUBETAPA"</formula>
    </cfRule>
  </conditionalFormatting>
  <conditionalFormatting sqref="G2554:H2554 G2559:H2560">
    <cfRule type="expression" priority="64119" dxfId="3">
      <formula>$H2554="ETAPA"</formula>
    </cfRule>
  </conditionalFormatting>
  <conditionalFormatting sqref="G2565:H2565 J2565:M2565">
    <cfRule type="expression" priority="64373" dxfId="5">
      <formula>$H2565="CÉLULA CONSTRUTIVA"</formula>
    </cfRule>
    <cfRule type="expression" priority="64374" dxfId="4">
      <formula>$H2565="SUBETAPA"</formula>
    </cfRule>
  </conditionalFormatting>
  <conditionalFormatting sqref="G2570:H2570 G2575:H2576">
    <cfRule type="expression" priority="64358" dxfId="3">
      <formula>$H2570="ETAPA"</formula>
    </cfRule>
  </conditionalFormatting>
  <conditionalFormatting sqref="G2581:H2581 J2581:M2581">
    <cfRule type="expression" priority="64612" dxfId="5">
      <formula>$H2581="CÉLULA CONSTRUTIVA"</formula>
    </cfRule>
    <cfRule type="expression" priority="64613" dxfId="4">
      <formula>$H2581="SUBETAPA"</formula>
    </cfRule>
  </conditionalFormatting>
  <conditionalFormatting sqref="G2586:H2586 G2591:H2592">
    <cfRule type="expression" priority="64597" dxfId="3">
      <formula>$H2586="ETAPA"</formula>
    </cfRule>
  </conditionalFormatting>
  <conditionalFormatting sqref="G2597:H2597 J2597:M2597">
    <cfRule type="expression" priority="64851" dxfId="5">
      <formula>$H2597="CÉLULA CONSTRUTIVA"</formula>
    </cfRule>
    <cfRule type="expression" priority="64852" dxfId="4">
      <formula>$H2597="SUBETAPA"</formula>
    </cfRule>
  </conditionalFormatting>
  <conditionalFormatting sqref="G2602:H2602 G2607:H2608">
    <cfRule type="expression" priority="64836" dxfId="3">
      <formula>$H2602="ETAPA"</formula>
    </cfRule>
  </conditionalFormatting>
  <conditionalFormatting sqref="G399:M399 G416:M416 G432:M432 G448:M448 G465:M465 G482:M482 G499:M499 G517:M517 G535:M535 G553:M553 G571:M571 G587:M587 G606:M606 G2341:H2342 G2363:H2363 G2390:H2390 G2414:H2414 G2437:H2437 G2460:H2460 G2484:H2484 G2510:H2511 G2532:H2533 G2548:H2549 G2564:H2565 G2580:H2581 G2596:H2597 G2612:H2613 H2340 J2340:K2340 J2341:M2341 J2510:M2510 J2532:M2532 J2548:M2548 J2564:M2564 J2580:M2580 J2596:M2596 J2612:M2612 M2340">
    <cfRule type="expression" priority="116283" dxfId="3">
      <formula>$H399="ETAPA"</formula>
    </cfRule>
  </conditionalFormatting>
  <conditionalFormatting sqref="G2613:H2613 J2613:M2613">
    <cfRule type="expression" priority="65090" dxfId="5">
      <formula>$H2613="CÉLULA CONSTRUTIVA"</formula>
    </cfRule>
    <cfRule type="expression" priority="65091" dxfId="4">
      <formula>$H2613="SUBETAPA"</formula>
    </cfRule>
  </conditionalFormatting>
  <conditionalFormatting sqref="G2618:H2618 G2622:H2623">
    <cfRule type="expression" priority="65075" dxfId="3">
      <formula>$H2618="ETAPA"</formula>
    </cfRule>
  </conditionalFormatting>
  <conditionalFormatting sqref="G2635:H2635 J2635:L2635">
    <cfRule type="expression" priority="1942" dxfId="3">
      <formula>$H2635="ETAPA"</formula>
    </cfRule>
    <cfRule type="expression" priority="1953" dxfId="4">
      <formula>$H2635="SUBETAPA"</formula>
    </cfRule>
  </conditionalFormatting>
  <conditionalFormatting sqref="G2758:H2758 J2758:M2758">
    <cfRule type="expression" priority="1401" dxfId="4">
      <formula>$H2758="SUBETAPA"</formula>
    </cfRule>
    <cfRule type="expression" priority="1402" dxfId="5">
      <formula>$H2758="CÉLULA CONSTRUTIVA"</formula>
    </cfRule>
  </conditionalFormatting>
  <conditionalFormatting sqref="G2758:H2758">
    <cfRule type="expression" priority="1398" dxfId="3">
      <formula>$H2758="ETAPA"</formula>
    </cfRule>
  </conditionalFormatting>
  <conditionalFormatting sqref="G2763:H2763 J2763:L2763">
    <cfRule type="expression" priority="1399" dxfId="5">
      <formula>$H2763="CÉLULA CONSTRUTIVA"</formula>
    </cfRule>
  </conditionalFormatting>
  <conditionalFormatting sqref="G2763:H2763">
    <cfRule type="expression" priority="1396" dxfId="3">
      <formula>$H2763="ETAPA"</formula>
    </cfRule>
  </conditionalFormatting>
  <conditionalFormatting sqref="G2764:H2764 J2764:M2764">
    <cfRule type="expression" priority="1443" dxfId="4">
      <formula>$H2764="SUBETAPA"</formula>
    </cfRule>
    <cfRule type="expression" priority="1444" dxfId="5">
      <formula>$H2764="CÉLULA CONSTRUTIVA"</formula>
    </cfRule>
  </conditionalFormatting>
  <conditionalFormatting sqref="G2764:H2764">
    <cfRule type="expression" priority="1440" dxfId="3">
      <formula>$H2764="ETAPA"</formula>
    </cfRule>
  </conditionalFormatting>
  <conditionalFormatting sqref="G2769:H2769 J2769:L2769">
    <cfRule type="expression" priority="1441" dxfId="5">
      <formula>$H2769="CÉLULA CONSTRUTIVA"</formula>
    </cfRule>
  </conditionalFormatting>
  <conditionalFormatting sqref="G2769:H2769">
    <cfRule type="expression" priority="1438" dxfId="3">
      <formula>$H2769="ETAPA"</formula>
    </cfRule>
  </conditionalFormatting>
  <conditionalFormatting sqref="G2770:H2770 J2770:M2770">
    <cfRule type="expression" priority="1485" dxfId="4">
      <formula>$H2770="SUBETAPA"</formula>
    </cfRule>
    <cfRule type="expression" priority="1486" dxfId="5">
      <formula>$H2770="CÉLULA CONSTRUTIVA"</formula>
    </cfRule>
  </conditionalFormatting>
  <conditionalFormatting sqref="G2770:H2770">
    <cfRule type="expression" priority="1482" dxfId="3">
      <formula>$H2770="ETAPA"</formula>
    </cfRule>
  </conditionalFormatting>
  <conditionalFormatting sqref="G2775:H2775 J2775:L2775">
    <cfRule type="expression" priority="1483" dxfId="5">
      <formula>$H2775="CÉLULA CONSTRUTIVA"</formula>
    </cfRule>
  </conditionalFormatting>
  <conditionalFormatting sqref="G2775:H2775">
    <cfRule type="expression" priority="1480" dxfId="3">
      <formula>$H2775="ETAPA"</formula>
    </cfRule>
  </conditionalFormatting>
  <conditionalFormatting sqref="G2776:H2776 J2776:M2776">
    <cfRule type="expression" priority="1527" dxfId="4">
      <formula>$H2776="SUBETAPA"</formula>
    </cfRule>
    <cfRule type="expression" priority="1528" dxfId="5">
      <formula>$H2776="CÉLULA CONSTRUTIVA"</formula>
    </cfRule>
  </conditionalFormatting>
  <conditionalFormatting sqref="G2776:H2776">
    <cfRule type="expression" priority="1524" dxfId="3">
      <formula>$H2776="ETAPA"</formula>
    </cfRule>
  </conditionalFormatting>
  <conditionalFormatting sqref="G2782:H2782 G2784:H2784">
    <cfRule type="expression" priority="1522" dxfId="3">
      <formula>$H2782="ETAPA"</formula>
    </cfRule>
  </conditionalFormatting>
  <conditionalFormatting sqref="G2782:H2782 G2784:H2784 H2783 J2782:L2782 J2783:K2783 J2784:L2784 O2783">
    <cfRule type="expression" priority="1489" dxfId="4">
      <formula>$H2782="SUBETAPA"</formula>
    </cfRule>
  </conditionalFormatting>
  <conditionalFormatting sqref="G2782:H2782 J2782:L2782">
    <cfRule type="expression" priority="1526" dxfId="5">
      <formula>$H2782="CÉLULA CONSTRUTIVA"</formula>
    </cfRule>
  </conditionalFormatting>
  <conditionalFormatting sqref="G2784:H2784 J2784:L2784">
    <cfRule type="expression" priority="1525" dxfId="5">
      <formula>$H2784="CÉLULA CONSTRUTIVA"</formula>
    </cfRule>
  </conditionalFormatting>
  <conditionalFormatting sqref="G2785:H2785 J2785:M2785">
    <cfRule type="expression" priority="1569" dxfId="4">
      <formula>$H2785="SUBETAPA"</formula>
    </cfRule>
    <cfRule type="expression" priority="1570" dxfId="5">
      <formula>$H2785="CÉLULA CONSTRUTIVA"</formula>
    </cfRule>
  </conditionalFormatting>
  <conditionalFormatting sqref="G2785:H2785">
    <cfRule type="expression" priority="1566" dxfId="3">
      <formula>$H2785="ETAPA"</formula>
    </cfRule>
  </conditionalFormatting>
  <conditionalFormatting sqref="G2791:H2791 G2793:H2793">
    <cfRule type="expression" priority="1564" dxfId="3">
      <formula>$H2791="ETAPA"</formula>
    </cfRule>
  </conditionalFormatting>
  <conditionalFormatting sqref="G2791:H2791 G2793:H2793 H2792 J2791:L2791 J2792:K2792 J2793:L2793 O2792">
    <cfRule type="expression" priority="1531" dxfId="4">
      <formula>$H2791="SUBETAPA"</formula>
    </cfRule>
  </conditionalFormatting>
  <conditionalFormatting sqref="G2791:H2791 J2791:L2791">
    <cfRule type="expression" priority="1568" dxfId="5">
      <formula>$H2791="CÉLULA CONSTRUTIVA"</formula>
    </cfRule>
  </conditionalFormatting>
  <conditionalFormatting sqref="G2793:H2793 J2793:L2793">
    <cfRule type="expression" priority="1567" dxfId="5">
      <formula>$H2793="CÉLULA CONSTRUTIVA"</formula>
    </cfRule>
  </conditionalFormatting>
  <conditionalFormatting sqref="G2794:H2794 J2794:M2794">
    <cfRule type="expression" priority="1611" dxfId="4">
      <formula>$H2794="SUBETAPA"</formula>
    </cfRule>
    <cfRule type="expression" priority="1612" dxfId="5">
      <formula>$H2794="CÉLULA CONSTRUTIVA"</formula>
    </cfRule>
  </conditionalFormatting>
  <conditionalFormatting sqref="G2794:H2794">
    <cfRule type="expression" priority="1608" dxfId="3">
      <formula>$H2794="ETAPA"</formula>
    </cfRule>
  </conditionalFormatting>
  <conditionalFormatting sqref="G2800:H2800 G2802:H2802">
    <cfRule type="expression" priority="1606" dxfId="3">
      <formula>$H2800="ETAPA"</formula>
    </cfRule>
  </conditionalFormatting>
  <conditionalFormatting sqref="G2800:H2800 G2802:H2802 H2801 J2800:L2800 J2801:K2802 O2801">
    <cfRule type="expression" priority="1573" dxfId="4">
      <formula>$H2800="SUBETAPA"</formula>
    </cfRule>
  </conditionalFormatting>
  <conditionalFormatting sqref="G2800:H2800 J2800:L2800">
    <cfRule type="expression" priority="1610" dxfId="5">
      <formula>$H2800="CÉLULA CONSTRUTIVA"</formula>
    </cfRule>
  </conditionalFormatting>
  <conditionalFormatting sqref="G2802:H2802 J2802:K2802">
    <cfRule type="expression" priority="1609" dxfId="5">
      <formula>$H2802="CÉLULA CONSTRUTIVA"</formula>
    </cfRule>
  </conditionalFormatting>
  <conditionalFormatting sqref="G2803:H2803 J2803:M2803">
    <cfRule type="expression" priority="1653" dxfId="4">
      <formula>$H2803="SUBETAPA"</formula>
    </cfRule>
    <cfRule type="expression" priority="1654" dxfId="5">
      <formula>$H2803="CÉLULA CONSTRUTIVA"</formula>
    </cfRule>
  </conditionalFormatting>
  <conditionalFormatting sqref="G2803:H2803">
    <cfRule type="expression" priority="1650" dxfId="3">
      <formula>$H2803="ETAPA"</formula>
    </cfRule>
  </conditionalFormatting>
  <conditionalFormatting sqref="G2809:H2809 G2811:H2811">
    <cfRule type="expression" priority="1648" dxfId="3">
      <formula>$H2809="ETAPA"</formula>
    </cfRule>
  </conditionalFormatting>
  <conditionalFormatting sqref="G2809:H2809 G2811:H2811 H2810 J2809:L2809 J2810:K2811 O2810">
    <cfRule type="expression" priority="1615" dxfId="4">
      <formula>$H2809="SUBETAPA"</formula>
    </cfRule>
  </conditionalFormatting>
  <conditionalFormatting sqref="G2809:H2809 J2809:L2809">
    <cfRule type="expression" priority="1652" dxfId="5">
      <formula>$H2809="CÉLULA CONSTRUTIVA"</formula>
    </cfRule>
  </conditionalFormatting>
  <conditionalFormatting sqref="G2811:H2811 J2811:K2811">
    <cfRule type="expression" priority="1651" dxfId="5">
      <formula>$H2811="CÉLULA CONSTRUTIVA"</formula>
    </cfRule>
  </conditionalFormatting>
  <conditionalFormatting sqref="G2812:H2812 J2812:M2812">
    <cfRule type="expression" priority="1695" dxfId="4">
      <formula>$H2812="SUBETAPA"</formula>
    </cfRule>
    <cfRule type="expression" priority="1696" dxfId="5">
      <formula>$H2812="CÉLULA CONSTRUTIVA"</formula>
    </cfRule>
  </conditionalFormatting>
  <conditionalFormatting sqref="G2812:H2812">
    <cfRule type="expression" priority="1692" dxfId="3">
      <formula>$H2812="ETAPA"</formula>
    </cfRule>
  </conditionalFormatting>
  <conditionalFormatting sqref="G2818:H2818 J2818:K2818">
    <cfRule type="expression" priority="1693" dxfId="5">
      <formula>$H2818="CÉLULA CONSTRUTIVA"</formula>
    </cfRule>
  </conditionalFormatting>
  <conditionalFormatting sqref="G2818:H2818">
    <cfRule type="expression" priority="1690" dxfId="3">
      <formula>$H2818="ETAPA"</formula>
    </cfRule>
  </conditionalFormatting>
  <conditionalFormatting sqref="G2828:H2828 J2828:L2828">
    <cfRule type="expression" priority="447" dxfId="4">
      <formula>$H2828="SUBETAPA"</formula>
    </cfRule>
    <cfRule type="expression" priority="448" dxfId="5">
      <formula>$H2828="CÉLULA CONSTRUTIVA"</formula>
    </cfRule>
    <cfRule type="expression" priority="449" dxfId="3">
      <formula>$H2828="ETAPA"</formula>
    </cfRule>
  </conditionalFormatting>
  <conditionalFormatting sqref="G2837:H2837 J2837:L2837">
    <cfRule type="expression" priority="512" dxfId="4">
      <formula>$H2837="SUBETAPA"</formula>
    </cfRule>
    <cfRule type="expression" priority="513" dxfId="5">
      <formula>$H2837="CÉLULA CONSTRUTIVA"</formula>
    </cfRule>
    <cfRule type="expression" priority="514" dxfId="3">
      <formula>$H2837="ETAPA"</formula>
    </cfRule>
  </conditionalFormatting>
  <conditionalFormatting sqref="G2846:H2846 J2846:L2846">
    <cfRule type="expression" priority="577" dxfId="4">
      <formula>$H2846="SUBETAPA"</formula>
    </cfRule>
    <cfRule type="expression" priority="578" dxfId="5">
      <formula>$H2846="CÉLULA CONSTRUTIVA"</formula>
    </cfRule>
    <cfRule type="expression" priority="579" dxfId="3">
      <formula>$H2846="ETAPA"</formula>
    </cfRule>
  </conditionalFormatting>
  <conditionalFormatting sqref="G2855:H2855 J2855:L2855">
    <cfRule type="expression" priority="642" dxfId="4">
      <formula>$H2855="SUBETAPA"</formula>
    </cfRule>
    <cfRule type="expression" priority="643" dxfId="5">
      <formula>$H2855="CÉLULA CONSTRUTIVA"</formula>
    </cfRule>
    <cfRule type="expression" priority="644" dxfId="3">
      <formula>$H2855="ETAPA"</formula>
    </cfRule>
  </conditionalFormatting>
  <conditionalFormatting sqref="G2864:H2864 J2864:L2864">
    <cfRule type="expression" priority="707" dxfId="4">
      <formula>$H2864="SUBETAPA"</formula>
    </cfRule>
    <cfRule type="expression" priority="708" dxfId="5">
      <formula>$H2864="CÉLULA CONSTRUTIVA"</formula>
    </cfRule>
    <cfRule type="expression" priority="709" dxfId="3">
      <formula>$H2864="ETAPA"</formula>
    </cfRule>
  </conditionalFormatting>
  <conditionalFormatting sqref="G2873:H2873 J2873:L2873">
    <cfRule type="expression" priority="772" dxfId="4">
      <formula>$H2873="SUBETAPA"</formula>
    </cfRule>
    <cfRule type="expression" priority="773" dxfId="5">
      <formula>$H2873="CÉLULA CONSTRUTIVA"</formula>
    </cfRule>
    <cfRule type="expression" priority="774" dxfId="3">
      <formula>$H2873="ETAPA"</formula>
    </cfRule>
  </conditionalFormatting>
  <conditionalFormatting sqref="G2884:H2884 J2884:L2884">
    <cfRule type="expression" priority="837" dxfId="4">
      <formula>$H2884="SUBETAPA"</formula>
    </cfRule>
    <cfRule type="expression" priority="838" dxfId="5">
      <formula>$H2884="CÉLULA CONSTRUTIVA"</formula>
    </cfRule>
    <cfRule type="expression" priority="839" dxfId="3">
      <formula>$H2884="ETAPA"</formula>
    </cfRule>
  </conditionalFormatting>
  <conditionalFormatting sqref="G2895:H2895 J2895:L2895">
    <cfRule type="expression" priority="902" dxfId="4">
      <formula>$H2895="SUBETAPA"</formula>
    </cfRule>
    <cfRule type="expression" priority="903" dxfId="5">
      <formula>$H2895="CÉLULA CONSTRUTIVA"</formula>
    </cfRule>
    <cfRule type="expression" priority="904" dxfId="3">
      <formula>$H2895="ETAPA"</formula>
    </cfRule>
  </conditionalFormatting>
  <conditionalFormatting sqref="G2904:H2904 J2904:L2904">
    <cfRule type="expression" priority="967" dxfId="4">
      <formula>$H2904="SUBETAPA"</formula>
    </cfRule>
    <cfRule type="expression" priority="968" dxfId="5">
      <formula>$H2904="CÉLULA CONSTRUTIVA"</formula>
    </cfRule>
    <cfRule type="expression" priority="969" dxfId="3">
      <formula>$H2904="ETAPA"</formula>
    </cfRule>
  </conditionalFormatting>
  <conditionalFormatting sqref="G2913:H2913 J2913:L2913">
    <cfRule type="expression" priority="1032" dxfId="4">
      <formula>$H2913="SUBETAPA"</formula>
    </cfRule>
    <cfRule type="expression" priority="1033" dxfId="5">
      <formula>$H2913="CÉLULA CONSTRUTIVA"</formula>
    </cfRule>
    <cfRule type="expression" priority="1034" dxfId="3">
      <formula>$H2913="ETAPA"</formula>
    </cfRule>
  </conditionalFormatting>
  <conditionalFormatting sqref="G2922:H2922 J2922:L2922">
    <cfRule type="expression" priority="1097" dxfId="4">
      <formula>$H2922="SUBETAPA"</formula>
    </cfRule>
    <cfRule type="expression" priority="1098" dxfId="5">
      <formula>$H2922="CÉLULA CONSTRUTIVA"</formula>
    </cfRule>
    <cfRule type="expression" priority="1099" dxfId="3">
      <formula>$H2922="ETAPA"</formula>
    </cfRule>
  </conditionalFormatting>
  <conditionalFormatting sqref="G2931:H2931 J2931:L2931">
    <cfRule type="expression" priority="1162" dxfId="4">
      <formula>$H2931="SUBETAPA"</formula>
    </cfRule>
    <cfRule type="expression" priority="1163" dxfId="5">
      <formula>$H2931="CÉLULA CONSTRUTIVA"</formula>
    </cfRule>
    <cfRule type="expression" priority="1164" dxfId="3">
      <formula>$H2931="ETAPA"</formula>
    </cfRule>
  </conditionalFormatting>
  <conditionalFormatting sqref="G2942:H2942 J2942:L2942">
    <cfRule type="expression" priority="1227" dxfId="4">
      <formula>$H2942="SUBETAPA"</formula>
    </cfRule>
    <cfRule type="expression" priority="1228" dxfId="5">
      <formula>$H2942="CÉLULA CONSTRUTIVA"</formula>
    </cfRule>
    <cfRule type="expression" priority="1229" dxfId="3">
      <formula>$H2942="ETAPA"</formula>
    </cfRule>
  </conditionalFormatting>
  <conditionalFormatting sqref="G2952:H2952 J2952:L2952">
    <cfRule type="expression" priority="1292" dxfId="4">
      <formula>$H2952="SUBETAPA"</formula>
    </cfRule>
    <cfRule type="expression" priority="1293" dxfId="5">
      <formula>$H2952="CÉLULA CONSTRUTIVA"</formula>
    </cfRule>
    <cfRule type="expression" priority="1294" dxfId="3">
      <formula>$H2952="ETAPA"</formula>
    </cfRule>
  </conditionalFormatting>
  <conditionalFormatting sqref="G2954:H2956 G2958:H2958 G2965:H2965 G2970:H2970 G2975:H2975 G2980:H2980 G2985:H2985 G2992:H2992 G2999:H2999 G3002:H3006 G3008:H3008 G3015:H3015 G3022:H3022 G3029:H3029 G3036:H3036 G3041:H3041 G3046:H3046 G3049:H3051 G3053:H3053 G3067:H3067 G3076:H3078 G3081:H3082 G3084:H3084 G3091:H3091 G3100:H3101 G3103:H3103 G3112:H3112 G3123:H3124 G3126:H3126 G3136:H3136 G3146:H3148 G3150:H3150 G3152 G3154 G3156:H3157 G3159:H3161 G3163:G3165 G3163:H3163 G3166:H3169 G3171:H3171 H2957 H2959 H2966 H2971 H2976 H2981 H2986 H2991 H2993 H2998 H3000 H3007 H3009 H3014 H3016 H3021 H3023 H3028 H3030 H3035 H3037 H3042 H3045 H3048 H3052 H3066 H3068:H3069 H3075 H3079:H3080 H3083 H3092:H3093 H3097 H3102 H3113:H3114 H3119 H3122 H3125 H3135 H3137:H3138 H3142 H3145 H3149 H3151 H3153 H3155 H3162 H3164 H3170 H3172 J2957:K2957 J2958:L2958 J2959:K2959 J2965:L2965 J2966:K2966 J2970:L2970 J2971:K2971 J2975:L2975 J2976:K2976 J2980:L2980 J2981:K2981 J2985:L2985 J2986:K2986 J2991:K2991 J2992:L2992 J2993:K2993 J2998:K2998 J2999:L2999 J3000:K3000 J3002:L3006 J3007:K3007 J3008:L3008 J3009:K3009 J3014:K3014 J3015:L3015 J3016:K3016 J3021:K3021 J3022:L3022 J3023:K3023 J3028:K3028 J3029:L3029 J3030:K3030 J3035:K3035 J3036:L3036 J3037:K3037 J3041:L3041 J3042:K3042 J3045:K3045 J3046:L3046 J3048:K3048 J3049:L3051 J3052:K3052 J3053:L3053 J3066:K3066 J3067:L3067 J3068:K3069 J3075:K3075 J3076:L3078 J3079:K3080 J3081:L3082 J3083:K3083 J3084:L3084 J3091:L3091 J3092:K3093 J3097:K3097 J3100:L3101 J3102:K3102 J3103:L3103 J3112:L3112 J3113:K3114 J3119:K3119 J3122:K3122 J3123:L3124 J3125:K3125 J3126:L3126 J3135:K3135 J3136:L3136 J3137:K3138 J3142:K3142 J3145:K3145 J3146:M3148 J3149:K3149 J3150:L3150 J3151:K3155 J3156:L3156 J3157:K3157 J3159:M3161 J3162:K3162 J3163:L3163 J3164:K3164 J3166:M3169 J3170:K3170 J3171:L3171 J3172:K3172">
    <cfRule type="expression" priority="83635" dxfId="3">
      <formula>$H2954="ETAPA"</formula>
    </cfRule>
  </conditionalFormatting>
  <conditionalFormatting sqref="G3056:H3056 J3056:L3056">
    <cfRule type="expression" priority="1" dxfId="3">
      <formula>$H3056="ETAPA"</formula>
    </cfRule>
    <cfRule type="expression" priority="2" dxfId="4">
      <formula>$H3056="SUBETAPA"</formula>
    </cfRule>
    <cfRule type="expression" priority="3" dxfId="5">
      <formula>$H3056="CÉLULA CONSTRUTIVA"</formula>
    </cfRule>
  </conditionalFormatting>
  <conditionalFormatting sqref="G3057:H3057 J3057:L3057">
    <cfRule type="expression" priority="4206" dxfId="3">
      <formula>$H3057="ETAPA"</formula>
    </cfRule>
    <cfRule type="expression" priority="4207" dxfId="4">
      <formula>$H3057="SUBETAPA"</formula>
    </cfRule>
    <cfRule type="expression" priority="4208" dxfId="5">
      <formula>$H3057="CÉLULA CONSTRUTIVA"</formula>
    </cfRule>
  </conditionalFormatting>
  <conditionalFormatting sqref="G3058:H3058 G3060:H3062 G3064:H3065 J3058:L3058 J3065:L3065 K3060:L3061 K3061:K3063 K3064:L3064 L3062">
    <cfRule type="expression" priority="61273" dxfId="4">
      <formula>$H3058="SUBETAPA"</formula>
    </cfRule>
    <cfRule type="expression" priority="61274" dxfId="5">
      <formula>$H3058="CÉLULA CONSTRUTIVA"</formula>
    </cfRule>
  </conditionalFormatting>
  <conditionalFormatting sqref="G3076:H3076 J3076:K3076">
    <cfRule type="expression" priority="61039" dxfId="4">
      <formula>$H3076="SUBETAPA"</formula>
    </cfRule>
    <cfRule type="expression" priority="61040" dxfId="5">
      <formula>$H3076="CÉLULA CONSTRUTIVA"</formula>
    </cfRule>
  </conditionalFormatting>
  <conditionalFormatting sqref="G3077:H3077 J3077:K3077 J3078">
    <cfRule type="expression" priority="61037" dxfId="4">
      <formula>$H3077="SUBETAPA"</formula>
    </cfRule>
    <cfRule type="expression" priority="61038" dxfId="5">
      <formula>$H3077="CÉLULA CONSTRUTIVA"</formula>
    </cfRule>
  </conditionalFormatting>
  <conditionalFormatting sqref="G3090:H3090">
    <cfRule type="expression" priority="60180" dxfId="4">
      <formula>$H3090="SUBETAPA"</formula>
    </cfRule>
    <cfRule type="expression" priority="60181" dxfId="5">
      <formula>$H3090="CÉLULA CONSTRUTIVA"</formula>
    </cfRule>
  </conditionalFormatting>
  <conditionalFormatting sqref="G3098:H3098 J3098:K3098">
    <cfRule type="expression" priority="61285" dxfId="4">
      <formula>$H3098="SUBETAPA"</formula>
    </cfRule>
    <cfRule type="expression" priority="61286" dxfId="5">
      <formula>$H3098="CÉLULA CONSTRUTIVA"</formula>
    </cfRule>
  </conditionalFormatting>
  <conditionalFormatting sqref="G3099:H3099 J3099:K3099">
    <cfRule type="expression" priority="61283" dxfId="4">
      <formula>$H3099="SUBETAPA"</formula>
    </cfRule>
    <cfRule type="expression" priority="61284" dxfId="5">
      <formula>$H3099="CÉLULA CONSTRUTIVA"</formula>
    </cfRule>
  </conditionalFormatting>
  <conditionalFormatting sqref="G3106:H3106 J3106:L3106">
    <cfRule type="expression" priority="61765" dxfId="4">
      <formula>$H3106="SUBETAPA"</formula>
    </cfRule>
    <cfRule type="expression" priority="61766" dxfId="5">
      <formula>$H3106="CÉLULA CONSTRUTIVA"</formula>
    </cfRule>
  </conditionalFormatting>
  <conditionalFormatting sqref="G3111:H3111">
    <cfRule type="expression" priority="60150" dxfId="4">
      <formula>$H3111="SUBETAPA"</formula>
    </cfRule>
    <cfRule type="expression" priority="60151" dxfId="5">
      <formula>$H3111="CÉLULA CONSTRUTIVA"</formula>
    </cfRule>
  </conditionalFormatting>
  <conditionalFormatting sqref="G3120:H3120 J3120:K3120">
    <cfRule type="expression" priority="61531" dxfId="4">
      <formula>$H3120="SUBETAPA"</formula>
    </cfRule>
    <cfRule type="expression" priority="61532" dxfId="5">
      <formula>$H3120="CÉLULA CONSTRUTIVA"</formula>
    </cfRule>
  </conditionalFormatting>
  <conditionalFormatting sqref="G3121:H3121 J3121:K3121">
    <cfRule type="expression" priority="61529" dxfId="4">
      <formula>$H3121="SUBETAPA"</formula>
    </cfRule>
    <cfRule type="expression" priority="61530" dxfId="5">
      <formula>$H3121="CÉLULA CONSTRUTIVA"</formula>
    </cfRule>
  </conditionalFormatting>
  <conditionalFormatting sqref="G3129:H3129 J3129:L3129">
    <cfRule type="expression" priority="85984" dxfId="4">
      <formula>$H3129="SUBETAPA"</formula>
    </cfRule>
    <cfRule type="expression" priority="85985" dxfId="5">
      <formula>$H3129="CÉLULA CONSTRUTIVA"</formula>
    </cfRule>
  </conditionalFormatting>
  <conditionalFormatting sqref="G3134:H3134">
    <cfRule type="expression" priority="60120" dxfId="4">
      <formula>$H3134="SUBETAPA"</formula>
    </cfRule>
    <cfRule type="expression" priority="60121" dxfId="5">
      <formula>$H3134="CÉLULA CONSTRUTIVA"</formula>
    </cfRule>
  </conditionalFormatting>
  <conditionalFormatting sqref="G3143:H3143 J3143:K3143">
    <cfRule type="expression" priority="61777" dxfId="4">
      <formula>$H3143="SUBETAPA"</formula>
    </cfRule>
    <cfRule type="expression" priority="61778" dxfId="5">
      <formula>$H3143="CÉLULA CONSTRUTIVA"</formula>
    </cfRule>
  </conditionalFormatting>
  <conditionalFormatting sqref="G3144:H3144 J3144:K3144">
    <cfRule type="expression" priority="61775" dxfId="4">
      <formula>$H3144="SUBETAPA"</formula>
    </cfRule>
    <cfRule type="expression" priority="61776" dxfId="5">
      <formula>$H3144="CÉLULA CONSTRUTIVA"</formula>
    </cfRule>
  </conditionalFormatting>
  <conditionalFormatting sqref="G2954:H2956 G2958:H2958 G2965:H2965 G2970:H2970 G2975:H2975 G2980:H2980 G2985:H2985 G2992:H2992 G2999:H2999 G3002:H3006 G3008:H3008 G3015:H3015 G3022:H3022 G3029:H3029 G3036:H3036 G3041:H3041 G3046:H3046 G3049:H3051 G3053:H3053 G3067:H3067 G3078:H3078 G3081:H3082 G3084:H3084 G3091:H3091 G3100:H3101 G3103:H3103 G3112:H3112 G3123:H3124 G3126:H3126 G3136:H3136 G3146:H3148 G3150:H3150 G3152 G3154 G3156:H3157 G3159:H3161 G3163:G3165 G3163:H3163 G3166:H3169 G3171:H3171 H2959 H2966 H2971 H2976 H2981 H2986 H2993 H3000 H3009 H3016 H3023 H3030 H3037 H3042 H3068:H3069 H3079:H3080 H3092:H3093 H3113:H3114 H3122 H3137:H3138 H3145 H3151 H3153 H3164 H3172 J2954:K2956 J2958:K2959 J2965:K2966 J2970:K2971 J2975:K2976 J2980:K2981 J2985:K2986 J2992:K2993 J2999:K3000 J3002:K3006 J3008:K3009 J3015:K3016 J3022:K3023 J3029:K3030 J3036:K3037 J3041:K3042 J3049:K3051 J3067:K3069 J3078:K3082 J3091:K3093 J3112:K3114 J3136:K3138 J3150:K3154 J3156:K3157 J3159:K3161 J3163:K3164 J3166:K3169 J3171:K3172">
    <cfRule type="expression" priority="83633" dxfId="4">
      <formula>$H2954="SUBETAPA"</formula>
    </cfRule>
    <cfRule type="expression" priority="83634" dxfId="5">
      <formula>$H2954="CÉLULA CONSTRUTIVA"</formula>
    </cfRule>
  </conditionalFormatting>
  <conditionalFormatting sqref="G157:I157 N157">
    <cfRule type="expression" priority="49699" dxfId="4">
      <formula>$H157="SUBETAPA"</formula>
    </cfRule>
    <cfRule type="expression" priority="49698" dxfId="5">
      <formula>$H157="CÉLULA CONSTRUTIVA"</formula>
    </cfRule>
  </conditionalFormatting>
  <conditionalFormatting sqref="G157:I157">
    <cfRule type="expression" priority="49701" dxfId="3">
      <formula>$H157="ETAPA"</formula>
    </cfRule>
  </conditionalFormatting>
  <conditionalFormatting sqref="G167:I167 N167">
    <cfRule type="expression" priority="49613" dxfId="4">
      <formula>$H167="SUBETAPA"</formula>
    </cfRule>
    <cfRule type="expression" priority="49612" dxfId="5">
      <formula>$H167="CÉLULA CONSTRUTIVA"</formula>
    </cfRule>
  </conditionalFormatting>
  <conditionalFormatting sqref="G167:I167">
    <cfRule type="expression" priority="49615" dxfId="3">
      <formula>$H167="ETAPA"</formula>
    </cfRule>
  </conditionalFormatting>
  <conditionalFormatting sqref="G303:I303 G304:K304 K303 N303:N304">
    <cfRule type="expression" priority="48692" dxfId="3">
      <formula>$H303="ETAPA"</formula>
    </cfRule>
    <cfRule type="expression" priority="48690" dxfId="5">
      <formula>$H303="CÉLULA CONSTRUTIVA"</formula>
    </cfRule>
  </conditionalFormatting>
  <conditionalFormatting sqref="G303:I303 G304:K304 K303:M303 N303:N304">
    <cfRule type="expression" priority="48691" dxfId="4">
      <formula>$H303="SUBETAPA"</formula>
    </cfRule>
  </conditionalFormatting>
  <conditionalFormatting sqref="G317:I317 K317:L317 N317">
    <cfRule type="expression" priority="48385" dxfId="4">
      <formula>$H317="SUBETAPA"</formula>
    </cfRule>
    <cfRule type="expression" priority="48386" dxfId="3">
      <formula>$H317="ETAPA"</formula>
    </cfRule>
    <cfRule type="expression" priority="48384" dxfId="5">
      <formula>$H317="CÉLULA CONSTRUTIVA"</formula>
    </cfRule>
  </conditionalFormatting>
  <conditionalFormatting sqref="G321:I321 K321:L321 N321">
    <cfRule type="expression" priority="48299" dxfId="4">
      <formula>$H321="SUBETAPA"</formula>
    </cfRule>
    <cfRule type="expression" priority="48300" dxfId="3">
      <formula>$H321="ETAPA"</formula>
    </cfRule>
    <cfRule type="expression" priority="48298" dxfId="5">
      <formula>$H321="CÉLULA CONSTRUTIVA"</formula>
    </cfRule>
  </conditionalFormatting>
  <conditionalFormatting sqref="G325:I325 K325:L325 N325">
    <cfRule type="expression" priority="48213" dxfId="4">
      <formula>$H325="SUBETAPA"</formula>
    </cfRule>
    <cfRule type="expression" priority="48214" dxfId="3">
      <formula>$H325="ETAPA"</formula>
    </cfRule>
    <cfRule type="expression" priority="48212" dxfId="5">
      <formula>$H325="CÉLULA CONSTRUTIVA"</formula>
    </cfRule>
  </conditionalFormatting>
  <conditionalFormatting sqref="G331:I331 K331:L331 N331">
    <cfRule type="expression" priority="48130" dxfId="4">
      <formula>$H331="SUBETAPA"</formula>
    </cfRule>
    <cfRule type="expression" priority="48131" dxfId="3">
      <formula>$H331="ETAPA"</formula>
    </cfRule>
    <cfRule type="expression" priority="48129" dxfId="5">
      <formula>$H331="CÉLULA CONSTRUTIVA"</formula>
    </cfRule>
  </conditionalFormatting>
  <conditionalFormatting sqref="G335:I335 K335:L335 N335">
    <cfRule type="expression" priority="48048" dxfId="4">
      <formula>$H335="SUBETAPA"</formula>
    </cfRule>
    <cfRule type="expression" priority="48049" dxfId="3">
      <formula>$H335="ETAPA"</formula>
    </cfRule>
    <cfRule type="expression" priority="48047" dxfId="5">
      <formula>$H335="CÉLULA CONSTRUTIVA"</formula>
    </cfRule>
  </conditionalFormatting>
  <conditionalFormatting sqref="G339:I339 K339:L339 N339">
    <cfRule type="expression" priority="47966" dxfId="4">
      <formula>$H339="SUBETAPA"</formula>
    </cfRule>
    <cfRule type="expression" priority="47967" dxfId="3">
      <formula>$H339="ETAPA"</formula>
    </cfRule>
    <cfRule type="expression" priority="47965" dxfId="5">
      <formula>$H339="CÉLULA CONSTRUTIVA"</formula>
    </cfRule>
  </conditionalFormatting>
  <conditionalFormatting sqref="G343:I343 K343:L343 N343">
    <cfRule type="expression" priority="47882" dxfId="4">
      <formula>$H343="SUBETAPA"</formula>
    </cfRule>
    <cfRule type="expression" priority="47883" dxfId="3">
      <formula>$H343="ETAPA"</formula>
    </cfRule>
    <cfRule type="expression" priority="47881" dxfId="5">
      <formula>$H343="CÉLULA CONSTRUTIVA"</formula>
    </cfRule>
  </conditionalFormatting>
  <conditionalFormatting sqref="G387:I390 O388:O390">
    <cfRule type="expression" priority="99312" dxfId="5">
      <formula>$H387="CÉLULA CONSTRUTIVA"</formula>
    </cfRule>
    <cfRule type="expression" priority="99311" dxfId="4">
      <formula>$H387="SUBETAPA"</formula>
    </cfRule>
  </conditionalFormatting>
  <conditionalFormatting sqref="G404:I407 O405:O407">
    <cfRule type="expression" priority="99407" dxfId="5">
      <formula>$H404="CÉLULA CONSTRUTIVA"</formula>
    </cfRule>
    <cfRule type="expression" priority="99406" dxfId="4">
      <formula>$H404="SUBETAPA"</formula>
    </cfRule>
  </conditionalFormatting>
  <conditionalFormatting sqref="G421:I424 O422:O424">
    <cfRule type="expression" priority="99502" dxfId="5">
      <formula>$H421="CÉLULA CONSTRUTIVA"</formula>
    </cfRule>
    <cfRule type="expression" priority="99501" dxfId="4">
      <formula>$H421="SUBETAPA"</formula>
    </cfRule>
  </conditionalFormatting>
  <conditionalFormatting sqref="G437:I440 O438:O440">
    <cfRule type="expression" priority="99597" dxfId="5">
      <formula>$H437="CÉLULA CONSTRUTIVA"</formula>
    </cfRule>
    <cfRule type="expression" priority="99596" dxfId="4">
      <formula>$H437="SUBETAPA"</formula>
    </cfRule>
  </conditionalFormatting>
  <conditionalFormatting sqref="G453:I456 O454:O456">
    <cfRule type="expression" priority="99692" dxfId="5">
      <formula>$H453="CÉLULA CONSTRUTIVA"</formula>
    </cfRule>
    <cfRule type="expression" priority="99691" dxfId="4">
      <formula>$H453="SUBETAPA"</formula>
    </cfRule>
  </conditionalFormatting>
  <conditionalFormatting sqref="G470:I473 O471:O473">
    <cfRule type="expression" priority="99787" dxfId="5">
      <formula>$H470="CÉLULA CONSTRUTIVA"</formula>
    </cfRule>
    <cfRule type="expression" priority="99786" dxfId="4">
      <formula>$H470="SUBETAPA"</formula>
    </cfRule>
  </conditionalFormatting>
  <conditionalFormatting sqref="G487:I490 O488:O490">
    <cfRule type="expression" priority="99882" dxfId="5">
      <formula>$H487="CÉLULA CONSTRUTIVA"</formula>
    </cfRule>
    <cfRule type="expression" priority="99881" dxfId="4">
      <formula>$H487="SUBETAPA"</formula>
    </cfRule>
  </conditionalFormatting>
  <conditionalFormatting sqref="G504:I508 O505:O508">
    <cfRule type="expression" priority="99977" dxfId="5">
      <formula>$H504="CÉLULA CONSTRUTIVA"</formula>
    </cfRule>
    <cfRule type="expression" priority="99976" dxfId="4">
      <formula>$H504="SUBETAPA"</formula>
    </cfRule>
  </conditionalFormatting>
  <conditionalFormatting sqref="G522:I525 O523:O525">
    <cfRule type="expression" priority="100072" dxfId="5">
      <formula>$H522="CÉLULA CONSTRUTIVA"</formula>
    </cfRule>
    <cfRule type="expression" priority="100071" dxfId="4">
      <formula>$H522="SUBETAPA"</formula>
    </cfRule>
  </conditionalFormatting>
  <conditionalFormatting sqref="G526:I526 O526">
    <cfRule type="expression" priority="59767" dxfId="5">
      <formula>$H526="CÉLULA CONSTRUTIVA"</formula>
    </cfRule>
    <cfRule type="expression" priority="59766" dxfId="4">
      <formula>$H526="SUBETAPA"</formula>
    </cfRule>
  </conditionalFormatting>
  <conditionalFormatting sqref="G540:I543 O541:O543">
    <cfRule type="expression" priority="100167" dxfId="5">
      <formula>$H540="CÉLULA CONSTRUTIVA"</formula>
    </cfRule>
    <cfRule type="expression" priority="100166" dxfId="4">
      <formula>$H540="SUBETAPA"</formula>
    </cfRule>
  </conditionalFormatting>
  <conditionalFormatting sqref="G544:I544 O544">
    <cfRule type="expression" priority="59749" dxfId="5">
      <formula>$H544="CÉLULA CONSTRUTIVA"</formula>
    </cfRule>
    <cfRule type="expression" priority="59748" dxfId="4">
      <formula>$H544="SUBETAPA"</formula>
    </cfRule>
  </conditionalFormatting>
  <conditionalFormatting sqref="G558:I561 O559:O561">
    <cfRule type="expression" priority="100262" dxfId="5">
      <formula>$H558="CÉLULA CONSTRUTIVA"</formula>
    </cfRule>
    <cfRule type="expression" priority="100261" dxfId="4">
      <formula>$H558="SUBETAPA"</formula>
    </cfRule>
  </conditionalFormatting>
  <conditionalFormatting sqref="G562:I562 O562">
    <cfRule type="expression" priority="59731" dxfId="5">
      <formula>$H562="CÉLULA CONSTRUTIVA"</formula>
    </cfRule>
    <cfRule type="expression" priority="59730" dxfId="4">
      <formula>$H562="SUBETAPA"</formula>
    </cfRule>
  </conditionalFormatting>
  <conditionalFormatting sqref="G576:I579 O577:O579">
    <cfRule type="expression" priority="100357" dxfId="5">
      <formula>$H576="CÉLULA CONSTRUTIVA"</formula>
    </cfRule>
    <cfRule type="expression" priority="100356" dxfId="4">
      <formula>$H576="SUBETAPA"</formula>
    </cfRule>
  </conditionalFormatting>
  <conditionalFormatting sqref="G593:I596 O594:O596">
    <cfRule type="expression" priority="100452" dxfId="5">
      <formula>$H593="CÉLULA CONSTRUTIVA"</formula>
    </cfRule>
    <cfRule type="expression" priority="100451" dxfId="4">
      <formula>$H593="SUBETAPA"</formula>
    </cfRule>
  </conditionalFormatting>
  <conditionalFormatting sqref="G597:I597 O597">
    <cfRule type="expression" priority="59695" dxfId="5">
      <formula>$H597="CÉLULA CONSTRUTIVA"</formula>
    </cfRule>
    <cfRule type="expression" priority="59694" dxfId="4">
      <formula>$H597="SUBETAPA"</formula>
    </cfRule>
  </conditionalFormatting>
  <conditionalFormatting sqref="G610:I613 O611:O613">
    <cfRule type="expression" priority="100547" dxfId="5">
      <formula>$H610="CÉLULA CONSTRUTIVA"</formula>
    </cfRule>
    <cfRule type="expression" priority="100546" dxfId="4">
      <formula>$H610="SUBETAPA"</formula>
    </cfRule>
  </conditionalFormatting>
  <conditionalFormatting sqref="G65:J65 G811:G819 G822:G828 G831:G837 G840:G846 G849:G855 G858:G864 G867:G873 G876:G882 G885:G891 G894:G902 G905:G913 G916:G922 G925:G931 G934:G942">
    <cfRule type="expression" priority="50920" dxfId="3">
      <formula>$H65="ETAPA"</formula>
    </cfRule>
    <cfRule type="expression" priority="50921" dxfId="5">
      <formula>$H65="CÉLULA CONSTRUTIVA"</formula>
    </cfRule>
  </conditionalFormatting>
  <conditionalFormatting sqref="G145:J147 N145:N147">
    <cfRule type="expression" priority="50886" dxfId="4">
      <formula>$H145="SUBETAPA"</formula>
    </cfRule>
    <cfRule type="expression" priority="50885" dxfId="5">
      <formula>$H145="CÉLULA CONSTRUTIVA"</formula>
    </cfRule>
  </conditionalFormatting>
  <conditionalFormatting sqref="G145:J147">
    <cfRule type="expression" priority="50888" dxfId="3">
      <formula>$H145="ETAPA"</formula>
    </cfRule>
  </conditionalFormatting>
  <conditionalFormatting sqref="G148:K149 G150:J153 K150:K156 L148:M148 N148:N153">
    <cfRule type="expression" priority="49758" dxfId="5">
      <formula>$H148="CÉLULA CONSTRUTIVA"</formula>
    </cfRule>
  </conditionalFormatting>
  <conditionalFormatting sqref="G154:J156 N154:N156">
    <cfRule type="expression" priority="49732" dxfId="4">
      <formula>$H154="SUBETAPA"</formula>
    </cfRule>
    <cfRule type="expression" priority="49731" dxfId="5">
      <formula>$H154="CÉLULA CONSTRUTIVA"</formula>
    </cfRule>
  </conditionalFormatting>
  <conditionalFormatting sqref="G154:J156">
    <cfRule type="expression" priority="49734" dxfId="3">
      <formula>$H154="ETAPA"</formula>
    </cfRule>
  </conditionalFormatting>
  <conditionalFormatting sqref="G158:K159 G160:J163 K160:K166 L158:M158 N158:N163">
    <cfRule type="expression" priority="49672" dxfId="5">
      <formula>$H158="CÉLULA CONSTRUTIVA"</formula>
    </cfRule>
  </conditionalFormatting>
  <conditionalFormatting sqref="G164:J166 N164:N166">
    <cfRule type="expression" priority="49646" dxfId="4">
      <formula>$H164="SUBETAPA"</formula>
    </cfRule>
    <cfRule type="expression" priority="49645" dxfId="5">
      <formula>$H164="CÉLULA CONSTRUTIVA"</formula>
    </cfRule>
  </conditionalFormatting>
  <conditionalFormatting sqref="G164:J166">
    <cfRule type="expression" priority="49648" dxfId="3">
      <formula>$H164="ETAPA"</formula>
    </cfRule>
  </conditionalFormatting>
  <conditionalFormatting sqref="G168:K169 G170:J173 K170:K176 L168:M168 N168:N173">
    <cfRule type="expression" priority="49586" dxfId="5">
      <formula>$H168="CÉLULA CONSTRUTIVA"</formula>
    </cfRule>
  </conditionalFormatting>
  <conditionalFormatting sqref="G174:J176 N174:N176">
    <cfRule type="expression" priority="49560" dxfId="4">
      <formula>$H174="SUBETAPA"</formula>
    </cfRule>
    <cfRule type="expression" priority="49559" dxfId="5">
      <formula>$H174="CÉLULA CONSTRUTIVA"</formula>
    </cfRule>
  </conditionalFormatting>
  <conditionalFormatting sqref="G174:J176">
    <cfRule type="expression" priority="49562" dxfId="3">
      <formula>$H174="ETAPA"</formula>
    </cfRule>
  </conditionalFormatting>
  <conditionalFormatting sqref="G179:J182 L177:M177">
    <cfRule type="expression" priority="49503" dxfId="5">
      <formula>$H177="CÉLULA CONSTRUTIVA"</formula>
    </cfRule>
  </conditionalFormatting>
  <conditionalFormatting sqref="G179:J182">
    <cfRule type="expression" priority="49506" dxfId="3">
      <formula>$H179="ETAPA"</formula>
    </cfRule>
  </conditionalFormatting>
  <conditionalFormatting sqref="G185:J185 N185">
    <cfRule type="expression" priority="3304" dxfId="4">
      <formula>$H185="SUBETAPA"</formula>
    </cfRule>
    <cfRule type="expression" priority="3303" dxfId="5">
      <formula>$H185="CÉLULA CONSTRUTIVA"</formula>
    </cfRule>
  </conditionalFormatting>
  <conditionalFormatting sqref="G185:J185">
    <cfRule type="expression" priority="3306" dxfId="3">
      <formula>$H185="ETAPA"</formula>
    </cfRule>
  </conditionalFormatting>
  <conditionalFormatting sqref="G188:J191 L186:M186">
    <cfRule type="expression" priority="49485" dxfId="5">
      <formula>$H186="CÉLULA CONSTRUTIVA"</formula>
    </cfRule>
  </conditionalFormatting>
  <conditionalFormatting sqref="G188:J191">
    <cfRule type="expression" priority="49488" dxfId="3">
      <formula>$H188="ETAPA"</formula>
    </cfRule>
  </conditionalFormatting>
  <conditionalFormatting sqref="G194:J194 N194">
    <cfRule type="expression" priority="3270" dxfId="4">
      <formula>$H194="SUBETAPA"</formula>
    </cfRule>
    <cfRule type="expression" priority="3269" dxfId="5">
      <formula>$H194="CÉLULA CONSTRUTIVA"</formula>
    </cfRule>
  </conditionalFormatting>
  <conditionalFormatting sqref="G194:J194">
    <cfRule type="expression" priority="3272" dxfId="3">
      <formula>$H194="ETAPA"</formula>
    </cfRule>
  </conditionalFormatting>
  <conditionalFormatting sqref="G197:J200 L195:M195">
    <cfRule type="expression" priority="49467" dxfId="5">
      <formula>$H195="CÉLULA CONSTRUTIVA"</formula>
    </cfRule>
  </conditionalFormatting>
  <conditionalFormatting sqref="G197:J200">
    <cfRule type="expression" priority="49470" dxfId="3">
      <formula>$H197="ETAPA"</formula>
    </cfRule>
  </conditionalFormatting>
  <conditionalFormatting sqref="G203:J203 N203">
    <cfRule type="expression" priority="3236" dxfId="4">
      <formula>$H203="SUBETAPA"</formula>
    </cfRule>
    <cfRule type="expression" priority="3235" dxfId="5">
      <formula>$H203="CÉLULA CONSTRUTIVA"</formula>
    </cfRule>
  </conditionalFormatting>
  <conditionalFormatting sqref="G203:J203">
    <cfRule type="expression" priority="3238" dxfId="3">
      <formula>$H203="ETAPA"</formula>
    </cfRule>
  </conditionalFormatting>
  <conditionalFormatting sqref="G206:J209 L204">
    <cfRule type="expression" priority="46321" dxfId="4">
      <formula>$H204="SUBETAPA"</formula>
    </cfRule>
  </conditionalFormatting>
  <conditionalFormatting sqref="G206:J209 L204:M204">
    <cfRule type="expression" priority="46320" dxfId="5">
      <formula>$H204="CÉLULA CONSTRUTIVA"</formula>
    </cfRule>
  </conditionalFormatting>
  <conditionalFormatting sqref="G206:J209">
    <cfRule type="expression" priority="46323" dxfId="3">
      <formula>$H206="ETAPA"</formula>
    </cfRule>
  </conditionalFormatting>
  <conditionalFormatting sqref="G212:J212 N212">
    <cfRule type="expression" priority="3202" dxfId="4">
      <formula>$H212="SUBETAPA"</formula>
    </cfRule>
    <cfRule type="expression" priority="3201" dxfId="5">
      <formula>$H212="CÉLULA CONSTRUTIVA"</formula>
    </cfRule>
  </conditionalFormatting>
  <conditionalFormatting sqref="G212:J212">
    <cfRule type="expression" priority="3204" dxfId="3">
      <formula>$H212="ETAPA"</formula>
    </cfRule>
  </conditionalFormatting>
  <conditionalFormatting sqref="G215:J218 L213:M213">
    <cfRule type="expression" priority="49449" dxfId="5">
      <formula>$H213="CÉLULA CONSTRUTIVA"</formula>
    </cfRule>
  </conditionalFormatting>
  <conditionalFormatting sqref="G215:J218">
    <cfRule type="expression" priority="49452" dxfId="3">
      <formula>$H215="ETAPA"</formula>
    </cfRule>
  </conditionalFormatting>
  <conditionalFormatting sqref="G221:J221 N221">
    <cfRule type="expression" priority="3168" dxfId="4">
      <formula>$H221="SUBETAPA"</formula>
    </cfRule>
    <cfRule type="expression" priority="3167" dxfId="5">
      <formula>$H221="CÉLULA CONSTRUTIVA"</formula>
    </cfRule>
  </conditionalFormatting>
  <conditionalFormatting sqref="G221:J221">
    <cfRule type="expression" priority="3170" dxfId="3">
      <formula>$H221="ETAPA"</formula>
    </cfRule>
  </conditionalFormatting>
  <conditionalFormatting sqref="G222:K223 G224:J227 K224:K230 L222:M222 N222:N227">
    <cfRule type="expression" priority="49428" dxfId="5">
      <formula>$H222="CÉLULA CONSTRUTIVA"</formula>
    </cfRule>
  </conditionalFormatting>
  <conditionalFormatting sqref="G228:J230 N228:N230">
    <cfRule type="expression" priority="49402" dxfId="4">
      <formula>$H228="SUBETAPA"</formula>
    </cfRule>
    <cfRule type="expression" priority="49401" dxfId="5">
      <formula>$H228="CÉLULA CONSTRUTIVA"</formula>
    </cfRule>
  </conditionalFormatting>
  <conditionalFormatting sqref="G228:J230">
    <cfRule type="expression" priority="49404" dxfId="3">
      <formula>$H228="ETAPA"</formula>
    </cfRule>
  </conditionalFormatting>
  <conditionalFormatting sqref="G231:K232 G233:J236 K233:K239 L231:M231 N231:N236">
    <cfRule type="expression" priority="49378" dxfId="5">
      <formula>$H231="CÉLULA CONSTRUTIVA"</formula>
    </cfRule>
  </conditionalFormatting>
  <conditionalFormatting sqref="G237:J239 N237:N239">
    <cfRule type="expression" priority="49352" dxfId="4">
      <formula>$H237="SUBETAPA"</formula>
    </cfRule>
    <cfRule type="expression" priority="49351" dxfId="5">
      <formula>$H237="CÉLULA CONSTRUTIVA"</formula>
    </cfRule>
  </conditionalFormatting>
  <conditionalFormatting sqref="G237:J239">
    <cfRule type="expression" priority="49354" dxfId="3">
      <formula>$H237="ETAPA"</formula>
    </cfRule>
  </conditionalFormatting>
  <conditionalFormatting sqref="G240:K241 G242:J245 K242:K248 L240:M240 N240:N245">
    <cfRule type="expression" priority="49328" dxfId="5">
      <formula>$H240="CÉLULA CONSTRUTIVA"</formula>
    </cfRule>
  </conditionalFormatting>
  <conditionalFormatting sqref="G246:J248 N246:N248">
    <cfRule type="expression" priority="49302" dxfId="4">
      <formula>$H246="SUBETAPA"</formula>
    </cfRule>
    <cfRule type="expression" priority="49301" dxfId="5">
      <formula>$H246="CÉLULA CONSTRUTIVA"</formula>
    </cfRule>
  </conditionalFormatting>
  <conditionalFormatting sqref="G246:J248">
    <cfRule type="expression" priority="49304" dxfId="3">
      <formula>$H246="ETAPA"</formula>
    </cfRule>
  </conditionalFormatting>
  <conditionalFormatting sqref="G249:K250 G251:J254 K251:K257 L249:M249 N249:N254">
    <cfRule type="expression" priority="49278" dxfId="5">
      <formula>$H249="CÉLULA CONSTRUTIVA"</formula>
    </cfRule>
  </conditionalFormatting>
  <conditionalFormatting sqref="G255:J257 N255:N257">
    <cfRule type="expression" priority="49252" dxfId="4">
      <formula>$H255="SUBETAPA"</formula>
    </cfRule>
    <cfRule type="expression" priority="49251" dxfId="5">
      <formula>$H255="CÉLULA CONSTRUTIVA"</formula>
    </cfRule>
  </conditionalFormatting>
  <conditionalFormatting sqref="G255:J257">
    <cfRule type="expression" priority="49254" dxfId="3">
      <formula>$H255="ETAPA"</formula>
    </cfRule>
  </conditionalFormatting>
  <conditionalFormatting sqref="G258:K259 G260:J263 K260:K266 L258:M258 N258:N263">
    <cfRule type="expression" priority="49228" dxfId="5">
      <formula>$H258="CÉLULA CONSTRUTIVA"</formula>
    </cfRule>
  </conditionalFormatting>
  <conditionalFormatting sqref="G264:J266 N264:N266">
    <cfRule type="expression" priority="49202" dxfId="4">
      <formula>$H264="SUBETAPA"</formula>
    </cfRule>
    <cfRule type="expression" priority="49201" dxfId="5">
      <formula>$H264="CÉLULA CONSTRUTIVA"</formula>
    </cfRule>
  </conditionalFormatting>
  <conditionalFormatting sqref="G264:J266">
    <cfRule type="expression" priority="49204" dxfId="3">
      <formula>$H264="ETAPA"</formula>
    </cfRule>
  </conditionalFormatting>
  <conditionalFormatting sqref="G267:K268 G269:J272 L267:M267 N267:N272">
    <cfRule type="expression" priority="49178" dxfId="5">
      <formula>$H267="CÉLULA CONSTRUTIVA"</formula>
    </cfRule>
  </conditionalFormatting>
  <conditionalFormatting sqref="G349:J349 G350:I350 N349:N350">
    <cfRule type="expression" priority="47755" dxfId="5">
      <formula>$H349="CÉLULA CONSTRUTIVA"</formula>
    </cfRule>
    <cfRule type="expression" priority="47756" dxfId="4">
      <formula>$H349="SUBETAPA"</formula>
    </cfRule>
    <cfRule type="expression" priority="47757" dxfId="3">
      <formula>$H349="ETAPA"</formula>
    </cfRule>
  </conditionalFormatting>
  <conditionalFormatting sqref="G351:J351 G352:I352 N351:N352">
    <cfRule type="expression" priority="47712" dxfId="5">
      <formula>$H351="CÉLULA CONSTRUTIVA"</formula>
    </cfRule>
    <cfRule type="expression" priority="47713" dxfId="4">
      <formula>$H351="SUBETAPA"</formula>
    </cfRule>
    <cfRule type="expression" priority="47714" dxfId="3">
      <formula>$H351="ETAPA"</formula>
    </cfRule>
  </conditionalFormatting>
  <conditionalFormatting sqref="G353:J353 G354:I354 N353:N354">
    <cfRule type="expression" priority="47669" dxfId="5">
      <formula>$H353="CÉLULA CONSTRUTIVA"</formula>
    </cfRule>
    <cfRule type="expression" priority="47670" dxfId="4">
      <formula>$H353="SUBETAPA"</formula>
    </cfRule>
    <cfRule type="expression" priority="47671" dxfId="3">
      <formula>$H353="ETAPA"</formula>
    </cfRule>
  </conditionalFormatting>
  <conditionalFormatting sqref="G355:J355 G356:I356 N355:N356">
    <cfRule type="expression" priority="47626" dxfId="5">
      <formula>$H355="CÉLULA CONSTRUTIVA"</formula>
    </cfRule>
    <cfRule type="expression" priority="47627" dxfId="4">
      <formula>$H355="SUBETAPA"</formula>
    </cfRule>
    <cfRule type="expression" priority="47628" dxfId="3">
      <formula>$H355="ETAPA"</formula>
    </cfRule>
  </conditionalFormatting>
  <conditionalFormatting sqref="G357:J357 G358:I358 N357:N358">
    <cfRule type="expression" priority="47583" dxfId="5">
      <formula>$H357="CÉLULA CONSTRUTIVA"</formula>
    </cfRule>
    <cfRule type="expression" priority="47584" dxfId="4">
      <formula>$H357="SUBETAPA"</formula>
    </cfRule>
    <cfRule type="expression" priority="47585" dxfId="3">
      <formula>$H357="ETAPA"</formula>
    </cfRule>
  </conditionalFormatting>
  <conditionalFormatting sqref="G359:J359 G360:I360 N359:N360">
    <cfRule type="expression" priority="46187" dxfId="5">
      <formula>$H359="CÉLULA CONSTRUTIVA"</formula>
    </cfRule>
    <cfRule type="expression" priority="46188" dxfId="4">
      <formula>$H359="SUBETAPA"</formula>
    </cfRule>
    <cfRule type="expression" priority="46189" dxfId="3">
      <formula>$H359="ETAPA"</formula>
    </cfRule>
  </conditionalFormatting>
  <conditionalFormatting sqref="G361:J361 G362:I362 N361:N362">
    <cfRule type="expression" priority="47540" dxfId="5">
      <formula>$H361="CÉLULA CONSTRUTIVA"</formula>
    </cfRule>
    <cfRule type="expression" priority="47541" dxfId="4">
      <formula>$H361="SUBETAPA"</formula>
    </cfRule>
    <cfRule type="expression" priority="47542" dxfId="3">
      <formula>$H361="ETAPA"</formula>
    </cfRule>
  </conditionalFormatting>
  <conditionalFormatting sqref="G363:J363 G364:I364 N363:N364">
    <cfRule type="expression" priority="47497" dxfId="5">
      <formula>$H363="CÉLULA CONSTRUTIVA"</formula>
    </cfRule>
    <cfRule type="expression" priority="47498" dxfId="4">
      <formula>$H363="SUBETAPA"</formula>
    </cfRule>
    <cfRule type="expression" priority="47499" dxfId="3">
      <formula>$H363="ETAPA"</formula>
    </cfRule>
  </conditionalFormatting>
  <conditionalFormatting sqref="G365:J365 G366:I366 N365:N366">
    <cfRule type="expression" priority="47454" dxfId="5">
      <formula>$H365="CÉLULA CONSTRUTIVA"</formula>
    </cfRule>
    <cfRule type="expression" priority="47455" dxfId="4">
      <formula>$H365="SUBETAPA"</formula>
    </cfRule>
    <cfRule type="expression" priority="47456" dxfId="3">
      <formula>$H365="ETAPA"</formula>
    </cfRule>
  </conditionalFormatting>
  <conditionalFormatting sqref="G367:J367 G368:I368 N367:N368">
    <cfRule type="expression" priority="47411" dxfId="5">
      <formula>$H367="CÉLULA CONSTRUTIVA"</formula>
    </cfRule>
    <cfRule type="expression" priority="47412" dxfId="4">
      <formula>$H367="SUBETAPA"</formula>
    </cfRule>
    <cfRule type="expression" priority="47413" dxfId="3">
      <formula>$H367="ETAPA"</formula>
    </cfRule>
  </conditionalFormatting>
  <conditionalFormatting sqref="G369:J369 G370:I370 N369:N370">
    <cfRule type="expression" priority="47368" dxfId="5">
      <formula>$H369="CÉLULA CONSTRUTIVA"</formula>
    </cfRule>
    <cfRule type="expression" priority="47369" dxfId="4">
      <formula>$H369="SUBETAPA"</formula>
    </cfRule>
    <cfRule type="expression" priority="47370" dxfId="3">
      <formula>$H369="ETAPA"</formula>
    </cfRule>
  </conditionalFormatting>
  <conditionalFormatting sqref="G371:J371 G372:I372 N371:N372">
    <cfRule type="expression" priority="47325" dxfId="5">
      <formula>$H371="CÉLULA CONSTRUTIVA"</formula>
    </cfRule>
    <cfRule type="expression" priority="47326" dxfId="4">
      <formula>$H371="SUBETAPA"</formula>
    </cfRule>
    <cfRule type="expression" priority="47327" dxfId="3">
      <formula>$H371="ETAPA"</formula>
    </cfRule>
  </conditionalFormatting>
  <conditionalFormatting sqref="G373:J373 G374:I374 N373:N374">
    <cfRule type="expression" priority="47282" dxfId="5">
      <formula>$H373="CÉLULA CONSTRUTIVA"</formula>
    </cfRule>
    <cfRule type="expression" priority="47283" dxfId="4">
      <formula>$H373="SUBETAPA"</formula>
    </cfRule>
    <cfRule type="expression" priority="47284" dxfId="3">
      <formula>$H373="ETAPA"</formula>
    </cfRule>
  </conditionalFormatting>
  <conditionalFormatting sqref="G375:J375 G376:I376 N375:N376">
    <cfRule type="expression" priority="47239" dxfId="5">
      <formula>$H375="CÉLULA CONSTRUTIVA"</formula>
    </cfRule>
    <cfRule type="expression" priority="47240" dxfId="4">
      <formula>$H375="SUBETAPA"</formula>
    </cfRule>
    <cfRule type="expression" priority="47241" dxfId="3">
      <formula>$H375="ETAPA"</formula>
    </cfRule>
  </conditionalFormatting>
  <conditionalFormatting sqref="G377:J377 G378:I378 N377:N378">
    <cfRule type="expression" priority="47196" dxfId="5">
      <formula>$H377="CÉLULA CONSTRUTIVA"</formula>
    </cfRule>
    <cfRule type="expression" priority="47197" dxfId="4">
      <formula>$H377="SUBETAPA"</formula>
    </cfRule>
    <cfRule type="expression" priority="47198" dxfId="3">
      <formula>$H377="ETAPA"</formula>
    </cfRule>
  </conditionalFormatting>
  <conditionalFormatting sqref="G808:J808">
    <cfRule type="expression" priority="86867" dxfId="3">
      <formula>$H808="ETAPA"</formula>
    </cfRule>
    <cfRule type="expression" priority="86868" dxfId="5">
      <formula>$H808="CÉLULA CONSTRUTIVA"</formula>
    </cfRule>
  </conditionalFormatting>
  <conditionalFormatting sqref="G28:K28 H29:I30">
    <cfRule type="expression" priority="50759" dxfId="3">
      <formula>$H28="ETAPA"</formula>
    </cfRule>
  </conditionalFormatting>
  <conditionalFormatting sqref="G31:K31 H32:K32">
    <cfRule type="expression" priority="50638" dxfId="3">
      <formula>$H31="ETAPA"</formula>
    </cfRule>
  </conditionalFormatting>
  <conditionalFormatting sqref="G31:K31 H32:I32 K32 N32:O32">
    <cfRule type="expression" priority="50758" dxfId="5">
      <formula>$H31="CÉLULA CONSTRUTIVA"</formula>
    </cfRule>
  </conditionalFormatting>
  <conditionalFormatting sqref="G34:K34">
    <cfRule type="expression" priority="50622" dxfId="3">
      <formula>$H34="ETAPA"</formula>
    </cfRule>
  </conditionalFormatting>
  <conditionalFormatting sqref="G39:K39 H40:I40 K40">
    <cfRule type="expression" priority="50563" dxfId="3">
      <formula>$H39="ETAPA"</formula>
    </cfRule>
  </conditionalFormatting>
  <conditionalFormatting sqref="G39:K39 H40:I40 K40 N40:O40">
    <cfRule type="expression" priority="50621" dxfId="5">
      <formula>$H39="CÉLULA CONSTRUTIVA"</formula>
    </cfRule>
  </conditionalFormatting>
  <conditionalFormatting sqref="G44:K44">
    <cfRule type="expression" priority="50549" dxfId="3">
      <formula>$H44="ETAPA"</formula>
    </cfRule>
  </conditionalFormatting>
  <conditionalFormatting sqref="G49:K49 H50:K50">
    <cfRule type="expression" priority="50460" dxfId="3">
      <formula>$H49="ETAPA"</formula>
    </cfRule>
  </conditionalFormatting>
  <conditionalFormatting sqref="G49:K49 H50:I50 K50 N50:O50">
    <cfRule type="expression" priority="50548" dxfId="5">
      <formula>$H49="CÉLULA CONSTRUTIVA"</formula>
    </cfRule>
  </conditionalFormatting>
  <conditionalFormatting sqref="G52:K52">
    <cfRule type="expression" priority="50415" dxfId="5">
      <formula>$H52="CÉLULA CONSTRUTIVA"</formula>
    </cfRule>
  </conditionalFormatting>
  <conditionalFormatting sqref="G56:K56">
    <cfRule type="expression" priority="50360" dxfId="5">
      <formula>$H56="CÉLULA CONSTRUTIVA"</formula>
    </cfRule>
  </conditionalFormatting>
  <conditionalFormatting sqref="G62:K62 N62">
    <cfRule type="expression" priority="50925" dxfId="5">
      <formula>$H62="CÉLULA CONSTRUTIVA"</formula>
    </cfRule>
  </conditionalFormatting>
  <conditionalFormatting sqref="G83:K83 G85:K87 G88:I88 G89:K89 G90:I90 G91:K92 K88 K90">
    <cfRule type="expression" priority="50342" dxfId="4">
      <formula>$H83="SUBETAPA"</formula>
    </cfRule>
  </conditionalFormatting>
  <conditionalFormatting sqref="G80:G82 G83:K83 G85:K87 G88:I88 G89:K89 G90:I90 G91:K92 K88 K90 L80:L83 M94:O94 M95:N95 N80:N83 N85:N93 O80">
    <cfRule type="expression" priority="50312" dxfId="5">
      <formula>$H80="CÉLULA CONSTRUTIVA"</formula>
    </cfRule>
  </conditionalFormatting>
  <conditionalFormatting sqref="G84:K84 N84">
    <cfRule type="expression" priority="50294" dxfId="5">
      <formula>$H84="CÉLULA CONSTRUTIVA"</formula>
    </cfRule>
    <cfRule type="expression" priority="50307" dxfId="3">
      <formula>$H84="ETAPA"</formula>
    </cfRule>
  </conditionalFormatting>
  <conditionalFormatting sqref="G84:K84">
    <cfRule type="expression" priority="50308" dxfId="4">
      <formula>$H84="SUBETAPA"</formula>
    </cfRule>
  </conditionalFormatting>
  <conditionalFormatting sqref="G97:K98">
    <cfRule type="expression" priority="50180" dxfId="4">
      <formula>$H97="SUBETAPA"</formula>
    </cfRule>
  </conditionalFormatting>
  <conditionalFormatting sqref="G104:K104">
    <cfRule type="expression" priority="50133" dxfId="4">
      <formula>$H104="SUBETAPA"</formula>
    </cfRule>
  </conditionalFormatting>
  <conditionalFormatting sqref="G106:K106">
    <cfRule type="expression" priority="50115" dxfId="4">
      <formula>$H106="SUBETAPA"</formula>
    </cfRule>
  </conditionalFormatting>
  <conditionalFormatting sqref="G108:K108">
    <cfRule type="expression" priority="50097" dxfId="4">
      <formula>$H108="SUBETAPA"</formula>
    </cfRule>
  </conditionalFormatting>
  <conditionalFormatting sqref="G110:K110">
    <cfRule type="expression" priority="50079" dxfId="4">
      <formula>$H110="SUBETAPA"</formula>
    </cfRule>
  </conditionalFormatting>
  <conditionalFormatting sqref="G112:K112">
    <cfRule type="expression" priority="50061" dxfId="4">
      <formula>$H112="SUBETAPA"</formula>
    </cfRule>
  </conditionalFormatting>
  <conditionalFormatting sqref="G114:K114">
    <cfRule type="expression" priority="46363" dxfId="4">
      <formula>$H114="SUBETAPA"</formula>
    </cfRule>
  </conditionalFormatting>
  <conditionalFormatting sqref="G115:K116">
    <cfRule type="expression" priority="50043" dxfId="4">
      <formula>$H115="SUBETAPA"</formula>
    </cfRule>
  </conditionalFormatting>
  <conditionalFormatting sqref="G118:K118">
    <cfRule type="expression" priority="50025" dxfId="4">
      <formula>$H118="SUBETAPA"</formula>
    </cfRule>
  </conditionalFormatting>
  <conditionalFormatting sqref="G120:K120">
    <cfRule type="expression" priority="50007" dxfId="4">
      <formula>$H120="SUBETAPA"</formula>
    </cfRule>
  </conditionalFormatting>
  <conditionalFormatting sqref="G122:K122">
    <cfRule type="expression" priority="49989" dxfId="4">
      <formula>$H122="SUBETAPA"</formula>
    </cfRule>
  </conditionalFormatting>
  <conditionalFormatting sqref="G125:K125">
    <cfRule type="expression" priority="49952" dxfId="4">
      <formula>$H125="SUBETAPA"</formula>
    </cfRule>
  </conditionalFormatting>
  <conditionalFormatting sqref="G128:K128">
    <cfRule type="expression" priority="49915" dxfId="4">
      <formula>$H128="SUBETAPA"</formula>
    </cfRule>
  </conditionalFormatting>
  <conditionalFormatting sqref="G131:K131">
    <cfRule type="expression" priority="49878" dxfId="4">
      <formula>$H131="SUBETAPA"</formula>
    </cfRule>
  </conditionalFormatting>
  <conditionalFormatting sqref="G133:K133">
    <cfRule type="expression" priority="49860" dxfId="4">
      <formula>$H133="SUBETAPA"</formula>
    </cfRule>
  </conditionalFormatting>
  <conditionalFormatting sqref="G136:K136">
    <cfRule type="expression" priority="49823" dxfId="4">
      <formula>$H136="SUBETAPA"</formula>
    </cfRule>
  </conditionalFormatting>
  <conditionalFormatting sqref="G149:K149 G150:J153 K150:K156">
    <cfRule type="expression" priority="49761" dxfId="3">
      <formula>$H149="ETAPA"</formula>
    </cfRule>
  </conditionalFormatting>
  <conditionalFormatting sqref="G159:K159 G160:J163 K160:K166">
    <cfRule type="expression" priority="49675" dxfId="3">
      <formula>$H159="ETAPA"</formula>
    </cfRule>
  </conditionalFormatting>
  <conditionalFormatting sqref="G169:K169 G170:J173 K170:K176">
    <cfRule type="expression" priority="49589" dxfId="3">
      <formula>$H169="ETAPA"</formula>
    </cfRule>
  </conditionalFormatting>
  <conditionalFormatting sqref="G178:K178 N178">
    <cfRule type="expression" priority="3317" dxfId="5">
      <formula>$H178="CÉLULA CONSTRUTIVA"</formula>
    </cfRule>
    <cfRule type="expression" priority="3318" dxfId="4">
      <formula>$H178="SUBETAPA"</formula>
    </cfRule>
  </conditionalFormatting>
  <conditionalFormatting sqref="G178:K178">
    <cfRule type="expression" priority="3320" dxfId="3">
      <formula>$H178="ETAPA"</formula>
    </cfRule>
  </conditionalFormatting>
  <conditionalFormatting sqref="G187:K187 N187">
    <cfRule type="expression" priority="3283" dxfId="5">
      <formula>$H187="CÉLULA CONSTRUTIVA"</formula>
    </cfRule>
    <cfRule type="expression" priority="3284" dxfId="4">
      <formula>$H187="SUBETAPA"</formula>
    </cfRule>
  </conditionalFormatting>
  <conditionalFormatting sqref="G187:K187">
    <cfRule type="expression" priority="3286" dxfId="3">
      <formula>$H187="ETAPA"</formula>
    </cfRule>
  </conditionalFormatting>
  <conditionalFormatting sqref="G196:K196 N196">
    <cfRule type="expression" priority="3249" dxfId="5">
      <formula>$H196="CÉLULA CONSTRUTIVA"</formula>
    </cfRule>
    <cfRule type="expression" priority="3250" dxfId="4">
      <formula>$H196="SUBETAPA"</formula>
    </cfRule>
  </conditionalFormatting>
  <conditionalFormatting sqref="G196:K196">
    <cfRule type="expression" priority="3252" dxfId="3">
      <formula>$H196="ETAPA"</formula>
    </cfRule>
  </conditionalFormatting>
  <conditionalFormatting sqref="G205:K205 N205">
    <cfRule type="expression" priority="3215" dxfId="5">
      <formula>$H205="CÉLULA CONSTRUTIVA"</formula>
    </cfRule>
    <cfRule type="expression" priority="3216" dxfId="4">
      <formula>$H205="SUBETAPA"</formula>
    </cfRule>
  </conditionalFormatting>
  <conditionalFormatting sqref="G205:K205">
    <cfRule type="expression" priority="3218" dxfId="3">
      <formula>$H205="ETAPA"</formula>
    </cfRule>
  </conditionalFormatting>
  <conditionalFormatting sqref="G214:K214 N214">
    <cfRule type="expression" priority="3181" dxfId="5">
      <formula>$H214="CÉLULA CONSTRUTIVA"</formula>
    </cfRule>
    <cfRule type="expression" priority="3182" dxfId="4">
      <formula>$H214="SUBETAPA"</formula>
    </cfRule>
  </conditionalFormatting>
  <conditionalFormatting sqref="G214:K214">
    <cfRule type="expression" priority="3184" dxfId="3">
      <formula>$H214="ETAPA"</formula>
    </cfRule>
  </conditionalFormatting>
  <conditionalFormatting sqref="G223:K223 G224:J227 K224:K230">
    <cfRule type="expression" priority="49431" dxfId="3">
      <formula>$H223="ETAPA"</formula>
    </cfRule>
  </conditionalFormatting>
  <conditionalFormatting sqref="G232:K232 G233:J236 K233:K239">
    <cfRule type="expression" priority="49381" dxfId="3">
      <formula>$H232="ETAPA"</formula>
    </cfRule>
  </conditionalFormatting>
  <conditionalFormatting sqref="G241:K241 G242:J245 K242:K248">
    <cfRule type="expression" priority="49331" dxfId="3">
      <formula>$H241="ETAPA"</formula>
    </cfRule>
  </conditionalFormatting>
  <conditionalFormatting sqref="G250:K250 G251:J254 K251:K257">
    <cfRule type="expression" priority="49281" dxfId="3">
      <formula>$H250="ETAPA"</formula>
    </cfRule>
  </conditionalFormatting>
  <conditionalFormatting sqref="G259:K259 G260:J263 K260:K266">
    <cfRule type="expression" priority="49231" dxfId="3">
      <formula>$H259="ETAPA"</formula>
    </cfRule>
  </conditionalFormatting>
  <conditionalFormatting sqref="G268:K268 G269:J272">
    <cfRule type="expression" priority="49181" dxfId="3">
      <formula>$H268="ETAPA"</formula>
    </cfRule>
  </conditionalFormatting>
  <conditionalFormatting sqref="G274:K275 L274:M274">
    <cfRule type="expression" priority="49143" dxfId="5">
      <formula>$H274="CÉLULA CONSTRUTIVA"</formula>
    </cfRule>
  </conditionalFormatting>
  <conditionalFormatting sqref="G275:K275">
    <cfRule type="expression" priority="49146" dxfId="3">
      <formula>$H275="ETAPA"</formula>
    </cfRule>
  </conditionalFormatting>
  <conditionalFormatting sqref="G280:K280 N280">
    <cfRule type="expression" priority="49125" dxfId="4">
      <formula>$H280="SUBETAPA"</formula>
    </cfRule>
    <cfRule type="expression" priority="49126" dxfId="3">
      <formula>$H280="ETAPA"</formula>
    </cfRule>
  </conditionalFormatting>
  <conditionalFormatting sqref="G283:K284 N283:N284">
    <cfRule type="expression" priority="49104" dxfId="5">
      <formula>$H283="CÉLULA CONSTRUTIVA"</formula>
    </cfRule>
    <cfRule type="expression" priority="49105" dxfId="4">
      <formula>$H283="SUBETAPA"</formula>
    </cfRule>
    <cfRule type="expression" priority="49106" dxfId="3">
      <formula>$H283="ETAPA"</formula>
    </cfRule>
  </conditionalFormatting>
  <conditionalFormatting sqref="G285:K286 N285:N286">
    <cfRule type="expression" priority="49058" dxfId="5">
      <formula>$H285="CÉLULA CONSTRUTIVA"</formula>
    </cfRule>
    <cfRule type="expression" priority="49059" dxfId="4">
      <formula>$H285="SUBETAPA"</formula>
    </cfRule>
    <cfRule type="expression" priority="49060" dxfId="3">
      <formula>$H285="ETAPA"</formula>
    </cfRule>
  </conditionalFormatting>
  <conditionalFormatting sqref="G287:K288 N287:N288">
    <cfRule type="expression" priority="49012" dxfId="5">
      <formula>$H287="CÉLULA CONSTRUTIVA"</formula>
    </cfRule>
    <cfRule type="expression" priority="49013" dxfId="4">
      <formula>$H287="SUBETAPA"</formula>
    </cfRule>
    <cfRule type="expression" priority="49014" dxfId="3">
      <formula>$H287="ETAPA"</formula>
    </cfRule>
  </conditionalFormatting>
  <conditionalFormatting sqref="G289:K290 N289:N290">
    <cfRule type="expression" priority="48966" dxfId="5">
      <formula>$H289="CÉLULA CONSTRUTIVA"</formula>
    </cfRule>
    <cfRule type="expression" priority="48967" dxfId="4">
      <formula>$H289="SUBETAPA"</formula>
    </cfRule>
    <cfRule type="expression" priority="48968" dxfId="3">
      <formula>$H289="ETAPA"</formula>
    </cfRule>
  </conditionalFormatting>
  <conditionalFormatting sqref="G291:K292 N291:N292">
    <cfRule type="expression" priority="48920" dxfId="5">
      <formula>$H291="CÉLULA CONSTRUTIVA"</formula>
    </cfRule>
    <cfRule type="expression" priority="48921" dxfId="4">
      <formula>$H291="SUBETAPA"</formula>
    </cfRule>
    <cfRule type="expression" priority="48922" dxfId="3">
      <formula>$H291="ETAPA"</formula>
    </cfRule>
  </conditionalFormatting>
  <conditionalFormatting sqref="G293:K294 N293:N294">
    <cfRule type="expression" priority="48874" dxfId="5">
      <formula>$H293="CÉLULA CONSTRUTIVA"</formula>
    </cfRule>
    <cfRule type="expression" priority="48875" dxfId="4">
      <formula>$H293="SUBETAPA"</formula>
    </cfRule>
    <cfRule type="expression" priority="48876" dxfId="3">
      <formula>$H293="ETAPA"</formula>
    </cfRule>
  </conditionalFormatting>
  <conditionalFormatting sqref="G295:K296 N295:N296">
    <cfRule type="expression" priority="46285" dxfId="5">
      <formula>$H295="CÉLULA CONSTRUTIVA"</formula>
    </cfRule>
    <cfRule type="expression" priority="46286" dxfId="4">
      <formula>$H295="SUBETAPA"</formula>
    </cfRule>
    <cfRule type="expression" priority="46287" dxfId="3">
      <formula>$H295="ETAPA"</formula>
    </cfRule>
  </conditionalFormatting>
  <conditionalFormatting sqref="G297:K298 N297:N298">
    <cfRule type="expression" priority="48828" dxfId="5">
      <formula>$H297="CÉLULA CONSTRUTIVA"</formula>
    </cfRule>
    <cfRule type="expression" priority="48829" dxfId="4">
      <formula>$H297="SUBETAPA"</formula>
    </cfRule>
    <cfRule type="expression" priority="48830" dxfId="3">
      <formula>$H297="ETAPA"</formula>
    </cfRule>
  </conditionalFormatting>
  <conditionalFormatting sqref="G299:K300 N299:N300">
    <cfRule type="expression" priority="48782" dxfId="5">
      <formula>$H299="CÉLULA CONSTRUTIVA"</formula>
    </cfRule>
    <cfRule type="expression" priority="48783" dxfId="4">
      <formula>$H299="SUBETAPA"</formula>
    </cfRule>
    <cfRule type="expression" priority="48784" dxfId="3">
      <formula>$H299="ETAPA"</formula>
    </cfRule>
  </conditionalFormatting>
  <conditionalFormatting sqref="G301:K302 N301:N302">
    <cfRule type="expression" priority="48736" dxfId="5">
      <formula>$H301="CÉLULA CONSTRUTIVA"</formula>
    </cfRule>
    <cfRule type="expression" priority="48737" dxfId="4">
      <formula>$H301="SUBETAPA"</formula>
    </cfRule>
    <cfRule type="expression" priority="48738" dxfId="3">
      <formula>$H301="ETAPA"</formula>
    </cfRule>
  </conditionalFormatting>
  <conditionalFormatting sqref="G305:K306 N305:N306">
    <cfRule type="expression" priority="48644" dxfId="5">
      <formula>$H305="CÉLULA CONSTRUTIVA"</formula>
    </cfRule>
    <cfRule type="expression" priority="48645" dxfId="4">
      <formula>$H305="SUBETAPA"</formula>
    </cfRule>
    <cfRule type="expression" priority="48646" dxfId="3">
      <formula>$H305="ETAPA"</formula>
    </cfRule>
  </conditionalFormatting>
  <conditionalFormatting sqref="G307:K307 G308:I308 K308 N307:N308">
    <cfRule type="expression" priority="48598" dxfId="5">
      <formula>$H307="CÉLULA CONSTRUTIVA"</formula>
    </cfRule>
    <cfRule type="expression" priority="48600" dxfId="3">
      <formula>$H307="ETAPA"</formula>
    </cfRule>
  </conditionalFormatting>
  <conditionalFormatting sqref="G309:K310 N309:N310">
    <cfRule type="expression" priority="48552" dxfId="5">
      <formula>$H309="CÉLULA CONSTRUTIVA"</formula>
    </cfRule>
    <cfRule type="expression" priority="48553" dxfId="4">
      <formula>$H309="SUBETAPA"</formula>
    </cfRule>
    <cfRule type="expression" priority="48554" dxfId="3">
      <formula>$H309="ETAPA"</formula>
    </cfRule>
  </conditionalFormatting>
  <conditionalFormatting sqref="G311:K312 N311:N312">
    <cfRule type="expression" priority="48506" dxfId="5">
      <formula>$H311="CÉLULA CONSTRUTIVA"</formula>
    </cfRule>
    <cfRule type="expression" priority="48507" dxfId="4">
      <formula>$H311="SUBETAPA"</formula>
    </cfRule>
    <cfRule type="expression" priority="48508" dxfId="3">
      <formula>$H311="ETAPA"</formula>
    </cfRule>
  </conditionalFormatting>
  <conditionalFormatting sqref="G347:K347">
    <cfRule type="expression" priority="47801" dxfId="5">
      <formula>$H347="CÉLULA CONSTRUTIVA"</formula>
    </cfRule>
    <cfRule type="expression" priority="47803" dxfId="3">
      <formula>$H347="ETAPA"</formula>
    </cfRule>
  </conditionalFormatting>
  <conditionalFormatting sqref="G384:K384 M384 O384">
    <cfRule type="expression" priority="99291" dxfId="4">
      <formula>$H384="SUBETAPA"</formula>
    </cfRule>
  </conditionalFormatting>
  <conditionalFormatting sqref="G589:K589 M589 O589">
    <cfRule type="expression" priority="100433" dxfId="4">
      <formula>$H589="SUBETAPA"</formula>
    </cfRule>
  </conditionalFormatting>
  <conditionalFormatting sqref="G608:K608 M608 O608">
    <cfRule type="expression" priority="100528" dxfId="4">
      <formula>$H608="SUBETAPA"</formula>
    </cfRule>
  </conditionalFormatting>
  <conditionalFormatting sqref="G608:K609 M608:M609 O608:O609">
    <cfRule type="expression" priority="100529" dxfId="3">
      <formula>$H608="ETAPA"</formula>
    </cfRule>
  </conditionalFormatting>
  <conditionalFormatting sqref="G809:K809 G810:J810 H811:K811 H816:K816 H817:J817">
    <cfRule type="expression" priority="56838" dxfId="3">
      <formula>$H809="ETAPA"</formula>
    </cfRule>
    <cfRule type="expression" priority="56839" dxfId="5">
      <formula>$H809="CÉLULA CONSTRUTIVA"</formula>
    </cfRule>
  </conditionalFormatting>
  <conditionalFormatting sqref="G820:K820 G821:J821 H822:K822">
    <cfRule type="expression" priority="56947" dxfId="3">
      <formula>$H820="ETAPA"</formula>
    </cfRule>
    <cfRule type="expression" priority="56948" dxfId="5">
      <formula>$H820="CÉLULA CONSTRUTIVA"</formula>
    </cfRule>
  </conditionalFormatting>
  <conditionalFormatting sqref="G829:K829 G830:J830 H831:K831">
    <cfRule type="expression" priority="57056" dxfId="3">
      <formula>$H829="ETAPA"</formula>
    </cfRule>
    <cfRule type="expression" priority="57057" dxfId="5">
      <formula>$H829="CÉLULA CONSTRUTIVA"</formula>
    </cfRule>
  </conditionalFormatting>
  <conditionalFormatting sqref="G838:K838 G839:J839 H840:K840">
    <cfRule type="expression" priority="57165" dxfId="3">
      <formula>$H838="ETAPA"</formula>
    </cfRule>
    <cfRule type="expression" priority="57166" dxfId="5">
      <formula>$H838="CÉLULA CONSTRUTIVA"</formula>
    </cfRule>
  </conditionalFormatting>
  <conditionalFormatting sqref="G847:K847 G848:J848 H849:K849">
    <cfRule type="expression" priority="57274" dxfId="3">
      <formula>$H847="ETAPA"</formula>
    </cfRule>
    <cfRule type="expression" priority="57275" dxfId="5">
      <formula>$H847="CÉLULA CONSTRUTIVA"</formula>
    </cfRule>
  </conditionalFormatting>
  <conditionalFormatting sqref="G856:K856 G857:J857 H858:K858">
    <cfRule type="expression" priority="57383" dxfId="3">
      <formula>$H856="ETAPA"</formula>
    </cfRule>
    <cfRule type="expression" priority="57384" dxfId="5">
      <formula>$H856="CÉLULA CONSTRUTIVA"</formula>
    </cfRule>
  </conditionalFormatting>
  <conditionalFormatting sqref="G865:K865 G866:J866 H867:K867">
    <cfRule type="expression" priority="57492" dxfId="3">
      <formula>$H865="ETAPA"</formula>
    </cfRule>
    <cfRule type="expression" priority="57493" dxfId="5">
      <formula>$H865="CÉLULA CONSTRUTIVA"</formula>
    </cfRule>
  </conditionalFormatting>
  <conditionalFormatting sqref="G874:K874 G875:J875 H876:K876">
    <cfRule type="expression" priority="57601" dxfId="3">
      <formula>$H874="ETAPA"</formula>
    </cfRule>
    <cfRule type="expression" priority="57602" dxfId="5">
      <formula>$H874="CÉLULA CONSTRUTIVA"</formula>
    </cfRule>
  </conditionalFormatting>
  <conditionalFormatting sqref="G883:K883 G884:J884 H885:K885">
    <cfRule type="expression" priority="57710" dxfId="3">
      <formula>$H883="ETAPA"</formula>
    </cfRule>
    <cfRule type="expression" priority="57711" dxfId="5">
      <formula>$H883="CÉLULA CONSTRUTIVA"</formula>
    </cfRule>
  </conditionalFormatting>
  <conditionalFormatting sqref="G892:K892 G893:J893 H894:K894 H899:K899 H900:J900">
    <cfRule type="expression" priority="57819" dxfId="3">
      <formula>$H892="ETAPA"</formula>
    </cfRule>
    <cfRule type="expression" priority="57820" dxfId="5">
      <formula>$H892="CÉLULA CONSTRUTIVA"</formula>
    </cfRule>
  </conditionalFormatting>
  <conditionalFormatting sqref="G903:K903 G904:J904 H905:K905 H910:K910 H911:J911">
    <cfRule type="expression" priority="57928" dxfId="3">
      <formula>$H903="ETAPA"</formula>
    </cfRule>
    <cfRule type="expression" priority="57929" dxfId="5">
      <formula>$H903="CÉLULA CONSTRUTIVA"</formula>
    </cfRule>
  </conditionalFormatting>
  <conditionalFormatting sqref="G914:K914 G915:J915 H916:K916">
    <cfRule type="expression" priority="58037" dxfId="3">
      <formula>$H914="ETAPA"</formula>
    </cfRule>
    <cfRule type="expression" priority="58038" dxfId="5">
      <formula>$H914="CÉLULA CONSTRUTIVA"</formula>
    </cfRule>
  </conditionalFormatting>
  <conditionalFormatting sqref="G923:K923 G924:J924 H925:K925">
    <cfRule type="expression" priority="58146" dxfId="3">
      <formula>$H923="ETAPA"</formula>
    </cfRule>
    <cfRule type="expression" priority="58147" dxfId="5">
      <formula>$H923="CÉLULA CONSTRUTIVA"</formula>
    </cfRule>
  </conditionalFormatting>
  <conditionalFormatting sqref="G932:K932 G933:J933 H934:K934 H939:K939 H940:J940">
    <cfRule type="expression" priority="58255" dxfId="3">
      <formula>$H932="ETAPA"</formula>
    </cfRule>
    <cfRule type="expression" priority="58256" dxfId="5">
      <formula>$H932="CÉLULA CONSTRUTIVA"</formula>
    </cfRule>
  </conditionalFormatting>
  <conditionalFormatting sqref="G619:L619 G620:M622 G623:G638 G943:M945 G959:M960 G974:M975 G989:M990 G1004:M1005 G1019:M1020 G1034:M1035 G1049:M1050 G1064:M1065 G1079:M1080 G1094:M1095 G1109:M1110 G1124:M1125 G1139:M1140 G1239:K1241 G1244 G1250:G1251 G1252:L1252 G1263:K1266 G1277:K1280 G1291:K1294 G1305:K1308 G1319:K1322 G1333:K1336 G1347:K1350 G1361:K1365 G1366:H1367 G1386:H1387 G1393:H1394 G1400:H1401 G1405:H1406 G1410:H1411 G1415:H1416 H633:M635 H646:M648 H659:M661 H672:M674 H685:M687 H698:M700 H711:M713 H724:M726 H737:M739 H750:M752 H763:M765 H776:M778 H789:M791 H802:M804 H818:M819 H827:M828 H836:M837 H845:M846 H854:M855 H863:M864 H872:M873 H881:M882 H890:M891 H901:M902 H912:M913 H921:M922 H930:M931 H941:M942 H946:M946 H947:L950 H951:M952 H954:M954 H961:M961 H962:L965 H966:M967 H969:M969 H976:M976 H977:L980 H981:M982 H984:M984 H991:M991 H992:L995 H996:M997 H999:M999 H1006:M1006 H1007:L1010 H1011:M1012 H1014:M1014 H1021:M1021 H1022:L1025 H1026:M1027 H1029:M1029 H1036:M1036 H1037:L1040 H1041:M1042 H1044:M1044 H1051:M1051 H1052:L1055 H1056:M1057 H1059:M1059 H1066:M1066 H1067:L1070 H1071:M1072 H1074:M1074 H1081:M1081 H1082:L1085 H1086:M1087 H1089:M1089 H1096:M1096 H1097:L1100 H1101:M1102 H1104:M1104 H1111:M1111 H1112:L1115 H1116:M1117 H1119:M1119 H1126:M1126 H1127:L1130 H1131:M1132 H1134:M1134 H1141:M1141 H1142:L1145 H1146:M1147 H1149:M1149 H1158:L1158 H1163:L1163 H1168:L1168 H1173:L1173 H1178:L1178 H1183:L1183 H1190:L1190 H1197:L1197 H1204:L1204 H1211:L1211 H1218:L1218 H1223:L1223 H1230:L1230 H1235:L1235 H1242:L1243 H1249:J1249 H1250:M1250 H1257:L1257 H1259:L1259 H1262:K1262 H1271:L1271 H1273:L1273 H1276:K1276 H1285:L1285 H1287:L1287 H1290:K1290 H1299:L1299 H1301:L1301 H1304:K1304 H1313:L1313 H1315:L1315 H1318:K1318 H1327:L1327 H1329:L1329 H1332:K1332 H1341:L1341 H1343:L1343 H1346:K1346 H1355:L1355 H1357:L1357 H1360:K1360 H1391:H1392 H1398:H1399 J1251 J1366:K1368 J1386:K1388 J1391:L1392 J1393:K1395 J1398:L1399 J1400:K1402 J1405:K1407 J1410:K1412 J1415:K1417 K624:M624 K626:M626 K628:M628 K630:M630 K632:M632 K637:M637 K641:M641 K643:M643 K645:M645 K650:M650 K654:M654 K656:M656 K658:M658 K663:M663 K667:M667 K669:M669 K671:M671 K676:M676 K680:M680 K682:M682 K684:M684 K689:M689 K693:M693 K695:M695 K697:M697 K702:M702 K706:M706 K708:M708 K710:M710 K715:M715 K719:M719 K721:M721 K723:M723 K728:M728 K732:M732 K734:M734 K736:M736 K741:M741 K745:M745 K747:M747 K749:M749 K754:M754 K758:M758 K760:M760 K762:M762 K767:M767 K771:M771 K773:M773 K775:M775 K780:M780 K784:M784 K786:M786 K788:M788 K793:M793 K797:M797 K799:M799 K801:M801 K806:M806 K808:M808 K810:M810 K815:M815 K817:M817 K821:M821 K826:M826 K830:M830 K835:M835 K839:M839 K844:M844 K848:M848 K853:M853 K857:M857 K862:M862 K866:M866 K871:M871 K875:M875 K880:M880 K884:M884 K889:M889 K893:M893 K898:M898 K900:M900 K904:M904 K909:M909 K911:M911 K915:M915 K920:M920 K924:M924 K929:M929 K933:M933 K938:M938 K940:M940 K956:M956 K958:M958 K971:M971 K973:M973 K986:M986 K988:M988 K1001:M1001 K1003:M1003 K1016:M1016 K1018:M1018 K1031:M1031 K1033:M1033 K1046:M1046 K1048:M1048 K1061:M1061 K1063:M1063 K1076:M1076 K1078:M1078 K1091:M1091 K1093:M1093 K1106:M1106 K1108:M1108 K1121:M1121 K1123:M1123 K1136:M1136 K1138:M1138 K1151:M1151 K1153:M1153 K1156:M1156 K1159:L1159 K1164:L1164 K1169:L1169 K1174:L1174 K1179:L1179 K1184:L1184 K1188:M1188 K1191:L1191 K1195:M1195 K1198:L1198 K1202:M1202 K1205:L1205 K1209:M1209 K1212:L1212 K1216:M1216 K1219:L1219 K1224:L1224 K1228:M1228 K1231:L1231 K1236:L1236 K1244:M1244 K1255:M1255 K1258:M1258 K1260:M1261 K1269:M1269 K1272:M1272 K1274:M1275 K1283:M1283 K1286:M1286 K1288:M1289 K1297:M1297 K1300:M1300 K1302:M1303 K1311:M1311 K1314:M1314 K1316:M1317 K1325:L1325 K1328:L1328 K1330:L1331 K1339:M1339 K1342:M1342 K1344:M1345 K1353:M1353 K1356:M1356 K1358:M1359 K1369:M1369 K1372:M1372 K1375:M1375 K1378:M1378 K1381:M1381 K1384:M1384 K1389:M1389 K1396:M1396 K1403:M1403 K1408:M1408 K1413:M1413 K1418:M1418 K1421:M1421 L623 L625 L627 L629 L631 L636 L638 L640 L642 L644 L649 L651 L653 L655 L657 L662 L664 L666 L668 L670 L675 L677 L679 L681 L683 L688 L690 L692 L694 L696 L701 L703 L705 L707 L709 L714 L716 L718 L720 L722 L727 L729 L731 L733 L735 L740 L742 L744 L746 L748 L753 L755 L757 L759 L761 L766 L768 L770 L772 L774 L779 L781 L783 L785 L787 L792 L794 L796 L798 L800 L805 L807 L809 L811 L814 L816 L820 L822 L825 L829 L831 L834 L838 L840 L843 L847 L849 L852 L856 L858 L861 L865 L867 L870 L874 L876 L879 L883 L885 L888 L892 L894 L897 L899 L903 L905 L908 L910 L914 L916 L919 L923 L925 L928 L932 L934 L937 L939 L953:M953 L955 L957 L968:M968 L970 L972 L983:M983 L985 L987 L998:M998 L1000 L1002 L1013:M1013 L1015 L1017 L1028:M1028 L1030 L1032 L1043:M1043 L1045 L1047 L1058:M1058 L1060 L1062 L1073:M1073 L1075 L1077 L1088:M1088 L1090 L1092 L1103:M1103 L1105 L1107 L1118:M1118 L1120 L1122 L1133:M1133 L1135 L1137 L1148:M1148 L1150 L1152 L1154:L1155 L1157 L1162 L1167 L1172 L1177 L1182 L1187 L1189 L1194 L1196 L1201 L1203 L1208 L1210 L1215 L1217 L1222 L1227 L1229 L1234 L1249:M1249 L1251:M1251 L1253:L1254 L1256 L1267:L1268 L1270 L1281:L1282 L1284 L1295:L1296 L1298 L1309:L1310 L1312:M1312 L1323:L1324 L1326 L1337:L1338 L1340 L1351:L1352 L1354 M948 M950 M963 M965 M978 M980 M993 M995 M1008 M1010 M1023 M1025 M1038 M1040 M1053 M1055 M1068 M1070 M1083 M1085 M1098 M1100 M1113 M1115 M1128 M1130 M1143 M1145 M1392 M1399 O622:O635 O637 O650 O663 O676 O689 O702 O715 O728 O741 O754 O767 O780 O793 O806 O813 O815 O824 O826 O833 O835 O842 O844 O851 O853 O860 O862 O869 O871 O878 O880 O887 O889 O896 O898 O907 O909 O918 O920 O927 O929 O936 O938 O946 O954 O956 O958 O961 O969 O971 O973 O976 O984 O986 O988 O991 O999 O1001 O1003 O1006 O1014 O1016 O1018 O1021 O1029 O1031 O1033 O1036 O1044 O1046 O1048 O1051 O1059 O1061 O1063 O1066 O1074 O1076 O1078 O1081 O1089 O1091 O1093 O1096 O1104 O1106 O1108 O1111 O1119 O1121 O1123 O1126 O1134 O1136 O1138 O1141 O1149 O1151 O1153 O1244 O1251 O1258 O1272 O1286 O1300 O1314 O1328 O1342 O1356 O1369 O1372 O1375:O1376 O1378:O1379 O1381:O1382 O1384:O1385 O1389:O1390 O1396:O1397 O1403 O1408:O1409 O1413 O1418 O1421">
    <cfRule type="expression" priority="86953" dxfId="5">
      <formula>$H619="CÉLULA CONSTRUTIVA"</formula>
    </cfRule>
  </conditionalFormatting>
  <conditionalFormatting sqref="G1239:K1241">
    <cfRule type="expression" priority="86998" dxfId="3">
      <formula>$H1239="ETAPA"</formula>
    </cfRule>
  </conditionalFormatting>
  <conditionalFormatting sqref="G21:L22 N21:N22">
    <cfRule type="expression" priority="46654" dxfId="5">
      <formula>$H21="CÉLULA CONSTRUTIVA"</formula>
    </cfRule>
  </conditionalFormatting>
  <conditionalFormatting sqref="G21:L22">
    <cfRule type="expression" priority="46657" dxfId="3">
      <formula>$H21="ETAPA"</formula>
    </cfRule>
  </conditionalFormatting>
  <conditionalFormatting sqref="G22:L22 N21:N22">
    <cfRule type="expression" priority="46655" dxfId="4">
      <formula>$H21="SUBETAPA"</formula>
    </cfRule>
  </conditionalFormatting>
  <conditionalFormatting sqref="G24:L24 N24">
    <cfRule type="expression" priority="50702" dxfId="5">
      <formula>$H24="CÉLULA CONSTRUTIVA"</formula>
    </cfRule>
  </conditionalFormatting>
  <conditionalFormatting sqref="G24:L24">
    <cfRule type="expression" priority="50705" dxfId="3">
      <formula>$H24="ETAPA"</formula>
    </cfRule>
  </conditionalFormatting>
  <conditionalFormatting sqref="G25:L25 N25">
    <cfRule type="expression" priority="50741" dxfId="3">
      <formula>$H25="ETAPA"</formula>
    </cfRule>
  </conditionalFormatting>
  <conditionalFormatting sqref="G31:L31 H29:I30 H32:I32 K32:L32 L29:L30">
    <cfRule type="expression" priority="50762" dxfId="4">
      <formula>$H29="SUBETAPA"</formula>
    </cfRule>
  </conditionalFormatting>
  <conditionalFormatting sqref="G33:L33 K35:K36 K38 N33 O36 O38">
    <cfRule type="expression" priority="50595" dxfId="3">
      <formula>$H33="ETAPA"</formula>
    </cfRule>
  </conditionalFormatting>
  <conditionalFormatting sqref="G34:L34 M34:M36">
    <cfRule type="expression" priority="50634" dxfId="4">
      <formula>$H34="SUBETAPA"</formula>
    </cfRule>
  </conditionalFormatting>
  <conditionalFormatting sqref="G39:L39 H35:I36 H40:I40 K40:L40 L35:L36">
    <cfRule type="expression" priority="50625" dxfId="4">
      <formula>$H35="SUBETAPA"</formula>
    </cfRule>
  </conditionalFormatting>
  <conditionalFormatting sqref="G41:L41 N41">
    <cfRule type="expression" priority="50530" dxfId="3">
      <formula>$H41="ETAPA"</formula>
    </cfRule>
  </conditionalFormatting>
  <conditionalFormatting sqref="G44:L44 M44:M45">
    <cfRule type="expression" priority="50560" dxfId="4">
      <formula>$H44="SUBETAPA"</formula>
    </cfRule>
  </conditionalFormatting>
  <conditionalFormatting sqref="G52:L52 O3127">
    <cfRule type="expression" priority="50408" dxfId="3">
      <formula>$H52="ETAPA"</formula>
    </cfRule>
    <cfRule type="expression" priority="50416" dxfId="4">
      <formula>$H52="SUBETAPA"</formula>
    </cfRule>
  </conditionalFormatting>
  <conditionalFormatting sqref="G56:L56">
    <cfRule type="expression" priority="50353" dxfId="3">
      <formula>$H56="ETAPA"</formula>
    </cfRule>
    <cfRule type="expression" priority="50361" dxfId="4">
      <formula>$H56="SUBETAPA"</formula>
    </cfRule>
  </conditionalFormatting>
  <conditionalFormatting sqref="G58:L58 N58">
    <cfRule type="expression" priority="50686" dxfId="5">
      <formula>$H58="CÉLULA CONSTRUTIVA"</formula>
    </cfRule>
  </conditionalFormatting>
  <conditionalFormatting sqref="G58:L58">
    <cfRule type="expression" priority="50689" dxfId="3">
      <formula>$H58="ETAPA"</formula>
    </cfRule>
  </conditionalFormatting>
  <conditionalFormatting sqref="G104:L104">
    <cfRule type="expression" priority="50124" dxfId="5">
      <formula>$H104="CÉLULA CONSTRUTIVA"</formula>
    </cfRule>
  </conditionalFormatting>
  <conditionalFormatting sqref="G106:L106">
    <cfRule type="expression" priority="50106" dxfId="5">
      <formula>$H106="CÉLULA CONSTRUTIVA"</formula>
    </cfRule>
  </conditionalFormatting>
  <conditionalFormatting sqref="G108:L108">
    <cfRule type="expression" priority="50088" dxfId="5">
      <formula>$H108="CÉLULA CONSTRUTIVA"</formula>
    </cfRule>
  </conditionalFormatting>
  <conditionalFormatting sqref="G110:L110">
    <cfRule type="expression" priority="50070" dxfId="5">
      <formula>$H110="CÉLULA CONSTRUTIVA"</formula>
    </cfRule>
  </conditionalFormatting>
  <conditionalFormatting sqref="G112:L112">
    <cfRule type="expression" priority="50052" dxfId="5">
      <formula>$H112="CÉLULA CONSTRUTIVA"</formula>
    </cfRule>
  </conditionalFormatting>
  <conditionalFormatting sqref="G114:L114">
    <cfRule type="expression" priority="46353" dxfId="5">
      <formula>$H114="CÉLULA CONSTRUTIVA"</formula>
    </cfRule>
  </conditionalFormatting>
  <conditionalFormatting sqref="G116:L116">
    <cfRule type="expression" priority="50034" dxfId="5">
      <formula>$H116="CÉLULA CONSTRUTIVA"</formula>
    </cfRule>
  </conditionalFormatting>
  <conditionalFormatting sqref="G118:L118">
    <cfRule type="expression" priority="50016" dxfId="5">
      <formula>$H118="CÉLULA CONSTRUTIVA"</formula>
    </cfRule>
  </conditionalFormatting>
  <conditionalFormatting sqref="G120:L120">
    <cfRule type="expression" priority="49998" dxfId="5">
      <formula>$H120="CÉLULA CONSTRUTIVA"</formula>
    </cfRule>
  </conditionalFormatting>
  <conditionalFormatting sqref="G131:L131">
    <cfRule type="expression" priority="49869" dxfId="5">
      <formula>$H131="CÉLULA CONSTRUTIVA"</formula>
    </cfRule>
  </conditionalFormatting>
  <conditionalFormatting sqref="G139:L139 N139">
    <cfRule type="expression" priority="49779" dxfId="4">
      <formula>$H139="SUBETAPA"</formula>
    </cfRule>
  </conditionalFormatting>
  <conditionalFormatting sqref="G313:L313 N313">
    <cfRule type="expression" priority="48436" dxfId="4">
      <formula>$H313="SUBETAPA"</formula>
    </cfRule>
    <cfRule type="expression" priority="48437" dxfId="3">
      <formula>$H313="ETAPA"</formula>
    </cfRule>
  </conditionalFormatting>
  <conditionalFormatting sqref="G315:L315 J348:M348 J1453 J1460 J1467 J1492 K350:L350 K352:L352 K354:L354 K356:L356 K358:L358 L349 L351 L353 L355 L357 N315">
    <cfRule type="expression" priority="48411" dxfId="5">
      <formula>$H315="CÉLULA CONSTRUTIVA"</formula>
    </cfRule>
    <cfRule type="expression" priority="48412" dxfId="4">
      <formula>$H315="SUBETAPA"</formula>
    </cfRule>
    <cfRule type="expression" priority="48413" dxfId="3">
      <formula>$H315="ETAPA"</formula>
    </cfRule>
  </conditionalFormatting>
  <conditionalFormatting sqref="G319:L319 N319">
    <cfRule type="expression" priority="48325" dxfId="5">
      <formula>$H319="CÉLULA CONSTRUTIVA"</formula>
    </cfRule>
    <cfRule type="expression" priority="48326" dxfId="4">
      <formula>$H319="SUBETAPA"</formula>
    </cfRule>
    <cfRule type="expression" priority="48327" dxfId="3">
      <formula>$H319="ETAPA"</formula>
    </cfRule>
  </conditionalFormatting>
  <conditionalFormatting sqref="G323:L323 N323">
    <cfRule type="expression" priority="48239" dxfId="5">
      <formula>$H323="CÉLULA CONSTRUTIVA"</formula>
    </cfRule>
    <cfRule type="expression" priority="48240" dxfId="4">
      <formula>$H323="SUBETAPA"</formula>
    </cfRule>
    <cfRule type="expression" priority="48241" dxfId="3">
      <formula>$H323="ETAPA"</formula>
    </cfRule>
  </conditionalFormatting>
  <conditionalFormatting sqref="G327:L327 N327">
    <cfRule type="expression" priority="48155" dxfId="5">
      <formula>$H327="CÉLULA CONSTRUTIVA"</formula>
    </cfRule>
    <cfRule type="expression" priority="48156" dxfId="4">
      <formula>$H327="SUBETAPA"</formula>
    </cfRule>
    <cfRule type="expression" priority="48157" dxfId="3">
      <formula>$H327="ETAPA"</formula>
    </cfRule>
  </conditionalFormatting>
  <conditionalFormatting sqref="G328:L328 N328">
    <cfRule type="expression" priority="46249" dxfId="5">
      <formula>$H328="CÉLULA CONSTRUTIVA"</formula>
    </cfRule>
    <cfRule type="expression" priority="46250" dxfId="4">
      <formula>$H328="SUBETAPA"</formula>
    </cfRule>
    <cfRule type="expression" priority="46251" dxfId="3">
      <formula>$H328="ETAPA"</formula>
    </cfRule>
  </conditionalFormatting>
  <conditionalFormatting sqref="G329:L329 N329">
    <cfRule type="expression" priority="46228" dxfId="5">
      <formula>$H329="CÉLULA CONSTRUTIVA"</formula>
    </cfRule>
    <cfRule type="expression" priority="46229" dxfId="4">
      <formula>$H329="SUBETAPA"</formula>
    </cfRule>
    <cfRule type="expression" priority="46230" dxfId="3">
      <formula>$H329="ETAPA"</formula>
    </cfRule>
  </conditionalFormatting>
  <conditionalFormatting sqref="G333:L333 N333">
    <cfRule type="expression" priority="48074" dxfId="5">
      <formula>$H333="CÉLULA CONSTRUTIVA"</formula>
    </cfRule>
    <cfRule type="expression" priority="48075" dxfId="4">
      <formula>$H333="SUBETAPA"</formula>
    </cfRule>
    <cfRule type="expression" priority="48076" dxfId="3">
      <formula>$H333="ETAPA"</formula>
    </cfRule>
  </conditionalFormatting>
  <conditionalFormatting sqref="G337:L337 N337">
    <cfRule type="expression" priority="47992" dxfId="5">
      <formula>$H337="CÉLULA CONSTRUTIVA"</formula>
    </cfRule>
    <cfRule type="expression" priority="47993" dxfId="4">
      <formula>$H337="SUBETAPA"</formula>
    </cfRule>
    <cfRule type="expression" priority="47994" dxfId="3">
      <formula>$H337="ETAPA"</formula>
    </cfRule>
  </conditionalFormatting>
  <conditionalFormatting sqref="G341:L341 N341">
    <cfRule type="expression" priority="47908" dxfId="5">
      <formula>$H341="CÉLULA CONSTRUTIVA"</formula>
    </cfRule>
    <cfRule type="expression" priority="47909" dxfId="4">
      <formula>$H341="SUBETAPA"</formula>
    </cfRule>
    <cfRule type="expression" priority="47910" dxfId="3">
      <formula>$H341="ETAPA"</formula>
    </cfRule>
  </conditionalFormatting>
  <conditionalFormatting sqref="G345:L345 N345">
    <cfRule type="expression" priority="47839" dxfId="5">
      <formula>$H345="CÉLULA CONSTRUTIVA"</formula>
    </cfRule>
    <cfRule type="expression" priority="47840" dxfId="4">
      <formula>$H345="SUBETAPA"</formula>
    </cfRule>
    <cfRule type="expression" priority="47841" dxfId="3">
      <formula>$H345="ETAPA"</formula>
    </cfRule>
  </conditionalFormatting>
  <conditionalFormatting sqref="G346:L346 N346">
    <cfRule type="expression" priority="48466" dxfId="3">
      <formula>$H346="ETAPA"</formula>
    </cfRule>
  </conditionalFormatting>
  <conditionalFormatting sqref="G391:L391">
    <cfRule type="expression" priority="99279" dxfId="4">
      <formula>$H391="SUBETAPA"</formula>
    </cfRule>
    <cfRule type="expression" priority="99280" dxfId="5">
      <formula>$H391="CÉLULA CONSTRUTIVA"</formula>
    </cfRule>
  </conditionalFormatting>
  <conditionalFormatting sqref="G408:L408">
    <cfRule type="expression" priority="99374" dxfId="4">
      <formula>$H408="SUBETAPA"</formula>
    </cfRule>
    <cfRule type="expression" priority="99375" dxfId="5">
      <formula>$H408="CÉLULA CONSTRUTIVA"</formula>
    </cfRule>
  </conditionalFormatting>
  <conditionalFormatting sqref="G425:L425">
    <cfRule type="expression" priority="99469" dxfId="4">
      <formula>$H425="SUBETAPA"</formula>
    </cfRule>
    <cfRule type="expression" priority="99470" dxfId="5">
      <formula>$H425="CÉLULA CONSTRUTIVA"</formula>
    </cfRule>
  </conditionalFormatting>
  <conditionalFormatting sqref="G441:L441">
    <cfRule type="expression" priority="99564" dxfId="4">
      <formula>$H441="SUBETAPA"</formula>
    </cfRule>
    <cfRule type="expression" priority="99565" dxfId="5">
      <formula>$H441="CÉLULA CONSTRUTIVA"</formula>
    </cfRule>
  </conditionalFormatting>
  <conditionalFormatting sqref="G457:L457">
    <cfRule type="expression" priority="99659" dxfId="4">
      <formula>$H457="SUBETAPA"</formula>
    </cfRule>
    <cfRule type="expression" priority="99660" dxfId="5">
      <formula>$H457="CÉLULA CONSTRUTIVA"</formula>
    </cfRule>
  </conditionalFormatting>
  <conditionalFormatting sqref="G474:L474">
    <cfRule type="expression" priority="99754" dxfId="4">
      <formula>$H474="SUBETAPA"</formula>
    </cfRule>
    <cfRule type="expression" priority="99755" dxfId="5">
      <formula>$H474="CÉLULA CONSTRUTIVA"</formula>
    </cfRule>
  </conditionalFormatting>
  <conditionalFormatting sqref="G491:L491">
    <cfRule type="expression" priority="99849" dxfId="4">
      <formula>$H491="SUBETAPA"</formula>
    </cfRule>
    <cfRule type="expression" priority="99850" dxfId="5">
      <formula>$H491="CÉLULA CONSTRUTIVA"</formula>
    </cfRule>
  </conditionalFormatting>
  <conditionalFormatting sqref="G509:L509">
    <cfRule type="expression" priority="99944" dxfId="4">
      <formula>$H509="SUBETAPA"</formula>
    </cfRule>
    <cfRule type="expression" priority="99945" dxfId="5">
      <formula>$H509="CÉLULA CONSTRUTIVA"</formula>
    </cfRule>
  </conditionalFormatting>
  <conditionalFormatting sqref="G527:L527 K528">
    <cfRule type="expression" priority="100039" dxfId="4">
      <formula>$H527="SUBETAPA"</formula>
    </cfRule>
    <cfRule type="expression" priority="100040" dxfId="5">
      <formula>$H527="CÉLULA CONSTRUTIVA"</formula>
    </cfRule>
  </conditionalFormatting>
  <conditionalFormatting sqref="G545:L545 K546">
    <cfRule type="expression" priority="100134" dxfId="4">
      <formula>$H545="SUBETAPA"</formula>
    </cfRule>
    <cfRule type="expression" priority="100135" dxfId="5">
      <formula>$H545="CÉLULA CONSTRUTIVA"</formula>
    </cfRule>
  </conditionalFormatting>
  <conditionalFormatting sqref="G563:L563 K564">
    <cfRule type="expression" priority="100229" dxfId="4">
      <formula>$H563="SUBETAPA"</formula>
    </cfRule>
    <cfRule type="expression" priority="100230" dxfId="5">
      <formula>$H563="CÉLULA CONSTRUTIVA"</formula>
    </cfRule>
  </conditionalFormatting>
  <conditionalFormatting sqref="G580:L580 K581">
    <cfRule type="expression" priority="100324" dxfId="4">
      <formula>$H580="SUBETAPA"</formula>
    </cfRule>
    <cfRule type="expression" priority="100325" dxfId="5">
      <formula>$H580="CÉLULA CONSTRUTIVA"</formula>
    </cfRule>
  </conditionalFormatting>
  <conditionalFormatting sqref="G598:L598 K599">
    <cfRule type="expression" priority="100419" dxfId="4">
      <formula>$H598="SUBETAPA"</formula>
    </cfRule>
    <cfRule type="expression" priority="100420" dxfId="5">
      <formula>$H598="CÉLULA CONSTRUTIVA"</formula>
    </cfRule>
  </conditionalFormatting>
  <conditionalFormatting sqref="G614:L614">
    <cfRule type="expression" priority="100477" dxfId="3">
      <formula>$H614="ETAPA"</formula>
    </cfRule>
    <cfRule type="expression" priority="100514" dxfId="4">
      <formula>$H614="SUBETAPA"</formula>
    </cfRule>
    <cfRule type="expression" priority="100515" dxfId="5">
      <formula>$H614="CÉLULA CONSTRUTIVA"</formula>
    </cfRule>
  </conditionalFormatting>
  <conditionalFormatting sqref="G619:L621 G622:M622 G623:G638 H626:M626 H628:M628 H629:L629 H630:M630 H631:L631 H632:M632 H633:L634 H635:M635 K624:M624 K637:M637 O637">
    <cfRule type="expression" priority="59102" dxfId="3">
      <formula>$H619="ETAPA"</formula>
    </cfRule>
  </conditionalFormatting>
  <conditionalFormatting sqref="G21:M21">
    <cfRule type="expression" priority="46672" dxfId="4">
      <formula>$H21="SUBETAPA"</formula>
    </cfRule>
  </conditionalFormatting>
  <conditionalFormatting sqref="G122:M122">
    <cfRule type="expression" priority="49979" dxfId="3">
      <formula>$H122="ETAPA"</formula>
    </cfRule>
  </conditionalFormatting>
  <conditionalFormatting sqref="G125:M125">
    <cfRule type="expression" priority="49942" dxfId="3">
      <formula>$H125="ETAPA"</formula>
    </cfRule>
  </conditionalFormatting>
  <conditionalFormatting sqref="G128:M128">
    <cfRule type="expression" priority="49905" dxfId="3">
      <formula>$H128="ETAPA"</formula>
    </cfRule>
  </conditionalFormatting>
  <conditionalFormatting sqref="G133:M133">
    <cfRule type="expression" priority="49850" dxfId="3">
      <formula>$H133="ETAPA"</formula>
    </cfRule>
  </conditionalFormatting>
  <conditionalFormatting sqref="G136:M136">
    <cfRule type="expression" priority="49813" dxfId="3">
      <formula>$H136="ETAPA"</formula>
    </cfRule>
  </conditionalFormatting>
  <conditionalFormatting sqref="G148:M148 N148:N153">
    <cfRule type="expression" priority="49760" dxfId="3">
      <formula>$H148="ETAPA"</formula>
    </cfRule>
  </conditionalFormatting>
  <conditionalFormatting sqref="G158:M158 N158:N163">
    <cfRule type="expression" priority="49674" dxfId="3">
      <formula>$H158="ETAPA"</formula>
    </cfRule>
  </conditionalFormatting>
  <conditionalFormatting sqref="G168:M168 N168:N173">
    <cfRule type="expression" priority="49588" dxfId="3">
      <formula>$H168="ETAPA"</formula>
    </cfRule>
  </conditionalFormatting>
  <conditionalFormatting sqref="G222:M222 N222:N227">
    <cfRule type="expression" priority="49430" dxfId="3">
      <formula>$H222="ETAPA"</formula>
    </cfRule>
  </conditionalFormatting>
  <conditionalFormatting sqref="G231:M231 N231:N236">
    <cfRule type="expression" priority="49380" dxfId="3">
      <formula>$H231="ETAPA"</formula>
    </cfRule>
  </conditionalFormatting>
  <conditionalFormatting sqref="G240:M240 N240:N245">
    <cfRule type="expression" priority="49330" dxfId="3">
      <formula>$H240="ETAPA"</formula>
    </cfRule>
  </conditionalFormatting>
  <conditionalFormatting sqref="G249:M249 N249:N254">
    <cfRule type="expression" priority="49280" dxfId="3">
      <formula>$H249="ETAPA"</formula>
    </cfRule>
  </conditionalFormatting>
  <conditionalFormatting sqref="G258:M258 N258:N263">
    <cfRule type="expression" priority="49230" dxfId="3">
      <formula>$H258="ETAPA"</formula>
    </cfRule>
  </conditionalFormatting>
  <conditionalFormatting sqref="G267:M267 N267:N272">
    <cfRule type="expression" priority="49180" dxfId="3">
      <formula>$H267="ETAPA"</formula>
    </cfRule>
  </conditionalFormatting>
  <conditionalFormatting sqref="G307:M307 G308:I308 K308 N307:N308">
    <cfRule type="expression" priority="48599" dxfId="4">
      <formula>$H307="SUBETAPA"</formula>
    </cfRule>
  </conditionalFormatting>
  <conditionalFormatting sqref="G347:M347">
    <cfRule type="expression" priority="47802" dxfId="4">
      <formula>$H347="SUBETAPA"</formula>
    </cfRule>
  </conditionalFormatting>
  <conditionalFormatting sqref="G385:M385 O385">
    <cfRule type="expression" priority="99299" dxfId="5">
      <formula>$H385="CÉLULA CONSTRUTIVA"</formula>
    </cfRule>
  </conditionalFormatting>
  <conditionalFormatting sqref="G386:M386 G395:I398 K396:L397 K398 O386 O396:O397">
    <cfRule type="expression" priority="99243" dxfId="4">
      <formula>$H386="SUBETAPA"</formula>
    </cfRule>
  </conditionalFormatting>
  <conditionalFormatting sqref="G386:M386 G391:L391 O386 O396:O397">
    <cfRule type="expression" priority="99242" dxfId="3">
      <formula>$H386="ETAPA"</formula>
    </cfRule>
  </conditionalFormatting>
  <conditionalFormatting sqref="G402:M402 O402">
    <cfRule type="expression" priority="99394" dxfId="5">
      <formula>$H402="CÉLULA CONSTRUTIVA"</formula>
    </cfRule>
  </conditionalFormatting>
  <conditionalFormatting sqref="G403:M403 G408:L408 O403 O413:O415">
    <cfRule type="expression" priority="99337" dxfId="3">
      <formula>$H403="ETAPA"</formula>
    </cfRule>
  </conditionalFormatting>
  <conditionalFormatting sqref="G403:M403 G412:I415 K413:L414 O403 O413:O415">
    <cfRule type="expression" priority="99338" dxfId="4">
      <formula>$H403="SUBETAPA"</formula>
    </cfRule>
  </conditionalFormatting>
  <conditionalFormatting sqref="G419:M419 O419">
    <cfRule type="expression" priority="99489" dxfId="5">
      <formula>$H419="CÉLULA CONSTRUTIVA"</formula>
    </cfRule>
  </conditionalFormatting>
  <conditionalFormatting sqref="G420:M420 G428:I430 K429:L430 O420 O429:O430">
    <cfRule type="expression" priority="99433" dxfId="4">
      <formula>$H420="SUBETAPA"</formula>
    </cfRule>
  </conditionalFormatting>
  <conditionalFormatting sqref="G420:M420 G425:L425 O420 O429:O430">
    <cfRule type="expression" priority="99432" dxfId="3">
      <formula>$H420="ETAPA"</formula>
    </cfRule>
  </conditionalFormatting>
  <conditionalFormatting sqref="G435:M435 O435">
    <cfRule type="expression" priority="99584" dxfId="5">
      <formula>$H435="CÉLULA CONSTRUTIVA"</formula>
    </cfRule>
  </conditionalFormatting>
  <conditionalFormatting sqref="G436:M436 G444:I446 K445:L446 O436 O445:O446">
    <cfRule type="expression" priority="99528" dxfId="4">
      <formula>$H436="SUBETAPA"</formula>
    </cfRule>
  </conditionalFormatting>
  <conditionalFormatting sqref="G436:M436 G441:L441 O436 O445:O446">
    <cfRule type="expression" priority="99527" dxfId="3">
      <formula>$H436="ETAPA"</formula>
    </cfRule>
  </conditionalFormatting>
  <conditionalFormatting sqref="G451:M451 O451">
    <cfRule type="expression" priority="99679" dxfId="5">
      <formula>$H451="CÉLULA CONSTRUTIVA"</formula>
    </cfRule>
  </conditionalFormatting>
  <conditionalFormatting sqref="G452:M452 G461:I463 K462:L463 O452 O462:O463">
    <cfRule type="expression" priority="99623" dxfId="4">
      <formula>$H452="SUBETAPA"</formula>
    </cfRule>
  </conditionalFormatting>
  <conditionalFormatting sqref="G452:M452 G457:L457 O452 O462:O463">
    <cfRule type="expression" priority="99622" dxfId="3">
      <formula>$H452="ETAPA"</formula>
    </cfRule>
  </conditionalFormatting>
  <conditionalFormatting sqref="G468:M468 O468">
    <cfRule type="expression" priority="99774" dxfId="5">
      <formula>$H468="CÉLULA CONSTRUTIVA"</formula>
    </cfRule>
  </conditionalFormatting>
  <conditionalFormatting sqref="G469:M469 G478:I480 K479:L480 O469 O479:O480">
    <cfRule type="expression" priority="99718" dxfId="4">
      <formula>$H469="SUBETAPA"</formula>
    </cfRule>
  </conditionalFormatting>
  <conditionalFormatting sqref="G469:M469 G474:L474 O469 O479:O480">
    <cfRule type="expression" priority="99717" dxfId="3">
      <formula>$H469="ETAPA"</formula>
    </cfRule>
  </conditionalFormatting>
  <conditionalFormatting sqref="G485:M485 O485">
    <cfRule type="expression" priority="99869" dxfId="5">
      <formula>$H485="CÉLULA CONSTRUTIVA"</formula>
    </cfRule>
  </conditionalFormatting>
  <conditionalFormatting sqref="G486:M486 G495:I497 K496:L497 O486 O496:O497">
    <cfRule type="expression" priority="99813" dxfId="4">
      <formula>$H486="SUBETAPA"</formula>
    </cfRule>
  </conditionalFormatting>
  <conditionalFormatting sqref="G486:M486 G491:L491 O486 O496:O497">
    <cfRule type="expression" priority="99812" dxfId="3">
      <formula>$H486="ETAPA"</formula>
    </cfRule>
  </conditionalFormatting>
  <conditionalFormatting sqref="G502:M502 O502">
    <cfRule type="expression" priority="99964" dxfId="5">
      <formula>$H502="CÉLULA CONSTRUTIVA"</formula>
    </cfRule>
  </conditionalFormatting>
  <conditionalFormatting sqref="G503:M503 G513:I515 K514:L515 O503 O514:O515">
    <cfRule type="expression" priority="99908" dxfId="4">
      <formula>$H503="SUBETAPA"</formula>
    </cfRule>
  </conditionalFormatting>
  <conditionalFormatting sqref="G503:M503 G509:L509 O503 O514:O515">
    <cfRule type="expression" priority="99907" dxfId="3">
      <formula>$H503="ETAPA"</formula>
    </cfRule>
  </conditionalFormatting>
  <conditionalFormatting sqref="G520:M520 O520">
    <cfRule type="expression" priority="100059" dxfId="5">
      <formula>$H520="CÉLULA CONSTRUTIVA"</formula>
    </cfRule>
  </conditionalFormatting>
  <conditionalFormatting sqref="G521:M521 G531:I533 K532:L533 O521 O532:O533">
    <cfRule type="expression" priority="100003" dxfId="4">
      <formula>$H521="SUBETAPA"</formula>
    </cfRule>
  </conditionalFormatting>
  <conditionalFormatting sqref="G521:M521 G527:L527 O521 O532:O533">
    <cfRule type="expression" priority="100002" dxfId="3">
      <formula>$H521="ETAPA"</formula>
    </cfRule>
  </conditionalFormatting>
  <conditionalFormatting sqref="G538:M538 O538">
    <cfRule type="expression" priority="100154" dxfId="5">
      <formula>$H538="CÉLULA CONSTRUTIVA"</formula>
    </cfRule>
  </conditionalFormatting>
  <conditionalFormatting sqref="G539:M539 G549:I551 K550:L551 O539 O550:O551">
    <cfRule type="expression" priority="100098" dxfId="4">
      <formula>$H539="SUBETAPA"</formula>
    </cfRule>
  </conditionalFormatting>
  <conditionalFormatting sqref="G539:M539 G545:L545 O539 O550:O551">
    <cfRule type="expression" priority="100097" dxfId="3">
      <formula>$H539="ETAPA"</formula>
    </cfRule>
  </conditionalFormatting>
  <conditionalFormatting sqref="G556:M556 O556">
    <cfRule type="expression" priority="100249" dxfId="5">
      <formula>$H556="CÉLULA CONSTRUTIVA"</formula>
    </cfRule>
  </conditionalFormatting>
  <conditionalFormatting sqref="G557:M557 G567:I569 K568:L569 O557 O568:O569">
    <cfRule type="expression" priority="100193" dxfId="4">
      <formula>$H557="SUBETAPA"</formula>
    </cfRule>
  </conditionalFormatting>
  <conditionalFormatting sqref="G557:M557 G563:L563 O557 O568:O569">
    <cfRule type="expression" priority="100192" dxfId="3">
      <formula>$H557="ETAPA"</formula>
    </cfRule>
  </conditionalFormatting>
  <conditionalFormatting sqref="G574:M574 O574">
    <cfRule type="expression" priority="100344" dxfId="5">
      <formula>$H574="CÉLULA CONSTRUTIVA"</formula>
    </cfRule>
  </conditionalFormatting>
  <conditionalFormatting sqref="G575:M575 G583:I585 K584:L585 O575 O584:O585">
    <cfRule type="expression" priority="100288" dxfId="4">
      <formula>$H575="SUBETAPA"</formula>
    </cfRule>
  </conditionalFormatting>
  <conditionalFormatting sqref="G575:M575 G580:L580 O575 O584:O585">
    <cfRule type="expression" priority="100287" dxfId="3">
      <formula>$H575="ETAPA"</formula>
    </cfRule>
  </conditionalFormatting>
  <conditionalFormatting sqref="G591:M591 O591">
    <cfRule type="expression" priority="100439" dxfId="5">
      <formula>$H591="CÉLULA CONSTRUTIVA"</formula>
    </cfRule>
  </conditionalFormatting>
  <conditionalFormatting sqref="G592:M592 G602:I604 K603:L604 O592 O603:O604">
    <cfRule type="expression" priority="100383" dxfId="4">
      <formula>$H592="SUBETAPA"</formula>
    </cfRule>
  </conditionalFormatting>
  <conditionalFormatting sqref="G592:M592 G598:L598 O592 O603:O604">
    <cfRule type="expression" priority="100382" dxfId="3">
      <formula>$H592="ETAPA"</formula>
    </cfRule>
  </conditionalFormatting>
  <conditionalFormatting sqref="G379:M382 G385:M385 G401:K401 G402:M402 G418:K418 G419:M419 G434:K434 G435:M435 G450:K450 G451:M451 G467:K467 G468:M468 G484:K484 G485:M485 G501:K501 G502:M502 G504:M508 G519:K519 G520:M520 G522:M526 G537:K537 G538:M538 G540:M544 G555:K555 G556:M556 G558:M562 G573:K573 G574:M574 G591:M591 G593:M597 G3173:K3173 J1848:K1848 J1897:M1898 J1912:M1912 J1925:M1925 J1933:M1933 J1938:M1938 J1946:M1946 J1955:M1955 J1971:M1971 J1984:M1984 J1991:M1991 J1998:M1998 J2005:M2005 J2012:M2012 J2023:M2023 M401 M418 M434 M450 M467 M484 M501 M519 M537 M555 M573 O401 O418 O434 O450 O467 O484 O501 O519 O2491 O2517">
    <cfRule type="expression" priority="116224" dxfId="3">
      <formula>$H379="ETAPA"</formula>
    </cfRule>
  </conditionalFormatting>
  <conditionalFormatting sqref="G619:M619 M1154:M1155 M1157:M1162 M1189:M1194 M1196:M1201 M1203:M1208 M1210:M1215 M1217:M1222 M1229:M1234">
    <cfRule type="expression" priority="86992" dxfId="4">
      <formula>$H619="SUBETAPA"</formula>
    </cfRule>
  </conditionalFormatting>
  <conditionalFormatting sqref="G2902:M2903">
    <cfRule type="expression" priority="957" dxfId="3">
      <formula>$H2902="ETAPA"</formula>
    </cfRule>
  </conditionalFormatting>
  <conditionalFormatting sqref="G2911:M2912">
    <cfRule type="expression" priority="1022" dxfId="3">
      <formula>$H2911="ETAPA"</formula>
    </cfRule>
  </conditionalFormatting>
  <conditionalFormatting sqref="G2920:M2921">
    <cfRule type="expression" priority="1087" dxfId="3">
      <formula>$H2920="ETAPA"</formula>
    </cfRule>
  </conditionalFormatting>
  <conditionalFormatting sqref="G2929:M2930">
    <cfRule type="expression" priority="1152" dxfId="3">
      <formula>$H2929="ETAPA"</formula>
    </cfRule>
  </conditionalFormatting>
  <conditionalFormatting sqref="G2938:M2939">
    <cfRule type="expression" priority="1217" dxfId="3">
      <formula>$H2938="ETAPA"</formula>
    </cfRule>
  </conditionalFormatting>
  <conditionalFormatting sqref="G25:N25">
    <cfRule type="expression" priority="50739" dxfId="5">
      <formula>$H25="CÉLULA CONSTRUTIVA"</formula>
    </cfRule>
    <cfRule type="expression" priority="50740" dxfId="4">
      <formula>$H25="SUBETAPA"</formula>
    </cfRule>
  </conditionalFormatting>
  <conditionalFormatting sqref="G33:N33 K35:K36 K38 N34:N36 N38:O38 O36">
    <cfRule type="expression" priority="50594" dxfId="4">
      <formula>$H33="SUBETAPA"</formula>
    </cfRule>
  </conditionalFormatting>
  <conditionalFormatting sqref="G41:N41">
    <cfRule type="expression" priority="50529" dxfId="4">
      <formula>$H41="SUBETAPA"</formula>
    </cfRule>
  </conditionalFormatting>
  <conditionalFormatting sqref="G51:N51 N54:O54">
    <cfRule type="expression" priority="50448" dxfId="3">
      <formula>$H51="ETAPA"</formula>
    </cfRule>
  </conditionalFormatting>
  <conditionalFormatting sqref="G51:N51">
    <cfRule type="expression" priority="50450" dxfId="4">
      <formula>$H51="SUBETAPA"</formula>
    </cfRule>
  </conditionalFormatting>
  <conditionalFormatting sqref="G55:N55 N57:O57">
    <cfRule type="expression" priority="50393" dxfId="3">
      <formula>$H55="ETAPA"</formula>
    </cfRule>
  </conditionalFormatting>
  <conditionalFormatting sqref="G55:N55">
    <cfRule type="expression" priority="50395" dxfId="4">
      <formula>$H55="SUBETAPA"</formula>
    </cfRule>
  </conditionalFormatting>
  <conditionalFormatting sqref="G58:N58">
    <cfRule type="expression" priority="50693" dxfId="4">
      <formula>$H58="SUBETAPA"</formula>
    </cfRule>
  </conditionalFormatting>
  <conditionalFormatting sqref="G97:N99">
    <cfRule type="expression" priority="50165" dxfId="3">
      <formula>$H97="ETAPA"</formula>
    </cfRule>
  </conditionalFormatting>
  <conditionalFormatting sqref="G104:N104">
    <cfRule type="expression" priority="50126" dxfId="3">
      <formula>$H104="ETAPA"</formula>
    </cfRule>
  </conditionalFormatting>
  <conditionalFormatting sqref="G106:N106">
    <cfRule type="expression" priority="50108" dxfId="3">
      <formula>$H106="ETAPA"</formula>
    </cfRule>
  </conditionalFormatting>
  <conditionalFormatting sqref="G108:N108">
    <cfRule type="expression" priority="50090" dxfId="3">
      <formula>$H108="ETAPA"</formula>
    </cfRule>
  </conditionalFormatting>
  <conditionalFormatting sqref="G110:N110">
    <cfRule type="expression" priority="50072" dxfId="3">
      <formula>$H110="ETAPA"</formula>
    </cfRule>
  </conditionalFormatting>
  <conditionalFormatting sqref="G112:N112">
    <cfRule type="expression" priority="50054" dxfId="3">
      <formula>$H112="ETAPA"</formula>
    </cfRule>
  </conditionalFormatting>
  <conditionalFormatting sqref="G114:N114">
    <cfRule type="expression" priority="46355" dxfId="3">
      <formula>$H114="ETAPA"</formula>
    </cfRule>
  </conditionalFormatting>
  <conditionalFormatting sqref="G116:N116">
    <cfRule type="expression" priority="50036" dxfId="3">
      <formula>$H116="ETAPA"</formula>
    </cfRule>
  </conditionalFormatting>
  <conditionalFormatting sqref="G118:N118">
    <cfRule type="expression" priority="50018" dxfId="3">
      <formula>$H118="ETAPA"</formula>
    </cfRule>
  </conditionalFormatting>
  <conditionalFormatting sqref="G120:N120">
    <cfRule type="expression" priority="50000" dxfId="3">
      <formula>$H120="ETAPA"</formula>
    </cfRule>
  </conditionalFormatting>
  <conditionalFormatting sqref="G131:N131">
    <cfRule type="expression" priority="49871" dxfId="3">
      <formula>$H131="ETAPA"</formula>
    </cfRule>
  </conditionalFormatting>
  <conditionalFormatting sqref="G139:N139">
    <cfRule type="expression" priority="49780" dxfId="3">
      <formula>$H139="ETAPA"</formula>
    </cfRule>
  </conditionalFormatting>
  <conditionalFormatting sqref="G177:N177">
    <cfRule type="expression" priority="49505" dxfId="3">
      <formula>$H177="ETAPA"</formula>
    </cfRule>
  </conditionalFormatting>
  <conditionalFormatting sqref="G186:N186">
    <cfRule type="expression" priority="49487" dxfId="3">
      <formula>$H186="ETAPA"</formula>
    </cfRule>
  </conditionalFormatting>
  <conditionalFormatting sqref="G195:N195">
    <cfRule type="expression" priority="49469" dxfId="3">
      <formula>$H195="ETAPA"</formula>
    </cfRule>
  </conditionalFormatting>
  <conditionalFormatting sqref="G204:N204">
    <cfRule type="expression" priority="46322" dxfId="3">
      <formula>$H204="ETAPA"</formula>
    </cfRule>
  </conditionalFormatting>
  <conditionalFormatting sqref="G213:N213">
    <cfRule type="expression" priority="49451" dxfId="3">
      <formula>$H213="ETAPA"</formula>
    </cfRule>
  </conditionalFormatting>
  <conditionalFormatting sqref="G274:N274">
    <cfRule type="expression" priority="49145" dxfId="3">
      <formula>$H274="ETAPA"</formula>
    </cfRule>
  </conditionalFormatting>
  <conditionalFormatting sqref="G346:N346">
    <cfRule type="expression" priority="48465" dxfId="4">
      <formula>$H346="SUBETAPA"</formula>
    </cfRule>
  </conditionalFormatting>
  <conditionalFormatting sqref="G115:O115">
    <cfRule type="expression" priority="46371" dxfId="3">
      <formula>$H115="ETAPA"</formula>
    </cfRule>
  </conditionalFormatting>
  <conditionalFormatting sqref="H26:H27">
    <cfRule type="expression" priority="50667" dxfId="5">
      <formula>$H26="CÉLULA CONSTRUTIVA"</formula>
    </cfRule>
    <cfRule type="expression" priority="50668" dxfId="3">
      <formula>$H26="ETAPA"</formula>
    </cfRule>
    <cfRule type="expression" priority="50669" dxfId="4">
      <formula>$H26="SUBETAPA"</formula>
    </cfRule>
  </conditionalFormatting>
  <conditionalFormatting sqref="H42:H43">
    <cfRule type="expression" priority="50489" dxfId="5">
      <formula>$H42="CÉLULA CONSTRUTIVA"</formula>
    </cfRule>
    <cfRule type="expression" priority="50490" dxfId="3">
      <formula>$H42="ETAPA"</formula>
    </cfRule>
    <cfRule type="expression" priority="50491" dxfId="4">
      <formula>$H42="SUBETAPA"</formula>
    </cfRule>
  </conditionalFormatting>
  <conditionalFormatting sqref="H80:H83 H85:H92">
    <cfRule type="expression" priority="50317" dxfId="3">
      <formula>$H80="ETAPA"</formula>
    </cfRule>
    <cfRule type="expression" priority="50325" dxfId="4">
      <formula>$H80="SUBETAPA"</formula>
    </cfRule>
    <cfRule type="expression" priority="50316" dxfId="5">
      <formula>$H80="CÉLULA CONSTRUTIVA"</formula>
    </cfRule>
  </conditionalFormatting>
  <conditionalFormatting sqref="H84">
    <cfRule type="expression" priority="50297" dxfId="5">
      <formula>$H84="CÉLULA CONSTRUTIVA"</formula>
    </cfRule>
    <cfRule type="expression" priority="50298" dxfId="3">
      <formula>$H84="ETAPA"</formula>
    </cfRule>
    <cfRule type="expression" priority="50302" dxfId="4">
      <formula>$H84="SUBETAPA"</formula>
    </cfRule>
  </conditionalFormatting>
  <conditionalFormatting sqref="H1154:H1159 H1187:H1191 H1194:H1198 H1201:H1205 H1208:H1212 H1215:H1219 H1227:H1231">
    <cfRule type="expression" priority="86958" dxfId="3">
      <formula>$H1154="ETAPA"</formula>
    </cfRule>
    <cfRule type="expression" priority="86957" dxfId="5">
      <formula>$H1154="CÉLULA CONSTRUTIVA"</formula>
    </cfRule>
    <cfRule type="expression" priority="86972" dxfId="4">
      <formula>$H1154="SUBETAPA"</formula>
    </cfRule>
  </conditionalFormatting>
  <conditionalFormatting sqref="H1160:H1161">
    <cfRule type="expression" priority="55567" dxfId="5">
      <formula>$H1160="CÉLULA CONSTRUTIVA"</formula>
    </cfRule>
    <cfRule type="expression" priority="55568" dxfId="3">
      <formula>$H1160="ETAPA"</formula>
    </cfRule>
    <cfRule type="expression" priority="55569" dxfId="4">
      <formula>$H1160="SUBETAPA"</formula>
    </cfRule>
  </conditionalFormatting>
  <conditionalFormatting sqref="H1165:H1166">
    <cfRule type="expression" priority="55661" dxfId="5">
      <formula>$H1165="CÉLULA CONSTRUTIVA"</formula>
    </cfRule>
    <cfRule type="expression" priority="55662" dxfId="3">
      <formula>$H1165="ETAPA"</formula>
    </cfRule>
    <cfRule type="expression" priority="55663" dxfId="4">
      <formula>$H1165="SUBETAPA"</formula>
    </cfRule>
  </conditionalFormatting>
  <conditionalFormatting sqref="H1170:H1171">
    <cfRule type="expression" priority="55755" dxfId="5">
      <formula>$H1170="CÉLULA CONSTRUTIVA"</formula>
    </cfRule>
    <cfRule type="expression" priority="55756" dxfId="3">
      <formula>$H1170="ETAPA"</formula>
    </cfRule>
    <cfRule type="expression" priority="55757" dxfId="4">
      <formula>$H1170="SUBETAPA"</formula>
    </cfRule>
  </conditionalFormatting>
  <conditionalFormatting sqref="H1175:H1176">
    <cfRule type="expression" priority="55849" dxfId="5">
      <formula>$H1175="CÉLULA CONSTRUTIVA"</formula>
    </cfRule>
    <cfRule type="expression" priority="55850" dxfId="3">
      <formula>$H1175="ETAPA"</formula>
    </cfRule>
    <cfRule type="expression" priority="55851" dxfId="4">
      <formula>$H1175="SUBETAPA"</formula>
    </cfRule>
  </conditionalFormatting>
  <conditionalFormatting sqref="H1180:H1181">
    <cfRule type="expression" priority="55943" dxfId="5">
      <formula>$H1180="CÉLULA CONSTRUTIVA"</formula>
    </cfRule>
    <cfRule type="expression" priority="55944" dxfId="3">
      <formula>$H1180="ETAPA"</formula>
    </cfRule>
    <cfRule type="expression" priority="55945" dxfId="4">
      <formula>$H1180="SUBETAPA"</formula>
    </cfRule>
  </conditionalFormatting>
  <conditionalFormatting sqref="H1185:H1186">
    <cfRule type="expression" priority="56037" dxfId="5">
      <formula>$H1185="CÉLULA CONSTRUTIVA"</formula>
    </cfRule>
    <cfRule type="expression" priority="56038" dxfId="3">
      <formula>$H1185="ETAPA"</formula>
    </cfRule>
    <cfRule type="expression" priority="56039" dxfId="4">
      <formula>$H1185="SUBETAPA"</formula>
    </cfRule>
  </conditionalFormatting>
  <conditionalFormatting sqref="H1192:H1193">
    <cfRule type="expression" priority="56131" dxfId="5">
      <formula>$H1192="CÉLULA CONSTRUTIVA"</formula>
    </cfRule>
    <cfRule type="expression" priority="56132" dxfId="3">
      <formula>$H1192="ETAPA"</formula>
    </cfRule>
    <cfRule type="expression" priority="56133" dxfId="4">
      <formula>$H1192="SUBETAPA"</formula>
    </cfRule>
  </conditionalFormatting>
  <conditionalFormatting sqref="H1199:H1200">
    <cfRule type="expression" priority="56225" dxfId="5">
      <formula>$H1199="CÉLULA CONSTRUTIVA"</formula>
    </cfRule>
    <cfRule type="expression" priority="56226" dxfId="3">
      <formula>$H1199="ETAPA"</formula>
    </cfRule>
    <cfRule type="expression" priority="56227" dxfId="4">
      <formula>$H1199="SUBETAPA"</formula>
    </cfRule>
  </conditionalFormatting>
  <conditionalFormatting sqref="H1206:H1207">
    <cfRule type="expression" priority="56319" dxfId="5">
      <formula>$H1206="CÉLULA CONSTRUTIVA"</formula>
    </cfRule>
    <cfRule type="expression" priority="56320" dxfId="3">
      <formula>$H1206="ETAPA"</formula>
    </cfRule>
    <cfRule type="expression" priority="56321" dxfId="4">
      <formula>$H1206="SUBETAPA"</formula>
    </cfRule>
  </conditionalFormatting>
  <conditionalFormatting sqref="H1213:H1214">
    <cfRule type="expression" priority="56413" dxfId="5">
      <formula>$H1213="CÉLULA CONSTRUTIVA"</formula>
    </cfRule>
    <cfRule type="expression" priority="56414" dxfId="3">
      <formula>$H1213="ETAPA"</formula>
    </cfRule>
    <cfRule type="expression" priority="56415" dxfId="4">
      <formula>$H1213="SUBETAPA"</formula>
    </cfRule>
  </conditionalFormatting>
  <conditionalFormatting sqref="H1220:H1221">
    <cfRule type="expression" priority="56507" dxfId="5">
      <formula>$H1220="CÉLULA CONSTRUTIVA"</formula>
    </cfRule>
    <cfRule type="expression" priority="56508" dxfId="3">
      <formula>$H1220="ETAPA"</formula>
    </cfRule>
    <cfRule type="expression" priority="56509" dxfId="4">
      <formula>$H1220="SUBETAPA"</formula>
    </cfRule>
  </conditionalFormatting>
  <conditionalFormatting sqref="H1225:H1226">
    <cfRule type="expression" priority="56601" dxfId="5">
      <formula>$H1225="CÉLULA CONSTRUTIVA"</formula>
    </cfRule>
    <cfRule type="expression" priority="56602" dxfId="3">
      <formula>$H1225="ETAPA"</formula>
    </cfRule>
    <cfRule type="expression" priority="56603" dxfId="4">
      <formula>$H1225="SUBETAPA"</formula>
    </cfRule>
  </conditionalFormatting>
  <conditionalFormatting sqref="H1232:H1233">
    <cfRule type="expression" priority="56695" dxfId="5">
      <formula>$H1232="CÉLULA CONSTRUTIVA"</formula>
    </cfRule>
    <cfRule type="expression" priority="56696" dxfId="3">
      <formula>$H1232="ETAPA"</formula>
    </cfRule>
    <cfRule type="expression" priority="56697" dxfId="4">
      <formula>$H1232="SUBETAPA"</formula>
    </cfRule>
  </conditionalFormatting>
  <conditionalFormatting sqref="H1237:H1238">
    <cfRule type="expression" priority="56789" dxfId="5">
      <formula>$H1237="CÉLULA CONSTRUTIVA"</formula>
    </cfRule>
    <cfRule type="expression" priority="56790" dxfId="3">
      <formula>$H1237="ETAPA"</formula>
    </cfRule>
    <cfRule type="expression" priority="56791" dxfId="4">
      <formula>$H1237="SUBETAPA"</formula>
    </cfRule>
  </conditionalFormatting>
  <conditionalFormatting sqref="H1239:H1241">
    <cfRule type="expression" priority="102692" dxfId="5">
      <formula>$H1239="CÉLULA CONSTRUTIVA"</formula>
    </cfRule>
    <cfRule type="expression" priority="102693" dxfId="3">
      <formula>$H1239="ETAPA"</formula>
    </cfRule>
    <cfRule type="expression" priority="102694" dxfId="4">
      <formula>$H1239="SUBETAPA"</formula>
    </cfRule>
  </conditionalFormatting>
  <conditionalFormatting sqref="H1244">
    <cfRule type="expression" priority="86750" dxfId="5">
      <formula>$H1244="CÉLULA CONSTRUTIVA"</formula>
    </cfRule>
    <cfRule type="expression" priority="86751" dxfId="3">
      <formula>$H1244="ETAPA"</formula>
    </cfRule>
    <cfRule type="expression" priority="86752" dxfId="4">
      <formula>$H1244="SUBETAPA"</formula>
    </cfRule>
  </conditionalFormatting>
  <conditionalFormatting sqref="H1251">
    <cfRule type="expression" priority="86737" dxfId="5">
      <formula>$H1251="CÉLULA CONSTRUTIVA"</formula>
    </cfRule>
    <cfRule type="expression" priority="86738" dxfId="3">
      <formula>$H1251="ETAPA"</formula>
    </cfRule>
    <cfRule type="expression" priority="86739" dxfId="4">
      <formula>$H1251="SUBETAPA"</formula>
    </cfRule>
  </conditionalFormatting>
  <conditionalFormatting sqref="H1253:H1368 H1386:H1388 H1393:H1395 H1400:H1402 H1405:H1407 H1410:H1412 H1415:H1417">
    <cfRule type="expression" priority="86701" dxfId="3">
      <formula>$H1253="ETAPA"</formula>
    </cfRule>
    <cfRule type="expression" priority="86700" dxfId="5">
      <formula>$H1253="CÉLULA CONSTRUTIVA"</formula>
    </cfRule>
    <cfRule type="expression" priority="86707" dxfId="4">
      <formula>$H1253="SUBETAPA"</formula>
    </cfRule>
  </conditionalFormatting>
  <conditionalFormatting sqref="H1369">
    <cfRule type="expression" priority="53743" dxfId="5">
      <formula>$H1369="CÉLULA CONSTRUTIVA"</formula>
    </cfRule>
    <cfRule type="expression" priority="53744" dxfId="3">
      <formula>$H1369="ETAPA"</formula>
    </cfRule>
    <cfRule type="expression" priority="53745" dxfId="4">
      <formula>$H1369="SUBETAPA"</formula>
    </cfRule>
  </conditionalFormatting>
  <conditionalFormatting sqref="H1370 J1370:L1370">
    <cfRule type="expression" priority="53766" dxfId="3">
      <formula>$H1370="ETAPA"</formula>
    </cfRule>
    <cfRule type="expression" priority="53862" dxfId="5">
      <formula>$H1370="CÉLULA CONSTRUTIVA"</formula>
    </cfRule>
    <cfRule type="expression" priority="53863" dxfId="4">
      <formula>$H1370="SUBETAPA"</formula>
    </cfRule>
  </conditionalFormatting>
  <conditionalFormatting sqref="H1372">
    <cfRule type="expression" priority="53867" dxfId="5">
      <formula>$H1372="CÉLULA CONSTRUTIVA"</formula>
    </cfRule>
    <cfRule type="expression" priority="53868" dxfId="3">
      <formula>$H1372="ETAPA"</formula>
    </cfRule>
    <cfRule type="expression" priority="53869" dxfId="4">
      <formula>$H1372="SUBETAPA"</formula>
    </cfRule>
  </conditionalFormatting>
  <conditionalFormatting sqref="H1373 J1373:L1373">
    <cfRule type="expression" priority="53890" dxfId="3">
      <formula>$H1373="ETAPA"</formula>
    </cfRule>
    <cfRule type="expression" priority="53986" dxfId="5">
      <formula>$H1373="CÉLULA CONSTRUTIVA"</formula>
    </cfRule>
    <cfRule type="expression" priority="53987" dxfId="4">
      <formula>$H1373="SUBETAPA"</formula>
    </cfRule>
  </conditionalFormatting>
  <conditionalFormatting sqref="H1375">
    <cfRule type="expression" priority="53991" dxfId="5">
      <formula>$H1375="CÉLULA CONSTRUTIVA"</formula>
    </cfRule>
    <cfRule type="expression" priority="53992" dxfId="3">
      <formula>$H1375="ETAPA"</formula>
    </cfRule>
    <cfRule type="expression" priority="53993" dxfId="4">
      <formula>$H1375="SUBETAPA"</formula>
    </cfRule>
  </conditionalFormatting>
  <conditionalFormatting sqref="H1376 J1376:L1376">
    <cfRule type="expression" priority="54110" dxfId="5">
      <formula>$H1376="CÉLULA CONSTRUTIVA"</formula>
    </cfRule>
    <cfRule type="expression" priority="54111" dxfId="4">
      <formula>$H1376="SUBETAPA"</formula>
    </cfRule>
  </conditionalFormatting>
  <conditionalFormatting sqref="H1378">
    <cfRule type="expression" priority="54115" dxfId="5">
      <formula>$H1378="CÉLULA CONSTRUTIVA"</formula>
    </cfRule>
    <cfRule type="expression" priority="54116" dxfId="3">
      <formula>$H1378="ETAPA"</formula>
    </cfRule>
    <cfRule type="expression" priority="54117" dxfId="4">
      <formula>$H1378="SUBETAPA"</formula>
    </cfRule>
  </conditionalFormatting>
  <conditionalFormatting sqref="H1379 J1379:L1379">
    <cfRule type="expression" priority="54234" dxfId="5">
      <formula>$H1379="CÉLULA CONSTRUTIVA"</formula>
    </cfRule>
    <cfRule type="expression" priority="54235" dxfId="4">
      <formula>$H1379="SUBETAPA"</formula>
    </cfRule>
  </conditionalFormatting>
  <conditionalFormatting sqref="H1381">
    <cfRule type="expression" priority="54239" dxfId="5">
      <formula>$H1381="CÉLULA CONSTRUTIVA"</formula>
    </cfRule>
    <cfRule type="expression" priority="54240" dxfId="3">
      <formula>$H1381="ETAPA"</formula>
    </cfRule>
    <cfRule type="expression" priority="54241" dxfId="4">
      <formula>$H1381="SUBETAPA"</formula>
    </cfRule>
  </conditionalFormatting>
  <conditionalFormatting sqref="H1382 J1382:L1382">
    <cfRule type="expression" priority="54358" dxfId="5">
      <formula>$H1382="CÉLULA CONSTRUTIVA"</formula>
    </cfRule>
    <cfRule type="expression" priority="54359" dxfId="4">
      <formula>$H1382="SUBETAPA"</formula>
    </cfRule>
  </conditionalFormatting>
  <conditionalFormatting sqref="H1384">
    <cfRule type="expression" priority="54363" dxfId="5">
      <formula>$H1384="CÉLULA CONSTRUTIVA"</formula>
    </cfRule>
    <cfRule type="expression" priority="54364" dxfId="3">
      <formula>$H1384="ETAPA"</formula>
    </cfRule>
    <cfRule type="expression" priority="54365" dxfId="4">
      <formula>$H1384="SUBETAPA"</formula>
    </cfRule>
  </conditionalFormatting>
  <conditionalFormatting sqref="H1385 J1385:L1385">
    <cfRule type="expression" priority="54482" dxfId="5">
      <formula>$H1385="CÉLULA CONSTRUTIVA"</formula>
    </cfRule>
    <cfRule type="expression" priority="54483" dxfId="4">
      <formula>$H1385="SUBETAPA"</formula>
    </cfRule>
  </conditionalFormatting>
  <conditionalFormatting sqref="H1389">
    <cfRule type="expression" priority="54487" dxfId="5">
      <formula>$H1389="CÉLULA CONSTRUTIVA"</formula>
    </cfRule>
    <cfRule type="expression" priority="54488" dxfId="3">
      <formula>$H1389="ETAPA"</formula>
    </cfRule>
    <cfRule type="expression" priority="54489" dxfId="4">
      <formula>$H1389="SUBETAPA"</formula>
    </cfRule>
  </conditionalFormatting>
  <conditionalFormatting sqref="H1390 J1390:L1390">
    <cfRule type="expression" priority="54606" dxfId="5">
      <formula>$H1390="CÉLULA CONSTRUTIVA"</formula>
    </cfRule>
    <cfRule type="expression" priority="54607" dxfId="4">
      <formula>$H1390="SUBETAPA"</formula>
    </cfRule>
  </conditionalFormatting>
  <conditionalFormatting sqref="H1391 J1391:L1391">
    <cfRule type="expression" priority="54502" dxfId="3">
      <formula>$H1391="ETAPA"</formula>
    </cfRule>
  </conditionalFormatting>
  <conditionalFormatting sqref="H1391 J1391:M1391">
    <cfRule type="expression" priority="54515" dxfId="4">
      <formula>$H1391="SUBETAPA"</formula>
    </cfRule>
  </conditionalFormatting>
  <conditionalFormatting sqref="H1392 J1392:L1392 K1389:M1389 O1389">
    <cfRule type="expression" priority="54509" dxfId="3">
      <formula>$H1389="ETAPA"</formula>
    </cfRule>
  </conditionalFormatting>
  <conditionalFormatting sqref="H1392 J1392:M1392 K1389:M1389 O1389">
    <cfRule type="expression" priority="54508" dxfId="4">
      <formula>$H1389="SUBETAPA"</formula>
    </cfRule>
  </conditionalFormatting>
  <conditionalFormatting sqref="H1396">
    <cfRule type="expression" priority="54611" dxfId="5">
      <formula>$H1396="CÉLULA CONSTRUTIVA"</formula>
    </cfRule>
    <cfRule type="expression" priority="54612" dxfId="3">
      <formula>$H1396="ETAPA"</formula>
    </cfRule>
    <cfRule type="expression" priority="54613" dxfId="4">
      <formula>$H1396="SUBETAPA"</formula>
    </cfRule>
  </conditionalFormatting>
  <conditionalFormatting sqref="H1397 J1397:L1397">
    <cfRule type="expression" priority="54730" dxfId="5">
      <formula>$H1397="CÉLULA CONSTRUTIVA"</formula>
    </cfRule>
    <cfRule type="expression" priority="54731" dxfId="4">
      <formula>$H1397="SUBETAPA"</formula>
    </cfRule>
  </conditionalFormatting>
  <conditionalFormatting sqref="H1398 J1398:L1398">
    <cfRule type="expression" priority="54626" dxfId="3">
      <formula>$H1398="ETAPA"</formula>
    </cfRule>
  </conditionalFormatting>
  <conditionalFormatting sqref="H1398 J1398:M1398">
    <cfRule type="expression" priority="54639" dxfId="4">
      <formula>$H1398="SUBETAPA"</formula>
    </cfRule>
  </conditionalFormatting>
  <conditionalFormatting sqref="H1399 J1399:L1399 K1396:M1396 O1396">
    <cfRule type="expression" priority="54633" dxfId="3">
      <formula>$H1396="ETAPA"</formula>
    </cfRule>
  </conditionalFormatting>
  <conditionalFormatting sqref="H1399 J1399:M1399 K1396:M1396 O1396">
    <cfRule type="expression" priority="54632" dxfId="4">
      <formula>$H1396="SUBETAPA"</formula>
    </cfRule>
  </conditionalFormatting>
  <conditionalFormatting sqref="H1403">
    <cfRule type="expression" priority="54735" dxfId="5">
      <formula>$H1403="CÉLULA CONSTRUTIVA"</formula>
    </cfRule>
    <cfRule type="expression" priority="54736" dxfId="3">
      <formula>$H1403="ETAPA"</formula>
    </cfRule>
    <cfRule type="expression" priority="54737" dxfId="4">
      <formula>$H1403="SUBETAPA"</formula>
    </cfRule>
  </conditionalFormatting>
  <conditionalFormatting sqref="H1404 J1404:L1404">
    <cfRule type="expression" priority="54758" dxfId="3">
      <formula>$H1404="ETAPA"</formula>
    </cfRule>
    <cfRule type="expression" priority="54854" dxfId="5">
      <formula>$H1404="CÉLULA CONSTRUTIVA"</formula>
    </cfRule>
    <cfRule type="expression" priority="54855" dxfId="4">
      <formula>$H1404="SUBETAPA"</formula>
    </cfRule>
  </conditionalFormatting>
  <conditionalFormatting sqref="H1408">
    <cfRule type="expression" priority="54859" dxfId="5">
      <formula>$H1408="CÉLULA CONSTRUTIVA"</formula>
    </cfRule>
    <cfRule type="expression" priority="54860" dxfId="3">
      <formula>$H1408="ETAPA"</formula>
    </cfRule>
    <cfRule type="expression" priority="54861" dxfId="4">
      <formula>$H1408="SUBETAPA"</formula>
    </cfRule>
  </conditionalFormatting>
  <conditionalFormatting sqref="H1409 J1409:L1409">
    <cfRule type="expression" priority="54978" dxfId="5">
      <formula>$H1409="CÉLULA CONSTRUTIVA"</formula>
    </cfRule>
    <cfRule type="expression" priority="54979" dxfId="4">
      <formula>$H1409="SUBETAPA"</formula>
    </cfRule>
  </conditionalFormatting>
  <conditionalFormatting sqref="H1413">
    <cfRule type="expression" priority="54983" dxfId="5">
      <formula>$H1413="CÉLULA CONSTRUTIVA"</formula>
    </cfRule>
    <cfRule type="expression" priority="54984" dxfId="3">
      <formula>$H1413="ETAPA"</formula>
    </cfRule>
    <cfRule type="expression" priority="54985" dxfId="4">
      <formula>$H1413="SUBETAPA"</formula>
    </cfRule>
  </conditionalFormatting>
  <conditionalFormatting sqref="H1414 J1414:L1414">
    <cfRule type="expression" priority="55006" dxfId="3">
      <formula>$H1414="ETAPA"</formula>
    </cfRule>
    <cfRule type="expression" priority="55102" dxfId="5">
      <formula>$H1414="CÉLULA CONSTRUTIVA"</formula>
    </cfRule>
    <cfRule type="expression" priority="55103" dxfId="4">
      <formula>$H1414="SUBETAPA"</formula>
    </cfRule>
  </conditionalFormatting>
  <conditionalFormatting sqref="H1418">
    <cfRule type="expression" priority="55107" dxfId="5">
      <formula>$H1418="CÉLULA CONSTRUTIVA"</formula>
    </cfRule>
    <cfRule type="expression" priority="55108" dxfId="3">
      <formula>$H1418="ETAPA"</formula>
    </cfRule>
    <cfRule type="expression" priority="55109" dxfId="4">
      <formula>$H1418="SUBETAPA"</formula>
    </cfRule>
  </conditionalFormatting>
  <conditionalFormatting sqref="H1419 J1419:L1419">
    <cfRule type="expression" priority="55130" dxfId="3">
      <formula>$H1419="ETAPA"</formula>
    </cfRule>
    <cfRule type="expression" priority="55226" dxfId="5">
      <formula>$H1419="CÉLULA CONSTRUTIVA"</formula>
    </cfRule>
    <cfRule type="expression" priority="55227" dxfId="4">
      <formula>$H1419="SUBETAPA"</formula>
    </cfRule>
  </conditionalFormatting>
  <conditionalFormatting sqref="H1421">
    <cfRule type="expression" priority="55231" dxfId="5">
      <formula>$H1421="CÉLULA CONSTRUTIVA"</formula>
    </cfRule>
    <cfRule type="expression" priority="55232" dxfId="3">
      <formula>$H1421="ETAPA"</formula>
    </cfRule>
    <cfRule type="expression" priority="55233" dxfId="4">
      <formula>$H1421="SUBETAPA"</formula>
    </cfRule>
  </conditionalFormatting>
  <conditionalFormatting sqref="H1422 J1422:L1422">
    <cfRule type="expression" priority="55254" dxfId="3">
      <formula>$H1422="ETAPA"</formula>
    </cfRule>
    <cfRule type="expression" priority="55350" dxfId="5">
      <formula>$H1422="CÉLULA CONSTRUTIVA"</formula>
    </cfRule>
    <cfRule type="expression" priority="55351" dxfId="4">
      <formula>$H1422="SUBETAPA"</formula>
    </cfRule>
  </conditionalFormatting>
  <conditionalFormatting sqref="H1433:H1434">
    <cfRule type="expression" priority="92028" dxfId="4">
      <formula>$H1433="SUBETAPA"</formula>
    </cfRule>
  </conditionalFormatting>
  <conditionalFormatting sqref="H1443 J1443:K1443 J1444:J1445 O1443">
    <cfRule type="expression" priority="92204" dxfId="3">
      <formula>$H1443="ETAPA"</formula>
    </cfRule>
    <cfRule type="expression" priority="92203" dxfId="4">
      <formula>$H1443="SUBETAPA"</formula>
    </cfRule>
  </conditionalFormatting>
  <conditionalFormatting sqref="H1443:H1446 J1443:K1446">
    <cfRule type="expression" priority="92200" dxfId="5">
      <formula>$H1443="CÉLULA CONSTRUTIVA"</formula>
    </cfRule>
  </conditionalFormatting>
  <conditionalFormatting sqref="H1445 J1445:K1445 O1445">
    <cfRule type="expression" priority="92202" dxfId="3">
      <formula>$H1445="ETAPA"</formula>
    </cfRule>
    <cfRule type="expression" priority="92201" dxfId="4">
      <formula>$H1445="SUBETAPA"</formula>
    </cfRule>
  </conditionalFormatting>
  <conditionalFormatting sqref="H1448:H1449">
    <cfRule type="expression" priority="92687" dxfId="4">
      <formula>$H1448="SUBETAPA"</formula>
    </cfRule>
    <cfRule type="expression" priority="92688" dxfId="3">
      <formula>$H1448="ETAPA"</formula>
    </cfRule>
  </conditionalFormatting>
  <conditionalFormatting sqref="H1453 K1453 O1453">
    <cfRule type="expression" priority="92974" dxfId="3">
      <formula>$H1453="ETAPA"</formula>
    </cfRule>
    <cfRule type="expression" priority="92973" dxfId="4">
      <formula>$H1453="SUBETAPA"</formula>
    </cfRule>
  </conditionalFormatting>
  <conditionalFormatting sqref="H1455:H1456">
    <cfRule type="expression" priority="93346" dxfId="4">
      <formula>$H1455="SUBETAPA"</formula>
    </cfRule>
    <cfRule type="expression" priority="93347" dxfId="3">
      <formula>$H1455="ETAPA"</formula>
    </cfRule>
  </conditionalFormatting>
  <conditionalFormatting sqref="H1460">
    <cfRule type="expression" priority="93632" dxfId="4">
      <formula>$H1460="SUBETAPA"</formula>
    </cfRule>
    <cfRule type="expression" priority="93633" dxfId="3">
      <formula>$H1460="ETAPA"</formula>
    </cfRule>
  </conditionalFormatting>
  <conditionalFormatting sqref="H1462:H1463">
    <cfRule type="expression" priority="94005" dxfId="4">
      <formula>$H1462="SUBETAPA"</formula>
    </cfRule>
    <cfRule type="expression" priority="94006" dxfId="3">
      <formula>$H1462="ETAPA"</formula>
    </cfRule>
  </conditionalFormatting>
  <conditionalFormatting sqref="H1467">
    <cfRule type="expression" priority="94291" dxfId="4">
      <formula>$H1467="SUBETAPA"</formula>
    </cfRule>
    <cfRule type="expression" priority="94292" dxfId="3">
      <formula>$H1467="ETAPA"</formula>
    </cfRule>
  </conditionalFormatting>
  <conditionalFormatting sqref="H1472:H1473">
    <cfRule type="expression" priority="94664" dxfId="4">
      <formula>$H1472="SUBETAPA"</formula>
    </cfRule>
    <cfRule type="expression" priority="94665" dxfId="3">
      <formula>$H1472="ETAPA"</formula>
    </cfRule>
  </conditionalFormatting>
  <conditionalFormatting sqref="H1482">
    <cfRule type="expression" priority="94839" dxfId="4">
      <formula>$H1482="SUBETAPA"</formula>
    </cfRule>
    <cfRule type="expression" priority="94840" dxfId="3">
      <formula>$H1482="ETAPA"</formula>
    </cfRule>
  </conditionalFormatting>
  <conditionalFormatting sqref="H1482:H1485">
    <cfRule type="expression" priority="94836" dxfId="5">
      <formula>$H1482="CÉLULA CONSTRUTIVA"</formula>
    </cfRule>
  </conditionalFormatting>
  <conditionalFormatting sqref="H1483 H1485">
    <cfRule type="expression" priority="94950" dxfId="4">
      <formula>$H1483="SUBETAPA"</formula>
    </cfRule>
    <cfRule type="expression" priority="94951" dxfId="3">
      <formula>$H1483="ETAPA"</formula>
    </cfRule>
  </conditionalFormatting>
  <conditionalFormatting sqref="H1484">
    <cfRule type="expression" priority="94837" dxfId="4">
      <formula>$H1484="SUBETAPA"</formula>
    </cfRule>
    <cfRule type="expression" priority="94838" dxfId="3">
      <formula>$H1484="ETAPA"</formula>
    </cfRule>
  </conditionalFormatting>
  <conditionalFormatting sqref="H1487:H1488">
    <cfRule type="expression" priority="95323" dxfId="4">
      <formula>$H1487="SUBETAPA"</formula>
    </cfRule>
    <cfRule type="expression" priority="95324" dxfId="3">
      <formula>$H1487="ETAPA"</formula>
    </cfRule>
  </conditionalFormatting>
  <conditionalFormatting sqref="H1492:H1493">
    <cfRule type="expression" priority="95609" dxfId="4">
      <formula>$H1492="SUBETAPA"</formula>
    </cfRule>
    <cfRule type="expression" priority="95610" dxfId="3">
      <formula>$H1492="ETAPA"</formula>
    </cfRule>
  </conditionalFormatting>
  <conditionalFormatting sqref="H1504:H1505">
    <cfRule type="expression" priority="88052" dxfId="4">
      <formula>$H1504="SUBETAPA"</formula>
    </cfRule>
    <cfRule type="expression" priority="88053" dxfId="3">
      <formula>$H1504="ETAPA"</formula>
    </cfRule>
  </conditionalFormatting>
  <conditionalFormatting sqref="H1513">
    <cfRule type="expression" priority="88227" dxfId="4">
      <formula>$H1513="SUBETAPA"</formula>
    </cfRule>
    <cfRule type="expression" priority="88228" dxfId="3">
      <formula>$H1513="ETAPA"</formula>
    </cfRule>
  </conditionalFormatting>
  <conditionalFormatting sqref="H1513:H1518">
    <cfRule type="expression" priority="88224" dxfId="5">
      <formula>$H1513="CÉLULA CONSTRUTIVA"</formula>
    </cfRule>
  </conditionalFormatting>
  <conditionalFormatting sqref="H1514:H1515 H1518">
    <cfRule type="expression" priority="88339" dxfId="3">
      <formula>$H1514="ETAPA"</formula>
    </cfRule>
    <cfRule type="expression" priority="88338" dxfId="4">
      <formula>$H1514="SUBETAPA"</formula>
    </cfRule>
  </conditionalFormatting>
  <conditionalFormatting sqref="H1516:H1517">
    <cfRule type="expression" priority="88225" dxfId="4">
      <formula>$H1516="SUBETAPA"</formula>
    </cfRule>
    <cfRule type="expression" priority="88226" dxfId="3">
      <formula>$H1516="ETAPA"</formula>
    </cfRule>
  </conditionalFormatting>
  <conditionalFormatting sqref="H1526:H1527">
    <cfRule type="expression" priority="88711" dxfId="4">
      <formula>$H1526="SUBETAPA"</formula>
    </cfRule>
    <cfRule type="expression" priority="88712" dxfId="3">
      <formula>$H1526="ETAPA"</formula>
    </cfRule>
  </conditionalFormatting>
  <conditionalFormatting sqref="H1535 K1535 O1535">
    <cfRule type="expression" priority="88887" dxfId="3">
      <formula>$H1535="ETAPA"</formula>
    </cfRule>
    <cfRule type="expression" priority="88886" dxfId="4">
      <formula>$H1535="SUBETAPA"</formula>
    </cfRule>
  </conditionalFormatting>
  <conditionalFormatting sqref="H1535:H1538 J1538:K1538 K1535:K1537">
    <cfRule type="expression" priority="88883" dxfId="5">
      <formula>$H1535="CÉLULA CONSTRUTIVA"</formula>
    </cfRule>
  </conditionalFormatting>
  <conditionalFormatting sqref="H1536 H1538 J1538:K1538 K1536 O1536 O1538">
    <cfRule type="expression" priority="88998" dxfId="3">
      <formula>$H1536="ETAPA"</formula>
    </cfRule>
    <cfRule type="expression" priority="88997" dxfId="4">
      <formula>$H1536="SUBETAPA"</formula>
    </cfRule>
  </conditionalFormatting>
  <conditionalFormatting sqref="H1537 K1537 O1537">
    <cfRule type="expression" priority="88885" dxfId="3">
      <formula>$H1537="ETAPA"</formula>
    </cfRule>
    <cfRule type="expression" priority="88884" dxfId="4">
      <formula>$H1537="SUBETAPA"</formula>
    </cfRule>
  </conditionalFormatting>
  <conditionalFormatting sqref="H1544:H1545">
    <cfRule type="expression" priority="89169" dxfId="4">
      <formula>$H1544="SUBETAPA"</formula>
    </cfRule>
  </conditionalFormatting>
  <conditionalFormatting sqref="H1550:H1551">
    <cfRule type="expression" priority="89370" dxfId="4">
      <formula>$H1550="SUBETAPA"</formula>
    </cfRule>
    <cfRule type="expression" priority="89371" dxfId="3">
      <formula>$H1550="ETAPA"</formula>
    </cfRule>
  </conditionalFormatting>
  <conditionalFormatting sqref="H1557 K1557 O1557">
    <cfRule type="expression" priority="89546" dxfId="3">
      <formula>$H1557="ETAPA"</formula>
    </cfRule>
    <cfRule type="expression" priority="89545" dxfId="4">
      <formula>$H1557="SUBETAPA"</formula>
    </cfRule>
  </conditionalFormatting>
  <conditionalFormatting sqref="H1557:H1560 J1560:K1560 K1557:K1559">
    <cfRule type="expression" priority="89542" dxfId="5">
      <formula>$H1557="CÉLULA CONSTRUTIVA"</formula>
    </cfRule>
  </conditionalFormatting>
  <conditionalFormatting sqref="H1558 H1560 J1560:K1560 K1558 O1558 O1560">
    <cfRule type="expression" priority="89657" dxfId="3">
      <formula>$H1558="ETAPA"</formula>
    </cfRule>
    <cfRule type="expression" priority="89656" dxfId="4">
      <formula>$H1558="SUBETAPA"</formula>
    </cfRule>
  </conditionalFormatting>
  <conditionalFormatting sqref="H1559 K1559 O1559">
    <cfRule type="expression" priority="89544" dxfId="3">
      <formula>$H1559="ETAPA"</formula>
    </cfRule>
    <cfRule type="expression" priority="89543" dxfId="4">
      <formula>$H1559="SUBETAPA"</formula>
    </cfRule>
  </conditionalFormatting>
  <conditionalFormatting sqref="H1569:H1570">
    <cfRule type="expression" priority="90029" dxfId="4">
      <formula>$H1569="SUBETAPA"</formula>
    </cfRule>
    <cfRule type="expression" priority="90030" dxfId="3">
      <formula>$H1569="ETAPA"</formula>
    </cfRule>
  </conditionalFormatting>
  <conditionalFormatting sqref="H1575 K1575 O1575">
    <cfRule type="expression" priority="90205" dxfId="3">
      <formula>$H1575="ETAPA"</formula>
    </cfRule>
    <cfRule type="expression" priority="90204" dxfId="4">
      <formula>$H1575="SUBETAPA"</formula>
    </cfRule>
  </conditionalFormatting>
  <conditionalFormatting sqref="H1576 K1576 O1576">
    <cfRule type="expression" priority="90203" dxfId="3">
      <formula>$H1576="ETAPA"</formula>
    </cfRule>
    <cfRule type="expression" priority="90202" dxfId="4">
      <formula>$H1576="SUBETAPA"</formula>
    </cfRule>
  </conditionalFormatting>
  <conditionalFormatting sqref="H1577 J1577:K1577 O1577">
    <cfRule type="expression" priority="90316" dxfId="3">
      <formula>$H1577="ETAPA"</formula>
    </cfRule>
    <cfRule type="expression" priority="90315" dxfId="4">
      <formula>$H1577="SUBETAPA"</formula>
    </cfRule>
  </conditionalFormatting>
  <conditionalFormatting sqref="H1588:H1589">
    <cfRule type="expression" priority="90688" dxfId="4">
      <formula>$H1588="SUBETAPA"</formula>
    </cfRule>
    <cfRule type="expression" priority="90689" dxfId="3">
      <formula>$H1588="ETAPA"</formula>
    </cfRule>
  </conditionalFormatting>
  <conditionalFormatting sqref="H1595 K1595 O1595">
    <cfRule type="expression" priority="90864" dxfId="3">
      <formula>$H1595="ETAPA"</formula>
    </cfRule>
    <cfRule type="expression" priority="90863" dxfId="4">
      <formula>$H1595="SUBETAPA"</formula>
    </cfRule>
  </conditionalFormatting>
  <conditionalFormatting sqref="H1595:H1598 J1598:K1598 K1595:K1597">
    <cfRule type="expression" priority="90860" dxfId="5">
      <formula>$H1595="CÉLULA CONSTRUTIVA"</formula>
    </cfRule>
  </conditionalFormatting>
  <conditionalFormatting sqref="H1596 H1598 J1598:K1598 K1596 O1596 O1598">
    <cfRule type="expression" priority="90975" dxfId="3">
      <formula>$H1596="ETAPA"</formula>
    </cfRule>
    <cfRule type="expression" priority="90974" dxfId="4">
      <formula>$H1596="SUBETAPA"</formula>
    </cfRule>
  </conditionalFormatting>
  <conditionalFormatting sqref="H1597 K1597 O1597">
    <cfRule type="expression" priority="90862" dxfId="3">
      <formula>$H1597="ETAPA"</formula>
    </cfRule>
    <cfRule type="expression" priority="90861" dxfId="4">
      <formula>$H1597="SUBETAPA"</formula>
    </cfRule>
  </conditionalFormatting>
  <conditionalFormatting sqref="H1609:H1610">
    <cfRule type="expression" priority="91348" dxfId="4">
      <formula>$H1609="SUBETAPA"</formula>
    </cfRule>
    <cfRule type="expression" priority="91349" dxfId="3">
      <formula>$H1609="ETAPA"</formula>
    </cfRule>
  </conditionalFormatting>
  <conditionalFormatting sqref="H1616 K1616 O1616">
    <cfRule type="expression" priority="91524" dxfId="3">
      <formula>$H1616="ETAPA"</formula>
    </cfRule>
    <cfRule type="expression" priority="91523" dxfId="4">
      <formula>$H1616="SUBETAPA"</formula>
    </cfRule>
  </conditionalFormatting>
  <conditionalFormatting sqref="H1616:H1619 J1619:K1619 K1616:K1618">
    <cfRule type="expression" priority="91520" dxfId="5">
      <formula>$H1616="CÉLULA CONSTRUTIVA"</formula>
    </cfRule>
  </conditionalFormatting>
  <conditionalFormatting sqref="H1617 H1619 J1619:K1619 K1617 O1617 O1619">
    <cfRule type="expression" priority="91635" dxfId="3">
      <formula>$H1617="ETAPA"</formula>
    </cfRule>
    <cfRule type="expression" priority="91634" dxfId="4">
      <formula>$H1617="SUBETAPA"</formula>
    </cfRule>
  </conditionalFormatting>
  <conditionalFormatting sqref="H1618 K1618 O1618">
    <cfRule type="expression" priority="91522" dxfId="3">
      <formula>$H1618="ETAPA"</formula>
    </cfRule>
    <cfRule type="expression" priority="91521" dxfId="4">
      <formula>$H1618="SUBETAPA"</formula>
    </cfRule>
  </conditionalFormatting>
  <conditionalFormatting sqref="H1625:H1626">
    <cfRule type="expression" priority="95781" dxfId="4">
      <formula>$H1625="SUBETAPA"</formula>
    </cfRule>
  </conditionalFormatting>
  <conditionalFormatting sqref="H1633:H1634">
    <cfRule type="expression" priority="95982" dxfId="4">
      <formula>$H1633="SUBETAPA"</formula>
    </cfRule>
    <cfRule type="expression" priority="95983" dxfId="3">
      <formula>$H1633="ETAPA"</formula>
    </cfRule>
  </conditionalFormatting>
  <conditionalFormatting sqref="H1640 K1640 O1640">
    <cfRule type="expression" priority="96158" dxfId="3">
      <formula>$H1640="ETAPA"</formula>
    </cfRule>
    <cfRule type="expression" priority="96157" dxfId="4">
      <formula>$H1640="SUBETAPA"</formula>
    </cfRule>
  </conditionalFormatting>
  <conditionalFormatting sqref="H1640:H1643 J1643:K1643 K1640:K1642">
    <cfRule type="expression" priority="96154" dxfId="5">
      <formula>$H1640="CÉLULA CONSTRUTIVA"</formula>
    </cfRule>
  </conditionalFormatting>
  <conditionalFormatting sqref="H1641 H1643 J1643:K1643 K1641 O1641 O1643">
    <cfRule type="expression" priority="96269" dxfId="3">
      <formula>$H1641="ETAPA"</formula>
    </cfRule>
    <cfRule type="expression" priority="96268" dxfId="4">
      <formula>$H1641="SUBETAPA"</formula>
    </cfRule>
  </conditionalFormatting>
  <conditionalFormatting sqref="H1642 K1642 O1642">
    <cfRule type="expression" priority="96156" dxfId="3">
      <formula>$H1642="ETAPA"</formula>
    </cfRule>
    <cfRule type="expression" priority="96155" dxfId="4">
      <formula>$H1642="SUBETAPA"</formula>
    </cfRule>
  </conditionalFormatting>
  <conditionalFormatting sqref="H1649:H1650">
    <cfRule type="expression" priority="96440" dxfId="4">
      <formula>$H1649="SUBETAPA"</formula>
    </cfRule>
  </conditionalFormatting>
  <conditionalFormatting sqref="H1653:H1654">
    <cfRule type="expression" priority="96641" dxfId="4">
      <formula>$H1653="SUBETAPA"</formula>
    </cfRule>
    <cfRule type="expression" priority="96642" dxfId="3">
      <formula>$H1653="ETAPA"</formula>
    </cfRule>
  </conditionalFormatting>
  <conditionalFormatting sqref="H1658 K1658 O1658">
    <cfRule type="expression" priority="96817" dxfId="3">
      <formula>$H1658="ETAPA"</formula>
    </cfRule>
    <cfRule type="expression" priority="96816" dxfId="4">
      <formula>$H1658="SUBETAPA"</formula>
    </cfRule>
  </conditionalFormatting>
  <conditionalFormatting sqref="H1659 K1659 O1659">
    <cfRule type="expression" priority="96928" dxfId="3">
      <formula>$H1659="ETAPA"</formula>
    </cfRule>
    <cfRule type="expression" priority="96927" dxfId="4">
      <formula>$H1659="SUBETAPA"</formula>
    </cfRule>
  </conditionalFormatting>
  <conditionalFormatting sqref="H1660 K1660 O1660">
    <cfRule type="expression" priority="96815" dxfId="3">
      <formula>$H1660="ETAPA"</formula>
    </cfRule>
    <cfRule type="expression" priority="96814" dxfId="4">
      <formula>$H1660="SUBETAPA"</formula>
    </cfRule>
  </conditionalFormatting>
  <conditionalFormatting sqref="H1670 K1670 O1670">
    <cfRule type="expression" priority="97476" dxfId="3">
      <formula>$H1670="ETAPA"</formula>
    </cfRule>
    <cfRule type="expression" priority="97475" dxfId="4">
      <formula>$H1670="SUBETAPA"</formula>
    </cfRule>
  </conditionalFormatting>
  <conditionalFormatting sqref="H1671 K1671 O1671">
    <cfRule type="expression" priority="97587" dxfId="3">
      <formula>$H1671="ETAPA"</formula>
    </cfRule>
    <cfRule type="expression" priority="97586" dxfId="4">
      <formula>$H1671="SUBETAPA"</formula>
    </cfRule>
  </conditionalFormatting>
  <conditionalFormatting sqref="H1672 K1672 O1672">
    <cfRule type="expression" priority="97474" dxfId="3">
      <formula>$H1672="ETAPA"</formula>
    </cfRule>
    <cfRule type="expression" priority="97473" dxfId="4">
      <formula>$H1672="SUBETAPA"</formula>
    </cfRule>
  </conditionalFormatting>
  <conditionalFormatting sqref="H1674:H1675 J1674:M1675">
    <cfRule type="expression" priority="80573" dxfId="4">
      <formula>$H1674="SUBETAPA"</formula>
    </cfRule>
    <cfRule type="expression" priority="80574" dxfId="5">
      <formula>$H1674="CÉLULA CONSTRUTIVA"</formula>
    </cfRule>
  </conditionalFormatting>
  <conditionalFormatting sqref="H1674:H1681 O1679:O1680">
    <cfRule type="expression" priority="80393" dxfId="3">
      <formula>$H1674="ETAPA"</formula>
    </cfRule>
  </conditionalFormatting>
  <conditionalFormatting sqref="H1676 K1676 M1676 O1676">
    <cfRule type="expression" priority="80491" dxfId="5">
      <formula>$H1676="CÉLULA CONSTRUTIVA"</formula>
    </cfRule>
  </conditionalFormatting>
  <conditionalFormatting sqref="H1677 K1677 M1677 O1677">
    <cfRule type="expression" priority="80485" dxfId="5">
      <formula>$H1677="CÉLULA CONSTRUTIVA"</formula>
    </cfRule>
  </conditionalFormatting>
  <conditionalFormatting sqref="H1680 K1680 O1680">
    <cfRule type="expression" priority="80394" dxfId="4">
      <formula>$H1680="SUBETAPA"</formula>
    </cfRule>
    <cfRule type="expression" priority="80395" dxfId="5">
      <formula>$H1680="CÉLULA CONSTRUTIVA"</formula>
    </cfRule>
  </conditionalFormatting>
  <conditionalFormatting sqref="H1683:H1684 J1683:L1683 J1684 O1684">
    <cfRule type="expression" priority="80355" dxfId="4">
      <formula>$H1683="SUBETAPA"</formula>
    </cfRule>
    <cfRule type="expression" priority="80354" dxfId="5">
      <formula>$H1683="CÉLULA CONSTRUTIVA"</formula>
    </cfRule>
  </conditionalFormatting>
  <conditionalFormatting sqref="H1689:H1690 J1689:K1690 O1689:O1690">
    <cfRule type="expression" priority="80418" dxfId="4">
      <formula>$H1689="SUBETAPA"</formula>
    </cfRule>
  </conditionalFormatting>
  <conditionalFormatting sqref="H1686 H1693 J1686:L1686 L1693">
    <cfRule type="expression" priority="80567" dxfId="5">
      <formula>$H1686="CÉLULA CONSTRUTIVA"</formula>
    </cfRule>
  </conditionalFormatting>
  <conditionalFormatting sqref="H1693 J1686:L1686 L1693">
    <cfRule type="expression" priority="80568" dxfId="4">
      <formula>$H1686="SUBETAPA"</formula>
    </cfRule>
  </conditionalFormatting>
  <conditionalFormatting sqref="H1693">
    <cfRule type="expression" priority="80569" dxfId="3">
      <formula>$H1693="ETAPA"</formula>
    </cfRule>
  </conditionalFormatting>
  <conditionalFormatting sqref="H1694:H1695 J1694:M1695">
    <cfRule type="expression" priority="80897" dxfId="4">
      <formula>$H1694="SUBETAPA"</formula>
    </cfRule>
    <cfRule type="expression" priority="80898" dxfId="5">
      <formula>$H1694="CÉLULA CONSTRUTIVA"</formula>
    </cfRule>
  </conditionalFormatting>
  <conditionalFormatting sqref="H1694:H1701 J1700:L1700 J1701">
    <cfRule type="expression" priority="80680" dxfId="3">
      <formula>$H1694="ETAPA"</formula>
    </cfRule>
  </conditionalFormatting>
  <conditionalFormatting sqref="H1696 K1696 M1696 O1696">
    <cfRule type="expression" priority="80815" dxfId="5">
      <formula>$H1696="CÉLULA CONSTRUTIVA"</formula>
    </cfRule>
  </conditionalFormatting>
  <conditionalFormatting sqref="H1697 K1697 M1697 O1697">
    <cfRule type="expression" priority="80809" dxfId="5">
      <formula>$H1697="CÉLULA CONSTRUTIVA"</formula>
    </cfRule>
  </conditionalFormatting>
  <conditionalFormatting sqref="H1700:H1701 J1700:L1700 J1701">
    <cfRule type="expression" priority="80678" dxfId="5">
      <formula>$H1700="CÉLULA CONSTRUTIVA"</formula>
    </cfRule>
    <cfRule type="expression" priority="80679" dxfId="4">
      <formula>$H1700="SUBETAPA"</formula>
    </cfRule>
  </conditionalFormatting>
  <conditionalFormatting sqref="H1706:H1707 J1706:K1707 O1706:O1707">
    <cfRule type="expression" priority="80742" dxfId="4">
      <formula>$H1706="SUBETAPA"</formula>
    </cfRule>
  </conditionalFormatting>
  <conditionalFormatting sqref="H1703 H1709 J1703:L1703 L1709">
    <cfRule type="expression" priority="80891" dxfId="5">
      <formula>$H1703="CÉLULA CONSTRUTIVA"</formula>
    </cfRule>
  </conditionalFormatting>
  <conditionalFormatting sqref="H1709 J1703:L1703 L1709">
    <cfRule type="expression" priority="80892" dxfId="4">
      <formula>$H1703="SUBETAPA"</formula>
    </cfRule>
  </conditionalFormatting>
  <conditionalFormatting sqref="H1709">
    <cfRule type="expression" priority="80893" dxfId="3">
      <formula>$H1709="ETAPA"</formula>
    </cfRule>
  </conditionalFormatting>
  <conditionalFormatting sqref="H1710:H1711 J1710:M1711">
    <cfRule type="expression" priority="81221" dxfId="4">
      <formula>$H1710="SUBETAPA"</formula>
    </cfRule>
    <cfRule type="expression" priority="81222" dxfId="5">
      <formula>$H1710="CÉLULA CONSTRUTIVA"</formula>
    </cfRule>
  </conditionalFormatting>
  <conditionalFormatting sqref="H1710:H1717 J1716:L1716 J1717">
    <cfRule type="expression" priority="81004" dxfId="3">
      <formula>$H1710="ETAPA"</formula>
    </cfRule>
  </conditionalFormatting>
  <conditionalFormatting sqref="H1712 K1712 M1712 O1712">
    <cfRule type="expression" priority="81139" dxfId="5">
      <formula>$H1712="CÉLULA CONSTRUTIVA"</formula>
    </cfRule>
  </conditionalFormatting>
  <conditionalFormatting sqref="H1713 K1713 M1713 O1713">
    <cfRule type="expression" priority="81133" dxfId="5">
      <formula>$H1713="CÉLULA CONSTRUTIVA"</formula>
    </cfRule>
  </conditionalFormatting>
  <conditionalFormatting sqref="H1716:H1717 J1716:L1716 J1717">
    <cfRule type="expression" priority="81002" dxfId="5">
      <formula>$H1716="CÉLULA CONSTRUTIVA"</formula>
    </cfRule>
    <cfRule type="expression" priority="81003" dxfId="4">
      <formula>$H1716="SUBETAPA"</formula>
    </cfRule>
  </conditionalFormatting>
  <conditionalFormatting sqref="H1721:H1722 J1721:K1722 O1721:O1722">
    <cfRule type="expression" priority="81066" dxfId="4">
      <formula>$H1721="SUBETAPA"</formula>
    </cfRule>
  </conditionalFormatting>
  <conditionalFormatting sqref="H1718 H1724 J1718:L1718 L1724">
    <cfRule type="expression" priority="81215" dxfId="5">
      <formula>$H1718="CÉLULA CONSTRUTIVA"</formula>
    </cfRule>
  </conditionalFormatting>
  <conditionalFormatting sqref="H1724 J1718:L1718 L1724">
    <cfRule type="expression" priority="81216" dxfId="4">
      <formula>$H1718="SUBETAPA"</formula>
    </cfRule>
  </conditionalFormatting>
  <conditionalFormatting sqref="H1724">
    <cfRule type="expression" priority="81217" dxfId="3">
      <formula>$H1724="ETAPA"</formula>
    </cfRule>
  </conditionalFormatting>
  <conditionalFormatting sqref="H1725:H1726 J1725:M1726">
    <cfRule type="expression" priority="81545" dxfId="4">
      <formula>$H1725="SUBETAPA"</formula>
    </cfRule>
    <cfRule type="expression" priority="81546" dxfId="5">
      <formula>$H1725="CÉLULA CONSTRUTIVA"</formula>
    </cfRule>
  </conditionalFormatting>
  <conditionalFormatting sqref="H1725:H1732 J1731:L1731 J1732">
    <cfRule type="expression" priority="81328" dxfId="3">
      <formula>$H1725="ETAPA"</formula>
    </cfRule>
  </conditionalFormatting>
  <conditionalFormatting sqref="H1727 K1727 M1727 O1727">
    <cfRule type="expression" priority="81463" dxfId="5">
      <formula>$H1727="CÉLULA CONSTRUTIVA"</formula>
    </cfRule>
  </conditionalFormatting>
  <conditionalFormatting sqref="H1728 K1728 M1728 O1728">
    <cfRule type="expression" priority="81457" dxfId="5">
      <formula>$H1728="CÉLULA CONSTRUTIVA"</formula>
    </cfRule>
  </conditionalFormatting>
  <conditionalFormatting sqref="H1731:H1732 J1731:L1731 J1732">
    <cfRule type="expression" priority="81326" dxfId="5">
      <formula>$H1731="CÉLULA CONSTRUTIVA"</formula>
    </cfRule>
    <cfRule type="expression" priority="81327" dxfId="4">
      <formula>$H1731="SUBETAPA"</formula>
    </cfRule>
  </conditionalFormatting>
  <conditionalFormatting sqref="H1734:H1735 J1734:K1735 O1734:O1735">
    <cfRule type="expression" priority="81390" dxfId="4">
      <formula>$H1734="SUBETAPA"</formula>
    </cfRule>
  </conditionalFormatting>
  <conditionalFormatting sqref="H1737:H1738 J1737:M1738">
    <cfRule type="expression" priority="81869" dxfId="4">
      <formula>$H1737="SUBETAPA"</formula>
    </cfRule>
    <cfRule type="expression" priority="81870" dxfId="5">
      <formula>$H1737="CÉLULA CONSTRUTIVA"</formula>
    </cfRule>
  </conditionalFormatting>
  <conditionalFormatting sqref="H1739 K1739 M1739 O1739">
    <cfRule type="expression" priority="81787" dxfId="5">
      <formula>$H1739="CÉLULA CONSTRUTIVA"</formula>
    </cfRule>
  </conditionalFormatting>
  <conditionalFormatting sqref="H1740 K1740 M1740 O1740">
    <cfRule type="expression" priority="81781" dxfId="5">
      <formula>$H1740="CÉLULA CONSTRUTIVA"</formula>
    </cfRule>
  </conditionalFormatting>
  <conditionalFormatting sqref="H1743:H1744 J1743:L1743 J1744">
    <cfRule type="expression" priority="81650" dxfId="5">
      <formula>$H1743="CÉLULA CONSTRUTIVA"</formula>
    </cfRule>
    <cfRule type="expression" priority="81651" dxfId="4">
      <formula>$H1743="SUBETAPA"</formula>
    </cfRule>
    <cfRule type="expression" priority="81652" dxfId="3">
      <formula>$H1743="ETAPA"</formula>
    </cfRule>
  </conditionalFormatting>
  <conditionalFormatting sqref="H1746:H1747 J1746:K1747 O1746:O1747">
    <cfRule type="expression" priority="81714" dxfId="4">
      <formula>$H1746="SUBETAPA"</formula>
    </cfRule>
  </conditionalFormatting>
  <conditionalFormatting sqref="H1749:H1750 J1749:M1750">
    <cfRule type="expression" priority="82193" dxfId="4">
      <formula>$H1749="SUBETAPA"</formula>
    </cfRule>
    <cfRule type="expression" priority="82194" dxfId="5">
      <formula>$H1749="CÉLULA CONSTRUTIVA"</formula>
    </cfRule>
  </conditionalFormatting>
  <conditionalFormatting sqref="H1749:H1756 J1755:L1755 J1756">
    <cfRule type="expression" priority="81976" dxfId="3">
      <formula>$H1749="ETAPA"</formula>
    </cfRule>
  </conditionalFormatting>
  <conditionalFormatting sqref="H1751 K1751 M1751 O1751">
    <cfRule type="expression" priority="82111" dxfId="5">
      <formula>$H1751="CÉLULA CONSTRUTIVA"</formula>
    </cfRule>
  </conditionalFormatting>
  <conditionalFormatting sqref="H1752 K1752 M1752 O1752">
    <cfRule type="expression" priority="82105" dxfId="5">
      <formula>$H1752="CÉLULA CONSTRUTIVA"</formula>
    </cfRule>
  </conditionalFormatting>
  <conditionalFormatting sqref="H1755:H1756 J1755:L1755 J1756">
    <cfRule type="expression" priority="81974" dxfId="5">
      <formula>$H1755="CÉLULA CONSTRUTIVA"</formula>
    </cfRule>
    <cfRule type="expression" priority="81975" dxfId="4">
      <formula>$H1755="SUBETAPA"</formula>
    </cfRule>
  </conditionalFormatting>
  <conditionalFormatting sqref="H1758:H1759 J1758:K1759 O1758:O1759">
    <cfRule type="expression" priority="82038" dxfId="4">
      <formula>$H1758="SUBETAPA"</formula>
    </cfRule>
  </conditionalFormatting>
  <conditionalFormatting sqref="H1761:H1762 J1761:M1762">
    <cfRule type="expression" priority="82517" dxfId="4">
      <formula>$H1761="SUBETAPA"</formula>
    </cfRule>
    <cfRule type="expression" priority="82518" dxfId="5">
      <formula>$H1761="CÉLULA CONSTRUTIVA"</formula>
    </cfRule>
  </conditionalFormatting>
  <conditionalFormatting sqref="H1763 K1763 M1763 O1763">
    <cfRule type="expression" priority="82435" dxfId="5">
      <formula>$H1763="CÉLULA CONSTRUTIVA"</formula>
    </cfRule>
  </conditionalFormatting>
  <conditionalFormatting sqref="H1764 K1764 M1764 O1764">
    <cfRule type="expression" priority="82429" dxfId="5">
      <formula>$H1764="CÉLULA CONSTRUTIVA"</formula>
    </cfRule>
  </conditionalFormatting>
  <conditionalFormatting sqref="H1767 K1767 O1767">
    <cfRule type="expression" priority="82339" dxfId="5">
      <formula>$H1767="CÉLULA CONSTRUTIVA"</formula>
    </cfRule>
    <cfRule type="expression" priority="82338" dxfId="4">
      <formula>$H1767="SUBETAPA"</formula>
    </cfRule>
  </conditionalFormatting>
  <conditionalFormatting sqref="H1771:H1772 J1771:L1771 J1772">
    <cfRule type="expression" priority="82298" dxfId="5">
      <formula>$H1771="CÉLULA CONSTRUTIVA"</formula>
    </cfRule>
    <cfRule type="expression" priority="82299" dxfId="4">
      <formula>$H1771="SUBETAPA"</formula>
    </cfRule>
    <cfRule type="expression" priority="82300" dxfId="3">
      <formula>$H1771="ETAPA"</formula>
    </cfRule>
  </conditionalFormatting>
  <conditionalFormatting sqref="H1776:H1780 J1776:K1780">
    <cfRule type="expression" priority="82361" dxfId="5">
      <formula>$H1776="CÉLULA CONSTRUTIVA"</formula>
    </cfRule>
  </conditionalFormatting>
  <conditionalFormatting sqref="H1779:H1780 J1779:K1780 O1779:O1780">
    <cfRule type="expression" priority="82362" dxfId="4">
      <formula>$H1779="SUBETAPA"</formula>
    </cfRule>
  </conditionalFormatting>
  <conditionalFormatting sqref="H1773:H1775 H1784 J1773:L1773 J1774 J1775:L1775 L1784 O1774:O1778">
    <cfRule type="expression" priority="82511" dxfId="5">
      <formula>$H1773="CÉLULA CONSTRUTIVA"</formula>
    </cfRule>
  </conditionalFormatting>
  <conditionalFormatting sqref="H1773:H1778 H1784 J1773:L1773 J1774 J1775:L1775 J1776:K1778 L1784 O1774:O1778">
    <cfRule type="expression" priority="82512" dxfId="4">
      <formula>$H1773="SUBETAPA"</formula>
    </cfRule>
  </conditionalFormatting>
  <conditionalFormatting sqref="H1785:H1786 H1797 H1799 J1785:M1786 J1797 J1799 L1797 L1799">
    <cfRule type="expression" priority="82841" dxfId="4">
      <formula>$H1785="SUBETAPA"</formula>
    </cfRule>
    <cfRule type="expression" priority="82842" dxfId="5">
      <formula>$H1785="CÉLULA CONSTRUTIVA"</formula>
    </cfRule>
  </conditionalFormatting>
  <conditionalFormatting sqref="H1787 K1787 M1787 O1787">
    <cfRule type="expression" priority="82759" dxfId="5">
      <formula>$H1787="CÉLULA CONSTRUTIVA"</formula>
    </cfRule>
  </conditionalFormatting>
  <conditionalFormatting sqref="H1788 K1788 M1788 O1788">
    <cfRule type="expression" priority="82753" dxfId="5">
      <formula>$H1788="CÉLULA CONSTRUTIVA"</formula>
    </cfRule>
  </conditionalFormatting>
  <conditionalFormatting sqref="H1791 K1791 O1791">
    <cfRule type="expression" priority="82663" dxfId="5">
      <formula>$H1791="CÉLULA CONSTRUTIVA"</formula>
    </cfRule>
    <cfRule type="expression" priority="82662" dxfId="4">
      <formula>$H1791="SUBETAPA"</formula>
    </cfRule>
  </conditionalFormatting>
  <conditionalFormatting sqref="H1793:H1794 J1793:L1793 J1794">
    <cfRule type="expression" priority="82622" dxfId="5">
      <formula>$H1793="CÉLULA CONSTRUTIVA"</formula>
    </cfRule>
    <cfRule type="expression" priority="82623" dxfId="4">
      <formula>$H1793="SUBETAPA"</formula>
    </cfRule>
    <cfRule type="expression" priority="82624" dxfId="3">
      <formula>$H1793="ETAPA"</formula>
    </cfRule>
  </conditionalFormatting>
  <conditionalFormatting sqref="H1795:H1796 H1802:H1805 H1810 J1795:L1795 J1796 J1802:L1802 J1803:K1805 L1810 O1796 O1802:O1805">
    <cfRule type="expression" priority="82836" dxfId="4">
      <formula>$H1795="SUBETAPA"</formula>
    </cfRule>
  </conditionalFormatting>
  <conditionalFormatting sqref="H1800:H1801 J1800:J1801 L1800:L1801">
    <cfRule type="expression" priority="78860" dxfId="4">
      <formula>$H1800="SUBETAPA"</formula>
    </cfRule>
    <cfRule type="expression" priority="78861" dxfId="5">
      <formula>$H1800="CÉLULA CONSTRUTIVA"</formula>
    </cfRule>
    <cfRule type="expression" priority="78862" dxfId="3">
      <formula>$H1800="ETAPA"</formula>
    </cfRule>
  </conditionalFormatting>
  <conditionalFormatting sqref="H1803:H1807 J1803:K1807">
    <cfRule type="expression" priority="82685" dxfId="5">
      <formula>$H1803="CÉLULA CONSTRUTIVA"</formula>
    </cfRule>
  </conditionalFormatting>
  <conditionalFormatting sqref="H1806:H1807 J1806:K1807 O1806:O1807">
    <cfRule type="expression" priority="82687" dxfId="3">
      <formula>$H1806="ETAPA"</formula>
    </cfRule>
    <cfRule type="expression" priority="82686" dxfId="4">
      <formula>$H1806="SUBETAPA"</formula>
    </cfRule>
  </conditionalFormatting>
  <conditionalFormatting sqref="H1811:H1812 J1811:M1812">
    <cfRule type="expression" priority="83165" dxfId="4">
      <formula>$H1811="SUBETAPA"</formula>
    </cfRule>
    <cfRule type="expression" priority="83166" dxfId="5">
      <formula>$H1811="CÉLULA CONSTRUTIVA"</formula>
    </cfRule>
  </conditionalFormatting>
  <conditionalFormatting sqref="H1813 K1813 M1813 O1813">
    <cfRule type="expression" priority="83083" dxfId="5">
      <formula>$H1813="CÉLULA CONSTRUTIVA"</formula>
    </cfRule>
  </conditionalFormatting>
  <conditionalFormatting sqref="H1814 K1814 M1814 O1814">
    <cfRule type="expression" priority="83077" dxfId="5">
      <formula>$H1814="CÉLULA CONSTRUTIVA"</formula>
    </cfRule>
  </conditionalFormatting>
  <conditionalFormatting sqref="H1816 K1816 O1816">
    <cfRule type="expression" priority="82987" dxfId="5">
      <formula>$H1816="CÉLULA CONSTRUTIVA"</formula>
    </cfRule>
    <cfRule type="expression" priority="82986" dxfId="4">
      <formula>$H1816="SUBETAPA"</formula>
    </cfRule>
  </conditionalFormatting>
  <conditionalFormatting sqref="H1816">
    <cfRule type="expression" priority="82985" dxfId="3">
      <formula>$H1816="ETAPA"</formula>
    </cfRule>
  </conditionalFormatting>
  <conditionalFormatting sqref="H1818 H1823 J1818:L1818 L1823">
    <cfRule type="expression" priority="83159" dxfId="5">
      <formula>$H1818="CÉLULA CONSTRUTIVA"</formula>
    </cfRule>
  </conditionalFormatting>
  <conditionalFormatting sqref="H1823 J1818:L1818 L1823">
    <cfRule type="expression" priority="83160" dxfId="4">
      <formula>$H1818="SUBETAPA"</formula>
    </cfRule>
  </conditionalFormatting>
  <conditionalFormatting sqref="H1824:H1825 J1824:M1825">
    <cfRule type="expression" priority="83489" dxfId="4">
      <formula>$H1824="SUBETAPA"</formula>
    </cfRule>
    <cfRule type="expression" priority="83490" dxfId="5">
      <formula>$H1824="CÉLULA CONSTRUTIVA"</formula>
    </cfRule>
  </conditionalFormatting>
  <conditionalFormatting sqref="H1826 K1826 M1826 O1826">
    <cfRule type="expression" priority="83407" dxfId="5">
      <formula>$H1826="CÉLULA CONSTRUTIVA"</formula>
    </cfRule>
  </conditionalFormatting>
  <conditionalFormatting sqref="H1827 K1827 M1827 O1827">
    <cfRule type="expression" priority="83401" dxfId="5">
      <formula>$H1827="CÉLULA CONSTRUTIVA"</formula>
    </cfRule>
  </conditionalFormatting>
  <conditionalFormatting sqref="H1829 K1829 O1829">
    <cfRule type="expression" priority="83311" dxfId="5">
      <formula>$H1829="CÉLULA CONSTRUTIVA"</formula>
    </cfRule>
    <cfRule type="expression" priority="83310" dxfId="4">
      <formula>$H1829="SUBETAPA"</formula>
    </cfRule>
  </conditionalFormatting>
  <conditionalFormatting sqref="H1831 H1836 J1831:L1831 L1836">
    <cfRule type="expression" priority="83483" dxfId="5">
      <formula>$H1831="CÉLULA CONSTRUTIVA"</formula>
    </cfRule>
  </conditionalFormatting>
  <conditionalFormatting sqref="H1836 J1833:K1833">
    <cfRule type="expression" priority="83485" dxfId="3">
      <formula>$H1833="ETAPA"</formula>
    </cfRule>
  </conditionalFormatting>
  <conditionalFormatting sqref="H1836 J1831:L1831 L1836">
    <cfRule type="expression" priority="83484" dxfId="4">
      <formula>$H1831="SUBETAPA"</formula>
    </cfRule>
  </conditionalFormatting>
  <conditionalFormatting sqref="H1839 K1839 M1839 O1839">
    <cfRule type="expression" priority="111885" dxfId="5">
      <formula>$H1839="CÉLULA CONSTRUTIVA"</formula>
    </cfRule>
  </conditionalFormatting>
  <conditionalFormatting sqref="H1840 K1840 M1840 O1840">
    <cfRule type="expression" priority="111838" dxfId="5">
      <formula>$H1840="CÉLULA CONSTRUTIVA"</formula>
    </cfRule>
  </conditionalFormatting>
  <conditionalFormatting sqref="H1842 K1842 O1842">
    <cfRule type="expression" priority="104427" dxfId="5">
      <formula>$H1842="CÉLULA CONSTRUTIVA"</formula>
    </cfRule>
    <cfRule type="expression" priority="104426" dxfId="4">
      <formula>$H1842="SUBETAPA"</formula>
    </cfRule>
  </conditionalFormatting>
  <conditionalFormatting sqref="H1852:H1854 J1853:L1854">
    <cfRule type="expression" priority="79299" dxfId="3">
      <formula>$H1852="ETAPA"</formula>
    </cfRule>
  </conditionalFormatting>
  <conditionalFormatting sqref="H1853:H1854 J1853:M1854">
    <cfRule type="expression" priority="79302" dxfId="4">
      <formula>$H1853="SUBETAPA"</formula>
    </cfRule>
    <cfRule type="expression" priority="79303" dxfId="5">
      <formula>$H1853="CÉLULA CONSTRUTIVA"</formula>
    </cfRule>
  </conditionalFormatting>
  <conditionalFormatting sqref="H1855 K1855 M1855 O1855">
    <cfRule type="expression" priority="79220" dxfId="5">
      <formula>$H1855="CÉLULA CONSTRUTIVA"</formula>
    </cfRule>
  </conditionalFormatting>
  <conditionalFormatting sqref="H1856 K1856 M1856 O1856">
    <cfRule type="expression" priority="79214" dxfId="5">
      <formula>$H1856="CÉLULA CONSTRUTIVA"</formula>
    </cfRule>
  </conditionalFormatting>
  <conditionalFormatting sqref="H1858 K1858 O1858">
    <cfRule type="expression" priority="79124" dxfId="5">
      <formula>$H1858="CÉLULA CONSTRUTIVA"</formula>
    </cfRule>
    <cfRule type="expression" priority="79123" dxfId="4">
      <formula>$H1858="SUBETAPA"</formula>
    </cfRule>
  </conditionalFormatting>
  <conditionalFormatting sqref="H1858">
    <cfRule type="expression" priority="79122" dxfId="3">
      <formula>$H1858="ETAPA"</formula>
    </cfRule>
  </conditionalFormatting>
  <conditionalFormatting sqref="H1862 H1868 J1862:L1862 L1868">
    <cfRule type="expression" priority="79296" dxfId="5">
      <formula>$H1862="CÉLULA CONSTRUTIVA"</formula>
    </cfRule>
  </conditionalFormatting>
  <conditionalFormatting sqref="H1868 J1862:L1862 L1868">
    <cfRule type="expression" priority="79297" dxfId="4">
      <formula>$H1862="SUBETAPA"</formula>
    </cfRule>
  </conditionalFormatting>
  <conditionalFormatting sqref="H1868:H1870 J1864:K1864">
    <cfRule type="expression" priority="79298" dxfId="3">
      <formula>$H1864="ETAPA"</formula>
    </cfRule>
  </conditionalFormatting>
  <conditionalFormatting sqref="H1869:H1870 J1869:M1870">
    <cfRule type="expression" priority="79626" dxfId="4">
      <formula>$H1869="SUBETAPA"</formula>
    </cfRule>
    <cfRule type="expression" priority="79627" dxfId="5">
      <formula>$H1869="CÉLULA CONSTRUTIVA"</formula>
    </cfRule>
  </conditionalFormatting>
  <conditionalFormatting sqref="H1871 K1871 M1871 O1871">
    <cfRule type="expression" priority="79544" dxfId="5">
      <formula>$H1871="CÉLULA CONSTRUTIVA"</formula>
    </cfRule>
  </conditionalFormatting>
  <conditionalFormatting sqref="H1872 K1872 M1872 O1872">
    <cfRule type="expression" priority="79538" dxfId="5">
      <formula>$H1872="CÉLULA CONSTRUTIVA"</formula>
    </cfRule>
  </conditionalFormatting>
  <conditionalFormatting sqref="H1876 H1881 J1876:L1876 L1881">
    <cfRule type="expression" priority="79620" dxfId="5">
      <formula>$H1876="CÉLULA CONSTRUTIVA"</formula>
    </cfRule>
  </conditionalFormatting>
  <conditionalFormatting sqref="H1881 J1876:L1876 L1881">
    <cfRule type="expression" priority="79621" dxfId="4">
      <formula>$H1876="SUBETAPA"</formula>
    </cfRule>
  </conditionalFormatting>
  <conditionalFormatting sqref="H1881:H1883 J1878:K1878">
    <cfRule type="expression" priority="79622" dxfId="3">
      <formula>$H1878="ETAPA"</formula>
    </cfRule>
  </conditionalFormatting>
  <conditionalFormatting sqref="H1882:H1883 J1882:M1883">
    <cfRule type="expression" priority="79950" dxfId="4">
      <formula>$H1882="SUBETAPA"</formula>
    </cfRule>
    <cfRule type="expression" priority="79951" dxfId="5">
      <formula>$H1882="CÉLULA CONSTRUTIVA"</formula>
    </cfRule>
  </conditionalFormatting>
  <conditionalFormatting sqref="H1884 K1884 M1884 O1884">
    <cfRule type="expression" priority="79868" dxfId="5">
      <formula>$H1884="CÉLULA CONSTRUTIVA"</formula>
    </cfRule>
  </conditionalFormatting>
  <conditionalFormatting sqref="H1885 K1885 M1885 O1885">
    <cfRule type="expression" priority="79862" dxfId="5">
      <formula>$H1885="CÉLULA CONSTRUTIVA"</formula>
    </cfRule>
  </conditionalFormatting>
  <conditionalFormatting sqref="H1887 H1891 H1893 H1896 J1887:L1887 J1893:L1893 L1891 L1896">
    <cfRule type="expression" priority="79944" dxfId="5">
      <formula>$H1887="CÉLULA CONSTRUTIVA"</formula>
    </cfRule>
  </conditionalFormatting>
  <conditionalFormatting sqref="H1891 H1896 J1889:K1889">
    <cfRule type="expression" priority="79946" dxfId="3">
      <formula>$H1889="ETAPA"</formula>
    </cfRule>
  </conditionalFormatting>
  <conditionalFormatting sqref="H1891 J1887:L1887 J1893:L1893 L1891 L1896">
    <cfRule type="expression" priority="79945" dxfId="4">
      <formula>$H1887="SUBETAPA"</formula>
    </cfRule>
  </conditionalFormatting>
  <conditionalFormatting sqref="H1899 J1899:L1899">
    <cfRule type="expression" priority="76083" dxfId="5">
      <formula>$H1899="CÉLULA CONSTRUTIVA"</formula>
    </cfRule>
  </conditionalFormatting>
  <conditionalFormatting sqref="H1908 J1908:L1908">
    <cfRule type="expression" priority="75974" dxfId="3">
      <formula>$H1908="ETAPA"</formula>
    </cfRule>
  </conditionalFormatting>
  <conditionalFormatting sqref="H1908:H1909">
    <cfRule type="expression" priority="75975" dxfId="4">
      <formula>$H1908="SUBETAPA"</formula>
    </cfRule>
    <cfRule type="expression" priority="75976" dxfId="5">
      <formula>$H1908="CÉLULA CONSTRUTIVA"</formula>
    </cfRule>
  </conditionalFormatting>
  <conditionalFormatting sqref="H1913 J1913:L1913">
    <cfRule type="expression" priority="76269" dxfId="5">
      <formula>$H1913="CÉLULA CONSTRUTIVA"</formula>
    </cfRule>
  </conditionalFormatting>
  <conditionalFormatting sqref="H1926 J1926:L1926">
    <cfRule type="expression" priority="76455" dxfId="5">
      <formula>$H1926="CÉLULA CONSTRUTIVA"</formula>
    </cfRule>
  </conditionalFormatting>
  <conditionalFormatting sqref="H1934 J1934:L1934">
    <cfRule type="expression" priority="76641" dxfId="5">
      <formula>$H1934="CÉLULA CONSTRUTIVA"</formula>
    </cfRule>
  </conditionalFormatting>
  <conditionalFormatting sqref="H1939 J1939:L1939">
    <cfRule type="expression" priority="76827" dxfId="5">
      <formula>$H1939="CÉLULA CONSTRUTIVA"</formula>
    </cfRule>
  </conditionalFormatting>
  <conditionalFormatting sqref="H1947 J1947:L1947">
    <cfRule type="expression" priority="77013" dxfId="5">
      <formula>$H1947="CÉLULA CONSTRUTIVA"</formula>
    </cfRule>
  </conditionalFormatting>
  <conditionalFormatting sqref="H1956 J1956:L1956">
    <cfRule type="expression" priority="77199" dxfId="5">
      <formula>$H1956="CÉLULA CONSTRUTIVA"</formula>
    </cfRule>
  </conditionalFormatting>
  <conditionalFormatting sqref="H2013 J2013:L2013">
    <cfRule type="expression" priority="78315" dxfId="5">
      <formula>$H2013="CÉLULA CONSTRUTIVA"</formula>
    </cfRule>
  </conditionalFormatting>
  <conditionalFormatting sqref="H2024 J2024:L2024">
    <cfRule type="expression" priority="78501" dxfId="5">
      <formula>$H2024="CÉLULA CONSTRUTIVA"</formula>
    </cfRule>
  </conditionalFormatting>
  <conditionalFormatting sqref="H2031:H2033 H2041 J2032:L2033 O2051">
    <cfRule type="expression" priority="67364" dxfId="3">
      <formula>$H2031="ETAPA"</formula>
    </cfRule>
  </conditionalFormatting>
  <conditionalFormatting sqref="H2040 J2040:K2040">
    <cfRule type="expression" priority="67019" dxfId="5">
      <formula>$H2040="CÉLULA CONSTRUTIVA"</formula>
    </cfRule>
  </conditionalFormatting>
  <conditionalFormatting sqref="H2043 K2043 O2043">
    <cfRule type="expression" priority="67272" dxfId="5">
      <formula>$H2043="CÉLULA CONSTRUTIVA"</formula>
    </cfRule>
    <cfRule type="expression" priority="67271" dxfId="4">
      <formula>$H2043="SUBETAPA"</formula>
    </cfRule>
  </conditionalFormatting>
  <conditionalFormatting sqref="H2047 K2047 O2047">
    <cfRule type="expression" priority="67160" dxfId="5">
      <formula>$H2047="CÉLULA CONSTRUTIVA"</formula>
    </cfRule>
    <cfRule type="expression" priority="67159" dxfId="4">
      <formula>$H2047="SUBETAPA"</formula>
    </cfRule>
  </conditionalFormatting>
  <conditionalFormatting sqref="H2047">
    <cfRule type="expression" priority="67158" dxfId="3">
      <formula>$H2047="ETAPA"</formula>
    </cfRule>
  </conditionalFormatting>
  <conditionalFormatting sqref="H2051 J2051">
    <cfRule type="expression" priority="67359" dxfId="3">
      <formula>$H2051="ETAPA"</formula>
    </cfRule>
  </conditionalFormatting>
  <conditionalFormatting sqref="H2038:H2040 H2052:H2053 J2035:L2035 J2038:L2038 J2040:K2040 J2052:L2052 J2053:K2053 K2039:L2039 L2053:L2054 O2038:O2040 O2053">
    <cfRule type="expression" priority="67362" dxfId="4">
      <formula>$H2035="SUBETAPA"</formula>
    </cfRule>
  </conditionalFormatting>
  <conditionalFormatting sqref="H2032:H2033 H2036 H2041 H2054:H2055 J2032:M2033 J2036:L2036 J2041:L2041 J2054:K2054 J2055:L2055">
    <cfRule type="expression" priority="67365" dxfId="4">
      <formula>$H2032="SUBETAPA"</formula>
    </cfRule>
    <cfRule type="expression" priority="67366" dxfId="5">
      <formula>$H2032="CÉLULA CONSTRUTIVA"</formula>
    </cfRule>
  </conditionalFormatting>
  <conditionalFormatting sqref="H2059:H2060 J2059:K2060 O2059:O2060">
    <cfRule type="expression" priority="67183" dxfId="4">
      <formula>$H2059="SUBETAPA"</formula>
    </cfRule>
  </conditionalFormatting>
  <conditionalFormatting sqref="H2066:H2068 H2074:H2075 H2082:H2085 J2066:L2068 J2071:L2074 J2075:K2075 J2081:K2081 J2082:L2085 K2070:L2070 L2075:L2076 O2067:O2068 O2075">
    <cfRule type="expression" priority="68003" dxfId="3">
      <formula>$H2066="ETAPA"</formula>
    </cfRule>
  </conditionalFormatting>
  <conditionalFormatting sqref="H2071 J2071:K2071">
    <cfRule type="expression" priority="67659" dxfId="5">
      <formula>$H2071="CÉLULA CONSTRUTIVA"</formula>
    </cfRule>
  </conditionalFormatting>
  <conditionalFormatting sqref="H2072:H2073 J2073">
    <cfRule type="expression" priority="67999" dxfId="3">
      <formula>$H2072="ETAPA"</formula>
    </cfRule>
  </conditionalFormatting>
  <conditionalFormatting sqref="H2066:H2067 H2074:H2075 J2066:L2066 J2067:K2067 J2071:K2071 J2074:L2074 J2075:K2075 J2079:L2080 K2070:L2070 L2075:L2076 O2067 O2075">
    <cfRule type="expression" priority="68002" dxfId="4">
      <formula>$H2066="SUBETAPA"</formula>
    </cfRule>
  </conditionalFormatting>
  <conditionalFormatting sqref="H2063:H2064 H2072 H2076:H2077 J2063:M2064 J2072:L2072 J2076:K2076 J2077:L2077">
    <cfRule type="expression" priority="68005" dxfId="4">
      <formula>$H2063="SUBETAPA"</formula>
    </cfRule>
    <cfRule type="expression" priority="68006" dxfId="5">
      <formula>$H2063="CÉLULA CONSTRUTIVA"</formula>
    </cfRule>
  </conditionalFormatting>
  <conditionalFormatting sqref="H2087:H2088 J2087:L2088 J2091 J2099:K2099 K2090:K2091 O2088">
    <cfRule type="expression" priority="68643" dxfId="3">
      <formula>$H2087="ETAPA"</formula>
    </cfRule>
  </conditionalFormatting>
  <conditionalFormatting sqref="H2087:H2088 J2087:L2087 J2088:K2088 J2091:K2091 J2094:L2094 K2090 O2088">
    <cfRule type="expression" priority="68642" dxfId="4">
      <formula>$H2087="SUBETAPA"</formula>
    </cfRule>
  </conditionalFormatting>
  <conditionalFormatting sqref="H2091 J2091:K2091">
    <cfRule type="expression" priority="68299" dxfId="5">
      <formula>$H2091="CÉLULA CONSTRUTIVA"</formula>
    </cfRule>
  </conditionalFormatting>
  <conditionalFormatting sqref="H2092:H2093 J2093:L2093">
    <cfRule type="expression" priority="68639" dxfId="3">
      <formula>$H2092="ETAPA"</formula>
    </cfRule>
  </conditionalFormatting>
  <conditionalFormatting sqref="H2084:H2085 H2092 H2095:H2096 J2084:M2085 J2092:K2092 J2095:L2096">
    <cfRule type="expression" priority="68645" dxfId="4">
      <formula>$H2084="SUBETAPA"</formula>
    </cfRule>
    <cfRule type="expression" priority="68646" dxfId="5">
      <formula>$H2084="CÉLULA CONSTRUTIVA"</formula>
    </cfRule>
  </conditionalFormatting>
  <conditionalFormatting sqref="H2101:H2102 J2101:L2102 O2109">
    <cfRule type="expression" priority="69284" dxfId="3">
      <formula>$H2101="ETAPA"</formula>
    </cfRule>
  </conditionalFormatting>
  <conditionalFormatting sqref="H2104:H2105 J2104:L2105 J2108:J2109 J2115:K2115 K2107:K2108 O2105">
    <cfRule type="expression" priority="69283" dxfId="3">
      <formula>$H2104="ETAPA"</formula>
    </cfRule>
  </conditionalFormatting>
  <conditionalFormatting sqref="H2104:H2105 J2104:L2104 J2105:K2105 J2108:K2108 J2110:L2110 K2107 O2105">
    <cfRule type="expression" priority="69282" dxfId="4">
      <formula>$H2104="SUBETAPA"</formula>
    </cfRule>
  </conditionalFormatting>
  <conditionalFormatting sqref="H2108 J2108:K2108">
    <cfRule type="expression" priority="68939" dxfId="5">
      <formula>$H2108="CÉLULA CONSTRUTIVA"</formula>
    </cfRule>
  </conditionalFormatting>
  <conditionalFormatting sqref="H2109 J2109:L2109">
    <cfRule type="expression" priority="69279" dxfId="3">
      <formula>$H2109="ETAPA"</formula>
    </cfRule>
  </conditionalFormatting>
  <conditionalFormatting sqref="H2101:H2102 H2111:H2112 J2101:M2102 J2111:L2112">
    <cfRule type="expression" priority="69285" dxfId="4">
      <formula>$H2101="SUBETAPA"</formula>
    </cfRule>
    <cfRule type="expression" priority="69286" dxfId="5">
      <formula>$H2101="CÉLULA CONSTRUTIVA"</formula>
    </cfRule>
  </conditionalFormatting>
  <conditionalFormatting sqref="H2117:H2118 J2117:L2118 J2125:L2126 O2126">
    <cfRule type="expression" priority="69924" dxfId="3">
      <formula>$H2117="ETAPA"</formula>
    </cfRule>
  </conditionalFormatting>
  <conditionalFormatting sqref="H2120:H2121 J2120:L2121 J2124 J2132:K2132 K2123:K2124 O2121">
    <cfRule type="expression" priority="69923" dxfId="3">
      <formula>$H2120="ETAPA"</formula>
    </cfRule>
  </conditionalFormatting>
  <conditionalFormatting sqref="H2120:H2121 J2120:L2120 J2121:K2121 J2124:K2124 J2127:L2127 K2123 O2121">
    <cfRule type="expression" priority="69922" dxfId="4">
      <formula>$H2120="SUBETAPA"</formula>
    </cfRule>
  </conditionalFormatting>
  <conditionalFormatting sqref="H2124 J2124:K2124">
    <cfRule type="expression" priority="69579" dxfId="5">
      <formula>$H2124="CÉLULA CONSTRUTIVA"</formula>
    </cfRule>
  </conditionalFormatting>
  <conditionalFormatting sqref="H2125:H2126 J2126">
    <cfRule type="expression" priority="69919" dxfId="3">
      <formula>$H2125="ETAPA"</formula>
    </cfRule>
  </conditionalFormatting>
  <conditionalFormatting sqref="H2117:H2118 H2125 H2128:H2129 J2117:M2118 J2125:L2125 J2128:L2129">
    <cfRule type="expression" priority="69925" dxfId="4">
      <formula>$H2117="SUBETAPA"</formula>
    </cfRule>
    <cfRule type="expression" priority="69926" dxfId="5">
      <formula>$H2117="CÉLULA CONSTRUTIVA"</formula>
    </cfRule>
  </conditionalFormatting>
  <conditionalFormatting sqref="H2134:H2135 J2134:L2135 J2143:K2143 O2144">
    <cfRule type="expression" priority="70564" dxfId="3">
      <formula>$H2134="ETAPA"</formula>
    </cfRule>
  </conditionalFormatting>
  <conditionalFormatting sqref="H2137:H2138 J2137:L2138 J2142 J2144:L2145 J2150:K2150 K2141:K2142 O2138">
    <cfRule type="expression" priority="70563" dxfId="3">
      <formula>$H2137="ETAPA"</formula>
    </cfRule>
  </conditionalFormatting>
  <conditionalFormatting sqref="H2137:H2138 H2140:H2142 J2137:L2137 J2138:K2138 J2140:L2140 J2142:K2142 J2145:L2145 K2141 O2138 O2140:O2142">
    <cfRule type="expression" priority="70562" dxfId="4">
      <formula>$H2137="SUBETAPA"</formula>
    </cfRule>
  </conditionalFormatting>
  <conditionalFormatting sqref="H2142 J2142:K2142">
    <cfRule type="expression" priority="70219" dxfId="5">
      <formula>$H2142="CÉLULA CONSTRUTIVA"</formula>
    </cfRule>
  </conditionalFormatting>
  <conditionalFormatting sqref="H2143:H2144 J2144">
    <cfRule type="expression" priority="70559" dxfId="3">
      <formula>$H2143="ETAPA"</formula>
    </cfRule>
  </conditionalFormatting>
  <conditionalFormatting sqref="H2134:H2135 H2143 H2146:H2147 J2134:M2135 J2143:K2143 J2146:K2146 J2147:L2147">
    <cfRule type="expression" priority="70565" dxfId="4">
      <formula>$H2134="SUBETAPA"</formula>
    </cfRule>
    <cfRule type="expression" priority="70566" dxfId="5">
      <formula>$H2134="CÉLULA CONSTRUTIVA"</formula>
    </cfRule>
  </conditionalFormatting>
  <conditionalFormatting sqref="H2155:H2156 H2169:H2170 J2155:L2156 J2159 J2168:L2169 J2170:K2170 J2176:K2177 K2158:K2159 K2180:L2180 L2170:L2171 O2156 O2170 O2180">
    <cfRule type="expression" priority="71203" dxfId="3">
      <formula>$H2155="ETAPA"</formula>
    </cfRule>
  </conditionalFormatting>
  <conditionalFormatting sqref="H2159 J2159:K2159">
    <cfRule type="expression" priority="70859" dxfId="5">
      <formula>$H2159="CÉLULA CONSTRUTIVA"</formula>
    </cfRule>
  </conditionalFormatting>
  <conditionalFormatting sqref="H2160:H2164 J2161:L2162 J2164 K2163:L2164 O2161:O2164">
    <cfRule type="expression" priority="70789" dxfId="3">
      <formula>$H2160="ETAPA"</formula>
    </cfRule>
  </conditionalFormatting>
  <conditionalFormatting sqref="H2161 O2161">
    <cfRule type="expression" priority="70793" dxfId="5">
      <formula>$H2161="CÉLULA CONSTRUTIVA"</formula>
    </cfRule>
  </conditionalFormatting>
  <conditionalFormatting sqref="H2162:H2163 J2162:L2162 K2163:L2163 O2162:O2164">
    <cfRule type="expression" priority="70783" dxfId="5">
      <formula>$H2162="CÉLULA CONSTRUTIVA"</formula>
    </cfRule>
  </conditionalFormatting>
  <conditionalFormatting sqref="H2164 J2164:K2164">
    <cfRule type="expression" priority="70740" dxfId="5">
      <formula>$H2164="CÉLULA CONSTRUTIVA"</formula>
    </cfRule>
  </conditionalFormatting>
  <conditionalFormatting sqref="H2165 J2165:L2165">
    <cfRule type="expression" priority="70790" dxfId="4">
      <formula>$H2165="SUBETAPA"</formula>
    </cfRule>
    <cfRule type="expression" priority="70791" dxfId="5">
      <formula>$H2165="CÉLULA CONSTRUTIVA"</formula>
    </cfRule>
  </conditionalFormatting>
  <conditionalFormatting sqref="H2165:H2166">
    <cfRule type="expression" priority="70998" dxfId="3">
      <formula>$H2165="ETAPA"</formula>
    </cfRule>
  </conditionalFormatting>
  <conditionalFormatting sqref="H2166 K2166 O2166">
    <cfRule type="expression" priority="71000" dxfId="5">
      <formula>$H2166="CÉLULA CONSTRUTIVA"</formula>
    </cfRule>
    <cfRule type="expression" priority="70999" dxfId="4">
      <formula>$H2166="SUBETAPA"</formula>
    </cfRule>
  </conditionalFormatting>
  <conditionalFormatting sqref="H2168 J2168">
    <cfRule type="expression" priority="71199" dxfId="3">
      <formula>$H2168="ETAPA"</formula>
    </cfRule>
  </conditionalFormatting>
  <conditionalFormatting sqref="H2155:H2156 H2169:H2170 J2155:L2155 J2156:K2156 J2159:K2159 J2169:L2169 J2170:K2170 J2176:K2177 K2158 L2170:L2171 O2156 O2170">
    <cfRule type="expression" priority="71202" dxfId="4">
      <formula>$H2155="SUBETAPA"</formula>
    </cfRule>
  </conditionalFormatting>
  <conditionalFormatting sqref="H2152:H2153 H2160 H2171 H2173 J2152:M2153 J2160:K2160 J2171:K2171 J2173:L2173">
    <cfRule type="expression" priority="71205" dxfId="4">
      <formula>$H2152="SUBETAPA"</formula>
    </cfRule>
    <cfRule type="expression" priority="71206" dxfId="5">
      <formula>$H2152="CÉLULA CONSTRUTIVA"</formula>
    </cfRule>
  </conditionalFormatting>
  <conditionalFormatting sqref="H2186 J2186:K2186">
    <cfRule type="expression" priority="71499" dxfId="5">
      <formula>$H2186="CÉLULA CONSTRUTIVA"</formula>
    </cfRule>
  </conditionalFormatting>
  <conditionalFormatting sqref="H2190 K2190 O2190">
    <cfRule type="expression" priority="71640" dxfId="5">
      <formula>$H2190="CÉLULA CONSTRUTIVA"</formula>
    </cfRule>
    <cfRule type="expression" priority="71639" dxfId="4">
      <formula>$H2190="SUBETAPA"</formula>
    </cfRule>
  </conditionalFormatting>
  <conditionalFormatting sqref="H2190:H2191">
    <cfRule type="expression" priority="71638" dxfId="3">
      <formula>$H2190="ETAPA"</formula>
    </cfRule>
  </conditionalFormatting>
  <conditionalFormatting sqref="H2194:H2195 J2194:K2195">
    <cfRule type="expression" priority="71310" dxfId="5">
      <formula>$H2194="CÉLULA CONSTRUTIVA"</formula>
    </cfRule>
  </conditionalFormatting>
  <conditionalFormatting sqref="H2187 H2195:H2196 J2187:L2187 J2191:L2191 J2196:L2196 O2200">
    <cfRule type="expression" priority="71844" dxfId="3">
      <formula>$H2187="ETAPA"</formula>
    </cfRule>
  </conditionalFormatting>
  <conditionalFormatting sqref="H2196 J2196:L2196">
    <cfRule type="expression" priority="71338" dxfId="4">
      <formula>$H2196="SUBETAPA"</formula>
    </cfRule>
    <cfRule type="expression" priority="71339" dxfId="5">
      <formula>$H2196="CÉLULA CONSTRUTIVA"</formula>
    </cfRule>
  </conditionalFormatting>
  <conditionalFormatting sqref="H2200 J2200">
    <cfRule type="expression" priority="71839" dxfId="3">
      <formula>$H2200="ETAPA"</formula>
    </cfRule>
  </conditionalFormatting>
  <conditionalFormatting sqref="H2201:H2202 J2186:K2186 J2201:L2201 J2202:K2202 J2206:K2207 K2185 L2202:L2203 O2202">
    <cfRule type="expression" priority="71842" dxfId="4">
      <formula>$H2185="SUBETAPA"</formula>
    </cfRule>
  </conditionalFormatting>
  <conditionalFormatting sqref="H2181:H2182 H2187 H2203:H2204 J2181:M2182 J2187:L2187 J2203:K2203 J2204:L2204">
    <cfRule type="expression" priority="71845" dxfId="4">
      <formula>$H2181="SUBETAPA"</formula>
    </cfRule>
    <cfRule type="expression" priority="71846" dxfId="5">
      <formula>$H2181="CÉLULA CONSTRUTIVA"</formula>
    </cfRule>
  </conditionalFormatting>
  <conditionalFormatting sqref="H2217 J2217:K2217">
    <cfRule type="expression" priority="72139" dxfId="5">
      <formula>$H2217="CÉLULA CONSTRUTIVA"</formula>
    </cfRule>
  </conditionalFormatting>
  <conditionalFormatting sqref="H2218:H2219">
    <cfRule type="expression" priority="72278" dxfId="3">
      <formula>$H2218="ETAPA"</formula>
    </cfRule>
  </conditionalFormatting>
  <conditionalFormatting sqref="H2219 K2219 O2219">
    <cfRule type="expression" priority="72280" dxfId="5">
      <formula>$H2219="CÉLULA CONSTRUTIVA"</formula>
    </cfRule>
    <cfRule type="expression" priority="72279" dxfId="4">
      <formula>$H2219="SUBETAPA"</formula>
    </cfRule>
  </conditionalFormatting>
  <conditionalFormatting sqref="H2221 J2221">
    <cfRule type="expression" priority="72479" dxfId="3">
      <formula>$H2221="ETAPA"</formula>
    </cfRule>
  </conditionalFormatting>
  <conditionalFormatting sqref="H2222:H2223 J2217:K2217 J2222:L2222 J2223:K2223 K2216 O2223">
    <cfRule type="expression" priority="72482" dxfId="4">
      <formula>$H2216="SUBETAPA"</formula>
    </cfRule>
  </conditionalFormatting>
  <conditionalFormatting sqref="H2210:H2211 H2218 H2224:H2225 J2210:M2211 J2218:K2218 J2224:K2224 J2225:L2225">
    <cfRule type="expression" priority="72485" dxfId="4">
      <formula>$H2210="SUBETAPA"</formula>
    </cfRule>
    <cfRule type="expression" priority="72486" dxfId="5">
      <formula>$H2210="CÉLULA CONSTRUTIVA"</formula>
    </cfRule>
  </conditionalFormatting>
  <conditionalFormatting sqref="H2237 J2237:K2237">
    <cfRule type="expression" priority="72779" dxfId="5">
      <formula>$H2237="CÉLULA CONSTRUTIVA"</formula>
    </cfRule>
  </conditionalFormatting>
  <conditionalFormatting sqref="H2238:H2239">
    <cfRule type="expression" priority="72918" dxfId="3">
      <formula>$H2238="ETAPA"</formula>
    </cfRule>
  </conditionalFormatting>
  <conditionalFormatting sqref="H2239 K2239 O2239">
    <cfRule type="expression" priority="72920" dxfId="5">
      <formula>$H2239="CÉLULA CONSTRUTIVA"</formula>
    </cfRule>
    <cfRule type="expression" priority="72919" dxfId="4">
      <formula>$H2239="SUBETAPA"</formula>
    </cfRule>
  </conditionalFormatting>
  <conditionalFormatting sqref="H2241 J2241">
    <cfRule type="expression" priority="73119" dxfId="3">
      <formula>$H2241="ETAPA"</formula>
    </cfRule>
  </conditionalFormatting>
  <conditionalFormatting sqref="H2242:H2243 J2237:K2237 J2242:L2242 J2243:K2243 K2236 O2243">
    <cfRule type="expression" priority="73122" dxfId="4">
      <formula>$H2236="SUBETAPA"</formula>
    </cfRule>
  </conditionalFormatting>
  <conditionalFormatting sqref="H2230:H2231 H2238 H2244:H2245 J2230:M2231 J2238:K2238 J2244:L2245">
    <cfRule type="expression" priority="73125" dxfId="4">
      <formula>$H2230="SUBETAPA"</formula>
    </cfRule>
    <cfRule type="expression" priority="73126" dxfId="5">
      <formula>$H2230="CÉLULA CONSTRUTIVA"</formula>
    </cfRule>
  </conditionalFormatting>
  <conditionalFormatting sqref="H2257 J2257:K2257">
    <cfRule type="expression" priority="73419" dxfId="5">
      <formula>$H2257="CÉLULA CONSTRUTIVA"</formula>
    </cfRule>
  </conditionalFormatting>
  <conditionalFormatting sqref="H2259 K2259 O2259">
    <cfRule type="expression" priority="73672" dxfId="5">
      <formula>$H2259="CÉLULA CONSTRUTIVA"</formula>
    </cfRule>
    <cfRule type="expression" priority="73671" dxfId="4">
      <formula>$H2259="SUBETAPA"</formula>
    </cfRule>
  </conditionalFormatting>
  <conditionalFormatting sqref="H2261 K2261 O2261">
    <cfRule type="expression" priority="73560" dxfId="5">
      <formula>$H2261="CÉLULA CONSTRUTIVA"</formula>
    </cfRule>
    <cfRule type="expression" priority="73559" dxfId="4">
      <formula>$H2261="SUBETAPA"</formula>
    </cfRule>
  </conditionalFormatting>
  <conditionalFormatting sqref="H2261">
    <cfRule type="expression" priority="73558" dxfId="3">
      <formula>$H2261="ETAPA"</formula>
    </cfRule>
  </conditionalFormatting>
  <conditionalFormatting sqref="H2264:H2265 J2257:K2257 J2264:L2264 J2265:K2265 K2256 O2265">
    <cfRule type="expression" priority="73762" dxfId="4">
      <formula>$H2256="SUBETAPA"</formula>
    </cfRule>
  </conditionalFormatting>
  <conditionalFormatting sqref="H2250:H2251 H2258 H2266:H2267 J2250:M2251 J2258:K2258 J2266:L2267">
    <cfRule type="expression" priority="73765" dxfId="4">
      <formula>$H2250="SUBETAPA"</formula>
    </cfRule>
    <cfRule type="expression" priority="73766" dxfId="5">
      <formula>$H2250="CÉLULA CONSTRUTIVA"</formula>
    </cfRule>
  </conditionalFormatting>
  <conditionalFormatting sqref="H2280 J2280:K2280">
    <cfRule type="expression" priority="74059" dxfId="5">
      <formula>$H2280="CÉLULA CONSTRUTIVA"</formula>
    </cfRule>
  </conditionalFormatting>
  <conditionalFormatting sqref="H2282 K2282 O2282">
    <cfRule type="expression" priority="74312" dxfId="5">
      <formula>$H2282="CÉLULA CONSTRUTIVA"</formula>
    </cfRule>
    <cfRule type="expression" priority="74311" dxfId="4">
      <formula>$H2282="SUBETAPA"</formula>
    </cfRule>
  </conditionalFormatting>
  <conditionalFormatting sqref="H2285 K2285 O2285">
    <cfRule type="expression" priority="74200" dxfId="5">
      <formula>$H2285="CÉLULA CONSTRUTIVA"</formula>
    </cfRule>
    <cfRule type="expression" priority="74199" dxfId="4">
      <formula>$H2285="SUBETAPA"</formula>
    </cfRule>
  </conditionalFormatting>
  <conditionalFormatting sqref="H2285">
    <cfRule type="expression" priority="74198" dxfId="3">
      <formula>$H2285="ETAPA"</formula>
    </cfRule>
  </conditionalFormatting>
  <conditionalFormatting sqref="H2288:H2289 J2280:K2280 J2288:L2288 J2289:K2289 K2279 O2289">
    <cfRule type="expression" priority="74402" dxfId="4">
      <formula>$H2279="SUBETAPA"</formula>
    </cfRule>
  </conditionalFormatting>
  <conditionalFormatting sqref="H2273:H2274 H2281 H2290:H2291 J2273:M2274 J2281:K2281 J2290:L2291">
    <cfRule type="expression" priority="74405" dxfId="4">
      <formula>$H2273="SUBETAPA"</formula>
    </cfRule>
    <cfRule type="expression" priority="74406" dxfId="5">
      <formula>$H2273="CÉLULA CONSTRUTIVA"</formula>
    </cfRule>
  </conditionalFormatting>
  <conditionalFormatting sqref="H2299:H2300 K2299:K2300 M2299:M2300 O2299:O2300">
    <cfRule type="expression" priority="74741" dxfId="5">
      <formula>$H2299="CÉLULA CONSTRUTIVA"</formula>
    </cfRule>
  </conditionalFormatting>
  <conditionalFormatting sqref="H2305 J2305:K2305">
    <cfRule type="expression" priority="74699" dxfId="5">
      <formula>$H2305="CÉLULA CONSTRUTIVA"</formula>
    </cfRule>
  </conditionalFormatting>
  <conditionalFormatting sqref="H2307 K2307 O2307">
    <cfRule type="expression" priority="74952" dxfId="5">
      <formula>$H2307="CÉLULA CONSTRUTIVA"</formula>
    </cfRule>
    <cfRule type="expression" priority="74951" dxfId="4">
      <formula>$H2307="SUBETAPA"</formula>
    </cfRule>
  </conditionalFormatting>
  <conditionalFormatting sqref="H2310 J2310">
    <cfRule type="expression" priority="75039" dxfId="3">
      <formula>$H2310="ETAPA"</formula>
    </cfRule>
  </conditionalFormatting>
  <conditionalFormatting sqref="H2311:H2312 J2305:K2305 J2311:L2311 J2312:K2312 K2304 O2312">
    <cfRule type="expression" priority="75042" dxfId="4">
      <formula>$H2304="SUBETAPA"</formula>
    </cfRule>
  </conditionalFormatting>
  <conditionalFormatting sqref="H2297:H2298 H2306 H2313 J2297:M2298 J2306:K2306 J2313:L2313">
    <cfRule type="expression" priority="75045" dxfId="4">
      <formula>$H2297="SUBETAPA"</formula>
    </cfRule>
    <cfRule type="expression" priority="75046" dxfId="5">
      <formula>$H2297="CÉLULA CONSTRUTIVA"</formula>
    </cfRule>
  </conditionalFormatting>
  <conditionalFormatting sqref="H2317:H2318 J2317:K2318 O2317:O2318">
    <cfRule type="expression" priority="74863" dxfId="4">
      <formula>$H2317="SUBETAPA"</formula>
    </cfRule>
  </conditionalFormatting>
  <conditionalFormatting sqref="H2327 J2327">
    <cfRule type="expression" priority="75679" dxfId="3">
      <formula>$H2327="ETAPA"</formula>
    </cfRule>
  </conditionalFormatting>
  <conditionalFormatting sqref="H2328:H2329 J2328:L2328 J2329:K2329 K2325:L2325 O2329">
    <cfRule type="expression" priority="75682" dxfId="4">
      <formula>$H2325="SUBETAPA"</formula>
    </cfRule>
  </conditionalFormatting>
  <conditionalFormatting sqref="H2321:H2322 H2330 J2321:M2322 J2330:L2330">
    <cfRule type="expression" priority="75685" dxfId="4">
      <formula>$H2321="SUBETAPA"</formula>
    </cfRule>
    <cfRule type="expression" priority="75686" dxfId="5">
      <formula>$H2321="CÉLULA CONSTRUTIVA"</formula>
    </cfRule>
  </conditionalFormatting>
  <conditionalFormatting sqref="H2335:H2336 H2338 J2335:M2336 J2338:L2338">
    <cfRule type="expression" priority="86535" dxfId="4">
      <formula>$H2335="SUBETAPA"</formula>
    </cfRule>
    <cfRule type="expression" priority="86536" dxfId="5">
      <formula>$H2335="CÉLULA CONSTRUTIVA"</formula>
    </cfRule>
  </conditionalFormatting>
  <conditionalFormatting sqref="H2343:H2344 J2343:K2344">
    <cfRule type="expression" priority="61922" dxfId="3">
      <formula>$H2343="ETAPA"</formula>
    </cfRule>
  </conditionalFormatting>
  <conditionalFormatting sqref="H2343:H2344 J2343:K2344 O2343:O2344">
    <cfRule type="expression" priority="61928" dxfId="4">
      <formula>$H2343="SUBETAPA"</formula>
    </cfRule>
    <cfRule type="expression" priority="61929" dxfId="5">
      <formula>$H2343="CÉLULA CONSTRUTIVA"</formula>
    </cfRule>
  </conditionalFormatting>
  <conditionalFormatting sqref="H2345 J2345:K2345 O2345">
    <cfRule type="expression" priority="62015" dxfId="4">
      <formula>$H2345="SUBETAPA"</formula>
    </cfRule>
    <cfRule type="expression" priority="62016" dxfId="5">
      <formula>$H2345="CÉLULA CONSTRUTIVA"</formula>
    </cfRule>
  </conditionalFormatting>
  <conditionalFormatting sqref="H2357 J2357:M2357 O2357">
    <cfRule type="expression" priority="61900" dxfId="5">
      <formula>$H2357="CÉLULA CONSTRUTIVA"</formula>
    </cfRule>
  </conditionalFormatting>
  <conditionalFormatting sqref="H2357 J2357:L2357 O2357">
    <cfRule type="expression" priority="61899" dxfId="4">
      <formula>$H2357="SUBETAPA"</formula>
    </cfRule>
  </conditionalFormatting>
  <conditionalFormatting sqref="H2362 J2362:K2362 O2362">
    <cfRule type="expression" priority="62080" dxfId="4">
      <formula>$H2362="SUBETAPA"</formula>
    </cfRule>
    <cfRule type="expression" priority="62081" dxfId="5">
      <formula>$H2362="CÉLULA CONSTRUTIVA"</formula>
    </cfRule>
  </conditionalFormatting>
  <conditionalFormatting sqref="H2364:H2365 J2364:K2365">
    <cfRule type="expression" priority="62161" dxfId="3">
      <formula>$H2364="ETAPA"</formula>
    </cfRule>
  </conditionalFormatting>
  <conditionalFormatting sqref="H2364:H2365 J2364:K2365 O2364:O2365">
    <cfRule type="expression" priority="62167" dxfId="4">
      <formula>$H2364="SUBETAPA"</formula>
    </cfRule>
    <cfRule type="expression" priority="62168" dxfId="5">
      <formula>$H2364="CÉLULA CONSTRUTIVA"</formula>
    </cfRule>
  </conditionalFormatting>
  <conditionalFormatting sqref="H2366 J2366:K2366 O2366">
    <cfRule type="expression" priority="62254" dxfId="4">
      <formula>$H2366="SUBETAPA"</formula>
    </cfRule>
    <cfRule type="expression" priority="62255" dxfId="5">
      <formula>$H2366="CÉLULA CONSTRUTIVA"</formula>
    </cfRule>
  </conditionalFormatting>
  <conditionalFormatting sqref="H2368">
    <cfRule type="expression" priority="7120" dxfId="5">
      <formula>$H2368="CÉLULA CONSTRUTIVA"</formula>
    </cfRule>
  </conditionalFormatting>
  <conditionalFormatting sqref="H2369 H2379 J2369:K2369 J2379:K2379 J2383 J2384:M2384 J2385 O2379 O2384">
    <cfRule type="expression" priority="62221" dxfId="5">
      <formula>$H2369="CÉLULA CONSTRUTIVA"</formula>
    </cfRule>
  </conditionalFormatting>
  <conditionalFormatting sqref="H2380 J2380:K2380 O2380">
    <cfRule type="expression" priority="7092" dxfId="5">
      <formula>$H2380="CÉLULA CONSTRUTIVA"</formula>
    </cfRule>
    <cfRule type="expression" priority="7091" dxfId="4">
      <formula>$H2380="SUBETAPA"</formula>
    </cfRule>
  </conditionalFormatting>
  <conditionalFormatting sqref="H2382 J2382:K2382 O2382">
    <cfRule type="expression" priority="62125" dxfId="4">
      <formula>$H2382="SUBETAPA"</formula>
    </cfRule>
  </conditionalFormatting>
  <conditionalFormatting sqref="H2383 J2383:M2383 O2383">
    <cfRule type="expression" priority="62139" dxfId="5">
      <formula>$H2383="CÉLULA CONSTRUTIVA"</formula>
    </cfRule>
  </conditionalFormatting>
  <conditionalFormatting sqref="H2383 J2383:L2383 O2383">
    <cfRule type="expression" priority="62138" dxfId="4">
      <formula>$H2383="SUBETAPA"</formula>
    </cfRule>
  </conditionalFormatting>
  <conditionalFormatting sqref="H2389 J2389:K2389 O2389">
    <cfRule type="expression" priority="62319" dxfId="4">
      <formula>$H2389="SUBETAPA"</formula>
    </cfRule>
    <cfRule type="expression" priority="62320" dxfId="5">
      <formula>$H2389="CÉLULA CONSTRUTIVA"</formula>
    </cfRule>
  </conditionalFormatting>
  <conditionalFormatting sqref="H2391:H2392 J2391:K2392">
    <cfRule type="expression" priority="62400" dxfId="3">
      <formula>$H2391="ETAPA"</formula>
    </cfRule>
  </conditionalFormatting>
  <conditionalFormatting sqref="H2391:H2392 J2391:K2392 O2391:O2392">
    <cfRule type="expression" priority="62406" dxfId="4">
      <formula>$H2391="SUBETAPA"</formula>
    </cfRule>
    <cfRule type="expression" priority="62407" dxfId="5">
      <formula>$H2391="CÉLULA CONSTRUTIVA"</formula>
    </cfRule>
  </conditionalFormatting>
  <conditionalFormatting sqref="H2393 J2393:K2393 O2393">
    <cfRule type="expression" priority="62493" dxfId="4">
      <formula>$H2393="SUBETAPA"</formula>
    </cfRule>
    <cfRule type="expression" priority="62494" dxfId="5">
      <formula>$H2393="CÉLULA CONSTRUTIVA"</formula>
    </cfRule>
  </conditionalFormatting>
  <conditionalFormatting sqref="H2395">
    <cfRule type="expression" priority="7064" dxfId="5">
      <formula>$H2395="CÉLULA CONSTRUTIVA"</formula>
    </cfRule>
  </conditionalFormatting>
  <conditionalFormatting sqref="H2396 H2404 J2396:K2396 J2404:K2404 J2408 J2409:M2409 O2404 O2409">
    <cfRule type="expression" priority="62460" dxfId="5">
      <formula>$H2396="CÉLULA CONSTRUTIVA"</formula>
    </cfRule>
  </conditionalFormatting>
  <conditionalFormatting sqref="H2405 J2405:K2405 O2405">
    <cfRule type="expression" priority="7036" dxfId="5">
      <formula>$H2405="CÉLULA CONSTRUTIVA"</formula>
    </cfRule>
    <cfRule type="expression" priority="7035" dxfId="4">
      <formula>$H2405="SUBETAPA"</formula>
    </cfRule>
  </conditionalFormatting>
  <conditionalFormatting sqref="H2407 J2407:K2407 O2407">
    <cfRule type="expression" priority="62364" dxfId="4">
      <formula>$H2407="SUBETAPA"</formula>
    </cfRule>
  </conditionalFormatting>
  <conditionalFormatting sqref="H2408 J2408:M2408 O2408">
    <cfRule type="expression" priority="62378" dxfId="5">
      <formula>$H2408="CÉLULA CONSTRUTIVA"</formula>
    </cfRule>
  </conditionalFormatting>
  <conditionalFormatting sqref="H2408 J2408:L2408 O2408">
    <cfRule type="expression" priority="62377" dxfId="4">
      <formula>$H2408="SUBETAPA"</formula>
    </cfRule>
  </conditionalFormatting>
  <conditionalFormatting sqref="H2413 J2413:K2413 O2413">
    <cfRule type="expression" priority="62558" dxfId="4">
      <formula>$H2413="SUBETAPA"</formula>
    </cfRule>
    <cfRule type="expression" priority="62559" dxfId="5">
      <formula>$H2413="CÉLULA CONSTRUTIVA"</formula>
    </cfRule>
  </conditionalFormatting>
  <conditionalFormatting sqref="H2415:H2416 J2415:K2416">
    <cfRule type="expression" priority="62639" dxfId="3">
      <formula>$H2415="ETAPA"</formula>
    </cfRule>
  </conditionalFormatting>
  <conditionalFormatting sqref="H2415:H2416 J2415:K2416 O2415:O2416">
    <cfRule type="expression" priority="62645" dxfId="4">
      <formula>$H2415="SUBETAPA"</formula>
    </cfRule>
    <cfRule type="expression" priority="62646" dxfId="5">
      <formula>$H2415="CÉLULA CONSTRUTIVA"</formula>
    </cfRule>
  </conditionalFormatting>
  <conditionalFormatting sqref="H2417 J2417:K2417 O2417">
    <cfRule type="expression" priority="62732" dxfId="4">
      <formula>$H2417="SUBETAPA"</formula>
    </cfRule>
    <cfRule type="expression" priority="62733" dxfId="5">
      <formula>$H2417="CÉLULA CONSTRUTIVA"</formula>
    </cfRule>
  </conditionalFormatting>
  <conditionalFormatting sqref="H2418">
    <cfRule type="expression" priority="7008" dxfId="5">
      <formula>$H2418="CÉLULA CONSTRUTIVA"</formula>
    </cfRule>
  </conditionalFormatting>
  <conditionalFormatting sqref="H2419 H2427 J2419:K2419 J2427:K2427 J2431 J2432:M2432 O2427 O2432">
    <cfRule type="expression" priority="62699" dxfId="5">
      <formula>$H2419="CÉLULA CONSTRUTIVA"</formula>
    </cfRule>
  </conditionalFormatting>
  <conditionalFormatting sqref="H2428 J2428:K2428 O2428">
    <cfRule type="expression" priority="6980" dxfId="5">
      <formula>$H2428="CÉLULA CONSTRUTIVA"</formula>
    </cfRule>
    <cfRule type="expression" priority="6979" dxfId="4">
      <formula>$H2428="SUBETAPA"</formula>
    </cfRule>
  </conditionalFormatting>
  <conditionalFormatting sqref="H2430 J2430:K2430 O2430">
    <cfRule type="expression" priority="62603" dxfId="4">
      <formula>$H2430="SUBETAPA"</formula>
    </cfRule>
  </conditionalFormatting>
  <conditionalFormatting sqref="H2431 J2431:M2431 O2431">
    <cfRule type="expression" priority="62617" dxfId="5">
      <formula>$H2431="CÉLULA CONSTRUTIVA"</formula>
    </cfRule>
  </conditionalFormatting>
  <conditionalFormatting sqref="H2431 J2431:L2431 O2431">
    <cfRule type="expression" priority="62616" dxfId="4">
      <formula>$H2431="SUBETAPA"</formula>
    </cfRule>
  </conditionalFormatting>
  <conditionalFormatting sqref="H2436 J2436:K2436 O2436">
    <cfRule type="expression" priority="62797" dxfId="4">
      <formula>$H2436="SUBETAPA"</formula>
    </cfRule>
    <cfRule type="expression" priority="62798" dxfId="5">
      <formula>$H2436="CÉLULA CONSTRUTIVA"</formula>
    </cfRule>
  </conditionalFormatting>
  <conditionalFormatting sqref="H2438:H2439 J2438:K2439">
    <cfRule type="expression" priority="62878" dxfId="3">
      <formula>$H2438="ETAPA"</formula>
    </cfRule>
  </conditionalFormatting>
  <conditionalFormatting sqref="H2438:H2439 J2438:K2439 O2438:O2439">
    <cfRule type="expression" priority="62884" dxfId="4">
      <formula>$H2438="SUBETAPA"</formula>
    </cfRule>
    <cfRule type="expression" priority="62885" dxfId="5">
      <formula>$H2438="CÉLULA CONSTRUTIVA"</formula>
    </cfRule>
  </conditionalFormatting>
  <conditionalFormatting sqref="H2440 J2440:K2440 O2440">
    <cfRule type="expression" priority="62971" dxfId="4">
      <formula>$H2440="SUBETAPA"</formula>
    </cfRule>
    <cfRule type="expression" priority="62972" dxfId="5">
      <formula>$H2440="CÉLULA CONSTRUTIVA"</formula>
    </cfRule>
  </conditionalFormatting>
  <conditionalFormatting sqref="H2441">
    <cfRule type="expression" priority="6952" dxfId="5">
      <formula>$H2441="CÉLULA CONSTRUTIVA"</formula>
    </cfRule>
  </conditionalFormatting>
  <conditionalFormatting sqref="H2442 H2450 J2442:K2442 J2450:K2450 J2454 J2455:M2455 O2450 O2455">
    <cfRule type="expression" priority="62938" dxfId="5">
      <formula>$H2442="CÉLULA CONSTRUTIVA"</formula>
    </cfRule>
  </conditionalFormatting>
  <conditionalFormatting sqref="H2451 J2451:K2451 O2451">
    <cfRule type="expression" priority="6924" dxfId="5">
      <formula>$H2451="CÉLULA CONSTRUTIVA"</formula>
    </cfRule>
    <cfRule type="expression" priority="6923" dxfId="4">
      <formula>$H2451="SUBETAPA"</formula>
    </cfRule>
  </conditionalFormatting>
  <conditionalFormatting sqref="H2453 J2453:K2453 O2453">
    <cfRule type="expression" priority="62842" dxfId="4">
      <formula>$H2453="SUBETAPA"</formula>
    </cfRule>
  </conditionalFormatting>
  <conditionalFormatting sqref="H2454 J2454:M2454 O2454">
    <cfRule type="expression" priority="62856" dxfId="5">
      <formula>$H2454="CÉLULA CONSTRUTIVA"</formula>
    </cfRule>
  </conditionalFormatting>
  <conditionalFormatting sqref="H2454 J2454:L2454 O2454">
    <cfRule type="expression" priority="62855" dxfId="4">
      <formula>$H2454="SUBETAPA"</formula>
    </cfRule>
  </conditionalFormatting>
  <conditionalFormatting sqref="H2459 J2459:K2459 O2459">
    <cfRule type="expression" priority="63036" dxfId="4">
      <formula>$H2459="SUBETAPA"</formula>
    </cfRule>
    <cfRule type="expression" priority="63037" dxfId="5">
      <formula>$H2459="CÉLULA CONSTRUTIVA"</formula>
    </cfRule>
  </conditionalFormatting>
  <conditionalFormatting sqref="H2461:H2462 J2461:K2462">
    <cfRule type="expression" priority="63117" dxfId="3">
      <formula>$H2461="ETAPA"</formula>
    </cfRule>
  </conditionalFormatting>
  <conditionalFormatting sqref="H2461:H2462 J2461:K2462 O2461:O2462">
    <cfRule type="expression" priority="63123" dxfId="4">
      <formula>$H2461="SUBETAPA"</formula>
    </cfRule>
    <cfRule type="expression" priority="63124" dxfId="5">
      <formula>$H2461="CÉLULA CONSTRUTIVA"</formula>
    </cfRule>
  </conditionalFormatting>
  <conditionalFormatting sqref="H2463 J2463:K2463 O2463">
    <cfRule type="expression" priority="63210" dxfId="4">
      <formula>$H2463="SUBETAPA"</formula>
    </cfRule>
    <cfRule type="expression" priority="63211" dxfId="5">
      <formula>$H2463="CÉLULA CONSTRUTIVA"</formula>
    </cfRule>
  </conditionalFormatting>
  <conditionalFormatting sqref="H2465">
    <cfRule type="expression" priority="6896" dxfId="5">
      <formula>$H2465="CÉLULA CONSTRUTIVA"</formula>
    </cfRule>
  </conditionalFormatting>
  <conditionalFormatting sqref="H2466 H2474 J2466:K2466 J2474:K2474 J2478 J2479:M2479 O2474 O2479">
    <cfRule type="expression" priority="63177" dxfId="5">
      <formula>$H2466="CÉLULA CONSTRUTIVA"</formula>
    </cfRule>
  </conditionalFormatting>
  <conditionalFormatting sqref="H2475 J2475:K2475 O2475">
    <cfRule type="expression" priority="6868" dxfId="5">
      <formula>$H2475="CÉLULA CONSTRUTIVA"</formula>
    </cfRule>
    <cfRule type="expression" priority="6867" dxfId="4">
      <formula>$H2475="SUBETAPA"</formula>
    </cfRule>
  </conditionalFormatting>
  <conditionalFormatting sqref="H2477 J2477:K2477 O2477">
    <cfRule type="expression" priority="63081" dxfId="4">
      <formula>$H2477="SUBETAPA"</formula>
    </cfRule>
  </conditionalFormatting>
  <conditionalFormatting sqref="H2478 J2478:M2478 O2478">
    <cfRule type="expression" priority="63095" dxfId="5">
      <formula>$H2478="CÉLULA CONSTRUTIVA"</formula>
    </cfRule>
  </conditionalFormatting>
  <conditionalFormatting sqref="H2478 J2478:L2478 O2478">
    <cfRule type="expression" priority="63094" dxfId="4">
      <formula>$H2478="SUBETAPA"</formula>
    </cfRule>
  </conditionalFormatting>
  <conditionalFormatting sqref="H2483 J2483:K2483 O2483">
    <cfRule type="expression" priority="63275" dxfId="4">
      <formula>$H2483="SUBETAPA"</formula>
    </cfRule>
    <cfRule type="expression" priority="63276" dxfId="5">
      <formula>$H2483="CÉLULA CONSTRUTIVA"</formula>
    </cfRule>
  </conditionalFormatting>
  <conditionalFormatting sqref="H2485:H2486 J2485:K2486">
    <cfRule type="expression" priority="63356" dxfId="3">
      <formula>$H2485="ETAPA"</formula>
    </cfRule>
  </conditionalFormatting>
  <conditionalFormatting sqref="H2485:H2486 J2485:K2486 O2485:O2486">
    <cfRule type="expression" priority="63362" dxfId="4">
      <formula>$H2485="SUBETAPA"</formula>
    </cfRule>
    <cfRule type="expression" priority="63363" dxfId="5">
      <formula>$H2485="CÉLULA CONSTRUTIVA"</formula>
    </cfRule>
  </conditionalFormatting>
  <conditionalFormatting sqref="H2487 J2487:K2487 J2491 O2487">
    <cfRule type="expression" priority="63450" dxfId="5">
      <formula>$H2487="CÉLULA CONSTRUTIVA"</formula>
    </cfRule>
    <cfRule type="expression" priority="63449" dxfId="4">
      <formula>$H2487="SUBETAPA"</formula>
    </cfRule>
  </conditionalFormatting>
  <conditionalFormatting sqref="H2489">
    <cfRule type="expression" priority="6840" dxfId="5">
      <formula>$H2489="CÉLULA CONSTRUTIVA"</formula>
    </cfRule>
  </conditionalFormatting>
  <conditionalFormatting sqref="H2490 J2490:K2490 O2490">
    <cfRule type="expression" priority="63375" dxfId="5">
      <formula>$H2490="CÉLULA CONSTRUTIVA"</formula>
    </cfRule>
    <cfRule type="expression" priority="63374" dxfId="4">
      <formula>$H2490="SUBETAPA"</formula>
    </cfRule>
  </conditionalFormatting>
  <conditionalFormatting sqref="H2491:H2492 H2502 H2504:H2505 J2491:K2492 J2502:K2502 J2504:K2505 J2507 J2508:M2508 M2502:M2505 O2502 O2504:O2505 O2508">
    <cfRule type="expression" priority="63416" dxfId="5">
      <formula>$H2491="CÉLULA CONSTRUTIVA"</formula>
    </cfRule>
  </conditionalFormatting>
  <conditionalFormatting sqref="H2503 J2503:K2503 O2503">
    <cfRule type="expression" priority="6812" dxfId="5">
      <formula>$H2503="CÉLULA CONSTRUTIVA"</formula>
    </cfRule>
    <cfRule type="expression" priority="6811" dxfId="4">
      <formula>$H2503="SUBETAPA"</formula>
    </cfRule>
  </conditionalFormatting>
  <conditionalFormatting sqref="H2506 J2506:K2506 O2506">
    <cfRule type="expression" priority="63320" dxfId="4">
      <formula>$H2506="SUBETAPA"</formula>
    </cfRule>
  </conditionalFormatting>
  <conditionalFormatting sqref="H2507 J2507:M2507 O2507">
    <cfRule type="expression" priority="63334" dxfId="5">
      <formula>$H2507="CÉLULA CONSTRUTIVA"</formula>
    </cfRule>
  </conditionalFormatting>
  <conditionalFormatting sqref="H2507 J2507:L2507 O2507">
    <cfRule type="expression" priority="63333" dxfId="4">
      <formula>$H2507="SUBETAPA"</formula>
    </cfRule>
  </conditionalFormatting>
  <conditionalFormatting sqref="H2512:H2513 J2512:K2513">
    <cfRule type="expression" priority="63595" dxfId="3">
      <formula>$H2512="ETAPA"</formula>
    </cfRule>
  </conditionalFormatting>
  <conditionalFormatting sqref="H2512:H2513 J2512:K2513 O2512:O2513">
    <cfRule type="expression" priority="63601" dxfId="4">
      <formula>$H2512="SUBETAPA"</formula>
    </cfRule>
    <cfRule type="expression" priority="63602" dxfId="5">
      <formula>$H2512="CÉLULA CONSTRUTIVA"</formula>
    </cfRule>
  </conditionalFormatting>
  <conditionalFormatting sqref="H2514 J2514:K2514 J2517 O2514">
    <cfRule type="expression" priority="63689" dxfId="5">
      <formula>$H2514="CÉLULA CONSTRUTIVA"</formula>
    </cfRule>
    <cfRule type="expression" priority="63688" dxfId="4">
      <formula>$H2514="SUBETAPA"</formula>
    </cfRule>
  </conditionalFormatting>
  <conditionalFormatting sqref="H2516">
    <cfRule type="expression" priority="6784" dxfId="5">
      <formula>$H2516="CÉLULA CONSTRUTIVA"</formula>
    </cfRule>
  </conditionalFormatting>
  <conditionalFormatting sqref="H2517 H2527:H2528 J2517:K2517 J2527:K2528 J2529 J2530:M2530 O2527:O2528 O2530">
    <cfRule type="expression" priority="63655" dxfId="5">
      <formula>$H2517="CÉLULA CONSTRUTIVA"</formula>
    </cfRule>
  </conditionalFormatting>
  <conditionalFormatting sqref="H2526 J2526:K2526 O2526">
    <cfRule type="expression" priority="6739" dxfId="5">
      <formula>$H2526="CÉLULA CONSTRUTIVA"</formula>
    </cfRule>
    <cfRule type="expression" priority="6727" dxfId="4">
      <formula>$H2526="SUBETAPA"</formula>
    </cfRule>
  </conditionalFormatting>
  <conditionalFormatting sqref="H2529 J2529:M2529 O2529">
    <cfRule type="expression" priority="63573" dxfId="5">
      <formula>$H2529="CÉLULA CONSTRUTIVA"</formula>
    </cfRule>
  </conditionalFormatting>
  <conditionalFormatting sqref="H2529 J2529:L2529 O2529">
    <cfRule type="expression" priority="63572" dxfId="4">
      <formula>$H2529="SUBETAPA"</formula>
    </cfRule>
  </conditionalFormatting>
  <conditionalFormatting sqref="H2534:H2535 J2534:K2535">
    <cfRule type="expression" priority="63834" dxfId="3">
      <formula>$H2534="ETAPA"</formula>
    </cfRule>
  </conditionalFormatting>
  <conditionalFormatting sqref="H2534:H2535 J2534:K2535 O2534:O2535">
    <cfRule type="expression" priority="63840" dxfId="4">
      <formula>$H2534="SUBETAPA"</formula>
    </cfRule>
    <cfRule type="expression" priority="63841" dxfId="5">
      <formula>$H2534="CÉLULA CONSTRUTIVA"</formula>
    </cfRule>
  </conditionalFormatting>
  <conditionalFormatting sqref="H2536 J2536:K2536 O2536">
    <cfRule type="expression" priority="63927" dxfId="4">
      <formula>$H2536="SUBETAPA"</formula>
    </cfRule>
    <cfRule type="expression" priority="63928" dxfId="5">
      <formula>$H2536="CÉLULA CONSTRUTIVA"</formula>
    </cfRule>
  </conditionalFormatting>
  <conditionalFormatting sqref="H2537">
    <cfRule type="expression" priority="6705" dxfId="5">
      <formula>$H2537="CÉLULA CONSTRUTIVA"</formula>
    </cfRule>
  </conditionalFormatting>
  <conditionalFormatting sqref="H2544 J2544:K2544 O2544">
    <cfRule type="expression" priority="6675" dxfId="5">
      <formula>$H2544="CÉLULA CONSTRUTIVA"</formula>
    </cfRule>
    <cfRule type="expression" priority="6669" dxfId="4">
      <formula>$H2544="SUBETAPA"</formula>
    </cfRule>
  </conditionalFormatting>
  <conditionalFormatting sqref="H2546 J2546:M2546 O2546">
    <cfRule type="expression" priority="63812" dxfId="5">
      <formula>$H2546="CÉLULA CONSTRUTIVA"</formula>
    </cfRule>
  </conditionalFormatting>
  <conditionalFormatting sqref="H2546 J2546:L2546 O2546">
    <cfRule type="expression" priority="63811" dxfId="4">
      <formula>$H2546="SUBETAPA"</formula>
    </cfRule>
  </conditionalFormatting>
  <conditionalFormatting sqref="H2550:H2551 J2550:K2551">
    <cfRule type="expression" priority="64073" dxfId="3">
      <formula>$H2550="ETAPA"</formula>
    </cfRule>
  </conditionalFormatting>
  <conditionalFormatting sqref="H2550:H2551 J2550:K2551 O2550:O2551">
    <cfRule type="expression" priority="64079" dxfId="4">
      <formula>$H2550="SUBETAPA"</formula>
    </cfRule>
    <cfRule type="expression" priority="64080" dxfId="5">
      <formula>$H2550="CÉLULA CONSTRUTIVA"</formula>
    </cfRule>
  </conditionalFormatting>
  <conditionalFormatting sqref="H2552 J2552:K2552 O2552">
    <cfRule type="expression" priority="64166" dxfId="4">
      <formula>$H2552="SUBETAPA"</formula>
    </cfRule>
    <cfRule type="expression" priority="64167" dxfId="5">
      <formula>$H2552="CÉLULA CONSTRUTIVA"</formula>
    </cfRule>
  </conditionalFormatting>
  <conditionalFormatting sqref="H2553">
    <cfRule type="expression" priority="6647" dxfId="5">
      <formula>$H2553="CÉLULA CONSTRUTIVA"</formula>
    </cfRule>
  </conditionalFormatting>
  <conditionalFormatting sqref="H2560 J2560:K2560 O2560">
    <cfRule type="expression" priority="6617" dxfId="5">
      <formula>$H2560="CÉLULA CONSTRUTIVA"</formula>
    </cfRule>
    <cfRule type="expression" priority="6611" dxfId="4">
      <formula>$H2560="SUBETAPA"</formula>
    </cfRule>
  </conditionalFormatting>
  <conditionalFormatting sqref="H2562 J2562:M2562 O2562">
    <cfRule type="expression" priority="64051" dxfId="5">
      <formula>$H2562="CÉLULA CONSTRUTIVA"</formula>
    </cfRule>
  </conditionalFormatting>
  <conditionalFormatting sqref="H2562 J2562:L2562 O2562">
    <cfRule type="expression" priority="64050" dxfId="4">
      <formula>$H2562="SUBETAPA"</formula>
    </cfRule>
  </conditionalFormatting>
  <conditionalFormatting sqref="H2566:H2567 J2566:K2567">
    <cfRule type="expression" priority="64312" dxfId="3">
      <formula>$H2566="ETAPA"</formula>
    </cfRule>
  </conditionalFormatting>
  <conditionalFormatting sqref="H2566:H2567 J2566:K2567 O2566:O2567">
    <cfRule type="expression" priority="64318" dxfId="4">
      <formula>$H2566="SUBETAPA"</formula>
    </cfRule>
    <cfRule type="expression" priority="64319" dxfId="5">
      <formula>$H2566="CÉLULA CONSTRUTIVA"</formula>
    </cfRule>
  </conditionalFormatting>
  <conditionalFormatting sqref="H2568 J2568:K2568 O2568">
    <cfRule type="expression" priority="64405" dxfId="4">
      <formula>$H2568="SUBETAPA"</formula>
    </cfRule>
    <cfRule type="expression" priority="64406" dxfId="5">
      <formula>$H2568="CÉLULA CONSTRUTIVA"</formula>
    </cfRule>
  </conditionalFormatting>
  <conditionalFormatting sqref="H2569">
    <cfRule type="expression" priority="6589" dxfId="5">
      <formula>$H2569="CÉLULA CONSTRUTIVA"</formula>
    </cfRule>
  </conditionalFormatting>
  <conditionalFormatting sqref="H2576 J2576:K2576 O2576">
    <cfRule type="expression" priority="6559" dxfId="5">
      <formula>$H2576="CÉLULA CONSTRUTIVA"</formula>
    </cfRule>
    <cfRule type="expression" priority="6553" dxfId="4">
      <formula>$H2576="SUBETAPA"</formula>
    </cfRule>
  </conditionalFormatting>
  <conditionalFormatting sqref="H2578 J2578:M2578 O2578">
    <cfRule type="expression" priority="64290" dxfId="5">
      <formula>$H2578="CÉLULA CONSTRUTIVA"</formula>
    </cfRule>
  </conditionalFormatting>
  <conditionalFormatting sqref="H2578 J2578:L2578 O2578">
    <cfRule type="expression" priority="64289" dxfId="4">
      <formula>$H2578="SUBETAPA"</formula>
    </cfRule>
  </conditionalFormatting>
  <conditionalFormatting sqref="H2582:H2583 J2582:K2583">
    <cfRule type="expression" priority="64551" dxfId="3">
      <formula>$H2582="ETAPA"</formula>
    </cfRule>
  </conditionalFormatting>
  <conditionalFormatting sqref="H2582:H2583 J2582:K2583 O2582:O2583">
    <cfRule type="expression" priority="64557" dxfId="4">
      <formula>$H2582="SUBETAPA"</formula>
    </cfRule>
    <cfRule type="expression" priority="64558" dxfId="5">
      <formula>$H2582="CÉLULA CONSTRUTIVA"</formula>
    </cfRule>
  </conditionalFormatting>
  <conditionalFormatting sqref="H2584 J2584:K2584 O2584">
    <cfRule type="expression" priority="64644" dxfId="4">
      <formula>$H2584="SUBETAPA"</formula>
    </cfRule>
    <cfRule type="expression" priority="64645" dxfId="5">
      <formula>$H2584="CÉLULA CONSTRUTIVA"</formula>
    </cfRule>
  </conditionalFormatting>
  <conditionalFormatting sqref="H2585">
    <cfRule type="expression" priority="6531" dxfId="5">
      <formula>$H2585="CÉLULA CONSTRUTIVA"</formula>
    </cfRule>
  </conditionalFormatting>
  <conditionalFormatting sqref="H2592 J2592:K2592 O2592">
    <cfRule type="expression" priority="6501" dxfId="5">
      <formula>$H2592="CÉLULA CONSTRUTIVA"</formula>
    </cfRule>
    <cfRule type="expression" priority="6495" dxfId="4">
      <formula>$H2592="SUBETAPA"</formula>
    </cfRule>
  </conditionalFormatting>
  <conditionalFormatting sqref="H2594 J2594:M2594 O2594">
    <cfRule type="expression" priority="64529" dxfId="5">
      <formula>$H2594="CÉLULA CONSTRUTIVA"</formula>
    </cfRule>
  </conditionalFormatting>
  <conditionalFormatting sqref="H2594 J2594:L2594 O2594">
    <cfRule type="expression" priority="64528" dxfId="4">
      <formula>$H2594="SUBETAPA"</formula>
    </cfRule>
  </conditionalFormatting>
  <conditionalFormatting sqref="H2598:H2599 J2598:K2599">
    <cfRule type="expression" priority="64790" dxfId="3">
      <formula>$H2598="ETAPA"</formula>
    </cfRule>
  </conditionalFormatting>
  <conditionalFormatting sqref="H2598:H2599 J2598:K2599 O2598:O2599">
    <cfRule type="expression" priority="64796" dxfId="4">
      <formula>$H2598="SUBETAPA"</formula>
    </cfRule>
    <cfRule type="expression" priority="64797" dxfId="5">
      <formula>$H2598="CÉLULA CONSTRUTIVA"</formula>
    </cfRule>
  </conditionalFormatting>
  <conditionalFormatting sqref="H2600 J2600:K2600 O2600">
    <cfRule type="expression" priority="64883" dxfId="4">
      <formula>$H2600="SUBETAPA"</formula>
    </cfRule>
    <cfRule type="expression" priority="64884" dxfId="5">
      <formula>$H2600="CÉLULA CONSTRUTIVA"</formula>
    </cfRule>
  </conditionalFormatting>
  <conditionalFormatting sqref="H2601">
    <cfRule type="expression" priority="6473" dxfId="5">
      <formula>$H2601="CÉLULA CONSTRUTIVA"</formula>
    </cfRule>
  </conditionalFormatting>
  <conditionalFormatting sqref="H2608 J2608:K2608 O2608">
    <cfRule type="expression" priority="6443" dxfId="5">
      <formula>$H2608="CÉLULA CONSTRUTIVA"</formula>
    </cfRule>
    <cfRule type="expression" priority="6437" dxfId="4">
      <formula>$H2608="SUBETAPA"</formula>
    </cfRule>
  </conditionalFormatting>
  <conditionalFormatting sqref="H2610 J2610:M2610 O2610">
    <cfRule type="expression" priority="64768" dxfId="5">
      <formula>$H2610="CÉLULA CONSTRUTIVA"</formula>
    </cfRule>
  </conditionalFormatting>
  <conditionalFormatting sqref="H2610 J2610:L2610 O2610">
    <cfRule type="expression" priority="64767" dxfId="4">
      <formula>$H2610="SUBETAPA"</formula>
    </cfRule>
  </conditionalFormatting>
  <conditionalFormatting sqref="H2614:H2615 J2614:K2615">
    <cfRule type="expression" priority="65029" dxfId="3">
      <formula>$H2614="ETAPA"</formula>
    </cfRule>
  </conditionalFormatting>
  <conditionalFormatting sqref="H2614:H2615 J2614:K2615 O2614:O2615">
    <cfRule type="expression" priority="65035" dxfId="4">
      <formula>$H2614="SUBETAPA"</formula>
    </cfRule>
    <cfRule type="expression" priority="65036" dxfId="5">
      <formula>$H2614="CÉLULA CONSTRUTIVA"</formula>
    </cfRule>
  </conditionalFormatting>
  <conditionalFormatting sqref="H2616 J2616:K2616 O2616">
    <cfRule type="expression" priority="65122" dxfId="4">
      <formula>$H2616="SUBETAPA"</formula>
    </cfRule>
    <cfRule type="expression" priority="65123" dxfId="5">
      <formula>$H2616="CÉLULA CONSTRUTIVA"</formula>
    </cfRule>
  </conditionalFormatting>
  <conditionalFormatting sqref="H2617">
    <cfRule type="expression" priority="6415" dxfId="5">
      <formula>$H2617="CÉLULA CONSTRUTIVA"</formula>
    </cfRule>
  </conditionalFormatting>
  <conditionalFormatting sqref="H2623 J2623:K2623 O2623">
    <cfRule type="expression" priority="6385" dxfId="5">
      <formula>$H2623="CÉLULA CONSTRUTIVA"</formula>
    </cfRule>
    <cfRule type="expression" priority="6379" dxfId="4">
      <formula>$H2623="SUBETAPA"</formula>
    </cfRule>
  </conditionalFormatting>
  <conditionalFormatting sqref="H2625 J2625:M2625 O2625">
    <cfRule type="expression" priority="65007" dxfId="5">
      <formula>$H2625="CÉLULA CONSTRUTIVA"</formula>
    </cfRule>
  </conditionalFormatting>
  <conditionalFormatting sqref="H2625 J2625:L2625 O2625">
    <cfRule type="expression" priority="65006" dxfId="4">
      <formula>$H2625="SUBETAPA"</formula>
    </cfRule>
  </conditionalFormatting>
  <conditionalFormatting sqref="H2629 J2629:L2629 L2630:L2634">
    <cfRule type="expression" priority="1938" dxfId="4">
      <formula>$H2629="SUBETAPA"</formula>
    </cfRule>
  </conditionalFormatting>
  <conditionalFormatting sqref="H2629 J2629:M2629 L2630:L2634">
    <cfRule type="expression" priority="1937" dxfId="5">
      <formula>$H2629="CÉLULA CONSTRUTIVA"</formula>
    </cfRule>
  </conditionalFormatting>
  <conditionalFormatting sqref="H2631:H2634 J2631:J2634">
    <cfRule type="expression" priority="1947" dxfId="4">
      <formula>$H2631="SUBETAPA"</formula>
    </cfRule>
  </conditionalFormatting>
  <conditionalFormatting sqref="H2631:H2634 J2631:K2634">
    <cfRule type="expression" priority="1945" dxfId="5">
      <formula>$H2631="CÉLULA CONSTRUTIVA"</formula>
    </cfRule>
    <cfRule type="expression" priority="1946" dxfId="3">
      <formula>$H2631="ETAPA"</formula>
    </cfRule>
  </conditionalFormatting>
  <conditionalFormatting sqref="H2640 J2640:K2640 L2641 M2640">
    <cfRule type="expression" priority="2005" dxfId="5">
      <formula>$H2640="CÉLULA CONSTRUTIVA"</formula>
    </cfRule>
  </conditionalFormatting>
  <conditionalFormatting sqref="H2640 J2640:K2640 L2641">
    <cfRule type="expression" priority="2006" dxfId="4">
      <formula>$H2640="SUBETAPA"</formula>
    </cfRule>
  </conditionalFormatting>
  <conditionalFormatting sqref="H2650 J2650:K2650 L2651 M2650">
    <cfRule type="expression" priority="2073" dxfId="5">
      <formula>$H2650="CÉLULA CONSTRUTIVA"</formula>
    </cfRule>
  </conditionalFormatting>
  <conditionalFormatting sqref="H2650 J2650:K2650 L2651">
    <cfRule type="expression" priority="2074" dxfId="4">
      <formula>$H2650="SUBETAPA"</formula>
    </cfRule>
  </conditionalFormatting>
  <conditionalFormatting sqref="H2656 J2656:M2656">
    <cfRule type="expression" priority="2075" dxfId="3">
      <formula>$H2656="ETAPA"</formula>
    </cfRule>
    <cfRule type="expression" priority="2079" dxfId="5">
      <formula>$H2656="CÉLULA CONSTRUTIVA"</formula>
    </cfRule>
    <cfRule type="expression" priority="2080" dxfId="4">
      <formula>$H2656="SUBETAPA"</formula>
    </cfRule>
  </conditionalFormatting>
  <conditionalFormatting sqref="H2659 J2659:K2659 L2660 M2659">
    <cfRule type="expression" priority="2141" dxfId="5">
      <formula>$H2659="CÉLULA CONSTRUTIVA"</formula>
    </cfRule>
  </conditionalFormatting>
  <conditionalFormatting sqref="H2659 J2659:K2659 L2660">
    <cfRule type="expression" priority="2142" dxfId="4">
      <formula>$H2659="SUBETAPA"</formula>
    </cfRule>
  </conditionalFormatting>
  <conditionalFormatting sqref="H2663 J2663:M2663">
    <cfRule type="expression" priority="2143" dxfId="3">
      <formula>$H2663="ETAPA"</formula>
    </cfRule>
    <cfRule type="expression" priority="2147" dxfId="5">
      <formula>$H2663="CÉLULA CONSTRUTIVA"</formula>
    </cfRule>
    <cfRule type="expression" priority="2148" dxfId="4">
      <formula>$H2663="SUBETAPA"</formula>
    </cfRule>
  </conditionalFormatting>
  <conditionalFormatting sqref="H2666 J2666:K2666 L2667 M2666">
    <cfRule type="expression" priority="2209" dxfId="5">
      <formula>$H2666="CÉLULA CONSTRUTIVA"</formula>
    </cfRule>
  </conditionalFormatting>
  <conditionalFormatting sqref="H2666 J2666:K2666 L2667">
    <cfRule type="expression" priority="2210" dxfId="4">
      <formula>$H2666="SUBETAPA"</formula>
    </cfRule>
  </conditionalFormatting>
  <conditionalFormatting sqref="H2670 J2670:M2670">
    <cfRule type="expression" priority="2211" dxfId="3">
      <formula>$H2670="ETAPA"</formula>
    </cfRule>
    <cfRule type="expression" priority="2215" dxfId="5">
      <formula>$H2670="CÉLULA CONSTRUTIVA"</formula>
    </cfRule>
    <cfRule type="expression" priority="2216" dxfId="4">
      <formula>$H2670="SUBETAPA"</formula>
    </cfRule>
  </conditionalFormatting>
  <conditionalFormatting sqref="H2673 J2673:K2673 L2674 M2673">
    <cfRule type="expression" priority="2277" dxfId="5">
      <formula>$H2673="CÉLULA CONSTRUTIVA"</formula>
    </cfRule>
  </conditionalFormatting>
  <conditionalFormatting sqref="H2673 J2673:K2673 L2674">
    <cfRule type="expression" priority="2278" dxfId="4">
      <formula>$H2673="SUBETAPA"</formula>
    </cfRule>
  </conditionalFormatting>
  <conditionalFormatting sqref="H2678 J2678:M2678">
    <cfRule type="expression" priority="2279" dxfId="3">
      <formula>$H2678="ETAPA"</formula>
    </cfRule>
    <cfRule type="expression" priority="2283" dxfId="5">
      <formula>$H2678="CÉLULA CONSTRUTIVA"</formula>
    </cfRule>
    <cfRule type="expression" priority="2284" dxfId="4">
      <formula>$H2678="SUBETAPA"</formula>
    </cfRule>
  </conditionalFormatting>
  <conditionalFormatting sqref="H2681 J2681:K2681 L2682 M2681">
    <cfRule type="expression" priority="2345" dxfId="5">
      <formula>$H2681="CÉLULA CONSTRUTIVA"</formula>
    </cfRule>
  </conditionalFormatting>
  <conditionalFormatting sqref="H2681 J2681:K2681 L2682">
    <cfRule type="expression" priority="2346" dxfId="4">
      <formula>$H2681="SUBETAPA"</formula>
    </cfRule>
  </conditionalFormatting>
  <conditionalFormatting sqref="H2688 J2688:M2688">
    <cfRule type="expression" priority="2347" dxfId="3">
      <formula>$H2688="ETAPA"</formula>
    </cfRule>
    <cfRule type="expression" priority="2351" dxfId="5">
      <formula>$H2688="CÉLULA CONSTRUTIVA"</formula>
    </cfRule>
    <cfRule type="expression" priority="2352" dxfId="4">
      <formula>$H2688="SUBETAPA"</formula>
    </cfRule>
  </conditionalFormatting>
  <conditionalFormatting sqref="H2691 J2691:K2691 L2692 M2691">
    <cfRule type="expression" priority="2413" dxfId="5">
      <formula>$H2691="CÉLULA CONSTRUTIVA"</formula>
    </cfRule>
  </conditionalFormatting>
  <conditionalFormatting sqref="H2691 J2691:K2691 L2692">
    <cfRule type="expression" priority="2414" dxfId="4">
      <formula>$H2691="SUBETAPA"</formula>
    </cfRule>
  </conditionalFormatting>
  <conditionalFormatting sqref="H2699 J2699:K2699 L2700 M2699">
    <cfRule type="expression" priority="2481" dxfId="5">
      <formula>$H2699="CÉLULA CONSTRUTIVA"</formula>
    </cfRule>
  </conditionalFormatting>
  <conditionalFormatting sqref="H2699 J2699:K2699 L2700">
    <cfRule type="expression" priority="2482" dxfId="4">
      <formula>$H2699="SUBETAPA"</formula>
    </cfRule>
  </conditionalFormatting>
  <conditionalFormatting sqref="H2710 J2710:K2710 L2711 M2710">
    <cfRule type="expression" priority="2549" dxfId="5">
      <formula>$H2710="CÉLULA CONSTRUTIVA"</formula>
    </cfRule>
  </conditionalFormatting>
  <conditionalFormatting sqref="H2710 J2710:K2710 L2711">
    <cfRule type="expression" priority="2550" dxfId="4">
      <formula>$H2710="SUBETAPA"</formula>
    </cfRule>
  </conditionalFormatting>
  <conditionalFormatting sqref="H2721 J2721:K2721 L2722 M2721">
    <cfRule type="expression" priority="1792" dxfId="5">
      <formula>$H2721="CÉLULA CONSTRUTIVA"</formula>
    </cfRule>
  </conditionalFormatting>
  <conditionalFormatting sqref="H2721 J2721:K2721 L2722">
    <cfRule type="expression" priority="1793" dxfId="4">
      <formula>$H2721="SUBETAPA"</formula>
    </cfRule>
  </conditionalFormatting>
  <conditionalFormatting sqref="H2732 J2732:K2732 L2733 M2732">
    <cfRule type="expression" priority="1864" dxfId="5">
      <formula>$H2732="CÉLULA CONSTRUTIVA"</formula>
    </cfRule>
  </conditionalFormatting>
  <conditionalFormatting sqref="H2732 J2732:K2732 L2733">
    <cfRule type="expression" priority="1865" dxfId="4">
      <formula>$H2732="SUBETAPA"</formula>
    </cfRule>
  </conditionalFormatting>
  <conditionalFormatting sqref="G2719:H2720 G2730:H2731 H2721:H2722 H2732:H2733 J2719:M2720 J2721:K2722 J2730:M2731 J2732:K2733">
    <cfRule type="expression" priority="1883" dxfId="3">
      <formula>$H2719="ETAPA"</formula>
    </cfRule>
  </conditionalFormatting>
  <conditionalFormatting sqref="G2719:H2720 G2730:H2731 H2722 H2733 J2719:K2720 J2730:K2731">
    <cfRule type="expression" priority="1879" dxfId="5">
      <formula>$H2719="CÉLULA CONSTRUTIVA"</formula>
    </cfRule>
    <cfRule type="expression" priority="1880" dxfId="4">
      <formula>$H2719="SUBETAPA"</formula>
    </cfRule>
  </conditionalFormatting>
  <conditionalFormatting sqref="H2743 J2743:K2743 L2744 M2743">
    <cfRule type="expression" priority="2617" dxfId="5">
      <formula>$H2743="CÉLULA CONSTRUTIVA"</formula>
    </cfRule>
  </conditionalFormatting>
  <conditionalFormatting sqref="H2743 J2743:K2743 L2744">
    <cfRule type="expression" priority="2618" dxfId="4">
      <formula>$H2743="SUBETAPA"</formula>
    </cfRule>
  </conditionalFormatting>
  <conditionalFormatting sqref="G2626:H2628 G2638:H2639 G2648:H2649 G2657:H2658 G2664:H2665 G2671:H2672 G2679:H2680 G2689:H2690 G2697:H2698 G2708:H2709 G2741:H2742 G2752:H2753 H2629:H2630 H2640:H2641 H2650:H2651 H2659:H2660 H2666:H2667 H2673:H2674 H2681:H2682 H2691:H2692 H2699:H2700 H2710:H2711 H2743:H2744 H2754:H2755 J2626:M2628 J2629:K2630 J2638:M2639 J2640:K2641 J2648:M2649 J2650:K2651 J2657:M2658 J2659:K2660 J2664:M2665 J2666:K2667 J2671:M2672 J2673:K2674 J2679:M2680 J2681:K2682 J2689:M2690 J2691:K2692 J2697:M2698 J2699:K2700 J2708:M2709 J2710:K2711 J2741:M2742 J2743:K2744 J2752:M2753 J2754:K2755">
    <cfRule type="expression" priority="116315" dxfId="3">
      <formula>$H2626="ETAPA"</formula>
    </cfRule>
  </conditionalFormatting>
  <conditionalFormatting sqref="H2759 J2759:M2759 O2759">
    <cfRule type="expression" priority="1395" dxfId="5">
      <formula>$H2759="CÉLULA CONSTRUTIVA"</formula>
    </cfRule>
  </conditionalFormatting>
  <conditionalFormatting sqref="H2761 J2761:K2761 M2761">
    <cfRule type="expression" priority="1393" dxfId="3">
      <formula>$H2761="ETAPA"</formula>
    </cfRule>
    <cfRule type="expression" priority="1392" dxfId="4">
      <formula>$H2761="SUBETAPA"</formula>
    </cfRule>
  </conditionalFormatting>
  <conditionalFormatting sqref="H2762 J2762:L2762">
    <cfRule type="expression" priority="1386" dxfId="5">
      <formula>$H2762="CÉLULA CONSTRUTIVA"</formula>
    </cfRule>
  </conditionalFormatting>
  <conditionalFormatting sqref="G2763:H2763 H2762 J2762:K2762 J2763:L2763 O2762">
    <cfRule type="expression" priority="1363" dxfId="4">
      <formula>$H2762="SUBETAPA"</formula>
    </cfRule>
  </conditionalFormatting>
  <conditionalFormatting sqref="H2762">
    <cfRule type="expression" priority="1389" dxfId="3">
      <formula>$H2762="ETAPA"</formula>
    </cfRule>
  </conditionalFormatting>
  <conditionalFormatting sqref="H2765 J2765:M2765 O2765">
    <cfRule type="expression" priority="1437" dxfId="5">
      <formula>$H2765="CÉLULA CONSTRUTIVA"</formula>
    </cfRule>
  </conditionalFormatting>
  <conditionalFormatting sqref="H2767 J2767:K2767 M2767">
    <cfRule type="expression" priority="1435" dxfId="3">
      <formula>$H2767="ETAPA"</formula>
    </cfRule>
    <cfRule type="expression" priority="1434" dxfId="4">
      <formula>$H2767="SUBETAPA"</formula>
    </cfRule>
  </conditionalFormatting>
  <conditionalFormatting sqref="H2768 J2768:L2768">
    <cfRule type="expression" priority="1428" dxfId="5">
      <formula>$H2768="CÉLULA CONSTRUTIVA"</formula>
    </cfRule>
  </conditionalFormatting>
  <conditionalFormatting sqref="G2769:H2769 H2768 J2768:K2768 J2769:L2769 O2768">
    <cfRule type="expression" priority="1405" dxfId="4">
      <formula>$H2768="SUBETAPA"</formula>
    </cfRule>
  </conditionalFormatting>
  <conditionalFormatting sqref="H2768">
    <cfRule type="expression" priority="1431" dxfId="3">
      <formula>$H2768="ETAPA"</formula>
    </cfRule>
  </conditionalFormatting>
  <conditionalFormatting sqref="H2771 J2771:M2771 O2771">
    <cfRule type="expression" priority="1479" dxfId="5">
      <formula>$H2771="CÉLULA CONSTRUTIVA"</formula>
    </cfRule>
  </conditionalFormatting>
  <conditionalFormatting sqref="H2773 J2773:K2773 M2773">
    <cfRule type="expression" priority="1477" dxfId="3">
      <formula>$H2773="ETAPA"</formula>
    </cfRule>
    <cfRule type="expression" priority="1476" dxfId="4">
      <formula>$H2773="SUBETAPA"</formula>
    </cfRule>
  </conditionalFormatting>
  <conditionalFormatting sqref="H2774 J2774:L2774">
    <cfRule type="expression" priority="1470" dxfId="5">
      <formula>$H2774="CÉLULA CONSTRUTIVA"</formula>
    </cfRule>
  </conditionalFormatting>
  <conditionalFormatting sqref="G2775:H2775 H2774 J2774:K2774 J2775:L2775 O2774">
    <cfRule type="expression" priority="1447" dxfId="4">
      <formula>$H2774="SUBETAPA"</formula>
    </cfRule>
  </conditionalFormatting>
  <conditionalFormatting sqref="H2774">
    <cfRule type="expression" priority="1473" dxfId="3">
      <formula>$H2774="ETAPA"</formula>
    </cfRule>
  </conditionalFormatting>
  <conditionalFormatting sqref="H2777 J2777:M2777 O2777">
    <cfRule type="expression" priority="1521" dxfId="5">
      <formula>$H2777="CÉLULA CONSTRUTIVA"</formula>
    </cfRule>
  </conditionalFormatting>
  <conditionalFormatting sqref="H2777:H2779 J2777:M2777 J2778:K2779 M2778:M2779 O2777">
    <cfRule type="expression" priority="1520" dxfId="4">
      <formula>$H2777="SUBETAPA"</formula>
    </cfRule>
  </conditionalFormatting>
  <conditionalFormatting sqref="H2778:H2780 J2778:M2780 M2781:M2784">
    <cfRule type="expression" priority="1529" dxfId="5">
      <formula>$H2778="CÉLULA CONSTRUTIVA"</formula>
    </cfRule>
  </conditionalFormatting>
  <conditionalFormatting sqref="H2780 J2780:K2780 M2780">
    <cfRule type="expression" priority="1519" dxfId="3">
      <formula>$H2780="ETAPA"</formula>
    </cfRule>
    <cfRule type="expression" priority="1518" dxfId="4">
      <formula>$H2780="SUBETAPA"</formula>
    </cfRule>
  </conditionalFormatting>
  <conditionalFormatting sqref="H2781 J2781:L2781 O2781">
    <cfRule type="expression" priority="1517" dxfId="3">
      <formula>$H2781="ETAPA"</formula>
    </cfRule>
    <cfRule type="expression" priority="1500" dxfId="5">
      <formula>$H2781="CÉLULA CONSTRUTIVA"</formula>
    </cfRule>
  </conditionalFormatting>
  <conditionalFormatting sqref="H2781 J2781:L2781">
    <cfRule type="expression" priority="1523" dxfId="4">
      <formula>$H2781="SUBETAPA"</formula>
    </cfRule>
  </conditionalFormatting>
  <conditionalFormatting sqref="H2783 J2783:L2783">
    <cfRule type="expression" priority="1512" dxfId="5">
      <formula>$H2783="CÉLULA CONSTRUTIVA"</formula>
    </cfRule>
  </conditionalFormatting>
  <conditionalFormatting sqref="H2786 J2786:M2786 O2786">
    <cfRule type="expression" priority="1563" dxfId="5">
      <formula>$H2786="CÉLULA CONSTRUTIVA"</formula>
    </cfRule>
  </conditionalFormatting>
  <conditionalFormatting sqref="H2786:H2788 J2786:M2786 J2787:K2788 M2787:M2788 O2786">
    <cfRule type="expression" priority="1562" dxfId="4">
      <formula>$H2786="SUBETAPA"</formula>
    </cfRule>
  </conditionalFormatting>
  <conditionalFormatting sqref="H2787:H2789 J2787:M2789 M2790:M2793">
    <cfRule type="expression" priority="1571" dxfId="5">
      <formula>$H2787="CÉLULA CONSTRUTIVA"</formula>
    </cfRule>
  </conditionalFormatting>
  <conditionalFormatting sqref="H2789 J2789:K2789 M2789">
    <cfRule type="expression" priority="1561" dxfId="3">
      <formula>$H2789="ETAPA"</formula>
    </cfRule>
    <cfRule type="expression" priority="1560" dxfId="4">
      <formula>$H2789="SUBETAPA"</formula>
    </cfRule>
  </conditionalFormatting>
  <conditionalFormatting sqref="H2790 J2790:L2790 O2790">
    <cfRule type="expression" priority="1559" dxfId="3">
      <formula>$H2790="ETAPA"</formula>
    </cfRule>
    <cfRule type="expression" priority="1542" dxfId="5">
      <formula>$H2790="CÉLULA CONSTRUTIVA"</formula>
    </cfRule>
  </conditionalFormatting>
  <conditionalFormatting sqref="H2790 J2790:L2790">
    <cfRule type="expression" priority="1565" dxfId="4">
      <formula>$H2790="SUBETAPA"</formula>
    </cfRule>
  </conditionalFormatting>
  <conditionalFormatting sqref="H2792 J2792:L2792">
    <cfRule type="expression" priority="1554" dxfId="5">
      <formula>$H2792="CÉLULA CONSTRUTIVA"</formula>
    </cfRule>
  </conditionalFormatting>
  <conditionalFormatting sqref="H2795 J2795:M2795 O2795">
    <cfRule type="expression" priority="1605" dxfId="5">
      <formula>$H2795="CÉLULA CONSTRUTIVA"</formula>
    </cfRule>
  </conditionalFormatting>
  <conditionalFormatting sqref="H2795:H2797 J2795:M2795 J2796:K2797 M2796:M2797 O2795">
    <cfRule type="expression" priority="1604" dxfId="4">
      <formula>$H2795="SUBETAPA"</formula>
    </cfRule>
  </conditionalFormatting>
  <conditionalFormatting sqref="H2796:H2798 J2796:M2798 M2799:M2802">
    <cfRule type="expression" priority="1613" dxfId="5">
      <formula>$H2796="CÉLULA CONSTRUTIVA"</formula>
    </cfRule>
  </conditionalFormatting>
  <conditionalFormatting sqref="H2798 J2798:K2798 M2798">
    <cfRule type="expression" priority="1603" dxfId="3">
      <formula>$H2798="ETAPA"</formula>
    </cfRule>
    <cfRule type="expression" priority="1602" dxfId="4">
      <formula>$H2798="SUBETAPA"</formula>
    </cfRule>
  </conditionalFormatting>
  <conditionalFormatting sqref="H2799 J2799:L2799 O2799">
    <cfRule type="expression" priority="1601" dxfId="3">
      <formula>$H2799="ETAPA"</formula>
    </cfRule>
    <cfRule type="expression" priority="1584" dxfId="5">
      <formula>$H2799="CÉLULA CONSTRUTIVA"</formula>
    </cfRule>
  </conditionalFormatting>
  <conditionalFormatting sqref="H2799 J2799:L2799">
    <cfRule type="expression" priority="1607" dxfId="4">
      <formula>$H2799="SUBETAPA"</formula>
    </cfRule>
  </conditionalFormatting>
  <conditionalFormatting sqref="H2801 J2801:L2801">
    <cfRule type="expression" priority="1596" dxfId="5">
      <formula>$H2801="CÉLULA CONSTRUTIVA"</formula>
    </cfRule>
  </conditionalFormatting>
  <conditionalFormatting sqref="H2804 J2804:M2804 O2804">
    <cfRule type="expression" priority="1647" dxfId="5">
      <formula>$H2804="CÉLULA CONSTRUTIVA"</formula>
    </cfRule>
  </conditionalFormatting>
  <conditionalFormatting sqref="H2804:H2806 J2804:M2804 J2805:K2806 M2805:M2806 O2804">
    <cfRule type="expression" priority="1646" dxfId="4">
      <formula>$H2804="SUBETAPA"</formula>
    </cfRule>
  </conditionalFormatting>
  <conditionalFormatting sqref="H2805:H2807 J2805:M2807 M2808:M2811">
    <cfRule type="expression" priority="1655" dxfId="5">
      <formula>$H2805="CÉLULA CONSTRUTIVA"</formula>
    </cfRule>
  </conditionalFormatting>
  <conditionalFormatting sqref="H2807 J2807:K2807 M2807">
    <cfRule type="expression" priority="1645" dxfId="3">
      <formula>$H2807="ETAPA"</formula>
    </cfRule>
    <cfRule type="expression" priority="1644" dxfId="4">
      <formula>$H2807="SUBETAPA"</formula>
    </cfRule>
  </conditionalFormatting>
  <conditionalFormatting sqref="H2808 J2808:L2808 O2808">
    <cfRule type="expression" priority="1643" dxfId="3">
      <formula>$H2808="ETAPA"</formula>
    </cfRule>
    <cfRule type="expression" priority="1626" dxfId="5">
      <formula>$H2808="CÉLULA CONSTRUTIVA"</formula>
    </cfRule>
  </conditionalFormatting>
  <conditionalFormatting sqref="H2808 J2808:L2808">
    <cfRule type="expression" priority="1649" dxfId="4">
      <formula>$H2808="SUBETAPA"</formula>
    </cfRule>
  </conditionalFormatting>
  <conditionalFormatting sqref="H2810 J2810:L2810">
    <cfRule type="expression" priority="1638" dxfId="5">
      <formula>$H2810="CÉLULA CONSTRUTIVA"</formula>
    </cfRule>
  </conditionalFormatting>
  <conditionalFormatting sqref="H2813 J2813:M2813 O2813">
    <cfRule type="expression" priority="1689" dxfId="5">
      <formula>$H2813="CÉLULA CONSTRUTIVA"</formula>
    </cfRule>
  </conditionalFormatting>
  <conditionalFormatting sqref="H2813:H2815 J2813:M2813 J2814:K2815 M2814:M2815 O2813">
    <cfRule type="expression" priority="1688" dxfId="4">
      <formula>$H2813="SUBETAPA"</formula>
    </cfRule>
  </conditionalFormatting>
  <conditionalFormatting sqref="H2814:H2816 J2814:M2816">
    <cfRule type="expression" priority="1697" dxfId="5">
      <formula>$H2814="CÉLULA CONSTRUTIVA"</formula>
    </cfRule>
  </conditionalFormatting>
  <conditionalFormatting sqref="H2816 J2816:K2816 M2816">
    <cfRule type="expression" priority="1687" dxfId="3">
      <formula>$H2816="ETAPA"</formula>
    </cfRule>
    <cfRule type="expression" priority="1686" dxfId="4">
      <formula>$H2816="SUBETAPA"</formula>
    </cfRule>
  </conditionalFormatting>
  <conditionalFormatting sqref="H2817 J2818:K2818">
    <cfRule type="expression" priority="1683" dxfId="3">
      <formula>$H2817="ETAPA"</formula>
    </cfRule>
  </conditionalFormatting>
  <conditionalFormatting sqref="H2817 J2817:L2817">
    <cfRule type="expression" priority="1680" dxfId="5">
      <formula>$H2817="CÉLULA CONSTRUTIVA"</formula>
    </cfRule>
  </conditionalFormatting>
  <conditionalFormatting sqref="G2818:H2818 H2817 J2817:K2818 O2817">
    <cfRule type="expression" priority="1657" dxfId="4">
      <formula>$H2817="SUBETAPA"</formula>
    </cfRule>
  </conditionalFormatting>
  <conditionalFormatting sqref="H2820 J2820:K2820">
    <cfRule type="expression" priority="421" dxfId="5">
      <formula>$H2820="CÉLULA CONSTRUTIVA"</formula>
    </cfRule>
  </conditionalFormatting>
  <conditionalFormatting sqref="H2826 J2826:K2826">
    <cfRule type="expression" priority="443" dxfId="4">
      <formula>$H2826="SUBETAPA"</formula>
    </cfRule>
    <cfRule type="expression" priority="444" dxfId="3">
      <formula>$H2826="ETAPA"</formula>
    </cfRule>
  </conditionalFormatting>
  <conditionalFormatting sqref="H2827 J2827">
    <cfRule type="expression" priority="441" dxfId="4">
      <formula>$H2827="SUBETAPA"</formula>
    </cfRule>
    <cfRule type="expression" priority="442" dxfId="3">
      <formula>$H2827="ETAPA"</formula>
    </cfRule>
  </conditionalFormatting>
  <conditionalFormatting sqref="H2829 J2829:K2829">
    <cfRule type="expression" priority="426" dxfId="5">
      <formula>$H2829="CÉLULA CONSTRUTIVA"</formula>
    </cfRule>
    <cfRule type="expression" priority="427" dxfId="4">
      <formula>$H2829="SUBETAPA"</formula>
    </cfRule>
  </conditionalFormatting>
  <conditionalFormatting sqref="H2829">
    <cfRule type="expression" priority="446" dxfId="3">
      <formula>$H2829="ETAPA"</formula>
    </cfRule>
  </conditionalFormatting>
  <conditionalFormatting sqref="H2831 J2831:K2831">
    <cfRule type="expression" priority="486" dxfId="5">
      <formula>$H2831="CÉLULA CONSTRUTIVA"</formula>
    </cfRule>
  </conditionalFormatting>
  <conditionalFormatting sqref="H2838 J2838:K2838">
    <cfRule type="expression" priority="491" dxfId="5">
      <formula>$H2838="CÉLULA CONSTRUTIVA"</formula>
    </cfRule>
    <cfRule type="expression" priority="492" dxfId="4">
      <formula>$H2838="SUBETAPA"</formula>
    </cfRule>
  </conditionalFormatting>
  <conditionalFormatting sqref="H2838">
    <cfRule type="expression" priority="511" dxfId="3">
      <formula>$H2838="ETAPA"</formula>
    </cfRule>
  </conditionalFormatting>
  <conditionalFormatting sqref="H2840 J2840:K2840">
    <cfRule type="expression" priority="551" dxfId="5">
      <formula>$H2840="CÉLULA CONSTRUTIVA"</formula>
    </cfRule>
  </conditionalFormatting>
  <conditionalFormatting sqref="H2847 J2847:K2847">
    <cfRule type="expression" priority="556" dxfId="5">
      <formula>$H2847="CÉLULA CONSTRUTIVA"</formula>
    </cfRule>
    <cfRule type="expression" priority="557" dxfId="4">
      <formula>$H2847="SUBETAPA"</formula>
    </cfRule>
  </conditionalFormatting>
  <conditionalFormatting sqref="H2847">
    <cfRule type="expression" priority="576" dxfId="3">
      <formula>$H2847="ETAPA"</formula>
    </cfRule>
  </conditionalFormatting>
  <conditionalFormatting sqref="H2849 J2849:K2849">
    <cfRule type="expression" priority="616" dxfId="5">
      <formula>$H2849="CÉLULA CONSTRUTIVA"</formula>
    </cfRule>
  </conditionalFormatting>
  <conditionalFormatting sqref="H2856 J2856:K2856">
    <cfRule type="expression" priority="621" dxfId="5">
      <formula>$H2856="CÉLULA CONSTRUTIVA"</formula>
    </cfRule>
    <cfRule type="expression" priority="622" dxfId="4">
      <formula>$H2856="SUBETAPA"</formula>
    </cfRule>
  </conditionalFormatting>
  <conditionalFormatting sqref="H2856">
    <cfRule type="expression" priority="641" dxfId="3">
      <formula>$H2856="ETAPA"</formula>
    </cfRule>
  </conditionalFormatting>
  <conditionalFormatting sqref="H2858 J2858:K2858">
    <cfRule type="expression" priority="681" dxfId="5">
      <formula>$H2858="CÉLULA CONSTRUTIVA"</formula>
    </cfRule>
  </conditionalFormatting>
  <conditionalFormatting sqref="H2865 J2865:K2865">
    <cfRule type="expression" priority="686" dxfId="5">
      <formula>$H2865="CÉLULA CONSTRUTIVA"</formula>
    </cfRule>
    <cfRule type="expression" priority="687" dxfId="4">
      <formula>$H2865="SUBETAPA"</formula>
    </cfRule>
  </conditionalFormatting>
  <conditionalFormatting sqref="H2865">
    <cfRule type="expression" priority="706" dxfId="3">
      <formula>$H2865="ETAPA"</formula>
    </cfRule>
  </conditionalFormatting>
  <conditionalFormatting sqref="H2867 J2867:K2867">
    <cfRule type="expression" priority="746" dxfId="5">
      <formula>$H2867="CÉLULA CONSTRUTIVA"</formula>
    </cfRule>
  </conditionalFormatting>
  <conditionalFormatting sqref="H2874 J2874:K2874">
    <cfRule type="expression" priority="751" dxfId="5">
      <formula>$H2874="CÉLULA CONSTRUTIVA"</formula>
    </cfRule>
    <cfRule type="expression" priority="752" dxfId="4">
      <formula>$H2874="SUBETAPA"</formula>
    </cfRule>
  </conditionalFormatting>
  <conditionalFormatting sqref="H2874">
    <cfRule type="expression" priority="771" dxfId="3">
      <formula>$H2874="ETAPA"</formula>
    </cfRule>
  </conditionalFormatting>
  <conditionalFormatting sqref="H2876 J2876:K2876">
    <cfRule type="expression" priority="811" dxfId="5">
      <formula>$H2876="CÉLULA CONSTRUTIVA"</formula>
    </cfRule>
  </conditionalFormatting>
  <conditionalFormatting sqref="H2882 J2882:K2882">
    <cfRule type="expression" priority="833" dxfId="4">
      <formula>$H2882="SUBETAPA"</formula>
    </cfRule>
    <cfRule type="expression" priority="834" dxfId="3">
      <formula>$H2882="ETAPA"</formula>
    </cfRule>
  </conditionalFormatting>
  <conditionalFormatting sqref="H2883 J2883">
    <cfRule type="expression" priority="831" dxfId="4">
      <formula>$H2883="SUBETAPA"</formula>
    </cfRule>
    <cfRule type="expression" priority="832" dxfId="3">
      <formula>$H2883="ETAPA"</formula>
    </cfRule>
  </conditionalFormatting>
  <conditionalFormatting sqref="H2885 J2885:K2885">
    <cfRule type="expression" priority="816" dxfId="5">
      <formula>$H2885="CÉLULA CONSTRUTIVA"</formula>
    </cfRule>
    <cfRule type="expression" priority="817" dxfId="4">
      <formula>$H2885="SUBETAPA"</formula>
    </cfRule>
  </conditionalFormatting>
  <conditionalFormatting sqref="H2885">
    <cfRule type="expression" priority="836" dxfId="3">
      <formula>$H2885="ETAPA"</formula>
    </cfRule>
  </conditionalFormatting>
  <conditionalFormatting sqref="H2887 J2887:K2887">
    <cfRule type="expression" priority="876" dxfId="5">
      <formula>$H2887="CÉLULA CONSTRUTIVA"</formula>
    </cfRule>
  </conditionalFormatting>
  <conditionalFormatting sqref="H2893 J2893:K2893">
    <cfRule type="expression" priority="898" dxfId="4">
      <formula>$H2893="SUBETAPA"</formula>
    </cfRule>
    <cfRule type="expression" priority="899" dxfId="3">
      <formula>$H2893="ETAPA"</formula>
    </cfRule>
  </conditionalFormatting>
  <conditionalFormatting sqref="H2894 J2894">
    <cfRule type="expression" priority="896" dxfId="4">
      <formula>$H2894="SUBETAPA"</formula>
    </cfRule>
    <cfRule type="expression" priority="897" dxfId="3">
      <formula>$H2894="ETAPA"</formula>
    </cfRule>
  </conditionalFormatting>
  <conditionalFormatting sqref="H2896 J2896:L2896">
    <cfRule type="expression" priority="881" dxfId="5">
      <formula>$H2896="CÉLULA CONSTRUTIVA"</formula>
    </cfRule>
    <cfRule type="expression" priority="882" dxfId="4">
      <formula>$H2896="SUBETAPA"</formula>
    </cfRule>
  </conditionalFormatting>
  <conditionalFormatting sqref="H2896">
    <cfRule type="expression" priority="901" dxfId="3">
      <formula>$H2896="ETAPA"</formula>
    </cfRule>
  </conditionalFormatting>
  <conditionalFormatting sqref="H2898 J2898:K2898">
    <cfRule type="expression" priority="941" dxfId="5">
      <formula>$H2898="CÉLULA CONSTRUTIVA"</formula>
    </cfRule>
  </conditionalFormatting>
  <conditionalFormatting sqref="H2905 J2905:K2905">
    <cfRule type="expression" priority="946" dxfId="5">
      <formula>$H2905="CÉLULA CONSTRUTIVA"</formula>
    </cfRule>
    <cfRule type="expression" priority="947" dxfId="4">
      <formula>$H2905="SUBETAPA"</formula>
    </cfRule>
  </conditionalFormatting>
  <conditionalFormatting sqref="H2905">
    <cfRule type="expression" priority="966" dxfId="3">
      <formula>$H2905="ETAPA"</formula>
    </cfRule>
  </conditionalFormatting>
  <conditionalFormatting sqref="H2907 J2907:K2907">
    <cfRule type="expression" priority="1006" dxfId="5">
      <formula>$H2907="CÉLULA CONSTRUTIVA"</formula>
    </cfRule>
  </conditionalFormatting>
  <conditionalFormatting sqref="H2914 J2914:K2914">
    <cfRule type="expression" priority="1011" dxfId="5">
      <formula>$H2914="CÉLULA CONSTRUTIVA"</formula>
    </cfRule>
    <cfRule type="expression" priority="1012" dxfId="4">
      <formula>$H2914="SUBETAPA"</formula>
    </cfRule>
  </conditionalFormatting>
  <conditionalFormatting sqref="H2914">
    <cfRule type="expression" priority="1031" dxfId="3">
      <formula>$H2914="ETAPA"</formula>
    </cfRule>
  </conditionalFormatting>
  <conditionalFormatting sqref="H2916 J2916:K2916">
    <cfRule type="expression" priority="1071" dxfId="5">
      <formula>$H2916="CÉLULA CONSTRUTIVA"</formula>
    </cfRule>
  </conditionalFormatting>
  <conditionalFormatting sqref="H2923 J2923:K2923">
    <cfRule type="expression" priority="1076" dxfId="5">
      <formula>$H2923="CÉLULA CONSTRUTIVA"</formula>
    </cfRule>
    <cfRule type="expression" priority="1077" dxfId="4">
      <formula>$H2923="SUBETAPA"</formula>
    </cfRule>
  </conditionalFormatting>
  <conditionalFormatting sqref="H2923">
    <cfRule type="expression" priority="1096" dxfId="3">
      <formula>$H2923="ETAPA"</formula>
    </cfRule>
  </conditionalFormatting>
  <conditionalFormatting sqref="H2925 J2925:K2925">
    <cfRule type="expression" priority="1136" dxfId="5">
      <formula>$H2925="CÉLULA CONSTRUTIVA"</formula>
    </cfRule>
  </conditionalFormatting>
  <conditionalFormatting sqref="H2932 J2932:K2932">
    <cfRule type="expression" priority="1141" dxfId="5">
      <formula>$H2932="CÉLULA CONSTRUTIVA"</formula>
    </cfRule>
    <cfRule type="expression" priority="1142" dxfId="4">
      <formula>$H2932="SUBETAPA"</formula>
    </cfRule>
  </conditionalFormatting>
  <conditionalFormatting sqref="H2932">
    <cfRule type="expression" priority="1161" dxfId="3">
      <formula>$H2932="ETAPA"</formula>
    </cfRule>
  </conditionalFormatting>
  <conditionalFormatting sqref="H2934 J2934:K2934">
    <cfRule type="expression" priority="1201" dxfId="5">
      <formula>$H2934="CÉLULA CONSTRUTIVA"</formula>
    </cfRule>
  </conditionalFormatting>
  <conditionalFormatting sqref="H2940 J2940:K2940">
    <cfRule type="expression" priority="1223" dxfId="4">
      <formula>$H2940="SUBETAPA"</formula>
    </cfRule>
    <cfRule type="expression" priority="1224" dxfId="3">
      <formula>$H2940="ETAPA"</formula>
    </cfRule>
  </conditionalFormatting>
  <conditionalFormatting sqref="H2941 J2941">
    <cfRule type="expression" priority="1221" dxfId="4">
      <formula>$H2941="SUBETAPA"</formula>
    </cfRule>
    <cfRule type="expression" priority="1222" dxfId="3">
      <formula>$H2941="ETAPA"</formula>
    </cfRule>
  </conditionalFormatting>
  <conditionalFormatting sqref="H2943 J2943:L2943">
    <cfRule type="expression" priority="1206" dxfId="5">
      <formula>$H2943="CÉLULA CONSTRUTIVA"</formula>
    </cfRule>
    <cfRule type="expression" priority="1207" dxfId="4">
      <formula>$H2943="SUBETAPA"</formula>
    </cfRule>
  </conditionalFormatting>
  <conditionalFormatting sqref="H2943">
    <cfRule type="expression" priority="1226" dxfId="3">
      <formula>$H2943="ETAPA"</formula>
    </cfRule>
  </conditionalFormatting>
  <conditionalFormatting sqref="H2945 J2945:K2945">
    <cfRule type="expression" priority="1266" dxfId="5">
      <formula>$H2945="CÉLULA CONSTRUTIVA"</formula>
    </cfRule>
  </conditionalFormatting>
  <conditionalFormatting sqref="H2948 J2948:K2948">
    <cfRule type="expression" priority="1288" dxfId="4">
      <formula>$H2948="SUBETAPA"</formula>
    </cfRule>
    <cfRule type="expression" priority="1289" dxfId="3">
      <formula>$H2948="ETAPA"</formula>
    </cfRule>
  </conditionalFormatting>
  <conditionalFormatting sqref="H2949 J2949">
    <cfRule type="expression" priority="1286" dxfId="4">
      <formula>$H2949="SUBETAPA"</formula>
    </cfRule>
    <cfRule type="expression" priority="1287" dxfId="3">
      <formula>$H2949="ETAPA"</formula>
    </cfRule>
  </conditionalFormatting>
  <conditionalFormatting sqref="H2950 J2950:K2950">
    <cfRule type="expression" priority="1284" dxfId="4">
      <formula>$H2950="SUBETAPA"</formula>
    </cfRule>
    <cfRule type="expression" priority="1285" dxfId="3">
      <formula>$H2950="ETAPA"</formula>
    </cfRule>
  </conditionalFormatting>
  <conditionalFormatting sqref="H2951 J2951:K2951">
    <cfRule type="expression" priority="1283" dxfId="3">
      <formula>$H2951="ETAPA"</formula>
    </cfRule>
    <cfRule type="expression" priority="1290" dxfId="4">
      <formula>$H2951="SUBETAPA"</formula>
    </cfRule>
  </conditionalFormatting>
  <conditionalFormatting sqref="H2953 J2953:L2953">
    <cfRule type="expression" priority="1271" dxfId="5">
      <formula>$H2953="CÉLULA CONSTRUTIVA"</formula>
    </cfRule>
    <cfRule type="expression" priority="1272" dxfId="4">
      <formula>$H2953="SUBETAPA"</formula>
    </cfRule>
  </conditionalFormatting>
  <conditionalFormatting sqref="H2953">
    <cfRule type="expression" priority="1291" dxfId="3">
      <formula>$H2953="ETAPA"</formula>
    </cfRule>
  </conditionalFormatting>
  <conditionalFormatting sqref="H2957 J2957:L2957 L2959:L2960">
    <cfRule type="expression" priority="66710" dxfId="4">
      <formula>$H2957="SUBETAPA"</formula>
    </cfRule>
  </conditionalFormatting>
  <conditionalFormatting sqref="H2957 J2957:L2957 L2959:L2960 O2957">
    <cfRule type="expression" priority="66711" dxfId="5">
      <formula>$H2957="CÉLULA CONSTRUTIVA"</formula>
    </cfRule>
  </conditionalFormatting>
  <conditionalFormatting sqref="H2960 J2960">
    <cfRule type="expression" priority="66707" dxfId="4">
      <formula>$H2960="SUBETAPA"</formula>
    </cfRule>
  </conditionalFormatting>
  <conditionalFormatting sqref="H2960 J2960:K2960">
    <cfRule type="expression" priority="66702" dxfId="5">
      <formula>$H2960="CÉLULA CONSTRUTIVA"</formula>
    </cfRule>
    <cfRule type="expression" priority="66703" dxfId="3">
      <formula>$H2960="ETAPA"</formula>
    </cfRule>
  </conditionalFormatting>
  <conditionalFormatting sqref="H2991 J2991:L2991">
    <cfRule type="expression" priority="65682" dxfId="4">
      <formula>$H2991="SUBETAPA"</formula>
    </cfRule>
  </conditionalFormatting>
  <conditionalFormatting sqref="H2991 J2991:L2991 O2991">
    <cfRule type="expression" priority="65683" dxfId="5">
      <formula>$H2991="CÉLULA CONSTRUTIVA"</formula>
    </cfRule>
  </conditionalFormatting>
  <conditionalFormatting sqref="H2998 J2998:L2998 L3000:L3001">
    <cfRule type="expression" priority="66196" dxfId="4">
      <formula>$H2998="SUBETAPA"</formula>
    </cfRule>
  </conditionalFormatting>
  <conditionalFormatting sqref="H2998 J2998:L2998 L3000:L3001 O2998">
    <cfRule type="expression" priority="66197" dxfId="5">
      <formula>$H2998="CÉLULA CONSTRUTIVA"</formula>
    </cfRule>
  </conditionalFormatting>
  <conditionalFormatting sqref="H3001 J3001">
    <cfRule type="expression" priority="66193" dxfId="4">
      <formula>$H3001="SUBETAPA"</formula>
    </cfRule>
  </conditionalFormatting>
  <conditionalFormatting sqref="H3001 J3001:K3001">
    <cfRule type="expression" priority="66188" dxfId="5">
      <formula>$H3001="CÉLULA CONSTRUTIVA"</formula>
    </cfRule>
    <cfRule type="expression" priority="66189" dxfId="3">
      <formula>$H3001="ETAPA"</formula>
    </cfRule>
  </conditionalFormatting>
  <conditionalFormatting sqref="H3007 J3007:L3007">
    <cfRule type="expression" priority="65798" dxfId="4">
      <formula>$H3007="SUBETAPA"</formula>
    </cfRule>
  </conditionalFormatting>
  <conditionalFormatting sqref="H3007 J3007:L3007 O3007">
    <cfRule type="expression" priority="65799" dxfId="5">
      <formula>$H3007="CÉLULA CONSTRUTIVA"</formula>
    </cfRule>
  </conditionalFormatting>
  <conditionalFormatting sqref="H3014 J3014:L3014">
    <cfRule type="expression" priority="65902" dxfId="4">
      <formula>$H3014="SUBETAPA"</formula>
    </cfRule>
  </conditionalFormatting>
  <conditionalFormatting sqref="H3014 J3014:L3014 O3014">
    <cfRule type="expression" priority="65903" dxfId="5">
      <formula>$H3014="CÉLULA CONSTRUTIVA"</formula>
    </cfRule>
  </conditionalFormatting>
  <conditionalFormatting sqref="H3021 J3021:L3021">
    <cfRule type="expression" priority="65997" dxfId="4">
      <formula>$H3021="SUBETAPA"</formula>
    </cfRule>
  </conditionalFormatting>
  <conditionalFormatting sqref="H3021 J3021:L3021 O3021">
    <cfRule type="expression" priority="65998" dxfId="5">
      <formula>$H3021="CÉLULA CONSTRUTIVA"</formula>
    </cfRule>
  </conditionalFormatting>
  <conditionalFormatting sqref="H3028 J3028:L3028">
    <cfRule type="expression" priority="66101" dxfId="4">
      <formula>$H3028="SUBETAPA"</formula>
    </cfRule>
  </conditionalFormatting>
  <conditionalFormatting sqref="H3028 J3028:L3028 O3028">
    <cfRule type="expression" priority="66102" dxfId="5">
      <formula>$H3028="CÉLULA CONSTRUTIVA"</formula>
    </cfRule>
  </conditionalFormatting>
  <conditionalFormatting sqref="H3035 H3045 H3048 H3125 H3135 H3142 H3149 H3155 H3162 H3170 J3035:L3035 J3045:L3045 J3048:L3048 J3125:L3125 J3135:L3135 J3142:L3142 J3149:L3149 J3155:L3155 J3162:L3162 J3170:L3170 L3151:L3154 L3157:L3158 L3164:L3165 L3172">
    <cfRule type="expression" priority="83631" dxfId="4">
      <formula>$H3035="SUBETAPA"</formula>
    </cfRule>
  </conditionalFormatting>
  <conditionalFormatting sqref="H3035 H3045 H3048 H3125 H3135 H3142 H3149 H3155 H3162 H3170 J3035:L3035 J3045:L3045 J3048:L3048 J3125:L3125 J3135:L3135 J3142:L3142 J3149:M3149 J3155:M3155 J3162:M3162 J3170:M3170 L3151:L3154 L3157:L3158 L3164:L3165 L3172 M3150 M3156 M3163 M3171 O3035 O3048 O3125 O3135 O3142 O3149 O3155 O3162 O3170">
    <cfRule type="expression" priority="83632" dxfId="5">
      <formula>$H3035="CÉLULA CONSTRUTIVA"</formula>
    </cfRule>
  </conditionalFormatting>
  <conditionalFormatting sqref="H3052 H3066 H3075 J3052:L3052 J3066:L3066 J3075:L3075">
    <cfRule type="expression" priority="61054" dxfId="4">
      <formula>$H3052="SUBETAPA"</formula>
    </cfRule>
  </conditionalFormatting>
  <conditionalFormatting sqref="H3052 H3066 H3075 J3052:L3052 J3066:L3066 J3075:L3075 O3052 O3066 O3075">
    <cfRule type="expression" priority="61055" dxfId="5">
      <formula>$H3052="CÉLULA CONSTRUTIVA"</formula>
    </cfRule>
  </conditionalFormatting>
  <conditionalFormatting sqref="G3073:H3074 G3095:H3096 G3117:H3118 G3140:H3141 H3054 H3085 H3104 H3127 J3053:K3054 J3073:L3074 J3084:K3085 J3095:L3096 J3103:K3104 J3117:L3118 J3126:K3127 J3140:L3141">
    <cfRule type="expression" priority="67017" dxfId="4">
      <formula>$H3053="SUBETAPA"</formula>
    </cfRule>
    <cfRule type="expression" priority="67018" dxfId="5">
      <formula>$H3053="CÉLULA CONSTRUTIVA"</formula>
    </cfRule>
  </conditionalFormatting>
  <conditionalFormatting sqref="H3055 H3059 H3063 J3055 J3059 O3063">
    <cfRule type="expression" priority="61051" dxfId="4">
      <formula>$H3055="SUBETAPA"</formula>
    </cfRule>
  </conditionalFormatting>
  <conditionalFormatting sqref="H3055 H3059 J3055:K3055 J3059:K3059">
    <cfRule type="expression" priority="61046" dxfId="5">
      <formula>$H3055="CÉLULA CONSTRUTIVA"</formula>
    </cfRule>
  </conditionalFormatting>
  <conditionalFormatting sqref="H3055 H3059 H3063 J3055:K3055 J3059:K3059">
    <cfRule type="expression" priority="61047" dxfId="3">
      <formula>$H3055="ETAPA"</formula>
    </cfRule>
  </conditionalFormatting>
  <conditionalFormatting sqref="H3083 H3097 J3083:L3083 J3097:L3097">
    <cfRule type="expression" priority="61300" dxfId="4">
      <formula>$H3083="SUBETAPA"</formula>
    </cfRule>
  </conditionalFormatting>
  <conditionalFormatting sqref="H3083 H3097 J3083:L3083 J3097:L3097 O3083 O3097">
    <cfRule type="expression" priority="61301" dxfId="5">
      <formula>$H3083="CÉLULA CONSTRUTIVA"</formula>
    </cfRule>
  </conditionalFormatting>
  <conditionalFormatting sqref="H3086 H3089 J3086">
    <cfRule type="expression" priority="61297" dxfId="4">
      <formula>$H3086="SUBETAPA"</formula>
    </cfRule>
  </conditionalFormatting>
  <conditionalFormatting sqref="H3086 H3089 J3086:K3086">
    <cfRule type="expression" priority="61293" dxfId="3">
      <formula>$H3086="ETAPA"</formula>
    </cfRule>
  </conditionalFormatting>
  <conditionalFormatting sqref="H3086 J3086:K3086">
    <cfRule type="expression" priority="61292" dxfId="5">
      <formula>$H3086="CÉLULA CONSTRUTIVA"</formula>
    </cfRule>
  </conditionalFormatting>
  <conditionalFormatting sqref="H3102 H3119 J3102:L3102 J3119:L3119">
    <cfRule type="expression" priority="61546" dxfId="4">
      <formula>$H3102="SUBETAPA"</formula>
    </cfRule>
  </conditionalFormatting>
  <conditionalFormatting sqref="H3102 H3119 J3102:L3102 J3119:L3119 O3102 O3119">
    <cfRule type="expression" priority="61547" dxfId="5">
      <formula>$H3102="CÉLULA CONSTRUTIVA"</formula>
    </cfRule>
  </conditionalFormatting>
  <conditionalFormatting sqref="H3105 H3107 H3110 J3105 J3107">
    <cfRule type="expression" priority="61543" dxfId="4">
      <formula>$H3105="SUBETAPA"</formula>
    </cfRule>
  </conditionalFormatting>
  <conditionalFormatting sqref="H3105 H3107 J3105:K3105 J3107:K3107">
    <cfRule type="expression" priority="61538" dxfId="5">
      <formula>$H3105="CÉLULA CONSTRUTIVA"</formula>
    </cfRule>
  </conditionalFormatting>
  <conditionalFormatting sqref="H3105 H3107 H3110 J3105:K3105 J3107:K3107">
    <cfRule type="expression" priority="61539" dxfId="3">
      <formula>$H3105="ETAPA"</formula>
    </cfRule>
  </conditionalFormatting>
  <conditionalFormatting sqref="H3128 H3130 H3133 H3152 H3154 H3158 H3165 J3128 J3130 J3158 J3165">
    <cfRule type="expression" priority="83618" dxfId="4">
      <formula>$H3128="SUBETAPA"</formula>
    </cfRule>
  </conditionalFormatting>
  <conditionalFormatting sqref="H3128 H3130 H3152 H3154 H3158 H3165 J3128:K3128 J3130:K3130 J3158:K3158 J3165:K3165">
    <cfRule type="expression" priority="83611" dxfId="5">
      <formula>$H3128="CÉLULA CONSTRUTIVA"</formula>
    </cfRule>
  </conditionalFormatting>
  <conditionalFormatting sqref="H3128 H3130 H3133 H3152 H3154 H3158 H3165 J3128:K3128 J3130:K3130 J3158:K3158 J3165:K3165">
    <cfRule type="expression" priority="83614" dxfId="3">
      <formula>$H3128="ETAPA"</formula>
    </cfRule>
  </conditionalFormatting>
  <conditionalFormatting sqref="H20:I20">
    <cfRule type="expression" priority="46627" dxfId="5">
      <formula>$H20="CÉLULA CONSTRUTIVA"</formula>
    </cfRule>
    <cfRule type="expression" priority="46628" dxfId="3">
      <formula>$H20="ETAPA"</formula>
    </cfRule>
    <cfRule type="expression" priority="46629" dxfId="4">
      <formula>$H20="SUBETAPA"</formula>
    </cfRule>
  </conditionalFormatting>
  <conditionalFormatting sqref="H37:I37">
    <cfRule type="expression" priority="46709" dxfId="4">
      <formula>$H37="SUBETAPA"</formula>
    </cfRule>
    <cfRule type="expression" priority="46710" dxfId="3">
      <formula>$H37="ETAPA"</formula>
    </cfRule>
    <cfRule type="expression" priority="46711" dxfId="5">
      <formula>$H37="CÉLULA CONSTRUTIVA"</formula>
    </cfRule>
  </conditionalFormatting>
  <conditionalFormatting sqref="H38:I38 N38:N39">
    <cfRule type="expression" priority="50596" dxfId="3">
      <formula>$H38="ETAPA"</formula>
    </cfRule>
  </conditionalFormatting>
  <conditionalFormatting sqref="H38:I38">
    <cfRule type="expression" priority="50597" dxfId="5">
      <formula>$H38="CÉLULA CONSTRUTIVA"</formula>
    </cfRule>
  </conditionalFormatting>
  <conditionalFormatting sqref="G49:L49 H45:I45 H48:I48 H50:I50 K50:L50 L45">
    <cfRule type="expression" priority="50552" dxfId="4">
      <formula>$H45="SUBETAPA"</formula>
    </cfRule>
  </conditionalFormatting>
  <conditionalFormatting sqref="H45:I48">
    <cfRule type="expression" priority="46745" dxfId="3">
      <formula>$H45="ETAPA"</formula>
    </cfRule>
  </conditionalFormatting>
  <conditionalFormatting sqref="H46:I46">
    <cfRule type="expression" priority="46776" dxfId="5">
      <formula>$H46="CÉLULA CONSTRUTIVA"</formula>
    </cfRule>
  </conditionalFormatting>
  <conditionalFormatting sqref="H47:I47 L47">
    <cfRule type="expression" priority="46747" dxfId="4">
      <formula>$H47="SUBETAPA"</formula>
    </cfRule>
  </conditionalFormatting>
  <conditionalFormatting sqref="H47:I47">
    <cfRule type="expression" priority="46746" dxfId="5">
      <formula>$H47="CÉLULA CONSTRUTIVA"</formula>
    </cfRule>
  </conditionalFormatting>
  <conditionalFormatting sqref="H23:J23">
    <cfRule type="expression" priority="46630" dxfId="5">
      <formula>$H23="CÉLULA CONSTRUTIVA"</formula>
    </cfRule>
    <cfRule type="expression" priority="46631" dxfId="3">
      <formula>$H23="ETAPA"</formula>
    </cfRule>
    <cfRule type="expression" priority="46632" dxfId="4">
      <formula>$H23="SUBETAPA"</formula>
    </cfRule>
  </conditionalFormatting>
  <conditionalFormatting sqref="H624:J624">
    <cfRule type="expression" priority="59076" dxfId="3">
      <formula>$H624="ETAPA"</formula>
    </cfRule>
    <cfRule type="expression" priority="59078" dxfId="4">
      <formula>$H624="SUBETAPA"</formula>
    </cfRule>
  </conditionalFormatting>
  <conditionalFormatting sqref="H626:J626 H628:J628 H629:L629 H630:J630 H631:L631 H632:J632 H637:J637">
    <cfRule type="expression" priority="59112" dxfId="4">
      <formula>$H626="SUBETAPA"</formula>
    </cfRule>
  </conditionalFormatting>
  <conditionalFormatting sqref="H640:K640 H641:J641">
    <cfRule type="expression" priority="58521" dxfId="5">
      <formula>$H640="CÉLULA CONSTRUTIVA"</formula>
    </cfRule>
  </conditionalFormatting>
  <conditionalFormatting sqref="H653:K653 H654:J654">
    <cfRule type="expression" priority="58603" dxfId="5">
      <formula>$H653="CÉLULA CONSTRUTIVA"</formula>
    </cfRule>
  </conditionalFormatting>
  <conditionalFormatting sqref="H666:K666 H667:J667">
    <cfRule type="expression" priority="58685" dxfId="5">
      <formula>$H666="CÉLULA CONSTRUTIVA"</formula>
    </cfRule>
  </conditionalFormatting>
  <conditionalFormatting sqref="H679:K679 H680:J680">
    <cfRule type="expression" priority="58767" dxfId="5">
      <formula>$H679="CÉLULA CONSTRUTIVA"</formula>
    </cfRule>
  </conditionalFormatting>
  <conditionalFormatting sqref="H692:K692 H693:J693">
    <cfRule type="expression" priority="58849" dxfId="5">
      <formula>$H692="CÉLULA CONSTRUTIVA"</formula>
    </cfRule>
  </conditionalFormatting>
  <conditionalFormatting sqref="H705:K705 H706:J706">
    <cfRule type="expression" priority="58931" dxfId="5">
      <formula>$H705="CÉLULA CONSTRUTIVA"</formula>
    </cfRule>
  </conditionalFormatting>
  <conditionalFormatting sqref="H718:K718 H719:J719">
    <cfRule type="expression" priority="59016" dxfId="5">
      <formula>$H718="CÉLULA CONSTRUTIVA"</formula>
    </cfRule>
  </conditionalFormatting>
  <conditionalFormatting sqref="H731:K731 H732:J732">
    <cfRule type="expression" priority="59193" dxfId="5">
      <formula>$H731="CÉLULA CONSTRUTIVA"</formula>
    </cfRule>
  </conditionalFormatting>
  <conditionalFormatting sqref="H744:K744 H745:J745">
    <cfRule type="expression" priority="59275" dxfId="5">
      <formula>$H744="CÉLULA CONSTRUTIVA"</formula>
    </cfRule>
  </conditionalFormatting>
  <conditionalFormatting sqref="H757:K757 H758:J758">
    <cfRule type="expression" priority="59357" dxfId="5">
      <formula>$H757="CÉLULA CONSTRUTIVA"</formula>
    </cfRule>
  </conditionalFormatting>
  <conditionalFormatting sqref="H770:K770 H771:J771">
    <cfRule type="expression" priority="59439" dxfId="5">
      <formula>$H770="CÉLULA CONSTRUTIVA"</formula>
    </cfRule>
  </conditionalFormatting>
  <conditionalFormatting sqref="H783:K783 H784:J784">
    <cfRule type="expression" priority="59521" dxfId="5">
      <formula>$H783="CÉLULA CONSTRUTIVA"</formula>
    </cfRule>
  </conditionalFormatting>
  <conditionalFormatting sqref="H796:K796 H797:J797">
    <cfRule type="expression" priority="59603" dxfId="5">
      <formula>$H796="CÉLULA CONSTRUTIVA"</formula>
    </cfRule>
  </conditionalFormatting>
  <conditionalFormatting sqref="H814:K814 H815:J815">
    <cfRule type="expression" priority="56831" dxfId="3">
      <formula>$H814="ETAPA"</formula>
    </cfRule>
    <cfRule type="expression" priority="56832" dxfId="5">
      <formula>$H814="CÉLULA CONSTRUTIVA"</formula>
    </cfRule>
  </conditionalFormatting>
  <conditionalFormatting sqref="H825:K825 H826:J826">
    <cfRule type="expression" priority="56940" dxfId="3">
      <formula>$H825="ETAPA"</formula>
    </cfRule>
    <cfRule type="expression" priority="56941" dxfId="5">
      <formula>$H825="CÉLULA CONSTRUTIVA"</formula>
    </cfRule>
  </conditionalFormatting>
  <conditionalFormatting sqref="H834:K834 H835:J835">
    <cfRule type="expression" priority="57050" dxfId="5">
      <formula>$H834="CÉLULA CONSTRUTIVA"</formula>
    </cfRule>
  </conditionalFormatting>
  <conditionalFormatting sqref="H835:J835">
    <cfRule type="expression" priority="57049" dxfId="3">
      <formula>$H835="ETAPA"</formula>
    </cfRule>
  </conditionalFormatting>
  <conditionalFormatting sqref="H843:K843 H844:J844">
    <cfRule type="expression" priority="57159" dxfId="5">
      <formula>$H843="CÉLULA CONSTRUTIVA"</formula>
    </cfRule>
  </conditionalFormatting>
  <conditionalFormatting sqref="H844:J844">
    <cfRule type="expression" priority="57158" dxfId="3">
      <formula>$H844="ETAPA"</formula>
    </cfRule>
  </conditionalFormatting>
  <conditionalFormatting sqref="H852:K852 H853:J853">
    <cfRule type="expression" priority="57268" dxfId="5">
      <formula>$H852="CÉLULA CONSTRUTIVA"</formula>
    </cfRule>
  </conditionalFormatting>
  <conditionalFormatting sqref="H853:J853">
    <cfRule type="expression" priority="57267" dxfId="3">
      <formula>$H853="ETAPA"</formula>
    </cfRule>
  </conditionalFormatting>
  <conditionalFormatting sqref="H861:K861 H862:J862">
    <cfRule type="expression" priority="57377" dxfId="5">
      <formula>$H861="CÉLULA CONSTRUTIVA"</formula>
    </cfRule>
  </conditionalFormatting>
  <conditionalFormatting sqref="H862:J862">
    <cfRule type="expression" priority="57376" dxfId="3">
      <formula>$H862="ETAPA"</formula>
    </cfRule>
  </conditionalFormatting>
  <conditionalFormatting sqref="H870:K870 H871:J871">
    <cfRule type="expression" priority="57486" dxfId="5">
      <formula>$H870="CÉLULA CONSTRUTIVA"</formula>
    </cfRule>
  </conditionalFormatting>
  <conditionalFormatting sqref="H871:J871">
    <cfRule type="expression" priority="57485" dxfId="3">
      <formula>$H871="ETAPA"</formula>
    </cfRule>
  </conditionalFormatting>
  <conditionalFormatting sqref="H879:K879 H880:J880">
    <cfRule type="expression" priority="57595" dxfId="5">
      <formula>$H879="CÉLULA CONSTRUTIVA"</formula>
    </cfRule>
  </conditionalFormatting>
  <conditionalFormatting sqref="H880:J880">
    <cfRule type="expression" priority="57594" dxfId="3">
      <formula>$H880="ETAPA"</formula>
    </cfRule>
  </conditionalFormatting>
  <conditionalFormatting sqref="H888:K888 H889:J889">
    <cfRule type="expression" priority="57704" dxfId="5">
      <formula>$H888="CÉLULA CONSTRUTIVA"</formula>
    </cfRule>
  </conditionalFormatting>
  <conditionalFormatting sqref="H889:J889">
    <cfRule type="expression" priority="57703" dxfId="3">
      <formula>$H889="ETAPA"</formula>
    </cfRule>
  </conditionalFormatting>
  <conditionalFormatting sqref="H897:K897 H898:J898">
    <cfRule type="expression" priority="57813" dxfId="5">
      <formula>$H897="CÉLULA CONSTRUTIVA"</formula>
    </cfRule>
  </conditionalFormatting>
  <conditionalFormatting sqref="H898:J898">
    <cfRule type="expression" priority="57812" dxfId="3">
      <formula>$H898="ETAPA"</formula>
    </cfRule>
  </conditionalFormatting>
  <conditionalFormatting sqref="H908:K908 H909:J909">
    <cfRule type="expression" priority="57922" dxfId="5">
      <formula>$H908="CÉLULA CONSTRUTIVA"</formula>
    </cfRule>
  </conditionalFormatting>
  <conditionalFormatting sqref="H909:J909">
    <cfRule type="expression" priority="57921" dxfId="3">
      <formula>$H909="ETAPA"</formula>
    </cfRule>
  </conditionalFormatting>
  <conditionalFormatting sqref="H919:K919 H920:J920">
    <cfRule type="expression" priority="58031" dxfId="5">
      <formula>$H919="CÉLULA CONSTRUTIVA"</formula>
    </cfRule>
  </conditionalFormatting>
  <conditionalFormatting sqref="H920:J920">
    <cfRule type="expression" priority="58030" dxfId="3">
      <formula>$H920="ETAPA"</formula>
    </cfRule>
  </conditionalFormatting>
  <conditionalFormatting sqref="H928:K928 H929:J929">
    <cfRule type="expression" priority="58140" dxfId="5">
      <formula>$H928="CÉLULA CONSTRUTIVA"</formula>
    </cfRule>
  </conditionalFormatting>
  <conditionalFormatting sqref="H929:J929">
    <cfRule type="expression" priority="58139" dxfId="3">
      <formula>$H929="ETAPA"</formula>
    </cfRule>
  </conditionalFormatting>
  <conditionalFormatting sqref="H937:K937 H938:J938">
    <cfRule type="expression" priority="58249" dxfId="5">
      <formula>$H937="CÉLULA CONSTRUTIVA"</formula>
    </cfRule>
  </conditionalFormatting>
  <conditionalFormatting sqref="H938:J938">
    <cfRule type="expression" priority="58248" dxfId="3">
      <formula>$H938="ETAPA"</formula>
    </cfRule>
  </conditionalFormatting>
  <conditionalFormatting sqref="H623:K623 H624:J624">
    <cfRule type="expression" priority="59077" dxfId="5">
      <formula>$H623="CÉLULA CONSTRUTIVA"</formula>
    </cfRule>
  </conditionalFormatting>
  <conditionalFormatting sqref="H625:K625 H626:J626 H627:K627 H628:J628">
    <cfRule type="expression" priority="59111" dxfId="5">
      <formula>$H625="CÉLULA CONSTRUTIVA"</formula>
    </cfRule>
  </conditionalFormatting>
  <conditionalFormatting sqref="H629:K629 H630:J630 H631:K631 H632:J632">
    <cfRule type="expression" priority="59109" dxfId="5">
      <formula>$H629="CÉLULA CONSTRUTIVA"</formula>
    </cfRule>
  </conditionalFormatting>
  <conditionalFormatting sqref="H636:K636 H637:J637 H638:K638">
    <cfRule type="expression" priority="59097" dxfId="5">
      <formula>$H636="CÉLULA CONSTRUTIVA"</formula>
    </cfRule>
  </conditionalFormatting>
  <conditionalFormatting sqref="H642:K642 H643:J643 H644:K644 H645:J645">
    <cfRule type="expression" priority="58519" dxfId="5">
      <formula>$H642="CÉLULA CONSTRUTIVA"</formula>
    </cfRule>
  </conditionalFormatting>
  <conditionalFormatting sqref="H649:K649 H650:J650 H651:K651">
    <cfRule type="expression" priority="58507" dxfId="5">
      <formula>$H649="CÉLULA CONSTRUTIVA"</formula>
    </cfRule>
  </conditionalFormatting>
  <conditionalFormatting sqref="H655:K655 H656:J656 H657:K657 H658:J658">
    <cfRule type="expression" priority="58601" dxfId="5">
      <formula>$H655="CÉLULA CONSTRUTIVA"</formula>
    </cfRule>
  </conditionalFormatting>
  <conditionalFormatting sqref="H662:K662 H663:J663 H664:K664">
    <cfRule type="expression" priority="58589" dxfId="5">
      <formula>$H662="CÉLULA CONSTRUTIVA"</formula>
    </cfRule>
  </conditionalFormatting>
  <conditionalFormatting sqref="H668:K668 H669:J669 H670:K670 H671:J671">
    <cfRule type="expression" priority="58683" dxfId="5">
      <formula>$H668="CÉLULA CONSTRUTIVA"</formula>
    </cfRule>
  </conditionalFormatting>
  <conditionalFormatting sqref="H675:K675 H676:J676 H677:K677">
    <cfRule type="expression" priority="58671" dxfId="5">
      <formula>$H675="CÉLULA CONSTRUTIVA"</formula>
    </cfRule>
  </conditionalFormatting>
  <conditionalFormatting sqref="H681:K681 H682:J682 H683:K683 H684:J684">
    <cfRule type="expression" priority="58765" dxfId="5">
      <formula>$H681="CÉLULA CONSTRUTIVA"</formula>
    </cfRule>
  </conditionalFormatting>
  <conditionalFormatting sqref="H688:K688 H689:J689 H690:K690">
    <cfRule type="expression" priority="58753" dxfId="5">
      <formula>$H688="CÉLULA CONSTRUTIVA"</formula>
    </cfRule>
  </conditionalFormatting>
  <conditionalFormatting sqref="H694:K694 H695:J695 H696:K696 H697:J697">
    <cfRule type="expression" priority="58847" dxfId="5">
      <formula>$H694="CÉLULA CONSTRUTIVA"</formula>
    </cfRule>
  </conditionalFormatting>
  <conditionalFormatting sqref="H701:K701 H702:J702 H703:K703">
    <cfRule type="expression" priority="58835" dxfId="5">
      <formula>$H701="CÉLULA CONSTRUTIVA"</formula>
    </cfRule>
  </conditionalFormatting>
  <conditionalFormatting sqref="H707:K707 H708:J708 H709:K709 H710:J710">
    <cfRule type="expression" priority="58929" dxfId="5">
      <formula>$H707="CÉLULA CONSTRUTIVA"</formula>
    </cfRule>
  </conditionalFormatting>
  <conditionalFormatting sqref="H714:K714 H715:J715 H716:K716">
    <cfRule type="expression" priority="58917" dxfId="5">
      <formula>$H714="CÉLULA CONSTRUTIVA"</formula>
    </cfRule>
  </conditionalFormatting>
  <conditionalFormatting sqref="H720:K720 H721:J721 H722:K722 H723:J723">
    <cfRule type="expression" priority="59014" dxfId="5">
      <formula>$H720="CÉLULA CONSTRUTIVA"</formula>
    </cfRule>
  </conditionalFormatting>
  <conditionalFormatting sqref="H727:K727 H728:J728 H729:K729">
    <cfRule type="expression" priority="58999" dxfId="5">
      <formula>$H727="CÉLULA CONSTRUTIVA"</formula>
    </cfRule>
  </conditionalFormatting>
  <conditionalFormatting sqref="H733:K733 H734:J734 H735:K735 H736:J736">
    <cfRule type="expression" priority="59191" dxfId="5">
      <formula>$H733="CÉLULA CONSTRUTIVA"</formula>
    </cfRule>
  </conditionalFormatting>
  <conditionalFormatting sqref="H740:K740 H741:J741 H742:K742">
    <cfRule type="expression" priority="59179" dxfId="5">
      <formula>$H740="CÉLULA CONSTRUTIVA"</formula>
    </cfRule>
  </conditionalFormatting>
  <conditionalFormatting sqref="H746:K746 H747:J747 H748:K748 H749:J749">
    <cfRule type="expression" priority="59273" dxfId="5">
      <formula>$H746="CÉLULA CONSTRUTIVA"</formula>
    </cfRule>
  </conditionalFormatting>
  <conditionalFormatting sqref="H753:K753 H754:J754 H755:K755">
    <cfRule type="expression" priority="59261" dxfId="5">
      <formula>$H753="CÉLULA CONSTRUTIVA"</formula>
    </cfRule>
  </conditionalFormatting>
  <conditionalFormatting sqref="H759:K759 H760:J760 H761:K761 H762:J762">
    <cfRule type="expression" priority="59355" dxfId="5">
      <formula>$H759="CÉLULA CONSTRUTIVA"</formula>
    </cfRule>
  </conditionalFormatting>
  <conditionalFormatting sqref="H766:K766 H767:J767 H768:K768">
    <cfRule type="expression" priority="59343" dxfId="5">
      <formula>$H766="CÉLULA CONSTRUTIVA"</formula>
    </cfRule>
  </conditionalFormatting>
  <conditionalFormatting sqref="H772:K772 H773:J773 H774:K774 H775:J775">
    <cfRule type="expression" priority="59437" dxfId="5">
      <formula>$H772="CÉLULA CONSTRUTIVA"</formula>
    </cfRule>
  </conditionalFormatting>
  <conditionalFormatting sqref="H779:K779 H780:J780 H781:K781">
    <cfRule type="expression" priority="59425" dxfId="5">
      <formula>$H779="CÉLULA CONSTRUTIVA"</formula>
    </cfRule>
  </conditionalFormatting>
  <conditionalFormatting sqref="H785:K785 H786:J786 H787:K787 H788:J788">
    <cfRule type="expression" priority="59519" dxfId="5">
      <formula>$H785="CÉLULA CONSTRUTIVA"</formula>
    </cfRule>
  </conditionalFormatting>
  <conditionalFormatting sqref="H792:K792 H793:J793 H794:K794">
    <cfRule type="expression" priority="59507" dxfId="5">
      <formula>$H792="CÉLULA CONSTRUTIVA"</formula>
    </cfRule>
  </conditionalFormatting>
  <conditionalFormatting sqref="H798:K798 H799:J799 H800:K800 H801:J801">
    <cfRule type="expression" priority="59601" dxfId="5">
      <formula>$H798="CÉLULA CONSTRUTIVA"</formula>
    </cfRule>
  </conditionalFormatting>
  <conditionalFormatting sqref="H805:K805 H806:J806 H807:K807">
    <cfRule type="expression" priority="59589" dxfId="5">
      <formula>$H805="CÉLULA CONSTRUTIVA"</formula>
    </cfRule>
  </conditionalFormatting>
  <conditionalFormatting sqref="H953:K953 M948 M950:M951">
    <cfRule type="expression" priority="51564" dxfId="3">
      <formula>$H948="ETAPA"</formula>
    </cfRule>
  </conditionalFormatting>
  <conditionalFormatting sqref="H953:K953">
    <cfRule type="expression" priority="51565" dxfId="5">
      <formula>$H953="CÉLULA CONSTRUTIVA"</formula>
    </cfRule>
  </conditionalFormatting>
  <conditionalFormatting sqref="H955:K955 H956:J956 H957:K957 H958:J958">
    <cfRule type="expression" priority="51567" dxfId="3">
      <formula>$H955="ETAPA"</formula>
    </cfRule>
    <cfRule type="expression" priority="51568" dxfId="5">
      <formula>$H955="CÉLULA CONSTRUTIVA"</formula>
    </cfRule>
  </conditionalFormatting>
  <conditionalFormatting sqref="H968:K968 M963 M966">
    <cfRule type="expression" priority="51719" dxfId="3">
      <formula>$H963="ETAPA"</formula>
    </cfRule>
  </conditionalFormatting>
  <conditionalFormatting sqref="H968:K968">
    <cfRule type="expression" priority="51720" dxfId="5">
      <formula>$H968="CÉLULA CONSTRUTIVA"</formula>
    </cfRule>
  </conditionalFormatting>
  <conditionalFormatting sqref="H970:K970 H971:J971 H972:K972 H973:J973">
    <cfRule type="expression" priority="51722" dxfId="3">
      <formula>$H970="ETAPA"</formula>
    </cfRule>
    <cfRule type="expression" priority="51723" dxfId="5">
      <formula>$H970="CÉLULA CONSTRUTIVA"</formula>
    </cfRule>
  </conditionalFormatting>
  <conditionalFormatting sqref="H983:K983 M978 M981">
    <cfRule type="expression" priority="51877" dxfId="3">
      <formula>$H978="ETAPA"</formula>
    </cfRule>
  </conditionalFormatting>
  <conditionalFormatting sqref="H983:K983">
    <cfRule type="expression" priority="51878" dxfId="5">
      <formula>$H983="CÉLULA CONSTRUTIVA"</formula>
    </cfRule>
  </conditionalFormatting>
  <conditionalFormatting sqref="H985:K985 H986:J986 H987:K987 H988:J988">
    <cfRule type="expression" priority="51880" dxfId="3">
      <formula>$H985="ETAPA"</formula>
    </cfRule>
    <cfRule type="expression" priority="51881" dxfId="5">
      <formula>$H985="CÉLULA CONSTRUTIVA"</formula>
    </cfRule>
  </conditionalFormatting>
  <conditionalFormatting sqref="H998:K998 M993 M996">
    <cfRule type="expression" priority="52032" dxfId="3">
      <formula>$H993="ETAPA"</formula>
    </cfRule>
  </conditionalFormatting>
  <conditionalFormatting sqref="H998:K998">
    <cfRule type="expression" priority="52033" dxfId="5">
      <formula>$H998="CÉLULA CONSTRUTIVA"</formula>
    </cfRule>
  </conditionalFormatting>
  <conditionalFormatting sqref="H1000:K1000 H1001:J1001 H1002:K1002 H1003:J1003">
    <cfRule type="expression" priority="52035" dxfId="3">
      <formula>$H1000="ETAPA"</formula>
    </cfRule>
    <cfRule type="expression" priority="52036" dxfId="5">
      <formula>$H1000="CÉLULA CONSTRUTIVA"</formula>
    </cfRule>
  </conditionalFormatting>
  <conditionalFormatting sqref="H1013:K1013 M1008 M1011">
    <cfRule type="expression" priority="52190" dxfId="3">
      <formula>$H1008="ETAPA"</formula>
    </cfRule>
  </conditionalFormatting>
  <conditionalFormatting sqref="H1013:K1013">
    <cfRule type="expression" priority="52191" dxfId="5">
      <formula>$H1013="CÉLULA CONSTRUTIVA"</formula>
    </cfRule>
  </conditionalFormatting>
  <conditionalFormatting sqref="H1015:K1015 H1016:J1016 H1017:K1017 H1018:J1018">
    <cfRule type="expression" priority="52193" dxfId="3">
      <formula>$H1015="ETAPA"</formula>
    </cfRule>
    <cfRule type="expression" priority="52194" dxfId="5">
      <formula>$H1015="CÉLULA CONSTRUTIVA"</formula>
    </cfRule>
  </conditionalFormatting>
  <conditionalFormatting sqref="H1028:K1028 M1023 M1026">
    <cfRule type="expression" priority="52345" dxfId="3">
      <formula>$H1023="ETAPA"</formula>
    </cfRule>
  </conditionalFormatting>
  <conditionalFormatting sqref="H1028:K1028">
    <cfRule type="expression" priority="52346" dxfId="5">
      <formula>$H1028="CÉLULA CONSTRUTIVA"</formula>
    </cfRule>
  </conditionalFormatting>
  <conditionalFormatting sqref="H1030:K1030 H1031:J1031 H1032:K1032 H1033:J1033">
    <cfRule type="expression" priority="52348" dxfId="3">
      <formula>$H1030="ETAPA"</formula>
    </cfRule>
    <cfRule type="expression" priority="52349" dxfId="5">
      <formula>$H1030="CÉLULA CONSTRUTIVA"</formula>
    </cfRule>
  </conditionalFormatting>
  <conditionalFormatting sqref="H1043:K1043 M1038 M1041">
    <cfRule type="expression" priority="52500" dxfId="3">
      <formula>$H1038="ETAPA"</formula>
    </cfRule>
  </conditionalFormatting>
  <conditionalFormatting sqref="H1043:K1043">
    <cfRule type="expression" priority="52501" dxfId="5">
      <formula>$H1043="CÉLULA CONSTRUTIVA"</formula>
    </cfRule>
  </conditionalFormatting>
  <conditionalFormatting sqref="H1045:K1045 H1046:J1046 H1047:K1047 H1048:J1048">
    <cfRule type="expression" priority="52503" dxfId="3">
      <formula>$H1045="ETAPA"</formula>
    </cfRule>
    <cfRule type="expression" priority="52504" dxfId="5">
      <formula>$H1045="CÉLULA CONSTRUTIVA"</formula>
    </cfRule>
  </conditionalFormatting>
  <conditionalFormatting sqref="H1058:K1058 M1053 M1056">
    <cfRule type="expression" priority="52658" dxfId="3">
      <formula>$H1053="ETAPA"</formula>
    </cfRule>
  </conditionalFormatting>
  <conditionalFormatting sqref="H1058:K1058">
    <cfRule type="expression" priority="52659" dxfId="5">
      <formula>$H1058="CÉLULA CONSTRUTIVA"</formula>
    </cfRule>
  </conditionalFormatting>
  <conditionalFormatting sqref="H1060:K1060 H1061:J1061 H1062:K1062 H1063:J1063">
    <cfRule type="expression" priority="52661" dxfId="3">
      <formula>$H1060="ETAPA"</formula>
    </cfRule>
    <cfRule type="expression" priority="52662" dxfId="5">
      <formula>$H1060="CÉLULA CONSTRUTIVA"</formula>
    </cfRule>
  </conditionalFormatting>
  <conditionalFormatting sqref="H1073:K1073 M1068 M1071">
    <cfRule type="expression" priority="52813" dxfId="3">
      <formula>$H1068="ETAPA"</formula>
    </cfRule>
  </conditionalFormatting>
  <conditionalFormatting sqref="H1073:K1073">
    <cfRule type="expression" priority="52814" dxfId="5">
      <formula>$H1073="CÉLULA CONSTRUTIVA"</formula>
    </cfRule>
  </conditionalFormatting>
  <conditionalFormatting sqref="H1075:K1075 H1076:J1076 H1077:K1077 H1078:J1078">
    <cfRule type="expression" priority="52816" dxfId="3">
      <formula>$H1075="ETAPA"</formula>
    </cfRule>
    <cfRule type="expression" priority="52817" dxfId="5">
      <formula>$H1075="CÉLULA CONSTRUTIVA"</formula>
    </cfRule>
  </conditionalFormatting>
  <conditionalFormatting sqref="H1088:K1088 M1083 M1086">
    <cfRule type="expression" priority="52971" dxfId="3">
      <formula>$H1083="ETAPA"</formula>
    </cfRule>
  </conditionalFormatting>
  <conditionalFormatting sqref="H1088:K1088">
    <cfRule type="expression" priority="52972" dxfId="5">
      <formula>$H1088="CÉLULA CONSTRUTIVA"</formula>
    </cfRule>
  </conditionalFormatting>
  <conditionalFormatting sqref="H1090:K1090 H1091:J1091 H1092:K1092 H1093:J1093">
    <cfRule type="expression" priority="52974" dxfId="3">
      <formula>$H1090="ETAPA"</formula>
    </cfRule>
    <cfRule type="expression" priority="52975" dxfId="5">
      <formula>$H1090="CÉLULA CONSTRUTIVA"</formula>
    </cfRule>
  </conditionalFormatting>
  <conditionalFormatting sqref="H1103:K1103 M1098 M1101">
    <cfRule type="expression" priority="53126" dxfId="3">
      <formula>$H1098="ETAPA"</formula>
    </cfRule>
  </conditionalFormatting>
  <conditionalFormatting sqref="H1103:K1103">
    <cfRule type="expression" priority="53127" dxfId="5">
      <formula>$H1103="CÉLULA CONSTRUTIVA"</formula>
    </cfRule>
  </conditionalFormatting>
  <conditionalFormatting sqref="H1105:K1105 H1106:J1106 H1107:K1107 H1108:J1108">
    <cfRule type="expression" priority="53129" dxfId="3">
      <formula>$H1105="ETAPA"</formula>
    </cfRule>
    <cfRule type="expression" priority="53130" dxfId="5">
      <formula>$H1105="CÉLULA CONSTRUTIVA"</formula>
    </cfRule>
  </conditionalFormatting>
  <conditionalFormatting sqref="H1118:K1118 M1113 M1116">
    <cfRule type="expression" priority="53284" dxfId="3">
      <formula>$H1113="ETAPA"</formula>
    </cfRule>
  </conditionalFormatting>
  <conditionalFormatting sqref="H1118:K1118">
    <cfRule type="expression" priority="53285" dxfId="5">
      <formula>$H1118="CÉLULA CONSTRUTIVA"</formula>
    </cfRule>
  </conditionalFormatting>
  <conditionalFormatting sqref="H1120:K1120 H1121:J1121 H1122:K1122 H1123:J1123">
    <cfRule type="expression" priority="53287" dxfId="3">
      <formula>$H1120="ETAPA"</formula>
    </cfRule>
    <cfRule type="expression" priority="53288" dxfId="5">
      <formula>$H1120="CÉLULA CONSTRUTIVA"</formula>
    </cfRule>
  </conditionalFormatting>
  <conditionalFormatting sqref="H1133:K1133 M1128 M1131">
    <cfRule type="expression" priority="53439" dxfId="3">
      <formula>$H1128="ETAPA"</formula>
    </cfRule>
  </conditionalFormatting>
  <conditionalFormatting sqref="H1133:K1133">
    <cfRule type="expression" priority="53440" dxfId="5">
      <formula>$H1133="CÉLULA CONSTRUTIVA"</formula>
    </cfRule>
  </conditionalFormatting>
  <conditionalFormatting sqref="H1135:K1135 H1136:J1136 H1137:K1137 H1138:J1138">
    <cfRule type="expression" priority="53442" dxfId="3">
      <formula>$H1135="ETAPA"</formula>
    </cfRule>
    <cfRule type="expression" priority="53443" dxfId="5">
      <formula>$H1135="CÉLULA CONSTRUTIVA"</formula>
    </cfRule>
  </conditionalFormatting>
  <conditionalFormatting sqref="H1148:K1148 M1143 M1146">
    <cfRule type="expression" priority="53597" dxfId="3">
      <formula>$H1143="ETAPA"</formula>
    </cfRule>
  </conditionalFormatting>
  <conditionalFormatting sqref="H1148:K1148">
    <cfRule type="expression" priority="53598" dxfId="5">
      <formula>$H1148="CÉLULA CONSTRUTIVA"</formula>
    </cfRule>
  </conditionalFormatting>
  <conditionalFormatting sqref="H1150:K1150 H1151:J1151 H1152:K1152 H1153:J1153">
    <cfRule type="expression" priority="53600" dxfId="3">
      <formula>$H1150="ETAPA"</formula>
    </cfRule>
    <cfRule type="expression" priority="53601" dxfId="5">
      <formula>$H1150="CÉLULA CONSTRUTIVA"</formula>
    </cfRule>
  </conditionalFormatting>
  <conditionalFormatting sqref="H1158:K1158">
    <cfRule type="expression" priority="55495" dxfId="3">
      <formula>$H1158="ETAPA"</formula>
    </cfRule>
  </conditionalFormatting>
  <conditionalFormatting sqref="G1253:G1364 G1388:G1392 G1395:G1399 H812:M812 H823:M823 H832:M832 H841:M841 H850:M850 H859:M859 H868:M868 H877:M877 H886:M886 H895:M895 H906:M906 H917:M917 H926:M926 H935:M935 H1160:K1161 H1165:K1166 H1170:K1171 H1175:K1176 H1180:K1181 H1185:K1186 H1192:K1193 H1199:K1200 H1206:K1207 H1213:K1214 H1220:K1221 H1225:K1226 H1232:K1233 H1237:K1238">
    <cfRule type="expression" priority="102901" dxfId="3">
      <formula>$H812="ETAPA"</formula>
    </cfRule>
  </conditionalFormatting>
  <conditionalFormatting sqref="H1163:K1163">
    <cfRule type="expression" priority="55589" dxfId="3">
      <formula>$H1163="ETAPA"</formula>
    </cfRule>
  </conditionalFormatting>
  <conditionalFormatting sqref="H1168:K1168">
    <cfRule type="expression" priority="55683" dxfId="3">
      <formula>$H1168="ETAPA"</formula>
    </cfRule>
  </conditionalFormatting>
  <conditionalFormatting sqref="H1173:K1173">
    <cfRule type="expression" priority="55777" dxfId="3">
      <formula>$H1173="ETAPA"</formula>
    </cfRule>
  </conditionalFormatting>
  <conditionalFormatting sqref="H1178:K1178">
    <cfRule type="expression" priority="55871" dxfId="3">
      <formula>$H1178="ETAPA"</formula>
    </cfRule>
  </conditionalFormatting>
  <conditionalFormatting sqref="H1183:K1183">
    <cfRule type="expression" priority="55965" dxfId="3">
      <formula>$H1183="ETAPA"</formula>
    </cfRule>
  </conditionalFormatting>
  <conditionalFormatting sqref="H1190:K1190">
    <cfRule type="expression" priority="56059" dxfId="3">
      <formula>$H1190="ETAPA"</formula>
    </cfRule>
  </conditionalFormatting>
  <conditionalFormatting sqref="H1197:K1197">
    <cfRule type="expression" priority="56153" dxfId="3">
      <formula>$H1197="ETAPA"</formula>
    </cfRule>
  </conditionalFormatting>
  <conditionalFormatting sqref="H1204:K1204">
    <cfRule type="expression" priority="56247" dxfId="3">
      <formula>$H1204="ETAPA"</formula>
    </cfRule>
  </conditionalFormatting>
  <conditionalFormatting sqref="H1211:K1211">
    <cfRule type="expression" priority="56341" dxfId="3">
      <formula>$H1211="ETAPA"</formula>
    </cfRule>
  </conditionalFormatting>
  <conditionalFormatting sqref="H1218:K1218">
    <cfRule type="expression" priority="56435" dxfId="3">
      <formula>$H1218="ETAPA"</formula>
    </cfRule>
  </conditionalFormatting>
  <conditionalFormatting sqref="H1223:K1223">
    <cfRule type="expression" priority="56529" dxfId="3">
      <formula>$H1223="ETAPA"</formula>
    </cfRule>
  </conditionalFormatting>
  <conditionalFormatting sqref="H1230:K1230">
    <cfRule type="expression" priority="56623" dxfId="3">
      <formula>$H1230="ETAPA"</formula>
    </cfRule>
  </conditionalFormatting>
  <conditionalFormatting sqref="H1235:K1235">
    <cfRule type="expression" priority="56717" dxfId="3">
      <formula>$H1235="ETAPA"</formula>
    </cfRule>
  </conditionalFormatting>
  <conditionalFormatting sqref="H1257:K1257 H1262:K1266">
    <cfRule type="expression" priority="2723" dxfId="3">
      <formula>$H1257="ETAPA"</formula>
    </cfRule>
  </conditionalFormatting>
  <conditionalFormatting sqref="H1259:K1259">
    <cfRule type="expression" priority="2722" dxfId="3">
      <formula>$H1259="ETAPA"</formula>
    </cfRule>
  </conditionalFormatting>
  <conditionalFormatting sqref="H1271:K1271 H1276:K1280">
    <cfRule type="expression" priority="2792" dxfId="3">
      <formula>$H1271="ETAPA"</formula>
    </cfRule>
  </conditionalFormatting>
  <conditionalFormatting sqref="H1273:K1273">
    <cfRule type="expression" priority="2791" dxfId="3">
      <formula>$H1273="ETAPA"</formula>
    </cfRule>
  </conditionalFormatting>
  <conditionalFormatting sqref="H1285:K1285 H1290:K1294">
    <cfRule type="expression" priority="2861" dxfId="3">
      <formula>$H1285="ETAPA"</formula>
    </cfRule>
  </conditionalFormatting>
  <conditionalFormatting sqref="H1287:K1287">
    <cfRule type="expression" priority="2860" dxfId="3">
      <formula>$H1287="ETAPA"</formula>
    </cfRule>
  </conditionalFormatting>
  <conditionalFormatting sqref="H1299:K1299 H1304:K1308">
    <cfRule type="expression" priority="2930" dxfId="3">
      <formula>$H1299="ETAPA"</formula>
    </cfRule>
  </conditionalFormatting>
  <conditionalFormatting sqref="H1301:K1301">
    <cfRule type="expression" priority="2929" dxfId="3">
      <formula>$H1301="ETAPA"</formula>
    </cfRule>
  </conditionalFormatting>
  <conditionalFormatting sqref="H1313:K1313 H1318:K1322">
    <cfRule type="expression" priority="2999" dxfId="3">
      <formula>$H1313="ETAPA"</formula>
    </cfRule>
  </conditionalFormatting>
  <conditionalFormatting sqref="H1315:K1315">
    <cfRule type="expression" priority="2998" dxfId="3">
      <formula>$H1315="ETAPA"</formula>
    </cfRule>
  </conditionalFormatting>
  <conditionalFormatting sqref="H1327:K1327 H1332:K1336">
    <cfRule type="expression" priority="3068" dxfId="3">
      <formula>$H1327="ETAPA"</formula>
    </cfRule>
  </conditionalFormatting>
  <conditionalFormatting sqref="H1329:K1329">
    <cfRule type="expression" priority="3067" dxfId="3">
      <formula>$H1329="ETAPA"</formula>
    </cfRule>
  </conditionalFormatting>
  <conditionalFormatting sqref="H1341:K1341 H1346:K1350">
    <cfRule type="expression" priority="3137" dxfId="3">
      <formula>$H1341="ETAPA"</formula>
    </cfRule>
  </conditionalFormatting>
  <conditionalFormatting sqref="H1343:K1343">
    <cfRule type="expression" priority="3136" dxfId="3">
      <formula>$H1343="ETAPA"</formula>
    </cfRule>
  </conditionalFormatting>
  <conditionalFormatting sqref="G1365:K1365 G1366:H1367 G1386:H1387 G1393:H1394 G1400:H1401 G1405:H1406 G1410:H1411 G1415:H1416 H1355:K1355 H1360:K1364 H1368 H1388 H1395 H1402 H1407 H1412 H1417 J1366:K1368 J1386:K1388 J1393:K1395 J1400:K1402 J1405:K1407 J1410:K1412 J1415:K1417">
    <cfRule type="expression" priority="86726" dxfId="3">
      <formula>$H1355="ETAPA"</formula>
    </cfRule>
  </conditionalFormatting>
  <conditionalFormatting sqref="H1357:K1357">
    <cfRule type="expression" priority="59902" dxfId="3">
      <formula>$H1357="ETAPA"</formula>
    </cfRule>
  </conditionalFormatting>
  <conditionalFormatting sqref="H53:L53">
    <cfRule type="expression" priority="46416" dxfId="3">
      <formula>$H53="ETAPA"</formula>
    </cfRule>
  </conditionalFormatting>
  <conditionalFormatting sqref="H623:L623">
    <cfRule type="expression" priority="59073" dxfId="3">
      <formula>$H623="ETAPA"</formula>
    </cfRule>
  </conditionalFormatting>
  <conditionalFormatting sqref="H625:L625 H627:L627">
    <cfRule type="expression" priority="59103" dxfId="3">
      <formula>$H625="ETAPA"</formula>
    </cfRule>
  </conditionalFormatting>
  <conditionalFormatting sqref="H636:L636 H638:L638">
    <cfRule type="expression" priority="59093" dxfId="3">
      <formula>$H636="ETAPA"</formula>
    </cfRule>
  </conditionalFormatting>
  <conditionalFormatting sqref="H640:L640">
    <cfRule type="expression" priority="58513" dxfId="3">
      <formula>$H640="ETAPA"</formula>
    </cfRule>
  </conditionalFormatting>
  <conditionalFormatting sqref="H641:J641 H642:L642 H643:J643 H644:L644 H645:J645 H650:J650">
    <cfRule type="expression" priority="58522" dxfId="4">
      <formula>$H641="SUBETAPA"</formula>
    </cfRule>
  </conditionalFormatting>
  <conditionalFormatting sqref="H651:L651">
    <cfRule type="expression" priority="58503" dxfId="3">
      <formula>$H651="ETAPA"</formula>
    </cfRule>
  </conditionalFormatting>
  <conditionalFormatting sqref="H653:L653">
    <cfRule type="expression" priority="58595" dxfId="3">
      <formula>$H653="ETAPA"</formula>
    </cfRule>
  </conditionalFormatting>
  <conditionalFormatting sqref="H654:J654 H655:L655 H656:J656 H657:L657 H658:J658 H663:J663">
    <cfRule type="expression" priority="58604" dxfId="4">
      <formula>$H654="SUBETAPA"</formula>
    </cfRule>
  </conditionalFormatting>
  <conditionalFormatting sqref="H664:L664">
    <cfRule type="expression" priority="58585" dxfId="3">
      <formula>$H664="ETAPA"</formula>
    </cfRule>
  </conditionalFormatting>
  <conditionalFormatting sqref="H666:L666">
    <cfRule type="expression" priority="58677" dxfId="3">
      <formula>$H666="ETAPA"</formula>
    </cfRule>
  </conditionalFormatting>
  <conditionalFormatting sqref="H667:J667 H668:L668 H669:J669 H670:L670 H671:J671 H676:J676">
    <cfRule type="expression" priority="58686" dxfId="4">
      <formula>$H667="SUBETAPA"</formula>
    </cfRule>
  </conditionalFormatting>
  <conditionalFormatting sqref="H677:L677">
    <cfRule type="expression" priority="58667" dxfId="3">
      <formula>$H677="ETAPA"</formula>
    </cfRule>
  </conditionalFormatting>
  <conditionalFormatting sqref="H679:L679">
    <cfRule type="expression" priority="58759" dxfId="3">
      <formula>$H679="ETAPA"</formula>
    </cfRule>
  </conditionalFormatting>
  <conditionalFormatting sqref="H680:J680 H681:L681 H682:J682 H683:L683 H684:J684 H689:J689">
    <cfRule type="expression" priority="58768" dxfId="4">
      <formula>$H680="SUBETAPA"</formula>
    </cfRule>
  </conditionalFormatting>
  <conditionalFormatting sqref="H690:L690">
    <cfRule type="expression" priority="58749" dxfId="3">
      <formula>$H690="ETAPA"</formula>
    </cfRule>
  </conditionalFormatting>
  <conditionalFormatting sqref="H692:L692">
    <cfRule type="expression" priority="58841" dxfId="3">
      <formula>$H692="ETAPA"</formula>
    </cfRule>
  </conditionalFormatting>
  <conditionalFormatting sqref="H693:J693 H694:L694 H695:J695 H696:L696 H697:J697 H702:J702">
    <cfRule type="expression" priority="58850" dxfId="4">
      <formula>$H693="SUBETAPA"</formula>
    </cfRule>
  </conditionalFormatting>
  <conditionalFormatting sqref="H703:L703">
    <cfRule type="expression" priority="58831" dxfId="3">
      <formula>$H703="ETAPA"</formula>
    </cfRule>
  </conditionalFormatting>
  <conditionalFormatting sqref="H705:L705">
    <cfRule type="expression" priority="58923" dxfId="3">
      <formula>$H705="ETAPA"</formula>
    </cfRule>
  </conditionalFormatting>
  <conditionalFormatting sqref="H706:J706 H707:L707 H708:J708 H709:L709 H710:J710 H715:J715">
    <cfRule type="expression" priority="58932" dxfId="4">
      <formula>$H706="SUBETAPA"</formula>
    </cfRule>
  </conditionalFormatting>
  <conditionalFormatting sqref="H716:L716">
    <cfRule type="expression" priority="58913" dxfId="3">
      <formula>$H716="ETAPA"</formula>
    </cfRule>
  </conditionalFormatting>
  <conditionalFormatting sqref="H718:L718">
    <cfRule type="expression" priority="59008" dxfId="3">
      <formula>$H718="ETAPA"</formula>
    </cfRule>
  </conditionalFormatting>
  <conditionalFormatting sqref="H719:J719 H720:L720 H721:J721 H722:L722 H723:J723 H728:J728">
    <cfRule type="expression" priority="59017" dxfId="4">
      <formula>$H719="SUBETAPA"</formula>
    </cfRule>
  </conditionalFormatting>
  <conditionalFormatting sqref="H729:L729">
    <cfRule type="expression" priority="58995" dxfId="3">
      <formula>$H729="ETAPA"</formula>
    </cfRule>
  </conditionalFormatting>
  <conditionalFormatting sqref="H731:L731">
    <cfRule type="expression" priority="59185" dxfId="3">
      <formula>$H731="ETAPA"</formula>
    </cfRule>
  </conditionalFormatting>
  <conditionalFormatting sqref="H732:J732 H733:L733 H734:J734 H735:L735 H736:J736 H741:J741">
    <cfRule type="expression" priority="59194" dxfId="4">
      <formula>$H732="SUBETAPA"</formula>
    </cfRule>
  </conditionalFormatting>
  <conditionalFormatting sqref="H742:L742">
    <cfRule type="expression" priority="59175" dxfId="3">
      <formula>$H742="ETAPA"</formula>
    </cfRule>
  </conditionalFormatting>
  <conditionalFormatting sqref="H744:L744">
    <cfRule type="expression" priority="59267" dxfId="3">
      <formula>$H744="ETAPA"</formula>
    </cfRule>
  </conditionalFormatting>
  <conditionalFormatting sqref="H745:J745 H746:L746 H747:J747 H748:L748 H749:J749 H754:J754">
    <cfRule type="expression" priority="59276" dxfId="4">
      <formula>$H745="SUBETAPA"</formula>
    </cfRule>
  </conditionalFormatting>
  <conditionalFormatting sqref="H755:L755">
    <cfRule type="expression" priority="59257" dxfId="3">
      <formula>$H755="ETAPA"</formula>
    </cfRule>
  </conditionalFormatting>
  <conditionalFormatting sqref="H757:L757">
    <cfRule type="expression" priority="59349" dxfId="3">
      <formula>$H757="ETAPA"</formula>
    </cfRule>
  </conditionalFormatting>
  <conditionalFormatting sqref="H758:J758 H759:L759 H760:J760 H761:L761 H762:J762 H767:J767">
    <cfRule type="expression" priority="59358" dxfId="4">
      <formula>$H758="SUBETAPA"</formula>
    </cfRule>
  </conditionalFormatting>
  <conditionalFormatting sqref="H768:L768">
    <cfRule type="expression" priority="59339" dxfId="3">
      <formula>$H768="ETAPA"</formula>
    </cfRule>
  </conditionalFormatting>
  <conditionalFormatting sqref="H770:L770">
    <cfRule type="expression" priority="59431" dxfId="3">
      <formula>$H770="ETAPA"</formula>
    </cfRule>
  </conditionalFormatting>
  <conditionalFormatting sqref="H771:J771 H772:L772 H773:J773 H774:L774 H775:J775 H780:J780">
    <cfRule type="expression" priority="59440" dxfId="4">
      <formula>$H771="SUBETAPA"</formula>
    </cfRule>
  </conditionalFormatting>
  <conditionalFormatting sqref="H781:L781">
    <cfRule type="expression" priority="59421" dxfId="3">
      <formula>$H781="ETAPA"</formula>
    </cfRule>
  </conditionalFormatting>
  <conditionalFormatting sqref="H783:L783">
    <cfRule type="expression" priority="59513" dxfId="3">
      <formula>$H783="ETAPA"</formula>
    </cfRule>
  </conditionalFormatting>
  <conditionalFormatting sqref="H784:J784 H785:L785 H786:J786 H787:L787 H788:J788 H793:J793">
    <cfRule type="expression" priority="59522" dxfId="4">
      <formula>$H784="SUBETAPA"</formula>
    </cfRule>
  </conditionalFormatting>
  <conditionalFormatting sqref="H794:L794">
    <cfRule type="expression" priority="59503" dxfId="3">
      <formula>$H794="ETAPA"</formula>
    </cfRule>
  </conditionalFormatting>
  <conditionalFormatting sqref="H796:L796">
    <cfRule type="expression" priority="59595" dxfId="3">
      <formula>$H796="ETAPA"</formula>
    </cfRule>
  </conditionalFormatting>
  <conditionalFormatting sqref="H797:J797 H798:L798 H799:J799 H800:L800 H801:J801 H806:J806">
    <cfRule type="expression" priority="59604" dxfId="4">
      <formula>$H797="SUBETAPA"</formula>
    </cfRule>
  </conditionalFormatting>
  <conditionalFormatting sqref="H807:L807">
    <cfRule type="expression" priority="59585" dxfId="3">
      <formula>$H807="ETAPA"</formula>
    </cfRule>
  </conditionalFormatting>
  <conditionalFormatting sqref="H834:L834">
    <cfRule type="expression" priority="57044" dxfId="3">
      <formula>$H834="ETAPA"</formula>
    </cfRule>
  </conditionalFormatting>
  <conditionalFormatting sqref="H843:L843">
    <cfRule type="expression" priority="57153" dxfId="3">
      <formula>$H843="ETAPA"</formula>
    </cfRule>
  </conditionalFormatting>
  <conditionalFormatting sqref="H852:L852">
    <cfRule type="expression" priority="57262" dxfId="3">
      <formula>$H852="ETAPA"</formula>
    </cfRule>
  </conditionalFormatting>
  <conditionalFormatting sqref="H861:L861">
    <cfRule type="expression" priority="57371" dxfId="3">
      <formula>$H861="ETAPA"</formula>
    </cfRule>
  </conditionalFormatting>
  <conditionalFormatting sqref="H870:L870">
    <cfRule type="expression" priority="57480" dxfId="3">
      <formula>$H870="ETAPA"</formula>
    </cfRule>
  </conditionalFormatting>
  <conditionalFormatting sqref="H879:L879">
    <cfRule type="expression" priority="57589" dxfId="3">
      <formula>$H879="ETAPA"</formula>
    </cfRule>
  </conditionalFormatting>
  <conditionalFormatting sqref="H888:L888">
    <cfRule type="expression" priority="57698" dxfId="3">
      <formula>$H888="ETAPA"</formula>
    </cfRule>
  </conditionalFormatting>
  <conditionalFormatting sqref="H897:L897">
    <cfRule type="expression" priority="57807" dxfId="3">
      <formula>$H897="ETAPA"</formula>
    </cfRule>
  </conditionalFormatting>
  <conditionalFormatting sqref="H908:L908">
    <cfRule type="expression" priority="57916" dxfId="3">
      <formula>$H908="ETAPA"</formula>
    </cfRule>
  </conditionalFormatting>
  <conditionalFormatting sqref="H919:L919">
    <cfRule type="expression" priority="58025" dxfId="3">
      <formula>$H919="ETAPA"</formula>
    </cfRule>
  </conditionalFormatting>
  <conditionalFormatting sqref="H928:L928">
    <cfRule type="expression" priority="58134" dxfId="3">
      <formula>$H928="ETAPA"</formula>
    </cfRule>
  </conditionalFormatting>
  <conditionalFormatting sqref="H937:L937">
    <cfRule type="expression" priority="58243" dxfId="3">
      <formula>$H937="ETAPA"</formula>
    </cfRule>
  </conditionalFormatting>
  <conditionalFormatting sqref="H947:L947">
    <cfRule type="expression" priority="51556" dxfId="3">
      <formula>$H947="ETAPA"</formula>
    </cfRule>
  </conditionalFormatting>
  <conditionalFormatting sqref="H949:L949 J950">
    <cfRule type="expression" priority="51495" dxfId="3">
      <formula>$H949="ETAPA"</formula>
    </cfRule>
  </conditionalFormatting>
  <conditionalFormatting sqref="H955:L955 H956:J956 H957:L957 H958:J958">
    <cfRule type="expression" priority="51569" dxfId="4">
      <formula>$H955="SUBETAPA"</formula>
    </cfRule>
  </conditionalFormatting>
  <conditionalFormatting sqref="H962:L962">
    <cfRule type="expression" priority="51711" dxfId="3">
      <formula>$H962="ETAPA"</formula>
    </cfRule>
  </conditionalFormatting>
  <conditionalFormatting sqref="H964:L964 J965">
    <cfRule type="expression" priority="51457" dxfId="3">
      <formula>$H964="ETAPA"</formula>
    </cfRule>
  </conditionalFormatting>
  <conditionalFormatting sqref="H970:L970 H971:J971 H972:L972 H973:J973">
    <cfRule type="expression" priority="51724" dxfId="4">
      <formula>$H970="SUBETAPA"</formula>
    </cfRule>
  </conditionalFormatting>
  <conditionalFormatting sqref="H977:L977">
    <cfRule type="expression" priority="51869" dxfId="3">
      <formula>$H977="ETAPA"</formula>
    </cfRule>
  </conditionalFormatting>
  <conditionalFormatting sqref="H979:L979 J980">
    <cfRule type="expression" priority="51419" dxfId="3">
      <formula>$H979="ETAPA"</formula>
    </cfRule>
  </conditionalFormatting>
  <conditionalFormatting sqref="H985:L985 H986:J986 H987:L987 H988:J988">
    <cfRule type="expression" priority="51882" dxfId="4">
      <formula>$H985="SUBETAPA"</formula>
    </cfRule>
  </conditionalFormatting>
  <conditionalFormatting sqref="H992:L992">
    <cfRule type="expression" priority="52024" dxfId="3">
      <formula>$H992="ETAPA"</formula>
    </cfRule>
  </conditionalFormatting>
  <conditionalFormatting sqref="H994:L994 J995">
    <cfRule type="expression" priority="51381" dxfId="3">
      <formula>$H994="ETAPA"</formula>
    </cfRule>
  </conditionalFormatting>
  <conditionalFormatting sqref="H1000:L1000 H1001:J1001 H1002:L1002 H1003:J1003">
    <cfRule type="expression" priority="52037" dxfId="4">
      <formula>$H1000="SUBETAPA"</formula>
    </cfRule>
  </conditionalFormatting>
  <conditionalFormatting sqref="H1007:L1007">
    <cfRule type="expression" priority="52182" dxfId="3">
      <formula>$H1007="ETAPA"</formula>
    </cfRule>
  </conditionalFormatting>
  <conditionalFormatting sqref="H1009:L1009 J1010">
    <cfRule type="expression" priority="51343" dxfId="3">
      <formula>$H1009="ETAPA"</formula>
    </cfRule>
  </conditionalFormatting>
  <conditionalFormatting sqref="H1015:L1015 H1016:J1016 H1017:L1017 H1018:J1018">
    <cfRule type="expression" priority="52195" dxfId="4">
      <formula>$H1015="SUBETAPA"</formula>
    </cfRule>
  </conditionalFormatting>
  <conditionalFormatting sqref="H1022:L1022">
    <cfRule type="expression" priority="52337" dxfId="3">
      <formula>$H1022="ETAPA"</formula>
    </cfRule>
  </conditionalFormatting>
  <conditionalFormatting sqref="H1024:L1024 J1025">
    <cfRule type="expression" priority="51305" dxfId="3">
      <formula>$H1024="ETAPA"</formula>
    </cfRule>
  </conditionalFormatting>
  <conditionalFormatting sqref="H1030:L1030 H1031:J1031 H1032:L1032 H1033:J1033">
    <cfRule type="expression" priority="52350" dxfId="4">
      <formula>$H1030="SUBETAPA"</formula>
    </cfRule>
  </conditionalFormatting>
  <conditionalFormatting sqref="H1037:L1037">
    <cfRule type="expression" priority="52492" dxfId="3">
      <formula>$H1037="ETAPA"</formula>
    </cfRule>
  </conditionalFormatting>
  <conditionalFormatting sqref="H1039:L1039 J1040">
    <cfRule type="expression" priority="51267" dxfId="3">
      <formula>$H1039="ETAPA"</formula>
    </cfRule>
  </conditionalFormatting>
  <conditionalFormatting sqref="H1045:L1045 H1046:J1046 H1047:L1047 H1048:J1048">
    <cfRule type="expression" priority="52505" dxfId="4">
      <formula>$H1045="SUBETAPA"</formula>
    </cfRule>
  </conditionalFormatting>
  <conditionalFormatting sqref="H1052:L1052">
    <cfRule type="expression" priority="52650" dxfId="3">
      <formula>$H1052="ETAPA"</formula>
    </cfRule>
  </conditionalFormatting>
  <conditionalFormatting sqref="H1054:L1054 J1055">
    <cfRule type="expression" priority="51229" dxfId="3">
      <formula>$H1054="ETAPA"</formula>
    </cfRule>
  </conditionalFormatting>
  <conditionalFormatting sqref="H1060:L1060 H1061:J1061 H1062:L1062 H1063:J1063">
    <cfRule type="expression" priority="52663" dxfId="4">
      <formula>$H1060="SUBETAPA"</formula>
    </cfRule>
  </conditionalFormatting>
  <conditionalFormatting sqref="H1067:L1067">
    <cfRule type="expression" priority="52805" dxfId="3">
      <formula>$H1067="ETAPA"</formula>
    </cfRule>
  </conditionalFormatting>
  <conditionalFormatting sqref="H1069:L1069 J1070">
    <cfRule type="expression" priority="51191" dxfId="3">
      <formula>$H1069="ETAPA"</formula>
    </cfRule>
  </conditionalFormatting>
  <conditionalFormatting sqref="H1075:L1075 H1076:J1076 H1077:L1077 H1078:J1078">
    <cfRule type="expression" priority="52818" dxfId="4">
      <formula>$H1075="SUBETAPA"</formula>
    </cfRule>
  </conditionalFormatting>
  <conditionalFormatting sqref="H1082:L1082">
    <cfRule type="expression" priority="52963" dxfId="3">
      <formula>$H1082="ETAPA"</formula>
    </cfRule>
  </conditionalFormatting>
  <conditionalFormatting sqref="H1084:L1084 J1085">
    <cfRule type="expression" priority="51153" dxfId="3">
      <formula>$H1084="ETAPA"</formula>
    </cfRule>
  </conditionalFormatting>
  <conditionalFormatting sqref="H1090:L1090 H1091:J1091 H1092:L1092 H1093:J1093">
    <cfRule type="expression" priority="52976" dxfId="4">
      <formula>$H1090="SUBETAPA"</formula>
    </cfRule>
  </conditionalFormatting>
  <conditionalFormatting sqref="H1097:L1097">
    <cfRule type="expression" priority="53118" dxfId="3">
      <formula>$H1097="ETAPA"</formula>
    </cfRule>
  </conditionalFormatting>
  <conditionalFormatting sqref="H1099:L1099 J1100">
    <cfRule type="expression" priority="51115" dxfId="3">
      <formula>$H1099="ETAPA"</formula>
    </cfRule>
  </conditionalFormatting>
  <conditionalFormatting sqref="H1105:L1105 H1106:J1106 H1107:L1107 H1108:J1108">
    <cfRule type="expression" priority="53131" dxfId="4">
      <formula>$H1105="SUBETAPA"</formula>
    </cfRule>
  </conditionalFormatting>
  <conditionalFormatting sqref="H1112:L1112">
    <cfRule type="expression" priority="53276" dxfId="3">
      <formula>$H1112="ETAPA"</formula>
    </cfRule>
  </conditionalFormatting>
  <conditionalFormatting sqref="H1114:L1114 J1115">
    <cfRule type="expression" priority="51077" dxfId="3">
      <formula>$H1114="ETAPA"</formula>
    </cfRule>
  </conditionalFormatting>
  <conditionalFormatting sqref="H1120:L1120 H1121:J1121 H1122:L1122 H1123:J1123">
    <cfRule type="expression" priority="53289" dxfId="4">
      <formula>$H1120="SUBETAPA"</formula>
    </cfRule>
  </conditionalFormatting>
  <conditionalFormatting sqref="H1127:L1127">
    <cfRule type="expression" priority="53431" dxfId="3">
      <formula>$H1127="ETAPA"</formula>
    </cfRule>
  </conditionalFormatting>
  <conditionalFormatting sqref="H1129:L1129 J1130">
    <cfRule type="expression" priority="51039" dxfId="3">
      <formula>$H1129="ETAPA"</formula>
    </cfRule>
  </conditionalFormatting>
  <conditionalFormatting sqref="H1135:L1135 H1136:J1136 H1137:L1137 H1138:J1138">
    <cfRule type="expression" priority="53444" dxfId="4">
      <formula>$H1135="SUBETAPA"</formula>
    </cfRule>
  </conditionalFormatting>
  <conditionalFormatting sqref="H1142:L1142">
    <cfRule type="expression" priority="53589" dxfId="3">
      <formula>$H1142="ETAPA"</formula>
    </cfRule>
  </conditionalFormatting>
  <conditionalFormatting sqref="H1144:L1144 J1145">
    <cfRule type="expression" priority="51001" dxfId="3">
      <formula>$H1144="ETAPA"</formula>
    </cfRule>
  </conditionalFormatting>
  <conditionalFormatting sqref="H1150:L1150 H1151:J1151 H1152:L1152 H1153:J1153">
    <cfRule type="expression" priority="53602" dxfId="4">
      <formula>$H1150="SUBETAPA"</formula>
    </cfRule>
  </conditionalFormatting>
  <conditionalFormatting sqref="H1242:L1242">
    <cfRule type="expression" priority="56792" dxfId="4">
      <formula>$H1242="SUBETAPA"</formula>
    </cfRule>
    <cfRule type="expression" priority="56793" dxfId="3">
      <formula>$H1242="ETAPA"</formula>
    </cfRule>
  </conditionalFormatting>
  <conditionalFormatting sqref="G943:M945 G959:M960 G974:M975 G989:M990 G1004:M1005 G1019:M1020 G1034:M1035 G1049:M1050 G1064:M1065 G1079:M1080 G1094:M1095 G1109:M1110 G1124:M1125 G1139:M1140 H814:M814 H818:M819 H825:M825 H827:M828 H834:M834 H836:M837 H843:M843 H845:M846 H852:M852 H854:M855 H861:M861 H863:M864 H870:M870 H872:M873 H879:M879 H881:M882 H888:M888 H890:M891 H897:M897 H901:M902 H908:M908 H912:M913 H919:M919 H921:M922 H928:M928 H930:M931 H937:M937 H941:M942 H946:M946 H948:M948 H950:M954 H961:M961 H963:M963 H965:M969 H976:M976 H978:M978 H980:M984 H991:M991 H993:M993 H995:M999 H1006:M1006 H1008:M1008 H1010:M1014 H1021:M1021 H1023:M1023 H1025:M1029 H1036:M1036 H1038:M1038 H1040:M1044 H1051:M1051 H1053:M1053 H1055:M1059 H1066:M1066 H1068:M1068 H1070:M1074 H1081:M1081 H1083:M1083 H1085:M1089 H1096:M1096 H1098:M1098 H1100:M1104 H1111:M1111 H1113:M1113 H1115:M1119 H1126:M1126 H1128:M1128 H1130:M1134 H1141:M1141 H1143:M1143 H1145:M1149 H1243:L1243 H1249:J1249 K808:M808 K810:M810 K815:M815 K817:M817 K821:M821 K826:M826 K830:M830 K835:M835 K839:M839 K844:M844 K848:M848 K853:M853 K857:M857 K862:M862 K866:M866 K871:M871 K875:M875 K880:M880 K884:M884 K889:M889 K893:M893 K898:M898 K900:M900 K904:M904 K909:M909 K911:M911 K915:M915 K920:M920 K924:M924 K929:M929 K933:M933 K938:M938 K940:M940 K956:M956 K958:M958 K971:M971 K973:M973 K986:M986 K988:M988 K1001:M1001 K1003:M1003 K1016:M1016 K1018:M1018 K1031:M1031 K1033:M1033 K1046:M1046 K1048:M1048 K1061:M1061 K1063:M1063 K1076:M1076 K1078:M1078 K1091:M1091 K1093:M1093 K1106:M1106 K1108:M1108 K1121:M1121 K1123:M1123 K1136:M1136 K1138:M1138 K1151:M1151 K1153:M1153 K1244:M1244 K1353:M1353 K1356:M1356 K1359:M1359 L1249:M1249 L1251:M1251 M809 M811 M816 M820 M822 M829 M831 M838 M840 M847 M849 M856 M858 M865 M867 M874 M876 M883 M885 M892 M894 M899 M903 M905 M910 M914 M916 M923 M925 M932 M934 M939 M955 M957 M970 M972 M985 M987 M1000 M1002 M1015 M1017 M1030 M1032 M1045 M1047 M1060 M1062 M1075 M1077 M1090 M1092 M1105 M1107 M1120 M1122 M1135 M1137 M1150 M1152 O810 O813 O815 O821 O824 O826 O830 O833 O835 O839 O842 O844 O848 O851 O853 O857 O860 O862 O866 O869 O871 O875 O878 O880 O884 O887 O889 O893 O896 O898 O904 O907 O909 O915 O918 O920 O924 O927 O929 O933 O936 O938 O946 O954 O956 O958 O961 O969 O971 O973 O976 O984 O986 O988 O991 O999 O1001 O1003 O1006 O1014 O1016 O1018 O1021 O1029 O1031 O1033 O1036 O1044 O1046 O1048 O1051 O1059 O1061 O1063 O1066 O1074 O1076 O1078 O1081 O1089 O1091 O1093 O1096 O1104 O1106 O1108 O1111 O1119 O1121 O1123 O1126 O1134 O1136 O1138 O1141 O1149 O1151 O1153 O1244 O1251 O1356">
    <cfRule type="expression" priority="86954" dxfId="4">
      <formula>$H808="SUBETAPA"</formula>
    </cfRule>
  </conditionalFormatting>
  <conditionalFormatting sqref="H1259:L1259">
    <cfRule type="expression" priority="2720" dxfId="4">
      <formula>$H1259="SUBETAPA"</formula>
    </cfRule>
  </conditionalFormatting>
  <conditionalFormatting sqref="H1273:L1273">
    <cfRule type="expression" priority="2789" dxfId="4">
      <formula>$H1273="SUBETAPA"</formula>
    </cfRule>
  </conditionalFormatting>
  <conditionalFormatting sqref="H1287:L1287">
    <cfRule type="expression" priority="2858" dxfId="4">
      <formula>$H1287="SUBETAPA"</formula>
    </cfRule>
  </conditionalFormatting>
  <conditionalFormatting sqref="H1301:L1301">
    <cfRule type="expression" priority="2927" dxfId="4">
      <formula>$H1301="SUBETAPA"</formula>
    </cfRule>
  </conditionalFormatting>
  <conditionalFormatting sqref="H1315:L1315">
    <cfRule type="expression" priority="2996" dxfId="4">
      <formula>$H1315="SUBETAPA"</formula>
    </cfRule>
  </conditionalFormatting>
  <conditionalFormatting sqref="H1329:L1329">
    <cfRule type="expression" priority="3065" dxfId="4">
      <formula>$H1329="SUBETAPA"</formula>
    </cfRule>
  </conditionalFormatting>
  <conditionalFormatting sqref="H1343:L1343">
    <cfRule type="expression" priority="3134" dxfId="4">
      <formula>$H1343="SUBETAPA"</formula>
    </cfRule>
  </conditionalFormatting>
  <conditionalFormatting sqref="H1357:L1357">
    <cfRule type="expression" priority="59903" dxfId="4">
      <formula>$H1357="SUBETAPA"</formula>
    </cfRule>
  </conditionalFormatting>
  <conditionalFormatting sqref="G620:M622 G623:G638 H623:M623 H625:M625 H627:M627 H633:M636 H638:M638 J624:M624 K626:M626 K628:M628 K630:M630 K632:M632 K637:M637 M629 M631 O637">
    <cfRule type="expression" priority="59101" dxfId="4">
      <formula>$H620="SUBETAPA"</formula>
    </cfRule>
  </conditionalFormatting>
  <conditionalFormatting sqref="H640:M640 H646:M648 H649:L649 H651:M651 K641:M641 K643:M643 K645:M645 K650:M650 M642 M644 O650">
    <cfRule type="expression" priority="58511" dxfId="4">
      <formula>$H640="SUBETAPA"</formula>
    </cfRule>
  </conditionalFormatting>
  <conditionalFormatting sqref="H641:M641 H642:L642 H643:M643 H644:L644 H645:M645 H646:L647 H648:M648 K650:M650 O650">
    <cfRule type="expression" priority="58512" dxfId="3">
      <formula>$H641="ETAPA"</formula>
    </cfRule>
  </conditionalFormatting>
  <conditionalFormatting sqref="H649:M649">
    <cfRule type="expression" priority="58478" dxfId="3">
      <formula>$H649="ETAPA"</formula>
    </cfRule>
  </conditionalFormatting>
  <conditionalFormatting sqref="H653:M653 H659:M661 H662:L662 H664:M664 K654:M654 K656:M656 K658:M658 K663:M663 M655 M657 O663">
    <cfRule type="expression" priority="58593" dxfId="4">
      <formula>$H653="SUBETAPA"</formula>
    </cfRule>
  </conditionalFormatting>
  <conditionalFormatting sqref="H654:M654 H655:L655 H656:M656 H657:L657 H658:M658 H659:L660 H661:M661 K663:M663 O663">
    <cfRule type="expression" priority="58594" dxfId="3">
      <formula>$H654="ETAPA"</formula>
    </cfRule>
  </conditionalFormatting>
  <conditionalFormatting sqref="H662:M662">
    <cfRule type="expression" priority="58475" dxfId="3">
      <formula>$H662="ETAPA"</formula>
    </cfRule>
  </conditionalFormatting>
  <conditionalFormatting sqref="H666:M666 H672:M674 H675:L675 H677:M677 K667:M667 K669:M669 K671:M671 K676:M676 M668 M670 O676">
    <cfRule type="expression" priority="58675" dxfId="4">
      <formula>$H666="SUBETAPA"</formula>
    </cfRule>
  </conditionalFormatting>
  <conditionalFormatting sqref="H667:M667 H668:L668 H669:M669 H670:L670 H671:M671 H672:L673 H674:M674 K676:M676 O676">
    <cfRule type="expression" priority="58676" dxfId="3">
      <formula>$H667="ETAPA"</formula>
    </cfRule>
  </conditionalFormatting>
  <conditionalFormatting sqref="H675:M675">
    <cfRule type="expression" priority="58472" dxfId="3">
      <formula>$H675="ETAPA"</formula>
    </cfRule>
  </conditionalFormatting>
  <conditionalFormatting sqref="H679:M679 H685:M687 H688:L688 H690:M690 K680:M680 K682:M682 K684:M684 K689:M689 M681 M683 O689">
    <cfRule type="expression" priority="58757" dxfId="4">
      <formula>$H679="SUBETAPA"</formula>
    </cfRule>
  </conditionalFormatting>
  <conditionalFormatting sqref="H680:M680 H681:L681 H682:M682 H683:L683 H684:M684 H685:L686 H687:M687 K689:M689 O689">
    <cfRule type="expression" priority="58758" dxfId="3">
      <formula>$H680="ETAPA"</formula>
    </cfRule>
  </conditionalFormatting>
  <conditionalFormatting sqref="H688:M688">
    <cfRule type="expression" priority="58469" dxfId="3">
      <formula>$H688="ETAPA"</formula>
    </cfRule>
  </conditionalFormatting>
  <conditionalFormatting sqref="H692:M692 H698:M700 H701:L701 H703:M703 K693:M693 K695:M695 K697:M697 K702:M702 M694 M696 O702">
    <cfRule type="expression" priority="58839" dxfId="4">
      <formula>$H692="SUBETAPA"</formula>
    </cfRule>
  </conditionalFormatting>
  <conditionalFormatting sqref="H693:M693 H694:L694 H695:M695 H696:L696 H697:M697 H698:L699 H700:M700 K702:M702 O702">
    <cfRule type="expression" priority="58840" dxfId="3">
      <formula>$H693="ETAPA"</formula>
    </cfRule>
  </conditionalFormatting>
  <conditionalFormatting sqref="H701:M701">
    <cfRule type="expression" priority="58466" dxfId="3">
      <formula>$H701="ETAPA"</formula>
    </cfRule>
  </conditionalFormatting>
  <conditionalFormatting sqref="H705:M705 H711:M713 H714:L714 H716:M716 K706:M706 K708:M708 K710:M710 K715:M715 M707 M709 O715">
    <cfRule type="expression" priority="58921" dxfId="4">
      <formula>$H705="SUBETAPA"</formula>
    </cfRule>
  </conditionalFormatting>
  <conditionalFormatting sqref="H706:M706 H707:L707 H708:M708 H709:L709 H710:M710 H711:L712 H713:M713 K715:M715 O715">
    <cfRule type="expression" priority="58922" dxfId="3">
      <formula>$H706="ETAPA"</formula>
    </cfRule>
  </conditionalFormatting>
  <conditionalFormatting sqref="H714:M714">
    <cfRule type="expression" priority="58463" dxfId="3">
      <formula>$H714="ETAPA"</formula>
    </cfRule>
  </conditionalFormatting>
  <conditionalFormatting sqref="H718:M718 H724:M726 H727:L727 H729:M729 K719:M719 K721:M721 K723:M723 K728:M728 M720 M722 O728">
    <cfRule type="expression" priority="59006" dxfId="4">
      <formula>$H718="SUBETAPA"</formula>
    </cfRule>
  </conditionalFormatting>
  <conditionalFormatting sqref="H719:M719 H720:L720 H721:M721 H722:L722 H723:M723 H724:L725 H726:M726 K728:M728 O728">
    <cfRule type="expression" priority="59007" dxfId="3">
      <formula>$H719="ETAPA"</formula>
    </cfRule>
  </conditionalFormatting>
  <conditionalFormatting sqref="H727:M727">
    <cfRule type="expression" priority="58460" dxfId="3">
      <formula>$H727="ETAPA"</formula>
    </cfRule>
  </conditionalFormatting>
  <conditionalFormatting sqref="H731:M731 H737:M739 H740:L740 H742:M742 K732:M732 K734:M734 K736:M736 K741:M741 M733 M735 O741">
    <cfRule type="expression" priority="59183" dxfId="4">
      <formula>$H731="SUBETAPA"</formula>
    </cfRule>
  </conditionalFormatting>
  <conditionalFormatting sqref="H732:M732 H733:L733 H734:M734 H735:L735 H736:M736 H737:L738 H739:M739 K741:M741 O741">
    <cfRule type="expression" priority="59184" dxfId="3">
      <formula>$H732="ETAPA"</formula>
    </cfRule>
  </conditionalFormatting>
  <conditionalFormatting sqref="H740:M740">
    <cfRule type="expression" priority="58457" dxfId="3">
      <formula>$H740="ETAPA"</formula>
    </cfRule>
  </conditionalFormatting>
  <conditionalFormatting sqref="H744:M744 H750:M752 H753:L753 H755:M755 K745:M745 K747:M747 K749:M749 K754:M754 M746 M748 O754">
    <cfRule type="expression" priority="59265" dxfId="4">
      <formula>$H744="SUBETAPA"</formula>
    </cfRule>
  </conditionalFormatting>
  <conditionalFormatting sqref="H745:M745 H746:L746 H747:M747 H748:L748 H749:M749 H750:L751 H752:M752 K754:M754 O754">
    <cfRule type="expression" priority="59266" dxfId="3">
      <formula>$H745="ETAPA"</formula>
    </cfRule>
  </conditionalFormatting>
  <conditionalFormatting sqref="H753:M753">
    <cfRule type="expression" priority="58454" dxfId="3">
      <formula>$H753="ETAPA"</formula>
    </cfRule>
  </conditionalFormatting>
  <conditionalFormatting sqref="H757:M757 H763:M765 H766:L766 H768:M768 K758:M758 K760:M760 K762:M762 K767:M767 M759 M761 O767">
    <cfRule type="expression" priority="59347" dxfId="4">
      <formula>$H757="SUBETAPA"</formula>
    </cfRule>
  </conditionalFormatting>
  <conditionalFormatting sqref="H758:M758 H759:L759 H760:M760 H761:L761 H762:M762 H763:L764 H765:M765 K767:M767 O767">
    <cfRule type="expression" priority="59348" dxfId="3">
      <formula>$H758="ETAPA"</formula>
    </cfRule>
  </conditionalFormatting>
  <conditionalFormatting sqref="H766:M766">
    <cfRule type="expression" priority="58451" dxfId="3">
      <formula>$H766="ETAPA"</formula>
    </cfRule>
  </conditionalFormatting>
  <conditionalFormatting sqref="H770:M770 H776:M778 H779:L779 H781:M781 K771:M771 K773:M773 K775:M775 K780:M780 M772 M774 O780">
    <cfRule type="expression" priority="59429" dxfId="4">
      <formula>$H770="SUBETAPA"</formula>
    </cfRule>
  </conditionalFormatting>
  <conditionalFormatting sqref="H771:M771 H772:L772 H773:M773 H774:L774 H775:M775 H776:L777 H778:M778 K780:M780 O780">
    <cfRule type="expression" priority="59430" dxfId="3">
      <formula>$H771="ETAPA"</formula>
    </cfRule>
  </conditionalFormatting>
  <conditionalFormatting sqref="H779:M779">
    <cfRule type="expression" priority="58448" dxfId="3">
      <formula>$H779="ETAPA"</formula>
    </cfRule>
  </conditionalFormatting>
  <conditionalFormatting sqref="H783:M783 H789:M791 H792:L792 H794:M794 K784:M784 K786:M786 K788:M788 K793:M793 M785 M787 O793">
    <cfRule type="expression" priority="59511" dxfId="4">
      <formula>$H783="SUBETAPA"</formula>
    </cfRule>
  </conditionalFormatting>
  <conditionalFormatting sqref="H784:M784 H785:L785 H786:M786 H787:L787 H788:M788 H789:L790 H791:M791 K793:M793 O793">
    <cfRule type="expression" priority="59512" dxfId="3">
      <formula>$H784="ETAPA"</formula>
    </cfRule>
  </conditionalFormatting>
  <conditionalFormatting sqref="H792:M792">
    <cfRule type="expression" priority="58445" dxfId="3">
      <formula>$H792="ETAPA"</formula>
    </cfRule>
  </conditionalFormatting>
  <conditionalFormatting sqref="H796:M796 H802:M804 H805:L805 H807:M807 K797:M797 K799:M799 K801:M801 K806:M806 M798 M800 O806">
    <cfRule type="expression" priority="59593" dxfId="4">
      <formula>$H796="SUBETAPA"</formula>
    </cfRule>
  </conditionalFormatting>
  <conditionalFormatting sqref="H797:M797 H798:L798 H799:M799 H800:L800 H801:M801 H802:L803 H804:M804 K806:M806 O806">
    <cfRule type="expression" priority="59594" dxfId="3">
      <formula>$H797="ETAPA"</formula>
    </cfRule>
  </conditionalFormatting>
  <conditionalFormatting sqref="H805:M805">
    <cfRule type="expression" priority="58442" dxfId="3">
      <formula>$H805="ETAPA"</formula>
    </cfRule>
  </conditionalFormatting>
  <conditionalFormatting sqref="H947:M947">
    <cfRule type="expression" priority="51566" dxfId="4">
      <formula>$H947="SUBETAPA"</formula>
    </cfRule>
  </conditionalFormatting>
  <conditionalFormatting sqref="H949:M949 J950">
    <cfRule type="expression" priority="51498" dxfId="4">
      <formula>$H949="SUBETAPA"</formula>
    </cfRule>
  </conditionalFormatting>
  <conditionalFormatting sqref="H962:M962">
    <cfRule type="expression" priority="51721" dxfId="4">
      <formula>$H962="SUBETAPA"</formula>
    </cfRule>
  </conditionalFormatting>
  <conditionalFormatting sqref="H964:M964 J965">
    <cfRule type="expression" priority="51460" dxfId="4">
      <formula>$H964="SUBETAPA"</formula>
    </cfRule>
  </conditionalFormatting>
  <conditionalFormatting sqref="H977:M977">
    <cfRule type="expression" priority="51879" dxfId="4">
      <formula>$H977="SUBETAPA"</formula>
    </cfRule>
  </conditionalFormatting>
  <conditionalFormatting sqref="H979:M979 J980">
    <cfRule type="expression" priority="51422" dxfId="4">
      <formula>$H979="SUBETAPA"</formula>
    </cfRule>
  </conditionalFormatting>
  <conditionalFormatting sqref="H992:M992">
    <cfRule type="expression" priority="52034" dxfId="4">
      <formula>$H992="SUBETAPA"</formula>
    </cfRule>
  </conditionalFormatting>
  <conditionalFormatting sqref="H994:M994 J995">
    <cfRule type="expression" priority="51384" dxfId="4">
      <formula>$H994="SUBETAPA"</formula>
    </cfRule>
  </conditionalFormatting>
  <conditionalFormatting sqref="H1007:M1007">
    <cfRule type="expression" priority="52192" dxfId="4">
      <formula>$H1007="SUBETAPA"</formula>
    </cfRule>
  </conditionalFormatting>
  <conditionalFormatting sqref="H1009:M1009 J1010">
    <cfRule type="expression" priority="51346" dxfId="4">
      <formula>$H1009="SUBETAPA"</formula>
    </cfRule>
  </conditionalFormatting>
  <conditionalFormatting sqref="H1022:M1022">
    <cfRule type="expression" priority="52347" dxfId="4">
      <formula>$H1022="SUBETAPA"</formula>
    </cfRule>
  </conditionalFormatting>
  <conditionalFormatting sqref="H1024:M1024 J1025">
    <cfRule type="expression" priority="51308" dxfId="4">
      <formula>$H1024="SUBETAPA"</formula>
    </cfRule>
  </conditionalFormatting>
  <conditionalFormatting sqref="H1037:M1037">
    <cfRule type="expression" priority="52502" dxfId="4">
      <formula>$H1037="SUBETAPA"</formula>
    </cfRule>
  </conditionalFormatting>
  <conditionalFormatting sqref="H1039:M1039 J1040">
    <cfRule type="expression" priority="51270" dxfId="4">
      <formula>$H1039="SUBETAPA"</formula>
    </cfRule>
  </conditionalFormatting>
  <conditionalFormatting sqref="H1052:M1052">
    <cfRule type="expression" priority="52660" dxfId="4">
      <formula>$H1052="SUBETAPA"</formula>
    </cfRule>
  </conditionalFormatting>
  <conditionalFormatting sqref="H1054:M1054 J1055">
    <cfRule type="expression" priority="51232" dxfId="4">
      <formula>$H1054="SUBETAPA"</formula>
    </cfRule>
  </conditionalFormatting>
  <conditionalFormatting sqref="H1067:M1067">
    <cfRule type="expression" priority="52815" dxfId="4">
      <formula>$H1067="SUBETAPA"</formula>
    </cfRule>
  </conditionalFormatting>
  <conditionalFormatting sqref="H1069:M1069 J1070">
    <cfRule type="expression" priority="51194" dxfId="4">
      <formula>$H1069="SUBETAPA"</formula>
    </cfRule>
  </conditionalFormatting>
  <conditionalFormatting sqref="H1082:M1082">
    <cfRule type="expression" priority="52973" dxfId="4">
      <formula>$H1082="SUBETAPA"</formula>
    </cfRule>
  </conditionalFormatting>
  <conditionalFormatting sqref="H1084:M1084 J1085">
    <cfRule type="expression" priority="51156" dxfId="4">
      <formula>$H1084="SUBETAPA"</formula>
    </cfRule>
  </conditionalFormatting>
  <conditionalFormatting sqref="H1097:M1097">
    <cfRule type="expression" priority="53128" dxfId="4">
      <formula>$H1097="SUBETAPA"</formula>
    </cfRule>
  </conditionalFormatting>
  <conditionalFormatting sqref="H1099:M1099 J1100">
    <cfRule type="expression" priority="51118" dxfId="4">
      <formula>$H1099="SUBETAPA"</formula>
    </cfRule>
  </conditionalFormatting>
  <conditionalFormatting sqref="H1112:M1112">
    <cfRule type="expression" priority="53286" dxfId="4">
      <formula>$H1112="SUBETAPA"</formula>
    </cfRule>
  </conditionalFormatting>
  <conditionalFormatting sqref="H1114:M1114 J1115">
    <cfRule type="expression" priority="51080" dxfId="4">
      <formula>$H1114="SUBETAPA"</formula>
    </cfRule>
  </conditionalFormatting>
  <conditionalFormatting sqref="H1127:M1127">
    <cfRule type="expression" priority="53441" dxfId="4">
      <formula>$H1127="SUBETAPA"</formula>
    </cfRule>
  </conditionalFormatting>
  <conditionalFormatting sqref="H1129:M1129 J1130">
    <cfRule type="expression" priority="51042" dxfId="4">
      <formula>$H1129="SUBETAPA"</formula>
    </cfRule>
  </conditionalFormatting>
  <conditionalFormatting sqref="H1142:M1142">
    <cfRule type="expression" priority="53599" dxfId="4">
      <formula>$H1142="SUBETAPA"</formula>
    </cfRule>
  </conditionalFormatting>
  <conditionalFormatting sqref="H1144:M1144 J1145">
    <cfRule type="expression" priority="51004" dxfId="4">
      <formula>$H1144="SUBETAPA"</formula>
    </cfRule>
  </conditionalFormatting>
  <conditionalFormatting sqref="G808:J808 G809:L809 G810:J810 G820:L820 G821:J821 G829:L829 G830:J830 G838:L838 G839:J839 G847:L847 G848:J848 G856:L856 G857:J857 G865:L865 G866:J866 G874:L874 G875:J875 G883:L883 G884:J884 G892:L892 G893:J893 G903:L903 G904:J904 G914:L914 G915:J915 G923:L923 G924:J924 G932:L932 G933:J933 G1239:K1241 G1252:L1252 G1365:K1365 G1366:H1367 G1386:H1387 G1393:H1394 G1400:H1401 G1405:H1406 G1410:H1411 G1415:H1416 H811:L811 H815:J815 H816:L816 H817:J817 H822:L822 H826:J826 H831:L831 H835:J835 H840:L840 H844:J844 H849:L849 H853:J853 H858:L858 H862:J862 H867:L867 H871:J871 H876:L876 H880:J880 H885:L885 H889:J889 H894:L894 H898:J898 H899:L899 H900:J900 H905:L905 H909:J909 H910:L910 H911:J911 H916:L916 H920:J920 H925:L925 H929:J929 H934:L934 H938:J938 H939:L939 H940:J940 H1158:L1158 H1163:L1163 H1168:L1168 H1173:L1173 H1178:L1178 H1183:L1183 H1190:L1190 H1197:L1197 H1204:L1204 H1211:L1211 H1218:L1218 H1223:L1223 H1230:L1230 H1235:L1235 H1250:M1250 H1257:L1257 H1262:K1266 H1271:L1271 H1276:K1280 H1285:L1285 H1290:K1294 H1299:L1299 H1304:K1308 H1313:L1313 H1318:K1322 H1327:L1327 H1332:K1336 H1341:L1341 H1346:K1350 H1355:L1355 H1360:K1364 H1368 H1388 H1395 H1402 H1407 H1412 H1417 J1251 J1366:K1368 J1386:K1388 J1393:K1395 J1400:K1402 J1405:K1407 J1410:K1412 J1415:K1417 L1154:L1155 L1157 L1162 L1167 L1172 L1177 L1182 L1187 L1189 L1194 L1196 L1201 L1203 L1208 L1210 L1215 L1217 L1222 L1227 L1229 L1234 L1253:L1254 L1256 L1267:L1268 L1270 L1281:L1282 L1284 L1295:L1296 L1298 L1309:L1310 L1312 L1323:L1324 L1326 L1337:L1338 L1340 L1351:L1352 L1354 O1376 O1379 O1382 O1385 O1390 O1397 O1409">
    <cfRule type="expression" priority="86999" dxfId="4">
      <formula>$H808="SUBETAPA"</formula>
    </cfRule>
  </conditionalFormatting>
  <conditionalFormatting sqref="G1252:L1252 H1250:M1250 J1251">
    <cfRule type="expression" priority="86956" dxfId="3">
      <formula>$H1250="ETAPA"</formula>
    </cfRule>
  </conditionalFormatting>
  <conditionalFormatting sqref="H1431:M1431">
    <cfRule type="expression" priority="4779" dxfId="3">
      <formula>$H1431="ETAPA"</formula>
    </cfRule>
  </conditionalFormatting>
  <conditionalFormatting sqref="I1251">
    <cfRule type="expression" priority="86734" dxfId="5">
      <formula>$H1251="CÉLULA CONSTRUTIVA"</formula>
    </cfRule>
    <cfRule type="expression" priority="86735" dxfId="3">
      <formula>$H1251="ETAPA"</formula>
    </cfRule>
    <cfRule type="expression" priority="86736" dxfId="4">
      <formula>$H1251="SUBETAPA"</formula>
    </cfRule>
  </conditionalFormatting>
  <conditionalFormatting sqref="I3172">
    <cfRule type="expression" priority="120437" dxfId="4">
      <formula>$H3172="SUBETAPA"</formula>
    </cfRule>
    <cfRule type="expression" priority="120438" dxfId="5">
      <formula>$H3172="CÉLULA CONSTRUTIVA"</formula>
    </cfRule>
  </conditionalFormatting>
  <conditionalFormatting sqref="I1159:J1159">
    <cfRule type="expression" priority="55479" dxfId="5">
      <formula>$H1159="CÉLULA CONSTRUTIVA"</formula>
    </cfRule>
    <cfRule type="expression" priority="55480" dxfId="3">
      <formula>$H1159="ETAPA"</formula>
    </cfRule>
    <cfRule type="expression" priority="55481" dxfId="4">
      <formula>$H1159="SUBETAPA"</formula>
    </cfRule>
  </conditionalFormatting>
  <conditionalFormatting sqref="I1164:J1164">
    <cfRule type="expression" priority="55573" dxfId="5">
      <formula>$H1164="CÉLULA CONSTRUTIVA"</formula>
    </cfRule>
    <cfRule type="expression" priority="55574" dxfId="3">
      <formula>$H1164="ETAPA"</formula>
    </cfRule>
    <cfRule type="expression" priority="55575" dxfId="4">
      <formula>$H1164="SUBETAPA"</formula>
    </cfRule>
  </conditionalFormatting>
  <conditionalFormatting sqref="I1169:J1169">
    <cfRule type="expression" priority="55667" dxfId="5">
      <formula>$H1169="CÉLULA CONSTRUTIVA"</formula>
    </cfRule>
    <cfRule type="expression" priority="55668" dxfId="3">
      <formula>$H1169="ETAPA"</formula>
    </cfRule>
    <cfRule type="expression" priority="55669" dxfId="4">
      <formula>$H1169="SUBETAPA"</formula>
    </cfRule>
  </conditionalFormatting>
  <conditionalFormatting sqref="I1174:J1174">
    <cfRule type="expression" priority="55761" dxfId="5">
      <formula>$H1174="CÉLULA CONSTRUTIVA"</formula>
    </cfRule>
    <cfRule type="expression" priority="55762" dxfId="3">
      <formula>$H1174="ETAPA"</formula>
    </cfRule>
    <cfRule type="expression" priority="55763" dxfId="4">
      <formula>$H1174="SUBETAPA"</formula>
    </cfRule>
  </conditionalFormatting>
  <conditionalFormatting sqref="I1179:J1179">
    <cfRule type="expression" priority="55855" dxfId="5">
      <formula>$H1179="CÉLULA CONSTRUTIVA"</formula>
    </cfRule>
    <cfRule type="expression" priority="55856" dxfId="3">
      <formula>$H1179="ETAPA"</formula>
    </cfRule>
    <cfRule type="expression" priority="55857" dxfId="4">
      <formula>$H1179="SUBETAPA"</formula>
    </cfRule>
  </conditionalFormatting>
  <conditionalFormatting sqref="I1184:J1184">
    <cfRule type="expression" priority="55949" dxfId="5">
      <formula>$H1184="CÉLULA CONSTRUTIVA"</formula>
    </cfRule>
    <cfRule type="expression" priority="55950" dxfId="3">
      <formula>$H1184="ETAPA"</formula>
    </cfRule>
    <cfRule type="expression" priority="55951" dxfId="4">
      <formula>$H1184="SUBETAPA"</formula>
    </cfRule>
  </conditionalFormatting>
  <conditionalFormatting sqref="I1191:J1191">
    <cfRule type="expression" priority="56043" dxfId="5">
      <formula>$H1191="CÉLULA CONSTRUTIVA"</formula>
    </cfRule>
    <cfRule type="expression" priority="56044" dxfId="3">
      <formula>$H1191="ETAPA"</formula>
    </cfRule>
    <cfRule type="expression" priority="56045" dxfId="4">
      <formula>$H1191="SUBETAPA"</formula>
    </cfRule>
  </conditionalFormatting>
  <conditionalFormatting sqref="I1198:J1198">
    <cfRule type="expression" priority="56137" dxfId="5">
      <formula>$H1198="CÉLULA CONSTRUTIVA"</formula>
    </cfRule>
    <cfRule type="expression" priority="56138" dxfId="3">
      <formula>$H1198="ETAPA"</formula>
    </cfRule>
    <cfRule type="expression" priority="56139" dxfId="4">
      <formula>$H1198="SUBETAPA"</formula>
    </cfRule>
  </conditionalFormatting>
  <conditionalFormatting sqref="I1205:J1205">
    <cfRule type="expression" priority="56231" dxfId="5">
      <formula>$H1205="CÉLULA CONSTRUTIVA"</formula>
    </cfRule>
    <cfRule type="expression" priority="56232" dxfId="3">
      <formula>$H1205="ETAPA"</formula>
    </cfRule>
    <cfRule type="expression" priority="56233" dxfId="4">
      <formula>$H1205="SUBETAPA"</formula>
    </cfRule>
  </conditionalFormatting>
  <conditionalFormatting sqref="I1212:J1212">
    <cfRule type="expression" priority="56325" dxfId="5">
      <formula>$H1212="CÉLULA CONSTRUTIVA"</formula>
    </cfRule>
    <cfRule type="expression" priority="56326" dxfId="3">
      <formula>$H1212="ETAPA"</formula>
    </cfRule>
    <cfRule type="expression" priority="56327" dxfId="4">
      <formula>$H1212="SUBETAPA"</formula>
    </cfRule>
  </conditionalFormatting>
  <conditionalFormatting sqref="I1219:J1219">
    <cfRule type="expression" priority="56419" dxfId="5">
      <formula>$H1219="CÉLULA CONSTRUTIVA"</formula>
    </cfRule>
    <cfRule type="expression" priority="56420" dxfId="3">
      <formula>$H1219="ETAPA"</formula>
    </cfRule>
    <cfRule type="expression" priority="56421" dxfId="4">
      <formula>$H1219="SUBETAPA"</formula>
    </cfRule>
  </conditionalFormatting>
  <conditionalFormatting sqref="I1224:J1224">
    <cfRule type="expression" priority="56513" dxfId="5">
      <formula>$H1224="CÉLULA CONSTRUTIVA"</formula>
    </cfRule>
    <cfRule type="expression" priority="56514" dxfId="3">
      <formula>$H1224="ETAPA"</formula>
    </cfRule>
    <cfRule type="expression" priority="56515" dxfId="4">
      <formula>$H1224="SUBETAPA"</formula>
    </cfRule>
  </conditionalFormatting>
  <conditionalFormatting sqref="I1231:J1231">
    <cfRule type="expression" priority="56607" dxfId="5">
      <formula>$H1231="CÉLULA CONSTRUTIVA"</formula>
    </cfRule>
    <cfRule type="expression" priority="56608" dxfId="3">
      <formula>$H1231="ETAPA"</formula>
    </cfRule>
    <cfRule type="expression" priority="56609" dxfId="4">
      <formula>$H1231="SUBETAPA"</formula>
    </cfRule>
  </conditionalFormatting>
  <conditionalFormatting sqref="I1236:J1236">
    <cfRule type="expression" priority="56701" dxfId="5">
      <formula>$H1236="CÉLULA CONSTRUTIVA"</formula>
    </cfRule>
    <cfRule type="expression" priority="56702" dxfId="3">
      <formula>$H1236="ETAPA"</formula>
    </cfRule>
    <cfRule type="expression" priority="56703" dxfId="4">
      <formula>$H1236="SUBETAPA"</formula>
    </cfRule>
  </conditionalFormatting>
  <conditionalFormatting sqref="I1244:J1244">
    <cfRule type="expression" priority="86747" dxfId="5">
      <formula>$H1244="CÉLULA CONSTRUTIVA"</formula>
    </cfRule>
    <cfRule type="expression" priority="86748" dxfId="3">
      <formula>$H1244="ETAPA"</formula>
    </cfRule>
    <cfRule type="expression" priority="86749" dxfId="4">
      <formula>$H1244="SUBETAPA"</formula>
    </cfRule>
  </conditionalFormatting>
  <conditionalFormatting sqref="I1258:J1258 I1261:J1261">
    <cfRule type="expression" priority="2717" dxfId="5">
      <formula>$H1258="CÉLULA CONSTRUTIVA"</formula>
    </cfRule>
    <cfRule type="expression" priority="2718" dxfId="3">
      <formula>$H1258="ETAPA"</formula>
    </cfRule>
    <cfRule type="expression" priority="2719" dxfId="4">
      <formula>$H1258="SUBETAPA"</formula>
    </cfRule>
  </conditionalFormatting>
  <conditionalFormatting sqref="I1260:J1260">
    <cfRule type="expression" priority="2665" dxfId="5">
      <formula>$H1260="CÉLULA CONSTRUTIVA"</formula>
    </cfRule>
    <cfRule type="expression" priority="2666" dxfId="3">
      <formula>$H1260="ETAPA"</formula>
    </cfRule>
    <cfRule type="expression" priority="2667" dxfId="4">
      <formula>$H1260="SUBETAPA"</formula>
    </cfRule>
  </conditionalFormatting>
  <conditionalFormatting sqref="I1272:J1272 I1275:J1275">
    <cfRule type="expression" priority="2786" dxfId="5">
      <formula>$H1272="CÉLULA CONSTRUTIVA"</formula>
    </cfRule>
    <cfRule type="expression" priority="2787" dxfId="3">
      <formula>$H1272="ETAPA"</formula>
    </cfRule>
    <cfRule type="expression" priority="2788" dxfId="4">
      <formula>$H1272="SUBETAPA"</formula>
    </cfRule>
  </conditionalFormatting>
  <conditionalFormatting sqref="I1274:J1274">
    <cfRule type="expression" priority="2734" dxfId="5">
      <formula>$H1274="CÉLULA CONSTRUTIVA"</formula>
    </cfRule>
    <cfRule type="expression" priority="2735" dxfId="3">
      <formula>$H1274="ETAPA"</formula>
    </cfRule>
    <cfRule type="expression" priority="2736" dxfId="4">
      <formula>$H1274="SUBETAPA"</formula>
    </cfRule>
  </conditionalFormatting>
  <conditionalFormatting sqref="I1286:J1286 I1289:J1289">
    <cfRule type="expression" priority="2855" dxfId="5">
      <formula>$H1286="CÉLULA CONSTRUTIVA"</formula>
    </cfRule>
    <cfRule type="expression" priority="2856" dxfId="3">
      <formula>$H1286="ETAPA"</formula>
    </cfRule>
    <cfRule type="expression" priority="2857" dxfId="4">
      <formula>$H1286="SUBETAPA"</formula>
    </cfRule>
  </conditionalFormatting>
  <conditionalFormatting sqref="I1288:J1288">
    <cfRule type="expression" priority="2803" dxfId="5">
      <formula>$H1288="CÉLULA CONSTRUTIVA"</formula>
    </cfRule>
    <cfRule type="expression" priority="2804" dxfId="3">
      <formula>$H1288="ETAPA"</formula>
    </cfRule>
    <cfRule type="expression" priority="2805" dxfId="4">
      <formula>$H1288="SUBETAPA"</formula>
    </cfRule>
  </conditionalFormatting>
  <conditionalFormatting sqref="I1300:J1300 I1303:J1303">
    <cfRule type="expression" priority="2924" dxfId="5">
      <formula>$H1300="CÉLULA CONSTRUTIVA"</formula>
    </cfRule>
    <cfRule type="expression" priority="2925" dxfId="3">
      <formula>$H1300="ETAPA"</formula>
    </cfRule>
    <cfRule type="expression" priority="2926" dxfId="4">
      <formula>$H1300="SUBETAPA"</formula>
    </cfRule>
  </conditionalFormatting>
  <conditionalFormatting sqref="I1302:J1302">
    <cfRule type="expression" priority="2872" dxfId="5">
      <formula>$H1302="CÉLULA CONSTRUTIVA"</formula>
    </cfRule>
    <cfRule type="expression" priority="2873" dxfId="3">
      <formula>$H1302="ETAPA"</formula>
    </cfRule>
    <cfRule type="expression" priority="2874" dxfId="4">
      <formula>$H1302="SUBETAPA"</formula>
    </cfRule>
  </conditionalFormatting>
  <conditionalFormatting sqref="I1314:J1314 I1317:J1317">
    <cfRule type="expression" priority="2993" dxfId="5">
      <formula>$H1314="CÉLULA CONSTRUTIVA"</formula>
    </cfRule>
    <cfRule type="expression" priority="2994" dxfId="3">
      <formula>$H1314="ETAPA"</formula>
    </cfRule>
    <cfRule type="expression" priority="2995" dxfId="4">
      <formula>$H1314="SUBETAPA"</formula>
    </cfRule>
  </conditionalFormatting>
  <conditionalFormatting sqref="I1316:J1316">
    <cfRule type="expression" priority="2941" dxfId="5">
      <formula>$H1316="CÉLULA CONSTRUTIVA"</formula>
    </cfRule>
    <cfRule type="expression" priority="2942" dxfId="3">
      <formula>$H1316="ETAPA"</formula>
    </cfRule>
    <cfRule type="expression" priority="2943" dxfId="4">
      <formula>$H1316="SUBETAPA"</formula>
    </cfRule>
  </conditionalFormatting>
  <conditionalFormatting sqref="I1328:J1328 I1331:J1331">
    <cfRule type="expression" priority="3062" dxfId="5">
      <formula>$H1328="CÉLULA CONSTRUTIVA"</formula>
    </cfRule>
    <cfRule type="expression" priority="3063" dxfId="3">
      <formula>$H1328="ETAPA"</formula>
    </cfRule>
    <cfRule type="expression" priority="3064" dxfId="4">
      <formula>$H1328="SUBETAPA"</formula>
    </cfRule>
  </conditionalFormatting>
  <conditionalFormatting sqref="I1330:J1330">
    <cfRule type="expression" priority="3010" dxfId="5">
      <formula>$H1330="CÉLULA CONSTRUTIVA"</formula>
    </cfRule>
    <cfRule type="expression" priority="3011" dxfId="3">
      <formula>$H1330="ETAPA"</formula>
    </cfRule>
    <cfRule type="expression" priority="3012" dxfId="4">
      <formula>$H1330="SUBETAPA"</formula>
    </cfRule>
  </conditionalFormatting>
  <conditionalFormatting sqref="I1342:J1342 I1345:J1345">
    <cfRule type="expression" priority="3131" dxfId="5">
      <formula>$H1342="CÉLULA CONSTRUTIVA"</formula>
    </cfRule>
    <cfRule type="expression" priority="3132" dxfId="3">
      <formula>$H1342="ETAPA"</formula>
    </cfRule>
    <cfRule type="expression" priority="3133" dxfId="4">
      <formula>$H1342="SUBETAPA"</formula>
    </cfRule>
  </conditionalFormatting>
  <conditionalFormatting sqref="I1344:J1344">
    <cfRule type="expression" priority="3079" dxfId="5">
      <formula>$H1344="CÉLULA CONSTRUTIVA"</formula>
    </cfRule>
    <cfRule type="expression" priority="3080" dxfId="3">
      <formula>$H1344="ETAPA"</formula>
    </cfRule>
    <cfRule type="expression" priority="3081" dxfId="4">
      <formula>$H1344="SUBETAPA"</formula>
    </cfRule>
  </conditionalFormatting>
  <conditionalFormatting sqref="I1356:J1356 I1359:J1359">
    <cfRule type="expression" priority="86648" dxfId="5">
      <formula>$H1356="CÉLULA CONSTRUTIVA"</formula>
    </cfRule>
    <cfRule type="expression" priority="86649" dxfId="3">
      <formula>$H1356="ETAPA"</formula>
    </cfRule>
    <cfRule type="expression" priority="86650" dxfId="4">
      <formula>$H1356="SUBETAPA"</formula>
    </cfRule>
  </conditionalFormatting>
  <conditionalFormatting sqref="I1358:J1358">
    <cfRule type="expression" priority="3148" dxfId="5">
      <formula>$H1358="CÉLULA CONSTRUTIVA"</formula>
    </cfRule>
    <cfRule type="expression" priority="3149" dxfId="3">
      <formula>$H1358="ETAPA"</formula>
    </cfRule>
    <cfRule type="expression" priority="3150" dxfId="4">
      <formula>$H1358="SUBETAPA"</formula>
    </cfRule>
  </conditionalFormatting>
  <conditionalFormatting sqref="I26:K27 M26:M27">
    <cfRule type="expression" priority="50676" dxfId="3">
      <formula>$H26="ETAPA"</formula>
    </cfRule>
    <cfRule type="expression" priority="50675" dxfId="5">
      <formula>$H26="CÉLULA CONSTRUTIVA"</formula>
    </cfRule>
  </conditionalFormatting>
  <conditionalFormatting sqref="I80:K82 M80:M83">
    <cfRule type="expression" priority="50338" dxfId="3">
      <formula>$H80="ETAPA"</formula>
    </cfRule>
  </conditionalFormatting>
  <conditionalFormatting sqref="I1154:K1155 I1156:J1156 I1157:K1157 I1162:K1162 I1167:K1167 I1172:K1172 I1177:K1177 I1182:K1182 I1187:K1187 I1188:J1188 I1189:K1189 I1194:K1194 I1195:J1195 I1196:K1196 I1201:K1201 I1202:J1202 I1203:K1203 I1208:K1208 I1209:J1209 I1210:K1210 I1215:K1215 I1216:J1216 I1217:K1217 I1222:K1222 I1227:K1227 I1228:J1228 I1229:K1229 I1234:K1234 M1154:M1155 M1157:M1162 M1189:M1194 M1196:M1201 M1203:M1208 M1210:M1215 M1217:M1222 M1229:M1234">
    <cfRule type="expression" priority="86994" dxfId="3">
      <formula>$H1154="ETAPA"</formula>
    </cfRule>
    <cfRule type="expression" priority="86993" dxfId="5">
      <formula>$H1154="CÉLULA CONSTRUTIVA"</formula>
    </cfRule>
  </conditionalFormatting>
  <conditionalFormatting sqref="I1154:K1155 I1156:J1156 I1157:K1157 I1162:K1162 I1167:K1167 I1172:K1172 I1177:K1177 I1182:K1182 I1187:K1187 I1188:J1188 I1189:K1189 I1194:K1194 I1195:J1195 I1196:K1196 I1201:K1201 I1202:J1202 I1203:K1203 I1208:K1208 I1209:J1209 I1210:K1210 I1215:K1215 I1216:J1216 I1217:K1217 I1222:K1222 I1227:K1227 I1228:J1228 I1229:K1229 I1234:K1234">
    <cfRule type="expression" priority="86995" dxfId="4">
      <formula>$H1154="SUBETAPA"</formula>
    </cfRule>
  </conditionalFormatting>
  <conditionalFormatting sqref="I1253:K1254 I1255:J1255 I1256:K1256">
    <cfRule type="expression" priority="2716" dxfId="4">
      <formula>$H1253="SUBETAPA"</formula>
    </cfRule>
  </conditionalFormatting>
  <conditionalFormatting sqref="I1253:K1254 I1255:J1255 I1256:K1256 M1253:M1254 M1256:M1257">
    <cfRule type="expression" priority="2715" dxfId="3">
      <formula>$H1253="ETAPA"</formula>
    </cfRule>
    <cfRule type="expression" priority="2702" dxfId="5">
      <formula>$H1253="CÉLULA CONSTRUTIVA"</formula>
    </cfRule>
  </conditionalFormatting>
  <conditionalFormatting sqref="I1267:K1268 I1269:J1269 I1270:K1270">
    <cfRule type="expression" priority="2785" dxfId="4">
      <formula>$H1267="SUBETAPA"</formula>
    </cfRule>
  </conditionalFormatting>
  <conditionalFormatting sqref="I1267:K1268 I1269:J1269 I1270:K1270 M1267:M1268 M1270:M1271">
    <cfRule type="expression" priority="2784" dxfId="3">
      <formula>$H1267="ETAPA"</formula>
    </cfRule>
    <cfRule type="expression" priority="2771" dxfId="5">
      <formula>$H1267="CÉLULA CONSTRUTIVA"</formula>
    </cfRule>
  </conditionalFormatting>
  <conditionalFormatting sqref="I1281:K1282 I1283:J1283 I1284:K1284">
    <cfRule type="expression" priority="2854" dxfId="4">
      <formula>$H1281="SUBETAPA"</formula>
    </cfRule>
  </conditionalFormatting>
  <conditionalFormatting sqref="I1281:K1282 I1283:J1283 I1284:K1284 M1281:M1282 M1284:M1285">
    <cfRule type="expression" priority="2853" dxfId="3">
      <formula>$H1281="ETAPA"</formula>
    </cfRule>
    <cfRule type="expression" priority="2840" dxfId="5">
      <formula>$H1281="CÉLULA CONSTRUTIVA"</formula>
    </cfRule>
  </conditionalFormatting>
  <conditionalFormatting sqref="I1295:K1296 I1297:J1297 I1298:K1298">
    <cfRule type="expression" priority="2923" dxfId="4">
      <formula>$H1295="SUBETAPA"</formula>
    </cfRule>
  </conditionalFormatting>
  <conditionalFormatting sqref="I1295:K1296 I1297:J1297 I1298:K1298 M1295:M1296 M1298:M1299">
    <cfRule type="expression" priority="2922" dxfId="3">
      <formula>$H1295="ETAPA"</formula>
    </cfRule>
    <cfRule type="expression" priority="2909" dxfId="5">
      <formula>$H1295="CÉLULA CONSTRUTIVA"</formula>
    </cfRule>
  </conditionalFormatting>
  <conditionalFormatting sqref="I1309:K1310 I1311:J1311 I1312:K1312">
    <cfRule type="expression" priority="2992" dxfId="4">
      <formula>$H1309="SUBETAPA"</formula>
    </cfRule>
  </conditionalFormatting>
  <conditionalFormatting sqref="I1309:K1310 I1311:J1311 I1312:K1312 M1309:M1310 M1313">
    <cfRule type="expression" priority="2991" dxfId="3">
      <formula>$H1309="ETAPA"</formula>
    </cfRule>
    <cfRule type="expression" priority="2978" dxfId="5">
      <formula>$H1309="CÉLULA CONSTRUTIVA"</formula>
    </cfRule>
  </conditionalFormatting>
  <conditionalFormatting sqref="I1323:K1324 I1325:J1325 I1326:K1326">
    <cfRule type="expression" priority="3061" dxfId="4">
      <formula>$H1323="SUBETAPA"</formula>
    </cfRule>
  </conditionalFormatting>
  <conditionalFormatting sqref="I1323:K1324 I1325:J1325 I1326:K1326 M1323:M1324 M1327">
    <cfRule type="expression" priority="3060" dxfId="3">
      <formula>$H1323="ETAPA"</formula>
    </cfRule>
    <cfRule type="expression" priority="3047" dxfId="5">
      <formula>$H1323="CÉLULA CONSTRUTIVA"</formula>
    </cfRule>
  </conditionalFormatting>
  <conditionalFormatting sqref="I1337:K1338 I1339:J1339 I1340:K1340">
    <cfRule type="expression" priority="3130" dxfId="4">
      <formula>$H1337="SUBETAPA"</formula>
    </cfRule>
  </conditionalFormatting>
  <conditionalFormatting sqref="I1337:K1338 I1339:J1339 I1340:K1340 M1337:M1338 M1340:M1341">
    <cfRule type="expression" priority="3129" dxfId="3">
      <formula>$H1337="ETAPA"</formula>
    </cfRule>
    <cfRule type="expression" priority="3116" dxfId="5">
      <formula>$H1337="CÉLULA CONSTRUTIVA"</formula>
    </cfRule>
  </conditionalFormatting>
  <conditionalFormatting sqref="I1351:K1352 I1353:J1353 I1354:K1354">
    <cfRule type="expression" priority="86723" dxfId="4">
      <formula>$H1351="SUBETAPA"</formula>
    </cfRule>
  </conditionalFormatting>
  <conditionalFormatting sqref="I1351:K1352 I1353:J1353 I1354:K1354 M1351:M1352 M1354:M1355">
    <cfRule type="expression" priority="86722" dxfId="3">
      <formula>$H1351="ETAPA"</formula>
    </cfRule>
    <cfRule type="expression" priority="86721" dxfId="5">
      <formula>$H1351="CÉLULA CONSTRUTIVA"</formula>
    </cfRule>
  </conditionalFormatting>
  <conditionalFormatting sqref="I26:L27">
    <cfRule type="expression" priority="50677" dxfId="4">
      <formula>$H26="SUBETAPA"</formula>
    </cfRule>
  </conditionalFormatting>
  <conditionalFormatting sqref="I42:L43">
    <cfRule type="expression" priority="50499" dxfId="4">
      <formula>$H42="SUBETAPA"</formula>
    </cfRule>
  </conditionalFormatting>
  <conditionalFormatting sqref="J32">
    <cfRule type="expression" priority="50636" dxfId="5">
      <formula>$H32="CÉLULA CONSTRUTIVA"</formula>
    </cfRule>
    <cfRule type="expression" priority="50637" dxfId="4">
      <formula>$H32="SUBETAPA"</formula>
    </cfRule>
  </conditionalFormatting>
  <conditionalFormatting sqref="H38:J38 J35:J36">
    <cfRule type="expression" priority="50566" dxfId="4">
      <formula>$H35="SUBETAPA"</formula>
    </cfRule>
  </conditionalFormatting>
  <conditionalFormatting sqref="J35:J36 J38">
    <cfRule type="expression" priority="50564" dxfId="5">
      <formula>$H35="CÉLULA CONSTRUTIVA"</formula>
    </cfRule>
  </conditionalFormatting>
  <conditionalFormatting sqref="J37">
    <cfRule type="expression" priority="46679" dxfId="5">
      <formula>$H37="CÉLULA CONSTRUTIVA"</formula>
    </cfRule>
    <cfRule type="expression" priority="46680" dxfId="3">
      <formula>$H37="ETAPA"</formula>
    </cfRule>
    <cfRule type="expression" priority="46681" dxfId="4">
      <formula>$H37="SUBETAPA"</formula>
    </cfRule>
  </conditionalFormatting>
  <conditionalFormatting sqref="H35:J36 J38">
    <cfRule type="expression" priority="50565" dxfId="3">
      <formula>$H35="ETAPA"</formula>
    </cfRule>
  </conditionalFormatting>
  <conditionalFormatting sqref="J40">
    <cfRule type="expression" priority="46089" dxfId="5">
      <formula>$H40="CÉLULA CONSTRUTIVA"</formula>
    </cfRule>
    <cfRule type="expression" priority="46090" dxfId="4">
      <formula>$H40="SUBETAPA"</formula>
    </cfRule>
    <cfRule type="expression" priority="46091" dxfId="3">
      <formula>$H40="ETAPA"</formula>
    </cfRule>
  </conditionalFormatting>
  <conditionalFormatting sqref="J45">
    <cfRule type="expression" priority="46421" dxfId="5">
      <formula>$H45="CÉLULA CONSTRUTIVA"</formula>
    </cfRule>
    <cfRule type="expression" priority="46422" dxfId="3">
      <formula>$H45="ETAPA"</formula>
    </cfRule>
    <cfRule type="expression" priority="46423" dxfId="4">
      <formula>$H45="SUBETAPA"</formula>
    </cfRule>
  </conditionalFormatting>
  <conditionalFormatting sqref="J46">
    <cfRule type="expression" priority="3989" dxfId="5">
      <formula>$H46="CÉLULA CONSTRUTIVA"</formula>
    </cfRule>
    <cfRule type="expression" priority="3990" dxfId="3">
      <formula>$H46="ETAPA"</formula>
    </cfRule>
    <cfRule type="expression" priority="3991" dxfId="4">
      <formula>$H46="SUBETAPA"</formula>
    </cfRule>
  </conditionalFormatting>
  <conditionalFormatting sqref="J50">
    <cfRule type="expression" priority="50458" dxfId="5">
      <formula>$H50="CÉLULA CONSTRUTIVA"</formula>
    </cfRule>
    <cfRule type="expression" priority="50459" dxfId="4">
      <formula>$H50="SUBETAPA"</formula>
    </cfRule>
  </conditionalFormatting>
  <conditionalFormatting sqref="J61">
    <cfRule type="expression" priority="46086" dxfId="5">
      <formula>$H61="CÉLULA CONSTRUTIVA"</formula>
    </cfRule>
    <cfRule type="expression" priority="46087" dxfId="4">
      <formula>$H61="SUBETAPA"</formula>
    </cfRule>
    <cfRule type="expression" priority="46088" dxfId="3">
      <formula>$H61="ETAPA"</formula>
    </cfRule>
  </conditionalFormatting>
  <conditionalFormatting sqref="J88">
    <cfRule type="expression" priority="46080" dxfId="5">
      <formula>$H88="CÉLULA CONSTRUTIVA"</formula>
    </cfRule>
    <cfRule type="expression" priority="46081" dxfId="4">
      <formula>$H88="SUBETAPA"</formula>
    </cfRule>
    <cfRule type="expression" priority="46082" dxfId="3">
      <formula>$H88="ETAPA"</formula>
    </cfRule>
  </conditionalFormatting>
  <conditionalFormatting sqref="J90">
    <cfRule type="expression" priority="46083" dxfId="5">
      <formula>$H90="CÉLULA CONSTRUTIVA"</formula>
    </cfRule>
    <cfRule type="expression" priority="46084" dxfId="4">
      <formula>$H90="SUBETAPA"</formula>
    </cfRule>
    <cfRule type="expression" priority="46085" dxfId="3">
      <formula>$H90="ETAPA"</formula>
    </cfRule>
  </conditionalFormatting>
  <conditionalFormatting sqref="J157">
    <cfRule type="expression" priority="49690" dxfId="5">
      <formula>$H157="CÉLULA CONSTRUTIVA"</formula>
    </cfRule>
    <cfRule type="expression" priority="49691" dxfId="4">
      <formula>$H157="SUBETAPA"</formula>
    </cfRule>
    <cfRule type="expression" priority="49692" dxfId="3">
      <formula>$H157="ETAPA"</formula>
    </cfRule>
  </conditionalFormatting>
  <conditionalFormatting sqref="J167">
    <cfRule type="expression" priority="49604" dxfId="5">
      <formula>$H167="CÉLULA CONSTRUTIVA"</formula>
    </cfRule>
    <cfRule type="expression" priority="49605" dxfId="4">
      <formula>$H167="SUBETAPA"</formula>
    </cfRule>
    <cfRule type="expression" priority="49606" dxfId="3">
      <formula>$H167="ETAPA"</formula>
    </cfRule>
  </conditionalFormatting>
  <conditionalFormatting sqref="J303">
    <cfRule type="expression" priority="46252" dxfId="5">
      <formula>$H303="CÉLULA CONSTRUTIVA"</formula>
    </cfRule>
    <cfRule type="expression" priority="46253" dxfId="4">
      <formula>$H303="SUBETAPA"</formula>
    </cfRule>
    <cfRule type="expression" priority="46254" dxfId="3">
      <formula>$H303="ETAPA"</formula>
    </cfRule>
  </conditionalFormatting>
  <conditionalFormatting sqref="J308">
    <cfRule type="expression" priority="46854" dxfId="5">
      <formula>$H308="CÉLULA CONSTRUTIVA"</formula>
    </cfRule>
    <cfRule type="expression" priority="46855" dxfId="4">
      <formula>$H308="SUBETAPA"</formula>
    </cfRule>
    <cfRule type="expression" priority="46856" dxfId="3">
      <formula>$H308="ETAPA"</formula>
    </cfRule>
  </conditionalFormatting>
  <conditionalFormatting sqref="J317">
    <cfRule type="expression" priority="48361" dxfId="5">
      <formula>$H317="CÉLULA CONSTRUTIVA"</formula>
    </cfRule>
    <cfRule type="expression" priority="48362" dxfId="4">
      <formula>$H317="SUBETAPA"</formula>
    </cfRule>
    <cfRule type="expression" priority="48363" dxfId="3">
      <formula>$H317="ETAPA"</formula>
    </cfRule>
  </conditionalFormatting>
  <conditionalFormatting sqref="J321">
    <cfRule type="expression" priority="48275" dxfId="5">
      <formula>$H321="CÉLULA CONSTRUTIVA"</formula>
    </cfRule>
    <cfRule type="expression" priority="48276" dxfId="4">
      <formula>$H321="SUBETAPA"</formula>
    </cfRule>
    <cfRule type="expression" priority="48277" dxfId="3">
      <formula>$H321="ETAPA"</formula>
    </cfRule>
  </conditionalFormatting>
  <conditionalFormatting sqref="J325">
    <cfRule type="expression" priority="48189" dxfId="5">
      <formula>$H325="CÉLULA CONSTRUTIVA"</formula>
    </cfRule>
    <cfRule type="expression" priority="48190" dxfId="4">
      <formula>$H325="SUBETAPA"</formula>
    </cfRule>
    <cfRule type="expression" priority="48191" dxfId="3">
      <formula>$H325="ETAPA"</formula>
    </cfRule>
  </conditionalFormatting>
  <conditionalFormatting sqref="J331">
    <cfRule type="expression" priority="48106" dxfId="5">
      <formula>$H331="CÉLULA CONSTRUTIVA"</formula>
    </cfRule>
    <cfRule type="expression" priority="48107" dxfId="4">
      <formula>$H331="SUBETAPA"</formula>
    </cfRule>
    <cfRule type="expression" priority="48108" dxfId="3">
      <formula>$H331="ETAPA"</formula>
    </cfRule>
  </conditionalFormatting>
  <conditionalFormatting sqref="J335">
    <cfRule type="expression" priority="48024" dxfId="5">
      <formula>$H335="CÉLULA CONSTRUTIVA"</formula>
    </cfRule>
    <cfRule type="expression" priority="48025" dxfId="4">
      <formula>$H335="SUBETAPA"</formula>
    </cfRule>
    <cfRule type="expression" priority="48026" dxfId="3">
      <formula>$H335="ETAPA"</formula>
    </cfRule>
  </conditionalFormatting>
  <conditionalFormatting sqref="J339">
    <cfRule type="expression" priority="47942" dxfId="5">
      <formula>$H339="CÉLULA CONSTRUTIVA"</formula>
    </cfRule>
    <cfRule type="expression" priority="47943" dxfId="4">
      <formula>$H339="SUBETAPA"</formula>
    </cfRule>
    <cfRule type="expression" priority="47944" dxfId="3">
      <formula>$H339="ETAPA"</formula>
    </cfRule>
  </conditionalFormatting>
  <conditionalFormatting sqref="J343">
    <cfRule type="expression" priority="47858" dxfId="5">
      <formula>$H343="CÉLULA CONSTRUTIVA"</formula>
    </cfRule>
    <cfRule type="expression" priority="47859" dxfId="4">
      <formula>$H343="SUBETAPA"</formula>
    </cfRule>
    <cfRule type="expression" priority="47860" dxfId="3">
      <formula>$H343="ETAPA"</formula>
    </cfRule>
  </conditionalFormatting>
  <conditionalFormatting sqref="J350">
    <cfRule type="expression" priority="47163" dxfId="5">
      <formula>$H350="CÉLULA CONSTRUTIVA"</formula>
    </cfRule>
    <cfRule type="expression" priority="47164" dxfId="4">
      <formula>$H350="SUBETAPA"</formula>
    </cfRule>
    <cfRule type="expression" priority="47165" dxfId="3">
      <formula>$H350="ETAPA"</formula>
    </cfRule>
  </conditionalFormatting>
  <conditionalFormatting sqref="J352">
    <cfRule type="expression" priority="47160" dxfId="5">
      <formula>$H352="CÉLULA CONSTRUTIVA"</formula>
    </cfRule>
    <cfRule type="expression" priority="47161" dxfId="4">
      <formula>$H352="SUBETAPA"</formula>
    </cfRule>
    <cfRule type="expression" priority="47162" dxfId="3">
      <formula>$H352="ETAPA"</formula>
    </cfRule>
  </conditionalFormatting>
  <conditionalFormatting sqref="J354">
    <cfRule type="expression" priority="47157" dxfId="5">
      <formula>$H354="CÉLULA CONSTRUTIVA"</formula>
    </cfRule>
    <cfRule type="expression" priority="47158" dxfId="4">
      <formula>$H354="SUBETAPA"</formula>
    </cfRule>
    <cfRule type="expression" priority="47159" dxfId="3">
      <formula>$H354="ETAPA"</formula>
    </cfRule>
  </conditionalFormatting>
  <conditionalFormatting sqref="J356">
    <cfRule type="expression" priority="47154" dxfId="5">
      <formula>$H356="CÉLULA CONSTRUTIVA"</formula>
    </cfRule>
    <cfRule type="expression" priority="47155" dxfId="4">
      <formula>$H356="SUBETAPA"</formula>
    </cfRule>
    <cfRule type="expression" priority="47156" dxfId="3">
      <formula>$H356="ETAPA"</formula>
    </cfRule>
  </conditionalFormatting>
  <conditionalFormatting sqref="J358">
    <cfRule type="expression" priority="47151" dxfId="5">
      <formula>$H358="CÉLULA CONSTRUTIVA"</formula>
    </cfRule>
    <cfRule type="expression" priority="47152" dxfId="4">
      <formula>$H358="SUBETAPA"</formula>
    </cfRule>
    <cfRule type="expression" priority="47153" dxfId="3">
      <formula>$H358="ETAPA"</formula>
    </cfRule>
  </conditionalFormatting>
  <conditionalFormatting sqref="J360">
    <cfRule type="expression" priority="46157" dxfId="5">
      <formula>$H360="CÉLULA CONSTRUTIVA"</formula>
    </cfRule>
    <cfRule type="expression" priority="46158" dxfId="4">
      <formula>$H360="SUBETAPA"</formula>
    </cfRule>
    <cfRule type="expression" priority="46159" dxfId="3">
      <formula>$H360="ETAPA"</formula>
    </cfRule>
  </conditionalFormatting>
  <conditionalFormatting sqref="J362">
    <cfRule type="expression" priority="47148" dxfId="5">
      <formula>$H362="CÉLULA CONSTRUTIVA"</formula>
    </cfRule>
    <cfRule type="expression" priority="47149" dxfId="4">
      <formula>$H362="SUBETAPA"</formula>
    </cfRule>
    <cfRule type="expression" priority="47150" dxfId="3">
      <formula>$H362="ETAPA"</formula>
    </cfRule>
  </conditionalFormatting>
  <conditionalFormatting sqref="J364">
    <cfRule type="expression" priority="47145" dxfId="5">
      <formula>$H364="CÉLULA CONSTRUTIVA"</formula>
    </cfRule>
    <cfRule type="expression" priority="47146" dxfId="4">
      <formula>$H364="SUBETAPA"</formula>
    </cfRule>
    <cfRule type="expression" priority="47147" dxfId="3">
      <formula>$H364="ETAPA"</formula>
    </cfRule>
  </conditionalFormatting>
  <conditionalFormatting sqref="J366">
    <cfRule type="expression" priority="47142" dxfId="5">
      <formula>$H366="CÉLULA CONSTRUTIVA"</formula>
    </cfRule>
    <cfRule type="expression" priority="47143" dxfId="4">
      <formula>$H366="SUBETAPA"</formula>
    </cfRule>
    <cfRule type="expression" priority="47144" dxfId="3">
      <formula>$H366="ETAPA"</formula>
    </cfRule>
  </conditionalFormatting>
  <conditionalFormatting sqref="J368">
    <cfRule type="expression" priority="47139" dxfId="5">
      <formula>$H368="CÉLULA CONSTRUTIVA"</formula>
    </cfRule>
    <cfRule type="expression" priority="47140" dxfId="4">
      <formula>$H368="SUBETAPA"</formula>
    </cfRule>
    <cfRule type="expression" priority="47141" dxfId="3">
      <formula>$H368="ETAPA"</formula>
    </cfRule>
  </conditionalFormatting>
  <conditionalFormatting sqref="J370">
    <cfRule type="expression" priority="47136" dxfId="5">
      <formula>$H370="CÉLULA CONSTRUTIVA"</formula>
    </cfRule>
    <cfRule type="expression" priority="47137" dxfId="4">
      <formula>$H370="SUBETAPA"</formula>
    </cfRule>
    <cfRule type="expression" priority="47138" dxfId="3">
      <formula>$H370="ETAPA"</formula>
    </cfRule>
  </conditionalFormatting>
  <conditionalFormatting sqref="J372">
    <cfRule type="expression" priority="47133" dxfId="5">
      <formula>$H372="CÉLULA CONSTRUTIVA"</formula>
    </cfRule>
    <cfRule type="expression" priority="47134" dxfId="4">
      <formula>$H372="SUBETAPA"</formula>
    </cfRule>
    <cfRule type="expression" priority="47135" dxfId="3">
      <formula>$H372="ETAPA"</formula>
    </cfRule>
  </conditionalFormatting>
  <conditionalFormatting sqref="J374">
    <cfRule type="expression" priority="47130" dxfId="5">
      <formula>$H374="CÉLULA CONSTRUTIVA"</formula>
    </cfRule>
    <cfRule type="expression" priority="47131" dxfId="4">
      <formula>$H374="SUBETAPA"</formula>
    </cfRule>
    <cfRule type="expression" priority="47132" dxfId="3">
      <formula>$H374="ETAPA"</formula>
    </cfRule>
  </conditionalFormatting>
  <conditionalFormatting sqref="J376">
    <cfRule type="expression" priority="47127" dxfId="5">
      <formula>$H376="CÉLULA CONSTRUTIVA"</formula>
    </cfRule>
    <cfRule type="expression" priority="47128" dxfId="4">
      <formula>$H376="SUBETAPA"</formula>
    </cfRule>
    <cfRule type="expression" priority="47129" dxfId="3">
      <formula>$H376="ETAPA"</formula>
    </cfRule>
  </conditionalFormatting>
  <conditionalFormatting sqref="J378">
    <cfRule type="expression" priority="47124" dxfId="5">
      <formula>$H378="CÉLULA CONSTRUTIVA"</formula>
    </cfRule>
    <cfRule type="expression" priority="47125" dxfId="4">
      <formula>$H378="SUBETAPA"</formula>
    </cfRule>
    <cfRule type="expression" priority="47126" dxfId="3">
      <formula>$H378="ETAPA"</formula>
    </cfRule>
  </conditionalFormatting>
  <conditionalFormatting sqref="J389">
    <cfRule type="expression" priority="99333" dxfId="4">
      <formula>$H389="SUBETAPA"</formula>
    </cfRule>
    <cfRule type="expression" priority="99334" dxfId="5">
      <formula>$H389="CÉLULA CONSTRUTIVA"</formula>
    </cfRule>
  </conditionalFormatting>
  <conditionalFormatting sqref="J393">
    <cfRule type="expression" priority="7586" dxfId="4">
      <formula>$H393="SUBETAPA"</formula>
    </cfRule>
    <cfRule type="expression" priority="7587" dxfId="5">
      <formula>$H393="CÉLULA CONSTRUTIVA"</formula>
    </cfRule>
  </conditionalFormatting>
  <conditionalFormatting sqref="J396">
    <cfRule type="expression" priority="99287" dxfId="4">
      <formula>$H396="SUBETAPA"</formula>
    </cfRule>
    <cfRule type="expression" priority="99288" dxfId="5">
      <formula>$H396="CÉLULA CONSTRUTIVA"</formula>
    </cfRule>
  </conditionalFormatting>
  <conditionalFormatting sqref="J397">
    <cfRule type="expression" priority="99289" dxfId="4">
      <formula>$H397="SUBETAPA"</formula>
    </cfRule>
    <cfRule type="expression" priority="99290" dxfId="5">
      <formula>$H397="CÉLULA CONSTRUTIVA"</formula>
    </cfRule>
  </conditionalFormatting>
  <conditionalFormatting sqref="J398">
    <cfRule type="expression" priority="7528" dxfId="4">
      <formula>$H398="SUBETAPA"</formula>
    </cfRule>
    <cfRule type="expression" priority="7529" dxfId="5">
      <formula>$H398="CÉLULA CONSTRUTIVA"</formula>
    </cfRule>
    <cfRule type="expression" priority="7530" dxfId="3">
      <formula>$H398="ETAPA"</formula>
    </cfRule>
  </conditionalFormatting>
  <conditionalFormatting sqref="J406">
    <cfRule type="expression" priority="99428" dxfId="4">
      <formula>$H406="SUBETAPA"</formula>
    </cfRule>
    <cfRule type="expression" priority="99429" dxfId="5">
      <formula>$H406="CÉLULA CONSTRUTIVA"</formula>
    </cfRule>
  </conditionalFormatting>
  <conditionalFormatting sqref="J409">
    <cfRule type="expression" priority="7549" dxfId="4">
      <formula>$H409="SUBETAPA"</formula>
    </cfRule>
    <cfRule type="expression" priority="7550" dxfId="5">
      <formula>$H409="CÉLULA CONSTRUTIVA"</formula>
    </cfRule>
  </conditionalFormatting>
  <conditionalFormatting sqref="J409:J410">
    <cfRule type="expression" priority="7551" dxfId="4">
      <formula>$H409="SUBETAPA"</formula>
    </cfRule>
    <cfRule type="expression" priority="7552" dxfId="5">
      <formula>$H409="CÉLULA CONSTRUTIVA"</formula>
    </cfRule>
  </conditionalFormatting>
  <conditionalFormatting sqref="J413">
    <cfRule type="expression" priority="99382" dxfId="4">
      <formula>$H413="SUBETAPA"</formula>
    </cfRule>
    <cfRule type="expression" priority="99383" dxfId="5">
      <formula>$H413="CÉLULA CONSTRUTIVA"</formula>
    </cfRule>
  </conditionalFormatting>
  <conditionalFormatting sqref="J414">
    <cfRule type="expression" priority="99384" dxfId="4">
      <formula>$H414="SUBETAPA"</formula>
    </cfRule>
    <cfRule type="expression" priority="99385" dxfId="5">
      <formula>$H414="CÉLULA CONSTRUTIVA"</formula>
    </cfRule>
  </conditionalFormatting>
  <conditionalFormatting sqref="J415">
    <cfRule type="expression" priority="7531" dxfId="4">
      <formula>$H415="SUBETAPA"</formula>
    </cfRule>
    <cfRule type="expression" priority="7532" dxfId="5">
      <formula>$H415="CÉLULA CONSTRUTIVA"</formula>
    </cfRule>
    <cfRule type="expression" priority="7533" dxfId="3">
      <formula>$H415="ETAPA"</formula>
    </cfRule>
  </conditionalFormatting>
  <conditionalFormatting sqref="J423">
    <cfRule type="expression" priority="99523" dxfId="4">
      <formula>$H423="SUBETAPA"</formula>
    </cfRule>
    <cfRule type="expression" priority="99524" dxfId="5">
      <formula>$H423="CÉLULA CONSTRUTIVA"</formula>
    </cfRule>
  </conditionalFormatting>
  <conditionalFormatting sqref="J426">
    <cfRule type="expression" priority="7499" dxfId="4">
      <formula>$H426="SUBETAPA"</formula>
    </cfRule>
    <cfRule type="expression" priority="7500" dxfId="5">
      <formula>$H426="CÉLULA CONSTRUTIVA"</formula>
    </cfRule>
  </conditionalFormatting>
  <conditionalFormatting sqref="J429">
    <cfRule type="expression" priority="99477" dxfId="4">
      <formula>$H429="SUBETAPA"</formula>
    </cfRule>
    <cfRule type="expression" priority="99478" dxfId="5">
      <formula>$H429="CÉLULA CONSTRUTIVA"</formula>
    </cfRule>
  </conditionalFormatting>
  <conditionalFormatting sqref="J430">
    <cfRule type="expression" priority="99479" dxfId="4">
      <formula>$H430="SUBETAPA"</formula>
    </cfRule>
    <cfRule type="expression" priority="99480" dxfId="5">
      <formula>$H430="CÉLULA CONSTRUTIVA"</formula>
    </cfRule>
  </conditionalFormatting>
  <conditionalFormatting sqref="J431">
    <cfRule type="expression" priority="7504" dxfId="4">
      <formula>$H431="SUBETAPA"</formula>
    </cfRule>
    <cfRule type="expression" priority="7505" dxfId="5">
      <formula>$H431="CÉLULA CONSTRUTIVA"</formula>
    </cfRule>
    <cfRule type="expression" priority="7506" dxfId="3">
      <formula>$H431="ETAPA"</formula>
    </cfRule>
  </conditionalFormatting>
  <conditionalFormatting sqref="J439">
    <cfRule type="expression" priority="99618" dxfId="4">
      <formula>$H439="SUBETAPA"</formula>
    </cfRule>
    <cfRule type="expression" priority="99619" dxfId="5">
      <formula>$H439="CÉLULA CONSTRUTIVA"</formula>
    </cfRule>
  </conditionalFormatting>
  <conditionalFormatting sqref="J442">
    <cfRule type="expression" priority="7492" dxfId="4">
      <formula>$H442="SUBETAPA"</formula>
    </cfRule>
    <cfRule type="expression" priority="7493" dxfId="5">
      <formula>$H442="CÉLULA CONSTRUTIVA"</formula>
    </cfRule>
  </conditionalFormatting>
  <conditionalFormatting sqref="J445">
    <cfRule type="expression" priority="99572" dxfId="4">
      <formula>$H445="SUBETAPA"</formula>
    </cfRule>
    <cfRule type="expression" priority="99573" dxfId="5">
      <formula>$H445="CÉLULA CONSTRUTIVA"</formula>
    </cfRule>
  </conditionalFormatting>
  <conditionalFormatting sqref="J446">
    <cfRule type="expression" priority="99574" dxfId="4">
      <formula>$H446="SUBETAPA"</formula>
    </cfRule>
    <cfRule type="expression" priority="99575" dxfId="5">
      <formula>$H446="CÉLULA CONSTRUTIVA"</formula>
    </cfRule>
  </conditionalFormatting>
  <conditionalFormatting sqref="J447">
    <cfRule type="expression" priority="7466" dxfId="4">
      <formula>$H447="SUBETAPA"</formula>
    </cfRule>
    <cfRule type="expression" priority="7467" dxfId="5">
      <formula>$H447="CÉLULA CONSTRUTIVA"</formula>
    </cfRule>
    <cfRule type="expression" priority="7468" dxfId="3">
      <formula>$H447="ETAPA"</formula>
    </cfRule>
  </conditionalFormatting>
  <conditionalFormatting sqref="J455">
    <cfRule type="expression" priority="99713" dxfId="4">
      <formula>$H455="SUBETAPA"</formula>
    </cfRule>
    <cfRule type="expression" priority="99714" dxfId="5">
      <formula>$H455="CÉLULA CONSTRUTIVA"</formula>
    </cfRule>
  </conditionalFormatting>
  <conditionalFormatting sqref="J458">
    <cfRule type="expression" priority="7461" dxfId="4">
      <formula>$H458="SUBETAPA"</formula>
    </cfRule>
    <cfRule type="expression" priority="7462" dxfId="5">
      <formula>$H458="CÉLULA CONSTRUTIVA"</formula>
    </cfRule>
  </conditionalFormatting>
  <conditionalFormatting sqref="J462">
    <cfRule type="expression" priority="99667" dxfId="4">
      <formula>$H462="SUBETAPA"</formula>
    </cfRule>
    <cfRule type="expression" priority="99668" dxfId="5">
      <formula>$H462="CÉLULA CONSTRUTIVA"</formula>
    </cfRule>
  </conditionalFormatting>
  <conditionalFormatting sqref="J463">
    <cfRule type="expression" priority="99669" dxfId="4">
      <formula>$H463="SUBETAPA"</formula>
    </cfRule>
    <cfRule type="expression" priority="99670" dxfId="5">
      <formula>$H463="CÉLULA CONSTRUTIVA"</formula>
    </cfRule>
  </conditionalFormatting>
  <conditionalFormatting sqref="J464">
    <cfRule type="expression" priority="7435" dxfId="4">
      <formula>$H464="SUBETAPA"</formula>
    </cfRule>
    <cfRule type="expression" priority="7436" dxfId="5">
      <formula>$H464="CÉLULA CONSTRUTIVA"</formula>
    </cfRule>
    <cfRule type="expression" priority="7437" dxfId="3">
      <formula>$H464="ETAPA"</formula>
    </cfRule>
  </conditionalFormatting>
  <conditionalFormatting sqref="J472">
    <cfRule type="expression" priority="99808" dxfId="4">
      <formula>$H472="SUBETAPA"</formula>
    </cfRule>
    <cfRule type="expression" priority="99809" dxfId="5">
      <formula>$H472="CÉLULA CONSTRUTIVA"</formula>
    </cfRule>
  </conditionalFormatting>
  <conditionalFormatting sqref="J475">
    <cfRule type="expression" priority="7430" dxfId="4">
      <formula>$H475="SUBETAPA"</formula>
    </cfRule>
    <cfRule type="expression" priority="7431" dxfId="5">
      <formula>$H475="CÉLULA CONSTRUTIVA"</formula>
    </cfRule>
  </conditionalFormatting>
  <conditionalFormatting sqref="J479">
    <cfRule type="expression" priority="99762" dxfId="4">
      <formula>$H479="SUBETAPA"</formula>
    </cfRule>
    <cfRule type="expression" priority="99763" dxfId="5">
      <formula>$H479="CÉLULA CONSTRUTIVA"</formula>
    </cfRule>
  </conditionalFormatting>
  <conditionalFormatting sqref="J480">
    <cfRule type="expression" priority="99764" dxfId="4">
      <formula>$H480="SUBETAPA"</formula>
    </cfRule>
    <cfRule type="expression" priority="99765" dxfId="5">
      <formula>$H480="CÉLULA CONSTRUTIVA"</formula>
    </cfRule>
  </conditionalFormatting>
  <conditionalFormatting sqref="J481">
    <cfRule type="expression" priority="7404" dxfId="4">
      <formula>$H481="SUBETAPA"</formula>
    </cfRule>
    <cfRule type="expression" priority="7405" dxfId="5">
      <formula>$H481="CÉLULA CONSTRUTIVA"</formula>
    </cfRule>
    <cfRule type="expression" priority="7406" dxfId="3">
      <formula>$H481="ETAPA"</formula>
    </cfRule>
  </conditionalFormatting>
  <conditionalFormatting sqref="J489">
    <cfRule type="expression" priority="99903" dxfId="4">
      <formula>$H489="SUBETAPA"</formula>
    </cfRule>
    <cfRule type="expression" priority="99904" dxfId="5">
      <formula>$H489="CÉLULA CONSTRUTIVA"</formula>
    </cfRule>
  </conditionalFormatting>
  <conditionalFormatting sqref="J492">
    <cfRule type="expression" priority="7399" dxfId="4">
      <formula>$H492="SUBETAPA"</formula>
    </cfRule>
    <cfRule type="expression" priority="7400" dxfId="5">
      <formula>$H492="CÉLULA CONSTRUTIVA"</formula>
    </cfRule>
  </conditionalFormatting>
  <conditionalFormatting sqref="J496">
    <cfRule type="expression" priority="99857" dxfId="4">
      <formula>$H496="SUBETAPA"</formula>
    </cfRule>
    <cfRule type="expression" priority="99858" dxfId="5">
      <formula>$H496="CÉLULA CONSTRUTIVA"</formula>
    </cfRule>
  </conditionalFormatting>
  <conditionalFormatting sqref="J497">
    <cfRule type="expression" priority="99859" dxfId="4">
      <formula>$H497="SUBETAPA"</formula>
    </cfRule>
    <cfRule type="expression" priority="99860" dxfId="5">
      <formula>$H497="CÉLULA CONSTRUTIVA"</formula>
    </cfRule>
  </conditionalFormatting>
  <conditionalFormatting sqref="J498">
    <cfRule type="expression" priority="7373" dxfId="4">
      <formula>$H498="SUBETAPA"</formula>
    </cfRule>
    <cfRule type="expression" priority="7374" dxfId="5">
      <formula>$H498="CÉLULA CONSTRUTIVA"</formula>
    </cfRule>
    <cfRule type="expression" priority="7375" dxfId="3">
      <formula>$H498="ETAPA"</formula>
    </cfRule>
  </conditionalFormatting>
  <conditionalFormatting sqref="J506">
    <cfRule type="expression" priority="99998" dxfId="4">
      <formula>$H506="SUBETAPA"</formula>
    </cfRule>
    <cfRule type="expression" priority="99999" dxfId="5">
      <formula>$H506="CÉLULA CONSTRUTIVA"</formula>
    </cfRule>
  </conditionalFormatting>
  <conditionalFormatting sqref="J510">
    <cfRule type="expression" priority="7368" dxfId="4">
      <formula>$H510="SUBETAPA"</formula>
    </cfRule>
    <cfRule type="expression" priority="7369" dxfId="5">
      <formula>$H510="CÉLULA CONSTRUTIVA"</formula>
    </cfRule>
  </conditionalFormatting>
  <conditionalFormatting sqref="J514">
    <cfRule type="expression" priority="99952" dxfId="4">
      <formula>$H514="SUBETAPA"</formula>
    </cfRule>
    <cfRule type="expression" priority="99953" dxfId="5">
      <formula>$H514="CÉLULA CONSTRUTIVA"</formula>
    </cfRule>
  </conditionalFormatting>
  <conditionalFormatting sqref="J515">
    <cfRule type="expression" priority="99954" dxfId="4">
      <formula>$H515="SUBETAPA"</formula>
    </cfRule>
    <cfRule type="expression" priority="99955" dxfId="5">
      <formula>$H515="CÉLULA CONSTRUTIVA"</formula>
    </cfRule>
  </conditionalFormatting>
  <conditionalFormatting sqref="J516">
    <cfRule type="expression" priority="7342" dxfId="4">
      <formula>$H516="SUBETAPA"</formula>
    </cfRule>
    <cfRule type="expression" priority="7343" dxfId="5">
      <formula>$H516="CÉLULA CONSTRUTIVA"</formula>
    </cfRule>
    <cfRule type="expression" priority="7344" dxfId="3">
      <formula>$H516="ETAPA"</formula>
    </cfRule>
  </conditionalFormatting>
  <conditionalFormatting sqref="J524">
    <cfRule type="expression" priority="100093" dxfId="4">
      <formula>$H524="SUBETAPA"</formula>
    </cfRule>
    <cfRule type="expression" priority="100094" dxfId="5">
      <formula>$H524="CÉLULA CONSTRUTIVA"</formula>
    </cfRule>
  </conditionalFormatting>
  <conditionalFormatting sqref="J529">
    <cfRule type="expression" priority="7337" dxfId="4">
      <formula>$H529="SUBETAPA"</formula>
    </cfRule>
    <cfRule type="expression" priority="7338" dxfId="5">
      <formula>$H529="CÉLULA CONSTRUTIVA"</formula>
    </cfRule>
  </conditionalFormatting>
  <conditionalFormatting sqref="J532">
    <cfRule type="expression" priority="100047" dxfId="4">
      <formula>$H532="SUBETAPA"</formula>
    </cfRule>
    <cfRule type="expression" priority="100048" dxfId="5">
      <formula>$H532="CÉLULA CONSTRUTIVA"</formula>
    </cfRule>
  </conditionalFormatting>
  <conditionalFormatting sqref="J533">
    <cfRule type="expression" priority="100049" dxfId="4">
      <formula>$H533="SUBETAPA"</formula>
    </cfRule>
    <cfRule type="expression" priority="100050" dxfId="5">
      <formula>$H533="CÉLULA CONSTRUTIVA"</formula>
    </cfRule>
  </conditionalFormatting>
  <conditionalFormatting sqref="J534">
    <cfRule type="expression" priority="7311" dxfId="4">
      <formula>$H534="SUBETAPA"</formula>
    </cfRule>
    <cfRule type="expression" priority="7312" dxfId="5">
      <formula>$H534="CÉLULA CONSTRUTIVA"</formula>
    </cfRule>
    <cfRule type="expression" priority="7313" dxfId="3">
      <formula>$H534="ETAPA"</formula>
    </cfRule>
  </conditionalFormatting>
  <conditionalFormatting sqref="J542">
    <cfRule type="expression" priority="100188" dxfId="4">
      <formula>$H542="SUBETAPA"</formula>
    </cfRule>
    <cfRule type="expression" priority="100189" dxfId="5">
      <formula>$H542="CÉLULA CONSTRUTIVA"</formula>
    </cfRule>
  </conditionalFormatting>
  <conditionalFormatting sqref="J547">
    <cfRule type="expression" priority="7306" dxfId="4">
      <formula>$H547="SUBETAPA"</formula>
    </cfRule>
    <cfRule type="expression" priority="7307" dxfId="5">
      <formula>$H547="CÉLULA CONSTRUTIVA"</formula>
    </cfRule>
  </conditionalFormatting>
  <conditionalFormatting sqref="J550">
    <cfRule type="expression" priority="100142" dxfId="4">
      <formula>$H550="SUBETAPA"</formula>
    </cfRule>
    <cfRule type="expression" priority="100143" dxfId="5">
      <formula>$H550="CÉLULA CONSTRUTIVA"</formula>
    </cfRule>
  </conditionalFormatting>
  <conditionalFormatting sqref="J551">
    <cfRule type="expression" priority="100144" dxfId="4">
      <formula>$H551="SUBETAPA"</formula>
    </cfRule>
    <cfRule type="expression" priority="100145" dxfId="5">
      <formula>$H551="CÉLULA CONSTRUTIVA"</formula>
    </cfRule>
  </conditionalFormatting>
  <conditionalFormatting sqref="J552">
    <cfRule type="expression" priority="7280" dxfId="4">
      <formula>$H552="SUBETAPA"</formula>
    </cfRule>
    <cfRule type="expression" priority="7281" dxfId="5">
      <formula>$H552="CÉLULA CONSTRUTIVA"</formula>
    </cfRule>
    <cfRule type="expression" priority="7282" dxfId="3">
      <formula>$H552="ETAPA"</formula>
    </cfRule>
  </conditionalFormatting>
  <conditionalFormatting sqref="J560">
    <cfRule type="expression" priority="100283" dxfId="4">
      <formula>$H560="SUBETAPA"</formula>
    </cfRule>
    <cfRule type="expression" priority="100284" dxfId="5">
      <formula>$H560="CÉLULA CONSTRUTIVA"</formula>
    </cfRule>
  </conditionalFormatting>
  <conditionalFormatting sqref="J565">
    <cfRule type="expression" priority="7275" dxfId="4">
      <formula>$H565="SUBETAPA"</formula>
    </cfRule>
    <cfRule type="expression" priority="7276" dxfId="5">
      <formula>$H565="CÉLULA CONSTRUTIVA"</formula>
    </cfRule>
  </conditionalFormatting>
  <conditionalFormatting sqref="J568">
    <cfRule type="expression" priority="100237" dxfId="4">
      <formula>$H568="SUBETAPA"</formula>
    </cfRule>
    <cfRule type="expression" priority="100238" dxfId="5">
      <formula>$H568="CÉLULA CONSTRUTIVA"</formula>
    </cfRule>
  </conditionalFormatting>
  <conditionalFormatting sqref="J569">
    <cfRule type="expression" priority="100239" dxfId="4">
      <formula>$H569="SUBETAPA"</formula>
    </cfRule>
    <cfRule type="expression" priority="100240" dxfId="5">
      <formula>$H569="CÉLULA CONSTRUTIVA"</formula>
    </cfRule>
  </conditionalFormatting>
  <conditionalFormatting sqref="J570">
    <cfRule type="expression" priority="7249" dxfId="4">
      <formula>$H570="SUBETAPA"</formula>
    </cfRule>
    <cfRule type="expression" priority="7250" dxfId="5">
      <formula>$H570="CÉLULA CONSTRUTIVA"</formula>
    </cfRule>
    <cfRule type="expression" priority="7251" dxfId="3">
      <formula>$H570="ETAPA"</formula>
    </cfRule>
  </conditionalFormatting>
  <conditionalFormatting sqref="J578">
    <cfRule type="expression" priority="100378" dxfId="4">
      <formula>$H578="SUBETAPA"</formula>
    </cfRule>
    <cfRule type="expression" priority="100379" dxfId="5">
      <formula>$H578="CÉLULA CONSTRUTIVA"</formula>
    </cfRule>
  </conditionalFormatting>
  <conditionalFormatting sqref="J584">
    <cfRule type="expression" priority="100332" dxfId="4">
      <formula>$H584="SUBETAPA"</formula>
    </cfRule>
    <cfRule type="expression" priority="100333" dxfId="5">
      <formula>$H584="CÉLULA CONSTRUTIVA"</formula>
    </cfRule>
  </conditionalFormatting>
  <conditionalFormatting sqref="J585">
    <cfRule type="expression" priority="100334" dxfId="4">
      <formula>$H585="SUBETAPA"</formula>
    </cfRule>
    <cfRule type="expression" priority="100335" dxfId="5">
      <formula>$H585="CÉLULA CONSTRUTIVA"</formula>
    </cfRule>
  </conditionalFormatting>
  <conditionalFormatting sqref="J586">
    <cfRule type="expression" priority="7218" dxfId="4">
      <formula>$H586="SUBETAPA"</formula>
    </cfRule>
    <cfRule type="expression" priority="7219" dxfId="5">
      <formula>$H586="CÉLULA CONSTRUTIVA"</formula>
    </cfRule>
    <cfRule type="expression" priority="7220" dxfId="3">
      <formula>$H586="ETAPA"</formula>
    </cfRule>
  </conditionalFormatting>
  <conditionalFormatting sqref="J595">
    <cfRule type="expression" priority="100473" dxfId="4">
      <formula>$H595="SUBETAPA"</formula>
    </cfRule>
    <cfRule type="expression" priority="100474" dxfId="5">
      <formula>$H595="CÉLULA CONSTRUTIVA"</formula>
    </cfRule>
  </conditionalFormatting>
  <conditionalFormatting sqref="J600">
    <cfRule type="expression" priority="7213" dxfId="4">
      <formula>$H600="SUBETAPA"</formula>
    </cfRule>
    <cfRule type="expression" priority="7214" dxfId="5">
      <formula>$H600="CÉLULA CONSTRUTIVA"</formula>
    </cfRule>
  </conditionalFormatting>
  <conditionalFormatting sqref="J603">
    <cfRule type="expression" priority="100427" dxfId="4">
      <formula>$H603="SUBETAPA"</formula>
    </cfRule>
    <cfRule type="expression" priority="100428" dxfId="5">
      <formula>$H603="CÉLULA CONSTRUTIVA"</formula>
    </cfRule>
  </conditionalFormatting>
  <conditionalFormatting sqref="J604">
    <cfRule type="expression" priority="100429" dxfId="4">
      <formula>$H604="SUBETAPA"</formula>
    </cfRule>
    <cfRule type="expression" priority="100430" dxfId="5">
      <formula>$H604="CÉLULA CONSTRUTIVA"</formula>
    </cfRule>
  </conditionalFormatting>
  <conditionalFormatting sqref="J605">
    <cfRule type="expression" priority="7187" dxfId="4">
      <formula>$H605="SUBETAPA"</formula>
    </cfRule>
    <cfRule type="expression" priority="7188" dxfId="5">
      <formula>$H605="CÉLULA CONSTRUTIVA"</formula>
    </cfRule>
    <cfRule type="expression" priority="7189" dxfId="3">
      <formula>$H605="ETAPA"</formula>
    </cfRule>
  </conditionalFormatting>
  <conditionalFormatting sqref="J612">
    <cfRule type="expression" priority="100568" dxfId="4">
      <formula>$H612="SUBETAPA"</formula>
    </cfRule>
    <cfRule type="expression" priority="100569" dxfId="5">
      <formula>$H612="CÉLULA CONSTRUTIVA"</formula>
    </cfRule>
  </conditionalFormatting>
  <conditionalFormatting sqref="J615">
    <cfRule type="expression" priority="7182" dxfId="4">
      <formula>$H615="SUBETAPA"</formula>
    </cfRule>
    <cfRule type="expression" priority="7183" dxfId="5">
      <formula>$H615="CÉLULA CONSTRUTIVA"</formula>
    </cfRule>
  </conditionalFormatting>
  <conditionalFormatting sqref="J617">
    <cfRule type="expression" priority="100522" dxfId="4">
      <formula>$H617="SUBETAPA"</formula>
    </cfRule>
    <cfRule type="expression" priority="100523" dxfId="5">
      <formula>$H617="CÉLULA CONSTRUTIVA"</formula>
    </cfRule>
  </conditionalFormatting>
  <conditionalFormatting sqref="J618">
    <cfRule type="expression" priority="7156" dxfId="4">
      <formula>$H618="SUBETAPA"</formula>
    </cfRule>
    <cfRule type="expression" priority="7157" dxfId="5">
      <formula>$H618="CÉLULA CONSTRUTIVA"</formula>
    </cfRule>
    <cfRule type="expression" priority="7158" dxfId="3">
      <formula>$H618="ETAPA"</formula>
    </cfRule>
  </conditionalFormatting>
  <conditionalFormatting sqref="J1369">
    <cfRule type="expression" priority="53740" dxfId="5">
      <formula>$H1369="CÉLULA CONSTRUTIVA"</formula>
    </cfRule>
    <cfRule type="expression" priority="53741" dxfId="3">
      <formula>$H1369="ETAPA"</formula>
    </cfRule>
    <cfRule type="expression" priority="53742" dxfId="4">
      <formula>$H1369="SUBETAPA"</formula>
    </cfRule>
  </conditionalFormatting>
  <conditionalFormatting sqref="J1372">
    <cfRule type="expression" priority="53864" dxfId="5">
      <formula>$H1372="CÉLULA CONSTRUTIVA"</formula>
    </cfRule>
    <cfRule type="expression" priority="53865" dxfId="3">
      <formula>$H1372="ETAPA"</formula>
    </cfRule>
    <cfRule type="expression" priority="53866" dxfId="4">
      <formula>$H1372="SUBETAPA"</formula>
    </cfRule>
  </conditionalFormatting>
  <conditionalFormatting sqref="J1375">
    <cfRule type="expression" priority="53988" dxfId="5">
      <formula>$H1375="CÉLULA CONSTRUTIVA"</formula>
    </cfRule>
    <cfRule type="expression" priority="53989" dxfId="3">
      <formula>$H1375="ETAPA"</formula>
    </cfRule>
    <cfRule type="expression" priority="53990" dxfId="4">
      <formula>$H1375="SUBETAPA"</formula>
    </cfRule>
  </conditionalFormatting>
  <conditionalFormatting sqref="J1378">
    <cfRule type="expression" priority="54112" dxfId="5">
      <formula>$H1378="CÉLULA CONSTRUTIVA"</formula>
    </cfRule>
    <cfRule type="expression" priority="54113" dxfId="3">
      <formula>$H1378="ETAPA"</formula>
    </cfRule>
    <cfRule type="expression" priority="54114" dxfId="4">
      <formula>$H1378="SUBETAPA"</formula>
    </cfRule>
  </conditionalFormatting>
  <conditionalFormatting sqref="J1381">
    <cfRule type="expression" priority="54236" dxfId="5">
      <formula>$H1381="CÉLULA CONSTRUTIVA"</formula>
    </cfRule>
    <cfRule type="expression" priority="54237" dxfId="3">
      <formula>$H1381="ETAPA"</formula>
    </cfRule>
    <cfRule type="expression" priority="54238" dxfId="4">
      <formula>$H1381="SUBETAPA"</formula>
    </cfRule>
  </conditionalFormatting>
  <conditionalFormatting sqref="J1384">
    <cfRule type="expression" priority="54360" dxfId="5">
      <formula>$H1384="CÉLULA CONSTRUTIVA"</formula>
    </cfRule>
    <cfRule type="expression" priority="54361" dxfId="3">
      <formula>$H1384="ETAPA"</formula>
    </cfRule>
    <cfRule type="expression" priority="54362" dxfId="4">
      <formula>$H1384="SUBETAPA"</formula>
    </cfRule>
  </conditionalFormatting>
  <conditionalFormatting sqref="J1389">
    <cfRule type="expression" priority="54484" dxfId="5">
      <formula>$H1389="CÉLULA CONSTRUTIVA"</formula>
    </cfRule>
    <cfRule type="expression" priority="54485" dxfId="3">
      <formula>$H1389="ETAPA"</formula>
    </cfRule>
    <cfRule type="expression" priority="54486" dxfId="4">
      <formula>$H1389="SUBETAPA"</formula>
    </cfRule>
  </conditionalFormatting>
  <conditionalFormatting sqref="J1396">
    <cfRule type="expression" priority="54608" dxfId="5">
      <formula>$H1396="CÉLULA CONSTRUTIVA"</formula>
    </cfRule>
    <cfRule type="expression" priority="54609" dxfId="3">
      <formula>$H1396="ETAPA"</formula>
    </cfRule>
    <cfRule type="expression" priority="54610" dxfId="4">
      <formula>$H1396="SUBETAPA"</formula>
    </cfRule>
  </conditionalFormatting>
  <conditionalFormatting sqref="J1403">
    <cfRule type="expression" priority="54732" dxfId="5">
      <formula>$H1403="CÉLULA CONSTRUTIVA"</formula>
    </cfRule>
    <cfRule type="expression" priority="54733" dxfId="3">
      <formula>$H1403="ETAPA"</formula>
    </cfRule>
    <cfRule type="expression" priority="54734" dxfId="4">
      <formula>$H1403="SUBETAPA"</formula>
    </cfRule>
  </conditionalFormatting>
  <conditionalFormatting sqref="J1408">
    <cfRule type="expression" priority="54856" dxfId="5">
      <formula>$H1408="CÉLULA CONSTRUTIVA"</formula>
    </cfRule>
    <cfRule type="expression" priority="54857" dxfId="3">
      <formula>$H1408="ETAPA"</formula>
    </cfRule>
    <cfRule type="expression" priority="54858" dxfId="4">
      <formula>$H1408="SUBETAPA"</formula>
    </cfRule>
  </conditionalFormatting>
  <conditionalFormatting sqref="J1413">
    <cfRule type="expression" priority="54980" dxfId="5">
      <formula>$H1413="CÉLULA CONSTRUTIVA"</formula>
    </cfRule>
    <cfRule type="expression" priority="54981" dxfId="3">
      <formula>$H1413="ETAPA"</formula>
    </cfRule>
    <cfRule type="expression" priority="54982" dxfId="4">
      <formula>$H1413="SUBETAPA"</formula>
    </cfRule>
  </conditionalFormatting>
  <conditionalFormatting sqref="J1418">
    <cfRule type="expression" priority="55104" dxfId="5">
      <formula>$H1418="CÉLULA CONSTRUTIVA"</formula>
    </cfRule>
    <cfRule type="expression" priority="55105" dxfId="3">
      <formula>$H1418="ETAPA"</formula>
    </cfRule>
    <cfRule type="expression" priority="55106" dxfId="4">
      <formula>$H1418="SUBETAPA"</formula>
    </cfRule>
  </conditionalFormatting>
  <conditionalFormatting sqref="J1421">
    <cfRule type="expression" priority="55228" dxfId="5">
      <formula>$H1421="CÉLULA CONSTRUTIVA"</formula>
    </cfRule>
    <cfRule type="expression" priority="55229" dxfId="3">
      <formula>$H1421="ETAPA"</formula>
    </cfRule>
    <cfRule type="expression" priority="55230" dxfId="4">
      <formula>$H1421="SUBETAPA"</formula>
    </cfRule>
  </conditionalFormatting>
  <conditionalFormatting sqref="J1433:J1434 J1439:K1439">
    <cfRule type="expression" priority="92308" dxfId="4">
      <formula>$H1433="SUBETAPA"</formula>
    </cfRule>
    <cfRule type="expression" priority="92309" dxfId="5">
      <formula>$H1433="CÉLULA CONSTRUTIVA"</formula>
    </cfRule>
  </conditionalFormatting>
  <conditionalFormatting sqref="J1434">
    <cfRule type="expression" priority="4750" dxfId="4">
      <formula>$H1434="SUBETAPA"</formula>
    </cfRule>
    <cfRule type="expression" priority="4751" dxfId="5">
      <formula>$H1434="CÉLULA CONSTRUTIVA"</formula>
    </cfRule>
  </conditionalFormatting>
  <conditionalFormatting sqref="J1448:J1449">
    <cfRule type="expression" priority="4744" dxfId="4">
      <formula>$H1448="SUBETAPA"</formula>
    </cfRule>
    <cfRule type="expression" priority="4745" dxfId="5">
      <formula>$H1448="CÉLULA CONSTRUTIVA"</formula>
    </cfRule>
  </conditionalFormatting>
  <conditionalFormatting sqref="J1449">
    <cfRule type="expression" priority="4730" dxfId="4">
      <formula>$H1449="SUBETAPA"</formula>
    </cfRule>
    <cfRule type="expression" priority="4731" dxfId="5">
      <formula>$H1449="CÉLULA CONSTRUTIVA"</formula>
    </cfRule>
  </conditionalFormatting>
  <conditionalFormatting sqref="J1455">
    <cfRule type="expression" priority="4724" dxfId="4">
      <formula>$H1455="SUBETAPA"</formula>
    </cfRule>
    <cfRule type="expression" priority="4725" dxfId="5">
      <formula>$H1455="CÉLULA CONSTRUTIVA"</formula>
    </cfRule>
  </conditionalFormatting>
  <conditionalFormatting sqref="J1456">
    <cfRule type="expression" priority="4424" dxfId="4">
      <formula>$H1456="SUBETAPA"</formula>
    </cfRule>
    <cfRule type="expression" priority="4425" dxfId="5">
      <formula>$H1456="CÉLULA CONSTRUTIVA"</formula>
    </cfRule>
    <cfRule type="expression" priority="4428" dxfId="4">
      <formula>$H1456="SUBETAPA"</formula>
    </cfRule>
    <cfRule type="expression" priority="4429" dxfId="5">
      <formula>$H1456="CÉLULA CONSTRUTIVA"</formula>
    </cfRule>
  </conditionalFormatting>
  <conditionalFormatting sqref="J1462">
    <cfRule type="expression" priority="4704" dxfId="4">
      <formula>$H1462="SUBETAPA"</formula>
    </cfRule>
    <cfRule type="expression" priority="4705" dxfId="5">
      <formula>$H1462="CÉLULA CONSTRUTIVA"</formula>
    </cfRule>
  </conditionalFormatting>
  <conditionalFormatting sqref="J1463">
    <cfRule type="expression" priority="4388" dxfId="4">
      <formula>$H1463="SUBETAPA"</formula>
    </cfRule>
    <cfRule type="expression" priority="4389" dxfId="5">
      <formula>$H1463="CÉLULA CONSTRUTIVA"</formula>
    </cfRule>
    <cfRule type="expression" priority="4392" dxfId="4">
      <formula>$H1463="SUBETAPA"</formula>
    </cfRule>
    <cfRule type="expression" priority="4393" dxfId="5">
      <formula>$H1463="CÉLULA CONSTRUTIVA"</formula>
    </cfRule>
  </conditionalFormatting>
  <conditionalFormatting sqref="J1472">
    <cfRule type="expression" priority="4684" dxfId="4">
      <formula>$H1472="SUBETAPA"</formula>
    </cfRule>
    <cfRule type="expression" priority="4685" dxfId="5">
      <formula>$H1472="CÉLULA CONSTRUTIVA"</formula>
    </cfRule>
  </conditionalFormatting>
  <conditionalFormatting sqref="J1473">
    <cfRule type="expression" priority="4352" dxfId="4">
      <formula>$H1473="SUBETAPA"</formula>
    </cfRule>
    <cfRule type="expression" priority="4353" dxfId="5">
      <formula>$H1473="CÉLULA CONSTRUTIVA"</formula>
    </cfRule>
    <cfRule type="expression" priority="4356" dxfId="4">
      <formula>$H1473="SUBETAPA"</formula>
    </cfRule>
    <cfRule type="expression" priority="4357" dxfId="5">
      <formula>$H1473="CÉLULA CONSTRUTIVA"</formula>
    </cfRule>
  </conditionalFormatting>
  <conditionalFormatting sqref="J1482:J1484">
    <cfRule type="expression" priority="4341" dxfId="5">
      <formula>$H1482="CÉLULA CONSTRUTIVA"</formula>
    </cfRule>
    <cfRule type="expression" priority="4342" dxfId="4">
      <formula>$H1482="SUBETAPA"</formula>
    </cfRule>
    <cfRule type="expression" priority="4343" dxfId="3">
      <formula>$H1482="ETAPA"</formula>
    </cfRule>
  </conditionalFormatting>
  <conditionalFormatting sqref="J1483:J1484">
    <cfRule type="expression" priority="4344" dxfId="4">
      <formula>$H1483="SUBETAPA"</formula>
    </cfRule>
    <cfRule type="expression" priority="4345" dxfId="3">
      <formula>$H1483="ETAPA"</formula>
    </cfRule>
  </conditionalFormatting>
  <conditionalFormatting sqref="J1484">
    <cfRule type="expression" priority="4339" dxfId="4">
      <formula>$H1484="SUBETAPA"</formula>
    </cfRule>
    <cfRule type="expression" priority="4340" dxfId="3">
      <formula>$H1484="ETAPA"</formula>
    </cfRule>
  </conditionalFormatting>
  <conditionalFormatting sqref="J1487">
    <cfRule type="expression" priority="4664" dxfId="4">
      <formula>$H1487="SUBETAPA"</formula>
    </cfRule>
    <cfRule type="expression" priority="4665" dxfId="5">
      <formula>$H1487="CÉLULA CONSTRUTIVA"</formula>
    </cfRule>
  </conditionalFormatting>
  <conditionalFormatting sqref="J1488">
    <cfRule type="expression" priority="4316" dxfId="4">
      <formula>$H1488="SUBETAPA"</formula>
    </cfRule>
    <cfRule type="expression" priority="4317" dxfId="5">
      <formula>$H1488="CÉLULA CONSTRUTIVA"</formula>
    </cfRule>
    <cfRule type="expression" priority="4320" dxfId="4">
      <formula>$H1488="SUBETAPA"</formula>
    </cfRule>
    <cfRule type="expression" priority="4321" dxfId="5">
      <formula>$H1488="CÉLULA CONSTRUTIVA"</formula>
    </cfRule>
  </conditionalFormatting>
  <conditionalFormatting sqref="J1504 O1500">
    <cfRule type="expression" priority="4644" dxfId="4">
      <formula>$H1500="SUBETAPA"</formula>
    </cfRule>
    <cfRule type="expression" priority="4645" dxfId="5">
      <formula>$H1500="CÉLULA CONSTRUTIVA"</formula>
    </cfRule>
  </conditionalFormatting>
  <conditionalFormatting sqref="J1505">
    <cfRule type="expression" priority="4280" dxfId="4">
      <formula>$H1505="SUBETAPA"</formula>
    </cfRule>
    <cfRule type="expression" priority="4281" dxfId="5">
      <formula>$H1505="CÉLULA CONSTRUTIVA"</formula>
    </cfRule>
    <cfRule type="expression" priority="4284" dxfId="4">
      <formula>$H1505="SUBETAPA"</formula>
    </cfRule>
    <cfRule type="expression" priority="4285" dxfId="5">
      <formula>$H1505="CÉLULA CONSTRUTIVA"</formula>
    </cfRule>
  </conditionalFormatting>
  <conditionalFormatting sqref="J1513:J1517 J1575:J1576">
    <cfRule type="expression" priority="4269" dxfId="5">
      <formula>$H1513="CÉLULA CONSTRUTIVA"</formula>
    </cfRule>
    <cfRule type="expression" priority="4270" dxfId="4">
      <formula>$H1513="SUBETAPA"</formula>
    </cfRule>
    <cfRule type="expression" priority="4271" dxfId="3">
      <formula>$H1513="ETAPA"</formula>
    </cfRule>
    <cfRule type="expression" priority="4272" dxfId="4">
      <formula>$H1513="SUBETAPA"</formula>
    </cfRule>
    <cfRule type="expression" priority="4273" dxfId="3">
      <formula>$H1513="ETAPA"</formula>
    </cfRule>
  </conditionalFormatting>
  <conditionalFormatting sqref="J1514:J1517">
    <cfRule type="expression" priority="4267" dxfId="4">
      <formula>$H1514="SUBETAPA"</formula>
    </cfRule>
    <cfRule type="expression" priority="4268" dxfId="3">
      <formula>$H1514="ETAPA"</formula>
    </cfRule>
  </conditionalFormatting>
  <conditionalFormatting sqref="J1526:J1527">
    <cfRule type="expression" priority="4624" dxfId="4">
      <formula>$H1526="SUBETAPA"</formula>
    </cfRule>
    <cfRule type="expression" priority="4625" dxfId="5">
      <formula>$H1526="CÉLULA CONSTRUTIVA"</formula>
    </cfRule>
  </conditionalFormatting>
  <conditionalFormatting sqref="J1527">
    <cfRule type="expression" priority="4610" dxfId="4">
      <formula>$H1527="SUBETAPA"</formula>
    </cfRule>
    <cfRule type="expression" priority="4611" dxfId="5">
      <formula>$H1527="CÉLULA CONSTRUTIVA"</formula>
    </cfRule>
  </conditionalFormatting>
  <conditionalFormatting sqref="J1535:J1537">
    <cfRule type="expression" priority="4260" dxfId="5">
      <formula>$H1535="CÉLULA CONSTRUTIVA"</formula>
    </cfRule>
    <cfRule type="expression" priority="4261" dxfId="4">
      <formula>$H1535="SUBETAPA"</formula>
    </cfRule>
    <cfRule type="expression" priority="4262" dxfId="3">
      <formula>$H1535="ETAPA"</formula>
    </cfRule>
    <cfRule type="expression" priority="4263" dxfId="4">
      <formula>$H1535="SUBETAPA"</formula>
    </cfRule>
    <cfRule type="expression" priority="4264" dxfId="3">
      <formula>$H1535="ETAPA"</formula>
    </cfRule>
  </conditionalFormatting>
  <conditionalFormatting sqref="J1536:J1537">
    <cfRule type="expression" priority="4258" dxfId="4">
      <formula>$H1536="SUBETAPA"</formula>
    </cfRule>
    <cfRule type="expression" priority="4259" dxfId="3">
      <formula>$H1536="ETAPA"</formula>
    </cfRule>
  </conditionalFormatting>
  <conditionalFormatting sqref="J1544">
    <cfRule type="expression" priority="4592" dxfId="4">
      <formula>$H1544="SUBETAPA"</formula>
    </cfRule>
    <cfRule type="expression" priority="4593" dxfId="5">
      <formula>$H1544="CÉLULA CONSTRUTIVA"</formula>
    </cfRule>
  </conditionalFormatting>
  <conditionalFormatting sqref="J1544:J1545">
    <cfRule type="expression" priority="4606" dxfId="4">
      <formula>$H1544="SUBETAPA"</formula>
    </cfRule>
    <cfRule type="expression" priority="4607" dxfId="5">
      <formula>$H1544="CÉLULA CONSTRUTIVA"</formula>
    </cfRule>
  </conditionalFormatting>
  <conditionalFormatting sqref="J1545">
    <cfRule type="expression" priority="4588" dxfId="4">
      <formula>$H1545="SUBETAPA"</formula>
    </cfRule>
    <cfRule type="expression" priority="4589" dxfId="5">
      <formula>$H1545="CÉLULA CONSTRUTIVA"</formula>
    </cfRule>
  </conditionalFormatting>
  <conditionalFormatting sqref="J1550:J1551">
    <cfRule type="expression" priority="4604" dxfId="4">
      <formula>$H1550="SUBETAPA"</formula>
    </cfRule>
    <cfRule type="expression" priority="4605" dxfId="5">
      <formula>$H1550="CÉLULA CONSTRUTIVA"</formula>
    </cfRule>
  </conditionalFormatting>
  <conditionalFormatting sqref="J1551">
    <cfRule type="expression" priority="4590" dxfId="4">
      <formula>$H1551="SUBETAPA"</formula>
    </cfRule>
    <cfRule type="expression" priority="4591" dxfId="5">
      <formula>$H1551="CÉLULA CONSTRUTIVA"</formula>
    </cfRule>
  </conditionalFormatting>
  <conditionalFormatting sqref="J1557:J1559">
    <cfRule type="expression" priority="4253" dxfId="5">
      <formula>$H1557="CÉLULA CONSTRUTIVA"</formula>
    </cfRule>
    <cfRule type="expression" priority="4254" dxfId="4">
      <formula>$H1557="SUBETAPA"</formula>
    </cfRule>
    <cfRule type="expression" priority="4255" dxfId="3">
      <formula>$H1557="ETAPA"</formula>
    </cfRule>
    <cfRule type="expression" priority="4256" dxfId="4">
      <formula>$H1557="SUBETAPA"</formula>
    </cfRule>
    <cfRule type="expression" priority="4257" dxfId="3">
      <formula>$H1557="ETAPA"</formula>
    </cfRule>
  </conditionalFormatting>
  <conditionalFormatting sqref="J1558:J1559">
    <cfRule type="expression" priority="4251" dxfId="4">
      <formula>$H1558="SUBETAPA"</formula>
    </cfRule>
    <cfRule type="expression" priority="4252" dxfId="3">
      <formula>$H1558="ETAPA"</formula>
    </cfRule>
  </conditionalFormatting>
  <conditionalFormatting sqref="J1565">
    <cfRule type="expression" priority="4568" dxfId="4">
      <formula>$H1565="SUBETAPA"</formula>
    </cfRule>
    <cfRule type="expression" priority="4569" dxfId="5">
      <formula>$H1565="CÉLULA CONSTRUTIVA"</formula>
    </cfRule>
  </conditionalFormatting>
  <conditionalFormatting sqref="J1569:J1570">
    <cfRule type="expression" priority="4584" dxfId="4">
      <formula>$H1569="SUBETAPA"</formula>
    </cfRule>
    <cfRule type="expression" priority="4585" dxfId="5">
      <formula>$H1569="CÉLULA CONSTRUTIVA"</formula>
    </cfRule>
  </conditionalFormatting>
  <conditionalFormatting sqref="J1570">
    <cfRule type="expression" priority="4570" dxfId="4">
      <formula>$H1570="SUBETAPA"</formula>
    </cfRule>
    <cfRule type="expression" priority="4571" dxfId="5">
      <formula>$H1570="CÉLULA CONSTRUTIVA"</formula>
    </cfRule>
  </conditionalFormatting>
  <conditionalFormatting sqref="J1583">
    <cfRule type="expression" priority="4548" dxfId="4">
      <formula>$H1583="SUBETAPA"</formula>
    </cfRule>
    <cfRule type="expression" priority="4549" dxfId="5">
      <formula>$H1583="CÉLULA CONSTRUTIVA"</formula>
    </cfRule>
  </conditionalFormatting>
  <conditionalFormatting sqref="J1588:J1589">
    <cfRule type="expression" priority="4564" dxfId="4">
      <formula>$H1588="SUBETAPA"</formula>
    </cfRule>
    <cfRule type="expression" priority="4565" dxfId="5">
      <formula>$H1588="CÉLULA CONSTRUTIVA"</formula>
    </cfRule>
  </conditionalFormatting>
  <conditionalFormatting sqref="J1589">
    <cfRule type="expression" priority="4550" dxfId="4">
      <formula>$H1589="SUBETAPA"</formula>
    </cfRule>
    <cfRule type="expression" priority="4551" dxfId="5">
      <formula>$H1589="CÉLULA CONSTRUTIVA"</formula>
    </cfRule>
  </conditionalFormatting>
  <conditionalFormatting sqref="J1595:J1597">
    <cfRule type="expression" priority="4239" dxfId="5">
      <formula>$H1595="CÉLULA CONSTRUTIVA"</formula>
    </cfRule>
    <cfRule type="expression" priority="4240" dxfId="4">
      <formula>$H1595="SUBETAPA"</formula>
    </cfRule>
    <cfRule type="expression" priority="4241" dxfId="3">
      <formula>$H1595="ETAPA"</formula>
    </cfRule>
    <cfRule type="expression" priority="4242" dxfId="4">
      <formula>$H1595="SUBETAPA"</formula>
    </cfRule>
    <cfRule type="expression" priority="4243" dxfId="3">
      <formula>$H1595="ETAPA"</formula>
    </cfRule>
  </conditionalFormatting>
  <conditionalFormatting sqref="J1596:J1597">
    <cfRule type="expression" priority="4237" dxfId="4">
      <formula>$H1596="SUBETAPA"</formula>
    </cfRule>
    <cfRule type="expression" priority="4238" dxfId="3">
      <formula>$H1596="ETAPA"</formula>
    </cfRule>
  </conditionalFormatting>
  <conditionalFormatting sqref="J1604">
    <cfRule type="expression" priority="4528" dxfId="4">
      <formula>$H1604="SUBETAPA"</formula>
    </cfRule>
    <cfRule type="expression" priority="4529" dxfId="5">
      <formula>$H1604="CÉLULA CONSTRUTIVA"</formula>
    </cfRule>
  </conditionalFormatting>
  <conditionalFormatting sqref="J1609:J1610">
    <cfRule type="expression" priority="4544" dxfId="4">
      <formula>$H1609="SUBETAPA"</formula>
    </cfRule>
    <cfRule type="expression" priority="4545" dxfId="5">
      <formula>$H1609="CÉLULA CONSTRUTIVA"</formula>
    </cfRule>
  </conditionalFormatting>
  <conditionalFormatting sqref="J1610">
    <cfRule type="expression" priority="4530" dxfId="4">
      <formula>$H1610="SUBETAPA"</formula>
    </cfRule>
    <cfRule type="expression" priority="4531" dxfId="5">
      <formula>$H1610="CÉLULA CONSTRUTIVA"</formula>
    </cfRule>
  </conditionalFormatting>
  <conditionalFormatting sqref="J1616:J1618">
    <cfRule type="expression" priority="4232" dxfId="5">
      <formula>$H1616="CÉLULA CONSTRUTIVA"</formula>
    </cfRule>
    <cfRule type="expression" priority="4233" dxfId="4">
      <formula>$H1616="SUBETAPA"</formula>
    </cfRule>
    <cfRule type="expression" priority="4234" dxfId="3">
      <formula>$H1616="ETAPA"</formula>
    </cfRule>
    <cfRule type="expression" priority="4235" dxfId="4">
      <formula>$H1616="SUBETAPA"</formula>
    </cfRule>
    <cfRule type="expression" priority="4236" dxfId="3">
      <formula>$H1616="ETAPA"</formula>
    </cfRule>
  </conditionalFormatting>
  <conditionalFormatting sqref="J1617:J1618">
    <cfRule type="expression" priority="4230" dxfId="4">
      <formula>$H1617="SUBETAPA"</formula>
    </cfRule>
    <cfRule type="expression" priority="4231" dxfId="3">
      <formula>$H1617="ETAPA"</formula>
    </cfRule>
  </conditionalFormatting>
  <conditionalFormatting sqref="J1625">
    <cfRule type="expression" priority="4512" dxfId="4">
      <formula>$H1625="SUBETAPA"</formula>
    </cfRule>
    <cfRule type="expression" priority="4513" dxfId="5">
      <formula>$H1625="CÉLULA CONSTRUTIVA"</formula>
    </cfRule>
  </conditionalFormatting>
  <conditionalFormatting sqref="J1625:J1626">
    <cfRule type="expression" priority="4526" dxfId="4">
      <formula>$H1625="SUBETAPA"</formula>
    </cfRule>
    <cfRule type="expression" priority="4527" dxfId="5">
      <formula>$H1625="CÉLULA CONSTRUTIVA"</formula>
    </cfRule>
  </conditionalFormatting>
  <conditionalFormatting sqref="J1626">
    <cfRule type="expression" priority="4508" dxfId="4">
      <formula>$H1626="SUBETAPA"</formula>
    </cfRule>
    <cfRule type="expression" priority="4509" dxfId="5">
      <formula>$H1626="CÉLULA CONSTRUTIVA"</formula>
    </cfRule>
  </conditionalFormatting>
  <conditionalFormatting sqref="J1633:J1634 O1628:O1629">
    <cfRule type="expression" priority="4524" dxfId="4">
      <formula>$H1628="SUBETAPA"</formula>
    </cfRule>
    <cfRule type="expression" priority="4525" dxfId="5">
      <formula>$H1628="CÉLULA CONSTRUTIVA"</formula>
    </cfRule>
  </conditionalFormatting>
  <conditionalFormatting sqref="J1634">
    <cfRule type="expression" priority="4510" dxfId="4">
      <formula>$H1634="SUBETAPA"</formula>
    </cfRule>
    <cfRule type="expression" priority="4511" dxfId="5">
      <formula>$H1634="CÉLULA CONSTRUTIVA"</formula>
    </cfRule>
  </conditionalFormatting>
  <conditionalFormatting sqref="J1640:J1642">
    <cfRule type="expression" priority="4225" dxfId="5">
      <formula>$H1640="CÉLULA CONSTRUTIVA"</formula>
    </cfRule>
    <cfRule type="expression" priority="4226" dxfId="4">
      <formula>$H1640="SUBETAPA"</formula>
    </cfRule>
    <cfRule type="expression" priority="4227" dxfId="3">
      <formula>$H1640="ETAPA"</formula>
    </cfRule>
    <cfRule type="expression" priority="4228" dxfId="4">
      <formula>$H1640="SUBETAPA"</formula>
    </cfRule>
    <cfRule type="expression" priority="4229" dxfId="3">
      <formula>$H1640="ETAPA"</formula>
    </cfRule>
  </conditionalFormatting>
  <conditionalFormatting sqref="J1641:J1642">
    <cfRule type="expression" priority="4223" dxfId="4">
      <formula>$H1641="SUBETAPA"</formula>
    </cfRule>
    <cfRule type="expression" priority="4224" dxfId="3">
      <formula>$H1641="ETAPA"</formula>
    </cfRule>
  </conditionalFormatting>
  <conditionalFormatting sqref="J1649">
    <cfRule type="expression" priority="4492" dxfId="4">
      <formula>$H1649="SUBETAPA"</formula>
    </cfRule>
    <cfRule type="expression" priority="4493" dxfId="5">
      <formula>$H1649="CÉLULA CONSTRUTIVA"</formula>
    </cfRule>
  </conditionalFormatting>
  <conditionalFormatting sqref="J1649:J1650">
    <cfRule type="expression" priority="4506" dxfId="4">
      <formula>$H1649="SUBETAPA"</formula>
    </cfRule>
    <cfRule type="expression" priority="4507" dxfId="5">
      <formula>$H1649="CÉLULA CONSTRUTIVA"</formula>
    </cfRule>
  </conditionalFormatting>
  <conditionalFormatting sqref="J1650">
    <cfRule type="expression" priority="4488" dxfId="4">
      <formula>$H1650="SUBETAPA"</formula>
    </cfRule>
    <cfRule type="expression" priority="4489" dxfId="5">
      <formula>$H1650="CÉLULA CONSTRUTIVA"</formula>
    </cfRule>
  </conditionalFormatting>
  <conditionalFormatting sqref="J1653:J1654">
    <cfRule type="expression" priority="4504" dxfId="4">
      <formula>$H1653="SUBETAPA"</formula>
    </cfRule>
    <cfRule type="expression" priority="4505" dxfId="5">
      <formula>$H1653="CÉLULA CONSTRUTIVA"</formula>
    </cfRule>
  </conditionalFormatting>
  <conditionalFormatting sqref="J1654">
    <cfRule type="expression" priority="4490" dxfId="4">
      <formula>$H1654="SUBETAPA"</formula>
    </cfRule>
    <cfRule type="expression" priority="4491" dxfId="5">
      <formula>$H1654="CÉLULA CONSTRUTIVA"</formula>
    </cfRule>
  </conditionalFormatting>
  <conditionalFormatting sqref="J1658:J1660">
    <cfRule type="expression" priority="4211" dxfId="5">
      <formula>$H1658="CÉLULA CONSTRUTIVA"</formula>
    </cfRule>
    <cfRule type="expression" priority="4212" dxfId="4">
      <formula>$H1658="SUBETAPA"</formula>
    </cfRule>
    <cfRule type="expression" priority="4213" dxfId="3">
      <formula>$H1658="ETAPA"</formula>
    </cfRule>
    <cfRule type="expression" priority="4214" dxfId="4">
      <formula>$H1658="SUBETAPA"</formula>
    </cfRule>
    <cfRule type="expression" priority="4215" dxfId="3">
      <formula>$H1658="ETAPA"</formula>
    </cfRule>
  </conditionalFormatting>
  <conditionalFormatting sqref="J1659:J1660">
    <cfRule type="expression" priority="4209" dxfId="4">
      <formula>$H1659="SUBETAPA"</formula>
    </cfRule>
    <cfRule type="expression" priority="4210" dxfId="3">
      <formula>$H1659="ETAPA"</formula>
    </cfRule>
  </conditionalFormatting>
  <conditionalFormatting sqref="J1670:J1672">
    <cfRule type="expression" priority="4218" dxfId="5">
      <formula>$H1670="CÉLULA CONSTRUTIVA"</formula>
    </cfRule>
    <cfRule type="expression" priority="4219" dxfId="4">
      <formula>$H1670="SUBETAPA"</formula>
    </cfRule>
    <cfRule type="expression" priority="4220" dxfId="3">
      <formula>$H1670="ETAPA"</formula>
    </cfRule>
    <cfRule type="expression" priority="4221" dxfId="4">
      <formula>$H1670="SUBETAPA"</formula>
    </cfRule>
    <cfRule type="expression" priority="4222" dxfId="3">
      <formula>$H1670="ETAPA"</formula>
    </cfRule>
  </conditionalFormatting>
  <conditionalFormatting sqref="J1671:J1672">
    <cfRule type="expression" priority="4216" dxfId="4">
      <formula>$H1671="SUBETAPA"</formula>
    </cfRule>
    <cfRule type="expression" priority="4217" dxfId="3">
      <formula>$H1671="ETAPA"</formula>
    </cfRule>
  </conditionalFormatting>
  <conditionalFormatting sqref="J1676">
    <cfRule type="expression" priority="80486" dxfId="4">
      <formula>$H1676="SUBETAPA"</formula>
    </cfRule>
  </conditionalFormatting>
  <conditionalFormatting sqref="J1676:J1680">
    <cfRule type="expression" priority="80389" dxfId="5">
      <formula>$H1676="CÉLULA CONSTRUTIVA"</formula>
    </cfRule>
  </conditionalFormatting>
  <conditionalFormatting sqref="J1677">
    <cfRule type="expression" priority="80480" dxfId="4">
      <formula>$H1677="SUBETAPA"</formula>
    </cfRule>
  </conditionalFormatting>
  <conditionalFormatting sqref="J1678:J1679">
    <cfRule type="expression" priority="80498" dxfId="4">
      <formula>$H1678="SUBETAPA"</formula>
    </cfRule>
  </conditionalFormatting>
  <conditionalFormatting sqref="J1680">
    <cfRule type="expression" priority="80390" dxfId="4">
      <formula>$H1680="SUBETAPA"</formula>
    </cfRule>
  </conditionalFormatting>
  <conditionalFormatting sqref="J1692:J1693">
    <cfRule type="expression" priority="80456" dxfId="5">
      <formula>$H1692="CÉLULA CONSTRUTIVA"</formula>
    </cfRule>
    <cfRule type="expression" priority="80457" dxfId="4">
      <formula>$H1692="SUBETAPA"</formula>
    </cfRule>
  </conditionalFormatting>
  <conditionalFormatting sqref="J1696">
    <cfRule type="expression" priority="80810" dxfId="4">
      <formula>$H1696="SUBETAPA"</formula>
    </cfRule>
  </conditionalFormatting>
  <conditionalFormatting sqref="J1697">
    <cfRule type="expression" priority="80804" dxfId="4">
      <formula>$H1697="SUBETAPA"</formula>
    </cfRule>
  </conditionalFormatting>
  <conditionalFormatting sqref="J1698:J1699">
    <cfRule type="expression" priority="80822" dxfId="4">
      <formula>$H1698="SUBETAPA"</formula>
    </cfRule>
  </conditionalFormatting>
  <conditionalFormatting sqref="J1708:J1709">
    <cfRule type="expression" priority="80780" dxfId="5">
      <formula>$H1708="CÉLULA CONSTRUTIVA"</formula>
    </cfRule>
    <cfRule type="expression" priority="80781" dxfId="4">
      <formula>$H1708="SUBETAPA"</formula>
    </cfRule>
  </conditionalFormatting>
  <conditionalFormatting sqref="J1712">
    <cfRule type="expression" priority="81134" dxfId="4">
      <formula>$H1712="SUBETAPA"</formula>
    </cfRule>
  </conditionalFormatting>
  <conditionalFormatting sqref="J1713">
    <cfRule type="expression" priority="81128" dxfId="4">
      <formula>$H1713="SUBETAPA"</formula>
    </cfRule>
  </conditionalFormatting>
  <conditionalFormatting sqref="J1714:J1715">
    <cfRule type="expression" priority="81146" dxfId="4">
      <formula>$H1714="SUBETAPA"</formula>
    </cfRule>
  </conditionalFormatting>
  <conditionalFormatting sqref="J1723:J1724">
    <cfRule type="expression" priority="81104" dxfId="5">
      <formula>$H1723="CÉLULA CONSTRUTIVA"</formula>
    </cfRule>
    <cfRule type="expression" priority="81105" dxfId="4">
      <formula>$H1723="SUBETAPA"</formula>
    </cfRule>
  </conditionalFormatting>
  <conditionalFormatting sqref="J1727">
    <cfRule type="expression" priority="81458" dxfId="4">
      <formula>$H1727="SUBETAPA"</formula>
    </cfRule>
  </conditionalFormatting>
  <conditionalFormatting sqref="J1728">
    <cfRule type="expression" priority="81452" dxfId="4">
      <formula>$H1728="SUBETAPA"</formula>
    </cfRule>
  </conditionalFormatting>
  <conditionalFormatting sqref="J1729:J1730">
    <cfRule type="expression" priority="81470" dxfId="4">
      <formula>$H1729="SUBETAPA"</formula>
    </cfRule>
  </conditionalFormatting>
  <conditionalFormatting sqref="J1739">
    <cfRule type="expression" priority="81782" dxfId="4">
      <formula>$H1739="SUBETAPA"</formula>
    </cfRule>
  </conditionalFormatting>
  <conditionalFormatting sqref="J1740">
    <cfRule type="expression" priority="81776" dxfId="4">
      <formula>$H1740="SUBETAPA"</formula>
    </cfRule>
  </conditionalFormatting>
  <conditionalFormatting sqref="J1751">
    <cfRule type="expression" priority="82106" dxfId="4">
      <formula>$H1751="SUBETAPA"</formula>
    </cfRule>
  </conditionalFormatting>
  <conditionalFormatting sqref="J1752">
    <cfRule type="expression" priority="82100" dxfId="4">
      <formula>$H1752="SUBETAPA"</formula>
    </cfRule>
  </conditionalFormatting>
  <conditionalFormatting sqref="J1753:J1754">
    <cfRule type="expression" priority="82118" dxfId="4">
      <formula>$H1753="SUBETAPA"</formula>
    </cfRule>
  </conditionalFormatting>
  <conditionalFormatting sqref="J1763">
    <cfRule type="expression" priority="82430" dxfId="4">
      <formula>$H1763="SUBETAPA"</formula>
    </cfRule>
  </conditionalFormatting>
  <conditionalFormatting sqref="J1763:J1767">
    <cfRule type="expression" priority="82333" dxfId="5">
      <formula>$H1763="CÉLULA CONSTRUTIVA"</formula>
    </cfRule>
  </conditionalFormatting>
  <conditionalFormatting sqref="J1764">
    <cfRule type="expression" priority="82424" dxfId="4">
      <formula>$H1764="SUBETAPA"</formula>
    </cfRule>
  </conditionalFormatting>
  <conditionalFormatting sqref="J1765:J1766">
    <cfRule type="expression" priority="82442" dxfId="4">
      <formula>$H1765="SUBETAPA"</formula>
    </cfRule>
  </conditionalFormatting>
  <conditionalFormatting sqref="J1767">
    <cfRule type="expression" priority="82334" dxfId="4">
      <formula>$H1767="SUBETAPA"</formula>
    </cfRule>
  </conditionalFormatting>
  <conditionalFormatting sqref="J1783:J1784">
    <cfRule type="expression" priority="82400" dxfId="5">
      <formula>$H1783="CÉLULA CONSTRUTIVA"</formula>
    </cfRule>
    <cfRule type="expression" priority="82401" dxfId="4">
      <formula>$H1783="SUBETAPA"</formula>
    </cfRule>
  </conditionalFormatting>
  <conditionalFormatting sqref="J1787">
    <cfRule type="expression" priority="82754" dxfId="4">
      <formula>$H1787="SUBETAPA"</formula>
    </cfRule>
  </conditionalFormatting>
  <conditionalFormatting sqref="J1787:J1791">
    <cfRule type="expression" priority="82657" dxfId="5">
      <formula>$H1787="CÉLULA CONSTRUTIVA"</formula>
    </cfRule>
  </conditionalFormatting>
  <conditionalFormatting sqref="J1788">
    <cfRule type="expression" priority="82748" dxfId="4">
      <formula>$H1788="SUBETAPA"</formula>
    </cfRule>
  </conditionalFormatting>
  <conditionalFormatting sqref="J1789:J1790">
    <cfRule type="expression" priority="82766" dxfId="4">
      <formula>$H1789="SUBETAPA"</formula>
    </cfRule>
  </conditionalFormatting>
  <conditionalFormatting sqref="J1791">
    <cfRule type="expression" priority="82658" dxfId="4">
      <formula>$H1791="SUBETAPA"</formula>
    </cfRule>
  </conditionalFormatting>
  <conditionalFormatting sqref="J1798">
    <cfRule type="expression" priority="82919" dxfId="5">
      <formula>$H1798="CÉLULA CONSTRUTIVA"</formula>
    </cfRule>
  </conditionalFormatting>
  <conditionalFormatting sqref="J1809:J1810">
    <cfRule type="expression" priority="82724" dxfId="5">
      <formula>$H1809="CÉLULA CONSTRUTIVA"</formula>
    </cfRule>
    <cfRule type="expression" priority="82725" dxfId="4">
      <formula>$H1809="SUBETAPA"</formula>
    </cfRule>
  </conditionalFormatting>
  <conditionalFormatting sqref="J1813">
    <cfRule type="expression" priority="83078" dxfId="4">
      <formula>$H1813="SUBETAPA"</formula>
    </cfRule>
  </conditionalFormatting>
  <conditionalFormatting sqref="J1814">
    <cfRule type="expression" priority="83072" dxfId="4">
      <formula>$H1814="SUBETAPA"</formula>
    </cfRule>
  </conditionalFormatting>
  <conditionalFormatting sqref="J1816">
    <cfRule type="expression" priority="82982" dxfId="4">
      <formula>$H1816="SUBETAPA"</formula>
    </cfRule>
  </conditionalFormatting>
  <conditionalFormatting sqref="J1826">
    <cfRule type="expression" priority="83402" dxfId="4">
      <formula>$H1826="SUBETAPA"</formula>
    </cfRule>
  </conditionalFormatting>
  <conditionalFormatting sqref="J1827">
    <cfRule type="expression" priority="83396" dxfId="4">
      <formula>$H1827="SUBETAPA"</formula>
    </cfRule>
  </conditionalFormatting>
  <conditionalFormatting sqref="J1829">
    <cfRule type="expression" priority="83306" dxfId="4">
      <formula>$H1829="SUBETAPA"</formula>
    </cfRule>
  </conditionalFormatting>
  <conditionalFormatting sqref="J1839">
    <cfRule type="expression" priority="111878" dxfId="4">
      <formula>$H1839="SUBETAPA"</formula>
    </cfRule>
  </conditionalFormatting>
  <conditionalFormatting sqref="J1840">
    <cfRule type="expression" priority="111831" dxfId="4">
      <formula>$H1840="SUBETAPA"</formula>
    </cfRule>
  </conditionalFormatting>
  <conditionalFormatting sqref="J1842">
    <cfRule type="expression" priority="104420" dxfId="4">
      <formula>$H1842="SUBETAPA"</formula>
    </cfRule>
  </conditionalFormatting>
  <conditionalFormatting sqref="J1851:J1852">
    <cfRule type="expression" priority="111764" dxfId="5">
      <formula>$H1851="CÉLULA CONSTRUTIVA"</formula>
    </cfRule>
    <cfRule type="expression" priority="111765" dxfId="4">
      <formula>$H1851="SUBETAPA"</formula>
    </cfRule>
  </conditionalFormatting>
  <conditionalFormatting sqref="J1855">
    <cfRule type="expression" priority="79215" dxfId="4">
      <formula>$H1855="SUBETAPA"</formula>
    </cfRule>
  </conditionalFormatting>
  <conditionalFormatting sqref="J1856">
    <cfRule type="expression" priority="79209" dxfId="4">
      <formula>$H1856="SUBETAPA"</formula>
    </cfRule>
  </conditionalFormatting>
  <conditionalFormatting sqref="J1858">
    <cfRule type="expression" priority="79119" dxfId="4">
      <formula>$H1858="SUBETAPA"</formula>
    </cfRule>
  </conditionalFormatting>
  <conditionalFormatting sqref="J1867:J1868">
    <cfRule type="expression" priority="79185" dxfId="5">
      <formula>$H1867="CÉLULA CONSTRUTIVA"</formula>
    </cfRule>
    <cfRule type="expression" priority="79186" dxfId="4">
      <formula>$H1867="SUBETAPA"</formula>
    </cfRule>
  </conditionalFormatting>
  <conditionalFormatting sqref="J1871">
    <cfRule type="expression" priority="79539" dxfId="4">
      <formula>$H1871="SUBETAPA"</formula>
    </cfRule>
  </conditionalFormatting>
  <conditionalFormatting sqref="J1872">
    <cfRule type="expression" priority="79533" dxfId="4">
      <formula>$H1872="SUBETAPA"</formula>
    </cfRule>
  </conditionalFormatting>
  <conditionalFormatting sqref="J1880:J1881">
    <cfRule type="expression" priority="79509" dxfId="5">
      <formula>$H1880="CÉLULA CONSTRUTIVA"</formula>
    </cfRule>
    <cfRule type="expression" priority="79510" dxfId="4">
      <formula>$H1880="SUBETAPA"</formula>
    </cfRule>
  </conditionalFormatting>
  <conditionalFormatting sqref="J1884">
    <cfRule type="expression" priority="79863" dxfId="4">
      <formula>$H1884="SUBETAPA"</formula>
    </cfRule>
  </conditionalFormatting>
  <conditionalFormatting sqref="J1885">
    <cfRule type="expression" priority="79857" dxfId="4">
      <formula>$H1885="SUBETAPA"</formula>
    </cfRule>
  </conditionalFormatting>
  <conditionalFormatting sqref="J2039">
    <cfRule type="expression" priority="66982" dxfId="5">
      <formula>$H2039="CÉLULA CONSTRUTIVA"</formula>
    </cfRule>
    <cfRule type="expression" priority="66983" dxfId="4">
      <formula>$H2039="SUBETAPA"</formula>
    </cfRule>
    <cfRule type="expression" priority="66984" dxfId="3">
      <formula>$H2039="ETAPA"</formula>
    </cfRule>
  </conditionalFormatting>
  <conditionalFormatting sqref="J2043">
    <cfRule type="expression" priority="67267" dxfId="4">
      <formula>$H2043="SUBETAPA"</formula>
    </cfRule>
  </conditionalFormatting>
  <conditionalFormatting sqref="J2047">
    <cfRule type="expression" priority="67154" dxfId="4">
      <formula>$H2047="SUBETAPA"</formula>
    </cfRule>
  </conditionalFormatting>
  <conditionalFormatting sqref="J2068">
    <cfRule type="expression" priority="67769" dxfId="3">
      <formula>$H2068="ETAPA"</formula>
    </cfRule>
    <cfRule type="expression" priority="67770" dxfId="5">
      <formula>$H2068="CÉLULA CONSTRUTIVA"</formula>
    </cfRule>
  </conditionalFormatting>
  <conditionalFormatting sqref="J2070">
    <cfRule type="expression" priority="67622" dxfId="5">
      <formula>$H2070="CÉLULA CONSTRUTIVA"</formula>
    </cfRule>
    <cfRule type="expression" priority="67623" dxfId="4">
      <formula>$H2070="SUBETAPA"</formula>
    </cfRule>
    <cfRule type="expression" priority="67624" dxfId="3">
      <formula>$H2070="ETAPA"</formula>
    </cfRule>
  </conditionalFormatting>
  <conditionalFormatting sqref="J2090">
    <cfRule type="expression" priority="68262" dxfId="5">
      <formula>$H2090="CÉLULA CONSTRUTIVA"</formula>
    </cfRule>
    <cfRule type="expression" priority="68263" dxfId="4">
      <formula>$H2090="SUBETAPA"</formula>
    </cfRule>
    <cfRule type="expression" priority="68264" dxfId="3">
      <formula>$H2090="ETAPA"</formula>
    </cfRule>
  </conditionalFormatting>
  <conditionalFormatting sqref="J2107">
    <cfRule type="expression" priority="68902" dxfId="5">
      <formula>$H2107="CÉLULA CONSTRUTIVA"</formula>
    </cfRule>
    <cfRule type="expression" priority="68903" dxfId="4">
      <formula>$H2107="SUBETAPA"</formula>
    </cfRule>
    <cfRule type="expression" priority="68904" dxfId="3">
      <formula>$H2107="ETAPA"</formula>
    </cfRule>
  </conditionalFormatting>
  <conditionalFormatting sqref="J2123">
    <cfRule type="expression" priority="69542" dxfId="5">
      <formula>$H2123="CÉLULA CONSTRUTIVA"</formula>
    </cfRule>
    <cfRule type="expression" priority="69543" dxfId="4">
      <formula>$H2123="SUBETAPA"</formula>
    </cfRule>
    <cfRule type="expression" priority="69544" dxfId="3">
      <formula>$H2123="ETAPA"</formula>
    </cfRule>
  </conditionalFormatting>
  <conditionalFormatting sqref="J2141">
    <cfRule type="expression" priority="70182" dxfId="5">
      <formula>$H2141="CÉLULA CONSTRUTIVA"</formula>
    </cfRule>
    <cfRule type="expression" priority="70183" dxfId="4">
      <formula>$H2141="SUBETAPA"</formula>
    </cfRule>
    <cfRule type="expression" priority="70184" dxfId="3">
      <formula>$H2141="ETAPA"</formula>
    </cfRule>
  </conditionalFormatting>
  <conditionalFormatting sqref="J2158">
    <cfRule type="expression" priority="70822" dxfId="5">
      <formula>$H2158="CÉLULA CONSTRUTIVA"</formula>
    </cfRule>
    <cfRule type="expression" priority="70823" dxfId="4">
      <formula>$H2158="SUBETAPA"</formula>
    </cfRule>
    <cfRule type="expression" priority="70824" dxfId="3">
      <formula>$H2158="ETAPA"</formula>
    </cfRule>
  </conditionalFormatting>
  <conditionalFormatting sqref="J2161">
    <cfRule type="expression" priority="70784" dxfId="5">
      <formula>$H2161="CÉLULA CONSTRUTIVA"</formula>
    </cfRule>
  </conditionalFormatting>
  <conditionalFormatting sqref="J2163">
    <cfRule type="expression" priority="70737" dxfId="5">
      <formula>$H2163="CÉLULA CONSTRUTIVA"</formula>
    </cfRule>
    <cfRule type="expression" priority="70738" dxfId="4">
      <formula>$H2163="SUBETAPA"</formula>
    </cfRule>
    <cfRule type="expression" priority="70739" dxfId="3">
      <formula>$H2163="ETAPA"</formula>
    </cfRule>
  </conditionalFormatting>
  <conditionalFormatting sqref="J2166">
    <cfRule type="expression" priority="70994" dxfId="4">
      <formula>$H2166="SUBETAPA"</formula>
    </cfRule>
  </conditionalFormatting>
  <conditionalFormatting sqref="J2172">
    <cfRule type="expression" priority="71276" dxfId="5">
      <formula>$H2172="CÉLULA CONSTRUTIVA"</formula>
    </cfRule>
  </conditionalFormatting>
  <conditionalFormatting sqref="J2180">
    <cfRule type="expression" priority="71083" dxfId="5">
      <formula>$H2180="CÉLULA CONSTRUTIVA"</formula>
    </cfRule>
    <cfRule type="expression" priority="71084" dxfId="4">
      <formula>$H2180="SUBETAPA"</formula>
    </cfRule>
  </conditionalFormatting>
  <conditionalFormatting sqref="J2185">
    <cfRule type="expression" priority="71462" dxfId="5">
      <formula>$H2185="CÉLULA CONSTRUTIVA"</formula>
    </cfRule>
    <cfRule type="expression" priority="71463" dxfId="4">
      <formula>$H2185="SUBETAPA"</formula>
    </cfRule>
    <cfRule type="expression" priority="71464" dxfId="3">
      <formula>$H2185="ETAPA"</formula>
    </cfRule>
  </conditionalFormatting>
  <conditionalFormatting sqref="J2190">
    <cfRule type="expression" priority="71634" dxfId="4">
      <formula>$H2190="SUBETAPA"</formula>
    </cfRule>
  </conditionalFormatting>
  <conditionalFormatting sqref="J2193">
    <cfRule type="expression" priority="71286" dxfId="5">
      <formula>$H2193="CÉLULA CONSTRUTIVA"</formula>
    </cfRule>
    <cfRule type="expression" priority="71287" dxfId="4">
      <formula>$H2193="SUBETAPA"</formula>
    </cfRule>
    <cfRule type="expression" priority="71288" dxfId="3">
      <formula>$H2193="ETAPA"</formula>
    </cfRule>
  </conditionalFormatting>
  <conditionalFormatting sqref="J2216">
    <cfRule type="expression" priority="72102" dxfId="5">
      <formula>$H2216="CÉLULA CONSTRUTIVA"</formula>
    </cfRule>
    <cfRule type="expression" priority="72103" dxfId="4">
      <formula>$H2216="SUBETAPA"</formula>
    </cfRule>
    <cfRule type="expression" priority="72104" dxfId="3">
      <formula>$H2216="ETAPA"</formula>
    </cfRule>
  </conditionalFormatting>
  <conditionalFormatting sqref="J2219">
    <cfRule type="expression" priority="72274" dxfId="4">
      <formula>$H2219="SUBETAPA"</formula>
    </cfRule>
  </conditionalFormatting>
  <conditionalFormatting sqref="J2236">
    <cfRule type="expression" priority="72742" dxfId="5">
      <formula>$H2236="CÉLULA CONSTRUTIVA"</formula>
    </cfRule>
    <cfRule type="expression" priority="72743" dxfId="4">
      <formula>$H2236="SUBETAPA"</formula>
    </cfRule>
    <cfRule type="expression" priority="72744" dxfId="3">
      <formula>$H2236="ETAPA"</formula>
    </cfRule>
  </conditionalFormatting>
  <conditionalFormatting sqref="J2239">
    <cfRule type="expression" priority="72914" dxfId="4">
      <formula>$H2239="SUBETAPA"</formula>
    </cfRule>
  </conditionalFormatting>
  <conditionalFormatting sqref="J2240">
    <cfRule type="expression" priority="3444" dxfId="4">
      <formula>$H2240="SUBETAPA"</formula>
    </cfRule>
    <cfRule type="expression" priority="3445" dxfId="5">
      <formula>$H2240="CÉLULA CONSTRUTIVA"</formula>
    </cfRule>
  </conditionalFormatting>
  <conditionalFormatting sqref="J2256">
    <cfRule type="expression" priority="73382" dxfId="5">
      <formula>$H2256="CÉLULA CONSTRUTIVA"</formula>
    </cfRule>
    <cfRule type="expression" priority="73383" dxfId="4">
      <formula>$H2256="SUBETAPA"</formula>
    </cfRule>
    <cfRule type="expression" priority="73384" dxfId="3">
      <formula>$H2256="ETAPA"</formula>
    </cfRule>
  </conditionalFormatting>
  <conditionalFormatting sqref="J2259">
    <cfRule type="expression" priority="73667" dxfId="4">
      <formula>$H2259="SUBETAPA"</formula>
    </cfRule>
  </conditionalFormatting>
  <conditionalFormatting sqref="J2261">
    <cfRule type="expression" priority="73554" dxfId="4">
      <formula>$H2261="SUBETAPA"</formula>
    </cfRule>
  </conditionalFormatting>
  <conditionalFormatting sqref="J2279">
    <cfRule type="expression" priority="74022" dxfId="5">
      <formula>$H2279="CÉLULA CONSTRUTIVA"</formula>
    </cfRule>
    <cfRule type="expression" priority="74023" dxfId="4">
      <formula>$H2279="SUBETAPA"</formula>
    </cfRule>
    <cfRule type="expression" priority="74024" dxfId="3">
      <formula>$H2279="ETAPA"</formula>
    </cfRule>
  </conditionalFormatting>
  <conditionalFormatting sqref="J2282">
    <cfRule type="expression" priority="74307" dxfId="4">
      <formula>$H2282="SUBETAPA"</formula>
    </cfRule>
  </conditionalFormatting>
  <conditionalFormatting sqref="J2285">
    <cfRule type="expression" priority="74194" dxfId="4">
      <formula>$H2285="SUBETAPA"</formula>
    </cfRule>
  </conditionalFormatting>
  <conditionalFormatting sqref="J2299:J2300">
    <cfRule type="expression" priority="74736" dxfId="4">
      <formula>$H2299="SUBETAPA"</formula>
    </cfRule>
  </conditionalFormatting>
  <conditionalFormatting sqref="J2304">
    <cfRule type="expression" priority="74662" dxfId="5">
      <formula>$H2304="CÉLULA CONSTRUTIVA"</formula>
    </cfRule>
    <cfRule type="expression" priority="74663" dxfId="4">
      <formula>$H2304="SUBETAPA"</formula>
    </cfRule>
    <cfRule type="expression" priority="74664" dxfId="3">
      <formula>$H2304="ETAPA"</formula>
    </cfRule>
  </conditionalFormatting>
  <conditionalFormatting sqref="J2307">
    <cfRule type="expression" priority="74947" dxfId="4">
      <formula>$H2307="SUBETAPA"</formula>
    </cfRule>
  </conditionalFormatting>
  <conditionalFormatting sqref="J2314:J2315">
    <cfRule type="expression" priority="75118" dxfId="5">
      <formula>$H2314="CÉLULA CONSTRUTIVA"</formula>
    </cfRule>
  </conditionalFormatting>
  <conditionalFormatting sqref="J2325">
    <cfRule type="expression" priority="75302" dxfId="5">
      <formula>$H2325="CÉLULA CONSTRUTIVA"</formula>
    </cfRule>
    <cfRule type="expression" priority="75303" dxfId="4">
      <formula>$H2325="SUBETAPA"</formula>
    </cfRule>
    <cfRule type="expression" priority="75304" dxfId="3">
      <formula>$H2325="ETAPA"</formula>
    </cfRule>
  </conditionalFormatting>
  <conditionalFormatting sqref="J2346">
    <cfRule type="expression" priority="61944" dxfId="4">
      <formula>$H2346="SUBETAPA"</formula>
    </cfRule>
    <cfRule type="expression" priority="61945" dxfId="5">
      <formula>$H2346="CÉLULA CONSTRUTIVA"</formula>
    </cfRule>
  </conditionalFormatting>
  <conditionalFormatting sqref="J2347">
    <cfRule type="expression" priority="7121" dxfId="3">
      <formula>$H2347="ETAPA"</formula>
    </cfRule>
    <cfRule type="expression" priority="7122" dxfId="4">
      <formula>$H2347="SUBETAPA"</formula>
    </cfRule>
    <cfRule type="expression" priority="7123" dxfId="5">
      <formula>$H2347="CÉLULA CONSTRUTIVA"</formula>
    </cfRule>
    <cfRule type="expression" priority="7124" dxfId="4">
      <formula>$H2347="SUBETAPA"</formula>
    </cfRule>
    <cfRule type="expression" priority="7125" dxfId="5">
      <formula>$H2347="CÉLULA CONSTRUTIVA"</formula>
    </cfRule>
  </conditionalFormatting>
  <conditionalFormatting sqref="J2367">
    <cfRule type="expression" priority="62183" dxfId="4">
      <formula>$H2367="SUBETAPA"</formula>
    </cfRule>
    <cfRule type="expression" priority="62184" dxfId="5">
      <formula>$H2367="CÉLULA CONSTRUTIVA"</formula>
    </cfRule>
  </conditionalFormatting>
  <conditionalFormatting sqref="J2368">
    <cfRule type="expression" priority="7099" dxfId="3">
      <formula>$H2368="ETAPA"</formula>
    </cfRule>
    <cfRule type="expression" priority="7100" dxfId="4">
      <formula>$H2368="SUBETAPA"</formula>
    </cfRule>
    <cfRule type="expression" priority="7101" dxfId="5">
      <formula>$H2368="CÉLULA CONSTRUTIVA"</formula>
    </cfRule>
    <cfRule type="expression" priority="7102" dxfId="4">
      <formula>$H2368="SUBETAPA"</formula>
    </cfRule>
    <cfRule type="expression" priority="7103" dxfId="5">
      <formula>$H2368="CÉLULA CONSTRUTIVA"</formula>
    </cfRule>
  </conditionalFormatting>
  <conditionalFormatting sqref="J2394">
    <cfRule type="expression" priority="62422" dxfId="4">
      <formula>$H2394="SUBETAPA"</formula>
    </cfRule>
    <cfRule type="expression" priority="62423" dxfId="5">
      <formula>$H2394="CÉLULA CONSTRUTIVA"</formula>
    </cfRule>
  </conditionalFormatting>
  <conditionalFormatting sqref="J2395">
    <cfRule type="expression" priority="7043" dxfId="3">
      <formula>$H2395="ETAPA"</formula>
    </cfRule>
    <cfRule type="expression" priority="7044" dxfId="4">
      <formula>$H2395="SUBETAPA"</formula>
    </cfRule>
    <cfRule type="expression" priority="7045" dxfId="5">
      <formula>$H2395="CÉLULA CONSTRUTIVA"</formula>
    </cfRule>
    <cfRule type="expression" priority="7046" dxfId="4">
      <formula>$H2395="SUBETAPA"</formula>
    </cfRule>
    <cfRule type="expression" priority="7047" dxfId="5">
      <formula>$H2395="CÉLULA CONSTRUTIVA"</formula>
    </cfRule>
  </conditionalFormatting>
  <conditionalFormatting sqref="J2418">
    <cfRule type="expression" priority="6987" dxfId="3">
      <formula>$H2418="ETAPA"</formula>
    </cfRule>
    <cfRule type="expression" priority="6988" dxfId="4">
      <formula>$H2418="SUBETAPA"</formula>
    </cfRule>
    <cfRule type="expression" priority="6989" dxfId="5">
      <formula>$H2418="CÉLULA CONSTRUTIVA"</formula>
    </cfRule>
    <cfRule type="expression" priority="6990" dxfId="4">
      <formula>$H2418="SUBETAPA"</formula>
    </cfRule>
    <cfRule type="expression" priority="6991" dxfId="5">
      <formula>$H2418="CÉLULA CONSTRUTIVA"</formula>
    </cfRule>
  </conditionalFormatting>
  <conditionalFormatting sqref="J2441">
    <cfRule type="expression" priority="6931" dxfId="3">
      <formula>$H2441="ETAPA"</formula>
    </cfRule>
    <cfRule type="expression" priority="6932" dxfId="4">
      <formula>$H2441="SUBETAPA"</formula>
    </cfRule>
    <cfRule type="expression" priority="6933" dxfId="5">
      <formula>$H2441="CÉLULA CONSTRUTIVA"</formula>
    </cfRule>
    <cfRule type="expression" priority="6934" dxfId="4">
      <formula>$H2441="SUBETAPA"</formula>
    </cfRule>
    <cfRule type="expression" priority="6935" dxfId="5">
      <formula>$H2441="CÉLULA CONSTRUTIVA"</formula>
    </cfRule>
  </conditionalFormatting>
  <conditionalFormatting sqref="J2464">
    <cfRule type="expression" priority="63139" dxfId="4">
      <formula>$H2464="SUBETAPA"</formula>
    </cfRule>
    <cfRule type="expression" priority="63140" dxfId="5">
      <formula>$H2464="CÉLULA CONSTRUTIVA"</formula>
    </cfRule>
  </conditionalFormatting>
  <conditionalFormatting sqref="J2465">
    <cfRule type="expression" priority="6875" dxfId="3">
      <formula>$H2465="ETAPA"</formula>
    </cfRule>
    <cfRule type="expression" priority="6876" dxfId="4">
      <formula>$H2465="SUBETAPA"</formula>
    </cfRule>
    <cfRule type="expression" priority="6877" dxfId="5">
      <formula>$H2465="CÉLULA CONSTRUTIVA"</formula>
    </cfRule>
    <cfRule type="expression" priority="6878" dxfId="4">
      <formula>$H2465="SUBETAPA"</formula>
    </cfRule>
    <cfRule type="expression" priority="6879" dxfId="5">
      <formula>$H2465="CÉLULA CONSTRUTIVA"</formula>
    </cfRule>
  </conditionalFormatting>
  <conditionalFormatting sqref="J2489">
    <cfRule type="expression" priority="6819" dxfId="3">
      <formula>$H2489="ETAPA"</formula>
    </cfRule>
    <cfRule type="expression" priority="6820" dxfId="4">
      <formula>$H2489="SUBETAPA"</formula>
    </cfRule>
    <cfRule type="expression" priority="6821" dxfId="5">
      <formula>$H2489="CÉLULA CONSTRUTIVA"</formula>
    </cfRule>
    <cfRule type="expression" priority="6822" dxfId="4">
      <formula>$H2489="SUBETAPA"</formula>
    </cfRule>
    <cfRule type="expression" priority="6823" dxfId="5">
      <formula>$H2489="CÉLULA CONSTRUTIVA"</formula>
    </cfRule>
  </conditionalFormatting>
  <conditionalFormatting sqref="J2490">
    <cfRule type="expression" priority="63376" dxfId="4">
      <formula>$H2490="SUBETAPA"</formula>
    </cfRule>
    <cfRule type="expression" priority="63377" dxfId="5">
      <formula>$H2490="CÉLULA CONSTRUTIVA"</formula>
    </cfRule>
  </conditionalFormatting>
  <conditionalFormatting sqref="J2516">
    <cfRule type="expression" priority="6763" dxfId="3">
      <formula>$H2516="ETAPA"</formula>
    </cfRule>
    <cfRule type="expression" priority="6764" dxfId="4">
      <formula>$H2516="SUBETAPA"</formula>
    </cfRule>
    <cfRule type="expression" priority="6765" dxfId="5">
      <formula>$H2516="CÉLULA CONSTRUTIVA"</formula>
    </cfRule>
    <cfRule type="expression" priority="6766" dxfId="4">
      <formula>$H2516="SUBETAPA"</formula>
    </cfRule>
    <cfRule type="expression" priority="6767" dxfId="5">
      <formula>$H2516="CÉLULA CONSTRUTIVA"</formula>
    </cfRule>
  </conditionalFormatting>
  <conditionalFormatting sqref="J2537">
    <cfRule type="expression" priority="6684" dxfId="3">
      <formula>$H2537="ETAPA"</formula>
    </cfRule>
    <cfRule type="expression" priority="6685" dxfId="4">
      <formula>$H2537="SUBETAPA"</formula>
    </cfRule>
    <cfRule type="expression" priority="6686" dxfId="5">
      <formula>$H2537="CÉLULA CONSTRUTIVA"</formula>
    </cfRule>
    <cfRule type="expression" priority="6687" dxfId="4">
      <formula>$H2537="SUBETAPA"</formula>
    </cfRule>
    <cfRule type="expression" priority="6688" dxfId="5">
      <formula>$H2537="CÉLULA CONSTRUTIVA"</formula>
    </cfRule>
  </conditionalFormatting>
  <conditionalFormatting sqref="J2546">
    <cfRule type="expression" priority="63894" dxfId="5">
      <formula>$H2546="CÉLULA CONSTRUTIVA"</formula>
    </cfRule>
  </conditionalFormatting>
  <conditionalFormatting sqref="J2553">
    <cfRule type="expression" priority="6626" dxfId="3">
      <formula>$H2553="ETAPA"</formula>
    </cfRule>
    <cfRule type="expression" priority="6627" dxfId="4">
      <formula>$H2553="SUBETAPA"</formula>
    </cfRule>
    <cfRule type="expression" priority="6628" dxfId="5">
      <formula>$H2553="CÉLULA CONSTRUTIVA"</formula>
    </cfRule>
    <cfRule type="expression" priority="6629" dxfId="4">
      <formula>$H2553="SUBETAPA"</formula>
    </cfRule>
    <cfRule type="expression" priority="6630" dxfId="5">
      <formula>$H2553="CÉLULA CONSTRUTIVA"</formula>
    </cfRule>
  </conditionalFormatting>
  <conditionalFormatting sqref="J2562">
    <cfRule type="expression" priority="64133" dxfId="5">
      <formula>$H2562="CÉLULA CONSTRUTIVA"</formula>
    </cfRule>
  </conditionalFormatting>
  <conditionalFormatting sqref="J2569">
    <cfRule type="expression" priority="6568" dxfId="3">
      <formula>$H2569="ETAPA"</formula>
    </cfRule>
    <cfRule type="expression" priority="6569" dxfId="4">
      <formula>$H2569="SUBETAPA"</formula>
    </cfRule>
    <cfRule type="expression" priority="6570" dxfId="5">
      <formula>$H2569="CÉLULA CONSTRUTIVA"</formula>
    </cfRule>
    <cfRule type="expression" priority="6571" dxfId="4">
      <formula>$H2569="SUBETAPA"</formula>
    </cfRule>
    <cfRule type="expression" priority="6572" dxfId="5">
      <formula>$H2569="CÉLULA CONSTRUTIVA"</formula>
    </cfRule>
  </conditionalFormatting>
  <conditionalFormatting sqref="J2578">
    <cfRule type="expression" priority="64372" dxfId="5">
      <formula>$H2578="CÉLULA CONSTRUTIVA"</formula>
    </cfRule>
  </conditionalFormatting>
  <conditionalFormatting sqref="J2585">
    <cfRule type="expression" priority="6510" dxfId="3">
      <formula>$H2585="ETAPA"</formula>
    </cfRule>
    <cfRule type="expression" priority="6511" dxfId="4">
      <formula>$H2585="SUBETAPA"</formula>
    </cfRule>
    <cfRule type="expression" priority="6512" dxfId="5">
      <formula>$H2585="CÉLULA CONSTRUTIVA"</formula>
    </cfRule>
    <cfRule type="expression" priority="6513" dxfId="4">
      <formula>$H2585="SUBETAPA"</formula>
    </cfRule>
    <cfRule type="expression" priority="6514" dxfId="5">
      <formula>$H2585="CÉLULA CONSTRUTIVA"</formula>
    </cfRule>
  </conditionalFormatting>
  <conditionalFormatting sqref="J2594">
    <cfRule type="expression" priority="64611" dxfId="5">
      <formula>$H2594="CÉLULA CONSTRUTIVA"</formula>
    </cfRule>
  </conditionalFormatting>
  <conditionalFormatting sqref="J2601">
    <cfRule type="expression" priority="6452" dxfId="3">
      <formula>$H2601="ETAPA"</formula>
    </cfRule>
    <cfRule type="expression" priority="6453" dxfId="4">
      <formula>$H2601="SUBETAPA"</formula>
    </cfRule>
    <cfRule type="expression" priority="6454" dxfId="5">
      <formula>$H2601="CÉLULA CONSTRUTIVA"</formula>
    </cfRule>
    <cfRule type="expression" priority="6455" dxfId="4">
      <formula>$H2601="SUBETAPA"</formula>
    </cfRule>
    <cfRule type="expression" priority="6456" dxfId="5">
      <formula>$H2601="CÉLULA CONSTRUTIVA"</formula>
    </cfRule>
  </conditionalFormatting>
  <conditionalFormatting sqref="J2610">
    <cfRule type="expression" priority="64850" dxfId="5">
      <formula>$H2610="CÉLULA CONSTRUTIVA"</formula>
    </cfRule>
  </conditionalFormatting>
  <conditionalFormatting sqref="J2617">
    <cfRule type="expression" priority="6394" dxfId="3">
      <formula>$H2617="ETAPA"</formula>
    </cfRule>
    <cfRule type="expression" priority="6395" dxfId="4">
      <formula>$H2617="SUBETAPA"</formula>
    </cfRule>
    <cfRule type="expression" priority="6396" dxfId="5">
      <formula>$H2617="CÉLULA CONSTRUTIVA"</formula>
    </cfRule>
    <cfRule type="expression" priority="6397" dxfId="4">
      <formula>$H2617="SUBETAPA"</formula>
    </cfRule>
    <cfRule type="expression" priority="6398" dxfId="5">
      <formula>$H2617="CÉLULA CONSTRUTIVA"</formula>
    </cfRule>
  </conditionalFormatting>
  <conditionalFormatting sqref="J2625">
    <cfRule type="expression" priority="65089" dxfId="5">
      <formula>$H2625="CÉLULA CONSTRUTIVA"</formula>
    </cfRule>
  </conditionalFormatting>
  <conditionalFormatting sqref="J2826">
    <cfRule type="expression" priority="435" dxfId="4">
      <formula>$H2826="SUBETAPA"</formula>
    </cfRule>
    <cfRule type="expression" priority="436" dxfId="3">
      <formula>$H2826="ETAPA"</formula>
    </cfRule>
  </conditionalFormatting>
  <conditionalFormatting sqref="J2882">
    <cfRule type="expression" priority="825" dxfId="4">
      <formula>$H2882="SUBETAPA"</formula>
    </cfRule>
    <cfRule type="expression" priority="826" dxfId="3">
      <formula>$H2882="ETAPA"</formula>
    </cfRule>
  </conditionalFormatting>
  <conditionalFormatting sqref="J2893">
    <cfRule type="expression" priority="890" dxfId="4">
      <formula>$H2893="SUBETAPA"</formula>
    </cfRule>
    <cfRule type="expression" priority="891" dxfId="3">
      <formula>$H2893="ETAPA"</formula>
    </cfRule>
  </conditionalFormatting>
  <conditionalFormatting sqref="J2940">
    <cfRule type="expression" priority="1215" dxfId="4">
      <formula>$H2940="SUBETAPA"</formula>
    </cfRule>
    <cfRule type="expression" priority="1216" dxfId="3">
      <formula>$H2940="ETAPA"</formula>
    </cfRule>
  </conditionalFormatting>
  <conditionalFormatting sqref="J2948">
    <cfRule type="expression" priority="1280" dxfId="4">
      <formula>$H2948="SUBETAPA"</formula>
    </cfRule>
    <cfRule type="expression" priority="1281" dxfId="3">
      <formula>$H2948="ETAPA"</formula>
    </cfRule>
  </conditionalFormatting>
  <conditionalFormatting sqref="J2948:J2951">
    <cfRule type="expression" priority="1279" dxfId="3">
      <formula>$H2948="ETAPA"</formula>
    </cfRule>
  </conditionalFormatting>
  <conditionalFormatting sqref="J3060:J3062">
    <cfRule type="expression" priority="4181" dxfId="4">
      <formula>$H3060="SUBETAPA"</formula>
    </cfRule>
    <cfRule type="expression" priority="4182" dxfId="5">
      <formula>$H3060="CÉLULA CONSTRUTIVA"</formula>
    </cfRule>
  </conditionalFormatting>
  <conditionalFormatting sqref="J3063">
    <cfRule type="expression" priority="4177" dxfId="3">
      <formula>$H3063="ETAPA"</formula>
    </cfRule>
    <cfRule type="expression" priority="4178" dxfId="4">
      <formula>$H3063="SUBETAPA"</formula>
    </cfRule>
  </conditionalFormatting>
  <conditionalFormatting sqref="J3064">
    <cfRule type="expression" priority="4179" dxfId="4">
      <formula>$H3064="SUBETAPA"</formula>
    </cfRule>
    <cfRule type="expression" priority="4180" dxfId="5">
      <formula>$H3064="CÉLULA CONSTRUTIVA"</formula>
    </cfRule>
  </conditionalFormatting>
  <conditionalFormatting sqref="J3066">
    <cfRule type="expression" priority="61041" dxfId="4">
      <formula>$H3066="SUBETAPA"</formula>
    </cfRule>
    <cfRule type="expression" priority="61042" dxfId="5">
      <formula>$H3066="CÉLULA CONSTRUTIVA"</formula>
    </cfRule>
  </conditionalFormatting>
  <conditionalFormatting sqref="J3088">
    <cfRule type="expression" priority="4165" dxfId="4">
      <formula>$H3088="SUBETAPA"</formula>
    </cfRule>
    <cfRule type="expression" priority="4166" dxfId="5">
      <formula>$H3088="CÉLULA CONSTRUTIVA"</formula>
    </cfRule>
  </conditionalFormatting>
  <conditionalFormatting sqref="J3089">
    <cfRule type="expression" priority="4161" dxfId="3">
      <formula>$H3089="ETAPA"</formula>
    </cfRule>
    <cfRule type="expression" priority="4162" dxfId="4">
      <formula>$H3089="SUBETAPA"</formula>
    </cfRule>
  </conditionalFormatting>
  <conditionalFormatting sqref="J3090">
    <cfRule type="expression" priority="4163" dxfId="4">
      <formula>$H3090="SUBETAPA"</formula>
    </cfRule>
    <cfRule type="expression" priority="4164" dxfId="5">
      <formula>$H3090="CÉLULA CONSTRUTIVA"</formula>
    </cfRule>
  </conditionalFormatting>
  <conditionalFormatting sqref="J3106">
    <cfRule type="expression" priority="4204" dxfId="4">
      <formula>$H3106="SUBETAPA"</formula>
    </cfRule>
    <cfRule type="expression" priority="4205" dxfId="5">
      <formula>$H3106="CÉLULA CONSTRUTIVA"</formula>
    </cfRule>
    <cfRule type="expression" priority="6354" dxfId="4">
      <formula>$H3106="SUBETAPA"</formula>
    </cfRule>
    <cfRule type="expression" priority="6355" dxfId="5">
      <formula>$H3106="CÉLULA CONSTRUTIVA"</formula>
    </cfRule>
  </conditionalFormatting>
  <conditionalFormatting sqref="J3109">
    <cfRule type="expression" priority="4149" dxfId="4">
      <formula>$H3109="SUBETAPA"</formula>
    </cfRule>
    <cfRule type="expression" priority="4150" dxfId="5">
      <formula>$H3109="CÉLULA CONSTRUTIVA"</formula>
    </cfRule>
  </conditionalFormatting>
  <conditionalFormatting sqref="J3110">
    <cfRule type="expression" priority="4145" dxfId="3">
      <formula>$H3110="ETAPA"</formula>
    </cfRule>
    <cfRule type="expression" priority="4146" dxfId="4">
      <formula>$H3110="SUBETAPA"</formula>
    </cfRule>
  </conditionalFormatting>
  <conditionalFormatting sqref="J3111">
    <cfRule type="expression" priority="4147" dxfId="4">
      <formula>$H3111="SUBETAPA"</formula>
    </cfRule>
    <cfRule type="expression" priority="4148" dxfId="5">
      <formula>$H3111="CÉLULA CONSTRUTIVA"</formula>
    </cfRule>
  </conditionalFormatting>
  <conditionalFormatting sqref="J3129">
    <cfRule type="expression" priority="6352" dxfId="4">
      <formula>$H3129="SUBETAPA"</formula>
    </cfRule>
    <cfRule type="expression" priority="6353" dxfId="5">
      <formula>$H3129="CÉLULA CONSTRUTIVA"</formula>
    </cfRule>
  </conditionalFormatting>
  <conditionalFormatting sqref="J3132">
    <cfRule type="expression" priority="4133" dxfId="4">
      <formula>$H3132="SUBETAPA"</formula>
    </cfRule>
    <cfRule type="expression" priority="4134" dxfId="5">
      <formula>$H3132="CÉLULA CONSTRUTIVA"</formula>
    </cfRule>
  </conditionalFormatting>
  <conditionalFormatting sqref="J3133">
    <cfRule type="expression" priority="4129" dxfId="3">
      <formula>$H3133="ETAPA"</formula>
    </cfRule>
    <cfRule type="expression" priority="4130" dxfId="4">
      <formula>$H3133="SUBETAPA"</formula>
    </cfRule>
  </conditionalFormatting>
  <conditionalFormatting sqref="J3134">
    <cfRule type="expression" priority="4131" dxfId="4">
      <formula>$H3134="SUBETAPA"</formula>
    </cfRule>
    <cfRule type="expression" priority="4132" dxfId="5">
      <formula>$H3134="CÉLULA CONSTRUTIVA"</formula>
    </cfRule>
  </conditionalFormatting>
  <conditionalFormatting sqref="J3135">
    <cfRule type="expression" priority="61779" dxfId="4">
      <formula>$H3135="SUBETAPA"</formula>
    </cfRule>
    <cfRule type="expression" priority="61780" dxfId="5">
      <formula>$H3135="CÉLULA CONSTRUTIVA"</formula>
    </cfRule>
  </conditionalFormatting>
  <conditionalFormatting sqref="J12:K12">
    <cfRule type="expression" priority="4065" dxfId="6">
      <formula>$H12="SUBETAPA"</formula>
    </cfRule>
    <cfRule type="expression" priority="4066" dxfId="7">
      <formula>$H12="CÉLULA CONSTRUTIVA"</formula>
    </cfRule>
    <cfRule type="expression" priority="4067" dxfId="8">
      <formula>$H12="ETAPA"</formula>
    </cfRule>
  </conditionalFormatting>
  <conditionalFormatting sqref="J13:K13">
    <cfRule type="expression" priority="4070" dxfId="6">
      <formula>$H13="SUBETAPA"</formula>
    </cfRule>
    <cfRule type="expression" priority="4071" dxfId="7">
      <formula>$H13="CÉLULA CONSTRUTIVA"</formula>
    </cfRule>
    <cfRule type="expression" priority="4072" dxfId="8">
      <formula>$H13="ETAPA"</formula>
    </cfRule>
  </conditionalFormatting>
  <conditionalFormatting sqref="J14:K14">
    <cfRule type="expression" priority="4068" dxfId="7">
      <formula>$H14="CÉLULA CONSTRUTIVA"</formula>
    </cfRule>
    <cfRule type="expression" priority="4069" dxfId="8">
      <formula>$H14="ETAPA"</formula>
    </cfRule>
  </conditionalFormatting>
  <conditionalFormatting sqref="J15:K15">
    <cfRule type="expression" priority="4063" dxfId="7">
      <formula>$H15="CÉLULA CONSTRUTIVA"</formula>
    </cfRule>
    <cfRule type="expression" priority="4073" dxfId="8">
      <formula>$H15="ETAPA"</formula>
    </cfRule>
  </conditionalFormatting>
  <conditionalFormatting sqref="J17:K17">
    <cfRule type="expression" priority="4037" dxfId="6">
      <formula>$H17="SUBETAPA"</formula>
    </cfRule>
  </conditionalFormatting>
  <conditionalFormatting sqref="J47:K47 N47:O47">
    <cfRule type="expression" priority="46749" dxfId="5">
      <formula>$H47="CÉLULA CONSTRUTIVA"</formula>
    </cfRule>
    <cfRule type="expression" priority="46750" dxfId="4">
      <formula>$H47="SUBETAPA"</formula>
    </cfRule>
    <cfRule type="expression" priority="46751" dxfId="3">
      <formula>$H47="ETAPA"</formula>
    </cfRule>
  </conditionalFormatting>
  <conditionalFormatting sqref="J387:L387 J388:K390 J395:L395">
    <cfRule type="expression" priority="99335" dxfId="4">
      <formula>$H387="SUBETAPA"</formula>
    </cfRule>
    <cfRule type="expression" priority="99336" dxfId="5">
      <formula>$H387="CÉLULA CONSTRUTIVA"</formula>
    </cfRule>
  </conditionalFormatting>
  <conditionalFormatting sqref="J392:K392">
    <cfRule type="expression" priority="7588" dxfId="4">
      <formula>$H392="SUBETAPA"</formula>
    </cfRule>
    <cfRule type="expression" priority="7589" dxfId="5">
      <formula>$H392="CÉLULA CONSTRUTIVA"</formula>
    </cfRule>
  </conditionalFormatting>
  <conditionalFormatting sqref="J404:L404 J405:K407 J412:L412">
    <cfRule type="expression" priority="99430" dxfId="4">
      <formula>$H404="SUBETAPA"</formula>
    </cfRule>
    <cfRule type="expression" priority="99431" dxfId="5">
      <formula>$H404="CÉLULA CONSTRUTIVA"</formula>
    </cfRule>
  </conditionalFormatting>
  <conditionalFormatting sqref="J421:L421 J422:K424 J428:L428">
    <cfRule type="expression" priority="99525" dxfId="4">
      <formula>$H421="SUBETAPA"</formula>
    </cfRule>
    <cfRule type="expression" priority="99526" dxfId="5">
      <formula>$H421="CÉLULA CONSTRUTIVA"</formula>
    </cfRule>
  </conditionalFormatting>
  <conditionalFormatting sqref="J437:L437 J438:K440 J444:L444">
    <cfRule type="expression" priority="99620" dxfId="4">
      <formula>$H437="SUBETAPA"</formula>
    </cfRule>
    <cfRule type="expression" priority="99621" dxfId="5">
      <formula>$H437="CÉLULA CONSTRUTIVA"</formula>
    </cfRule>
  </conditionalFormatting>
  <conditionalFormatting sqref="J453:L453 J454:K456 J461:L461">
    <cfRule type="expression" priority="99715" dxfId="4">
      <formula>$H453="SUBETAPA"</formula>
    </cfRule>
    <cfRule type="expression" priority="99716" dxfId="5">
      <formula>$H453="CÉLULA CONSTRUTIVA"</formula>
    </cfRule>
  </conditionalFormatting>
  <conditionalFormatting sqref="J470:L470 J471:K473 J478:L478">
    <cfRule type="expression" priority="99810" dxfId="4">
      <formula>$H470="SUBETAPA"</formula>
    </cfRule>
    <cfRule type="expression" priority="99811" dxfId="5">
      <formula>$H470="CÉLULA CONSTRUTIVA"</formula>
    </cfRule>
  </conditionalFormatting>
  <conditionalFormatting sqref="J487:L487 J488:K490 J495:L495">
    <cfRule type="expression" priority="99905" dxfId="4">
      <formula>$H487="SUBETAPA"</formula>
    </cfRule>
    <cfRule type="expression" priority="99906" dxfId="5">
      <formula>$H487="CÉLULA CONSTRUTIVA"</formula>
    </cfRule>
  </conditionalFormatting>
  <conditionalFormatting sqref="J522:L522 J523:K525 J531:L531">
    <cfRule type="expression" priority="100095" dxfId="4">
      <formula>$H522="SUBETAPA"</formula>
    </cfRule>
    <cfRule type="expression" priority="100096" dxfId="5">
      <formula>$H522="CÉLULA CONSTRUTIVA"</formula>
    </cfRule>
  </conditionalFormatting>
  <conditionalFormatting sqref="J526:K526">
    <cfRule type="expression" priority="59768" dxfId="4">
      <formula>$H526="SUBETAPA"</formula>
    </cfRule>
    <cfRule type="expression" priority="59769" dxfId="5">
      <formula>$H526="CÉLULA CONSTRUTIVA"</formula>
    </cfRule>
  </conditionalFormatting>
  <conditionalFormatting sqref="J540:L540 J541:K543 J549:L549">
    <cfRule type="expression" priority="100190" dxfId="4">
      <formula>$H540="SUBETAPA"</formula>
    </cfRule>
    <cfRule type="expression" priority="100191" dxfId="5">
      <formula>$H540="CÉLULA CONSTRUTIVA"</formula>
    </cfRule>
  </conditionalFormatting>
  <conditionalFormatting sqref="J544:K544">
    <cfRule type="expression" priority="59750" dxfId="4">
      <formula>$H544="SUBETAPA"</formula>
    </cfRule>
    <cfRule type="expression" priority="59751" dxfId="5">
      <formula>$H544="CÉLULA CONSTRUTIVA"</formula>
    </cfRule>
  </conditionalFormatting>
  <conditionalFormatting sqref="J558:L558 J559:K561 J567:L567">
    <cfRule type="expression" priority="100285" dxfId="4">
      <formula>$H558="SUBETAPA"</formula>
    </cfRule>
    <cfRule type="expression" priority="100286" dxfId="5">
      <formula>$H558="CÉLULA CONSTRUTIVA"</formula>
    </cfRule>
  </conditionalFormatting>
  <conditionalFormatting sqref="J562:K562">
    <cfRule type="expression" priority="59732" dxfId="4">
      <formula>$H562="SUBETAPA"</formula>
    </cfRule>
    <cfRule type="expression" priority="59733" dxfId="5">
      <formula>$H562="CÉLULA CONSTRUTIVA"</formula>
    </cfRule>
  </conditionalFormatting>
  <conditionalFormatting sqref="J576:L576 J577:K579 J583:L583">
    <cfRule type="expression" priority="100380" dxfId="4">
      <formula>$H576="SUBETAPA"</formula>
    </cfRule>
    <cfRule type="expression" priority="100381" dxfId="5">
      <formula>$H576="CÉLULA CONSTRUTIVA"</formula>
    </cfRule>
  </conditionalFormatting>
  <conditionalFormatting sqref="J593:L593 J594:K596 J602:L602">
    <cfRule type="expression" priority="100475" dxfId="4">
      <formula>$H593="SUBETAPA"</formula>
    </cfRule>
    <cfRule type="expression" priority="100476" dxfId="5">
      <formula>$H593="CÉLULA CONSTRUTIVA"</formula>
    </cfRule>
  </conditionalFormatting>
  <conditionalFormatting sqref="J597:K597">
    <cfRule type="expression" priority="59696" dxfId="4">
      <formula>$H597="SUBETAPA"</formula>
    </cfRule>
    <cfRule type="expression" priority="59697" dxfId="5">
      <formula>$H597="CÉLULA CONSTRUTIVA"</formula>
    </cfRule>
  </conditionalFormatting>
  <conditionalFormatting sqref="J610:L610 J611:K613 J616:L616">
    <cfRule type="expression" priority="100570" dxfId="4">
      <formula>$H610="SUBETAPA"</formula>
    </cfRule>
    <cfRule type="expression" priority="100571" dxfId="5">
      <formula>$H610="CÉLULA CONSTRUTIVA"</formula>
    </cfRule>
  </conditionalFormatting>
  <conditionalFormatting sqref="J1440:K1440">
    <cfRule type="expression" priority="92316" dxfId="3">
      <formula>$H1440="ETAPA"</formula>
    </cfRule>
  </conditionalFormatting>
  <conditionalFormatting sqref="J1452:K1452">
    <cfRule type="expression" priority="92967" dxfId="4">
      <formula>$H1452="SUBETAPA"</formula>
    </cfRule>
    <cfRule type="expression" priority="92968" dxfId="5">
      <formula>$H1452="CÉLULA CONSTRUTIVA"</formula>
    </cfRule>
  </conditionalFormatting>
  <conditionalFormatting sqref="J1459:K1459">
    <cfRule type="expression" priority="4434" dxfId="4">
      <formula>$H1459="SUBETAPA"</formula>
    </cfRule>
    <cfRule type="expression" priority="4435" dxfId="5">
      <formula>$H1459="CÉLULA CONSTRUTIVA"</formula>
    </cfRule>
  </conditionalFormatting>
  <conditionalFormatting sqref="J1466:K1466">
    <cfRule type="expression" priority="4398" dxfId="4">
      <formula>$H1466="SUBETAPA"</formula>
    </cfRule>
    <cfRule type="expression" priority="4399" dxfId="5">
      <formula>$H1466="CÉLULA CONSTRUTIVA"</formula>
    </cfRule>
  </conditionalFormatting>
  <conditionalFormatting sqref="J1479:K1479">
    <cfRule type="expression" priority="4362" dxfId="4">
      <formula>$H1479="SUBETAPA"</formula>
    </cfRule>
    <cfRule type="expression" priority="4363" dxfId="5">
      <formula>$H1479="CÉLULA CONSTRUTIVA"</formula>
    </cfRule>
  </conditionalFormatting>
  <conditionalFormatting sqref="J1480:K1480">
    <cfRule type="expression" priority="4374" dxfId="3">
      <formula>$H1480="ETAPA"</formula>
    </cfRule>
  </conditionalFormatting>
  <conditionalFormatting sqref="J1480:K1481">
    <cfRule type="expression" priority="4372" dxfId="4">
      <formula>$H1480="SUBETAPA"</formula>
    </cfRule>
    <cfRule type="expression" priority="4373" dxfId="5">
      <formula>$H1480="CÉLULA CONSTRUTIVA"</formula>
    </cfRule>
  </conditionalFormatting>
  <conditionalFormatting sqref="J1485:K1485 K1482:K1484">
    <cfRule type="expression" priority="4366" dxfId="5">
      <formula>$H1482="CÉLULA CONSTRUTIVA"</formula>
    </cfRule>
  </conditionalFormatting>
  <conditionalFormatting sqref="J1491:K1491">
    <cfRule type="expression" priority="4326" dxfId="4">
      <formula>$H1491="SUBETAPA"</formula>
    </cfRule>
    <cfRule type="expression" priority="4327" dxfId="5">
      <formula>$H1491="CÉLULA CONSTRUTIVA"</formula>
    </cfRule>
  </conditionalFormatting>
  <conditionalFormatting sqref="J1493:K1493">
    <cfRule type="expression" priority="4330" dxfId="5">
      <formula>$H1493="CÉLULA CONSTRUTIVA"</formula>
    </cfRule>
  </conditionalFormatting>
  <conditionalFormatting sqref="J1510:K1510">
    <cfRule type="expression" priority="4290" dxfId="4">
      <formula>$H1510="SUBETAPA"</formula>
    </cfRule>
    <cfRule type="expression" priority="4291" dxfId="5">
      <formula>$H1510="CÉLULA CONSTRUTIVA"</formula>
    </cfRule>
  </conditionalFormatting>
  <conditionalFormatting sqref="J1511:K1511">
    <cfRule type="expression" priority="4302" dxfId="3">
      <formula>$H1511="ETAPA"</formula>
    </cfRule>
  </conditionalFormatting>
  <conditionalFormatting sqref="J1511:K1512">
    <cfRule type="expression" priority="4300" dxfId="4">
      <formula>$H1511="SUBETAPA"</formula>
    </cfRule>
    <cfRule type="expression" priority="4301" dxfId="5">
      <formula>$H1511="CÉLULA CONSTRUTIVA"</formula>
    </cfRule>
  </conditionalFormatting>
  <conditionalFormatting sqref="J1518:K1518 K1513:K1517">
    <cfRule type="expression" priority="4294" dxfId="5">
      <formula>$H1513="CÉLULA CONSTRUTIVA"</formula>
    </cfRule>
  </conditionalFormatting>
  <conditionalFormatting sqref="J1532:K1532">
    <cfRule type="expression" priority="88991" dxfId="4">
      <formula>$H1532="SUBETAPA"</formula>
    </cfRule>
    <cfRule type="expression" priority="88992" dxfId="5">
      <formula>$H1532="CÉLULA CONSTRUTIVA"</formula>
    </cfRule>
  </conditionalFormatting>
  <conditionalFormatting sqref="J1533:K1533">
    <cfRule type="expression" priority="88999" dxfId="3">
      <formula>$H1533="ETAPA"</formula>
    </cfRule>
  </conditionalFormatting>
  <conditionalFormatting sqref="J1554:K1554">
    <cfRule type="expression" priority="89650" dxfId="4">
      <formula>$H1554="SUBETAPA"</formula>
    </cfRule>
    <cfRule type="expression" priority="89651" dxfId="5">
      <formula>$H1554="CÉLULA CONSTRUTIVA"</formula>
    </cfRule>
  </conditionalFormatting>
  <conditionalFormatting sqref="J1555:K1555">
    <cfRule type="expression" priority="89658" dxfId="3">
      <formula>$H1555="ETAPA"</formula>
    </cfRule>
  </conditionalFormatting>
  <conditionalFormatting sqref="J1573:K1573">
    <cfRule type="expression" priority="90309" dxfId="4">
      <formula>$H1573="SUBETAPA"</formula>
    </cfRule>
    <cfRule type="expression" priority="90310" dxfId="5">
      <formula>$H1573="CÉLULA CONSTRUTIVA"</formula>
    </cfRule>
  </conditionalFormatting>
  <conditionalFormatting sqref="J1577:K1577">
    <cfRule type="expression" priority="90201" dxfId="5">
      <formula>$H1577="CÉLULA CONSTRUTIVA"</formula>
    </cfRule>
  </conditionalFormatting>
  <conditionalFormatting sqref="J1592:K1592">
    <cfRule type="expression" priority="90968" dxfId="4">
      <formula>$H1592="SUBETAPA"</formula>
    </cfRule>
    <cfRule type="expression" priority="90969" dxfId="5">
      <formula>$H1592="CÉLULA CONSTRUTIVA"</formula>
    </cfRule>
  </conditionalFormatting>
  <conditionalFormatting sqref="J1593:K1593">
    <cfRule type="expression" priority="90976" dxfId="3">
      <formula>$H1593="ETAPA"</formula>
    </cfRule>
  </conditionalFormatting>
  <conditionalFormatting sqref="J1613:K1613">
    <cfRule type="expression" priority="91628" dxfId="4">
      <formula>$H1613="SUBETAPA"</formula>
    </cfRule>
    <cfRule type="expression" priority="91629" dxfId="5">
      <formula>$H1613="CÉLULA CONSTRUTIVA"</formula>
    </cfRule>
  </conditionalFormatting>
  <conditionalFormatting sqref="J1614:K1614">
    <cfRule type="expression" priority="91636" dxfId="3">
      <formula>$H1614="ETAPA"</formula>
    </cfRule>
  </conditionalFormatting>
  <conditionalFormatting sqref="J1637:K1637">
    <cfRule type="expression" priority="96262" dxfId="4">
      <formula>$H1637="SUBETAPA"</formula>
    </cfRule>
    <cfRule type="expression" priority="96263" dxfId="5">
      <formula>$H1637="CÉLULA CONSTRUTIVA"</formula>
    </cfRule>
  </conditionalFormatting>
  <conditionalFormatting sqref="J1638:K1638">
    <cfRule type="expression" priority="96270" dxfId="3">
      <formula>$H1638="ETAPA"</formula>
    </cfRule>
  </conditionalFormatting>
  <conditionalFormatting sqref="J1655:K1655">
    <cfRule type="expression" priority="96921" dxfId="4">
      <formula>$H1655="SUBETAPA"</formula>
    </cfRule>
    <cfRule type="expression" priority="96922" dxfId="5">
      <formula>$H1655="CÉLULA CONSTRUTIVA"</formula>
    </cfRule>
  </conditionalFormatting>
  <conditionalFormatting sqref="J1656:K1656">
    <cfRule type="expression" priority="96929" dxfId="3">
      <formula>$H1656="ETAPA"</formula>
    </cfRule>
  </conditionalFormatting>
  <conditionalFormatting sqref="J1668:K1668">
    <cfRule type="expression" priority="97580" dxfId="4">
      <formula>$H1668="SUBETAPA"</formula>
    </cfRule>
    <cfRule type="expression" priority="97581" dxfId="5">
      <formula>$H1668="CÉLULA CONSTRUTIVA"</formula>
    </cfRule>
  </conditionalFormatting>
  <conditionalFormatting sqref="J1676:K1676">
    <cfRule type="expression" priority="80487" dxfId="3">
      <formula>$H1676="ETAPA"</formula>
    </cfRule>
  </conditionalFormatting>
  <conditionalFormatting sqref="J1677:K1677">
    <cfRule type="expression" priority="80481" dxfId="3">
      <formula>$H1677="ETAPA"</formula>
    </cfRule>
  </conditionalFormatting>
  <conditionalFormatting sqref="J1678:K1679">
    <cfRule type="expression" priority="80499" dxfId="3">
      <formula>$H1678="ETAPA"</formula>
    </cfRule>
  </conditionalFormatting>
  <conditionalFormatting sqref="J1680:K1680">
    <cfRule type="expression" priority="80391" dxfId="3">
      <formula>$H1680="ETAPA"</formula>
    </cfRule>
  </conditionalFormatting>
  <conditionalFormatting sqref="H1689:H1690 J1688:K1690 O1689:O1690">
    <cfRule type="expression" priority="80419" dxfId="3">
      <formula>$H1688="ETAPA"</formula>
    </cfRule>
  </conditionalFormatting>
  <conditionalFormatting sqref="H1692 J1693:K1693">
    <cfRule type="expression" priority="80458" dxfId="3">
      <formula>$H1692="ETAPA"</formula>
    </cfRule>
  </conditionalFormatting>
  <conditionalFormatting sqref="J1696:K1696">
    <cfRule type="expression" priority="80811" dxfId="3">
      <formula>$H1696="ETAPA"</formula>
    </cfRule>
  </conditionalFormatting>
  <conditionalFormatting sqref="J1697:K1697">
    <cfRule type="expression" priority="80805" dxfId="3">
      <formula>$H1697="ETAPA"</formula>
    </cfRule>
  </conditionalFormatting>
  <conditionalFormatting sqref="J1698:K1699">
    <cfRule type="expression" priority="80823" dxfId="3">
      <formula>$H1698="ETAPA"</formula>
    </cfRule>
  </conditionalFormatting>
  <conditionalFormatting sqref="H1706:H1708 J1705:K1707 O1706:O1708">
    <cfRule type="expression" priority="80743" dxfId="3">
      <formula>$H1705="ETAPA"</formula>
    </cfRule>
  </conditionalFormatting>
  <conditionalFormatting sqref="J1709:K1709">
    <cfRule type="expression" priority="80782" dxfId="3">
      <formula>$H1709="ETAPA"</formula>
    </cfRule>
  </conditionalFormatting>
  <conditionalFormatting sqref="J1712:K1712">
    <cfRule type="expression" priority="81135" dxfId="3">
      <formula>$H1712="ETAPA"</formula>
    </cfRule>
  </conditionalFormatting>
  <conditionalFormatting sqref="J1713:K1713">
    <cfRule type="expression" priority="81129" dxfId="3">
      <formula>$H1713="ETAPA"</formula>
    </cfRule>
  </conditionalFormatting>
  <conditionalFormatting sqref="J1714:K1715">
    <cfRule type="expression" priority="81147" dxfId="3">
      <formula>$H1714="ETAPA"</formula>
    </cfRule>
  </conditionalFormatting>
  <conditionalFormatting sqref="H1721:H1723 J1720:K1722 O1721:O1723">
    <cfRule type="expression" priority="81067" dxfId="3">
      <formula>$H1720="ETAPA"</formula>
    </cfRule>
  </conditionalFormatting>
  <conditionalFormatting sqref="J1724:K1724">
    <cfRule type="expression" priority="81106" dxfId="3">
      <formula>$H1724="ETAPA"</formula>
    </cfRule>
  </conditionalFormatting>
  <conditionalFormatting sqref="J1727:K1727">
    <cfRule type="expression" priority="81459" dxfId="3">
      <formula>$H1727="ETAPA"</formula>
    </cfRule>
  </conditionalFormatting>
  <conditionalFormatting sqref="J1728:K1728">
    <cfRule type="expression" priority="81453" dxfId="3">
      <formula>$H1728="ETAPA"</formula>
    </cfRule>
  </conditionalFormatting>
  <conditionalFormatting sqref="J1729:K1730">
    <cfRule type="expression" priority="81471" dxfId="3">
      <formula>$H1729="ETAPA"</formula>
    </cfRule>
  </conditionalFormatting>
  <conditionalFormatting sqref="H1734:H1738 J1733:K1735 O1734:O1736">
    <cfRule type="expression" priority="81391" dxfId="3">
      <formula>$H1733="ETAPA"</formula>
    </cfRule>
  </conditionalFormatting>
  <conditionalFormatting sqref="J1739:K1739">
    <cfRule type="expression" priority="81783" dxfId="3">
      <formula>$H1739="ETAPA"</formula>
    </cfRule>
  </conditionalFormatting>
  <conditionalFormatting sqref="J1740:K1740">
    <cfRule type="expression" priority="81777" dxfId="3">
      <formula>$H1740="ETAPA"</formula>
    </cfRule>
  </conditionalFormatting>
  <conditionalFormatting sqref="H1746:H1748 J1745:K1747 O1746:O1748">
    <cfRule type="expression" priority="81715" dxfId="3">
      <formula>$H1745="ETAPA"</formula>
    </cfRule>
  </conditionalFormatting>
  <conditionalFormatting sqref="J1751:K1751">
    <cfRule type="expression" priority="82107" dxfId="3">
      <formula>$H1751="ETAPA"</formula>
    </cfRule>
  </conditionalFormatting>
  <conditionalFormatting sqref="J1752:K1752">
    <cfRule type="expression" priority="82101" dxfId="3">
      <formula>$H1752="ETAPA"</formula>
    </cfRule>
  </conditionalFormatting>
  <conditionalFormatting sqref="J1753:K1754">
    <cfRule type="expression" priority="82119" dxfId="3">
      <formula>$H1753="ETAPA"</formula>
    </cfRule>
  </conditionalFormatting>
  <conditionalFormatting sqref="H1758:H1767 J1757:K1759 O1758:O1760">
    <cfRule type="expression" priority="82039" dxfId="3">
      <formula>$H1757="ETAPA"</formula>
    </cfRule>
  </conditionalFormatting>
  <conditionalFormatting sqref="J1763:K1763">
    <cfRule type="expression" priority="82431" dxfId="3">
      <formula>$H1763="ETAPA"</formula>
    </cfRule>
  </conditionalFormatting>
  <conditionalFormatting sqref="J1764:K1764">
    <cfRule type="expression" priority="82425" dxfId="3">
      <formula>$H1764="ETAPA"</formula>
    </cfRule>
  </conditionalFormatting>
  <conditionalFormatting sqref="J1765:K1766">
    <cfRule type="expression" priority="82443" dxfId="3">
      <formula>$H1765="ETAPA"</formula>
    </cfRule>
  </conditionalFormatting>
  <conditionalFormatting sqref="J1767:K1767">
    <cfRule type="expression" priority="82335" dxfId="3">
      <formula>$H1767="ETAPA"</formula>
    </cfRule>
  </conditionalFormatting>
  <conditionalFormatting sqref="H1779:H1783 J1779:K1780 O1779:O1780">
    <cfRule type="expression" priority="82363" dxfId="3">
      <formula>$H1779="ETAPA"</formula>
    </cfRule>
  </conditionalFormatting>
  <conditionalFormatting sqref="J1787:K1787">
    <cfRule type="expression" priority="82755" dxfId="3">
      <formula>$H1787="ETAPA"</formula>
    </cfRule>
  </conditionalFormatting>
  <conditionalFormatting sqref="J1788:K1788">
    <cfRule type="expression" priority="82749" dxfId="3">
      <formula>$H1788="ETAPA"</formula>
    </cfRule>
  </conditionalFormatting>
  <conditionalFormatting sqref="J1789:K1790">
    <cfRule type="expression" priority="82767" dxfId="3">
      <formula>$H1789="ETAPA"</formula>
    </cfRule>
  </conditionalFormatting>
  <conditionalFormatting sqref="J1791:K1791">
    <cfRule type="expression" priority="82659" dxfId="3">
      <formula>$H1791="ETAPA"</formula>
    </cfRule>
  </conditionalFormatting>
  <conditionalFormatting sqref="H1809 J1810:K1810">
    <cfRule type="expression" priority="82726" dxfId="3">
      <formula>$H1809="ETAPA"</formula>
    </cfRule>
  </conditionalFormatting>
  <conditionalFormatting sqref="J1813:K1813">
    <cfRule type="expression" priority="83079" dxfId="3">
      <formula>$H1813="ETAPA"</formula>
    </cfRule>
  </conditionalFormatting>
  <conditionalFormatting sqref="J1814:K1814">
    <cfRule type="expression" priority="83073" dxfId="3">
      <formula>$H1814="ETAPA"</formula>
    </cfRule>
  </conditionalFormatting>
  <conditionalFormatting sqref="J1816:K1816">
    <cfRule type="expression" priority="82983" dxfId="3">
      <formula>$H1816="ETAPA"</formula>
    </cfRule>
  </conditionalFormatting>
  <conditionalFormatting sqref="J1820:K1820">
    <cfRule type="expression" priority="83161" dxfId="3">
      <formula>$H1820="ETAPA"</formula>
    </cfRule>
  </conditionalFormatting>
  <conditionalFormatting sqref="J1823:K1823">
    <cfRule type="expression" priority="83050" dxfId="3">
      <formula>$H1823="ETAPA"</formula>
    </cfRule>
  </conditionalFormatting>
  <conditionalFormatting sqref="J1826:K1826">
    <cfRule type="expression" priority="83403" dxfId="3">
      <formula>$H1826="ETAPA"</formula>
    </cfRule>
  </conditionalFormatting>
  <conditionalFormatting sqref="J1827:K1827">
    <cfRule type="expression" priority="83397" dxfId="3">
      <formula>$H1827="ETAPA"</formula>
    </cfRule>
  </conditionalFormatting>
  <conditionalFormatting sqref="J1829:K1829">
    <cfRule type="expression" priority="83307" dxfId="3">
      <formula>$H1829="ETAPA"</formula>
    </cfRule>
  </conditionalFormatting>
  <conditionalFormatting sqref="J1836:K1836">
    <cfRule type="expression" priority="83374" dxfId="3">
      <formula>$H1836="ETAPA"</formula>
    </cfRule>
  </conditionalFormatting>
  <conditionalFormatting sqref="J1839:K1839">
    <cfRule type="expression" priority="111879" dxfId="3">
      <formula>$H1839="ETAPA"</formula>
    </cfRule>
  </conditionalFormatting>
  <conditionalFormatting sqref="J1840:K1840">
    <cfRule type="expression" priority="111832" dxfId="3">
      <formula>$H1840="ETAPA"</formula>
    </cfRule>
  </conditionalFormatting>
  <conditionalFormatting sqref="J1842:K1842">
    <cfRule type="expression" priority="104421" dxfId="3">
      <formula>$H1842="ETAPA"</formula>
    </cfRule>
  </conditionalFormatting>
  <conditionalFormatting sqref="J1852:K1852">
    <cfRule type="expression" priority="111766" dxfId="3">
      <formula>$H1852="ETAPA"</formula>
    </cfRule>
  </conditionalFormatting>
  <conditionalFormatting sqref="J1855:K1855">
    <cfRule type="expression" priority="79216" dxfId="3">
      <formula>$H1855="ETAPA"</formula>
    </cfRule>
  </conditionalFormatting>
  <conditionalFormatting sqref="J1856:K1856">
    <cfRule type="expression" priority="79210" dxfId="3">
      <formula>$H1856="ETAPA"</formula>
    </cfRule>
  </conditionalFormatting>
  <conditionalFormatting sqref="J1858:K1858">
    <cfRule type="expression" priority="79120" dxfId="3">
      <formula>$H1858="ETAPA"</formula>
    </cfRule>
  </conditionalFormatting>
  <conditionalFormatting sqref="H1867 J1868:K1868">
    <cfRule type="expression" priority="79187" dxfId="3">
      <formula>$H1867="ETAPA"</formula>
    </cfRule>
  </conditionalFormatting>
  <conditionalFormatting sqref="J1871:K1871">
    <cfRule type="expression" priority="79540" dxfId="3">
      <formula>$H1871="ETAPA"</formula>
    </cfRule>
  </conditionalFormatting>
  <conditionalFormatting sqref="J1872:K1872">
    <cfRule type="expression" priority="79534" dxfId="3">
      <formula>$H1872="ETAPA"</formula>
    </cfRule>
  </conditionalFormatting>
  <conditionalFormatting sqref="H1880 J1881:K1881">
    <cfRule type="expression" priority="79511" dxfId="3">
      <formula>$H1880="ETAPA"</formula>
    </cfRule>
  </conditionalFormatting>
  <conditionalFormatting sqref="J1884:K1884">
    <cfRule type="expression" priority="79864" dxfId="3">
      <formula>$H1884="ETAPA"</formula>
    </cfRule>
  </conditionalFormatting>
  <conditionalFormatting sqref="J1885:K1885">
    <cfRule type="expression" priority="79858" dxfId="3">
      <formula>$H1885="ETAPA"</formula>
    </cfRule>
  </conditionalFormatting>
  <conditionalFormatting sqref="J1891:K1891 J1895:K1896">
    <cfRule type="expression" priority="79835" dxfId="3">
      <formula>$H1891="ETAPA"</formula>
    </cfRule>
  </conditionalFormatting>
  <conditionalFormatting sqref="H2043 J2043:K2043">
    <cfRule type="expression" priority="67268" dxfId="3">
      <formula>$H2043="ETAPA"</formula>
    </cfRule>
  </conditionalFormatting>
  <conditionalFormatting sqref="J2047:K2047">
    <cfRule type="expression" priority="67155" dxfId="3">
      <formula>$H2047="ETAPA"</formula>
    </cfRule>
  </conditionalFormatting>
  <conditionalFormatting sqref="J2058:K2060">
    <cfRule type="expression" priority="67184" dxfId="3">
      <formula>$H2058="ETAPA"</formula>
    </cfRule>
  </conditionalFormatting>
  <conditionalFormatting sqref="J2092:K2092 O2093">
    <cfRule type="expression" priority="68644" dxfId="3">
      <formula>$H2092="ETAPA"</formula>
    </cfRule>
  </conditionalFormatting>
  <conditionalFormatting sqref="H2162:H2164 J2162:L2162 J2164:K2164 K2163:L2163 O2162:O2164">
    <cfRule type="expression" priority="70788" dxfId="4">
      <formula>$H2162="SUBETAPA"</formula>
    </cfRule>
  </conditionalFormatting>
  <conditionalFormatting sqref="J2166:K2166">
    <cfRule type="expression" priority="70995" dxfId="3">
      <formula>$H2166="ETAPA"</formula>
    </cfRule>
  </conditionalFormatting>
  <conditionalFormatting sqref="J2190:K2190">
    <cfRule type="expression" priority="71635" dxfId="3">
      <formula>$H2190="ETAPA"</formula>
    </cfRule>
  </conditionalFormatting>
  <conditionalFormatting sqref="J2218:K2219">
    <cfRule type="expression" priority="72275" dxfId="3">
      <formula>$H2218="ETAPA"</formula>
    </cfRule>
  </conditionalFormatting>
  <conditionalFormatting sqref="J2238:K2239">
    <cfRule type="expression" priority="72915" dxfId="3">
      <formula>$H2238="ETAPA"</formula>
    </cfRule>
  </conditionalFormatting>
  <conditionalFormatting sqref="H2258:H2259 J2258:K2259">
    <cfRule type="expression" priority="73668" dxfId="3">
      <formula>$H2258="ETAPA"</formula>
    </cfRule>
  </conditionalFormatting>
  <conditionalFormatting sqref="J2261:K2261">
    <cfRule type="expression" priority="73555" dxfId="3">
      <formula>$H2261="ETAPA"</formula>
    </cfRule>
  </conditionalFormatting>
  <conditionalFormatting sqref="H2281:H2282 J2281:K2282">
    <cfRule type="expression" priority="74308" dxfId="3">
      <formula>$H2281="ETAPA"</formula>
    </cfRule>
  </conditionalFormatting>
  <conditionalFormatting sqref="J2285:K2285">
    <cfRule type="expression" priority="74195" dxfId="3">
      <formula>$H2285="ETAPA"</formula>
    </cfRule>
  </conditionalFormatting>
  <conditionalFormatting sqref="J2299:K2300">
    <cfRule type="expression" priority="74737" dxfId="3">
      <formula>$H2299="ETAPA"</formula>
    </cfRule>
  </conditionalFormatting>
  <conditionalFormatting sqref="H2306:H2307 J2306:K2307">
    <cfRule type="expression" priority="74948" dxfId="3">
      <formula>$H2306="ETAPA"</formula>
    </cfRule>
  </conditionalFormatting>
  <conditionalFormatting sqref="J2316:K2318">
    <cfRule type="expression" priority="74864" dxfId="3">
      <formula>$H2316="ETAPA"</formula>
    </cfRule>
  </conditionalFormatting>
  <conditionalFormatting sqref="J2379:K2379">
    <cfRule type="expression" priority="62134" dxfId="4">
      <formula>$H2379="SUBETAPA"</formula>
    </cfRule>
    <cfRule type="expression" priority="62135" dxfId="5">
      <formula>$H2379="CÉLULA CONSTRUTIVA"</formula>
    </cfRule>
  </conditionalFormatting>
  <conditionalFormatting sqref="J2380:K2380">
    <cfRule type="expression" priority="7086" dxfId="4">
      <formula>$H2380="SUBETAPA"</formula>
    </cfRule>
    <cfRule type="expression" priority="7087" dxfId="5">
      <formula>$H2380="CÉLULA CONSTRUTIVA"</formula>
    </cfRule>
  </conditionalFormatting>
  <conditionalFormatting sqref="J2382:K2382">
    <cfRule type="expression" priority="62124" dxfId="3">
      <formula>$H2382="ETAPA"</formula>
    </cfRule>
  </conditionalFormatting>
  <conditionalFormatting sqref="J2404:K2404">
    <cfRule type="expression" priority="62373" dxfId="4">
      <formula>$H2404="SUBETAPA"</formula>
    </cfRule>
    <cfRule type="expression" priority="62374" dxfId="5">
      <formula>$H2404="CÉLULA CONSTRUTIVA"</formula>
    </cfRule>
  </conditionalFormatting>
  <conditionalFormatting sqref="J2405:K2405">
    <cfRule type="expression" priority="7030" dxfId="4">
      <formula>$H2405="SUBETAPA"</formula>
    </cfRule>
    <cfRule type="expression" priority="7031" dxfId="5">
      <formula>$H2405="CÉLULA CONSTRUTIVA"</formula>
    </cfRule>
  </conditionalFormatting>
  <conditionalFormatting sqref="J2407:K2407">
    <cfRule type="expression" priority="62363" dxfId="3">
      <formula>$H2407="ETAPA"</formula>
    </cfRule>
  </conditionalFormatting>
  <conditionalFormatting sqref="J2427:K2427">
    <cfRule type="expression" priority="62612" dxfId="4">
      <formula>$H2427="SUBETAPA"</formula>
    </cfRule>
    <cfRule type="expression" priority="62613" dxfId="5">
      <formula>$H2427="CÉLULA CONSTRUTIVA"</formula>
    </cfRule>
  </conditionalFormatting>
  <conditionalFormatting sqref="J2428:K2428">
    <cfRule type="expression" priority="6974" dxfId="4">
      <formula>$H2428="SUBETAPA"</formula>
    </cfRule>
    <cfRule type="expression" priority="6975" dxfId="5">
      <formula>$H2428="CÉLULA CONSTRUTIVA"</formula>
    </cfRule>
  </conditionalFormatting>
  <conditionalFormatting sqref="J2430:K2430">
    <cfRule type="expression" priority="62602" dxfId="3">
      <formula>$H2430="ETAPA"</formula>
    </cfRule>
  </conditionalFormatting>
  <conditionalFormatting sqref="J2450:K2450">
    <cfRule type="expression" priority="62851" dxfId="4">
      <formula>$H2450="SUBETAPA"</formula>
    </cfRule>
    <cfRule type="expression" priority="62852" dxfId="5">
      <formula>$H2450="CÉLULA CONSTRUTIVA"</formula>
    </cfRule>
  </conditionalFormatting>
  <conditionalFormatting sqref="J2451:K2451">
    <cfRule type="expression" priority="6918" dxfId="4">
      <formula>$H2451="SUBETAPA"</formula>
    </cfRule>
    <cfRule type="expression" priority="6919" dxfId="5">
      <formula>$H2451="CÉLULA CONSTRUTIVA"</formula>
    </cfRule>
  </conditionalFormatting>
  <conditionalFormatting sqref="J2453:K2453">
    <cfRule type="expression" priority="62841" dxfId="3">
      <formula>$H2453="ETAPA"</formula>
    </cfRule>
  </conditionalFormatting>
  <conditionalFormatting sqref="J2474:K2474">
    <cfRule type="expression" priority="63090" dxfId="4">
      <formula>$H2474="SUBETAPA"</formula>
    </cfRule>
    <cfRule type="expression" priority="63091" dxfId="5">
      <formula>$H2474="CÉLULA CONSTRUTIVA"</formula>
    </cfRule>
  </conditionalFormatting>
  <conditionalFormatting sqref="J2475:K2475">
    <cfRule type="expression" priority="6862" dxfId="4">
      <formula>$H2475="SUBETAPA"</formula>
    </cfRule>
    <cfRule type="expression" priority="6863" dxfId="5">
      <formula>$H2475="CÉLULA CONSTRUTIVA"</formula>
    </cfRule>
  </conditionalFormatting>
  <conditionalFormatting sqref="J2477:K2477">
    <cfRule type="expression" priority="63080" dxfId="3">
      <formula>$H2477="ETAPA"</formula>
    </cfRule>
  </conditionalFormatting>
  <conditionalFormatting sqref="J2502:K2502">
    <cfRule type="expression" priority="63329" dxfId="4">
      <formula>$H2502="SUBETAPA"</formula>
    </cfRule>
    <cfRule type="expression" priority="63330" dxfId="5">
      <formula>$H2502="CÉLULA CONSTRUTIVA"</formula>
    </cfRule>
  </conditionalFormatting>
  <conditionalFormatting sqref="J2503:K2503">
    <cfRule type="expression" priority="6806" dxfId="4">
      <formula>$H2503="SUBETAPA"</formula>
    </cfRule>
    <cfRule type="expression" priority="6807" dxfId="5">
      <formula>$H2503="CÉLULA CONSTRUTIVA"</formula>
    </cfRule>
  </conditionalFormatting>
  <conditionalFormatting sqref="J2526:K2526">
    <cfRule type="expression" priority="6737" dxfId="4">
      <formula>$H2526="SUBETAPA"</formula>
    </cfRule>
    <cfRule type="expression" priority="6738" dxfId="5">
      <formula>$H2526="CÉLULA CONSTRUTIVA"</formula>
    </cfRule>
  </conditionalFormatting>
  <conditionalFormatting sqref="J2544:K2544">
    <cfRule type="expression" priority="6673" dxfId="4">
      <formula>$H2544="SUBETAPA"</formula>
    </cfRule>
    <cfRule type="expression" priority="6674" dxfId="5">
      <formula>$H2544="CÉLULA CONSTRUTIVA"</formula>
    </cfRule>
  </conditionalFormatting>
  <conditionalFormatting sqref="J2560:K2560">
    <cfRule type="expression" priority="6615" dxfId="4">
      <formula>$H2560="SUBETAPA"</formula>
    </cfRule>
    <cfRule type="expression" priority="6616" dxfId="5">
      <formula>$H2560="CÉLULA CONSTRUTIVA"</formula>
    </cfRule>
  </conditionalFormatting>
  <conditionalFormatting sqref="J2576:K2576">
    <cfRule type="expression" priority="6557" dxfId="4">
      <formula>$H2576="SUBETAPA"</formula>
    </cfRule>
    <cfRule type="expression" priority="6558" dxfId="5">
      <formula>$H2576="CÉLULA CONSTRUTIVA"</formula>
    </cfRule>
  </conditionalFormatting>
  <conditionalFormatting sqref="J2592:K2592">
    <cfRule type="expression" priority="6499" dxfId="4">
      <formula>$H2592="SUBETAPA"</formula>
    </cfRule>
    <cfRule type="expression" priority="6500" dxfId="5">
      <formula>$H2592="CÉLULA CONSTRUTIVA"</formula>
    </cfRule>
  </conditionalFormatting>
  <conditionalFormatting sqref="J2608:K2608">
    <cfRule type="expression" priority="6441" dxfId="4">
      <formula>$H2608="SUBETAPA"</formula>
    </cfRule>
    <cfRule type="expression" priority="6442" dxfId="5">
      <formula>$H2608="CÉLULA CONSTRUTIVA"</formula>
    </cfRule>
  </conditionalFormatting>
  <conditionalFormatting sqref="J2623:K2623">
    <cfRule type="expression" priority="6383" dxfId="4">
      <formula>$H2623="SUBETAPA"</formula>
    </cfRule>
    <cfRule type="expression" priority="6384" dxfId="5">
      <formula>$H2623="CÉLULA CONSTRUTIVA"</formula>
    </cfRule>
  </conditionalFormatting>
  <conditionalFormatting sqref="G2635:H2635 J2630:K2630 J2635:L2635 M2631:M2635">
    <cfRule type="expression" priority="1952" dxfId="5">
      <formula>$H2630="CÉLULA CONSTRUTIVA"</formula>
    </cfRule>
  </conditionalFormatting>
  <conditionalFormatting sqref="J2630:K2630">
    <cfRule type="expression" priority="1948" dxfId="4">
      <formula>$H2630="SUBETAPA"</formula>
    </cfRule>
  </conditionalFormatting>
  <conditionalFormatting sqref="J2641:K2641">
    <cfRule type="expression" priority="2016" dxfId="4">
      <formula>$H2641="SUBETAPA"</formula>
    </cfRule>
    <cfRule type="expression" priority="2020" dxfId="5">
      <formula>$H2641="CÉLULA CONSTRUTIVA"</formula>
    </cfRule>
  </conditionalFormatting>
  <conditionalFormatting sqref="J2651:K2651">
    <cfRule type="expression" priority="2084" dxfId="4">
      <formula>$H2651="SUBETAPA"</formula>
    </cfRule>
    <cfRule type="expression" priority="2088" dxfId="5">
      <formula>$H2651="CÉLULA CONSTRUTIVA"</formula>
    </cfRule>
  </conditionalFormatting>
  <conditionalFormatting sqref="J2660:K2660">
    <cfRule type="expression" priority="2152" dxfId="4">
      <formula>$H2660="SUBETAPA"</formula>
    </cfRule>
    <cfRule type="expression" priority="2156" dxfId="5">
      <formula>$H2660="CÉLULA CONSTRUTIVA"</formula>
    </cfRule>
  </conditionalFormatting>
  <conditionalFormatting sqref="J2667:K2667">
    <cfRule type="expression" priority="2220" dxfId="4">
      <formula>$H2667="SUBETAPA"</formula>
    </cfRule>
    <cfRule type="expression" priority="2224" dxfId="5">
      <formula>$H2667="CÉLULA CONSTRUTIVA"</formula>
    </cfRule>
  </conditionalFormatting>
  <conditionalFormatting sqref="J2674:K2674">
    <cfRule type="expression" priority="2288" dxfId="4">
      <formula>$H2674="SUBETAPA"</formula>
    </cfRule>
    <cfRule type="expression" priority="2292" dxfId="5">
      <formula>$H2674="CÉLULA CONSTRUTIVA"</formula>
    </cfRule>
  </conditionalFormatting>
  <conditionalFormatting sqref="J2682:K2682">
    <cfRule type="expression" priority="2356" dxfId="4">
      <formula>$H2682="SUBETAPA"</formula>
    </cfRule>
    <cfRule type="expression" priority="2360" dxfId="5">
      <formula>$H2682="CÉLULA CONSTRUTIVA"</formula>
    </cfRule>
  </conditionalFormatting>
  <conditionalFormatting sqref="J2692:K2692">
    <cfRule type="expression" priority="2424" dxfId="4">
      <formula>$H2692="SUBETAPA"</formula>
    </cfRule>
    <cfRule type="expression" priority="2428" dxfId="5">
      <formula>$H2692="CÉLULA CONSTRUTIVA"</formula>
    </cfRule>
  </conditionalFormatting>
  <conditionalFormatting sqref="J2700:K2700">
    <cfRule type="expression" priority="2492" dxfId="4">
      <formula>$H2700="SUBETAPA"</formula>
    </cfRule>
    <cfRule type="expression" priority="2496" dxfId="5">
      <formula>$H2700="CÉLULA CONSTRUTIVA"</formula>
    </cfRule>
  </conditionalFormatting>
  <conditionalFormatting sqref="J2711:K2711">
    <cfRule type="expression" priority="2560" dxfId="4">
      <formula>$H2711="SUBETAPA"</formula>
    </cfRule>
    <cfRule type="expression" priority="2564" dxfId="5">
      <formula>$H2711="CÉLULA CONSTRUTIVA"</formula>
    </cfRule>
  </conditionalFormatting>
  <conditionalFormatting sqref="J2722:K2722">
    <cfRule type="expression" priority="1803" dxfId="4">
      <formula>$H2722="SUBETAPA"</formula>
    </cfRule>
    <cfRule type="expression" priority="1807" dxfId="5">
      <formula>$H2722="CÉLULA CONSTRUTIVA"</formula>
    </cfRule>
  </conditionalFormatting>
  <conditionalFormatting sqref="J2733:K2733">
    <cfRule type="expression" priority="1876" dxfId="4">
      <formula>$H2733="SUBETAPA"</formula>
    </cfRule>
    <cfRule type="expression" priority="1884" dxfId="5">
      <formula>$H2733="CÉLULA CONSTRUTIVA"</formula>
    </cfRule>
  </conditionalFormatting>
  <conditionalFormatting sqref="J2744:K2744">
    <cfRule type="expression" priority="2628" dxfId="4">
      <formula>$H2744="SUBETAPA"</formula>
    </cfRule>
    <cfRule type="expression" priority="2632" dxfId="5">
      <formula>$H2744="CÉLULA CONSTRUTIVA"</formula>
    </cfRule>
  </conditionalFormatting>
  <conditionalFormatting sqref="J2829:K2829">
    <cfRule type="expression" priority="431" dxfId="3">
      <formula>$H2829="ETAPA"</formula>
    </cfRule>
  </conditionalFormatting>
  <conditionalFormatting sqref="J2838:K2838">
    <cfRule type="expression" priority="496" dxfId="3">
      <formula>$H2838="ETAPA"</formula>
    </cfRule>
  </conditionalFormatting>
  <conditionalFormatting sqref="J2847:K2847">
    <cfRule type="expression" priority="561" dxfId="3">
      <formula>$H2847="ETAPA"</formula>
    </cfRule>
  </conditionalFormatting>
  <conditionalFormatting sqref="J2856:K2856">
    <cfRule type="expression" priority="626" dxfId="3">
      <formula>$H2856="ETAPA"</formula>
    </cfRule>
  </conditionalFormatting>
  <conditionalFormatting sqref="J2865:K2865">
    <cfRule type="expression" priority="691" dxfId="3">
      <formula>$H2865="ETAPA"</formula>
    </cfRule>
  </conditionalFormatting>
  <conditionalFormatting sqref="J2874:K2874">
    <cfRule type="expression" priority="756" dxfId="3">
      <formula>$H2874="ETAPA"</formula>
    </cfRule>
  </conditionalFormatting>
  <conditionalFormatting sqref="J2885:K2885">
    <cfRule type="expression" priority="821" dxfId="3">
      <formula>$H2885="ETAPA"</formula>
    </cfRule>
  </conditionalFormatting>
  <conditionalFormatting sqref="J2905:K2905">
    <cfRule type="expression" priority="951" dxfId="3">
      <formula>$H2905="ETAPA"</formula>
    </cfRule>
  </conditionalFormatting>
  <conditionalFormatting sqref="J2914:K2914">
    <cfRule type="expression" priority="1016" dxfId="3">
      <formula>$H2914="ETAPA"</formula>
    </cfRule>
  </conditionalFormatting>
  <conditionalFormatting sqref="J2923:K2923">
    <cfRule type="expression" priority="1081" dxfId="3">
      <formula>$H2923="ETAPA"</formula>
    </cfRule>
  </conditionalFormatting>
  <conditionalFormatting sqref="J2932:K2932">
    <cfRule type="expression" priority="1146" dxfId="3">
      <formula>$H2932="ETAPA"</formula>
    </cfRule>
  </conditionalFormatting>
  <conditionalFormatting sqref="J504:L504 J505:K508 J513:L513">
    <cfRule type="expression" priority="100000" dxfId="4">
      <formula>$H504="SUBETAPA"</formula>
    </cfRule>
    <cfRule type="expression" priority="100001" dxfId="5">
      <formula>$H504="CÉLULA CONSTRUTIVA"</formula>
    </cfRule>
  </conditionalFormatting>
  <conditionalFormatting sqref="J1427:L1427">
    <cfRule type="expression" priority="91772" dxfId="3">
      <formula>$H1427="ETAPA"</formula>
    </cfRule>
  </conditionalFormatting>
  <conditionalFormatting sqref="J1573:L1574">
    <cfRule type="expression" priority="90317" dxfId="3">
      <formula>$H1573="ETAPA"</formula>
    </cfRule>
  </conditionalFormatting>
  <conditionalFormatting sqref="J1668:L1669">
    <cfRule type="expression" priority="97588" dxfId="3">
      <formula>$H1668="ETAPA"</formula>
    </cfRule>
  </conditionalFormatting>
  <conditionalFormatting sqref="J1674:L1675 J1681:L1681 L1676:L1680">
    <cfRule type="expression" priority="80570" dxfId="3">
      <formula>$H1674="ETAPA"</formula>
    </cfRule>
  </conditionalFormatting>
  <conditionalFormatting sqref="H1683:H1684 J1683:L1683 J1684 O1683:O1684">
    <cfRule type="expression" priority="80356" dxfId="3">
      <formula>$H1683="ETAPA"</formula>
    </cfRule>
  </conditionalFormatting>
  <conditionalFormatting sqref="J1694:L1695">
    <cfRule type="expression" priority="80894" dxfId="3">
      <formula>$H1694="ETAPA"</formula>
    </cfRule>
  </conditionalFormatting>
  <conditionalFormatting sqref="J1710:L1711">
    <cfRule type="expression" priority="81218" dxfId="3">
      <formula>$H1710="ETAPA"</formula>
    </cfRule>
  </conditionalFormatting>
  <conditionalFormatting sqref="J1725:L1726">
    <cfRule type="expression" priority="81542" dxfId="3">
      <formula>$H1725="ETAPA"</formula>
    </cfRule>
  </conditionalFormatting>
  <conditionalFormatting sqref="J1737:L1738">
    <cfRule type="expression" priority="81866" dxfId="3">
      <formula>$H1737="ETAPA"</formula>
    </cfRule>
  </conditionalFormatting>
  <conditionalFormatting sqref="J1749:L1750">
    <cfRule type="expression" priority="82190" dxfId="3">
      <formula>$H1749="ETAPA"</formula>
    </cfRule>
  </conditionalFormatting>
  <conditionalFormatting sqref="J1761:L1762 L1763:L1767 L1776:L1780">
    <cfRule type="expression" priority="82514" dxfId="3">
      <formula>$H1761="ETAPA"</formula>
    </cfRule>
  </conditionalFormatting>
  <conditionalFormatting sqref="H1773:H1774 H1784:H1791 J1773:L1773 J1774 J1778:K1778 L1774 O1774:O1778">
    <cfRule type="expression" priority="82513" dxfId="3">
      <formula>$H1773="ETAPA"</formula>
    </cfRule>
  </conditionalFormatting>
  <conditionalFormatting sqref="J1781:L1783 J1784:K1784">
    <cfRule type="expression" priority="82402" dxfId="3">
      <formula>$H1781="ETAPA"</formula>
    </cfRule>
  </conditionalFormatting>
  <conditionalFormatting sqref="H1798 J1785:L1786 J1798 L1787:L1791 L1798 L1803:L1807">
    <cfRule type="expression" priority="82838" dxfId="3">
      <formula>$H1785="ETAPA"</formula>
    </cfRule>
  </conditionalFormatting>
  <conditionalFormatting sqref="H1795:H1796 H1810:H1812 J1795:L1795 J1796 J1805:K1805 L1796 O1796">
    <cfRule type="expression" priority="82837" dxfId="3">
      <formula>$H1795="ETAPA"</formula>
    </cfRule>
  </conditionalFormatting>
  <conditionalFormatting sqref="J1811:L1812">
    <cfRule type="expression" priority="83162" dxfId="3">
      <formula>$H1811="ETAPA"</formula>
    </cfRule>
  </conditionalFormatting>
  <conditionalFormatting sqref="J1824:L1825">
    <cfRule type="expression" priority="83486" dxfId="3">
      <formula>$H1824="ETAPA"</formula>
    </cfRule>
  </conditionalFormatting>
  <conditionalFormatting sqref="J1844:L1844">
    <cfRule type="expression" priority="83594" dxfId="5">
      <formula>$H1844="CÉLULA CONSTRUTIVA"</formula>
    </cfRule>
    <cfRule type="expression" priority="83595" dxfId="4">
      <formula>$H1844="SUBETAPA"</formula>
    </cfRule>
    <cfRule type="expression" priority="83596" dxfId="3">
      <formula>$H1844="ETAPA"</formula>
    </cfRule>
  </conditionalFormatting>
  <conditionalFormatting sqref="J1860:L1860">
    <cfRule type="expression" priority="79083" dxfId="5">
      <formula>$H1860="CÉLULA CONSTRUTIVA"</formula>
    </cfRule>
    <cfRule type="expression" priority="79084" dxfId="4">
      <formula>$H1860="SUBETAPA"</formula>
    </cfRule>
    <cfRule type="expression" priority="79085" dxfId="3">
      <formula>$H1860="ETAPA"</formula>
    </cfRule>
  </conditionalFormatting>
  <conditionalFormatting sqref="J1869:L1870">
    <cfRule type="expression" priority="79623" dxfId="3">
      <formula>$H1869="ETAPA"</formula>
    </cfRule>
  </conditionalFormatting>
  <conditionalFormatting sqref="J1874:L1874">
    <cfRule type="expression" priority="79407" dxfId="5">
      <formula>$H1874="CÉLULA CONSTRUTIVA"</formula>
    </cfRule>
    <cfRule type="expression" priority="79408" dxfId="4">
      <formula>$H1874="SUBETAPA"</formula>
    </cfRule>
    <cfRule type="expression" priority="79409" dxfId="3">
      <formula>$H1874="ETAPA"</formula>
    </cfRule>
  </conditionalFormatting>
  <conditionalFormatting sqref="J1882:L1883">
    <cfRule type="expression" priority="79947" dxfId="3">
      <formula>$H1882="ETAPA"</formula>
    </cfRule>
  </conditionalFormatting>
  <conditionalFormatting sqref="J1899:L1899">
    <cfRule type="expression" priority="76084" dxfId="4">
      <formula>$H1899="SUBETAPA"</formula>
    </cfRule>
  </conditionalFormatting>
  <conditionalFormatting sqref="J1910:L1910">
    <cfRule type="expression" priority="76009" dxfId="4">
      <formula>$H1910="SUBETAPA"</formula>
    </cfRule>
  </conditionalFormatting>
  <conditionalFormatting sqref="J1913:L1913">
    <cfRule type="expression" priority="76270" dxfId="4">
      <formula>$H1913="SUBETAPA"</formula>
    </cfRule>
  </conditionalFormatting>
  <conditionalFormatting sqref="J1923:L1923">
    <cfRule type="expression" priority="76195" dxfId="4">
      <formula>$H1923="SUBETAPA"</formula>
    </cfRule>
  </conditionalFormatting>
  <conditionalFormatting sqref="J1926:L1926">
    <cfRule type="expression" priority="76456" dxfId="4">
      <formula>$H1926="SUBETAPA"</formula>
    </cfRule>
  </conditionalFormatting>
  <conditionalFormatting sqref="J1931:L1931">
    <cfRule type="expression" priority="76381" dxfId="4">
      <formula>$H1931="SUBETAPA"</formula>
    </cfRule>
  </conditionalFormatting>
  <conditionalFormatting sqref="J1934:L1934">
    <cfRule type="expression" priority="76642" dxfId="4">
      <formula>$H1934="SUBETAPA"</formula>
    </cfRule>
  </conditionalFormatting>
  <conditionalFormatting sqref="J1936:L1936">
    <cfRule type="expression" priority="76567" dxfId="4">
      <formula>$H1936="SUBETAPA"</formula>
    </cfRule>
  </conditionalFormatting>
  <conditionalFormatting sqref="J1939:L1939">
    <cfRule type="expression" priority="76828" dxfId="4">
      <formula>$H1939="SUBETAPA"</formula>
    </cfRule>
  </conditionalFormatting>
  <conditionalFormatting sqref="J1944:L1944">
    <cfRule type="expression" priority="76753" dxfId="4">
      <formula>$H1944="SUBETAPA"</formula>
    </cfRule>
  </conditionalFormatting>
  <conditionalFormatting sqref="J1947:L1947">
    <cfRule type="expression" priority="77014" dxfId="4">
      <formula>$H1947="SUBETAPA"</formula>
    </cfRule>
  </conditionalFormatting>
  <conditionalFormatting sqref="J1953:L1953">
    <cfRule type="expression" priority="76939" dxfId="4">
      <formula>$H1953="SUBETAPA"</formula>
    </cfRule>
  </conditionalFormatting>
  <conditionalFormatting sqref="J1956:L1956">
    <cfRule type="expression" priority="77200" dxfId="4">
      <formula>$H1956="SUBETAPA"</formula>
    </cfRule>
  </conditionalFormatting>
  <conditionalFormatting sqref="J1969:L1969">
    <cfRule type="expression" priority="77125" dxfId="4">
      <formula>$H1969="SUBETAPA"</formula>
    </cfRule>
  </conditionalFormatting>
  <conditionalFormatting sqref="J2013:L2013">
    <cfRule type="expression" priority="78316" dxfId="4">
      <formula>$H2013="SUBETAPA"</formula>
    </cfRule>
  </conditionalFormatting>
  <conditionalFormatting sqref="J2021:L2021">
    <cfRule type="expression" priority="78241" dxfId="4">
      <formula>$H2021="SUBETAPA"</formula>
    </cfRule>
  </conditionalFormatting>
  <conditionalFormatting sqref="J2024:L2024">
    <cfRule type="expression" priority="78502" dxfId="4">
      <formula>$H2024="SUBETAPA"</formula>
    </cfRule>
  </conditionalFormatting>
  <conditionalFormatting sqref="J2029:L2029">
    <cfRule type="expression" priority="78427" dxfId="4">
      <formula>$H2029="SUBETAPA"</formula>
    </cfRule>
  </conditionalFormatting>
  <conditionalFormatting sqref="H2038:H2039 J2035:L2035 J2038:L2038 K2039:L2039 O2038:O2040">
    <cfRule type="expression" priority="67104" dxfId="5">
      <formula>$H2035="CÉLULA CONSTRUTIVA"</formula>
    </cfRule>
  </conditionalFormatting>
  <conditionalFormatting sqref="J2094:L2094">
    <cfRule type="expression" priority="68641" dxfId="5">
      <formula>$H2094="CÉLULA CONSTRUTIVA"</formula>
    </cfRule>
  </conditionalFormatting>
  <conditionalFormatting sqref="J2110:L2110">
    <cfRule type="expression" priority="69281" dxfId="5">
      <formula>$H2110="CÉLULA CONSTRUTIVA"</formula>
    </cfRule>
  </conditionalFormatting>
  <conditionalFormatting sqref="J2127:L2127">
    <cfRule type="expression" priority="69921" dxfId="5">
      <formula>$H2127="CÉLULA CONSTRUTIVA"</formula>
    </cfRule>
  </conditionalFormatting>
  <conditionalFormatting sqref="J2145:L2145">
    <cfRule type="expression" priority="70561" dxfId="5">
      <formula>$H2145="CÉLULA CONSTRUTIVA"</formula>
    </cfRule>
  </conditionalFormatting>
  <conditionalFormatting sqref="H2152:H2153 H2172 J2152:L2153 J2160:K2160 J2165:L2165 J2172:L2172 O2168">
    <cfRule type="expression" priority="71204" dxfId="3">
      <formula>$H2152="ETAPA"</formula>
    </cfRule>
  </conditionalFormatting>
  <conditionalFormatting sqref="H2180:H2182 J2178:L2182">
    <cfRule type="expression" priority="71085" dxfId="3">
      <formula>$H2178="ETAPA"</formula>
    </cfRule>
  </conditionalFormatting>
  <conditionalFormatting sqref="J2220:L2220">
    <cfRule type="expression" priority="71972" dxfId="5">
      <formula>$H2220="CÉLULA CONSTRUTIVA"</formula>
    </cfRule>
    <cfRule type="expression" priority="71976" dxfId="4">
      <formula>$H2220="SUBETAPA"</formula>
    </cfRule>
  </conditionalFormatting>
  <conditionalFormatting sqref="J2240:L2240">
    <cfRule type="expression" priority="72612" dxfId="5">
      <formula>$H2240="CÉLULA CONSTRUTIVA"</formula>
    </cfRule>
    <cfRule type="expression" priority="72616" dxfId="4">
      <formula>$H2240="SUBETAPA"</formula>
    </cfRule>
  </conditionalFormatting>
  <conditionalFormatting sqref="G2370:H2370 G2378:H2378 J2378:L2379 M2369">
    <cfRule type="expression" priority="62207" dxfId="3">
      <formula>$H2369="ETAPA"</formula>
    </cfRule>
  </conditionalFormatting>
  <conditionalFormatting sqref="G2397:H2397 G2403:H2403 J2403:L2404 M2396">
    <cfRule type="expression" priority="62446" dxfId="3">
      <formula>$H2396="ETAPA"</formula>
    </cfRule>
  </conditionalFormatting>
  <conditionalFormatting sqref="G2420:H2420 G2426:H2426 J2426:L2427 M2419">
    <cfRule type="expression" priority="62685" dxfId="3">
      <formula>$H2419="ETAPA"</formula>
    </cfRule>
  </conditionalFormatting>
  <conditionalFormatting sqref="G2443:H2443 G2449:H2449 J2449:L2450 M2442">
    <cfRule type="expression" priority="62924" dxfId="3">
      <formula>$H2442="ETAPA"</formula>
    </cfRule>
  </conditionalFormatting>
  <conditionalFormatting sqref="G2467:H2467 G2473:H2473 J2473:L2474 M2466">
    <cfRule type="expression" priority="63163" dxfId="3">
      <formula>$H2466="ETAPA"</formula>
    </cfRule>
  </conditionalFormatting>
  <conditionalFormatting sqref="G2493:H2493 G2501:H2501 J2501:L2502 M2492">
    <cfRule type="expression" priority="63402" dxfId="3">
      <formula>$H2492="ETAPA"</formula>
    </cfRule>
  </conditionalFormatting>
  <conditionalFormatting sqref="J2504:L2506">
    <cfRule type="expression" priority="63319" dxfId="3">
      <formula>$H2504="ETAPA"</formula>
    </cfRule>
  </conditionalFormatting>
  <conditionalFormatting sqref="H2783 J2782:L2784">
    <cfRule type="expression" priority="1515" dxfId="3">
      <formula>$H2782="ETAPA"</formula>
    </cfRule>
  </conditionalFormatting>
  <conditionalFormatting sqref="H2792 J2791:L2793">
    <cfRule type="expression" priority="1557" dxfId="3">
      <formula>$H2791="ETAPA"</formula>
    </cfRule>
  </conditionalFormatting>
  <conditionalFormatting sqref="H2801 J2800:L2801 J2802:K2802">
    <cfRule type="expression" priority="1599" dxfId="3">
      <formula>$H2800="ETAPA"</formula>
    </cfRule>
  </conditionalFormatting>
  <conditionalFormatting sqref="H2810 J2809:L2810 J2811:K2811">
    <cfRule type="expression" priority="1641" dxfId="3">
      <formula>$H2809="ETAPA"</formula>
    </cfRule>
  </conditionalFormatting>
  <conditionalFormatting sqref="J2820:L2820 J2821:K2821">
    <cfRule type="expression" priority="433" dxfId="3">
      <formula>$H2820="ETAPA"</formula>
    </cfRule>
  </conditionalFormatting>
  <conditionalFormatting sqref="G2824:M2825 J2822:L2823 O2822:O2823">
    <cfRule type="expression" priority="437" dxfId="3">
      <formula>$H2822="ETAPA"</formula>
    </cfRule>
  </conditionalFormatting>
  <conditionalFormatting sqref="G2824:M2826 G2827:J2827 J2823:L2823 L2820 L2827:M2827 O2822:O2823">
    <cfRule type="expression" priority="451" dxfId="5">
      <formula>$H2820="CÉLULA CONSTRUTIVA"</formula>
    </cfRule>
  </conditionalFormatting>
  <conditionalFormatting sqref="G2824:M2825 J2823:L2823 L2820 L2826:M2827 O2822:O2823">
    <cfRule type="expression" priority="452" dxfId="4">
      <formula>$H2820="SUBETAPA"</formula>
    </cfRule>
  </conditionalFormatting>
  <conditionalFormatting sqref="J2831:L2831 J2832:K2832">
    <cfRule type="expression" priority="498" dxfId="3">
      <formula>$H2831="ETAPA"</formula>
    </cfRule>
  </conditionalFormatting>
  <conditionalFormatting sqref="G2835:M2836 J2833:L2834 O2833:O2834">
    <cfRule type="expression" priority="502" dxfId="3">
      <formula>$H2833="ETAPA"</formula>
    </cfRule>
  </conditionalFormatting>
  <conditionalFormatting sqref="G2835:M2836 J2834:L2834 L2831 O2833:O2834">
    <cfRule type="expression" priority="517" dxfId="4">
      <formula>$H2831="SUBETAPA"</formula>
    </cfRule>
  </conditionalFormatting>
  <conditionalFormatting sqref="J2834:L2834 L2831 O2833:O2834">
    <cfRule type="expression" priority="516" dxfId="5">
      <formula>$H2831="CÉLULA CONSTRUTIVA"</formula>
    </cfRule>
  </conditionalFormatting>
  <conditionalFormatting sqref="J2840:L2840 J2841:K2841">
    <cfRule type="expression" priority="563" dxfId="3">
      <formula>$H2840="ETAPA"</formula>
    </cfRule>
  </conditionalFormatting>
  <conditionalFormatting sqref="G2844:M2845 J2842:L2843 O2842:O2843">
    <cfRule type="expression" priority="567" dxfId="3">
      <formula>$H2842="ETAPA"</formula>
    </cfRule>
  </conditionalFormatting>
  <conditionalFormatting sqref="G2844:M2845 J2843:L2843 L2840 O2842:O2843">
    <cfRule type="expression" priority="582" dxfId="4">
      <formula>$H2840="SUBETAPA"</formula>
    </cfRule>
  </conditionalFormatting>
  <conditionalFormatting sqref="J2843:L2843 L2840 O2842:O2843">
    <cfRule type="expression" priority="581" dxfId="5">
      <formula>$H2840="CÉLULA CONSTRUTIVA"</formula>
    </cfRule>
  </conditionalFormatting>
  <conditionalFormatting sqref="J2849:L2849 J2850:K2850">
    <cfRule type="expression" priority="628" dxfId="3">
      <formula>$H2849="ETAPA"</formula>
    </cfRule>
  </conditionalFormatting>
  <conditionalFormatting sqref="G2853:M2854 J2851:L2852 O2851:O2852">
    <cfRule type="expression" priority="632" dxfId="3">
      <formula>$H2851="ETAPA"</formula>
    </cfRule>
  </conditionalFormatting>
  <conditionalFormatting sqref="G2853:M2854 J2852:L2852 L2849 O2851:O2852">
    <cfRule type="expression" priority="647" dxfId="4">
      <formula>$H2849="SUBETAPA"</formula>
    </cfRule>
  </conditionalFormatting>
  <conditionalFormatting sqref="J2852:L2852 L2849 O2851:O2852">
    <cfRule type="expression" priority="646" dxfId="5">
      <formula>$H2849="CÉLULA CONSTRUTIVA"</formula>
    </cfRule>
  </conditionalFormatting>
  <conditionalFormatting sqref="J2858:L2858 J2859:K2859">
    <cfRule type="expression" priority="693" dxfId="3">
      <formula>$H2858="ETAPA"</formula>
    </cfRule>
  </conditionalFormatting>
  <conditionalFormatting sqref="G2862:M2863 J2860:L2861 O2860:O2861">
    <cfRule type="expression" priority="697" dxfId="3">
      <formula>$H2860="ETAPA"</formula>
    </cfRule>
  </conditionalFormatting>
  <conditionalFormatting sqref="G2862:M2863 J2861:L2861 L2858 O2860:O2861">
    <cfRule type="expression" priority="712" dxfId="4">
      <formula>$H2858="SUBETAPA"</formula>
    </cfRule>
  </conditionalFormatting>
  <conditionalFormatting sqref="J2861:L2861 L2858 O2860:O2861">
    <cfRule type="expression" priority="711" dxfId="5">
      <formula>$H2858="CÉLULA CONSTRUTIVA"</formula>
    </cfRule>
  </conditionalFormatting>
  <conditionalFormatting sqref="J2867:L2867 J2868:K2868">
    <cfRule type="expression" priority="758" dxfId="3">
      <formula>$H2867="ETAPA"</formula>
    </cfRule>
  </conditionalFormatting>
  <conditionalFormatting sqref="G2871:M2872 J2869:L2870 O2869:O2870">
    <cfRule type="expression" priority="762" dxfId="3">
      <formula>$H2869="ETAPA"</formula>
    </cfRule>
  </conditionalFormatting>
  <conditionalFormatting sqref="G2871:M2872 J2870:L2870 L2867 O2869:O2870">
    <cfRule type="expression" priority="777" dxfId="4">
      <formula>$H2867="SUBETAPA"</formula>
    </cfRule>
  </conditionalFormatting>
  <conditionalFormatting sqref="J2870:L2870 L2867 O2869:O2870">
    <cfRule type="expression" priority="776" dxfId="5">
      <formula>$H2867="CÉLULA CONSTRUTIVA"</formula>
    </cfRule>
  </conditionalFormatting>
  <conditionalFormatting sqref="J2876:L2876 J2877:K2877">
    <cfRule type="expression" priority="823" dxfId="3">
      <formula>$H2876="ETAPA"</formula>
    </cfRule>
  </conditionalFormatting>
  <conditionalFormatting sqref="G2880:M2881 J2878:L2879 O2878:O2879">
    <cfRule type="expression" priority="827" dxfId="3">
      <formula>$H2878="ETAPA"</formula>
    </cfRule>
  </conditionalFormatting>
  <conditionalFormatting sqref="G2880:M2882 G2883:J2883 J2879:L2879 L2876 L2883:M2883 O2878:O2879">
    <cfRule type="expression" priority="841" dxfId="5">
      <formula>$H2876="CÉLULA CONSTRUTIVA"</formula>
    </cfRule>
  </conditionalFormatting>
  <conditionalFormatting sqref="G2880:M2881 J2879:L2879 L2876 L2882:M2883 O2878:O2879">
    <cfRule type="expression" priority="842" dxfId="4">
      <formula>$H2876="SUBETAPA"</formula>
    </cfRule>
  </conditionalFormatting>
  <conditionalFormatting sqref="J2887:L2887 J2888:K2888">
    <cfRule type="expression" priority="888" dxfId="3">
      <formula>$H2887="ETAPA"</formula>
    </cfRule>
  </conditionalFormatting>
  <conditionalFormatting sqref="G2891:M2892 J2889:L2890 O2889:O2890">
    <cfRule type="expression" priority="892" dxfId="3">
      <formula>$H2889="ETAPA"</formula>
    </cfRule>
  </conditionalFormatting>
  <conditionalFormatting sqref="G2891:M2893 G2894:J2894 J2890:L2890 L2887 L2894:M2894 O2889:O2890">
    <cfRule type="expression" priority="906" dxfId="5">
      <formula>$H2887="CÉLULA CONSTRUTIVA"</formula>
    </cfRule>
  </conditionalFormatting>
  <conditionalFormatting sqref="G2891:M2892 J2890:L2890 L2887 L2893:M2894 O2889:O2890">
    <cfRule type="expression" priority="907" dxfId="4">
      <formula>$H2887="SUBETAPA"</formula>
    </cfRule>
  </conditionalFormatting>
  <conditionalFormatting sqref="J2896:L2896">
    <cfRule type="expression" priority="886" dxfId="3">
      <formula>$H2896="ETAPA"</formula>
    </cfRule>
  </conditionalFormatting>
  <conditionalFormatting sqref="J2898:L2898 J2899:K2899">
    <cfRule type="expression" priority="953" dxfId="3">
      <formula>$H2898="ETAPA"</formula>
    </cfRule>
  </conditionalFormatting>
  <conditionalFormatting sqref="J2900:L2900">
    <cfRule type="expression" priority="952" dxfId="3">
      <formula>$H2900="ETAPA"</formula>
    </cfRule>
  </conditionalFormatting>
  <conditionalFormatting sqref="G2902:M2903 J2901:L2901 L2898">
    <cfRule type="expression" priority="972" dxfId="4">
      <formula>$H2898="SUBETAPA"</formula>
    </cfRule>
  </conditionalFormatting>
  <conditionalFormatting sqref="J2901:L2901 L2898">
    <cfRule type="expression" priority="971" dxfId="5">
      <formula>$H2898="CÉLULA CONSTRUTIVA"</formula>
    </cfRule>
  </conditionalFormatting>
  <conditionalFormatting sqref="J2907:L2907 J2908:K2908">
    <cfRule type="expression" priority="1018" dxfId="3">
      <formula>$H2907="ETAPA"</formula>
    </cfRule>
  </conditionalFormatting>
  <conditionalFormatting sqref="J2909:L2909">
    <cfRule type="expression" priority="1017" dxfId="3">
      <formula>$H2909="ETAPA"</formula>
    </cfRule>
  </conditionalFormatting>
  <conditionalFormatting sqref="G2911:M2912 J2910:L2910 L2907">
    <cfRule type="expression" priority="1037" dxfId="4">
      <formula>$H2907="SUBETAPA"</formula>
    </cfRule>
  </conditionalFormatting>
  <conditionalFormatting sqref="J2910:L2910 L2907">
    <cfRule type="expression" priority="1036" dxfId="5">
      <formula>$H2907="CÉLULA CONSTRUTIVA"</formula>
    </cfRule>
  </conditionalFormatting>
  <conditionalFormatting sqref="J2916:L2916 J2917:K2917">
    <cfRule type="expression" priority="1083" dxfId="3">
      <formula>$H2916="ETAPA"</formula>
    </cfRule>
  </conditionalFormatting>
  <conditionalFormatting sqref="J2918:L2918">
    <cfRule type="expression" priority="1082" dxfId="3">
      <formula>$H2918="ETAPA"</formula>
    </cfRule>
  </conditionalFormatting>
  <conditionalFormatting sqref="G2920:M2921 J2919:L2919 L2916">
    <cfRule type="expression" priority="1102" dxfId="4">
      <formula>$H2916="SUBETAPA"</formula>
    </cfRule>
  </conditionalFormatting>
  <conditionalFormatting sqref="J2919:L2919 L2916">
    <cfRule type="expression" priority="1101" dxfId="5">
      <formula>$H2916="CÉLULA CONSTRUTIVA"</formula>
    </cfRule>
  </conditionalFormatting>
  <conditionalFormatting sqref="J2925:L2925 J2926:K2926">
    <cfRule type="expression" priority="1148" dxfId="3">
      <formula>$H2925="ETAPA"</formula>
    </cfRule>
  </conditionalFormatting>
  <conditionalFormatting sqref="J2927:L2927">
    <cfRule type="expression" priority="1147" dxfId="3">
      <formula>$H2927="ETAPA"</formula>
    </cfRule>
  </conditionalFormatting>
  <conditionalFormatting sqref="G2929:M2930 J2928:L2928 L2925">
    <cfRule type="expression" priority="1167" dxfId="4">
      <formula>$H2925="SUBETAPA"</formula>
    </cfRule>
  </conditionalFormatting>
  <conditionalFormatting sqref="J2928:L2928 L2925">
    <cfRule type="expression" priority="1166" dxfId="5">
      <formula>$H2925="CÉLULA CONSTRUTIVA"</formula>
    </cfRule>
  </conditionalFormatting>
  <conditionalFormatting sqref="J2934:L2934 J2935:K2935">
    <cfRule type="expression" priority="1213" dxfId="3">
      <formula>$H2934="ETAPA"</formula>
    </cfRule>
  </conditionalFormatting>
  <conditionalFormatting sqref="J2936:L2936">
    <cfRule type="expression" priority="1212" dxfId="3">
      <formula>$H2936="ETAPA"</formula>
    </cfRule>
  </conditionalFormatting>
  <conditionalFormatting sqref="G2938:M2939 J2937:L2937 L2934 L2940:M2941">
    <cfRule type="expression" priority="1232" dxfId="4">
      <formula>$H2934="SUBETAPA"</formula>
    </cfRule>
  </conditionalFormatting>
  <conditionalFormatting sqref="G2938:M2940 G2941:J2941 J2937:L2937 L2934 L2941:M2941">
    <cfRule type="expression" priority="1231" dxfId="5">
      <formula>$H2934="CÉLULA CONSTRUTIVA"</formula>
    </cfRule>
  </conditionalFormatting>
  <conditionalFormatting sqref="J2943:L2943">
    <cfRule type="expression" priority="1211" dxfId="3">
      <formula>$H2943="ETAPA"</formula>
    </cfRule>
  </conditionalFormatting>
  <conditionalFormatting sqref="J2945:L2945 J2946:K2946 L2948:L2951">
    <cfRule type="expression" priority="1278" dxfId="3">
      <formula>$H2945="ETAPA"</formula>
    </cfRule>
  </conditionalFormatting>
  <conditionalFormatting sqref="J2947:L2947">
    <cfRule type="expression" priority="1277" dxfId="3">
      <formula>$H2947="ETAPA"</formula>
    </cfRule>
  </conditionalFormatting>
  <conditionalFormatting sqref="J2953:L2953">
    <cfRule type="expression" priority="1276" dxfId="3">
      <formula>$H2953="ETAPA"</formula>
    </cfRule>
  </conditionalFormatting>
  <conditionalFormatting sqref="J16:M16">
    <cfRule type="expression" priority="4036" dxfId="6">
      <formula>$H16="SUBETAPA"</formula>
    </cfRule>
  </conditionalFormatting>
  <conditionalFormatting sqref="J17:M17">
    <cfRule type="expression" priority="4038" dxfId="7">
      <formula>$H17="CÉLULA CONSTRUTIVA"</formula>
    </cfRule>
    <cfRule type="expression" priority="4039" dxfId="8">
      <formula>$H17="ETAPA"</formula>
    </cfRule>
  </conditionalFormatting>
  <conditionalFormatting sqref="J1837:M1838">
    <cfRule type="expression" priority="116232" dxfId="3">
      <formula>$H1837="ETAPA"</formula>
    </cfRule>
  </conditionalFormatting>
  <conditionalFormatting sqref="J1908:M1909">
    <cfRule type="expression" priority="75993" dxfId="5">
      <formula>$H1908="CÉLULA CONSTRUTIVA"</formula>
    </cfRule>
  </conditionalFormatting>
  <conditionalFormatting sqref="J1910:M1910">
    <cfRule type="expression" priority="76008" dxfId="5">
      <formula>$H1910="CÉLULA CONSTRUTIVA"</formula>
    </cfRule>
    <cfRule type="expression" priority="76010" dxfId="3">
      <formula>$H1910="ETAPA"</formula>
    </cfRule>
  </conditionalFormatting>
  <conditionalFormatting sqref="J1923:M1923">
    <cfRule type="expression" priority="76194" dxfId="5">
      <formula>$H1923="CÉLULA CONSTRUTIVA"</formula>
    </cfRule>
    <cfRule type="expression" priority="76196" dxfId="3">
      <formula>$H1923="ETAPA"</formula>
    </cfRule>
  </conditionalFormatting>
  <conditionalFormatting sqref="J1931:M1931">
    <cfRule type="expression" priority="76380" dxfId="5">
      <formula>$H1931="CÉLULA CONSTRUTIVA"</formula>
    </cfRule>
    <cfRule type="expression" priority="76382" dxfId="3">
      <formula>$H1931="ETAPA"</formula>
    </cfRule>
  </conditionalFormatting>
  <conditionalFormatting sqref="J1936:M1936">
    <cfRule type="expression" priority="76566" dxfId="5">
      <formula>$H1936="CÉLULA CONSTRUTIVA"</formula>
    </cfRule>
    <cfRule type="expression" priority="76568" dxfId="3">
      <formula>$H1936="ETAPA"</formula>
    </cfRule>
  </conditionalFormatting>
  <conditionalFormatting sqref="J1944:M1944">
    <cfRule type="expression" priority="76752" dxfId="5">
      <formula>$H1944="CÉLULA CONSTRUTIVA"</formula>
    </cfRule>
    <cfRule type="expression" priority="76754" dxfId="3">
      <formula>$H1944="ETAPA"</formula>
    </cfRule>
  </conditionalFormatting>
  <conditionalFormatting sqref="J1953:M1953">
    <cfRule type="expression" priority="76938" dxfId="5">
      <formula>$H1953="CÉLULA CONSTRUTIVA"</formula>
    </cfRule>
    <cfRule type="expression" priority="76940" dxfId="3">
      <formula>$H1953="ETAPA"</formula>
    </cfRule>
  </conditionalFormatting>
  <conditionalFormatting sqref="J1969:M1969">
    <cfRule type="expression" priority="77124" dxfId="5">
      <formula>$H1969="CÉLULA CONSTRUTIVA"</formula>
    </cfRule>
    <cfRule type="expression" priority="77126" dxfId="3">
      <formula>$H1969="ETAPA"</formula>
    </cfRule>
  </conditionalFormatting>
  <conditionalFormatting sqref="J2021:M2021">
    <cfRule type="expression" priority="78240" dxfId="5">
      <formula>$H2021="CÉLULA CONSTRUTIVA"</formula>
    </cfRule>
    <cfRule type="expression" priority="78242" dxfId="3">
      <formula>$H2021="ETAPA"</formula>
    </cfRule>
  </conditionalFormatting>
  <conditionalFormatting sqref="J2029:M2029">
    <cfRule type="expression" priority="78426" dxfId="5">
      <formula>$H2029="CÉLULA CONSTRUTIVA"</formula>
    </cfRule>
    <cfRule type="expression" priority="78428" dxfId="3">
      <formula>$H2029="ETAPA"</formula>
    </cfRule>
  </conditionalFormatting>
  <conditionalFormatting sqref="J2357 J2358:M2358 O2358">
    <cfRule type="expression" priority="61982" dxfId="5">
      <formula>$H2357="CÉLULA CONSTRUTIVA"</formula>
    </cfRule>
  </conditionalFormatting>
  <conditionalFormatting sqref="J2758:M2759 O2759">
    <cfRule type="expression" priority="1388" dxfId="3">
      <formula>$H2758="ETAPA"</formula>
    </cfRule>
  </conditionalFormatting>
  <conditionalFormatting sqref="J2759:M2759 O2759">
    <cfRule type="expression" priority="1394" dxfId="4">
      <formula>$H2759="SUBETAPA"</formula>
    </cfRule>
  </conditionalFormatting>
  <conditionalFormatting sqref="J2764:M2765 O2765">
    <cfRule type="expression" priority="1430" dxfId="3">
      <formula>$H2764="ETAPA"</formula>
    </cfRule>
  </conditionalFormatting>
  <conditionalFormatting sqref="J2765:M2765 O2765">
    <cfRule type="expression" priority="1436" dxfId="4">
      <formula>$H2765="SUBETAPA"</formula>
    </cfRule>
  </conditionalFormatting>
  <conditionalFormatting sqref="J2770:M2771 O2771">
    <cfRule type="expression" priority="1472" dxfId="3">
      <formula>$H2770="ETAPA"</formula>
    </cfRule>
  </conditionalFormatting>
  <conditionalFormatting sqref="J2771:M2771 O2771">
    <cfRule type="expression" priority="1478" dxfId="4">
      <formula>$H2771="SUBETAPA"</formula>
    </cfRule>
  </conditionalFormatting>
  <conditionalFormatting sqref="H2777:H2779 J2776:M2777 J2778:K2779 M2778:M2779 O2777">
    <cfRule type="expression" priority="1514" dxfId="3">
      <formula>$H2776="ETAPA"</formula>
    </cfRule>
  </conditionalFormatting>
  <conditionalFormatting sqref="H2786:H2788 J2785:M2786 J2787:K2788 M2787:M2788 O2786">
    <cfRule type="expression" priority="1556" dxfId="3">
      <formula>$H2785="ETAPA"</formula>
    </cfRule>
  </conditionalFormatting>
  <conditionalFormatting sqref="H2795:H2797 J2794:M2795 J2796:K2797 M2796:M2797 O2795">
    <cfRule type="expression" priority="1598" dxfId="3">
      <formula>$H2794="ETAPA"</formula>
    </cfRule>
  </conditionalFormatting>
  <conditionalFormatting sqref="H2804:H2806 J2803:M2804 J2805:K2806 M2805:M2806 O2804">
    <cfRule type="expression" priority="1640" dxfId="3">
      <formula>$H2803="ETAPA"</formula>
    </cfRule>
  </conditionalFormatting>
  <conditionalFormatting sqref="H2813:H2815 J2812:M2813 J2814:K2815 M2814:M2815 O2813">
    <cfRule type="expression" priority="1682" dxfId="3">
      <formula>$H2812="ETAPA"</formula>
    </cfRule>
  </conditionalFormatting>
  <conditionalFormatting sqref="K23 M23">
    <cfRule type="expression" priority="46587" dxfId="3">
      <formula>$H23="ETAPA"</formula>
    </cfRule>
    <cfRule type="expression" priority="46586" dxfId="5">
      <formula>$H23="CÉLULA CONSTRUTIVA"</formula>
    </cfRule>
  </conditionalFormatting>
  <conditionalFormatting sqref="K23">
    <cfRule type="expression" priority="46588" dxfId="4">
      <formula>$H23="SUBETAPA"</formula>
    </cfRule>
  </conditionalFormatting>
  <conditionalFormatting sqref="G33:N33 K35:K36 K38 L34:L36 O36 O38">
    <cfRule type="expression" priority="50593" dxfId="5">
      <formula>$H33="CÉLULA CONSTRUTIVA"</formula>
    </cfRule>
  </conditionalFormatting>
  <conditionalFormatting sqref="K37 N37:O37">
    <cfRule type="expression" priority="46707" dxfId="4">
      <formula>$H37="SUBETAPA"</formula>
    </cfRule>
    <cfRule type="expression" priority="46708" dxfId="3">
      <formula>$H37="ETAPA"</formula>
    </cfRule>
  </conditionalFormatting>
  <conditionalFormatting sqref="K37 O37">
    <cfRule type="expression" priority="46706" dxfId="5">
      <formula>$H37="CÉLULA CONSTRUTIVA"</formula>
    </cfRule>
  </conditionalFormatting>
  <conditionalFormatting sqref="K46 N46:O46">
    <cfRule type="expression" priority="46781" dxfId="3">
      <formula>$H46="ETAPA"</formula>
    </cfRule>
    <cfRule type="expression" priority="46779" dxfId="5">
      <formula>$H46="CÉLULA CONSTRUTIVA"</formula>
    </cfRule>
    <cfRule type="expression" priority="46780" dxfId="4">
      <formula>$H46="SUBETAPA"</formula>
    </cfRule>
  </conditionalFormatting>
  <conditionalFormatting sqref="K157">
    <cfRule type="expression" priority="49723" dxfId="5">
      <formula>$H157="CÉLULA CONSTRUTIVA"</formula>
    </cfRule>
    <cfRule type="expression" priority="49724" dxfId="4">
      <formula>$H157="SUBETAPA"</formula>
    </cfRule>
    <cfRule type="expression" priority="49725" dxfId="3">
      <formula>$H157="ETAPA"</formula>
    </cfRule>
  </conditionalFormatting>
  <conditionalFormatting sqref="K167">
    <cfRule type="expression" priority="49637" dxfId="5">
      <formula>$H167="CÉLULA CONSTRUTIVA"</formula>
    </cfRule>
    <cfRule type="expression" priority="49638" dxfId="4">
      <formula>$H167="SUBETAPA"</formula>
    </cfRule>
    <cfRule type="expression" priority="49639" dxfId="3">
      <formula>$H167="ETAPA"</formula>
    </cfRule>
  </conditionalFormatting>
  <conditionalFormatting sqref="K185">
    <cfRule type="expression" priority="3308" dxfId="5">
      <formula>$H185="CÉLULA CONSTRUTIVA"</formula>
    </cfRule>
    <cfRule type="expression" priority="3309" dxfId="4">
      <formula>$H185="SUBETAPA"</formula>
    </cfRule>
    <cfRule type="expression" priority="3310" dxfId="3">
      <formula>$H185="ETAPA"</formula>
    </cfRule>
  </conditionalFormatting>
  <conditionalFormatting sqref="K194">
    <cfRule type="expression" priority="3274" dxfId="5">
      <formula>$H194="CÉLULA CONSTRUTIVA"</formula>
    </cfRule>
    <cfRule type="expression" priority="3275" dxfId="4">
      <formula>$H194="SUBETAPA"</formula>
    </cfRule>
    <cfRule type="expression" priority="3276" dxfId="3">
      <formula>$H194="ETAPA"</formula>
    </cfRule>
  </conditionalFormatting>
  <conditionalFormatting sqref="K203">
    <cfRule type="expression" priority="3240" dxfId="5">
      <formula>$H203="CÉLULA CONSTRUTIVA"</formula>
    </cfRule>
    <cfRule type="expression" priority="3241" dxfId="4">
      <formula>$H203="SUBETAPA"</formula>
    </cfRule>
    <cfRule type="expression" priority="3242" dxfId="3">
      <formula>$H203="ETAPA"</formula>
    </cfRule>
  </conditionalFormatting>
  <conditionalFormatting sqref="G204:K204 G210:J211 K206:K211 L206 M206:O211 N204">
    <cfRule type="expression" priority="46336" dxfId="5">
      <formula>$H204="CÉLULA CONSTRUTIVA"</formula>
    </cfRule>
    <cfRule type="expression" priority="46337" dxfId="4">
      <formula>$H204="SUBETAPA"</formula>
    </cfRule>
  </conditionalFormatting>
  <conditionalFormatting sqref="K212">
    <cfRule type="expression" priority="3206" dxfId="5">
      <formula>$H212="CÉLULA CONSTRUTIVA"</formula>
    </cfRule>
    <cfRule type="expression" priority="3207" dxfId="4">
      <formula>$H212="SUBETAPA"</formula>
    </cfRule>
    <cfRule type="expression" priority="3208" dxfId="3">
      <formula>$H212="ETAPA"</formula>
    </cfRule>
  </conditionalFormatting>
  <conditionalFormatting sqref="K221">
    <cfRule type="expression" priority="3172" dxfId="5">
      <formula>$H221="CÉLULA CONSTRUTIVA"</formula>
    </cfRule>
    <cfRule type="expression" priority="3173" dxfId="4">
      <formula>$H221="SUBETAPA"</formula>
    </cfRule>
    <cfRule type="expression" priority="3174" dxfId="3">
      <formula>$H221="ETAPA"</formula>
    </cfRule>
  </conditionalFormatting>
  <conditionalFormatting sqref="K349 K351 K353 K355 K357 K361 K363 K365 K367 K369 K371 K373 K375 K377">
    <cfRule type="expression" priority="46853" dxfId="3">
      <formula>$H349="ETAPA"</formula>
    </cfRule>
    <cfRule type="expression" priority="46851" dxfId="5">
      <formula>$H349="CÉLULA CONSTRUTIVA"</formula>
    </cfRule>
    <cfRule type="expression" priority="46852" dxfId="4">
      <formula>$H349="SUBETAPA"</formula>
    </cfRule>
  </conditionalFormatting>
  <conditionalFormatting sqref="K359">
    <cfRule type="expression" priority="46154" dxfId="5">
      <formula>$H359="CÉLULA CONSTRUTIVA"</formula>
    </cfRule>
    <cfRule type="expression" priority="46155" dxfId="4">
      <formula>$H359="SUBETAPA"</formula>
    </cfRule>
    <cfRule type="expression" priority="46156" dxfId="3">
      <formula>$H359="ETAPA"</formula>
    </cfRule>
  </conditionalFormatting>
  <conditionalFormatting sqref="K415">
    <cfRule type="expression" priority="6346" dxfId="4">
      <formula>$H415="SUBETAPA"</formula>
    </cfRule>
    <cfRule type="expression" priority="6347" dxfId="5">
      <formula>$H415="CÉLULA CONSTRUTIVA"</formula>
    </cfRule>
    <cfRule type="expression" priority="6348" dxfId="3">
      <formula>$H415="ETAPA"</formula>
    </cfRule>
  </conditionalFormatting>
  <conditionalFormatting sqref="K1251">
    <cfRule type="expression" priority="51507" dxfId="5">
      <formula>$H1251="CÉLULA CONSTRUTIVA"</formula>
    </cfRule>
    <cfRule type="expression" priority="51508" dxfId="3">
      <formula>$H1251="ETAPA"</formula>
    </cfRule>
    <cfRule type="expression" priority="51509" dxfId="4">
      <formula>$H1251="SUBETAPA"</formula>
    </cfRule>
  </conditionalFormatting>
  <conditionalFormatting sqref="K1658:K1660">
    <cfRule type="expression" priority="96813" dxfId="5">
      <formula>$H1658="CÉLULA CONSTRUTIVA"</formula>
    </cfRule>
  </conditionalFormatting>
  <conditionalFormatting sqref="K1670:K1672">
    <cfRule type="expression" priority="97472" dxfId="5">
      <formula>$H1670="CÉLULA CONSTRUTIVA"</formula>
    </cfRule>
  </conditionalFormatting>
  <conditionalFormatting sqref="K1684">
    <cfRule type="expression" priority="80335" dxfId="5">
      <formula>$H1684="CÉLULA CONSTRUTIVA"</formula>
    </cfRule>
    <cfRule type="expression" priority="80337" dxfId="4">
      <formula>$H1684="SUBETAPA"</formula>
    </cfRule>
  </conditionalFormatting>
  <conditionalFormatting sqref="K1701">
    <cfRule type="expression" priority="80659" dxfId="5">
      <formula>$H1701="CÉLULA CONSTRUTIVA"</formula>
    </cfRule>
    <cfRule type="expression" priority="80661" dxfId="4">
      <formula>$H1701="SUBETAPA"</formula>
    </cfRule>
  </conditionalFormatting>
  <conditionalFormatting sqref="K1717">
    <cfRule type="expression" priority="80983" dxfId="5">
      <formula>$H1717="CÉLULA CONSTRUTIVA"</formula>
    </cfRule>
    <cfRule type="expression" priority="80985" dxfId="4">
      <formula>$H1717="SUBETAPA"</formula>
    </cfRule>
  </conditionalFormatting>
  <conditionalFormatting sqref="K1732">
    <cfRule type="expression" priority="81307" dxfId="5">
      <formula>$H1732="CÉLULA CONSTRUTIVA"</formula>
    </cfRule>
    <cfRule type="expression" priority="81309" dxfId="4">
      <formula>$H1732="SUBETAPA"</formula>
    </cfRule>
  </conditionalFormatting>
  <conditionalFormatting sqref="K1744">
    <cfRule type="expression" priority="81631" dxfId="5">
      <formula>$H1744="CÉLULA CONSTRUTIVA"</formula>
    </cfRule>
    <cfRule type="expression" priority="81633" dxfId="4">
      <formula>$H1744="SUBETAPA"</formula>
    </cfRule>
  </conditionalFormatting>
  <conditionalFormatting sqref="K1756">
    <cfRule type="expression" priority="81955" dxfId="5">
      <formula>$H1756="CÉLULA CONSTRUTIVA"</formula>
    </cfRule>
    <cfRule type="expression" priority="81957" dxfId="4">
      <formula>$H1756="SUBETAPA"</formula>
    </cfRule>
  </conditionalFormatting>
  <conditionalFormatting sqref="K1772">
    <cfRule type="expression" priority="82279" dxfId="5">
      <formula>$H1772="CÉLULA CONSTRUTIVA"</formula>
    </cfRule>
    <cfRule type="expression" priority="82281" dxfId="4">
      <formula>$H1772="SUBETAPA"</formula>
    </cfRule>
  </conditionalFormatting>
  <conditionalFormatting sqref="K1794">
    <cfRule type="expression" priority="82603" dxfId="5">
      <formula>$H1794="CÉLULA CONSTRUTIVA"</formula>
    </cfRule>
    <cfRule type="expression" priority="82605" dxfId="4">
      <formula>$H1794="SUBETAPA"</formula>
    </cfRule>
  </conditionalFormatting>
  <conditionalFormatting sqref="K1796:K1799">
    <cfRule type="expression" priority="82597" dxfId="5">
      <formula>$H1796="CÉLULA CONSTRUTIVA"</formula>
    </cfRule>
    <cfRule type="expression" priority="82598" dxfId="3">
      <formula>$H1796="ETAPA"</formula>
    </cfRule>
    <cfRule type="expression" priority="82599" dxfId="4">
      <formula>$H1796="SUBETAPA"</formula>
    </cfRule>
  </conditionalFormatting>
  <conditionalFormatting sqref="K1800:K1801">
    <cfRule type="expression" priority="78849" dxfId="5">
      <formula>$H1800="CÉLULA CONSTRUTIVA"</formula>
    </cfRule>
    <cfRule type="expression" priority="78850" dxfId="3">
      <formula>$H1800="ETAPA"</formula>
    </cfRule>
    <cfRule type="expression" priority="78851" dxfId="4">
      <formula>$H1800="SUBETAPA"</formula>
    </cfRule>
  </conditionalFormatting>
  <conditionalFormatting sqref="K2185">
    <cfRule type="expression" priority="71584" dxfId="5">
      <formula>$H2185="CÉLULA CONSTRUTIVA"</formula>
    </cfRule>
  </conditionalFormatting>
  <conditionalFormatting sqref="H2201:H2202 J2186 J2200:L2201 J2202:K2202 J2206:K2207 J2208:L2211 K2185:K2186 L2202:L2203 O2202">
    <cfRule type="expression" priority="71843" dxfId="3">
      <formula>$H2185="ETAPA"</formula>
    </cfRule>
  </conditionalFormatting>
  <conditionalFormatting sqref="K2216">
    <cfRule type="expression" priority="72224" dxfId="5">
      <formula>$H2216="CÉLULA CONSTRUTIVA"</formula>
    </cfRule>
  </conditionalFormatting>
  <conditionalFormatting sqref="H2222:H2223 H2228:H2231 J2217 J2220:L2223 J2227:K2227 J2228:L2231 K2216:K2217 L2224 O2223">
    <cfRule type="expression" priority="72483" dxfId="3">
      <formula>$H2216="ETAPA"</formula>
    </cfRule>
  </conditionalFormatting>
  <conditionalFormatting sqref="K2236">
    <cfRule type="expression" priority="72864" dxfId="5">
      <formula>$H2236="CÉLULA CONSTRUTIVA"</formula>
    </cfRule>
  </conditionalFormatting>
  <conditionalFormatting sqref="H2242:H2243 H2248:H2251 J2237 J2240:L2243 J2247:K2247 J2248:L2251 K2236:K2237 O2243">
    <cfRule type="expression" priority="73123" dxfId="3">
      <formula>$H2236="ETAPA"</formula>
    </cfRule>
  </conditionalFormatting>
  <conditionalFormatting sqref="K2256">
    <cfRule type="expression" priority="73504" dxfId="5">
      <formula>$H2256="CÉLULA CONSTRUTIVA"</formula>
    </cfRule>
  </conditionalFormatting>
  <conditionalFormatting sqref="H2264:H2265 H2271:H2274 J2257 J2264:L2265 J2269:K2269 J2271:L2274 K2256:K2257 O2265">
    <cfRule type="expression" priority="73763" dxfId="3">
      <formula>$H2256="ETAPA"</formula>
    </cfRule>
  </conditionalFormatting>
  <conditionalFormatting sqref="K2279">
    <cfRule type="expression" priority="74144" dxfId="5">
      <formula>$H2279="CÉLULA CONSTRUTIVA"</formula>
    </cfRule>
  </conditionalFormatting>
  <conditionalFormatting sqref="H2288:H2289 H2295:H2300 J2280 J2288:L2289 J2293:K2293 J2295:L2298 K2279:K2280 O2289">
    <cfRule type="expression" priority="74403" dxfId="3">
      <formula>$H2279="ETAPA"</formula>
    </cfRule>
  </conditionalFormatting>
  <conditionalFormatting sqref="K2304">
    <cfRule type="expression" priority="74784" dxfId="5">
      <formula>$H2304="CÉLULA CONSTRUTIVA"</formula>
    </cfRule>
  </conditionalFormatting>
  <conditionalFormatting sqref="H2311:H2312 J2305 J2310:L2312 J2319:L2322 K2304:K2305 O2312">
    <cfRule type="expression" priority="75043" dxfId="3">
      <formula>$H2304="ETAPA"</formula>
    </cfRule>
  </conditionalFormatting>
  <conditionalFormatting sqref="K2347">
    <cfRule type="expression" priority="7128" dxfId="3">
      <formula>$H2347="ETAPA"</formula>
    </cfRule>
  </conditionalFormatting>
  <conditionalFormatting sqref="K2368">
    <cfRule type="expression" priority="7105" dxfId="3">
      <formula>$H2368="ETAPA"</formula>
    </cfRule>
  </conditionalFormatting>
  <conditionalFormatting sqref="K2369">
    <cfRule type="expression" priority="62156" dxfId="4">
      <formula>$H2369="SUBETAPA"</formula>
    </cfRule>
    <cfRule type="expression" priority="62157" dxfId="5">
      <formula>$H2369="CÉLULA CONSTRUTIVA"</formula>
    </cfRule>
  </conditionalFormatting>
  <conditionalFormatting sqref="K2395">
    <cfRule type="expression" priority="7049" dxfId="3">
      <formula>$H2395="ETAPA"</formula>
    </cfRule>
  </conditionalFormatting>
  <conditionalFormatting sqref="K2396">
    <cfRule type="expression" priority="62395" dxfId="4">
      <formula>$H2396="SUBETAPA"</formula>
    </cfRule>
    <cfRule type="expression" priority="62396" dxfId="5">
      <formula>$H2396="CÉLULA CONSTRUTIVA"</formula>
    </cfRule>
  </conditionalFormatting>
  <conditionalFormatting sqref="K2418">
    <cfRule type="expression" priority="6993" dxfId="3">
      <formula>$H2418="ETAPA"</formula>
    </cfRule>
  </conditionalFormatting>
  <conditionalFormatting sqref="K2419">
    <cfRule type="expression" priority="62634" dxfId="4">
      <formula>$H2419="SUBETAPA"</formula>
    </cfRule>
    <cfRule type="expression" priority="62635" dxfId="5">
      <formula>$H2419="CÉLULA CONSTRUTIVA"</formula>
    </cfRule>
  </conditionalFormatting>
  <conditionalFormatting sqref="K2441">
    <cfRule type="expression" priority="6937" dxfId="3">
      <formula>$H2441="ETAPA"</formula>
    </cfRule>
  </conditionalFormatting>
  <conditionalFormatting sqref="K2442">
    <cfRule type="expression" priority="62873" dxfId="4">
      <formula>$H2442="SUBETAPA"</formula>
    </cfRule>
    <cfRule type="expression" priority="62874" dxfId="5">
      <formula>$H2442="CÉLULA CONSTRUTIVA"</formula>
    </cfRule>
  </conditionalFormatting>
  <conditionalFormatting sqref="K2465">
    <cfRule type="expression" priority="6881" dxfId="3">
      <formula>$H2465="ETAPA"</formula>
    </cfRule>
  </conditionalFormatting>
  <conditionalFormatting sqref="K2466">
    <cfRule type="expression" priority="63112" dxfId="4">
      <formula>$H2466="SUBETAPA"</formula>
    </cfRule>
    <cfRule type="expression" priority="63113" dxfId="5">
      <formula>$H2466="CÉLULA CONSTRUTIVA"</formula>
    </cfRule>
  </conditionalFormatting>
  <conditionalFormatting sqref="K2489">
    <cfRule type="expression" priority="6825" dxfId="3">
      <formula>$H2489="ETAPA"</formula>
    </cfRule>
  </conditionalFormatting>
  <conditionalFormatting sqref="K2492">
    <cfRule type="expression" priority="63351" dxfId="4">
      <formula>$H2492="SUBETAPA"</formula>
    </cfRule>
    <cfRule type="expression" priority="63352" dxfId="5">
      <formula>$H2492="CÉLULA CONSTRUTIVA"</formula>
    </cfRule>
  </conditionalFormatting>
  <conditionalFormatting sqref="K2516">
    <cfRule type="expression" priority="6769" dxfId="3">
      <formula>$H2516="ETAPA"</formula>
    </cfRule>
  </conditionalFormatting>
  <conditionalFormatting sqref="K2537">
    <cfRule type="expression" priority="6690" dxfId="3">
      <formula>$H2537="ETAPA"</formula>
    </cfRule>
  </conditionalFormatting>
  <conditionalFormatting sqref="K2553">
    <cfRule type="expression" priority="6632" dxfId="3">
      <formula>$H2553="ETAPA"</formula>
    </cfRule>
  </conditionalFormatting>
  <conditionalFormatting sqref="K2569">
    <cfRule type="expression" priority="6574" dxfId="3">
      <formula>$H2569="ETAPA"</formula>
    </cfRule>
  </conditionalFormatting>
  <conditionalFormatting sqref="K2585">
    <cfRule type="expression" priority="6516" dxfId="3">
      <formula>$H2585="ETAPA"</formula>
    </cfRule>
  </conditionalFormatting>
  <conditionalFormatting sqref="K2601">
    <cfRule type="expression" priority="6458" dxfId="3">
      <formula>$H2601="ETAPA"</formula>
    </cfRule>
  </conditionalFormatting>
  <conditionalFormatting sqref="K2617">
    <cfRule type="expression" priority="6400" dxfId="3">
      <formula>$H2617="ETAPA"</formula>
    </cfRule>
  </conditionalFormatting>
  <conditionalFormatting sqref="K2631:K2634">
    <cfRule type="expression" priority="1940" dxfId="4">
      <formula>$H2631="SUBETAPA"</formula>
    </cfRule>
  </conditionalFormatting>
  <conditionalFormatting sqref="K2827">
    <cfRule type="expression" priority="428" dxfId="5">
      <formula>$H2827="CÉLULA CONSTRUTIVA"</formula>
    </cfRule>
    <cfRule type="expression" priority="429" dxfId="4">
      <formula>$H2827="SUBETAPA"</formula>
    </cfRule>
    <cfRule type="expression" priority="430" dxfId="3">
      <formula>$H2827="ETAPA"</formula>
    </cfRule>
  </conditionalFormatting>
  <conditionalFormatting sqref="K2883">
    <cfRule type="expression" priority="818" dxfId="5">
      <formula>$H2883="CÉLULA CONSTRUTIVA"</formula>
    </cfRule>
    <cfRule type="expression" priority="819" dxfId="4">
      <formula>$H2883="SUBETAPA"</formula>
    </cfRule>
    <cfRule type="expression" priority="820" dxfId="3">
      <formula>$H2883="ETAPA"</formula>
    </cfRule>
  </conditionalFormatting>
  <conditionalFormatting sqref="K2894">
    <cfRule type="expression" priority="883" dxfId="5">
      <formula>$H2894="CÉLULA CONSTRUTIVA"</formula>
    </cfRule>
    <cfRule type="expression" priority="884" dxfId="4">
      <formula>$H2894="SUBETAPA"</formula>
    </cfRule>
    <cfRule type="expression" priority="885" dxfId="3">
      <formula>$H2894="ETAPA"</formula>
    </cfRule>
  </conditionalFormatting>
  <conditionalFormatting sqref="K2941">
    <cfRule type="expression" priority="1208" dxfId="5">
      <formula>$H2941="CÉLULA CONSTRUTIVA"</formula>
    </cfRule>
    <cfRule type="expression" priority="1209" dxfId="4">
      <formula>$H2941="SUBETAPA"</formula>
    </cfRule>
    <cfRule type="expression" priority="1210" dxfId="3">
      <formula>$H2941="ETAPA"</formula>
    </cfRule>
  </conditionalFormatting>
  <conditionalFormatting sqref="K2949">
    <cfRule type="expression" priority="1273" dxfId="5">
      <formula>$H2949="CÉLULA CONSTRUTIVA"</formula>
    </cfRule>
    <cfRule type="expression" priority="1274" dxfId="4">
      <formula>$H2949="SUBETAPA"</formula>
    </cfRule>
    <cfRule type="expression" priority="1275" dxfId="3">
      <formula>$H2949="ETAPA"</formula>
    </cfRule>
  </conditionalFormatting>
  <conditionalFormatting sqref="K2960 O2960">
    <cfRule type="expression" priority="66706" dxfId="4">
      <formula>$H2960="SUBETAPA"</formula>
    </cfRule>
  </conditionalFormatting>
  <conditionalFormatting sqref="K3001 O3001">
    <cfRule type="expression" priority="66192" dxfId="4">
      <formula>$H3001="SUBETAPA"</formula>
    </cfRule>
  </conditionalFormatting>
  <conditionalFormatting sqref="K3055 K3059 O3055 O3059">
    <cfRule type="expression" priority="61050" dxfId="4">
      <formula>$H3055="SUBETAPA"</formula>
    </cfRule>
  </conditionalFormatting>
  <conditionalFormatting sqref="K3086 O3086">
    <cfRule type="expression" priority="61296" dxfId="4">
      <formula>$H3086="SUBETAPA"</formula>
    </cfRule>
  </conditionalFormatting>
  <conditionalFormatting sqref="K3088:K3089 K3090:L3090">
    <cfRule type="expression" priority="4175" dxfId="4">
      <formula>$H3088="SUBETAPA"</formula>
    </cfRule>
    <cfRule type="expression" priority="4176" dxfId="5">
      <formula>$H3088="CÉLULA CONSTRUTIVA"</formula>
    </cfRule>
  </conditionalFormatting>
  <conditionalFormatting sqref="K3105 K3107 O3105 O3107">
    <cfRule type="expression" priority="61542" dxfId="4">
      <formula>$H3105="SUBETAPA"</formula>
    </cfRule>
  </conditionalFormatting>
  <conditionalFormatting sqref="K3109:K3110 K3111:L3111">
    <cfRule type="expression" priority="4159" dxfId="4">
      <formula>$H3109="SUBETAPA"</formula>
    </cfRule>
    <cfRule type="expression" priority="4160" dxfId="5">
      <formula>$H3109="CÉLULA CONSTRUTIVA"</formula>
    </cfRule>
  </conditionalFormatting>
  <conditionalFormatting sqref="K3128 K3130 K3158 K3165 O3128 O3130 O3152 O3154 O3158 O3165">
    <cfRule type="expression" priority="83617" dxfId="4">
      <formula>$H3128="SUBETAPA"</formula>
    </cfRule>
  </conditionalFormatting>
  <conditionalFormatting sqref="K3132:K3133 K3134:L3134">
    <cfRule type="expression" priority="4143" dxfId="4">
      <formula>$H3132="SUBETAPA"</formula>
    </cfRule>
    <cfRule type="expression" priority="4144" dxfId="5">
      <formula>$H3132="CÉLULA CONSTRUTIVA"</formula>
    </cfRule>
  </conditionalFormatting>
  <conditionalFormatting sqref="K360:L360">
    <cfRule type="expression" priority="3648" dxfId="5">
      <formula>$H360="CÉLULA CONSTRUTIVA"</formula>
    </cfRule>
    <cfRule type="expression" priority="3649" dxfId="4">
      <formula>$H360="SUBETAPA"</formula>
    </cfRule>
    <cfRule type="expression" priority="3650" dxfId="3">
      <formula>$H360="ETAPA"</formula>
    </cfRule>
  </conditionalFormatting>
  <conditionalFormatting sqref="K362:L362">
    <cfRule type="expression" priority="3645" dxfId="5">
      <formula>$H362="CÉLULA CONSTRUTIVA"</formula>
    </cfRule>
    <cfRule type="expression" priority="3646" dxfId="4">
      <formula>$H362="SUBETAPA"</formula>
    </cfRule>
    <cfRule type="expression" priority="3647" dxfId="3">
      <formula>$H362="ETAPA"</formula>
    </cfRule>
  </conditionalFormatting>
  <conditionalFormatting sqref="K364:L364">
    <cfRule type="expression" priority="3642" dxfId="5">
      <formula>$H364="CÉLULA CONSTRUTIVA"</formula>
    </cfRule>
    <cfRule type="expression" priority="3643" dxfId="4">
      <formula>$H364="SUBETAPA"</formula>
    </cfRule>
    <cfRule type="expression" priority="3644" dxfId="3">
      <formula>$H364="ETAPA"</formula>
    </cfRule>
  </conditionalFormatting>
  <conditionalFormatting sqref="K366:L366">
    <cfRule type="expression" priority="3639" dxfId="5">
      <formula>$H366="CÉLULA CONSTRUTIVA"</formula>
    </cfRule>
    <cfRule type="expression" priority="3640" dxfId="4">
      <formula>$H366="SUBETAPA"</formula>
    </cfRule>
    <cfRule type="expression" priority="3641" dxfId="3">
      <formula>$H366="ETAPA"</formula>
    </cfRule>
  </conditionalFormatting>
  <conditionalFormatting sqref="K368:L368">
    <cfRule type="expression" priority="3636" dxfId="5">
      <formula>$H368="CÉLULA CONSTRUTIVA"</formula>
    </cfRule>
    <cfRule type="expression" priority="3637" dxfId="4">
      <formula>$H368="SUBETAPA"</formula>
    </cfRule>
    <cfRule type="expression" priority="3638" dxfId="3">
      <formula>$H368="ETAPA"</formula>
    </cfRule>
  </conditionalFormatting>
  <conditionalFormatting sqref="K370:L370">
    <cfRule type="expression" priority="3633" dxfId="5">
      <formula>$H370="CÉLULA CONSTRUTIVA"</formula>
    </cfRule>
    <cfRule type="expression" priority="3634" dxfId="4">
      <formula>$H370="SUBETAPA"</formula>
    </cfRule>
    <cfRule type="expression" priority="3635" dxfId="3">
      <formula>$H370="ETAPA"</formula>
    </cfRule>
  </conditionalFormatting>
  <conditionalFormatting sqref="K372:L372">
    <cfRule type="expression" priority="3630" dxfId="5">
      <formula>$H372="CÉLULA CONSTRUTIVA"</formula>
    </cfRule>
    <cfRule type="expression" priority="3631" dxfId="4">
      <formula>$H372="SUBETAPA"</formula>
    </cfRule>
    <cfRule type="expression" priority="3632" dxfId="3">
      <formula>$H372="ETAPA"</formula>
    </cfRule>
  </conditionalFormatting>
  <conditionalFormatting sqref="K374:L374">
    <cfRule type="expression" priority="3627" dxfId="5">
      <formula>$H374="CÉLULA CONSTRUTIVA"</formula>
    </cfRule>
    <cfRule type="expression" priority="3628" dxfId="4">
      <formula>$H374="SUBETAPA"</formula>
    </cfRule>
    <cfRule type="expression" priority="3629" dxfId="3">
      <formula>$H374="ETAPA"</formula>
    </cfRule>
  </conditionalFormatting>
  <conditionalFormatting sqref="K376:L376 K378:L378">
    <cfRule type="expression" priority="3621" dxfId="5">
      <formula>$H376="CÉLULA CONSTRUTIVA"</formula>
    </cfRule>
    <cfRule type="expression" priority="3622" dxfId="4">
      <formula>$H376="SUBETAPA"</formula>
    </cfRule>
    <cfRule type="expression" priority="3623" dxfId="3">
      <formula>$H376="ETAPA"</formula>
    </cfRule>
  </conditionalFormatting>
  <conditionalFormatting sqref="K1164:L1164">
    <cfRule type="expression" priority="55585" dxfId="4">
      <formula>$H1164="SUBETAPA"</formula>
    </cfRule>
  </conditionalFormatting>
  <conditionalFormatting sqref="K1169:L1169">
    <cfRule type="expression" priority="55679" dxfId="4">
      <formula>$H1169="SUBETAPA"</formula>
    </cfRule>
  </conditionalFormatting>
  <conditionalFormatting sqref="K1174:L1174">
    <cfRule type="expression" priority="55773" dxfId="4">
      <formula>$H1174="SUBETAPA"</formula>
    </cfRule>
  </conditionalFormatting>
  <conditionalFormatting sqref="K1179:L1179">
    <cfRule type="expression" priority="55867" dxfId="4">
      <formula>$H1179="SUBETAPA"</formula>
    </cfRule>
  </conditionalFormatting>
  <conditionalFormatting sqref="K1184:L1184">
    <cfRule type="expression" priority="55961" dxfId="4">
      <formula>$H1184="SUBETAPA"</formula>
    </cfRule>
  </conditionalFormatting>
  <conditionalFormatting sqref="K1188:L1188 K1191:L1191">
    <cfRule type="expression" priority="56055" dxfId="4">
      <formula>$H1188="SUBETAPA"</formula>
    </cfRule>
  </conditionalFormatting>
  <conditionalFormatting sqref="K1195:L1195 K1198:L1198">
    <cfRule type="expression" priority="56149" dxfId="4">
      <formula>$H1195="SUBETAPA"</formula>
    </cfRule>
  </conditionalFormatting>
  <conditionalFormatting sqref="K1202:L1202 K1205:L1205">
    <cfRule type="expression" priority="56243" dxfId="4">
      <formula>$H1202="SUBETAPA"</formula>
    </cfRule>
  </conditionalFormatting>
  <conditionalFormatting sqref="K1209:L1209 K1212:L1212">
    <cfRule type="expression" priority="56337" dxfId="4">
      <formula>$H1209="SUBETAPA"</formula>
    </cfRule>
  </conditionalFormatting>
  <conditionalFormatting sqref="K1216:L1216 K1219:L1219">
    <cfRule type="expression" priority="56431" dxfId="4">
      <formula>$H1216="SUBETAPA"</formula>
    </cfRule>
  </conditionalFormatting>
  <conditionalFormatting sqref="K1224:L1224">
    <cfRule type="expression" priority="56525" dxfId="4">
      <formula>$H1224="SUBETAPA"</formula>
    </cfRule>
  </conditionalFormatting>
  <conditionalFormatting sqref="K1228:L1228 K1231:L1231">
    <cfRule type="expression" priority="56619" dxfId="4">
      <formula>$H1228="SUBETAPA"</formula>
    </cfRule>
  </conditionalFormatting>
  <conditionalFormatting sqref="K1236:L1236">
    <cfRule type="expression" priority="56713" dxfId="4">
      <formula>$H1236="SUBETAPA"</formula>
    </cfRule>
  </conditionalFormatting>
  <conditionalFormatting sqref="K1325:L1325 K1328:L1328 K1331:L1331 O1328">
    <cfRule type="expression" priority="3066" dxfId="4">
      <formula>$H1325="SUBETAPA"</formula>
    </cfRule>
  </conditionalFormatting>
  <conditionalFormatting sqref="K1325:L1325 K1328:L1328 K1330:L1331 L1323:L1324 L1326:L1327 L1329 O1328">
    <cfRule type="expression" priority="3059" dxfId="3">
      <formula>$H1323="ETAPA"</formula>
    </cfRule>
  </conditionalFormatting>
  <conditionalFormatting sqref="K1330:L1330">
    <cfRule type="expression" priority="3013" dxfId="4">
      <formula>$H1330="SUBETAPA"</formula>
    </cfRule>
  </conditionalFormatting>
  <conditionalFormatting sqref="K1684:L1684">
    <cfRule type="expression" priority="80336" dxfId="3">
      <formula>$H1684="ETAPA"</formula>
    </cfRule>
  </conditionalFormatting>
  <conditionalFormatting sqref="K1701:L1701">
    <cfRule type="expression" priority="80660" dxfId="3">
      <formula>$H1701="ETAPA"</formula>
    </cfRule>
  </conditionalFormatting>
  <conditionalFormatting sqref="K1717:L1717">
    <cfRule type="expression" priority="80984" dxfId="3">
      <formula>$H1717="ETAPA"</formula>
    </cfRule>
  </conditionalFormatting>
  <conditionalFormatting sqref="K1732:L1732">
    <cfRule type="expression" priority="81308" dxfId="3">
      <formula>$H1732="ETAPA"</formula>
    </cfRule>
  </conditionalFormatting>
  <conditionalFormatting sqref="K1744:L1744">
    <cfRule type="expression" priority="81632" dxfId="3">
      <formula>$H1744="ETAPA"</formula>
    </cfRule>
  </conditionalFormatting>
  <conditionalFormatting sqref="K1756:L1756">
    <cfRule type="expression" priority="81956" dxfId="3">
      <formula>$H1756="ETAPA"</formula>
    </cfRule>
  </conditionalFormatting>
  <conditionalFormatting sqref="K1772:L1772">
    <cfRule type="expression" priority="82280" dxfId="3">
      <formula>$H1772="ETAPA"</formula>
    </cfRule>
  </conditionalFormatting>
  <conditionalFormatting sqref="K1794:L1794">
    <cfRule type="expression" priority="82604" dxfId="3">
      <formula>$H1794="ETAPA"</formula>
    </cfRule>
  </conditionalFormatting>
  <conditionalFormatting sqref="H2052:H2053 J2040:L2041 J2051:L2052 J2053:K2053 J2061:L2064 K2039:L2039 L2053:L2054 O2053">
    <cfRule type="expression" priority="67363" dxfId="3">
      <formula>$H2039="ETAPA"</formula>
    </cfRule>
  </conditionalFormatting>
  <conditionalFormatting sqref="K2161:L2161 L2164">
    <cfRule type="expression" priority="70786" dxfId="5">
      <formula>$H2161="CÉLULA CONSTRUTIVA"</formula>
    </cfRule>
  </conditionalFormatting>
  <conditionalFormatting sqref="J2194:K2195 K2193:L2193">
    <cfRule type="expression" priority="71336" dxfId="4">
      <formula>$H2193="SUBETAPA"</formula>
    </cfRule>
  </conditionalFormatting>
  <conditionalFormatting sqref="K2193:L2193">
    <cfRule type="expression" priority="71332" dxfId="5">
      <formula>$H2193="CÉLULA CONSTRUTIVA"</formula>
    </cfRule>
  </conditionalFormatting>
  <conditionalFormatting sqref="J2194:J2195 K2193:L2195">
    <cfRule type="expression" priority="71337" dxfId="3">
      <formula>$H2193="ETAPA"</formula>
    </cfRule>
  </conditionalFormatting>
  <conditionalFormatting sqref="H2328:H2329 H2333:H2334 J2327:L2329 J2332:K2332 J2333:L2336 K2325:L2325 O2329">
    <cfRule type="expression" priority="75683" dxfId="3">
      <formula>$H2325="ETAPA"</formula>
    </cfRule>
  </conditionalFormatting>
  <conditionalFormatting sqref="K2325:L2325">
    <cfRule type="expression" priority="75424" dxfId="5">
      <formula>$H2325="CÉLULA CONSTRUTIVA"</formula>
    </cfRule>
  </conditionalFormatting>
  <conditionalFormatting sqref="G943:M943 G944:L945 G946:G958 G959:L960 G961:G973 G974:L975 G976:G988 G989:L990 G991:G1003 G1004:L1005 G1006:G1018 G1019:L1020 G1021:G1033 G1034:L1035 G1036:G1048 G1049:L1050 G1051:G1063 G1064:L1065 G1066:G1078 G1079:L1080 G1081:G1093 G1094:L1095 G1096:G1108 G1109:L1110 G1111:G1123 G1124:L1125 G1126:G1138 G1139:L1140 G1141:G1153 H813:M813 H818:L819 H824:M824 H827:L828 H833:M833 H836:L837 H842:M842 H845:L846 H851:M851 H854:L855 H860:M860 H863:L864 H869:M869 H872:L873 H878:M878 H881:L882 H887:M887 H890:L891 H896:M896 H901:L902 H907:M907 H912:L913 H918:M918 H921:L922 H927:M927 H930:L931 H936:M936 H941:L942 H946:M946 H948:L948 H950:L951 H952:M952 H954:M954 H961:M961 H963:L963 H965:L967 H969:M969 H976:M976 H978:L978 H980:L982 H984:M984 H991:M991 H993:L993 H995:L997 H999:M999 H1006:M1006 H1008:L1008 H1010:L1012 H1014:M1014 H1021:M1021 H1023:L1023 H1025:L1027 H1029:M1029 H1036:M1036 H1038:L1038 H1040:L1042 H1044:M1044 H1051:M1051 H1053:L1053 H1055:L1057 H1059:M1059 H1066:M1066 H1068:L1068 H1070:L1072 H1074:M1074 H1081:M1081 H1083:L1083 H1085:L1087 H1089:M1089 H1096:M1096 H1098:L1098 H1100:L1102 H1104:M1104 H1111:M1111 H1113:L1113 H1115:L1117 H1119:M1119 H1126:M1126 H1128:L1128 H1130:L1132 H1134:M1134 H1141:M1141 H1143:L1143 H1145:L1146 H1147:M1147 H1149:M1149 H1243:L1243 H1249:J1249 K808:M808 K810:M810 K815:M815 K817:M817 K821:M821 K826:M826 K830:M830 K835:M835 K839:M839 K844:M844 K848:M848 K853:M853 K857:M857 K862:M862 K866:M866 K871:M871 K875:M875 K880:M880 K884:M884 K889:M889 K893:M893 K898:M898 K900:M900 K904:M904 K909:M909 K911:M911 K915:M915 K920:M920 K924:M924 K929:M929 K933:M933 K938:M938 K940:M940 K956:M956 K958:M958 K971:M971 K973:M973 K986:M986 K988:M988 K1001:M1001 K1003:M1003 K1016:M1016 K1018:M1018 K1031:M1031 K1033:M1033 K1046:M1046 K1048:M1048 K1061:M1061 K1063:M1063 K1076:M1076 K1078:M1078 K1091:M1091 K1093:M1093 K1106:M1106 K1108:M1108 K1121:M1121 K1123:M1123 K1136:M1136 K1138:M1138 K1151:M1151 K1153:M1153 K1156:M1156 K1159:L1159 K1164:L1164 K1169:L1169 K1174:L1174 K1179:L1179 K1184:L1184 K1188:M1188 K1191:L1191 K1195:M1195 K1198:L1198 K1202:M1202 K1205:L1205 K1209:M1209 K1212:L1212 K1216:M1216 K1219:L1219 K1224:L1224 K1228:M1228 K1231:L1231 K1236:L1236 K1244:M1244 K1353:M1353 K1356:M1356 K1358:M1359 L809 L811 L816 L820 L822 L829 L831 L838 L840 L847 L849 L856 L858 L865 L867 L874 L876 L883 L885 L892 L894 L899 L903 L905 L910 L914 L916 L923 L925 L932 L934 L939 L953:M953 L955 L957 L968:M968 L970 L972 L983:M983 L985 L987 L998:M998 L1000 L1002 L1013:M1013 L1015 L1017 L1028:M1028 L1030 L1032 L1043:M1043 L1045 L1047 L1058:M1058 L1060 L1062 L1073:M1073 L1075 L1077 L1088:M1088 L1090 L1092 L1103:M1103 L1105 L1107 L1118:M1118 L1120 L1122 L1133:M1133 L1135 L1137 L1148:M1148 L1150 L1152 L1154:L1155 L1157:L1158 L1162 L1167 L1172 L1177 L1182 L1187 L1189:L1190 L1194 L1196:L1197 L1201 L1203:L1204 L1208 L1210:L1211 L1215 L1217:L1218 L1222 L1227 L1229:L1230 L1234 L1249:M1249 L1251:M1251 L1351:L1352 L1354:L1355 L1357 M967 M982 M997 M1012 M1027 M1042 M1057 M1072 M1087 M1102 M1117 M1132 O810 O813 O815 O821 O824 O826 O830 O833 O835 O839 O842 O844 O848 O851 O853 O857 O860 O862 O866 O869 O871 O875 O878 O880 O884 O887 O889 O893 O896 O898 O904 O907 O909 O915 O918 O920 O924 O927 O929 O933 O936 O938 O946 O954 O956 O958 O961 O969 O971 O973 O976 O984 O986 O988 O991 O999 O1001 O1003 O1006 O1014 O1016 O1018 O1021 O1029 O1031 O1033 O1036 O1044 O1046 O1048 O1051 O1059 O1061 O1063 O1066 O1074 O1076 O1078 O1081 O1089 O1091 O1093 O1096 O1104 O1106 O1108 O1111 O1119 O1121 O1123 O1126 O1134 O1136 O1138 O1141 O1149 O1151 O1153 O1244 O1251 O1356">
    <cfRule type="expression" priority="86955" dxfId="3">
      <formula>$H808="ETAPA"</formula>
    </cfRule>
  </conditionalFormatting>
  <conditionalFormatting sqref="K1156:M1156 K1159:L1159 M1188 M1195 M1202 M1209 M1216 M1228">
    <cfRule type="expression" priority="55491" dxfId="4">
      <formula>$H1156="SUBETAPA"</formula>
    </cfRule>
  </conditionalFormatting>
  <conditionalFormatting sqref="K1255:M1255 K1258:M1258 K1261:M1261 O1258">
    <cfRule type="expression" priority="2721" dxfId="4">
      <formula>$H1255="SUBETAPA"</formula>
    </cfRule>
  </conditionalFormatting>
  <conditionalFormatting sqref="K1255:M1255 K1258:M1258 K1260:M1261 L1253:L1254 L1256:L1257 L1259 O1258">
    <cfRule type="expression" priority="2714" dxfId="3">
      <formula>$H1253="ETAPA"</formula>
    </cfRule>
  </conditionalFormatting>
  <conditionalFormatting sqref="K1260:M1260">
    <cfRule type="expression" priority="2668" dxfId="4">
      <formula>$H1260="SUBETAPA"</formula>
    </cfRule>
  </conditionalFormatting>
  <conditionalFormatting sqref="K1269:M1269 K1272:M1272 K1275:M1275 O1272">
    <cfRule type="expression" priority="2790" dxfId="4">
      <formula>$H1269="SUBETAPA"</formula>
    </cfRule>
  </conditionalFormatting>
  <conditionalFormatting sqref="K1269:M1269 K1272:M1272 K1274:M1275 L1267:L1268 L1270:L1271 L1273 O1272">
    <cfRule type="expression" priority="2783" dxfId="3">
      <formula>$H1267="ETAPA"</formula>
    </cfRule>
  </conditionalFormatting>
  <conditionalFormatting sqref="K1274:M1274">
    <cfRule type="expression" priority="2737" dxfId="4">
      <formula>$H1274="SUBETAPA"</formula>
    </cfRule>
  </conditionalFormatting>
  <conditionalFormatting sqref="K1283:M1283 K1286:M1286 K1289:M1289 O1286">
    <cfRule type="expression" priority="2859" dxfId="4">
      <formula>$H1283="SUBETAPA"</formula>
    </cfRule>
  </conditionalFormatting>
  <conditionalFormatting sqref="K1283:M1283 K1286:M1286 K1288:M1289 L1281:L1282 L1284:L1285 L1287 O1286">
    <cfRule type="expression" priority="2852" dxfId="3">
      <formula>$H1281="ETAPA"</formula>
    </cfRule>
  </conditionalFormatting>
  <conditionalFormatting sqref="K1288:M1288">
    <cfRule type="expression" priority="2806" dxfId="4">
      <formula>$H1288="SUBETAPA"</formula>
    </cfRule>
  </conditionalFormatting>
  <conditionalFormatting sqref="K1297:M1297 K1300:M1300 K1303:M1303 O1300">
    <cfRule type="expression" priority="2928" dxfId="4">
      <formula>$H1297="SUBETAPA"</formula>
    </cfRule>
  </conditionalFormatting>
  <conditionalFormatting sqref="K1297:M1297 K1300:M1300 K1302:M1303 L1295:L1296 L1298:L1299 L1301 O1300">
    <cfRule type="expression" priority="2921" dxfId="3">
      <formula>$H1295="ETAPA"</formula>
    </cfRule>
  </conditionalFormatting>
  <conditionalFormatting sqref="K1302:M1302">
    <cfRule type="expression" priority="2875" dxfId="4">
      <formula>$H1302="SUBETAPA"</formula>
    </cfRule>
  </conditionalFormatting>
  <conditionalFormatting sqref="K1311:M1311 K1314:M1314 K1317:M1317 O1314">
    <cfRule type="expression" priority="2997" dxfId="4">
      <formula>$H1311="SUBETAPA"</formula>
    </cfRule>
  </conditionalFormatting>
  <conditionalFormatting sqref="K1311:M1311 K1314:M1314 K1316:M1317 L1309:L1310 L1312:L1313 L1315 O1314">
    <cfRule type="expression" priority="2990" dxfId="3">
      <formula>$H1309="ETAPA"</formula>
    </cfRule>
  </conditionalFormatting>
  <conditionalFormatting sqref="K1316:M1316">
    <cfRule type="expression" priority="2944" dxfId="4">
      <formula>$H1316="SUBETAPA"</formula>
    </cfRule>
  </conditionalFormatting>
  <conditionalFormatting sqref="K1339:M1339 K1342:M1342 K1345:M1345 O1342">
    <cfRule type="expression" priority="3135" dxfId="4">
      <formula>$H1339="SUBETAPA"</formula>
    </cfRule>
  </conditionalFormatting>
  <conditionalFormatting sqref="K1339:M1339 K1342:M1342 K1344:M1345 L1337:L1338 L1340:L1341 L1343 O1342">
    <cfRule type="expression" priority="3128" dxfId="3">
      <formula>$H1337="ETAPA"</formula>
    </cfRule>
  </conditionalFormatting>
  <conditionalFormatting sqref="K1344:M1344">
    <cfRule type="expression" priority="3082" dxfId="4">
      <formula>$H1344="SUBETAPA"</formula>
    </cfRule>
  </conditionalFormatting>
  <conditionalFormatting sqref="K1358:M1358">
    <cfRule type="expression" priority="3151" dxfId="4">
      <formula>$H1358="SUBETAPA"</formula>
    </cfRule>
  </conditionalFormatting>
  <conditionalFormatting sqref="K1369:M1369 O1369">
    <cfRule type="expression" priority="53764" dxfId="4">
      <formula>$H1369="SUBETAPA"</formula>
    </cfRule>
    <cfRule type="expression" priority="53765" dxfId="3">
      <formula>$H1369="ETAPA"</formula>
    </cfRule>
  </conditionalFormatting>
  <conditionalFormatting sqref="K1372:M1372 O1372">
    <cfRule type="expression" priority="53888" dxfId="4">
      <formula>$H1372="SUBETAPA"</formula>
    </cfRule>
    <cfRule type="expression" priority="53889" dxfId="3">
      <formula>$H1372="ETAPA"</formula>
    </cfRule>
  </conditionalFormatting>
  <conditionalFormatting sqref="K1375:M1375 O1375">
    <cfRule type="expression" priority="54012" dxfId="4">
      <formula>$H1375="SUBETAPA"</formula>
    </cfRule>
    <cfRule type="expression" priority="54013" dxfId="3">
      <formula>$H1375="ETAPA"</formula>
    </cfRule>
  </conditionalFormatting>
  <conditionalFormatting sqref="K1378:M1378 O1378">
    <cfRule type="expression" priority="54136" dxfId="4">
      <formula>$H1378="SUBETAPA"</formula>
    </cfRule>
    <cfRule type="expression" priority="54137" dxfId="3">
      <formula>$H1378="ETAPA"</formula>
    </cfRule>
  </conditionalFormatting>
  <conditionalFormatting sqref="K1381:M1381 O1381">
    <cfRule type="expression" priority="54260" dxfId="4">
      <formula>$H1381="SUBETAPA"</formula>
    </cfRule>
    <cfRule type="expression" priority="54261" dxfId="3">
      <formula>$H1381="ETAPA"</formula>
    </cfRule>
  </conditionalFormatting>
  <conditionalFormatting sqref="K1384:M1384 O1384">
    <cfRule type="expression" priority="54384" dxfId="4">
      <formula>$H1384="SUBETAPA"</formula>
    </cfRule>
    <cfRule type="expression" priority="54385" dxfId="3">
      <formula>$H1384="ETAPA"</formula>
    </cfRule>
  </conditionalFormatting>
  <conditionalFormatting sqref="K1403:M1403 O1403">
    <cfRule type="expression" priority="54756" dxfId="4">
      <formula>$H1403="SUBETAPA"</formula>
    </cfRule>
    <cfRule type="expression" priority="54757" dxfId="3">
      <formula>$H1403="ETAPA"</formula>
    </cfRule>
  </conditionalFormatting>
  <conditionalFormatting sqref="K1408:M1408 O1408">
    <cfRule type="expression" priority="54880" dxfId="4">
      <formula>$H1408="SUBETAPA"</formula>
    </cfRule>
    <cfRule type="expression" priority="54881" dxfId="3">
      <formula>$H1408="ETAPA"</formula>
    </cfRule>
  </conditionalFormatting>
  <conditionalFormatting sqref="K1413:M1413 O1413">
    <cfRule type="expression" priority="55004" dxfId="4">
      <formula>$H1413="SUBETAPA"</formula>
    </cfRule>
    <cfRule type="expression" priority="55005" dxfId="3">
      <formula>$H1413="ETAPA"</formula>
    </cfRule>
  </conditionalFormatting>
  <conditionalFormatting sqref="K1418:M1418 O1418">
    <cfRule type="expression" priority="55128" dxfId="4">
      <formula>$H1418="SUBETAPA"</formula>
    </cfRule>
    <cfRule type="expression" priority="55129" dxfId="3">
      <formula>$H1418="ETAPA"</formula>
    </cfRule>
  </conditionalFormatting>
  <conditionalFormatting sqref="K1421:M1421 O1421">
    <cfRule type="expression" priority="55252" dxfId="4">
      <formula>$H1421="SUBETAPA"</formula>
    </cfRule>
    <cfRule type="expression" priority="55253" dxfId="3">
      <formula>$H1421="ETAPA"</formula>
    </cfRule>
  </conditionalFormatting>
  <conditionalFormatting sqref="L22">
    <cfRule type="expression" priority="46633" dxfId="4">
      <formula>$H22="SUBETAPA"</formula>
    </cfRule>
  </conditionalFormatting>
  <conditionalFormatting sqref="L23">
    <cfRule type="expression" priority="46589" dxfId="4">
      <formula>$H23="SUBETAPA"</formula>
    </cfRule>
  </conditionalFormatting>
  <conditionalFormatting sqref="L34:L36">
    <cfRule type="expression" priority="50598" dxfId="3">
      <formula>$H34="ETAPA"</formula>
    </cfRule>
  </conditionalFormatting>
  <conditionalFormatting sqref="L37">
    <cfRule type="expression" priority="46682" dxfId="5">
      <formula>$H37="CÉLULA CONSTRUTIVA"</formula>
    </cfRule>
    <cfRule type="expression" priority="46683" dxfId="3">
      <formula>$H37="ETAPA"</formula>
    </cfRule>
    <cfRule type="expression" priority="46684" dxfId="4">
      <formula>$H37="SUBETAPA"</formula>
    </cfRule>
  </conditionalFormatting>
  <conditionalFormatting sqref="L38">
    <cfRule type="expression" priority="50567" dxfId="5">
      <formula>$H38="CÉLULA CONSTRUTIVA"</formula>
    </cfRule>
    <cfRule type="expression" priority="50568" dxfId="3">
      <formula>$H38="ETAPA"</formula>
    </cfRule>
    <cfRule type="expression" priority="50569" dxfId="4">
      <formula>$H38="SUBETAPA"</formula>
    </cfRule>
  </conditionalFormatting>
  <conditionalFormatting sqref="G41:N41 L44:L45">
    <cfRule type="expression" priority="50528" dxfId="5">
      <formula>$H41="CÉLULA CONSTRUTIVA"</formula>
    </cfRule>
  </conditionalFormatting>
  <conditionalFormatting sqref="L44:L45">
    <cfRule type="expression" priority="50531" dxfId="3">
      <formula>$H44="ETAPA"</formula>
    </cfRule>
  </conditionalFormatting>
  <conditionalFormatting sqref="H46:I46 L46">
    <cfRule type="expression" priority="46777" dxfId="4">
      <formula>$H46="SUBETAPA"</formula>
    </cfRule>
  </conditionalFormatting>
  <conditionalFormatting sqref="L46">
    <cfRule type="expression" priority="46767" dxfId="5">
      <formula>$H46="CÉLULA CONSTRUTIVA"</formula>
    </cfRule>
    <cfRule type="expression" priority="46768" dxfId="3">
      <formula>$H46="ETAPA"</formula>
    </cfRule>
  </conditionalFormatting>
  <conditionalFormatting sqref="L47">
    <cfRule type="expression" priority="46736" dxfId="5">
      <formula>$H47="CÉLULA CONSTRUTIVA"</formula>
    </cfRule>
  </conditionalFormatting>
  <conditionalFormatting sqref="L47:L48">
    <cfRule type="expression" priority="46737" dxfId="3">
      <formula>$H47="ETAPA"</formula>
    </cfRule>
  </conditionalFormatting>
  <conditionalFormatting sqref="L52">
    <cfRule type="expression" priority="50406" dxfId="5">
      <formula>$H52="CÉLULA CONSTRUTIVA"</formula>
    </cfRule>
  </conditionalFormatting>
  <conditionalFormatting sqref="L56">
    <cfRule type="expression" priority="50351" dxfId="5">
      <formula>$H56="CÉLULA CONSTRUTIVA"</formula>
    </cfRule>
  </conditionalFormatting>
  <conditionalFormatting sqref="L65">
    <cfRule type="expression" priority="50890" dxfId="5">
      <formula>$H65="CÉLULA CONSTRUTIVA"</formula>
    </cfRule>
    <cfRule type="expression" priority="50891" dxfId="3">
      <formula>$H65="ETAPA"</formula>
    </cfRule>
    <cfRule type="expression" priority="50892" dxfId="4">
      <formula>$H65="SUBETAPA"</formula>
    </cfRule>
  </conditionalFormatting>
  <conditionalFormatting sqref="L73">
    <cfRule type="expression" priority="50779" dxfId="5">
      <formula>$H73="CÉLULA CONSTRUTIVA"</formula>
    </cfRule>
    <cfRule type="expression" priority="50780" dxfId="4">
      <formula>$H73="SUBETAPA"</formula>
    </cfRule>
    <cfRule type="expression" priority="50781" dxfId="3">
      <formula>$H73="ETAPA"</formula>
    </cfRule>
  </conditionalFormatting>
  <conditionalFormatting sqref="L74">
    <cfRule type="expression" priority="50776" dxfId="5">
      <formula>$H74="CÉLULA CONSTRUTIVA"</formula>
    </cfRule>
    <cfRule type="expression" priority="50777" dxfId="4">
      <formula>$H74="SUBETAPA"</formula>
    </cfRule>
    <cfRule type="expression" priority="50778" dxfId="3">
      <formula>$H74="ETAPA"</formula>
    </cfRule>
  </conditionalFormatting>
  <conditionalFormatting sqref="L75">
    <cfRule type="expression" priority="50773" dxfId="5">
      <formula>$H75="CÉLULA CONSTRUTIVA"</formula>
    </cfRule>
    <cfRule type="expression" priority="50774" dxfId="4">
      <formula>$H75="SUBETAPA"</formula>
    </cfRule>
    <cfRule type="expression" priority="50775" dxfId="3">
      <formula>$H75="ETAPA"</formula>
    </cfRule>
  </conditionalFormatting>
  <conditionalFormatting sqref="L76">
    <cfRule type="expression" priority="50770" dxfId="5">
      <formula>$H76="CÉLULA CONSTRUTIVA"</formula>
    </cfRule>
    <cfRule type="expression" priority="50771" dxfId="4">
      <formula>$H76="SUBETAPA"</formula>
    </cfRule>
    <cfRule type="expression" priority="50772" dxfId="3">
      <formula>$H76="ETAPA"</formula>
    </cfRule>
  </conditionalFormatting>
  <conditionalFormatting sqref="L84:L85">
    <cfRule type="expression" priority="50207" dxfId="5">
      <formula>$H84="CÉLULA CONSTRUTIVA"</formula>
    </cfRule>
    <cfRule type="expression" priority="50208" dxfId="4">
      <formula>$H84="SUBETAPA"</formula>
    </cfRule>
    <cfRule type="expression" priority="50209" dxfId="3">
      <formula>$H84="ETAPA"</formula>
    </cfRule>
  </conditionalFormatting>
  <conditionalFormatting sqref="L86">
    <cfRule type="expression" priority="50204" dxfId="5">
      <formula>$H86="CÉLULA CONSTRUTIVA"</formula>
    </cfRule>
    <cfRule type="expression" priority="50205" dxfId="4">
      <formula>$H86="SUBETAPA"</formula>
    </cfRule>
    <cfRule type="expression" priority="50206" dxfId="3">
      <formula>$H86="ETAPA"</formula>
    </cfRule>
  </conditionalFormatting>
  <conditionalFormatting sqref="L87">
    <cfRule type="expression" priority="50201" dxfId="5">
      <formula>$H87="CÉLULA CONSTRUTIVA"</formula>
    </cfRule>
    <cfRule type="expression" priority="50202" dxfId="4">
      <formula>$H87="SUBETAPA"</formula>
    </cfRule>
    <cfRule type="expression" priority="50203" dxfId="3">
      <formula>$H87="ETAPA"</formula>
    </cfRule>
  </conditionalFormatting>
  <conditionalFormatting sqref="L88">
    <cfRule type="expression" priority="50198" dxfId="5">
      <formula>$H88="CÉLULA CONSTRUTIVA"</formula>
    </cfRule>
    <cfRule type="expression" priority="50199" dxfId="4">
      <formula>$H88="SUBETAPA"</formula>
    </cfRule>
    <cfRule type="expression" priority="50200" dxfId="3">
      <formula>$H88="ETAPA"</formula>
    </cfRule>
  </conditionalFormatting>
  <conditionalFormatting sqref="L89">
    <cfRule type="expression" priority="50195" dxfId="5">
      <formula>$H89="CÉLULA CONSTRUTIVA"</formula>
    </cfRule>
    <cfRule type="expression" priority="50196" dxfId="4">
      <formula>$H89="SUBETAPA"</formula>
    </cfRule>
    <cfRule type="expression" priority="50197" dxfId="3">
      <formula>$H89="ETAPA"</formula>
    </cfRule>
  </conditionalFormatting>
  <conditionalFormatting sqref="L90">
    <cfRule type="expression" priority="50192" dxfId="5">
      <formula>$H90="CÉLULA CONSTRUTIVA"</formula>
    </cfRule>
    <cfRule type="expression" priority="50193" dxfId="4">
      <formula>$H90="SUBETAPA"</formula>
    </cfRule>
    <cfRule type="expression" priority="50194" dxfId="3">
      <formula>$H90="ETAPA"</formula>
    </cfRule>
  </conditionalFormatting>
  <conditionalFormatting sqref="L91">
    <cfRule type="expression" priority="50189" dxfId="5">
      <formula>$H91="CÉLULA CONSTRUTIVA"</formula>
    </cfRule>
    <cfRule type="expression" priority="50190" dxfId="4">
      <formula>$H91="SUBETAPA"</formula>
    </cfRule>
    <cfRule type="expression" priority="50191" dxfId="3">
      <formula>$H91="ETAPA"</formula>
    </cfRule>
  </conditionalFormatting>
  <conditionalFormatting sqref="L92">
    <cfRule type="expression" priority="50186" dxfId="5">
      <formula>$H92="CÉLULA CONSTRUTIVA"</formula>
    </cfRule>
    <cfRule type="expression" priority="50187" dxfId="4">
      <formula>$H92="SUBETAPA"</formula>
    </cfRule>
    <cfRule type="expression" priority="50188" dxfId="3">
      <formula>$H92="ETAPA"</formula>
    </cfRule>
  </conditionalFormatting>
  <conditionalFormatting sqref="G99:K99 L97:L99 M99 N97:N99">
    <cfRule type="expression" priority="50164" dxfId="4">
      <formula>$H97="SUBETAPA"</formula>
    </cfRule>
  </conditionalFormatting>
  <conditionalFormatting sqref="L104">
    <cfRule type="expression" priority="50125" dxfId="4">
      <formula>$H104="SUBETAPA"</formula>
    </cfRule>
  </conditionalFormatting>
  <conditionalFormatting sqref="L106">
    <cfRule type="expression" priority="50107" dxfId="4">
      <formula>$H106="SUBETAPA"</formula>
    </cfRule>
  </conditionalFormatting>
  <conditionalFormatting sqref="L108">
    <cfRule type="expression" priority="50089" dxfId="4">
      <formula>$H108="SUBETAPA"</formula>
    </cfRule>
  </conditionalFormatting>
  <conditionalFormatting sqref="L110">
    <cfRule type="expression" priority="50071" dxfId="4">
      <formula>$H110="SUBETAPA"</formula>
    </cfRule>
  </conditionalFormatting>
  <conditionalFormatting sqref="L112">
    <cfRule type="expression" priority="50053" dxfId="4">
      <formula>$H112="SUBETAPA"</formula>
    </cfRule>
  </conditionalFormatting>
  <conditionalFormatting sqref="L114">
    <cfRule type="expression" priority="46354" dxfId="4">
      <formula>$H114="SUBETAPA"</formula>
    </cfRule>
  </conditionalFormatting>
  <conditionalFormatting sqref="L116">
    <cfRule type="expression" priority="50035" dxfId="4">
      <formula>$H116="SUBETAPA"</formula>
    </cfRule>
  </conditionalFormatting>
  <conditionalFormatting sqref="L118">
    <cfRule type="expression" priority="50017" dxfId="4">
      <formula>$H118="SUBETAPA"</formula>
    </cfRule>
  </conditionalFormatting>
  <conditionalFormatting sqref="L120">
    <cfRule type="expression" priority="49999" dxfId="4">
      <formula>$H120="SUBETAPA"</formula>
    </cfRule>
  </conditionalFormatting>
  <conditionalFormatting sqref="L122 N122:N123">
    <cfRule type="expression" priority="49977" dxfId="4">
      <formula>$H122="SUBETAPA"</formula>
    </cfRule>
  </conditionalFormatting>
  <conditionalFormatting sqref="L123">
    <cfRule type="expression" priority="46372" dxfId="5">
      <formula>$H123="CÉLULA CONSTRUTIVA"</formula>
    </cfRule>
    <cfRule type="expression" priority="46373" dxfId="4">
      <formula>$H123="SUBETAPA"</formula>
    </cfRule>
  </conditionalFormatting>
  <conditionalFormatting sqref="L125 N125:N126">
    <cfRule type="expression" priority="49940" dxfId="4">
      <formula>$H125="SUBETAPA"</formula>
    </cfRule>
  </conditionalFormatting>
  <conditionalFormatting sqref="L126">
    <cfRule type="expression" priority="46375" dxfId="5">
      <formula>$H126="CÉLULA CONSTRUTIVA"</formula>
    </cfRule>
    <cfRule type="expression" priority="46376" dxfId="4">
      <formula>$H126="SUBETAPA"</formula>
    </cfRule>
  </conditionalFormatting>
  <conditionalFormatting sqref="L128 N128:N129">
    <cfRule type="expression" priority="49903" dxfId="4">
      <formula>$H128="SUBETAPA"</formula>
    </cfRule>
  </conditionalFormatting>
  <conditionalFormatting sqref="L129">
    <cfRule type="expression" priority="46378" dxfId="5">
      <formula>$H129="CÉLULA CONSTRUTIVA"</formula>
    </cfRule>
    <cfRule type="expression" priority="46379" dxfId="4">
      <formula>$H129="SUBETAPA"</formula>
    </cfRule>
  </conditionalFormatting>
  <conditionalFormatting sqref="L131">
    <cfRule type="expression" priority="49870" dxfId="4">
      <formula>$H131="SUBETAPA"</formula>
    </cfRule>
  </conditionalFormatting>
  <conditionalFormatting sqref="L133 N133:N134">
    <cfRule type="expression" priority="49848" dxfId="4">
      <formula>$H133="SUBETAPA"</formula>
    </cfRule>
  </conditionalFormatting>
  <conditionalFormatting sqref="L134">
    <cfRule type="expression" priority="46381" dxfId="5">
      <formula>$H134="CÉLULA CONSTRUTIVA"</formula>
    </cfRule>
    <cfRule type="expression" priority="46382" dxfId="4">
      <formula>$H134="SUBETAPA"</formula>
    </cfRule>
  </conditionalFormatting>
  <conditionalFormatting sqref="L136 N136:N137">
    <cfRule type="expression" priority="49811" dxfId="4">
      <formula>$H136="SUBETAPA"</formula>
    </cfRule>
  </conditionalFormatting>
  <conditionalFormatting sqref="L137">
    <cfRule type="expression" priority="46384" dxfId="5">
      <formula>$H137="CÉLULA CONSTRUTIVA"</formula>
    </cfRule>
    <cfRule type="expression" priority="46385" dxfId="4">
      <formula>$H137="SUBETAPA"</formula>
    </cfRule>
  </conditionalFormatting>
  <conditionalFormatting sqref="L142">
    <cfRule type="expression" priority="50797" dxfId="5">
      <formula>$H142="CÉLULA CONSTRUTIVA"</formula>
    </cfRule>
    <cfRule type="expression" priority="50798" dxfId="4">
      <formula>$H142="SUBETAPA"</formula>
    </cfRule>
    <cfRule type="expression" priority="50799" dxfId="3">
      <formula>$H142="ETAPA"</formula>
    </cfRule>
  </conditionalFormatting>
  <conditionalFormatting sqref="L143">
    <cfRule type="expression" priority="50794" dxfId="5">
      <formula>$H143="CÉLULA CONSTRUTIVA"</formula>
    </cfRule>
    <cfRule type="expression" priority="50795" dxfId="4">
      <formula>$H143="SUBETAPA"</formula>
    </cfRule>
    <cfRule type="expression" priority="50796" dxfId="3">
      <formula>$H143="ETAPA"</formula>
    </cfRule>
  </conditionalFormatting>
  <conditionalFormatting sqref="L144">
    <cfRule type="expression" priority="50791" dxfId="5">
      <formula>$H144="CÉLULA CONSTRUTIVA"</formula>
    </cfRule>
    <cfRule type="expression" priority="50792" dxfId="4">
      <formula>$H144="SUBETAPA"</formula>
    </cfRule>
    <cfRule type="expression" priority="50793" dxfId="3">
      <formula>$H144="ETAPA"</formula>
    </cfRule>
  </conditionalFormatting>
  <conditionalFormatting sqref="L145">
    <cfRule type="expression" priority="50788" dxfId="5">
      <formula>$H145="CÉLULA CONSTRUTIVA"</formula>
    </cfRule>
    <cfRule type="expression" priority="50789" dxfId="4">
      <formula>$H145="SUBETAPA"</formula>
    </cfRule>
    <cfRule type="expression" priority="50790" dxfId="3">
      <formula>$H145="ETAPA"</formula>
    </cfRule>
  </conditionalFormatting>
  <conditionalFormatting sqref="L146">
    <cfRule type="expression" priority="50785" dxfId="5">
      <formula>$H146="CÉLULA CONSTRUTIVA"</formula>
    </cfRule>
    <cfRule type="expression" priority="50786" dxfId="4">
      <formula>$H146="SUBETAPA"</formula>
    </cfRule>
    <cfRule type="expression" priority="50787" dxfId="3">
      <formula>$H146="ETAPA"</formula>
    </cfRule>
  </conditionalFormatting>
  <conditionalFormatting sqref="L147">
    <cfRule type="expression" priority="50782" dxfId="5">
      <formula>$H147="CÉLULA CONSTRUTIVA"</formula>
    </cfRule>
    <cfRule type="expression" priority="50783" dxfId="4">
      <formula>$H147="SUBETAPA"</formula>
    </cfRule>
    <cfRule type="expression" priority="50784" dxfId="3">
      <formula>$H147="ETAPA"</formula>
    </cfRule>
  </conditionalFormatting>
  <conditionalFormatting sqref="G148:K149 G150:J153 K150:K156 L148 N148:N153">
    <cfRule type="expression" priority="49759" dxfId="4">
      <formula>$H148="SUBETAPA"</formula>
    </cfRule>
  </conditionalFormatting>
  <conditionalFormatting sqref="L149:L150">
    <cfRule type="expression" priority="47118" dxfId="5">
      <formula>$H149="CÉLULA CONSTRUTIVA"</formula>
    </cfRule>
    <cfRule type="expression" priority="47119" dxfId="4">
      <formula>$H149="SUBETAPA"</formula>
    </cfRule>
    <cfRule type="expression" priority="47120" dxfId="3">
      <formula>$H149="ETAPA"</formula>
    </cfRule>
  </conditionalFormatting>
  <conditionalFormatting sqref="L151">
    <cfRule type="expression" priority="47115" dxfId="5">
      <formula>$H151="CÉLULA CONSTRUTIVA"</formula>
    </cfRule>
    <cfRule type="expression" priority="47116" dxfId="4">
      <formula>$H151="SUBETAPA"</formula>
    </cfRule>
    <cfRule type="expression" priority="47117" dxfId="3">
      <formula>$H151="ETAPA"</formula>
    </cfRule>
  </conditionalFormatting>
  <conditionalFormatting sqref="L152">
    <cfRule type="expression" priority="47112" dxfId="5">
      <formula>$H152="CÉLULA CONSTRUTIVA"</formula>
    </cfRule>
    <cfRule type="expression" priority="47113" dxfId="4">
      <formula>$H152="SUBETAPA"</formula>
    </cfRule>
    <cfRule type="expression" priority="47114" dxfId="3">
      <formula>$H152="ETAPA"</formula>
    </cfRule>
  </conditionalFormatting>
  <conditionalFormatting sqref="L153">
    <cfRule type="expression" priority="47109" dxfId="5">
      <formula>$H153="CÉLULA CONSTRUTIVA"</formula>
    </cfRule>
    <cfRule type="expression" priority="47110" dxfId="4">
      <formula>$H153="SUBETAPA"</formula>
    </cfRule>
    <cfRule type="expression" priority="47111" dxfId="3">
      <formula>$H153="ETAPA"</formula>
    </cfRule>
  </conditionalFormatting>
  <conditionalFormatting sqref="L154">
    <cfRule type="expression" priority="47106" dxfId="5">
      <formula>$H154="CÉLULA CONSTRUTIVA"</formula>
    </cfRule>
    <cfRule type="expression" priority="47107" dxfId="4">
      <formula>$H154="SUBETAPA"</formula>
    </cfRule>
    <cfRule type="expression" priority="47108" dxfId="3">
      <formula>$H154="ETAPA"</formula>
    </cfRule>
  </conditionalFormatting>
  <conditionalFormatting sqref="L155">
    <cfRule type="expression" priority="47103" dxfId="5">
      <formula>$H155="CÉLULA CONSTRUTIVA"</formula>
    </cfRule>
    <cfRule type="expression" priority="47104" dxfId="4">
      <formula>$H155="SUBETAPA"</formula>
    </cfRule>
    <cfRule type="expression" priority="47105" dxfId="3">
      <formula>$H155="ETAPA"</formula>
    </cfRule>
  </conditionalFormatting>
  <conditionalFormatting sqref="L156">
    <cfRule type="expression" priority="47100" dxfId="5">
      <formula>$H156="CÉLULA CONSTRUTIVA"</formula>
    </cfRule>
    <cfRule type="expression" priority="47101" dxfId="4">
      <formula>$H156="SUBETAPA"</formula>
    </cfRule>
    <cfRule type="expression" priority="47102" dxfId="3">
      <formula>$H156="ETAPA"</formula>
    </cfRule>
  </conditionalFormatting>
  <conditionalFormatting sqref="L157">
    <cfRule type="expression" priority="47097" dxfId="5">
      <formula>$H157="CÉLULA CONSTRUTIVA"</formula>
    </cfRule>
    <cfRule type="expression" priority="47098" dxfId="4">
      <formula>$H157="SUBETAPA"</formula>
    </cfRule>
    <cfRule type="expression" priority="47099" dxfId="3">
      <formula>$H157="ETAPA"</formula>
    </cfRule>
  </conditionalFormatting>
  <conditionalFormatting sqref="G158:K159 G160:J163 K160:K166 L158 N158:N163">
    <cfRule type="expression" priority="49673" dxfId="4">
      <formula>$H158="SUBETAPA"</formula>
    </cfRule>
  </conditionalFormatting>
  <conditionalFormatting sqref="L159:L160">
    <cfRule type="expression" priority="47094" dxfId="5">
      <formula>$H159="CÉLULA CONSTRUTIVA"</formula>
    </cfRule>
    <cfRule type="expression" priority="47095" dxfId="4">
      <formula>$H159="SUBETAPA"</formula>
    </cfRule>
    <cfRule type="expression" priority="47096" dxfId="3">
      <formula>$H159="ETAPA"</formula>
    </cfRule>
  </conditionalFormatting>
  <conditionalFormatting sqref="L161">
    <cfRule type="expression" priority="47091" dxfId="5">
      <formula>$H161="CÉLULA CONSTRUTIVA"</formula>
    </cfRule>
    <cfRule type="expression" priority="47092" dxfId="4">
      <formula>$H161="SUBETAPA"</formula>
    </cfRule>
    <cfRule type="expression" priority="47093" dxfId="3">
      <formula>$H161="ETAPA"</formula>
    </cfRule>
  </conditionalFormatting>
  <conditionalFormatting sqref="L162">
    <cfRule type="expression" priority="47088" dxfId="5">
      <formula>$H162="CÉLULA CONSTRUTIVA"</formula>
    </cfRule>
    <cfRule type="expression" priority="47089" dxfId="4">
      <formula>$H162="SUBETAPA"</formula>
    </cfRule>
    <cfRule type="expression" priority="47090" dxfId="3">
      <formula>$H162="ETAPA"</formula>
    </cfRule>
  </conditionalFormatting>
  <conditionalFormatting sqref="L163">
    <cfRule type="expression" priority="47085" dxfId="5">
      <formula>$H163="CÉLULA CONSTRUTIVA"</formula>
    </cfRule>
    <cfRule type="expression" priority="47086" dxfId="4">
      <formula>$H163="SUBETAPA"</formula>
    </cfRule>
    <cfRule type="expression" priority="47087" dxfId="3">
      <formula>$H163="ETAPA"</formula>
    </cfRule>
  </conditionalFormatting>
  <conditionalFormatting sqref="L164">
    <cfRule type="expression" priority="47082" dxfId="5">
      <formula>$H164="CÉLULA CONSTRUTIVA"</formula>
    </cfRule>
    <cfRule type="expression" priority="47083" dxfId="4">
      <formula>$H164="SUBETAPA"</formula>
    </cfRule>
    <cfRule type="expression" priority="47084" dxfId="3">
      <formula>$H164="ETAPA"</formula>
    </cfRule>
  </conditionalFormatting>
  <conditionalFormatting sqref="L165">
    <cfRule type="expression" priority="47079" dxfId="5">
      <formula>$H165="CÉLULA CONSTRUTIVA"</formula>
    </cfRule>
    <cfRule type="expression" priority="47080" dxfId="4">
      <formula>$H165="SUBETAPA"</formula>
    </cfRule>
    <cfRule type="expression" priority="47081" dxfId="3">
      <formula>$H165="ETAPA"</formula>
    </cfRule>
  </conditionalFormatting>
  <conditionalFormatting sqref="L166">
    <cfRule type="expression" priority="47076" dxfId="5">
      <formula>$H166="CÉLULA CONSTRUTIVA"</formula>
    </cfRule>
    <cfRule type="expression" priority="47077" dxfId="4">
      <formula>$H166="SUBETAPA"</formula>
    </cfRule>
    <cfRule type="expression" priority="47078" dxfId="3">
      <formula>$H166="ETAPA"</formula>
    </cfRule>
  </conditionalFormatting>
  <conditionalFormatting sqref="L167">
    <cfRule type="expression" priority="47073" dxfId="5">
      <formula>$H167="CÉLULA CONSTRUTIVA"</formula>
    </cfRule>
    <cfRule type="expression" priority="47074" dxfId="4">
      <formula>$H167="SUBETAPA"</formula>
    </cfRule>
    <cfRule type="expression" priority="47075" dxfId="3">
      <formula>$H167="ETAPA"</formula>
    </cfRule>
  </conditionalFormatting>
  <conditionalFormatting sqref="G168:K169 G170:J173 K170:K176 L168 N168:N173">
    <cfRule type="expression" priority="49587" dxfId="4">
      <formula>$H168="SUBETAPA"</formula>
    </cfRule>
  </conditionalFormatting>
  <conditionalFormatting sqref="L169:L170">
    <cfRule type="expression" priority="47070" dxfId="5">
      <formula>$H169="CÉLULA CONSTRUTIVA"</formula>
    </cfRule>
    <cfRule type="expression" priority="47071" dxfId="4">
      <formula>$H169="SUBETAPA"</formula>
    </cfRule>
    <cfRule type="expression" priority="47072" dxfId="3">
      <formula>$H169="ETAPA"</formula>
    </cfRule>
  </conditionalFormatting>
  <conditionalFormatting sqref="L171">
    <cfRule type="expression" priority="47067" dxfId="5">
      <formula>$H171="CÉLULA CONSTRUTIVA"</formula>
    </cfRule>
    <cfRule type="expression" priority="47068" dxfId="4">
      <formula>$H171="SUBETAPA"</formula>
    </cfRule>
    <cfRule type="expression" priority="47069" dxfId="3">
      <formula>$H171="ETAPA"</formula>
    </cfRule>
  </conditionalFormatting>
  <conditionalFormatting sqref="L172">
    <cfRule type="expression" priority="47064" dxfId="5">
      <formula>$H172="CÉLULA CONSTRUTIVA"</formula>
    </cfRule>
    <cfRule type="expression" priority="47065" dxfId="4">
      <formula>$H172="SUBETAPA"</formula>
    </cfRule>
    <cfRule type="expression" priority="47066" dxfId="3">
      <formula>$H172="ETAPA"</formula>
    </cfRule>
  </conditionalFormatting>
  <conditionalFormatting sqref="L173">
    <cfRule type="expression" priority="47061" dxfId="5">
      <formula>$H173="CÉLULA CONSTRUTIVA"</formula>
    </cfRule>
    <cfRule type="expression" priority="47062" dxfId="4">
      <formula>$H173="SUBETAPA"</formula>
    </cfRule>
    <cfRule type="expression" priority="47063" dxfId="3">
      <formula>$H173="ETAPA"</formula>
    </cfRule>
  </conditionalFormatting>
  <conditionalFormatting sqref="L174">
    <cfRule type="expression" priority="47058" dxfId="5">
      <formula>$H174="CÉLULA CONSTRUTIVA"</formula>
    </cfRule>
    <cfRule type="expression" priority="47059" dxfId="4">
      <formula>$H174="SUBETAPA"</formula>
    </cfRule>
    <cfRule type="expression" priority="47060" dxfId="3">
      <formula>$H174="ETAPA"</formula>
    </cfRule>
  </conditionalFormatting>
  <conditionalFormatting sqref="L175">
    <cfRule type="expression" priority="47055" dxfId="5">
      <formula>$H175="CÉLULA CONSTRUTIVA"</formula>
    </cfRule>
    <cfRule type="expression" priority="47056" dxfId="4">
      <formula>$H175="SUBETAPA"</formula>
    </cfRule>
    <cfRule type="expression" priority="47057" dxfId="3">
      <formula>$H175="ETAPA"</formula>
    </cfRule>
  </conditionalFormatting>
  <conditionalFormatting sqref="L176">
    <cfRule type="expression" priority="47052" dxfId="5">
      <formula>$H176="CÉLULA CONSTRUTIVA"</formula>
    </cfRule>
    <cfRule type="expression" priority="47053" dxfId="4">
      <formula>$H176="SUBETAPA"</formula>
    </cfRule>
    <cfRule type="expression" priority="47054" dxfId="3">
      <formula>$H176="ETAPA"</formula>
    </cfRule>
  </conditionalFormatting>
  <conditionalFormatting sqref="G179:J182 L177">
    <cfRule type="expression" priority="49504" dxfId="4">
      <formula>$H177="SUBETAPA"</formula>
    </cfRule>
  </conditionalFormatting>
  <conditionalFormatting sqref="L178">
    <cfRule type="expression" priority="3311" dxfId="5">
      <formula>$H178="CÉLULA CONSTRUTIVA"</formula>
    </cfRule>
    <cfRule type="expression" priority="3312" dxfId="4">
      <formula>$H178="SUBETAPA"</formula>
    </cfRule>
    <cfRule type="expression" priority="3313" dxfId="3">
      <formula>$H178="ETAPA"</formula>
    </cfRule>
  </conditionalFormatting>
  <conditionalFormatting sqref="L180">
    <cfRule type="expression" priority="47046" dxfId="5">
      <formula>$H180="CÉLULA CONSTRUTIVA"</formula>
    </cfRule>
    <cfRule type="expression" priority="47047" dxfId="4">
      <formula>$H180="SUBETAPA"</formula>
    </cfRule>
    <cfRule type="expression" priority="47048" dxfId="3">
      <formula>$H180="ETAPA"</formula>
    </cfRule>
  </conditionalFormatting>
  <conditionalFormatting sqref="L181">
    <cfRule type="expression" priority="47043" dxfId="5">
      <formula>$H181="CÉLULA CONSTRUTIVA"</formula>
    </cfRule>
    <cfRule type="expression" priority="47044" dxfId="4">
      <formula>$H181="SUBETAPA"</formula>
    </cfRule>
    <cfRule type="expression" priority="47045" dxfId="3">
      <formula>$H181="ETAPA"</formula>
    </cfRule>
  </conditionalFormatting>
  <conditionalFormatting sqref="L182">
    <cfRule type="expression" priority="47040" dxfId="5">
      <formula>$H182="CÉLULA CONSTRUTIVA"</formula>
    </cfRule>
    <cfRule type="expression" priority="47041" dxfId="4">
      <formula>$H182="SUBETAPA"</formula>
    </cfRule>
    <cfRule type="expression" priority="47042" dxfId="3">
      <formula>$H182="ETAPA"</formula>
    </cfRule>
  </conditionalFormatting>
  <conditionalFormatting sqref="L183">
    <cfRule type="expression" priority="47037" dxfId="5">
      <formula>$H183="CÉLULA CONSTRUTIVA"</formula>
    </cfRule>
    <cfRule type="expression" priority="47038" dxfId="4">
      <formula>$H183="SUBETAPA"</formula>
    </cfRule>
    <cfRule type="expression" priority="47039" dxfId="3">
      <formula>$H183="ETAPA"</formula>
    </cfRule>
  </conditionalFormatting>
  <conditionalFormatting sqref="L184">
    <cfRule type="expression" priority="47034" dxfId="5">
      <formula>$H184="CÉLULA CONSTRUTIVA"</formula>
    </cfRule>
    <cfRule type="expression" priority="47035" dxfId="4">
      <formula>$H184="SUBETAPA"</formula>
    </cfRule>
    <cfRule type="expression" priority="47036" dxfId="3">
      <formula>$H184="ETAPA"</formula>
    </cfRule>
  </conditionalFormatting>
  <conditionalFormatting sqref="L185">
    <cfRule type="expression" priority="3294" dxfId="5">
      <formula>$H185="CÉLULA CONSTRUTIVA"</formula>
    </cfRule>
    <cfRule type="expression" priority="3295" dxfId="4">
      <formula>$H185="SUBETAPA"</formula>
    </cfRule>
    <cfRule type="expression" priority="3296" dxfId="3">
      <formula>$H185="ETAPA"</formula>
    </cfRule>
  </conditionalFormatting>
  <conditionalFormatting sqref="G188:J191 L186">
    <cfRule type="expression" priority="49486" dxfId="4">
      <formula>$H186="SUBETAPA"</formula>
    </cfRule>
  </conditionalFormatting>
  <conditionalFormatting sqref="L187">
    <cfRule type="expression" priority="3277" dxfId="5">
      <formula>$H187="CÉLULA CONSTRUTIVA"</formula>
    </cfRule>
    <cfRule type="expression" priority="3278" dxfId="4">
      <formula>$H187="SUBETAPA"</formula>
    </cfRule>
    <cfRule type="expression" priority="3279" dxfId="3">
      <formula>$H187="ETAPA"</formula>
    </cfRule>
  </conditionalFormatting>
  <conditionalFormatting sqref="L189">
    <cfRule type="expression" priority="47031" dxfId="5">
      <formula>$H189="CÉLULA CONSTRUTIVA"</formula>
    </cfRule>
    <cfRule type="expression" priority="47032" dxfId="4">
      <formula>$H189="SUBETAPA"</formula>
    </cfRule>
    <cfRule type="expression" priority="47033" dxfId="3">
      <formula>$H189="ETAPA"</formula>
    </cfRule>
  </conditionalFormatting>
  <conditionalFormatting sqref="L190">
    <cfRule type="expression" priority="47028" dxfId="5">
      <formula>$H190="CÉLULA CONSTRUTIVA"</formula>
    </cfRule>
    <cfRule type="expression" priority="47029" dxfId="4">
      <formula>$H190="SUBETAPA"</formula>
    </cfRule>
    <cfRule type="expression" priority="47030" dxfId="3">
      <formula>$H190="ETAPA"</formula>
    </cfRule>
  </conditionalFormatting>
  <conditionalFormatting sqref="L191">
    <cfRule type="expression" priority="47025" dxfId="5">
      <formula>$H191="CÉLULA CONSTRUTIVA"</formula>
    </cfRule>
    <cfRule type="expression" priority="47026" dxfId="4">
      <formula>$H191="SUBETAPA"</formula>
    </cfRule>
    <cfRule type="expression" priority="47027" dxfId="3">
      <formula>$H191="ETAPA"</formula>
    </cfRule>
  </conditionalFormatting>
  <conditionalFormatting sqref="L192">
    <cfRule type="expression" priority="47022" dxfId="5">
      <formula>$H192="CÉLULA CONSTRUTIVA"</formula>
    </cfRule>
    <cfRule type="expression" priority="47023" dxfId="4">
      <formula>$H192="SUBETAPA"</formula>
    </cfRule>
    <cfRule type="expression" priority="47024" dxfId="3">
      <formula>$H192="ETAPA"</formula>
    </cfRule>
  </conditionalFormatting>
  <conditionalFormatting sqref="L193">
    <cfRule type="expression" priority="47019" dxfId="5">
      <formula>$H193="CÉLULA CONSTRUTIVA"</formula>
    </cfRule>
    <cfRule type="expression" priority="47020" dxfId="4">
      <formula>$H193="SUBETAPA"</formula>
    </cfRule>
    <cfRule type="expression" priority="47021" dxfId="3">
      <formula>$H193="ETAPA"</formula>
    </cfRule>
  </conditionalFormatting>
  <conditionalFormatting sqref="L194">
    <cfRule type="expression" priority="3260" dxfId="5">
      <formula>$H194="CÉLULA CONSTRUTIVA"</formula>
    </cfRule>
    <cfRule type="expression" priority="3261" dxfId="4">
      <formula>$H194="SUBETAPA"</formula>
    </cfRule>
    <cfRule type="expression" priority="3262" dxfId="3">
      <formula>$H194="ETAPA"</formula>
    </cfRule>
  </conditionalFormatting>
  <conditionalFormatting sqref="G197:J200 L195">
    <cfRule type="expression" priority="49468" dxfId="4">
      <formula>$H195="SUBETAPA"</formula>
    </cfRule>
  </conditionalFormatting>
  <conditionalFormatting sqref="L196">
    <cfRule type="expression" priority="3243" dxfId="5">
      <formula>$H196="CÉLULA CONSTRUTIVA"</formula>
    </cfRule>
    <cfRule type="expression" priority="3244" dxfId="4">
      <formula>$H196="SUBETAPA"</formula>
    </cfRule>
    <cfRule type="expression" priority="3245" dxfId="3">
      <formula>$H196="ETAPA"</formula>
    </cfRule>
  </conditionalFormatting>
  <conditionalFormatting sqref="L198">
    <cfRule type="expression" priority="47016" dxfId="5">
      <formula>$H198="CÉLULA CONSTRUTIVA"</formula>
    </cfRule>
    <cfRule type="expression" priority="47017" dxfId="4">
      <formula>$H198="SUBETAPA"</formula>
    </cfRule>
    <cfRule type="expression" priority="47018" dxfId="3">
      <formula>$H198="ETAPA"</formula>
    </cfRule>
  </conditionalFormatting>
  <conditionalFormatting sqref="L199">
    <cfRule type="expression" priority="47013" dxfId="5">
      <formula>$H199="CÉLULA CONSTRUTIVA"</formula>
    </cfRule>
    <cfRule type="expression" priority="47014" dxfId="4">
      <formula>$H199="SUBETAPA"</formula>
    </cfRule>
    <cfRule type="expression" priority="47015" dxfId="3">
      <formula>$H199="ETAPA"</formula>
    </cfRule>
  </conditionalFormatting>
  <conditionalFormatting sqref="L200">
    <cfRule type="expression" priority="47010" dxfId="5">
      <formula>$H200="CÉLULA CONSTRUTIVA"</formula>
    </cfRule>
    <cfRule type="expression" priority="47011" dxfId="4">
      <formula>$H200="SUBETAPA"</formula>
    </cfRule>
    <cfRule type="expression" priority="47012" dxfId="3">
      <formula>$H200="ETAPA"</formula>
    </cfRule>
  </conditionalFormatting>
  <conditionalFormatting sqref="L201">
    <cfRule type="expression" priority="47007" dxfId="5">
      <formula>$H201="CÉLULA CONSTRUTIVA"</formula>
    </cfRule>
    <cfRule type="expression" priority="47008" dxfId="4">
      <formula>$H201="SUBETAPA"</formula>
    </cfRule>
    <cfRule type="expression" priority="47009" dxfId="3">
      <formula>$H201="ETAPA"</formula>
    </cfRule>
  </conditionalFormatting>
  <conditionalFormatting sqref="L202">
    <cfRule type="expression" priority="47004" dxfId="5">
      <formula>$H202="CÉLULA CONSTRUTIVA"</formula>
    </cfRule>
    <cfRule type="expression" priority="47005" dxfId="4">
      <formula>$H202="SUBETAPA"</formula>
    </cfRule>
    <cfRule type="expression" priority="47006" dxfId="3">
      <formula>$H202="ETAPA"</formula>
    </cfRule>
  </conditionalFormatting>
  <conditionalFormatting sqref="L203">
    <cfRule type="expression" priority="3226" dxfId="5">
      <formula>$H203="CÉLULA CONSTRUTIVA"</formula>
    </cfRule>
    <cfRule type="expression" priority="3227" dxfId="4">
      <formula>$H203="SUBETAPA"</formula>
    </cfRule>
    <cfRule type="expression" priority="3228" dxfId="3">
      <formula>$H203="ETAPA"</formula>
    </cfRule>
  </conditionalFormatting>
  <conditionalFormatting sqref="L205">
    <cfRule type="expression" priority="3209" dxfId="5">
      <formula>$H205="CÉLULA CONSTRUTIVA"</formula>
    </cfRule>
    <cfRule type="expression" priority="3210" dxfId="4">
      <formula>$H205="SUBETAPA"</formula>
    </cfRule>
    <cfRule type="expression" priority="3211" dxfId="3">
      <formula>$H205="ETAPA"</formula>
    </cfRule>
  </conditionalFormatting>
  <conditionalFormatting sqref="L207">
    <cfRule type="expression" priority="46314" dxfId="5">
      <formula>$H207="CÉLULA CONSTRUTIVA"</formula>
    </cfRule>
    <cfRule type="expression" priority="46315" dxfId="4">
      <formula>$H207="SUBETAPA"</formula>
    </cfRule>
    <cfRule type="expression" priority="46316" dxfId="3">
      <formula>$H207="ETAPA"</formula>
    </cfRule>
  </conditionalFormatting>
  <conditionalFormatting sqref="L208">
    <cfRule type="expression" priority="46311" dxfId="5">
      <formula>$H208="CÉLULA CONSTRUTIVA"</formula>
    </cfRule>
    <cfRule type="expression" priority="46312" dxfId="4">
      <formula>$H208="SUBETAPA"</formula>
    </cfRule>
    <cfRule type="expression" priority="46313" dxfId="3">
      <formula>$H208="ETAPA"</formula>
    </cfRule>
  </conditionalFormatting>
  <conditionalFormatting sqref="L209">
    <cfRule type="expression" priority="46308" dxfId="5">
      <formula>$H209="CÉLULA CONSTRUTIVA"</formula>
    </cfRule>
    <cfRule type="expression" priority="46309" dxfId="4">
      <formula>$H209="SUBETAPA"</formula>
    </cfRule>
    <cfRule type="expression" priority="46310" dxfId="3">
      <formula>$H209="ETAPA"</formula>
    </cfRule>
  </conditionalFormatting>
  <conditionalFormatting sqref="L210">
    <cfRule type="expression" priority="46305" dxfId="5">
      <formula>$H210="CÉLULA CONSTRUTIVA"</formula>
    </cfRule>
    <cfRule type="expression" priority="46306" dxfId="4">
      <formula>$H210="SUBETAPA"</formula>
    </cfRule>
    <cfRule type="expression" priority="46307" dxfId="3">
      <formula>$H210="ETAPA"</formula>
    </cfRule>
  </conditionalFormatting>
  <conditionalFormatting sqref="L211">
    <cfRule type="expression" priority="46302" dxfId="5">
      <formula>$H211="CÉLULA CONSTRUTIVA"</formula>
    </cfRule>
    <cfRule type="expression" priority="46303" dxfId="4">
      <formula>$H211="SUBETAPA"</formula>
    </cfRule>
    <cfRule type="expression" priority="46304" dxfId="3">
      <formula>$H211="ETAPA"</formula>
    </cfRule>
  </conditionalFormatting>
  <conditionalFormatting sqref="L212">
    <cfRule type="expression" priority="3192" dxfId="5">
      <formula>$H212="CÉLULA CONSTRUTIVA"</formula>
    </cfRule>
    <cfRule type="expression" priority="3193" dxfId="4">
      <formula>$H212="SUBETAPA"</formula>
    </cfRule>
    <cfRule type="expression" priority="3194" dxfId="3">
      <formula>$H212="ETAPA"</formula>
    </cfRule>
  </conditionalFormatting>
  <conditionalFormatting sqref="G215:J218 L213">
    <cfRule type="expression" priority="49450" dxfId="4">
      <formula>$H213="SUBETAPA"</formula>
    </cfRule>
  </conditionalFormatting>
  <conditionalFormatting sqref="L214">
    <cfRule type="expression" priority="3175" dxfId="5">
      <formula>$H214="CÉLULA CONSTRUTIVA"</formula>
    </cfRule>
    <cfRule type="expression" priority="3176" dxfId="4">
      <formula>$H214="SUBETAPA"</formula>
    </cfRule>
    <cfRule type="expression" priority="3177" dxfId="3">
      <formula>$H214="ETAPA"</formula>
    </cfRule>
  </conditionalFormatting>
  <conditionalFormatting sqref="L216">
    <cfRule type="expression" priority="47001" dxfId="5">
      <formula>$H216="CÉLULA CONSTRUTIVA"</formula>
    </cfRule>
    <cfRule type="expression" priority="47002" dxfId="4">
      <formula>$H216="SUBETAPA"</formula>
    </cfRule>
    <cfRule type="expression" priority="47003" dxfId="3">
      <formula>$H216="ETAPA"</formula>
    </cfRule>
  </conditionalFormatting>
  <conditionalFormatting sqref="L217">
    <cfRule type="expression" priority="46998" dxfId="5">
      <formula>$H217="CÉLULA CONSTRUTIVA"</formula>
    </cfRule>
    <cfRule type="expression" priority="46999" dxfId="4">
      <formula>$H217="SUBETAPA"</formula>
    </cfRule>
    <cfRule type="expression" priority="47000" dxfId="3">
      <formula>$H217="ETAPA"</formula>
    </cfRule>
  </conditionalFormatting>
  <conditionalFormatting sqref="L218">
    <cfRule type="expression" priority="46995" dxfId="5">
      <formula>$H218="CÉLULA CONSTRUTIVA"</formula>
    </cfRule>
    <cfRule type="expression" priority="46996" dxfId="4">
      <formula>$H218="SUBETAPA"</formula>
    </cfRule>
    <cfRule type="expression" priority="46997" dxfId="3">
      <formula>$H218="ETAPA"</formula>
    </cfRule>
  </conditionalFormatting>
  <conditionalFormatting sqref="L219">
    <cfRule type="expression" priority="46992" dxfId="5">
      <formula>$H219="CÉLULA CONSTRUTIVA"</formula>
    </cfRule>
    <cfRule type="expression" priority="46993" dxfId="4">
      <formula>$H219="SUBETAPA"</formula>
    </cfRule>
    <cfRule type="expression" priority="46994" dxfId="3">
      <formula>$H219="ETAPA"</formula>
    </cfRule>
  </conditionalFormatting>
  <conditionalFormatting sqref="L220">
    <cfRule type="expression" priority="46989" dxfId="5">
      <formula>$H220="CÉLULA CONSTRUTIVA"</formula>
    </cfRule>
    <cfRule type="expression" priority="46990" dxfId="4">
      <formula>$H220="SUBETAPA"</formula>
    </cfRule>
    <cfRule type="expression" priority="46991" dxfId="3">
      <formula>$H220="ETAPA"</formula>
    </cfRule>
  </conditionalFormatting>
  <conditionalFormatting sqref="L221">
    <cfRule type="expression" priority="3158" dxfId="5">
      <formula>$H221="CÉLULA CONSTRUTIVA"</formula>
    </cfRule>
    <cfRule type="expression" priority="3159" dxfId="4">
      <formula>$H221="SUBETAPA"</formula>
    </cfRule>
    <cfRule type="expression" priority="3160" dxfId="3">
      <formula>$H221="ETAPA"</formula>
    </cfRule>
  </conditionalFormatting>
  <conditionalFormatting sqref="G222:K223 G224:J227 K224:K230 L222 N222:N227">
    <cfRule type="expression" priority="49429" dxfId="4">
      <formula>$H222="SUBETAPA"</formula>
    </cfRule>
  </conditionalFormatting>
  <conditionalFormatting sqref="L223:L224">
    <cfRule type="expression" priority="46986" dxfId="5">
      <formula>$H223="CÉLULA CONSTRUTIVA"</formula>
    </cfRule>
    <cfRule type="expression" priority="46987" dxfId="4">
      <formula>$H223="SUBETAPA"</formula>
    </cfRule>
    <cfRule type="expression" priority="46988" dxfId="3">
      <formula>$H223="ETAPA"</formula>
    </cfRule>
  </conditionalFormatting>
  <conditionalFormatting sqref="L225">
    <cfRule type="expression" priority="46983" dxfId="5">
      <formula>$H225="CÉLULA CONSTRUTIVA"</formula>
    </cfRule>
    <cfRule type="expression" priority="46984" dxfId="4">
      <formula>$H225="SUBETAPA"</formula>
    </cfRule>
    <cfRule type="expression" priority="46985" dxfId="3">
      <formula>$H225="ETAPA"</formula>
    </cfRule>
  </conditionalFormatting>
  <conditionalFormatting sqref="L226">
    <cfRule type="expression" priority="46980" dxfId="5">
      <formula>$H226="CÉLULA CONSTRUTIVA"</formula>
    </cfRule>
    <cfRule type="expression" priority="46981" dxfId="4">
      <formula>$H226="SUBETAPA"</formula>
    </cfRule>
    <cfRule type="expression" priority="46982" dxfId="3">
      <formula>$H226="ETAPA"</formula>
    </cfRule>
  </conditionalFormatting>
  <conditionalFormatting sqref="L227">
    <cfRule type="expression" priority="46977" dxfId="5">
      <formula>$H227="CÉLULA CONSTRUTIVA"</formula>
    </cfRule>
    <cfRule type="expression" priority="46978" dxfId="4">
      <formula>$H227="SUBETAPA"</formula>
    </cfRule>
    <cfRule type="expression" priority="46979" dxfId="3">
      <formula>$H227="ETAPA"</formula>
    </cfRule>
  </conditionalFormatting>
  <conditionalFormatting sqref="L228">
    <cfRule type="expression" priority="46974" dxfId="5">
      <formula>$H228="CÉLULA CONSTRUTIVA"</formula>
    </cfRule>
    <cfRule type="expression" priority="46975" dxfId="4">
      <formula>$H228="SUBETAPA"</formula>
    </cfRule>
    <cfRule type="expression" priority="46976" dxfId="3">
      <formula>$H228="ETAPA"</formula>
    </cfRule>
  </conditionalFormatting>
  <conditionalFormatting sqref="L229">
    <cfRule type="expression" priority="46971" dxfId="5">
      <formula>$H229="CÉLULA CONSTRUTIVA"</formula>
    </cfRule>
    <cfRule type="expression" priority="46972" dxfId="4">
      <formula>$H229="SUBETAPA"</formula>
    </cfRule>
    <cfRule type="expression" priority="46973" dxfId="3">
      <formula>$H229="ETAPA"</formula>
    </cfRule>
  </conditionalFormatting>
  <conditionalFormatting sqref="L230">
    <cfRule type="expression" priority="46968" dxfId="5">
      <formula>$H230="CÉLULA CONSTRUTIVA"</formula>
    </cfRule>
    <cfRule type="expression" priority="46969" dxfId="4">
      <formula>$H230="SUBETAPA"</formula>
    </cfRule>
    <cfRule type="expression" priority="46970" dxfId="3">
      <formula>$H230="ETAPA"</formula>
    </cfRule>
  </conditionalFormatting>
  <conditionalFormatting sqref="G231:K232 G233:J236 K233:K239 L231 N231:N236">
    <cfRule type="expression" priority="49379" dxfId="4">
      <formula>$H231="SUBETAPA"</formula>
    </cfRule>
  </conditionalFormatting>
  <conditionalFormatting sqref="L232:L239">
    <cfRule type="expression" priority="46965" dxfId="5">
      <formula>$H232="CÉLULA CONSTRUTIVA"</formula>
    </cfRule>
    <cfRule type="expression" priority="46966" dxfId="4">
      <formula>$H232="SUBETAPA"</formula>
    </cfRule>
    <cfRule type="expression" priority="46967" dxfId="3">
      <formula>$H232="ETAPA"</formula>
    </cfRule>
  </conditionalFormatting>
  <conditionalFormatting sqref="G240:K241 G242:J245 K242:K248 L240 N240:N245">
    <cfRule type="expression" priority="49329" dxfId="4">
      <formula>$H240="SUBETAPA"</formula>
    </cfRule>
  </conditionalFormatting>
  <conditionalFormatting sqref="L241:L248">
    <cfRule type="expression" priority="3152" dxfId="5">
      <formula>$H241="CÉLULA CONSTRUTIVA"</formula>
    </cfRule>
    <cfRule type="expression" priority="3153" dxfId="4">
      <formula>$H241="SUBETAPA"</formula>
    </cfRule>
    <cfRule type="expression" priority="3154" dxfId="3">
      <formula>$H241="ETAPA"</formula>
    </cfRule>
  </conditionalFormatting>
  <conditionalFormatting sqref="G249:K250 G251:J254 K251:K257 L249 N249:N254">
    <cfRule type="expression" priority="49279" dxfId="4">
      <formula>$H249="SUBETAPA"</formula>
    </cfRule>
  </conditionalFormatting>
  <conditionalFormatting sqref="L250:L251">
    <cfRule type="expression" priority="46923" dxfId="5">
      <formula>$H250="CÉLULA CONSTRUTIVA"</formula>
    </cfRule>
    <cfRule type="expression" priority="46924" dxfId="4">
      <formula>$H250="SUBETAPA"</formula>
    </cfRule>
    <cfRule type="expression" priority="46925" dxfId="3">
      <formula>$H250="ETAPA"</formula>
    </cfRule>
  </conditionalFormatting>
  <conditionalFormatting sqref="L252">
    <cfRule type="expression" priority="46920" dxfId="5">
      <formula>$H252="CÉLULA CONSTRUTIVA"</formula>
    </cfRule>
    <cfRule type="expression" priority="46921" dxfId="4">
      <formula>$H252="SUBETAPA"</formula>
    </cfRule>
    <cfRule type="expression" priority="46922" dxfId="3">
      <formula>$H252="ETAPA"</formula>
    </cfRule>
  </conditionalFormatting>
  <conditionalFormatting sqref="L253">
    <cfRule type="expression" priority="46917" dxfId="5">
      <formula>$H253="CÉLULA CONSTRUTIVA"</formula>
    </cfRule>
    <cfRule type="expression" priority="46918" dxfId="4">
      <formula>$H253="SUBETAPA"</formula>
    </cfRule>
    <cfRule type="expression" priority="46919" dxfId="3">
      <formula>$H253="ETAPA"</formula>
    </cfRule>
  </conditionalFormatting>
  <conditionalFormatting sqref="L254">
    <cfRule type="expression" priority="46914" dxfId="5">
      <formula>$H254="CÉLULA CONSTRUTIVA"</formula>
    </cfRule>
    <cfRule type="expression" priority="46915" dxfId="4">
      <formula>$H254="SUBETAPA"</formula>
    </cfRule>
    <cfRule type="expression" priority="46916" dxfId="3">
      <formula>$H254="ETAPA"</formula>
    </cfRule>
  </conditionalFormatting>
  <conditionalFormatting sqref="L255">
    <cfRule type="expression" priority="46911" dxfId="5">
      <formula>$H255="CÉLULA CONSTRUTIVA"</formula>
    </cfRule>
    <cfRule type="expression" priority="46912" dxfId="4">
      <formula>$H255="SUBETAPA"</formula>
    </cfRule>
    <cfRule type="expression" priority="46913" dxfId="3">
      <formula>$H255="ETAPA"</formula>
    </cfRule>
  </conditionalFormatting>
  <conditionalFormatting sqref="L256">
    <cfRule type="expression" priority="46908" dxfId="5">
      <formula>$H256="CÉLULA CONSTRUTIVA"</formula>
    </cfRule>
    <cfRule type="expression" priority="46909" dxfId="4">
      <formula>$H256="SUBETAPA"</formula>
    </cfRule>
    <cfRule type="expression" priority="46910" dxfId="3">
      <formula>$H256="ETAPA"</formula>
    </cfRule>
  </conditionalFormatting>
  <conditionalFormatting sqref="L257">
    <cfRule type="expression" priority="46905" dxfId="5">
      <formula>$H257="CÉLULA CONSTRUTIVA"</formula>
    </cfRule>
    <cfRule type="expression" priority="46906" dxfId="4">
      <formula>$H257="SUBETAPA"</formula>
    </cfRule>
    <cfRule type="expression" priority="46907" dxfId="3">
      <formula>$H257="ETAPA"</formula>
    </cfRule>
  </conditionalFormatting>
  <conditionalFormatting sqref="G258:K259 G260:J263 K260:K266 L258 N258:N263">
    <cfRule type="expression" priority="49229" dxfId="4">
      <formula>$H258="SUBETAPA"</formula>
    </cfRule>
  </conditionalFormatting>
  <conditionalFormatting sqref="L259:L260">
    <cfRule type="expression" priority="46902" dxfId="5">
      <formula>$H259="CÉLULA CONSTRUTIVA"</formula>
    </cfRule>
    <cfRule type="expression" priority="46903" dxfId="4">
      <formula>$H259="SUBETAPA"</formula>
    </cfRule>
    <cfRule type="expression" priority="46904" dxfId="3">
      <formula>$H259="ETAPA"</formula>
    </cfRule>
  </conditionalFormatting>
  <conditionalFormatting sqref="L261">
    <cfRule type="expression" priority="46899" dxfId="5">
      <formula>$H261="CÉLULA CONSTRUTIVA"</formula>
    </cfRule>
    <cfRule type="expression" priority="46900" dxfId="4">
      <formula>$H261="SUBETAPA"</formula>
    </cfRule>
    <cfRule type="expression" priority="46901" dxfId="3">
      <formula>$H261="ETAPA"</formula>
    </cfRule>
  </conditionalFormatting>
  <conditionalFormatting sqref="L262">
    <cfRule type="expression" priority="46896" dxfId="5">
      <formula>$H262="CÉLULA CONSTRUTIVA"</formula>
    </cfRule>
    <cfRule type="expression" priority="46897" dxfId="4">
      <formula>$H262="SUBETAPA"</formula>
    </cfRule>
    <cfRule type="expression" priority="46898" dxfId="3">
      <formula>$H262="ETAPA"</formula>
    </cfRule>
  </conditionalFormatting>
  <conditionalFormatting sqref="L263">
    <cfRule type="expression" priority="46893" dxfId="5">
      <formula>$H263="CÉLULA CONSTRUTIVA"</formula>
    </cfRule>
    <cfRule type="expression" priority="46894" dxfId="4">
      <formula>$H263="SUBETAPA"</formula>
    </cfRule>
    <cfRule type="expression" priority="46895" dxfId="3">
      <formula>$H263="ETAPA"</formula>
    </cfRule>
  </conditionalFormatting>
  <conditionalFormatting sqref="L264">
    <cfRule type="expression" priority="46890" dxfId="5">
      <formula>$H264="CÉLULA CONSTRUTIVA"</formula>
    </cfRule>
    <cfRule type="expression" priority="46891" dxfId="4">
      <formula>$H264="SUBETAPA"</formula>
    </cfRule>
    <cfRule type="expression" priority="46892" dxfId="3">
      <formula>$H264="ETAPA"</formula>
    </cfRule>
  </conditionalFormatting>
  <conditionalFormatting sqref="L265">
    <cfRule type="expression" priority="46887" dxfId="5">
      <formula>$H265="CÉLULA CONSTRUTIVA"</formula>
    </cfRule>
    <cfRule type="expression" priority="46888" dxfId="4">
      <formula>$H265="SUBETAPA"</formula>
    </cfRule>
    <cfRule type="expression" priority="46889" dxfId="3">
      <formula>$H265="ETAPA"</formula>
    </cfRule>
  </conditionalFormatting>
  <conditionalFormatting sqref="L266">
    <cfRule type="expression" priority="46884" dxfId="5">
      <formula>$H266="CÉLULA CONSTRUTIVA"</formula>
    </cfRule>
    <cfRule type="expression" priority="46885" dxfId="4">
      <formula>$H266="SUBETAPA"</formula>
    </cfRule>
    <cfRule type="expression" priority="46886" dxfId="3">
      <formula>$H266="ETAPA"</formula>
    </cfRule>
  </conditionalFormatting>
  <conditionalFormatting sqref="G267:K268 G269:J272 L267 N267:N272">
    <cfRule type="expression" priority="49179" dxfId="4">
      <formula>$H267="SUBETAPA"</formula>
    </cfRule>
  </conditionalFormatting>
  <conditionalFormatting sqref="L268:L269">
    <cfRule type="expression" priority="46881" dxfId="5">
      <formula>$H268="CÉLULA CONSTRUTIVA"</formula>
    </cfRule>
    <cfRule type="expression" priority="46882" dxfId="4">
      <formula>$H268="SUBETAPA"</formula>
    </cfRule>
    <cfRule type="expression" priority="46883" dxfId="3">
      <formula>$H268="ETAPA"</formula>
    </cfRule>
  </conditionalFormatting>
  <conditionalFormatting sqref="L270">
    <cfRule type="expression" priority="46878" dxfId="5">
      <formula>$H270="CÉLULA CONSTRUTIVA"</formula>
    </cfRule>
    <cfRule type="expression" priority="46879" dxfId="4">
      <formula>$H270="SUBETAPA"</formula>
    </cfRule>
    <cfRule type="expression" priority="46880" dxfId="3">
      <formula>$H270="ETAPA"</formula>
    </cfRule>
  </conditionalFormatting>
  <conditionalFormatting sqref="L271">
    <cfRule type="expression" priority="46875" dxfId="5">
      <formula>$H271="CÉLULA CONSTRUTIVA"</formula>
    </cfRule>
    <cfRule type="expression" priority="46876" dxfId="4">
      <formula>$H271="SUBETAPA"</formula>
    </cfRule>
    <cfRule type="expression" priority="46877" dxfId="3">
      <formula>$H271="ETAPA"</formula>
    </cfRule>
  </conditionalFormatting>
  <conditionalFormatting sqref="L272">
    <cfRule type="expression" priority="46872" dxfId="5">
      <formula>$H272="CÉLULA CONSTRUTIVA"</formula>
    </cfRule>
    <cfRule type="expression" priority="46873" dxfId="4">
      <formula>$H272="SUBETAPA"</formula>
    </cfRule>
    <cfRule type="expression" priority="46874" dxfId="3">
      <formula>$H272="ETAPA"</formula>
    </cfRule>
  </conditionalFormatting>
  <conditionalFormatting sqref="L273">
    <cfRule type="expression" priority="46869" dxfId="5">
      <formula>$H273="CÉLULA CONSTRUTIVA"</formula>
    </cfRule>
    <cfRule type="expression" priority="46870" dxfId="4">
      <formula>$H273="SUBETAPA"</formula>
    </cfRule>
    <cfRule type="expression" priority="46871" dxfId="3">
      <formula>$H273="ETAPA"</formula>
    </cfRule>
  </conditionalFormatting>
  <conditionalFormatting sqref="G274:K275 L274">
    <cfRule type="expression" priority="49144" dxfId="4">
      <formula>$H274="SUBETAPA"</formula>
    </cfRule>
  </conditionalFormatting>
  <conditionalFormatting sqref="L275:L276">
    <cfRule type="expression" priority="46866" dxfId="5">
      <formula>$H275="CÉLULA CONSTRUTIVA"</formula>
    </cfRule>
    <cfRule type="expression" priority="46867" dxfId="4">
      <formula>$H275="SUBETAPA"</formula>
    </cfRule>
    <cfRule type="expression" priority="46868" dxfId="3">
      <formula>$H275="ETAPA"</formula>
    </cfRule>
  </conditionalFormatting>
  <conditionalFormatting sqref="L277">
    <cfRule type="expression" priority="46863" dxfId="5">
      <formula>$H277="CÉLULA CONSTRUTIVA"</formula>
    </cfRule>
    <cfRule type="expression" priority="46864" dxfId="4">
      <formula>$H277="SUBETAPA"</formula>
    </cfRule>
    <cfRule type="expression" priority="46865" dxfId="3">
      <formula>$H277="ETAPA"</formula>
    </cfRule>
  </conditionalFormatting>
  <conditionalFormatting sqref="L278">
    <cfRule type="expression" priority="46860" dxfId="5">
      <formula>$H278="CÉLULA CONSTRUTIVA"</formula>
    </cfRule>
    <cfRule type="expression" priority="46861" dxfId="4">
      <formula>$H278="SUBETAPA"</formula>
    </cfRule>
    <cfRule type="expression" priority="46862" dxfId="3">
      <formula>$H278="ETAPA"</formula>
    </cfRule>
  </conditionalFormatting>
  <conditionalFormatting sqref="L279">
    <cfRule type="expression" priority="46857" dxfId="5">
      <formula>$H279="CÉLULA CONSTRUTIVA"</formula>
    </cfRule>
    <cfRule type="expression" priority="46858" dxfId="4">
      <formula>$H279="SUBETAPA"</formula>
    </cfRule>
    <cfRule type="expression" priority="46859" dxfId="3">
      <formula>$H279="ETAPA"</formula>
    </cfRule>
  </conditionalFormatting>
  <conditionalFormatting sqref="L282">
    <cfRule type="expression" priority="50867" dxfId="5">
      <formula>$H282="CÉLULA CONSTRUTIVA"</formula>
    </cfRule>
    <cfRule type="expression" priority="50868" dxfId="4">
      <formula>$H282="SUBETAPA"</formula>
    </cfRule>
    <cfRule type="expression" priority="50869" dxfId="3">
      <formula>$H282="ETAPA"</formula>
    </cfRule>
  </conditionalFormatting>
  <conditionalFormatting sqref="L284">
    <cfRule type="expression" priority="49078" dxfId="5">
      <formula>$H284="CÉLULA CONSTRUTIVA"</formula>
    </cfRule>
    <cfRule type="expression" priority="49079" dxfId="4">
      <formula>$H284="SUBETAPA"</formula>
    </cfRule>
    <cfRule type="expression" priority="49080" dxfId="3">
      <formula>$H284="ETAPA"</formula>
    </cfRule>
  </conditionalFormatting>
  <conditionalFormatting sqref="L286">
    <cfRule type="expression" priority="49032" dxfId="5">
      <formula>$H286="CÉLULA CONSTRUTIVA"</formula>
    </cfRule>
    <cfRule type="expression" priority="49033" dxfId="4">
      <formula>$H286="SUBETAPA"</formula>
    </cfRule>
    <cfRule type="expression" priority="49034" dxfId="3">
      <formula>$H286="ETAPA"</formula>
    </cfRule>
  </conditionalFormatting>
  <conditionalFormatting sqref="L288">
    <cfRule type="expression" priority="48986" dxfId="5">
      <formula>$H288="CÉLULA CONSTRUTIVA"</formula>
    </cfRule>
    <cfRule type="expression" priority="48987" dxfId="4">
      <formula>$H288="SUBETAPA"</formula>
    </cfRule>
    <cfRule type="expression" priority="48988" dxfId="3">
      <formula>$H288="ETAPA"</formula>
    </cfRule>
  </conditionalFormatting>
  <conditionalFormatting sqref="L290">
    <cfRule type="expression" priority="48940" dxfId="5">
      <formula>$H290="CÉLULA CONSTRUTIVA"</formula>
    </cfRule>
    <cfRule type="expression" priority="48941" dxfId="4">
      <formula>$H290="SUBETAPA"</formula>
    </cfRule>
    <cfRule type="expression" priority="48942" dxfId="3">
      <formula>$H290="ETAPA"</formula>
    </cfRule>
  </conditionalFormatting>
  <conditionalFormatting sqref="L292">
    <cfRule type="expression" priority="48894" dxfId="5">
      <formula>$H292="CÉLULA CONSTRUTIVA"</formula>
    </cfRule>
    <cfRule type="expression" priority="48895" dxfId="4">
      <formula>$H292="SUBETAPA"</formula>
    </cfRule>
    <cfRule type="expression" priority="48896" dxfId="3">
      <formula>$H292="ETAPA"</formula>
    </cfRule>
  </conditionalFormatting>
  <conditionalFormatting sqref="L294">
    <cfRule type="expression" priority="48848" dxfId="5">
      <formula>$H294="CÉLULA CONSTRUTIVA"</formula>
    </cfRule>
    <cfRule type="expression" priority="48849" dxfId="4">
      <formula>$H294="SUBETAPA"</formula>
    </cfRule>
    <cfRule type="expression" priority="48850" dxfId="3">
      <formula>$H294="ETAPA"</formula>
    </cfRule>
  </conditionalFormatting>
  <conditionalFormatting sqref="L296">
    <cfRule type="expression" priority="46258" dxfId="5">
      <formula>$H296="CÉLULA CONSTRUTIVA"</formula>
    </cfRule>
    <cfRule type="expression" priority="46259" dxfId="4">
      <formula>$H296="SUBETAPA"</formula>
    </cfRule>
    <cfRule type="expression" priority="46260" dxfId="3">
      <formula>$H296="ETAPA"</formula>
    </cfRule>
  </conditionalFormatting>
  <conditionalFormatting sqref="L298">
    <cfRule type="expression" priority="48802" dxfId="5">
      <formula>$H298="CÉLULA CONSTRUTIVA"</formula>
    </cfRule>
    <cfRule type="expression" priority="48803" dxfId="4">
      <formula>$H298="SUBETAPA"</formula>
    </cfRule>
    <cfRule type="expression" priority="48804" dxfId="3">
      <formula>$H298="ETAPA"</formula>
    </cfRule>
  </conditionalFormatting>
  <conditionalFormatting sqref="L300">
    <cfRule type="expression" priority="48756" dxfId="5">
      <formula>$H300="CÉLULA CONSTRUTIVA"</formula>
    </cfRule>
    <cfRule type="expression" priority="48757" dxfId="4">
      <formula>$H300="SUBETAPA"</formula>
    </cfRule>
    <cfRule type="expression" priority="48758" dxfId="3">
      <formula>$H300="ETAPA"</formula>
    </cfRule>
  </conditionalFormatting>
  <conditionalFormatting sqref="L302">
    <cfRule type="expression" priority="48710" dxfId="5">
      <formula>$H302="CÉLULA CONSTRUTIVA"</formula>
    </cfRule>
    <cfRule type="expression" priority="48711" dxfId="4">
      <formula>$H302="SUBETAPA"</formula>
    </cfRule>
    <cfRule type="expression" priority="48712" dxfId="3">
      <formula>$H302="ETAPA"</formula>
    </cfRule>
  </conditionalFormatting>
  <conditionalFormatting sqref="L304">
    <cfRule type="expression" priority="48664" dxfId="5">
      <formula>$H304="CÉLULA CONSTRUTIVA"</formula>
    </cfRule>
    <cfRule type="expression" priority="48665" dxfId="4">
      <formula>$H304="SUBETAPA"</formula>
    </cfRule>
    <cfRule type="expression" priority="48666" dxfId="3">
      <formula>$H304="ETAPA"</formula>
    </cfRule>
  </conditionalFormatting>
  <conditionalFormatting sqref="L306">
    <cfRule type="expression" priority="48618" dxfId="5">
      <formula>$H306="CÉLULA CONSTRUTIVA"</formula>
    </cfRule>
    <cfRule type="expression" priority="48619" dxfId="4">
      <formula>$H306="SUBETAPA"</formula>
    </cfRule>
    <cfRule type="expression" priority="48620" dxfId="3">
      <formula>$H306="ETAPA"</formula>
    </cfRule>
  </conditionalFormatting>
  <conditionalFormatting sqref="L308">
    <cfRule type="expression" priority="48572" dxfId="5">
      <formula>$H308="CÉLULA CONSTRUTIVA"</formula>
    </cfRule>
    <cfRule type="expression" priority="48573" dxfId="4">
      <formula>$H308="SUBETAPA"</formula>
    </cfRule>
    <cfRule type="expression" priority="48574" dxfId="3">
      <formula>$H308="ETAPA"</formula>
    </cfRule>
  </conditionalFormatting>
  <conditionalFormatting sqref="L310">
    <cfRule type="expression" priority="48526" dxfId="5">
      <formula>$H310="CÉLULA CONSTRUTIVA"</formula>
    </cfRule>
    <cfRule type="expression" priority="48527" dxfId="4">
      <formula>$H310="SUBETAPA"</formula>
    </cfRule>
    <cfRule type="expression" priority="48528" dxfId="3">
      <formula>$H310="ETAPA"</formula>
    </cfRule>
  </conditionalFormatting>
  <conditionalFormatting sqref="L312">
    <cfRule type="expression" priority="48480" dxfId="5">
      <formula>$H312="CÉLULA CONSTRUTIVA"</formula>
    </cfRule>
    <cfRule type="expression" priority="48481" dxfId="4">
      <formula>$H312="SUBETAPA"</formula>
    </cfRule>
    <cfRule type="expression" priority="48482" dxfId="3">
      <formula>$H312="ETAPA"</formula>
    </cfRule>
  </conditionalFormatting>
  <conditionalFormatting sqref="L359">
    <cfRule type="expression" priority="46204" dxfId="5">
      <formula>$H359="CÉLULA CONSTRUTIVA"</formula>
    </cfRule>
    <cfRule type="expression" priority="46205" dxfId="4">
      <formula>$H359="SUBETAPA"</formula>
    </cfRule>
    <cfRule type="expression" priority="46206" dxfId="3">
      <formula>$H359="ETAPA"</formula>
    </cfRule>
  </conditionalFormatting>
  <conditionalFormatting sqref="L361 L363 L365 L367 L369 L371 L373 L375 L377">
    <cfRule type="expression" priority="47775" dxfId="5">
      <formula>$H361="CÉLULA CONSTRUTIVA"</formula>
    </cfRule>
    <cfRule type="expression" priority="47776" dxfId="4">
      <formula>$H361="SUBETAPA"</formula>
    </cfRule>
    <cfRule type="expression" priority="47777" dxfId="3">
      <formula>$H361="ETAPA"</formula>
    </cfRule>
  </conditionalFormatting>
  <conditionalFormatting sqref="L398 O398">
    <cfRule type="expression" priority="7557" dxfId="4">
      <formula>$H398="SUBETAPA"</formula>
    </cfRule>
    <cfRule type="expression" priority="7581" dxfId="5">
      <formula>$H398="CÉLULA CONSTRUTIVA"</formula>
    </cfRule>
  </conditionalFormatting>
  <conditionalFormatting sqref="L398">
    <cfRule type="expression" priority="7554" dxfId="3">
      <formula>$H398="ETAPA"</formula>
    </cfRule>
    <cfRule type="expression" priority="7555" dxfId="4">
      <formula>$H398="SUBETAPA"</formula>
    </cfRule>
    <cfRule type="expression" priority="7580" dxfId="3">
      <formula>$H398="ETAPA"</formula>
    </cfRule>
  </conditionalFormatting>
  <conditionalFormatting sqref="L413:L414">
    <cfRule type="expression" priority="61006" dxfId="3">
      <formula>$H413="ETAPA"</formula>
    </cfRule>
    <cfRule type="expression" priority="61007" dxfId="4">
      <formula>$H413="SUBETAPA"</formula>
    </cfRule>
  </conditionalFormatting>
  <conditionalFormatting sqref="L415">
    <cfRule type="expression" priority="7534" dxfId="3">
      <formula>$H415="ETAPA"</formula>
    </cfRule>
    <cfRule type="expression" priority="7535" dxfId="4">
      <formula>$H415="SUBETAPA"</formula>
    </cfRule>
    <cfRule type="expression" priority="7536" dxfId="4">
      <formula>$H415="SUBETAPA"</formula>
    </cfRule>
    <cfRule type="expression" priority="7537" dxfId="3">
      <formula>$H415="ETAPA"</formula>
    </cfRule>
    <cfRule type="expression" priority="7538" dxfId="5">
      <formula>$H415="CÉLULA CONSTRUTIVA"</formula>
    </cfRule>
  </conditionalFormatting>
  <conditionalFormatting sqref="L429:L430">
    <cfRule type="expression" priority="61004" dxfId="3">
      <formula>$H429="ETAPA"</formula>
    </cfRule>
    <cfRule type="expression" priority="61005" dxfId="4">
      <formula>$H429="SUBETAPA"</formula>
    </cfRule>
  </conditionalFormatting>
  <conditionalFormatting sqref="L431">
    <cfRule type="expression" priority="7507" dxfId="5">
      <formula>$H431="CÉLULA CONSTRUTIVA"</formula>
    </cfRule>
    <cfRule type="expression" priority="7508" dxfId="3">
      <formula>$H431="ETAPA"</formula>
    </cfRule>
    <cfRule type="expression" priority="7509" dxfId="4">
      <formula>$H431="SUBETAPA"</formula>
    </cfRule>
    <cfRule type="expression" priority="7510" dxfId="4">
      <formula>$H431="SUBETAPA"</formula>
    </cfRule>
    <cfRule type="expression" priority="7511" dxfId="3">
      <formula>$H431="ETAPA"</formula>
    </cfRule>
  </conditionalFormatting>
  <conditionalFormatting sqref="L445:L446">
    <cfRule type="expression" priority="61002" dxfId="3">
      <formula>$H445="ETAPA"</formula>
    </cfRule>
    <cfRule type="expression" priority="61003" dxfId="4">
      <formula>$H445="SUBETAPA"</formula>
    </cfRule>
  </conditionalFormatting>
  <conditionalFormatting sqref="L447">
    <cfRule type="expression" priority="7469" dxfId="5">
      <formula>$H447="CÉLULA CONSTRUTIVA"</formula>
    </cfRule>
    <cfRule type="expression" priority="7470" dxfId="3">
      <formula>$H447="ETAPA"</formula>
    </cfRule>
    <cfRule type="expression" priority="7471" dxfId="4">
      <formula>$H447="SUBETAPA"</formula>
    </cfRule>
    <cfRule type="expression" priority="7472" dxfId="4">
      <formula>$H447="SUBETAPA"</formula>
    </cfRule>
    <cfRule type="expression" priority="7473" dxfId="3">
      <formula>$H447="ETAPA"</formula>
    </cfRule>
  </conditionalFormatting>
  <conditionalFormatting sqref="L462:L463">
    <cfRule type="expression" priority="61000" dxfId="3">
      <formula>$H462="ETAPA"</formula>
    </cfRule>
    <cfRule type="expression" priority="61001" dxfId="4">
      <formula>$H462="SUBETAPA"</formula>
    </cfRule>
  </conditionalFormatting>
  <conditionalFormatting sqref="L464">
    <cfRule type="expression" priority="7438" dxfId="5">
      <formula>$H464="CÉLULA CONSTRUTIVA"</formula>
    </cfRule>
    <cfRule type="expression" priority="7439" dxfId="3">
      <formula>$H464="ETAPA"</formula>
    </cfRule>
    <cfRule type="expression" priority="7440" dxfId="4">
      <formula>$H464="SUBETAPA"</formula>
    </cfRule>
    <cfRule type="expression" priority="7441" dxfId="4">
      <formula>$H464="SUBETAPA"</formula>
    </cfRule>
    <cfRule type="expression" priority="7442" dxfId="3">
      <formula>$H464="ETAPA"</formula>
    </cfRule>
  </conditionalFormatting>
  <conditionalFormatting sqref="L479:L480">
    <cfRule type="expression" priority="60998" dxfId="3">
      <formula>$H479="ETAPA"</formula>
    </cfRule>
    <cfRule type="expression" priority="60999" dxfId="4">
      <formula>$H479="SUBETAPA"</formula>
    </cfRule>
  </conditionalFormatting>
  <conditionalFormatting sqref="L481">
    <cfRule type="expression" priority="7407" dxfId="5">
      <formula>$H481="CÉLULA CONSTRUTIVA"</formula>
    </cfRule>
    <cfRule type="expression" priority="7408" dxfId="3">
      <formula>$H481="ETAPA"</formula>
    </cfRule>
    <cfRule type="expression" priority="7409" dxfId="4">
      <formula>$H481="SUBETAPA"</formula>
    </cfRule>
    <cfRule type="expression" priority="7410" dxfId="4">
      <formula>$H481="SUBETAPA"</formula>
    </cfRule>
    <cfRule type="expression" priority="7411" dxfId="3">
      <formula>$H481="ETAPA"</formula>
    </cfRule>
  </conditionalFormatting>
  <conditionalFormatting sqref="L496:L497">
    <cfRule type="expression" priority="60996" dxfId="3">
      <formula>$H496="ETAPA"</formula>
    </cfRule>
    <cfRule type="expression" priority="60997" dxfId="4">
      <formula>$H496="SUBETAPA"</formula>
    </cfRule>
  </conditionalFormatting>
  <conditionalFormatting sqref="L498">
    <cfRule type="expression" priority="7376" dxfId="5">
      <formula>$H498="CÉLULA CONSTRUTIVA"</formula>
    </cfRule>
    <cfRule type="expression" priority="7377" dxfId="3">
      <formula>$H498="ETAPA"</formula>
    </cfRule>
    <cfRule type="expression" priority="7378" dxfId="4">
      <formula>$H498="SUBETAPA"</formula>
    </cfRule>
    <cfRule type="expression" priority="7379" dxfId="4">
      <formula>$H498="SUBETAPA"</formula>
    </cfRule>
    <cfRule type="expression" priority="7380" dxfId="3">
      <formula>$H498="ETAPA"</formula>
    </cfRule>
  </conditionalFormatting>
  <conditionalFormatting sqref="L514:L515">
    <cfRule type="expression" priority="60994" dxfId="3">
      <formula>$H514="ETAPA"</formula>
    </cfRule>
    <cfRule type="expression" priority="60995" dxfId="4">
      <formula>$H514="SUBETAPA"</formula>
    </cfRule>
  </conditionalFormatting>
  <conditionalFormatting sqref="L516">
    <cfRule type="expression" priority="7345" dxfId="5">
      <formula>$H516="CÉLULA CONSTRUTIVA"</formula>
    </cfRule>
    <cfRule type="expression" priority="7346" dxfId="3">
      <formula>$H516="ETAPA"</formula>
    </cfRule>
    <cfRule type="expression" priority="7347" dxfId="4">
      <formula>$H516="SUBETAPA"</formula>
    </cfRule>
    <cfRule type="expression" priority="7348" dxfId="4">
      <formula>$H516="SUBETAPA"</formula>
    </cfRule>
    <cfRule type="expression" priority="7349" dxfId="3">
      <formula>$H516="ETAPA"</formula>
    </cfRule>
  </conditionalFormatting>
  <conditionalFormatting sqref="L532:L533">
    <cfRule type="expression" priority="60992" dxfId="3">
      <formula>$H532="ETAPA"</formula>
    </cfRule>
    <cfRule type="expression" priority="60993" dxfId="4">
      <formula>$H532="SUBETAPA"</formula>
    </cfRule>
  </conditionalFormatting>
  <conditionalFormatting sqref="L534">
    <cfRule type="expression" priority="7314" dxfId="5">
      <formula>$H534="CÉLULA CONSTRUTIVA"</formula>
    </cfRule>
    <cfRule type="expression" priority="7315" dxfId="3">
      <formula>$H534="ETAPA"</formula>
    </cfRule>
    <cfRule type="expression" priority="7316" dxfId="4">
      <formula>$H534="SUBETAPA"</formula>
    </cfRule>
    <cfRule type="expression" priority="7317" dxfId="4">
      <formula>$H534="SUBETAPA"</formula>
    </cfRule>
    <cfRule type="expression" priority="7318" dxfId="3">
      <formula>$H534="ETAPA"</formula>
    </cfRule>
  </conditionalFormatting>
  <conditionalFormatting sqref="L550:L551">
    <cfRule type="expression" priority="60990" dxfId="3">
      <formula>$H550="ETAPA"</formula>
    </cfRule>
    <cfRule type="expression" priority="60991" dxfId="4">
      <formula>$H550="SUBETAPA"</formula>
    </cfRule>
  </conditionalFormatting>
  <conditionalFormatting sqref="L552">
    <cfRule type="expression" priority="7283" dxfId="5">
      <formula>$H552="CÉLULA CONSTRUTIVA"</formula>
    </cfRule>
    <cfRule type="expression" priority="7284" dxfId="3">
      <formula>$H552="ETAPA"</formula>
    </cfRule>
    <cfRule type="expression" priority="7285" dxfId="4">
      <formula>$H552="SUBETAPA"</formula>
    </cfRule>
    <cfRule type="expression" priority="7286" dxfId="4">
      <formula>$H552="SUBETAPA"</formula>
    </cfRule>
    <cfRule type="expression" priority="7287" dxfId="3">
      <formula>$H552="ETAPA"</formula>
    </cfRule>
  </conditionalFormatting>
  <conditionalFormatting sqref="L568:L569">
    <cfRule type="expression" priority="60988" dxfId="3">
      <formula>$H568="ETAPA"</formula>
    </cfRule>
    <cfRule type="expression" priority="60989" dxfId="4">
      <formula>$H568="SUBETAPA"</formula>
    </cfRule>
  </conditionalFormatting>
  <conditionalFormatting sqref="L570">
    <cfRule type="expression" priority="7252" dxfId="5">
      <formula>$H570="CÉLULA CONSTRUTIVA"</formula>
    </cfRule>
    <cfRule type="expression" priority="7253" dxfId="3">
      <formula>$H570="ETAPA"</formula>
    </cfRule>
    <cfRule type="expression" priority="7254" dxfId="4">
      <formula>$H570="SUBETAPA"</formula>
    </cfRule>
    <cfRule type="expression" priority="7255" dxfId="4">
      <formula>$H570="SUBETAPA"</formula>
    </cfRule>
    <cfRule type="expression" priority="7256" dxfId="3">
      <formula>$H570="ETAPA"</formula>
    </cfRule>
  </conditionalFormatting>
  <conditionalFormatting sqref="L584:L585">
    <cfRule type="expression" priority="60986" dxfId="3">
      <formula>$H584="ETAPA"</formula>
    </cfRule>
    <cfRule type="expression" priority="60987" dxfId="4">
      <formula>$H584="SUBETAPA"</formula>
    </cfRule>
  </conditionalFormatting>
  <conditionalFormatting sqref="L586">
    <cfRule type="expression" priority="7221" dxfId="5">
      <formula>$H586="CÉLULA CONSTRUTIVA"</formula>
    </cfRule>
    <cfRule type="expression" priority="7222" dxfId="3">
      <formula>$H586="ETAPA"</formula>
    </cfRule>
    <cfRule type="expression" priority="7223" dxfId="4">
      <formula>$H586="SUBETAPA"</formula>
    </cfRule>
    <cfRule type="expression" priority="7224" dxfId="4">
      <formula>$H586="SUBETAPA"</formula>
    </cfRule>
    <cfRule type="expression" priority="7225" dxfId="3">
      <formula>$H586="ETAPA"</formula>
    </cfRule>
  </conditionalFormatting>
  <conditionalFormatting sqref="L603:L604">
    <cfRule type="expression" priority="60984" dxfId="3">
      <formula>$H603="ETAPA"</formula>
    </cfRule>
    <cfRule type="expression" priority="60985" dxfId="4">
      <formula>$H603="SUBETAPA"</formula>
    </cfRule>
  </conditionalFormatting>
  <conditionalFormatting sqref="L605">
    <cfRule type="expression" priority="7190" dxfId="5">
      <formula>$H605="CÉLULA CONSTRUTIVA"</formula>
    </cfRule>
    <cfRule type="expression" priority="7191" dxfId="3">
      <formula>$H605="ETAPA"</formula>
    </cfRule>
    <cfRule type="expression" priority="7192" dxfId="4">
      <formula>$H605="SUBETAPA"</formula>
    </cfRule>
    <cfRule type="expression" priority="7193" dxfId="4">
      <formula>$H605="SUBETAPA"</formula>
    </cfRule>
    <cfRule type="expression" priority="7194" dxfId="3">
      <formula>$H605="ETAPA"</formula>
    </cfRule>
  </conditionalFormatting>
  <conditionalFormatting sqref="L618">
    <cfRule type="expression" priority="7159" dxfId="5">
      <formula>$H618="CÉLULA CONSTRUTIVA"</formula>
    </cfRule>
    <cfRule type="expression" priority="7160" dxfId="3">
      <formula>$H618="ETAPA"</formula>
    </cfRule>
    <cfRule type="expression" priority="7161" dxfId="4">
      <formula>$H618="SUBETAPA"</formula>
    </cfRule>
    <cfRule type="expression" priority="7162" dxfId="4">
      <formula>$H618="SUBETAPA"</formula>
    </cfRule>
    <cfRule type="expression" priority="7163" dxfId="3">
      <formula>$H618="ETAPA"</formula>
    </cfRule>
  </conditionalFormatting>
  <conditionalFormatting sqref="L814">
    <cfRule type="expression" priority="56826" dxfId="3">
      <formula>$H814="ETAPA"</formula>
    </cfRule>
  </conditionalFormatting>
  <conditionalFormatting sqref="L825">
    <cfRule type="expression" priority="56935" dxfId="3">
      <formula>$H825="ETAPA"</formula>
    </cfRule>
  </conditionalFormatting>
  <conditionalFormatting sqref="L1160">
    <cfRule type="expression" priority="55485" dxfId="5">
      <formula>$H1160="CÉLULA CONSTRUTIVA"</formula>
    </cfRule>
    <cfRule type="expression" priority="55486" dxfId="4">
      <formula>$H1160="SUBETAPA"</formula>
    </cfRule>
    <cfRule type="expression" priority="55487" dxfId="3">
      <formula>$H1160="ETAPA"</formula>
    </cfRule>
  </conditionalFormatting>
  <conditionalFormatting sqref="L1161">
    <cfRule type="expression" priority="55482" dxfId="5">
      <formula>$H1161="CÉLULA CONSTRUTIVA"</formula>
    </cfRule>
    <cfRule type="expression" priority="55483" dxfId="4">
      <formula>$H1161="SUBETAPA"</formula>
    </cfRule>
    <cfRule type="expression" priority="55484" dxfId="3">
      <formula>$H1161="ETAPA"</formula>
    </cfRule>
  </conditionalFormatting>
  <conditionalFormatting sqref="L1165">
    <cfRule type="expression" priority="55579" dxfId="5">
      <formula>$H1165="CÉLULA CONSTRUTIVA"</formula>
    </cfRule>
    <cfRule type="expression" priority="55580" dxfId="4">
      <formula>$H1165="SUBETAPA"</formula>
    </cfRule>
    <cfRule type="expression" priority="55581" dxfId="3">
      <formula>$H1165="ETAPA"</formula>
    </cfRule>
  </conditionalFormatting>
  <conditionalFormatting sqref="L1166">
    <cfRule type="expression" priority="55576" dxfId="5">
      <formula>$H1166="CÉLULA CONSTRUTIVA"</formula>
    </cfRule>
    <cfRule type="expression" priority="55577" dxfId="4">
      <formula>$H1166="SUBETAPA"</formula>
    </cfRule>
    <cfRule type="expression" priority="55578" dxfId="3">
      <formula>$H1166="ETAPA"</formula>
    </cfRule>
  </conditionalFormatting>
  <conditionalFormatting sqref="L1170">
    <cfRule type="expression" priority="55673" dxfId="5">
      <formula>$H1170="CÉLULA CONSTRUTIVA"</formula>
    </cfRule>
    <cfRule type="expression" priority="55674" dxfId="4">
      <formula>$H1170="SUBETAPA"</formula>
    </cfRule>
    <cfRule type="expression" priority="55675" dxfId="3">
      <formula>$H1170="ETAPA"</formula>
    </cfRule>
  </conditionalFormatting>
  <conditionalFormatting sqref="L1171">
    <cfRule type="expression" priority="55670" dxfId="5">
      <formula>$H1171="CÉLULA CONSTRUTIVA"</formula>
    </cfRule>
    <cfRule type="expression" priority="55671" dxfId="4">
      <formula>$H1171="SUBETAPA"</formula>
    </cfRule>
    <cfRule type="expression" priority="55672" dxfId="3">
      <formula>$H1171="ETAPA"</formula>
    </cfRule>
  </conditionalFormatting>
  <conditionalFormatting sqref="L1175">
    <cfRule type="expression" priority="55767" dxfId="5">
      <formula>$H1175="CÉLULA CONSTRUTIVA"</formula>
    </cfRule>
    <cfRule type="expression" priority="55768" dxfId="4">
      <formula>$H1175="SUBETAPA"</formula>
    </cfRule>
    <cfRule type="expression" priority="55769" dxfId="3">
      <formula>$H1175="ETAPA"</formula>
    </cfRule>
  </conditionalFormatting>
  <conditionalFormatting sqref="L1176">
    <cfRule type="expression" priority="55764" dxfId="5">
      <formula>$H1176="CÉLULA CONSTRUTIVA"</formula>
    </cfRule>
    <cfRule type="expression" priority="55765" dxfId="4">
      <formula>$H1176="SUBETAPA"</formula>
    </cfRule>
    <cfRule type="expression" priority="55766" dxfId="3">
      <formula>$H1176="ETAPA"</formula>
    </cfRule>
  </conditionalFormatting>
  <conditionalFormatting sqref="L1180">
    <cfRule type="expression" priority="55861" dxfId="5">
      <formula>$H1180="CÉLULA CONSTRUTIVA"</formula>
    </cfRule>
    <cfRule type="expression" priority="55862" dxfId="4">
      <formula>$H1180="SUBETAPA"</formula>
    </cfRule>
    <cfRule type="expression" priority="55863" dxfId="3">
      <formula>$H1180="ETAPA"</formula>
    </cfRule>
  </conditionalFormatting>
  <conditionalFormatting sqref="L1181">
    <cfRule type="expression" priority="55858" dxfId="5">
      <formula>$H1181="CÉLULA CONSTRUTIVA"</formula>
    </cfRule>
    <cfRule type="expression" priority="55859" dxfId="4">
      <formula>$H1181="SUBETAPA"</formula>
    </cfRule>
    <cfRule type="expression" priority="55860" dxfId="3">
      <formula>$H1181="ETAPA"</formula>
    </cfRule>
  </conditionalFormatting>
  <conditionalFormatting sqref="L1185">
    <cfRule type="expression" priority="55955" dxfId="5">
      <formula>$H1185="CÉLULA CONSTRUTIVA"</formula>
    </cfRule>
    <cfRule type="expression" priority="55956" dxfId="4">
      <formula>$H1185="SUBETAPA"</formula>
    </cfRule>
    <cfRule type="expression" priority="55957" dxfId="3">
      <formula>$H1185="ETAPA"</formula>
    </cfRule>
  </conditionalFormatting>
  <conditionalFormatting sqref="L1186">
    <cfRule type="expression" priority="55952" dxfId="5">
      <formula>$H1186="CÉLULA CONSTRUTIVA"</formula>
    </cfRule>
    <cfRule type="expression" priority="55953" dxfId="4">
      <formula>$H1186="SUBETAPA"</formula>
    </cfRule>
    <cfRule type="expression" priority="55954" dxfId="3">
      <formula>$H1186="ETAPA"</formula>
    </cfRule>
  </conditionalFormatting>
  <conditionalFormatting sqref="L1192">
    <cfRule type="expression" priority="56049" dxfId="5">
      <formula>$H1192="CÉLULA CONSTRUTIVA"</formula>
    </cfRule>
    <cfRule type="expression" priority="56050" dxfId="4">
      <formula>$H1192="SUBETAPA"</formula>
    </cfRule>
    <cfRule type="expression" priority="56051" dxfId="3">
      <formula>$H1192="ETAPA"</formula>
    </cfRule>
  </conditionalFormatting>
  <conditionalFormatting sqref="L1193">
    <cfRule type="expression" priority="56046" dxfId="5">
      <formula>$H1193="CÉLULA CONSTRUTIVA"</formula>
    </cfRule>
    <cfRule type="expression" priority="56047" dxfId="4">
      <formula>$H1193="SUBETAPA"</formula>
    </cfRule>
    <cfRule type="expression" priority="56048" dxfId="3">
      <formula>$H1193="ETAPA"</formula>
    </cfRule>
  </conditionalFormatting>
  <conditionalFormatting sqref="L1199">
    <cfRule type="expression" priority="56143" dxfId="5">
      <formula>$H1199="CÉLULA CONSTRUTIVA"</formula>
    </cfRule>
    <cfRule type="expression" priority="56144" dxfId="4">
      <formula>$H1199="SUBETAPA"</formula>
    </cfRule>
    <cfRule type="expression" priority="56145" dxfId="3">
      <formula>$H1199="ETAPA"</formula>
    </cfRule>
  </conditionalFormatting>
  <conditionalFormatting sqref="L1200">
    <cfRule type="expression" priority="56140" dxfId="5">
      <formula>$H1200="CÉLULA CONSTRUTIVA"</formula>
    </cfRule>
    <cfRule type="expression" priority="56141" dxfId="4">
      <formula>$H1200="SUBETAPA"</formula>
    </cfRule>
    <cfRule type="expression" priority="56142" dxfId="3">
      <formula>$H1200="ETAPA"</formula>
    </cfRule>
  </conditionalFormatting>
  <conditionalFormatting sqref="L1206">
    <cfRule type="expression" priority="56237" dxfId="5">
      <formula>$H1206="CÉLULA CONSTRUTIVA"</formula>
    </cfRule>
    <cfRule type="expression" priority="56238" dxfId="4">
      <formula>$H1206="SUBETAPA"</formula>
    </cfRule>
    <cfRule type="expression" priority="56239" dxfId="3">
      <formula>$H1206="ETAPA"</formula>
    </cfRule>
  </conditionalFormatting>
  <conditionalFormatting sqref="L1207">
    <cfRule type="expression" priority="56234" dxfId="5">
      <formula>$H1207="CÉLULA CONSTRUTIVA"</formula>
    </cfRule>
    <cfRule type="expression" priority="56235" dxfId="4">
      <formula>$H1207="SUBETAPA"</formula>
    </cfRule>
    <cfRule type="expression" priority="56236" dxfId="3">
      <formula>$H1207="ETAPA"</formula>
    </cfRule>
  </conditionalFormatting>
  <conditionalFormatting sqref="L1213">
    <cfRule type="expression" priority="56331" dxfId="5">
      <formula>$H1213="CÉLULA CONSTRUTIVA"</formula>
    </cfRule>
    <cfRule type="expression" priority="56332" dxfId="4">
      <formula>$H1213="SUBETAPA"</formula>
    </cfRule>
    <cfRule type="expression" priority="56333" dxfId="3">
      <formula>$H1213="ETAPA"</formula>
    </cfRule>
  </conditionalFormatting>
  <conditionalFormatting sqref="L1214">
    <cfRule type="expression" priority="56328" dxfId="5">
      <formula>$H1214="CÉLULA CONSTRUTIVA"</formula>
    </cfRule>
    <cfRule type="expression" priority="56329" dxfId="4">
      <formula>$H1214="SUBETAPA"</formula>
    </cfRule>
    <cfRule type="expression" priority="56330" dxfId="3">
      <formula>$H1214="ETAPA"</formula>
    </cfRule>
  </conditionalFormatting>
  <conditionalFormatting sqref="L1220">
    <cfRule type="expression" priority="56425" dxfId="5">
      <formula>$H1220="CÉLULA CONSTRUTIVA"</formula>
    </cfRule>
    <cfRule type="expression" priority="56426" dxfId="4">
      <formula>$H1220="SUBETAPA"</formula>
    </cfRule>
    <cfRule type="expression" priority="56427" dxfId="3">
      <formula>$H1220="ETAPA"</formula>
    </cfRule>
  </conditionalFormatting>
  <conditionalFormatting sqref="L1221">
    <cfRule type="expression" priority="56422" dxfId="5">
      <formula>$H1221="CÉLULA CONSTRUTIVA"</formula>
    </cfRule>
    <cfRule type="expression" priority="56423" dxfId="4">
      <formula>$H1221="SUBETAPA"</formula>
    </cfRule>
    <cfRule type="expression" priority="56424" dxfId="3">
      <formula>$H1221="ETAPA"</formula>
    </cfRule>
  </conditionalFormatting>
  <conditionalFormatting sqref="L1225">
    <cfRule type="expression" priority="56519" dxfId="5">
      <formula>$H1225="CÉLULA CONSTRUTIVA"</formula>
    </cfRule>
    <cfRule type="expression" priority="56520" dxfId="4">
      <formula>$H1225="SUBETAPA"</formula>
    </cfRule>
    <cfRule type="expression" priority="56521" dxfId="3">
      <formula>$H1225="ETAPA"</formula>
    </cfRule>
  </conditionalFormatting>
  <conditionalFormatting sqref="L1226">
    <cfRule type="expression" priority="56516" dxfId="5">
      <formula>$H1226="CÉLULA CONSTRUTIVA"</formula>
    </cfRule>
    <cfRule type="expression" priority="56517" dxfId="4">
      <formula>$H1226="SUBETAPA"</formula>
    </cfRule>
    <cfRule type="expression" priority="56518" dxfId="3">
      <formula>$H1226="ETAPA"</formula>
    </cfRule>
  </conditionalFormatting>
  <conditionalFormatting sqref="L1232">
    <cfRule type="expression" priority="56613" dxfId="5">
      <formula>$H1232="CÉLULA CONSTRUTIVA"</formula>
    </cfRule>
    <cfRule type="expression" priority="56614" dxfId="4">
      <formula>$H1232="SUBETAPA"</formula>
    </cfRule>
    <cfRule type="expression" priority="56615" dxfId="3">
      <formula>$H1232="ETAPA"</formula>
    </cfRule>
  </conditionalFormatting>
  <conditionalFormatting sqref="L1233">
    <cfRule type="expression" priority="56610" dxfId="5">
      <formula>$H1233="CÉLULA CONSTRUTIVA"</formula>
    </cfRule>
    <cfRule type="expression" priority="56611" dxfId="4">
      <formula>$H1233="SUBETAPA"</formula>
    </cfRule>
    <cfRule type="expression" priority="56612" dxfId="3">
      <formula>$H1233="ETAPA"</formula>
    </cfRule>
  </conditionalFormatting>
  <conditionalFormatting sqref="L1237">
    <cfRule type="expression" priority="56707" dxfId="5">
      <formula>$H1237="CÉLULA CONSTRUTIVA"</formula>
    </cfRule>
    <cfRule type="expression" priority="56708" dxfId="4">
      <formula>$H1237="SUBETAPA"</formula>
    </cfRule>
    <cfRule type="expression" priority="56709" dxfId="3">
      <formula>$H1237="ETAPA"</formula>
    </cfRule>
  </conditionalFormatting>
  <conditionalFormatting sqref="L1238">
    <cfRule type="expression" priority="56704" dxfId="5">
      <formula>$H1238="CÉLULA CONSTRUTIVA"</formula>
    </cfRule>
    <cfRule type="expression" priority="56705" dxfId="4">
      <formula>$H1238="SUBETAPA"</formula>
    </cfRule>
    <cfRule type="expression" priority="56706" dxfId="3">
      <formula>$H1238="ETAPA"</formula>
    </cfRule>
  </conditionalFormatting>
  <conditionalFormatting sqref="L1239">
    <cfRule type="expression" priority="86916" dxfId="5">
      <formula>$H1239="CÉLULA CONSTRUTIVA"</formula>
    </cfRule>
    <cfRule type="expression" priority="86917" dxfId="4">
      <formula>$H1239="SUBETAPA"</formula>
    </cfRule>
    <cfRule type="expression" priority="86918" dxfId="3">
      <formula>$H1239="ETAPA"</formula>
    </cfRule>
  </conditionalFormatting>
  <conditionalFormatting sqref="L1240">
    <cfRule type="expression" priority="86913" dxfId="5">
      <formula>$H1240="CÉLULA CONSTRUTIVA"</formula>
    </cfRule>
    <cfRule type="expression" priority="86914" dxfId="4">
      <formula>$H1240="SUBETAPA"</formula>
    </cfRule>
    <cfRule type="expression" priority="86915" dxfId="3">
      <formula>$H1240="ETAPA"</formula>
    </cfRule>
  </conditionalFormatting>
  <conditionalFormatting sqref="L1241">
    <cfRule type="expression" priority="86910" dxfId="5">
      <formula>$H1241="CÉLULA CONSTRUTIVA"</formula>
    </cfRule>
    <cfRule type="expression" priority="86911" dxfId="4">
      <formula>$H1241="SUBETAPA"</formula>
    </cfRule>
    <cfRule type="expression" priority="86912" dxfId="3">
      <formula>$H1241="ETAPA"</formula>
    </cfRule>
  </conditionalFormatting>
  <conditionalFormatting sqref="L1262">
    <cfRule type="expression" priority="2713" dxfId="3">
      <formula>$H1262="ETAPA"</formula>
    </cfRule>
    <cfRule type="expression" priority="2724" dxfId="5">
      <formula>$H1262="CÉLULA CONSTRUTIVA"</formula>
    </cfRule>
    <cfRule type="expression" priority="2725" dxfId="4">
      <formula>$H1262="SUBETAPA"</formula>
    </cfRule>
  </conditionalFormatting>
  <conditionalFormatting sqref="L1263:L1264">
    <cfRule type="expression" priority="2710" dxfId="5">
      <formula>$H1263="CÉLULA CONSTRUTIVA"</formula>
    </cfRule>
    <cfRule type="expression" priority="2711" dxfId="4">
      <formula>$H1263="SUBETAPA"</formula>
    </cfRule>
    <cfRule type="expression" priority="2712" dxfId="3">
      <formula>$H1263="ETAPA"</formula>
    </cfRule>
  </conditionalFormatting>
  <conditionalFormatting sqref="L1265">
    <cfRule type="expression" priority="2707" dxfId="5">
      <formula>$H1265="CÉLULA CONSTRUTIVA"</formula>
    </cfRule>
    <cfRule type="expression" priority="2708" dxfId="4">
      <formula>$H1265="SUBETAPA"</formula>
    </cfRule>
    <cfRule type="expression" priority="2709" dxfId="3">
      <formula>$H1265="ETAPA"</formula>
    </cfRule>
  </conditionalFormatting>
  <conditionalFormatting sqref="L1266">
    <cfRule type="expression" priority="2704" dxfId="5">
      <formula>$H1266="CÉLULA CONSTRUTIVA"</formula>
    </cfRule>
    <cfRule type="expression" priority="2705" dxfId="4">
      <formula>$H1266="SUBETAPA"</formula>
    </cfRule>
    <cfRule type="expression" priority="2706" dxfId="3">
      <formula>$H1266="ETAPA"</formula>
    </cfRule>
  </conditionalFormatting>
  <conditionalFormatting sqref="L1276">
    <cfRule type="expression" priority="2782" dxfId="3">
      <formula>$H1276="ETAPA"</formula>
    </cfRule>
    <cfRule type="expression" priority="2793" dxfId="5">
      <formula>$H1276="CÉLULA CONSTRUTIVA"</formula>
    </cfRule>
    <cfRule type="expression" priority="2794" dxfId="4">
      <formula>$H1276="SUBETAPA"</formula>
    </cfRule>
  </conditionalFormatting>
  <conditionalFormatting sqref="L1277:L1278">
    <cfRule type="expression" priority="2779" dxfId="5">
      <formula>$H1277="CÉLULA CONSTRUTIVA"</formula>
    </cfRule>
    <cfRule type="expression" priority="2780" dxfId="4">
      <formula>$H1277="SUBETAPA"</formula>
    </cfRule>
    <cfRule type="expression" priority="2781" dxfId="3">
      <formula>$H1277="ETAPA"</formula>
    </cfRule>
  </conditionalFormatting>
  <conditionalFormatting sqref="L1279">
    <cfRule type="expression" priority="2776" dxfId="5">
      <formula>$H1279="CÉLULA CONSTRUTIVA"</formula>
    </cfRule>
    <cfRule type="expression" priority="2777" dxfId="4">
      <formula>$H1279="SUBETAPA"</formula>
    </cfRule>
    <cfRule type="expression" priority="2778" dxfId="3">
      <formula>$H1279="ETAPA"</formula>
    </cfRule>
  </conditionalFormatting>
  <conditionalFormatting sqref="L1280">
    <cfRule type="expression" priority="2773" dxfId="5">
      <formula>$H1280="CÉLULA CONSTRUTIVA"</formula>
    </cfRule>
    <cfRule type="expression" priority="2774" dxfId="4">
      <formula>$H1280="SUBETAPA"</formula>
    </cfRule>
    <cfRule type="expression" priority="2775" dxfId="3">
      <formula>$H1280="ETAPA"</formula>
    </cfRule>
  </conditionalFormatting>
  <conditionalFormatting sqref="L1290">
    <cfRule type="expression" priority="2851" dxfId="3">
      <formula>$H1290="ETAPA"</formula>
    </cfRule>
    <cfRule type="expression" priority="2862" dxfId="5">
      <formula>$H1290="CÉLULA CONSTRUTIVA"</formula>
    </cfRule>
    <cfRule type="expression" priority="2863" dxfId="4">
      <formula>$H1290="SUBETAPA"</formula>
    </cfRule>
  </conditionalFormatting>
  <conditionalFormatting sqref="L1291:L1292">
    <cfRule type="expression" priority="2848" dxfId="5">
      <formula>$H1291="CÉLULA CONSTRUTIVA"</formula>
    </cfRule>
    <cfRule type="expression" priority="2849" dxfId="4">
      <formula>$H1291="SUBETAPA"</formula>
    </cfRule>
    <cfRule type="expression" priority="2850" dxfId="3">
      <formula>$H1291="ETAPA"</formula>
    </cfRule>
  </conditionalFormatting>
  <conditionalFormatting sqref="L1293">
    <cfRule type="expression" priority="2845" dxfId="5">
      <formula>$H1293="CÉLULA CONSTRUTIVA"</formula>
    </cfRule>
    <cfRule type="expression" priority="2846" dxfId="4">
      <formula>$H1293="SUBETAPA"</formula>
    </cfRule>
    <cfRule type="expression" priority="2847" dxfId="3">
      <formula>$H1293="ETAPA"</formula>
    </cfRule>
  </conditionalFormatting>
  <conditionalFormatting sqref="L1294">
    <cfRule type="expression" priority="2842" dxfId="5">
      <formula>$H1294="CÉLULA CONSTRUTIVA"</formula>
    </cfRule>
    <cfRule type="expression" priority="2843" dxfId="4">
      <formula>$H1294="SUBETAPA"</formula>
    </cfRule>
    <cfRule type="expression" priority="2844" dxfId="3">
      <formula>$H1294="ETAPA"</formula>
    </cfRule>
  </conditionalFormatting>
  <conditionalFormatting sqref="L1304">
    <cfRule type="expression" priority="2920" dxfId="3">
      <formula>$H1304="ETAPA"</formula>
    </cfRule>
    <cfRule type="expression" priority="2931" dxfId="5">
      <formula>$H1304="CÉLULA CONSTRUTIVA"</formula>
    </cfRule>
    <cfRule type="expression" priority="2932" dxfId="4">
      <formula>$H1304="SUBETAPA"</formula>
    </cfRule>
  </conditionalFormatting>
  <conditionalFormatting sqref="L1305:L1306">
    <cfRule type="expression" priority="2917" dxfId="5">
      <formula>$H1305="CÉLULA CONSTRUTIVA"</formula>
    </cfRule>
    <cfRule type="expression" priority="2918" dxfId="4">
      <formula>$H1305="SUBETAPA"</formula>
    </cfRule>
    <cfRule type="expression" priority="2919" dxfId="3">
      <formula>$H1305="ETAPA"</formula>
    </cfRule>
  </conditionalFormatting>
  <conditionalFormatting sqref="L1307">
    <cfRule type="expression" priority="2914" dxfId="5">
      <formula>$H1307="CÉLULA CONSTRUTIVA"</formula>
    </cfRule>
    <cfRule type="expression" priority="2915" dxfId="4">
      <formula>$H1307="SUBETAPA"</formula>
    </cfRule>
    <cfRule type="expression" priority="2916" dxfId="3">
      <formula>$H1307="ETAPA"</formula>
    </cfRule>
  </conditionalFormatting>
  <conditionalFormatting sqref="L1308">
    <cfRule type="expression" priority="2911" dxfId="5">
      <formula>$H1308="CÉLULA CONSTRUTIVA"</formula>
    </cfRule>
    <cfRule type="expression" priority="2912" dxfId="4">
      <formula>$H1308="SUBETAPA"</formula>
    </cfRule>
    <cfRule type="expression" priority="2913" dxfId="3">
      <formula>$H1308="ETAPA"</formula>
    </cfRule>
  </conditionalFormatting>
  <conditionalFormatting sqref="L1318">
    <cfRule type="expression" priority="2989" dxfId="3">
      <formula>$H1318="ETAPA"</formula>
    </cfRule>
    <cfRule type="expression" priority="3000" dxfId="5">
      <formula>$H1318="CÉLULA CONSTRUTIVA"</formula>
    </cfRule>
    <cfRule type="expression" priority="3001" dxfId="4">
      <formula>$H1318="SUBETAPA"</formula>
    </cfRule>
  </conditionalFormatting>
  <conditionalFormatting sqref="L1319:L1320">
    <cfRule type="expression" priority="2986" dxfId="5">
      <formula>$H1319="CÉLULA CONSTRUTIVA"</formula>
    </cfRule>
    <cfRule type="expression" priority="2987" dxfId="4">
      <formula>$H1319="SUBETAPA"</formula>
    </cfRule>
    <cfRule type="expression" priority="2988" dxfId="3">
      <formula>$H1319="ETAPA"</formula>
    </cfRule>
  </conditionalFormatting>
  <conditionalFormatting sqref="L1321">
    <cfRule type="expression" priority="2983" dxfId="5">
      <formula>$H1321="CÉLULA CONSTRUTIVA"</formula>
    </cfRule>
    <cfRule type="expression" priority="2984" dxfId="4">
      <formula>$H1321="SUBETAPA"</formula>
    </cfRule>
    <cfRule type="expression" priority="2985" dxfId="3">
      <formula>$H1321="ETAPA"</formula>
    </cfRule>
  </conditionalFormatting>
  <conditionalFormatting sqref="L1322">
    <cfRule type="expression" priority="2980" dxfId="5">
      <formula>$H1322="CÉLULA CONSTRUTIVA"</formula>
    </cfRule>
    <cfRule type="expression" priority="2981" dxfId="4">
      <formula>$H1322="SUBETAPA"</formula>
    </cfRule>
    <cfRule type="expression" priority="2982" dxfId="3">
      <formula>$H1322="ETAPA"</formula>
    </cfRule>
  </conditionalFormatting>
  <conditionalFormatting sqref="L1332">
    <cfRule type="expression" priority="3058" dxfId="3">
      <formula>$H1332="ETAPA"</formula>
    </cfRule>
    <cfRule type="expression" priority="3069" dxfId="5">
      <formula>$H1332="CÉLULA CONSTRUTIVA"</formula>
    </cfRule>
    <cfRule type="expression" priority="3070" dxfId="4">
      <formula>$H1332="SUBETAPA"</formula>
    </cfRule>
  </conditionalFormatting>
  <conditionalFormatting sqref="L1333:L1334">
    <cfRule type="expression" priority="3055" dxfId="5">
      <formula>$H1333="CÉLULA CONSTRUTIVA"</formula>
    </cfRule>
    <cfRule type="expression" priority="3056" dxfId="4">
      <formula>$H1333="SUBETAPA"</formula>
    </cfRule>
    <cfRule type="expression" priority="3057" dxfId="3">
      <formula>$H1333="ETAPA"</formula>
    </cfRule>
  </conditionalFormatting>
  <conditionalFormatting sqref="L1335">
    <cfRule type="expression" priority="3052" dxfId="5">
      <formula>$H1335="CÉLULA CONSTRUTIVA"</formula>
    </cfRule>
    <cfRule type="expression" priority="3053" dxfId="4">
      <formula>$H1335="SUBETAPA"</formula>
    </cfRule>
    <cfRule type="expression" priority="3054" dxfId="3">
      <formula>$H1335="ETAPA"</formula>
    </cfRule>
  </conditionalFormatting>
  <conditionalFormatting sqref="L1336">
    <cfRule type="expression" priority="3049" dxfId="5">
      <formula>$H1336="CÉLULA CONSTRUTIVA"</formula>
    </cfRule>
    <cfRule type="expression" priority="3050" dxfId="4">
      <formula>$H1336="SUBETAPA"</formula>
    </cfRule>
    <cfRule type="expression" priority="3051" dxfId="3">
      <formula>$H1336="ETAPA"</formula>
    </cfRule>
  </conditionalFormatting>
  <conditionalFormatting sqref="L1346">
    <cfRule type="expression" priority="3127" dxfId="3">
      <formula>$H1346="ETAPA"</formula>
    </cfRule>
    <cfRule type="expression" priority="3138" dxfId="5">
      <formula>$H1346="CÉLULA CONSTRUTIVA"</formula>
    </cfRule>
    <cfRule type="expression" priority="3139" dxfId="4">
      <formula>$H1346="SUBETAPA"</formula>
    </cfRule>
  </conditionalFormatting>
  <conditionalFormatting sqref="L1347:L1348">
    <cfRule type="expression" priority="3124" dxfId="5">
      <formula>$H1347="CÉLULA CONSTRUTIVA"</formula>
    </cfRule>
    <cfRule type="expression" priority="3125" dxfId="4">
      <formula>$H1347="SUBETAPA"</formula>
    </cfRule>
    <cfRule type="expression" priority="3126" dxfId="3">
      <formula>$H1347="ETAPA"</formula>
    </cfRule>
  </conditionalFormatting>
  <conditionalFormatting sqref="L1349">
    <cfRule type="expression" priority="3121" dxfId="5">
      <formula>$H1349="CÉLULA CONSTRUTIVA"</formula>
    </cfRule>
    <cfRule type="expression" priority="3122" dxfId="4">
      <formula>$H1349="SUBETAPA"</formula>
    </cfRule>
    <cfRule type="expression" priority="3123" dxfId="3">
      <formula>$H1349="ETAPA"</formula>
    </cfRule>
  </conditionalFormatting>
  <conditionalFormatting sqref="L1350">
    <cfRule type="expression" priority="3118" dxfId="5">
      <formula>$H1350="CÉLULA CONSTRUTIVA"</formula>
    </cfRule>
    <cfRule type="expression" priority="3119" dxfId="4">
      <formula>$H1350="SUBETAPA"</formula>
    </cfRule>
    <cfRule type="expression" priority="3120" dxfId="3">
      <formula>$H1350="ETAPA"</formula>
    </cfRule>
  </conditionalFormatting>
  <conditionalFormatting sqref="L1360">
    <cfRule type="expression" priority="110374" dxfId="5">
      <formula>$H1360="CÉLULA CONSTRUTIVA"</formula>
    </cfRule>
    <cfRule type="expression" priority="110375" dxfId="4">
      <formula>$H1360="SUBETAPA"</formula>
    </cfRule>
    <cfRule type="expression" priority="110376" dxfId="3">
      <formula>$H1360="ETAPA"</formula>
    </cfRule>
  </conditionalFormatting>
  <conditionalFormatting sqref="L1361:L1362">
    <cfRule type="expression" priority="86675" dxfId="5">
      <formula>$H1361="CÉLULA CONSTRUTIVA"</formula>
    </cfRule>
    <cfRule type="expression" priority="86676" dxfId="4">
      <formula>$H1361="SUBETAPA"</formula>
    </cfRule>
    <cfRule type="expression" priority="86677" dxfId="3">
      <formula>$H1361="ETAPA"</formula>
    </cfRule>
  </conditionalFormatting>
  <conditionalFormatting sqref="L1363">
    <cfRule type="expression" priority="86672" dxfId="5">
      <formula>$H1363="CÉLULA CONSTRUTIVA"</formula>
    </cfRule>
    <cfRule type="expression" priority="86673" dxfId="4">
      <formula>$H1363="SUBETAPA"</formula>
    </cfRule>
    <cfRule type="expression" priority="86674" dxfId="3">
      <formula>$H1363="ETAPA"</formula>
    </cfRule>
  </conditionalFormatting>
  <conditionalFormatting sqref="L1364">
    <cfRule type="expression" priority="86669" dxfId="5">
      <formula>$H1364="CÉLULA CONSTRUTIVA"</formula>
    </cfRule>
    <cfRule type="expression" priority="86670" dxfId="4">
      <formula>$H1364="SUBETAPA"</formula>
    </cfRule>
    <cfRule type="expression" priority="86671" dxfId="3">
      <formula>$H1364="ETAPA"</formula>
    </cfRule>
  </conditionalFormatting>
  <conditionalFormatting sqref="L1365">
    <cfRule type="expression" priority="86666" dxfId="5">
      <formula>$H1365="CÉLULA CONSTRUTIVA"</formula>
    </cfRule>
    <cfRule type="expression" priority="86667" dxfId="4">
      <formula>$H1365="SUBETAPA"</formula>
    </cfRule>
    <cfRule type="expression" priority="86668" dxfId="3">
      <formula>$H1365="ETAPA"</formula>
    </cfRule>
  </conditionalFormatting>
  <conditionalFormatting sqref="L1366">
    <cfRule type="expression" priority="53752" dxfId="5">
      <formula>$H1366="CÉLULA CONSTRUTIVA"</formula>
    </cfRule>
    <cfRule type="expression" priority="53753" dxfId="4">
      <formula>$H1366="SUBETAPA"</formula>
    </cfRule>
    <cfRule type="expression" priority="53754" dxfId="3">
      <formula>$H1366="ETAPA"</formula>
    </cfRule>
  </conditionalFormatting>
  <conditionalFormatting sqref="L1367">
    <cfRule type="expression" priority="53749" dxfId="5">
      <formula>$H1367="CÉLULA CONSTRUTIVA"</formula>
    </cfRule>
    <cfRule type="expression" priority="53750" dxfId="4">
      <formula>$H1367="SUBETAPA"</formula>
    </cfRule>
    <cfRule type="expression" priority="53751" dxfId="3">
      <formula>$H1367="ETAPA"</formula>
    </cfRule>
  </conditionalFormatting>
  <conditionalFormatting sqref="L1368">
    <cfRule type="expression" priority="53746" dxfId="5">
      <formula>$H1368="CÉLULA CONSTRUTIVA"</formula>
    </cfRule>
    <cfRule type="expression" priority="53747" dxfId="4">
      <formula>$H1368="SUBETAPA"</formula>
    </cfRule>
    <cfRule type="expression" priority="53748" dxfId="3">
      <formula>$H1368="ETAPA"</formula>
    </cfRule>
  </conditionalFormatting>
  <conditionalFormatting sqref="L1371">
    <cfRule type="expression" priority="53876" dxfId="5">
      <formula>$H1371="CÉLULA CONSTRUTIVA"</formula>
    </cfRule>
    <cfRule type="expression" priority="53877" dxfId="4">
      <formula>$H1371="SUBETAPA"</formula>
    </cfRule>
    <cfRule type="expression" priority="53878" dxfId="3">
      <formula>$H1371="ETAPA"</formula>
    </cfRule>
  </conditionalFormatting>
  <conditionalFormatting sqref="L1374">
    <cfRule type="expression" priority="54000" dxfId="5">
      <formula>$H1374="CÉLULA CONSTRUTIVA"</formula>
    </cfRule>
    <cfRule type="expression" priority="54001" dxfId="4">
      <formula>$H1374="SUBETAPA"</formula>
    </cfRule>
    <cfRule type="expression" priority="54002" dxfId="3">
      <formula>$H1374="ETAPA"</formula>
    </cfRule>
  </conditionalFormatting>
  <conditionalFormatting sqref="L1377">
    <cfRule type="expression" priority="54124" dxfId="5">
      <formula>$H1377="CÉLULA CONSTRUTIVA"</formula>
    </cfRule>
    <cfRule type="expression" priority="54125" dxfId="4">
      <formula>$H1377="SUBETAPA"</formula>
    </cfRule>
    <cfRule type="expression" priority="54126" dxfId="3">
      <formula>$H1377="ETAPA"</formula>
    </cfRule>
  </conditionalFormatting>
  <conditionalFormatting sqref="L1380">
    <cfRule type="expression" priority="54248" dxfId="5">
      <formula>$H1380="CÉLULA CONSTRUTIVA"</formula>
    </cfRule>
    <cfRule type="expression" priority="54249" dxfId="4">
      <formula>$H1380="SUBETAPA"</formula>
    </cfRule>
    <cfRule type="expression" priority="54250" dxfId="3">
      <formula>$H1380="ETAPA"</formula>
    </cfRule>
  </conditionalFormatting>
  <conditionalFormatting sqref="L1383">
    <cfRule type="expression" priority="54372" dxfId="5">
      <formula>$H1383="CÉLULA CONSTRUTIVA"</formula>
    </cfRule>
    <cfRule type="expression" priority="54373" dxfId="4">
      <formula>$H1383="SUBETAPA"</formula>
    </cfRule>
    <cfRule type="expression" priority="54374" dxfId="3">
      <formula>$H1383="ETAPA"</formula>
    </cfRule>
  </conditionalFormatting>
  <conditionalFormatting sqref="L1386">
    <cfRule type="expression" priority="54496" dxfId="5">
      <formula>$H1386="CÉLULA CONSTRUTIVA"</formula>
    </cfRule>
    <cfRule type="expression" priority="54497" dxfId="4">
      <formula>$H1386="SUBETAPA"</formula>
    </cfRule>
    <cfRule type="expression" priority="54498" dxfId="3">
      <formula>$H1386="ETAPA"</formula>
    </cfRule>
  </conditionalFormatting>
  <conditionalFormatting sqref="L1387">
    <cfRule type="expression" priority="54493" dxfId="5">
      <formula>$H1387="CÉLULA CONSTRUTIVA"</formula>
    </cfRule>
    <cfRule type="expression" priority="54494" dxfId="4">
      <formula>$H1387="SUBETAPA"</formula>
    </cfRule>
    <cfRule type="expression" priority="54495" dxfId="3">
      <formula>$H1387="ETAPA"</formula>
    </cfRule>
  </conditionalFormatting>
  <conditionalFormatting sqref="L1388">
    <cfRule type="expression" priority="54490" dxfId="5">
      <formula>$H1388="CÉLULA CONSTRUTIVA"</formula>
    </cfRule>
    <cfRule type="expression" priority="54491" dxfId="4">
      <formula>$H1388="SUBETAPA"</formula>
    </cfRule>
    <cfRule type="expression" priority="54492" dxfId="3">
      <formula>$H1388="ETAPA"</formula>
    </cfRule>
  </conditionalFormatting>
  <conditionalFormatting sqref="L1393">
    <cfRule type="expression" priority="54620" dxfId="5">
      <formula>$H1393="CÉLULA CONSTRUTIVA"</formula>
    </cfRule>
    <cfRule type="expression" priority="54621" dxfId="4">
      <formula>$H1393="SUBETAPA"</formula>
    </cfRule>
    <cfRule type="expression" priority="54622" dxfId="3">
      <formula>$H1393="ETAPA"</formula>
    </cfRule>
  </conditionalFormatting>
  <conditionalFormatting sqref="L1394">
    <cfRule type="expression" priority="54617" dxfId="5">
      <formula>$H1394="CÉLULA CONSTRUTIVA"</formula>
    </cfRule>
    <cfRule type="expression" priority="54618" dxfId="4">
      <formula>$H1394="SUBETAPA"</formula>
    </cfRule>
    <cfRule type="expression" priority="54619" dxfId="3">
      <formula>$H1394="ETAPA"</formula>
    </cfRule>
  </conditionalFormatting>
  <conditionalFormatting sqref="L1395">
    <cfRule type="expression" priority="54614" dxfId="5">
      <formula>$H1395="CÉLULA CONSTRUTIVA"</formula>
    </cfRule>
    <cfRule type="expression" priority="54615" dxfId="4">
      <formula>$H1395="SUBETAPA"</formula>
    </cfRule>
    <cfRule type="expression" priority="54616" dxfId="3">
      <formula>$H1395="ETAPA"</formula>
    </cfRule>
  </conditionalFormatting>
  <conditionalFormatting sqref="L1400">
    <cfRule type="expression" priority="54744" dxfId="5">
      <formula>$H1400="CÉLULA CONSTRUTIVA"</formula>
    </cfRule>
    <cfRule type="expression" priority="54745" dxfId="4">
      <formula>$H1400="SUBETAPA"</formula>
    </cfRule>
    <cfRule type="expression" priority="54746" dxfId="3">
      <formula>$H1400="ETAPA"</formula>
    </cfRule>
  </conditionalFormatting>
  <conditionalFormatting sqref="L1401">
    <cfRule type="expression" priority="54741" dxfId="5">
      <formula>$H1401="CÉLULA CONSTRUTIVA"</formula>
    </cfRule>
    <cfRule type="expression" priority="54742" dxfId="4">
      <formula>$H1401="SUBETAPA"</formula>
    </cfRule>
    <cfRule type="expression" priority="54743" dxfId="3">
      <formula>$H1401="ETAPA"</formula>
    </cfRule>
  </conditionalFormatting>
  <conditionalFormatting sqref="L1402">
    <cfRule type="expression" priority="54738" dxfId="5">
      <formula>$H1402="CÉLULA CONSTRUTIVA"</formula>
    </cfRule>
    <cfRule type="expression" priority="54739" dxfId="4">
      <formula>$H1402="SUBETAPA"</formula>
    </cfRule>
    <cfRule type="expression" priority="54740" dxfId="3">
      <formula>$H1402="ETAPA"</formula>
    </cfRule>
  </conditionalFormatting>
  <conditionalFormatting sqref="L1405">
    <cfRule type="expression" priority="54868" dxfId="5">
      <formula>$H1405="CÉLULA CONSTRUTIVA"</formula>
    </cfRule>
    <cfRule type="expression" priority="54869" dxfId="4">
      <formula>$H1405="SUBETAPA"</formula>
    </cfRule>
    <cfRule type="expression" priority="54870" dxfId="3">
      <formula>$H1405="ETAPA"</formula>
    </cfRule>
  </conditionalFormatting>
  <conditionalFormatting sqref="L1406">
    <cfRule type="expression" priority="54865" dxfId="5">
      <formula>$H1406="CÉLULA CONSTRUTIVA"</formula>
    </cfRule>
    <cfRule type="expression" priority="54866" dxfId="4">
      <formula>$H1406="SUBETAPA"</formula>
    </cfRule>
    <cfRule type="expression" priority="54867" dxfId="3">
      <formula>$H1406="ETAPA"</formula>
    </cfRule>
  </conditionalFormatting>
  <conditionalFormatting sqref="L1407">
    <cfRule type="expression" priority="54862" dxfId="5">
      <formula>$H1407="CÉLULA CONSTRUTIVA"</formula>
    </cfRule>
    <cfRule type="expression" priority="54863" dxfId="4">
      <formula>$H1407="SUBETAPA"</formula>
    </cfRule>
    <cfRule type="expression" priority="54864" dxfId="3">
      <formula>$H1407="ETAPA"</formula>
    </cfRule>
  </conditionalFormatting>
  <conditionalFormatting sqref="L1410">
    <cfRule type="expression" priority="54992" dxfId="5">
      <formula>$H1410="CÉLULA CONSTRUTIVA"</formula>
    </cfRule>
    <cfRule type="expression" priority="54993" dxfId="4">
      <formula>$H1410="SUBETAPA"</formula>
    </cfRule>
    <cfRule type="expression" priority="54994" dxfId="3">
      <formula>$H1410="ETAPA"</formula>
    </cfRule>
  </conditionalFormatting>
  <conditionalFormatting sqref="L1411">
    <cfRule type="expression" priority="54989" dxfId="5">
      <formula>$H1411="CÉLULA CONSTRUTIVA"</formula>
    </cfRule>
    <cfRule type="expression" priority="54990" dxfId="4">
      <formula>$H1411="SUBETAPA"</formula>
    </cfRule>
    <cfRule type="expression" priority="54991" dxfId="3">
      <formula>$H1411="ETAPA"</formula>
    </cfRule>
  </conditionalFormatting>
  <conditionalFormatting sqref="L1412">
    <cfRule type="expression" priority="54986" dxfId="5">
      <formula>$H1412="CÉLULA CONSTRUTIVA"</formula>
    </cfRule>
    <cfRule type="expression" priority="54987" dxfId="4">
      <formula>$H1412="SUBETAPA"</formula>
    </cfRule>
    <cfRule type="expression" priority="54988" dxfId="3">
      <formula>$H1412="ETAPA"</formula>
    </cfRule>
  </conditionalFormatting>
  <conditionalFormatting sqref="L1415">
    <cfRule type="expression" priority="55116" dxfId="5">
      <formula>$H1415="CÉLULA CONSTRUTIVA"</formula>
    </cfRule>
    <cfRule type="expression" priority="55117" dxfId="4">
      <formula>$H1415="SUBETAPA"</formula>
    </cfRule>
    <cfRule type="expression" priority="55118" dxfId="3">
      <formula>$H1415="ETAPA"</formula>
    </cfRule>
  </conditionalFormatting>
  <conditionalFormatting sqref="L1416">
    <cfRule type="expression" priority="55113" dxfId="5">
      <formula>$H1416="CÉLULA CONSTRUTIVA"</formula>
    </cfRule>
    <cfRule type="expression" priority="55114" dxfId="4">
      <formula>$H1416="SUBETAPA"</formula>
    </cfRule>
    <cfRule type="expression" priority="55115" dxfId="3">
      <formula>$H1416="ETAPA"</formula>
    </cfRule>
  </conditionalFormatting>
  <conditionalFormatting sqref="L1417">
    <cfRule type="expression" priority="55110" dxfId="5">
      <formula>$H1417="CÉLULA CONSTRUTIVA"</formula>
    </cfRule>
    <cfRule type="expression" priority="55111" dxfId="4">
      <formula>$H1417="SUBETAPA"</formula>
    </cfRule>
    <cfRule type="expression" priority="55112" dxfId="3">
      <formula>$H1417="ETAPA"</formula>
    </cfRule>
  </conditionalFormatting>
  <conditionalFormatting sqref="L1420">
    <cfRule type="expression" priority="55240" dxfId="5">
      <formula>$H1420="CÉLULA CONSTRUTIVA"</formula>
    </cfRule>
    <cfRule type="expression" priority="55241" dxfId="4">
      <formula>$H1420="SUBETAPA"</formula>
    </cfRule>
    <cfRule type="expression" priority="55242" dxfId="3">
      <formula>$H1420="ETAPA"</formula>
    </cfRule>
  </conditionalFormatting>
  <conditionalFormatting sqref="L1427">
    <cfRule type="expression" priority="91771" dxfId="5">
      <formula>$H1427="CÉLULA CONSTRUTIVA"</formula>
    </cfRule>
  </conditionalFormatting>
  <conditionalFormatting sqref="L1440">
    <cfRule type="expression" priority="92323" dxfId="3">
      <formula>$H1440="ETAPA"</formula>
    </cfRule>
  </conditionalFormatting>
  <conditionalFormatting sqref="L1442">
    <cfRule type="expression" priority="92319" dxfId="4">
      <formula>$H1442="SUBETAPA"</formula>
    </cfRule>
    <cfRule type="expression" priority="92320" dxfId="5">
      <formula>$H1442="CÉLULA CONSTRUTIVA"</formula>
    </cfRule>
  </conditionalFormatting>
  <conditionalFormatting sqref="L1471">
    <cfRule type="expression" priority="94407" dxfId="5">
      <formula>$H1471="CÉLULA CONSTRUTIVA"</formula>
    </cfRule>
  </conditionalFormatting>
  <conditionalFormatting sqref="L1480">
    <cfRule type="expression" priority="4348" dxfId="3">
      <formula>$H1480="ETAPA"</formula>
    </cfRule>
  </conditionalFormatting>
  <conditionalFormatting sqref="L1480:L1485">
    <cfRule type="expression" priority="4350" dxfId="4">
      <formula>$H1480="SUBETAPA"</formula>
    </cfRule>
    <cfRule type="expression" priority="4351" dxfId="5">
      <formula>$H1480="CÉLULA CONSTRUTIVA"</formula>
    </cfRule>
  </conditionalFormatting>
  <conditionalFormatting sqref="L1497">
    <cfRule type="expression" priority="87795" dxfId="5">
      <formula>$H1497="CÉLULA CONSTRUTIVA"</formula>
    </cfRule>
  </conditionalFormatting>
  <conditionalFormatting sqref="L1498">
    <cfRule type="expression" priority="4642" dxfId="5">
      <formula>$H1498="CÉLULA CONSTRUTIVA"</formula>
    </cfRule>
    <cfRule type="expression" priority="4643" dxfId="3">
      <formula>$H1498="ETAPA"</formula>
    </cfRule>
  </conditionalFormatting>
  <conditionalFormatting sqref="L1511">
    <cfRule type="expression" priority="4276" dxfId="3">
      <formula>$H1511="ETAPA"</formula>
    </cfRule>
  </conditionalFormatting>
  <conditionalFormatting sqref="L1511:L1518">
    <cfRule type="expression" priority="4278" dxfId="4">
      <formula>$H1511="SUBETAPA"</formula>
    </cfRule>
    <cfRule type="expression" priority="4279" dxfId="5">
      <formula>$H1511="CÉLULA CONSTRUTIVA"</formula>
    </cfRule>
  </conditionalFormatting>
  <conditionalFormatting sqref="L1522">
    <cfRule type="expression" priority="88454" dxfId="5">
      <formula>$H1522="CÉLULA CONSTRUTIVA"</formula>
    </cfRule>
  </conditionalFormatting>
  <conditionalFormatting sqref="L1533">
    <cfRule type="expression" priority="89006" dxfId="3">
      <formula>$H1533="ETAPA"</formula>
    </cfRule>
  </conditionalFormatting>
  <conditionalFormatting sqref="L1542">
    <cfRule type="expression" priority="89113" dxfId="5">
      <formula>$H1542="CÉLULA CONSTRUTIVA"</formula>
    </cfRule>
  </conditionalFormatting>
  <conditionalFormatting sqref="L1555">
    <cfRule type="expression" priority="89665" dxfId="3">
      <formula>$H1555="ETAPA"</formula>
    </cfRule>
  </conditionalFormatting>
  <conditionalFormatting sqref="L1581">
    <cfRule type="expression" priority="90431" dxfId="5">
      <formula>$H1581="CÉLULA CONSTRUTIVA"</formula>
    </cfRule>
  </conditionalFormatting>
  <conditionalFormatting sqref="L1593">
    <cfRule type="expression" priority="90983" dxfId="3">
      <formula>$H1593="ETAPA"</formula>
    </cfRule>
  </conditionalFormatting>
  <conditionalFormatting sqref="L1602">
    <cfRule type="expression" priority="91090" dxfId="5">
      <formula>$H1602="CÉLULA CONSTRUTIVA"</formula>
    </cfRule>
  </conditionalFormatting>
  <conditionalFormatting sqref="L1614">
    <cfRule type="expression" priority="91643" dxfId="3">
      <formula>$H1614="ETAPA"</formula>
    </cfRule>
  </conditionalFormatting>
  <conditionalFormatting sqref="L1623">
    <cfRule type="expression" priority="95725" dxfId="5">
      <formula>$H1623="CÉLULA CONSTRUTIVA"</formula>
    </cfRule>
  </conditionalFormatting>
  <conditionalFormatting sqref="L1627">
    <cfRule type="expression" priority="4522" dxfId="5">
      <formula>$H1627="CÉLULA CONSTRUTIVA"</formula>
    </cfRule>
    <cfRule type="expression" priority="4523" dxfId="3">
      <formula>$H1627="ETAPA"</formula>
    </cfRule>
  </conditionalFormatting>
  <conditionalFormatting sqref="L1638">
    <cfRule type="expression" priority="96277" dxfId="3">
      <formula>$H1638="ETAPA"</formula>
    </cfRule>
  </conditionalFormatting>
  <conditionalFormatting sqref="L1647">
    <cfRule type="expression" priority="96384" dxfId="5">
      <formula>$H1647="CÉLULA CONSTRUTIVA"</formula>
    </cfRule>
  </conditionalFormatting>
  <conditionalFormatting sqref="L1656">
    <cfRule type="expression" priority="96936" dxfId="3">
      <formula>$H1656="ETAPA"</formula>
    </cfRule>
  </conditionalFormatting>
  <conditionalFormatting sqref="H1678:H1679 K1678:L1678 K1679 K1692:L1692 K1693 L1676:L1677 L1679:L1680 O1679 O1692">
    <cfRule type="expression" priority="80572" dxfId="5">
      <formula>$H1676="CÉLULA CONSTRUTIVA"</formula>
    </cfRule>
    <cfRule type="expression" priority="80571" dxfId="4">
      <formula>$H1676="SUBETAPA"</formula>
    </cfRule>
  </conditionalFormatting>
  <conditionalFormatting sqref="L1684">
    <cfRule type="expression" priority="80357" dxfId="4">
      <formula>$H1684="SUBETAPA"</formula>
    </cfRule>
    <cfRule type="expression" priority="80358" dxfId="5">
      <formula>$H1684="CÉLULA CONSTRUTIVA"</formula>
    </cfRule>
  </conditionalFormatting>
  <conditionalFormatting sqref="L1692:L1693">
    <cfRule type="expression" priority="80649" dxfId="3">
      <formula>$H1692="ETAPA"</formula>
    </cfRule>
  </conditionalFormatting>
  <conditionalFormatting sqref="H1698:H1699 K1698:L1698 K1699 K1708:L1708 K1709 L1696:L1697 O1698:O1699 O1708">
    <cfRule type="expression" priority="80896" dxfId="5">
      <formula>$H1696="CÉLULA CONSTRUTIVA"</formula>
    </cfRule>
    <cfRule type="expression" priority="80895" dxfId="4">
      <formula>$H1696="SUBETAPA"</formula>
    </cfRule>
  </conditionalFormatting>
  <conditionalFormatting sqref="L1701">
    <cfRule type="expression" priority="80681" dxfId="4">
      <formula>$H1701="SUBETAPA"</formula>
    </cfRule>
    <cfRule type="expression" priority="80682" dxfId="5">
      <formula>$H1701="CÉLULA CONSTRUTIVA"</formula>
    </cfRule>
  </conditionalFormatting>
  <conditionalFormatting sqref="L1708:L1709">
    <cfRule type="expression" priority="80973" dxfId="3">
      <formula>$H1708="ETAPA"</formula>
    </cfRule>
  </conditionalFormatting>
  <conditionalFormatting sqref="H1714:H1715 K1714:L1714 K1715 K1723:L1723 K1724 L1712:L1713 O1714:O1715 O1723">
    <cfRule type="expression" priority="81220" dxfId="5">
      <formula>$H1712="CÉLULA CONSTRUTIVA"</formula>
    </cfRule>
    <cfRule type="expression" priority="81219" dxfId="4">
      <formula>$H1712="SUBETAPA"</formula>
    </cfRule>
  </conditionalFormatting>
  <conditionalFormatting sqref="L1717">
    <cfRule type="expression" priority="81005" dxfId="4">
      <formula>$H1717="SUBETAPA"</formula>
    </cfRule>
    <cfRule type="expression" priority="81006" dxfId="5">
      <formula>$H1717="CÉLULA CONSTRUTIVA"</formula>
    </cfRule>
  </conditionalFormatting>
  <conditionalFormatting sqref="L1723:L1724">
    <cfRule type="expression" priority="81297" dxfId="3">
      <formula>$H1723="ETAPA"</formula>
    </cfRule>
  </conditionalFormatting>
  <conditionalFormatting sqref="H1729:H1730 K1729:L1729 K1730 K1736:L1736 L1727:L1728 O1729:O1730 O1736">
    <cfRule type="expression" priority="81544" dxfId="5">
      <formula>$H1727="CÉLULA CONSTRUTIVA"</formula>
    </cfRule>
    <cfRule type="expression" priority="81543" dxfId="4">
      <formula>$H1727="SUBETAPA"</formula>
    </cfRule>
  </conditionalFormatting>
  <conditionalFormatting sqref="L1732">
    <cfRule type="expression" priority="81329" dxfId="4">
      <formula>$H1732="SUBETAPA"</formula>
    </cfRule>
    <cfRule type="expression" priority="81330" dxfId="5">
      <formula>$H1732="CÉLULA CONSTRUTIVA"</formula>
    </cfRule>
  </conditionalFormatting>
  <conditionalFormatting sqref="L1736">
    <cfRule type="expression" priority="81621" dxfId="3">
      <formula>$H1736="ETAPA"</formula>
    </cfRule>
  </conditionalFormatting>
  <conditionalFormatting sqref="K1742 K1748:L1748 L1739:L1740 O1748">
    <cfRule type="expression" priority="81868" dxfId="5">
      <formula>$H1739="CÉLULA CONSTRUTIVA"</formula>
    </cfRule>
    <cfRule type="expression" priority="81867" dxfId="4">
      <formula>$H1739="SUBETAPA"</formula>
    </cfRule>
  </conditionalFormatting>
  <conditionalFormatting sqref="L1744">
    <cfRule type="expression" priority="81653" dxfId="4">
      <formula>$H1744="SUBETAPA"</formula>
    </cfRule>
    <cfRule type="expression" priority="81654" dxfId="5">
      <formula>$H1744="CÉLULA CONSTRUTIVA"</formula>
    </cfRule>
  </conditionalFormatting>
  <conditionalFormatting sqref="L1748">
    <cfRule type="expression" priority="81945" dxfId="3">
      <formula>$H1748="ETAPA"</formula>
    </cfRule>
  </conditionalFormatting>
  <conditionalFormatting sqref="H1753:H1754 K1753:L1753 K1754 K1760:L1760 L1751:L1752 O1753:O1754 O1760">
    <cfRule type="expression" priority="82192" dxfId="5">
      <formula>$H1751="CÉLULA CONSTRUTIVA"</formula>
    </cfRule>
    <cfRule type="expression" priority="82191" dxfId="4">
      <formula>$H1751="SUBETAPA"</formula>
    </cfRule>
  </conditionalFormatting>
  <conditionalFormatting sqref="L1756">
    <cfRule type="expression" priority="81977" dxfId="4">
      <formula>$H1756="SUBETAPA"</formula>
    </cfRule>
    <cfRule type="expression" priority="81978" dxfId="5">
      <formula>$H1756="CÉLULA CONSTRUTIVA"</formula>
    </cfRule>
  </conditionalFormatting>
  <conditionalFormatting sqref="L1760">
    <cfRule type="expression" priority="82269" dxfId="3">
      <formula>$H1760="ETAPA"</formula>
    </cfRule>
  </conditionalFormatting>
  <conditionalFormatting sqref="H1765:H1766 H1781:H1783 J1781:L1782 K1765:L1765 K1766 K1783:L1783 K1784 L1763:L1764 L1766:L1767 L1774 L1776:L1780 O1765:O1766 O1783">
    <cfRule type="expression" priority="82516" dxfId="5">
      <formula>$H1763="CÉLULA CONSTRUTIVA"</formula>
    </cfRule>
    <cfRule type="expression" priority="82515" dxfId="4">
      <formula>$H1763="SUBETAPA"</formula>
    </cfRule>
  </conditionalFormatting>
  <conditionalFormatting sqref="L1772">
    <cfRule type="expression" priority="82301" dxfId="4">
      <formula>$H1772="SUBETAPA"</formula>
    </cfRule>
    <cfRule type="expression" priority="82302" dxfId="5">
      <formula>$H1772="CÉLULA CONSTRUTIVA"</formula>
    </cfRule>
  </conditionalFormatting>
  <conditionalFormatting sqref="L1783:L1784">
    <cfRule type="expression" priority="82593" dxfId="3">
      <formula>$H1783="ETAPA"</formula>
    </cfRule>
  </conditionalFormatting>
  <conditionalFormatting sqref="H1789:H1790 H1798 J1798 K1789:L1789 K1790 K1809:L1809 K1810 L1787:L1788 L1790:L1791 L1796 L1798 L1803:L1807 O1789:O1790 O1809">
    <cfRule type="expression" priority="82840" dxfId="5">
      <formula>$H1787="CÉLULA CONSTRUTIVA"</formula>
    </cfRule>
  </conditionalFormatting>
  <conditionalFormatting sqref="H1789:H1790 K1789:L1789 K1790 K1809:L1809 K1810 L1787:L1788 L1790:L1791 L1796 L1798 L1803:L1807 O1789:O1790 O1809">
    <cfRule type="expression" priority="82839" dxfId="4">
      <formula>$H1787="SUBETAPA"</formula>
    </cfRule>
  </conditionalFormatting>
  <conditionalFormatting sqref="L1794">
    <cfRule type="expression" priority="82625" dxfId="4">
      <formula>$H1794="SUBETAPA"</formula>
    </cfRule>
    <cfRule type="expression" priority="82626" dxfId="5">
      <formula>$H1794="CÉLULA CONSTRUTIVA"</formula>
    </cfRule>
  </conditionalFormatting>
  <conditionalFormatting sqref="L1809:L1810">
    <cfRule type="expression" priority="82917" dxfId="3">
      <formula>$H1809="ETAPA"</formula>
    </cfRule>
  </conditionalFormatting>
  <conditionalFormatting sqref="K1815:L1815 K1823 L1813:L1814">
    <cfRule type="expression" priority="83163" dxfId="4">
      <formula>$H1813="SUBETAPA"</formula>
    </cfRule>
    <cfRule type="expression" priority="83164" dxfId="5">
      <formula>$H1813="CÉLULA CONSTRUTIVA"</formula>
    </cfRule>
  </conditionalFormatting>
  <conditionalFormatting sqref="K1828:L1828 K1836 L1826:L1827">
    <cfRule type="expression" priority="83487" dxfId="4">
      <formula>$H1826="SUBETAPA"</formula>
    </cfRule>
    <cfRule type="expression" priority="83488" dxfId="5">
      <formula>$H1826="CÉLULA CONSTRUTIVA"</formula>
    </cfRule>
  </conditionalFormatting>
  <conditionalFormatting sqref="H2754 J2754:K2754 K1841:L1841 K1851:L1851 K1852 L505:L508 L523:L526 L541:L544 L559:L562 L594:L597 L1839:L1840 L2339 L2755 O1851">
    <cfRule type="expression" priority="116239" dxfId="4">
      <formula>$H505="SUBETAPA"</formula>
    </cfRule>
  </conditionalFormatting>
  <conditionalFormatting sqref="H2754 J2754:K2754 K1841:L1841 K1851:L1851 K1852 L505:L508 L523:L526 L541:L544 L559:L562 L594:L597 L1839:L1840 L2755 M2754 O1851">
    <cfRule type="expression" priority="116240" dxfId="5">
      <formula>$H505="CÉLULA CONSTRUTIVA"</formula>
    </cfRule>
  </conditionalFormatting>
  <conditionalFormatting sqref="L1851">
    <cfRule type="expression" priority="119700" dxfId="3">
      <formula>$H1851="ETAPA"</formula>
    </cfRule>
  </conditionalFormatting>
  <conditionalFormatting sqref="K1857:L1857 K1867:L1867 K1868 L1855:L1856 O1867">
    <cfRule type="expression" priority="79300" dxfId="4">
      <formula>$H1855="SUBETAPA"</formula>
    </cfRule>
    <cfRule type="expression" priority="79301" dxfId="5">
      <formula>$H1855="CÉLULA CONSTRUTIVA"</formula>
    </cfRule>
  </conditionalFormatting>
  <conditionalFormatting sqref="L1867:L1868">
    <cfRule type="expression" priority="79378" dxfId="3">
      <formula>$H1867="ETAPA"</formula>
    </cfRule>
  </conditionalFormatting>
  <conditionalFormatting sqref="K1873:L1873 K1880:L1880 K1881 L1871:L1872 O1880">
    <cfRule type="expression" priority="79624" dxfId="4">
      <formula>$H1871="SUBETAPA"</formula>
    </cfRule>
    <cfRule type="expression" priority="79625" dxfId="5">
      <formula>$H1871="CÉLULA CONSTRUTIVA"</formula>
    </cfRule>
  </conditionalFormatting>
  <conditionalFormatting sqref="L1880:L1881">
    <cfRule type="expression" priority="79702" dxfId="3">
      <formula>$H1880="ETAPA"</formula>
    </cfRule>
  </conditionalFormatting>
  <conditionalFormatting sqref="K1886:L1886 K1891 K1896 L1884:L1885">
    <cfRule type="expression" priority="79948" dxfId="4">
      <formula>$H1884="SUBETAPA"</formula>
    </cfRule>
    <cfRule type="expression" priority="79949" dxfId="5">
      <formula>$H1884="CÉLULA CONSTRUTIVA"</formula>
    </cfRule>
  </conditionalFormatting>
  <conditionalFormatting sqref="L1909">
    <cfRule type="expression" priority="75977" dxfId="3">
      <formula>$H1909="ETAPA"</formula>
    </cfRule>
  </conditionalFormatting>
  <conditionalFormatting sqref="L2040">
    <cfRule type="expression" priority="67131" dxfId="4">
      <formula>$H2040="SUBETAPA"</formula>
    </cfRule>
    <cfRule type="expression" priority="67132" dxfId="5">
      <formula>$H2040="CÉLULA CONSTRUTIVA"</formula>
    </cfRule>
  </conditionalFormatting>
  <conditionalFormatting sqref="H2068 J2068:L2068 L2067 L2071">
    <cfRule type="expression" priority="67772" dxfId="5">
      <formula>$H2067="CÉLULA CONSTRUTIVA"</formula>
    </cfRule>
  </conditionalFormatting>
  <conditionalFormatting sqref="L2067:L2069 L2071">
    <cfRule type="expression" priority="67771" dxfId="4">
      <formula>$H2067="SUBETAPA"</formula>
    </cfRule>
  </conditionalFormatting>
  <conditionalFormatting sqref="L2088">
    <cfRule type="expression" priority="68411" dxfId="4">
      <formula>$H2088="SUBETAPA"</formula>
    </cfRule>
    <cfRule type="expression" priority="68412" dxfId="5">
      <formula>$H2088="CÉLULA CONSTRUTIVA"</formula>
    </cfRule>
  </conditionalFormatting>
  <conditionalFormatting sqref="L2090">
    <cfRule type="expression" priority="60577" dxfId="5">
      <formula>$H2090="CÉLULA CONSTRUTIVA"</formula>
    </cfRule>
    <cfRule type="expression" priority="60580" dxfId="4">
      <formula>$H2090="SUBETAPA"</formula>
    </cfRule>
  </conditionalFormatting>
  <conditionalFormatting sqref="L2090:L2092">
    <cfRule type="expression" priority="60581" dxfId="3">
      <formula>$H2090="ETAPA"</formula>
    </cfRule>
  </conditionalFormatting>
  <conditionalFormatting sqref="L2091">
    <cfRule type="expression" priority="60578" dxfId="4">
      <formula>$H2091="SUBETAPA"</formula>
    </cfRule>
    <cfRule type="expression" priority="60579" dxfId="5">
      <formula>$H2091="CÉLULA CONSTRUTIVA"</formula>
    </cfRule>
  </conditionalFormatting>
  <conditionalFormatting sqref="L2092">
    <cfRule type="expression" priority="60583" dxfId="4">
      <formula>$H2092="SUBETAPA"</formula>
    </cfRule>
    <cfRule type="expression" priority="60584" dxfId="5">
      <formula>$H2092="CÉLULA CONSTRUTIVA"</formula>
    </cfRule>
  </conditionalFormatting>
  <conditionalFormatting sqref="L2105">
    <cfRule type="expression" priority="69051" dxfId="4">
      <formula>$H2105="SUBETAPA"</formula>
    </cfRule>
    <cfRule type="expression" priority="69052" dxfId="5">
      <formula>$H2105="CÉLULA CONSTRUTIVA"</formula>
    </cfRule>
  </conditionalFormatting>
  <conditionalFormatting sqref="L2107">
    <cfRule type="expression" priority="60569" dxfId="5">
      <formula>$H2107="CÉLULA CONSTRUTIVA"</formula>
    </cfRule>
    <cfRule type="expression" priority="60572" dxfId="4">
      <formula>$H2107="SUBETAPA"</formula>
    </cfRule>
    <cfRule type="expression" priority="60573" dxfId="3">
      <formula>$H2107="ETAPA"</formula>
    </cfRule>
  </conditionalFormatting>
  <conditionalFormatting sqref="L2108">
    <cfRule type="expression" priority="60570" dxfId="4">
      <formula>$H2108="SUBETAPA"</formula>
    </cfRule>
    <cfRule type="expression" priority="60571" dxfId="5">
      <formula>$H2108="CÉLULA CONSTRUTIVA"</formula>
    </cfRule>
  </conditionalFormatting>
  <conditionalFormatting sqref="L2121">
    <cfRule type="expression" priority="69691" dxfId="4">
      <formula>$H2121="SUBETAPA"</formula>
    </cfRule>
    <cfRule type="expression" priority="69692" dxfId="5">
      <formula>$H2121="CÉLULA CONSTRUTIVA"</formula>
    </cfRule>
  </conditionalFormatting>
  <conditionalFormatting sqref="L2123">
    <cfRule type="expression" priority="60563" dxfId="5">
      <formula>$H2123="CÉLULA CONSTRUTIVA"</formula>
    </cfRule>
    <cfRule type="expression" priority="60566" dxfId="4">
      <formula>$H2123="SUBETAPA"</formula>
    </cfRule>
  </conditionalFormatting>
  <conditionalFormatting sqref="L2123:L2124">
    <cfRule type="expression" priority="60567" dxfId="3">
      <formula>$H2123="ETAPA"</formula>
    </cfRule>
  </conditionalFormatting>
  <conditionalFormatting sqref="L2124">
    <cfRule type="expression" priority="60564" dxfId="4">
      <formula>$H2124="SUBETAPA"</formula>
    </cfRule>
    <cfRule type="expression" priority="60565" dxfId="5">
      <formula>$H2124="CÉLULA CONSTRUTIVA"</formula>
    </cfRule>
  </conditionalFormatting>
  <conditionalFormatting sqref="L2138">
    <cfRule type="expression" priority="70331" dxfId="4">
      <formula>$H2138="SUBETAPA"</formula>
    </cfRule>
    <cfRule type="expression" priority="70332" dxfId="5">
      <formula>$H2138="CÉLULA CONSTRUTIVA"</formula>
    </cfRule>
  </conditionalFormatting>
  <conditionalFormatting sqref="L2141">
    <cfRule type="expression" priority="60554" dxfId="5">
      <formula>$H2141="CÉLULA CONSTRUTIVA"</formula>
    </cfRule>
    <cfRule type="expression" priority="60557" dxfId="4">
      <formula>$H2141="SUBETAPA"</formula>
    </cfRule>
  </conditionalFormatting>
  <conditionalFormatting sqref="L2141:L2143">
    <cfRule type="expression" priority="60558" dxfId="3">
      <formula>$H2141="ETAPA"</formula>
    </cfRule>
  </conditionalFormatting>
  <conditionalFormatting sqref="L2142">
    <cfRule type="expression" priority="60555" dxfId="4">
      <formula>$H2142="SUBETAPA"</formula>
    </cfRule>
    <cfRule type="expression" priority="60556" dxfId="5">
      <formula>$H2142="CÉLULA CONSTRUTIVA"</formula>
    </cfRule>
  </conditionalFormatting>
  <conditionalFormatting sqref="L2143">
    <cfRule type="expression" priority="60561" dxfId="4">
      <formula>$H2143="SUBETAPA"</formula>
    </cfRule>
    <cfRule type="expression" priority="60562" dxfId="5">
      <formula>$H2143="CÉLULA CONSTRUTIVA"</formula>
    </cfRule>
  </conditionalFormatting>
  <conditionalFormatting sqref="L2156">
    <cfRule type="expression" priority="70971" dxfId="4">
      <formula>$H2156="SUBETAPA"</formula>
    </cfRule>
    <cfRule type="expression" priority="70972" dxfId="5">
      <formula>$H2156="CÉLULA CONSTRUTIVA"</formula>
    </cfRule>
  </conditionalFormatting>
  <conditionalFormatting sqref="L2158">
    <cfRule type="expression" priority="60545" dxfId="5">
      <formula>$H2158="CÉLULA CONSTRUTIVA"</formula>
    </cfRule>
    <cfRule type="expression" priority="60548" dxfId="4">
      <formula>$H2158="SUBETAPA"</formula>
    </cfRule>
  </conditionalFormatting>
  <conditionalFormatting sqref="L2158:L2160">
    <cfRule type="expression" priority="60549" dxfId="3">
      <formula>$H2158="ETAPA"</formula>
    </cfRule>
  </conditionalFormatting>
  <conditionalFormatting sqref="L2159">
    <cfRule type="expression" priority="60546" dxfId="4">
      <formula>$H2159="SUBETAPA"</formula>
    </cfRule>
    <cfRule type="expression" priority="60547" dxfId="5">
      <formula>$H2159="CÉLULA CONSTRUTIVA"</formula>
    </cfRule>
  </conditionalFormatting>
  <conditionalFormatting sqref="L2160">
    <cfRule type="expression" priority="60552" dxfId="4">
      <formula>$H2160="SUBETAPA"</formula>
    </cfRule>
    <cfRule type="expression" priority="60553" dxfId="5">
      <formula>$H2160="CÉLULA CONSTRUTIVA"</formula>
    </cfRule>
  </conditionalFormatting>
  <conditionalFormatting sqref="L2164">
    <cfRule type="expression" priority="70785" dxfId="4">
      <formula>$H2164="SUBETAPA"</formula>
    </cfRule>
  </conditionalFormatting>
  <conditionalFormatting sqref="L2185:L2186">
    <cfRule type="expression" priority="60542" dxfId="5">
      <formula>$H2185="CÉLULA CONSTRUTIVA"</formula>
    </cfRule>
    <cfRule type="expression" priority="60543" dxfId="4">
      <formula>$H2185="SUBETAPA"</formula>
    </cfRule>
    <cfRule type="expression" priority="60544" dxfId="3">
      <formula>$H2185="ETAPA"</formula>
    </cfRule>
  </conditionalFormatting>
  <conditionalFormatting sqref="L2194:L2195">
    <cfRule type="expression" priority="71333" dxfId="4">
      <formula>$H2194="SUBETAPA"</formula>
    </cfRule>
    <cfRule type="expression" priority="71334" dxfId="5">
      <formula>$H2194="CÉLULA CONSTRUTIVA"</formula>
    </cfRule>
  </conditionalFormatting>
  <conditionalFormatting sqref="L2216:L2218">
    <cfRule type="expression" priority="60539" dxfId="5">
      <formula>$H2216="CÉLULA CONSTRUTIVA"</formula>
    </cfRule>
    <cfRule type="expression" priority="60540" dxfId="4">
      <formula>$H2216="SUBETAPA"</formula>
    </cfRule>
    <cfRule type="expression" priority="60541" dxfId="3">
      <formula>$H2216="ETAPA"</formula>
    </cfRule>
  </conditionalFormatting>
  <conditionalFormatting sqref="L2236:L2238">
    <cfRule type="expression" priority="60530" dxfId="5">
      <formula>$H2236="CÉLULA CONSTRUTIVA"</formula>
    </cfRule>
    <cfRule type="expression" priority="60531" dxfId="4">
      <formula>$H2236="SUBETAPA"</formula>
    </cfRule>
    <cfRule type="expression" priority="60532" dxfId="3">
      <formula>$H2236="ETAPA"</formula>
    </cfRule>
  </conditionalFormatting>
  <conditionalFormatting sqref="L2256:L2258">
    <cfRule type="expression" priority="60527" dxfId="5">
      <formula>$H2256="CÉLULA CONSTRUTIVA"</formula>
    </cfRule>
    <cfRule type="expression" priority="60528" dxfId="4">
      <formula>$H2256="SUBETAPA"</formula>
    </cfRule>
    <cfRule type="expression" priority="60529" dxfId="3">
      <formula>$H2256="ETAPA"</formula>
    </cfRule>
  </conditionalFormatting>
  <conditionalFormatting sqref="L2279:L2281">
    <cfRule type="expression" priority="60536" dxfId="5">
      <formula>$H2279="CÉLULA CONSTRUTIVA"</formula>
    </cfRule>
    <cfRule type="expression" priority="60537" dxfId="4">
      <formula>$H2279="SUBETAPA"</formula>
    </cfRule>
    <cfRule type="expression" priority="60538" dxfId="3">
      <formula>$H2279="ETAPA"</formula>
    </cfRule>
  </conditionalFormatting>
  <conditionalFormatting sqref="L2304:L2306">
    <cfRule type="expression" priority="60533" dxfId="5">
      <formula>$H2304="CÉLULA CONSTRUTIVA"</formula>
    </cfRule>
    <cfRule type="expression" priority="60534" dxfId="4">
      <formula>$H2304="SUBETAPA"</formula>
    </cfRule>
    <cfRule type="expression" priority="60535" dxfId="3">
      <formula>$H2304="ETAPA"</formula>
    </cfRule>
  </conditionalFormatting>
  <conditionalFormatting sqref="L2347">
    <cfRule type="expression" priority="7138" dxfId="3">
      <formula>$H2347="ETAPA"</formula>
    </cfRule>
    <cfRule type="expression" priority="7139" dxfId="4">
      <formula>$H2347="SUBETAPA"</formula>
    </cfRule>
    <cfRule type="expression" priority="7140" dxfId="5">
      <formula>$H2347="CÉLULA CONSTRUTIVA"</formula>
    </cfRule>
  </conditionalFormatting>
  <conditionalFormatting sqref="L2368">
    <cfRule type="expression" priority="7109" dxfId="3">
      <formula>$H2368="ETAPA"</formula>
    </cfRule>
    <cfRule type="expression" priority="7110" dxfId="4">
      <formula>$H2368="SUBETAPA"</formula>
    </cfRule>
    <cfRule type="expression" priority="7111" dxfId="5">
      <formula>$H2368="CÉLULA CONSTRUTIVA"</formula>
    </cfRule>
  </conditionalFormatting>
  <conditionalFormatting sqref="L2379 L2384:L2385">
    <cfRule type="expression" priority="62208" dxfId="4">
      <formula>$H2379="SUBETAPA"</formula>
    </cfRule>
    <cfRule type="expression" priority="62209" dxfId="5">
      <formula>$H2379="CÉLULA CONSTRUTIVA"</formula>
    </cfRule>
  </conditionalFormatting>
  <conditionalFormatting sqref="L2380">
    <cfRule type="expression" priority="7089" dxfId="4">
      <formula>$H2380="SUBETAPA"</formula>
    </cfRule>
    <cfRule type="expression" priority="7090" dxfId="5">
      <formula>$H2380="CÉLULA CONSTRUTIVA"</formula>
    </cfRule>
  </conditionalFormatting>
  <conditionalFormatting sqref="L2395">
    <cfRule type="expression" priority="7053" dxfId="3">
      <formula>$H2395="ETAPA"</formula>
    </cfRule>
    <cfRule type="expression" priority="7054" dxfId="4">
      <formula>$H2395="SUBETAPA"</formula>
    </cfRule>
    <cfRule type="expression" priority="7055" dxfId="5">
      <formula>$H2395="CÉLULA CONSTRUTIVA"</formula>
    </cfRule>
  </conditionalFormatting>
  <conditionalFormatting sqref="L2404">
    <cfRule type="expression" priority="62447" dxfId="4">
      <formula>$H2404="SUBETAPA"</formula>
    </cfRule>
    <cfRule type="expression" priority="62448" dxfId="5">
      <formula>$H2404="CÉLULA CONSTRUTIVA"</formula>
    </cfRule>
  </conditionalFormatting>
  <conditionalFormatting sqref="L2405">
    <cfRule type="expression" priority="7033" dxfId="4">
      <formula>$H2405="SUBETAPA"</formula>
    </cfRule>
    <cfRule type="expression" priority="7034" dxfId="5">
      <formula>$H2405="CÉLULA CONSTRUTIVA"</formula>
    </cfRule>
  </conditionalFormatting>
  <conditionalFormatting sqref="L2418">
    <cfRule type="expression" priority="6997" dxfId="3">
      <formula>$H2418="ETAPA"</formula>
    </cfRule>
    <cfRule type="expression" priority="6998" dxfId="4">
      <formula>$H2418="SUBETAPA"</formula>
    </cfRule>
    <cfRule type="expression" priority="6999" dxfId="5">
      <formula>$H2418="CÉLULA CONSTRUTIVA"</formula>
    </cfRule>
  </conditionalFormatting>
  <conditionalFormatting sqref="L2427">
    <cfRule type="expression" priority="62686" dxfId="4">
      <formula>$H2427="SUBETAPA"</formula>
    </cfRule>
    <cfRule type="expression" priority="62687" dxfId="5">
      <formula>$H2427="CÉLULA CONSTRUTIVA"</formula>
    </cfRule>
  </conditionalFormatting>
  <conditionalFormatting sqref="L2428">
    <cfRule type="expression" priority="6977" dxfId="4">
      <formula>$H2428="SUBETAPA"</formula>
    </cfRule>
    <cfRule type="expression" priority="6978" dxfId="5">
      <formula>$H2428="CÉLULA CONSTRUTIVA"</formula>
    </cfRule>
  </conditionalFormatting>
  <conditionalFormatting sqref="L2441">
    <cfRule type="expression" priority="6941" dxfId="3">
      <formula>$H2441="ETAPA"</formula>
    </cfRule>
    <cfRule type="expression" priority="6942" dxfId="4">
      <formula>$H2441="SUBETAPA"</formula>
    </cfRule>
    <cfRule type="expression" priority="6943" dxfId="5">
      <formula>$H2441="CÉLULA CONSTRUTIVA"</formula>
    </cfRule>
  </conditionalFormatting>
  <conditionalFormatting sqref="L2450">
    <cfRule type="expression" priority="62925" dxfId="4">
      <formula>$H2450="SUBETAPA"</formula>
    </cfRule>
    <cfRule type="expression" priority="62926" dxfId="5">
      <formula>$H2450="CÉLULA CONSTRUTIVA"</formula>
    </cfRule>
  </conditionalFormatting>
  <conditionalFormatting sqref="L2451">
    <cfRule type="expression" priority="6921" dxfId="4">
      <formula>$H2451="SUBETAPA"</formula>
    </cfRule>
    <cfRule type="expression" priority="6922" dxfId="5">
      <formula>$H2451="CÉLULA CONSTRUTIVA"</formula>
    </cfRule>
  </conditionalFormatting>
  <conditionalFormatting sqref="L2465">
    <cfRule type="expression" priority="6885" dxfId="3">
      <formula>$H2465="ETAPA"</formula>
    </cfRule>
    <cfRule type="expression" priority="6886" dxfId="4">
      <formula>$H2465="SUBETAPA"</formula>
    </cfRule>
    <cfRule type="expression" priority="6887" dxfId="5">
      <formula>$H2465="CÉLULA CONSTRUTIVA"</formula>
    </cfRule>
  </conditionalFormatting>
  <conditionalFormatting sqref="L2474">
    <cfRule type="expression" priority="63164" dxfId="4">
      <formula>$H2474="SUBETAPA"</formula>
    </cfRule>
    <cfRule type="expression" priority="63165" dxfId="5">
      <formula>$H2474="CÉLULA CONSTRUTIVA"</formula>
    </cfRule>
  </conditionalFormatting>
  <conditionalFormatting sqref="L2475">
    <cfRule type="expression" priority="6865" dxfId="4">
      <formula>$H2475="SUBETAPA"</formula>
    </cfRule>
    <cfRule type="expression" priority="6866" dxfId="5">
      <formula>$H2475="CÉLULA CONSTRUTIVA"</formula>
    </cfRule>
  </conditionalFormatting>
  <conditionalFormatting sqref="L2489">
    <cfRule type="expression" priority="6829" dxfId="3">
      <formula>$H2489="ETAPA"</formula>
    </cfRule>
    <cfRule type="expression" priority="6830" dxfId="4">
      <formula>$H2489="SUBETAPA"</formula>
    </cfRule>
    <cfRule type="expression" priority="6831" dxfId="5">
      <formula>$H2489="CÉLULA CONSTRUTIVA"</formula>
    </cfRule>
  </conditionalFormatting>
  <conditionalFormatting sqref="L2502 L2504:L2506">
    <cfRule type="expression" priority="63403" dxfId="4">
      <formula>$H2502="SUBETAPA"</formula>
    </cfRule>
    <cfRule type="expression" priority="63404" dxfId="5">
      <formula>$H2502="CÉLULA CONSTRUTIVA"</formula>
    </cfRule>
  </conditionalFormatting>
  <conditionalFormatting sqref="L2503">
    <cfRule type="expression" priority="6809" dxfId="4">
      <formula>$H2503="SUBETAPA"</formula>
    </cfRule>
    <cfRule type="expression" priority="6810" dxfId="5">
      <formula>$H2503="CÉLULA CONSTRUTIVA"</formula>
    </cfRule>
  </conditionalFormatting>
  <conditionalFormatting sqref="L2516">
    <cfRule type="expression" priority="6773" dxfId="3">
      <formula>$H2516="ETAPA"</formula>
    </cfRule>
    <cfRule type="expression" priority="6774" dxfId="4">
      <formula>$H2516="SUBETAPA"</formula>
    </cfRule>
    <cfRule type="expression" priority="6775" dxfId="5">
      <formula>$H2516="CÉLULA CONSTRUTIVA"</formula>
    </cfRule>
  </conditionalFormatting>
  <conditionalFormatting sqref="L2526">
    <cfRule type="expression" priority="6735" dxfId="4">
      <formula>$H2526="SUBETAPA"</formula>
    </cfRule>
    <cfRule type="expression" priority="6736" dxfId="5">
      <formula>$H2526="CÉLULA CONSTRUTIVA"</formula>
    </cfRule>
  </conditionalFormatting>
  <conditionalFormatting sqref="L2537">
    <cfRule type="expression" priority="6694" dxfId="3">
      <formula>$H2537="ETAPA"</formula>
    </cfRule>
    <cfRule type="expression" priority="6695" dxfId="4">
      <formula>$H2537="SUBETAPA"</formula>
    </cfRule>
    <cfRule type="expression" priority="6696" dxfId="5">
      <formula>$H2537="CÉLULA CONSTRUTIVA"</formula>
    </cfRule>
  </conditionalFormatting>
  <conditionalFormatting sqref="L2544">
    <cfRule type="expression" priority="6671" dxfId="4">
      <formula>$H2544="SUBETAPA"</formula>
    </cfRule>
    <cfRule type="expression" priority="6672" dxfId="5">
      <formula>$H2544="CÉLULA CONSTRUTIVA"</formula>
    </cfRule>
  </conditionalFormatting>
  <conditionalFormatting sqref="L2553">
    <cfRule type="expression" priority="6636" dxfId="3">
      <formula>$H2553="ETAPA"</formula>
    </cfRule>
    <cfRule type="expression" priority="6637" dxfId="4">
      <formula>$H2553="SUBETAPA"</formula>
    </cfRule>
    <cfRule type="expression" priority="6638" dxfId="5">
      <formula>$H2553="CÉLULA CONSTRUTIVA"</formula>
    </cfRule>
  </conditionalFormatting>
  <conditionalFormatting sqref="L2560">
    <cfRule type="expression" priority="6613" dxfId="4">
      <formula>$H2560="SUBETAPA"</formula>
    </cfRule>
    <cfRule type="expression" priority="6614" dxfId="5">
      <formula>$H2560="CÉLULA CONSTRUTIVA"</formula>
    </cfRule>
  </conditionalFormatting>
  <conditionalFormatting sqref="L2569">
    <cfRule type="expression" priority="6578" dxfId="3">
      <formula>$H2569="ETAPA"</formula>
    </cfRule>
    <cfRule type="expression" priority="6579" dxfId="4">
      <formula>$H2569="SUBETAPA"</formula>
    </cfRule>
    <cfRule type="expression" priority="6580" dxfId="5">
      <formula>$H2569="CÉLULA CONSTRUTIVA"</formula>
    </cfRule>
  </conditionalFormatting>
  <conditionalFormatting sqref="L2576">
    <cfRule type="expression" priority="6555" dxfId="4">
      <formula>$H2576="SUBETAPA"</formula>
    </cfRule>
    <cfRule type="expression" priority="6556" dxfId="5">
      <formula>$H2576="CÉLULA CONSTRUTIVA"</formula>
    </cfRule>
  </conditionalFormatting>
  <conditionalFormatting sqref="L2585">
    <cfRule type="expression" priority="6520" dxfId="3">
      <formula>$H2585="ETAPA"</formula>
    </cfRule>
    <cfRule type="expression" priority="6521" dxfId="4">
      <formula>$H2585="SUBETAPA"</formula>
    </cfRule>
    <cfRule type="expression" priority="6522" dxfId="5">
      <formula>$H2585="CÉLULA CONSTRUTIVA"</formula>
    </cfRule>
  </conditionalFormatting>
  <conditionalFormatting sqref="L2592">
    <cfRule type="expression" priority="6497" dxfId="4">
      <formula>$H2592="SUBETAPA"</formula>
    </cfRule>
    <cfRule type="expression" priority="6498" dxfId="5">
      <formula>$H2592="CÉLULA CONSTRUTIVA"</formula>
    </cfRule>
  </conditionalFormatting>
  <conditionalFormatting sqref="L2601">
    <cfRule type="expression" priority="6462" dxfId="3">
      <formula>$H2601="ETAPA"</formula>
    </cfRule>
    <cfRule type="expression" priority="6463" dxfId="4">
      <formula>$H2601="SUBETAPA"</formula>
    </cfRule>
    <cfRule type="expression" priority="6464" dxfId="5">
      <formula>$H2601="CÉLULA CONSTRUTIVA"</formula>
    </cfRule>
  </conditionalFormatting>
  <conditionalFormatting sqref="L2608">
    <cfRule type="expression" priority="6439" dxfId="4">
      <formula>$H2608="SUBETAPA"</formula>
    </cfRule>
    <cfRule type="expression" priority="6440" dxfId="5">
      <formula>$H2608="CÉLULA CONSTRUTIVA"</formula>
    </cfRule>
  </conditionalFormatting>
  <conditionalFormatting sqref="L2617">
    <cfRule type="expression" priority="6404" dxfId="3">
      <formula>$H2617="ETAPA"</formula>
    </cfRule>
    <cfRule type="expression" priority="6405" dxfId="4">
      <formula>$H2617="SUBETAPA"</formula>
    </cfRule>
    <cfRule type="expression" priority="6406" dxfId="5">
      <formula>$H2617="CÉLULA CONSTRUTIVA"</formula>
    </cfRule>
  </conditionalFormatting>
  <conditionalFormatting sqref="L2623">
    <cfRule type="expression" priority="6381" dxfId="4">
      <formula>$H2623="SUBETAPA"</formula>
    </cfRule>
    <cfRule type="expression" priority="6382" dxfId="5">
      <formula>$H2623="CÉLULA CONSTRUTIVA"</formula>
    </cfRule>
  </conditionalFormatting>
  <conditionalFormatting sqref="L2629:L2634">
    <cfRule type="expression" priority="1941" dxfId="3">
      <formula>$H2629="ETAPA"</formula>
    </cfRule>
  </conditionalFormatting>
  <conditionalFormatting sqref="L2640">
    <cfRule type="expression" priority="252" dxfId="5">
      <formula>$H2640="CÉLULA CONSTRUTIVA"</formula>
    </cfRule>
    <cfRule type="expression" priority="253" dxfId="4">
      <formula>$H2640="SUBETAPA"</formula>
    </cfRule>
    <cfRule type="expression" priority="254" dxfId="3">
      <formula>$H2640="ETAPA"</formula>
    </cfRule>
  </conditionalFormatting>
  <conditionalFormatting sqref="L2641">
    <cfRule type="expression" priority="2009" dxfId="3">
      <formula>$H2641="ETAPA"</formula>
    </cfRule>
  </conditionalFormatting>
  <conditionalFormatting sqref="L2650">
    <cfRule type="expression" priority="231" dxfId="5">
      <formula>$H2650="CÉLULA CONSTRUTIVA"</formula>
    </cfRule>
    <cfRule type="expression" priority="232" dxfId="4">
      <formula>$H2650="SUBETAPA"</formula>
    </cfRule>
    <cfRule type="expression" priority="233" dxfId="3">
      <formula>$H2650="ETAPA"</formula>
    </cfRule>
  </conditionalFormatting>
  <conditionalFormatting sqref="L2651">
    <cfRule type="expression" priority="2077" dxfId="3">
      <formula>$H2651="ETAPA"</formula>
    </cfRule>
  </conditionalFormatting>
  <conditionalFormatting sqref="L2659">
    <cfRule type="expression" priority="228" dxfId="5">
      <formula>$H2659="CÉLULA CONSTRUTIVA"</formula>
    </cfRule>
    <cfRule type="expression" priority="229" dxfId="4">
      <formula>$H2659="SUBETAPA"</formula>
    </cfRule>
    <cfRule type="expression" priority="230" dxfId="3">
      <formula>$H2659="ETAPA"</formula>
    </cfRule>
  </conditionalFormatting>
  <conditionalFormatting sqref="L2660">
    <cfRule type="expression" priority="2145" dxfId="3">
      <formula>$H2660="ETAPA"</formula>
    </cfRule>
  </conditionalFormatting>
  <conditionalFormatting sqref="L2666">
    <cfRule type="expression" priority="225" dxfId="5">
      <formula>$H2666="CÉLULA CONSTRUTIVA"</formula>
    </cfRule>
    <cfRule type="expression" priority="226" dxfId="4">
      <formula>$H2666="SUBETAPA"</formula>
    </cfRule>
    <cfRule type="expression" priority="227" dxfId="3">
      <formula>$H2666="ETAPA"</formula>
    </cfRule>
  </conditionalFormatting>
  <conditionalFormatting sqref="L2667">
    <cfRule type="expression" priority="2213" dxfId="3">
      <formula>$H2667="ETAPA"</formula>
    </cfRule>
  </conditionalFormatting>
  <conditionalFormatting sqref="L2673">
    <cfRule type="expression" priority="222" dxfId="5">
      <formula>$H2673="CÉLULA CONSTRUTIVA"</formula>
    </cfRule>
    <cfRule type="expression" priority="223" dxfId="4">
      <formula>$H2673="SUBETAPA"</formula>
    </cfRule>
    <cfRule type="expression" priority="224" dxfId="3">
      <formula>$H2673="ETAPA"</formula>
    </cfRule>
  </conditionalFormatting>
  <conditionalFormatting sqref="L2674">
    <cfRule type="expression" priority="2281" dxfId="3">
      <formula>$H2674="ETAPA"</formula>
    </cfRule>
  </conditionalFormatting>
  <conditionalFormatting sqref="L2675">
    <cfRule type="expression" priority="186" dxfId="5">
      <formula>$H2675="CÉLULA CONSTRUTIVA"</formula>
    </cfRule>
    <cfRule type="expression" priority="187" dxfId="4">
      <formula>$H2675="SUBETAPA"</formula>
    </cfRule>
    <cfRule type="expression" priority="188" dxfId="3">
      <formula>$H2675="ETAPA"</formula>
    </cfRule>
  </conditionalFormatting>
  <conditionalFormatting sqref="L2681">
    <cfRule type="expression" priority="219" dxfId="5">
      <formula>$H2681="CÉLULA CONSTRUTIVA"</formula>
    </cfRule>
    <cfRule type="expression" priority="220" dxfId="4">
      <formula>$H2681="SUBETAPA"</formula>
    </cfRule>
    <cfRule type="expression" priority="221" dxfId="3">
      <formula>$H2681="ETAPA"</formula>
    </cfRule>
  </conditionalFormatting>
  <conditionalFormatting sqref="L2682">
    <cfRule type="expression" priority="2349" dxfId="3">
      <formula>$H2682="ETAPA"</formula>
    </cfRule>
  </conditionalFormatting>
  <conditionalFormatting sqref="L2683">
    <cfRule type="expression" priority="183" dxfId="5">
      <formula>$H2683="CÉLULA CONSTRUTIVA"</formula>
    </cfRule>
    <cfRule type="expression" priority="184" dxfId="4">
      <formula>$H2683="SUBETAPA"</formula>
    </cfRule>
    <cfRule type="expression" priority="185" dxfId="3">
      <formula>$H2683="ETAPA"</formula>
    </cfRule>
  </conditionalFormatting>
  <conditionalFormatting sqref="L2691">
    <cfRule type="expression" priority="216" dxfId="5">
      <formula>$H2691="CÉLULA CONSTRUTIVA"</formula>
    </cfRule>
    <cfRule type="expression" priority="217" dxfId="4">
      <formula>$H2691="SUBETAPA"</formula>
    </cfRule>
    <cfRule type="expression" priority="218" dxfId="3">
      <formula>$H2691="ETAPA"</formula>
    </cfRule>
  </conditionalFormatting>
  <conditionalFormatting sqref="L2692">
    <cfRule type="expression" priority="2417" dxfId="3">
      <formula>$H2692="ETAPA"</formula>
    </cfRule>
  </conditionalFormatting>
  <conditionalFormatting sqref="L2693">
    <cfRule type="expression" priority="180" dxfId="5">
      <formula>$H2693="CÉLULA CONSTRUTIVA"</formula>
    </cfRule>
    <cfRule type="expression" priority="181" dxfId="4">
      <formula>$H2693="SUBETAPA"</formula>
    </cfRule>
    <cfRule type="expression" priority="182" dxfId="3">
      <formula>$H2693="ETAPA"</formula>
    </cfRule>
  </conditionalFormatting>
  <conditionalFormatting sqref="L2699">
    <cfRule type="expression" priority="213" dxfId="5">
      <formula>$H2699="CÉLULA CONSTRUTIVA"</formula>
    </cfRule>
    <cfRule type="expression" priority="214" dxfId="4">
      <formula>$H2699="SUBETAPA"</formula>
    </cfRule>
    <cfRule type="expression" priority="215" dxfId="3">
      <formula>$H2699="ETAPA"</formula>
    </cfRule>
  </conditionalFormatting>
  <conditionalFormatting sqref="L2700">
    <cfRule type="expression" priority="2485" dxfId="3">
      <formula>$H2700="ETAPA"</formula>
    </cfRule>
  </conditionalFormatting>
  <conditionalFormatting sqref="L2701">
    <cfRule type="expression" priority="177" dxfId="5">
      <formula>$H2701="CÉLULA CONSTRUTIVA"</formula>
    </cfRule>
    <cfRule type="expression" priority="178" dxfId="4">
      <formula>$H2701="SUBETAPA"</formula>
    </cfRule>
    <cfRule type="expression" priority="179" dxfId="3">
      <formula>$H2701="ETAPA"</formula>
    </cfRule>
  </conditionalFormatting>
  <conditionalFormatting sqref="L2710">
    <cfRule type="expression" priority="210" dxfId="5">
      <formula>$H2710="CÉLULA CONSTRUTIVA"</formula>
    </cfRule>
    <cfRule type="expression" priority="211" dxfId="4">
      <formula>$H2710="SUBETAPA"</formula>
    </cfRule>
    <cfRule type="expression" priority="212" dxfId="3">
      <formula>$H2710="ETAPA"</formula>
    </cfRule>
  </conditionalFormatting>
  <conditionalFormatting sqref="L2711">
    <cfRule type="expression" priority="2553" dxfId="3">
      <formula>$H2711="ETAPA"</formula>
    </cfRule>
  </conditionalFormatting>
  <conditionalFormatting sqref="L2712">
    <cfRule type="expression" priority="174" dxfId="5">
      <formula>$H2712="CÉLULA CONSTRUTIVA"</formula>
    </cfRule>
    <cfRule type="expression" priority="175" dxfId="4">
      <formula>$H2712="SUBETAPA"</formula>
    </cfRule>
    <cfRule type="expression" priority="176" dxfId="3">
      <formula>$H2712="ETAPA"</formula>
    </cfRule>
  </conditionalFormatting>
  <conditionalFormatting sqref="L2721">
    <cfRule type="expression" priority="207" dxfId="5">
      <formula>$H2721="CÉLULA CONSTRUTIVA"</formula>
    </cfRule>
    <cfRule type="expression" priority="208" dxfId="4">
      <formula>$H2721="SUBETAPA"</formula>
    </cfRule>
    <cfRule type="expression" priority="209" dxfId="3">
      <formula>$H2721="ETAPA"</formula>
    </cfRule>
  </conditionalFormatting>
  <conditionalFormatting sqref="L2722">
    <cfRule type="expression" priority="1796" dxfId="3">
      <formula>$H2722="ETAPA"</formula>
    </cfRule>
  </conditionalFormatting>
  <conditionalFormatting sqref="L2723">
    <cfRule type="expression" priority="171" dxfId="5">
      <formula>$H2723="CÉLULA CONSTRUTIVA"</formula>
    </cfRule>
    <cfRule type="expression" priority="172" dxfId="4">
      <formula>$H2723="SUBETAPA"</formula>
    </cfRule>
    <cfRule type="expression" priority="173" dxfId="3">
      <formula>$H2723="ETAPA"</formula>
    </cfRule>
  </conditionalFormatting>
  <conditionalFormatting sqref="L2732">
    <cfRule type="expression" priority="204" dxfId="5">
      <formula>$H2732="CÉLULA CONSTRUTIVA"</formula>
    </cfRule>
    <cfRule type="expression" priority="205" dxfId="4">
      <formula>$H2732="SUBETAPA"</formula>
    </cfRule>
    <cfRule type="expression" priority="206" dxfId="3">
      <formula>$H2732="ETAPA"</formula>
    </cfRule>
  </conditionalFormatting>
  <conditionalFormatting sqref="L2733">
    <cfRule type="expression" priority="1868" dxfId="3">
      <formula>$H2733="ETAPA"</formula>
    </cfRule>
  </conditionalFormatting>
  <conditionalFormatting sqref="L2734">
    <cfRule type="expression" priority="168" dxfId="5">
      <formula>$H2734="CÉLULA CONSTRUTIVA"</formula>
    </cfRule>
    <cfRule type="expression" priority="169" dxfId="4">
      <formula>$H2734="SUBETAPA"</formula>
    </cfRule>
    <cfRule type="expression" priority="170" dxfId="3">
      <formula>$H2734="ETAPA"</formula>
    </cfRule>
  </conditionalFormatting>
  <conditionalFormatting sqref="L2743">
    <cfRule type="expression" priority="201" dxfId="5">
      <formula>$H2743="CÉLULA CONSTRUTIVA"</formula>
    </cfRule>
    <cfRule type="expression" priority="202" dxfId="4">
      <formula>$H2743="SUBETAPA"</formula>
    </cfRule>
    <cfRule type="expression" priority="203" dxfId="3">
      <formula>$H2743="ETAPA"</formula>
    </cfRule>
  </conditionalFormatting>
  <conditionalFormatting sqref="L2744">
    <cfRule type="expression" priority="2621" dxfId="3">
      <formula>$H2744="ETAPA"</formula>
    </cfRule>
  </conditionalFormatting>
  <conditionalFormatting sqref="L2745">
    <cfRule type="expression" priority="165" dxfId="5">
      <formula>$H2745="CÉLULA CONSTRUTIVA"</formula>
    </cfRule>
    <cfRule type="expression" priority="166" dxfId="4">
      <formula>$H2745="SUBETAPA"</formula>
    </cfRule>
    <cfRule type="expression" priority="167" dxfId="3">
      <formula>$H2745="ETAPA"</formula>
    </cfRule>
  </conditionalFormatting>
  <conditionalFormatting sqref="L2754">
    <cfRule type="expression" priority="198" dxfId="5">
      <formula>$H2754="CÉLULA CONSTRUTIVA"</formula>
    </cfRule>
    <cfRule type="expression" priority="199" dxfId="4">
      <formula>$H2754="SUBETAPA"</formula>
    </cfRule>
    <cfRule type="expression" priority="200" dxfId="3">
      <formula>$H2754="ETAPA"</formula>
    </cfRule>
  </conditionalFormatting>
  <conditionalFormatting sqref="L2762">
    <cfRule type="expression" priority="1387" dxfId="4">
      <formula>$H2762="SUBETAPA"</formula>
    </cfRule>
  </conditionalFormatting>
  <conditionalFormatting sqref="L2768">
    <cfRule type="expression" priority="1429" dxfId="4">
      <formula>$H2768="SUBETAPA"</formula>
    </cfRule>
  </conditionalFormatting>
  <conditionalFormatting sqref="L2774">
    <cfRule type="expression" priority="1471" dxfId="4">
      <formula>$H2774="SUBETAPA"</formula>
    </cfRule>
  </conditionalFormatting>
  <conditionalFormatting sqref="L2783">
    <cfRule type="expression" priority="1513" dxfId="4">
      <formula>$H2783="SUBETAPA"</formula>
    </cfRule>
  </conditionalFormatting>
  <conditionalFormatting sqref="L2792">
    <cfRule type="expression" priority="1555" dxfId="4">
      <formula>$H2792="SUBETAPA"</formula>
    </cfRule>
  </conditionalFormatting>
  <conditionalFormatting sqref="L2796:L2798 M2799:M2802">
    <cfRule type="expression" priority="1600" dxfId="3">
      <formula>$H2796="ETAPA"</formula>
    </cfRule>
    <cfRule type="expression" priority="1614" dxfId="4">
      <formula>$H2796="SUBETAPA"</formula>
    </cfRule>
  </conditionalFormatting>
  <conditionalFormatting sqref="L2801">
    <cfRule type="expression" priority="1597" dxfId="4">
      <formula>$H2801="SUBETAPA"</formula>
    </cfRule>
  </conditionalFormatting>
  <conditionalFormatting sqref="L2802">
    <cfRule type="expression" priority="162" dxfId="4">
      <formula>$H2802="SUBETAPA"</formula>
    </cfRule>
    <cfRule type="expression" priority="163" dxfId="3">
      <formula>$H2802="ETAPA"</formula>
    </cfRule>
    <cfRule type="expression" priority="164" dxfId="5">
      <formula>$H2802="CÉLULA CONSTRUTIVA"</formula>
    </cfRule>
  </conditionalFormatting>
  <conditionalFormatting sqref="L2810">
    <cfRule type="expression" priority="1639" dxfId="4">
      <formula>$H2810="SUBETAPA"</formula>
    </cfRule>
  </conditionalFormatting>
  <conditionalFormatting sqref="L2811">
    <cfRule type="expression" priority="159" dxfId="4">
      <formula>$H2811="SUBETAPA"</formula>
    </cfRule>
    <cfRule type="expression" priority="160" dxfId="3">
      <formula>$H2811="ETAPA"</formula>
    </cfRule>
    <cfRule type="expression" priority="161" dxfId="5">
      <formula>$H2811="CÉLULA CONSTRUTIVA"</formula>
    </cfRule>
  </conditionalFormatting>
  <conditionalFormatting sqref="L2814:L2816">
    <cfRule type="expression" priority="1684" dxfId="3">
      <formula>$H2814="ETAPA"</formula>
    </cfRule>
    <cfRule type="expression" priority="1698" dxfId="4">
      <formula>$H2814="SUBETAPA"</formula>
    </cfRule>
  </conditionalFormatting>
  <conditionalFormatting sqref="L2817">
    <cfRule type="expression" priority="1681" dxfId="4">
      <formula>$H2817="SUBETAPA"</formula>
    </cfRule>
  </conditionalFormatting>
  <conditionalFormatting sqref="L2818">
    <cfRule type="expression" priority="156" dxfId="4">
      <formula>$H2818="SUBETAPA"</formula>
    </cfRule>
    <cfRule type="expression" priority="157" dxfId="3">
      <formula>$H2818="ETAPA"</formula>
    </cfRule>
    <cfRule type="expression" priority="158" dxfId="5">
      <formula>$H2818="CÉLULA CONSTRUTIVA"</formula>
    </cfRule>
  </conditionalFormatting>
  <conditionalFormatting sqref="L2819">
    <cfRule type="expression" priority="425" dxfId="3">
      <formula>$H2819="ETAPA"</formula>
    </cfRule>
  </conditionalFormatting>
  <conditionalFormatting sqref="L2821">
    <cfRule type="expression" priority="153" dxfId="5">
      <formula>$H2821="CÉLULA CONSTRUTIVA"</formula>
    </cfRule>
    <cfRule type="expression" priority="154" dxfId="4">
      <formula>$H2821="SUBETAPA"</formula>
    </cfRule>
    <cfRule type="expression" priority="155" dxfId="3">
      <formula>$H2821="ETAPA"</formula>
    </cfRule>
  </conditionalFormatting>
  <conditionalFormatting sqref="L2829">
    <cfRule type="expression" priority="81" dxfId="5">
      <formula>$H2829="CÉLULA CONSTRUTIVA"</formula>
    </cfRule>
    <cfRule type="expression" priority="82" dxfId="4">
      <formula>$H2829="SUBETAPA"</formula>
    </cfRule>
    <cfRule type="expression" priority="83" dxfId="3">
      <formula>$H2829="ETAPA"</formula>
    </cfRule>
  </conditionalFormatting>
  <conditionalFormatting sqref="L2830">
    <cfRule type="expression" priority="490" dxfId="3">
      <formula>$H2830="ETAPA"</formula>
    </cfRule>
  </conditionalFormatting>
  <conditionalFormatting sqref="L2832">
    <cfRule type="expression" priority="150" dxfId="5">
      <formula>$H2832="CÉLULA CONSTRUTIVA"</formula>
    </cfRule>
    <cfRule type="expression" priority="151" dxfId="4">
      <formula>$H2832="SUBETAPA"</formula>
    </cfRule>
    <cfRule type="expression" priority="152" dxfId="3">
      <formula>$H2832="ETAPA"</formula>
    </cfRule>
  </conditionalFormatting>
  <conditionalFormatting sqref="L2838">
    <cfRule type="expression" priority="84" dxfId="5">
      <formula>$H2838="CÉLULA CONSTRUTIVA"</formula>
    </cfRule>
    <cfRule type="expression" priority="85" dxfId="4">
      <formula>$H2838="SUBETAPA"</formula>
    </cfRule>
    <cfRule type="expression" priority="86" dxfId="3">
      <formula>$H2838="ETAPA"</formula>
    </cfRule>
  </conditionalFormatting>
  <conditionalFormatting sqref="L2839">
    <cfRule type="expression" priority="555" dxfId="3">
      <formula>$H2839="ETAPA"</formula>
    </cfRule>
  </conditionalFormatting>
  <conditionalFormatting sqref="L2841">
    <cfRule type="expression" priority="147" dxfId="5">
      <formula>$H2841="CÉLULA CONSTRUTIVA"</formula>
    </cfRule>
    <cfRule type="expression" priority="148" dxfId="4">
      <formula>$H2841="SUBETAPA"</formula>
    </cfRule>
    <cfRule type="expression" priority="149" dxfId="3">
      <formula>$H2841="ETAPA"</formula>
    </cfRule>
  </conditionalFormatting>
  <conditionalFormatting sqref="L2847">
    <cfRule type="expression" priority="87" dxfId="5">
      <formula>$H2847="CÉLULA CONSTRUTIVA"</formula>
    </cfRule>
    <cfRule type="expression" priority="88" dxfId="4">
      <formula>$H2847="SUBETAPA"</formula>
    </cfRule>
    <cfRule type="expression" priority="89" dxfId="3">
      <formula>$H2847="ETAPA"</formula>
    </cfRule>
  </conditionalFormatting>
  <conditionalFormatting sqref="L2848">
    <cfRule type="expression" priority="620" dxfId="3">
      <formula>$H2848="ETAPA"</formula>
    </cfRule>
  </conditionalFormatting>
  <conditionalFormatting sqref="L2850">
    <cfRule type="expression" priority="144" dxfId="5">
      <formula>$H2850="CÉLULA CONSTRUTIVA"</formula>
    </cfRule>
    <cfRule type="expression" priority="145" dxfId="4">
      <formula>$H2850="SUBETAPA"</formula>
    </cfRule>
    <cfRule type="expression" priority="146" dxfId="3">
      <formula>$H2850="ETAPA"</formula>
    </cfRule>
  </conditionalFormatting>
  <conditionalFormatting sqref="L2856">
    <cfRule type="expression" priority="90" dxfId="5">
      <formula>$H2856="CÉLULA CONSTRUTIVA"</formula>
    </cfRule>
    <cfRule type="expression" priority="91" dxfId="4">
      <formula>$H2856="SUBETAPA"</formula>
    </cfRule>
    <cfRule type="expression" priority="92" dxfId="3">
      <formula>$H2856="ETAPA"</formula>
    </cfRule>
  </conditionalFormatting>
  <conditionalFormatting sqref="L2857">
    <cfRule type="expression" priority="685" dxfId="3">
      <formula>$H2857="ETAPA"</formula>
    </cfRule>
  </conditionalFormatting>
  <conditionalFormatting sqref="L2859">
    <cfRule type="expression" priority="141" dxfId="5">
      <formula>$H2859="CÉLULA CONSTRUTIVA"</formula>
    </cfRule>
    <cfRule type="expression" priority="142" dxfId="4">
      <formula>$H2859="SUBETAPA"</formula>
    </cfRule>
    <cfRule type="expression" priority="143" dxfId="3">
      <formula>$H2859="ETAPA"</formula>
    </cfRule>
  </conditionalFormatting>
  <conditionalFormatting sqref="L2865">
    <cfRule type="expression" priority="93" dxfId="5">
      <formula>$H2865="CÉLULA CONSTRUTIVA"</formula>
    </cfRule>
    <cfRule type="expression" priority="94" dxfId="4">
      <formula>$H2865="SUBETAPA"</formula>
    </cfRule>
    <cfRule type="expression" priority="95" dxfId="3">
      <formula>$H2865="ETAPA"</formula>
    </cfRule>
  </conditionalFormatting>
  <conditionalFormatting sqref="L2866">
    <cfRule type="expression" priority="750" dxfId="3">
      <formula>$H2866="ETAPA"</formula>
    </cfRule>
  </conditionalFormatting>
  <conditionalFormatting sqref="L2868">
    <cfRule type="expression" priority="138" dxfId="5">
      <formula>$H2868="CÉLULA CONSTRUTIVA"</formula>
    </cfRule>
    <cfRule type="expression" priority="139" dxfId="4">
      <formula>$H2868="SUBETAPA"</formula>
    </cfRule>
    <cfRule type="expression" priority="140" dxfId="3">
      <formula>$H2868="ETAPA"</formula>
    </cfRule>
  </conditionalFormatting>
  <conditionalFormatting sqref="L2874">
    <cfRule type="expression" priority="96" dxfId="5">
      <formula>$H2874="CÉLULA CONSTRUTIVA"</formula>
    </cfRule>
    <cfRule type="expression" priority="97" dxfId="4">
      <formula>$H2874="SUBETAPA"</formula>
    </cfRule>
    <cfRule type="expression" priority="98" dxfId="3">
      <formula>$H2874="ETAPA"</formula>
    </cfRule>
  </conditionalFormatting>
  <conditionalFormatting sqref="L2875">
    <cfRule type="expression" priority="815" dxfId="3">
      <formula>$H2875="ETAPA"</formula>
    </cfRule>
  </conditionalFormatting>
  <conditionalFormatting sqref="L2877">
    <cfRule type="expression" priority="135" dxfId="5">
      <formula>$H2877="CÉLULA CONSTRUTIVA"</formula>
    </cfRule>
    <cfRule type="expression" priority="136" dxfId="4">
      <formula>$H2877="SUBETAPA"</formula>
    </cfRule>
    <cfRule type="expression" priority="137" dxfId="3">
      <formula>$H2877="ETAPA"</formula>
    </cfRule>
  </conditionalFormatting>
  <conditionalFormatting sqref="L2885">
    <cfRule type="expression" priority="99" dxfId="5">
      <formula>$H2885="CÉLULA CONSTRUTIVA"</formula>
    </cfRule>
    <cfRule type="expression" priority="100" dxfId="4">
      <formula>$H2885="SUBETAPA"</formula>
    </cfRule>
    <cfRule type="expression" priority="101" dxfId="3">
      <formula>$H2885="ETAPA"</formula>
    </cfRule>
  </conditionalFormatting>
  <conditionalFormatting sqref="L2886">
    <cfRule type="expression" priority="880" dxfId="3">
      <formula>$H2886="ETAPA"</formula>
    </cfRule>
  </conditionalFormatting>
  <conditionalFormatting sqref="L2888">
    <cfRule type="expression" priority="132" dxfId="5">
      <formula>$H2888="CÉLULA CONSTRUTIVA"</formula>
    </cfRule>
    <cfRule type="expression" priority="133" dxfId="4">
      <formula>$H2888="SUBETAPA"</formula>
    </cfRule>
    <cfRule type="expression" priority="134" dxfId="3">
      <formula>$H2888="ETAPA"</formula>
    </cfRule>
  </conditionalFormatting>
  <conditionalFormatting sqref="L2897">
    <cfRule type="expression" priority="945" dxfId="3">
      <formula>$H2897="ETAPA"</formula>
    </cfRule>
  </conditionalFormatting>
  <conditionalFormatting sqref="L2899">
    <cfRule type="expression" priority="129" dxfId="5">
      <formula>$H2899="CÉLULA CONSTRUTIVA"</formula>
    </cfRule>
    <cfRule type="expression" priority="130" dxfId="4">
      <formula>$H2899="SUBETAPA"</formula>
    </cfRule>
    <cfRule type="expression" priority="131" dxfId="3">
      <formula>$H2899="ETAPA"</formula>
    </cfRule>
  </conditionalFormatting>
  <conditionalFormatting sqref="L2905">
    <cfRule type="expression" priority="102" dxfId="5">
      <formula>$H2905="CÉLULA CONSTRUTIVA"</formula>
    </cfRule>
    <cfRule type="expression" priority="103" dxfId="4">
      <formula>$H2905="SUBETAPA"</formula>
    </cfRule>
    <cfRule type="expression" priority="104" dxfId="3">
      <formula>$H2905="ETAPA"</formula>
    </cfRule>
  </conditionalFormatting>
  <conditionalFormatting sqref="L2906">
    <cfRule type="expression" priority="1010" dxfId="3">
      <formula>$H2906="ETAPA"</formula>
    </cfRule>
  </conditionalFormatting>
  <conditionalFormatting sqref="L2908">
    <cfRule type="expression" priority="126" dxfId="5">
      <formula>$H2908="CÉLULA CONSTRUTIVA"</formula>
    </cfRule>
    <cfRule type="expression" priority="127" dxfId="4">
      <formula>$H2908="SUBETAPA"</formula>
    </cfRule>
    <cfRule type="expression" priority="128" dxfId="3">
      <formula>$H2908="ETAPA"</formula>
    </cfRule>
  </conditionalFormatting>
  <conditionalFormatting sqref="L2914">
    <cfRule type="expression" priority="105" dxfId="5">
      <formula>$H2914="CÉLULA CONSTRUTIVA"</formula>
    </cfRule>
    <cfRule type="expression" priority="106" dxfId="4">
      <formula>$H2914="SUBETAPA"</formula>
    </cfRule>
    <cfRule type="expression" priority="107" dxfId="3">
      <formula>$H2914="ETAPA"</formula>
    </cfRule>
  </conditionalFormatting>
  <conditionalFormatting sqref="L2915">
    <cfRule type="expression" priority="1075" dxfId="3">
      <formula>$H2915="ETAPA"</formula>
    </cfRule>
  </conditionalFormatting>
  <conditionalFormatting sqref="L2917">
    <cfRule type="expression" priority="123" dxfId="5">
      <formula>$H2917="CÉLULA CONSTRUTIVA"</formula>
    </cfRule>
    <cfRule type="expression" priority="124" dxfId="4">
      <formula>$H2917="SUBETAPA"</formula>
    </cfRule>
    <cfRule type="expression" priority="125" dxfId="3">
      <formula>$H2917="ETAPA"</formula>
    </cfRule>
  </conditionalFormatting>
  <conditionalFormatting sqref="L2923">
    <cfRule type="expression" priority="108" dxfId="5">
      <formula>$H2923="CÉLULA CONSTRUTIVA"</formula>
    </cfRule>
    <cfRule type="expression" priority="109" dxfId="4">
      <formula>$H2923="SUBETAPA"</formula>
    </cfRule>
    <cfRule type="expression" priority="110" dxfId="3">
      <formula>$H2923="ETAPA"</formula>
    </cfRule>
  </conditionalFormatting>
  <conditionalFormatting sqref="L2924">
    <cfRule type="expression" priority="1140" dxfId="3">
      <formula>$H2924="ETAPA"</formula>
    </cfRule>
  </conditionalFormatting>
  <conditionalFormatting sqref="L2926">
    <cfRule type="expression" priority="120" dxfId="5">
      <formula>$H2926="CÉLULA CONSTRUTIVA"</formula>
    </cfRule>
    <cfRule type="expression" priority="121" dxfId="4">
      <formula>$H2926="SUBETAPA"</formula>
    </cfRule>
    <cfRule type="expression" priority="122" dxfId="3">
      <formula>$H2926="ETAPA"</formula>
    </cfRule>
  </conditionalFormatting>
  <conditionalFormatting sqref="L2932">
    <cfRule type="expression" priority="111" dxfId="5">
      <formula>$H2932="CÉLULA CONSTRUTIVA"</formula>
    </cfRule>
    <cfRule type="expression" priority="112" dxfId="4">
      <formula>$H2932="SUBETAPA"</formula>
    </cfRule>
    <cfRule type="expression" priority="113" dxfId="3">
      <formula>$H2932="ETAPA"</formula>
    </cfRule>
  </conditionalFormatting>
  <conditionalFormatting sqref="L2933">
    <cfRule type="expression" priority="1205" dxfId="3">
      <formula>$H2933="ETAPA"</formula>
    </cfRule>
  </conditionalFormatting>
  <conditionalFormatting sqref="L2935">
    <cfRule type="expression" priority="117" dxfId="5">
      <formula>$H2935="CÉLULA CONSTRUTIVA"</formula>
    </cfRule>
    <cfRule type="expression" priority="118" dxfId="4">
      <formula>$H2935="SUBETAPA"</formula>
    </cfRule>
    <cfRule type="expression" priority="119" dxfId="3">
      <formula>$H2935="ETAPA"</formula>
    </cfRule>
  </conditionalFormatting>
  <conditionalFormatting sqref="L2944">
    <cfRule type="expression" priority="1270" dxfId="3">
      <formula>$H2944="ETAPA"</formula>
    </cfRule>
  </conditionalFormatting>
  <conditionalFormatting sqref="G2949:J2949 H2950:H2951 J2950:L2951 L2945 L2949:M2949">
    <cfRule type="expression" priority="1296" dxfId="5">
      <formula>$H2945="CÉLULA CONSTRUTIVA"</formula>
    </cfRule>
  </conditionalFormatting>
  <conditionalFormatting sqref="L2945 L2948:M2949 L2950:L2951 M2950:M2953">
    <cfRule type="expression" priority="1297" dxfId="4">
      <formula>$H2945="SUBETAPA"</formula>
    </cfRule>
  </conditionalFormatting>
  <conditionalFormatting sqref="L2946">
    <cfRule type="expression" priority="114" dxfId="5">
      <formula>$H2946="CÉLULA CONSTRUTIVA"</formula>
    </cfRule>
    <cfRule type="expression" priority="115" dxfId="4">
      <formula>$H2946="SUBETAPA"</formula>
    </cfRule>
    <cfRule type="expression" priority="116" dxfId="3">
      <formula>$H2946="ETAPA"</formula>
    </cfRule>
  </conditionalFormatting>
  <conditionalFormatting sqref="L2957 L2959:L2960">
    <cfRule type="expression" priority="66709" dxfId="3">
      <formula>$H2957="ETAPA"</formula>
    </cfRule>
  </conditionalFormatting>
  <conditionalFormatting sqref="L2991">
    <cfRule type="expression" priority="65681" dxfId="3">
      <formula>$H2991="ETAPA"</formula>
    </cfRule>
  </conditionalFormatting>
  <conditionalFormatting sqref="L2998 L3000:L3001">
    <cfRule type="expression" priority="66195" dxfId="3">
      <formula>$H2998="ETAPA"</formula>
    </cfRule>
  </conditionalFormatting>
  <conditionalFormatting sqref="L3007">
    <cfRule type="expression" priority="65797" dxfId="3">
      <formula>$H3007="ETAPA"</formula>
    </cfRule>
  </conditionalFormatting>
  <conditionalFormatting sqref="L3014">
    <cfRule type="expression" priority="65901" dxfId="3">
      <formula>$H3014="ETAPA"</formula>
    </cfRule>
  </conditionalFormatting>
  <conditionalFormatting sqref="L3021">
    <cfRule type="expression" priority="65996" dxfId="3">
      <formula>$H3021="ETAPA"</formula>
    </cfRule>
  </conditionalFormatting>
  <conditionalFormatting sqref="L3028">
    <cfRule type="expression" priority="66100" dxfId="3">
      <formula>$H3028="ETAPA"</formula>
    </cfRule>
  </conditionalFormatting>
  <conditionalFormatting sqref="L3035 L3045 L3048 L3125 L3135 L3142 L3149 L3151:L3155 L3157:L3158 L3162 L3164:L3165 L3170 L3172">
    <cfRule type="expression" priority="83630" dxfId="3">
      <formula>$H3035="ETAPA"</formula>
    </cfRule>
  </conditionalFormatting>
  <conditionalFormatting sqref="L3052 L3066 L3075">
    <cfRule type="expression" priority="61053" dxfId="3">
      <formula>$H3052="ETAPA"</formula>
    </cfRule>
  </conditionalFormatting>
  <conditionalFormatting sqref="L3083 L3097">
    <cfRule type="expression" priority="61299" dxfId="3">
      <formula>$H3083="ETAPA"</formula>
    </cfRule>
  </conditionalFormatting>
  <conditionalFormatting sqref="L3102 L3119">
    <cfRule type="expression" priority="61545" dxfId="3">
      <formula>$H3102="ETAPA"</formula>
    </cfRule>
  </conditionalFormatting>
  <conditionalFormatting sqref="L3173">
    <cfRule type="expression" priority="59910" dxfId="4">
      <formula>$H3173="SUBETAPA"</formula>
    </cfRule>
    <cfRule type="expression" priority="59911" dxfId="5">
      <formula>$H3173="CÉLULA CONSTRUTIVA"</formula>
    </cfRule>
  </conditionalFormatting>
  <conditionalFormatting sqref="L17:M17">
    <cfRule type="expression" priority="4040" dxfId="6">
      <formula>$H17="SUBETAPA"</formula>
    </cfRule>
  </conditionalFormatting>
  <conditionalFormatting sqref="L80:M83">
    <cfRule type="expression" priority="50336" dxfId="4">
      <formula>$H80="SUBETAPA"</formula>
    </cfRule>
  </conditionalFormatting>
  <conditionalFormatting sqref="L123:M123">
    <cfRule type="expression" priority="46374" dxfId="3">
      <formula>$H123="ETAPA"</formula>
    </cfRule>
  </conditionalFormatting>
  <conditionalFormatting sqref="L126:M126">
    <cfRule type="expression" priority="46377" dxfId="3">
      <formula>$H126="ETAPA"</formula>
    </cfRule>
  </conditionalFormatting>
  <conditionalFormatting sqref="L129:M129">
    <cfRule type="expression" priority="46380" dxfId="3">
      <formula>$H129="ETAPA"</formula>
    </cfRule>
  </conditionalFormatting>
  <conditionalFormatting sqref="L134:M134">
    <cfRule type="expression" priority="46383" dxfId="3">
      <formula>$H134="ETAPA"</formula>
    </cfRule>
  </conditionalFormatting>
  <conditionalFormatting sqref="L137:M137">
    <cfRule type="expression" priority="46386" dxfId="3">
      <formula>$H137="ETAPA"</formula>
    </cfRule>
  </conditionalFormatting>
  <conditionalFormatting sqref="L280:M280">
    <cfRule type="expression" priority="49128" dxfId="5">
      <formula>$H280="CÉLULA CONSTRUTIVA"</formula>
    </cfRule>
  </conditionalFormatting>
  <conditionalFormatting sqref="L280:M281">
    <cfRule type="expression" priority="49127" dxfId="4">
      <formula>$H280="SUBETAPA"</formula>
    </cfRule>
  </conditionalFormatting>
  <conditionalFormatting sqref="L281:M281 N282">
    <cfRule type="expression" priority="50923" dxfId="5">
      <formula>$H281="CÉLULA CONSTRUTIVA"</formula>
    </cfRule>
  </conditionalFormatting>
  <conditionalFormatting sqref="L283:M283 N284">
    <cfRule type="expression" priority="49108" dxfId="5">
      <formula>$H283="CÉLULA CONSTRUTIVA"</formula>
    </cfRule>
    <cfRule type="expression" priority="49107" dxfId="4">
      <formula>$H283="SUBETAPA"</formula>
    </cfRule>
  </conditionalFormatting>
  <conditionalFormatting sqref="L285:M285 N286">
    <cfRule type="expression" priority="49062" dxfId="5">
      <formula>$H285="CÉLULA CONSTRUTIVA"</formula>
    </cfRule>
    <cfRule type="expression" priority="49061" dxfId="4">
      <formula>$H285="SUBETAPA"</formula>
    </cfRule>
  </conditionalFormatting>
  <conditionalFormatting sqref="L287:M287 N288">
    <cfRule type="expression" priority="49016" dxfId="5">
      <formula>$H287="CÉLULA CONSTRUTIVA"</formula>
    </cfRule>
    <cfRule type="expression" priority="49015" dxfId="4">
      <formula>$H287="SUBETAPA"</formula>
    </cfRule>
  </conditionalFormatting>
  <conditionalFormatting sqref="L289:M289 N290">
    <cfRule type="expression" priority="48970" dxfId="5">
      <formula>$H289="CÉLULA CONSTRUTIVA"</formula>
    </cfRule>
    <cfRule type="expression" priority="48969" dxfId="4">
      <formula>$H289="SUBETAPA"</formula>
    </cfRule>
  </conditionalFormatting>
  <conditionalFormatting sqref="L291:M291 N292">
    <cfRule type="expression" priority="48924" dxfId="5">
      <formula>$H291="CÉLULA CONSTRUTIVA"</formula>
    </cfRule>
    <cfRule type="expression" priority="48923" dxfId="4">
      <formula>$H291="SUBETAPA"</formula>
    </cfRule>
  </conditionalFormatting>
  <conditionalFormatting sqref="L293:M293 N294">
    <cfRule type="expression" priority="48878" dxfId="5">
      <formula>$H293="CÉLULA CONSTRUTIVA"</formula>
    </cfRule>
    <cfRule type="expression" priority="48877" dxfId="4">
      <formula>$H293="SUBETAPA"</formula>
    </cfRule>
  </conditionalFormatting>
  <conditionalFormatting sqref="L295:M295 N296">
    <cfRule type="expression" priority="46288" dxfId="4">
      <formula>$H295="SUBETAPA"</formula>
    </cfRule>
    <cfRule type="expression" priority="46289" dxfId="5">
      <formula>$H295="CÉLULA CONSTRUTIVA"</formula>
    </cfRule>
  </conditionalFormatting>
  <conditionalFormatting sqref="L297:M297 N298">
    <cfRule type="expression" priority="48832" dxfId="5">
      <formula>$H297="CÉLULA CONSTRUTIVA"</formula>
    </cfRule>
    <cfRule type="expression" priority="48831" dxfId="4">
      <formula>$H297="SUBETAPA"</formula>
    </cfRule>
  </conditionalFormatting>
  <conditionalFormatting sqref="L299:M299 N300">
    <cfRule type="expression" priority="48786" dxfId="5">
      <formula>$H299="CÉLULA CONSTRUTIVA"</formula>
    </cfRule>
    <cfRule type="expression" priority="48785" dxfId="4">
      <formula>$H299="SUBETAPA"</formula>
    </cfRule>
  </conditionalFormatting>
  <conditionalFormatting sqref="L301:M301 N302">
    <cfRule type="expression" priority="48740" dxfId="5">
      <formula>$H301="CÉLULA CONSTRUTIVA"</formula>
    </cfRule>
    <cfRule type="expression" priority="48739" dxfId="4">
      <formula>$H301="SUBETAPA"</formula>
    </cfRule>
  </conditionalFormatting>
  <conditionalFormatting sqref="L303:M303 N304">
    <cfRule type="expression" priority="48694" dxfId="5">
      <formula>$H303="CÉLULA CONSTRUTIVA"</formula>
    </cfRule>
  </conditionalFormatting>
  <conditionalFormatting sqref="L305:M305 N306">
    <cfRule type="expression" priority="48648" dxfId="5">
      <formula>$H305="CÉLULA CONSTRUTIVA"</formula>
    </cfRule>
    <cfRule type="expression" priority="48647" dxfId="4">
      <formula>$H305="SUBETAPA"</formula>
    </cfRule>
  </conditionalFormatting>
  <conditionalFormatting sqref="L307:M307 N308">
    <cfRule type="expression" priority="48602" dxfId="5">
      <formula>$H307="CÉLULA CONSTRUTIVA"</formula>
    </cfRule>
  </conditionalFormatting>
  <conditionalFormatting sqref="L309:M309 N310">
    <cfRule type="expression" priority="48556" dxfId="5">
      <formula>$H309="CÉLULA CONSTRUTIVA"</formula>
    </cfRule>
    <cfRule type="expression" priority="48555" dxfId="4">
      <formula>$H309="SUBETAPA"</formula>
    </cfRule>
  </conditionalFormatting>
  <conditionalFormatting sqref="L311:M311 N312:O312">
    <cfRule type="expression" priority="48510" dxfId="5">
      <formula>$H311="CÉLULA CONSTRUTIVA"</formula>
    </cfRule>
    <cfRule type="expression" priority="48509" dxfId="4">
      <formula>$H311="SUBETAPA"</formula>
    </cfRule>
  </conditionalFormatting>
  <conditionalFormatting sqref="L347:M347">
    <cfRule type="expression" priority="47805" dxfId="5">
      <formula>$H347="CÉLULA CONSTRUTIVA"</formula>
    </cfRule>
  </conditionalFormatting>
  <conditionalFormatting sqref="L1911:M1911">
    <cfRule type="expression" priority="76061" dxfId="3">
      <formula>$H1911="ETAPA"</formula>
    </cfRule>
  </conditionalFormatting>
  <conditionalFormatting sqref="L2719:M2720 L2730:M2731">
    <cfRule type="expression" priority="1862" dxfId="4">
      <formula>$H2719="SUBETAPA"</formula>
    </cfRule>
    <cfRule type="expression" priority="1863" dxfId="5">
      <formula>$H2719="CÉLULA CONSTRUTIVA"</formula>
    </cfRule>
  </conditionalFormatting>
  <conditionalFormatting sqref="L2626:M2628 L2638:M2639 L2648:M2649 L2657:M2658 L2664:M2665 L2671:M2672 L2679:M2680 L2689:M2690 L2697:M2698 L2708:M2709 L2741:M2742 L2752:M2753">
    <cfRule type="expression" priority="116502" dxfId="4">
      <formula>$H2626="SUBETAPA"</formula>
    </cfRule>
    <cfRule type="expression" priority="116503" dxfId="5">
      <formula>$H2626="CÉLULA CONSTRUTIVA"</formula>
    </cfRule>
  </conditionalFormatting>
  <conditionalFormatting sqref="L2954:L2956 L2958 L2965 L2970 L2975 L2980 L2985 L2992 L2999 L3002:L3006 L3008 L3015 L3022 L3029 L3036 L3041 L3046 L3049:L3051 L3053 L3067 L3076:L3078 L3081:L3082 L3084 L3091 L3100:L3101 L3103 L3112 L3123:L3124 L3126 L3136 L3146:M3148 L3150 L3156 L3159:M3161 L3163 L3166:M3169 L3171">
    <cfRule type="expression" priority="83637" dxfId="4">
      <formula>$H2954="SUBETAPA"</formula>
    </cfRule>
    <cfRule type="expression" priority="83638" dxfId="5">
      <formula>$H2954="CÉLULA CONSTRUTIVA"</formula>
    </cfRule>
  </conditionalFormatting>
  <conditionalFormatting sqref="L48:N48 N45:O45">
    <cfRule type="expression" priority="50545" dxfId="4">
      <formula>$H45="SUBETAPA"</formula>
    </cfRule>
  </conditionalFormatting>
  <conditionalFormatting sqref="L62:N62">
    <cfRule type="expression" priority="50924" dxfId="3">
      <formula>$H62="ETAPA"</formula>
    </cfRule>
  </conditionalFormatting>
  <conditionalFormatting sqref="L283:N283">
    <cfRule type="expression" priority="49110" dxfId="3">
      <formula>$H283="ETAPA"</formula>
    </cfRule>
  </conditionalFormatting>
  <conditionalFormatting sqref="L285:N285">
    <cfRule type="expression" priority="49064" dxfId="3">
      <formula>$H285="ETAPA"</formula>
    </cfRule>
  </conditionalFormatting>
  <conditionalFormatting sqref="L287:N287">
    <cfRule type="expression" priority="49018" dxfId="3">
      <formula>$H287="ETAPA"</formula>
    </cfRule>
  </conditionalFormatting>
  <conditionalFormatting sqref="L289:N289">
    <cfRule type="expression" priority="48972" dxfId="3">
      <formula>$H289="ETAPA"</formula>
    </cfRule>
  </conditionalFormatting>
  <conditionalFormatting sqref="L291:N291">
    <cfRule type="expression" priority="48926" dxfId="3">
      <formula>$H291="ETAPA"</formula>
    </cfRule>
  </conditionalFormatting>
  <conditionalFormatting sqref="L293:N293">
    <cfRule type="expression" priority="48880" dxfId="3">
      <formula>$H293="ETAPA"</formula>
    </cfRule>
  </conditionalFormatting>
  <conditionalFormatting sqref="L295:N295">
    <cfRule type="expression" priority="46291" dxfId="3">
      <formula>$H295="ETAPA"</formula>
    </cfRule>
  </conditionalFormatting>
  <conditionalFormatting sqref="L297:N297">
    <cfRule type="expression" priority="48834" dxfId="3">
      <formula>$H297="ETAPA"</formula>
    </cfRule>
  </conditionalFormatting>
  <conditionalFormatting sqref="L299:N299">
    <cfRule type="expression" priority="48788" dxfId="3">
      <formula>$H299="ETAPA"</formula>
    </cfRule>
  </conditionalFormatting>
  <conditionalFormatting sqref="L301:N301">
    <cfRule type="expression" priority="48742" dxfId="3">
      <formula>$H301="ETAPA"</formula>
    </cfRule>
  </conditionalFormatting>
  <conditionalFormatting sqref="L303:N303">
    <cfRule type="expression" priority="48696" dxfId="3">
      <formula>$H303="ETAPA"</formula>
    </cfRule>
  </conditionalFormatting>
  <conditionalFormatting sqref="L305:N305">
    <cfRule type="expression" priority="48650" dxfId="3">
      <formula>$H305="ETAPA"</formula>
    </cfRule>
  </conditionalFormatting>
  <conditionalFormatting sqref="L307:N307">
    <cfRule type="expression" priority="48604" dxfId="3">
      <formula>$H307="ETAPA"</formula>
    </cfRule>
  </conditionalFormatting>
  <conditionalFormatting sqref="L309:N309">
    <cfRule type="expression" priority="48558" dxfId="3">
      <formula>$H309="ETAPA"</formula>
    </cfRule>
  </conditionalFormatting>
  <conditionalFormatting sqref="L311:N311">
    <cfRule type="expression" priority="48512" dxfId="3">
      <formula>$H311="ETAPA"</formula>
    </cfRule>
  </conditionalFormatting>
  <conditionalFormatting sqref="L347:N347">
    <cfRule type="expression" priority="47807" dxfId="3">
      <formula>$H347="ETAPA"</formula>
    </cfRule>
  </conditionalFormatting>
  <conditionalFormatting sqref="M20">
    <cfRule type="expression" priority="46616" dxfId="4">
      <formula>$H20="SUBETAPA"</formula>
    </cfRule>
    <cfRule type="expression" priority="46617" dxfId="5">
      <formula>$H20="CÉLULA CONSTRUTIVA"</formula>
    </cfRule>
    <cfRule type="expression" priority="46618" dxfId="3">
      <formula>$H20="ETAPA"</formula>
    </cfRule>
  </conditionalFormatting>
  <conditionalFormatting sqref="M21">
    <cfRule type="expression" priority="46658" dxfId="5">
      <formula>$H21="CÉLULA CONSTRUTIVA"</formula>
    </cfRule>
  </conditionalFormatting>
  <conditionalFormatting sqref="M22">
    <cfRule type="expression" priority="46660" dxfId="5">
      <formula>$H22="CÉLULA CONSTRUTIVA"</formula>
    </cfRule>
    <cfRule type="expression" priority="46661" dxfId="3">
      <formula>$H22="ETAPA"</formula>
    </cfRule>
    <cfRule type="expression" priority="46662" dxfId="5">
      <formula>$H22="CÉLULA CONSTRUTIVA"</formula>
    </cfRule>
    <cfRule type="expression" priority="46663" dxfId="3">
      <formula>$H22="ETAPA"</formula>
    </cfRule>
    <cfRule type="expression" priority="46664" dxfId="4">
      <formula>$H22="SUBETAPA"</formula>
    </cfRule>
    <cfRule type="expression" priority="46665" dxfId="5">
      <formula>$H22="CÉLULA CONSTRUTIVA"</formula>
    </cfRule>
    <cfRule type="expression" priority="46666" dxfId="3">
      <formula>$H22="ETAPA"</formula>
    </cfRule>
  </conditionalFormatting>
  <conditionalFormatting sqref="M23">
    <cfRule type="expression" priority="46585" dxfId="4">
      <formula>$H23="SUBETAPA"</formula>
    </cfRule>
  </conditionalFormatting>
  <conditionalFormatting sqref="M24">
    <cfRule type="expression" priority="50706" dxfId="5">
      <formula>$H24="CÉLULA CONSTRUTIVA"</formula>
    </cfRule>
  </conditionalFormatting>
  <conditionalFormatting sqref="M28:M30">
    <cfRule type="expression" priority="50742" dxfId="5">
      <formula>$H28="CÉLULA CONSTRUTIVA"</formula>
    </cfRule>
    <cfRule type="expression" priority="50743" dxfId="3">
      <formula>$H28="ETAPA"</formula>
    </cfRule>
  </conditionalFormatting>
  <conditionalFormatting sqref="M29">
    <cfRule type="expression" priority="50744" dxfId="5">
      <formula>$H29="CÉLULA CONSTRUTIVA"</formula>
    </cfRule>
    <cfRule type="expression" priority="50745" dxfId="3">
      <formula>$H29="ETAPA"</formula>
    </cfRule>
  </conditionalFormatting>
  <conditionalFormatting sqref="M30">
    <cfRule type="expression" priority="50746" dxfId="5">
      <formula>$H30="CÉLULA CONSTRUTIVA"</formula>
    </cfRule>
    <cfRule type="expression" priority="50747" dxfId="3">
      <formula>$H30="ETAPA"</formula>
    </cfRule>
  </conditionalFormatting>
  <conditionalFormatting sqref="M32">
    <cfRule type="expression" priority="50748" dxfId="5">
      <formula>$H32="CÉLULA CONSTRUTIVA"</formula>
    </cfRule>
    <cfRule type="expression" priority="50749" dxfId="3">
      <formula>$H32="ETAPA"</formula>
    </cfRule>
  </conditionalFormatting>
  <conditionalFormatting sqref="M33:M36">
    <cfRule type="expression" priority="50600" dxfId="3">
      <formula>$H33="ETAPA"</formula>
    </cfRule>
  </conditionalFormatting>
  <conditionalFormatting sqref="M34:M36">
    <cfRule type="expression" priority="50599" dxfId="5">
      <formula>$H34="CÉLULA CONSTRUTIVA"</formula>
    </cfRule>
  </conditionalFormatting>
  <conditionalFormatting sqref="M35">
    <cfRule type="expression" priority="50601" dxfId="5">
      <formula>$H35="CÉLULA CONSTRUTIVA"</formula>
    </cfRule>
    <cfRule type="expression" priority="50602" dxfId="3">
      <formula>$H35="ETAPA"</formula>
    </cfRule>
  </conditionalFormatting>
  <conditionalFormatting sqref="M36">
    <cfRule type="expression" priority="50603" dxfId="5">
      <formula>$H36="CÉLULA CONSTRUTIVA"</formula>
    </cfRule>
    <cfRule type="expression" priority="50604" dxfId="3">
      <formula>$H36="ETAPA"</formula>
    </cfRule>
  </conditionalFormatting>
  <conditionalFormatting sqref="M37">
    <cfRule type="expression" priority="46712" dxfId="5">
      <formula>$H37="CÉLULA CONSTRUTIVA"</formula>
    </cfRule>
    <cfRule type="expression" priority="46713" dxfId="3">
      <formula>$H37="ETAPA"</formula>
    </cfRule>
    <cfRule type="expression" priority="46714" dxfId="5">
      <formula>$H37="CÉLULA CONSTRUTIVA"</formula>
    </cfRule>
    <cfRule type="expression" priority="46715" dxfId="3">
      <formula>$H37="ETAPA"</formula>
    </cfRule>
    <cfRule type="expression" priority="46716" dxfId="4">
      <formula>$H37="SUBETAPA"</formula>
    </cfRule>
  </conditionalFormatting>
  <conditionalFormatting sqref="M38">
    <cfRule type="expression" priority="50605" dxfId="5">
      <formula>$H38="CÉLULA CONSTRUTIVA"</formula>
    </cfRule>
    <cfRule type="expression" priority="50606" dxfId="3">
      <formula>$H38="ETAPA"</formula>
    </cfRule>
    <cfRule type="expression" priority="50607" dxfId="5">
      <formula>$H38="CÉLULA CONSTRUTIVA"</formula>
    </cfRule>
    <cfRule type="expression" priority="50608" dxfId="3">
      <formula>$H38="ETAPA"</formula>
    </cfRule>
    <cfRule type="expression" priority="50609" dxfId="4">
      <formula>$H38="SUBETAPA"</formula>
    </cfRule>
  </conditionalFormatting>
  <conditionalFormatting sqref="M40">
    <cfRule type="expression" priority="46092" dxfId="5">
      <formula>$H40="CÉLULA CONSTRUTIVA"</formula>
    </cfRule>
    <cfRule type="expression" priority="46093" dxfId="3">
      <formula>$H40="ETAPA"</formula>
    </cfRule>
    <cfRule type="expression" priority="46094" dxfId="5">
      <formula>$H40="CÉLULA CONSTRUTIVA"</formula>
    </cfRule>
    <cfRule type="expression" priority="46095" dxfId="3">
      <formula>$H40="ETAPA"</formula>
    </cfRule>
    <cfRule type="expression" priority="46096" dxfId="4">
      <formula>$H40="SUBETAPA"</formula>
    </cfRule>
  </conditionalFormatting>
  <conditionalFormatting sqref="I42:K43 M42:M43">
    <cfRule type="expression" priority="50497" dxfId="5">
      <formula>$H42="CÉLULA CONSTRUTIVA"</formula>
    </cfRule>
  </conditionalFormatting>
  <conditionalFormatting sqref="M44:M45 M48">
    <cfRule type="expression" priority="50532" dxfId="5">
      <formula>$H44="CÉLULA CONSTRUTIVA"</formula>
    </cfRule>
    <cfRule type="expression" priority="50533" dxfId="3">
      <formula>$H44="ETAPA"</formula>
    </cfRule>
  </conditionalFormatting>
  <conditionalFormatting sqref="M45">
    <cfRule type="expression" priority="50534" dxfId="5">
      <formula>$H45="CÉLULA CONSTRUTIVA"</formula>
    </cfRule>
    <cfRule type="expression" priority="50535" dxfId="3">
      <formula>$H45="ETAPA"</formula>
    </cfRule>
  </conditionalFormatting>
  <conditionalFormatting sqref="M46">
    <cfRule type="expression" priority="46769" dxfId="5">
      <formula>$H46="CÉLULA CONSTRUTIVA"</formula>
    </cfRule>
    <cfRule type="expression" priority="46770" dxfId="3">
      <formula>$H46="ETAPA"</formula>
    </cfRule>
    <cfRule type="expression" priority="46771" dxfId="5">
      <formula>$H46="CÉLULA CONSTRUTIVA"</formula>
    </cfRule>
    <cfRule type="expression" priority="46772" dxfId="3">
      <formula>$H46="ETAPA"</formula>
    </cfRule>
    <cfRule type="expression" priority="46778" dxfId="4">
      <formula>$H46="SUBETAPA"</formula>
    </cfRule>
  </conditionalFormatting>
  <conditionalFormatting sqref="M47">
    <cfRule type="expression" priority="46738" dxfId="5">
      <formula>$H47="CÉLULA CONSTRUTIVA"</formula>
    </cfRule>
    <cfRule type="expression" priority="46739" dxfId="3">
      <formula>$H47="ETAPA"</formula>
    </cfRule>
    <cfRule type="expression" priority="46740" dxfId="5">
      <formula>$H47="CÉLULA CONSTRUTIVA"</formula>
    </cfRule>
    <cfRule type="expression" priority="46741" dxfId="3">
      <formula>$H47="ETAPA"</formula>
    </cfRule>
    <cfRule type="expression" priority="46748" dxfId="4">
      <formula>$H47="SUBETAPA"</formula>
    </cfRule>
  </conditionalFormatting>
  <conditionalFormatting sqref="M48">
    <cfRule type="expression" priority="50536" dxfId="5">
      <formula>$H48="CÉLULA CONSTRUTIVA"</formula>
    </cfRule>
    <cfRule type="expression" priority="50537" dxfId="3">
      <formula>$H48="ETAPA"</formula>
    </cfRule>
  </conditionalFormatting>
  <conditionalFormatting sqref="M50">
    <cfRule type="expression" priority="50538" dxfId="5">
      <formula>$H50="CÉLULA CONSTRUTIVA"</formula>
    </cfRule>
    <cfRule type="expression" priority="50539" dxfId="3">
      <formula>$H50="ETAPA"</formula>
    </cfRule>
  </conditionalFormatting>
  <conditionalFormatting sqref="M52">
    <cfRule type="expression" priority="50409" dxfId="5">
      <formula>$H52="CÉLULA CONSTRUTIVA"</formula>
    </cfRule>
    <cfRule type="expression" priority="50410" dxfId="3">
      <formula>$H52="ETAPA"</formula>
    </cfRule>
  </conditionalFormatting>
  <conditionalFormatting sqref="M53">
    <cfRule type="expression" priority="46387" dxfId="5">
      <formula>$H53="CÉLULA CONSTRUTIVA"</formula>
    </cfRule>
    <cfRule type="expression" priority="46388" dxfId="3">
      <formula>$H53="ETAPA"</formula>
    </cfRule>
    <cfRule type="expression" priority="46389" dxfId="5">
      <formula>$H53="CÉLULA CONSTRUTIVA"</formula>
    </cfRule>
    <cfRule type="expression" priority="46390" dxfId="3">
      <formula>$H53="ETAPA"</formula>
    </cfRule>
    <cfRule type="expression" priority="46391" dxfId="4">
      <formula>$H53="SUBETAPA"</formula>
    </cfRule>
  </conditionalFormatting>
  <conditionalFormatting sqref="M54">
    <cfRule type="expression" priority="46544" dxfId="5">
      <formula>$H54="CÉLULA CONSTRUTIVA"</formula>
    </cfRule>
    <cfRule type="expression" priority="46545" dxfId="3">
      <formula>$H54="ETAPA"</formula>
    </cfRule>
    <cfRule type="expression" priority="46546" dxfId="5">
      <formula>$H54="CÉLULA CONSTRUTIVA"</formula>
    </cfRule>
    <cfRule type="expression" priority="46547" dxfId="3">
      <formula>$H54="ETAPA"</formula>
    </cfRule>
    <cfRule type="expression" priority="46548" dxfId="4">
      <formula>$H54="SUBETAPA"</formula>
    </cfRule>
  </conditionalFormatting>
  <conditionalFormatting sqref="M56">
    <cfRule type="expression" priority="50354" dxfId="5">
      <formula>$H56="CÉLULA CONSTRUTIVA"</formula>
    </cfRule>
    <cfRule type="expression" priority="50355" dxfId="3">
      <formula>$H56="ETAPA"</formula>
    </cfRule>
  </conditionalFormatting>
  <conditionalFormatting sqref="M57">
    <cfRule type="expression" priority="46782" dxfId="4">
      <formula>$H57="SUBETAPA"</formula>
    </cfRule>
    <cfRule type="expression" priority="46783" dxfId="5">
      <formula>$H57="CÉLULA CONSTRUTIVA"</formula>
    </cfRule>
    <cfRule type="expression" priority="46784" dxfId="3">
      <formula>$H57="ETAPA"</formula>
    </cfRule>
  </conditionalFormatting>
  <conditionalFormatting sqref="M58">
    <cfRule type="expression" priority="50690" dxfId="5">
      <formula>$H58="CÉLULA CONSTRUTIVA"</formula>
    </cfRule>
  </conditionalFormatting>
  <conditionalFormatting sqref="M64">
    <cfRule type="expression" priority="50930" dxfId="5">
      <formula>$H64="CÉLULA CONSTRUTIVA"</formula>
    </cfRule>
    <cfRule type="expression" priority="50931" dxfId="3">
      <formula>$H64="ETAPA"</formula>
    </cfRule>
  </conditionalFormatting>
  <conditionalFormatting sqref="M65">
    <cfRule type="expression" priority="50932" dxfId="5">
      <formula>$H65="CÉLULA CONSTRUTIVA"</formula>
    </cfRule>
    <cfRule type="expression" priority="50933" dxfId="3">
      <formula>$H65="ETAPA"</formula>
    </cfRule>
    <cfRule type="expression" priority="50934" dxfId="5">
      <formula>$H65="CÉLULA CONSTRUTIVA"</formula>
    </cfRule>
    <cfRule type="expression" priority="50935" dxfId="3">
      <formula>$H65="ETAPA"</formula>
    </cfRule>
    <cfRule type="expression" priority="50936" dxfId="4">
      <formula>$H65="SUBETAPA"</formula>
    </cfRule>
  </conditionalFormatting>
  <conditionalFormatting sqref="M66:M68">
    <cfRule type="expression" priority="50937" dxfId="5">
      <formula>$H66="CÉLULA CONSTRUTIVA"</formula>
    </cfRule>
    <cfRule type="expression" priority="50938" dxfId="3">
      <formula>$H66="ETAPA"</formula>
    </cfRule>
  </conditionalFormatting>
  <conditionalFormatting sqref="M67">
    <cfRule type="expression" priority="50939" dxfId="5">
      <formula>$H67="CÉLULA CONSTRUTIVA"</formula>
    </cfRule>
    <cfRule type="expression" priority="50940" dxfId="3">
      <formula>$H67="ETAPA"</formula>
    </cfRule>
  </conditionalFormatting>
  <conditionalFormatting sqref="M77">
    <cfRule type="expression" priority="50945" dxfId="5">
      <formula>$H77="CÉLULA CONSTRUTIVA"</formula>
    </cfRule>
  </conditionalFormatting>
  <conditionalFormatting sqref="M84">
    <cfRule type="expression" priority="50300" dxfId="5">
      <formula>$H84="CÉLULA CONSTRUTIVA"</formula>
    </cfRule>
    <cfRule type="expression" priority="50301" dxfId="3">
      <formula>$H84="ETAPA"</formula>
    </cfRule>
  </conditionalFormatting>
  <conditionalFormatting sqref="M85:M92">
    <cfRule type="expression" priority="50319" dxfId="5">
      <formula>$H85="CÉLULA CONSTRUTIVA"</formula>
    </cfRule>
    <cfRule type="expression" priority="50320" dxfId="3">
      <formula>$H85="ETAPA"</formula>
    </cfRule>
  </conditionalFormatting>
  <conditionalFormatting sqref="M93">
    <cfRule type="expression" priority="50321" dxfId="5">
      <formula>$H93="CÉLULA CONSTRUTIVA"</formula>
    </cfRule>
  </conditionalFormatting>
  <conditionalFormatting sqref="M96 M100:M101">
    <cfRule type="expression" priority="50950" dxfId="5">
      <formula>$H96="CÉLULA CONSTRUTIVA"</formula>
    </cfRule>
  </conditionalFormatting>
  <conditionalFormatting sqref="M97:M98">
    <cfRule type="expression" priority="50169" dxfId="4">
      <formula>$H97="SUBETAPA"</formula>
    </cfRule>
    <cfRule type="expression" priority="50170" dxfId="5">
      <formula>$H97="CÉLULA CONSTRUTIVA"</formula>
    </cfRule>
  </conditionalFormatting>
  <conditionalFormatting sqref="M104">
    <cfRule type="expression" priority="50130" dxfId="5">
      <formula>$H104="CÉLULA CONSTRUTIVA"</formula>
    </cfRule>
  </conditionalFormatting>
  <conditionalFormatting sqref="M106">
    <cfRule type="expression" priority="50112" dxfId="5">
      <formula>$H106="CÉLULA CONSTRUTIVA"</formula>
    </cfRule>
  </conditionalFormatting>
  <conditionalFormatting sqref="M108">
    <cfRule type="expression" priority="50094" dxfId="5">
      <formula>$H108="CÉLULA CONSTRUTIVA"</formula>
    </cfRule>
  </conditionalFormatting>
  <conditionalFormatting sqref="M110">
    <cfRule type="expression" priority="50076" dxfId="5">
      <formula>$H110="CÉLULA CONSTRUTIVA"</formula>
    </cfRule>
  </conditionalFormatting>
  <conditionalFormatting sqref="M112">
    <cfRule type="expression" priority="50058" dxfId="5">
      <formula>$H112="CÉLULA CONSTRUTIVA"</formula>
    </cfRule>
  </conditionalFormatting>
  <conditionalFormatting sqref="M114">
    <cfRule type="expression" priority="46358" dxfId="4">
      <formula>$H114="SUBETAPA"</formula>
    </cfRule>
    <cfRule type="expression" priority="46359" dxfId="5">
      <formula>$H114="CÉLULA CONSTRUTIVA"</formula>
    </cfRule>
  </conditionalFormatting>
  <conditionalFormatting sqref="M116">
    <cfRule type="expression" priority="50040" dxfId="5">
      <formula>$H116="CÉLULA CONSTRUTIVA"</formula>
    </cfRule>
  </conditionalFormatting>
  <conditionalFormatting sqref="M118">
    <cfRule type="expression" priority="50022" dxfId="5">
      <formula>$H118="CÉLULA CONSTRUTIVA"</formula>
    </cfRule>
  </conditionalFormatting>
  <conditionalFormatting sqref="M120">
    <cfRule type="expression" priority="50004" dxfId="5">
      <formula>$H120="CÉLULA CONSTRUTIVA"</formula>
    </cfRule>
  </conditionalFormatting>
  <conditionalFormatting sqref="M122">
    <cfRule type="expression" priority="49982" dxfId="4">
      <formula>$H122="SUBETAPA"</formula>
    </cfRule>
    <cfRule type="expression" priority="49983" dxfId="5">
      <formula>$H122="CÉLULA CONSTRUTIVA"</formula>
    </cfRule>
  </conditionalFormatting>
  <conditionalFormatting sqref="M125">
    <cfRule type="expression" priority="49945" dxfId="4">
      <formula>$H125="SUBETAPA"</formula>
    </cfRule>
    <cfRule type="expression" priority="49946" dxfId="5">
      <formula>$H125="CÉLULA CONSTRUTIVA"</formula>
    </cfRule>
  </conditionalFormatting>
  <conditionalFormatting sqref="M128">
    <cfRule type="expression" priority="49908" dxfId="4">
      <formula>$H128="SUBETAPA"</formula>
    </cfRule>
    <cfRule type="expression" priority="49909" dxfId="5">
      <formula>$H128="CÉLULA CONSTRUTIVA"</formula>
    </cfRule>
  </conditionalFormatting>
  <conditionalFormatting sqref="M131">
    <cfRule type="expression" priority="49875" dxfId="5">
      <formula>$H131="CÉLULA CONSTRUTIVA"</formula>
    </cfRule>
  </conditionalFormatting>
  <conditionalFormatting sqref="M133">
    <cfRule type="expression" priority="49853" dxfId="4">
      <formula>$H133="SUBETAPA"</formula>
    </cfRule>
    <cfRule type="expression" priority="49854" dxfId="5">
      <formula>$H133="CÉLULA CONSTRUTIVA"</formula>
    </cfRule>
  </conditionalFormatting>
  <conditionalFormatting sqref="M136">
    <cfRule type="expression" priority="49816" dxfId="4">
      <formula>$H136="SUBETAPA"</formula>
    </cfRule>
    <cfRule type="expression" priority="49817" dxfId="5">
      <formula>$H136="CÉLULA CONSTRUTIVA"</formula>
    </cfRule>
  </conditionalFormatting>
  <conditionalFormatting sqref="M148">
    <cfRule type="expression" priority="49764" dxfId="4">
      <formula>$H148="SUBETAPA"</formula>
    </cfRule>
  </conditionalFormatting>
  <conditionalFormatting sqref="M149:M156">
    <cfRule type="expression" priority="49728" dxfId="5">
      <formula>$H149="CÉLULA CONSTRUTIVA"</formula>
    </cfRule>
    <cfRule type="expression" priority="49729" dxfId="4">
      <formula>$H149="SUBETAPA"</formula>
    </cfRule>
    <cfRule type="expression" priority="49730" dxfId="3">
      <formula>$H149="ETAPA"</formula>
    </cfRule>
  </conditionalFormatting>
  <conditionalFormatting sqref="M157">
    <cfRule type="expression" priority="49695" dxfId="5">
      <formula>$H157="CÉLULA CONSTRUTIVA"</formula>
    </cfRule>
    <cfRule type="expression" priority="49696" dxfId="4">
      <formula>$H157="SUBETAPA"</formula>
    </cfRule>
    <cfRule type="expression" priority="49697" dxfId="3">
      <formula>$H157="ETAPA"</formula>
    </cfRule>
  </conditionalFormatting>
  <conditionalFormatting sqref="M158">
    <cfRule type="expression" priority="49678" dxfId="4">
      <formula>$H158="SUBETAPA"</formula>
    </cfRule>
  </conditionalFormatting>
  <conditionalFormatting sqref="M159:M166">
    <cfRule type="expression" priority="49642" dxfId="5">
      <formula>$H159="CÉLULA CONSTRUTIVA"</formula>
    </cfRule>
    <cfRule type="expression" priority="49643" dxfId="4">
      <formula>$H159="SUBETAPA"</formula>
    </cfRule>
    <cfRule type="expression" priority="49644" dxfId="3">
      <formula>$H159="ETAPA"</formula>
    </cfRule>
  </conditionalFormatting>
  <conditionalFormatting sqref="M167">
    <cfRule type="expression" priority="49609" dxfId="5">
      <formula>$H167="CÉLULA CONSTRUTIVA"</formula>
    </cfRule>
    <cfRule type="expression" priority="49610" dxfId="4">
      <formula>$H167="SUBETAPA"</formula>
    </cfRule>
    <cfRule type="expression" priority="49611" dxfId="3">
      <formula>$H167="ETAPA"</formula>
    </cfRule>
  </conditionalFormatting>
  <conditionalFormatting sqref="M168">
    <cfRule type="expression" priority="49592" dxfId="4">
      <formula>$H168="SUBETAPA"</formula>
    </cfRule>
  </conditionalFormatting>
  <conditionalFormatting sqref="M169:M176">
    <cfRule type="expression" priority="49556" dxfId="5">
      <formula>$H169="CÉLULA CONSTRUTIVA"</formula>
    </cfRule>
    <cfRule type="expression" priority="49557" dxfId="4">
      <formula>$H169="SUBETAPA"</formula>
    </cfRule>
    <cfRule type="expression" priority="49558" dxfId="3">
      <formula>$H169="ETAPA"</formula>
    </cfRule>
  </conditionalFormatting>
  <conditionalFormatting sqref="M178">
    <cfRule type="expression" priority="3314" dxfId="5">
      <formula>$H178="CÉLULA CONSTRUTIVA"</formula>
    </cfRule>
    <cfRule type="expression" priority="3315" dxfId="4">
      <formula>$H178="SUBETAPA"</formula>
    </cfRule>
    <cfRule type="expression" priority="3316" dxfId="3">
      <formula>$H178="ETAPA"</formula>
    </cfRule>
  </conditionalFormatting>
  <conditionalFormatting sqref="M185">
    <cfRule type="expression" priority="3300" dxfId="5">
      <formula>$H185="CÉLULA CONSTRUTIVA"</formula>
    </cfRule>
    <cfRule type="expression" priority="3301" dxfId="4">
      <formula>$H185="SUBETAPA"</formula>
    </cfRule>
    <cfRule type="expression" priority="3302" dxfId="3">
      <formula>$H185="ETAPA"</formula>
    </cfRule>
  </conditionalFormatting>
  <conditionalFormatting sqref="M187">
    <cfRule type="expression" priority="3280" dxfId="5">
      <formula>$H187="CÉLULA CONSTRUTIVA"</formula>
    </cfRule>
    <cfRule type="expression" priority="3281" dxfId="4">
      <formula>$H187="SUBETAPA"</formula>
    </cfRule>
    <cfRule type="expression" priority="3282" dxfId="3">
      <formula>$H187="ETAPA"</formula>
    </cfRule>
  </conditionalFormatting>
  <conditionalFormatting sqref="M194">
    <cfRule type="expression" priority="3266" dxfId="5">
      <formula>$H194="CÉLULA CONSTRUTIVA"</formula>
    </cfRule>
    <cfRule type="expression" priority="3267" dxfId="4">
      <formula>$H194="SUBETAPA"</formula>
    </cfRule>
    <cfRule type="expression" priority="3268" dxfId="3">
      <formula>$H194="ETAPA"</formula>
    </cfRule>
  </conditionalFormatting>
  <conditionalFormatting sqref="M196">
    <cfRule type="expression" priority="3246" dxfId="5">
      <formula>$H196="CÉLULA CONSTRUTIVA"</formula>
    </cfRule>
    <cfRule type="expression" priority="3247" dxfId="4">
      <formula>$H196="SUBETAPA"</formula>
    </cfRule>
    <cfRule type="expression" priority="3248" dxfId="3">
      <formula>$H196="ETAPA"</formula>
    </cfRule>
  </conditionalFormatting>
  <conditionalFormatting sqref="M203">
    <cfRule type="expression" priority="3232" dxfId="5">
      <formula>$H203="CÉLULA CONSTRUTIVA"</formula>
    </cfRule>
    <cfRule type="expression" priority="3233" dxfId="4">
      <formula>$H203="SUBETAPA"</formula>
    </cfRule>
    <cfRule type="expression" priority="3234" dxfId="3">
      <formula>$H203="ETAPA"</formula>
    </cfRule>
  </conditionalFormatting>
  <conditionalFormatting sqref="M204">
    <cfRule type="expression" priority="46325" dxfId="4">
      <formula>$H204="SUBETAPA"</formula>
    </cfRule>
  </conditionalFormatting>
  <conditionalFormatting sqref="M205">
    <cfRule type="expression" priority="3212" dxfId="5">
      <formula>$H205="CÉLULA CONSTRUTIVA"</formula>
    </cfRule>
    <cfRule type="expression" priority="3213" dxfId="4">
      <formula>$H205="SUBETAPA"</formula>
    </cfRule>
    <cfRule type="expression" priority="3214" dxfId="3">
      <formula>$H205="ETAPA"</formula>
    </cfRule>
  </conditionalFormatting>
  <conditionalFormatting sqref="M212">
    <cfRule type="expression" priority="3198" dxfId="5">
      <formula>$H212="CÉLULA CONSTRUTIVA"</formula>
    </cfRule>
    <cfRule type="expression" priority="3199" dxfId="4">
      <formula>$H212="SUBETAPA"</formula>
    </cfRule>
    <cfRule type="expression" priority="3200" dxfId="3">
      <formula>$H212="ETAPA"</formula>
    </cfRule>
  </conditionalFormatting>
  <conditionalFormatting sqref="M214">
    <cfRule type="expression" priority="3178" dxfId="5">
      <formula>$H214="CÉLULA CONSTRUTIVA"</formula>
    </cfRule>
    <cfRule type="expression" priority="3179" dxfId="4">
      <formula>$H214="SUBETAPA"</formula>
    </cfRule>
    <cfRule type="expression" priority="3180" dxfId="3">
      <formula>$H214="ETAPA"</formula>
    </cfRule>
  </conditionalFormatting>
  <conditionalFormatting sqref="M221">
    <cfRule type="expression" priority="3164" dxfId="5">
      <formula>$H221="CÉLULA CONSTRUTIVA"</formula>
    </cfRule>
    <cfRule type="expression" priority="3165" dxfId="4">
      <formula>$H221="SUBETAPA"</formula>
    </cfRule>
    <cfRule type="expression" priority="3166" dxfId="3">
      <formula>$H221="ETAPA"</formula>
    </cfRule>
  </conditionalFormatting>
  <conditionalFormatting sqref="M222">
    <cfRule type="expression" priority="49434" dxfId="4">
      <formula>$H222="SUBETAPA"</formula>
    </cfRule>
  </conditionalFormatting>
  <conditionalFormatting sqref="M223:M230">
    <cfRule type="expression" priority="49398" dxfId="5">
      <formula>$H223="CÉLULA CONSTRUTIVA"</formula>
    </cfRule>
    <cfRule type="expression" priority="49399" dxfId="4">
      <formula>$H223="SUBETAPA"</formula>
    </cfRule>
    <cfRule type="expression" priority="49400" dxfId="3">
      <formula>$H223="ETAPA"</formula>
    </cfRule>
  </conditionalFormatting>
  <conditionalFormatting sqref="M231">
    <cfRule type="expression" priority="49384" dxfId="4">
      <formula>$H231="SUBETAPA"</formula>
    </cfRule>
  </conditionalFormatting>
  <conditionalFormatting sqref="M232:M239">
    <cfRule type="expression" priority="49348" dxfId="5">
      <formula>$H232="CÉLULA CONSTRUTIVA"</formula>
    </cfRule>
    <cfRule type="expression" priority="49349" dxfId="4">
      <formula>$H232="SUBETAPA"</formula>
    </cfRule>
    <cfRule type="expression" priority="49350" dxfId="3">
      <formula>$H232="ETAPA"</formula>
    </cfRule>
  </conditionalFormatting>
  <conditionalFormatting sqref="M240">
    <cfRule type="expression" priority="49334" dxfId="4">
      <formula>$H240="SUBETAPA"</formula>
    </cfRule>
  </conditionalFormatting>
  <conditionalFormatting sqref="M241:M248">
    <cfRule type="expression" priority="49298" dxfId="5">
      <formula>$H241="CÉLULA CONSTRUTIVA"</formula>
    </cfRule>
    <cfRule type="expression" priority="49299" dxfId="4">
      <formula>$H241="SUBETAPA"</formula>
    </cfRule>
    <cfRule type="expression" priority="49300" dxfId="3">
      <formula>$H241="ETAPA"</formula>
    </cfRule>
  </conditionalFormatting>
  <conditionalFormatting sqref="M249">
    <cfRule type="expression" priority="49284" dxfId="4">
      <formula>$H249="SUBETAPA"</formula>
    </cfRule>
  </conditionalFormatting>
  <conditionalFormatting sqref="M250:M257">
    <cfRule type="expression" priority="49248" dxfId="5">
      <formula>$H250="CÉLULA CONSTRUTIVA"</formula>
    </cfRule>
    <cfRule type="expression" priority="49249" dxfId="4">
      <formula>$H250="SUBETAPA"</formula>
    </cfRule>
    <cfRule type="expression" priority="49250" dxfId="3">
      <formula>$H250="ETAPA"</formula>
    </cfRule>
  </conditionalFormatting>
  <conditionalFormatting sqref="M258">
    <cfRule type="expression" priority="49234" dxfId="4">
      <formula>$H258="SUBETAPA"</formula>
    </cfRule>
  </conditionalFormatting>
  <conditionalFormatting sqref="M259:M266">
    <cfRule type="expression" priority="49198" dxfId="5">
      <formula>$H259="CÉLULA CONSTRUTIVA"</formula>
    </cfRule>
    <cfRule type="expression" priority="49199" dxfId="4">
      <formula>$H259="SUBETAPA"</formula>
    </cfRule>
    <cfRule type="expression" priority="49200" dxfId="3">
      <formula>$H259="ETAPA"</formula>
    </cfRule>
  </conditionalFormatting>
  <conditionalFormatting sqref="M267">
    <cfRule type="expression" priority="49184" dxfId="4">
      <formula>$H267="SUBETAPA"</formula>
    </cfRule>
  </conditionalFormatting>
  <conditionalFormatting sqref="M282">
    <cfRule type="expression" priority="50864" dxfId="5">
      <formula>$H282="CÉLULA CONSTRUTIVA"</formula>
    </cfRule>
    <cfRule type="expression" priority="50865" dxfId="4">
      <formula>$H282="SUBETAPA"</formula>
    </cfRule>
    <cfRule type="expression" priority="50866" dxfId="3">
      <formula>$H282="ETAPA"</formula>
    </cfRule>
  </conditionalFormatting>
  <conditionalFormatting sqref="M284">
    <cfRule type="expression" priority="49075" dxfId="5">
      <formula>$H284="CÉLULA CONSTRUTIVA"</formula>
    </cfRule>
    <cfRule type="expression" priority="49076" dxfId="4">
      <formula>$H284="SUBETAPA"</formula>
    </cfRule>
    <cfRule type="expression" priority="49077" dxfId="3">
      <formula>$H284="ETAPA"</formula>
    </cfRule>
  </conditionalFormatting>
  <conditionalFormatting sqref="M286">
    <cfRule type="expression" priority="49029" dxfId="5">
      <formula>$H286="CÉLULA CONSTRUTIVA"</formula>
    </cfRule>
    <cfRule type="expression" priority="49030" dxfId="4">
      <formula>$H286="SUBETAPA"</formula>
    </cfRule>
    <cfRule type="expression" priority="49031" dxfId="3">
      <formula>$H286="ETAPA"</formula>
    </cfRule>
  </conditionalFormatting>
  <conditionalFormatting sqref="M288">
    <cfRule type="expression" priority="48983" dxfId="5">
      <formula>$H288="CÉLULA CONSTRUTIVA"</formula>
    </cfRule>
    <cfRule type="expression" priority="48984" dxfId="4">
      <formula>$H288="SUBETAPA"</formula>
    </cfRule>
    <cfRule type="expression" priority="48985" dxfId="3">
      <formula>$H288="ETAPA"</formula>
    </cfRule>
  </conditionalFormatting>
  <conditionalFormatting sqref="M290">
    <cfRule type="expression" priority="48937" dxfId="5">
      <formula>$H290="CÉLULA CONSTRUTIVA"</formula>
    </cfRule>
    <cfRule type="expression" priority="48938" dxfId="4">
      <formula>$H290="SUBETAPA"</formula>
    </cfRule>
    <cfRule type="expression" priority="48939" dxfId="3">
      <formula>$H290="ETAPA"</formula>
    </cfRule>
  </conditionalFormatting>
  <conditionalFormatting sqref="M292">
    <cfRule type="expression" priority="48891" dxfId="5">
      <formula>$H292="CÉLULA CONSTRUTIVA"</formula>
    </cfRule>
    <cfRule type="expression" priority="48892" dxfId="4">
      <formula>$H292="SUBETAPA"</formula>
    </cfRule>
    <cfRule type="expression" priority="48893" dxfId="3">
      <formula>$H292="ETAPA"</formula>
    </cfRule>
  </conditionalFormatting>
  <conditionalFormatting sqref="M294">
    <cfRule type="expression" priority="48845" dxfId="5">
      <formula>$H294="CÉLULA CONSTRUTIVA"</formula>
    </cfRule>
    <cfRule type="expression" priority="48846" dxfId="4">
      <formula>$H294="SUBETAPA"</formula>
    </cfRule>
    <cfRule type="expression" priority="48847" dxfId="3">
      <formula>$H294="ETAPA"</formula>
    </cfRule>
  </conditionalFormatting>
  <conditionalFormatting sqref="M296">
    <cfRule type="expression" priority="46255" dxfId="5">
      <formula>$H296="CÉLULA CONSTRUTIVA"</formula>
    </cfRule>
    <cfRule type="expression" priority="46256" dxfId="4">
      <formula>$H296="SUBETAPA"</formula>
    </cfRule>
    <cfRule type="expression" priority="46257" dxfId="3">
      <formula>$H296="ETAPA"</formula>
    </cfRule>
  </conditionalFormatting>
  <conditionalFormatting sqref="M298">
    <cfRule type="expression" priority="48799" dxfId="5">
      <formula>$H298="CÉLULA CONSTRUTIVA"</formula>
    </cfRule>
    <cfRule type="expression" priority="48800" dxfId="4">
      <formula>$H298="SUBETAPA"</formula>
    </cfRule>
    <cfRule type="expression" priority="48801" dxfId="3">
      <formula>$H298="ETAPA"</formula>
    </cfRule>
  </conditionalFormatting>
  <conditionalFormatting sqref="M300">
    <cfRule type="expression" priority="48753" dxfId="5">
      <formula>$H300="CÉLULA CONSTRUTIVA"</formula>
    </cfRule>
    <cfRule type="expression" priority="48754" dxfId="4">
      <formula>$H300="SUBETAPA"</formula>
    </cfRule>
    <cfRule type="expression" priority="48755" dxfId="3">
      <formula>$H300="ETAPA"</formula>
    </cfRule>
  </conditionalFormatting>
  <conditionalFormatting sqref="M302">
    <cfRule type="expression" priority="48707" dxfId="5">
      <formula>$H302="CÉLULA CONSTRUTIVA"</formula>
    </cfRule>
    <cfRule type="expression" priority="48708" dxfId="4">
      <formula>$H302="SUBETAPA"</formula>
    </cfRule>
    <cfRule type="expression" priority="48709" dxfId="3">
      <formula>$H302="ETAPA"</formula>
    </cfRule>
  </conditionalFormatting>
  <conditionalFormatting sqref="M304">
    <cfRule type="expression" priority="48661" dxfId="5">
      <formula>$H304="CÉLULA CONSTRUTIVA"</formula>
    </cfRule>
    <cfRule type="expression" priority="48662" dxfId="4">
      <formula>$H304="SUBETAPA"</formula>
    </cfRule>
    <cfRule type="expression" priority="48663" dxfId="3">
      <formula>$H304="ETAPA"</formula>
    </cfRule>
  </conditionalFormatting>
  <conditionalFormatting sqref="M306">
    <cfRule type="expression" priority="48615" dxfId="5">
      <formula>$H306="CÉLULA CONSTRUTIVA"</formula>
    </cfRule>
    <cfRule type="expression" priority="48616" dxfId="4">
      <formula>$H306="SUBETAPA"</formula>
    </cfRule>
    <cfRule type="expression" priority="48617" dxfId="3">
      <formula>$H306="ETAPA"</formula>
    </cfRule>
  </conditionalFormatting>
  <conditionalFormatting sqref="M308">
    <cfRule type="expression" priority="48569" dxfId="5">
      <formula>$H308="CÉLULA CONSTRUTIVA"</formula>
    </cfRule>
    <cfRule type="expression" priority="48570" dxfId="4">
      <formula>$H308="SUBETAPA"</formula>
    </cfRule>
    <cfRule type="expression" priority="48571" dxfId="3">
      <formula>$H308="ETAPA"</formula>
    </cfRule>
  </conditionalFormatting>
  <conditionalFormatting sqref="M310">
    <cfRule type="expression" priority="48523" dxfId="5">
      <formula>$H310="CÉLULA CONSTRUTIVA"</formula>
    </cfRule>
    <cfRule type="expression" priority="48524" dxfId="4">
      <formula>$H310="SUBETAPA"</formula>
    </cfRule>
    <cfRule type="expression" priority="48525" dxfId="3">
      <formula>$H310="ETAPA"</formula>
    </cfRule>
  </conditionalFormatting>
  <conditionalFormatting sqref="M312">
    <cfRule type="expression" priority="48477" dxfId="5">
      <formula>$H312="CÉLULA CONSTRUTIVA"</formula>
    </cfRule>
    <cfRule type="expression" priority="48478" dxfId="4">
      <formula>$H312="SUBETAPA"</formula>
    </cfRule>
    <cfRule type="expression" priority="48479" dxfId="3">
      <formula>$H312="ETAPA"</formula>
    </cfRule>
  </conditionalFormatting>
  <conditionalFormatting sqref="M313">
    <cfRule type="expression" priority="48439" dxfId="5">
      <formula>$H313="CÉLULA CONSTRUTIVA"</formula>
    </cfRule>
  </conditionalFormatting>
  <conditionalFormatting sqref="M313:M314">
    <cfRule type="expression" priority="48438" dxfId="4">
      <formula>$H313="SUBETAPA"</formula>
    </cfRule>
  </conditionalFormatting>
  <conditionalFormatting sqref="M314">
    <cfRule type="expression" priority="48452" dxfId="5">
      <formula>$H314="CÉLULA CONSTRUTIVA"</formula>
    </cfRule>
  </conditionalFormatting>
  <conditionalFormatting sqref="M315">
    <cfRule type="expression" priority="46148" dxfId="5">
      <formula>$H315="CÉLULA CONSTRUTIVA"</formula>
    </cfRule>
    <cfRule type="expression" priority="46149" dxfId="4">
      <formula>$H315="SUBETAPA"</formula>
    </cfRule>
    <cfRule type="expression" priority="46150" dxfId="3">
      <formula>$H315="ETAPA"</formula>
    </cfRule>
  </conditionalFormatting>
  <conditionalFormatting sqref="M316">
    <cfRule type="expression" priority="48421" dxfId="4">
      <formula>$H316="SUBETAPA"</formula>
    </cfRule>
    <cfRule type="expression" priority="48422" dxfId="5">
      <formula>$H316="CÉLULA CONSTRUTIVA"</formula>
    </cfRule>
  </conditionalFormatting>
  <conditionalFormatting sqref="M317">
    <cfRule type="expression" priority="3976" dxfId="5">
      <formula>$H317="CÉLULA CONSTRUTIVA"</formula>
    </cfRule>
    <cfRule type="expression" priority="3977" dxfId="4">
      <formula>$H317="SUBETAPA"</formula>
    </cfRule>
    <cfRule type="expression" priority="3978" dxfId="3">
      <formula>$H317="ETAPA"</formula>
    </cfRule>
  </conditionalFormatting>
  <conditionalFormatting sqref="M318">
    <cfRule type="expression" priority="48350" dxfId="4">
      <formula>$H318="SUBETAPA"</formula>
    </cfRule>
    <cfRule type="expression" priority="48351" dxfId="5">
      <formula>$H318="CÉLULA CONSTRUTIVA"</formula>
    </cfRule>
  </conditionalFormatting>
  <conditionalFormatting sqref="M319">
    <cfRule type="expression" priority="3973" dxfId="5">
      <formula>$H319="CÉLULA CONSTRUTIVA"</formula>
    </cfRule>
    <cfRule type="expression" priority="3974" dxfId="4">
      <formula>$H319="SUBETAPA"</formula>
    </cfRule>
    <cfRule type="expression" priority="3975" dxfId="3">
      <formula>$H319="ETAPA"</formula>
    </cfRule>
  </conditionalFormatting>
  <conditionalFormatting sqref="M320">
    <cfRule type="expression" priority="48335" dxfId="4">
      <formula>$H320="SUBETAPA"</formula>
    </cfRule>
    <cfRule type="expression" priority="48336" dxfId="5">
      <formula>$H320="CÉLULA CONSTRUTIVA"</formula>
    </cfRule>
  </conditionalFormatting>
  <conditionalFormatting sqref="M321">
    <cfRule type="expression" priority="3952" dxfId="5">
      <formula>$H321="CÉLULA CONSTRUTIVA"</formula>
    </cfRule>
    <cfRule type="expression" priority="3953" dxfId="4">
      <formula>$H321="SUBETAPA"</formula>
    </cfRule>
    <cfRule type="expression" priority="3954" dxfId="3">
      <formula>$H321="ETAPA"</formula>
    </cfRule>
  </conditionalFormatting>
  <conditionalFormatting sqref="M322">
    <cfRule type="expression" priority="48264" dxfId="4">
      <formula>$H322="SUBETAPA"</formula>
    </cfRule>
    <cfRule type="expression" priority="48265" dxfId="5">
      <formula>$H322="CÉLULA CONSTRUTIVA"</formula>
    </cfRule>
  </conditionalFormatting>
  <conditionalFormatting sqref="M323">
    <cfRule type="expression" priority="3949" dxfId="5">
      <formula>$H323="CÉLULA CONSTRUTIVA"</formula>
    </cfRule>
    <cfRule type="expression" priority="3950" dxfId="4">
      <formula>$H323="SUBETAPA"</formula>
    </cfRule>
    <cfRule type="expression" priority="3951" dxfId="3">
      <formula>$H323="ETAPA"</formula>
    </cfRule>
  </conditionalFormatting>
  <conditionalFormatting sqref="M324">
    <cfRule type="expression" priority="3967" dxfId="5">
      <formula>$H324="CÉLULA CONSTRUTIVA"</formula>
    </cfRule>
    <cfRule type="expression" priority="3968" dxfId="4">
      <formula>$H324="SUBETAPA"</formula>
    </cfRule>
    <cfRule type="expression" priority="3969" dxfId="3">
      <formula>$H324="ETAPA"</formula>
    </cfRule>
  </conditionalFormatting>
  <conditionalFormatting sqref="M325">
    <cfRule type="expression" priority="3961" dxfId="5">
      <formula>$H325="CÉLULA CONSTRUTIVA"</formula>
    </cfRule>
    <cfRule type="expression" priority="3962" dxfId="4">
      <formula>$H325="SUBETAPA"</formula>
    </cfRule>
    <cfRule type="expression" priority="3963" dxfId="3">
      <formula>$H325="ETAPA"</formula>
    </cfRule>
  </conditionalFormatting>
  <conditionalFormatting sqref="M326">
    <cfRule type="expression" priority="48178" dxfId="4">
      <formula>$H326="SUBETAPA"</formula>
    </cfRule>
    <cfRule type="expression" priority="48179" dxfId="5">
      <formula>$H326="CÉLULA CONSTRUTIVA"</formula>
    </cfRule>
  </conditionalFormatting>
  <conditionalFormatting sqref="M327">
    <cfRule type="expression" priority="3958" dxfId="5">
      <formula>$H327="CÉLULA CONSTRUTIVA"</formula>
    </cfRule>
    <cfRule type="expression" priority="3959" dxfId="4">
      <formula>$H327="SUBETAPA"</formula>
    </cfRule>
    <cfRule type="expression" priority="3960" dxfId="3">
      <formula>$H327="ETAPA"</formula>
    </cfRule>
  </conditionalFormatting>
  <conditionalFormatting sqref="M328">
    <cfRule type="expression" priority="46238" dxfId="4">
      <formula>$H328="SUBETAPA"</formula>
    </cfRule>
    <cfRule type="expression" priority="46239" dxfId="5">
      <formula>$H328="CÉLULA CONSTRUTIVA"</formula>
    </cfRule>
  </conditionalFormatting>
  <conditionalFormatting sqref="M329">
    <cfRule type="expression" priority="3955" dxfId="5">
      <formula>$H329="CÉLULA CONSTRUTIVA"</formula>
    </cfRule>
    <cfRule type="expression" priority="3956" dxfId="4">
      <formula>$H329="SUBETAPA"</formula>
    </cfRule>
    <cfRule type="expression" priority="3957" dxfId="3">
      <formula>$H329="ETAPA"</formula>
    </cfRule>
  </conditionalFormatting>
  <conditionalFormatting sqref="M330">
    <cfRule type="expression" priority="46803" dxfId="4">
      <formula>$H330="SUBETAPA"</formula>
    </cfRule>
    <cfRule type="expression" priority="46804" dxfId="5">
      <formula>$H330="CÉLULA CONSTRUTIVA"</formula>
    </cfRule>
    <cfRule type="expression" priority="46805" dxfId="3">
      <formula>$H330="ETAPA"</formula>
    </cfRule>
  </conditionalFormatting>
  <conditionalFormatting sqref="M331 M333 M335 M337 M339 M341 M343 M345">
    <cfRule type="expression" priority="46147" dxfId="3">
      <formula>$H331="ETAPA"</formula>
    </cfRule>
    <cfRule type="expression" priority="46145" dxfId="5">
      <formula>$H331="CÉLULA CONSTRUTIVA"</formula>
    </cfRule>
    <cfRule type="expression" priority="46146" dxfId="4">
      <formula>$H331="SUBETAPA"</formula>
    </cfRule>
  </conditionalFormatting>
  <conditionalFormatting sqref="M332">
    <cfRule type="expression" priority="46800" dxfId="4">
      <formula>$H332="SUBETAPA"</formula>
    </cfRule>
    <cfRule type="expression" priority="46801" dxfId="5">
      <formula>$H332="CÉLULA CONSTRUTIVA"</formula>
    </cfRule>
    <cfRule type="expression" priority="46802" dxfId="3">
      <formula>$H332="ETAPA"</formula>
    </cfRule>
  </conditionalFormatting>
  <conditionalFormatting sqref="M334">
    <cfRule type="expression" priority="46797" dxfId="4">
      <formula>$H334="SUBETAPA"</formula>
    </cfRule>
    <cfRule type="expression" priority="46798" dxfId="5">
      <formula>$H334="CÉLULA CONSTRUTIVA"</formula>
    </cfRule>
    <cfRule type="expression" priority="46799" dxfId="3">
      <formula>$H334="ETAPA"</formula>
    </cfRule>
  </conditionalFormatting>
  <conditionalFormatting sqref="M336">
    <cfRule type="expression" priority="46794" dxfId="4">
      <formula>$H336="SUBETAPA"</formula>
    </cfRule>
    <cfRule type="expression" priority="46795" dxfId="5">
      <formula>$H336="CÉLULA CONSTRUTIVA"</formula>
    </cfRule>
    <cfRule type="expression" priority="46796" dxfId="3">
      <formula>$H336="ETAPA"</formula>
    </cfRule>
  </conditionalFormatting>
  <conditionalFormatting sqref="M338">
    <cfRule type="expression" priority="46791" dxfId="4">
      <formula>$H338="SUBETAPA"</formula>
    </cfRule>
    <cfRule type="expression" priority="46792" dxfId="5">
      <formula>$H338="CÉLULA CONSTRUTIVA"</formula>
    </cfRule>
    <cfRule type="expression" priority="46793" dxfId="3">
      <formula>$H338="ETAPA"</formula>
    </cfRule>
  </conditionalFormatting>
  <conditionalFormatting sqref="M340">
    <cfRule type="expression" priority="47931" dxfId="4">
      <formula>$H340="SUBETAPA"</formula>
    </cfRule>
    <cfRule type="expression" priority="47932" dxfId="5">
      <formula>$H340="CÉLULA CONSTRUTIVA"</formula>
    </cfRule>
  </conditionalFormatting>
  <conditionalFormatting sqref="M342">
    <cfRule type="expression" priority="46788" dxfId="4">
      <formula>$H342="SUBETAPA"</formula>
    </cfRule>
    <cfRule type="expression" priority="46789" dxfId="5">
      <formula>$H342="CÉLULA CONSTRUTIVA"</formula>
    </cfRule>
    <cfRule type="expression" priority="46790" dxfId="3">
      <formula>$H342="ETAPA"</formula>
    </cfRule>
  </conditionalFormatting>
  <conditionalFormatting sqref="M344">
    <cfRule type="expression" priority="46785" dxfId="4">
      <formula>$H344="SUBETAPA"</formula>
    </cfRule>
    <cfRule type="expression" priority="46786" dxfId="5">
      <formula>$H344="CÉLULA CONSTRUTIVA"</formula>
    </cfRule>
    <cfRule type="expression" priority="46787" dxfId="3">
      <formula>$H344="ETAPA"</formula>
    </cfRule>
  </conditionalFormatting>
  <conditionalFormatting sqref="M346">
    <cfRule type="expression" priority="48467" dxfId="5">
      <formula>$H346="CÉLULA CONSTRUTIVA"</formula>
    </cfRule>
  </conditionalFormatting>
  <conditionalFormatting sqref="M349 N350">
    <cfRule type="expression" priority="47759" dxfId="5">
      <formula>$H349="CÉLULA CONSTRUTIVA"</formula>
    </cfRule>
  </conditionalFormatting>
  <conditionalFormatting sqref="M349:M350">
    <cfRule type="expression" priority="47730" dxfId="4">
      <formula>$H349="SUBETAPA"</formula>
    </cfRule>
  </conditionalFormatting>
  <conditionalFormatting sqref="M350">
    <cfRule type="expression" priority="47729" dxfId="5">
      <formula>$H350="CÉLULA CONSTRUTIVA"</formula>
    </cfRule>
    <cfRule type="expression" priority="47731" dxfId="3">
      <formula>$H350="ETAPA"</formula>
    </cfRule>
  </conditionalFormatting>
  <conditionalFormatting sqref="M351 N352:O352">
    <cfRule type="expression" priority="47716" dxfId="5">
      <formula>$H351="CÉLULA CONSTRUTIVA"</formula>
    </cfRule>
  </conditionalFormatting>
  <conditionalFormatting sqref="M351:M352">
    <cfRule type="expression" priority="47687" dxfId="4">
      <formula>$H351="SUBETAPA"</formula>
    </cfRule>
  </conditionalFormatting>
  <conditionalFormatting sqref="M352">
    <cfRule type="expression" priority="47686" dxfId="5">
      <formula>$H352="CÉLULA CONSTRUTIVA"</formula>
    </cfRule>
    <cfRule type="expression" priority="47688" dxfId="3">
      <formula>$H352="ETAPA"</formula>
    </cfRule>
  </conditionalFormatting>
  <conditionalFormatting sqref="M353 N354">
    <cfRule type="expression" priority="47673" dxfId="5">
      <formula>$H353="CÉLULA CONSTRUTIVA"</formula>
    </cfRule>
  </conditionalFormatting>
  <conditionalFormatting sqref="M353:M354">
    <cfRule type="expression" priority="47644" dxfId="4">
      <formula>$H353="SUBETAPA"</formula>
    </cfRule>
  </conditionalFormatting>
  <conditionalFormatting sqref="M354">
    <cfRule type="expression" priority="47643" dxfId="5">
      <formula>$H354="CÉLULA CONSTRUTIVA"</formula>
    </cfRule>
    <cfRule type="expression" priority="47645" dxfId="3">
      <formula>$H354="ETAPA"</formula>
    </cfRule>
  </conditionalFormatting>
  <conditionalFormatting sqref="M355 N356">
    <cfRule type="expression" priority="47630" dxfId="5">
      <formula>$H355="CÉLULA CONSTRUTIVA"</formula>
    </cfRule>
  </conditionalFormatting>
  <conditionalFormatting sqref="M355:M356">
    <cfRule type="expression" priority="47601" dxfId="4">
      <formula>$H355="SUBETAPA"</formula>
    </cfRule>
  </conditionalFormatting>
  <conditionalFormatting sqref="M356">
    <cfRule type="expression" priority="47600" dxfId="5">
      <formula>$H356="CÉLULA CONSTRUTIVA"</formula>
    </cfRule>
    <cfRule type="expression" priority="47602" dxfId="3">
      <formula>$H356="ETAPA"</formula>
    </cfRule>
  </conditionalFormatting>
  <conditionalFormatting sqref="M357 N358">
    <cfRule type="expression" priority="47587" dxfId="5">
      <formula>$H357="CÉLULA CONSTRUTIVA"</formula>
    </cfRule>
  </conditionalFormatting>
  <conditionalFormatting sqref="M357:M358">
    <cfRule type="expression" priority="47558" dxfId="4">
      <formula>$H357="SUBETAPA"</formula>
    </cfRule>
  </conditionalFormatting>
  <conditionalFormatting sqref="M358">
    <cfRule type="expression" priority="47557" dxfId="5">
      <formula>$H358="CÉLULA CONSTRUTIVA"</formula>
    </cfRule>
    <cfRule type="expression" priority="47559" dxfId="3">
      <formula>$H358="ETAPA"</formula>
    </cfRule>
  </conditionalFormatting>
  <conditionalFormatting sqref="M359 N360">
    <cfRule type="expression" priority="46190" dxfId="4">
      <formula>$H359="SUBETAPA"</formula>
    </cfRule>
    <cfRule type="expression" priority="46191" dxfId="5">
      <formula>$H359="CÉLULA CONSTRUTIVA"</formula>
    </cfRule>
  </conditionalFormatting>
  <conditionalFormatting sqref="M360">
    <cfRule type="expression" priority="46160" dxfId="5">
      <formula>$H360="CÉLULA CONSTRUTIVA"</formula>
    </cfRule>
    <cfRule type="expression" priority="46161" dxfId="4">
      <formula>$H360="SUBETAPA"</formula>
    </cfRule>
    <cfRule type="expression" priority="46162" dxfId="3">
      <formula>$H360="ETAPA"</formula>
    </cfRule>
  </conditionalFormatting>
  <conditionalFormatting sqref="M361 N362">
    <cfRule type="expression" priority="47544" dxfId="5">
      <formula>$H361="CÉLULA CONSTRUTIVA"</formula>
    </cfRule>
  </conditionalFormatting>
  <conditionalFormatting sqref="M361:M362">
    <cfRule type="expression" priority="47515" dxfId="4">
      <formula>$H361="SUBETAPA"</formula>
    </cfRule>
  </conditionalFormatting>
  <conditionalFormatting sqref="M362">
    <cfRule type="expression" priority="47514" dxfId="5">
      <formula>$H362="CÉLULA CONSTRUTIVA"</formula>
    </cfRule>
    <cfRule type="expression" priority="47516" dxfId="3">
      <formula>$H362="ETAPA"</formula>
    </cfRule>
  </conditionalFormatting>
  <conditionalFormatting sqref="M363 N364">
    <cfRule type="expression" priority="47501" dxfId="5">
      <formula>$H363="CÉLULA CONSTRUTIVA"</formula>
    </cfRule>
  </conditionalFormatting>
  <conditionalFormatting sqref="M363:M364">
    <cfRule type="expression" priority="47472" dxfId="4">
      <formula>$H363="SUBETAPA"</formula>
    </cfRule>
  </conditionalFormatting>
  <conditionalFormatting sqref="M364">
    <cfRule type="expression" priority="47471" dxfId="5">
      <formula>$H364="CÉLULA CONSTRUTIVA"</formula>
    </cfRule>
    <cfRule type="expression" priority="47473" dxfId="3">
      <formula>$H364="ETAPA"</formula>
    </cfRule>
  </conditionalFormatting>
  <conditionalFormatting sqref="M365 N366">
    <cfRule type="expression" priority="47458" dxfId="5">
      <formula>$H365="CÉLULA CONSTRUTIVA"</formula>
    </cfRule>
  </conditionalFormatting>
  <conditionalFormatting sqref="M365:M366">
    <cfRule type="expression" priority="47429" dxfId="4">
      <formula>$H365="SUBETAPA"</formula>
    </cfRule>
  </conditionalFormatting>
  <conditionalFormatting sqref="M366">
    <cfRule type="expression" priority="47428" dxfId="5">
      <formula>$H366="CÉLULA CONSTRUTIVA"</formula>
    </cfRule>
    <cfRule type="expression" priority="47430" dxfId="3">
      <formula>$H366="ETAPA"</formula>
    </cfRule>
  </conditionalFormatting>
  <conditionalFormatting sqref="M367 N368">
    <cfRule type="expression" priority="47415" dxfId="5">
      <formula>$H367="CÉLULA CONSTRUTIVA"</formula>
    </cfRule>
  </conditionalFormatting>
  <conditionalFormatting sqref="M367:M368">
    <cfRule type="expression" priority="47386" dxfId="4">
      <formula>$H367="SUBETAPA"</formula>
    </cfRule>
  </conditionalFormatting>
  <conditionalFormatting sqref="M368">
    <cfRule type="expression" priority="47385" dxfId="5">
      <formula>$H368="CÉLULA CONSTRUTIVA"</formula>
    </cfRule>
    <cfRule type="expression" priority="47387" dxfId="3">
      <formula>$H368="ETAPA"</formula>
    </cfRule>
  </conditionalFormatting>
  <conditionalFormatting sqref="M369 N370">
    <cfRule type="expression" priority="47372" dxfId="5">
      <formula>$H369="CÉLULA CONSTRUTIVA"</formula>
    </cfRule>
  </conditionalFormatting>
  <conditionalFormatting sqref="M369:M370">
    <cfRule type="expression" priority="47343" dxfId="4">
      <formula>$H369="SUBETAPA"</formula>
    </cfRule>
  </conditionalFormatting>
  <conditionalFormatting sqref="M370">
    <cfRule type="expression" priority="47342" dxfId="5">
      <formula>$H370="CÉLULA CONSTRUTIVA"</formula>
    </cfRule>
    <cfRule type="expression" priority="47344" dxfId="3">
      <formula>$H370="ETAPA"</formula>
    </cfRule>
  </conditionalFormatting>
  <conditionalFormatting sqref="M371 N372">
    <cfRule type="expression" priority="47329" dxfId="5">
      <formula>$H371="CÉLULA CONSTRUTIVA"</formula>
    </cfRule>
    <cfRule type="expression" priority="47328" dxfId="4">
      <formula>$H371="SUBETAPA"</formula>
    </cfRule>
  </conditionalFormatting>
  <conditionalFormatting sqref="M372">
    <cfRule type="expression" priority="47299" dxfId="5">
      <formula>$H372="CÉLULA CONSTRUTIVA"</formula>
    </cfRule>
    <cfRule type="expression" priority="47300" dxfId="4">
      <formula>$H372="SUBETAPA"</formula>
    </cfRule>
    <cfRule type="expression" priority="47301" dxfId="3">
      <formula>$H372="ETAPA"</formula>
    </cfRule>
  </conditionalFormatting>
  <conditionalFormatting sqref="M373 N374">
    <cfRule type="expression" priority="47285" dxfId="4">
      <formula>$H373="SUBETAPA"</formula>
    </cfRule>
    <cfRule type="expression" priority="47286" dxfId="5">
      <formula>$H373="CÉLULA CONSTRUTIVA"</formula>
    </cfRule>
  </conditionalFormatting>
  <conditionalFormatting sqref="M374">
    <cfRule type="expression" priority="47256" dxfId="5">
      <formula>$H374="CÉLULA CONSTRUTIVA"</formula>
    </cfRule>
    <cfRule type="expression" priority="47257" dxfId="4">
      <formula>$H374="SUBETAPA"</formula>
    </cfRule>
    <cfRule type="expression" priority="47258" dxfId="3">
      <formula>$H374="ETAPA"</formula>
    </cfRule>
  </conditionalFormatting>
  <conditionalFormatting sqref="M375 N376">
    <cfRule type="expression" priority="47242" dxfId="4">
      <formula>$H375="SUBETAPA"</formula>
    </cfRule>
    <cfRule type="expression" priority="47243" dxfId="5">
      <formula>$H375="CÉLULA CONSTRUTIVA"</formula>
    </cfRule>
  </conditionalFormatting>
  <conditionalFormatting sqref="M376">
    <cfRule type="expression" priority="47213" dxfId="5">
      <formula>$H376="CÉLULA CONSTRUTIVA"</formula>
    </cfRule>
    <cfRule type="expression" priority="47214" dxfId="4">
      <formula>$H376="SUBETAPA"</formula>
    </cfRule>
    <cfRule type="expression" priority="47215" dxfId="3">
      <formula>$H376="ETAPA"</formula>
    </cfRule>
  </conditionalFormatting>
  <conditionalFormatting sqref="M377 N378">
    <cfRule type="expression" priority="47199" dxfId="4">
      <formula>$H377="SUBETAPA"</formula>
    </cfRule>
    <cfRule type="expression" priority="47200" dxfId="5">
      <formula>$H377="CÉLULA CONSTRUTIVA"</formula>
    </cfRule>
  </conditionalFormatting>
  <conditionalFormatting sqref="M378">
    <cfRule type="expression" priority="47169" dxfId="5">
      <formula>$H378="CÉLULA CONSTRUTIVA"</formula>
    </cfRule>
    <cfRule type="expression" priority="47170" dxfId="4">
      <formula>$H378="SUBETAPA"</formula>
    </cfRule>
    <cfRule type="expression" priority="47171" dxfId="3">
      <formula>$H378="ETAPA"</formula>
    </cfRule>
  </conditionalFormatting>
  <conditionalFormatting sqref="M619">
    <cfRule type="expression" priority="86908" dxfId="5">
      <formula>$H619="CÉLULA CONSTRUTIVA"</formula>
    </cfRule>
    <cfRule type="expression" priority="86909" dxfId="3">
      <formula>$H619="ETAPA"</formula>
    </cfRule>
  </conditionalFormatting>
  <conditionalFormatting sqref="M620:M621">
    <cfRule type="expression" priority="59110" dxfId="3">
      <formula>$H620="ETAPA"</formula>
    </cfRule>
  </conditionalFormatting>
  <conditionalFormatting sqref="M623">
    <cfRule type="expression" priority="59074" dxfId="5">
      <formula>$H623="CÉLULA CONSTRUTIVA"</formula>
    </cfRule>
    <cfRule type="expression" priority="59075" dxfId="3">
      <formula>$H623="ETAPA"</formula>
    </cfRule>
  </conditionalFormatting>
  <conditionalFormatting sqref="M625 M627">
    <cfRule type="expression" priority="59104" dxfId="5">
      <formula>$H625="CÉLULA CONSTRUTIVA"</formula>
    </cfRule>
    <cfRule type="expression" priority="59105" dxfId="3">
      <formula>$H625="ETAPA"</formula>
    </cfRule>
  </conditionalFormatting>
  <conditionalFormatting sqref="M629 M631">
    <cfRule type="expression" priority="59106" dxfId="5">
      <formula>$H629="CÉLULA CONSTRUTIVA"</formula>
    </cfRule>
    <cfRule type="expression" priority="59107" dxfId="3">
      <formula>$H629="ETAPA"</formula>
    </cfRule>
  </conditionalFormatting>
  <conditionalFormatting sqref="H637:J637 M633:M634">
    <cfRule type="expression" priority="59096" dxfId="3">
      <formula>$H633="ETAPA"</formula>
    </cfRule>
  </conditionalFormatting>
  <conditionalFormatting sqref="M636 M638">
    <cfRule type="expression" priority="59094" dxfId="5">
      <formula>$H636="CÉLULA CONSTRUTIVA"</formula>
    </cfRule>
    <cfRule type="expression" priority="59095" dxfId="3">
      <formula>$H636="ETAPA"</formula>
    </cfRule>
  </conditionalFormatting>
  <conditionalFormatting sqref="M640">
    <cfRule type="expression" priority="58514" dxfId="5">
      <formula>$H640="CÉLULA CONSTRUTIVA"</formula>
    </cfRule>
    <cfRule type="expression" priority="58515" dxfId="3">
      <formula>$H640="ETAPA"</formula>
    </cfRule>
  </conditionalFormatting>
  <conditionalFormatting sqref="M642 M644">
    <cfRule type="expression" priority="58516" dxfId="5">
      <formula>$H642="CÉLULA CONSTRUTIVA"</formula>
    </cfRule>
    <cfRule type="expression" priority="58517" dxfId="3">
      <formula>$H642="ETAPA"</formula>
    </cfRule>
  </conditionalFormatting>
  <conditionalFormatting sqref="H650:J650 M646:M647">
    <cfRule type="expression" priority="58506" dxfId="3">
      <formula>$H646="ETAPA"</formula>
    </cfRule>
  </conditionalFormatting>
  <conditionalFormatting sqref="M649">
    <cfRule type="expression" priority="58477" dxfId="5">
      <formula>$H649="CÉLULA CONSTRUTIVA"</formula>
    </cfRule>
    <cfRule type="expression" priority="58479" dxfId="4">
      <formula>$H649="SUBETAPA"</formula>
    </cfRule>
  </conditionalFormatting>
  <conditionalFormatting sqref="M651">
    <cfRule type="expression" priority="58504" dxfId="5">
      <formula>$H651="CÉLULA CONSTRUTIVA"</formula>
    </cfRule>
    <cfRule type="expression" priority="58505" dxfId="3">
      <formula>$H651="ETAPA"</formula>
    </cfRule>
  </conditionalFormatting>
  <conditionalFormatting sqref="M653">
    <cfRule type="expression" priority="58596" dxfId="5">
      <formula>$H653="CÉLULA CONSTRUTIVA"</formula>
    </cfRule>
    <cfRule type="expression" priority="58597" dxfId="3">
      <formula>$H653="ETAPA"</formula>
    </cfRule>
  </conditionalFormatting>
  <conditionalFormatting sqref="M655 M657">
    <cfRule type="expression" priority="58598" dxfId="5">
      <formula>$H655="CÉLULA CONSTRUTIVA"</formula>
    </cfRule>
    <cfRule type="expression" priority="58599" dxfId="3">
      <formula>$H655="ETAPA"</formula>
    </cfRule>
  </conditionalFormatting>
  <conditionalFormatting sqref="H663:J663 M659:M660">
    <cfRule type="expression" priority="58588" dxfId="3">
      <formula>$H659="ETAPA"</formula>
    </cfRule>
  </conditionalFormatting>
  <conditionalFormatting sqref="M662">
    <cfRule type="expression" priority="58474" dxfId="5">
      <formula>$H662="CÉLULA CONSTRUTIVA"</formula>
    </cfRule>
    <cfRule type="expression" priority="58476" dxfId="4">
      <formula>$H662="SUBETAPA"</formula>
    </cfRule>
  </conditionalFormatting>
  <conditionalFormatting sqref="M664">
    <cfRule type="expression" priority="58586" dxfId="5">
      <formula>$H664="CÉLULA CONSTRUTIVA"</formula>
    </cfRule>
    <cfRule type="expression" priority="58587" dxfId="3">
      <formula>$H664="ETAPA"</formula>
    </cfRule>
  </conditionalFormatting>
  <conditionalFormatting sqref="M666">
    <cfRule type="expression" priority="58678" dxfId="5">
      <formula>$H666="CÉLULA CONSTRUTIVA"</formula>
    </cfRule>
    <cfRule type="expression" priority="58679" dxfId="3">
      <formula>$H666="ETAPA"</formula>
    </cfRule>
  </conditionalFormatting>
  <conditionalFormatting sqref="M668 M670">
    <cfRule type="expression" priority="58680" dxfId="5">
      <formula>$H668="CÉLULA CONSTRUTIVA"</formula>
    </cfRule>
    <cfRule type="expression" priority="58681" dxfId="3">
      <formula>$H668="ETAPA"</formula>
    </cfRule>
  </conditionalFormatting>
  <conditionalFormatting sqref="H676:J676 M672:M673">
    <cfRule type="expression" priority="58670" dxfId="3">
      <formula>$H672="ETAPA"</formula>
    </cfRule>
  </conditionalFormatting>
  <conditionalFormatting sqref="M675">
    <cfRule type="expression" priority="58471" dxfId="5">
      <formula>$H675="CÉLULA CONSTRUTIVA"</formula>
    </cfRule>
    <cfRule type="expression" priority="58473" dxfId="4">
      <formula>$H675="SUBETAPA"</formula>
    </cfRule>
  </conditionalFormatting>
  <conditionalFormatting sqref="M677">
    <cfRule type="expression" priority="58668" dxfId="5">
      <formula>$H677="CÉLULA CONSTRUTIVA"</formula>
    </cfRule>
    <cfRule type="expression" priority="58669" dxfId="3">
      <formula>$H677="ETAPA"</formula>
    </cfRule>
  </conditionalFormatting>
  <conditionalFormatting sqref="M679">
    <cfRule type="expression" priority="58760" dxfId="5">
      <formula>$H679="CÉLULA CONSTRUTIVA"</formula>
    </cfRule>
    <cfRule type="expression" priority="58761" dxfId="3">
      <formula>$H679="ETAPA"</formula>
    </cfRule>
  </conditionalFormatting>
  <conditionalFormatting sqref="M681 M683">
    <cfRule type="expression" priority="58762" dxfId="5">
      <formula>$H681="CÉLULA CONSTRUTIVA"</formula>
    </cfRule>
    <cfRule type="expression" priority="58763" dxfId="3">
      <formula>$H681="ETAPA"</formula>
    </cfRule>
  </conditionalFormatting>
  <conditionalFormatting sqref="H689:J689 M685:M686">
    <cfRule type="expression" priority="58752" dxfId="3">
      <formula>$H685="ETAPA"</formula>
    </cfRule>
  </conditionalFormatting>
  <conditionalFormatting sqref="M688">
    <cfRule type="expression" priority="58468" dxfId="5">
      <formula>$H688="CÉLULA CONSTRUTIVA"</formula>
    </cfRule>
    <cfRule type="expression" priority="58470" dxfId="4">
      <formula>$H688="SUBETAPA"</formula>
    </cfRule>
  </conditionalFormatting>
  <conditionalFormatting sqref="M690">
    <cfRule type="expression" priority="58750" dxfId="5">
      <formula>$H690="CÉLULA CONSTRUTIVA"</formula>
    </cfRule>
    <cfRule type="expression" priority="58751" dxfId="3">
      <formula>$H690="ETAPA"</formula>
    </cfRule>
  </conditionalFormatting>
  <conditionalFormatting sqref="M692">
    <cfRule type="expression" priority="58842" dxfId="5">
      <formula>$H692="CÉLULA CONSTRUTIVA"</formula>
    </cfRule>
    <cfRule type="expression" priority="58843" dxfId="3">
      <formula>$H692="ETAPA"</formula>
    </cfRule>
  </conditionalFormatting>
  <conditionalFormatting sqref="M694 M696">
    <cfRule type="expression" priority="58844" dxfId="5">
      <formula>$H694="CÉLULA CONSTRUTIVA"</formula>
    </cfRule>
    <cfRule type="expression" priority="58845" dxfId="3">
      <formula>$H694="ETAPA"</formula>
    </cfRule>
  </conditionalFormatting>
  <conditionalFormatting sqref="H702:J702 M698:M699">
    <cfRule type="expression" priority="58834" dxfId="3">
      <formula>$H698="ETAPA"</formula>
    </cfRule>
  </conditionalFormatting>
  <conditionalFormatting sqref="M701">
    <cfRule type="expression" priority="58465" dxfId="5">
      <formula>$H701="CÉLULA CONSTRUTIVA"</formula>
    </cfRule>
    <cfRule type="expression" priority="58467" dxfId="4">
      <formula>$H701="SUBETAPA"</formula>
    </cfRule>
  </conditionalFormatting>
  <conditionalFormatting sqref="M703">
    <cfRule type="expression" priority="58832" dxfId="5">
      <formula>$H703="CÉLULA CONSTRUTIVA"</formula>
    </cfRule>
    <cfRule type="expression" priority="58833" dxfId="3">
      <formula>$H703="ETAPA"</formula>
    </cfRule>
  </conditionalFormatting>
  <conditionalFormatting sqref="M705">
    <cfRule type="expression" priority="58924" dxfId="5">
      <formula>$H705="CÉLULA CONSTRUTIVA"</formula>
    </cfRule>
    <cfRule type="expression" priority="58925" dxfId="3">
      <formula>$H705="ETAPA"</formula>
    </cfRule>
  </conditionalFormatting>
  <conditionalFormatting sqref="M707 M709">
    <cfRule type="expression" priority="58926" dxfId="5">
      <formula>$H707="CÉLULA CONSTRUTIVA"</formula>
    </cfRule>
    <cfRule type="expression" priority="58927" dxfId="3">
      <formula>$H707="ETAPA"</formula>
    </cfRule>
  </conditionalFormatting>
  <conditionalFormatting sqref="H715:J715 M711:M712">
    <cfRule type="expression" priority="58916" dxfId="3">
      <formula>$H711="ETAPA"</formula>
    </cfRule>
  </conditionalFormatting>
  <conditionalFormatting sqref="M714">
    <cfRule type="expression" priority="58462" dxfId="5">
      <formula>$H714="CÉLULA CONSTRUTIVA"</formula>
    </cfRule>
    <cfRule type="expression" priority="58464" dxfId="4">
      <formula>$H714="SUBETAPA"</formula>
    </cfRule>
  </conditionalFormatting>
  <conditionalFormatting sqref="M716">
    <cfRule type="expression" priority="58914" dxfId="5">
      <formula>$H716="CÉLULA CONSTRUTIVA"</formula>
    </cfRule>
    <cfRule type="expression" priority="58915" dxfId="3">
      <formula>$H716="ETAPA"</formula>
    </cfRule>
  </conditionalFormatting>
  <conditionalFormatting sqref="M718">
    <cfRule type="expression" priority="59009" dxfId="5">
      <formula>$H718="CÉLULA CONSTRUTIVA"</formula>
    </cfRule>
    <cfRule type="expression" priority="59010" dxfId="3">
      <formula>$H718="ETAPA"</formula>
    </cfRule>
  </conditionalFormatting>
  <conditionalFormatting sqref="M720 M722">
    <cfRule type="expression" priority="59011" dxfId="5">
      <formula>$H720="CÉLULA CONSTRUTIVA"</formula>
    </cfRule>
    <cfRule type="expression" priority="59012" dxfId="3">
      <formula>$H720="ETAPA"</formula>
    </cfRule>
  </conditionalFormatting>
  <conditionalFormatting sqref="H728:J728 M724:M725">
    <cfRule type="expression" priority="58998" dxfId="3">
      <formula>$H724="ETAPA"</formula>
    </cfRule>
  </conditionalFormatting>
  <conditionalFormatting sqref="M727">
    <cfRule type="expression" priority="58459" dxfId="5">
      <formula>$H727="CÉLULA CONSTRUTIVA"</formula>
    </cfRule>
    <cfRule type="expression" priority="58461" dxfId="4">
      <formula>$H727="SUBETAPA"</formula>
    </cfRule>
  </conditionalFormatting>
  <conditionalFormatting sqref="M729">
    <cfRule type="expression" priority="58996" dxfId="5">
      <formula>$H729="CÉLULA CONSTRUTIVA"</formula>
    </cfRule>
    <cfRule type="expression" priority="58997" dxfId="3">
      <formula>$H729="ETAPA"</formula>
    </cfRule>
  </conditionalFormatting>
  <conditionalFormatting sqref="M731">
    <cfRule type="expression" priority="59186" dxfId="5">
      <formula>$H731="CÉLULA CONSTRUTIVA"</formula>
    </cfRule>
    <cfRule type="expression" priority="59187" dxfId="3">
      <formula>$H731="ETAPA"</formula>
    </cfRule>
  </conditionalFormatting>
  <conditionalFormatting sqref="M733 M735">
    <cfRule type="expression" priority="59188" dxfId="5">
      <formula>$H733="CÉLULA CONSTRUTIVA"</formula>
    </cfRule>
    <cfRule type="expression" priority="59189" dxfId="3">
      <formula>$H733="ETAPA"</formula>
    </cfRule>
  </conditionalFormatting>
  <conditionalFormatting sqref="H741:J741 M737:M738">
    <cfRule type="expression" priority="59178" dxfId="3">
      <formula>$H737="ETAPA"</formula>
    </cfRule>
  </conditionalFormatting>
  <conditionalFormatting sqref="M740">
    <cfRule type="expression" priority="58456" dxfId="5">
      <formula>$H740="CÉLULA CONSTRUTIVA"</formula>
    </cfRule>
    <cfRule type="expression" priority="58458" dxfId="4">
      <formula>$H740="SUBETAPA"</formula>
    </cfRule>
  </conditionalFormatting>
  <conditionalFormatting sqref="M742">
    <cfRule type="expression" priority="59176" dxfId="5">
      <formula>$H742="CÉLULA CONSTRUTIVA"</formula>
    </cfRule>
    <cfRule type="expression" priority="59177" dxfId="3">
      <formula>$H742="ETAPA"</formula>
    </cfRule>
  </conditionalFormatting>
  <conditionalFormatting sqref="M744">
    <cfRule type="expression" priority="59268" dxfId="5">
      <formula>$H744="CÉLULA CONSTRUTIVA"</formula>
    </cfRule>
    <cfRule type="expression" priority="59269" dxfId="3">
      <formula>$H744="ETAPA"</formula>
    </cfRule>
  </conditionalFormatting>
  <conditionalFormatting sqref="M746 M748">
    <cfRule type="expression" priority="59270" dxfId="5">
      <formula>$H746="CÉLULA CONSTRUTIVA"</formula>
    </cfRule>
    <cfRule type="expression" priority="59271" dxfId="3">
      <formula>$H746="ETAPA"</formula>
    </cfRule>
  </conditionalFormatting>
  <conditionalFormatting sqref="H754:J754 M750:M751">
    <cfRule type="expression" priority="59260" dxfId="3">
      <formula>$H750="ETAPA"</formula>
    </cfRule>
  </conditionalFormatting>
  <conditionalFormatting sqref="M753">
    <cfRule type="expression" priority="58453" dxfId="5">
      <formula>$H753="CÉLULA CONSTRUTIVA"</formula>
    </cfRule>
    <cfRule type="expression" priority="58455" dxfId="4">
      <formula>$H753="SUBETAPA"</formula>
    </cfRule>
  </conditionalFormatting>
  <conditionalFormatting sqref="M755">
    <cfRule type="expression" priority="59258" dxfId="5">
      <formula>$H755="CÉLULA CONSTRUTIVA"</formula>
    </cfRule>
    <cfRule type="expression" priority="59259" dxfId="3">
      <formula>$H755="ETAPA"</formula>
    </cfRule>
  </conditionalFormatting>
  <conditionalFormatting sqref="M757">
    <cfRule type="expression" priority="59350" dxfId="5">
      <formula>$H757="CÉLULA CONSTRUTIVA"</formula>
    </cfRule>
    <cfRule type="expression" priority="59351" dxfId="3">
      <formula>$H757="ETAPA"</formula>
    </cfRule>
  </conditionalFormatting>
  <conditionalFormatting sqref="M759 M761">
    <cfRule type="expression" priority="59352" dxfId="5">
      <formula>$H759="CÉLULA CONSTRUTIVA"</formula>
    </cfRule>
    <cfRule type="expression" priority="59353" dxfId="3">
      <formula>$H759="ETAPA"</formula>
    </cfRule>
  </conditionalFormatting>
  <conditionalFormatting sqref="H767:J767 M763:M764">
    <cfRule type="expression" priority="59342" dxfId="3">
      <formula>$H763="ETAPA"</formula>
    </cfRule>
  </conditionalFormatting>
  <conditionalFormatting sqref="M766">
    <cfRule type="expression" priority="58450" dxfId="5">
      <formula>$H766="CÉLULA CONSTRUTIVA"</formula>
    </cfRule>
    <cfRule type="expression" priority="58452" dxfId="4">
      <formula>$H766="SUBETAPA"</formula>
    </cfRule>
  </conditionalFormatting>
  <conditionalFormatting sqref="M768">
    <cfRule type="expression" priority="59340" dxfId="5">
      <formula>$H768="CÉLULA CONSTRUTIVA"</formula>
    </cfRule>
    <cfRule type="expression" priority="59341" dxfId="3">
      <formula>$H768="ETAPA"</formula>
    </cfRule>
  </conditionalFormatting>
  <conditionalFormatting sqref="M770">
    <cfRule type="expression" priority="59432" dxfId="5">
      <formula>$H770="CÉLULA CONSTRUTIVA"</formula>
    </cfRule>
    <cfRule type="expression" priority="59433" dxfId="3">
      <formula>$H770="ETAPA"</formula>
    </cfRule>
  </conditionalFormatting>
  <conditionalFormatting sqref="M772 M774">
    <cfRule type="expression" priority="59434" dxfId="5">
      <formula>$H772="CÉLULA CONSTRUTIVA"</formula>
    </cfRule>
    <cfRule type="expression" priority="59435" dxfId="3">
      <formula>$H772="ETAPA"</formula>
    </cfRule>
  </conditionalFormatting>
  <conditionalFormatting sqref="H780:J780 M776:M777">
    <cfRule type="expression" priority="59424" dxfId="3">
      <formula>$H776="ETAPA"</formula>
    </cfRule>
  </conditionalFormatting>
  <conditionalFormatting sqref="M779">
    <cfRule type="expression" priority="58447" dxfId="5">
      <formula>$H779="CÉLULA CONSTRUTIVA"</formula>
    </cfRule>
    <cfRule type="expression" priority="58449" dxfId="4">
      <formula>$H779="SUBETAPA"</formula>
    </cfRule>
  </conditionalFormatting>
  <conditionalFormatting sqref="M781">
    <cfRule type="expression" priority="59422" dxfId="5">
      <formula>$H781="CÉLULA CONSTRUTIVA"</formula>
    </cfRule>
    <cfRule type="expression" priority="59423" dxfId="3">
      <formula>$H781="ETAPA"</formula>
    </cfRule>
  </conditionalFormatting>
  <conditionalFormatting sqref="M783">
    <cfRule type="expression" priority="59514" dxfId="5">
      <formula>$H783="CÉLULA CONSTRUTIVA"</formula>
    </cfRule>
    <cfRule type="expression" priority="59515" dxfId="3">
      <formula>$H783="ETAPA"</formula>
    </cfRule>
  </conditionalFormatting>
  <conditionalFormatting sqref="M785 M787">
    <cfRule type="expression" priority="59516" dxfId="5">
      <formula>$H785="CÉLULA CONSTRUTIVA"</formula>
    </cfRule>
    <cfRule type="expression" priority="59517" dxfId="3">
      <formula>$H785="ETAPA"</formula>
    </cfRule>
  </conditionalFormatting>
  <conditionalFormatting sqref="H793:J793 M789:M790">
    <cfRule type="expression" priority="59506" dxfId="3">
      <formula>$H789="ETAPA"</formula>
    </cfRule>
  </conditionalFormatting>
  <conditionalFormatting sqref="M792">
    <cfRule type="expression" priority="58444" dxfId="5">
      <formula>$H792="CÉLULA CONSTRUTIVA"</formula>
    </cfRule>
    <cfRule type="expression" priority="58446" dxfId="4">
      <formula>$H792="SUBETAPA"</formula>
    </cfRule>
  </conditionalFormatting>
  <conditionalFormatting sqref="M794">
    <cfRule type="expression" priority="59504" dxfId="5">
      <formula>$H794="CÉLULA CONSTRUTIVA"</formula>
    </cfRule>
    <cfRule type="expression" priority="59505" dxfId="3">
      <formula>$H794="ETAPA"</formula>
    </cfRule>
  </conditionalFormatting>
  <conditionalFormatting sqref="M796">
    <cfRule type="expression" priority="59596" dxfId="5">
      <formula>$H796="CÉLULA CONSTRUTIVA"</formula>
    </cfRule>
    <cfRule type="expression" priority="59597" dxfId="3">
      <formula>$H796="ETAPA"</formula>
    </cfRule>
  </conditionalFormatting>
  <conditionalFormatting sqref="M798 M800">
    <cfRule type="expression" priority="59598" dxfId="5">
      <formula>$H798="CÉLULA CONSTRUTIVA"</formula>
    </cfRule>
    <cfRule type="expression" priority="59599" dxfId="3">
      <formula>$H798="ETAPA"</formula>
    </cfRule>
  </conditionalFormatting>
  <conditionalFormatting sqref="H806:J806 M802:M803">
    <cfRule type="expression" priority="59588" dxfId="3">
      <formula>$H802="ETAPA"</formula>
    </cfRule>
  </conditionalFormatting>
  <conditionalFormatting sqref="M805">
    <cfRule type="expression" priority="58441" dxfId="5">
      <formula>$H805="CÉLULA CONSTRUTIVA"</formula>
    </cfRule>
    <cfRule type="expression" priority="58443" dxfId="4">
      <formula>$H805="SUBETAPA"</formula>
    </cfRule>
  </conditionalFormatting>
  <conditionalFormatting sqref="M807">
    <cfRule type="expression" priority="59586" dxfId="5">
      <formula>$H807="CÉLULA CONSTRUTIVA"</formula>
    </cfRule>
    <cfRule type="expression" priority="59587" dxfId="3">
      <formula>$H807="ETAPA"</formula>
    </cfRule>
  </conditionalFormatting>
  <conditionalFormatting sqref="M809 M811">
    <cfRule type="expression" priority="56836" dxfId="5">
      <formula>$H809="CÉLULA CONSTRUTIVA"</formula>
    </cfRule>
    <cfRule type="expression" priority="56837" dxfId="3">
      <formula>$H809="ETAPA"</formula>
    </cfRule>
  </conditionalFormatting>
  <conditionalFormatting sqref="M814">
    <cfRule type="expression" priority="56827" dxfId="5">
      <formula>$H814="CÉLULA CONSTRUTIVA"</formula>
    </cfRule>
    <cfRule type="expression" priority="56828" dxfId="3">
      <formula>$H814="ETAPA"</formula>
    </cfRule>
  </conditionalFormatting>
  <conditionalFormatting sqref="M816">
    <cfRule type="expression" priority="56829" dxfId="5">
      <formula>$H816="CÉLULA CONSTRUTIVA"</formula>
    </cfRule>
    <cfRule type="expression" priority="56830" dxfId="3">
      <formula>$H816="ETAPA"</formula>
    </cfRule>
  </conditionalFormatting>
  <conditionalFormatting sqref="M818:M819">
    <cfRule type="expression" priority="56819" dxfId="3">
      <formula>$H818="ETAPA"</formula>
    </cfRule>
  </conditionalFormatting>
  <conditionalFormatting sqref="M820 M822">
    <cfRule type="expression" priority="56945" dxfId="5">
      <formula>$H820="CÉLULA CONSTRUTIVA"</formula>
    </cfRule>
    <cfRule type="expression" priority="56946" dxfId="3">
      <formula>$H820="ETAPA"</formula>
    </cfRule>
  </conditionalFormatting>
  <conditionalFormatting sqref="M825">
    <cfRule type="expression" priority="56936" dxfId="5">
      <formula>$H825="CÉLULA CONSTRUTIVA"</formula>
    </cfRule>
    <cfRule type="expression" priority="56937" dxfId="3">
      <formula>$H825="ETAPA"</formula>
    </cfRule>
  </conditionalFormatting>
  <conditionalFormatting sqref="M827:M828">
    <cfRule type="expression" priority="56928" dxfId="3">
      <formula>$H827="ETAPA"</formula>
    </cfRule>
  </conditionalFormatting>
  <conditionalFormatting sqref="M829 M831">
    <cfRule type="expression" priority="57054" dxfId="5">
      <formula>$H829="CÉLULA CONSTRUTIVA"</formula>
    </cfRule>
    <cfRule type="expression" priority="57055" dxfId="3">
      <formula>$H829="ETAPA"</formula>
    </cfRule>
  </conditionalFormatting>
  <conditionalFormatting sqref="M834">
    <cfRule type="expression" priority="57045" dxfId="5">
      <formula>$H834="CÉLULA CONSTRUTIVA"</formula>
    </cfRule>
    <cfRule type="expression" priority="57046" dxfId="3">
      <formula>$H834="ETAPA"</formula>
    </cfRule>
  </conditionalFormatting>
  <conditionalFormatting sqref="M836">
    <cfRule type="expression" priority="57037" dxfId="3">
      <formula>$H836="ETAPA"</formula>
    </cfRule>
  </conditionalFormatting>
  <conditionalFormatting sqref="M837">
    <cfRule type="expression" priority="3422" dxfId="3">
      <formula>$H837="ETAPA"</formula>
    </cfRule>
  </conditionalFormatting>
  <conditionalFormatting sqref="M838 M840">
    <cfRule type="expression" priority="57163" dxfId="5">
      <formula>$H838="CÉLULA CONSTRUTIVA"</formula>
    </cfRule>
    <cfRule type="expression" priority="57164" dxfId="3">
      <formula>$H838="ETAPA"</formula>
    </cfRule>
  </conditionalFormatting>
  <conditionalFormatting sqref="M843">
    <cfRule type="expression" priority="57154" dxfId="5">
      <formula>$H843="CÉLULA CONSTRUTIVA"</formula>
    </cfRule>
    <cfRule type="expression" priority="57155" dxfId="3">
      <formula>$H843="ETAPA"</formula>
    </cfRule>
  </conditionalFormatting>
  <conditionalFormatting sqref="M845">
    <cfRule type="expression" priority="57146" dxfId="3">
      <formula>$H845="ETAPA"</formula>
    </cfRule>
  </conditionalFormatting>
  <conditionalFormatting sqref="M846">
    <cfRule type="expression" priority="3414" dxfId="3">
      <formula>$H846="ETAPA"</formula>
    </cfRule>
  </conditionalFormatting>
  <conditionalFormatting sqref="M847 M849">
    <cfRule type="expression" priority="57272" dxfId="5">
      <formula>$H847="CÉLULA CONSTRUTIVA"</formula>
    </cfRule>
    <cfRule type="expression" priority="57273" dxfId="3">
      <formula>$H847="ETAPA"</formula>
    </cfRule>
  </conditionalFormatting>
  <conditionalFormatting sqref="M852">
    <cfRule type="expression" priority="57263" dxfId="5">
      <formula>$H852="CÉLULA CONSTRUTIVA"</formula>
    </cfRule>
    <cfRule type="expression" priority="57264" dxfId="3">
      <formula>$H852="ETAPA"</formula>
    </cfRule>
  </conditionalFormatting>
  <conditionalFormatting sqref="M854">
    <cfRule type="expression" priority="57255" dxfId="3">
      <formula>$H854="ETAPA"</formula>
    </cfRule>
  </conditionalFormatting>
  <conditionalFormatting sqref="M855">
    <cfRule type="expression" priority="3406" dxfId="3">
      <formula>$H855="ETAPA"</formula>
    </cfRule>
  </conditionalFormatting>
  <conditionalFormatting sqref="M856 M858">
    <cfRule type="expression" priority="57381" dxfId="5">
      <formula>$H856="CÉLULA CONSTRUTIVA"</formula>
    </cfRule>
    <cfRule type="expression" priority="57382" dxfId="3">
      <formula>$H856="ETAPA"</formula>
    </cfRule>
  </conditionalFormatting>
  <conditionalFormatting sqref="M861">
    <cfRule type="expression" priority="57372" dxfId="5">
      <formula>$H861="CÉLULA CONSTRUTIVA"</formula>
    </cfRule>
    <cfRule type="expression" priority="57373" dxfId="3">
      <formula>$H861="ETAPA"</formula>
    </cfRule>
  </conditionalFormatting>
  <conditionalFormatting sqref="M863">
    <cfRule type="expression" priority="57364" dxfId="3">
      <formula>$H863="ETAPA"</formula>
    </cfRule>
  </conditionalFormatting>
  <conditionalFormatting sqref="M864">
    <cfRule type="expression" priority="3398" dxfId="3">
      <formula>$H864="ETAPA"</formula>
    </cfRule>
  </conditionalFormatting>
  <conditionalFormatting sqref="M865 M867">
    <cfRule type="expression" priority="57490" dxfId="5">
      <formula>$H865="CÉLULA CONSTRUTIVA"</formula>
    </cfRule>
    <cfRule type="expression" priority="57491" dxfId="3">
      <formula>$H865="ETAPA"</formula>
    </cfRule>
  </conditionalFormatting>
  <conditionalFormatting sqref="M870">
    <cfRule type="expression" priority="57481" dxfId="5">
      <formula>$H870="CÉLULA CONSTRUTIVA"</formula>
    </cfRule>
    <cfRule type="expression" priority="57482" dxfId="3">
      <formula>$H870="ETAPA"</formula>
    </cfRule>
  </conditionalFormatting>
  <conditionalFormatting sqref="M872">
    <cfRule type="expression" priority="57473" dxfId="3">
      <formula>$H872="ETAPA"</formula>
    </cfRule>
  </conditionalFormatting>
  <conditionalFormatting sqref="M873">
    <cfRule type="expression" priority="3390" dxfId="3">
      <formula>$H873="ETAPA"</formula>
    </cfRule>
  </conditionalFormatting>
  <conditionalFormatting sqref="M874 M876">
    <cfRule type="expression" priority="57599" dxfId="5">
      <formula>$H874="CÉLULA CONSTRUTIVA"</formula>
    </cfRule>
    <cfRule type="expression" priority="57600" dxfId="3">
      <formula>$H874="ETAPA"</formula>
    </cfRule>
  </conditionalFormatting>
  <conditionalFormatting sqref="M879">
    <cfRule type="expression" priority="57590" dxfId="5">
      <formula>$H879="CÉLULA CONSTRUTIVA"</formula>
    </cfRule>
    <cfRule type="expression" priority="57591" dxfId="3">
      <formula>$H879="ETAPA"</formula>
    </cfRule>
  </conditionalFormatting>
  <conditionalFormatting sqref="M881">
    <cfRule type="expression" priority="57582" dxfId="3">
      <formula>$H881="ETAPA"</formula>
    </cfRule>
  </conditionalFormatting>
  <conditionalFormatting sqref="M882">
    <cfRule type="expression" priority="3382" dxfId="3">
      <formula>$H882="ETAPA"</formula>
    </cfRule>
  </conditionalFormatting>
  <conditionalFormatting sqref="M883 M885">
    <cfRule type="expression" priority="57708" dxfId="5">
      <formula>$H883="CÉLULA CONSTRUTIVA"</formula>
    </cfRule>
    <cfRule type="expression" priority="57709" dxfId="3">
      <formula>$H883="ETAPA"</formula>
    </cfRule>
  </conditionalFormatting>
  <conditionalFormatting sqref="M888">
    <cfRule type="expression" priority="57699" dxfId="5">
      <formula>$H888="CÉLULA CONSTRUTIVA"</formula>
    </cfRule>
    <cfRule type="expression" priority="57700" dxfId="3">
      <formula>$H888="ETAPA"</formula>
    </cfRule>
  </conditionalFormatting>
  <conditionalFormatting sqref="M890">
    <cfRule type="expression" priority="57691" dxfId="3">
      <formula>$H890="ETAPA"</formula>
    </cfRule>
  </conditionalFormatting>
  <conditionalFormatting sqref="M891">
    <cfRule type="expression" priority="3374" dxfId="3">
      <formula>$H891="ETAPA"</formula>
    </cfRule>
  </conditionalFormatting>
  <conditionalFormatting sqref="M892 M894">
    <cfRule type="expression" priority="57817" dxfId="5">
      <formula>$H892="CÉLULA CONSTRUTIVA"</formula>
    </cfRule>
    <cfRule type="expression" priority="57818" dxfId="3">
      <formula>$H892="ETAPA"</formula>
    </cfRule>
  </conditionalFormatting>
  <conditionalFormatting sqref="M897">
    <cfRule type="expression" priority="57808" dxfId="5">
      <formula>$H897="CÉLULA CONSTRUTIVA"</formula>
    </cfRule>
    <cfRule type="expression" priority="57809" dxfId="3">
      <formula>$H897="ETAPA"</formula>
    </cfRule>
  </conditionalFormatting>
  <conditionalFormatting sqref="M899">
    <cfRule type="expression" priority="57810" dxfId="5">
      <formula>$H899="CÉLULA CONSTRUTIVA"</formula>
    </cfRule>
    <cfRule type="expression" priority="57811" dxfId="3">
      <formula>$H899="ETAPA"</formula>
    </cfRule>
  </conditionalFormatting>
  <conditionalFormatting sqref="M901">
    <cfRule type="expression" priority="57800" dxfId="3">
      <formula>$H901="ETAPA"</formula>
    </cfRule>
  </conditionalFormatting>
  <conditionalFormatting sqref="M902">
    <cfRule type="expression" priority="3366" dxfId="3">
      <formula>$H902="ETAPA"</formula>
    </cfRule>
  </conditionalFormatting>
  <conditionalFormatting sqref="M903 M905">
    <cfRule type="expression" priority="57926" dxfId="5">
      <formula>$H903="CÉLULA CONSTRUTIVA"</formula>
    </cfRule>
    <cfRule type="expression" priority="57927" dxfId="3">
      <formula>$H903="ETAPA"</formula>
    </cfRule>
  </conditionalFormatting>
  <conditionalFormatting sqref="M908">
    <cfRule type="expression" priority="57917" dxfId="5">
      <formula>$H908="CÉLULA CONSTRUTIVA"</formula>
    </cfRule>
    <cfRule type="expression" priority="57918" dxfId="3">
      <formula>$H908="ETAPA"</formula>
    </cfRule>
  </conditionalFormatting>
  <conditionalFormatting sqref="M910">
    <cfRule type="expression" priority="57919" dxfId="5">
      <formula>$H910="CÉLULA CONSTRUTIVA"</formula>
    </cfRule>
    <cfRule type="expression" priority="57920" dxfId="3">
      <formula>$H910="ETAPA"</formula>
    </cfRule>
  </conditionalFormatting>
  <conditionalFormatting sqref="M912">
    <cfRule type="expression" priority="57909" dxfId="3">
      <formula>$H912="ETAPA"</formula>
    </cfRule>
  </conditionalFormatting>
  <conditionalFormatting sqref="M913">
    <cfRule type="expression" priority="3358" dxfId="3">
      <formula>$H913="ETAPA"</formula>
    </cfRule>
  </conditionalFormatting>
  <conditionalFormatting sqref="M914 M916">
    <cfRule type="expression" priority="58035" dxfId="5">
      <formula>$H914="CÉLULA CONSTRUTIVA"</formula>
    </cfRule>
    <cfRule type="expression" priority="58036" dxfId="3">
      <formula>$H914="ETAPA"</formula>
    </cfRule>
  </conditionalFormatting>
  <conditionalFormatting sqref="M919">
    <cfRule type="expression" priority="58026" dxfId="5">
      <formula>$H919="CÉLULA CONSTRUTIVA"</formula>
    </cfRule>
    <cfRule type="expression" priority="58027" dxfId="3">
      <formula>$H919="ETAPA"</formula>
    </cfRule>
  </conditionalFormatting>
  <conditionalFormatting sqref="M921">
    <cfRule type="expression" priority="58018" dxfId="3">
      <formula>$H921="ETAPA"</formula>
    </cfRule>
  </conditionalFormatting>
  <conditionalFormatting sqref="M922">
    <cfRule type="expression" priority="3350" dxfId="3">
      <formula>$H922="ETAPA"</formula>
    </cfRule>
  </conditionalFormatting>
  <conditionalFormatting sqref="M923 M925">
    <cfRule type="expression" priority="58144" dxfId="5">
      <formula>$H923="CÉLULA CONSTRUTIVA"</formula>
    </cfRule>
    <cfRule type="expression" priority="58145" dxfId="3">
      <formula>$H923="ETAPA"</formula>
    </cfRule>
  </conditionalFormatting>
  <conditionalFormatting sqref="M928">
    <cfRule type="expression" priority="58135" dxfId="5">
      <formula>$H928="CÉLULA CONSTRUTIVA"</formula>
    </cfRule>
    <cfRule type="expression" priority="58136" dxfId="3">
      <formula>$H928="ETAPA"</formula>
    </cfRule>
  </conditionalFormatting>
  <conditionalFormatting sqref="M930">
    <cfRule type="expression" priority="58127" dxfId="3">
      <formula>$H930="ETAPA"</formula>
    </cfRule>
  </conditionalFormatting>
  <conditionalFormatting sqref="M931">
    <cfRule type="expression" priority="3342" dxfId="3">
      <formula>$H931="ETAPA"</formula>
    </cfRule>
  </conditionalFormatting>
  <conditionalFormatting sqref="M932 M934">
    <cfRule type="expression" priority="58253" dxfId="5">
      <formula>$H932="CÉLULA CONSTRUTIVA"</formula>
    </cfRule>
    <cfRule type="expression" priority="58254" dxfId="3">
      <formula>$H932="ETAPA"</formula>
    </cfRule>
  </conditionalFormatting>
  <conditionalFormatting sqref="M937">
    <cfRule type="expression" priority="58244" dxfId="5">
      <formula>$H937="CÉLULA CONSTRUTIVA"</formula>
    </cfRule>
    <cfRule type="expression" priority="58245" dxfId="3">
      <formula>$H937="ETAPA"</formula>
    </cfRule>
  </conditionalFormatting>
  <conditionalFormatting sqref="M939">
    <cfRule type="expression" priority="58246" dxfId="5">
      <formula>$H939="CÉLULA CONSTRUTIVA"</formula>
    </cfRule>
    <cfRule type="expression" priority="58247" dxfId="3">
      <formula>$H939="ETAPA"</formula>
    </cfRule>
  </conditionalFormatting>
  <conditionalFormatting sqref="M941">
    <cfRule type="expression" priority="58236" dxfId="3">
      <formula>$H941="ETAPA"</formula>
    </cfRule>
  </conditionalFormatting>
  <conditionalFormatting sqref="M942">
    <cfRule type="expression" priority="3334" dxfId="3">
      <formula>$H942="ETAPA"</formula>
    </cfRule>
  </conditionalFormatting>
  <conditionalFormatting sqref="M944:M945">
    <cfRule type="expression" priority="51555" dxfId="3">
      <formula>$H944="ETAPA"</formula>
    </cfRule>
  </conditionalFormatting>
  <conditionalFormatting sqref="M947">
    <cfRule type="expression" priority="51557" dxfId="5">
      <formula>$H947="CÉLULA CONSTRUTIVA"</formula>
    </cfRule>
    <cfRule type="expression" priority="51558" dxfId="3">
      <formula>$H947="ETAPA"</formula>
    </cfRule>
  </conditionalFormatting>
  <conditionalFormatting sqref="M949">
    <cfRule type="expression" priority="51496" dxfId="5">
      <formula>$H949="CÉLULA CONSTRUTIVA"</formula>
    </cfRule>
    <cfRule type="expression" priority="51497" dxfId="3">
      <formula>$H949="ETAPA"</formula>
    </cfRule>
  </conditionalFormatting>
  <conditionalFormatting sqref="M955 M957">
    <cfRule type="expression" priority="51562" dxfId="5">
      <formula>$H955="CÉLULA CONSTRUTIVA"</formula>
    </cfRule>
    <cfRule type="expression" priority="51563" dxfId="3">
      <formula>$H955="ETAPA"</formula>
    </cfRule>
  </conditionalFormatting>
  <conditionalFormatting sqref="M959:M960">
    <cfRule type="expression" priority="51710" dxfId="3">
      <formula>$H959="ETAPA"</formula>
    </cfRule>
  </conditionalFormatting>
  <conditionalFormatting sqref="M962">
    <cfRule type="expression" priority="51712" dxfId="5">
      <formula>$H962="CÉLULA CONSTRUTIVA"</formula>
    </cfRule>
    <cfRule type="expression" priority="51713" dxfId="3">
      <formula>$H962="ETAPA"</formula>
    </cfRule>
  </conditionalFormatting>
  <conditionalFormatting sqref="M964">
    <cfRule type="expression" priority="51458" dxfId="5">
      <formula>$H964="CÉLULA CONSTRUTIVA"</formula>
    </cfRule>
    <cfRule type="expression" priority="51459" dxfId="3">
      <formula>$H964="ETAPA"</formula>
    </cfRule>
  </conditionalFormatting>
  <conditionalFormatting sqref="M965">
    <cfRule type="expression" priority="51472" dxfId="3">
      <formula>$H965="ETAPA"</formula>
    </cfRule>
  </conditionalFormatting>
  <conditionalFormatting sqref="M970 M972">
    <cfRule type="expression" priority="51717" dxfId="5">
      <formula>$H970="CÉLULA CONSTRUTIVA"</formula>
    </cfRule>
    <cfRule type="expression" priority="51718" dxfId="3">
      <formula>$H970="ETAPA"</formula>
    </cfRule>
  </conditionalFormatting>
  <conditionalFormatting sqref="M974:M975">
    <cfRule type="expression" priority="51868" dxfId="3">
      <formula>$H974="ETAPA"</formula>
    </cfRule>
  </conditionalFormatting>
  <conditionalFormatting sqref="M977">
    <cfRule type="expression" priority="51870" dxfId="5">
      <formula>$H977="CÉLULA CONSTRUTIVA"</formula>
    </cfRule>
    <cfRule type="expression" priority="51871" dxfId="3">
      <formula>$H977="ETAPA"</formula>
    </cfRule>
  </conditionalFormatting>
  <conditionalFormatting sqref="M979">
    <cfRule type="expression" priority="51420" dxfId="5">
      <formula>$H979="CÉLULA CONSTRUTIVA"</formula>
    </cfRule>
    <cfRule type="expression" priority="51421" dxfId="3">
      <formula>$H979="ETAPA"</formula>
    </cfRule>
  </conditionalFormatting>
  <conditionalFormatting sqref="M980">
    <cfRule type="expression" priority="51434" dxfId="3">
      <formula>$H980="ETAPA"</formula>
    </cfRule>
  </conditionalFormatting>
  <conditionalFormatting sqref="M985 M987">
    <cfRule type="expression" priority="51875" dxfId="5">
      <formula>$H985="CÉLULA CONSTRUTIVA"</formula>
    </cfRule>
    <cfRule type="expression" priority="51876" dxfId="3">
      <formula>$H985="ETAPA"</formula>
    </cfRule>
  </conditionalFormatting>
  <conditionalFormatting sqref="M989:M990">
    <cfRule type="expression" priority="52023" dxfId="3">
      <formula>$H989="ETAPA"</formula>
    </cfRule>
  </conditionalFormatting>
  <conditionalFormatting sqref="M992">
    <cfRule type="expression" priority="52025" dxfId="5">
      <formula>$H992="CÉLULA CONSTRUTIVA"</formula>
    </cfRule>
    <cfRule type="expression" priority="52026" dxfId="3">
      <formula>$H992="ETAPA"</formula>
    </cfRule>
  </conditionalFormatting>
  <conditionalFormatting sqref="M994">
    <cfRule type="expression" priority="51382" dxfId="5">
      <formula>$H994="CÉLULA CONSTRUTIVA"</formula>
    </cfRule>
    <cfRule type="expression" priority="51383" dxfId="3">
      <formula>$H994="ETAPA"</formula>
    </cfRule>
  </conditionalFormatting>
  <conditionalFormatting sqref="M995">
    <cfRule type="expression" priority="51396" dxfId="3">
      <formula>$H995="ETAPA"</formula>
    </cfRule>
  </conditionalFormatting>
  <conditionalFormatting sqref="M1000 M1002">
    <cfRule type="expression" priority="52030" dxfId="5">
      <formula>$H1000="CÉLULA CONSTRUTIVA"</formula>
    </cfRule>
    <cfRule type="expression" priority="52031" dxfId="3">
      <formula>$H1000="ETAPA"</formula>
    </cfRule>
  </conditionalFormatting>
  <conditionalFormatting sqref="M1004:M1005">
    <cfRule type="expression" priority="52181" dxfId="3">
      <formula>$H1004="ETAPA"</formula>
    </cfRule>
  </conditionalFormatting>
  <conditionalFormatting sqref="M1007">
    <cfRule type="expression" priority="52183" dxfId="5">
      <formula>$H1007="CÉLULA CONSTRUTIVA"</formula>
    </cfRule>
    <cfRule type="expression" priority="52184" dxfId="3">
      <formula>$H1007="ETAPA"</formula>
    </cfRule>
  </conditionalFormatting>
  <conditionalFormatting sqref="M1009">
    <cfRule type="expression" priority="51344" dxfId="5">
      <formula>$H1009="CÉLULA CONSTRUTIVA"</formula>
    </cfRule>
    <cfRule type="expression" priority="51345" dxfId="3">
      <formula>$H1009="ETAPA"</formula>
    </cfRule>
  </conditionalFormatting>
  <conditionalFormatting sqref="M1010">
    <cfRule type="expression" priority="51358" dxfId="3">
      <formula>$H1010="ETAPA"</formula>
    </cfRule>
  </conditionalFormatting>
  <conditionalFormatting sqref="M1015 M1017">
    <cfRule type="expression" priority="52188" dxfId="5">
      <formula>$H1015="CÉLULA CONSTRUTIVA"</formula>
    </cfRule>
    <cfRule type="expression" priority="52189" dxfId="3">
      <formula>$H1015="ETAPA"</formula>
    </cfRule>
  </conditionalFormatting>
  <conditionalFormatting sqref="M1019:M1020">
    <cfRule type="expression" priority="52336" dxfId="3">
      <formula>$H1019="ETAPA"</formula>
    </cfRule>
  </conditionalFormatting>
  <conditionalFormatting sqref="M1022">
    <cfRule type="expression" priority="52338" dxfId="5">
      <formula>$H1022="CÉLULA CONSTRUTIVA"</formula>
    </cfRule>
    <cfRule type="expression" priority="52339" dxfId="3">
      <formula>$H1022="ETAPA"</formula>
    </cfRule>
  </conditionalFormatting>
  <conditionalFormatting sqref="M1024">
    <cfRule type="expression" priority="51306" dxfId="5">
      <formula>$H1024="CÉLULA CONSTRUTIVA"</formula>
    </cfRule>
    <cfRule type="expression" priority="51307" dxfId="3">
      <formula>$H1024="ETAPA"</formula>
    </cfRule>
  </conditionalFormatting>
  <conditionalFormatting sqref="M1025">
    <cfRule type="expression" priority="51320" dxfId="3">
      <formula>$H1025="ETAPA"</formula>
    </cfRule>
  </conditionalFormatting>
  <conditionalFormatting sqref="M1030 M1032">
    <cfRule type="expression" priority="52343" dxfId="5">
      <formula>$H1030="CÉLULA CONSTRUTIVA"</formula>
    </cfRule>
    <cfRule type="expression" priority="52344" dxfId="3">
      <formula>$H1030="ETAPA"</formula>
    </cfRule>
  </conditionalFormatting>
  <conditionalFormatting sqref="M1034:M1035">
    <cfRule type="expression" priority="52491" dxfId="3">
      <formula>$H1034="ETAPA"</formula>
    </cfRule>
  </conditionalFormatting>
  <conditionalFormatting sqref="M1037">
    <cfRule type="expression" priority="52493" dxfId="5">
      <formula>$H1037="CÉLULA CONSTRUTIVA"</formula>
    </cfRule>
    <cfRule type="expression" priority="52494" dxfId="3">
      <formula>$H1037="ETAPA"</formula>
    </cfRule>
  </conditionalFormatting>
  <conditionalFormatting sqref="M1039">
    <cfRule type="expression" priority="51268" dxfId="5">
      <formula>$H1039="CÉLULA CONSTRUTIVA"</formula>
    </cfRule>
    <cfRule type="expression" priority="51269" dxfId="3">
      <formula>$H1039="ETAPA"</formula>
    </cfRule>
  </conditionalFormatting>
  <conditionalFormatting sqref="M1040">
    <cfRule type="expression" priority="51282" dxfId="3">
      <formula>$H1040="ETAPA"</formula>
    </cfRule>
  </conditionalFormatting>
  <conditionalFormatting sqref="M1045 M1047">
    <cfRule type="expression" priority="52498" dxfId="5">
      <formula>$H1045="CÉLULA CONSTRUTIVA"</formula>
    </cfRule>
    <cfRule type="expression" priority="52499" dxfId="3">
      <formula>$H1045="ETAPA"</formula>
    </cfRule>
  </conditionalFormatting>
  <conditionalFormatting sqref="M1049:M1050">
    <cfRule type="expression" priority="52649" dxfId="3">
      <formula>$H1049="ETAPA"</formula>
    </cfRule>
  </conditionalFormatting>
  <conditionalFormatting sqref="M1052">
    <cfRule type="expression" priority="52651" dxfId="5">
      <formula>$H1052="CÉLULA CONSTRUTIVA"</formula>
    </cfRule>
    <cfRule type="expression" priority="52652" dxfId="3">
      <formula>$H1052="ETAPA"</formula>
    </cfRule>
  </conditionalFormatting>
  <conditionalFormatting sqref="M1054">
    <cfRule type="expression" priority="51230" dxfId="5">
      <formula>$H1054="CÉLULA CONSTRUTIVA"</formula>
    </cfRule>
    <cfRule type="expression" priority="51231" dxfId="3">
      <formula>$H1054="ETAPA"</formula>
    </cfRule>
  </conditionalFormatting>
  <conditionalFormatting sqref="M1055">
    <cfRule type="expression" priority="51244" dxfId="3">
      <formula>$H1055="ETAPA"</formula>
    </cfRule>
  </conditionalFormatting>
  <conditionalFormatting sqref="M1060 M1062">
    <cfRule type="expression" priority="52656" dxfId="5">
      <formula>$H1060="CÉLULA CONSTRUTIVA"</formula>
    </cfRule>
    <cfRule type="expression" priority="52657" dxfId="3">
      <formula>$H1060="ETAPA"</formula>
    </cfRule>
  </conditionalFormatting>
  <conditionalFormatting sqref="M1064:M1065">
    <cfRule type="expression" priority="52804" dxfId="3">
      <formula>$H1064="ETAPA"</formula>
    </cfRule>
  </conditionalFormatting>
  <conditionalFormatting sqref="M1067">
    <cfRule type="expression" priority="52806" dxfId="5">
      <formula>$H1067="CÉLULA CONSTRUTIVA"</formula>
    </cfRule>
    <cfRule type="expression" priority="52807" dxfId="3">
      <formula>$H1067="ETAPA"</formula>
    </cfRule>
  </conditionalFormatting>
  <conditionalFormatting sqref="M1069">
    <cfRule type="expression" priority="51192" dxfId="5">
      <formula>$H1069="CÉLULA CONSTRUTIVA"</formula>
    </cfRule>
    <cfRule type="expression" priority="51193" dxfId="3">
      <formula>$H1069="ETAPA"</formula>
    </cfRule>
  </conditionalFormatting>
  <conditionalFormatting sqref="M1070">
    <cfRule type="expression" priority="51206" dxfId="3">
      <formula>$H1070="ETAPA"</formula>
    </cfRule>
  </conditionalFormatting>
  <conditionalFormatting sqref="M1075 M1077">
    <cfRule type="expression" priority="52811" dxfId="5">
      <formula>$H1075="CÉLULA CONSTRUTIVA"</formula>
    </cfRule>
    <cfRule type="expression" priority="52812" dxfId="3">
      <formula>$H1075="ETAPA"</formula>
    </cfRule>
  </conditionalFormatting>
  <conditionalFormatting sqref="M1079:M1080">
    <cfRule type="expression" priority="52962" dxfId="3">
      <formula>$H1079="ETAPA"</formula>
    </cfRule>
  </conditionalFormatting>
  <conditionalFormatting sqref="M1082">
    <cfRule type="expression" priority="52964" dxfId="5">
      <formula>$H1082="CÉLULA CONSTRUTIVA"</formula>
    </cfRule>
    <cfRule type="expression" priority="52965" dxfId="3">
      <formula>$H1082="ETAPA"</formula>
    </cfRule>
  </conditionalFormatting>
  <conditionalFormatting sqref="M1084">
    <cfRule type="expression" priority="51154" dxfId="5">
      <formula>$H1084="CÉLULA CONSTRUTIVA"</formula>
    </cfRule>
    <cfRule type="expression" priority="51155" dxfId="3">
      <formula>$H1084="ETAPA"</formula>
    </cfRule>
  </conditionalFormatting>
  <conditionalFormatting sqref="M1085">
    <cfRule type="expression" priority="51168" dxfId="3">
      <formula>$H1085="ETAPA"</formula>
    </cfRule>
  </conditionalFormatting>
  <conditionalFormatting sqref="M1090 M1092">
    <cfRule type="expression" priority="52969" dxfId="5">
      <formula>$H1090="CÉLULA CONSTRUTIVA"</formula>
    </cfRule>
    <cfRule type="expression" priority="52970" dxfId="3">
      <formula>$H1090="ETAPA"</formula>
    </cfRule>
  </conditionalFormatting>
  <conditionalFormatting sqref="M1094:M1095">
    <cfRule type="expression" priority="53117" dxfId="3">
      <formula>$H1094="ETAPA"</formula>
    </cfRule>
  </conditionalFormatting>
  <conditionalFormatting sqref="M1097">
    <cfRule type="expression" priority="53119" dxfId="5">
      <formula>$H1097="CÉLULA CONSTRUTIVA"</formula>
    </cfRule>
    <cfRule type="expression" priority="53120" dxfId="3">
      <formula>$H1097="ETAPA"</formula>
    </cfRule>
  </conditionalFormatting>
  <conditionalFormatting sqref="M1099">
    <cfRule type="expression" priority="51116" dxfId="5">
      <formula>$H1099="CÉLULA CONSTRUTIVA"</formula>
    </cfRule>
    <cfRule type="expression" priority="51117" dxfId="3">
      <formula>$H1099="ETAPA"</formula>
    </cfRule>
  </conditionalFormatting>
  <conditionalFormatting sqref="M1100">
    <cfRule type="expression" priority="51130" dxfId="3">
      <formula>$H1100="ETAPA"</formula>
    </cfRule>
  </conditionalFormatting>
  <conditionalFormatting sqref="M1105 M1107">
    <cfRule type="expression" priority="53124" dxfId="5">
      <formula>$H1105="CÉLULA CONSTRUTIVA"</formula>
    </cfRule>
    <cfRule type="expression" priority="53125" dxfId="3">
      <formula>$H1105="ETAPA"</formula>
    </cfRule>
  </conditionalFormatting>
  <conditionalFormatting sqref="M1109:M1110">
    <cfRule type="expression" priority="53275" dxfId="3">
      <formula>$H1109="ETAPA"</formula>
    </cfRule>
  </conditionalFormatting>
  <conditionalFormatting sqref="M1112">
    <cfRule type="expression" priority="53277" dxfId="5">
      <formula>$H1112="CÉLULA CONSTRUTIVA"</formula>
    </cfRule>
    <cfRule type="expression" priority="53278" dxfId="3">
      <formula>$H1112="ETAPA"</formula>
    </cfRule>
  </conditionalFormatting>
  <conditionalFormatting sqref="M1114">
    <cfRule type="expression" priority="51078" dxfId="5">
      <formula>$H1114="CÉLULA CONSTRUTIVA"</formula>
    </cfRule>
    <cfRule type="expression" priority="51079" dxfId="3">
      <formula>$H1114="ETAPA"</formula>
    </cfRule>
  </conditionalFormatting>
  <conditionalFormatting sqref="M1115">
    <cfRule type="expression" priority="51092" dxfId="3">
      <formula>$H1115="ETAPA"</formula>
    </cfRule>
  </conditionalFormatting>
  <conditionalFormatting sqref="M1120 M1122">
    <cfRule type="expression" priority="53282" dxfId="5">
      <formula>$H1120="CÉLULA CONSTRUTIVA"</formula>
    </cfRule>
    <cfRule type="expression" priority="53283" dxfId="3">
      <formula>$H1120="ETAPA"</formula>
    </cfRule>
  </conditionalFormatting>
  <conditionalFormatting sqref="M1124:M1125">
    <cfRule type="expression" priority="53430" dxfId="3">
      <formula>$H1124="ETAPA"</formula>
    </cfRule>
  </conditionalFormatting>
  <conditionalFormatting sqref="M1127">
    <cfRule type="expression" priority="53432" dxfId="5">
      <formula>$H1127="CÉLULA CONSTRUTIVA"</formula>
    </cfRule>
    <cfRule type="expression" priority="53433" dxfId="3">
      <formula>$H1127="ETAPA"</formula>
    </cfRule>
  </conditionalFormatting>
  <conditionalFormatting sqref="M1129">
    <cfRule type="expression" priority="51040" dxfId="5">
      <formula>$H1129="CÉLULA CONSTRUTIVA"</formula>
    </cfRule>
    <cfRule type="expression" priority="51041" dxfId="3">
      <formula>$H1129="ETAPA"</formula>
    </cfRule>
  </conditionalFormatting>
  <conditionalFormatting sqref="M1130">
    <cfRule type="expression" priority="51054" dxfId="3">
      <formula>$H1130="ETAPA"</formula>
    </cfRule>
  </conditionalFormatting>
  <conditionalFormatting sqref="M1135 M1137">
    <cfRule type="expression" priority="53437" dxfId="5">
      <formula>$H1135="CÉLULA CONSTRUTIVA"</formula>
    </cfRule>
    <cfRule type="expression" priority="53438" dxfId="3">
      <formula>$H1135="ETAPA"</formula>
    </cfRule>
  </conditionalFormatting>
  <conditionalFormatting sqref="M1139:M1140">
    <cfRule type="expression" priority="53588" dxfId="3">
      <formula>$H1139="ETAPA"</formula>
    </cfRule>
  </conditionalFormatting>
  <conditionalFormatting sqref="M1142">
    <cfRule type="expression" priority="53590" dxfId="5">
      <formula>$H1142="CÉLULA CONSTRUTIVA"</formula>
    </cfRule>
    <cfRule type="expression" priority="53591" dxfId="3">
      <formula>$H1142="ETAPA"</formula>
    </cfRule>
  </conditionalFormatting>
  <conditionalFormatting sqref="M1144">
    <cfRule type="expression" priority="51002" dxfId="5">
      <formula>$H1144="CÉLULA CONSTRUTIVA"</formula>
    </cfRule>
    <cfRule type="expression" priority="51003" dxfId="3">
      <formula>$H1144="ETAPA"</formula>
    </cfRule>
  </conditionalFormatting>
  <conditionalFormatting sqref="M1145">
    <cfRule type="expression" priority="51016" dxfId="3">
      <formula>$H1145="ETAPA"</formula>
    </cfRule>
  </conditionalFormatting>
  <conditionalFormatting sqref="M1150 M1152">
    <cfRule type="expression" priority="53595" dxfId="5">
      <formula>$H1150="CÉLULA CONSTRUTIVA"</formula>
    </cfRule>
    <cfRule type="expression" priority="53596" dxfId="3">
      <formula>$H1150="ETAPA"</formula>
    </cfRule>
  </conditionalFormatting>
  <conditionalFormatting sqref="M1239:M1243 O3073:O3074 O3095:O3096 O3117:O3118 O3129 O3140:O3141">
    <cfRule type="expression" priority="80361" dxfId="3">
      <formula>$H1239="ETAPA"</formula>
    </cfRule>
  </conditionalFormatting>
  <conditionalFormatting sqref="M1242:M1243">
    <cfRule type="expression" priority="86967" dxfId="4">
      <formula>$H1242="SUBETAPA"</formula>
    </cfRule>
    <cfRule type="expression" priority="86968" dxfId="5">
      <formula>$H1242="CÉLULA CONSTRUTIVA"</formula>
    </cfRule>
  </conditionalFormatting>
  <conditionalFormatting sqref="M1252">
    <cfRule type="expression" priority="86969" dxfId="4">
      <formula>$H1252="SUBETAPA"</formula>
    </cfRule>
    <cfRule type="expression" priority="86970" dxfId="5">
      <formula>$H1252="CÉLULA CONSTRUTIVA"</formula>
    </cfRule>
    <cfRule type="expression" priority="86971" dxfId="3">
      <formula>$H1252="ETAPA"</formula>
    </cfRule>
  </conditionalFormatting>
  <conditionalFormatting sqref="M1253:M1254 M1256:M1257">
    <cfRule type="expression" priority="2701" dxfId="4">
      <formula>$H1253="SUBETAPA"</formula>
    </cfRule>
  </conditionalFormatting>
  <conditionalFormatting sqref="M1259">
    <cfRule type="expression" priority="2698" dxfId="4">
      <formula>$H1259="SUBETAPA"</formula>
    </cfRule>
    <cfRule type="expression" priority="2699" dxfId="5">
      <formula>$H1259="CÉLULA CONSTRUTIVA"</formula>
    </cfRule>
    <cfRule type="expression" priority="2700" dxfId="3">
      <formula>$H1259="ETAPA"</formula>
    </cfRule>
  </conditionalFormatting>
  <conditionalFormatting sqref="M1262:M1266">
    <cfRule type="expression" priority="2695" dxfId="4">
      <formula>$H1262="SUBETAPA"</formula>
    </cfRule>
    <cfRule type="expression" priority="2696" dxfId="5">
      <formula>$H1262="CÉLULA CONSTRUTIVA"</formula>
    </cfRule>
    <cfRule type="expression" priority="2697" dxfId="3">
      <formula>$H1262="ETAPA"</formula>
    </cfRule>
  </conditionalFormatting>
  <conditionalFormatting sqref="M1267:M1268 M1270:M1271">
    <cfRule type="expression" priority="2770" dxfId="4">
      <formula>$H1267="SUBETAPA"</formula>
    </cfRule>
  </conditionalFormatting>
  <conditionalFormatting sqref="M1273">
    <cfRule type="expression" priority="2767" dxfId="4">
      <formula>$H1273="SUBETAPA"</formula>
    </cfRule>
    <cfRule type="expression" priority="2768" dxfId="5">
      <formula>$H1273="CÉLULA CONSTRUTIVA"</formula>
    </cfRule>
    <cfRule type="expression" priority="2769" dxfId="3">
      <formula>$H1273="ETAPA"</formula>
    </cfRule>
  </conditionalFormatting>
  <conditionalFormatting sqref="M1276:M1280">
    <cfRule type="expression" priority="2764" dxfId="4">
      <formula>$H1276="SUBETAPA"</formula>
    </cfRule>
    <cfRule type="expression" priority="2765" dxfId="5">
      <formula>$H1276="CÉLULA CONSTRUTIVA"</formula>
    </cfRule>
    <cfRule type="expression" priority="2766" dxfId="3">
      <formula>$H1276="ETAPA"</formula>
    </cfRule>
  </conditionalFormatting>
  <conditionalFormatting sqref="M1281:M1282 M1284:M1285">
    <cfRule type="expression" priority="2839" dxfId="4">
      <formula>$H1281="SUBETAPA"</formula>
    </cfRule>
  </conditionalFormatting>
  <conditionalFormatting sqref="M1287">
    <cfRule type="expression" priority="2836" dxfId="4">
      <formula>$H1287="SUBETAPA"</formula>
    </cfRule>
    <cfRule type="expression" priority="2837" dxfId="5">
      <formula>$H1287="CÉLULA CONSTRUTIVA"</formula>
    </cfRule>
    <cfRule type="expression" priority="2838" dxfId="3">
      <formula>$H1287="ETAPA"</formula>
    </cfRule>
  </conditionalFormatting>
  <conditionalFormatting sqref="M1290:M1294">
    <cfRule type="expression" priority="2833" dxfId="4">
      <formula>$H1290="SUBETAPA"</formula>
    </cfRule>
    <cfRule type="expression" priority="2834" dxfId="5">
      <formula>$H1290="CÉLULA CONSTRUTIVA"</formula>
    </cfRule>
    <cfRule type="expression" priority="2835" dxfId="3">
      <formula>$H1290="ETAPA"</formula>
    </cfRule>
  </conditionalFormatting>
  <conditionalFormatting sqref="M1295:M1296 M1298:M1299">
    <cfRule type="expression" priority="2908" dxfId="4">
      <formula>$H1295="SUBETAPA"</formula>
    </cfRule>
  </conditionalFormatting>
  <conditionalFormatting sqref="M1301">
    <cfRule type="expression" priority="2905" dxfId="4">
      <formula>$H1301="SUBETAPA"</formula>
    </cfRule>
    <cfRule type="expression" priority="2906" dxfId="5">
      <formula>$H1301="CÉLULA CONSTRUTIVA"</formula>
    </cfRule>
    <cfRule type="expression" priority="2907" dxfId="3">
      <formula>$H1301="ETAPA"</formula>
    </cfRule>
  </conditionalFormatting>
  <conditionalFormatting sqref="M1304:M1308">
    <cfRule type="expression" priority="2902" dxfId="4">
      <formula>$H1304="SUBETAPA"</formula>
    </cfRule>
    <cfRule type="expression" priority="2903" dxfId="5">
      <formula>$H1304="CÉLULA CONSTRUTIVA"</formula>
    </cfRule>
    <cfRule type="expression" priority="2904" dxfId="3">
      <formula>$H1304="ETAPA"</formula>
    </cfRule>
  </conditionalFormatting>
  <conditionalFormatting sqref="M1309:M1310 M1313">
    <cfRule type="expression" priority="2977" dxfId="4">
      <formula>$H1309="SUBETAPA"</formula>
    </cfRule>
  </conditionalFormatting>
  <conditionalFormatting sqref="M1312">
    <cfRule type="expression" priority="2656" dxfId="3">
      <formula>$H1312="ETAPA"</formula>
    </cfRule>
    <cfRule type="expression" priority="2657" dxfId="4">
      <formula>$H1312="SUBETAPA"</formula>
    </cfRule>
  </conditionalFormatting>
  <conditionalFormatting sqref="M1315">
    <cfRule type="expression" priority="2974" dxfId="4">
      <formula>$H1315="SUBETAPA"</formula>
    </cfRule>
    <cfRule type="expression" priority="2975" dxfId="5">
      <formula>$H1315="CÉLULA CONSTRUTIVA"</formula>
    </cfRule>
    <cfRule type="expression" priority="2976" dxfId="3">
      <formula>$H1315="ETAPA"</formula>
    </cfRule>
  </conditionalFormatting>
  <conditionalFormatting sqref="M1316">
    <cfRule type="expression" priority="2655" dxfId="4">
      <formula>$H1316="SUBETAPA"</formula>
    </cfRule>
  </conditionalFormatting>
  <conditionalFormatting sqref="M1318:M1321">
    <cfRule type="expression" priority="2971" dxfId="4">
      <formula>$H1318="SUBETAPA"</formula>
    </cfRule>
    <cfRule type="expression" priority="2972" dxfId="5">
      <formula>$H1318="CÉLULA CONSTRUTIVA"</formula>
    </cfRule>
    <cfRule type="expression" priority="2973" dxfId="3">
      <formula>$H1318="ETAPA"</formula>
    </cfRule>
  </conditionalFormatting>
  <conditionalFormatting sqref="M1322">
    <cfRule type="expression" priority="2652" dxfId="3">
      <formula>$H1322="ETAPA"</formula>
    </cfRule>
    <cfRule type="expression" priority="2653" dxfId="4">
      <formula>$H1322="SUBETAPA"</formula>
    </cfRule>
    <cfRule type="expression" priority="2654" dxfId="5">
      <formula>$H1322="CÉLULA CONSTRUTIVA"</formula>
    </cfRule>
  </conditionalFormatting>
  <conditionalFormatting sqref="M1323:M1324 M1327">
    <cfRule type="expression" priority="3046" dxfId="4">
      <formula>$H1323="SUBETAPA"</formula>
    </cfRule>
  </conditionalFormatting>
  <conditionalFormatting sqref="M1325">
    <cfRule type="expression" priority="2649" dxfId="3">
      <formula>$H1325="ETAPA"</formula>
    </cfRule>
    <cfRule type="expression" priority="2650" dxfId="4">
      <formula>$H1325="SUBETAPA"</formula>
    </cfRule>
    <cfRule type="expression" priority="2651" dxfId="5">
      <formula>$H1325="CÉLULA CONSTRUTIVA"</formula>
    </cfRule>
  </conditionalFormatting>
  <conditionalFormatting sqref="M1326">
    <cfRule type="expression" priority="2646" dxfId="3">
      <formula>$H1326="ETAPA"</formula>
    </cfRule>
    <cfRule type="expression" priority="2647" dxfId="4">
      <formula>$H1326="SUBETAPA"</formula>
    </cfRule>
    <cfRule type="expression" priority="2648" dxfId="5">
      <formula>$H1326="CÉLULA CONSTRUTIVA"</formula>
    </cfRule>
  </conditionalFormatting>
  <conditionalFormatting sqref="M1328">
    <cfRule type="expression" priority="2643" dxfId="3">
      <formula>$H1328="ETAPA"</formula>
    </cfRule>
    <cfRule type="expression" priority="2644" dxfId="4">
      <formula>$H1328="SUBETAPA"</formula>
    </cfRule>
    <cfRule type="expression" priority="2645" dxfId="5">
      <formula>$H1328="CÉLULA CONSTRUTIVA"</formula>
    </cfRule>
  </conditionalFormatting>
  <conditionalFormatting sqref="M1329">
    <cfRule type="expression" priority="3043" dxfId="4">
      <formula>$H1329="SUBETAPA"</formula>
    </cfRule>
    <cfRule type="expression" priority="3044" dxfId="5">
      <formula>$H1329="CÉLULA CONSTRUTIVA"</formula>
    </cfRule>
    <cfRule type="expression" priority="3045" dxfId="3">
      <formula>$H1329="ETAPA"</formula>
    </cfRule>
  </conditionalFormatting>
  <conditionalFormatting sqref="M1330">
    <cfRule type="expression" priority="2640" dxfId="3">
      <formula>$H1330="ETAPA"</formula>
    </cfRule>
    <cfRule type="expression" priority="2641" dxfId="4">
      <formula>$H1330="SUBETAPA"</formula>
    </cfRule>
    <cfRule type="expression" priority="2642" dxfId="5">
      <formula>$H1330="CÉLULA CONSTRUTIVA"</formula>
    </cfRule>
  </conditionalFormatting>
  <conditionalFormatting sqref="M1331">
    <cfRule type="expression" priority="2637" dxfId="3">
      <formula>$H1331="ETAPA"</formula>
    </cfRule>
    <cfRule type="expression" priority="2638" dxfId="4">
      <formula>$H1331="SUBETAPA"</formula>
    </cfRule>
    <cfRule type="expression" priority="2639" dxfId="5">
      <formula>$H1331="CÉLULA CONSTRUTIVA"</formula>
    </cfRule>
  </conditionalFormatting>
  <conditionalFormatting sqref="M1332:M1335">
    <cfRule type="expression" priority="3040" dxfId="4">
      <formula>$H1332="SUBETAPA"</formula>
    </cfRule>
    <cfRule type="expression" priority="3041" dxfId="5">
      <formula>$H1332="CÉLULA CONSTRUTIVA"</formula>
    </cfRule>
    <cfRule type="expression" priority="3042" dxfId="3">
      <formula>$H1332="ETAPA"</formula>
    </cfRule>
  </conditionalFormatting>
  <conditionalFormatting sqref="M1336">
    <cfRule type="expression" priority="2634" dxfId="3">
      <formula>$H1336="ETAPA"</formula>
    </cfRule>
    <cfRule type="expression" priority="2635" dxfId="4">
      <formula>$H1336="SUBETAPA"</formula>
    </cfRule>
    <cfRule type="expression" priority="2636" dxfId="5">
      <formula>$H1336="CÉLULA CONSTRUTIVA"</formula>
    </cfRule>
  </conditionalFormatting>
  <conditionalFormatting sqref="M1337:M1338 M1340:M1341">
    <cfRule type="expression" priority="3115" dxfId="4">
      <formula>$H1337="SUBETAPA"</formula>
    </cfRule>
  </conditionalFormatting>
  <conditionalFormatting sqref="M1343">
    <cfRule type="expression" priority="3112" dxfId="4">
      <formula>$H1343="SUBETAPA"</formula>
    </cfRule>
    <cfRule type="expression" priority="3113" dxfId="5">
      <formula>$H1343="CÉLULA CONSTRUTIVA"</formula>
    </cfRule>
    <cfRule type="expression" priority="3114" dxfId="3">
      <formula>$H1343="ETAPA"</formula>
    </cfRule>
  </conditionalFormatting>
  <conditionalFormatting sqref="M1346:M1350">
    <cfRule type="expression" priority="3109" dxfId="4">
      <formula>$H1346="SUBETAPA"</formula>
    </cfRule>
    <cfRule type="expression" priority="3110" dxfId="5">
      <formula>$H1346="CÉLULA CONSTRUTIVA"</formula>
    </cfRule>
    <cfRule type="expression" priority="3111" dxfId="3">
      <formula>$H1346="ETAPA"</formula>
    </cfRule>
  </conditionalFormatting>
  <conditionalFormatting sqref="M1351:M1352 M1354:M1355">
    <cfRule type="expression" priority="86720" dxfId="4">
      <formula>$H1351="SUBETAPA"</formula>
    </cfRule>
  </conditionalFormatting>
  <conditionalFormatting sqref="M1357">
    <cfRule type="expression" priority="59899" dxfId="4">
      <formula>$H1357="SUBETAPA"</formula>
    </cfRule>
    <cfRule type="expression" priority="59900" dxfId="5">
      <formula>$H1357="CÉLULA CONSTRUTIVA"</formula>
    </cfRule>
    <cfRule type="expression" priority="59901" dxfId="3">
      <formula>$H1357="ETAPA"</formula>
    </cfRule>
  </conditionalFormatting>
  <conditionalFormatting sqref="M1360:M1368 M1386:M1388 M1393:M1395 M1400:M1402 M1405:M1407 M1410:M1412 M1415:M1417">
    <cfRule type="expression" priority="86704" dxfId="3">
      <formula>$H1360="ETAPA"</formula>
    </cfRule>
    <cfRule type="expression" priority="86702" dxfId="4">
      <formula>$H1360="SUBETAPA"</formula>
    </cfRule>
    <cfRule type="expression" priority="86703" dxfId="5">
      <formula>$H1360="CÉLULA CONSTRUTIVA"</formula>
    </cfRule>
  </conditionalFormatting>
  <conditionalFormatting sqref="M1370">
    <cfRule type="expression" priority="53767" dxfId="4">
      <formula>$H1370="SUBETAPA"</formula>
    </cfRule>
    <cfRule type="expression" priority="53768" dxfId="5">
      <formula>$H1370="CÉLULA CONSTRUTIVA"</formula>
    </cfRule>
    <cfRule type="expression" priority="53769" dxfId="3">
      <formula>$H1370="ETAPA"</formula>
    </cfRule>
  </conditionalFormatting>
  <conditionalFormatting sqref="M1373">
    <cfRule type="expression" priority="53891" dxfId="4">
      <formula>$H1373="SUBETAPA"</formula>
    </cfRule>
    <cfRule type="expression" priority="53892" dxfId="5">
      <formula>$H1373="CÉLULA CONSTRUTIVA"</formula>
    </cfRule>
    <cfRule type="expression" priority="53893" dxfId="3">
      <formula>$H1373="ETAPA"</formula>
    </cfRule>
  </conditionalFormatting>
  <conditionalFormatting sqref="M1376">
    <cfRule type="expression" priority="54015" dxfId="4">
      <formula>$H1376="SUBETAPA"</formula>
    </cfRule>
    <cfRule type="expression" priority="54016" dxfId="5">
      <formula>$H1376="CÉLULA CONSTRUTIVA"</formula>
    </cfRule>
    <cfRule type="expression" priority="54017" dxfId="3">
      <formula>$H1376="ETAPA"</formula>
    </cfRule>
  </conditionalFormatting>
  <conditionalFormatting sqref="M1379">
    <cfRule type="expression" priority="54139" dxfId="4">
      <formula>$H1379="SUBETAPA"</formula>
    </cfRule>
    <cfRule type="expression" priority="54140" dxfId="5">
      <formula>$H1379="CÉLULA CONSTRUTIVA"</formula>
    </cfRule>
    <cfRule type="expression" priority="54141" dxfId="3">
      <formula>$H1379="ETAPA"</formula>
    </cfRule>
  </conditionalFormatting>
  <conditionalFormatting sqref="M1382">
    <cfRule type="expression" priority="54263" dxfId="4">
      <formula>$H1382="SUBETAPA"</formula>
    </cfRule>
    <cfRule type="expression" priority="54264" dxfId="5">
      <formula>$H1382="CÉLULA CONSTRUTIVA"</formula>
    </cfRule>
    <cfRule type="expression" priority="54265" dxfId="3">
      <formula>$H1382="ETAPA"</formula>
    </cfRule>
  </conditionalFormatting>
  <conditionalFormatting sqref="M1385">
    <cfRule type="expression" priority="54387" dxfId="4">
      <formula>$H1385="SUBETAPA"</formula>
    </cfRule>
    <cfRule type="expression" priority="54388" dxfId="5">
      <formula>$H1385="CÉLULA CONSTRUTIVA"</formula>
    </cfRule>
    <cfRule type="expression" priority="54389" dxfId="3">
      <formula>$H1385="ETAPA"</formula>
    </cfRule>
  </conditionalFormatting>
  <conditionalFormatting sqref="M1390">
    <cfRule type="expression" priority="54511" dxfId="4">
      <formula>$H1390="SUBETAPA"</formula>
    </cfRule>
    <cfRule type="expression" priority="54512" dxfId="5">
      <formula>$H1390="CÉLULA CONSTRUTIVA"</formula>
    </cfRule>
    <cfRule type="expression" priority="54513" dxfId="3">
      <formula>$H1390="ETAPA"</formula>
    </cfRule>
  </conditionalFormatting>
  <conditionalFormatting sqref="M1391">
    <cfRule type="expression" priority="54503" dxfId="5">
      <formula>$H1391="CÉLULA CONSTRUTIVA"</formula>
    </cfRule>
    <cfRule type="expression" priority="54504" dxfId="3">
      <formula>$H1391="ETAPA"</formula>
    </cfRule>
  </conditionalFormatting>
  <conditionalFormatting sqref="M1392">
    <cfRule type="expression" priority="54514" dxfId="3">
      <formula>$H1392="ETAPA"</formula>
    </cfRule>
  </conditionalFormatting>
  <conditionalFormatting sqref="M1397">
    <cfRule type="expression" priority="54635" dxfId="4">
      <formula>$H1397="SUBETAPA"</formula>
    </cfRule>
    <cfRule type="expression" priority="54636" dxfId="5">
      <formula>$H1397="CÉLULA CONSTRUTIVA"</formula>
    </cfRule>
    <cfRule type="expression" priority="54637" dxfId="3">
      <formula>$H1397="ETAPA"</formula>
    </cfRule>
  </conditionalFormatting>
  <conditionalFormatting sqref="M1398">
    <cfRule type="expression" priority="54627" dxfId="5">
      <formula>$H1398="CÉLULA CONSTRUTIVA"</formula>
    </cfRule>
    <cfRule type="expression" priority="54628" dxfId="3">
      <formula>$H1398="ETAPA"</formula>
    </cfRule>
  </conditionalFormatting>
  <conditionalFormatting sqref="M1399">
    <cfRule type="expression" priority="54638" dxfId="3">
      <formula>$H1399="ETAPA"</formula>
    </cfRule>
  </conditionalFormatting>
  <conditionalFormatting sqref="M1404">
    <cfRule type="expression" priority="54759" dxfId="4">
      <formula>$H1404="SUBETAPA"</formula>
    </cfRule>
    <cfRule type="expression" priority="54760" dxfId="5">
      <formula>$H1404="CÉLULA CONSTRUTIVA"</formula>
    </cfRule>
    <cfRule type="expression" priority="54761" dxfId="3">
      <formula>$H1404="ETAPA"</formula>
    </cfRule>
  </conditionalFormatting>
  <conditionalFormatting sqref="M1409">
    <cfRule type="expression" priority="54883" dxfId="4">
      <formula>$H1409="SUBETAPA"</formula>
    </cfRule>
    <cfRule type="expression" priority="54884" dxfId="5">
      <formula>$H1409="CÉLULA CONSTRUTIVA"</formula>
    </cfRule>
    <cfRule type="expression" priority="54885" dxfId="3">
      <formula>$H1409="ETAPA"</formula>
    </cfRule>
  </conditionalFormatting>
  <conditionalFormatting sqref="M1414">
    <cfRule type="expression" priority="55007" dxfId="4">
      <formula>$H1414="SUBETAPA"</formula>
    </cfRule>
    <cfRule type="expression" priority="55008" dxfId="5">
      <formula>$H1414="CÉLULA CONSTRUTIVA"</formula>
    </cfRule>
    <cfRule type="expression" priority="55009" dxfId="3">
      <formula>$H1414="ETAPA"</formula>
    </cfRule>
  </conditionalFormatting>
  <conditionalFormatting sqref="M1419">
    <cfRule type="expression" priority="55131" dxfId="4">
      <formula>$H1419="SUBETAPA"</formula>
    </cfRule>
    <cfRule type="expression" priority="55132" dxfId="5">
      <formula>$H1419="CÉLULA CONSTRUTIVA"</formula>
    </cfRule>
    <cfRule type="expression" priority="55133" dxfId="3">
      <formula>$H1419="ETAPA"</formula>
    </cfRule>
  </conditionalFormatting>
  <conditionalFormatting sqref="M1422">
    <cfRule type="expression" priority="55255" dxfId="4">
      <formula>$H1422="SUBETAPA"</formula>
    </cfRule>
    <cfRule type="expression" priority="55256" dxfId="5">
      <formula>$H1422="CÉLULA CONSTRUTIVA"</formula>
    </cfRule>
    <cfRule type="expression" priority="55257" dxfId="3">
      <formula>$H1422="ETAPA"</formula>
    </cfRule>
  </conditionalFormatting>
  <conditionalFormatting sqref="M1676:M1693 M1696:M1709 M1712:M1724 M1727:M1736 M1739:M1748 M1751:M1760 M1763:M1774 M1787:M1799 M1802:M1810 M1813:M1823 M1826:M1836 M1839:M1852 M1855:M1868 M1871:M1881 M1884:M1891 M1893:M1896">
    <cfRule type="expression" priority="80494" dxfId="3">
      <formula>$H1676="ETAPA"</formula>
    </cfRule>
  </conditionalFormatting>
  <conditionalFormatting sqref="M1676:M1693 M1696:M1709 M1712:M1724 M1727:M1736 M1739:M1748 M1751:M1760 M1763:M1774 M1813:M1823 M1826:M1836 M1893:M1896">
    <cfRule type="expression" priority="80492" dxfId="3">
      <formula>$H1676="ETAPA"</formula>
    </cfRule>
  </conditionalFormatting>
  <conditionalFormatting sqref="L2755:M2755 M1676:M1693 M1696:M1709 M1712:M1724 M1727:M1736 M1739:M1748 M1751:M1760 M1763:M1784 M1787:M1799 M1802:M1810 M1813:M1823 M1826:M1836 M1839:M1852 M1855:M1868 M1871:M1881 M1884:M1891 M1893:M1896 M2754">
    <cfRule type="expression" priority="80497" dxfId="3">
      <formula>$H1676="ETAPA"</formula>
    </cfRule>
  </conditionalFormatting>
  <conditionalFormatting sqref="M1676:M1693 M1696:M1709 M1712:M1724 M1727:M1736 M1739:M1748 M1751:M1760 M1763:M1774 M1787:M1799 M1802:M1810 M1813:M1823 M1826:M1836 M1839:M1852 M1855:M1868 M1871:M1881 M1884:M1891 M1893:M1896 M2337:M2339">
    <cfRule type="expression" priority="80493" dxfId="5">
      <formula>$H1676="CÉLULA CONSTRUTIVA"</formula>
    </cfRule>
    <cfRule type="expression" priority="80495" dxfId="4">
      <formula>$H1676="SUBETAPA"</formula>
    </cfRule>
    <cfRule type="expression" priority="80496" dxfId="5">
      <formula>$H1676="CÉLULA CONSTRUTIVA"</formula>
    </cfRule>
  </conditionalFormatting>
  <conditionalFormatting sqref="M1775:M1784 M2352 M2401 M2424 M2447 M2471 M2498 M2523 M2542 M2558 M2574 M2590 M2606">
    <cfRule type="expression" priority="82438" dxfId="3">
      <formula>$H1775="ETAPA"</formula>
    </cfRule>
    <cfRule type="expression" priority="82437" dxfId="5">
      <formula>$H1775="CÉLULA CONSTRUTIVA"</formula>
    </cfRule>
    <cfRule type="expression" priority="82439" dxfId="4">
      <formula>$H1775="SUBETAPA"</formula>
    </cfRule>
    <cfRule type="expression" priority="82440" dxfId="5">
      <formula>$H1775="CÉLULA CONSTRUTIVA"</formula>
    </cfRule>
  </conditionalFormatting>
  <conditionalFormatting sqref="M1775:M1784 M2352 M2401 M2424 M2447 M2471 M2498 M2523 M2542:M2543 M2558:M2559 M2574:M2575 M2590:M2591 M2606:M2607">
    <cfRule type="expression" priority="82441" dxfId="3">
      <formula>$H1775="ETAPA"</formula>
    </cfRule>
  </conditionalFormatting>
  <conditionalFormatting sqref="M1787:M1810 M2034:M2062 M2065:M2083 M2086:M2100 M2103:M2116 M2119:M2133 M2136:M2151 M2154:M2180 M2183:M2209 M2212:M2229 M2232:M2249 M2252:M2272 M2275:M2296 M2299:M2320 M2323:M2334 M2354:M2356 M2358:M2359 M2378:M2381 M2403:M2406 M2409:M2410 M2426:M2429 M2432:M2433 M2449:M2452 M2455:M2456 M2473:M2476 M2479:M2480 M2508:M2509 M2525:M2528 M2530:M2531 M2545 M2547 M2561 M2563 M2577 M2579 M2593 M2595 M2609 M2611 M2624">
    <cfRule type="expression" priority="78857" dxfId="3">
      <formula>$H1787="ETAPA"</formula>
    </cfRule>
  </conditionalFormatting>
  <conditionalFormatting sqref="M1800:M1801 M2034:M2062 M2065:M2083 M2086:M2100 M2103:M2116 M2119:M2133 M2136:M2151 M2154:M2180 M2183:M2209 M2212:M2229 M2232:M2249 M2252:M2272 M2275:M2296 M2299:M2320 M2323:M2334 M2355:M2356 M2358:M2359 M2379:M2381 M2404:M2406 M2409:M2410 M2427:M2429 M2432:M2433 M2450:M2452 M2455:M2456 M2474:M2476 M2479:M2480 M2508:M2509 M2526:M2528 M2530:M2531 M2545 M2547 M2561 M2563 M2577 M2579 M2593 M2595 M2609 M2611 M2624">
    <cfRule type="expression" priority="78854" dxfId="3">
      <formula>$H1800="ETAPA"</formula>
    </cfRule>
    <cfRule type="expression" priority="78853" dxfId="5">
      <formula>$H1800="CÉLULA CONSTRUTIVA"</formula>
    </cfRule>
    <cfRule type="expression" priority="78855" dxfId="4">
      <formula>$H1800="SUBETAPA"</formula>
    </cfRule>
    <cfRule type="expression" priority="78856" dxfId="5">
      <formula>$H1800="CÉLULA CONSTRUTIVA"</formula>
    </cfRule>
  </conditionalFormatting>
  <conditionalFormatting sqref="M1824:M1825">
    <cfRule type="expression" priority="83491" dxfId="3">
      <formula>$H1824="ETAPA"</formula>
    </cfRule>
  </conditionalFormatting>
  <conditionalFormatting sqref="M1899">
    <cfRule type="expression" priority="76089" dxfId="4">
      <formula>$H1899="SUBETAPA"</formula>
    </cfRule>
  </conditionalFormatting>
  <conditionalFormatting sqref="M1900:M1901 M1914 M1927 M1935 M1940 M1948 M1957 M2014 M2025">
    <cfRule type="expression" priority="76127" dxfId="3">
      <formula>$H1900="ETAPA"</formula>
    </cfRule>
    <cfRule type="expression" priority="76130" dxfId="3">
      <formula>$H1900="ETAPA"</formula>
    </cfRule>
    <cfRule type="expression" priority="76126" dxfId="5">
      <formula>$H1900="CÉLULA CONSTRUTIVA"</formula>
    </cfRule>
    <cfRule type="expression" priority="76128" dxfId="4">
      <formula>$H1900="SUBETAPA"</formula>
    </cfRule>
    <cfRule type="expression" priority="76129" dxfId="5">
      <formula>$H1900="CÉLULA CONSTRUTIVA"</formula>
    </cfRule>
  </conditionalFormatting>
  <conditionalFormatting sqref="M1908:M1909">
    <cfRule type="expression" priority="75966" dxfId="3">
      <formula>$H1908="ETAPA"</formula>
    </cfRule>
    <cfRule type="expression" priority="75967" dxfId="5">
      <formula>$H1908="CÉLULA CONSTRUTIVA"</formula>
    </cfRule>
    <cfRule type="expression" priority="75968" dxfId="3">
      <formula>$H1908="ETAPA"</formula>
    </cfRule>
    <cfRule type="expression" priority="75969" dxfId="4">
      <formula>$H1908="SUBETAPA"</formula>
    </cfRule>
    <cfRule type="expression" priority="75970" dxfId="5">
      <formula>$H1908="CÉLULA CONSTRUTIVA"</formula>
    </cfRule>
    <cfRule type="expression" priority="75971" dxfId="3">
      <formula>$H1908="ETAPA"</formula>
    </cfRule>
  </conditionalFormatting>
  <conditionalFormatting sqref="M1910 O1911">
    <cfRule type="expression" priority="76014" dxfId="4">
      <formula>$H1910="SUBETAPA"</formula>
    </cfRule>
  </conditionalFormatting>
  <conditionalFormatting sqref="M1911 M1924 M1932 M1937 M1945 M1954 M1970 M2022 M2030">
    <cfRule type="expression" priority="76058" dxfId="3">
      <formula>$H1911="ETAPA"</formula>
    </cfRule>
    <cfRule type="expression" priority="76057" dxfId="5">
      <formula>$H1911="CÉLULA CONSTRUTIVA"</formula>
    </cfRule>
    <cfRule type="expression" priority="76059" dxfId="4">
      <formula>$H1911="SUBETAPA"</formula>
    </cfRule>
    <cfRule type="expression" priority="76060" dxfId="5">
      <formula>$H1911="CÉLULA CONSTRUTIVA"</formula>
    </cfRule>
  </conditionalFormatting>
  <conditionalFormatting sqref="M1913">
    <cfRule type="expression" priority="76275" dxfId="4">
      <formula>$H1913="SUBETAPA"</formula>
    </cfRule>
  </conditionalFormatting>
  <conditionalFormatting sqref="M1915:M1919">
    <cfRule type="expression" priority="76189" dxfId="5">
      <formula>$H1915="CÉLULA CONSTRUTIVA"</formula>
    </cfRule>
    <cfRule type="expression" priority="76190" dxfId="3">
      <formula>$H1915="ETAPA"</formula>
    </cfRule>
    <cfRule type="expression" priority="76191" dxfId="4">
      <formula>$H1915="SUBETAPA"</formula>
    </cfRule>
  </conditionalFormatting>
  <conditionalFormatting sqref="M1920 O1920">
    <cfRule type="expression" priority="60926" dxfId="5">
      <formula>$H1920="CÉLULA CONSTRUTIVA"</formula>
    </cfRule>
    <cfRule type="expression" priority="60927" dxfId="3">
      <formula>$H1920="ETAPA"</formula>
    </cfRule>
  </conditionalFormatting>
  <conditionalFormatting sqref="M1920">
    <cfRule type="expression" priority="60923" dxfId="5">
      <formula>$H1920="CÉLULA CONSTRUTIVA"</formula>
    </cfRule>
    <cfRule type="expression" priority="60924" dxfId="3">
      <formula>$H1920="ETAPA"</formula>
    </cfRule>
    <cfRule type="expression" priority="60925" dxfId="4">
      <formula>$H1920="SUBETAPA"</formula>
    </cfRule>
  </conditionalFormatting>
  <conditionalFormatting sqref="M1923">
    <cfRule type="expression" priority="76200" dxfId="4">
      <formula>$H1923="SUBETAPA"</formula>
    </cfRule>
  </conditionalFormatting>
  <conditionalFormatting sqref="M1926">
    <cfRule type="expression" priority="76461" dxfId="4">
      <formula>$H1926="SUBETAPA"</formula>
    </cfRule>
  </conditionalFormatting>
  <conditionalFormatting sqref="M1931">
    <cfRule type="expression" priority="76386" dxfId="4">
      <formula>$H1931="SUBETAPA"</formula>
    </cfRule>
  </conditionalFormatting>
  <conditionalFormatting sqref="M1934">
    <cfRule type="expression" priority="76647" dxfId="4">
      <formula>$H1934="SUBETAPA"</formula>
    </cfRule>
  </conditionalFormatting>
  <conditionalFormatting sqref="M1936">
    <cfRule type="expression" priority="76572" dxfId="4">
      <formula>$H1936="SUBETAPA"</formula>
    </cfRule>
  </conditionalFormatting>
  <conditionalFormatting sqref="M1939">
    <cfRule type="expression" priority="76833" dxfId="4">
      <formula>$H1939="SUBETAPA"</formula>
    </cfRule>
  </conditionalFormatting>
  <conditionalFormatting sqref="M1944">
    <cfRule type="expression" priority="76758" dxfId="4">
      <formula>$H1944="SUBETAPA"</formula>
    </cfRule>
  </conditionalFormatting>
  <conditionalFormatting sqref="M1947">
    <cfRule type="expression" priority="77019" dxfId="4">
      <formula>$H1947="SUBETAPA"</formula>
    </cfRule>
  </conditionalFormatting>
  <conditionalFormatting sqref="M1953">
    <cfRule type="expression" priority="76944" dxfId="4">
      <formula>$H1953="SUBETAPA"</formula>
    </cfRule>
  </conditionalFormatting>
  <conditionalFormatting sqref="M1956">
    <cfRule type="expression" priority="77205" dxfId="4">
      <formula>$H1956="SUBETAPA"</formula>
    </cfRule>
  </conditionalFormatting>
  <conditionalFormatting sqref="M1962 O1962">
    <cfRule type="expression" priority="60796" dxfId="5">
      <formula>$H1962="CÉLULA CONSTRUTIVA"</formula>
    </cfRule>
    <cfRule type="expression" priority="60797" dxfId="3">
      <formula>$H1962="ETAPA"</formula>
    </cfRule>
  </conditionalFormatting>
  <conditionalFormatting sqref="M1962">
    <cfRule type="expression" priority="60793" dxfId="5">
      <formula>$H1962="CÉLULA CONSTRUTIVA"</formula>
    </cfRule>
    <cfRule type="expression" priority="60794" dxfId="3">
      <formula>$H1962="ETAPA"</formula>
    </cfRule>
    <cfRule type="expression" priority="60795" dxfId="4">
      <formula>$H1962="SUBETAPA"</formula>
    </cfRule>
  </conditionalFormatting>
  <conditionalFormatting sqref="M1969">
    <cfRule type="expression" priority="77130" dxfId="4">
      <formula>$H1969="SUBETAPA"</formula>
    </cfRule>
  </conditionalFormatting>
  <conditionalFormatting sqref="M1985:M1989">
    <cfRule type="expression" priority="77491" dxfId="5">
      <formula>$H1985="CÉLULA CONSTRUTIVA"</formula>
    </cfRule>
    <cfRule type="expression" priority="77492" dxfId="3">
      <formula>$H1985="ETAPA"</formula>
    </cfRule>
    <cfRule type="expression" priority="77493" dxfId="4">
      <formula>$H1985="SUBETAPA"</formula>
    </cfRule>
  </conditionalFormatting>
  <conditionalFormatting sqref="M1992:M1996">
    <cfRule type="expression" priority="77677" dxfId="5">
      <formula>$H1992="CÉLULA CONSTRUTIVA"</formula>
    </cfRule>
    <cfRule type="expression" priority="77678" dxfId="3">
      <formula>$H1992="ETAPA"</formula>
    </cfRule>
    <cfRule type="expression" priority="77679" dxfId="4">
      <formula>$H1992="SUBETAPA"</formula>
    </cfRule>
  </conditionalFormatting>
  <conditionalFormatting sqref="M1999:M2003">
    <cfRule type="expression" priority="77863" dxfId="5">
      <formula>$H1999="CÉLULA CONSTRUTIVA"</formula>
    </cfRule>
    <cfRule type="expression" priority="77864" dxfId="3">
      <formula>$H1999="ETAPA"</formula>
    </cfRule>
    <cfRule type="expression" priority="77865" dxfId="4">
      <formula>$H1999="SUBETAPA"</formula>
    </cfRule>
  </conditionalFormatting>
  <conditionalFormatting sqref="M2006:M2010">
    <cfRule type="expression" priority="78049" dxfId="5">
      <formula>$H2006="CÉLULA CONSTRUTIVA"</formula>
    </cfRule>
    <cfRule type="expression" priority="78050" dxfId="3">
      <formula>$H2006="ETAPA"</formula>
    </cfRule>
    <cfRule type="expression" priority="78051" dxfId="4">
      <formula>$H2006="SUBETAPA"</formula>
    </cfRule>
  </conditionalFormatting>
  <conditionalFormatting sqref="M2013">
    <cfRule type="expression" priority="78321" dxfId="4">
      <formula>$H2013="SUBETAPA"</formula>
    </cfRule>
  </conditionalFormatting>
  <conditionalFormatting sqref="M2015:M2019">
    <cfRule type="expression" priority="78235" dxfId="5">
      <formula>$H2015="CÉLULA CONSTRUTIVA"</formula>
    </cfRule>
    <cfRule type="expression" priority="78236" dxfId="3">
      <formula>$H2015="ETAPA"</formula>
    </cfRule>
    <cfRule type="expression" priority="78237" dxfId="4">
      <formula>$H2015="SUBETAPA"</formula>
    </cfRule>
  </conditionalFormatting>
  <conditionalFormatting sqref="M2021">
    <cfRule type="expression" priority="78246" dxfId="4">
      <formula>$H2021="SUBETAPA"</formula>
    </cfRule>
  </conditionalFormatting>
  <conditionalFormatting sqref="M2024">
    <cfRule type="expression" priority="78507" dxfId="4">
      <formula>$H2024="SUBETAPA"</formula>
    </cfRule>
  </conditionalFormatting>
  <conditionalFormatting sqref="M2029">
    <cfRule type="expression" priority="78432" dxfId="4">
      <formula>$H2029="SUBETAPA"</formula>
    </cfRule>
  </conditionalFormatting>
  <conditionalFormatting sqref="M2343:M2344 O2343:O2344">
    <cfRule type="expression" priority="61919" dxfId="5">
      <formula>$H2343="CÉLULA CONSTRUTIVA"</formula>
    </cfRule>
    <cfRule type="expression" priority="61921" dxfId="3">
      <formula>$H2343="ETAPA"</formula>
    </cfRule>
  </conditionalFormatting>
  <conditionalFormatting sqref="M2343:M2344">
    <cfRule type="expression" priority="61923" dxfId="5">
      <formula>$H2343="CÉLULA CONSTRUTIVA"</formula>
    </cfRule>
    <cfRule type="expression" priority="61924" dxfId="3">
      <formula>$H2343="ETAPA"</formula>
    </cfRule>
    <cfRule type="expression" priority="61925" dxfId="4">
      <formula>$H2343="SUBETAPA"</formula>
    </cfRule>
    <cfRule type="expression" priority="61926" dxfId="5">
      <formula>$H2343="CÉLULA CONSTRUTIVA"</formula>
    </cfRule>
    <cfRule type="expression" priority="61927" dxfId="3">
      <formula>$H2343="ETAPA"</formula>
    </cfRule>
  </conditionalFormatting>
  <conditionalFormatting sqref="M2348:M2349">
    <cfRule type="expression" priority="61807" dxfId="3">
      <formula>$H2348="ETAPA"</formula>
    </cfRule>
  </conditionalFormatting>
  <conditionalFormatting sqref="M2349">
    <cfRule type="expression" priority="61804" dxfId="5">
      <formula>$H2349="CÉLULA CONSTRUTIVA"</formula>
    </cfRule>
    <cfRule type="expression" priority="61805" dxfId="3">
      <formula>$H2349="ETAPA"</formula>
    </cfRule>
    <cfRule type="expression" priority="61806" dxfId="5">
      <formula>$H2349="CÉLULA CONSTRUTIVA"</formula>
    </cfRule>
    <cfRule type="expression" priority="61808" dxfId="4">
      <formula>$H2349="SUBETAPA"</formula>
    </cfRule>
  </conditionalFormatting>
  <conditionalFormatting sqref="M2350">
    <cfRule type="expression" priority="61809" dxfId="5">
      <formula>$H2350="CÉLULA CONSTRUTIVA"</formula>
    </cfRule>
    <cfRule type="expression" priority="61810" dxfId="3">
      <formula>$H2350="ETAPA"</formula>
    </cfRule>
    <cfRule type="expression" priority="61811" dxfId="4">
      <formula>$H2350="SUBETAPA"</formula>
    </cfRule>
    <cfRule type="expression" priority="61812" dxfId="5">
      <formula>$H2350="CÉLULA CONSTRUTIVA"</formula>
    </cfRule>
    <cfRule type="expression" priority="61813" dxfId="3">
      <formula>$H2350="ETAPA"</formula>
    </cfRule>
  </conditionalFormatting>
  <conditionalFormatting sqref="M2351">
    <cfRule type="expression" priority="61782" dxfId="5">
      <formula>$H2351="CÉLULA CONSTRUTIVA"</formula>
    </cfRule>
    <cfRule type="expression" priority="61783" dxfId="3">
      <formula>$H2351="ETAPA"</formula>
    </cfRule>
    <cfRule type="expression" priority="61784" dxfId="5">
      <formula>$H2351="CÉLULA CONSTRUTIVA"</formula>
    </cfRule>
    <cfRule type="expression" priority="61785" dxfId="3">
      <formula>$H2351="ETAPA"</formula>
    </cfRule>
    <cfRule type="expression" priority="61786" dxfId="4">
      <formula>$H2351="SUBETAPA"</formula>
    </cfRule>
  </conditionalFormatting>
  <conditionalFormatting sqref="M2353">
    <cfRule type="expression" priority="62010" dxfId="5">
      <formula>$H2353="CÉLULA CONSTRUTIVA"</formula>
    </cfRule>
    <cfRule type="expression" priority="62011" dxfId="3">
      <formula>$H2353="ETAPA"</formula>
    </cfRule>
    <cfRule type="expression" priority="62012" dxfId="4">
      <formula>$H2353="SUBETAPA"</formula>
    </cfRule>
    <cfRule type="expression" priority="62013" dxfId="5">
      <formula>$H2353="CÉLULA CONSTRUTIVA"</formula>
    </cfRule>
    <cfRule type="expression" priority="62014" dxfId="3">
      <formula>$H2353="ETAPA"</formula>
    </cfRule>
  </conditionalFormatting>
  <conditionalFormatting sqref="M2355:M2357">
    <cfRule type="expression" priority="61906" dxfId="3">
      <formula>$H2355="ETAPA"</formula>
    </cfRule>
  </conditionalFormatting>
  <conditionalFormatting sqref="M2357">
    <cfRule type="expression" priority="61901" dxfId="3">
      <formula>$H2357="ETAPA"</formula>
    </cfRule>
    <cfRule type="expression" priority="61902" dxfId="5">
      <formula>$H2357="CÉLULA CONSTRUTIVA"</formula>
    </cfRule>
    <cfRule type="expression" priority="61903" dxfId="3">
      <formula>$H2357="ETAPA"</formula>
    </cfRule>
    <cfRule type="expression" priority="61904" dxfId="4">
      <formula>$H2357="SUBETAPA"</formula>
    </cfRule>
    <cfRule type="expression" priority="61905" dxfId="5">
      <formula>$H2357="CÉLULA CONSTRUTIVA"</formula>
    </cfRule>
  </conditionalFormatting>
  <conditionalFormatting sqref="M2362">
    <cfRule type="expression" priority="62200" dxfId="5">
      <formula>$H2362="CÉLULA CONSTRUTIVA"</formula>
    </cfRule>
    <cfRule type="expression" priority="62201" dxfId="3">
      <formula>$H2362="ETAPA"</formula>
    </cfRule>
    <cfRule type="expression" priority="62202" dxfId="4">
      <formula>$H2362="SUBETAPA"</formula>
    </cfRule>
    <cfRule type="expression" priority="62203" dxfId="5">
      <formula>$H2362="CÉLULA CONSTRUTIVA"</formula>
    </cfRule>
  </conditionalFormatting>
  <conditionalFormatting sqref="M2364:M2365 O2364:O2365">
    <cfRule type="expression" priority="62158" dxfId="5">
      <formula>$H2364="CÉLULA CONSTRUTIVA"</formula>
    </cfRule>
    <cfRule type="expression" priority="62160" dxfId="3">
      <formula>$H2364="ETAPA"</formula>
    </cfRule>
  </conditionalFormatting>
  <conditionalFormatting sqref="M2364:M2365">
    <cfRule type="expression" priority="62162" dxfId="5">
      <formula>$H2364="CÉLULA CONSTRUTIVA"</formula>
    </cfRule>
    <cfRule type="expression" priority="62163" dxfId="3">
      <formula>$H2364="ETAPA"</formula>
    </cfRule>
    <cfRule type="expression" priority="62164" dxfId="4">
      <formula>$H2364="SUBETAPA"</formula>
    </cfRule>
    <cfRule type="expression" priority="62165" dxfId="5">
      <formula>$H2364="CÉLULA CONSTRUTIVA"</formula>
    </cfRule>
    <cfRule type="expression" priority="62166" dxfId="3">
      <formula>$H2364="ETAPA"</formula>
    </cfRule>
  </conditionalFormatting>
  <conditionalFormatting sqref="M2368">
    <cfRule type="expression" priority="7119" dxfId="5">
      <formula>$H2368="CÉLULA CONSTRUTIVA"</formula>
    </cfRule>
  </conditionalFormatting>
  <conditionalFormatting sqref="M2369 O2369">
    <cfRule type="expression" priority="62214" dxfId="4">
      <formula>$H2369="SUBETAPA"</formula>
    </cfRule>
    <cfRule type="expression" priority="62215" dxfId="5">
      <formula>$H2369="CÉLULA CONSTRUTIVA"</formula>
    </cfRule>
  </conditionalFormatting>
  <conditionalFormatting sqref="M2369">
    <cfRule type="expression" priority="62212" dxfId="5">
      <formula>$H2369="CÉLULA CONSTRUTIVA"</formula>
    </cfRule>
    <cfRule type="expression" priority="62213" dxfId="3">
      <formula>$H2369="ETAPA"</formula>
    </cfRule>
  </conditionalFormatting>
  <conditionalFormatting sqref="M2369:M2370">
    <cfRule type="expression" priority="62216" dxfId="3">
      <formula>$H2369="ETAPA"</formula>
    </cfRule>
  </conditionalFormatting>
  <conditionalFormatting sqref="M2371">
    <cfRule type="expression" priority="62043" dxfId="5">
      <formula>$H2371="CÉLULA CONSTRUTIVA"</formula>
    </cfRule>
    <cfRule type="expression" priority="62044" dxfId="3">
      <formula>$H2371="ETAPA"</formula>
    </cfRule>
    <cfRule type="expression" priority="62045" dxfId="5">
      <formula>$H2371="CÉLULA CONSTRUTIVA"</formula>
    </cfRule>
    <cfRule type="expression" priority="62046" dxfId="3">
      <formula>$H2371="ETAPA"</formula>
    </cfRule>
    <cfRule type="expression" priority="62047" dxfId="4">
      <formula>$H2371="SUBETAPA"</formula>
    </cfRule>
  </conditionalFormatting>
  <conditionalFormatting sqref="M2372">
    <cfRule type="expression" priority="62048" dxfId="5">
      <formula>$H2372="CÉLULA CONSTRUTIVA"</formula>
    </cfRule>
    <cfRule type="expression" priority="62049" dxfId="3">
      <formula>$H2372="ETAPA"</formula>
    </cfRule>
    <cfRule type="expression" priority="62050" dxfId="4">
      <formula>$H2372="SUBETAPA"</formula>
    </cfRule>
    <cfRule type="expression" priority="62051" dxfId="5">
      <formula>$H2372="CÉLULA CONSTRUTIVA"</formula>
    </cfRule>
    <cfRule type="expression" priority="62052" dxfId="3">
      <formula>$H2372="ETAPA"</formula>
    </cfRule>
  </conditionalFormatting>
  <conditionalFormatting sqref="M2373">
    <cfRule type="expression" priority="62021" dxfId="5">
      <formula>$H2373="CÉLULA CONSTRUTIVA"</formula>
    </cfRule>
    <cfRule type="expression" priority="62022" dxfId="3">
      <formula>$H2373="ETAPA"</formula>
    </cfRule>
    <cfRule type="expression" priority="62023" dxfId="5">
      <formula>$H2373="CÉLULA CONSTRUTIVA"</formula>
    </cfRule>
    <cfRule type="expression" priority="62024" dxfId="3">
      <formula>$H2373="ETAPA"</formula>
    </cfRule>
    <cfRule type="expression" priority="62025" dxfId="4">
      <formula>$H2373="SUBETAPA"</formula>
    </cfRule>
  </conditionalFormatting>
  <conditionalFormatting sqref="M2374">
    <cfRule type="expression" priority="62026" dxfId="5">
      <formula>$H2374="CÉLULA CONSTRUTIVA"</formula>
    </cfRule>
    <cfRule type="expression" priority="62027" dxfId="3">
      <formula>$H2374="ETAPA"</formula>
    </cfRule>
    <cfRule type="expression" priority="62028" dxfId="4">
      <formula>$H2374="SUBETAPA"</formula>
    </cfRule>
    <cfRule type="expression" priority="62029" dxfId="5">
      <formula>$H2374="CÉLULA CONSTRUTIVA"</formula>
    </cfRule>
    <cfRule type="expression" priority="62030" dxfId="3">
      <formula>$H2374="ETAPA"</formula>
    </cfRule>
  </conditionalFormatting>
  <conditionalFormatting sqref="M2375:M2376">
    <cfRule type="expression" priority="62037" dxfId="5">
      <formula>$H2375="CÉLULA CONSTRUTIVA"</formula>
    </cfRule>
    <cfRule type="expression" priority="62038" dxfId="3">
      <formula>$H2375="ETAPA"</formula>
    </cfRule>
    <cfRule type="expression" priority="62039" dxfId="4">
      <formula>$H2375="SUBETAPA"</formula>
    </cfRule>
    <cfRule type="expression" priority="62040" dxfId="5">
      <formula>$H2375="CÉLULA CONSTRUTIVA"</formula>
    </cfRule>
    <cfRule type="expression" priority="62041" dxfId="3">
      <formula>$H2375="ETAPA"</formula>
    </cfRule>
  </conditionalFormatting>
  <conditionalFormatting sqref="M2377">
    <cfRule type="expression" priority="62249" dxfId="5">
      <formula>$H2377="CÉLULA CONSTRUTIVA"</formula>
    </cfRule>
    <cfRule type="expression" priority="62250" dxfId="3">
      <formula>$H2377="ETAPA"</formula>
    </cfRule>
    <cfRule type="expression" priority="62251" dxfId="4">
      <formula>$H2377="SUBETAPA"</formula>
    </cfRule>
    <cfRule type="expression" priority="62252" dxfId="5">
      <formula>$H2377="CÉLULA CONSTRUTIVA"</formula>
    </cfRule>
    <cfRule type="expression" priority="62253" dxfId="3">
      <formula>$H2377="ETAPA"</formula>
    </cfRule>
  </conditionalFormatting>
  <conditionalFormatting sqref="M2379:M2382">
    <cfRule type="expression" priority="62132" dxfId="3">
      <formula>$H2379="ETAPA"</formula>
    </cfRule>
  </conditionalFormatting>
  <conditionalFormatting sqref="M2382">
    <cfRule type="expression" priority="62127" dxfId="3">
      <formula>$H2382="ETAPA"</formula>
    </cfRule>
    <cfRule type="expression" priority="62128" dxfId="5">
      <formula>$H2382="CÉLULA CONSTRUTIVA"</formula>
    </cfRule>
    <cfRule type="expression" priority="62129" dxfId="3">
      <formula>$H2382="ETAPA"</formula>
    </cfRule>
    <cfRule type="expression" priority="62130" dxfId="4">
      <formula>$H2382="SUBETAPA"</formula>
    </cfRule>
    <cfRule type="expression" priority="62131" dxfId="5">
      <formula>$H2382="CÉLULA CONSTRUTIVA"</formula>
    </cfRule>
  </conditionalFormatting>
  <conditionalFormatting sqref="M2383">
    <cfRule type="expression" priority="62140" dxfId="3">
      <formula>$H2383="ETAPA"</formula>
    </cfRule>
    <cfRule type="expression" priority="62141" dxfId="5">
      <formula>$H2383="CÉLULA CONSTRUTIVA"</formula>
    </cfRule>
    <cfRule type="expression" priority="62142" dxfId="3">
      <formula>$H2383="ETAPA"</formula>
    </cfRule>
    <cfRule type="expression" priority="62143" dxfId="4">
      <formula>$H2383="SUBETAPA"</formula>
    </cfRule>
    <cfRule type="expression" priority="62144" dxfId="5">
      <formula>$H2383="CÉLULA CONSTRUTIVA"</formula>
    </cfRule>
    <cfRule type="expression" priority="62145" dxfId="3">
      <formula>$H2383="ETAPA"</formula>
    </cfRule>
  </conditionalFormatting>
  <conditionalFormatting sqref="M2384:M2386">
    <cfRule type="expression" priority="62074" dxfId="3">
      <formula>$H2384="ETAPA"</formula>
    </cfRule>
    <cfRule type="expression" priority="62075" dxfId="5">
      <formula>$H2384="CÉLULA CONSTRUTIVA"</formula>
    </cfRule>
    <cfRule type="expression" priority="62076" dxfId="3">
      <formula>$H2384="ETAPA"</formula>
    </cfRule>
    <cfRule type="expression" priority="62077" dxfId="4">
      <formula>$H2384="SUBETAPA"</formula>
    </cfRule>
    <cfRule type="expression" priority="62078" dxfId="5">
      <formula>$H2384="CÉLULA CONSTRUTIVA"</formula>
    </cfRule>
    <cfRule type="expression" priority="62079" dxfId="3">
      <formula>$H2384="ETAPA"</formula>
    </cfRule>
  </conditionalFormatting>
  <conditionalFormatting sqref="M2389">
    <cfRule type="expression" priority="62439" dxfId="5">
      <formula>$H2389="CÉLULA CONSTRUTIVA"</formula>
    </cfRule>
    <cfRule type="expression" priority="62440" dxfId="3">
      <formula>$H2389="ETAPA"</formula>
    </cfRule>
    <cfRule type="expression" priority="62441" dxfId="4">
      <formula>$H2389="SUBETAPA"</formula>
    </cfRule>
    <cfRule type="expression" priority="62442" dxfId="5">
      <formula>$H2389="CÉLULA CONSTRUTIVA"</formula>
    </cfRule>
  </conditionalFormatting>
  <conditionalFormatting sqref="M2391:M2392 O2391:O2392">
    <cfRule type="expression" priority="62397" dxfId="5">
      <formula>$H2391="CÉLULA CONSTRUTIVA"</formula>
    </cfRule>
    <cfRule type="expression" priority="62399" dxfId="3">
      <formula>$H2391="ETAPA"</formula>
    </cfRule>
  </conditionalFormatting>
  <conditionalFormatting sqref="M2391:M2392">
    <cfRule type="expression" priority="62401" dxfId="5">
      <formula>$H2391="CÉLULA CONSTRUTIVA"</formula>
    </cfRule>
    <cfRule type="expression" priority="62402" dxfId="3">
      <formula>$H2391="ETAPA"</formula>
    </cfRule>
    <cfRule type="expression" priority="62403" dxfId="4">
      <formula>$H2391="SUBETAPA"</formula>
    </cfRule>
    <cfRule type="expression" priority="62404" dxfId="5">
      <formula>$H2391="CÉLULA CONSTRUTIVA"</formula>
    </cfRule>
    <cfRule type="expression" priority="62405" dxfId="3">
      <formula>$H2391="ETAPA"</formula>
    </cfRule>
  </conditionalFormatting>
  <conditionalFormatting sqref="M2395">
    <cfRule type="expression" priority="7063" dxfId="5">
      <formula>$H2395="CÉLULA CONSTRUTIVA"</formula>
    </cfRule>
  </conditionalFormatting>
  <conditionalFormatting sqref="M2396 O2396">
    <cfRule type="expression" priority="62453" dxfId="4">
      <formula>$H2396="SUBETAPA"</formula>
    </cfRule>
    <cfRule type="expression" priority="62454" dxfId="5">
      <formula>$H2396="CÉLULA CONSTRUTIVA"</formula>
    </cfRule>
  </conditionalFormatting>
  <conditionalFormatting sqref="M2396">
    <cfRule type="expression" priority="62451" dxfId="5">
      <formula>$H2396="CÉLULA CONSTRUTIVA"</formula>
    </cfRule>
    <cfRule type="expression" priority="62452" dxfId="3">
      <formula>$H2396="ETAPA"</formula>
    </cfRule>
  </conditionalFormatting>
  <conditionalFormatting sqref="M2396:M2397">
    <cfRule type="expression" priority="62455" dxfId="3">
      <formula>$H2396="ETAPA"</formula>
    </cfRule>
  </conditionalFormatting>
  <conditionalFormatting sqref="M2398">
    <cfRule type="expression" priority="62282" dxfId="5">
      <formula>$H2398="CÉLULA CONSTRUTIVA"</formula>
    </cfRule>
    <cfRule type="expression" priority="62283" dxfId="3">
      <formula>$H2398="ETAPA"</formula>
    </cfRule>
    <cfRule type="expression" priority="62284" dxfId="5">
      <formula>$H2398="CÉLULA CONSTRUTIVA"</formula>
    </cfRule>
    <cfRule type="expression" priority="62285" dxfId="3">
      <formula>$H2398="ETAPA"</formula>
    </cfRule>
    <cfRule type="expression" priority="62286" dxfId="4">
      <formula>$H2398="SUBETAPA"</formula>
    </cfRule>
  </conditionalFormatting>
  <conditionalFormatting sqref="M2399">
    <cfRule type="expression" priority="62287" dxfId="5">
      <formula>$H2399="CÉLULA CONSTRUTIVA"</formula>
    </cfRule>
    <cfRule type="expression" priority="62288" dxfId="3">
      <formula>$H2399="ETAPA"</formula>
    </cfRule>
    <cfRule type="expression" priority="62289" dxfId="4">
      <formula>$H2399="SUBETAPA"</formula>
    </cfRule>
    <cfRule type="expression" priority="62290" dxfId="5">
      <formula>$H2399="CÉLULA CONSTRUTIVA"</formula>
    </cfRule>
    <cfRule type="expression" priority="62291" dxfId="3">
      <formula>$H2399="ETAPA"</formula>
    </cfRule>
  </conditionalFormatting>
  <conditionalFormatting sqref="M2400">
    <cfRule type="expression" priority="62260" dxfId="5">
      <formula>$H2400="CÉLULA CONSTRUTIVA"</formula>
    </cfRule>
    <cfRule type="expression" priority="62261" dxfId="3">
      <formula>$H2400="ETAPA"</formula>
    </cfRule>
    <cfRule type="expression" priority="62262" dxfId="5">
      <formula>$H2400="CÉLULA CONSTRUTIVA"</formula>
    </cfRule>
    <cfRule type="expression" priority="62263" dxfId="3">
      <formula>$H2400="ETAPA"</formula>
    </cfRule>
    <cfRule type="expression" priority="62264" dxfId="4">
      <formula>$H2400="SUBETAPA"</formula>
    </cfRule>
  </conditionalFormatting>
  <conditionalFormatting sqref="M2402">
    <cfRule type="expression" priority="62488" dxfId="5">
      <formula>$H2402="CÉLULA CONSTRUTIVA"</formula>
    </cfRule>
    <cfRule type="expression" priority="62489" dxfId="3">
      <formula>$H2402="ETAPA"</formula>
    </cfRule>
    <cfRule type="expression" priority="62490" dxfId="4">
      <formula>$H2402="SUBETAPA"</formula>
    </cfRule>
    <cfRule type="expression" priority="62491" dxfId="5">
      <formula>$H2402="CÉLULA CONSTRUTIVA"</formula>
    </cfRule>
    <cfRule type="expression" priority="62492" dxfId="3">
      <formula>$H2402="ETAPA"</formula>
    </cfRule>
  </conditionalFormatting>
  <conditionalFormatting sqref="M2404:M2407">
    <cfRule type="expression" priority="62371" dxfId="3">
      <formula>$H2404="ETAPA"</formula>
    </cfRule>
  </conditionalFormatting>
  <conditionalFormatting sqref="M2407">
    <cfRule type="expression" priority="62366" dxfId="3">
      <formula>$H2407="ETAPA"</formula>
    </cfRule>
    <cfRule type="expression" priority="62367" dxfId="5">
      <formula>$H2407="CÉLULA CONSTRUTIVA"</formula>
    </cfRule>
    <cfRule type="expression" priority="62368" dxfId="3">
      <formula>$H2407="ETAPA"</formula>
    </cfRule>
    <cfRule type="expression" priority="62369" dxfId="4">
      <formula>$H2407="SUBETAPA"</formula>
    </cfRule>
    <cfRule type="expression" priority="62370" dxfId="5">
      <formula>$H2407="CÉLULA CONSTRUTIVA"</formula>
    </cfRule>
  </conditionalFormatting>
  <conditionalFormatting sqref="M2408">
    <cfRule type="expression" priority="62379" dxfId="3">
      <formula>$H2408="ETAPA"</formula>
    </cfRule>
    <cfRule type="expression" priority="62380" dxfId="5">
      <formula>$H2408="CÉLULA CONSTRUTIVA"</formula>
    </cfRule>
    <cfRule type="expression" priority="62381" dxfId="3">
      <formula>$H2408="ETAPA"</formula>
    </cfRule>
    <cfRule type="expression" priority="62382" dxfId="4">
      <formula>$H2408="SUBETAPA"</formula>
    </cfRule>
    <cfRule type="expression" priority="62383" dxfId="5">
      <formula>$H2408="CÉLULA CONSTRUTIVA"</formula>
    </cfRule>
    <cfRule type="expression" priority="62384" dxfId="3">
      <formula>$H2408="ETAPA"</formula>
    </cfRule>
  </conditionalFormatting>
  <conditionalFormatting sqref="M2413">
    <cfRule type="expression" priority="62678" dxfId="5">
      <formula>$H2413="CÉLULA CONSTRUTIVA"</formula>
    </cfRule>
    <cfRule type="expression" priority="62679" dxfId="3">
      <formula>$H2413="ETAPA"</formula>
    </cfRule>
    <cfRule type="expression" priority="62680" dxfId="4">
      <formula>$H2413="SUBETAPA"</formula>
    </cfRule>
    <cfRule type="expression" priority="62681" dxfId="5">
      <formula>$H2413="CÉLULA CONSTRUTIVA"</formula>
    </cfRule>
  </conditionalFormatting>
  <conditionalFormatting sqref="M2415:M2416 O2415:O2416">
    <cfRule type="expression" priority="62636" dxfId="5">
      <formula>$H2415="CÉLULA CONSTRUTIVA"</formula>
    </cfRule>
    <cfRule type="expression" priority="62638" dxfId="3">
      <formula>$H2415="ETAPA"</formula>
    </cfRule>
  </conditionalFormatting>
  <conditionalFormatting sqref="M2415:M2416">
    <cfRule type="expression" priority="62640" dxfId="5">
      <formula>$H2415="CÉLULA CONSTRUTIVA"</formula>
    </cfRule>
    <cfRule type="expression" priority="62641" dxfId="3">
      <formula>$H2415="ETAPA"</formula>
    </cfRule>
    <cfRule type="expression" priority="62642" dxfId="4">
      <formula>$H2415="SUBETAPA"</formula>
    </cfRule>
    <cfRule type="expression" priority="62643" dxfId="5">
      <formula>$H2415="CÉLULA CONSTRUTIVA"</formula>
    </cfRule>
    <cfRule type="expression" priority="62644" dxfId="3">
      <formula>$H2415="ETAPA"</formula>
    </cfRule>
  </conditionalFormatting>
  <conditionalFormatting sqref="M2418">
    <cfRule type="expression" priority="7007" dxfId="5">
      <formula>$H2418="CÉLULA CONSTRUTIVA"</formula>
    </cfRule>
  </conditionalFormatting>
  <conditionalFormatting sqref="M2419 O2419">
    <cfRule type="expression" priority="62692" dxfId="4">
      <formula>$H2419="SUBETAPA"</formula>
    </cfRule>
    <cfRule type="expression" priority="62693" dxfId="5">
      <formula>$H2419="CÉLULA CONSTRUTIVA"</formula>
    </cfRule>
  </conditionalFormatting>
  <conditionalFormatting sqref="M2419">
    <cfRule type="expression" priority="62690" dxfId="5">
      <formula>$H2419="CÉLULA CONSTRUTIVA"</formula>
    </cfRule>
    <cfRule type="expression" priority="62691" dxfId="3">
      <formula>$H2419="ETAPA"</formula>
    </cfRule>
  </conditionalFormatting>
  <conditionalFormatting sqref="M2419:M2420">
    <cfRule type="expression" priority="62694" dxfId="3">
      <formula>$H2419="ETAPA"</formula>
    </cfRule>
  </conditionalFormatting>
  <conditionalFormatting sqref="M2421">
    <cfRule type="expression" priority="62521" dxfId="5">
      <formula>$H2421="CÉLULA CONSTRUTIVA"</formula>
    </cfRule>
    <cfRule type="expression" priority="62522" dxfId="3">
      <formula>$H2421="ETAPA"</formula>
    </cfRule>
    <cfRule type="expression" priority="62523" dxfId="5">
      <formula>$H2421="CÉLULA CONSTRUTIVA"</formula>
    </cfRule>
    <cfRule type="expression" priority="62524" dxfId="3">
      <formula>$H2421="ETAPA"</formula>
    </cfRule>
    <cfRule type="expression" priority="62525" dxfId="4">
      <formula>$H2421="SUBETAPA"</formula>
    </cfRule>
  </conditionalFormatting>
  <conditionalFormatting sqref="M2422">
    <cfRule type="expression" priority="62526" dxfId="5">
      <formula>$H2422="CÉLULA CONSTRUTIVA"</formula>
    </cfRule>
    <cfRule type="expression" priority="62527" dxfId="3">
      <formula>$H2422="ETAPA"</formula>
    </cfRule>
    <cfRule type="expression" priority="62528" dxfId="4">
      <formula>$H2422="SUBETAPA"</formula>
    </cfRule>
    <cfRule type="expression" priority="62529" dxfId="5">
      <formula>$H2422="CÉLULA CONSTRUTIVA"</formula>
    </cfRule>
    <cfRule type="expression" priority="62530" dxfId="3">
      <formula>$H2422="ETAPA"</formula>
    </cfRule>
  </conditionalFormatting>
  <conditionalFormatting sqref="M2423">
    <cfRule type="expression" priority="62499" dxfId="5">
      <formula>$H2423="CÉLULA CONSTRUTIVA"</formula>
    </cfRule>
    <cfRule type="expression" priority="62500" dxfId="3">
      <formula>$H2423="ETAPA"</formula>
    </cfRule>
    <cfRule type="expression" priority="62501" dxfId="5">
      <formula>$H2423="CÉLULA CONSTRUTIVA"</formula>
    </cfRule>
    <cfRule type="expression" priority="62502" dxfId="3">
      <formula>$H2423="ETAPA"</formula>
    </cfRule>
    <cfRule type="expression" priority="62503" dxfId="4">
      <formula>$H2423="SUBETAPA"</formula>
    </cfRule>
  </conditionalFormatting>
  <conditionalFormatting sqref="M2425">
    <cfRule type="expression" priority="62727" dxfId="5">
      <formula>$H2425="CÉLULA CONSTRUTIVA"</formula>
    </cfRule>
    <cfRule type="expression" priority="62728" dxfId="3">
      <formula>$H2425="ETAPA"</formula>
    </cfRule>
    <cfRule type="expression" priority="62729" dxfId="4">
      <formula>$H2425="SUBETAPA"</formula>
    </cfRule>
    <cfRule type="expression" priority="62730" dxfId="5">
      <formula>$H2425="CÉLULA CONSTRUTIVA"</formula>
    </cfRule>
    <cfRule type="expression" priority="62731" dxfId="3">
      <formula>$H2425="ETAPA"</formula>
    </cfRule>
  </conditionalFormatting>
  <conditionalFormatting sqref="M2427:M2430">
    <cfRule type="expression" priority="62610" dxfId="3">
      <formula>$H2427="ETAPA"</formula>
    </cfRule>
  </conditionalFormatting>
  <conditionalFormatting sqref="M2430">
    <cfRule type="expression" priority="62605" dxfId="3">
      <formula>$H2430="ETAPA"</formula>
    </cfRule>
    <cfRule type="expression" priority="62606" dxfId="5">
      <formula>$H2430="CÉLULA CONSTRUTIVA"</formula>
    </cfRule>
    <cfRule type="expression" priority="62607" dxfId="3">
      <formula>$H2430="ETAPA"</formula>
    </cfRule>
    <cfRule type="expression" priority="62608" dxfId="4">
      <formula>$H2430="SUBETAPA"</formula>
    </cfRule>
    <cfRule type="expression" priority="62609" dxfId="5">
      <formula>$H2430="CÉLULA CONSTRUTIVA"</formula>
    </cfRule>
  </conditionalFormatting>
  <conditionalFormatting sqref="M2431">
    <cfRule type="expression" priority="62618" dxfId="3">
      <formula>$H2431="ETAPA"</formula>
    </cfRule>
    <cfRule type="expression" priority="62619" dxfId="5">
      <formula>$H2431="CÉLULA CONSTRUTIVA"</formula>
    </cfRule>
    <cfRule type="expression" priority="62620" dxfId="3">
      <formula>$H2431="ETAPA"</formula>
    </cfRule>
    <cfRule type="expression" priority="62621" dxfId="4">
      <formula>$H2431="SUBETAPA"</formula>
    </cfRule>
    <cfRule type="expression" priority="62622" dxfId="5">
      <formula>$H2431="CÉLULA CONSTRUTIVA"</formula>
    </cfRule>
    <cfRule type="expression" priority="62623" dxfId="3">
      <formula>$H2431="ETAPA"</formula>
    </cfRule>
  </conditionalFormatting>
  <conditionalFormatting sqref="M2436">
    <cfRule type="expression" priority="62917" dxfId="5">
      <formula>$H2436="CÉLULA CONSTRUTIVA"</formula>
    </cfRule>
    <cfRule type="expression" priority="62918" dxfId="3">
      <formula>$H2436="ETAPA"</formula>
    </cfRule>
    <cfRule type="expression" priority="62919" dxfId="4">
      <formula>$H2436="SUBETAPA"</formula>
    </cfRule>
    <cfRule type="expression" priority="62920" dxfId="5">
      <formula>$H2436="CÉLULA CONSTRUTIVA"</formula>
    </cfRule>
  </conditionalFormatting>
  <conditionalFormatting sqref="M2438:M2439 O2438:O2439">
    <cfRule type="expression" priority="62875" dxfId="5">
      <formula>$H2438="CÉLULA CONSTRUTIVA"</formula>
    </cfRule>
    <cfRule type="expression" priority="62877" dxfId="3">
      <formula>$H2438="ETAPA"</formula>
    </cfRule>
  </conditionalFormatting>
  <conditionalFormatting sqref="M2438:M2439">
    <cfRule type="expression" priority="62879" dxfId="5">
      <formula>$H2438="CÉLULA CONSTRUTIVA"</formula>
    </cfRule>
    <cfRule type="expression" priority="62880" dxfId="3">
      <formula>$H2438="ETAPA"</formula>
    </cfRule>
    <cfRule type="expression" priority="62881" dxfId="4">
      <formula>$H2438="SUBETAPA"</formula>
    </cfRule>
    <cfRule type="expression" priority="62882" dxfId="5">
      <formula>$H2438="CÉLULA CONSTRUTIVA"</formula>
    </cfRule>
    <cfRule type="expression" priority="62883" dxfId="3">
      <formula>$H2438="ETAPA"</formula>
    </cfRule>
  </conditionalFormatting>
  <conditionalFormatting sqref="M2441">
    <cfRule type="expression" priority="6951" dxfId="5">
      <formula>$H2441="CÉLULA CONSTRUTIVA"</formula>
    </cfRule>
  </conditionalFormatting>
  <conditionalFormatting sqref="M2442 O2442">
    <cfRule type="expression" priority="62931" dxfId="4">
      <formula>$H2442="SUBETAPA"</formula>
    </cfRule>
    <cfRule type="expression" priority="62932" dxfId="5">
      <formula>$H2442="CÉLULA CONSTRUTIVA"</formula>
    </cfRule>
  </conditionalFormatting>
  <conditionalFormatting sqref="M2442">
    <cfRule type="expression" priority="62929" dxfId="5">
      <formula>$H2442="CÉLULA CONSTRUTIVA"</formula>
    </cfRule>
    <cfRule type="expression" priority="62930" dxfId="3">
      <formula>$H2442="ETAPA"</formula>
    </cfRule>
  </conditionalFormatting>
  <conditionalFormatting sqref="M2442:M2443">
    <cfRule type="expression" priority="62933" dxfId="3">
      <formula>$H2442="ETAPA"</formula>
    </cfRule>
  </conditionalFormatting>
  <conditionalFormatting sqref="M2444">
    <cfRule type="expression" priority="62760" dxfId="5">
      <formula>$H2444="CÉLULA CONSTRUTIVA"</formula>
    </cfRule>
    <cfRule type="expression" priority="62761" dxfId="3">
      <formula>$H2444="ETAPA"</formula>
    </cfRule>
    <cfRule type="expression" priority="62762" dxfId="5">
      <formula>$H2444="CÉLULA CONSTRUTIVA"</formula>
    </cfRule>
    <cfRule type="expression" priority="62763" dxfId="3">
      <formula>$H2444="ETAPA"</formula>
    </cfRule>
    <cfRule type="expression" priority="62764" dxfId="4">
      <formula>$H2444="SUBETAPA"</formula>
    </cfRule>
  </conditionalFormatting>
  <conditionalFormatting sqref="M2445">
    <cfRule type="expression" priority="62765" dxfId="5">
      <formula>$H2445="CÉLULA CONSTRUTIVA"</formula>
    </cfRule>
    <cfRule type="expression" priority="62766" dxfId="3">
      <formula>$H2445="ETAPA"</formula>
    </cfRule>
    <cfRule type="expression" priority="62767" dxfId="4">
      <formula>$H2445="SUBETAPA"</formula>
    </cfRule>
    <cfRule type="expression" priority="62768" dxfId="5">
      <formula>$H2445="CÉLULA CONSTRUTIVA"</formula>
    </cfRule>
    <cfRule type="expression" priority="62769" dxfId="3">
      <formula>$H2445="ETAPA"</formula>
    </cfRule>
  </conditionalFormatting>
  <conditionalFormatting sqref="M2446">
    <cfRule type="expression" priority="62738" dxfId="5">
      <formula>$H2446="CÉLULA CONSTRUTIVA"</formula>
    </cfRule>
    <cfRule type="expression" priority="62739" dxfId="3">
      <formula>$H2446="ETAPA"</formula>
    </cfRule>
    <cfRule type="expression" priority="62740" dxfId="5">
      <formula>$H2446="CÉLULA CONSTRUTIVA"</formula>
    </cfRule>
    <cfRule type="expression" priority="62741" dxfId="3">
      <formula>$H2446="ETAPA"</formula>
    </cfRule>
    <cfRule type="expression" priority="62742" dxfId="4">
      <formula>$H2446="SUBETAPA"</formula>
    </cfRule>
  </conditionalFormatting>
  <conditionalFormatting sqref="M2448">
    <cfRule type="expression" priority="62966" dxfId="5">
      <formula>$H2448="CÉLULA CONSTRUTIVA"</formula>
    </cfRule>
    <cfRule type="expression" priority="62967" dxfId="3">
      <formula>$H2448="ETAPA"</formula>
    </cfRule>
    <cfRule type="expression" priority="62968" dxfId="4">
      <formula>$H2448="SUBETAPA"</formula>
    </cfRule>
    <cfRule type="expression" priority="62969" dxfId="5">
      <formula>$H2448="CÉLULA CONSTRUTIVA"</formula>
    </cfRule>
    <cfRule type="expression" priority="62970" dxfId="3">
      <formula>$H2448="ETAPA"</formula>
    </cfRule>
  </conditionalFormatting>
  <conditionalFormatting sqref="M2450:M2453">
    <cfRule type="expression" priority="62849" dxfId="3">
      <formula>$H2450="ETAPA"</formula>
    </cfRule>
  </conditionalFormatting>
  <conditionalFormatting sqref="M2453">
    <cfRule type="expression" priority="62844" dxfId="3">
      <formula>$H2453="ETAPA"</formula>
    </cfRule>
    <cfRule type="expression" priority="62845" dxfId="5">
      <formula>$H2453="CÉLULA CONSTRUTIVA"</formula>
    </cfRule>
    <cfRule type="expression" priority="62846" dxfId="3">
      <formula>$H2453="ETAPA"</formula>
    </cfRule>
    <cfRule type="expression" priority="62847" dxfId="4">
      <formula>$H2453="SUBETAPA"</formula>
    </cfRule>
    <cfRule type="expression" priority="62848" dxfId="5">
      <formula>$H2453="CÉLULA CONSTRUTIVA"</formula>
    </cfRule>
  </conditionalFormatting>
  <conditionalFormatting sqref="M2454">
    <cfRule type="expression" priority="62857" dxfId="3">
      <formula>$H2454="ETAPA"</formula>
    </cfRule>
    <cfRule type="expression" priority="62858" dxfId="5">
      <formula>$H2454="CÉLULA CONSTRUTIVA"</formula>
    </cfRule>
    <cfRule type="expression" priority="62859" dxfId="3">
      <formula>$H2454="ETAPA"</formula>
    </cfRule>
    <cfRule type="expression" priority="62860" dxfId="4">
      <formula>$H2454="SUBETAPA"</formula>
    </cfRule>
    <cfRule type="expression" priority="62861" dxfId="5">
      <formula>$H2454="CÉLULA CONSTRUTIVA"</formula>
    </cfRule>
    <cfRule type="expression" priority="62862" dxfId="3">
      <formula>$H2454="ETAPA"</formula>
    </cfRule>
  </conditionalFormatting>
  <conditionalFormatting sqref="M2459">
    <cfRule type="expression" priority="63156" dxfId="5">
      <formula>$H2459="CÉLULA CONSTRUTIVA"</formula>
    </cfRule>
    <cfRule type="expression" priority="63157" dxfId="3">
      <formula>$H2459="ETAPA"</formula>
    </cfRule>
    <cfRule type="expression" priority="63158" dxfId="4">
      <formula>$H2459="SUBETAPA"</formula>
    </cfRule>
    <cfRule type="expression" priority="63159" dxfId="5">
      <formula>$H2459="CÉLULA CONSTRUTIVA"</formula>
    </cfRule>
  </conditionalFormatting>
  <conditionalFormatting sqref="M2461:M2462 O2461:O2462">
    <cfRule type="expression" priority="63114" dxfId="5">
      <formula>$H2461="CÉLULA CONSTRUTIVA"</formula>
    </cfRule>
    <cfRule type="expression" priority="63116" dxfId="3">
      <formula>$H2461="ETAPA"</formula>
    </cfRule>
  </conditionalFormatting>
  <conditionalFormatting sqref="M2461:M2462">
    <cfRule type="expression" priority="63118" dxfId="5">
      <formula>$H2461="CÉLULA CONSTRUTIVA"</formula>
    </cfRule>
    <cfRule type="expression" priority="63119" dxfId="3">
      <formula>$H2461="ETAPA"</formula>
    </cfRule>
    <cfRule type="expression" priority="63120" dxfId="4">
      <formula>$H2461="SUBETAPA"</formula>
    </cfRule>
    <cfRule type="expression" priority="63121" dxfId="5">
      <formula>$H2461="CÉLULA CONSTRUTIVA"</formula>
    </cfRule>
    <cfRule type="expression" priority="63122" dxfId="3">
      <formula>$H2461="ETAPA"</formula>
    </cfRule>
  </conditionalFormatting>
  <conditionalFormatting sqref="M2465">
    <cfRule type="expression" priority="6895" dxfId="5">
      <formula>$H2465="CÉLULA CONSTRUTIVA"</formula>
    </cfRule>
  </conditionalFormatting>
  <conditionalFormatting sqref="M2466 O2466">
    <cfRule type="expression" priority="63170" dxfId="4">
      <formula>$H2466="SUBETAPA"</formula>
    </cfRule>
    <cfRule type="expression" priority="63171" dxfId="5">
      <formula>$H2466="CÉLULA CONSTRUTIVA"</formula>
    </cfRule>
  </conditionalFormatting>
  <conditionalFormatting sqref="M2466">
    <cfRule type="expression" priority="63168" dxfId="5">
      <formula>$H2466="CÉLULA CONSTRUTIVA"</formula>
    </cfRule>
    <cfRule type="expression" priority="63169" dxfId="3">
      <formula>$H2466="ETAPA"</formula>
    </cfRule>
  </conditionalFormatting>
  <conditionalFormatting sqref="M2466:M2467">
    <cfRule type="expression" priority="63172" dxfId="3">
      <formula>$H2466="ETAPA"</formula>
    </cfRule>
  </conditionalFormatting>
  <conditionalFormatting sqref="M2468">
    <cfRule type="expression" priority="62999" dxfId="5">
      <formula>$H2468="CÉLULA CONSTRUTIVA"</formula>
    </cfRule>
    <cfRule type="expression" priority="63000" dxfId="3">
      <formula>$H2468="ETAPA"</formula>
    </cfRule>
    <cfRule type="expression" priority="63001" dxfId="5">
      <formula>$H2468="CÉLULA CONSTRUTIVA"</formula>
    </cfRule>
    <cfRule type="expression" priority="63002" dxfId="3">
      <formula>$H2468="ETAPA"</formula>
    </cfRule>
    <cfRule type="expression" priority="63003" dxfId="4">
      <formula>$H2468="SUBETAPA"</formula>
    </cfRule>
  </conditionalFormatting>
  <conditionalFormatting sqref="M2469">
    <cfRule type="expression" priority="63004" dxfId="5">
      <formula>$H2469="CÉLULA CONSTRUTIVA"</formula>
    </cfRule>
    <cfRule type="expression" priority="63005" dxfId="3">
      <formula>$H2469="ETAPA"</formula>
    </cfRule>
    <cfRule type="expression" priority="63006" dxfId="4">
      <formula>$H2469="SUBETAPA"</formula>
    </cfRule>
    <cfRule type="expression" priority="63007" dxfId="5">
      <formula>$H2469="CÉLULA CONSTRUTIVA"</formula>
    </cfRule>
    <cfRule type="expression" priority="63008" dxfId="3">
      <formula>$H2469="ETAPA"</formula>
    </cfRule>
  </conditionalFormatting>
  <conditionalFormatting sqref="M2470">
    <cfRule type="expression" priority="62977" dxfId="5">
      <formula>$H2470="CÉLULA CONSTRUTIVA"</formula>
    </cfRule>
    <cfRule type="expression" priority="62978" dxfId="3">
      <formula>$H2470="ETAPA"</formula>
    </cfRule>
    <cfRule type="expression" priority="62979" dxfId="5">
      <formula>$H2470="CÉLULA CONSTRUTIVA"</formula>
    </cfRule>
    <cfRule type="expression" priority="62980" dxfId="3">
      <formula>$H2470="ETAPA"</formula>
    </cfRule>
    <cfRule type="expression" priority="62981" dxfId="4">
      <formula>$H2470="SUBETAPA"</formula>
    </cfRule>
  </conditionalFormatting>
  <conditionalFormatting sqref="M2472">
    <cfRule type="expression" priority="63205" dxfId="5">
      <formula>$H2472="CÉLULA CONSTRUTIVA"</formula>
    </cfRule>
    <cfRule type="expression" priority="63206" dxfId="3">
      <formula>$H2472="ETAPA"</formula>
    </cfRule>
    <cfRule type="expression" priority="63207" dxfId="4">
      <formula>$H2472="SUBETAPA"</formula>
    </cfRule>
    <cfRule type="expression" priority="63208" dxfId="5">
      <formula>$H2472="CÉLULA CONSTRUTIVA"</formula>
    </cfRule>
    <cfRule type="expression" priority="63209" dxfId="3">
      <formula>$H2472="ETAPA"</formula>
    </cfRule>
  </conditionalFormatting>
  <conditionalFormatting sqref="M2474:M2477">
    <cfRule type="expression" priority="63088" dxfId="3">
      <formula>$H2474="ETAPA"</formula>
    </cfRule>
  </conditionalFormatting>
  <conditionalFormatting sqref="M2477">
    <cfRule type="expression" priority="63083" dxfId="3">
      <formula>$H2477="ETAPA"</formula>
    </cfRule>
    <cfRule type="expression" priority="63084" dxfId="5">
      <formula>$H2477="CÉLULA CONSTRUTIVA"</formula>
    </cfRule>
    <cfRule type="expression" priority="63085" dxfId="3">
      <formula>$H2477="ETAPA"</formula>
    </cfRule>
    <cfRule type="expression" priority="63086" dxfId="4">
      <formula>$H2477="SUBETAPA"</formula>
    </cfRule>
    <cfRule type="expression" priority="63087" dxfId="5">
      <formula>$H2477="CÉLULA CONSTRUTIVA"</formula>
    </cfRule>
  </conditionalFormatting>
  <conditionalFormatting sqref="M2478">
    <cfRule type="expression" priority="63096" dxfId="3">
      <formula>$H2478="ETAPA"</formula>
    </cfRule>
    <cfRule type="expression" priority="63097" dxfId="5">
      <formula>$H2478="CÉLULA CONSTRUTIVA"</formula>
    </cfRule>
    <cfRule type="expression" priority="63098" dxfId="3">
      <formula>$H2478="ETAPA"</formula>
    </cfRule>
    <cfRule type="expression" priority="63099" dxfId="4">
      <formula>$H2478="SUBETAPA"</formula>
    </cfRule>
    <cfRule type="expression" priority="63100" dxfId="5">
      <formula>$H2478="CÉLULA CONSTRUTIVA"</formula>
    </cfRule>
    <cfRule type="expression" priority="63101" dxfId="3">
      <formula>$H2478="ETAPA"</formula>
    </cfRule>
  </conditionalFormatting>
  <conditionalFormatting sqref="M2483">
    <cfRule type="expression" priority="63395" dxfId="5">
      <formula>$H2483="CÉLULA CONSTRUTIVA"</formula>
    </cfRule>
    <cfRule type="expression" priority="63396" dxfId="3">
      <formula>$H2483="ETAPA"</formula>
    </cfRule>
    <cfRule type="expression" priority="63397" dxfId="4">
      <formula>$H2483="SUBETAPA"</formula>
    </cfRule>
    <cfRule type="expression" priority="63398" dxfId="5">
      <formula>$H2483="CÉLULA CONSTRUTIVA"</formula>
    </cfRule>
  </conditionalFormatting>
  <conditionalFormatting sqref="M2485:M2486 O2485:O2486">
    <cfRule type="expression" priority="63353" dxfId="5">
      <formula>$H2485="CÉLULA CONSTRUTIVA"</formula>
    </cfRule>
    <cfRule type="expression" priority="63355" dxfId="3">
      <formula>$H2485="ETAPA"</formula>
    </cfRule>
  </conditionalFormatting>
  <conditionalFormatting sqref="M2485:M2486">
    <cfRule type="expression" priority="63357" dxfId="5">
      <formula>$H2485="CÉLULA CONSTRUTIVA"</formula>
    </cfRule>
    <cfRule type="expression" priority="63358" dxfId="3">
      <formula>$H2485="ETAPA"</formula>
    </cfRule>
    <cfRule type="expression" priority="63359" dxfId="4">
      <formula>$H2485="SUBETAPA"</formula>
    </cfRule>
    <cfRule type="expression" priority="63360" dxfId="5">
      <formula>$H2485="CÉLULA CONSTRUTIVA"</formula>
    </cfRule>
    <cfRule type="expression" priority="63361" dxfId="3">
      <formula>$H2485="ETAPA"</formula>
    </cfRule>
  </conditionalFormatting>
  <conditionalFormatting sqref="M2489">
    <cfRule type="expression" priority="6839" dxfId="5">
      <formula>$H2489="CÉLULA CONSTRUTIVA"</formula>
    </cfRule>
  </conditionalFormatting>
  <conditionalFormatting sqref="M2490 O2490">
    <cfRule type="expression" priority="63368" dxfId="3">
      <formula>$H2490="ETAPA"</formula>
    </cfRule>
  </conditionalFormatting>
  <conditionalFormatting sqref="M2490">
    <cfRule type="expression" priority="63369" dxfId="5">
      <formula>$H2490="CÉLULA CONSTRUTIVA"</formula>
    </cfRule>
    <cfRule type="expression" priority="63370" dxfId="3">
      <formula>$H2490="ETAPA"</formula>
    </cfRule>
    <cfRule type="expression" priority="63371" dxfId="4">
      <formula>$H2490="SUBETAPA"</formula>
    </cfRule>
    <cfRule type="expression" priority="63372" dxfId="5">
      <formula>$H2490="CÉLULA CONSTRUTIVA"</formula>
    </cfRule>
    <cfRule type="expression" priority="63373" dxfId="3">
      <formula>$H2490="ETAPA"</formula>
    </cfRule>
  </conditionalFormatting>
  <conditionalFormatting sqref="M2490:M2491">
    <cfRule type="expression" priority="63366" dxfId="5">
      <formula>$H2490="CÉLULA CONSTRUTIVA"</formula>
    </cfRule>
  </conditionalFormatting>
  <conditionalFormatting sqref="M2491:M2492 O2491:O2492">
    <cfRule type="expression" priority="63409" dxfId="4">
      <formula>$H2491="SUBETAPA"</formula>
    </cfRule>
    <cfRule type="expression" priority="63410" dxfId="5">
      <formula>$H2491="CÉLULA CONSTRUTIVA"</formula>
    </cfRule>
  </conditionalFormatting>
  <conditionalFormatting sqref="M2491:M2492">
    <cfRule type="expression" priority="63407" dxfId="5">
      <formula>$H2491="CÉLULA CONSTRUTIVA"</formula>
    </cfRule>
    <cfRule type="expression" priority="63408" dxfId="3">
      <formula>$H2491="ETAPA"</formula>
    </cfRule>
  </conditionalFormatting>
  <conditionalFormatting sqref="M2491:M2493">
    <cfRule type="expression" priority="63411" dxfId="3">
      <formula>$H2491="ETAPA"</formula>
    </cfRule>
  </conditionalFormatting>
  <conditionalFormatting sqref="M2494">
    <cfRule type="expression" priority="63238" dxfId="5">
      <formula>$H2494="CÉLULA CONSTRUTIVA"</formula>
    </cfRule>
    <cfRule type="expression" priority="63239" dxfId="3">
      <formula>$H2494="ETAPA"</formula>
    </cfRule>
    <cfRule type="expression" priority="63240" dxfId="5">
      <formula>$H2494="CÉLULA CONSTRUTIVA"</formula>
    </cfRule>
    <cfRule type="expression" priority="63241" dxfId="3">
      <formula>$H2494="ETAPA"</formula>
    </cfRule>
    <cfRule type="expression" priority="63242" dxfId="4">
      <formula>$H2494="SUBETAPA"</formula>
    </cfRule>
  </conditionalFormatting>
  <conditionalFormatting sqref="M2495">
    <cfRule type="expression" priority="63243" dxfId="5">
      <formula>$H2495="CÉLULA CONSTRUTIVA"</formula>
    </cfRule>
    <cfRule type="expression" priority="63244" dxfId="3">
      <formula>$H2495="ETAPA"</formula>
    </cfRule>
    <cfRule type="expression" priority="63245" dxfId="4">
      <formula>$H2495="SUBETAPA"</formula>
    </cfRule>
    <cfRule type="expression" priority="63246" dxfId="5">
      <formula>$H2495="CÉLULA CONSTRUTIVA"</formula>
    </cfRule>
    <cfRule type="expression" priority="63247" dxfId="3">
      <formula>$H2495="ETAPA"</formula>
    </cfRule>
  </conditionalFormatting>
  <conditionalFormatting sqref="M2496">
    <cfRule type="expression" priority="63216" dxfId="5">
      <formula>$H2496="CÉLULA CONSTRUTIVA"</formula>
    </cfRule>
    <cfRule type="expression" priority="63217" dxfId="3">
      <formula>$H2496="ETAPA"</formula>
    </cfRule>
    <cfRule type="expression" priority="63218" dxfId="5">
      <formula>$H2496="CÉLULA CONSTRUTIVA"</formula>
    </cfRule>
    <cfRule type="expression" priority="63219" dxfId="3">
      <formula>$H2496="ETAPA"</formula>
    </cfRule>
    <cfRule type="expression" priority="63220" dxfId="4">
      <formula>$H2496="SUBETAPA"</formula>
    </cfRule>
  </conditionalFormatting>
  <conditionalFormatting sqref="M2497">
    <cfRule type="expression" priority="63227" dxfId="5">
      <formula>$H2497="CÉLULA CONSTRUTIVA"</formula>
    </cfRule>
    <cfRule type="expression" priority="63228" dxfId="3">
      <formula>$H2497="ETAPA"</formula>
    </cfRule>
    <cfRule type="expression" priority="63229" dxfId="5">
      <formula>$H2497="CÉLULA CONSTRUTIVA"</formula>
    </cfRule>
    <cfRule type="expression" priority="63230" dxfId="3">
      <formula>$H2497="ETAPA"</formula>
    </cfRule>
    <cfRule type="expression" priority="63231" dxfId="4">
      <formula>$H2497="SUBETAPA"</formula>
    </cfRule>
  </conditionalFormatting>
  <conditionalFormatting sqref="M2499">
    <cfRule type="expression" priority="63437" dxfId="5">
      <formula>$H2499="CÉLULA CONSTRUTIVA"</formula>
    </cfRule>
    <cfRule type="expression" priority="63438" dxfId="3">
      <formula>$H2499="ETAPA"</formula>
    </cfRule>
    <cfRule type="expression" priority="63439" dxfId="5">
      <formula>$H2499="CÉLULA CONSTRUTIVA"</formula>
    </cfRule>
    <cfRule type="expression" priority="63440" dxfId="3">
      <formula>$H2499="ETAPA"</formula>
    </cfRule>
    <cfRule type="expression" priority="63441" dxfId="4">
      <formula>$H2499="SUBETAPA"</formula>
    </cfRule>
  </conditionalFormatting>
  <conditionalFormatting sqref="M2500">
    <cfRule type="expression" priority="63444" dxfId="5">
      <formula>$H2500="CÉLULA CONSTRUTIVA"</formula>
    </cfRule>
    <cfRule type="expression" priority="63445" dxfId="3">
      <formula>$H2500="ETAPA"</formula>
    </cfRule>
    <cfRule type="expression" priority="63446" dxfId="4">
      <formula>$H2500="SUBETAPA"</formula>
    </cfRule>
    <cfRule type="expression" priority="63447" dxfId="5">
      <formula>$H2500="CÉLULA CONSTRUTIVA"</formula>
    </cfRule>
  </conditionalFormatting>
  <conditionalFormatting sqref="M2500:M2501">
    <cfRule type="expression" priority="63448" dxfId="3">
      <formula>$H2500="ETAPA"</formula>
    </cfRule>
  </conditionalFormatting>
  <conditionalFormatting sqref="M2502:M2505">
    <cfRule type="expression" priority="63419" dxfId="3">
      <formula>$H2502="ETAPA"</formula>
    </cfRule>
    <cfRule type="expression" priority="63420" dxfId="5">
      <formula>$H2502="CÉLULA CONSTRUTIVA"</formula>
    </cfRule>
    <cfRule type="expression" priority="63421" dxfId="3">
      <formula>$H2502="ETAPA"</formula>
    </cfRule>
    <cfRule type="expression" priority="63422" dxfId="4">
      <formula>$H2502="SUBETAPA"</formula>
    </cfRule>
    <cfRule type="expression" priority="63423" dxfId="5">
      <formula>$H2502="CÉLULA CONSTRUTIVA"</formula>
    </cfRule>
    <cfRule type="expression" priority="63424" dxfId="3">
      <formula>$H2502="ETAPA"</formula>
    </cfRule>
  </conditionalFormatting>
  <conditionalFormatting sqref="M2506">
    <cfRule type="expression" priority="63322" dxfId="3">
      <formula>$H2506="ETAPA"</formula>
    </cfRule>
    <cfRule type="expression" priority="63323" dxfId="5">
      <formula>$H2506="CÉLULA CONSTRUTIVA"</formula>
    </cfRule>
    <cfRule type="expression" priority="63324" dxfId="3">
      <formula>$H2506="ETAPA"</formula>
    </cfRule>
    <cfRule type="expression" priority="63325" dxfId="4">
      <formula>$H2506="SUBETAPA"</formula>
    </cfRule>
    <cfRule type="expression" priority="63326" dxfId="5">
      <formula>$H2506="CÉLULA CONSTRUTIVA"</formula>
    </cfRule>
    <cfRule type="expression" priority="63327" dxfId="3">
      <formula>$H2506="ETAPA"</formula>
    </cfRule>
  </conditionalFormatting>
  <conditionalFormatting sqref="M2507">
    <cfRule type="expression" priority="63335" dxfId="3">
      <formula>$H2507="ETAPA"</formula>
    </cfRule>
    <cfRule type="expression" priority="63336" dxfId="5">
      <formula>$H2507="CÉLULA CONSTRUTIVA"</formula>
    </cfRule>
    <cfRule type="expression" priority="63337" dxfId="3">
      <formula>$H2507="ETAPA"</formula>
    </cfRule>
    <cfRule type="expression" priority="63338" dxfId="4">
      <formula>$H2507="SUBETAPA"</formula>
    </cfRule>
    <cfRule type="expression" priority="63339" dxfId="5">
      <formula>$H2507="CÉLULA CONSTRUTIVA"</formula>
    </cfRule>
    <cfRule type="expression" priority="63340" dxfId="3">
      <formula>$H2507="ETAPA"</formula>
    </cfRule>
  </conditionalFormatting>
  <conditionalFormatting sqref="M2512:M2513 O2512:O2513">
    <cfRule type="expression" priority="63592" dxfId="5">
      <formula>$H2512="CÉLULA CONSTRUTIVA"</formula>
    </cfRule>
    <cfRule type="expression" priority="63594" dxfId="3">
      <formula>$H2512="ETAPA"</formula>
    </cfRule>
  </conditionalFormatting>
  <conditionalFormatting sqref="M2512:M2513">
    <cfRule type="expression" priority="63596" dxfId="5">
      <formula>$H2512="CÉLULA CONSTRUTIVA"</formula>
    </cfRule>
    <cfRule type="expression" priority="63597" dxfId="3">
      <formula>$H2512="ETAPA"</formula>
    </cfRule>
    <cfRule type="expression" priority="63598" dxfId="4">
      <formula>$H2512="SUBETAPA"</formula>
    </cfRule>
    <cfRule type="expression" priority="63599" dxfId="5">
      <formula>$H2512="CÉLULA CONSTRUTIVA"</formula>
    </cfRule>
    <cfRule type="expression" priority="63600" dxfId="3">
      <formula>$H2512="ETAPA"</formula>
    </cfRule>
  </conditionalFormatting>
  <conditionalFormatting sqref="M2516">
    <cfRule type="expression" priority="6783" dxfId="5">
      <formula>$H2516="CÉLULA CONSTRUTIVA"</formula>
    </cfRule>
  </conditionalFormatting>
  <conditionalFormatting sqref="M2517 O2517">
    <cfRule type="expression" priority="63648" dxfId="4">
      <formula>$H2517="SUBETAPA"</formula>
    </cfRule>
    <cfRule type="expression" priority="63649" dxfId="5">
      <formula>$H2517="CÉLULA CONSTRUTIVA"</formula>
    </cfRule>
  </conditionalFormatting>
  <conditionalFormatting sqref="M2517">
    <cfRule type="expression" priority="63646" dxfId="5">
      <formula>$H2517="CÉLULA CONSTRUTIVA"</formula>
    </cfRule>
    <cfRule type="expression" priority="63647" dxfId="3">
      <formula>$H2517="ETAPA"</formula>
    </cfRule>
  </conditionalFormatting>
  <conditionalFormatting sqref="M2517:M2518">
    <cfRule type="expression" priority="63650" dxfId="3">
      <formula>$H2517="ETAPA"</formula>
    </cfRule>
  </conditionalFormatting>
  <conditionalFormatting sqref="M2519">
    <cfRule type="expression" priority="63477" dxfId="5">
      <formula>$H2519="CÉLULA CONSTRUTIVA"</formula>
    </cfRule>
    <cfRule type="expression" priority="63478" dxfId="3">
      <formula>$H2519="ETAPA"</formula>
    </cfRule>
    <cfRule type="expression" priority="63479" dxfId="5">
      <formula>$H2519="CÉLULA CONSTRUTIVA"</formula>
    </cfRule>
    <cfRule type="expression" priority="63480" dxfId="3">
      <formula>$H2519="ETAPA"</formula>
    </cfRule>
    <cfRule type="expression" priority="63481" dxfId="4">
      <formula>$H2519="SUBETAPA"</formula>
    </cfRule>
  </conditionalFormatting>
  <conditionalFormatting sqref="M2520">
    <cfRule type="expression" priority="63482" dxfId="5">
      <formula>$H2520="CÉLULA CONSTRUTIVA"</formula>
    </cfRule>
    <cfRule type="expression" priority="63483" dxfId="3">
      <formula>$H2520="ETAPA"</formula>
    </cfRule>
    <cfRule type="expression" priority="63484" dxfId="4">
      <formula>$H2520="SUBETAPA"</formula>
    </cfRule>
    <cfRule type="expression" priority="63485" dxfId="5">
      <formula>$H2520="CÉLULA CONSTRUTIVA"</formula>
    </cfRule>
    <cfRule type="expression" priority="63486" dxfId="3">
      <formula>$H2520="ETAPA"</formula>
    </cfRule>
  </conditionalFormatting>
  <conditionalFormatting sqref="M2521">
    <cfRule type="expression" priority="63455" dxfId="5">
      <formula>$H2521="CÉLULA CONSTRUTIVA"</formula>
    </cfRule>
    <cfRule type="expression" priority="63456" dxfId="3">
      <formula>$H2521="ETAPA"</formula>
    </cfRule>
    <cfRule type="expression" priority="63457" dxfId="5">
      <formula>$H2521="CÉLULA CONSTRUTIVA"</formula>
    </cfRule>
    <cfRule type="expression" priority="63458" dxfId="3">
      <formula>$H2521="ETAPA"</formula>
    </cfRule>
    <cfRule type="expression" priority="63459" dxfId="4">
      <formula>$H2521="SUBETAPA"</formula>
    </cfRule>
  </conditionalFormatting>
  <conditionalFormatting sqref="M2522">
    <cfRule type="expression" priority="63466" dxfId="5">
      <formula>$H2522="CÉLULA CONSTRUTIVA"</formula>
    </cfRule>
    <cfRule type="expression" priority="63467" dxfId="3">
      <formula>$H2522="ETAPA"</formula>
    </cfRule>
    <cfRule type="expression" priority="63468" dxfId="5">
      <formula>$H2522="CÉLULA CONSTRUTIVA"</formula>
    </cfRule>
    <cfRule type="expression" priority="63469" dxfId="3">
      <formula>$H2522="ETAPA"</formula>
    </cfRule>
    <cfRule type="expression" priority="63470" dxfId="4">
      <formula>$H2522="SUBETAPA"</formula>
    </cfRule>
  </conditionalFormatting>
  <conditionalFormatting sqref="M2524">
    <cfRule type="expression" priority="63683" dxfId="5">
      <formula>$H2524="CÉLULA CONSTRUTIVA"</formula>
    </cfRule>
    <cfRule type="expression" priority="63684" dxfId="3">
      <formula>$H2524="ETAPA"</formula>
    </cfRule>
    <cfRule type="expression" priority="63685" dxfId="4">
      <formula>$H2524="SUBETAPA"</formula>
    </cfRule>
    <cfRule type="expression" priority="63686" dxfId="5">
      <formula>$H2524="CÉLULA CONSTRUTIVA"</formula>
    </cfRule>
    <cfRule type="expression" priority="63687" dxfId="3">
      <formula>$H2524="ETAPA"</formula>
    </cfRule>
  </conditionalFormatting>
  <conditionalFormatting sqref="M2526:M2529">
    <cfRule type="expression" priority="63579" dxfId="3">
      <formula>$H2526="ETAPA"</formula>
    </cfRule>
  </conditionalFormatting>
  <conditionalFormatting sqref="M2529">
    <cfRule type="expression" priority="63574" dxfId="3">
      <formula>$H2529="ETAPA"</formula>
    </cfRule>
    <cfRule type="expression" priority="63575" dxfId="5">
      <formula>$H2529="CÉLULA CONSTRUTIVA"</formula>
    </cfRule>
    <cfRule type="expression" priority="63576" dxfId="3">
      <formula>$H2529="ETAPA"</formula>
    </cfRule>
    <cfRule type="expression" priority="63577" dxfId="4">
      <formula>$H2529="SUBETAPA"</formula>
    </cfRule>
    <cfRule type="expression" priority="63578" dxfId="5">
      <formula>$H2529="CÉLULA CONSTRUTIVA"</formula>
    </cfRule>
  </conditionalFormatting>
  <conditionalFormatting sqref="M1800:M1801 M2358:M2359 M2409:M2410 M2432:M2433 M2455:M2456 M2479:M2480 M2508:M2509 M2530:M2531">
    <cfRule type="expression" priority="78852" dxfId="3">
      <formula>$H1800="ETAPA"</formula>
    </cfRule>
  </conditionalFormatting>
  <conditionalFormatting sqref="M2534:M2535 O2534:O2535">
    <cfRule type="expression" priority="63831" dxfId="5">
      <formula>$H2534="CÉLULA CONSTRUTIVA"</formula>
    </cfRule>
    <cfRule type="expression" priority="63833" dxfId="3">
      <formula>$H2534="ETAPA"</formula>
    </cfRule>
  </conditionalFormatting>
  <conditionalFormatting sqref="M2534:M2535">
    <cfRule type="expression" priority="63835" dxfId="5">
      <formula>$H2534="CÉLULA CONSTRUTIVA"</formula>
    </cfRule>
    <cfRule type="expression" priority="63836" dxfId="3">
      <formula>$H2534="ETAPA"</formula>
    </cfRule>
    <cfRule type="expression" priority="63837" dxfId="4">
      <formula>$H2534="SUBETAPA"</formula>
    </cfRule>
    <cfRule type="expression" priority="63838" dxfId="5">
      <formula>$H2534="CÉLULA CONSTRUTIVA"</formula>
    </cfRule>
    <cfRule type="expression" priority="63839" dxfId="3">
      <formula>$H2534="ETAPA"</formula>
    </cfRule>
  </conditionalFormatting>
  <conditionalFormatting sqref="M2537">
    <cfRule type="expression" priority="6704" dxfId="5">
      <formula>$H2537="CÉLULA CONSTRUTIVA"</formula>
    </cfRule>
  </conditionalFormatting>
  <conditionalFormatting sqref="M2538:M2539">
    <cfRule type="expression" priority="63719" dxfId="3">
      <formula>$H2538="ETAPA"</formula>
    </cfRule>
  </conditionalFormatting>
  <conditionalFormatting sqref="M2539">
    <cfRule type="expression" priority="63716" dxfId="5">
      <formula>$H2539="CÉLULA CONSTRUTIVA"</formula>
    </cfRule>
    <cfRule type="expression" priority="63717" dxfId="3">
      <formula>$H2539="ETAPA"</formula>
    </cfRule>
    <cfRule type="expression" priority="63718" dxfId="5">
      <formula>$H2539="CÉLULA CONSTRUTIVA"</formula>
    </cfRule>
    <cfRule type="expression" priority="63720" dxfId="4">
      <formula>$H2539="SUBETAPA"</formula>
    </cfRule>
  </conditionalFormatting>
  <conditionalFormatting sqref="M2540">
    <cfRule type="expression" priority="63721" dxfId="5">
      <formula>$H2540="CÉLULA CONSTRUTIVA"</formula>
    </cfRule>
    <cfRule type="expression" priority="63722" dxfId="3">
      <formula>$H2540="ETAPA"</formula>
    </cfRule>
    <cfRule type="expression" priority="63723" dxfId="4">
      <formula>$H2540="SUBETAPA"</formula>
    </cfRule>
    <cfRule type="expression" priority="63724" dxfId="5">
      <formula>$H2540="CÉLULA CONSTRUTIVA"</formula>
    </cfRule>
    <cfRule type="expression" priority="63725" dxfId="3">
      <formula>$H2540="ETAPA"</formula>
    </cfRule>
  </conditionalFormatting>
  <conditionalFormatting sqref="M2541">
    <cfRule type="expression" priority="63694" dxfId="5">
      <formula>$H2541="CÉLULA CONSTRUTIVA"</formula>
    </cfRule>
    <cfRule type="expression" priority="63695" dxfId="3">
      <formula>$H2541="ETAPA"</formula>
    </cfRule>
    <cfRule type="expression" priority="63696" dxfId="5">
      <formula>$H2541="CÉLULA CONSTRUTIVA"</formula>
    </cfRule>
    <cfRule type="expression" priority="63697" dxfId="3">
      <formula>$H2541="ETAPA"</formula>
    </cfRule>
    <cfRule type="expression" priority="63698" dxfId="4">
      <formula>$H2541="SUBETAPA"</formula>
    </cfRule>
  </conditionalFormatting>
  <conditionalFormatting sqref="M2544">
    <cfRule type="expression" priority="6677" dxfId="5">
      <formula>$H2544="CÉLULA CONSTRUTIVA"</formula>
    </cfRule>
    <cfRule type="expression" priority="6678" dxfId="3">
      <formula>$H2544="ETAPA"</formula>
    </cfRule>
    <cfRule type="expression" priority="6679" dxfId="5">
      <formula>$H2544="CÉLULA CONSTRUTIVA"</formula>
    </cfRule>
    <cfRule type="expression" priority="6680" dxfId="3">
      <formula>$H2544="ETAPA"</formula>
    </cfRule>
    <cfRule type="expression" priority="6681" dxfId="4">
      <formula>$H2544="SUBETAPA"</formula>
    </cfRule>
    <cfRule type="expression" priority="6682" dxfId="5">
      <formula>$H2544="CÉLULA CONSTRUTIVA"</formula>
    </cfRule>
    <cfRule type="expression" priority="6683" dxfId="3">
      <formula>$H2544="ETAPA"</formula>
    </cfRule>
  </conditionalFormatting>
  <conditionalFormatting sqref="M2545:M2547">
    <cfRule type="expression" priority="63818" dxfId="3">
      <formula>$H2545="ETAPA"</formula>
    </cfRule>
  </conditionalFormatting>
  <conditionalFormatting sqref="M2546">
    <cfRule type="expression" priority="63813" dxfId="3">
      <formula>$H2546="ETAPA"</formula>
    </cfRule>
    <cfRule type="expression" priority="63814" dxfId="5">
      <formula>$H2546="CÉLULA CONSTRUTIVA"</formula>
    </cfRule>
    <cfRule type="expression" priority="63815" dxfId="3">
      <formula>$H2546="ETAPA"</formula>
    </cfRule>
    <cfRule type="expression" priority="63816" dxfId="4">
      <formula>$H2546="SUBETAPA"</formula>
    </cfRule>
    <cfRule type="expression" priority="63817" dxfId="5">
      <formula>$H2546="CÉLULA CONSTRUTIVA"</formula>
    </cfRule>
  </conditionalFormatting>
  <conditionalFormatting sqref="M2550:M2551 O2550:O2551">
    <cfRule type="expression" priority="64070" dxfId="5">
      <formula>$H2550="CÉLULA CONSTRUTIVA"</formula>
    </cfRule>
    <cfRule type="expression" priority="64072" dxfId="3">
      <formula>$H2550="ETAPA"</formula>
    </cfRule>
  </conditionalFormatting>
  <conditionalFormatting sqref="M2550:M2551">
    <cfRule type="expression" priority="64074" dxfId="5">
      <formula>$H2550="CÉLULA CONSTRUTIVA"</formula>
    </cfRule>
    <cfRule type="expression" priority="64075" dxfId="3">
      <formula>$H2550="ETAPA"</formula>
    </cfRule>
    <cfRule type="expression" priority="64076" dxfId="4">
      <formula>$H2550="SUBETAPA"</formula>
    </cfRule>
    <cfRule type="expression" priority="64077" dxfId="5">
      <formula>$H2550="CÉLULA CONSTRUTIVA"</formula>
    </cfRule>
    <cfRule type="expression" priority="64078" dxfId="3">
      <formula>$H2550="ETAPA"</formula>
    </cfRule>
  </conditionalFormatting>
  <conditionalFormatting sqref="M2553">
    <cfRule type="expression" priority="6646" dxfId="5">
      <formula>$H2553="CÉLULA CONSTRUTIVA"</formula>
    </cfRule>
  </conditionalFormatting>
  <conditionalFormatting sqref="M2554:M2555">
    <cfRule type="expression" priority="63958" dxfId="3">
      <formula>$H2554="ETAPA"</formula>
    </cfRule>
  </conditionalFormatting>
  <conditionalFormatting sqref="M2555">
    <cfRule type="expression" priority="63955" dxfId="5">
      <formula>$H2555="CÉLULA CONSTRUTIVA"</formula>
    </cfRule>
    <cfRule type="expression" priority="63956" dxfId="3">
      <formula>$H2555="ETAPA"</formula>
    </cfRule>
    <cfRule type="expression" priority="63957" dxfId="5">
      <formula>$H2555="CÉLULA CONSTRUTIVA"</formula>
    </cfRule>
    <cfRule type="expression" priority="63959" dxfId="4">
      <formula>$H2555="SUBETAPA"</formula>
    </cfRule>
  </conditionalFormatting>
  <conditionalFormatting sqref="M2556">
    <cfRule type="expression" priority="63960" dxfId="5">
      <formula>$H2556="CÉLULA CONSTRUTIVA"</formula>
    </cfRule>
    <cfRule type="expression" priority="63961" dxfId="3">
      <formula>$H2556="ETAPA"</formula>
    </cfRule>
    <cfRule type="expression" priority="63962" dxfId="4">
      <formula>$H2556="SUBETAPA"</formula>
    </cfRule>
    <cfRule type="expression" priority="63963" dxfId="5">
      <formula>$H2556="CÉLULA CONSTRUTIVA"</formula>
    </cfRule>
    <cfRule type="expression" priority="63964" dxfId="3">
      <formula>$H2556="ETAPA"</formula>
    </cfRule>
  </conditionalFormatting>
  <conditionalFormatting sqref="M2557">
    <cfRule type="expression" priority="63933" dxfId="5">
      <formula>$H2557="CÉLULA CONSTRUTIVA"</formula>
    </cfRule>
    <cfRule type="expression" priority="63934" dxfId="3">
      <formula>$H2557="ETAPA"</formula>
    </cfRule>
    <cfRule type="expression" priority="63935" dxfId="5">
      <formula>$H2557="CÉLULA CONSTRUTIVA"</formula>
    </cfRule>
    <cfRule type="expression" priority="63936" dxfId="3">
      <formula>$H2557="ETAPA"</formula>
    </cfRule>
    <cfRule type="expression" priority="63937" dxfId="4">
      <formula>$H2557="SUBETAPA"</formula>
    </cfRule>
  </conditionalFormatting>
  <conditionalFormatting sqref="M2560">
    <cfRule type="expression" priority="6619" dxfId="5">
      <formula>$H2560="CÉLULA CONSTRUTIVA"</formula>
    </cfRule>
    <cfRule type="expression" priority="6620" dxfId="3">
      <formula>$H2560="ETAPA"</formula>
    </cfRule>
    <cfRule type="expression" priority="6621" dxfId="5">
      <formula>$H2560="CÉLULA CONSTRUTIVA"</formula>
    </cfRule>
    <cfRule type="expression" priority="6622" dxfId="3">
      <formula>$H2560="ETAPA"</formula>
    </cfRule>
    <cfRule type="expression" priority="6623" dxfId="4">
      <formula>$H2560="SUBETAPA"</formula>
    </cfRule>
    <cfRule type="expression" priority="6624" dxfId="5">
      <formula>$H2560="CÉLULA CONSTRUTIVA"</formula>
    </cfRule>
    <cfRule type="expression" priority="6625" dxfId="3">
      <formula>$H2560="ETAPA"</formula>
    </cfRule>
  </conditionalFormatting>
  <conditionalFormatting sqref="M2561:M2563">
    <cfRule type="expression" priority="64057" dxfId="3">
      <formula>$H2561="ETAPA"</formula>
    </cfRule>
  </conditionalFormatting>
  <conditionalFormatting sqref="M2562">
    <cfRule type="expression" priority="64052" dxfId="3">
      <formula>$H2562="ETAPA"</formula>
    </cfRule>
    <cfRule type="expression" priority="64053" dxfId="5">
      <formula>$H2562="CÉLULA CONSTRUTIVA"</formula>
    </cfRule>
    <cfRule type="expression" priority="64054" dxfId="3">
      <formula>$H2562="ETAPA"</formula>
    </cfRule>
    <cfRule type="expression" priority="64055" dxfId="4">
      <formula>$H2562="SUBETAPA"</formula>
    </cfRule>
    <cfRule type="expression" priority="64056" dxfId="5">
      <formula>$H2562="CÉLULA CONSTRUTIVA"</formula>
    </cfRule>
  </conditionalFormatting>
  <conditionalFormatting sqref="M2566:M2567 O2566:O2567">
    <cfRule type="expression" priority="64309" dxfId="5">
      <formula>$H2566="CÉLULA CONSTRUTIVA"</formula>
    </cfRule>
    <cfRule type="expression" priority="64311" dxfId="3">
      <formula>$H2566="ETAPA"</formula>
    </cfRule>
  </conditionalFormatting>
  <conditionalFormatting sqref="M2566:M2567">
    <cfRule type="expression" priority="64313" dxfId="5">
      <formula>$H2566="CÉLULA CONSTRUTIVA"</formula>
    </cfRule>
    <cfRule type="expression" priority="64314" dxfId="3">
      <formula>$H2566="ETAPA"</formula>
    </cfRule>
    <cfRule type="expression" priority="64315" dxfId="4">
      <formula>$H2566="SUBETAPA"</formula>
    </cfRule>
    <cfRule type="expression" priority="64316" dxfId="5">
      <formula>$H2566="CÉLULA CONSTRUTIVA"</formula>
    </cfRule>
    <cfRule type="expression" priority="64317" dxfId="3">
      <formula>$H2566="ETAPA"</formula>
    </cfRule>
  </conditionalFormatting>
  <conditionalFormatting sqref="M2569">
    <cfRule type="expression" priority="6588" dxfId="5">
      <formula>$H2569="CÉLULA CONSTRUTIVA"</formula>
    </cfRule>
  </conditionalFormatting>
  <conditionalFormatting sqref="M2570:M2571">
    <cfRule type="expression" priority="64197" dxfId="3">
      <formula>$H2570="ETAPA"</formula>
    </cfRule>
  </conditionalFormatting>
  <conditionalFormatting sqref="M2571">
    <cfRule type="expression" priority="64194" dxfId="5">
      <formula>$H2571="CÉLULA CONSTRUTIVA"</formula>
    </cfRule>
    <cfRule type="expression" priority="64195" dxfId="3">
      <formula>$H2571="ETAPA"</formula>
    </cfRule>
    <cfRule type="expression" priority="64196" dxfId="5">
      <formula>$H2571="CÉLULA CONSTRUTIVA"</formula>
    </cfRule>
    <cfRule type="expression" priority="64198" dxfId="4">
      <formula>$H2571="SUBETAPA"</formula>
    </cfRule>
  </conditionalFormatting>
  <conditionalFormatting sqref="M2572">
    <cfRule type="expression" priority="64199" dxfId="5">
      <formula>$H2572="CÉLULA CONSTRUTIVA"</formula>
    </cfRule>
    <cfRule type="expression" priority="64200" dxfId="3">
      <formula>$H2572="ETAPA"</formula>
    </cfRule>
    <cfRule type="expression" priority="64201" dxfId="4">
      <formula>$H2572="SUBETAPA"</formula>
    </cfRule>
    <cfRule type="expression" priority="64202" dxfId="5">
      <formula>$H2572="CÉLULA CONSTRUTIVA"</formula>
    </cfRule>
    <cfRule type="expression" priority="64203" dxfId="3">
      <formula>$H2572="ETAPA"</formula>
    </cfRule>
  </conditionalFormatting>
  <conditionalFormatting sqref="M2573">
    <cfRule type="expression" priority="64172" dxfId="5">
      <formula>$H2573="CÉLULA CONSTRUTIVA"</formula>
    </cfRule>
    <cfRule type="expression" priority="64173" dxfId="3">
      <formula>$H2573="ETAPA"</formula>
    </cfRule>
    <cfRule type="expression" priority="64174" dxfId="5">
      <formula>$H2573="CÉLULA CONSTRUTIVA"</formula>
    </cfRule>
    <cfRule type="expression" priority="64175" dxfId="3">
      <formula>$H2573="ETAPA"</formula>
    </cfRule>
    <cfRule type="expression" priority="64176" dxfId="4">
      <formula>$H2573="SUBETAPA"</formula>
    </cfRule>
  </conditionalFormatting>
  <conditionalFormatting sqref="M2576">
    <cfRule type="expression" priority="6561" dxfId="5">
      <formula>$H2576="CÉLULA CONSTRUTIVA"</formula>
    </cfRule>
    <cfRule type="expression" priority="6562" dxfId="3">
      <formula>$H2576="ETAPA"</formula>
    </cfRule>
    <cfRule type="expression" priority="6563" dxfId="5">
      <formula>$H2576="CÉLULA CONSTRUTIVA"</formula>
    </cfRule>
    <cfRule type="expression" priority="6564" dxfId="3">
      <formula>$H2576="ETAPA"</formula>
    </cfRule>
    <cfRule type="expression" priority="6565" dxfId="4">
      <formula>$H2576="SUBETAPA"</formula>
    </cfRule>
    <cfRule type="expression" priority="6566" dxfId="5">
      <formula>$H2576="CÉLULA CONSTRUTIVA"</formula>
    </cfRule>
    <cfRule type="expression" priority="6567" dxfId="3">
      <formula>$H2576="ETAPA"</formula>
    </cfRule>
  </conditionalFormatting>
  <conditionalFormatting sqref="M2577:M2579">
    <cfRule type="expression" priority="64296" dxfId="3">
      <formula>$H2577="ETAPA"</formula>
    </cfRule>
  </conditionalFormatting>
  <conditionalFormatting sqref="M2578">
    <cfRule type="expression" priority="64291" dxfId="3">
      <formula>$H2578="ETAPA"</formula>
    </cfRule>
    <cfRule type="expression" priority="64292" dxfId="5">
      <formula>$H2578="CÉLULA CONSTRUTIVA"</formula>
    </cfRule>
    <cfRule type="expression" priority="64293" dxfId="3">
      <formula>$H2578="ETAPA"</formula>
    </cfRule>
    <cfRule type="expression" priority="64294" dxfId="4">
      <formula>$H2578="SUBETAPA"</formula>
    </cfRule>
    <cfRule type="expression" priority="64295" dxfId="5">
      <formula>$H2578="CÉLULA CONSTRUTIVA"</formula>
    </cfRule>
  </conditionalFormatting>
  <conditionalFormatting sqref="M2582:M2583 O2582:O2583">
    <cfRule type="expression" priority="64548" dxfId="5">
      <formula>$H2582="CÉLULA CONSTRUTIVA"</formula>
    </cfRule>
    <cfRule type="expression" priority="64550" dxfId="3">
      <formula>$H2582="ETAPA"</formula>
    </cfRule>
  </conditionalFormatting>
  <conditionalFormatting sqref="M2582:M2583">
    <cfRule type="expression" priority="64552" dxfId="5">
      <formula>$H2582="CÉLULA CONSTRUTIVA"</formula>
    </cfRule>
    <cfRule type="expression" priority="64553" dxfId="3">
      <formula>$H2582="ETAPA"</formula>
    </cfRule>
    <cfRule type="expression" priority="64554" dxfId="4">
      <formula>$H2582="SUBETAPA"</formula>
    </cfRule>
    <cfRule type="expression" priority="64555" dxfId="5">
      <formula>$H2582="CÉLULA CONSTRUTIVA"</formula>
    </cfRule>
    <cfRule type="expression" priority="64556" dxfId="3">
      <formula>$H2582="ETAPA"</formula>
    </cfRule>
  </conditionalFormatting>
  <conditionalFormatting sqref="M2585">
    <cfRule type="expression" priority="6530" dxfId="5">
      <formula>$H2585="CÉLULA CONSTRUTIVA"</formula>
    </cfRule>
  </conditionalFormatting>
  <conditionalFormatting sqref="M2586:M2587">
    <cfRule type="expression" priority="64436" dxfId="3">
      <formula>$H2586="ETAPA"</formula>
    </cfRule>
  </conditionalFormatting>
  <conditionalFormatting sqref="M2587">
    <cfRule type="expression" priority="64433" dxfId="5">
      <formula>$H2587="CÉLULA CONSTRUTIVA"</formula>
    </cfRule>
    <cfRule type="expression" priority="64434" dxfId="3">
      <formula>$H2587="ETAPA"</formula>
    </cfRule>
    <cfRule type="expression" priority="64435" dxfId="5">
      <formula>$H2587="CÉLULA CONSTRUTIVA"</formula>
    </cfRule>
    <cfRule type="expression" priority="64437" dxfId="4">
      <formula>$H2587="SUBETAPA"</formula>
    </cfRule>
  </conditionalFormatting>
  <conditionalFormatting sqref="M2588">
    <cfRule type="expression" priority="64438" dxfId="5">
      <formula>$H2588="CÉLULA CONSTRUTIVA"</formula>
    </cfRule>
    <cfRule type="expression" priority="64439" dxfId="3">
      <formula>$H2588="ETAPA"</formula>
    </cfRule>
    <cfRule type="expression" priority="64440" dxfId="4">
      <formula>$H2588="SUBETAPA"</formula>
    </cfRule>
    <cfRule type="expression" priority="64441" dxfId="5">
      <formula>$H2588="CÉLULA CONSTRUTIVA"</formula>
    </cfRule>
    <cfRule type="expression" priority="64442" dxfId="3">
      <formula>$H2588="ETAPA"</formula>
    </cfRule>
  </conditionalFormatting>
  <conditionalFormatting sqref="M2589">
    <cfRule type="expression" priority="64411" dxfId="5">
      <formula>$H2589="CÉLULA CONSTRUTIVA"</formula>
    </cfRule>
    <cfRule type="expression" priority="64412" dxfId="3">
      <formula>$H2589="ETAPA"</formula>
    </cfRule>
    <cfRule type="expression" priority="64413" dxfId="5">
      <formula>$H2589="CÉLULA CONSTRUTIVA"</formula>
    </cfRule>
    <cfRule type="expression" priority="64414" dxfId="3">
      <formula>$H2589="ETAPA"</formula>
    </cfRule>
    <cfRule type="expression" priority="64415" dxfId="4">
      <formula>$H2589="SUBETAPA"</formula>
    </cfRule>
  </conditionalFormatting>
  <conditionalFormatting sqref="M2592">
    <cfRule type="expression" priority="6503" dxfId="5">
      <formula>$H2592="CÉLULA CONSTRUTIVA"</formula>
    </cfRule>
    <cfRule type="expression" priority="6504" dxfId="3">
      <formula>$H2592="ETAPA"</formula>
    </cfRule>
    <cfRule type="expression" priority="6505" dxfId="5">
      <formula>$H2592="CÉLULA CONSTRUTIVA"</formula>
    </cfRule>
    <cfRule type="expression" priority="6506" dxfId="3">
      <formula>$H2592="ETAPA"</formula>
    </cfRule>
    <cfRule type="expression" priority="6507" dxfId="4">
      <formula>$H2592="SUBETAPA"</formula>
    </cfRule>
    <cfRule type="expression" priority="6508" dxfId="5">
      <formula>$H2592="CÉLULA CONSTRUTIVA"</formula>
    </cfRule>
    <cfRule type="expression" priority="6509" dxfId="3">
      <formula>$H2592="ETAPA"</formula>
    </cfRule>
  </conditionalFormatting>
  <conditionalFormatting sqref="M2593:M2595">
    <cfRule type="expression" priority="64535" dxfId="3">
      <formula>$H2593="ETAPA"</formula>
    </cfRule>
  </conditionalFormatting>
  <conditionalFormatting sqref="M2594">
    <cfRule type="expression" priority="64530" dxfId="3">
      <formula>$H2594="ETAPA"</formula>
    </cfRule>
    <cfRule type="expression" priority="64531" dxfId="5">
      <formula>$H2594="CÉLULA CONSTRUTIVA"</formula>
    </cfRule>
    <cfRule type="expression" priority="64532" dxfId="3">
      <formula>$H2594="ETAPA"</formula>
    </cfRule>
    <cfRule type="expression" priority="64533" dxfId="4">
      <formula>$H2594="SUBETAPA"</formula>
    </cfRule>
    <cfRule type="expression" priority="64534" dxfId="5">
      <formula>$H2594="CÉLULA CONSTRUTIVA"</formula>
    </cfRule>
  </conditionalFormatting>
  <conditionalFormatting sqref="M2598:M2599 O2598:O2599">
    <cfRule type="expression" priority="64787" dxfId="5">
      <formula>$H2598="CÉLULA CONSTRUTIVA"</formula>
    </cfRule>
    <cfRule type="expression" priority="64789" dxfId="3">
      <formula>$H2598="ETAPA"</formula>
    </cfRule>
  </conditionalFormatting>
  <conditionalFormatting sqref="M2598:M2599">
    <cfRule type="expression" priority="64791" dxfId="5">
      <formula>$H2598="CÉLULA CONSTRUTIVA"</formula>
    </cfRule>
    <cfRule type="expression" priority="64792" dxfId="3">
      <formula>$H2598="ETAPA"</formula>
    </cfRule>
    <cfRule type="expression" priority="64793" dxfId="4">
      <formula>$H2598="SUBETAPA"</formula>
    </cfRule>
    <cfRule type="expression" priority="64794" dxfId="5">
      <formula>$H2598="CÉLULA CONSTRUTIVA"</formula>
    </cfRule>
    <cfRule type="expression" priority="64795" dxfId="3">
      <formula>$H2598="ETAPA"</formula>
    </cfRule>
  </conditionalFormatting>
  <conditionalFormatting sqref="M2601">
    <cfRule type="expression" priority="6472" dxfId="5">
      <formula>$H2601="CÉLULA CONSTRUTIVA"</formula>
    </cfRule>
  </conditionalFormatting>
  <conditionalFormatting sqref="M2602:M2603">
    <cfRule type="expression" priority="64675" dxfId="3">
      <formula>$H2602="ETAPA"</formula>
    </cfRule>
  </conditionalFormatting>
  <conditionalFormatting sqref="M2603">
    <cfRule type="expression" priority="64672" dxfId="5">
      <formula>$H2603="CÉLULA CONSTRUTIVA"</formula>
    </cfRule>
    <cfRule type="expression" priority="64673" dxfId="3">
      <formula>$H2603="ETAPA"</formula>
    </cfRule>
    <cfRule type="expression" priority="64674" dxfId="5">
      <formula>$H2603="CÉLULA CONSTRUTIVA"</formula>
    </cfRule>
    <cfRule type="expression" priority="64676" dxfId="4">
      <formula>$H2603="SUBETAPA"</formula>
    </cfRule>
  </conditionalFormatting>
  <conditionalFormatting sqref="M2604">
    <cfRule type="expression" priority="64677" dxfId="5">
      <formula>$H2604="CÉLULA CONSTRUTIVA"</formula>
    </cfRule>
    <cfRule type="expression" priority="64678" dxfId="3">
      <formula>$H2604="ETAPA"</formula>
    </cfRule>
    <cfRule type="expression" priority="64679" dxfId="4">
      <formula>$H2604="SUBETAPA"</formula>
    </cfRule>
    <cfRule type="expression" priority="64680" dxfId="5">
      <formula>$H2604="CÉLULA CONSTRUTIVA"</formula>
    </cfRule>
    <cfRule type="expression" priority="64681" dxfId="3">
      <formula>$H2604="ETAPA"</formula>
    </cfRule>
  </conditionalFormatting>
  <conditionalFormatting sqref="M2605">
    <cfRule type="expression" priority="64650" dxfId="5">
      <formula>$H2605="CÉLULA CONSTRUTIVA"</formula>
    </cfRule>
    <cfRule type="expression" priority="64651" dxfId="3">
      <formula>$H2605="ETAPA"</formula>
    </cfRule>
    <cfRule type="expression" priority="64652" dxfId="5">
      <formula>$H2605="CÉLULA CONSTRUTIVA"</formula>
    </cfRule>
    <cfRule type="expression" priority="64653" dxfId="3">
      <formula>$H2605="ETAPA"</formula>
    </cfRule>
    <cfRule type="expression" priority="64654" dxfId="4">
      <formula>$H2605="SUBETAPA"</formula>
    </cfRule>
  </conditionalFormatting>
  <conditionalFormatting sqref="M2608">
    <cfRule type="expression" priority="6445" dxfId="5">
      <formula>$H2608="CÉLULA CONSTRUTIVA"</formula>
    </cfRule>
    <cfRule type="expression" priority="6446" dxfId="3">
      <formula>$H2608="ETAPA"</formula>
    </cfRule>
    <cfRule type="expression" priority="6447" dxfId="5">
      <formula>$H2608="CÉLULA CONSTRUTIVA"</formula>
    </cfRule>
    <cfRule type="expression" priority="6448" dxfId="3">
      <formula>$H2608="ETAPA"</formula>
    </cfRule>
    <cfRule type="expression" priority="6449" dxfId="4">
      <formula>$H2608="SUBETAPA"</formula>
    </cfRule>
    <cfRule type="expression" priority="6450" dxfId="5">
      <formula>$H2608="CÉLULA CONSTRUTIVA"</formula>
    </cfRule>
    <cfRule type="expression" priority="6451" dxfId="3">
      <formula>$H2608="ETAPA"</formula>
    </cfRule>
  </conditionalFormatting>
  <conditionalFormatting sqref="M2609:M2611">
    <cfRule type="expression" priority="64774" dxfId="3">
      <formula>$H2609="ETAPA"</formula>
    </cfRule>
  </conditionalFormatting>
  <conditionalFormatting sqref="M2610">
    <cfRule type="expression" priority="64769" dxfId="3">
      <formula>$H2610="ETAPA"</formula>
    </cfRule>
    <cfRule type="expression" priority="64770" dxfId="5">
      <formula>$H2610="CÉLULA CONSTRUTIVA"</formula>
    </cfRule>
    <cfRule type="expression" priority="64771" dxfId="3">
      <formula>$H2610="ETAPA"</formula>
    </cfRule>
    <cfRule type="expression" priority="64772" dxfId="4">
      <formula>$H2610="SUBETAPA"</formula>
    </cfRule>
    <cfRule type="expression" priority="64773" dxfId="5">
      <formula>$H2610="CÉLULA CONSTRUTIVA"</formula>
    </cfRule>
  </conditionalFormatting>
  <conditionalFormatting sqref="M2614:M2615 O2614:O2615">
    <cfRule type="expression" priority="65026" dxfId="5">
      <formula>$H2614="CÉLULA CONSTRUTIVA"</formula>
    </cfRule>
    <cfRule type="expression" priority="65028" dxfId="3">
      <formula>$H2614="ETAPA"</formula>
    </cfRule>
  </conditionalFormatting>
  <conditionalFormatting sqref="M2614:M2615">
    <cfRule type="expression" priority="65030" dxfId="5">
      <formula>$H2614="CÉLULA CONSTRUTIVA"</formula>
    </cfRule>
    <cfRule type="expression" priority="65031" dxfId="3">
      <formula>$H2614="ETAPA"</formula>
    </cfRule>
    <cfRule type="expression" priority="65032" dxfId="4">
      <formula>$H2614="SUBETAPA"</formula>
    </cfRule>
    <cfRule type="expression" priority="65033" dxfId="5">
      <formula>$H2614="CÉLULA CONSTRUTIVA"</formula>
    </cfRule>
    <cfRule type="expression" priority="65034" dxfId="3">
      <formula>$H2614="ETAPA"</formula>
    </cfRule>
  </conditionalFormatting>
  <conditionalFormatting sqref="M2617">
    <cfRule type="expression" priority="6414" dxfId="5">
      <formula>$H2617="CÉLULA CONSTRUTIVA"</formula>
    </cfRule>
  </conditionalFormatting>
  <conditionalFormatting sqref="M2618:M2619">
    <cfRule type="expression" priority="64914" dxfId="3">
      <formula>$H2618="ETAPA"</formula>
    </cfRule>
  </conditionalFormatting>
  <conditionalFormatting sqref="M2619">
    <cfRule type="expression" priority="64911" dxfId="5">
      <formula>$H2619="CÉLULA CONSTRUTIVA"</formula>
    </cfRule>
    <cfRule type="expression" priority="64912" dxfId="3">
      <formula>$H2619="ETAPA"</formula>
    </cfRule>
    <cfRule type="expression" priority="64913" dxfId="5">
      <formula>$H2619="CÉLULA CONSTRUTIVA"</formula>
    </cfRule>
    <cfRule type="expression" priority="64915" dxfId="4">
      <formula>$H2619="SUBETAPA"</formula>
    </cfRule>
  </conditionalFormatting>
  <conditionalFormatting sqref="M2620">
    <cfRule type="expression" priority="64916" dxfId="5">
      <formula>$H2620="CÉLULA CONSTRUTIVA"</formula>
    </cfRule>
    <cfRule type="expression" priority="64917" dxfId="3">
      <formula>$H2620="ETAPA"</formula>
    </cfRule>
    <cfRule type="expression" priority="64918" dxfId="4">
      <formula>$H2620="SUBETAPA"</formula>
    </cfRule>
    <cfRule type="expression" priority="64919" dxfId="5">
      <formula>$H2620="CÉLULA CONSTRUTIVA"</formula>
    </cfRule>
    <cfRule type="expression" priority="64920" dxfId="3">
      <formula>$H2620="ETAPA"</formula>
    </cfRule>
  </conditionalFormatting>
  <conditionalFormatting sqref="M2621">
    <cfRule type="expression" priority="64889" dxfId="5">
      <formula>$H2621="CÉLULA CONSTRUTIVA"</formula>
    </cfRule>
    <cfRule type="expression" priority="64890" dxfId="3">
      <formula>$H2621="ETAPA"</formula>
    </cfRule>
    <cfRule type="expression" priority="64891" dxfId="5">
      <formula>$H2621="CÉLULA CONSTRUTIVA"</formula>
    </cfRule>
    <cfRule type="expression" priority="64893" dxfId="4">
      <formula>$H2621="SUBETAPA"</formula>
    </cfRule>
  </conditionalFormatting>
  <conditionalFormatting sqref="M2621:M2622">
    <cfRule type="expression" priority="64892" dxfId="3">
      <formula>$H2621="ETAPA"</formula>
    </cfRule>
  </conditionalFormatting>
  <conditionalFormatting sqref="M2623">
    <cfRule type="expression" priority="6387" dxfId="5">
      <formula>$H2623="CÉLULA CONSTRUTIVA"</formula>
    </cfRule>
    <cfRule type="expression" priority="6388" dxfId="3">
      <formula>$H2623="ETAPA"</formula>
    </cfRule>
    <cfRule type="expression" priority="6389" dxfId="5">
      <formula>$H2623="CÉLULA CONSTRUTIVA"</formula>
    </cfRule>
    <cfRule type="expression" priority="6390" dxfId="3">
      <formula>$H2623="ETAPA"</formula>
    </cfRule>
    <cfRule type="expression" priority="6391" dxfId="4">
      <formula>$H2623="SUBETAPA"</formula>
    </cfRule>
    <cfRule type="expression" priority="6392" dxfId="5">
      <formula>$H2623="CÉLULA CONSTRUTIVA"</formula>
    </cfRule>
    <cfRule type="expression" priority="6393" dxfId="3">
      <formula>$H2623="ETAPA"</formula>
    </cfRule>
  </conditionalFormatting>
  <conditionalFormatting sqref="M2624:M2625">
    <cfRule type="expression" priority="65013" dxfId="3">
      <formula>$H2624="ETAPA"</formula>
    </cfRule>
  </conditionalFormatting>
  <conditionalFormatting sqref="M2625">
    <cfRule type="expression" priority="65008" dxfId="3">
      <formula>$H2625="ETAPA"</formula>
    </cfRule>
    <cfRule type="expression" priority="65009" dxfId="5">
      <formula>$H2625="CÉLULA CONSTRUTIVA"</formula>
    </cfRule>
    <cfRule type="expression" priority="65010" dxfId="3">
      <formula>$H2625="ETAPA"</formula>
    </cfRule>
    <cfRule type="expression" priority="65011" dxfId="4">
      <formula>$H2625="SUBETAPA"</formula>
    </cfRule>
    <cfRule type="expression" priority="65012" dxfId="5">
      <formula>$H2625="CÉLULA CONSTRUTIVA"</formula>
    </cfRule>
  </conditionalFormatting>
  <conditionalFormatting sqref="M2629">
    <cfRule type="expression" priority="1929" dxfId="3">
      <formula>$H2629="ETAPA"</formula>
    </cfRule>
    <cfRule type="expression" priority="1930" dxfId="5">
      <formula>$H2629="CÉLULA CONSTRUTIVA"</formula>
    </cfRule>
    <cfRule type="expression" priority="1931" dxfId="3">
      <formula>$H2629="ETAPA"</formula>
    </cfRule>
    <cfRule type="expression" priority="1932" dxfId="4">
      <formula>$H2629="SUBETAPA"</formula>
    </cfRule>
  </conditionalFormatting>
  <conditionalFormatting sqref="M2629:M2630">
    <cfRule type="expression" priority="1928" dxfId="5">
      <formula>$H2629="CÉLULA CONSTRUTIVA"</formula>
    </cfRule>
  </conditionalFormatting>
  <conditionalFormatting sqref="M2629:M2635">
    <cfRule type="expression" priority="1933" dxfId="3">
      <formula>$H2629="ETAPA"</formula>
    </cfRule>
  </conditionalFormatting>
  <conditionalFormatting sqref="M2630 O2630">
    <cfRule type="expression" priority="1895" dxfId="5">
      <formula>$H2630="CÉLULA CONSTRUTIVA"</formula>
    </cfRule>
  </conditionalFormatting>
  <conditionalFormatting sqref="M2630">
    <cfRule type="expression" priority="1924" dxfId="3">
      <formula>$H2630="ETAPA"</formula>
    </cfRule>
    <cfRule type="expression" priority="1925" dxfId="4">
      <formula>$H2630="SUBETAPA"</formula>
    </cfRule>
    <cfRule type="expression" priority="1926" dxfId="5">
      <formula>$H2630="CÉLULA CONSTRUTIVA"</formula>
    </cfRule>
    <cfRule type="expression" priority="1927" dxfId="3">
      <formula>$H2630="ETAPA"</formula>
    </cfRule>
  </conditionalFormatting>
  <conditionalFormatting sqref="M2631:M2635">
    <cfRule type="expression" priority="1921" dxfId="5">
      <formula>$H2631="CÉLULA CONSTRUTIVA"</formula>
    </cfRule>
    <cfRule type="expression" priority="1922" dxfId="4">
      <formula>$H2631="SUBETAPA"</formula>
    </cfRule>
    <cfRule type="expression" priority="1923" dxfId="5">
      <formula>$H2631="CÉLULA CONSTRUTIVA"</formula>
    </cfRule>
    <cfRule type="expression" priority="1934" dxfId="3">
      <formula>$H2631="ETAPA"</formula>
    </cfRule>
    <cfRule type="expression" priority="1935" dxfId="3">
      <formula>$H2631="ETAPA"</formula>
    </cfRule>
  </conditionalFormatting>
  <conditionalFormatting sqref="M2640">
    <cfRule type="expression" priority="1997" dxfId="3">
      <formula>$H2640="ETAPA"</formula>
    </cfRule>
    <cfRule type="expression" priority="1998" dxfId="5">
      <formula>$H2640="CÉLULA CONSTRUTIVA"</formula>
    </cfRule>
    <cfRule type="expression" priority="1999" dxfId="3">
      <formula>$H2640="ETAPA"</formula>
    </cfRule>
    <cfRule type="expression" priority="2000" dxfId="4">
      <formula>$H2640="SUBETAPA"</formula>
    </cfRule>
  </conditionalFormatting>
  <conditionalFormatting sqref="M2640:M2641">
    <cfRule type="expression" priority="1996" dxfId="5">
      <formula>$H2640="CÉLULA CONSTRUTIVA"</formula>
    </cfRule>
    <cfRule type="expression" priority="2001" dxfId="3">
      <formula>$H2640="ETAPA"</formula>
    </cfRule>
  </conditionalFormatting>
  <conditionalFormatting sqref="M2641 O2641">
    <cfRule type="expression" priority="1963" dxfId="5">
      <formula>$H2641="CÉLULA CONSTRUTIVA"</formula>
    </cfRule>
  </conditionalFormatting>
  <conditionalFormatting sqref="M2641">
    <cfRule type="expression" priority="1992" dxfId="3">
      <formula>$H2641="ETAPA"</formula>
    </cfRule>
    <cfRule type="expression" priority="1993" dxfId="4">
      <formula>$H2641="SUBETAPA"</formula>
    </cfRule>
    <cfRule type="expression" priority="1994" dxfId="5">
      <formula>$H2641="CÉLULA CONSTRUTIVA"</formula>
    </cfRule>
    <cfRule type="expression" priority="1995" dxfId="3">
      <formula>$H2641="ETAPA"</formula>
    </cfRule>
  </conditionalFormatting>
  <conditionalFormatting sqref="M2650">
    <cfRule type="expression" priority="2065" dxfId="3">
      <formula>$H2650="ETAPA"</formula>
    </cfRule>
    <cfRule type="expression" priority="2066" dxfId="5">
      <formula>$H2650="CÉLULA CONSTRUTIVA"</formula>
    </cfRule>
    <cfRule type="expression" priority="2067" dxfId="3">
      <formula>$H2650="ETAPA"</formula>
    </cfRule>
    <cfRule type="expression" priority="2068" dxfId="4">
      <formula>$H2650="SUBETAPA"</formula>
    </cfRule>
  </conditionalFormatting>
  <conditionalFormatting sqref="M2650:M2651">
    <cfRule type="expression" priority="2064" dxfId="5">
      <formula>$H2650="CÉLULA CONSTRUTIVA"</formula>
    </cfRule>
    <cfRule type="expression" priority="2069" dxfId="3">
      <formula>$H2650="ETAPA"</formula>
    </cfRule>
  </conditionalFormatting>
  <conditionalFormatting sqref="M2651 O2651">
    <cfRule type="expression" priority="2031" dxfId="5">
      <formula>$H2651="CÉLULA CONSTRUTIVA"</formula>
    </cfRule>
  </conditionalFormatting>
  <conditionalFormatting sqref="M2651">
    <cfRule type="expression" priority="2060" dxfId="3">
      <formula>$H2651="ETAPA"</formula>
    </cfRule>
    <cfRule type="expression" priority="2061" dxfId="4">
      <formula>$H2651="SUBETAPA"</formula>
    </cfRule>
    <cfRule type="expression" priority="2062" dxfId="5">
      <formula>$H2651="CÉLULA CONSTRUTIVA"</formula>
    </cfRule>
    <cfRule type="expression" priority="2063" dxfId="3">
      <formula>$H2651="ETAPA"</formula>
    </cfRule>
  </conditionalFormatting>
  <conditionalFormatting sqref="M2659">
    <cfRule type="expression" priority="2133" dxfId="3">
      <formula>$H2659="ETAPA"</formula>
    </cfRule>
    <cfRule type="expression" priority="2134" dxfId="5">
      <formula>$H2659="CÉLULA CONSTRUTIVA"</formula>
    </cfRule>
    <cfRule type="expression" priority="2135" dxfId="3">
      <formula>$H2659="ETAPA"</formula>
    </cfRule>
    <cfRule type="expression" priority="2136" dxfId="4">
      <formula>$H2659="SUBETAPA"</formula>
    </cfRule>
  </conditionalFormatting>
  <conditionalFormatting sqref="M2659:M2660">
    <cfRule type="expression" priority="2132" dxfId="5">
      <formula>$H2659="CÉLULA CONSTRUTIVA"</formula>
    </cfRule>
    <cfRule type="expression" priority="2137" dxfId="3">
      <formula>$H2659="ETAPA"</formula>
    </cfRule>
  </conditionalFormatting>
  <conditionalFormatting sqref="M2660 O2660">
    <cfRule type="expression" priority="2099" dxfId="5">
      <formula>$H2660="CÉLULA CONSTRUTIVA"</formula>
    </cfRule>
  </conditionalFormatting>
  <conditionalFormatting sqref="M2660">
    <cfRule type="expression" priority="2128" dxfId="3">
      <formula>$H2660="ETAPA"</formula>
    </cfRule>
    <cfRule type="expression" priority="2129" dxfId="4">
      <formula>$H2660="SUBETAPA"</formula>
    </cfRule>
    <cfRule type="expression" priority="2130" dxfId="5">
      <formula>$H2660="CÉLULA CONSTRUTIVA"</formula>
    </cfRule>
    <cfRule type="expression" priority="2131" dxfId="3">
      <formula>$H2660="ETAPA"</formula>
    </cfRule>
  </conditionalFormatting>
  <conditionalFormatting sqref="M2666">
    <cfRule type="expression" priority="2201" dxfId="3">
      <formula>$H2666="ETAPA"</formula>
    </cfRule>
    <cfRule type="expression" priority="2202" dxfId="5">
      <formula>$H2666="CÉLULA CONSTRUTIVA"</formula>
    </cfRule>
    <cfRule type="expression" priority="2203" dxfId="3">
      <formula>$H2666="ETAPA"</formula>
    </cfRule>
    <cfRule type="expression" priority="2204" dxfId="4">
      <formula>$H2666="SUBETAPA"</formula>
    </cfRule>
  </conditionalFormatting>
  <conditionalFormatting sqref="M2666:M2667">
    <cfRule type="expression" priority="2200" dxfId="5">
      <formula>$H2666="CÉLULA CONSTRUTIVA"</formula>
    </cfRule>
    <cfRule type="expression" priority="2205" dxfId="3">
      <formula>$H2666="ETAPA"</formula>
    </cfRule>
  </conditionalFormatting>
  <conditionalFormatting sqref="M2667 O2667">
    <cfRule type="expression" priority="2167" dxfId="5">
      <formula>$H2667="CÉLULA CONSTRUTIVA"</formula>
    </cfRule>
  </conditionalFormatting>
  <conditionalFormatting sqref="M2667">
    <cfRule type="expression" priority="2196" dxfId="3">
      <formula>$H2667="ETAPA"</formula>
    </cfRule>
    <cfRule type="expression" priority="2197" dxfId="4">
      <formula>$H2667="SUBETAPA"</formula>
    </cfRule>
    <cfRule type="expression" priority="2198" dxfId="5">
      <formula>$H2667="CÉLULA CONSTRUTIVA"</formula>
    </cfRule>
    <cfRule type="expression" priority="2199" dxfId="3">
      <formula>$H2667="ETAPA"</formula>
    </cfRule>
  </conditionalFormatting>
  <conditionalFormatting sqref="M2673">
    <cfRule type="expression" priority="2269" dxfId="3">
      <formula>$H2673="ETAPA"</formula>
    </cfRule>
    <cfRule type="expression" priority="2270" dxfId="5">
      <formula>$H2673="CÉLULA CONSTRUTIVA"</formula>
    </cfRule>
    <cfRule type="expression" priority="2271" dxfId="3">
      <formula>$H2673="ETAPA"</formula>
    </cfRule>
    <cfRule type="expression" priority="2272" dxfId="4">
      <formula>$H2673="SUBETAPA"</formula>
    </cfRule>
  </conditionalFormatting>
  <conditionalFormatting sqref="M2673:M2674">
    <cfRule type="expression" priority="2268" dxfId="5">
      <formula>$H2673="CÉLULA CONSTRUTIVA"</formula>
    </cfRule>
    <cfRule type="expression" priority="2273" dxfId="3">
      <formula>$H2673="ETAPA"</formula>
    </cfRule>
  </conditionalFormatting>
  <conditionalFormatting sqref="M2674 O2674">
    <cfRule type="expression" priority="2235" dxfId="5">
      <formula>$H2674="CÉLULA CONSTRUTIVA"</formula>
    </cfRule>
  </conditionalFormatting>
  <conditionalFormatting sqref="M2674">
    <cfRule type="expression" priority="2264" dxfId="3">
      <formula>$H2674="ETAPA"</formula>
    </cfRule>
    <cfRule type="expression" priority="2265" dxfId="4">
      <formula>$H2674="SUBETAPA"</formula>
    </cfRule>
    <cfRule type="expression" priority="2266" dxfId="5">
      <formula>$H2674="CÉLULA CONSTRUTIVA"</formula>
    </cfRule>
    <cfRule type="expression" priority="2267" dxfId="3">
      <formula>$H2674="ETAPA"</formula>
    </cfRule>
  </conditionalFormatting>
  <conditionalFormatting sqref="M2681">
    <cfRule type="expression" priority="2337" dxfId="3">
      <formula>$H2681="ETAPA"</formula>
    </cfRule>
    <cfRule type="expression" priority="2338" dxfId="5">
      <formula>$H2681="CÉLULA CONSTRUTIVA"</formula>
    </cfRule>
    <cfRule type="expression" priority="2339" dxfId="3">
      <formula>$H2681="ETAPA"</formula>
    </cfRule>
    <cfRule type="expression" priority="2340" dxfId="4">
      <formula>$H2681="SUBETAPA"</formula>
    </cfRule>
  </conditionalFormatting>
  <conditionalFormatting sqref="M2681:M2682">
    <cfRule type="expression" priority="2336" dxfId="5">
      <formula>$H2681="CÉLULA CONSTRUTIVA"</formula>
    </cfRule>
    <cfRule type="expression" priority="2341" dxfId="3">
      <formula>$H2681="ETAPA"</formula>
    </cfRule>
  </conditionalFormatting>
  <conditionalFormatting sqref="M2682 O2682">
    <cfRule type="expression" priority="2303" dxfId="5">
      <formula>$H2682="CÉLULA CONSTRUTIVA"</formula>
    </cfRule>
  </conditionalFormatting>
  <conditionalFormatting sqref="M2682">
    <cfRule type="expression" priority="2332" dxfId="3">
      <formula>$H2682="ETAPA"</formula>
    </cfRule>
    <cfRule type="expression" priority="2333" dxfId="4">
      <formula>$H2682="SUBETAPA"</formula>
    </cfRule>
    <cfRule type="expression" priority="2334" dxfId="5">
      <formula>$H2682="CÉLULA CONSTRUTIVA"</formula>
    </cfRule>
    <cfRule type="expression" priority="2335" dxfId="3">
      <formula>$H2682="ETAPA"</formula>
    </cfRule>
  </conditionalFormatting>
  <conditionalFormatting sqref="M2691">
    <cfRule type="expression" priority="2405" dxfId="3">
      <formula>$H2691="ETAPA"</formula>
    </cfRule>
    <cfRule type="expression" priority="2406" dxfId="5">
      <formula>$H2691="CÉLULA CONSTRUTIVA"</formula>
    </cfRule>
    <cfRule type="expression" priority="2407" dxfId="3">
      <formula>$H2691="ETAPA"</formula>
    </cfRule>
    <cfRule type="expression" priority="2408" dxfId="4">
      <formula>$H2691="SUBETAPA"</formula>
    </cfRule>
  </conditionalFormatting>
  <conditionalFormatting sqref="M2691:M2692">
    <cfRule type="expression" priority="2404" dxfId="5">
      <formula>$H2691="CÉLULA CONSTRUTIVA"</formula>
    </cfRule>
    <cfRule type="expression" priority="2409" dxfId="3">
      <formula>$H2691="ETAPA"</formula>
    </cfRule>
  </conditionalFormatting>
  <conditionalFormatting sqref="M2692 O2692">
    <cfRule type="expression" priority="2371" dxfId="5">
      <formula>$H2692="CÉLULA CONSTRUTIVA"</formula>
    </cfRule>
  </conditionalFormatting>
  <conditionalFormatting sqref="M2692">
    <cfRule type="expression" priority="2400" dxfId="3">
      <formula>$H2692="ETAPA"</formula>
    </cfRule>
    <cfRule type="expression" priority="2401" dxfId="4">
      <formula>$H2692="SUBETAPA"</formula>
    </cfRule>
    <cfRule type="expression" priority="2402" dxfId="5">
      <formula>$H2692="CÉLULA CONSTRUTIVA"</formula>
    </cfRule>
    <cfRule type="expression" priority="2403" dxfId="3">
      <formula>$H2692="ETAPA"</formula>
    </cfRule>
  </conditionalFormatting>
  <conditionalFormatting sqref="M2699">
    <cfRule type="expression" priority="2473" dxfId="3">
      <formula>$H2699="ETAPA"</formula>
    </cfRule>
    <cfRule type="expression" priority="2474" dxfId="5">
      <formula>$H2699="CÉLULA CONSTRUTIVA"</formula>
    </cfRule>
    <cfRule type="expression" priority="2475" dxfId="3">
      <formula>$H2699="ETAPA"</formula>
    </cfRule>
    <cfRule type="expression" priority="2476" dxfId="4">
      <formula>$H2699="SUBETAPA"</formula>
    </cfRule>
  </conditionalFormatting>
  <conditionalFormatting sqref="M2699:M2700">
    <cfRule type="expression" priority="2472" dxfId="5">
      <formula>$H2699="CÉLULA CONSTRUTIVA"</formula>
    </cfRule>
    <cfRule type="expression" priority="2477" dxfId="3">
      <formula>$H2699="ETAPA"</formula>
    </cfRule>
  </conditionalFormatting>
  <conditionalFormatting sqref="M2700 O2700">
    <cfRule type="expression" priority="2439" dxfId="5">
      <formula>$H2700="CÉLULA CONSTRUTIVA"</formula>
    </cfRule>
  </conditionalFormatting>
  <conditionalFormatting sqref="M2700">
    <cfRule type="expression" priority="2468" dxfId="3">
      <formula>$H2700="ETAPA"</formula>
    </cfRule>
    <cfRule type="expression" priority="2469" dxfId="4">
      <formula>$H2700="SUBETAPA"</formula>
    </cfRule>
    <cfRule type="expression" priority="2470" dxfId="5">
      <formula>$H2700="CÉLULA CONSTRUTIVA"</formula>
    </cfRule>
    <cfRule type="expression" priority="2471" dxfId="3">
      <formula>$H2700="ETAPA"</formula>
    </cfRule>
  </conditionalFormatting>
  <conditionalFormatting sqref="M2710">
    <cfRule type="expression" priority="2541" dxfId="3">
      <formula>$H2710="ETAPA"</formula>
    </cfRule>
    <cfRule type="expression" priority="2542" dxfId="5">
      <formula>$H2710="CÉLULA CONSTRUTIVA"</formula>
    </cfRule>
    <cfRule type="expression" priority="2543" dxfId="3">
      <formula>$H2710="ETAPA"</formula>
    </cfRule>
    <cfRule type="expression" priority="2544" dxfId="4">
      <formula>$H2710="SUBETAPA"</formula>
    </cfRule>
  </conditionalFormatting>
  <conditionalFormatting sqref="M2710:M2711">
    <cfRule type="expression" priority="2540" dxfId="5">
      <formula>$H2710="CÉLULA CONSTRUTIVA"</formula>
    </cfRule>
    <cfRule type="expression" priority="2545" dxfId="3">
      <formula>$H2710="ETAPA"</formula>
    </cfRule>
  </conditionalFormatting>
  <conditionalFormatting sqref="M2711 O2711">
    <cfRule type="expression" priority="2507" dxfId="5">
      <formula>$H2711="CÉLULA CONSTRUTIVA"</formula>
    </cfRule>
  </conditionalFormatting>
  <conditionalFormatting sqref="M2711">
    <cfRule type="expression" priority="2536" dxfId="3">
      <formula>$H2711="ETAPA"</formula>
    </cfRule>
    <cfRule type="expression" priority="2537" dxfId="4">
      <formula>$H2711="SUBETAPA"</formula>
    </cfRule>
    <cfRule type="expression" priority="2538" dxfId="5">
      <formula>$H2711="CÉLULA CONSTRUTIVA"</formula>
    </cfRule>
    <cfRule type="expression" priority="2539" dxfId="3">
      <formula>$H2711="ETAPA"</formula>
    </cfRule>
  </conditionalFormatting>
  <conditionalFormatting sqref="M2721">
    <cfRule type="expression" priority="1784" dxfId="3">
      <formula>$H2721="ETAPA"</formula>
    </cfRule>
    <cfRule type="expression" priority="1785" dxfId="5">
      <formula>$H2721="CÉLULA CONSTRUTIVA"</formula>
    </cfRule>
    <cfRule type="expression" priority="1786" dxfId="3">
      <formula>$H2721="ETAPA"</formula>
    </cfRule>
    <cfRule type="expression" priority="1787" dxfId="4">
      <formula>$H2721="SUBETAPA"</formula>
    </cfRule>
  </conditionalFormatting>
  <conditionalFormatting sqref="M2721:M2722">
    <cfRule type="expression" priority="1783" dxfId="5">
      <formula>$H2721="CÉLULA CONSTRUTIVA"</formula>
    </cfRule>
    <cfRule type="expression" priority="1788" dxfId="3">
      <formula>$H2721="ETAPA"</formula>
    </cfRule>
  </conditionalFormatting>
  <conditionalFormatting sqref="M2722 O2722">
    <cfRule type="expression" priority="1750" dxfId="5">
      <formula>$H2722="CÉLULA CONSTRUTIVA"</formula>
    </cfRule>
  </conditionalFormatting>
  <conditionalFormatting sqref="M2722">
    <cfRule type="expression" priority="1779" dxfId="3">
      <formula>$H2722="ETAPA"</formula>
    </cfRule>
    <cfRule type="expression" priority="1780" dxfId="4">
      <formula>$H2722="SUBETAPA"</formula>
    </cfRule>
    <cfRule type="expression" priority="1781" dxfId="5">
      <formula>$H2722="CÉLULA CONSTRUTIVA"</formula>
    </cfRule>
    <cfRule type="expression" priority="1782" dxfId="3">
      <formula>$H2722="ETAPA"</formula>
    </cfRule>
  </conditionalFormatting>
  <conditionalFormatting sqref="M2732">
    <cfRule type="expression" priority="1854" dxfId="3">
      <formula>$H2732="ETAPA"</formula>
    </cfRule>
    <cfRule type="expression" priority="1855" dxfId="5">
      <formula>$H2732="CÉLULA CONSTRUTIVA"</formula>
    </cfRule>
    <cfRule type="expression" priority="1856" dxfId="3">
      <formula>$H2732="ETAPA"</formula>
    </cfRule>
    <cfRule type="expression" priority="1857" dxfId="4">
      <formula>$H2732="SUBETAPA"</formula>
    </cfRule>
  </conditionalFormatting>
  <conditionalFormatting sqref="M2732:M2733">
    <cfRule type="expression" priority="1853" dxfId="5">
      <formula>$H2732="CÉLULA CONSTRUTIVA"</formula>
    </cfRule>
    <cfRule type="expression" priority="1858" dxfId="3">
      <formula>$H2732="ETAPA"</formula>
    </cfRule>
  </conditionalFormatting>
  <conditionalFormatting sqref="M2733 O2733">
    <cfRule type="expression" priority="1819" dxfId="5">
      <formula>$H2733="CÉLULA CONSTRUTIVA"</formula>
    </cfRule>
  </conditionalFormatting>
  <conditionalFormatting sqref="M2733">
    <cfRule type="expression" priority="1849" dxfId="3">
      <formula>$H2733="ETAPA"</formula>
    </cfRule>
    <cfRule type="expression" priority="1850" dxfId="4">
      <formula>$H2733="SUBETAPA"</formula>
    </cfRule>
    <cfRule type="expression" priority="1851" dxfId="5">
      <formula>$H2733="CÉLULA CONSTRUTIVA"</formula>
    </cfRule>
    <cfRule type="expression" priority="1852" dxfId="3">
      <formula>$H2733="ETAPA"</formula>
    </cfRule>
  </conditionalFormatting>
  <conditionalFormatting sqref="M2743">
    <cfRule type="expression" priority="2609" dxfId="3">
      <formula>$H2743="ETAPA"</formula>
    </cfRule>
    <cfRule type="expression" priority="2610" dxfId="5">
      <formula>$H2743="CÉLULA CONSTRUTIVA"</formula>
    </cfRule>
    <cfRule type="expression" priority="2611" dxfId="3">
      <formula>$H2743="ETAPA"</formula>
    </cfRule>
    <cfRule type="expression" priority="2612" dxfId="4">
      <formula>$H2743="SUBETAPA"</formula>
    </cfRule>
  </conditionalFormatting>
  <conditionalFormatting sqref="M2743:M2744">
    <cfRule type="expression" priority="2608" dxfId="5">
      <formula>$H2743="CÉLULA CONSTRUTIVA"</formula>
    </cfRule>
    <cfRule type="expression" priority="2613" dxfId="3">
      <formula>$H2743="ETAPA"</formula>
    </cfRule>
  </conditionalFormatting>
  <conditionalFormatting sqref="M2744 O2744">
    <cfRule type="expression" priority="2575" dxfId="5">
      <formula>$H2744="CÉLULA CONSTRUTIVA"</formula>
    </cfRule>
  </conditionalFormatting>
  <conditionalFormatting sqref="M2744">
    <cfRule type="expression" priority="2604" dxfId="3">
      <formula>$H2744="ETAPA"</formula>
    </cfRule>
    <cfRule type="expression" priority="2605" dxfId="4">
      <formula>$H2744="SUBETAPA"</formula>
    </cfRule>
    <cfRule type="expression" priority="2606" dxfId="5">
      <formula>$H2744="CÉLULA CONSTRUTIVA"</formula>
    </cfRule>
    <cfRule type="expression" priority="2607" dxfId="3">
      <formula>$H2744="ETAPA"</formula>
    </cfRule>
  </conditionalFormatting>
  <conditionalFormatting sqref="M2754">
    <cfRule type="expression" priority="121155" dxfId="3">
      <formula>$H2754="ETAPA"</formula>
    </cfRule>
    <cfRule type="expression" priority="121156" dxfId="5">
      <formula>$H2754="CÉLULA CONSTRUTIVA"</formula>
    </cfRule>
    <cfRule type="expression" priority="121157" dxfId="3">
      <formula>$H2754="ETAPA"</formula>
    </cfRule>
    <cfRule type="expression" priority="121158" dxfId="4">
      <formula>$H2754="SUBETAPA"</formula>
    </cfRule>
  </conditionalFormatting>
  <conditionalFormatting sqref="M2754:M2755">
    <cfRule type="expression" priority="121159" dxfId="5">
      <formula>$H2754="CÉLULA CONSTRUTIVA"</formula>
    </cfRule>
  </conditionalFormatting>
  <conditionalFormatting sqref="M2755 O2755">
    <cfRule type="expression" priority="116859" dxfId="5">
      <formula>$H2755="CÉLULA CONSTRUTIVA"</formula>
    </cfRule>
  </conditionalFormatting>
  <conditionalFormatting sqref="M2755">
    <cfRule type="expression" priority="121164" dxfId="3">
      <formula>$H2755="ETAPA"</formula>
    </cfRule>
    <cfRule type="expression" priority="121165" dxfId="4">
      <formula>$H2755="SUBETAPA"</formula>
    </cfRule>
    <cfRule type="expression" priority="121166" dxfId="5">
      <formula>$H2755="CÉLULA CONSTRUTIVA"</formula>
    </cfRule>
    <cfRule type="expression" priority="121167" dxfId="3">
      <formula>$H2755="ETAPA"</formula>
    </cfRule>
  </conditionalFormatting>
  <conditionalFormatting sqref="M2642:M2643 M2652 M2661 M2668 M2675:M2676 M2683:M2684 M2693:M2694 M2701:M2703 M2712:M2714 M2723:M2725 M2734:M2736 M2745:M2747 M2756:M2757">
    <cfRule type="expression" priority="378" dxfId="5">
      <formula>$H2642="CÉLULA CONSTRUTIVA"</formula>
    </cfRule>
    <cfRule type="expression" priority="379" dxfId="4">
      <formula>$H2642="SUBETAPA"</formula>
    </cfRule>
    <cfRule type="expression" priority="380" dxfId="5">
      <formula>$H2642="CÉLULA CONSTRUTIVA"</formula>
    </cfRule>
    <cfRule type="expression" priority="381" dxfId="3">
      <formula>$H2642="ETAPA"</formula>
    </cfRule>
    <cfRule type="expression" priority="382" dxfId="3">
      <formula>$H2642="ETAPA"</formula>
    </cfRule>
    <cfRule type="expression" priority="383" dxfId="3">
      <formula>$H2642="ETAPA"</formula>
    </cfRule>
    <cfRule type="expression" priority="387" dxfId="5">
      <formula>$H2642="CÉLULA CONSTRUTIVA"</formula>
    </cfRule>
  </conditionalFormatting>
  <conditionalFormatting sqref="L2778:L2780 M2781:M2784">
    <cfRule type="expression" priority="1516" dxfId="3">
      <formula>$H2778="ETAPA"</formula>
    </cfRule>
    <cfRule type="expression" priority="1530" dxfId="4">
      <formula>$H2778="SUBETAPA"</formula>
    </cfRule>
  </conditionalFormatting>
  <conditionalFormatting sqref="L2787:L2789 M2790:M2793">
    <cfRule type="expression" priority="1558" dxfId="3">
      <formula>$H2787="ETAPA"</formula>
    </cfRule>
    <cfRule type="expression" priority="1572" dxfId="4">
      <formula>$H2787="SUBETAPA"</formula>
    </cfRule>
  </conditionalFormatting>
  <conditionalFormatting sqref="L2805:L2807 M2808:M2811">
    <cfRule type="expression" priority="1642" dxfId="3">
      <formula>$H2805="ETAPA"</formula>
    </cfRule>
    <cfRule type="expression" priority="1656" dxfId="4">
      <formula>$H2805="SUBETAPA"</formula>
    </cfRule>
  </conditionalFormatting>
  <conditionalFormatting sqref="M3149:M3150 M3155:M3156 M3162:M3163 M3170:M3171">
    <cfRule type="expression" priority="83648" dxfId="3">
      <formula>$H3149="ETAPA"</formula>
    </cfRule>
    <cfRule type="expression" priority="83649" dxfId="5">
      <formula>$H3149="CÉLULA CONSTRUTIVA"</formula>
    </cfRule>
    <cfRule type="expression" priority="83650" dxfId="3">
      <formula>$H3149="ETAPA"</formula>
    </cfRule>
    <cfRule type="expression" priority="83651" dxfId="4">
      <formula>$H3149="SUBETAPA"</formula>
    </cfRule>
    <cfRule type="expression" priority="83652" dxfId="5">
      <formula>$H3149="CÉLULA CONSTRUTIVA"</formula>
    </cfRule>
  </conditionalFormatting>
  <conditionalFormatting sqref="M3149:M3151 M3155:M3157 M3162:M3164 M3170:M3172">
    <cfRule type="expression" priority="83653" dxfId="3">
      <formula>$H3149="ETAPA"</formula>
    </cfRule>
  </conditionalFormatting>
  <conditionalFormatting sqref="M3151 M3157 M3164 M3172">
    <cfRule type="expression" priority="83655" dxfId="5">
      <formula>$H3151="CÉLULA CONSTRUTIVA"</formula>
    </cfRule>
    <cfRule type="expression" priority="83656" dxfId="3">
      <formula>$H3151="ETAPA"</formula>
    </cfRule>
    <cfRule type="expression" priority="83657" dxfId="4">
      <formula>$H3151="SUBETAPA"</formula>
    </cfRule>
    <cfRule type="expression" priority="83658" dxfId="5">
      <formula>$H3151="CÉLULA CONSTRUTIVA"</formula>
    </cfRule>
    <cfRule type="expression" priority="83659" dxfId="3">
      <formula>$H3151="ETAPA"</formula>
    </cfRule>
  </conditionalFormatting>
  <conditionalFormatting sqref="M3152 M3154 M3158 M3165">
    <cfRule type="expression" priority="83619" dxfId="3">
      <formula>$H3152="ETAPA"</formula>
    </cfRule>
    <cfRule type="expression" priority="83621" dxfId="3">
      <formula>$H3152="ETAPA"</formula>
    </cfRule>
    <cfRule type="expression" priority="83624" dxfId="3">
      <formula>$H3152="ETAPA"</formula>
    </cfRule>
    <cfRule type="expression" priority="83620" dxfId="5">
      <formula>$H3152="CÉLULA CONSTRUTIVA"</formula>
    </cfRule>
    <cfRule type="expression" priority="83622" dxfId="4">
      <formula>$H3152="SUBETAPA"</formula>
    </cfRule>
    <cfRule type="expression" priority="83623" dxfId="5">
      <formula>$H3152="CÉLULA CONSTRUTIVA"</formula>
    </cfRule>
  </conditionalFormatting>
  <conditionalFormatting sqref="M3153 O3153">
    <cfRule type="expression" priority="61021" dxfId="5">
      <formula>$H3153="CÉLULA CONSTRUTIVA"</formula>
    </cfRule>
  </conditionalFormatting>
  <conditionalFormatting sqref="M3153">
    <cfRule type="expression" priority="61023" dxfId="3">
      <formula>$H3153="ETAPA"</formula>
    </cfRule>
    <cfRule type="expression" priority="61024" dxfId="5">
      <formula>$H3153="CÉLULA CONSTRUTIVA"</formula>
    </cfRule>
    <cfRule type="expression" priority="61025" dxfId="3">
      <formula>$H3153="ETAPA"</formula>
    </cfRule>
    <cfRule type="expression" priority="61026" dxfId="4">
      <formula>$H3153="SUBETAPA"</formula>
    </cfRule>
    <cfRule type="expression" priority="61027" dxfId="5">
      <formula>$H3153="CÉLULA CONSTRUTIVA"</formula>
    </cfRule>
    <cfRule type="expression" priority="61028" dxfId="3">
      <formula>$H3153="ETAPA"</formula>
    </cfRule>
  </conditionalFormatting>
  <conditionalFormatting sqref="M21:N21">
    <cfRule type="expression" priority="46659" dxfId="3">
      <formula>$H21="ETAPA"</formula>
    </cfRule>
  </conditionalFormatting>
  <conditionalFormatting sqref="M24:N24">
    <cfRule type="expression" priority="50707" dxfId="3">
      <formula>$H24="ETAPA"</formula>
    </cfRule>
  </conditionalFormatting>
  <conditionalFormatting sqref="M25:N25">
    <cfRule type="expression" priority="50752" dxfId="3">
      <formula>$H25="ETAPA"</formula>
    </cfRule>
  </conditionalFormatting>
  <conditionalFormatting sqref="M41:N41">
    <cfRule type="expression" priority="50542" dxfId="3">
      <formula>$H41="ETAPA"</formula>
    </cfRule>
  </conditionalFormatting>
  <conditionalFormatting sqref="M52:N52">
    <cfRule type="expression" priority="50407" dxfId="4">
      <formula>$H52="SUBETAPA"</formula>
    </cfRule>
  </conditionalFormatting>
  <conditionalFormatting sqref="M56:N56">
    <cfRule type="expression" priority="50352" dxfId="4">
      <formula>$H56="SUBETAPA"</formula>
    </cfRule>
  </conditionalFormatting>
  <conditionalFormatting sqref="M58:N58">
    <cfRule type="expression" priority="50691" dxfId="3">
      <formula>$H58="ETAPA"</formula>
    </cfRule>
  </conditionalFormatting>
  <conditionalFormatting sqref="M77:N77">
    <cfRule type="expression" priority="50944" dxfId="4">
      <formula>$H77="SUBETAPA"</formula>
    </cfRule>
  </conditionalFormatting>
  <conditionalFormatting sqref="M84:N84">
    <cfRule type="expression" priority="50299" dxfId="4">
      <formula>$H84="SUBETAPA"</formula>
    </cfRule>
  </conditionalFormatting>
  <conditionalFormatting sqref="M85:N93">
    <cfRule type="expression" priority="50318" dxfId="4">
      <formula>$H85="SUBETAPA"</formula>
    </cfRule>
  </conditionalFormatting>
  <conditionalFormatting sqref="M96:N96 M100:M101">
    <cfRule type="expression" priority="50949" dxfId="4">
      <formula>$H96="SUBETAPA"</formula>
    </cfRule>
  </conditionalFormatting>
  <conditionalFormatting sqref="M104:N104">
    <cfRule type="expression" priority="50129" dxfId="4">
      <formula>$H104="SUBETAPA"</formula>
    </cfRule>
  </conditionalFormatting>
  <conditionalFormatting sqref="M106:N106">
    <cfRule type="expression" priority="50111" dxfId="4">
      <formula>$H106="SUBETAPA"</formula>
    </cfRule>
  </conditionalFormatting>
  <conditionalFormatting sqref="M108:N108">
    <cfRule type="expression" priority="50093" dxfId="4">
      <formula>$H108="SUBETAPA"</formula>
    </cfRule>
  </conditionalFormatting>
  <conditionalFormatting sqref="M110:N110">
    <cfRule type="expression" priority="50075" dxfId="4">
      <formula>$H110="SUBETAPA"</formula>
    </cfRule>
  </conditionalFormatting>
  <conditionalFormatting sqref="M112:N112">
    <cfRule type="expression" priority="50057" dxfId="4">
      <formula>$H112="SUBETAPA"</formula>
    </cfRule>
  </conditionalFormatting>
  <conditionalFormatting sqref="M116:N116">
    <cfRule type="expression" priority="50039" dxfId="4">
      <formula>$H116="SUBETAPA"</formula>
    </cfRule>
  </conditionalFormatting>
  <conditionalFormatting sqref="M118:N118">
    <cfRule type="expression" priority="50021" dxfId="4">
      <formula>$H118="SUBETAPA"</formula>
    </cfRule>
  </conditionalFormatting>
  <conditionalFormatting sqref="M120:N120">
    <cfRule type="expression" priority="50003" dxfId="4">
      <formula>$H120="SUBETAPA"</formula>
    </cfRule>
  </conditionalFormatting>
  <conditionalFormatting sqref="M131:N131">
    <cfRule type="expression" priority="49874" dxfId="4">
      <formula>$H131="SUBETAPA"</formula>
    </cfRule>
  </conditionalFormatting>
  <conditionalFormatting sqref="M139:N139">
    <cfRule type="expression" priority="49782" dxfId="4">
      <formula>$H139="SUBETAPA"</formula>
    </cfRule>
  </conditionalFormatting>
  <conditionalFormatting sqref="M140:N140">
    <cfRule type="expression" priority="50951" dxfId="4">
      <formula>$H140="SUBETAPA"</formula>
    </cfRule>
  </conditionalFormatting>
  <conditionalFormatting sqref="M177:N177">
    <cfRule type="expression" priority="49508" dxfId="4">
      <formula>$H177="SUBETAPA"</formula>
    </cfRule>
  </conditionalFormatting>
  <conditionalFormatting sqref="M186:N186">
    <cfRule type="expression" priority="49490" dxfId="4">
      <formula>$H186="SUBETAPA"</formula>
    </cfRule>
  </conditionalFormatting>
  <conditionalFormatting sqref="M195:N195">
    <cfRule type="expression" priority="49472" dxfId="4">
      <formula>$H195="SUBETAPA"</formula>
    </cfRule>
  </conditionalFormatting>
  <conditionalFormatting sqref="M213:N213">
    <cfRule type="expression" priority="49454" dxfId="4">
      <formula>$H213="SUBETAPA"</formula>
    </cfRule>
  </conditionalFormatting>
  <conditionalFormatting sqref="M274:N274">
    <cfRule type="expression" priority="49149" dxfId="4">
      <formula>$H274="SUBETAPA"</formula>
    </cfRule>
  </conditionalFormatting>
  <conditionalFormatting sqref="M314:N314">
    <cfRule type="expression" priority="48453" dxfId="3">
      <formula>$H314="ETAPA"</formula>
    </cfRule>
  </conditionalFormatting>
  <conditionalFormatting sqref="M316:N316">
    <cfRule type="expression" priority="48423" dxfId="3">
      <formula>$H316="ETAPA"</formula>
    </cfRule>
  </conditionalFormatting>
  <conditionalFormatting sqref="M318:N318">
    <cfRule type="expression" priority="48352" dxfId="3">
      <formula>$H318="ETAPA"</formula>
    </cfRule>
  </conditionalFormatting>
  <conditionalFormatting sqref="M320:N320">
    <cfRule type="expression" priority="48337" dxfId="3">
      <formula>$H320="ETAPA"</formula>
    </cfRule>
  </conditionalFormatting>
  <conditionalFormatting sqref="M322:N322">
    <cfRule type="expression" priority="48266" dxfId="3">
      <formula>$H322="ETAPA"</formula>
    </cfRule>
  </conditionalFormatting>
  <conditionalFormatting sqref="M326:N326">
    <cfRule type="expression" priority="48180" dxfId="3">
      <formula>$H326="ETAPA"</formula>
    </cfRule>
  </conditionalFormatting>
  <conditionalFormatting sqref="M328:N328">
    <cfRule type="expression" priority="46240" dxfId="3">
      <formula>$H328="ETAPA"</formula>
    </cfRule>
  </conditionalFormatting>
  <conditionalFormatting sqref="M340:N340">
    <cfRule type="expression" priority="47933" dxfId="3">
      <formula>$H340="ETAPA"</formula>
    </cfRule>
  </conditionalFormatting>
  <conditionalFormatting sqref="M349:N349">
    <cfRule type="expression" priority="47761" dxfId="3">
      <formula>$H349="ETAPA"</formula>
    </cfRule>
  </conditionalFormatting>
  <conditionalFormatting sqref="M351:N351">
    <cfRule type="expression" priority="47718" dxfId="3">
      <formula>$H351="ETAPA"</formula>
    </cfRule>
  </conditionalFormatting>
  <conditionalFormatting sqref="M353:N353">
    <cfRule type="expression" priority="47675" dxfId="3">
      <formula>$H353="ETAPA"</formula>
    </cfRule>
  </conditionalFormatting>
  <conditionalFormatting sqref="M355:N355">
    <cfRule type="expression" priority="47632" dxfId="3">
      <formula>$H355="ETAPA"</formula>
    </cfRule>
  </conditionalFormatting>
  <conditionalFormatting sqref="M357:N357">
    <cfRule type="expression" priority="47589" dxfId="3">
      <formula>$H357="ETAPA"</formula>
    </cfRule>
  </conditionalFormatting>
  <conditionalFormatting sqref="M359:N359">
    <cfRule type="expression" priority="46193" dxfId="3">
      <formula>$H359="ETAPA"</formula>
    </cfRule>
  </conditionalFormatting>
  <conditionalFormatting sqref="M361:N361">
    <cfRule type="expression" priority="47546" dxfId="3">
      <formula>$H361="ETAPA"</formula>
    </cfRule>
  </conditionalFormatting>
  <conditionalFormatting sqref="M363:N363">
    <cfRule type="expression" priority="47503" dxfId="3">
      <formula>$H363="ETAPA"</formula>
    </cfRule>
  </conditionalFormatting>
  <conditionalFormatting sqref="M365:N365">
    <cfRule type="expression" priority="47460" dxfId="3">
      <formula>$H365="ETAPA"</formula>
    </cfRule>
  </conditionalFormatting>
  <conditionalFormatting sqref="M367:N367">
    <cfRule type="expression" priority="47417" dxfId="3">
      <formula>$H367="ETAPA"</formula>
    </cfRule>
  </conditionalFormatting>
  <conditionalFormatting sqref="M369:N369">
    <cfRule type="expression" priority="47374" dxfId="3">
      <formula>$H369="ETAPA"</formula>
    </cfRule>
  </conditionalFormatting>
  <conditionalFormatting sqref="M371:N371">
    <cfRule type="expression" priority="47331" dxfId="3">
      <formula>$H371="ETAPA"</formula>
    </cfRule>
  </conditionalFormatting>
  <conditionalFormatting sqref="M373:N373">
    <cfRule type="expression" priority="47288" dxfId="3">
      <formula>$H373="ETAPA"</formula>
    </cfRule>
  </conditionalFormatting>
  <conditionalFormatting sqref="M375:N375">
    <cfRule type="expression" priority="47245" dxfId="3">
      <formula>$H375="ETAPA"</formula>
    </cfRule>
  </conditionalFormatting>
  <conditionalFormatting sqref="M377:N377">
    <cfRule type="expression" priority="47202" dxfId="3">
      <formula>$H377="ETAPA"</formula>
    </cfRule>
  </conditionalFormatting>
  <conditionalFormatting sqref="M3056:N3056">
    <cfRule type="expression" priority="4" dxfId="5">
      <formula>$H3056="CÉLULA CONSTRUTIVA"</formula>
    </cfRule>
  </conditionalFormatting>
  <conditionalFormatting sqref="N8">
    <cfRule type="expression" priority="50999" dxfId="4">
      <formula>$H8="SUBETAPA"</formula>
    </cfRule>
    <cfRule type="expression" priority="51000" dxfId="5">
      <formula>$H8="CÉLULA CONSTRUTIVA"</formula>
    </cfRule>
  </conditionalFormatting>
  <conditionalFormatting sqref="M59:N60 N8:N10 N69:N70 N100:N101">
    <cfRule type="expression" priority="50957" dxfId="3">
      <formula>$H8="ETAPA"</formula>
    </cfRule>
  </conditionalFormatting>
  <conditionalFormatting sqref="N9 N59 N69 N100">
    <cfRule type="expression" priority="50955" dxfId="4">
      <formula>$H9="SUBETAPA"</formula>
    </cfRule>
    <cfRule type="expression" priority="50956" dxfId="5">
      <formula>$H9="CÉLULA CONSTRUTIVA"</formula>
    </cfRule>
  </conditionalFormatting>
  <conditionalFormatting sqref="N10 N60 N63 N66 N70 N72 N77 N79 N101 N140 N281">
    <cfRule type="expression" priority="50959" dxfId="5">
      <formula>$H10="CÉLULA CONSTRUTIVA"</formula>
    </cfRule>
  </conditionalFormatting>
  <conditionalFormatting sqref="M79:N79 N10 N60 N63 N65:N66 N70 N72 N101 N281">
    <cfRule type="expression" priority="50958" dxfId="4">
      <formula>$H10="SUBETAPA"</formula>
    </cfRule>
  </conditionalFormatting>
  <conditionalFormatting sqref="N12">
    <cfRule type="expression" priority="4077" dxfId="4">
      <formula>$H12="SUBETAPA"</formula>
    </cfRule>
    <cfRule type="expression" priority="4078" dxfId="5">
      <formula>$H12="CÉLULA CONSTRUTIVA"</formula>
    </cfRule>
  </conditionalFormatting>
  <conditionalFormatting sqref="N12:N13">
    <cfRule type="expression" priority="4079" dxfId="3">
      <formula>$H12="ETAPA"</formula>
    </cfRule>
  </conditionalFormatting>
  <conditionalFormatting sqref="N13">
    <cfRule type="expression" priority="4080" dxfId="4">
      <formula>$H13="SUBETAPA"</formula>
    </cfRule>
    <cfRule type="expression" priority="4081" dxfId="5">
      <formula>$H13="CÉLULA CONSTRUTIVA"</formula>
    </cfRule>
  </conditionalFormatting>
  <conditionalFormatting sqref="N16">
    <cfRule type="expression" priority="4051" dxfId="3">
      <formula>$H16="ETAPA"</formula>
    </cfRule>
    <cfRule type="expression" priority="4052" dxfId="4">
      <formula>$H16="SUBETAPA"</formula>
    </cfRule>
    <cfRule type="expression" priority="4053" dxfId="5">
      <formula>$H16="CÉLULA CONSTRUTIVA"</formula>
    </cfRule>
  </conditionalFormatting>
  <conditionalFormatting sqref="N20">
    <cfRule type="expression" priority="46610" dxfId="5">
      <formula>$H20="CÉLULA CONSTRUTIVA"</formula>
    </cfRule>
    <cfRule type="expression" priority="46611" dxfId="4">
      <formula>$H20="SUBETAPA"</formula>
    </cfRule>
    <cfRule type="expression" priority="46612" dxfId="3">
      <formula>$H20="ETAPA"</formula>
    </cfRule>
    <cfRule type="expression" priority="46613" dxfId="4">
      <formula>$H20="SUBETAPA"</formula>
    </cfRule>
    <cfRule type="expression" priority="46614" dxfId="5">
      <formula>$H20="CÉLULA CONSTRUTIVA"</formula>
    </cfRule>
    <cfRule type="expression" priority="46615" dxfId="3">
      <formula>$H20="ETAPA"</formula>
    </cfRule>
  </conditionalFormatting>
  <conditionalFormatting sqref="N21">
    <cfRule type="expression" priority="46667" dxfId="4">
      <formula>$H21="SUBETAPA"</formula>
    </cfRule>
    <cfRule type="expression" priority="46668" dxfId="5">
      <formula>$H21="CÉLULA CONSTRUTIVA"</formula>
    </cfRule>
  </conditionalFormatting>
  <conditionalFormatting sqref="N21:N22">
    <cfRule type="expression" priority="46656" dxfId="3">
      <formula>$H21="ETAPA"</formula>
    </cfRule>
  </conditionalFormatting>
  <conditionalFormatting sqref="N22">
    <cfRule type="expression" priority="46673" dxfId="4">
      <formula>$H22="SUBETAPA"</formula>
    </cfRule>
  </conditionalFormatting>
  <conditionalFormatting sqref="L22:L23 N23">
    <cfRule type="expression" priority="46581" dxfId="3">
      <formula>$H22="ETAPA"</formula>
    </cfRule>
  </conditionalFormatting>
  <conditionalFormatting sqref="L23 N23">
    <cfRule type="expression" priority="46579" dxfId="5">
      <formula>$H23="CÉLULA CONSTRUTIVA"</formula>
    </cfRule>
  </conditionalFormatting>
  <conditionalFormatting sqref="N23">
    <cfRule type="expression" priority="46580" dxfId="4">
      <formula>$H23="SUBETAPA"</formula>
    </cfRule>
    <cfRule type="expression" priority="46582" dxfId="4">
      <formula>$H23="SUBETAPA"</formula>
    </cfRule>
    <cfRule type="expression" priority="46583" dxfId="5">
      <formula>$H23="CÉLULA CONSTRUTIVA"</formula>
    </cfRule>
    <cfRule type="expression" priority="46584" dxfId="3">
      <formula>$H23="ETAPA"</formula>
    </cfRule>
  </conditionalFormatting>
  <conditionalFormatting sqref="N24">
    <cfRule type="expression" priority="50703" dxfId="4">
      <formula>$H24="SUBETAPA"</formula>
    </cfRule>
    <cfRule type="expression" priority="50704" dxfId="3">
      <formula>$H24="ETAPA"</formula>
    </cfRule>
    <cfRule type="expression" priority="50715" dxfId="5">
      <formula>$H24="CÉLULA CONSTRUTIVA"</formula>
    </cfRule>
  </conditionalFormatting>
  <conditionalFormatting sqref="N25">
    <cfRule type="expression" priority="50750" dxfId="4">
      <formula>$H25="SUBETAPA"</formula>
    </cfRule>
    <cfRule type="expression" priority="50751" dxfId="5">
      <formula>$H25="CÉLULA CONSTRUTIVA"</formula>
    </cfRule>
  </conditionalFormatting>
  <conditionalFormatting sqref="N26">
    <cfRule type="expression" priority="50670" dxfId="4">
      <formula>$H26="SUBETAPA"</formula>
    </cfRule>
    <cfRule type="expression" priority="50671" dxfId="5">
      <formula>$H26="CÉLULA CONSTRUTIVA"</formula>
    </cfRule>
  </conditionalFormatting>
  <conditionalFormatting sqref="G26:G27 L26:L27 N26:N27">
    <cfRule type="expression" priority="50663" dxfId="5">
      <formula>$H26="CÉLULA CONSTRUTIVA"</formula>
    </cfRule>
  </conditionalFormatting>
  <conditionalFormatting sqref="L26:L30 N26:N27">
    <cfRule type="expression" priority="50665" dxfId="3">
      <formula>$H26="ETAPA"</formula>
    </cfRule>
  </conditionalFormatting>
  <conditionalFormatting sqref="N28 N30:N31">
    <cfRule type="expression" priority="50753" dxfId="4">
      <formula>$H28="SUBETAPA"</formula>
    </cfRule>
  </conditionalFormatting>
  <conditionalFormatting sqref="N28 N31">
    <cfRule type="expression" priority="50754" dxfId="5">
      <formula>$H28="CÉLULA CONSTRUTIVA"</formula>
    </cfRule>
  </conditionalFormatting>
  <conditionalFormatting sqref="N33">
    <cfRule type="expression" priority="50612" dxfId="4">
      <formula>$H33="SUBETAPA"</formula>
    </cfRule>
    <cfRule type="expression" priority="50613" dxfId="5">
      <formula>$H33="CÉLULA CONSTRUTIVA"</formula>
    </cfRule>
  </conditionalFormatting>
  <conditionalFormatting sqref="N33:N34">
    <cfRule type="expression" priority="50614" dxfId="3">
      <formula>$H33="ETAPA"</formula>
    </cfRule>
  </conditionalFormatting>
  <conditionalFormatting sqref="N34 N38:N39">
    <cfRule type="expression" priority="50615" dxfId="4">
      <formula>$H34="SUBETAPA"</formula>
    </cfRule>
  </conditionalFormatting>
  <conditionalFormatting sqref="N34 N39">
    <cfRule type="expression" priority="50616" dxfId="5">
      <formula>$H34="CÉLULA CONSTRUTIVA"</formula>
    </cfRule>
  </conditionalFormatting>
  <conditionalFormatting sqref="N34:N36">
    <cfRule type="expression" priority="50633" dxfId="5">
      <formula>$H34="CÉLULA CONSTRUTIVA"</formula>
    </cfRule>
    <cfRule type="expression" priority="50635" dxfId="3">
      <formula>$H34="ETAPA"</formula>
    </cfRule>
  </conditionalFormatting>
  <conditionalFormatting sqref="N37">
    <cfRule type="expression" priority="46717" dxfId="4">
      <formula>$H37="SUBETAPA"</formula>
    </cfRule>
    <cfRule type="expression" priority="46718" dxfId="5">
      <formula>$H37="CÉLULA CONSTRUTIVA"</formula>
    </cfRule>
    <cfRule type="expression" priority="46719" dxfId="5">
      <formula>$H37="CÉLULA CONSTRUTIVA"</formula>
    </cfRule>
    <cfRule type="expression" priority="46720" dxfId="3">
      <formula>$H37="ETAPA"</formula>
    </cfRule>
  </conditionalFormatting>
  <conditionalFormatting sqref="N38">
    <cfRule type="expression" priority="50617" dxfId="5">
      <formula>$H38="CÉLULA CONSTRUTIVA"</formula>
    </cfRule>
  </conditionalFormatting>
  <conditionalFormatting sqref="N41">
    <cfRule type="expression" priority="50540" dxfId="4">
      <formula>$H41="SUBETAPA"</formula>
    </cfRule>
    <cfRule type="expression" priority="50541" dxfId="5">
      <formula>$H41="CÉLULA CONSTRUTIVA"</formula>
    </cfRule>
  </conditionalFormatting>
  <conditionalFormatting sqref="N42">
    <cfRule type="expression" priority="50492" dxfId="4">
      <formula>$H42="SUBETAPA"</formula>
    </cfRule>
    <cfRule type="expression" priority="50493" dxfId="5">
      <formula>$H42="CÉLULA CONSTRUTIVA"</formula>
    </cfRule>
  </conditionalFormatting>
  <conditionalFormatting sqref="G42 L42:L43 N42:N43">
    <cfRule type="expression" priority="50485" dxfId="5">
      <formula>$H42="CÉLULA CONSTRUTIVA"</formula>
    </cfRule>
  </conditionalFormatting>
  <conditionalFormatting sqref="L42:L43 N42:N43">
    <cfRule type="expression" priority="50487" dxfId="3">
      <formula>$H42="ETAPA"</formula>
    </cfRule>
  </conditionalFormatting>
  <conditionalFormatting sqref="N44 N49">
    <cfRule type="expression" priority="50543" dxfId="4">
      <formula>$H44="SUBETAPA"</formula>
    </cfRule>
    <cfRule type="expression" priority="50544" dxfId="5">
      <formula>$H44="CÉLULA CONSTRUTIVA"</formula>
    </cfRule>
  </conditionalFormatting>
  <conditionalFormatting sqref="N46">
    <cfRule type="expression" priority="46773" dxfId="4">
      <formula>$H46="SUBETAPA"</formula>
    </cfRule>
    <cfRule type="expression" priority="46774" dxfId="5">
      <formula>$H46="CÉLULA CONSTRUTIVA"</formula>
    </cfRule>
    <cfRule type="expression" priority="46775" dxfId="3">
      <formula>$H46="ETAPA"</formula>
    </cfRule>
  </conditionalFormatting>
  <conditionalFormatting sqref="N47">
    <cfRule type="expression" priority="46742" dxfId="4">
      <formula>$H47="SUBETAPA"</formula>
    </cfRule>
    <cfRule type="expression" priority="46743" dxfId="5">
      <formula>$H47="CÉLULA CONSTRUTIVA"</formula>
    </cfRule>
    <cfRule type="expression" priority="46744" dxfId="3">
      <formula>$H47="ETAPA"</formula>
    </cfRule>
  </conditionalFormatting>
  <conditionalFormatting sqref="N51 N54">
    <cfRule type="expression" priority="50447" dxfId="4">
      <formula>$H51="SUBETAPA"</formula>
    </cfRule>
  </conditionalFormatting>
  <conditionalFormatting sqref="N51">
    <cfRule type="expression" priority="50451" dxfId="5">
      <formula>$H51="CÉLULA CONSTRUTIVA"</formula>
    </cfRule>
  </conditionalFormatting>
  <conditionalFormatting sqref="N52">
    <cfRule type="expression" priority="50411" dxfId="5">
      <formula>$H52="CÉLULA CONSTRUTIVA"</formula>
    </cfRule>
    <cfRule type="expression" priority="50412" dxfId="3">
      <formula>$H52="ETAPA"</formula>
    </cfRule>
    <cfRule type="expression" priority="50422" dxfId="5">
      <formula>$H52="CÉLULA CONSTRUTIVA"</formula>
    </cfRule>
    <cfRule type="expression" priority="50423" dxfId="3">
      <formula>$H52="ETAPA"</formula>
    </cfRule>
  </conditionalFormatting>
  <conditionalFormatting sqref="N53">
    <cfRule type="expression" priority="46414" dxfId="4">
      <formula>$H53="SUBETAPA"</formula>
    </cfRule>
  </conditionalFormatting>
  <conditionalFormatting sqref="N55 N57">
    <cfRule type="expression" priority="50392" dxfId="4">
      <formula>$H55="SUBETAPA"</formula>
    </cfRule>
  </conditionalFormatting>
  <conditionalFormatting sqref="N55">
    <cfRule type="expression" priority="50396" dxfId="5">
      <formula>$H55="CÉLULA CONSTRUTIVA"</formula>
    </cfRule>
  </conditionalFormatting>
  <conditionalFormatting sqref="N56">
    <cfRule type="expression" priority="50356" dxfId="5">
      <formula>$H56="CÉLULA CONSTRUTIVA"</formula>
    </cfRule>
    <cfRule type="expression" priority="50357" dxfId="3">
      <formula>$H56="ETAPA"</formula>
    </cfRule>
    <cfRule type="expression" priority="50367" dxfId="5">
      <formula>$H56="CÉLULA CONSTRUTIVA"</formula>
    </cfRule>
    <cfRule type="expression" priority="50368" dxfId="3">
      <formula>$H56="ETAPA"</formula>
    </cfRule>
  </conditionalFormatting>
  <conditionalFormatting sqref="N58">
    <cfRule type="expression" priority="50687" dxfId="4">
      <formula>$H58="SUBETAPA"</formula>
    </cfRule>
    <cfRule type="expression" priority="50688" dxfId="3">
      <formula>$H58="ETAPA"</formula>
    </cfRule>
    <cfRule type="expression" priority="50699" dxfId="5">
      <formula>$H58="CÉLULA CONSTRUTIVA"</formula>
    </cfRule>
  </conditionalFormatting>
  <conditionalFormatting sqref="N65">
    <cfRule type="expression" priority="50960" dxfId="5">
      <formula>$H65="CÉLULA CONSTRUTIVA"</formula>
    </cfRule>
  </conditionalFormatting>
  <conditionalFormatting sqref="N68">
    <cfRule type="expression" priority="50961" dxfId="4">
      <formula>$H68="SUBETAPA"</formula>
    </cfRule>
    <cfRule type="expression" priority="50962" dxfId="5">
      <formula>$H68="CÉLULA CONSTRUTIVA"</formula>
    </cfRule>
    <cfRule type="expression" priority="50963" dxfId="3">
      <formula>$H68="ETAPA"</formula>
    </cfRule>
  </conditionalFormatting>
  <conditionalFormatting sqref="N80">
    <cfRule type="expression" priority="50326" dxfId="4">
      <formula>$H80="SUBETAPA"</formula>
    </cfRule>
    <cfRule type="expression" priority="50327" dxfId="5">
      <formula>$H80="CÉLULA CONSTRUTIVA"</formula>
    </cfRule>
  </conditionalFormatting>
  <conditionalFormatting sqref="N80:N81">
    <cfRule type="expression" priority="50328" dxfId="3">
      <formula>$H80="ETAPA"</formula>
    </cfRule>
  </conditionalFormatting>
  <conditionalFormatting sqref="M95:N95 N81 N83">
    <cfRule type="expression" priority="50329" dxfId="4">
      <formula>$H81="SUBETAPA"</formula>
    </cfRule>
  </conditionalFormatting>
  <conditionalFormatting sqref="N81 N83 N93 N95">
    <cfRule type="expression" priority="50330" dxfId="5">
      <formula>$H81="CÉLULA CONSTRUTIVA"</formula>
    </cfRule>
  </conditionalFormatting>
  <conditionalFormatting sqref="N84">
    <cfRule type="expression" priority="50295" dxfId="4">
      <formula>$H84="SUBETAPA"</formula>
    </cfRule>
    <cfRule type="expression" priority="50296" dxfId="3">
      <formula>$H84="ETAPA"</formula>
    </cfRule>
    <cfRule type="expression" priority="50306" dxfId="5">
      <formula>$H84="CÉLULA CONSTRUTIVA"</formula>
    </cfRule>
  </conditionalFormatting>
  <conditionalFormatting sqref="N85:N86">
    <cfRule type="expression" priority="50340" dxfId="5">
      <formula>$H85="CÉLULA CONSTRUTIVA"</formula>
    </cfRule>
  </conditionalFormatting>
  <conditionalFormatting sqref="G83:K83 G85:K87 G88:I88 G89:K89 G90:I90 G91:K92 K88 K90 N85:N91">
    <cfRule type="expression" priority="50341" dxfId="3">
      <formula>$H83="ETAPA"</formula>
    </cfRule>
  </conditionalFormatting>
  <conditionalFormatting sqref="N87:N92">
    <cfRule type="expression" priority="50331" dxfId="5">
      <formula>$H87="CÉLULA CONSTRUTIVA"</formula>
    </cfRule>
  </conditionalFormatting>
  <conditionalFormatting sqref="N92">
    <cfRule type="expression" priority="50332" dxfId="3">
      <formula>$H92="ETAPA"</formula>
    </cfRule>
  </conditionalFormatting>
  <conditionalFormatting sqref="N96">
    <cfRule type="expression" priority="50953" dxfId="5">
      <formula>$H96="CÉLULA CONSTRUTIVA"</formula>
    </cfRule>
    <cfRule type="expression" priority="50954" dxfId="3">
      <formula>$H96="ETAPA"</formula>
    </cfRule>
  </conditionalFormatting>
  <conditionalFormatting sqref="N97">
    <cfRule type="expression" priority="50172" dxfId="4">
      <formula>$H97="SUBETAPA"</formula>
    </cfRule>
    <cfRule type="expression" priority="50173" dxfId="5">
      <formula>$H97="CÉLULA CONSTRUTIVA"</formula>
    </cfRule>
  </conditionalFormatting>
  <conditionalFormatting sqref="N97:N98">
    <cfRule type="expression" priority="50174" dxfId="3">
      <formula>$H97="ETAPA"</formula>
    </cfRule>
  </conditionalFormatting>
  <conditionalFormatting sqref="N98">
    <cfRule type="expression" priority="50175" dxfId="4">
      <formula>$H98="SUBETAPA"</formula>
    </cfRule>
    <cfRule type="expression" priority="50176" dxfId="5">
      <formula>$H98="CÉLULA CONSTRUTIVA"</formula>
    </cfRule>
  </conditionalFormatting>
  <conditionalFormatting sqref="N104">
    <cfRule type="expression" priority="50132" dxfId="5">
      <formula>$H104="CÉLULA CONSTRUTIVA"</formula>
    </cfRule>
  </conditionalFormatting>
  <conditionalFormatting sqref="N106">
    <cfRule type="expression" priority="50114" dxfId="5">
      <formula>$H106="CÉLULA CONSTRUTIVA"</formula>
    </cfRule>
  </conditionalFormatting>
  <conditionalFormatting sqref="N108">
    <cfRule type="expression" priority="50096" dxfId="5">
      <formula>$H108="CÉLULA CONSTRUTIVA"</formula>
    </cfRule>
  </conditionalFormatting>
  <conditionalFormatting sqref="N110">
    <cfRule type="expression" priority="50078" dxfId="5">
      <formula>$H110="CÉLULA CONSTRUTIVA"</formula>
    </cfRule>
  </conditionalFormatting>
  <conditionalFormatting sqref="N112">
    <cfRule type="expression" priority="50060" dxfId="5">
      <formula>$H112="CÉLULA CONSTRUTIVA"</formula>
    </cfRule>
  </conditionalFormatting>
  <conditionalFormatting sqref="N114">
    <cfRule type="expression" priority="46361" dxfId="4">
      <formula>$H114="SUBETAPA"</formula>
    </cfRule>
    <cfRule type="expression" priority="46362" dxfId="5">
      <formula>$H114="CÉLULA CONSTRUTIVA"</formula>
    </cfRule>
  </conditionalFormatting>
  <conditionalFormatting sqref="N116">
    <cfRule type="expression" priority="50042" dxfId="5">
      <formula>$H116="CÉLULA CONSTRUTIVA"</formula>
    </cfRule>
  </conditionalFormatting>
  <conditionalFormatting sqref="N118">
    <cfRule type="expression" priority="50024" dxfId="5">
      <formula>$H118="CÉLULA CONSTRUTIVA"</formula>
    </cfRule>
  </conditionalFormatting>
  <conditionalFormatting sqref="N120">
    <cfRule type="expression" priority="50006" dxfId="5">
      <formula>$H120="CÉLULA CONSTRUTIVA"</formula>
    </cfRule>
  </conditionalFormatting>
  <conditionalFormatting sqref="N122">
    <cfRule type="expression" priority="49986" dxfId="5">
      <formula>$H122="CÉLULA CONSTRUTIVA"</formula>
    </cfRule>
  </conditionalFormatting>
  <conditionalFormatting sqref="G123:K123 N122:N123">
    <cfRule type="expression" priority="49978" dxfId="3">
      <formula>$H122="ETAPA"</formula>
    </cfRule>
  </conditionalFormatting>
  <conditionalFormatting sqref="G122:L122 G123:K123 N122:N123">
    <cfRule type="expression" priority="49976" dxfId="5">
      <formula>$H122="CÉLULA CONSTRUTIVA"</formula>
    </cfRule>
  </conditionalFormatting>
  <conditionalFormatting sqref="N122:N123">
    <cfRule type="expression" priority="49985" dxfId="4">
      <formula>$H122="SUBETAPA"</formula>
    </cfRule>
  </conditionalFormatting>
  <conditionalFormatting sqref="N123">
    <cfRule type="expression" priority="49987" dxfId="5">
      <formula>$H123="CÉLULA CONSTRUTIVA"</formula>
    </cfRule>
    <cfRule type="expression" priority="49988" dxfId="3">
      <formula>$H123="ETAPA"</formula>
    </cfRule>
  </conditionalFormatting>
  <conditionalFormatting sqref="N125">
    <cfRule type="expression" priority="49949" dxfId="5">
      <formula>$H125="CÉLULA CONSTRUTIVA"</formula>
    </cfRule>
  </conditionalFormatting>
  <conditionalFormatting sqref="G126:K126 N125:N126">
    <cfRule type="expression" priority="49941" dxfId="3">
      <formula>$H125="ETAPA"</formula>
    </cfRule>
  </conditionalFormatting>
  <conditionalFormatting sqref="G125:L125 G126:K126 N125:N126">
    <cfRule type="expression" priority="49939" dxfId="5">
      <formula>$H125="CÉLULA CONSTRUTIVA"</formula>
    </cfRule>
  </conditionalFormatting>
  <conditionalFormatting sqref="N125:N126">
    <cfRule type="expression" priority="49948" dxfId="4">
      <formula>$H125="SUBETAPA"</formula>
    </cfRule>
  </conditionalFormatting>
  <conditionalFormatting sqref="N126">
    <cfRule type="expression" priority="49950" dxfId="5">
      <formula>$H126="CÉLULA CONSTRUTIVA"</formula>
    </cfRule>
    <cfRule type="expression" priority="49951" dxfId="3">
      <formula>$H126="ETAPA"</formula>
    </cfRule>
  </conditionalFormatting>
  <conditionalFormatting sqref="N128">
    <cfRule type="expression" priority="49912" dxfId="5">
      <formula>$H128="CÉLULA CONSTRUTIVA"</formula>
    </cfRule>
  </conditionalFormatting>
  <conditionalFormatting sqref="G129:K129 N128:N129">
    <cfRule type="expression" priority="49904" dxfId="3">
      <formula>$H128="ETAPA"</formula>
    </cfRule>
  </conditionalFormatting>
  <conditionalFormatting sqref="G128:L128 G129:K129 N128:N129">
    <cfRule type="expression" priority="49902" dxfId="5">
      <formula>$H128="CÉLULA CONSTRUTIVA"</formula>
    </cfRule>
  </conditionalFormatting>
  <conditionalFormatting sqref="N128:N129">
    <cfRule type="expression" priority="49911" dxfId="4">
      <formula>$H128="SUBETAPA"</formula>
    </cfRule>
  </conditionalFormatting>
  <conditionalFormatting sqref="N129">
    <cfRule type="expression" priority="49913" dxfId="5">
      <formula>$H129="CÉLULA CONSTRUTIVA"</formula>
    </cfRule>
    <cfRule type="expression" priority="49914" dxfId="3">
      <formula>$H129="ETAPA"</formula>
    </cfRule>
  </conditionalFormatting>
  <conditionalFormatting sqref="N131">
    <cfRule type="expression" priority="49877" dxfId="5">
      <formula>$H131="CÉLULA CONSTRUTIVA"</formula>
    </cfRule>
  </conditionalFormatting>
  <conditionalFormatting sqref="N133">
    <cfRule type="expression" priority="49857" dxfId="5">
      <formula>$H133="CÉLULA CONSTRUTIVA"</formula>
    </cfRule>
  </conditionalFormatting>
  <conditionalFormatting sqref="G134:K134 N133:N134">
    <cfRule type="expression" priority="49849" dxfId="3">
      <formula>$H133="ETAPA"</formula>
    </cfRule>
  </conditionalFormatting>
  <conditionalFormatting sqref="G133:L133 G134:K134 N133:N134">
    <cfRule type="expression" priority="49847" dxfId="5">
      <formula>$H133="CÉLULA CONSTRUTIVA"</formula>
    </cfRule>
  </conditionalFormatting>
  <conditionalFormatting sqref="N133:N134">
    <cfRule type="expression" priority="49856" dxfId="4">
      <formula>$H133="SUBETAPA"</formula>
    </cfRule>
  </conditionalFormatting>
  <conditionalFormatting sqref="N134">
    <cfRule type="expression" priority="49858" dxfId="5">
      <formula>$H134="CÉLULA CONSTRUTIVA"</formula>
    </cfRule>
    <cfRule type="expression" priority="49859" dxfId="3">
      <formula>$H134="ETAPA"</formula>
    </cfRule>
  </conditionalFormatting>
  <conditionalFormatting sqref="N136">
    <cfRule type="expression" priority="49820" dxfId="5">
      <formula>$H136="CÉLULA CONSTRUTIVA"</formula>
    </cfRule>
  </conditionalFormatting>
  <conditionalFormatting sqref="G137:K137 N136:N137">
    <cfRule type="expression" priority="49812" dxfId="3">
      <formula>$H136="ETAPA"</formula>
    </cfRule>
  </conditionalFormatting>
  <conditionalFormatting sqref="G136:L136 G137:K137 N136:N137">
    <cfRule type="expression" priority="49810" dxfId="5">
      <formula>$H136="CÉLULA CONSTRUTIVA"</formula>
    </cfRule>
  </conditionalFormatting>
  <conditionalFormatting sqref="N136:N137">
    <cfRule type="expression" priority="49819" dxfId="4">
      <formula>$H136="SUBETAPA"</formula>
    </cfRule>
  </conditionalFormatting>
  <conditionalFormatting sqref="N137">
    <cfRule type="expression" priority="49821" dxfId="5">
      <formula>$H137="CÉLULA CONSTRUTIVA"</formula>
    </cfRule>
    <cfRule type="expression" priority="49822" dxfId="3">
      <formula>$H137="ETAPA"</formula>
    </cfRule>
  </conditionalFormatting>
  <conditionalFormatting sqref="N139">
    <cfRule type="expression" priority="49783" dxfId="5">
      <formula>$H139="CÉLULA CONSTRUTIVA"</formula>
    </cfRule>
  </conditionalFormatting>
  <conditionalFormatting sqref="N145:N147">
    <cfRule type="expression" priority="50887" dxfId="3">
      <formula>$H145="ETAPA"</formula>
    </cfRule>
    <cfRule type="expression" priority="50889" dxfId="4">
      <formula>$H145="SUBETAPA"</formula>
    </cfRule>
  </conditionalFormatting>
  <conditionalFormatting sqref="N148">
    <cfRule type="expression" priority="49766" dxfId="5">
      <formula>$H148="CÉLULA CONSTRUTIVA"</formula>
    </cfRule>
  </conditionalFormatting>
  <conditionalFormatting sqref="N148:N153">
    <cfRule type="expression" priority="49765" dxfId="4">
      <formula>$H148="SUBETAPA"</formula>
    </cfRule>
  </conditionalFormatting>
  <conditionalFormatting sqref="N154:N156">
    <cfRule type="expression" priority="49733" dxfId="3">
      <formula>$H154="ETAPA"</formula>
    </cfRule>
    <cfRule type="expression" priority="49735" dxfId="4">
      <formula>$H154="SUBETAPA"</formula>
    </cfRule>
  </conditionalFormatting>
  <conditionalFormatting sqref="N157">
    <cfRule type="expression" priority="49700" dxfId="3">
      <formula>$H157="ETAPA"</formula>
    </cfRule>
    <cfRule type="expression" priority="49702" dxfId="4">
      <formula>$H157="SUBETAPA"</formula>
    </cfRule>
  </conditionalFormatting>
  <conditionalFormatting sqref="N158">
    <cfRule type="expression" priority="49680" dxfId="5">
      <formula>$H158="CÉLULA CONSTRUTIVA"</formula>
    </cfRule>
  </conditionalFormatting>
  <conditionalFormatting sqref="N158:N163">
    <cfRule type="expression" priority="49679" dxfId="4">
      <formula>$H158="SUBETAPA"</formula>
    </cfRule>
  </conditionalFormatting>
  <conditionalFormatting sqref="N164:N166">
    <cfRule type="expression" priority="49647" dxfId="3">
      <formula>$H164="ETAPA"</formula>
    </cfRule>
    <cfRule type="expression" priority="49649" dxfId="4">
      <formula>$H164="SUBETAPA"</formula>
    </cfRule>
  </conditionalFormatting>
  <conditionalFormatting sqref="N167">
    <cfRule type="expression" priority="49614" dxfId="3">
      <formula>$H167="ETAPA"</formula>
    </cfRule>
    <cfRule type="expression" priority="49616" dxfId="4">
      <formula>$H167="SUBETAPA"</formula>
    </cfRule>
  </conditionalFormatting>
  <conditionalFormatting sqref="N168">
    <cfRule type="expression" priority="49594" dxfId="5">
      <formula>$H168="CÉLULA CONSTRUTIVA"</formula>
    </cfRule>
  </conditionalFormatting>
  <conditionalFormatting sqref="N168:N173">
    <cfRule type="expression" priority="49593" dxfId="4">
      <formula>$H168="SUBETAPA"</formula>
    </cfRule>
  </conditionalFormatting>
  <conditionalFormatting sqref="N174:N176">
    <cfRule type="expression" priority="49561" dxfId="3">
      <formula>$H174="ETAPA"</formula>
    </cfRule>
    <cfRule type="expression" priority="49563" dxfId="4">
      <formula>$H174="SUBETAPA"</formula>
    </cfRule>
  </conditionalFormatting>
  <conditionalFormatting sqref="N177">
    <cfRule type="expression" priority="49509" dxfId="5">
      <formula>$H177="CÉLULA CONSTRUTIVA"</formula>
    </cfRule>
  </conditionalFormatting>
  <conditionalFormatting sqref="N178">
    <cfRule type="expression" priority="3319" dxfId="3">
      <formula>$H178="ETAPA"</formula>
    </cfRule>
    <cfRule type="expression" priority="3322" dxfId="4">
      <formula>$H178="SUBETAPA"</formula>
    </cfRule>
  </conditionalFormatting>
  <conditionalFormatting sqref="N185">
    <cfRule type="expression" priority="3305" dxfId="3">
      <formula>$H185="ETAPA"</formula>
    </cfRule>
    <cfRule type="expression" priority="3307" dxfId="4">
      <formula>$H185="SUBETAPA"</formula>
    </cfRule>
  </conditionalFormatting>
  <conditionalFormatting sqref="N186">
    <cfRule type="expression" priority="49491" dxfId="5">
      <formula>$H186="CÉLULA CONSTRUTIVA"</formula>
    </cfRule>
  </conditionalFormatting>
  <conditionalFormatting sqref="N187">
    <cfRule type="expression" priority="3285" dxfId="3">
      <formula>$H187="ETAPA"</formula>
    </cfRule>
    <cfRule type="expression" priority="3288" dxfId="4">
      <formula>$H187="SUBETAPA"</formula>
    </cfRule>
  </conditionalFormatting>
  <conditionalFormatting sqref="N194">
    <cfRule type="expression" priority="3271" dxfId="3">
      <formula>$H194="ETAPA"</formula>
    </cfRule>
    <cfRule type="expression" priority="3273" dxfId="4">
      <formula>$H194="SUBETAPA"</formula>
    </cfRule>
  </conditionalFormatting>
  <conditionalFormatting sqref="N195">
    <cfRule type="expression" priority="49473" dxfId="5">
      <formula>$H195="CÉLULA CONSTRUTIVA"</formula>
    </cfRule>
  </conditionalFormatting>
  <conditionalFormatting sqref="N196">
    <cfRule type="expression" priority="3251" dxfId="3">
      <formula>$H196="ETAPA"</formula>
    </cfRule>
    <cfRule type="expression" priority="3254" dxfId="4">
      <formula>$H196="SUBETAPA"</formula>
    </cfRule>
  </conditionalFormatting>
  <conditionalFormatting sqref="N203">
    <cfRule type="expression" priority="3237" dxfId="3">
      <formula>$H203="ETAPA"</formula>
    </cfRule>
    <cfRule type="expression" priority="3239" dxfId="4">
      <formula>$H203="SUBETAPA"</formula>
    </cfRule>
  </conditionalFormatting>
  <conditionalFormatting sqref="G210:J211 K206:K211 L206 M206:O211 N204">
    <cfRule type="expression" priority="46338" dxfId="3">
      <formula>$H204="ETAPA"</formula>
    </cfRule>
  </conditionalFormatting>
  <conditionalFormatting sqref="N204">
    <cfRule type="expression" priority="46326" dxfId="4">
      <formula>$H204="SUBETAPA"</formula>
    </cfRule>
    <cfRule type="expression" priority="46327" dxfId="5">
      <formula>$H204="CÉLULA CONSTRUTIVA"</formula>
    </cfRule>
  </conditionalFormatting>
  <conditionalFormatting sqref="N205">
    <cfRule type="expression" priority="3217" dxfId="3">
      <formula>$H205="ETAPA"</formula>
    </cfRule>
    <cfRule type="expression" priority="3220" dxfId="4">
      <formula>$H205="SUBETAPA"</formula>
    </cfRule>
  </conditionalFormatting>
  <conditionalFormatting sqref="N212">
    <cfRule type="expression" priority="3203" dxfId="3">
      <formula>$H212="ETAPA"</formula>
    </cfRule>
    <cfRule type="expression" priority="3205" dxfId="4">
      <formula>$H212="SUBETAPA"</formula>
    </cfRule>
  </conditionalFormatting>
  <conditionalFormatting sqref="N213">
    <cfRule type="expression" priority="49455" dxfId="5">
      <formula>$H213="CÉLULA CONSTRUTIVA"</formula>
    </cfRule>
  </conditionalFormatting>
  <conditionalFormatting sqref="N214">
    <cfRule type="expression" priority="3183" dxfId="3">
      <formula>$H214="ETAPA"</formula>
    </cfRule>
    <cfRule type="expression" priority="3186" dxfId="4">
      <formula>$H214="SUBETAPA"</formula>
    </cfRule>
  </conditionalFormatting>
  <conditionalFormatting sqref="N221">
    <cfRule type="expression" priority="3169" dxfId="3">
      <formula>$H221="ETAPA"</formula>
    </cfRule>
    <cfRule type="expression" priority="3171" dxfId="4">
      <formula>$H221="SUBETAPA"</formula>
    </cfRule>
  </conditionalFormatting>
  <conditionalFormatting sqref="N222">
    <cfRule type="expression" priority="49436" dxfId="5">
      <formula>$H222="CÉLULA CONSTRUTIVA"</formula>
    </cfRule>
  </conditionalFormatting>
  <conditionalFormatting sqref="N222:N227">
    <cfRule type="expression" priority="49435" dxfId="4">
      <formula>$H222="SUBETAPA"</formula>
    </cfRule>
  </conditionalFormatting>
  <conditionalFormatting sqref="N228:N230">
    <cfRule type="expression" priority="49403" dxfId="3">
      <formula>$H228="ETAPA"</formula>
    </cfRule>
    <cfRule type="expression" priority="49405" dxfId="4">
      <formula>$H228="SUBETAPA"</formula>
    </cfRule>
  </conditionalFormatting>
  <conditionalFormatting sqref="N231">
    <cfRule type="expression" priority="49386" dxfId="5">
      <formula>$H231="CÉLULA CONSTRUTIVA"</formula>
    </cfRule>
  </conditionalFormatting>
  <conditionalFormatting sqref="N231:N236">
    <cfRule type="expression" priority="49385" dxfId="4">
      <formula>$H231="SUBETAPA"</formula>
    </cfRule>
  </conditionalFormatting>
  <conditionalFormatting sqref="N237:N239">
    <cfRule type="expression" priority="49353" dxfId="3">
      <formula>$H237="ETAPA"</formula>
    </cfRule>
    <cfRule type="expression" priority="49355" dxfId="4">
      <formula>$H237="SUBETAPA"</formula>
    </cfRule>
  </conditionalFormatting>
  <conditionalFormatting sqref="N240">
    <cfRule type="expression" priority="49336" dxfId="5">
      <formula>$H240="CÉLULA CONSTRUTIVA"</formula>
    </cfRule>
  </conditionalFormatting>
  <conditionalFormatting sqref="N240:N245">
    <cfRule type="expression" priority="49335" dxfId="4">
      <formula>$H240="SUBETAPA"</formula>
    </cfRule>
  </conditionalFormatting>
  <conditionalFormatting sqref="N246:N248">
    <cfRule type="expression" priority="49303" dxfId="3">
      <formula>$H246="ETAPA"</formula>
    </cfRule>
    <cfRule type="expression" priority="49305" dxfId="4">
      <formula>$H246="SUBETAPA"</formula>
    </cfRule>
  </conditionalFormatting>
  <conditionalFormatting sqref="N249">
    <cfRule type="expression" priority="49286" dxfId="5">
      <formula>$H249="CÉLULA CONSTRUTIVA"</formula>
    </cfRule>
  </conditionalFormatting>
  <conditionalFormatting sqref="N249:N254">
    <cfRule type="expression" priority="49285" dxfId="4">
      <formula>$H249="SUBETAPA"</formula>
    </cfRule>
  </conditionalFormatting>
  <conditionalFormatting sqref="N255:N257">
    <cfRule type="expression" priority="49253" dxfId="3">
      <formula>$H255="ETAPA"</formula>
    </cfRule>
    <cfRule type="expression" priority="49255" dxfId="4">
      <formula>$H255="SUBETAPA"</formula>
    </cfRule>
  </conditionalFormatting>
  <conditionalFormatting sqref="N258">
    <cfRule type="expression" priority="49236" dxfId="5">
      <formula>$H258="CÉLULA CONSTRUTIVA"</formula>
    </cfRule>
  </conditionalFormatting>
  <conditionalFormatting sqref="N258:N263">
    <cfRule type="expression" priority="49235" dxfId="4">
      <formula>$H258="SUBETAPA"</formula>
    </cfRule>
  </conditionalFormatting>
  <conditionalFormatting sqref="N264:N266">
    <cfRule type="expression" priority="49203" dxfId="3">
      <formula>$H264="ETAPA"</formula>
    </cfRule>
    <cfRule type="expression" priority="49205" dxfId="4">
      <formula>$H264="SUBETAPA"</formula>
    </cfRule>
  </conditionalFormatting>
  <conditionalFormatting sqref="N267">
    <cfRule type="expression" priority="49186" dxfId="5">
      <formula>$H267="CÉLULA CONSTRUTIVA"</formula>
    </cfRule>
  </conditionalFormatting>
  <conditionalFormatting sqref="N267:N272">
    <cfRule type="expression" priority="49185" dxfId="4">
      <formula>$H267="SUBETAPA"</formula>
    </cfRule>
  </conditionalFormatting>
  <conditionalFormatting sqref="N274">
    <cfRule type="expression" priority="49150" dxfId="5">
      <formula>$H274="CÉLULA CONSTRUTIVA"</formula>
    </cfRule>
  </conditionalFormatting>
  <conditionalFormatting sqref="N280">
    <cfRule type="expression" priority="49130" dxfId="4">
      <formula>$H280="SUBETAPA"</formula>
    </cfRule>
    <cfRule type="expression" priority="49131" dxfId="5">
      <formula>$H280="CÉLULA CONSTRUTIVA"</formula>
    </cfRule>
  </conditionalFormatting>
  <conditionalFormatting sqref="G141:J144 K141:K147 N282">
    <cfRule type="expression" priority="50926" dxfId="3">
      <formula>$H141="ETAPA"</formula>
    </cfRule>
  </conditionalFormatting>
  <conditionalFormatting sqref="N282">
    <cfRule type="expression" priority="50922" dxfId="4">
      <formula>$H282="SUBETAPA"</formula>
    </cfRule>
  </conditionalFormatting>
  <conditionalFormatting sqref="N283">
    <cfRule type="expression" priority="49111" dxfId="4">
      <formula>$H283="SUBETAPA"</formula>
    </cfRule>
    <cfRule type="expression" priority="49112" dxfId="5">
      <formula>$H283="CÉLULA CONSTRUTIVA"</formula>
    </cfRule>
  </conditionalFormatting>
  <conditionalFormatting sqref="N284">
    <cfRule type="expression" priority="49109" dxfId="3">
      <formula>$H284="ETAPA"</formula>
    </cfRule>
  </conditionalFormatting>
  <conditionalFormatting sqref="N285">
    <cfRule type="expression" priority="49065" dxfId="4">
      <formula>$H285="SUBETAPA"</formula>
    </cfRule>
    <cfRule type="expression" priority="49066" dxfId="5">
      <formula>$H285="CÉLULA CONSTRUTIVA"</formula>
    </cfRule>
  </conditionalFormatting>
  <conditionalFormatting sqref="N286">
    <cfRule type="expression" priority="49063" dxfId="3">
      <formula>$H286="ETAPA"</formula>
    </cfRule>
  </conditionalFormatting>
  <conditionalFormatting sqref="N287">
    <cfRule type="expression" priority="49019" dxfId="4">
      <formula>$H287="SUBETAPA"</formula>
    </cfRule>
    <cfRule type="expression" priority="49020" dxfId="5">
      <formula>$H287="CÉLULA CONSTRUTIVA"</formula>
    </cfRule>
  </conditionalFormatting>
  <conditionalFormatting sqref="N288">
    <cfRule type="expression" priority="49017" dxfId="3">
      <formula>$H288="ETAPA"</formula>
    </cfRule>
  </conditionalFormatting>
  <conditionalFormatting sqref="N289">
    <cfRule type="expression" priority="48973" dxfId="4">
      <formula>$H289="SUBETAPA"</formula>
    </cfRule>
    <cfRule type="expression" priority="48974" dxfId="5">
      <formula>$H289="CÉLULA CONSTRUTIVA"</formula>
    </cfRule>
  </conditionalFormatting>
  <conditionalFormatting sqref="N290">
    <cfRule type="expression" priority="48971" dxfId="3">
      <formula>$H290="ETAPA"</formula>
    </cfRule>
  </conditionalFormatting>
  <conditionalFormatting sqref="N291">
    <cfRule type="expression" priority="48927" dxfId="4">
      <formula>$H291="SUBETAPA"</formula>
    </cfRule>
    <cfRule type="expression" priority="48928" dxfId="5">
      <formula>$H291="CÉLULA CONSTRUTIVA"</formula>
    </cfRule>
  </conditionalFormatting>
  <conditionalFormatting sqref="N292">
    <cfRule type="expression" priority="48925" dxfId="3">
      <formula>$H292="ETAPA"</formula>
    </cfRule>
  </conditionalFormatting>
  <conditionalFormatting sqref="N293">
    <cfRule type="expression" priority="48881" dxfId="4">
      <formula>$H293="SUBETAPA"</formula>
    </cfRule>
    <cfRule type="expression" priority="48882" dxfId="5">
      <formula>$H293="CÉLULA CONSTRUTIVA"</formula>
    </cfRule>
  </conditionalFormatting>
  <conditionalFormatting sqref="N294">
    <cfRule type="expression" priority="48879" dxfId="3">
      <formula>$H294="ETAPA"</formula>
    </cfRule>
  </conditionalFormatting>
  <conditionalFormatting sqref="N295">
    <cfRule type="expression" priority="46292" dxfId="4">
      <formula>$H295="SUBETAPA"</formula>
    </cfRule>
    <cfRule type="expression" priority="46293" dxfId="5">
      <formula>$H295="CÉLULA CONSTRUTIVA"</formula>
    </cfRule>
  </conditionalFormatting>
  <conditionalFormatting sqref="N296">
    <cfRule type="expression" priority="46290" dxfId="3">
      <formula>$H296="ETAPA"</formula>
    </cfRule>
  </conditionalFormatting>
  <conditionalFormatting sqref="N297">
    <cfRule type="expression" priority="48835" dxfId="4">
      <formula>$H297="SUBETAPA"</formula>
    </cfRule>
    <cfRule type="expression" priority="48836" dxfId="5">
      <formula>$H297="CÉLULA CONSTRUTIVA"</formula>
    </cfRule>
  </conditionalFormatting>
  <conditionalFormatting sqref="N298">
    <cfRule type="expression" priority="48833" dxfId="3">
      <formula>$H298="ETAPA"</formula>
    </cfRule>
  </conditionalFormatting>
  <conditionalFormatting sqref="N299">
    <cfRule type="expression" priority="48789" dxfId="4">
      <formula>$H299="SUBETAPA"</formula>
    </cfRule>
    <cfRule type="expression" priority="48790" dxfId="5">
      <formula>$H299="CÉLULA CONSTRUTIVA"</formula>
    </cfRule>
  </conditionalFormatting>
  <conditionalFormatting sqref="N300">
    <cfRule type="expression" priority="48787" dxfId="3">
      <formula>$H300="ETAPA"</formula>
    </cfRule>
  </conditionalFormatting>
  <conditionalFormatting sqref="N301">
    <cfRule type="expression" priority="48743" dxfId="4">
      <formula>$H301="SUBETAPA"</formula>
    </cfRule>
    <cfRule type="expression" priority="48744" dxfId="5">
      <formula>$H301="CÉLULA CONSTRUTIVA"</formula>
    </cfRule>
  </conditionalFormatting>
  <conditionalFormatting sqref="N302">
    <cfRule type="expression" priority="48741" dxfId="3">
      <formula>$H302="ETAPA"</formula>
    </cfRule>
  </conditionalFormatting>
  <conditionalFormatting sqref="N303">
    <cfRule type="expression" priority="48697" dxfId="4">
      <formula>$H303="SUBETAPA"</formula>
    </cfRule>
    <cfRule type="expression" priority="48698" dxfId="5">
      <formula>$H303="CÉLULA CONSTRUTIVA"</formula>
    </cfRule>
  </conditionalFormatting>
  <conditionalFormatting sqref="N304">
    <cfRule type="expression" priority="48693" dxfId="4">
      <formula>$H304="SUBETAPA"</formula>
    </cfRule>
    <cfRule type="expression" priority="48695" dxfId="3">
      <formula>$H304="ETAPA"</formula>
    </cfRule>
  </conditionalFormatting>
  <conditionalFormatting sqref="N305">
    <cfRule type="expression" priority="48651" dxfId="4">
      <formula>$H305="SUBETAPA"</formula>
    </cfRule>
    <cfRule type="expression" priority="48652" dxfId="5">
      <formula>$H305="CÉLULA CONSTRUTIVA"</formula>
    </cfRule>
  </conditionalFormatting>
  <conditionalFormatting sqref="N306">
    <cfRule type="expression" priority="48649" dxfId="3">
      <formula>$H306="ETAPA"</formula>
    </cfRule>
  </conditionalFormatting>
  <conditionalFormatting sqref="N307">
    <cfRule type="expression" priority="48605" dxfId="4">
      <formula>$H307="SUBETAPA"</formula>
    </cfRule>
    <cfRule type="expression" priority="48606" dxfId="5">
      <formula>$H307="CÉLULA CONSTRUTIVA"</formula>
    </cfRule>
  </conditionalFormatting>
  <conditionalFormatting sqref="N308">
    <cfRule type="expression" priority="48601" dxfId="4">
      <formula>$H308="SUBETAPA"</formula>
    </cfRule>
    <cfRule type="expression" priority="48603" dxfId="3">
      <formula>$H308="ETAPA"</formula>
    </cfRule>
  </conditionalFormatting>
  <conditionalFormatting sqref="N309">
    <cfRule type="expression" priority="48559" dxfId="4">
      <formula>$H309="SUBETAPA"</formula>
    </cfRule>
    <cfRule type="expression" priority="48560" dxfId="5">
      <formula>$H309="CÉLULA CONSTRUTIVA"</formula>
    </cfRule>
  </conditionalFormatting>
  <conditionalFormatting sqref="N310">
    <cfRule type="expression" priority="48557" dxfId="3">
      <formula>$H310="ETAPA"</formula>
    </cfRule>
  </conditionalFormatting>
  <conditionalFormatting sqref="N311">
    <cfRule type="expression" priority="48513" dxfId="4">
      <formula>$H311="SUBETAPA"</formula>
    </cfRule>
    <cfRule type="expression" priority="48514" dxfId="5">
      <formula>$H311="CÉLULA CONSTRUTIVA"</formula>
    </cfRule>
  </conditionalFormatting>
  <conditionalFormatting sqref="N313">
    <cfRule type="expression" priority="48441" dxfId="4">
      <formula>$H313="SUBETAPA"</formula>
    </cfRule>
    <cfRule type="expression" priority="48442" dxfId="5">
      <formula>$H313="CÉLULA CONSTRUTIVA"</formula>
    </cfRule>
  </conditionalFormatting>
  <conditionalFormatting sqref="N314">
    <cfRule type="expression" priority="48454" dxfId="4">
      <formula>$H314="SUBETAPA"</formula>
    </cfRule>
    <cfRule type="expression" priority="48455" dxfId="5">
      <formula>$H314="CÉLULA CONSTRUTIVA"</formula>
    </cfRule>
  </conditionalFormatting>
  <conditionalFormatting sqref="N315">
    <cfRule type="expression" priority="48414" dxfId="4">
      <formula>$H315="SUBETAPA"</formula>
    </cfRule>
    <cfRule type="expression" priority="48415" dxfId="5">
      <formula>$H315="CÉLULA CONSTRUTIVA"</formula>
    </cfRule>
    <cfRule type="expression" priority="48416" dxfId="3">
      <formula>$H315="ETAPA"</formula>
    </cfRule>
  </conditionalFormatting>
  <conditionalFormatting sqref="N316">
    <cfRule type="expression" priority="48424" dxfId="4">
      <formula>$H316="SUBETAPA"</formula>
    </cfRule>
    <cfRule type="expression" priority="48425" dxfId="5">
      <formula>$H316="CÉLULA CONSTRUTIVA"</formula>
    </cfRule>
  </conditionalFormatting>
  <conditionalFormatting sqref="N317">
    <cfRule type="expression" priority="48387" dxfId="4">
      <formula>$H317="SUBETAPA"</formula>
    </cfRule>
    <cfRule type="expression" priority="48388" dxfId="5">
      <formula>$H317="CÉLULA CONSTRUTIVA"</formula>
    </cfRule>
    <cfRule type="expression" priority="48389" dxfId="3">
      <formula>$H317="ETAPA"</formula>
    </cfRule>
  </conditionalFormatting>
  <conditionalFormatting sqref="N318">
    <cfRule type="expression" priority="48353" dxfId="4">
      <formula>$H318="SUBETAPA"</formula>
    </cfRule>
    <cfRule type="expression" priority="48354" dxfId="5">
      <formula>$H318="CÉLULA CONSTRUTIVA"</formula>
    </cfRule>
  </conditionalFormatting>
  <conditionalFormatting sqref="N319">
    <cfRule type="expression" priority="48328" dxfId="4">
      <formula>$H319="SUBETAPA"</formula>
    </cfRule>
    <cfRule type="expression" priority="48329" dxfId="5">
      <formula>$H319="CÉLULA CONSTRUTIVA"</formula>
    </cfRule>
    <cfRule type="expression" priority="48330" dxfId="3">
      <formula>$H319="ETAPA"</formula>
    </cfRule>
  </conditionalFormatting>
  <conditionalFormatting sqref="N320">
    <cfRule type="expression" priority="48338" dxfId="4">
      <formula>$H320="SUBETAPA"</formula>
    </cfRule>
    <cfRule type="expression" priority="48339" dxfId="5">
      <formula>$H320="CÉLULA CONSTRUTIVA"</formula>
    </cfRule>
  </conditionalFormatting>
  <conditionalFormatting sqref="N321">
    <cfRule type="expression" priority="48301" dxfId="4">
      <formula>$H321="SUBETAPA"</formula>
    </cfRule>
    <cfRule type="expression" priority="48302" dxfId="5">
      <formula>$H321="CÉLULA CONSTRUTIVA"</formula>
    </cfRule>
    <cfRule type="expression" priority="48303" dxfId="3">
      <formula>$H321="ETAPA"</formula>
    </cfRule>
  </conditionalFormatting>
  <conditionalFormatting sqref="N322">
    <cfRule type="expression" priority="48267" dxfId="4">
      <formula>$H322="SUBETAPA"</formula>
    </cfRule>
    <cfRule type="expression" priority="48268" dxfId="5">
      <formula>$H322="CÉLULA CONSTRUTIVA"</formula>
    </cfRule>
  </conditionalFormatting>
  <conditionalFormatting sqref="N323">
    <cfRule type="expression" priority="48242" dxfId="4">
      <formula>$H323="SUBETAPA"</formula>
    </cfRule>
    <cfRule type="expression" priority="48243" dxfId="5">
      <formula>$H323="CÉLULA CONSTRUTIVA"</formula>
    </cfRule>
    <cfRule type="expression" priority="48244" dxfId="3">
      <formula>$H323="ETAPA"</formula>
    </cfRule>
  </conditionalFormatting>
  <conditionalFormatting sqref="N324">
    <cfRule type="expression" priority="48251" dxfId="3">
      <formula>$H324="ETAPA"</formula>
    </cfRule>
    <cfRule type="expression" priority="48252" dxfId="4">
      <formula>$H324="SUBETAPA"</formula>
    </cfRule>
    <cfRule type="expression" priority="48253" dxfId="5">
      <formula>$H324="CÉLULA CONSTRUTIVA"</formula>
    </cfRule>
  </conditionalFormatting>
  <conditionalFormatting sqref="N325">
    <cfRule type="expression" priority="48215" dxfId="4">
      <formula>$H325="SUBETAPA"</formula>
    </cfRule>
    <cfRule type="expression" priority="48216" dxfId="5">
      <formula>$H325="CÉLULA CONSTRUTIVA"</formula>
    </cfRule>
    <cfRule type="expression" priority="48217" dxfId="3">
      <formula>$H325="ETAPA"</formula>
    </cfRule>
  </conditionalFormatting>
  <conditionalFormatting sqref="N326">
    <cfRule type="expression" priority="48181" dxfId="4">
      <formula>$H326="SUBETAPA"</formula>
    </cfRule>
    <cfRule type="expression" priority="48182" dxfId="5">
      <formula>$H326="CÉLULA CONSTRUTIVA"</formula>
    </cfRule>
  </conditionalFormatting>
  <conditionalFormatting sqref="N327">
    <cfRule type="expression" priority="48158" dxfId="4">
      <formula>$H327="SUBETAPA"</formula>
    </cfRule>
    <cfRule type="expression" priority="48159" dxfId="5">
      <formula>$H327="CÉLULA CONSTRUTIVA"</formula>
    </cfRule>
    <cfRule type="expression" priority="48160" dxfId="3">
      <formula>$H327="ETAPA"</formula>
    </cfRule>
  </conditionalFormatting>
  <conditionalFormatting sqref="N328">
    <cfRule type="expression" priority="46241" dxfId="4">
      <formula>$H328="SUBETAPA"</formula>
    </cfRule>
    <cfRule type="expression" priority="46242" dxfId="5">
      <formula>$H328="CÉLULA CONSTRUTIVA"</formula>
    </cfRule>
  </conditionalFormatting>
  <conditionalFormatting sqref="N329">
    <cfRule type="expression" priority="46231" dxfId="4">
      <formula>$H329="SUBETAPA"</formula>
    </cfRule>
    <cfRule type="expression" priority="46232" dxfId="5">
      <formula>$H329="CÉLULA CONSTRUTIVA"</formula>
    </cfRule>
    <cfRule type="expression" priority="46233" dxfId="3">
      <formula>$H329="ETAPA"</formula>
    </cfRule>
  </conditionalFormatting>
  <conditionalFormatting sqref="N330">
    <cfRule type="expression" priority="48163" dxfId="3">
      <formula>$H330="ETAPA"</formula>
    </cfRule>
    <cfRule type="expression" priority="48166" dxfId="4">
      <formula>$H330="SUBETAPA"</formula>
    </cfRule>
    <cfRule type="expression" priority="48167" dxfId="5">
      <formula>$H330="CÉLULA CONSTRUTIVA"</formula>
    </cfRule>
  </conditionalFormatting>
  <conditionalFormatting sqref="N331">
    <cfRule type="expression" priority="48132" dxfId="4">
      <formula>$H331="SUBETAPA"</formula>
    </cfRule>
    <cfRule type="expression" priority="48133" dxfId="5">
      <formula>$H331="CÉLULA CONSTRUTIVA"</formula>
    </cfRule>
    <cfRule type="expression" priority="48134" dxfId="3">
      <formula>$H331="ETAPA"</formula>
    </cfRule>
  </conditionalFormatting>
  <conditionalFormatting sqref="N332">
    <cfRule type="expression" priority="48095" dxfId="3">
      <formula>$H332="ETAPA"</formula>
    </cfRule>
    <cfRule type="expression" priority="48098" dxfId="4">
      <formula>$H332="SUBETAPA"</formula>
    </cfRule>
    <cfRule type="expression" priority="48099" dxfId="5">
      <formula>$H332="CÉLULA CONSTRUTIVA"</formula>
    </cfRule>
  </conditionalFormatting>
  <conditionalFormatting sqref="N333">
    <cfRule type="expression" priority="48077" dxfId="4">
      <formula>$H333="SUBETAPA"</formula>
    </cfRule>
    <cfRule type="expression" priority="48078" dxfId="5">
      <formula>$H333="CÉLULA CONSTRUTIVA"</formula>
    </cfRule>
    <cfRule type="expression" priority="48079" dxfId="3">
      <formula>$H333="ETAPA"</formula>
    </cfRule>
  </conditionalFormatting>
  <conditionalFormatting sqref="N334">
    <cfRule type="expression" priority="48082" dxfId="3">
      <formula>$H334="ETAPA"</formula>
    </cfRule>
    <cfRule type="expression" priority="48085" dxfId="4">
      <formula>$H334="SUBETAPA"</formula>
    </cfRule>
    <cfRule type="expression" priority="48086" dxfId="5">
      <formula>$H334="CÉLULA CONSTRUTIVA"</formula>
    </cfRule>
  </conditionalFormatting>
  <conditionalFormatting sqref="N335">
    <cfRule type="expression" priority="48050" dxfId="4">
      <formula>$H335="SUBETAPA"</formula>
    </cfRule>
    <cfRule type="expression" priority="48051" dxfId="5">
      <formula>$H335="CÉLULA CONSTRUTIVA"</formula>
    </cfRule>
    <cfRule type="expression" priority="48052" dxfId="3">
      <formula>$H335="ETAPA"</formula>
    </cfRule>
  </conditionalFormatting>
  <conditionalFormatting sqref="N336">
    <cfRule type="expression" priority="48013" dxfId="3">
      <formula>$H336="ETAPA"</formula>
    </cfRule>
    <cfRule type="expression" priority="48016" dxfId="4">
      <formula>$H336="SUBETAPA"</formula>
    </cfRule>
    <cfRule type="expression" priority="48017" dxfId="5">
      <formula>$H336="CÉLULA CONSTRUTIVA"</formula>
    </cfRule>
  </conditionalFormatting>
  <conditionalFormatting sqref="N337">
    <cfRule type="expression" priority="47995" dxfId="4">
      <formula>$H337="SUBETAPA"</formula>
    </cfRule>
    <cfRule type="expression" priority="47996" dxfId="5">
      <formula>$H337="CÉLULA CONSTRUTIVA"</formula>
    </cfRule>
    <cfRule type="expression" priority="47997" dxfId="3">
      <formula>$H337="ETAPA"</formula>
    </cfRule>
  </conditionalFormatting>
  <conditionalFormatting sqref="N338">
    <cfRule type="expression" priority="48000" dxfId="3">
      <formula>$H338="ETAPA"</formula>
    </cfRule>
    <cfRule type="expression" priority="48003" dxfId="4">
      <formula>$H338="SUBETAPA"</formula>
    </cfRule>
    <cfRule type="expression" priority="48004" dxfId="5">
      <formula>$H338="CÉLULA CONSTRUTIVA"</formula>
    </cfRule>
  </conditionalFormatting>
  <conditionalFormatting sqref="N339">
    <cfRule type="expression" priority="47968" dxfId="4">
      <formula>$H339="SUBETAPA"</formula>
    </cfRule>
    <cfRule type="expression" priority="47969" dxfId="5">
      <formula>$H339="CÉLULA CONSTRUTIVA"</formula>
    </cfRule>
    <cfRule type="expression" priority="47970" dxfId="3">
      <formula>$H339="ETAPA"</formula>
    </cfRule>
  </conditionalFormatting>
  <conditionalFormatting sqref="N340">
    <cfRule type="expression" priority="47934" dxfId="4">
      <formula>$H340="SUBETAPA"</formula>
    </cfRule>
    <cfRule type="expression" priority="47935" dxfId="5">
      <formula>$H340="CÉLULA CONSTRUTIVA"</formula>
    </cfRule>
  </conditionalFormatting>
  <conditionalFormatting sqref="N341">
    <cfRule type="expression" priority="47911" dxfId="4">
      <formula>$H341="SUBETAPA"</formula>
    </cfRule>
    <cfRule type="expression" priority="47912" dxfId="5">
      <formula>$H341="CÉLULA CONSTRUTIVA"</formula>
    </cfRule>
    <cfRule type="expression" priority="47913" dxfId="3">
      <formula>$H341="ETAPA"</formula>
    </cfRule>
  </conditionalFormatting>
  <conditionalFormatting sqref="N342">
    <cfRule type="expression" priority="47916" dxfId="3">
      <formula>$H342="ETAPA"</formula>
    </cfRule>
    <cfRule type="expression" priority="47919" dxfId="4">
      <formula>$H342="SUBETAPA"</formula>
    </cfRule>
    <cfRule type="expression" priority="47920" dxfId="5">
      <formula>$H342="CÉLULA CONSTRUTIVA"</formula>
    </cfRule>
  </conditionalFormatting>
  <conditionalFormatting sqref="N343">
    <cfRule type="expression" priority="47884" dxfId="4">
      <formula>$H343="SUBETAPA"</formula>
    </cfRule>
    <cfRule type="expression" priority="47885" dxfId="5">
      <formula>$H343="CÉLULA CONSTRUTIVA"</formula>
    </cfRule>
    <cfRule type="expression" priority="47886" dxfId="3">
      <formula>$H343="ETAPA"</formula>
    </cfRule>
  </conditionalFormatting>
  <conditionalFormatting sqref="N344">
    <cfRule type="expression" priority="47850" dxfId="4">
      <formula>$H344="SUBETAPA"</formula>
    </cfRule>
    <cfRule type="expression" priority="47851" dxfId="5">
      <formula>$H344="CÉLULA CONSTRUTIVA"</formula>
    </cfRule>
  </conditionalFormatting>
  <conditionalFormatting sqref="N346">
    <cfRule type="expression" priority="48469" dxfId="4">
      <formula>$H346="SUBETAPA"</formula>
    </cfRule>
    <cfRule type="expression" priority="48470" dxfId="5">
      <formula>$H346="CÉLULA CONSTRUTIVA"</formula>
    </cfRule>
  </conditionalFormatting>
  <conditionalFormatting sqref="N347">
    <cfRule type="expression" priority="47808" dxfId="4">
      <formula>$H347="SUBETAPA"</formula>
    </cfRule>
    <cfRule type="expression" priority="47809" dxfId="5">
      <formula>$H347="CÉLULA CONSTRUTIVA"</formula>
    </cfRule>
  </conditionalFormatting>
  <conditionalFormatting sqref="J1453 J1460 J1467 J1492 J1576 M391:M393 M408:M410 M425:M426 M441:M442 M457:M459 M474:M476 M491:M493 M509:M511 M527:M529 M545:M547 M563:M565 M580:M581 M598:M600 M614:M615 N348 O640:O648 O653:O661 O666:O674 O679:O687 O692:O700 O705:O713 O718:O726 O731:O739 O744:O752 O757:O765 O770:O778 O783:O791">
    <cfRule type="expression" priority="6006" dxfId="4">
      <formula>$H348="SUBETAPA"</formula>
    </cfRule>
    <cfRule type="expression" priority="6007" dxfId="3">
      <formula>$H348="ETAPA"</formula>
    </cfRule>
  </conditionalFormatting>
  <conditionalFormatting sqref="N349">
    <cfRule type="expression" priority="47762" dxfId="4">
      <formula>$H349="SUBETAPA"</formula>
    </cfRule>
    <cfRule type="expression" priority="47763" dxfId="5">
      <formula>$H349="CÉLULA CONSTRUTIVA"</formula>
    </cfRule>
  </conditionalFormatting>
  <conditionalFormatting sqref="N350">
    <cfRule type="expression" priority="47758" dxfId="4">
      <formula>$H350="SUBETAPA"</formula>
    </cfRule>
    <cfRule type="expression" priority="47760" dxfId="3">
      <formula>$H350="ETAPA"</formula>
    </cfRule>
  </conditionalFormatting>
  <conditionalFormatting sqref="N351">
    <cfRule type="expression" priority="47719" dxfId="4">
      <formula>$H351="SUBETAPA"</formula>
    </cfRule>
    <cfRule type="expression" priority="47720" dxfId="5">
      <formula>$H351="CÉLULA CONSTRUTIVA"</formula>
    </cfRule>
  </conditionalFormatting>
  <conditionalFormatting sqref="N353">
    <cfRule type="expression" priority="47676" dxfId="4">
      <formula>$H353="SUBETAPA"</formula>
    </cfRule>
    <cfRule type="expression" priority="47677" dxfId="5">
      <formula>$H353="CÉLULA CONSTRUTIVA"</formula>
    </cfRule>
  </conditionalFormatting>
  <conditionalFormatting sqref="N354">
    <cfRule type="expression" priority="47672" dxfId="4">
      <formula>$H354="SUBETAPA"</formula>
    </cfRule>
    <cfRule type="expression" priority="47674" dxfId="3">
      <formula>$H354="ETAPA"</formula>
    </cfRule>
  </conditionalFormatting>
  <conditionalFormatting sqref="N355">
    <cfRule type="expression" priority="47633" dxfId="4">
      <formula>$H355="SUBETAPA"</formula>
    </cfRule>
    <cfRule type="expression" priority="47634" dxfId="5">
      <formula>$H355="CÉLULA CONSTRUTIVA"</formula>
    </cfRule>
  </conditionalFormatting>
  <conditionalFormatting sqref="N356">
    <cfRule type="expression" priority="47629" dxfId="4">
      <formula>$H356="SUBETAPA"</formula>
    </cfRule>
    <cfRule type="expression" priority="47631" dxfId="3">
      <formula>$H356="ETAPA"</formula>
    </cfRule>
  </conditionalFormatting>
  <conditionalFormatting sqref="N357">
    <cfRule type="expression" priority="47590" dxfId="4">
      <formula>$H357="SUBETAPA"</formula>
    </cfRule>
    <cfRule type="expression" priority="47591" dxfId="5">
      <formula>$H357="CÉLULA CONSTRUTIVA"</formula>
    </cfRule>
  </conditionalFormatting>
  <conditionalFormatting sqref="N358">
    <cfRule type="expression" priority="47586" dxfId="4">
      <formula>$H358="SUBETAPA"</formula>
    </cfRule>
    <cfRule type="expression" priority="47588" dxfId="3">
      <formula>$H358="ETAPA"</formula>
    </cfRule>
  </conditionalFormatting>
  <conditionalFormatting sqref="N359">
    <cfRule type="expression" priority="46194" dxfId="4">
      <formula>$H359="SUBETAPA"</formula>
    </cfRule>
    <cfRule type="expression" priority="46195" dxfId="5">
      <formula>$H359="CÉLULA CONSTRUTIVA"</formula>
    </cfRule>
  </conditionalFormatting>
  <conditionalFormatting sqref="N360">
    <cfRule type="expression" priority="46192" dxfId="3">
      <formula>$H360="ETAPA"</formula>
    </cfRule>
  </conditionalFormatting>
  <conditionalFormatting sqref="N361">
    <cfRule type="expression" priority="47547" dxfId="4">
      <formula>$H361="SUBETAPA"</formula>
    </cfRule>
    <cfRule type="expression" priority="47548" dxfId="5">
      <formula>$H361="CÉLULA CONSTRUTIVA"</formula>
    </cfRule>
  </conditionalFormatting>
  <conditionalFormatting sqref="N362">
    <cfRule type="expression" priority="47543" dxfId="4">
      <formula>$H362="SUBETAPA"</formula>
    </cfRule>
    <cfRule type="expression" priority="47545" dxfId="3">
      <formula>$H362="ETAPA"</formula>
    </cfRule>
  </conditionalFormatting>
  <conditionalFormatting sqref="N363">
    <cfRule type="expression" priority="47504" dxfId="4">
      <formula>$H363="SUBETAPA"</formula>
    </cfRule>
    <cfRule type="expression" priority="47505" dxfId="5">
      <formula>$H363="CÉLULA CONSTRUTIVA"</formula>
    </cfRule>
  </conditionalFormatting>
  <conditionalFormatting sqref="N364">
    <cfRule type="expression" priority="47500" dxfId="4">
      <formula>$H364="SUBETAPA"</formula>
    </cfRule>
    <cfRule type="expression" priority="47502" dxfId="3">
      <formula>$H364="ETAPA"</formula>
    </cfRule>
  </conditionalFormatting>
  <conditionalFormatting sqref="N365">
    <cfRule type="expression" priority="47461" dxfId="4">
      <formula>$H365="SUBETAPA"</formula>
    </cfRule>
    <cfRule type="expression" priority="47462" dxfId="5">
      <formula>$H365="CÉLULA CONSTRUTIVA"</formula>
    </cfRule>
  </conditionalFormatting>
  <conditionalFormatting sqref="N366">
    <cfRule type="expression" priority="47457" dxfId="4">
      <formula>$H366="SUBETAPA"</formula>
    </cfRule>
    <cfRule type="expression" priority="47459" dxfId="3">
      <formula>$H366="ETAPA"</formula>
    </cfRule>
  </conditionalFormatting>
  <conditionalFormatting sqref="N367">
    <cfRule type="expression" priority="47418" dxfId="4">
      <formula>$H367="SUBETAPA"</formula>
    </cfRule>
    <cfRule type="expression" priority="47419" dxfId="5">
      <formula>$H367="CÉLULA CONSTRUTIVA"</formula>
    </cfRule>
  </conditionalFormatting>
  <conditionalFormatting sqref="N368">
    <cfRule type="expression" priority="47414" dxfId="4">
      <formula>$H368="SUBETAPA"</formula>
    </cfRule>
    <cfRule type="expression" priority="47416" dxfId="3">
      <formula>$H368="ETAPA"</formula>
    </cfRule>
  </conditionalFormatting>
  <conditionalFormatting sqref="N369">
    <cfRule type="expression" priority="47375" dxfId="4">
      <formula>$H369="SUBETAPA"</formula>
    </cfRule>
    <cfRule type="expression" priority="47376" dxfId="5">
      <formula>$H369="CÉLULA CONSTRUTIVA"</formula>
    </cfRule>
  </conditionalFormatting>
  <conditionalFormatting sqref="N370">
    <cfRule type="expression" priority="47371" dxfId="4">
      <formula>$H370="SUBETAPA"</formula>
    </cfRule>
    <cfRule type="expression" priority="47373" dxfId="3">
      <formula>$H370="ETAPA"</formula>
    </cfRule>
  </conditionalFormatting>
  <conditionalFormatting sqref="N371">
    <cfRule type="expression" priority="47332" dxfId="4">
      <formula>$H371="SUBETAPA"</formula>
    </cfRule>
    <cfRule type="expression" priority="47333" dxfId="5">
      <formula>$H371="CÉLULA CONSTRUTIVA"</formula>
    </cfRule>
  </conditionalFormatting>
  <conditionalFormatting sqref="N372">
    <cfRule type="expression" priority="47330" dxfId="3">
      <formula>$H372="ETAPA"</formula>
    </cfRule>
  </conditionalFormatting>
  <conditionalFormatting sqref="N373">
    <cfRule type="expression" priority="47289" dxfId="4">
      <formula>$H373="SUBETAPA"</formula>
    </cfRule>
    <cfRule type="expression" priority="47290" dxfId="5">
      <formula>$H373="CÉLULA CONSTRUTIVA"</formula>
    </cfRule>
  </conditionalFormatting>
  <conditionalFormatting sqref="N374">
    <cfRule type="expression" priority="47287" dxfId="3">
      <formula>$H374="ETAPA"</formula>
    </cfRule>
  </conditionalFormatting>
  <conditionalFormatting sqref="N375">
    <cfRule type="expression" priority="47246" dxfId="4">
      <formula>$H375="SUBETAPA"</formula>
    </cfRule>
    <cfRule type="expression" priority="47247" dxfId="5">
      <formula>$H375="CÉLULA CONSTRUTIVA"</formula>
    </cfRule>
  </conditionalFormatting>
  <conditionalFormatting sqref="N376">
    <cfRule type="expression" priority="47244" dxfId="3">
      <formula>$H376="ETAPA"</formula>
    </cfRule>
  </conditionalFormatting>
  <conditionalFormatting sqref="N377">
    <cfRule type="expression" priority="47203" dxfId="4">
      <formula>$H377="SUBETAPA"</formula>
    </cfRule>
    <cfRule type="expression" priority="47204" dxfId="5">
      <formula>$H377="CÉLULA CONSTRUTIVA"</formula>
    </cfRule>
  </conditionalFormatting>
  <conditionalFormatting sqref="N378">
    <cfRule type="expression" priority="47201" dxfId="3">
      <formula>$H378="ETAPA"</formula>
    </cfRule>
  </conditionalFormatting>
  <conditionalFormatting sqref="N27:O27">
    <cfRule type="expression" priority="50672" dxfId="4">
      <formula>$H27="SUBETAPA"</formula>
    </cfRule>
    <cfRule type="expression" priority="50673" dxfId="5">
      <formula>$H27="CÉLULA CONSTRUTIVA"</formula>
    </cfRule>
    <cfRule type="expression" priority="50674" dxfId="3">
      <formula>$H27="ETAPA"</formula>
    </cfRule>
  </conditionalFormatting>
  <conditionalFormatting sqref="N29:O29 N30 N32:O32">
    <cfRule type="expression" priority="50757" dxfId="3">
      <formula>$H29="ETAPA"</formula>
    </cfRule>
  </conditionalFormatting>
  <conditionalFormatting sqref="N29:O29 N30">
    <cfRule type="expression" priority="50756" dxfId="5">
      <formula>$H29="CÉLULA CONSTRUTIVA"</formula>
    </cfRule>
  </conditionalFormatting>
  <conditionalFormatting sqref="N29:O29">
    <cfRule type="expression" priority="50755" dxfId="4">
      <formula>$H29="SUBETAPA"</formula>
    </cfRule>
  </conditionalFormatting>
  <conditionalFormatting sqref="N32:O32">
    <cfRule type="expression" priority="50732" dxfId="4">
      <formula>$H32="SUBETAPA"</formula>
    </cfRule>
  </conditionalFormatting>
  <conditionalFormatting sqref="N35:O35 N36">
    <cfRule type="expression" priority="50619" dxfId="5">
      <formula>$H35="CÉLULA CONSTRUTIVA"</formula>
    </cfRule>
  </conditionalFormatting>
  <conditionalFormatting sqref="N35:O35">
    <cfRule type="expression" priority="50618" dxfId="4">
      <formula>$H35="SUBETAPA"</formula>
    </cfRule>
  </conditionalFormatting>
  <conditionalFormatting sqref="N40:O40">
    <cfRule type="expression" priority="50586" dxfId="4">
      <formula>$H40="SUBETAPA"</formula>
    </cfRule>
  </conditionalFormatting>
  <conditionalFormatting sqref="N43:O43">
    <cfRule type="expression" priority="50494" dxfId="4">
      <formula>$H43="SUBETAPA"</formula>
    </cfRule>
    <cfRule type="expression" priority="50495" dxfId="5">
      <formula>$H43="CÉLULA CONSTRUTIVA"</formula>
    </cfRule>
    <cfRule type="expression" priority="50496" dxfId="3">
      <formula>$H43="ETAPA"</formula>
    </cfRule>
  </conditionalFormatting>
  <conditionalFormatting sqref="N45:O45 N48 N50:O50">
    <cfRule type="expression" priority="50547" dxfId="3">
      <formula>$H45="ETAPA"</formula>
    </cfRule>
  </conditionalFormatting>
  <conditionalFormatting sqref="N45:O45 N48">
    <cfRule type="expression" priority="50546" dxfId="5">
      <formula>$H45="CÉLULA CONSTRUTIVA"</formula>
    </cfRule>
  </conditionalFormatting>
  <conditionalFormatting sqref="N50:O50">
    <cfRule type="expression" priority="50521" dxfId="4">
      <formula>$H50="SUBETAPA"</formula>
    </cfRule>
  </conditionalFormatting>
  <conditionalFormatting sqref="H53:L53 N53:O53">
    <cfRule type="expression" priority="46413" dxfId="5">
      <formula>$H53="CÉLULA CONSTRUTIVA"</formula>
    </cfRule>
    <cfRule type="expression" priority="46417" dxfId="4">
      <formula>$H53="SUBETAPA"</formula>
    </cfRule>
  </conditionalFormatting>
  <conditionalFormatting sqref="N53:O53">
    <cfRule type="expression" priority="46415" dxfId="3">
      <formula>$H53="ETAPA"</formula>
    </cfRule>
  </conditionalFormatting>
  <conditionalFormatting sqref="N64:O64">
    <cfRule type="expression" priority="50965" dxfId="4">
      <formula>$H64="SUBETAPA"</formula>
    </cfRule>
    <cfRule type="expression" priority="50966" dxfId="5">
      <formula>$H64="CÉLULA CONSTRUTIVA"</formula>
    </cfRule>
  </conditionalFormatting>
  <conditionalFormatting sqref="N67:O67">
    <cfRule type="expression" priority="50964" dxfId="4">
      <formula>$H67="SUBETAPA"</formula>
    </cfRule>
  </conditionalFormatting>
  <conditionalFormatting sqref="N71:O71">
    <cfRule type="expression" priority="50967" dxfId="4">
      <formula>$H71="SUBETAPA"</formula>
    </cfRule>
    <cfRule type="expression" priority="50968" dxfId="5">
      <formula>$H71="CÉLULA CONSTRUTIVA"</formula>
    </cfRule>
    <cfRule type="expression" priority="50969" dxfId="3">
      <formula>$H71="ETAPA"</formula>
    </cfRule>
  </conditionalFormatting>
  <conditionalFormatting sqref="N82:O82">
    <cfRule type="expression" priority="50333" dxfId="4">
      <formula>$H82="SUBETAPA"</formula>
    </cfRule>
    <cfRule type="expression" priority="50334" dxfId="5">
      <formula>$H82="CÉLULA CONSTRUTIVA"</formula>
    </cfRule>
    <cfRule type="expression" priority="50335" dxfId="3">
      <formula>$H82="ETAPA"</formula>
    </cfRule>
  </conditionalFormatting>
  <conditionalFormatting sqref="N99:O99">
    <cfRule type="expression" priority="50177" dxfId="4">
      <formula>$H99="SUBETAPA"</formula>
    </cfRule>
    <cfRule type="expression" priority="50178" dxfId="5">
      <formula>$H99="CÉLULA CONSTRUTIVA"</formula>
    </cfRule>
    <cfRule type="expression" priority="50179" dxfId="3">
      <formula>$H99="ETAPA"</formula>
    </cfRule>
  </conditionalFormatting>
  <conditionalFormatting sqref="N102:O102">
    <cfRule type="expression" priority="50970" dxfId="4">
      <formula>$H102="SUBETAPA"</formula>
    </cfRule>
    <cfRule type="expression" priority="50971" dxfId="5">
      <formula>$H102="CÉLULA CONSTRUTIVA"</formula>
    </cfRule>
    <cfRule type="expression" priority="50972" dxfId="3">
      <formula>$H102="ETAPA"</formula>
    </cfRule>
  </conditionalFormatting>
  <conditionalFormatting sqref="G115:L115 N115:O115">
    <cfRule type="expression" priority="46369" dxfId="5">
      <formula>$H115="CÉLULA CONSTRUTIVA"</formula>
    </cfRule>
  </conditionalFormatting>
  <conditionalFormatting sqref="L115 N115:O115">
    <cfRule type="expression" priority="46370" dxfId="4">
      <formula>$H115="SUBETAPA"</formula>
    </cfRule>
  </conditionalFormatting>
  <conditionalFormatting sqref="N312:O312">
    <cfRule type="expression" priority="48511" dxfId="3">
      <formula>$H312="ETAPA"</formula>
    </cfRule>
  </conditionalFormatting>
  <conditionalFormatting sqref="N344:O344">
    <cfRule type="expression" priority="47847" dxfId="3">
      <formula>$H344="ETAPA"</formula>
    </cfRule>
  </conditionalFormatting>
  <conditionalFormatting sqref="N345:O345">
    <cfRule type="expression" priority="47842" dxfId="4">
      <formula>$H345="SUBETAPA"</formula>
    </cfRule>
    <cfRule type="expression" priority="47843" dxfId="5">
      <formula>$H345="CÉLULA CONSTRUTIVA"</formula>
    </cfRule>
    <cfRule type="expression" priority="47844" dxfId="3">
      <formula>$H345="ETAPA"</formula>
    </cfRule>
  </conditionalFormatting>
  <conditionalFormatting sqref="N352:O352">
    <cfRule type="expression" priority="47715" dxfId="4">
      <formula>$H352="SUBETAPA"</formula>
    </cfRule>
    <cfRule type="expression" priority="47717" dxfId="3">
      <formula>$H352="ETAPA"</formula>
    </cfRule>
  </conditionalFormatting>
  <conditionalFormatting sqref="O8:O10 O59:O60 O63 O66 O68 O70 O72 O77 O79 O96 O100:O101 O140 O281">
    <cfRule type="expression" priority="50915" dxfId="5">
      <formula>$H8="CÉLULA CONSTRUTIVA"</formula>
    </cfRule>
  </conditionalFormatting>
  <conditionalFormatting sqref="O12:O13">
    <cfRule type="expression" priority="4074" dxfId="4">
      <formula>$H12="SUBETAPA"</formula>
    </cfRule>
    <cfRule type="expression" priority="4075" dxfId="5">
      <formula>$H12="CÉLULA CONSTRUTIVA"</formula>
    </cfRule>
  </conditionalFormatting>
  <conditionalFormatting sqref="O14:O15 O17 O20 O1155:O1238">
    <cfRule type="expression" priority="4056" dxfId="8">
      <formula>$H14="ETAPA"</formula>
    </cfRule>
    <cfRule type="expression" priority="4057" dxfId="6">
      <formula>$H14="SUBETAPA"</formula>
    </cfRule>
    <cfRule type="expression" priority="4058" dxfId="8">
      <formula>$H14="ETAPA"</formula>
    </cfRule>
    <cfRule type="expression" priority="4059" dxfId="6">
      <formula>$H14="SUBETAPA"</formula>
    </cfRule>
    <cfRule type="expression" priority="4060" dxfId="8">
      <formula>$H14="ETAPA"</formula>
    </cfRule>
    <cfRule type="expression" priority="4061" dxfId="6">
      <formula>$H14="SUBETAPA"</formula>
    </cfRule>
    <cfRule type="expression" priority="4062" dxfId="7">
      <formula>$H14="CÉLULA CONSTRUTIVA"</formula>
    </cfRule>
  </conditionalFormatting>
  <conditionalFormatting sqref="O16">
    <cfRule type="expression" priority="4048" dxfId="4">
      <formula>$H16="SUBETAPA"</formula>
    </cfRule>
    <cfRule type="expression" priority="4049" dxfId="5">
      <formula>$H16="CÉLULA CONSTRUTIVA"</formula>
    </cfRule>
  </conditionalFormatting>
  <conditionalFormatting sqref="O18:O19">
    <cfRule type="expression" priority="46555" dxfId="4">
      <formula>$H18="SUBETAPA"</formula>
    </cfRule>
    <cfRule type="expression" priority="46556" dxfId="5">
      <formula>$H18="CÉLULA CONSTRUTIVA"</formula>
    </cfRule>
    <cfRule type="expression" priority="46557" dxfId="3">
      <formula>$H18="ETAPA"</formula>
    </cfRule>
  </conditionalFormatting>
  <conditionalFormatting sqref="O21:O22">
    <cfRule type="expression" priority="46552" dxfId="4">
      <formula>$H21="SUBETAPA"</formula>
    </cfRule>
    <cfRule type="expression" priority="46553" dxfId="5">
      <formula>$H21="CÉLULA CONSTRUTIVA"</formula>
    </cfRule>
    <cfRule type="expression" priority="46554" dxfId="3">
      <formula>$H21="ETAPA"</formula>
    </cfRule>
  </conditionalFormatting>
  <conditionalFormatting sqref="O23">
    <cfRule type="expression" priority="4029" dxfId="8">
      <formula>$H23="ETAPA"</formula>
    </cfRule>
    <cfRule type="expression" priority="4030" dxfId="6">
      <formula>$H23="SUBETAPA"</formula>
    </cfRule>
    <cfRule type="expression" priority="4031" dxfId="8">
      <formula>$H23="ETAPA"</formula>
    </cfRule>
    <cfRule type="expression" priority="4032" dxfId="6">
      <formula>$H23="SUBETAPA"</formula>
    </cfRule>
    <cfRule type="expression" priority="4033" dxfId="8">
      <formula>$H23="ETAPA"</formula>
    </cfRule>
    <cfRule type="expression" priority="4034" dxfId="6">
      <formula>$H23="SUBETAPA"</formula>
    </cfRule>
    <cfRule type="expression" priority="4035" dxfId="7">
      <formula>$H23="CÉLULA CONSTRUTIVA"</formula>
    </cfRule>
  </conditionalFormatting>
  <conditionalFormatting sqref="O24:O26">
    <cfRule type="expression" priority="50660" dxfId="4">
      <formula>$H24="SUBETAPA"</formula>
    </cfRule>
  </conditionalFormatting>
  <conditionalFormatting sqref="O25 O28 O31">
    <cfRule type="expression" priority="50737" dxfId="5">
      <formula>$H25="CÉLULA CONSTRUTIVA"</formula>
    </cfRule>
  </conditionalFormatting>
  <conditionalFormatting sqref="O26">
    <cfRule type="expression" priority="50661" dxfId="5">
      <formula>$H26="CÉLULA CONSTRUTIVA"</formula>
    </cfRule>
    <cfRule type="expression" priority="50662" dxfId="3">
      <formula>$H26="ETAPA"</formula>
    </cfRule>
  </conditionalFormatting>
  <conditionalFormatting sqref="O28 O31">
    <cfRule type="expression" priority="50736" dxfId="4">
      <formula>$H28="SUBETAPA"</formula>
    </cfRule>
  </conditionalFormatting>
  <conditionalFormatting sqref="O33:O34 O39">
    <cfRule type="expression" priority="50590" dxfId="4">
      <formula>$H33="SUBETAPA"</formula>
    </cfRule>
    <cfRule type="expression" priority="50591" dxfId="5">
      <formula>$H33="CÉLULA CONSTRUTIVA"</formula>
    </cfRule>
    <cfRule type="expression" priority="50592" dxfId="3">
      <formula>$H33="ETAPA"</formula>
    </cfRule>
  </conditionalFormatting>
  <conditionalFormatting sqref="N44:O44 N49:O49 O41">
    <cfRule type="expression" priority="50527" dxfId="3">
      <formula>$H41="ETAPA"</formula>
    </cfRule>
  </conditionalFormatting>
  <conditionalFormatting sqref="O41 O44 O49">
    <cfRule type="expression" priority="50526" dxfId="5">
      <formula>$H41="CÉLULA CONSTRUTIVA"</formula>
    </cfRule>
  </conditionalFormatting>
  <conditionalFormatting sqref="O41:O42">
    <cfRule type="expression" priority="50482" dxfId="4">
      <formula>$H41="SUBETAPA"</formula>
    </cfRule>
  </conditionalFormatting>
  <conditionalFormatting sqref="O42">
    <cfRule type="expression" priority="50483" dxfId="5">
      <formula>$H42="CÉLULA CONSTRUTIVA"</formula>
    </cfRule>
    <cfRule type="expression" priority="50484" dxfId="3">
      <formula>$H42="ETAPA"</formula>
    </cfRule>
  </conditionalFormatting>
  <conditionalFormatting sqref="O44 O49">
    <cfRule type="expression" priority="50525" dxfId="4">
      <formula>$H44="SUBETAPA"</formula>
    </cfRule>
  </conditionalFormatting>
  <conditionalFormatting sqref="O51">
    <cfRule type="expression" priority="50444" dxfId="5">
      <formula>$H51="CÉLULA CONSTRUTIVA"</formula>
    </cfRule>
    <cfRule type="expression" priority="50445" dxfId="3">
      <formula>$H51="ETAPA"</formula>
    </cfRule>
  </conditionalFormatting>
  <conditionalFormatting sqref="O51:O52">
    <cfRule type="expression" priority="50403" dxfId="4">
      <formula>$H51="SUBETAPA"</formula>
    </cfRule>
  </conditionalFormatting>
  <conditionalFormatting sqref="O52">
    <cfRule type="expression" priority="50404" dxfId="5">
      <formula>$H52="CÉLULA CONSTRUTIVA"</formula>
    </cfRule>
    <cfRule type="expression" priority="50405" dxfId="3">
      <formula>$H52="ETAPA"</formula>
    </cfRule>
  </conditionalFormatting>
  <conditionalFormatting sqref="O55">
    <cfRule type="expression" priority="50389" dxfId="5">
      <formula>$H55="CÉLULA CONSTRUTIVA"</formula>
    </cfRule>
    <cfRule type="expression" priority="50390" dxfId="3">
      <formula>$H55="ETAPA"</formula>
    </cfRule>
  </conditionalFormatting>
  <conditionalFormatting sqref="O55:O56">
    <cfRule type="expression" priority="50348" dxfId="4">
      <formula>$H55="SUBETAPA"</formula>
    </cfRule>
  </conditionalFormatting>
  <conditionalFormatting sqref="O56">
    <cfRule type="expression" priority="50349" dxfId="5">
      <formula>$H56="CÉLULA CONSTRUTIVA"</formula>
    </cfRule>
    <cfRule type="expression" priority="50350" dxfId="3">
      <formula>$H56="ETAPA"</formula>
    </cfRule>
  </conditionalFormatting>
  <conditionalFormatting sqref="O58">
    <cfRule type="expression" priority="50684" dxfId="5">
      <formula>$H58="CÉLULA CONSTRUTIVA"</formula>
    </cfRule>
    <cfRule type="expression" priority="50685" dxfId="3">
      <formula>$H58="ETAPA"</formula>
    </cfRule>
  </conditionalFormatting>
  <conditionalFormatting sqref="O58:O60">
    <cfRule type="expression" priority="50683" dxfId="4">
      <formula>$H58="SUBETAPA"</formula>
    </cfRule>
  </conditionalFormatting>
  <conditionalFormatting sqref="O61:O62">
    <cfRule type="expression" priority="3979" dxfId="8">
      <formula>$H61="ETAPA"</formula>
    </cfRule>
    <cfRule type="expression" priority="3980" dxfId="6">
      <formula>$H61="SUBETAPA"</formula>
    </cfRule>
    <cfRule type="expression" priority="3981" dxfId="8">
      <formula>$H61="ETAPA"</formula>
    </cfRule>
    <cfRule type="expression" priority="3982" dxfId="6">
      <formula>$H61="SUBETAPA"</formula>
    </cfRule>
    <cfRule type="expression" priority="3983" dxfId="8">
      <formula>$H61="ETAPA"</formula>
    </cfRule>
    <cfRule type="expression" priority="3984" dxfId="6">
      <formula>$H61="SUBETAPA"</formula>
    </cfRule>
    <cfRule type="expression" priority="3985" dxfId="7">
      <formula>$H61="CÉLULA CONSTRUTIVA"</formula>
    </cfRule>
  </conditionalFormatting>
  <conditionalFormatting sqref="G80:G82 G93:L94 M94:O94 N80:N83 N85:N93 O80">
    <cfRule type="expression" priority="50313" dxfId="4">
      <formula>$H80="SUBETAPA"</formula>
    </cfRule>
  </conditionalFormatting>
  <conditionalFormatting sqref="L80:L83 M94:O94 N80:N83 N85:N93 O80">
    <cfRule type="expression" priority="50314" dxfId="3">
      <formula>$H80="ETAPA"</formula>
    </cfRule>
  </conditionalFormatting>
  <conditionalFormatting sqref="O81 O83 O93 O95">
    <cfRule type="expression" priority="50310" dxfId="5">
      <formula>$H81="CÉLULA CONSTRUTIVA"</formula>
    </cfRule>
    <cfRule type="expression" priority="50311" dxfId="3">
      <formula>$H81="ETAPA"</formula>
    </cfRule>
  </conditionalFormatting>
  <conditionalFormatting sqref="O81 O83 O95">
    <cfRule type="expression" priority="50309" dxfId="4">
      <formula>$H81="SUBETAPA"</formula>
    </cfRule>
  </conditionalFormatting>
  <conditionalFormatting sqref="O84:O92">
    <cfRule type="expression" priority="50304" dxfId="5">
      <formula>$H84="CÉLULA CONSTRUTIVA"</formula>
    </cfRule>
    <cfRule type="expression" priority="50305" dxfId="3">
      <formula>$H84="ETAPA"</formula>
    </cfRule>
  </conditionalFormatting>
  <conditionalFormatting sqref="O84:O93">
    <cfRule type="expression" priority="50303" dxfId="4">
      <formula>$H84="SUBETAPA"</formula>
    </cfRule>
  </conditionalFormatting>
  <conditionalFormatting sqref="O96:O98">
    <cfRule type="expression" priority="50160" dxfId="4">
      <formula>$H96="SUBETAPA"</formula>
    </cfRule>
  </conditionalFormatting>
  <conditionalFormatting sqref="O97:O98">
    <cfRule type="expression" priority="50161" dxfId="5">
      <formula>$H97="CÉLULA CONSTRUTIVA"</formula>
    </cfRule>
    <cfRule type="expression" priority="50162" dxfId="3">
      <formula>$H97="ETAPA"</formula>
    </cfRule>
  </conditionalFormatting>
  <conditionalFormatting sqref="O104">
    <cfRule type="expression" priority="50121" dxfId="4">
      <formula>$H104="SUBETAPA"</formula>
    </cfRule>
    <cfRule type="expression" priority="50122" dxfId="5">
      <formula>$H104="CÉLULA CONSTRUTIVA"</formula>
    </cfRule>
    <cfRule type="expression" priority="50123" dxfId="3">
      <formula>$H104="ETAPA"</formula>
    </cfRule>
  </conditionalFormatting>
  <conditionalFormatting sqref="O106">
    <cfRule type="expression" priority="50103" dxfId="4">
      <formula>$H106="SUBETAPA"</formula>
    </cfRule>
    <cfRule type="expression" priority="50104" dxfId="5">
      <formula>$H106="CÉLULA CONSTRUTIVA"</formula>
    </cfRule>
    <cfRule type="expression" priority="50105" dxfId="3">
      <formula>$H106="ETAPA"</formula>
    </cfRule>
  </conditionalFormatting>
  <conditionalFormatting sqref="O108">
    <cfRule type="expression" priority="50085" dxfId="4">
      <formula>$H108="SUBETAPA"</formula>
    </cfRule>
    <cfRule type="expression" priority="50086" dxfId="5">
      <formula>$H108="CÉLULA CONSTRUTIVA"</formula>
    </cfRule>
    <cfRule type="expression" priority="50087" dxfId="3">
      <formula>$H108="ETAPA"</formula>
    </cfRule>
  </conditionalFormatting>
  <conditionalFormatting sqref="O110">
    <cfRule type="expression" priority="50067" dxfId="4">
      <formula>$H110="SUBETAPA"</formula>
    </cfRule>
    <cfRule type="expression" priority="50068" dxfId="5">
      <formula>$H110="CÉLULA CONSTRUTIVA"</formula>
    </cfRule>
    <cfRule type="expression" priority="50069" dxfId="3">
      <formula>$H110="ETAPA"</formula>
    </cfRule>
  </conditionalFormatting>
  <conditionalFormatting sqref="O112">
    <cfRule type="expression" priority="50049" dxfId="4">
      <formula>$H112="SUBETAPA"</formula>
    </cfRule>
    <cfRule type="expression" priority="50050" dxfId="5">
      <formula>$H112="CÉLULA CONSTRUTIVA"</formula>
    </cfRule>
    <cfRule type="expression" priority="50051" dxfId="3">
      <formula>$H112="ETAPA"</formula>
    </cfRule>
  </conditionalFormatting>
  <conditionalFormatting sqref="O114">
    <cfRule type="expression" priority="46350" dxfId="4">
      <formula>$H114="SUBETAPA"</formula>
    </cfRule>
    <cfRule type="expression" priority="46351" dxfId="5">
      <formula>$H114="CÉLULA CONSTRUTIVA"</formula>
    </cfRule>
    <cfRule type="expression" priority="46352" dxfId="3">
      <formula>$H114="ETAPA"</formula>
    </cfRule>
  </conditionalFormatting>
  <conditionalFormatting sqref="O116">
    <cfRule type="expression" priority="50031" dxfId="4">
      <formula>$H116="SUBETAPA"</formula>
    </cfRule>
    <cfRule type="expression" priority="50032" dxfId="5">
      <formula>$H116="CÉLULA CONSTRUTIVA"</formula>
    </cfRule>
    <cfRule type="expression" priority="50033" dxfId="3">
      <formula>$H116="ETAPA"</formula>
    </cfRule>
  </conditionalFormatting>
  <conditionalFormatting sqref="O118">
    <cfRule type="expression" priority="50013" dxfId="4">
      <formula>$H118="SUBETAPA"</formula>
    </cfRule>
    <cfRule type="expression" priority="50014" dxfId="5">
      <formula>$H118="CÉLULA CONSTRUTIVA"</formula>
    </cfRule>
    <cfRule type="expression" priority="50015" dxfId="3">
      <formula>$H118="ETAPA"</formula>
    </cfRule>
  </conditionalFormatting>
  <conditionalFormatting sqref="O120">
    <cfRule type="expression" priority="49995" dxfId="4">
      <formula>$H120="SUBETAPA"</formula>
    </cfRule>
    <cfRule type="expression" priority="49996" dxfId="5">
      <formula>$H120="CÉLULA CONSTRUTIVA"</formula>
    </cfRule>
    <cfRule type="expression" priority="49997" dxfId="3">
      <formula>$H120="ETAPA"</formula>
    </cfRule>
  </conditionalFormatting>
  <conditionalFormatting sqref="O122">
    <cfRule type="expression" priority="49973" dxfId="4">
      <formula>$H122="SUBETAPA"</formula>
    </cfRule>
    <cfRule type="expression" priority="49974" dxfId="5">
      <formula>$H122="CÉLULA CONSTRUTIVA"</formula>
    </cfRule>
    <cfRule type="expression" priority="49975" dxfId="3">
      <formula>$H122="ETAPA"</formula>
    </cfRule>
  </conditionalFormatting>
  <conditionalFormatting sqref="O123 O126">
    <cfRule type="expression" priority="46144" dxfId="3">
      <formula>$H123="ETAPA"</formula>
    </cfRule>
    <cfRule type="expression" priority="46142" dxfId="4">
      <formula>$H123="SUBETAPA"</formula>
    </cfRule>
    <cfRule type="expression" priority="46143" dxfId="5">
      <formula>$H123="CÉLULA CONSTRUTIVA"</formula>
    </cfRule>
  </conditionalFormatting>
  <conditionalFormatting sqref="O125">
    <cfRule type="expression" priority="49936" dxfId="4">
      <formula>$H125="SUBETAPA"</formula>
    </cfRule>
    <cfRule type="expression" priority="49937" dxfId="5">
      <formula>$H125="CÉLULA CONSTRUTIVA"</formula>
    </cfRule>
    <cfRule type="expression" priority="49938" dxfId="3">
      <formula>$H125="ETAPA"</formula>
    </cfRule>
  </conditionalFormatting>
  <conditionalFormatting sqref="O128">
    <cfRule type="expression" priority="49899" dxfId="4">
      <formula>$H128="SUBETAPA"</formula>
    </cfRule>
    <cfRule type="expression" priority="49900" dxfId="5">
      <formula>$H128="CÉLULA CONSTRUTIVA"</formula>
    </cfRule>
    <cfRule type="expression" priority="49901" dxfId="3">
      <formula>$H128="ETAPA"</formula>
    </cfRule>
  </conditionalFormatting>
  <conditionalFormatting sqref="O129">
    <cfRule type="expression" priority="47121" dxfId="4">
      <formula>$H129="SUBETAPA"</formula>
    </cfRule>
    <cfRule type="expression" priority="47122" dxfId="5">
      <formula>$H129="CÉLULA CONSTRUTIVA"</formula>
    </cfRule>
    <cfRule type="expression" priority="47123" dxfId="3">
      <formula>$H129="ETAPA"</formula>
    </cfRule>
  </conditionalFormatting>
  <conditionalFormatting sqref="O131">
    <cfRule type="expression" priority="49866" dxfId="4">
      <formula>$H131="SUBETAPA"</formula>
    </cfRule>
    <cfRule type="expression" priority="49867" dxfId="5">
      <formula>$H131="CÉLULA CONSTRUTIVA"</formula>
    </cfRule>
    <cfRule type="expression" priority="49868" dxfId="3">
      <formula>$H131="ETAPA"</formula>
    </cfRule>
  </conditionalFormatting>
  <conditionalFormatting sqref="O133">
    <cfRule type="expression" priority="49844" dxfId="4">
      <formula>$H133="SUBETAPA"</formula>
    </cfRule>
    <cfRule type="expression" priority="49845" dxfId="5">
      <formula>$H133="CÉLULA CONSTRUTIVA"</formula>
    </cfRule>
    <cfRule type="expression" priority="49846" dxfId="3">
      <formula>$H133="ETAPA"</formula>
    </cfRule>
  </conditionalFormatting>
  <conditionalFormatting sqref="O134">
    <cfRule type="expression" priority="46347" dxfId="4">
      <formula>$H134="SUBETAPA"</formula>
    </cfRule>
    <cfRule type="expression" priority="46348" dxfId="5">
      <formula>$H134="CÉLULA CONSTRUTIVA"</formula>
    </cfRule>
    <cfRule type="expression" priority="46349" dxfId="3">
      <formula>$H134="ETAPA"</formula>
    </cfRule>
  </conditionalFormatting>
  <conditionalFormatting sqref="O136">
    <cfRule type="expression" priority="49807" dxfId="4">
      <formula>$H136="SUBETAPA"</formula>
    </cfRule>
    <cfRule type="expression" priority="49808" dxfId="5">
      <formula>$H136="CÉLULA CONSTRUTIVA"</formula>
    </cfRule>
    <cfRule type="expression" priority="49809" dxfId="3">
      <formula>$H136="ETAPA"</formula>
    </cfRule>
  </conditionalFormatting>
  <conditionalFormatting sqref="O137">
    <cfRule type="expression" priority="46344" dxfId="4">
      <formula>$H137="SUBETAPA"</formula>
    </cfRule>
    <cfRule type="expression" priority="46345" dxfId="5">
      <formula>$H137="CÉLULA CONSTRUTIVA"</formula>
    </cfRule>
    <cfRule type="expression" priority="46346" dxfId="3">
      <formula>$H137="ETAPA"</formula>
    </cfRule>
  </conditionalFormatting>
  <conditionalFormatting sqref="O139">
    <cfRule type="expression" priority="49776" dxfId="5">
      <formula>$H139="CÉLULA CONSTRUTIVA"</formula>
    </cfRule>
    <cfRule type="expression" priority="49777" dxfId="3">
      <formula>$H139="ETAPA"</formula>
    </cfRule>
  </conditionalFormatting>
  <conditionalFormatting sqref="O141:O147">
    <cfRule type="expression" priority="50862" dxfId="5">
      <formula>$H141="CÉLULA CONSTRUTIVA"</formula>
    </cfRule>
    <cfRule type="expression" priority="50863" dxfId="3">
      <formula>$H141="ETAPA"</formula>
    </cfRule>
  </conditionalFormatting>
  <conditionalFormatting sqref="O148">
    <cfRule type="expression" priority="49756" dxfId="5">
      <formula>$H148="CÉLULA CONSTRUTIVA"</formula>
    </cfRule>
    <cfRule type="expression" priority="49757" dxfId="3">
      <formula>$H148="ETAPA"</formula>
    </cfRule>
  </conditionalFormatting>
  <conditionalFormatting sqref="O149">
    <cfRule type="expression" priority="49762" dxfId="5">
      <formula>$H149="CÉLULA CONSTRUTIVA"</formula>
    </cfRule>
    <cfRule type="expression" priority="49767" dxfId="3">
      <formula>$H149="ETAPA"</formula>
    </cfRule>
  </conditionalFormatting>
  <conditionalFormatting sqref="O150:O156">
    <cfRule type="expression" priority="49726" dxfId="5">
      <formula>$H150="CÉLULA CONSTRUTIVA"</formula>
    </cfRule>
    <cfRule type="expression" priority="49727" dxfId="3">
      <formula>$H150="ETAPA"</formula>
    </cfRule>
  </conditionalFormatting>
  <conditionalFormatting sqref="O157">
    <cfRule type="expression" priority="49693" dxfId="5">
      <formula>$H157="CÉLULA CONSTRUTIVA"</formula>
    </cfRule>
    <cfRule type="expression" priority="49694" dxfId="3">
      <formula>$H157="ETAPA"</formula>
    </cfRule>
  </conditionalFormatting>
  <conditionalFormatting sqref="O158">
    <cfRule type="expression" priority="49670" dxfId="5">
      <formula>$H158="CÉLULA CONSTRUTIVA"</formula>
    </cfRule>
    <cfRule type="expression" priority="49671" dxfId="3">
      <formula>$H158="ETAPA"</formula>
    </cfRule>
  </conditionalFormatting>
  <conditionalFormatting sqref="O159">
    <cfRule type="expression" priority="49676" dxfId="5">
      <formula>$H159="CÉLULA CONSTRUTIVA"</formula>
    </cfRule>
    <cfRule type="expression" priority="49681" dxfId="3">
      <formula>$H159="ETAPA"</formula>
    </cfRule>
  </conditionalFormatting>
  <conditionalFormatting sqref="O160:O166">
    <cfRule type="expression" priority="49640" dxfId="5">
      <formula>$H160="CÉLULA CONSTRUTIVA"</formula>
    </cfRule>
    <cfRule type="expression" priority="49641" dxfId="3">
      <formula>$H160="ETAPA"</formula>
    </cfRule>
  </conditionalFormatting>
  <conditionalFormatting sqref="O167">
    <cfRule type="expression" priority="49607" dxfId="5">
      <formula>$H167="CÉLULA CONSTRUTIVA"</formula>
    </cfRule>
    <cfRule type="expression" priority="49608" dxfId="3">
      <formula>$H167="ETAPA"</formula>
    </cfRule>
  </conditionalFormatting>
  <conditionalFormatting sqref="O168">
    <cfRule type="expression" priority="49584" dxfId="5">
      <formula>$H168="CÉLULA CONSTRUTIVA"</formula>
    </cfRule>
    <cfRule type="expression" priority="49585" dxfId="3">
      <formula>$H168="ETAPA"</formula>
    </cfRule>
  </conditionalFormatting>
  <conditionalFormatting sqref="O169">
    <cfRule type="expression" priority="49590" dxfId="5">
      <formula>$H169="CÉLULA CONSTRUTIVA"</formula>
    </cfRule>
    <cfRule type="expression" priority="49595" dxfId="3">
      <formula>$H169="ETAPA"</formula>
    </cfRule>
  </conditionalFormatting>
  <conditionalFormatting sqref="O170:O176">
    <cfRule type="expression" priority="49554" dxfId="5">
      <formula>$H170="CÉLULA CONSTRUTIVA"</formula>
    </cfRule>
    <cfRule type="expression" priority="49555" dxfId="3">
      <formula>$H170="ETAPA"</formula>
    </cfRule>
  </conditionalFormatting>
  <conditionalFormatting sqref="O177">
    <cfRule type="expression" priority="49501" dxfId="5">
      <formula>$H177="CÉLULA CONSTRUTIVA"</formula>
    </cfRule>
    <cfRule type="expression" priority="49502" dxfId="3">
      <formula>$H177="ETAPA"</formula>
    </cfRule>
  </conditionalFormatting>
  <conditionalFormatting sqref="O178">
    <cfRule type="expression" priority="3321" dxfId="5">
      <formula>$H178="CÉLULA CONSTRUTIVA"</formula>
    </cfRule>
    <cfRule type="expression" priority="3323" dxfId="3">
      <formula>$H178="ETAPA"</formula>
    </cfRule>
  </conditionalFormatting>
  <conditionalFormatting sqref="O185">
    <cfRule type="expression" priority="3297" dxfId="4">
      <formula>$H185="SUBETAPA"</formula>
    </cfRule>
    <cfRule type="expression" priority="3298" dxfId="5">
      <formula>$H185="CÉLULA CONSTRUTIVA"</formula>
    </cfRule>
    <cfRule type="expression" priority="3299" dxfId="3">
      <formula>$H185="ETAPA"</formula>
    </cfRule>
  </conditionalFormatting>
  <conditionalFormatting sqref="O186">
    <cfRule type="expression" priority="49482" dxfId="4">
      <formula>$H186="SUBETAPA"</formula>
    </cfRule>
    <cfRule type="expression" priority="49483" dxfId="5">
      <formula>$H186="CÉLULA CONSTRUTIVA"</formula>
    </cfRule>
    <cfRule type="expression" priority="49484" dxfId="3">
      <formula>$H186="ETAPA"</formula>
    </cfRule>
  </conditionalFormatting>
  <conditionalFormatting sqref="O187">
    <cfRule type="expression" priority="3287" dxfId="5">
      <formula>$H187="CÉLULA CONSTRUTIVA"</formula>
    </cfRule>
    <cfRule type="expression" priority="3289" dxfId="3">
      <formula>$H187="ETAPA"</formula>
    </cfRule>
    <cfRule type="expression" priority="3293" dxfId="4">
      <formula>$H187="SUBETAPA"</formula>
    </cfRule>
  </conditionalFormatting>
  <conditionalFormatting sqref="O194">
    <cfRule type="expression" priority="3263" dxfId="4">
      <formula>$H194="SUBETAPA"</formula>
    </cfRule>
    <cfRule type="expression" priority="3264" dxfId="5">
      <formula>$H194="CÉLULA CONSTRUTIVA"</formula>
    </cfRule>
    <cfRule type="expression" priority="3265" dxfId="3">
      <formula>$H194="ETAPA"</formula>
    </cfRule>
  </conditionalFormatting>
  <conditionalFormatting sqref="O195">
    <cfRule type="expression" priority="49464" dxfId="4">
      <formula>$H195="SUBETAPA"</formula>
    </cfRule>
    <cfRule type="expression" priority="49465" dxfId="5">
      <formula>$H195="CÉLULA CONSTRUTIVA"</formula>
    </cfRule>
    <cfRule type="expression" priority="49466" dxfId="3">
      <formula>$H195="ETAPA"</formula>
    </cfRule>
  </conditionalFormatting>
  <conditionalFormatting sqref="O196">
    <cfRule type="expression" priority="3253" dxfId="5">
      <formula>$H196="CÉLULA CONSTRUTIVA"</formula>
    </cfRule>
    <cfRule type="expression" priority="3255" dxfId="3">
      <formula>$H196="ETAPA"</formula>
    </cfRule>
    <cfRule type="expression" priority="3259" dxfId="4">
      <formula>$H196="SUBETAPA"</formula>
    </cfRule>
  </conditionalFormatting>
  <conditionalFormatting sqref="O203">
    <cfRule type="expression" priority="3229" dxfId="4">
      <formula>$H203="SUBETAPA"</formula>
    </cfRule>
    <cfRule type="expression" priority="3230" dxfId="5">
      <formula>$H203="CÉLULA CONSTRUTIVA"</formula>
    </cfRule>
    <cfRule type="expression" priority="3231" dxfId="3">
      <formula>$H203="ETAPA"</formula>
    </cfRule>
  </conditionalFormatting>
  <conditionalFormatting sqref="O204">
    <cfRule type="expression" priority="46317" dxfId="4">
      <formula>$H204="SUBETAPA"</formula>
    </cfRule>
    <cfRule type="expression" priority="46318" dxfId="5">
      <formula>$H204="CÉLULA CONSTRUTIVA"</formula>
    </cfRule>
    <cfRule type="expression" priority="46319" dxfId="3">
      <formula>$H204="ETAPA"</formula>
    </cfRule>
  </conditionalFormatting>
  <conditionalFormatting sqref="O205">
    <cfRule type="expression" priority="3219" dxfId="5">
      <formula>$H205="CÉLULA CONSTRUTIVA"</formula>
    </cfRule>
    <cfRule type="expression" priority="3221" dxfId="3">
      <formula>$H205="ETAPA"</formula>
    </cfRule>
    <cfRule type="expression" priority="3225" dxfId="4">
      <formula>$H205="SUBETAPA"</formula>
    </cfRule>
  </conditionalFormatting>
  <conditionalFormatting sqref="O212">
    <cfRule type="expression" priority="3195" dxfId="4">
      <formula>$H212="SUBETAPA"</formula>
    </cfRule>
    <cfRule type="expression" priority="3196" dxfId="5">
      <formula>$H212="CÉLULA CONSTRUTIVA"</formula>
    </cfRule>
    <cfRule type="expression" priority="3197" dxfId="3">
      <formula>$H212="ETAPA"</formula>
    </cfRule>
  </conditionalFormatting>
  <conditionalFormatting sqref="O213">
    <cfRule type="expression" priority="49446" dxfId="4">
      <formula>$H213="SUBETAPA"</formula>
    </cfRule>
    <cfRule type="expression" priority="49447" dxfId="5">
      <formula>$H213="CÉLULA CONSTRUTIVA"</formula>
    </cfRule>
    <cfRule type="expression" priority="49448" dxfId="3">
      <formula>$H213="ETAPA"</formula>
    </cfRule>
  </conditionalFormatting>
  <conditionalFormatting sqref="O214">
    <cfRule type="expression" priority="3185" dxfId="5">
      <formula>$H214="CÉLULA CONSTRUTIVA"</formula>
    </cfRule>
    <cfRule type="expression" priority="3187" dxfId="3">
      <formula>$H214="ETAPA"</formula>
    </cfRule>
    <cfRule type="expression" priority="3191" dxfId="4">
      <formula>$H214="SUBETAPA"</formula>
    </cfRule>
  </conditionalFormatting>
  <conditionalFormatting sqref="O221">
    <cfRule type="expression" priority="3161" dxfId="4">
      <formula>$H221="SUBETAPA"</formula>
    </cfRule>
    <cfRule type="expression" priority="3162" dxfId="5">
      <formula>$H221="CÉLULA CONSTRUTIVA"</formula>
    </cfRule>
    <cfRule type="expression" priority="3163" dxfId="3">
      <formula>$H221="ETAPA"</formula>
    </cfRule>
  </conditionalFormatting>
  <conditionalFormatting sqref="O222">
    <cfRule type="expression" priority="49426" dxfId="5">
      <formula>$H222="CÉLULA CONSTRUTIVA"</formula>
    </cfRule>
    <cfRule type="expression" priority="49427" dxfId="3">
      <formula>$H222="ETAPA"</formula>
    </cfRule>
  </conditionalFormatting>
  <conditionalFormatting sqref="O222:O268">
    <cfRule type="expression" priority="49175" dxfId="4">
      <formula>$H222="SUBETAPA"</formula>
    </cfRule>
  </conditionalFormatting>
  <conditionalFormatting sqref="O223">
    <cfRule type="expression" priority="49432" dxfId="5">
      <formula>$H223="CÉLULA CONSTRUTIVA"</formula>
    </cfRule>
    <cfRule type="expression" priority="49437" dxfId="3">
      <formula>$H223="ETAPA"</formula>
    </cfRule>
  </conditionalFormatting>
  <conditionalFormatting sqref="O224:O230">
    <cfRule type="expression" priority="49396" dxfId="5">
      <formula>$H224="CÉLULA CONSTRUTIVA"</formula>
    </cfRule>
    <cfRule type="expression" priority="49397" dxfId="3">
      <formula>$H224="ETAPA"</formula>
    </cfRule>
  </conditionalFormatting>
  <conditionalFormatting sqref="O231">
    <cfRule type="expression" priority="49376" dxfId="5">
      <formula>$H231="CÉLULA CONSTRUTIVA"</formula>
    </cfRule>
    <cfRule type="expression" priority="49377" dxfId="3">
      <formula>$H231="ETAPA"</formula>
    </cfRule>
  </conditionalFormatting>
  <conditionalFormatting sqref="O232">
    <cfRule type="expression" priority="49382" dxfId="5">
      <formula>$H232="CÉLULA CONSTRUTIVA"</formula>
    </cfRule>
    <cfRule type="expression" priority="49387" dxfId="3">
      <formula>$H232="ETAPA"</formula>
    </cfRule>
  </conditionalFormatting>
  <conditionalFormatting sqref="O233:O239">
    <cfRule type="expression" priority="49346" dxfId="5">
      <formula>$H233="CÉLULA CONSTRUTIVA"</formula>
    </cfRule>
    <cfRule type="expression" priority="49347" dxfId="3">
      <formula>$H233="ETAPA"</formula>
    </cfRule>
  </conditionalFormatting>
  <conditionalFormatting sqref="O240">
    <cfRule type="expression" priority="49326" dxfId="5">
      <formula>$H240="CÉLULA CONSTRUTIVA"</formula>
    </cfRule>
    <cfRule type="expression" priority="49327" dxfId="3">
      <formula>$H240="ETAPA"</formula>
    </cfRule>
  </conditionalFormatting>
  <conditionalFormatting sqref="O241">
    <cfRule type="expression" priority="49332" dxfId="5">
      <formula>$H241="CÉLULA CONSTRUTIVA"</formula>
    </cfRule>
    <cfRule type="expression" priority="49337" dxfId="3">
      <formula>$H241="ETAPA"</formula>
    </cfRule>
  </conditionalFormatting>
  <conditionalFormatting sqref="O242:O248">
    <cfRule type="expression" priority="49296" dxfId="5">
      <formula>$H242="CÉLULA CONSTRUTIVA"</formula>
    </cfRule>
    <cfRule type="expression" priority="49297" dxfId="3">
      <formula>$H242="ETAPA"</formula>
    </cfRule>
  </conditionalFormatting>
  <conditionalFormatting sqref="O249">
    <cfRule type="expression" priority="49276" dxfId="5">
      <formula>$H249="CÉLULA CONSTRUTIVA"</formula>
    </cfRule>
    <cfRule type="expression" priority="49277" dxfId="3">
      <formula>$H249="ETAPA"</formula>
    </cfRule>
  </conditionalFormatting>
  <conditionalFormatting sqref="O250">
    <cfRule type="expression" priority="49282" dxfId="5">
      <formula>$H250="CÉLULA CONSTRUTIVA"</formula>
    </cfRule>
    <cfRule type="expression" priority="49287" dxfId="3">
      <formula>$H250="ETAPA"</formula>
    </cfRule>
  </conditionalFormatting>
  <conditionalFormatting sqref="O251:O257">
    <cfRule type="expression" priority="49246" dxfId="5">
      <formula>$H251="CÉLULA CONSTRUTIVA"</formula>
    </cfRule>
    <cfRule type="expression" priority="49247" dxfId="3">
      <formula>$H251="ETAPA"</formula>
    </cfRule>
  </conditionalFormatting>
  <conditionalFormatting sqref="O258">
    <cfRule type="expression" priority="49226" dxfId="5">
      <formula>$H258="CÉLULA CONSTRUTIVA"</formula>
    </cfRule>
    <cfRule type="expression" priority="49227" dxfId="3">
      <formula>$H258="ETAPA"</formula>
    </cfRule>
  </conditionalFormatting>
  <conditionalFormatting sqref="O259">
    <cfRule type="expression" priority="49232" dxfId="5">
      <formula>$H259="CÉLULA CONSTRUTIVA"</formula>
    </cfRule>
    <cfRule type="expression" priority="49237" dxfId="3">
      <formula>$H259="ETAPA"</formula>
    </cfRule>
  </conditionalFormatting>
  <conditionalFormatting sqref="O260:O266">
    <cfRule type="expression" priority="49196" dxfId="5">
      <formula>$H260="CÉLULA CONSTRUTIVA"</formula>
    </cfRule>
    <cfRule type="expression" priority="49197" dxfId="3">
      <formula>$H260="ETAPA"</formula>
    </cfRule>
  </conditionalFormatting>
  <conditionalFormatting sqref="O267">
    <cfRule type="expression" priority="49176" dxfId="5">
      <formula>$H267="CÉLULA CONSTRUTIVA"</formula>
    </cfRule>
    <cfRule type="expression" priority="49177" dxfId="3">
      <formula>$H267="ETAPA"</formula>
    </cfRule>
  </conditionalFormatting>
  <conditionalFormatting sqref="O268">
    <cfRule type="expression" priority="49182" dxfId="5">
      <formula>$H268="CÉLULA CONSTRUTIVA"</formula>
    </cfRule>
    <cfRule type="expression" priority="49187" dxfId="3">
      <formula>$H268="ETAPA"</formula>
    </cfRule>
  </conditionalFormatting>
  <conditionalFormatting sqref="O274">
    <cfRule type="expression" priority="49141" dxfId="5">
      <formula>$H274="CÉLULA CONSTRUTIVA"</formula>
    </cfRule>
    <cfRule type="expression" priority="49142" dxfId="3">
      <formula>$H274="ETAPA"</formula>
    </cfRule>
  </conditionalFormatting>
  <conditionalFormatting sqref="O274:O275">
    <cfRule type="expression" priority="49140" dxfId="4">
      <formula>$H274="SUBETAPA"</formula>
    </cfRule>
  </conditionalFormatting>
  <conditionalFormatting sqref="O275">
    <cfRule type="expression" priority="49147" dxfId="5">
      <formula>$H275="CÉLULA CONSTRUTIVA"</formula>
    </cfRule>
    <cfRule type="expression" priority="49151" dxfId="3">
      <formula>$H275="ETAPA"</formula>
    </cfRule>
  </conditionalFormatting>
  <conditionalFormatting sqref="O280">
    <cfRule type="expression" priority="49122" dxfId="5">
      <formula>$H280="CÉLULA CONSTRUTIVA"</formula>
    </cfRule>
    <cfRule type="expression" priority="49123" dxfId="3">
      <formula>$H280="ETAPA"</formula>
    </cfRule>
  </conditionalFormatting>
  <conditionalFormatting sqref="O280:O281">
    <cfRule type="expression" priority="49121" dxfId="4">
      <formula>$H280="SUBETAPA"</formula>
    </cfRule>
  </conditionalFormatting>
  <conditionalFormatting sqref="O282">
    <cfRule type="expression" priority="3942" dxfId="8">
      <formula>$H282="ETAPA"</formula>
    </cfRule>
    <cfRule type="expression" priority="3943" dxfId="6">
      <formula>$H282="SUBETAPA"</formula>
    </cfRule>
    <cfRule type="expression" priority="3944" dxfId="8">
      <formula>$H282="ETAPA"</formula>
    </cfRule>
    <cfRule type="expression" priority="3945" dxfId="6">
      <formula>$H282="SUBETAPA"</formula>
    </cfRule>
    <cfRule type="expression" priority="3946" dxfId="8">
      <formula>$H282="ETAPA"</formula>
    </cfRule>
    <cfRule type="expression" priority="3947" dxfId="6">
      <formula>$H282="SUBETAPA"</formula>
    </cfRule>
    <cfRule type="expression" priority="3948" dxfId="7">
      <formula>$H282="CÉLULA CONSTRUTIVA"</formula>
    </cfRule>
  </conditionalFormatting>
  <conditionalFormatting sqref="O283">
    <cfRule type="expression" priority="49101" dxfId="4">
      <formula>$H283="SUBETAPA"</formula>
    </cfRule>
    <cfRule type="expression" priority="49102" dxfId="5">
      <formula>$H283="CÉLULA CONSTRUTIVA"</formula>
    </cfRule>
    <cfRule type="expression" priority="49103" dxfId="3">
      <formula>$H283="ETAPA"</formula>
    </cfRule>
  </conditionalFormatting>
  <conditionalFormatting sqref="O284">
    <cfRule type="expression" priority="3935" dxfId="8">
      <formula>$H284="ETAPA"</formula>
    </cfRule>
    <cfRule type="expression" priority="3936" dxfId="6">
      <formula>$H284="SUBETAPA"</formula>
    </cfRule>
    <cfRule type="expression" priority="3937" dxfId="8">
      <formula>$H284="ETAPA"</formula>
    </cfRule>
    <cfRule type="expression" priority="3938" dxfId="6">
      <formula>$H284="SUBETAPA"</formula>
    </cfRule>
    <cfRule type="expression" priority="3939" dxfId="8">
      <formula>$H284="ETAPA"</formula>
    </cfRule>
    <cfRule type="expression" priority="3940" dxfId="6">
      <formula>$H284="SUBETAPA"</formula>
    </cfRule>
    <cfRule type="expression" priority="3941" dxfId="7">
      <formula>$H284="CÉLULA CONSTRUTIVA"</formula>
    </cfRule>
  </conditionalFormatting>
  <conditionalFormatting sqref="O285">
    <cfRule type="expression" priority="49055" dxfId="4">
      <formula>$H285="SUBETAPA"</formula>
    </cfRule>
    <cfRule type="expression" priority="49056" dxfId="5">
      <formula>$H285="CÉLULA CONSTRUTIVA"</formula>
    </cfRule>
    <cfRule type="expression" priority="49057" dxfId="3">
      <formula>$H285="ETAPA"</formula>
    </cfRule>
  </conditionalFormatting>
  <conditionalFormatting sqref="O286">
    <cfRule type="expression" priority="3928" dxfId="8">
      <formula>$H286="ETAPA"</formula>
    </cfRule>
    <cfRule type="expression" priority="3929" dxfId="6">
      <formula>$H286="SUBETAPA"</formula>
    </cfRule>
    <cfRule type="expression" priority="3930" dxfId="8">
      <formula>$H286="ETAPA"</formula>
    </cfRule>
    <cfRule type="expression" priority="3931" dxfId="6">
      <formula>$H286="SUBETAPA"</formula>
    </cfRule>
    <cfRule type="expression" priority="3932" dxfId="8">
      <formula>$H286="ETAPA"</formula>
    </cfRule>
    <cfRule type="expression" priority="3933" dxfId="6">
      <formula>$H286="SUBETAPA"</formula>
    </cfRule>
    <cfRule type="expression" priority="3934" dxfId="7">
      <formula>$H286="CÉLULA CONSTRUTIVA"</formula>
    </cfRule>
  </conditionalFormatting>
  <conditionalFormatting sqref="O287">
    <cfRule type="expression" priority="49009" dxfId="4">
      <formula>$H287="SUBETAPA"</formula>
    </cfRule>
    <cfRule type="expression" priority="49010" dxfId="5">
      <formula>$H287="CÉLULA CONSTRUTIVA"</formula>
    </cfRule>
    <cfRule type="expression" priority="49011" dxfId="3">
      <formula>$H287="ETAPA"</formula>
    </cfRule>
  </conditionalFormatting>
  <conditionalFormatting sqref="O288">
    <cfRule type="expression" priority="3921" dxfId="8">
      <formula>$H288="ETAPA"</formula>
    </cfRule>
    <cfRule type="expression" priority="3922" dxfId="6">
      <formula>$H288="SUBETAPA"</formula>
    </cfRule>
    <cfRule type="expression" priority="3923" dxfId="8">
      <formula>$H288="ETAPA"</formula>
    </cfRule>
    <cfRule type="expression" priority="3924" dxfId="6">
      <formula>$H288="SUBETAPA"</formula>
    </cfRule>
    <cfRule type="expression" priority="3925" dxfId="8">
      <formula>$H288="ETAPA"</formula>
    </cfRule>
    <cfRule type="expression" priority="3926" dxfId="6">
      <formula>$H288="SUBETAPA"</formula>
    </cfRule>
    <cfRule type="expression" priority="3927" dxfId="7">
      <formula>$H288="CÉLULA CONSTRUTIVA"</formula>
    </cfRule>
  </conditionalFormatting>
  <conditionalFormatting sqref="O289">
    <cfRule type="expression" priority="48963" dxfId="4">
      <formula>$H289="SUBETAPA"</formula>
    </cfRule>
    <cfRule type="expression" priority="48964" dxfId="5">
      <formula>$H289="CÉLULA CONSTRUTIVA"</formula>
    </cfRule>
    <cfRule type="expression" priority="48965" dxfId="3">
      <formula>$H289="ETAPA"</formula>
    </cfRule>
  </conditionalFormatting>
  <conditionalFormatting sqref="O290">
    <cfRule type="expression" priority="3914" dxfId="8">
      <formula>$H290="ETAPA"</formula>
    </cfRule>
    <cfRule type="expression" priority="3915" dxfId="6">
      <formula>$H290="SUBETAPA"</formula>
    </cfRule>
    <cfRule type="expression" priority="3916" dxfId="8">
      <formula>$H290="ETAPA"</formula>
    </cfRule>
    <cfRule type="expression" priority="3917" dxfId="6">
      <formula>$H290="SUBETAPA"</formula>
    </cfRule>
    <cfRule type="expression" priority="3918" dxfId="8">
      <formula>$H290="ETAPA"</formula>
    </cfRule>
    <cfRule type="expression" priority="3919" dxfId="6">
      <formula>$H290="SUBETAPA"</formula>
    </cfRule>
    <cfRule type="expression" priority="3920" dxfId="7">
      <formula>$H290="CÉLULA CONSTRUTIVA"</formula>
    </cfRule>
  </conditionalFormatting>
  <conditionalFormatting sqref="O291">
    <cfRule type="expression" priority="48917" dxfId="4">
      <formula>$H291="SUBETAPA"</formula>
    </cfRule>
    <cfRule type="expression" priority="48918" dxfId="5">
      <formula>$H291="CÉLULA CONSTRUTIVA"</formula>
    </cfRule>
    <cfRule type="expression" priority="48919" dxfId="3">
      <formula>$H291="ETAPA"</formula>
    </cfRule>
  </conditionalFormatting>
  <conditionalFormatting sqref="O292">
    <cfRule type="expression" priority="3907" dxfId="8">
      <formula>$H292="ETAPA"</formula>
    </cfRule>
    <cfRule type="expression" priority="3908" dxfId="6">
      <formula>$H292="SUBETAPA"</formula>
    </cfRule>
    <cfRule type="expression" priority="3909" dxfId="8">
      <formula>$H292="ETAPA"</formula>
    </cfRule>
    <cfRule type="expression" priority="3910" dxfId="6">
      <formula>$H292="SUBETAPA"</formula>
    </cfRule>
    <cfRule type="expression" priority="3911" dxfId="8">
      <formula>$H292="ETAPA"</formula>
    </cfRule>
    <cfRule type="expression" priority="3912" dxfId="6">
      <formula>$H292="SUBETAPA"</formula>
    </cfRule>
    <cfRule type="expression" priority="3913" dxfId="7">
      <formula>$H292="CÉLULA CONSTRUTIVA"</formula>
    </cfRule>
  </conditionalFormatting>
  <conditionalFormatting sqref="O293">
    <cfRule type="expression" priority="48871" dxfId="4">
      <formula>$H293="SUBETAPA"</formula>
    </cfRule>
    <cfRule type="expression" priority="48872" dxfId="5">
      <formula>$H293="CÉLULA CONSTRUTIVA"</formula>
    </cfRule>
    <cfRule type="expression" priority="48873" dxfId="3">
      <formula>$H293="ETAPA"</formula>
    </cfRule>
  </conditionalFormatting>
  <conditionalFormatting sqref="O294">
    <cfRule type="expression" priority="3900" dxfId="8">
      <formula>$H294="ETAPA"</formula>
    </cfRule>
    <cfRule type="expression" priority="3901" dxfId="6">
      <formula>$H294="SUBETAPA"</formula>
    </cfRule>
    <cfRule type="expression" priority="3902" dxfId="8">
      <formula>$H294="ETAPA"</formula>
    </cfRule>
    <cfRule type="expression" priority="3903" dxfId="6">
      <formula>$H294="SUBETAPA"</formula>
    </cfRule>
    <cfRule type="expression" priority="3904" dxfId="8">
      <formula>$H294="ETAPA"</formula>
    </cfRule>
    <cfRule type="expression" priority="3905" dxfId="6">
      <formula>$H294="SUBETAPA"</formula>
    </cfRule>
    <cfRule type="expression" priority="3906" dxfId="7">
      <formula>$H294="CÉLULA CONSTRUTIVA"</formula>
    </cfRule>
  </conditionalFormatting>
  <conditionalFormatting sqref="O295">
    <cfRule type="expression" priority="46282" dxfId="4">
      <formula>$H295="SUBETAPA"</formula>
    </cfRule>
    <cfRule type="expression" priority="46283" dxfId="5">
      <formula>$H295="CÉLULA CONSTRUTIVA"</formula>
    </cfRule>
    <cfRule type="expression" priority="46284" dxfId="3">
      <formula>$H295="ETAPA"</formula>
    </cfRule>
  </conditionalFormatting>
  <conditionalFormatting sqref="O296">
    <cfRule type="expression" priority="3893" dxfId="8">
      <formula>$H296="ETAPA"</formula>
    </cfRule>
    <cfRule type="expression" priority="3894" dxfId="6">
      <formula>$H296="SUBETAPA"</formula>
    </cfRule>
    <cfRule type="expression" priority="3895" dxfId="8">
      <formula>$H296="ETAPA"</formula>
    </cfRule>
    <cfRule type="expression" priority="3896" dxfId="6">
      <formula>$H296="SUBETAPA"</formula>
    </cfRule>
    <cfRule type="expression" priority="3897" dxfId="8">
      <formula>$H296="ETAPA"</formula>
    </cfRule>
    <cfRule type="expression" priority="3898" dxfId="6">
      <formula>$H296="SUBETAPA"</formula>
    </cfRule>
    <cfRule type="expression" priority="3899" dxfId="7">
      <formula>$H296="CÉLULA CONSTRUTIVA"</formula>
    </cfRule>
  </conditionalFormatting>
  <conditionalFormatting sqref="O297">
    <cfRule type="expression" priority="48825" dxfId="4">
      <formula>$H297="SUBETAPA"</formula>
    </cfRule>
    <cfRule type="expression" priority="48826" dxfId="5">
      <formula>$H297="CÉLULA CONSTRUTIVA"</formula>
    </cfRule>
    <cfRule type="expression" priority="48827" dxfId="3">
      <formula>$H297="ETAPA"</formula>
    </cfRule>
  </conditionalFormatting>
  <conditionalFormatting sqref="O298">
    <cfRule type="expression" priority="3886" dxfId="8">
      <formula>$H298="ETAPA"</formula>
    </cfRule>
    <cfRule type="expression" priority="3887" dxfId="6">
      <formula>$H298="SUBETAPA"</formula>
    </cfRule>
    <cfRule type="expression" priority="3888" dxfId="8">
      <formula>$H298="ETAPA"</formula>
    </cfRule>
    <cfRule type="expression" priority="3889" dxfId="6">
      <formula>$H298="SUBETAPA"</formula>
    </cfRule>
    <cfRule type="expression" priority="3890" dxfId="8">
      <formula>$H298="ETAPA"</formula>
    </cfRule>
    <cfRule type="expression" priority="3891" dxfId="6">
      <formula>$H298="SUBETAPA"</formula>
    </cfRule>
    <cfRule type="expression" priority="3892" dxfId="7">
      <formula>$H298="CÉLULA CONSTRUTIVA"</formula>
    </cfRule>
  </conditionalFormatting>
  <conditionalFormatting sqref="O299">
    <cfRule type="expression" priority="48779" dxfId="4">
      <formula>$H299="SUBETAPA"</formula>
    </cfRule>
    <cfRule type="expression" priority="48780" dxfId="5">
      <formula>$H299="CÉLULA CONSTRUTIVA"</formula>
    </cfRule>
    <cfRule type="expression" priority="48781" dxfId="3">
      <formula>$H299="ETAPA"</formula>
    </cfRule>
  </conditionalFormatting>
  <conditionalFormatting sqref="O300">
    <cfRule type="expression" priority="3879" dxfId="8">
      <formula>$H300="ETAPA"</formula>
    </cfRule>
    <cfRule type="expression" priority="3880" dxfId="6">
      <formula>$H300="SUBETAPA"</formula>
    </cfRule>
    <cfRule type="expression" priority="3881" dxfId="8">
      <formula>$H300="ETAPA"</formula>
    </cfRule>
    <cfRule type="expression" priority="3882" dxfId="6">
      <formula>$H300="SUBETAPA"</formula>
    </cfRule>
    <cfRule type="expression" priority="3883" dxfId="8">
      <formula>$H300="ETAPA"</formula>
    </cfRule>
    <cfRule type="expression" priority="3884" dxfId="6">
      <formula>$H300="SUBETAPA"</formula>
    </cfRule>
    <cfRule type="expression" priority="3885" dxfId="7">
      <formula>$H300="CÉLULA CONSTRUTIVA"</formula>
    </cfRule>
  </conditionalFormatting>
  <conditionalFormatting sqref="O301">
    <cfRule type="expression" priority="48733" dxfId="4">
      <formula>$H301="SUBETAPA"</formula>
    </cfRule>
    <cfRule type="expression" priority="48734" dxfId="5">
      <formula>$H301="CÉLULA CONSTRUTIVA"</formula>
    </cfRule>
    <cfRule type="expression" priority="48735" dxfId="3">
      <formula>$H301="ETAPA"</formula>
    </cfRule>
  </conditionalFormatting>
  <conditionalFormatting sqref="O303">
    <cfRule type="expression" priority="48687" dxfId="4">
      <formula>$H303="SUBETAPA"</formula>
    </cfRule>
    <cfRule type="expression" priority="48688" dxfId="5">
      <formula>$H303="CÉLULA CONSTRUTIVA"</formula>
    </cfRule>
    <cfRule type="expression" priority="48689" dxfId="3">
      <formula>$H303="ETAPA"</formula>
    </cfRule>
  </conditionalFormatting>
  <conditionalFormatting sqref="O302 O304">
    <cfRule type="expression" priority="3865" dxfId="8">
      <formula>$H302="ETAPA"</formula>
    </cfRule>
    <cfRule type="expression" priority="3866" dxfId="6">
      <formula>$H302="SUBETAPA"</formula>
    </cfRule>
    <cfRule type="expression" priority="3867" dxfId="8">
      <formula>$H302="ETAPA"</formula>
    </cfRule>
    <cfRule type="expression" priority="3868" dxfId="6">
      <formula>$H302="SUBETAPA"</formula>
    </cfRule>
    <cfRule type="expression" priority="3869" dxfId="8">
      <formula>$H302="ETAPA"</formula>
    </cfRule>
    <cfRule type="expression" priority="3870" dxfId="6">
      <formula>$H302="SUBETAPA"</formula>
    </cfRule>
    <cfRule type="expression" priority="3871" dxfId="7">
      <formula>$H302="CÉLULA CONSTRUTIVA"</formula>
    </cfRule>
  </conditionalFormatting>
  <conditionalFormatting sqref="O305">
    <cfRule type="expression" priority="48641" dxfId="4">
      <formula>$H305="SUBETAPA"</formula>
    </cfRule>
    <cfRule type="expression" priority="48642" dxfId="5">
      <formula>$H305="CÉLULA CONSTRUTIVA"</formula>
    </cfRule>
    <cfRule type="expression" priority="48643" dxfId="3">
      <formula>$H305="ETAPA"</formula>
    </cfRule>
  </conditionalFormatting>
  <conditionalFormatting sqref="O306">
    <cfRule type="expression" priority="3858" dxfId="8">
      <formula>$H306="ETAPA"</formula>
    </cfRule>
    <cfRule type="expression" priority="3859" dxfId="6">
      <formula>$H306="SUBETAPA"</formula>
    </cfRule>
    <cfRule type="expression" priority="3860" dxfId="8">
      <formula>$H306="ETAPA"</formula>
    </cfRule>
    <cfRule type="expression" priority="3861" dxfId="6">
      <formula>$H306="SUBETAPA"</formula>
    </cfRule>
    <cfRule type="expression" priority="3862" dxfId="8">
      <formula>$H306="ETAPA"</formula>
    </cfRule>
    <cfRule type="expression" priority="3863" dxfId="6">
      <formula>$H306="SUBETAPA"</formula>
    </cfRule>
    <cfRule type="expression" priority="3864" dxfId="7">
      <formula>$H306="CÉLULA CONSTRUTIVA"</formula>
    </cfRule>
  </conditionalFormatting>
  <conditionalFormatting sqref="O307">
    <cfRule type="expression" priority="48595" dxfId="4">
      <formula>$H307="SUBETAPA"</formula>
    </cfRule>
    <cfRule type="expression" priority="48596" dxfId="5">
      <formula>$H307="CÉLULA CONSTRUTIVA"</formula>
    </cfRule>
    <cfRule type="expression" priority="48597" dxfId="3">
      <formula>$H307="ETAPA"</formula>
    </cfRule>
  </conditionalFormatting>
  <conditionalFormatting sqref="O308">
    <cfRule type="expression" priority="3851" dxfId="8">
      <formula>$H308="ETAPA"</formula>
    </cfRule>
    <cfRule type="expression" priority="3852" dxfId="6">
      <formula>$H308="SUBETAPA"</formula>
    </cfRule>
    <cfRule type="expression" priority="3853" dxfId="8">
      <formula>$H308="ETAPA"</formula>
    </cfRule>
    <cfRule type="expression" priority="3854" dxfId="6">
      <formula>$H308="SUBETAPA"</formula>
    </cfRule>
    <cfRule type="expression" priority="3855" dxfId="8">
      <formula>$H308="ETAPA"</formula>
    </cfRule>
    <cfRule type="expression" priority="3856" dxfId="6">
      <formula>$H308="SUBETAPA"</formula>
    </cfRule>
    <cfRule type="expression" priority="3857" dxfId="7">
      <formula>$H308="CÉLULA CONSTRUTIVA"</formula>
    </cfRule>
  </conditionalFormatting>
  <conditionalFormatting sqref="O309">
    <cfRule type="expression" priority="48549" dxfId="4">
      <formula>$H309="SUBETAPA"</formula>
    </cfRule>
    <cfRule type="expression" priority="48550" dxfId="5">
      <formula>$H309="CÉLULA CONSTRUTIVA"</formula>
    </cfRule>
    <cfRule type="expression" priority="48551" dxfId="3">
      <formula>$H309="ETAPA"</formula>
    </cfRule>
  </conditionalFormatting>
  <conditionalFormatting sqref="O310">
    <cfRule type="expression" priority="3844" dxfId="8">
      <formula>$H310="ETAPA"</formula>
    </cfRule>
    <cfRule type="expression" priority="3845" dxfId="6">
      <formula>$H310="SUBETAPA"</formula>
    </cfRule>
    <cfRule type="expression" priority="3846" dxfId="8">
      <formula>$H310="ETAPA"</formula>
    </cfRule>
    <cfRule type="expression" priority="3847" dxfId="6">
      <formula>$H310="SUBETAPA"</formula>
    </cfRule>
    <cfRule type="expression" priority="3848" dxfId="8">
      <formula>$H310="ETAPA"</formula>
    </cfRule>
    <cfRule type="expression" priority="3849" dxfId="6">
      <formula>$H310="SUBETAPA"</formula>
    </cfRule>
    <cfRule type="expression" priority="3850" dxfId="7">
      <formula>$H310="CÉLULA CONSTRUTIVA"</formula>
    </cfRule>
  </conditionalFormatting>
  <conditionalFormatting sqref="O311">
    <cfRule type="expression" priority="48503" dxfId="4">
      <formula>$H311="SUBETAPA"</formula>
    </cfRule>
    <cfRule type="expression" priority="48504" dxfId="5">
      <formula>$H311="CÉLULA CONSTRUTIVA"</formula>
    </cfRule>
    <cfRule type="expression" priority="48505" dxfId="3">
      <formula>$H311="ETAPA"</formula>
    </cfRule>
  </conditionalFormatting>
  <conditionalFormatting sqref="O313">
    <cfRule type="expression" priority="48433" dxfId="5">
      <formula>$H313="CÉLULA CONSTRUTIVA"</formula>
    </cfRule>
    <cfRule type="expression" priority="48434" dxfId="3">
      <formula>$H313="ETAPA"</formula>
    </cfRule>
  </conditionalFormatting>
  <conditionalFormatting sqref="O313:O314">
    <cfRule type="expression" priority="48432" dxfId="4">
      <formula>$H313="SUBETAPA"</formula>
    </cfRule>
  </conditionalFormatting>
  <conditionalFormatting sqref="O314">
    <cfRule type="expression" priority="48449" dxfId="5">
      <formula>$H314="CÉLULA CONSTRUTIVA"</formula>
    </cfRule>
    <cfRule type="expression" priority="48450" dxfId="3">
      <formula>$H314="ETAPA"</formula>
    </cfRule>
  </conditionalFormatting>
  <conditionalFormatting sqref="O315">
    <cfRule type="expression" priority="3795" dxfId="8">
      <formula>$H315="ETAPA"</formula>
    </cfRule>
    <cfRule type="expression" priority="3796" dxfId="6">
      <formula>$H315="SUBETAPA"</formula>
    </cfRule>
    <cfRule type="expression" priority="3797" dxfId="8">
      <formula>$H315="ETAPA"</formula>
    </cfRule>
    <cfRule type="expression" priority="3798" dxfId="6">
      <formula>$H315="SUBETAPA"</formula>
    </cfRule>
    <cfRule type="expression" priority="3799" dxfId="8">
      <formula>$H315="ETAPA"</formula>
    </cfRule>
    <cfRule type="expression" priority="3800" dxfId="6">
      <formula>$H315="SUBETAPA"</formula>
    </cfRule>
    <cfRule type="expression" priority="3801" dxfId="7">
      <formula>$H315="CÉLULA CONSTRUTIVA"</formula>
    </cfRule>
  </conditionalFormatting>
  <conditionalFormatting sqref="O316">
    <cfRule type="expression" priority="3841" dxfId="4">
      <formula>$H316="SUBETAPA"</formula>
    </cfRule>
    <cfRule type="expression" priority="3842" dxfId="5">
      <formula>$H316="CÉLULA CONSTRUTIVA"</formula>
    </cfRule>
    <cfRule type="expression" priority="3843" dxfId="3">
      <formula>$H316="ETAPA"</formula>
    </cfRule>
  </conditionalFormatting>
  <conditionalFormatting sqref="O317">
    <cfRule type="expression" priority="3788" dxfId="8">
      <formula>$H317="ETAPA"</formula>
    </cfRule>
    <cfRule type="expression" priority="3789" dxfId="6">
      <formula>$H317="SUBETAPA"</formula>
    </cfRule>
    <cfRule type="expression" priority="3790" dxfId="8">
      <formula>$H317="ETAPA"</formula>
    </cfRule>
    <cfRule type="expression" priority="3791" dxfId="6">
      <formula>$H317="SUBETAPA"</formula>
    </cfRule>
    <cfRule type="expression" priority="3792" dxfId="8">
      <formula>$H317="ETAPA"</formula>
    </cfRule>
    <cfRule type="expression" priority="3793" dxfId="6">
      <formula>$H317="SUBETAPA"</formula>
    </cfRule>
    <cfRule type="expression" priority="3794" dxfId="7">
      <formula>$H317="CÉLULA CONSTRUTIVA"</formula>
    </cfRule>
  </conditionalFormatting>
  <conditionalFormatting sqref="O318">
    <cfRule type="expression" priority="3838" dxfId="4">
      <formula>$H318="SUBETAPA"</formula>
    </cfRule>
    <cfRule type="expression" priority="3839" dxfId="5">
      <formula>$H318="CÉLULA CONSTRUTIVA"</formula>
    </cfRule>
    <cfRule type="expression" priority="3840" dxfId="3">
      <formula>$H318="ETAPA"</formula>
    </cfRule>
  </conditionalFormatting>
  <conditionalFormatting sqref="O319">
    <cfRule type="expression" priority="3781" dxfId="8">
      <formula>$H319="ETAPA"</formula>
    </cfRule>
    <cfRule type="expression" priority="3782" dxfId="6">
      <formula>$H319="SUBETAPA"</formula>
    </cfRule>
    <cfRule type="expression" priority="3783" dxfId="8">
      <formula>$H319="ETAPA"</formula>
    </cfRule>
    <cfRule type="expression" priority="3784" dxfId="6">
      <formula>$H319="SUBETAPA"</formula>
    </cfRule>
    <cfRule type="expression" priority="3785" dxfId="8">
      <formula>$H319="ETAPA"</formula>
    </cfRule>
    <cfRule type="expression" priority="3786" dxfId="6">
      <formula>$H319="SUBETAPA"</formula>
    </cfRule>
    <cfRule type="expression" priority="3787" dxfId="7">
      <formula>$H319="CÉLULA CONSTRUTIVA"</formula>
    </cfRule>
  </conditionalFormatting>
  <conditionalFormatting sqref="O320">
    <cfRule type="expression" priority="3835" dxfId="4">
      <formula>$H320="SUBETAPA"</formula>
    </cfRule>
    <cfRule type="expression" priority="3836" dxfId="5">
      <formula>$H320="CÉLULA CONSTRUTIVA"</formula>
    </cfRule>
    <cfRule type="expression" priority="3837" dxfId="3">
      <formula>$H320="ETAPA"</formula>
    </cfRule>
  </conditionalFormatting>
  <conditionalFormatting sqref="O321">
    <cfRule type="expression" priority="3774" dxfId="8">
      <formula>$H321="ETAPA"</formula>
    </cfRule>
    <cfRule type="expression" priority="3775" dxfId="6">
      <formula>$H321="SUBETAPA"</formula>
    </cfRule>
    <cfRule type="expression" priority="3776" dxfId="8">
      <formula>$H321="ETAPA"</formula>
    </cfRule>
    <cfRule type="expression" priority="3777" dxfId="6">
      <formula>$H321="SUBETAPA"</formula>
    </cfRule>
    <cfRule type="expression" priority="3778" dxfId="8">
      <formula>$H321="ETAPA"</formula>
    </cfRule>
    <cfRule type="expression" priority="3779" dxfId="6">
      <formula>$H321="SUBETAPA"</formula>
    </cfRule>
    <cfRule type="expression" priority="3780" dxfId="7">
      <formula>$H321="CÉLULA CONSTRUTIVA"</formula>
    </cfRule>
  </conditionalFormatting>
  <conditionalFormatting sqref="O322">
    <cfRule type="expression" priority="3832" dxfId="4">
      <formula>$H322="SUBETAPA"</formula>
    </cfRule>
    <cfRule type="expression" priority="3833" dxfId="5">
      <formula>$H322="CÉLULA CONSTRUTIVA"</formula>
    </cfRule>
    <cfRule type="expression" priority="3834" dxfId="3">
      <formula>$H322="ETAPA"</formula>
    </cfRule>
  </conditionalFormatting>
  <conditionalFormatting sqref="O323">
    <cfRule type="expression" priority="3767" dxfId="8">
      <formula>$H323="ETAPA"</formula>
    </cfRule>
    <cfRule type="expression" priority="3768" dxfId="6">
      <formula>$H323="SUBETAPA"</formula>
    </cfRule>
    <cfRule type="expression" priority="3769" dxfId="8">
      <formula>$H323="ETAPA"</formula>
    </cfRule>
    <cfRule type="expression" priority="3770" dxfId="6">
      <formula>$H323="SUBETAPA"</formula>
    </cfRule>
    <cfRule type="expression" priority="3771" dxfId="8">
      <formula>$H323="ETAPA"</formula>
    </cfRule>
    <cfRule type="expression" priority="3772" dxfId="6">
      <formula>$H323="SUBETAPA"</formula>
    </cfRule>
    <cfRule type="expression" priority="3773" dxfId="7">
      <formula>$H323="CÉLULA CONSTRUTIVA"</formula>
    </cfRule>
  </conditionalFormatting>
  <conditionalFormatting sqref="O324">
    <cfRule type="expression" priority="3829" dxfId="4">
      <formula>$H324="SUBETAPA"</formula>
    </cfRule>
    <cfRule type="expression" priority="3830" dxfId="5">
      <formula>$H324="CÉLULA CONSTRUTIVA"</formula>
    </cfRule>
    <cfRule type="expression" priority="3831" dxfId="3">
      <formula>$H324="ETAPA"</formula>
    </cfRule>
  </conditionalFormatting>
  <conditionalFormatting sqref="O325">
    <cfRule type="expression" priority="3760" dxfId="8">
      <formula>$H325="ETAPA"</formula>
    </cfRule>
    <cfRule type="expression" priority="3761" dxfId="6">
      <formula>$H325="SUBETAPA"</formula>
    </cfRule>
    <cfRule type="expression" priority="3762" dxfId="8">
      <formula>$H325="ETAPA"</formula>
    </cfRule>
    <cfRule type="expression" priority="3763" dxfId="6">
      <formula>$H325="SUBETAPA"</formula>
    </cfRule>
    <cfRule type="expression" priority="3764" dxfId="8">
      <formula>$H325="ETAPA"</formula>
    </cfRule>
    <cfRule type="expression" priority="3765" dxfId="6">
      <formula>$H325="SUBETAPA"</formula>
    </cfRule>
    <cfRule type="expression" priority="3766" dxfId="7">
      <formula>$H325="CÉLULA CONSTRUTIVA"</formula>
    </cfRule>
  </conditionalFormatting>
  <conditionalFormatting sqref="O326">
    <cfRule type="expression" priority="3826" dxfId="4">
      <formula>$H326="SUBETAPA"</formula>
    </cfRule>
    <cfRule type="expression" priority="3827" dxfId="5">
      <formula>$H326="CÉLULA CONSTRUTIVA"</formula>
    </cfRule>
    <cfRule type="expression" priority="3828" dxfId="3">
      <formula>$H326="ETAPA"</formula>
    </cfRule>
  </conditionalFormatting>
  <conditionalFormatting sqref="O327">
    <cfRule type="expression" priority="3753" dxfId="8">
      <formula>$H327="ETAPA"</formula>
    </cfRule>
    <cfRule type="expression" priority="3754" dxfId="6">
      <formula>$H327="SUBETAPA"</formula>
    </cfRule>
    <cfRule type="expression" priority="3755" dxfId="8">
      <formula>$H327="ETAPA"</formula>
    </cfRule>
    <cfRule type="expression" priority="3756" dxfId="6">
      <formula>$H327="SUBETAPA"</formula>
    </cfRule>
    <cfRule type="expression" priority="3757" dxfId="8">
      <formula>$H327="ETAPA"</formula>
    </cfRule>
    <cfRule type="expression" priority="3758" dxfId="6">
      <formula>$H327="SUBETAPA"</formula>
    </cfRule>
    <cfRule type="expression" priority="3759" dxfId="7">
      <formula>$H327="CÉLULA CONSTRUTIVA"</formula>
    </cfRule>
  </conditionalFormatting>
  <conditionalFormatting sqref="O328">
    <cfRule type="expression" priority="3802" dxfId="4">
      <formula>$H328="SUBETAPA"</formula>
    </cfRule>
    <cfRule type="expression" priority="3803" dxfId="5">
      <formula>$H328="CÉLULA CONSTRUTIVA"</formula>
    </cfRule>
    <cfRule type="expression" priority="3804" dxfId="3">
      <formula>$H328="ETAPA"</formula>
    </cfRule>
  </conditionalFormatting>
  <conditionalFormatting sqref="O329">
    <cfRule type="expression" priority="3746" dxfId="8">
      <formula>$H329="ETAPA"</formula>
    </cfRule>
    <cfRule type="expression" priority="3747" dxfId="6">
      <formula>$H329="SUBETAPA"</formula>
    </cfRule>
    <cfRule type="expression" priority="3748" dxfId="8">
      <formula>$H329="ETAPA"</formula>
    </cfRule>
    <cfRule type="expression" priority="3749" dxfId="6">
      <formula>$H329="SUBETAPA"</formula>
    </cfRule>
    <cfRule type="expression" priority="3750" dxfId="8">
      <formula>$H329="ETAPA"</formula>
    </cfRule>
    <cfRule type="expression" priority="3751" dxfId="6">
      <formula>$H329="SUBETAPA"</formula>
    </cfRule>
    <cfRule type="expression" priority="3752" dxfId="7">
      <formula>$H329="CÉLULA CONSTRUTIVA"</formula>
    </cfRule>
  </conditionalFormatting>
  <conditionalFormatting sqref="O330">
    <cfRule type="expression" priority="3823" dxfId="4">
      <formula>$H330="SUBETAPA"</formula>
    </cfRule>
    <cfRule type="expression" priority="3824" dxfId="5">
      <formula>$H330="CÉLULA CONSTRUTIVA"</formula>
    </cfRule>
    <cfRule type="expression" priority="3825" dxfId="3">
      <formula>$H330="ETAPA"</formula>
    </cfRule>
  </conditionalFormatting>
  <conditionalFormatting sqref="O331">
    <cfRule type="expression" priority="3739" dxfId="8">
      <formula>$H331="ETAPA"</formula>
    </cfRule>
    <cfRule type="expression" priority="3740" dxfId="6">
      <formula>$H331="SUBETAPA"</formula>
    </cfRule>
    <cfRule type="expression" priority="3741" dxfId="8">
      <formula>$H331="ETAPA"</formula>
    </cfRule>
    <cfRule type="expression" priority="3742" dxfId="6">
      <formula>$H331="SUBETAPA"</formula>
    </cfRule>
    <cfRule type="expression" priority="3743" dxfId="8">
      <formula>$H331="ETAPA"</formula>
    </cfRule>
    <cfRule type="expression" priority="3744" dxfId="6">
      <formula>$H331="SUBETAPA"</formula>
    </cfRule>
    <cfRule type="expression" priority="3745" dxfId="7">
      <formula>$H331="CÉLULA CONSTRUTIVA"</formula>
    </cfRule>
  </conditionalFormatting>
  <conditionalFormatting sqref="O332">
    <cfRule type="expression" priority="3820" dxfId="4">
      <formula>$H332="SUBETAPA"</formula>
    </cfRule>
    <cfRule type="expression" priority="3821" dxfId="5">
      <formula>$H332="CÉLULA CONSTRUTIVA"</formula>
    </cfRule>
    <cfRule type="expression" priority="3822" dxfId="3">
      <formula>$H332="ETAPA"</formula>
    </cfRule>
  </conditionalFormatting>
  <conditionalFormatting sqref="O333">
    <cfRule type="expression" priority="3732" dxfId="8">
      <formula>$H333="ETAPA"</formula>
    </cfRule>
    <cfRule type="expression" priority="3733" dxfId="6">
      <formula>$H333="SUBETAPA"</formula>
    </cfRule>
    <cfRule type="expression" priority="3734" dxfId="8">
      <formula>$H333="ETAPA"</formula>
    </cfRule>
    <cfRule type="expression" priority="3735" dxfId="6">
      <formula>$H333="SUBETAPA"</formula>
    </cfRule>
    <cfRule type="expression" priority="3736" dxfId="8">
      <formula>$H333="ETAPA"</formula>
    </cfRule>
    <cfRule type="expression" priority="3737" dxfId="6">
      <formula>$H333="SUBETAPA"</formula>
    </cfRule>
    <cfRule type="expression" priority="3738" dxfId="7">
      <formula>$H333="CÉLULA CONSTRUTIVA"</formula>
    </cfRule>
  </conditionalFormatting>
  <conditionalFormatting sqref="O334">
    <cfRule type="expression" priority="3817" dxfId="4">
      <formula>$H334="SUBETAPA"</formula>
    </cfRule>
    <cfRule type="expression" priority="3818" dxfId="5">
      <formula>$H334="CÉLULA CONSTRUTIVA"</formula>
    </cfRule>
    <cfRule type="expression" priority="3819" dxfId="3">
      <formula>$H334="ETAPA"</formula>
    </cfRule>
  </conditionalFormatting>
  <conditionalFormatting sqref="O336">
    <cfRule type="expression" priority="3814" dxfId="4">
      <formula>$H336="SUBETAPA"</formula>
    </cfRule>
    <cfRule type="expression" priority="3815" dxfId="5">
      <formula>$H336="CÉLULA CONSTRUTIVA"</formula>
    </cfRule>
    <cfRule type="expression" priority="3816" dxfId="3">
      <formula>$H336="ETAPA"</formula>
    </cfRule>
  </conditionalFormatting>
  <conditionalFormatting sqref="O335 O337">
    <cfRule type="expression" priority="3725" dxfId="8">
      <formula>$H335="ETAPA"</formula>
    </cfRule>
    <cfRule type="expression" priority="3726" dxfId="6">
      <formula>$H335="SUBETAPA"</formula>
    </cfRule>
    <cfRule type="expression" priority="3727" dxfId="8">
      <formula>$H335="ETAPA"</formula>
    </cfRule>
    <cfRule type="expression" priority="3728" dxfId="6">
      <formula>$H335="SUBETAPA"</formula>
    </cfRule>
    <cfRule type="expression" priority="3729" dxfId="8">
      <formula>$H335="ETAPA"</formula>
    </cfRule>
    <cfRule type="expression" priority="3730" dxfId="6">
      <formula>$H335="SUBETAPA"</formula>
    </cfRule>
    <cfRule type="expression" priority="3731" dxfId="7">
      <formula>$H335="CÉLULA CONSTRUTIVA"</formula>
    </cfRule>
  </conditionalFormatting>
  <conditionalFormatting sqref="O338">
    <cfRule type="expression" priority="3811" dxfId="4">
      <formula>$H338="SUBETAPA"</formula>
    </cfRule>
    <cfRule type="expression" priority="3812" dxfId="5">
      <formula>$H338="CÉLULA CONSTRUTIVA"</formula>
    </cfRule>
    <cfRule type="expression" priority="3813" dxfId="3">
      <formula>$H338="ETAPA"</formula>
    </cfRule>
  </conditionalFormatting>
  <conditionalFormatting sqref="O339">
    <cfRule type="expression" priority="3718" dxfId="8">
      <formula>$H339="ETAPA"</formula>
    </cfRule>
    <cfRule type="expression" priority="3719" dxfId="6">
      <formula>$H339="SUBETAPA"</formula>
    </cfRule>
    <cfRule type="expression" priority="3720" dxfId="8">
      <formula>$H339="ETAPA"</formula>
    </cfRule>
    <cfRule type="expression" priority="3721" dxfId="6">
      <formula>$H339="SUBETAPA"</formula>
    </cfRule>
    <cfRule type="expression" priority="3722" dxfId="8">
      <formula>$H339="ETAPA"</formula>
    </cfRule>
    <cfRule type="expression" priority="3723" dxfId="6">
      <formula>$H339="SUBETAPA"</formula>
    </cfRule>
    <cfRule type="expression" priority="3724" dxfId="7">
      <formula>$H339="CÉLULA CONSTRUTIVA"</formula>
    </cfRule>
  </conditionalFormatting>
  <conditionalFormatting sqref="O340">
    <cfRule type="expression" priority="3808" dxfId="4">
      <formula>$H340="SUBETAPA"</formula>
    </cfRule>
    <cfRule type="expression" priority="3809" dxfId="5">
      <formula>$H340="CÉLULA CONSTRUTIVA"</formula>
    </cfRule>
    <cfRule type="expression" priority="3810" dxfId="3">
      <formula>$H340="ETAPA"</formula>
    </cfRule>
  </conditionalFormatting>
  <conditionalFormatting sqref="O341">
    <cfRule type="expression" priority="3711" dxfId="8">
      <formula>$H341="ETAPA"</formula>
    </cfRule>
    <cfRule type="expression" priority="3712" dxfId="6">
      <formula>$H341="SUBETAPA"</formula>
    </cfRule>
    <cfRule type="expression" priority="3713" dxfId="8">
      <formula>$H341="ETAPA"</formula>
    </cfRule>
    <cfRule type="expression" priority="3714" dxfId="6">
      <formula>$H341="SUBETAPA"</formula>
    </cfRule>
    <cfRule type="expression" priority="3715" dxfId="8">
      <formula>$H341="ETAPA"</formula>
    </cfRule>
    <cfRule type="expression" priority="3716" dxfId="6">
      <formula>$H341="SUBETAPA"</formula>
    </cfRule>
    <cfRule type="expression" priority="3717" dxfId="7">
      <formula>$H341="CÉLULA CONSTRUTIVA"</formula>
    </cfRule>
  </conditionalFormatting>
  <conditionalFormatting sqref="O342">
    <cfRule type="expression" priority="3805" dxfId="4">
      <formula>$H342="SUBETAPA"</formula>
    </cfRule>
    <cfRule type="expression" priority="3806" dxfId="5">
      <formula>$H342="CÉLULA CONSTRUTIVA"</formula>
    </cfRule>
    <cfRule type="expression" priority="3807" dxfId="3">
      <formula>$H342="ETAPA"</formula>
    </cfRule>
  </conditionalFormatting>
  <conditionalFormatting sqref="O343">
    <cfRule type="expression" priority="3704" dxfId="8">
      <formula>$H343="ETAPA"</formula>
    </cfRule>
    <cfRule type="expression" priority="3705" dxfId="6">
      <formula>$H343="SUBETAPA"</formula>
    </cfRule>
    <cfRule type="expression" priority="3706" dxfId="8">
      <formula>$H343="ETAPA"</formula>
    </cfRule>
    <cfRule type="expression" priority="3707" dxfId="6">
      <formula>$H343="SUBETAPA"</formula>
    </cfRule>
    <cfRule type="expression" priority="3708" dxfId="8">
      <formula>$H343="ETAPA"</formula>
    </cfRule>
    <cfRule type="expression" priority="3709" dxfId="6">
      <formula>$H343="SUBETAPA"</formula>
    </cfRule>
    <cfRule type="expression" priority="3710" dxfId="7">
      <formula>$H343="CÉLULA CONSTRUTIVA"</formula>
    </cfRule>
  </conditionalFormatting>
  <conditionalFormatting sqref="O344">
    <cfRule type="expression" priority="47845" dxfId="4">
      <formula>$H344="SUBETAPA"</formula>
    </cfRule>
    <cfRule type="expression" priority="47846" dxfId="5">
      <formula>$H344="CÉLULA CONSTRUTIVA"</formula>
    </cfRule>
  </conditionalFormatting>
  <conditionalFormatting sqref="O346">
    <cfRule type="expression" priority="48462" dxfId="5">
      <formula>$H346="CÉLULA CONSTRUTIVA"</formula>
    </cfRule>
    <cfRule type="expression" priority="48463" dxfId="3">
      <formula>$H346="ETAPA"</formula>
    </cfRule>
  </conditionalFormatting>
  <conditionalFormatting sqref="O346:O347">
    <cfRule type="expression" priority="47798" dxfId="4">
      <formula>$H346="SUBETAPA"</formula>
    </cfRule>
  </conditionalFormatting>
  <conditionalFormatting sqref="O347">
    <cfRule type="expression" priority="47799" dxfId="5">
      <formula>$H347="CÉLULA CONSTRUTIVA"</formula>
    </cfRule>
    <cfRule type="expression" priority="47800" dxfId="3">
      <formula>$H347="ETAPA"</formula>
    </cfRule>
  </conditionalFormatting>
  <conditionalFormatting sqref="O348">
    <cfRule type="expression" priority="3697" dxfId="8">
      <formula>$H348="ETAPA"</formula>
    </cfRule>
    <cfRule type="expression" priority="3698" dxfId="6">
      <formula>$H348="SUBETAPA"</formula>
    </cfRule>
    <cfRule type="expression" priority="3699" dxfId="8">
      <formula>$H348="ETAPA"</formula>
    </cfRule>
    <cfRule type="expression" priority="3700" dxfId="6">
      <formula>$H348="SUBETAPA"</formula>
    </cfRule>
    <cfRule type="expression" priority="3701" dxfId="8">
      <formula>$H348="ETAPA"</formula>
    </cfRule>
    <cfRule type="expression" priority="3702" dxfId="6">
      <formula>$H348="SUBETAPA"</formula>
    </cfRule>
    <cfRule type="expression" priority="3703" dxfId="7">
      <formula>$H348="CÉLULA CONSTRUTIVA"</formula>
    </cfRule>
  </conditionalFormatting>
  <conditionalFormatting sqref="O349">
    <cfRule type="expression" priority="47752" dxfId="4">
      <formula>$H349="SUBETAPA"</formula>
    </cfRule>
    <cfRule type="expression" priority="47753" dxfId="5">
      <formula>$H349="CÉLULA CONSTRUTIVA"</formula>
    </cfRule>
    <cfRule type="expression" priority="47754" dxfId="3">
      <formula>$H349="ETAPA"</formula>
    </cfRule>
  </conditionalFormatting>
  <conditionalFormatting sqref="O350">
    <cfRule type="expression" priority="3690" dxfId="8">
      <formula>$H350="ETAPA"</formula>
    </cfRule>
    <cfRule type="expression" priority="3691" dxfId="6">
      <formula>$H350="SUBETAPA"</formula>
    </cfRule>
    <cfRule type="expression" priority="3692" dxfId="8">
      <formula>$H350="ETAPA"</formula>
    </cfRule>
    <cfRule type="expression" priority="3693" dxfId="6">
      <formula>$H350="SUBETAPA"</formula>
    </cfRule>
    <cfRule type="expression" priority="3694" dxfId="8">
      <formula>$H350="ETAPA"</formula>
    </cfRule>
    <cfRule type="expression" priority="3695" dxfId="6">
      <formula>$H350="SUBETAPA"</formula>
    </cfRule>
    <cfRule type="expression" priority="3696" dxfId="7">
      <formula>$H350="CÉLULA CONSTRUTIVA"</formula>
    </cfRule>
  </conditionalFormatting>
  <conditionalFormatting sqref="O351">
    <cfRule type="expression" priority="47709" dxfId="4">
      <formula>$H351="SUBETAPA"</formula>
    </cfRule>
    <cfRule type="expression" priority="47710" dxfId="5">
      <formula>$H351="CÉLULA CONSTRUTIVA"</formula>
    </cfRule>
    <cfRule type="expression" priority="47711" dxfId="3">
      <formula>$H351="ETAPA"</formula>
    </cfRule>
  </conditionalFormatting>
  <conditionalFormatting sqref="O353">
    <cfRule type="expression" priority="47666" dxfId="4">
      <formula>$H353="SUBETAPA"</formula>
    </cfRule>
    <cfRule type="expression" priority="47667" dxfId="5">
      <formula>$H353="CÉLULA CONSTRUTIVA"</formula>
    </cfRule>
    <cfRule type="expression" priority="47668" dxfId="3">
      <formula>$H353="ETAPA"</formula>
    </cfRule>
  </conditionalFormatting>
  <conditionalFormatting sqref="O354">
    <cfRule type="expression" priority="3687" dxfId="4">
      <formula>$H354="SUBETAPA"</formula>
    </cfRule>
    <cfRule type="expression" priority="3688" dxfId="5">
      <formula>$H354="CÉLULA CONSTRUTIVA"</formula>
    </cfRule>
    <cfRule type="expression" priority="3689" dxfId="3">
      <formula>$H354="ETAPA"</formula>
    </cfRule>
  </conditionalFormatting>
  <conditionalFormatting sqref="O355">
    <cfRule type="expression" priority="47623" dxfId="4">
      <formula>$H355="SUBETAPA"</formula>
    </cfRule>
    <cfRule type="expression" priority="47624" dxfId="5">
      <formula>$H355="CÉLULA CONSTRUTIVA"</formula>
    </cfRule>
    <cfRule type="expression" priority="47625" dxfId="3">
      <formula>$H355="ETAPA"</formula>
    </cfRule>
  </conditionalFormatting>
  <conditionalFormatting sqref="O356">
    <cfRule type="expression" priority="3684" dxfId="4">
      <formula>$H356="SUBETAPA"</formula>
    </cfRule>
    <cfRule type="expression" priority="3685" dxfId="5">
      <formula>$H356="CÉLULA CONSTRUTIVA"</formula>
    </cfRule>
    <cfRule type="expression" priority="3686" dxfId="3">
      <formula>$H356="ETAPA"</formula>
    </cfRule>
  </conditionalFormatting>
  <conditionalFormatting sqref="O357">
    <cfRule type="expression" priority="47580" dxfId="4">
      <formula>$H357="SUBETAPA"</formula>
    </cfRule>
    <cfRule type="expression" priority="47581" dxfId="5">
      <formula>$H357="CÉLULA CONSTRUTIVA"</formula>
    </cfRule>
    <cfRule type="expression" priority="47582" dxfId="3">
      <formula>$H357="ETAPA"</formula>
    </cfRule>
  </conditionalFormatting>
  <conditionalFormatting sqref="O358">
    <cfRule type="expression" priority="3681" dxfId="4">
      <formula>$H358="SUBETAPA"</formula>
    </cfRule>
    <cfRule type="expression" priority="3682" dxfId="5">
      <formula>$H358="CÉLULA CONSTRUTIVA"</formula>
    </cfRule>
    <cfRule type="expression" priority="3683" dxfId="3">
      <formula>$H358="ETAPA"</formula>
    </cfRule>
  </conditionalFormatting>
  <conditionalFormatting sqref="O359">
    <cfRule type="expression" priority="46184" dxfId="4">
      <formula>$H359="SUBETAPA"</formula>
    </cfRule>
    <cfRule type="expression" priority="46185" dxfId="5">
      <formula>$H359="CÉLULA CONSTRUTIVA"</formula>
    </cfRule>
    <cfRule type="expression" priority="46186" dxfId="3">
      <formula>$H359="ETAPA"</formula>
    </cfRule>
  </conditionalFormatting>
  <conditionalFormatting sqref="O360">
    <cfRule type="expression" priority="3678" dxfId="4">
      <formula>$H360="SUBETAPA"</formula>
    </cfRule>
    <cfRule type="expression" priority="3679" dxfId="5">
      <formula>$H360="CÉLULA CONSTRUTIVA"</formula>
    </cfRule>
    <cfRule type="expression" priority="3680" dxfId="3">
      <formula>$H360="ETAPA"</formula>
    </cfRule>
  </conditionalFormatting>
  <conditionalFormatting sqref="O361">
    <cfRule type="expression" priority="47537" dxfId="4">
      <formula>$H361="SUBETAPA"</formula>
    </cfRule>
    <cfRule type="expression" priority="47538" dxfId="5">
      <formula>$H361="CÉLULA CONSTRUTIVA"</formula>
    </cfRule>
    <cfRule type="expression" priority="47539" dxfId="3">
      <formula>$H361="ETAPA"</formula>
    </cfRule>
  </conditionalFormatting>
  <conditionalFormatting sqref="O362">
    <cfRule type="expression" priority="3675" dxfId="4">
      <formula>$H362="SUBETAPA"</formula>
    </cfRule>
    <cfRule type="expression" priority="3676" dxfId="5">
      <formula>$H362="CÉLULA CONSTRUTIVA"</formula>
    </cfRule>
    <cfRule type="expression" priority="3677" dxfId="3">
      <formula>$H362="ETAPA"</formula>
    </cfRule>
  </conditionalFormatting>
  <conditionalFormatting sqref="O363">
    <cfRule type="expression" priority="47494" dxfId="4">
      <formula>$H363="SUBETAPA"</formula>
    </cfRule>
    <cfRule type="expression" priority="47495" dxfId="5">
      <formula>$H363="CÉLULA CONSTRUTIVA"</formula>
    </cfRule>
    <cfRule type="expression" priority="47496" dxfId="3">
      <formula>$H363="ETAPA"</formula>
    </cfRule>
  </conditionalFormatting>
  <conditionalFormatting sqref="O364">
    <cfRule type="expression" priority="3672" dxfId="4">
      <formula>$H364="SUBETAPA"</formula>
    </cfRule>
    <cfRule type="expression" priority="3673" dxfId="5">
      <formula>$H364="CÉLULA CONSTRUTIVA"</formula>
    </cfRule>
    <cfRule type="expression" priority="3674" dxfId="3">
      <formula>$H364="ETAPA"</formula>
    </cfRule>
  </conditionalFormatting>
  <conditionalFormatting sqref="O365">
    <cfRule type="expression" priority="47451" dxfId="4">
      <formula>$H365="SUBETAPA"</formula>
    </cfRule>
    <cfRule type="expression" priority="47452" dxfId="5">
      <formula>$H365="CÉLULA CONSTRUTIVA"</formula>
    </cfRule>
    <cfRule type="expression" priority="47453" dxfId="3">
      <formula>$H365="ETAPA"</formula>
    </cfRule>
  </conditionalFormatting>
  <conditionalFormatting sqref="O366">
    <cfRule type="expression" priority="3669" dxfId="4">
      <formula>$H366="SUBETAPA"</formula>
    </cfRule>
    <cfRule type="expression" priority="3670" dxfId="5">
      <formula>$H366="CÉLULA CONSTRUTIVA"</formula>
    </cfRule>
    <cfRule type="expression" priority="3671" dxfId="3">
      <formula>$H366="ETAPA"</formula>
    </cfRule>
  </conditionalFormatting>
  <conditionalFormatting sqref="O367">
    <cfRule type="expression" priority="47408" dxfId="4">
      <formula>$H367="SUBETAPA"</formula>
    </cfRule>
    <cfRule type="expression" priority="47409" dxfId="5">
      <formula>$H367="CÉLULA CONSTRUTIVA"</formula>
    </cfRule>
    <cfRule type="expression" priority="47410" dxfId="3">
      <formula>$H367="ETAPA"</formula>
    </cfRule>
  </conditionalFormatting>
  <conditionalFormatting sqref="O368">
    <cfRule type="expression" priority="3666" dxfId="4">
      <formula>$H368="SUBETAPA"</formula>
    </cfRule>
    <cfRule type="expression" priority="3667" dxfId="5">
      <formula>$H368="CÉLULA CONSTRUTIVA"</formula>
    </cfRule>
    <cfRule type="expression" priority="3668" dxfId="3">
      <formula>$H368="ETAPA"</formula>
    </cfRule>
  </conditionalFormatting>
  <conditionalFormatting sqref="O369">
    <cfRule type="expression" priority="47365" dxfId="4">
      <formula>$H369="SUBETAPA"</formula>
    </cfRule>
    <cfRule type="expression" priority="47366" dxfId="5">
      <formula>$H369="CÉLULA CONSTRUTIVA"</formula>
    </cfRule>
    <cfRule type="expression" priority="47367" dxfId="3">
      <formula>$H369="ETAPA"</formula>
    </cfRule>
  </conditionalFormatting>
  <conditionalFormatting sqref="O370">
    <cfRule type="expression" priority="3663" dxfId="4">
      <formula>$H370="SUBETAPA"</formula>
    </cfRule>
    <cfRule type="expression" priority="3664" dxfId="5">
      <formula>$H370="CÉLULA CONSTRUTIVA"</formula>
    </cfRule>
    <cfRule type="expression" priority="3665" dxfId="3">
      <formula>$H370="ETAPA"</formula>
    </cfRule>
  </conditionalFormatting>
  <conditionalFormatting sqref="O371">
    <cfRule type="expression" priority="47322" dxfId="4">
      <formula>$H371="SUBETAPA"</formula>
    </cfRule>
    <cfRule type="expression" priority="47323" dxfId="5">
      <formula>$H371="CÉLULA CONSTRUTIVA"</formula>
    </cfRule>
    <cfRule type="expression" priority="47324" dxfId="3">
      <formula>$H371="ETAPA"</formula>
    </cfRule>
  </conditionalFormatting>
  <conditionalFormatting sqref="O372">
    <cfRule type="expression" priority="3660" dxfId="4">
      <formula>$H372="SUBETAPA"</formula>
    </cfRule>
    <cfRule type="expression" priority="3661" dxfId="5">
      <formula>$H372="CÉLULA CONSTRUTIVA"</formula>
    </cfRule>
    <cfRule type="expression" priority="3662" dxfId="3">
      <formula>$H372="ETAPA"</formula>
    </cfRule>
  </conditionalFormatting>
  <conditionalFormatting sqref="O373">
    <cfRule type="expression" priority="47279" dxfId="4">
      <formula>$H373="SUBETAPA"</formula>
    </cfRule>
    <cfRule type="expression" priority="47280" dxfId="5">
      <formula>$H373="CÉLULA CONSTRUTIVA"</formula>
    </cfRule>
    <cfRule type="expression" priority="47281" dxfId="3">
      <formula>$H373="ETAPA"</formula>
    </cfRule>
  </conditionalFormatting>
  <conditionalFormatting sqref="O374">
    <cfRule type="expression" priority="3657" dxfId="4">
      <formula>$H374="SUBETAPA"</formula>
    </cfRule>
    <cfRule type="expression" priority="3658" dxfId="5">
      <formula>$H374="CÉLULA CONSTRUTIVA"</formula>
    </cfRule>
    <cfRule type="expression" priority="3659" dxfId="3">
      <formula>$H374="ETAPA"</formula>
    </cfRule>
  </conditionalFormatting>
  <conditionalFormatting sqref="O375">
    <cfRule type="expression" priority="47236" dxfId="4">
      <formula>$H375="SUBETAPA"</formula>
    </cfRule>
    <cfRule type="expression" priority="47237" dxfId="5">
      <formula>$H375="CÉLULA CONSTRUTIVA"</formula>
    </cfRule>
    <cfRule type="expression" priority="47238" dxfId="3">
      <formula>$H375="ETAPA"</formula>
    </cfRule>
  </conditionalFormatting>
  <conditionalFormatting sqref="O376">
    <cfRule type="expression" priority="3654" dxfId="4">
      <formula>$H376="SUBETAPA"</formula>
    </cfRule>
    <cfRule type="expression" priority="3655" dxfId="5">
      <formula>$H376="CÉLULA CONSTRUTIVA"</formula>
    </cfRule>
    <cfRule type="expression" priority="3656" dxfId="3">
      <formula>$H376="ETAPA"</formula>
    </cfRule>
  </conditionalFormatting>
  <conditionalFormatting sqref="O377">
    <cfRule type="expression" priority="47193" dxfId="4">
      <formula>$H377="SUBETAPA"</formula>
    </cfRule>
    <cfRule type="expression" priority="47194" dxfId="5">
      <formula>$H377="CÉLULA CONSTRUTIVA"</formula>
    </cfRule>
    <cfRule type="expression" priority="47195" dxfId="3">
      <formula>$H377="ETAPA"</formula>
    </cfRule>
  </conditionalFormatting>
  <conditionalFormatting sqref="O378">
    <cfRule type="expression" priority="3651" dxfId="4">
      <formula>$H378="SUBETAPA"</formula>
    </cfRule>
    <cfRule type="expression" priority="3652" dxfId="5">
      <formula>$H378="CÉLULA CONSTRUTIVA"</formula>
    </cfRule>
    <cfRule type="expression" priority="3653" dxfId="3">
      <formula>$H378="ETAPA"</formula>
    </cfRule>
  </conditionalFormatting>
  <conditionalFormatting sqref="O379">
    <cfRule type="expression" priority="58353" dxfId="5">
      <formula>$H379="CÉLULA CONSTRUTIVA"</formula>
    </cfRule>
    <cfRule type="expression" priority="58354" dxfId="3">
      <formula>$H379="ETAPA"</formula>
    </cfRule>
    <cfRule type="expression" priority="58355" dxfId="4">
      <formula>$H379="SUBETAPA"</formula>
    </cfRule>
  </conditionalFormatting>
  <conditionalFormatting sqref="G383:K384 M383:M384 O382:O384">
    <cfRule type="expression" priority="99292" dxfId="3">
      <formula>$H382="ETAPA"</formula>
    </cfRule>
  </conditionalFormatting>
  <conditionalFormatting sqref="O385">
    <cfRule type="expression" priority="99298" dxfId="4">
      <formula>$H385="SUBETAPA"</formula>
    </cfRule>
  </conditionalFormatting>
  <conditionalFormatting sqref="O398">
    <cfRule type="expression" priority="7556" dxfId="3">
      <formula>$H398="ETAPA"</formula>
    </cfRule>
  </conditionalFormatting>
  <conditionalFormatting sqref="O402">
    <cfRule type="expression" priority="99393" dxfId="4">
      <formula>$H402="SUBETAPA"</formula>
    </cfRule>
  </conditionalFormatting>
  <conditionalFormatting sqref="O419">
    <cfRule type="expression" priority="99488" dxfId="4">
      <formula>$H419="SUBETAPA"</formula>
    </cfRule>
  </conditionalFormatting>
  <conditionalFormatting sqref="G431:I431 K431 O431">
    <cfRule type="expression" priority="7527" dxfId="4">
      <formula>$H431="SUBETAPA"</formula>
    </cfRule>
  </conditionalFormatting>
  <conditionalFormatting sqref="O431">
    <cfRule type="expression" priority="7526" dxfId="3">
      <formula>$H431="ETAPA"</formula>
    </cfRule>
  </conditionalFormatting>
  <conditionalFormatting sqref="O435">
    <cfRule type="expression" priority="99583" dxfId="4">
      <formula>$H435="SUBETAPA"</formula>
    </cfRule>
  </conditionalFormatting>
  <conditionalFormatting sqref="G447:I447 K447 O447">
    <cfRule type="expression" priority="7489" dxfId="4">
      <formula>$H447="SUBETAPA"</formula>
    </cfRule>
  </conditionalFormatting>
  <conditionalFormatting sqref="O447">
    <cfRule type="expression" priority="7488" dxfId="3">
      <formula>$H447="ETAPA"</formula>
    </cfRule>
  </conditionalFormatting>
  <conditionalFormatting sqref="O451">
    <cfRule type="expression" priority="99678" dxfId="4">
      <formula>$H451="SUBETAPA"</formula>
    </cfRule>
  </conditionalFormatting>
  <conditionalFormatting sqref="G464:I464 K464 O464">
    <cfRule type="expression" priority="7458" dxfId="4">
      <formula>$H464="SUBETAPA"</formula>
    </cfRule>
  </conditionalFormatting>
  <conditionalFormatting sqref="O464">
    <cfRule type="expression" priority="7457" dxfId="3">
      <formula>$H464="ETAPA"</formula>
    </cfRule>
  </conditionalFormatting>
  <conditionalFormatting sqref="O468">
    <cfRule type="expression" priority="99773" dxfId="4">
      <formula>$H468="SUBETAPA"</formula>
    </cfRule>
  </conditionalFormatting>
  <conditionalFormatting sqref="G481:I481 K481 O481">
    <cfRule type="expression" priority="7427" dxfId="4">
      <formula>$H481="SUBETAPA"</formula>
    </cfRule>
  </conditionalFormatting>
  <conditionalFormatting sqref="O481">
    <cfRule type="expression" priority="7426" dxfId="3">
      <formula>$H481="ETAPA"</formula>
    </cfRule>
  </conditionalFormatting>
  <conditionalFormatting sqref="O485">
    <cfRule type="expression" priority="99868" dxfId="4">
      <formula>$H485="SUBETAPA"</formula>
    </cfRule>
  </conditionalFormatting>
  <conditionalFormatting sqref="G498:I498 K498 O498">
    <cfRule type="expression" priority="7396" dxfId="4">
      <formula>$H498="SUBETAPA"</formula>
    </cfRule>
  </conditionalFormatting>
  <conditionalFormatting sqref="O498">
    <cfRule type="expression" priority="7395" dxfId="3">
      <formula>$H498="ETAPA"</formula>
    </cfRule>
  </conditionalFormatting>
  <conditionalFormatting sqref="O502">
    <cfRule type="expression" priority="99963" dxfId="4">
      <formula>$H502="SUBETAPA"</formula>
    </cfRule>
  </conditionalFormatting>
  <conditionalFormatting sqref="G516:I516 K516 O516">
    <cfRule type="expression" priority="7365" dxfId="4">
      <formula>$H516="SUBETAPA"</formula>
    </cfRule>
  </conditionalFormatting>
  <conditionalFormatting sqref="O516">
    <cfRule type="expression" priority="7364" dxfId="3">
      <formula>$H516="ETAPA"</formula>
    </cfRule>
  </conditionalFormatting>
  <conditionalFormatting sqref="O520">
    <cfRule type="expression" priority="100058" dxfId="4">
      <formula>$H520="SUBETAPA"</formula>
    </cfRule>
  </conditionalFormatting>
  <conditionalFormatting sqref="G534:I534 K534 O534">
    <cfRule type="expression" priority="7334" dxfId="4">
      <formula>$H534="SUBETAPA"</formula>
    </cfRule>
  </conditionalFormatting>
  <conditionalFormatting sqref="O534">
    <cfRule type="expression" priority="7333" dxfId="3">
      <formula>$H534="ETAPA"</formula>
    </cfRule>
  </conditionalFormatting>
  <conditionalFormatting sqref="O537:O538">
    <cfRule type="expression" priority="100155" dxfId="3">
      <formula>$H537="ETAPA"</formula>
    </cfRule>
  </conditionalFormatting>
  <conditionalFormatting sqref="O538">
    <cfRule type="expression" priority="100153" dxfId="4">
      <formula>$H538="SUBETAPA"</formula>
    </cfRule>
  </conditionalFormatting>
  <conditionalFormatting sqref="G552:I552 K552 O552">
    <cfRule type="expression" priority="7303" dxfId="4">
      <formula>$H552="SUBETAPA"</formula>
    </cfRule>
  </conditionalFormatting>
  <conditionalFormatting sqref="O552">
    <cfRule type="expression" priority="7302" dxfId="3">
      <formula>$H552="ETAPA"</formula>
    </cfRule>
  </conditionalFormatting>
  <conditionalFormatting sqref="O555:O556">
    <cfRule type="expression" priority="100250" dxfId="3">
      <formula>$H555="ETAPA"</formula>
    </cfRule>
  </conditionalFormatting>
  <conditionalFormatting sqref="O556">
    <cfRule type="expression" priority="100248" dxfId="4">
      <formula>$H556="SUBETAPA"</formula>
    </cfRule>
  </conditionalFormatting>
  <conditionalFormatting sqref="G570:I570 K570 O570">
    <cfRule type="expression" priority="7272" dxfId="4">
      <formula>$H570="SUBETAPA"</formula>
    </cfRule>
  </conditionalFormatting>
  <conditionalFormatting sqref="O570">
    <cfRule type="expression" priority="7271" dxfId="3">
      <formula>$H570="ETAPA"</formula>
    </cfRule>
  </conditionalFormatting>
  <conditionalFormatting sqref="O573:O574">
    <cfRule type="expression" priority="100345" dxfId="3">
      <formula>$H573="ETAPA"</formula>
    </cfRule>
  </conditionalFormatting>
  <conditionalFormatting sqref="O574">
    <cfRule type="expression" priority="100343" dxfId="4">
      <formula>$H574="SUBETAPA"</formula>
    </cfRule>
  </conditionalFormatting>
  <conditionalFormatting sqref="G586:I586 K586 O586">
    <cfRule type="expression" priority="7241" dxfId="4">
      <formula>$H586="SUBETAPA"</formula>
    </cfRule>
  </conditionalFormatting>
  <conditionalFormatting sqref="O586">
    <cfRule type="expression" priority="7240" dxfId="3">
      <formula>$H586="ETAPA"</formula>
    </cfRule>
  </conditionalFormatting>
  <conditionalFormatting sqref="G589:K590 M589:M590 O589">
    <cfRule type="expression" priority="100434" dxfId="3">
      <formula>$H589="ETAPA"</formula>
    </cfRule>
  </conditionalFormatting>
  <conditionalFormatting sqref="O590:O591">
    <cfRule type="expression" priority="100440" dxfId="3">
      <formula>$H590="ETAPA"</formula>
    </cfRule>
  </conditionalFormatting>
  <conditionalFormatting sqref="O591">
    <cfRule type="expression" priority="100438" dxfId="4">
      <formula>$H591="SUBETAPA"</formula>
    </cfRule>
  </conditionalFormatting>
  <conditionalFormatting sqref="G605:I605 K605 O605">
    <cfRule type="expression" priority="7210" dxfId="4">
      <formula>$H605="SUBETAPA"</formula>
    </cfRule>
  </conditionalFormatting>
  <conditionalFormatting sqref="O605">
    <cfRule type="expression" priority="7209" dxfId="3">
      <formula>$H605="ETAPA"</formula>
    </cfRule>
  </conditionalFormatting>
  <conditionalFormatting sqref="G618:I618 K618 O618">
    <cfRule type="expression" priority="7179" dxfId="4">
      <formula>$H618="SUBETAPA"</formula>
    </cfRule>
  </conditionalFormatting>
  <conditionalFormatting sqref="O618">
    <cfRule type="expression" priority="7178" dxfId="3">
      <formula>$H618="ETAPA"</formula>
    </cfRule>
  </conditionalFormatting>
  <conditionalFormatting sqref="O619">
    <cfRule type="expression" priority="58356" dxfId="5">
      <formula>$H619="CÉLULA CONSTRUTIVA"</formula>
    </cfRule>
    <cfRule type="expression" priority="58357" dxfId="3">
      <formula>$H619="ETAPA"</formula>
    </cfRule>
    <cfRule type="expression" priority="58358" dxfId="4">
      <formula>$H619="SUBETAPA"</formula>
    </cfRule>
  </conditionalFormatting>
  <conditionalFormatting sqref="O620:O621 O1242:O1243 O1250">
    <cfRule type="expression" priority="86952" dxfId="3">
      <formula>$H620="ETAPA"</formula>
    </cfRule>
    <cfRule type="expression" priority="86950" dxfId="4">
      <formula>$H620="SUBETAPA"</formula>
    </cfRule>
    <cfRule type="expression" priority="86951" dxfId="5">
      <formula>$H620="CÉLULA CONSTRUTIVA"</formula>
    </cfRule>
  </conditionalFormatting>
  <conditionalFormatting sqref="O622:O635">
    <cfRule type="expression" priority="58379" dxfId="4">
      <formula>$H622="SUBETAPA"</formula>
    </cfRule>
    <cfRule type="expression" priority="58380" dxfId="3">
      <formula>$H622="ETAPA"</formula>
    </cfRule>
  </conditionalFormatting>
  <conditionalFormatting sqref="O636">
    <cfRule type="expression" priority="3584" dxfId="4">
      <formula>$H636="SUBETAPA"</formula>
    </cfRule>
    <cfRule type="expression" priority="3585" dxfId="5">
      <formula>$H636="CÉLULA CONSTRUTIVA"</formula>
    </cfRule>
    <cfRule type="expression" priority="3586" dxfId="3">
      <formula>$H636="ETAPA"</formula>
    </cfRule>
  </conditionalFormatting>
  <conditionalFormatting sqref="O638">
    <cfRule type="expression" priority="59087" dxfId="4">
      <formula>$H638="SUBETAPA"</formula>
    </cfRule>
    <cfRule type="expression" priority="59088" dxfId="5">
      <formula>$H638="CÉLULA CONSTRUTIVA"</formula>
    </cfRule>
    <cfRule type="expression" priority="59089" dxfId="3">
      <formula>$H638="ETAPA"</formula>
    </cfRule>
  </conditionalFormatting>
  <conditionalFormatting sqref="O649">
    <cfRule type="expression" priority="3587" dxfId="4">
      <formula>$H649="SUBETAPA"</formula>
    </cfRule>
    <cfRule type="expression" priority="3588" dxfId="5">
      <formula>$H649="CÉLULA CONSTRUTIVA"</formula>
    </cfRule>
    <cfRule type="expression" priority="3589" dxfId="3">
      <formula>$H649="ETAPA"</formula>
    </cfRule>
  </conditionalFormatting>
  <conditionalFormatting sqref="O651">
    <cfRule type="expression" priority="58497" dxfId="4">
      <formula>$H651="SUBETAPA"</formula>
    </cfRule>
    <cfRule type="expression" priority="58498" dxfId="5">
      <formula>$H651="CÉLULA CONSTRUTIVA"</formula>
    </cfRule>
    <cfRule type="expression" priority="58499" dxfId="3">
      <formula>$H651="ETAPA"</formula>
    </cfRule>
  </conditionalFormatting>
  <conditionalFormatting sqref="O662">
    <cfRule type="expression" priority="3590" dxfId="4">
      <formula>$H662="SUBETAPA"</formula>
    </cfRule>
    <cfRule type="expression" priority="3591" dxfId="5">
      <formula>$H662="CÉLULA CONSTRUTIVA"</formula>
    </cfRule>
    <cfRule type="expression" priority="3592" dxfId="3">
      <formula>$H662="ETAPA"</formula>
    </cfRule>
  </conditionalFormatting>
  <conditionalFormatting sqref="O664">
    <cfRule type="expression" priority="58579" dxfId="4">
      <formula>$H664="SUBETAPA"</formula>
    </cfRule>
    <cfRule type="expression" priority="58580" dxfId="5">
      <formula>$H664="CÉLULA CONSTRUTIVA"</formula>
    </cfRule>
    <cfRule type="expression" priority="58581" dxfId="3">
      <formula>$H664="ETAPA"</formula>
    </cfRule>
  </conditionalFormatting>
  <conditionalFormatting sqref="O675">
    <cfRule type="expression" priority="3593" dxfId="4">
      <formula>$H675="SUBETAPA"</formula>
    </cfRule>
    <cfRule type="expression" priority="3594" dxfId="5">
      <formula>$H675="CÉLULA CONSTRUTIVA"</formula>
    </cfRule>
    <cfRule type="expression" priority="3595" dxfId="3">
      <formula>$H675="ETAPA"</formula>
    </cfRule>
  </conditionalFormatting>
  <conditionalFormatting sqref="O677">
    <cfRule type="expression" priority="58661" dxfId="4">
      <formula>$H677="SUBETAPA"</formula>
    </cfRule>
    <cfRule type="expression" priority="58662" dxfId="5">
      <formula>$H677="CÉLULA CONSTRUTIVA"</formula>
    </cfRule>
    <cfRule type="expression" priority="58663" dxfId="3">
      <formula>$H677="ETAPA"</formula>
    </cfRule>
  </conditionalFormatting>
  <conditionalFormatting sqref="O688">
    <cfRule type="expression" priority="3596" dxfId="4">
      <formula>$H688="SUBETAPA"</formula>
    </cfRule>
    <cfRule type="expression" priority="3597" dxfId="5">
      <formula>$H688="CÉLULA CONSTRUTIVA"</formula>
    </cfRule>
    <cfRule type="expression" priority="3598" dxfId="3">
      <formula>$H688="ETAPA"</formula>
    </cfRule>
  </conditionalFormatting>
  <conditionalFormatting sqref="O690">
    <cfRule type="expression" priority="58743" dxfId="4">
      <formula>$H690="SUBETAPA"</formula>
    </cfRule>
    <cfRule type="expression" priority="58744" dxfId="5">
      <formula>$H690="CÉLULA CONSTRUTIVA"</formula>
    </cfRule>
    <cfRule type="expression" priority="58745" dxfId="3">
      <formula>$H690="ETAPA"</formula>
    </cfRule>
  </conditionalFormatting>
  <conditionalFormatting sqref="O701">
    <cfRule type="expression" priority="3599" dxfId="4">
      <formula>$H701="SUBETAPA"</formula>
    </cfRule>
    <cfRule type="expression" priority="3600" dxfId="5">
      <formula>$H701="CÉLULA CONSTRUTIVA"</formula>
    </cfRule>
    <cfRule type="expression" priority="3601" dxfId="3">
      <formula>$H701="ETAPA"</formula>
    </cfRule>
  </conditionalFormatting>
  <conditionalFormatting sqref="O703">
    <cfRule type="expression" priority="58825" dxfId="4">
      <formula>$H703="SUBETAPA"</formula>
    </cfRule>
    <cfRule type="expression" priority="58826" dxfId="5">
      <formula>$H703="CÉLULA CONSTRUTIVA"</formula>
    </cfRule>
    <cfRule type="expression" priority="58827" dxfId="3">
      <formula>$H703="ETAPA"</formula>
    </cfRule>
  </conditionalFormatting>
  <conditionalFormatting sqref="O714">
    <cfRule type="expression" priority="3602" dxfId="4">
      <formula>$H714="SUBETAPA"</formula>
    </cfRule>
    <cfRule type="expression" priority="3603" dxfId="5">
      <formula>$H714="CÉLULA CONSTRUTIVA"</formula>
    </cfRule>
    <cfRule type="expression" priority="3604" dxfId="3">
      <formula>$H714="ETAPA"</formula>
    </cfRule>
  </conditionalFormatting>
  <conditionalFormatting sqref="O716">
    <cfRule type="expression" priority="58907" dxfId="4">
      <formula>$H716="SUBETAPA"</formula>
    </cfRule>
    <cfRule type="expression" priority="58908" dxfId="5">
      <formula>$H716="CÉLULA CONSTRUTIVA"</formula>
    </cfRule>
    <cfRule type="expression" priority="58909" dxfId="3">
      <formula>$H716="ETAPA"</formula>
    </cfRule>
  </conditionalFormatting>
  <conditionalFormatting sqref="O727">
    <cfRule type="expression" priority="3605" dxfId="4">
      <formula>$H727="SUBETAPA"</formula>
    </cfRule>
    <cfRule type="expression" priority="3606" dxfId="5">
      <formula>$H727="CÉLULA CONSTRUTIVA"</formula>
    </cfRule>
    <cfRule type="expression" priority="3607" dxfId="3">
      <formula>$H727="ETAPA"</formula>
    </cfRule>
  </conditionalFormatting>
  <conditionalFormatting sqref="O729">
    <cfRule type="expression" priority="58989" dxfId="4">
      <formula>$H729="SUBETAPA"</formula>
    </cfRule>
    <cfRule type="expression" priority="58990" dxfId="5">
      <formula>$H729="CÉLULA CONSTRUTIVA"</formula>
    </cfRule>
    <cfRule type="expression" priority="58991" dxfId="3">
      <formula>$H729="ETAPA"</formula>
    </cfRule>
  </conditionalFormatting>
  <conditionalFormatting sqref="O740">
    <cfRule type="expression" priority="3608" dxfId="4">
      <formula>$H740="SUBETAPA"</formula>
    </cfRule>
    <cfRule type="expression" priority="3609" dxfId="5">
      <formula>$H740="CÉLULA CONSTRUTIVA"</formula>
    </cfRule>
    <cfRule type="expression" priority="3610" dxfId="3">
      <formula>$H740="ETAPA"</formula>
    </cfRule>
  </conditionalFormatting>
  <conditionalFormatting sqref="O742">
    <cfRule type="expression" priority="59169" dxfId="4">
      <formula>$H742="SUBETAPA"</formula>
    </cfRule>
    <cfRule type="expression" priority="59170" dxfId="5">
      <formula>$H742="CÉLULA CONSTRUTIVA"</formula>
    </cfRule>
    <cfRule type="expression" priority="59171" dxfId="3">
      <formula>$H742="ETAPA"</formula>
    </cfRule>
  </conditionalFormatting>
  <conditionalFormatting sqref="O753">
    <cfRule type="expression" priority="58421" dxfId="4">
      <formula>$H753="SUBETAPA"</formula>
    </cfRule>
    <cfRule type="expression" priority="58422" dxfId="5">
      <formula>$H753="CÉLULA CONSTRUTIVA"</formula>
    </cfRule>
    <cfRule type="expression" priority="58423" dxfId="3">
      <formula>$H753="ETAPA"</formula>
    </cfRule>
  </conditionalFormatting>
  <conditionalFormatting sqref="O755">
    <cfRule type="expression" priority="59251" dxfId="4">
      <formula>$H755="SUBETAPA"</formula>
    </cfRule>
    <cfRule type="expression" priority="59252" dxfId="5">
      <formula>$H755="CÉLULA CONSTRUTIVA"</formula>
    </cfRule>
    <cfRule type="expression" priority="59253" dxfId="3">
      <formula>$H755="ETAPA"</formula>
    </cfRule>
  </conditionalFormatting>
  <conditionalFormatting sqref="O766">
    <cfRule type="expression" priority="3611" dxfId="4">
      <formula>$H766="SUBETAPA"</formula>
    </cfRule>
    <cfRule type="expression" priority="3612" dxfId="5">
      <formula>$H766="CÉLULA CONSTRUTIVA"</formula>
    </cfRule>
    <cfRule type="expression" priority="3613" dxfId="3">
      <formula>$H766="ETAPA"</formula>
    </cfRule>
  </conditionalFormatting>
  <conditionalFormatting sqref="O768">
    <cfRule type="expression" priority="59333" dxfId="4">
      <formula>$H768="SUBETAPA"</formula>
    </cfRule>
    <cfRule type="expression" priority="59334" dxfId="5">
      <formula>$H768="CÉLULA CONSTRUTIVA"</formula>
    </cfRule>
    <cfRule type="expression" priority="59335" dxfId="3">
      <formula>$H768="ETAPA"</formula>
    </cfRule>
  </conditionalFormatting>
  <conditionalFormatting sqref="O779">
    <cfRule type="expression" priority="3581" dxfId="4">
      <formula>$H779="SUBETAPA"</formula>
    </cfRule>
    <cfRule type="expression" priority="3582" dxfId="5">
      <formula>$H779="CÉLULA CONSTRUTIVA"</formula>
    </cfRule>
    <cfRule type="expression" priority="3583" dxfId="3">
      <formula>$H779="ETAPA"</formula>
    </cfRule>
  </conditionalFormatting>
  <conditionalFormatting sqref="O781">
    <cfRule type="expression" priority="59415" dxfId="4">
      <formula>$H781="SUBETAPA"</formula>
    </cfRule>
    <cfRule type="expression" priority="59416" dxfId="5">
      <formula>$H781="CÉLULA CONSTRUTIVA"</formula>
    </cfRule>
    <cfRule type="expression" priority="59417" dxfId="3">
      <formula>$H781="ETAPA"</formula>
    </cfRule>
  </conditionalFormatting>
  <conditionalFormatting sqref="O792">
    <cfRule type="expression" priority="3578" dxfId="4">
      <formula>$H792="SUBETAPA"</formula>
    </cfRule>
    <cfRule type="expression" priority="3579" dxfId="5">
      <formula>$H792="CÉLULA CONSTRUTIVA"</formula>
    </cfRule>
    <cfRule type="expression" priority="3580" dxfId="3">
      <formula>$H792="ETAPA"</formula>
    </cfRule>
  </conditionalFormatting>
  <conditionalFormatting sqref="O794">
    <cfRule type="expression" priority="59497" dxfId="4">
      <formula>$H794="SUBETAPA"</formula>
    </cfRule>
    <cfRule type="expression" priority="59498" dxfId="5">
      <formula>$H794="CÉLULA CONSTRUTIVA"</formula>
    </cfRule>
    <cfRule type="expression" priority="59499" dxfId="3">
      <formula>$H794="ETAPA"</formula>
    </cfRule>
  </conditionalFormatting>
  <conditionalFormatting sqref="O805">
    <cfRule type="expression" priority="3575" dxfId="4">
      <formula>$H805="SUBETAPA"</formula>
    </cfRule>
    <cfRule type="expression" priority="3576" dxfId="5">
      <formula>$H805="CÉLULA CONSTRUTIVA"</formula>
    </cfRule>
    <cfRule type="expression" priority="3577" dxfId="3">
      <formula>$H805="ETAPA"</formula>
    </cfRule>
  </conditionalFormatting>
  <conditionalFormatting sqref="O807">
    <cfRule type="expression" priority="59579" dxfId="4">
      <formula>$H807="SUBETAPA"</formula>
    </cfRule>
    <cfRule type="expression" priority="59580" dxfId="5">
      <formula>$H807="CÉLULA CONSTRUTIVA"</formula>
    </cfRule>
    <cfRule type="expression" priority="59581" dxfId="3">
      <formula>$H807="ETAPA"</formula>
    </cfRule>
  </conditionalFormatting>
  <conditionalFormatting sqref="O808">
    <cfRule type="expression" priority="58350" dxfId="5">
      <formula>$H808="CÉLULA CONSTRUTIVA"</formula>
    </cfRule>
    <cfRule type="expression" priority="58351" dxfId="3">
      <formula>$H808="ETAPA"</formula>
    </cfRule>
    <cfRule type="expression" priority="58352" dxfId="4">
      <formula>$H808="SUBETAPA"</formula>
    </cfRule>
  </conditionalFormatting>
  <conditionalFormatting sqref="O809">
    <cfRule type="expression" priority="56833" dxfId="4">
      <formula>$H809="SUBETAPA"</formula>
    </cfRule>
    <cfRule type="expression" priority="56834" dxfId="5">
      <formula>$H809="CÉLULA CONSTRUTIVA"</formula>
    </cfRule>
    <cfRule type="expression" priority="56835" dxfId="3">
      <formula>$H809="ETAPA"</formula>
    </cfRule>
  </conditionalFormatting>
  <conditionalFormatting sqref="O811">
    <cfRule type="expression" priority="56814" dxfId="4">
      <formula>$H811="SUBETAPA"</formula>
    </cfRule>
    <cfRule type="expression" priority="56815" dxfId="3">
      <formula>$H811="ETAPA"</formula>
    </cfRule>
  </conditionalFormatting>
  <conditionalFormatting sqref="O813">
    <cfRule type="expression" priority="56812" dxfId="4">
      <formula>$H813="SUBETAPA"</formula>
    </cfRule>
    <cfRule type="expression" priority="56813" dxfId="3">
      <formula>$H813="ETAPA"</formula>
    </cfRule>
  </conditionalFormatting>
  <conditionalFormatting sqref="O814">
    <cfRule type="expression" priority="56820" dxfId="4">
      <formula>$H814="SUBETAPA"</formula>
    </cfRule>
    <cfRule type="expression" priority="56821" dxfId="5">
      <formula>$H814="CÉLULA CONSTRUTIVA"</formula>
    </cfRule>
    <cfRule type="expression" priority="56822" dxfId="3">
      <formula>$H814="ETAPA"</formula>
    </cfRule>
  </conditionalFormatting>
  <conditionalFormatting sqref="O815">
    <cfRule type="expression" priority="56808" dxfId="4">
      <formula>$H815="SUBETAPA"</formula>
    </cfRule>
    <cfRule type="expression" priority="56809" dxfId="3">
      <formula>$H815="ETAPA"</formula>
    </cfRule>
  </conditionalFormatting>
  <conditionalFormatting sqref="O812 O816">
    <cfRule type="expression" priority="56823" dxfId="4">
      <formula>$H812="SUBETAPA"</formula>
    </cfRule>
    <cfRule type="expression" priority="56824" dxfId="5">
      <formula>$H812="CÉLULA CONSTRUTIVA"</formula>
    </cfRule>
    <cfRule type="expression" priority="56825" dxfId="3">
      <formula>$H812="ETAPA"</formula>
    </cfRule>
  </conditionalFormatting>
  <conditionalFormatting sqref="O817">
    <cfRule type="expression" priority="56794" dxfId="4">
      <formula>$H817="SUBETAPA"</formula>
    </cfRule>
    <cfRule type="expression" priority="56795" dxfId="3">
      <formula>$H817="ETAPA"</formula>
    </cfRule>
    <cfRule type="expression" priority="56796" dxfId="5">
      <formula>$H817="CÉLULA CONSTRUTIVA"</formula>
    </cfRule>
  </conditionalFormatting>
  <conditionalFormatting sqref="O818">
    <cfRule type="expression" priority="56816" dxfId="4">
      <formula>$H818="SUBETAPA"</formula>
    </cfRule>
    <cfRule type="expression" priority="56817" dxfId="5">
      <formula>$H818="CÉLULA CONSTRUTIVA"</formula>
    </cfRule>
    <cfRule type="expression" priority="56818" dxfId="3">
      <formula>$H818="ETAPA"</formula>
    </cfRule>
  </conditionalFormatting>
  <conditionalFormatting sqref="O819">
    <cfRule type="expression" priority="3430" dxfId="8">
      <formula>$H819="ETAPA"</formula>
    </cfRule>
    <cfRule type="expression" priority="3431" dxfId="6">
      <formula>$H819="SUBETAPA"</formula>
    </cfRule>
    <cfRule type="expression" priority="3432" dxfId="8">
      <formula>$H819="ETAPA"</formula>
    </cfRule>
    <cfRule type="expression" priority="3433" dxfId="6">
      <formula>$H819="SUBETAPA"</formula>
    </cfRule>
    <cfRule type="expression" priority="3434" dxfId="8">
      <formula>$H819="ETAPA"</formula>
    </cfRule>
    <cfRule type="expression" priority="3435" dxfId="6">
      <formula>$H819="SUBETAPA"</formula>
    </cfRule>
    <cfRule type="expression" priority="3436" dxfId="7">
      <formula>$H819="CÉLULA CONSTRUTIVA"</formula>
    </cfRule>
  </conditionalFormatting>
  <conditionalFormatting sqref="O820">
    <cfRule type="expression" priority="56942" dxfId="4">
      <formula>$H820="SUBETAPA"</formula>
    </cfRule>
    <cfRule type="expression" priority="56943" dxfId="5">
      <formula>$H820="CÉLULA CONSTRUTIVA"</formula>
    </cfRule>
    <cfRule type="expression" priority="56944" dxfId="3">
      <formula>$H820="ETAPA"</formula>
    </cfRule>
  </conditionalFormatting>
  <conditionalFormatting sqref="O822">
    <cfRule type="expression" priority="56923" dxfId="4">
      <formula>$H822="SUBETAPA"</formula>
    </cfRule>
    <cfRule type="expression" priority="56924" dxfId="3">
      <formula>$H822="ETAPA"</formula>
    </cfRule>
  </conditionalFormatting>
  <conditionalFormatting sqref="O823">
    <cfRule type="expression" priority="56932" dxfId="4">
      <formula>$H823="SUBETAPA"</formula>
    </cfRule>
    <cfRule type="expression" priority="56933" dxfId="5">
      <formula>$H823="CÉLULA CONSTRUTIVA"</formula>
    </cfRule>
    <cfRule type="expression" priority="56934" dxfId="3">
      <formula>$H823="ETAPA"</formula>
    </cfRule>
  </conditionalFormatting>
  <conditionalFormatting sqref="O824">
    <cfRule type="expression" priority="56921" dxfId="4">
      <formula>$H824="SUBETAPA"</formula>
    </cfRule>
    <cfRule type="expression" priority="56922" dxfId="3">
      <formula>$H824="ETAPA"</formula>
    </cfRule>
  </conditionalFormatting>
  <conditionalFormatting sqref="O825">
    <cfRule type="expression" priority="56929" dxfId="4">
      <formula>$H825="SUBETAPA"</formula>
    </cfRule>
    <cfRule type="expression" priority="56930" dxfId="5">
      <formula>$H825="CÉLULA CONSTRUTIVA"</formula>
    </cfRule>
    <cfRule type="expression" priority="56931" dxfId="3">
      <formula>$H825="ETAPA"</formula>
    </cfRule>
  </conditionalFormatting>
  <conditionalFormatting sqref="O826">
    <cfRule type="expression" priority="56917" dxfId="4">
      <formula>$H826="SUBETAPA"</formula>
    </cfRule>
    <cfRule type="expression" priority="56918" dxfId="3">
      <formula>$H826="ETAPA"</formula>
    </cfRule>
  </conditionalFormatting>
  <conditionalFormatting sqref="O827">
    <cfRule type="expression" priority="56925" dxfId="4">
      <formula>$H827="SUBETAPA"</formula>
    </cfRule>
    <cfRule type="expression" priority="56926" dxfId="5">
      <formula>$H827="CÉLULA CONSTRUTIVA"</formula>
    </cfRule>
    <cfRule type="expression" priority="56927" dxfId="3">
      <formula>$H827="ETAPA"</formula>
    </cfRule>
  </conditionalFormatting>
  <conditionalFormatting sqref="O828">
    <cfRule type="expression" priority="3423" dxfId="8">
      <formula>$H828="ETAPA"</formula>
    </cfRule>
    <cfRule type="expression" priority="3424" dxfId="6">
      <formula>$H828="SUBETAPA"</formula>
    </cfRule>
    <cfRule type="expression" priority="3425" dxfId="8">
      <formula>$H828="ETAPA"</formula>
    </cfRule>
    <cfRule type="expression" priority="3426" dxfId="6">
      <formula>$H828="SUBETAPA"</formula>
    </cfRule>
    <cfRule type="expression" priority="3427" dxfId="8">
      <formula>$H828="ETAPA"</formula>
    </cfRule>
    <cfRule type="expression" priority="3428" dxfId="6">
      <formula>$H828="SUBETAPA"</formula>
    </cfRule>
    <cfRule type="expression" priority="3429" dxfId="7">
      <formula>$H828="CÉLULA CONSTRUTIVA"</formula>
    </cfRule>
  </conditionalFormatting>
  <conditionalFormatting sqref="O829">
    <cfRule type="expression" priority="57051" dxfId="4">
      <formula>$H829="SUBETAPA"</formula>
    </cfRule>
    <cfRule type="expression" priority="57052" dxfId="5">
      <formula>$H829="CÉLULA CONSTRUTIVA"</formula>
    </cfRule>
    <cfRule type="expression" priority="57053" dxfId="3">
      <formula>$H829="ETAPA"</formula>
    </cfRule>
  </conditionalFormatting>
  <conditionalFormatting sqref="O831">
    <cfRule type="expression" priority="57032" dxfId="4">
      <formula>$H831="SUBETAPA"</formula>
    </cfRule>
    <cfRule type="expression" priority="57033" dxfId="3">
      <formula>$H831="ETAPA"</formula>
    </cfRule>
  </conditionalFormatting>
  <conditionalFormatting sqref="O832">
    <cfRule type="expression" priority="57041" dxfId="4">
      <formula>$H832="SUBETAPA"</formula>
    </cfRule>
    <cfRule type="expression" priority="57042" dxfId="5">
      <formula>$H832="CÉLULA CONSTRUTIVA"</formula>
    </cfRule>
    <cfRule type="expression" priority="57043" dxfId="3">
      <formula>$H832="ETAPA"</formula>
    </cfRule>
  </conditionalFormatting>
  <conditionalFormatting sqref="O833">
    <cfRule type="expression" priority="57030" dxfId="4">
      <formula>$H833="SUBETAPA"</formula>
    </cfRule>
    <cfRule type="expression" priority="57031" dxfId="3">
      <formula>$H833="ETAPA"</formula>
    </cfRule>
  </conditionalFormatting>
  <conditionalFormatting sqref="O834">
    <cfRule type="expression" priority="57038" dxfId="4">
      <formula>$H834="SUBETAPA"</formula>
    </cfRule>
    <cfRule type="expression" priority="57039" dxfId="5">
      <formula>$H834="CÉLULA CONSTRUTIVA"</formula>
    </cfRule>
    <cfRule type="expression" priority="57040" dxfId="3">
      <formula>$H834="ETAPA"</formula>
    </cfRule>
  </conditionalFormatting>
  <conditionalFormatting sqref="O835">
    <cfRule type="expression" priority="57026" dxfId="4">
      <formula>$H835="SUBETAPA"</formula>
    </cfRule>
    <cfRule type="expression" priority="57027" dxfId="3">
      <formula>$H835="ETAPA"</formula>
    </cfRule>
  </conditionalFormatting>
  <conditionalFormatting sqref="O836">
    <cfRule type="expression" priority="57034" dxfId="4">
      <formula>$H836="SUBETAPA"</formula>
    </cfRule>
    <cfRule type="expression" priority="57035" dxfId="5">
      <formula>$H836="CÉLULA CONSTRUTIVA"</formula>
    </cfRule>
    <cfRule type="expression" priority="57036" dxfId="3">
      <formula>$H836="ETAPA"</formula>
    </cfRule>
  </conditionalFormatting>
  <conditionalFormatting sqref="O837">
    <cfRule type="expression" priority="3415" dxfId="8">
      <formula>$H837="ETAPA"</formula>
    </cfRule>
    <cfRule type="expression" priority="3416" dxfId="6">
      <formula>$H837="SUBETAPA"</formula>
    </cfRule>
    <cfRule type="expression" priority="3417" dxfId="8">
      <formula>$H837="ETAPA"</formula>
    </cfRule>
    <cfRule type="expression" priority="3418" dxfId="6">
      <formula>$H837="SUBETAPA"</formula>
    </cfRule>
    <cfRule type="expression" priority="3419" dxfId="8">
      <formula>$H837="ETAPA"</formula>
    </cfRule>
    <cfRule type="expression" priority="3420" dxfId="6">
      <formula>$H837="SUBETAPA"</formula>
    </cfRule>
    <cfRule type="expression" priority="3421" dxfId="7">
      <formula>$H837="CÉLULA CONSTRUTIVA"</formula>
    </cfRule>
  </conditionalFormatting>
  <conditionalFormatting sqref="O838">
    <cfRule type="expression" priority="57160" dxfId="4">
      <formula>$H838="SUBETAPA"</formula>
    </cfRule>
    <cfRule type="expression" priority="57161" dxfId="5">
      <formula>$H838="CÉLULA CONSTRUTIVA"</formula>
    </cfRule>
    <cfRule type="expression" priority="57162" dxfId="3">
      <formula>$H838="ETAPA"</formula>
    </cfRule>
  </conditionalFormatting>
  <conditionalFormatting sqref="O840">
    <cfRule type="expression" priority="57141" dxfId="4">
      <formula>$H840="SUBETAPA"</formula>
    </cfRule>
    <cfRule type="expression" priority="57142" dxfId="3">
      <formula>$H840="ETAPA"</formula>
    </cfRule>
  </conditionalFormatting>
  <conditionalFormatting sqref="O841">
    <cfRule type="expression" priority="57150" dxfId="4">
      <formula>$H841="SUBETAPA"</formula>
    </cfRule>
    <cfRule type="expression" priority="57151" dxfId="5">
      <formula>$H841="CÉLULA CONSTRUTIVA"</formula>
    </cfRule>
    <cfRule type="expression" priority="57152" dxfId="3">
      <formula>$H841="ETAPA"</formula>
    </cfRule>
  </conditionalFormatting>
  <conditionalFormatting sqref="O842">
    <cfRule type="expression" priority="57139" dxfId="4">
      <formula>$H842="SUBETAPA"</formula>
    </cfRule>
    <cfRule type="expression" priority="57140" dxfId="3">
      <formula>$H842="ETAPA"</formula>
    </cfRule>
  </conditionalFormatting>
  <conditionalFormatting sqref="O843">
    <cfRule type="expression" priority="57147" dxfId="4">
      <formula>$H843="SUBETAPA"</formula>
    </cfRule>
    <cfRule type="expression" priority="57148" dxfId="5">
      <formula>$H843="CÉLULA CONSTRUTIVA"</formula>
    </cfRule>
    <cfRule type="expression" priority="57149" dxfId="3">
      <formula>$H843="ETAPA"</formula>
    </cfRule>
  </conditionalFormatting>
  <conditionalFormatting sqref="O844">
    <cfRule type="expression" priority="57135" dxfId="4">
      <formula>$H844="SUBETAPA"</formula>
    </cfRule>
    <cfRule type="expression" priority="57136" dxfId="3">
      <formula>$H844="ETAPA"</formula>
    </cfRule>
  </conditionalFormatting>
  <conditionalFormatting sqref="O845">
    <cfRule type="expression" priority="57143" dxfId="4">
      <formula>$H845="SUBETAPA"</formula>
    </cfRule>
    <cfRule type="expression" priority="57144" dxfId="5">
      <formula>$H845="CÉLULA CONSTRUTIVA"</formula>
    </cfRule>
    <cfRule type="expression" priority="57145" dxfId="3">
      <formula>$H845="ETAPA"</formula>
    </cfRule>
  </conditionalFormatting>
  <conditionalFormatting sqref="O846">
    <cfRule type="expression" priority="3407" dxfId="8">
      <formula>$H846="ETAPA"</formula>
    </cfRule>
    <cfRule type="expression" priority="3408" dxfId="6">
      <formula>$H846="SUBETAPA"</formula>
    </cfRule>
    <cfRule type="expression" priority="3409" dxfId="8">
      <formula>$H846="ETAPA"</formula>
    </cfRule>
    <cfRule type="expression" priority="3410" dxfId="6">
      <formula>$H846="SUBETAPA"</formula>
    </cfRule>
    <cfRule type="expression" priority="3411" dxfId="8">
      <formula>$H846="ETAPA"</formula>
    </cfRule>
    <cfRule type="expression" priority="3412" dxfId="6">
      <formula>$H846="SUBETAPA"</formula>
    </cfRule>
    <cfRule type="expression" priority="3413" dxfId="7">
      <formula>$H846="CÉLULA CONSTRUTIVA"</formula>
    </cfRule>
  </conditionalFormatting>
  <conditionalFormatting sqref="O847">
    <cfRule type="expression" priority="57269" dxfId="4">
      <formula>$H847="SUBETAPA"</formula>
    </cfRule>
    <cfRule type="expression" priority="57270" dxfId="5">
      <formula>$H847="CÉLULA CONSTRUTIVA"</formula>
    </cfRule>
    <cfRule type="expression" priority="57271" dxfId="3">
      <formula>$H847="ETAPA"</formula>
    </cfRule>
  </conditionalFormatting>
  <conditionalFormatting sqref="O849">
    <cfRule type="expression" priority="57250" dxfId="4">
      <formula>$H849="SUBETAPA"</formula>
    </cfRule>
    <cfRule type="expression" priority="57251" dxfId="3">
      <formula>$H849="ETAPA"</formula>
    </cfRule>
  </conditionalFormatting>
  <conditionalFormatting sqref="O850">
    <cfRule type="expression" priority="57259" dxfId="4">
      <formula>$H850="SUBETAPA"</formula>
    </cfRule>
    <cfRule type="expression" priority="57260" dxfId="5">
      <formula>$H850="CÉLULA CONSTRUTIVA"</formula>
    </cfRule>
    <cfRule type="expression" priority="57261" dxfId="3">
      <formula>$H850="ETAPA"</formula>
    </cfRule>
  </conditionalFormatting>
  <conditionalFormatting sqref="O851">
    <cfRule type="expression" priority="57248" dxfId="4">
      <formula>$H851="SUBETAPA"</formula>
    </cfRule>
    <cfRule type="expression" priority="57249" dxfId="3">
      <formula>$H851="ETAPA"</formula>
    </cfRule>
  </conditionalFormatting>
  <conditionalFormatting sqref="O852">
    <cfRule type="expression" priority="57256" dxfId="4">
      <formula>$H852="SUBETAPA"</formula>
    </cfRule>
    <cfRule type="expression" priority="57257" dxfId="5">
      <formula>$H852="CÉLULA CONSTRUTIVA"</formula>
    </cfRule>
    <cfRule type="expression" priority="57258" dxfId="3">
      <formula>$H852="ETAPA"</formula>
    </cfRule>
  </conditionalFormatting>
  <conditionalFormatting sqref="O853">
    <cfRule type="expression" priority="57244" dxfId="4">
      <formula>$H853="SUBETAPA"</formula>
    </cfRule>
    <cfRule type="expression" priority="57245" dxfId="3">
      <formula>$H853="ETAPA"</formula>
    </cfRule>
  </conditionalFormatting>
  <conditionalFormatting sqref="O854">
    <cfRule type="expression" priority="57252" dxfId="4">
      <formula>$H854="SUBETAPA"</formula>
    </cfRule>
    <cfRule type="expression" priority="57253" dxfId="5">
      <formula>$H854="CÉLULA CONSTRUTIVA"</formula>
    </cfRule>
    <cfRule type="expression" priority="57254" dxfId="3">
      <formula>$H854="ETAPA"</formula>
    </cfRule>
  </conditionalFormatting>
  <conditionalFormatting sqref="O855">
    <cfRule type="expression" priority="3399" dxfId="8">
      <formula>$H855="ETAPA"</formula>
    </cfRule>
    <cfRule type="expression" priority="3400" dxfId="6">
      <formula>$H855="SUBETAPA"</formula>
    </cfRule>
    <cfRule type="expression" priority="3401" dxfId="8">
      <formula>$H855="ETAPA"</formula>
    </cfRule>
    <cfRule type="expression" priority="3402" dxfId="6">
      <formula>$H855="SUBETAPA"</formula>
    </cfRule>
    <cfRule type="expression" priority="3403" dxfId="8">
      <formula>$H855="ETAPA"</formula>
    </cfRule>
    <cfRule type="expression" priority="3404" dxfId="6">
      <formula>$H855="SUBETAPA"</formula>
    </cfRule>
    <cfRule type="expression" priority="3405" dxfId="7">
      <formula>$H855="CÉLULA CONSTRUTIVA"</formula>
    </cfRule>
  </conditionalFormatting>
  <conditionalFormatting sqref="O856">
    <cfRule type="expression" priority="57378" dxfId="4">
      <formula>$H856="SUBETAPA"</formula>
    </cfRule>
    <cfRule type="expression" priority="57379" dxfId="5">
      <formula>$H856="CÉLULA CONSTRUTIVA"</formula>
    </cfRule>
    <cfRule type="expression" priority="57380" dxfId="3">
      <formula>$H856="ETAPA"</formula>
    </cfRule>
  </conditionalFormatting>
  <conditionalFormatting sqref="O858">
    <cfRule type="expression" priority="57359" dxfId="4">
      <formula>$H858="SUBETAPA"</formula>
    </cfRule>
    <cfRule type="expression" priority="57360" dxfId="3">
      <formula>$H858="ETAPA"</formula>
    </cfRule>
  </conditionalFormatting>
  <conditionalFormatting sqref="O859">
    <cfRule type="expression" priority="57368" dxfId="4">
      <formula>$H859="SUBETAPA"</formula>
    </cfRule>
    <cfRule type="expression" priority="57369" dxfId="5">
      <formula>$H859="CÉLULA CONSTRUTIVA"</formula>
    </cfRule>
    <cfRule type="expression" priority="57370" dxfId="3">
      <formula>$H859="ETAPA"</formula>
    </cfRule>
  </conditionalFormatting>
  <conditionalFormatting sqref="O860">
    <cfRule type="expression" priority="57357" dxfId="4">
      <formula>$H860="SUBETAPA"</formula>
    </cfRule>
    <cfRule type="expression" priority="57358" dxfId="3">
      <formula>$H860="ETAPA"</formula>
    </cfRule>
  </conditionalFormatting>
  <conditionalFormatting sqref="O861">
    <cfRule type="expression" priority="57365" dxfId="4">
      <formula>$H861="SUBETAPA"</formula>
    </cfRule>
    <cfRule type="expression" priority="57366" dxfId="5">
      <formula>$H861="CÉLULA CONSTRUTIVA"</formula>
    </cfRule>
    <cfRule type="expression" priority="57367" dxfId="3">
      <formula>$H861="ETAPA"</formula>
    </cfRule>
  </conditionalFormatting>
  <conditionalFormatting sqref="O862">
    <cfRule type="expression" priority="57353" dxfId="4">
      <formula>$H862="SUBETAPA"</formula>
    </cfRule>
    <cfRule type="expression" priority="57354" dxfId="3">
      <formula>$H862="ETAPA"</formula>
    </cfRule>
  </conditionalFormatting>
  <conditionalFormatting sqref="O863">
    <cfRule type="expression" priority="57361" dxfId="4">
      <formula>$H863="SUBETAPA"</formula>
    </cfRule>
    <cfRule type="expression" priority="57362" dxfId="5">
      <formula>$H863="CÉLULA CONSTRUTIVA"</formula>
    </cfRule>
    <cfRule type="expression" priority="57363" dxfId="3">
      <formula>$H863="ETAPA"</formula>
    </cfRule>
  </conditionalFormatting>
  <conditionalFormatting sqref="O864">
    <cfRule type="expression" priority="3391" dxfId="8">
      <formula>$H864="ETAPA"</formula>
    </cfRule>
    <cfRule type="expression" priority="3392" dxfId="6">
      <formula>$H864="SUBETAPA"</formula>
    </cfRule>
    <cfRule type="expression" priority="3393" dxfId="8">
      <formula>$H864="ETAPA"</formula>
    </cfRule>
    <cfRule type="expression" priority="3394" dxfId="6">
      <formula>$H864="SUBETAPA"</formula>
    </cfRule>
    <cfRule type="expression" priority="3395" dxfId="8">
      <formula>$H864="ETAPA"</formula>
    </cfRule>
    <cfRule type="expression" priority="3396" dxfId="6">
      <formula>$H864="SUBETAPA"</formula>
    </cfRule>
    <cfRule type="expression" priority="3397" dxfId="7">
      <formula>$H864="CÉLULA CONSTRUTIVA"</formula>
    </cfRule>
  </conditionalFormatting>
  <conditionalFormatting sqref="O865">
    <cfRule type="expression" priority="57487" dxfId="4">
      <formula>$H865="SUBETAPA"</formula>
    </cfRule>
    <cfRule type="expression" priority="57488" dxfId="5">
      <formula>$H865="CÉLULA CONSTRUTIVA"</formula>
    </cfRule>
    <cfRule type="expression" priority="57489" dxfId="3">
      <formula>$H865="ETAPA"</formula>
    </cfRule>
  </conditionalFormatting>
  <conditionalFormatting sqref="O867">
    <cfRule type="expression" priority="57468" dxfId="4">
      <formula>$H867="SUBETAPA"</formula>
    </cfRule>
    <cfRule type="expression" priority="57469" dxfId="3">
      <formula>$H867="ETAPA"</formula>
    </cfRule>
  </conditionalFormatting>
  <conditionalFormatting sqref="O868">
    <cfRule type="expression" priority="57477" dxfId="4">
      <formula>$H868="SUBETAPA"</formula>
    </cfRule>
    <cfRule type="expression" priority="57478" dxfId="5">
      <formula>$H868="CÉLULA CONSTRUTIVA"</formula>
    </cfRule>
    <cfRule type="expression" priority="57479" dxfId="3">
      <formula>$H868="ETAPA"</formula>
    </cfRule>
  </conditionalFormatting>
  <conditionalFormatting sqref="O869">
    <cfRule type="expression" priority="57466" dxfId="4">
      <formula>$H869="SUBETAPA"</formula>
    </cfRule>
    <cfRule type="expression" priority="57467" dxfId="3">
      <formula>$H869="ETAPA"</formula>
    </cfRule>
  </conditionalFormatting>
  <conditionalFormatting sqref="O870">
    <cfRule type="expression" priority="57474" dxfId="4">
      <formula>$H870="SUBETAPA"</formula>
    </cfRule>
    <cfRule type="expression" priority="57475" dxfId="5">
      <formula>$H870="CÉLULA CONSTRUTIVA"</formula>
    </cfRule>
    <cfRule type="expression" priority="57476" dxfId="3">
      <formula>$H870="ETAPA"</formula>
    </cfRule>
  </conditionalFormatting>
  <conditionalFormatting sqref="O871">
    <cfRule type="expression" priority="57462" dxfId="4">
      <formula>$H871="SUBETAPA"</formula>
    </cfRule>
    <cfRule type="expression" priority="57463" dxfId="3">
      <formula>$H871="ETAPA"</formula>
    </cfRule>
  </conditionalFormatting>
  <conditionalFormatting sqref="O872">
    <cfRule type="expression" priority="57470" dxfId="4">
      <formula>$H872="SUBETAPA"</formula>
    </cfRule>
    <cfRule type="expression" priority="57471" dxfId="5">
      <formula>$H872="CÉLULA CONSTRUTIVA"</formula>
    </cfRule>
    <cfRule type="expression" priority="57472" dxfId="3">
      <formula>$H872="ETAPA"</formula>
    </cfRule>
  </conditionalFormatting>
  <conditionalFormatting sqref="O873">
    <cfRule type="expression" priority="3383" dxfId="8">
      <formula>$H873="ETAPA"</formula>
    </cfRule>
    <cfRule type="expression" priority="3384" dxfId="6">
      <formula>$H873="SUBETAPA"</formula>
    </cfRule>
    <cfRule type="expression" priority="3385" dxfId="8">
      <formula>$H873="ETAPA"</formula>
    </cfRule>
    <cfRule type="expression" priority="3386" dxfId="6">
      <formula>$H873="SUBETAPA"</formula>
    </cfRule>
    <cfRule type="expression" priority="3387" dxfId="8">
      <formula>$H873="ETAPA"</formula>
    </cfRule>
    <cfRule type="expression" priority="3388" dxfId="6">
      <formula>$H873="SUBETAPA"</formula>
    </cfRule>
    <cfRule type="expression" priority="3389" dxfId="7">
      <formula>$H873="CÉLULA CONSTRUTIVA"</formula>
    </cfRule>
  </conditionalFormatting>
  <conditionalFormatting sqref="O874">
    <cfRule type="expression" priority="57596" dxfId="4">
      <formula>$H874="SUBETAPA"</formula>
    </cfRule>
    <cfRule type="expression" priority="57597" dxfId="5">
      <formula>$H874="CÉLULA CONSTRUTIVA"</formula>
    </cfRule>
    <cfRule type="expression" priority="57598" dxfId="3">
      <formula>$H874="ETAPA"</formula>
    </cfRule>
  </conditionalFormatting>
  <conditionalFormatting sqref="O876">
    <cfRule type="expression" priority="57577" dxfId="4">
      <formula>$H876="SUBETAPA"</formula>
    </cfRule>
    <cfRule type="expression" priority="57578" dxfId="3">
      <formula>$H876="ETAPA"</formula>
    </cfRule>
  </conditionalFormatting>
  <conditionalFormatting sqref="O877">
    <cfRule type="expression" priority="57586" dxfId="4">
      <formula>$H877="SUBETAPA"</formula>
    </cfRule>
    <cfRule type="expression" priority="57587" dxfId="5">
      <formula>$H877="CÉLULA CONSTRUTIVA"</formula>
    </cfRule>
    <cfRule type="expression" priority="57588" dxfId="3">
      <formula>$H877="ETAPA"</formula>
    </cfRule>
  </conditionalFormatting>
  <conditionalFormatting sqref="O878">
    <cfRule type="expression" priority="57575" dxfId="4">
      <formula>$H878="SUBETAPA"</formula>
    </cfRule>
    <cfRule type="expression" priority="57576" dxfId="3">
      <formula>$H878="ETAPA"</formula>
    </cfRule>
  </conditionalFormatting>
  <conditionalFormatting sqref="O879">
    <cfRule type="expression" priority="57583" dxfId="4">
      <formula>$H879="SUBETAPA"</formula>
    </cfRule>
    <cfRule type="expression" priority="57584" dxfId="5">
      <formula>$H879="CÉLULA CONSTRUTIVA"</formula>
    </cfRule>
    <cfRule type="expression" priority="57585" dxfId="3">
      <formula>$H879="ETAPA"</formula>
    </cfRule>
  </conditionalFormatting>
  <conditionalFormatting sqref="O880">
    <cfRule type="expression" priority="57571" dxfId="4">
      <formula>$H880="SUBETAPA"</formula>
    </cfRule>
    <cfRule type="expression" priority="57572" dxfId="3">
      <formula>$H880="ETAPA"</formula>
    </cfRule>
  </conditionalFormatting>
  <conditionalFormatting sqref="O881">
    <cfRule type="expression" priority="57579" dxfId="4">
      <formula>$H881="SUBETAPA"</formula>
    </cfRule>
    <cfRule type="expression" priority="57580" dxfId="5">
      <formula>$H881="CÉLULA CONSTRUTIVA"</formula>
    </cfRule>
    <cfRule type="expression" priority="57581" dxfId="3">
      <formula>$H881="ETAPA"</formula>
    </cfRule>
  </conditionalFormatting>
  <conditionalFormatting sqref="O882">
    <cfRule type="expression" priority="3375" dxfId="8">
      <formula>$H882="ETAPA"</formula>
    </cfRule>
    <cfRule type="expression" priority="3376" dxfId="6">
      <formula>$H882="SUBETAPA"</formula>
    </cfRule>
    <cfRule type="expression" priority="3377" dxfId="8">
      <formula>$H882="ETAPA"</formula>
    </cfRule>
    <cfRule type="expression" priority="3378" dxfId="6">
      <formula>$H882="SUBETAPA"</formula>
    </cfRule>
    <cfRule type="expression" priority="3379" dxfId="8">
      <formula>$H882="ETAPA"</formula>
    </cfRule>
    <cfRule type="expression" priority="3380" dxfId="6">
      <formula>$H882="SUBETAPA"</formula>
    </cfRule>
    <cfRule type="expression" priority="3381" dxfId="7">
      <formula>$H882="CÉLULA CONSTRUTIVA"</formula>
    </cfRule>
  </conditionalFormatting>
  <conditionalFormatting sqref="O883">
    <cfRule type="expression" priority="57705" dxfId="4">
      <formula>$H883="SUBETAPA"</formula>
    </cfRule>
    <cfRule type="expression" priority="57706" dxfId="5">
      <formula>$H883="CÉLULA CONSTRUTIVA"</formula>
    </cfRule>
    <cfRule type="expression" priority="57707" dxfId="3">
      <formula>$H883="ETAPA"</formula>
    </cfRule>
  </conditionalFormatting>
  <conditionalFormatting sqref="O885">
    <cfRule type="expression" priority="57686" dxfId="4">
      <formula>$H885="SUBETAPA"</formula>
    </cfRule>
    <cfRule type="expression" priority="57687" dxfId="3">
      <formula>$H885="ETAPA"</formula>
    </cfRule>
  </conditionalFormatting>
  <conditionalFormatting sqref="O886">
    <cfRule type="expression" priority="57695" dxfId="4">
      <formula>$H886="SUBETAPA"</formula>
    </cfRule>
    <cfRule type="expression" priority="57696" dxfId="5">
      <formula>$H886="CÉLULA CONSTRUTIVA"</formula>
    </cfRule>
    <cfRule type="expression" priority="57697" dxfId="3">
      <formula>$H886="ETAPA"</formula>
    </cfRule>
  </conditionalFormatting>
  <conditionalFormatting sqref="O887">
    <cfRule type="expression" priority="57684" dxfId="4">
      <formula>$H887="SUBETAPA"</formula>
    </cfRule>
    <cfRule type="expression" priority="57685" dxfId="3">
      <formula>$H887="ETAPA"</formula>
    </cfRule>
  </conditionalFormatting>
  <conditionalFormatting sqref="O888">
    <cfRule type="expression" priority="57692" dxfId="4">
      <formula>$H888="SUBETAPA"</formula>
    </cfRule>
    <cfRule type="expression" priority="57693" dxfId="5">
      <formula>$H888="CÉLULA CONSTRUTIVA"</formula>
    </cfRule>
    <cfRule type="expression" priority="57694" dxfId="3">
      <formula>$H888="ETAPA"</formula>
    </cfRule>
  </conditionalFormatting>
  <conditionalFormatting sqref="O889">
    <cfRule type="expression" priority="57680" dxfId="4">
      <formula>$H889="SUBETAPA"</formula>
    </cfRule>
    <cfRule type="expression" priority="57681" dxfId="3">
      <formula>$H889="ETAPA"</formula>
    </cfRule>
  </conditionalFormatting>
  <conditionalFormatting sqref="O890">
    <cfRule type="expression" priority="57688" dxfId="4">
      <formula>$H890="SUBETAPA"</formula>
    </cfRule>
    <cfRule type="expression" priority="57689" dxfId="5">
      <formula>$H890="CÉLULA CONSTRUTIVA"</formula>
    </cfRule>
    <cfRule type="expression" priority="57690" dxfId="3">
      <formula>$H890="ETAPA"</formula>
    </cfRule>
  </conditionalFormatting>
  <conditionalFormatting sqref="O891">
    <cfRule type="expression" priority="3367" dxfId="8">
      <formula>$H891="ETAPA"</formula>
    </cfRule>
    <cfRule type="expression" priority="3368" dxfId="6">
      <formula>$H891="SUBETAPA"</formula>
    </cfRule>
    <cfRule type="expression" priority="3369" dxfId="8">
      <formula>$H891="ETAPA"</formula>
    </cfRule>
    <cfRule type="expression" priority="3370" dxfId="6">
      <formula>$H891="SUBETAPA"</formula>
    </cfRule>
    <cfRule type="expression" priority="3371" dxfId="8">
      <formula>$H891="ETAPA"</formula>
    </cfRule>
    <cfRule type="expression" priority="3372" dxfId="6">
      <formula>$H891="SUBETAPA"</formula>
    </cfRule>
    <cfRule type="expression" priority="3373" dxfId="7">
      <formula>$H891="CÉLULA CONSTRUTIVA"</formula>
    </cfRule>
  </conditionalFormatting>
  <conditionalFormatting sqref="O892">
    <cfRule type="expression" priority="57814" dxfId="4">
      <formula>$H892="SUBETAPA"</formula>
    </cfRule>
    <cfRule type="expression" priority="57815" dxfId="5">
      <formula>$H892="CÉLULA CONSTRUTIVA"</formula>
    </cfRule>
    <cfRule type="expression" priority="57816" dxfId="3">
      <formula>$H892="ETAPA"</formula>
    </cfRule>
  </conditionalFormatting>
  <conditionalFormatting sqref="O894">
    <cfRule type="expression" priority="57795" dxfId="4">
      <formula>$H894="SUBETAPA"</formula>
    </cfRule>
    <cfRule type="expression" priority="57796" dxfId="3">
      <formula>$H894="ETAPA"</formula>
    </cfRule>
  </conditionalFormatting>
  <conditionalFormatting sqref="O895 O899">
    <cfRule type="expression" priority="57806" dxfId="3">
      <formula>$H895="ETAPA"</formula>
    </cfRule>
    <cfRule type="expression" priority="57804" dxfId="4">
      <formula>$H895="SUBETAPA"</formula>
    </cfRule>
    <cfRule type="expression" priority="57805" dxfId="5">
      <formula>$H895="CÉLULA CONSTRUTIVA"</formula>
    </cfRule>
  </conditionalFormatting>
  <conditionalFormatting sqref="O896">
    <cfRule type="expression" priority="57793" dxfId="4">
      <formula>$H896="SUBETAPA"</formula>
    </cfRule>
    <cfRule type="expression" priority="57794" dxfId="3">
      <formula>$H896="ETAPA"</formula>
    </cfRule>
  </conditionalFormatting>
  <conditionalFormatting sqref="O897">
    <cfRule type="expression" priority="57801" dxfId="4">
      <formula>$H897="SUBETAPA"</formula>
    </cfRule>
    <cfRule type="expression" priority="57802" dxfId="5">
      <formula>$H897="CÉLULA CONSTRUTIVA"</formula>
    </cfRule>
    <cfRule type="expression" priority="57803" dxfId="3">
      <formula>$H897="ETAPA"</formula>
    </cfRule>
  </conditionalFormatting>
  <conditionalFormatting sqref="O898">
    <cfRule type="expression" priority="57789" dxfId="4">
      <formula>$H898="SUBETAPA"</formula>
    </cfRule>
    <cfRule type="expression" priority="57790" dxfId="3">
      <formula>$H898="ETAPA"</formula>
    </cfRule>
  </conditionalFormatting>
  <conditionalFormatting sqref="O900">
    <cfRule type="expression" priority="57775" dxfId="4">
      <formula>$H900="SUBETAPA"</formula>
    </cfRule>
    <cfRule type="expression" priority="57776" dxfId="3">
      <formula>$H900="ETAPA"</formula>
    </cfRule>
    <cfRule type="expression" priority="57777" dxfId="5">
      <formula>$H900="CÉLULA CONSTRUTIVA"</formula>
    </cfRule>
  </conditionalFormatting>
  <conditionalFormatting sqref="O901">
    <cfRule type="expression" priority="57797" dxfId="4">
      <formula>$H901="SUBETAPA"</formula>
    </cfRule>
    <cfRule type="expression" priority="57798" dxfId="5">
      <formula>$H901="CÉLULA CONSTRUTIVA"</formula>
    </cfRule>
    <cfRule type="expression" priority="57799" dxfId="3">
      <formula>$H901="ETAPA"</formula>
    </cfRule>
  </conditionalFormatting>
  <conditionalFormatting sqref="O902">
    <cfRule type="expression" priority="3359" dxfId="8">
      <formula>$H902="ETAPA"</formula>
    </cfRule>
    <cfRule type="expression" priority="3360" dxfId="6">
      <formula>$H902="SUBETAPA"</formula>
    </cfRule>
    <cfRule type="expression" priority="3361" dxfId="8">
      <formula>$H902="ETAPA"</formula>
    </cfRule>
    <cfRule type="expression" priority="3362" dxfId="6">
      <formula>$H902="SUBETAPA"</formula>
    </cfRule>
    <cfRule type="expression" priority="3363" dxfId="8">
      <formula>$H902="ETAPA"</formula>
    </cfRule>
    <cfRule type="expression" priority="3364" dxfId="6">
      <formula>$H902="SUBETAPA"</formula>
    </cfRule>
    <cfRule type="expression" priority="3365" dxfId="7">
      <formula>$H902="CÉLULA CONSTRUTIVA"</formula>
    </cfRule>
  </conditionalFormatting>
  <conditionalFormatting sqref="O903">
    <cfRule type="expression" priority="57923" dxfId="4">
      <formula>$H903="SUBETAPA"</formula>
    </cfRule>
    <cfRule type="expression" priority="57924" dxfId="5">
      <formula>$H903="CÉLULA CONSTRUTIVA"</formula>
    </cfRule>
    <cfRule type="expression" priority="57925" dxfId="3">
      <formula>$H903="ETAPA"</formula>
    </cfRule>
  </conditionalFormatting>
  <conditionalFormatting sqref="O905">
    <cfRule type="expression" priority="57904" dxfId="4">
      <formula>$H905="SUBETAPA"</formula>
    </cfRule>
    <cfRule type="expression" priority="57905" dxfId="3">
      <formula>$H905="ETAPA"</formula>
    </cfRule>
  </conditionalFormatting>
  <conditionalFormatting sqref="O906 O910">
    <cfRule type="expression" priority="57915" dxfId="3">
      <formula>$H906="ETAPA"</formula>
    </cfRule>
    <cfRule type="expression" priority="57913" dxfId="4">
      <formula>$H906="SUBETAPA"</formula>
    </cfRule>
    <cfRule type="expression" priority="57914" dxfId="5">
      <formula>$H906="CÉLULA CONSTRUTIVA"</formula>
    </cfRule>
  </conditionalFormatting>
  <conditionalFormatting sqref="O907">
    <cfRule type="expression" priority="57902" dxfId="4">
      <formula>$H907="SUBETAPA"</formula>
    </cfRule>
    <cfRule type="expression" priority="57903" dxfId="3">
      <formula>$H907="ETAPA"</formula>
    </cfRule>
  </conditionalFormatting>
  <conditionalFormatting sqref="O908">
    <cfRule type="expression" priority="57910" dxfId="4">
      <formula>$H908="SUBETAPA"</formula>
    </cfRule>
    <cfRule type="expression" priority="57911" dxfId="5">
      <formula>$H908="CÉLULA CONSTRUTIVA"</formula>
    </cfRule>
    <cfRule type="expression" priority="57912" dxfId="3">
      <formula>$H908="ETAPA"</formula>
    </cfRule>
  </conditionalFormatting>
  <conditionalFormatting sqref="O909">
    <cfRule type="expression" priority="57898" dxfId="4">
      <formula>$H909="SUBETAPA"</formula>
    </cfRule>
    <cfRule type="expression" priority="57899" dxfId="3">
      <formula>$H909="ETAPA"</formula>
    </cfRule>
  </conditionalFormatting>
  <conditionalFormatting sqref="O911">
    <cfRule type="expression" priority="57884" dxfId="4">
      <formula>$H911="SUBETAPA"</formula>
    </cfRule>
    <cfRule type="expression" priority="57885" dxfId="3">
      <formula>$H911="ETAPA"</formula>
    </cfRule>
    <cfRule type="expression" priority="57886" dxfId="5">
      <formula>$H911="CÉLULA CONSTRUTIVA"</formula>
    </cfRule>
  </conditionalFormatting>
  <conditionalFormatting sqref="O912">
    <cfRule type="expression" priority="57906" dxfId="4">
      <formula>$H912="SUBETAPA"</formula>
    </cfRule>
    <cfRule type="expression" priority="57907" dxfId="5">
      <formula>$H912="CÉLULA CONSTRUTIVA"</formula>
    </cfRule>
    <cfRule type="expression" priority="57908" dxfId="3">
      <formula>$H912="ETAPA"</formula>
    </cfRule>
  </conditionalFormatting>
  <conditionalFormatting sqref="O913">
    <cfRule type="expression" priority="3351" dxfId="8">
      <formula>$H913="ETAPA"</formula>
    </cfRule>
    <cfRule type="expression" priority="3352" dxfId="6">
      <formula>$H913="SUBETAPA"</formula>
    </cfRule>
    <cfRule type="expression" priority="3353" dxfId="8">
      <formula>$H913="ETAPA"</formula>
    </cfRule>
    <cfRule type="expression" priority="3354" dxfId="6">
      <formula>$H913="SUBETAPA"</formula>
    </cfRule>
    <cfRule type="expression" priority="3355" dxfId="8">
      <formula>$H913="ETAPA"</formula>
    </cfRule>
    <cfRule type="expression" priority="3356" dxfId="6">
      <formula>$H913="SUBETAPA"</formula>
    </cfRule>
    <cfRule type="expression" priority="3357" dxfId="7">
      <formula>$H913="CÉLULA CONSTRUTIVA"</formula>
    </cfRule>
  </conditionalFormatting>
  <conditionalFormatting sqref="O914">
    <cfRule type="expression" priority="58032" dxfId="4">
      <formula>$H914="SUBETAPA"</formula>
    </cfRule>
    <cfRule type="expression" priority="58033" dxfId="5">
      <formula>$H914="CÉLULA CONSTRUTIVA"</formula>
    </cfRule>
    <cfRule type="expression" priority="58034" dxfId="3">
      <formula>$H914="ETAPA"</formula>
    </cfRule>
  </conditionalFormatting>
  <conditionalFormatting sqref="O916">
    <cfRule type="expression" priority="58013" dxfId="4">
      <formula>$H916="SUBETAPA"</formula>
    </cfRule>
    <cfRule type="expression" priority="58014" dxfId="3">
      <formula>$H916="ETAPA"</formula>
    </cfRule>
  </conditionalFormatting>
  <conditionalFormatting sqref="O917">
    <cfRule type="expression" priority="58022" dxfId="4">
      <formula>$H917="SUBETAPA"</formula>
    </cfRule>
    <cfRule type="expression" priority="58023" dxfId="5">
      <formula>$H917="CÉLULA CONSTRUTIVA"</formula>
    </cfRule>
    <cfRule type="expression" priority="58024" dxfId="3">
      <formula>$H917="ETAPA"</formula>
    </cfRule>
  </conditionalFormatting>
  <conditionalFormatting sqref="O918">
    <cfRule type="expression" priority="58011" dxfId="4">
      <formula>$H918="SUBETAPA"</formula>
    </cfRule>
    <cfRule type="expression" priority="58012" dxfId="3">
      <formula>$H918="ETAPA"</formula>
    </cfRule>
  </conditionalFormatting>
  <conditionalFormatting sqref="O919">
    <cfRule type="expression" priority="58019" dxfId="4">
      <formula>$H919="SUBETAPA"</formula>
    </cfRule>
    <cfRule type="expression" priority="58020" dxfId="5">
      <formula>$H919="CÉLULA CONSTRUTIVA"</formula>
    </cfRule>
    <cfRule type="expression" priority="58021" dxfId="3">
      <formula>$H919="ETAPA"</formula>
    </cfRule>
  </conditionalFormatting>
  <conditionalFormatting sqref="O920">
    <cfRule type="expression" priority="58007" dxfId="4">
      <formula>$H920="SUBETAPA"</formula>
    </cfRule>
    <cfRule type="expression" priority="58008" dxfId="3">
      <formula>$H920="ETAPA"</formula>
    </cfRule>
  </conditionalFormatting>
  <conditionalFormatting sqref="O921">
    <cfRule type="expression" priority="58015" dxfId="4">
      <formula>$H921="SUBETAPA"</formula>
    </cfRule>
    <cfRule type="expression" priority="58016" dxfId="5">
      <formula>$H921="CÉLULA CONSTRUTIVA"</formula>
    </cfRule>
    <cfRule type="expression" priority="58017" dxfId="3">
      <formula>$H921="ETAPA"</formula>
    </cfRule>
  </conditionalFormatting>
  <conditionalFormatting sqref="O922">
    <cfRule type="expression" priority="3343" dxfId="8">
      <formula>$H922="ETAPA"</formula>
    </cfRule>
    <cfRule type="expression" priority="3344" dxfId="6">
      <formula>$H922="SUBETAPA"</formula>
    </cfRule>
    <cfRule type="expression" priority="3345" dxfId="8">
      <formula>$H922="ETAPA"</formula>
    </cfRule>
    <cfRule type="expression" priority="3346" dxfId="6">
      <formula>$H922="SUBETAPA"</formula>
    </cfRule>
    <cfRule type="expression" priority="3347" dxfId="8">
      <formula>$H922="ETAPA"</formula>
    </cfRule>
    <cfRule type="expression" priority="3348" dxfId="6">
      <formula>$H922="SUBETAPA"</formula>
    </cfRule>
    <cfRule type="expression" priority="3349" dxfId="7">
      <formula>$H922="CÉLULA CONSTRUTIVA"</formula>
    </cfRule>
  </conditionalFormatting>
  <conditionalFormatting sqref="O923">
    <cfRule type="expression" priority="58141" dxfId="4">
      <formula>$H923="SUBETAPA"</formula>
    </cfRule>
    <cfRule type="expression" priority="58142" dxfId="5">
      <formula>$H923="CÉLULA CONSTRUTIVA"</formula>
    </cfRule>
    <cfRule type="expression" priority="58143" dxfId="3">
      <formula>$H923="ETAPA"</formula>
    </cfRule>
  </conditionalFormatting>
  <conditionalFormatting sqref="O925">
    <cfRule type="expression" priority="58122" dxfId="4">
      <formula>$H925="SUBETAPA"</formula>
    </cfRule>
    <cfRule type="expression" priority="58123" dxfId="3">
      <formula>$H925="ETAPA"</formula>
    </cfRule>
  </conditionalFormatting>
  <conditionalFormatting sqref="O926">
    <cfRule type="expression" priority="58131" dxfId="4">
      <formula>$H926="SUBETAPA"</formula>
    </cfRule>
    <cfRule type="expression" priority="58132" dxfId="5">
      <formula>$H926="CÉLULA CONSTRUTIVA"</formula>
    </cfRule>
    <cfRule type="expression" priority="58133" dxfId="3">
      <formula>$H926="ETAPA"</formula>
    </cfRule>
  </conditionalFormatting>
  <conditionalFormatting sqref="O927">
    <cfRule type="expression" priority="58120" dxfId="4">
      <formula>$H927="SUBETAPA"</formula>
    </cfRule>
    <cfRule type="expression" priority="58121" dxfId="3">
      <formula>$H927="ETAPA"</formula>
    </cfRule>
  </conditionalFormatting>
  <conditionalFormatting sqref="O928">
    <cfRule type="expression" priority="58128" dxfId="4">
      <formula>$H928="SUBETAPA"</formula>
    </cfRule>
    <cfRule type="expression" priority="58129" dxfId="5">
      <formula>$H928="CÉLULA CONSTRUTIVA"</formula>
    </cfRule>
    <cfRule type="expression" priority="58130" dxfId="3">
      <formula>$H928="ETAPA"</formula>
    </cfRule>
  </conditionalFormatting>
  <conditionalFormatting sqref="O929">
    <cfRule type="expression" priority="58116" dxfId="4">
      <formula>$H929="SUBETAPA"</formula>
    </cfRule>
    <cfRule type="expression" priority="58117" dxfId="3">
      <formula>$H929="ETAPA"</formula>
    </cfRule>
  </conditionalFormatting>
  <conditionalFormatting sqref="O930">
    <cfRule type="expression" priority="58124" dxfId="4">
      <formula>$H930="SUBETAPA"</formula>
    </cfRule>
    <cfRule type="expression" priority="58125" dxfId="5">
      <formula>$H930="CÉLULA CONSTRUTIVA"</formula>
    </cfRule>
    <cfRule type="expression" priority="58126" dxfId="3">
      <formula>$H930="ETAPA"</formula>
    </cfRule>
  </conditionalFormatting>
  <conditionalFormatting sqref="O931">
    <cfRule type="expression" priority="3335" dxfId="8">
      <formula>$H931="ETAPA"</formula>
    </cfRule>
    <cfRule type="expression" priority="3336" dxfId="6">
      <formula>$H931="SUBETAPA"</formula>
    </cfRule>
    <cfRule type="expression" priority="3337" dxfId="8">
      <formula>$H931="ETAPA"</formula>
    </cfRule>
    <cfRule type="expression" priority="3338" dxfId="6">
      <formula>$H931="SUBETAPA"</formula>
    </cfRule>
    <cfRule type="expression" priority="3339" dxfId="8">
      <formula>$H931="ETAPA"</formula>
    </cfRule>
    <cfRule type="expression" priority="3340" dxfId="6">
      <formula>$H931="SUBETAPA"</formula>
    </cfRule>
    <cfRule type="expression" priority="3341" dxfId="7">
      <formula>$H931="CÉLULA CONSTRUTIVA"</formula>
    </cfRule>
  </conditionalFormatting>
  <conditionalFormatting sqref="O932">
    <cfRule type="expression" priority="58250" dxfId="4">
      <formula>$H932="SUBETAPA"</formula>
    </cfRule>
    <cfRule type="expression" priority="58251" dxfId="5">
      <formula>$H932="CÉLULA CONSTRUTIVA"</formula>
    </cfRule>
    <cfRule type="expression" priority="58252" dxfId="3">
      <formula>$H932="ETAPA"</formula>
    </cfRule>
  </conditionalFormatting>
  <conditionalFormatting sqref="O934">
    <cfRule type="expression" priority="58231" dxfId="4">
      <formula>$H934="SUBETAPA"</formula>
    </cfRule>
    <cfRule type="expression" priority="58232" dxfId="3">
      <formula>$H934="ETAPA"</formula>
    </cfRule>
  </conditionalFormatting>
  <conditionalFormatting sqref="O935 O939">
    <cfRule type="expression" priority="58242" dxfId="3">
      <formula>$H935="ETAPA"</formula>
    </cfRule>
    <cfRule type="expression" priority="58240" dxfId="4">
      <formula>$H935="SUBETAPA"</formula>
    </cfRule>
    <cfRule type="expression" priority="58241" dxfId="5">
      <formula>$H935="CÉLULA CONSTRUTIVA"</formula>
    </cfRule>
  </conditionalFormatting>
  <conditionalFormatting sqref="O936">
    <cfRule type="expression" priority="58229" dxfId="4">
      <formula>$H936="SUBETAPA"</formula>
    </cfRule>
    <cfRule type="expression" priority="58230" dxfId="3">
      <formula>$H936="ETAPA"</formula>
    </cfRule>
  </conditionalFormatting>
  <conditionalFormatting sqref="O937">
    <cfRule type="expression" priority="58237" dxfId="4">
      <formula>$H937="SUBETAPA"</formula>
    </cfRule>
    <cfRule type="expression" priority="58238" dxfId="5">
      <formula>$H937="CÉLULA CONSTRUTIVA"</formula>
    </cfRule>
    <cfRule type="expression" priority="58239" dxfId="3">
      <formula>$H937="ETAPA"</formula>
    </cfRule>
  </conditionalFormatting>
  <conditionalFormatting sqref="O938">
    <cfRule type="expression" priority="58225" dxfId="4">
      <formula>$H938="SUBETAPA"</formula>
    </cfRule>
    <cfRule type="expression" priority="58226" dxfId="3">
      <formula>$H938="ETAPA"</formula>
    </cfRule>
  </conditionalFormatting>
  <conditionalFormatting sqref="O940">
    <cfRule type="expression" priority="58211" dxfId="4">
      <formula>$H940="SUBETAPA"</formula>
    </cfRule>
    <cfRule type="expression" priority="58212" dxfId="3">
      <formula>$H940="ETAPA"</formula>
    </cfRule>
    <cfRule type="expression" priority="58213" dxfId="5">
      <formula>$H940="CÉLULA CONSTRUTIVA"</formula>
    </cfRule>
  </conditionalFormatting>
  <conditionalFormatting sqref="O941">
    <cfRule type="expression" priority="58233" dxfId="4">
      <formula>$H941="SUBETAPA"</formula>
    </cfRule>
    <cfRule type="expression" priority="58234" dxfId="5">
      <formula>$H941="CÉLULA CONSTRUTIVA"</formula>
    </cfRule>
    <cfRule type="expression" priority="58235" dxfId="3">
      <formula>$H941="ETAPA"</formula>
    </cfRule>
  </conditionalFormatting>
  <conditionalFormatting sqref="O942">
    <cfRule type="expression" priority="3327" dxfId="8">
      <formula>$H942="ETAPA"</formula>
    </cfRule>
    <cfRule type="expression" priority="3328" dxfId="6">
      <formula>$H942="SUBETAPA"</formula>
    </cfRule>
    <cfRule type="expression" priority="3329" dxfId="8">
      <formula>$H942="ETAPA"</formula>
    </cfRule>
    <cfRule type="expression" priority="3330" dxfId="6">
      <formula>$H942="SUBETAPA"</formula>
    </cfRule>
    <cfRule type="expression" priority="3331" dxfId="8">
      <formula>$H942="ETAPA"</formula>
    </cfRule>
    <cfRule type="expression" priority="3332" dxfId="6">
      <formula>$H942="SUBETAPA"</formula>
    </cfRule>
    <cfRule type="expression" priority="3333" dxfId="7">
      <formula>$H942="CÉLULA CONSTRUTIVA"</formula>
    </cfRule>
  </conditionalFormatting>
  <conditionalFormatting sqref="O943">
    <cfRule type="expression" priority="58347" dxfId="5">
      <formula>$H943="CÉLULA CONSTRUTIVA"</formula>
    </cfRule>
    <cfRule type="expression" priority="58348" dxfId="3">
      <formula>$H943="ETAPA"</formula>
    </cfRule>
    <cfRule type="expression" priority="58349" dxfId="4">
      <formula>$H943="SUBETAPA"</formula>
    </cfRule>
  </conditionalFormatting>
  <conditionalFormatting sqref="O944:O945">
    <cfRule type="expression" priority="51552" dxfId="4">
      <formula>$H944="SUBETAPA"</formula>
    </cfRule>
    <cfRule type="expression" priority="51553" dxfId="5">
      <formula>$H944="CÉLULA CONSTRUTIVA"</formula>
    </cfRule>
    <cfRule type="expression" priority="51554" dxfId="3">
      <formula>$H944="ETAPA"</formula>
    </cfRule>
  </conditionalFormatting>
  <conditionalFormatting sqref="O947:O953 O955 O957">
    <cfRule type="expression" priority="51559" dxfId="4">
      <formula>$H947="SUBETAPA"</formula>
    </cfRule>
    <cfRule type="expression" priority="51560" dxfId="5">
      <formula>$H947="CÉLULA CONSTRUTIVA"</formula>
    </cfRule>
    <cfRule type="expression" priority="51561" dxfId="3">
      <formula>$H947="ETAPA"</formula>
    </cfRule>
  </conditionalFormatting>
  <conditionalFormatting sqref="O959:O960">
    <cfRule type="expression" priority="51707" dxfId="4">
      <formula>$H959="SUBETAPA"</formula>
    </cfRule>
    <cfRule type="expression" priority="51708" dxfId="5">
      <formula>$H959="CÉLULA CONSTRUTIVA"</formula>
    </cfRule>
    <cfRule type="expression" priority="51709" dxfId="3">
      <formula>$H959="ETAPA"</formula>
    </cfRule>
  </conditionalFormatting>
  <conditionalFormatting sqref="O964:O965">
    <cfRule type="expression" priority="51469" dxfId="4">
      <formula>$H964="SUBETAPA"</formula>
    </cfRule>
    <cfRule type="expression" priority="51470" dxfId="5">
      <formula>$H964="CÉLULA CONSTRUTIVA"</formula>
    </cfRule>
    <cfRule type="expression" priority="51471" dxfId="3">
      <formula>$H964="ETAPA"</formula>
    </cfRule>
  </conditionalFormatting>
  <conditionalFormatting sqref="O967">
    <cfRule type="expression" priority="51546" dxfId="4">
      <formula>$H967="SUBETAPA"</formula>
    </cfRule>
    <cfRule type="expression" priority="51547" dxfId="5">
      <formula>$H967="CÉLULA CONSTRUTIVA"</formula>
    </cfRule>
    <cfRule type="expression" priority="51548" dxfId="3">
      <formula>$H967="ETAPA"</formula>
    </cfRule>
  </conditionalFormatting>
  <conditionalFormatting sqref="O962:O963 O966 O968 O970 O972">
    <cfRule type="expression" priority="51714" dxfId="4">
      <formula>$H962="SUBETAPA"</formula>
    </cfRule>
    <cfRule type="expression" priority="51715" dxfId="5">
      <formula>$H962="CÉLULA CONSTRUTIVA"</formula>
    </cfRule>
    <cfRule type="expression" priority="51716" dxfId="3">
      <formula>$H962="ETAPA"</formula>
    </cfRule>
  </conditionalFormatting>
  <conditionalFormatting sqref="O974:O975">
    <cfRule type="expression" priority="51865" dxfId="4">
      <formula>$H974="SUBETAPA"</formula>
    </cfRule>
    <cfRule type="expression" priority="51866" dxfId="5">
      <formula>$H974="CÉLULA CONSTRUTIVA"</formula>
    </cfRule>
    <cfRule type="expression" priority="51867" dxfId="3">
      <formula>$H974="ETAPA"</formula>
    </cfRule>
  </conditionalFormatting>
  <conditionalFormatting sqref="O979:O980">
    <cfRule type="expression" priority="51431" dxfId="4">
      <formula>$H979="SUBETAPA"</formula>
    </cfRule>
    <cfRule type="expression" priority="51432" dxfId="5">
      <formula>$H979="CÉLULA CONSTRUTIVA"</formula>
    </cfRule>
    <cfRule type="expression" priority="51433" dxfId="3">
      <formula>$H979="ETAPA"</formula>
    </cfRule>
  </conditionalFormatting>
  <conditionalFormatting sqref="O982">
    <cfRule type="expression" priority="51543" dxfId="4">
      <formula>$H982="SUBETAPA"</formula>
    </cfRule>
    <cfRule type="expression" priority="51544" dxfId="5">
      <formula>$H982="CÉLULA CONSTRUTIVA"</formula>
    </cfRule>
    <cfRule type="expression" priority="51545" dxfId="3">
      <formula>$H982="ETAPA"</formula>
    </cfRule>
  </conditionalFormatting>
  <conditionalFormatting sqref="O977:O978 O981 O983 O985 O987">
    <cfRule type="expression" priority="51872" dxfId="4">
      <formula>$H977="SUBETAPA"</formula>
    </cfRule>
    <cfRule type="expression" priority="51873" dxfId="5">
      <formula>$H977="CÉLULA CONSTRUTIVA"</formula>
    </cfRule>
    <cfRule type="expression" priority="51874" dxfId="3">
      <formula>$H977="ETAPA"</formula>
    </cfRule>
  </conditionalFormatting>
  <conditionalFormatting sqref="O989:O990">
    <cfRule type="expression" priority="52020" dxfId="4">
      <formula>$H989="SUBETAPA"</formula>
    </cfRule>
    <cfRule type="expression" priority="52021" dxfId="5">
      <formula>$H989="CÉLULA CONSTRUTIVA"</formula>
    </cfRule>
    <cfRule type="expression" priority="52022" dxfId="3">
      <formula>$H989="ETAPA"</formula>
    </cfRule>
  </conditionalFormatting>
  <conditionalFormatting sqref="O994:O995">
    <cfRule type="expression" priority="51393" dxfId="4">
      <formula>$H994="SUBETAPA"</formula>
    </cfRule>
    <cfRule type="expression" priority="51394" dxfId="5">
      <formula>$H994="CÉLULA CONSTRUTIVA"</formula>
    </cfRule>
    <cfRule type="expression" priority="51395" dxfId="3">
      <formula>$H994="ETAPA"</formula>
    </cfRule>
  </conditionalFormatting>
  <conditionalFormatting sqref="O997">
    <cfRule type="expression" priority="51540" dxfId="4">
      <formula>$H997="SUBETAPA"</formula>
    </cfRule>
    <cfRule type="expression" priority="51541" dxfId="5">
      <formula>$H997="CÉLULA CONSTRUTIVA"</formula>
    </cfRule>
    <cfRule type="expression" priority="51542" dxfId="3">
      <formula>$H997="ETAPA"</formula>
    </cfRule>
  </conditionalFormatting>
  <conditionalFormatting sqref="O992:O993 O996 O998 O1000 O1002">
    <cfRule type="expression" priority="52027" dxfId="4">
      <formula>$H992="SUBETAPA"</formula>
    </cfRule>
    <cfRule type="expression" priority="52028" dxfId="5">
      <formula>$H992="CÉLULA CONSTRUTIVA"</formula>
    </cfRule>
    <cfRule type="expression" priority="52029" dxfId="3">
      <formula>$H992="ETAPA"</formula>
    </cfRule>
  </conditionalFormatting>
  <conditionalFormatting sqref="O1004:O1005">
    <cfRule type="expression" priority="52178" dxfId="4">
      <formula>$H1004="SUBETAPA"</formula>
    </cfRule>
    <cfRule type="expression" priority="52179" dxfId="5">
      <formula>$H1004="CÉLULA CONSTRUTIVA"</formula>
    </cfRule>
    <cfRule type="expression" priority="52180" dxfId="3">
      <formula>$H1004="ETAPA"</formula>
    </cfRule>
  </conditionalFormatting>
  <conditionalFormatting sqref="O1009:O1010">
    <cfRule type="expression" priority="51355" dxfId="4">
      <formula>$H1009="SUBETAPA"</formula>
    </cfRule>
    <cfRule type="expression" priority="51356" dxfId="5">
      <formula>$H1009="CÉLULA CONSTRUTIVA"</formula>
    </cfRule>
    <cfRule type="expression" priority="51357" dxfId="3">
      <formula>$H1009="ETAPA"</formula>
    </cfRule>
  </conditionalFormatting>
  <conditionalFormatting sqref="O1012">
    <cfRule type="expression" priority="51537" dxfId="4">
      <formula>$H1012="SUBETAPA"</formula>
    </cfRule>
    <cfRule type="expression" priority="51538" dxfId="5">
      <formula>$H1012="CÉLULA CONSTRUTIVA"</formula>
    </cfRule>
    <cfRule type="expression" priority="51539" dxfId="3">
      <formula>$H1012="ETAPA"</formula>
    </cfRule>
  </conditionalFormatting>
  <conditionalFormatting sqref="O1007:O1008 O1011 O1013 O1015 O1017">
    <cfRule type="expression" priority="52185" dxfId="4">
      <formula>$H1007="SUBETAPA"</formula>
    </cfRule>
    <cfRule type="expression" priority="52186" dxfId="5">
      <formula>$H1007="CÉLULA CONSTRUTIVA"</formula>
    </cfRule>
    <cfRule type="expression" priority="52187" dxfId="3">
      <formula>$H1007="ETAPA"</formula>
    </cfRule>
  </conditionalFormatting>
  <conditionalFormatting sqref="O1019:O1020">
    <cfRule type="expression" priority="52333" dxfId="4">
      <formula>$H1019="SUBETAPA"</formula>
    </cfRule>
    <cfRule type="expression" priority="52334" dxfId="5">
      <formula>$H1019="CÉLULA CONSTRUTIVA"</formula>
    </cfRule>
    <cfRule type="expression" priority="52335" dxfId="3">
      <formula>$H1019="ETAPA"</formula>
    </cfRule>
  </conditionalFormatting>
  <conditionalFormatting sqref="O1024:O1025">
    <cfRule type="expression" priority="51317" dxfId="4">
      <formula>$H1024="SUBETAPA"</formula>
    </cfRule>
    <cfRule type="expression" priority="51318" dxfId="5">
      <formula>$H1024="CÉLULA CONSTRUTIVA"</formula>
    </cfRule>
    <cfRule type="expression" priority="51319" dxfId="3">
      <formula>$H1024="ETAPA"</formula>
    </cfRule>
  </conditionalFormatting>
  <conditionalFormatting sqref="O1027">
    <cfRule type="expression" priority="51534" dxfId="4">
      <formula>$H1027="SUBETAPA"</formula>
    </cfRule>
    <cfRule type="expression" priority="51535" dxfId="5">
      <formula>$H1027="CÉLULA CONSTRUTIVA"</formula>
    </cfRule>
    <cfRule type="expression" priority="51536" dxfId="3">
      <formula>$H1027="ETAPA"</formula>
    </cfRule>
  </conditionalFormatting>
  <conditionalFormatting sqref="O1022:O1023 O1026 O1028 O1030 O1032">
    <cfRule type="expression" priority="52340" dxfId="4">
      <formula>$H1022="SUBETAPA"</formula>
    </cfRule>
    <cfRule type="expression" priority="52341" dxfId="5">
      <formula>$H1022="CÉLULA CONSTRUTIVA"</formula>
    </cfRule>
    <cfRule type="expression" priority="52342" dxfId="3">
      <formula>$H1022="ETAPA"</formula>
    </cfRule>
  </conditionalFormatting>
  <conditionalFormatting sqref="O1034:O1035">
    <cfRule type="expression" priority="52488" dxfId="4">
      <formula>$H1034="SUBETAPA"</formula>
    </cfRule>
    <cfRule type="expression" priority="52489" dxfId="5">
      <formula>$H1034="CÉLULA CONSTRUTIVA"</formula>
    </cfRule>
    <cfRule type="expression" priority="52490" dxfId="3">
      <formula>$H1034="ETAPA"</formula>
    </cfRule>
  </conditionalFormatting>
  <conditionalFormatting sqref="O1039:O1040">
    <cfRule type="expression" priority="51279" dxfId="4">
      <formula>$H1039="SUBETAPA"</formula>
    </cfRule>
    <cfRule type="expression" priority="51280" dxfId="5">
      <formula>$H1039="CÉLULA CONSTRUTIVA"</formula>
    </cfRule>
    <cfRule type="expression" priority="51281" dxfId="3">
      <formula>$H1039="ETAPA"</formula>
    </cfRule>
  </conditionalFormatting>
  <conditionalFormatting sqref="O1042">
    <cfRule type="expression" priority="51531" dxfId="4">
      <formula>$H1042="SUBETAPA"</formula>
    </cfRule>
    <cfRule type="expression" priority="51532" dxfId="5">
      <formula>$H1042="CÉLULA CONSTRUTIVA"</formula>
    </cfRule>
    <cfRule type="expression" priority="51533" dxfId="3">
      <formula>$H1042="ETAPA"</formula>
    </cfRule>
  </conditionalFormatting>
  <conditionalFormatting sqref="O1037:O1038 O1041 O1043 O1045 O1047">
    <cfRule type="expression" priority="52495" dxfId="4">
      <formula>$H1037="SUBETAPA"</formula>
    </cfRule>
    <cfRule type="expression" priority="52496" dxfId="5">
      <formula>$H1037="CÉLULA CONSTRUTIVA"</formula>
    </cfRule>
    <cfRule type="expression" priority="52497" dxfId="3">
      <formula>$H1037="ETAPA"</formula>
    </cfRule>
  </conditionalFormatting>
  <conditionalFormatting sqref="O1049:O1050">
    <cfRule type="expression" priority="52646" dxfId="4">
      <formula>$H1049="SUBETAPA"</formula>
    </cfRule>
    <cfRule type="expression" priority="52647" dxfId="5">
      <formula>$H1049="CÉLULA CONSTRUTIVA"</formula>
    </cfRule>
    <cfRule type="expression" priority="52648" dxfId="3">
      <formula>$H1049="ETAPA"</formula>
    </cfRule>
  </conditionalFormatting>
  <conditionalFormatting sqref="O1054:O1055">
    <cfRule type="expression" priority="51241" dxfId="4">
      <formula>$H1054="SUBETAPA"</formula>
    </cfRule>
    <cfRule type="expression" priority="51242" dxfId="5">
      <formula>$H1054="CÉLULA CONSTRUTIVA"</formula>
    </cfRule>
    <cfRule type="expression" priority="51243" dxfId="3">
      <formula>$H1054="ETAPA"</formula>
    </cfRule>
  </conditionalFormatting>
  <conditionalFormatting sqref="O1057">
    <cfRule type="expression" priority="51528" dxfId="4">
      <formula>$H1057="SUBETAPA"</formula>
    </cfRule>
    <cfRule type="expression" priority="51529" dxfId="5">
      <formula>$H1057="CÉLULA CONSTRUTIVA"</formula>
    </cfRule>
    <cfRule type="expression" priority="51530" dxfId="3">
      <formula>$H1057="ETAPA"</formula>
    </cfRule>
  </conditionalFormatting>
  <conditionalFormatting sqref="O1052:O1053 O1056 O1058 O1060 O1062">
    <cfRule type="expression" priority="52653" dxfId="4">
      <formula>$H1052="SUBETAPA"</formula>
    </cfRule>
    <cfRule type="expression" priority="52654" dxfId="5">
      <formula>$H1052="CÉLULA CONSTRUTIVA"</formula>
    </cfRule>
    <cfRule type="expression" priority="52655" dxfId="3">
      <formula>$H1052="ETAPA"</formula>
    </cfRule>
  </conditionalFormatting>
  <conditionalFormatting sqref="O1064:O1065">
    <cfRule type="expression" priority="52801" dxfId="4">
      <formula>$H1064="SUBETAPA"</formula>
    </cfRule>
    <cfRule type="expression" priority="52802" dxfId="5">
      <formula>$H1064="CÉLULA CONSTRUTIVA"</formula>
    </cfRule>
    <cfRule type="expression" priority="52803" dxfId="3">
      <formula>$H1064="ETAPA"</formula>
    </cfRule>
  </conditionalFormatting>
  <conditionalFormatting sqref="O1069:O1070">
    <cfRule type="expression" priority="51203" dxfId="4">
      <formula>$H1069="SUBETAPA"</formula>
    </cfRule>
    <cfRule type="expression" priority="51204" dxfId="5">
      <formula>$H1069="CÉLULA CONSTRUTIVA"</formula>
    </cfRule>
    <cfRule type="expression" priority="51205" dxfId="3">
      <formula>$H1069="ETAPA"</formula>
    </cfRule>
  </conditionalFormatting>
  <conditionalFormatting sqref="O1072">
    <cfRule type="expression" priority="51525" dxfId="4">
      <formula>$H1072="SUBETAPA"</formula>
    </cfRule>
    <cfRule type="expression" priority="51526" dxfId="5">
      <formula>$H1072="CÉLULA CONSTRUTIVA"</formula>
    </cfRule>
    <cfRule type="expression" priority="51527" dxfId="3">
      <formula>$H1072="ETAPA"</formula>
    </cfRule>
  </conditionalFormatting>
  <conditionalFormatting sqref="O1067:O1068 O1071 O1073 O1075 O1077">
    <cfRule type="expression" priority="52808" dxfId="4">
      <formula>$H1067="SUBETAPA"</formula>
    </cfRule>
    <cfRule type="expression" priority="52809" dxfId="5">
      <formula>$H1067="CÉLULA CONSTRUTIVA"</formula>
    </cfRule>
    <cfRule type="expression" priority="52810" dxfId="3">
      <formula>$H1067="ETAPA"</formula>
    </cfRule>
  </conditionalFormatting>
  <conditionalFormatting sqref="O1079:O1080">
    <cfRule type="expression" priority="52959" dxfId="4">
      <formula>$H1079="SUBETAPA"</formula>
    </cfRule>
    <cfRule type="expression" priority="52960" dxfId="5">
      <formula>$H1079="CÉLULA CONSTRUTIVA"</formula>
    </cfRule>
    <cfRule type="expression" priority="52961" dxfId="3">
      <formula>$H1079="ETAPA"</formula>
    </cfRule>
  </conditionalFormatting>
  <conditionalFormatting sqref="O1084:O1085">
    <cfRule type="expression" priority="51165" dxfId="4">
      <formula>$H1084="SUBETAPA"</formula>
    </cfRule>
    <cfRule type="expression" priority="51166" dxfId="5">
      <formula>$H1084="CÉLULA CONSTRUTIVA"</formula>
    </cfRule>
    <cfRule type="expression" priority="51167" dxfId="3">
      <formula>$H1084="ETAPA"</formula>
    </cfRule>
  </conditionalFormatting>
  <conditionalFormatting sqref="O1087">
    <cfRule type="expression" priority="51522" dxfId="4">
      <formula>$H1087="SUBETAPA"</formula>
    </cfRule>
    <cfRule type="expression" priority="51523" dxfId="5">
      <formula>$H1087="CÉLULA CONSTRUTIVA"</formula>
    </cfRule>
    <cfRule type="expression" priority="51524" dxfId="3">
      <formula>$H1087="ETAPA"</formula>
    </cfRule>
  </conditionalFormatting>
  <conditionalFormatting sqref="O1082:O1083 O1086 O1088 O1090 O1092">
    <cfRule type="expression" priority="52966" dxfId="4">
      <formula>$H1082="SUBETAPA"</formula>
    </cfRule>
    <cfRule type="expression" priority="52967" dxfId="5">
      <formula>$H1082="CÉLULA CONSTRUTIVA"</formula>
    </cfRule>
    <cfRule type="expression" priority="52968" dxfId="3">
      <formula>$H1082="ETAPA"</formula>
    </cfRule>
  </conditionalFormatting>
  <conditionalFormatting sqref="O1094:O1095">
    <cfRule type="expression" priority="53114" dxfId="4">
      <formula>$H1094="SUBETAPA"</formula>
    </cfRule>
    <cfRule type="expression" priority="53115" dxfId="5">
      <formula>$H1094="CÉLULA CONSTRUTIVA"</formula>
    </cfRule>
    <cfRule type="expression" priority="53116" dxfId="3">
      <formula>$H1094="ETAPA"</formula>
    </cfRule>
  </conditionalFormatting>
  <conditionalFormatting sqref="O1099:O1100">
    <cfRule type="expression" priority="51127" dxfId="4">
      <formula>$H1099="SUBETAPA"</formula>
    </cfRule>
    <cfRule type="expression" priority="51128" dxfId="5">
      <formula>$H1099="CÉLULA CONSTRUTIVA"</formula>
    </cfRule>
    <cfRule type="expression" priority="51129" dxfId="3">
      <formula>$H1099="ETAPA"</formula>
    </cfRule>
  </conditionalFormatting>
  <conditionalFormatting sqref="O1102">
    <cfRule type="expression" priority="51519" dxfId="4">
      <formula>$H1102="SUBETAPA"</formula>
    </cfRule>
    <cfRule type="expression" priority="51520" dxfId="5">
      <formula>$H1102="CÉLULA CONSTRUTIVA"</formula>
    </cfRule>
    <cfRule type="expression" priority="51521" dxfId="3">
      <formula>$H1102="ETAPA"</formula>
    </cfRule>
  </conditionalFormatting>
  <conditionalFormatting sqref="O1097:O1098 O1101 O1103 O1105 O1107">
    <cfRule type="expression" priority="53121" dxfId="4">
      <formula>$H1097="SUBETAPA"</formula>
    </cfRule>
    <cfRule type="expression" priority="53122" dxfId="5">
      <formula>$H1097="CÉLULA CONSTRUTIVA"</formula>
    </cfRule>
    <cfRule type="expression" priority="53123" dxfId="3">
      <formula>$H1097="ETAPA"</formula>
    </cfRule>
  </conditionalFormatting>
  <conditionalFormatting sqref="O1109:O1110">
    <cfRule type="expression" priority="53272" dxfId="4">
      <formula>$H1109="SUBETAPA"</formula>
    </cfRule>
    <cfRule type="expression" priority="53273" dxfId="5">
      <formula>$H1109="CÉLULA CONSTRUTIVA"</formula>
    </cfRule>
    <cfRule type="expression" priority="53274" dxfId="3">
      <formula>$H1109="ETAPA"</formula>
    </cfRule>
  </conditionalFormatting>
  <conditionalFormatting sqref="O1114:O1115">
    <cfRule type="expression" priority="51089" dxfId="4">
      <formula>$H1114="SUBETAPA"</formula>
    </cfRule>
    <cfRule type="expression" priority="51090" dxfId="5">
      <formula>$H1114="CÉLULA CONSTRUTIVA"</formula>
    </cfRule>
    <cfRule type="expression" priority="51091" dxfId="3">
      <formula>$H1114="ETAPA"</formula>
    </cfRule>
  </conditionalFormatting>
  <conditionalFormatting sqref="O1117">
    <cfRule type="expression" priority="51516" dxfId="4">
      <formula>$H1117="SUBETAPA"</formula>
    </cfRule>
    <cfRule type="expression" priority="51517" dxfId="5">
      <formula>$H1117="CÉLULA CONSTRUTIVA"</formula>
    </cfRule>
    <cfRule type="expression" priority="51518" dxfId="3">
      <formula>$H1117="ETAPA"</formula>
    </cfRule>
  </conditionalFormatting>
  <conditionalFormatting sqref="O1112:O1113 O1116 O1118 O1120 O1122">
    <cfRule type="expression" priority="53279" dxfId="4">
      <formula>$H1112="SUBETAPA"</formula>
    </cfRule>
    <cfRule type="expression" priority="53280" dxfId="5">
      <formula>$H1112="CÉLULA CONSTRUTIVA"</formula>
    </cfRule>
    <cfRule type="expression" priority="53281" dxfId="3">
      <formula>$H1112="ETAPA"</formula>
    </cfRule>
  </conditionalFormatting>
  <conditionalFormatting sqref="O1124:O1125">
    <cfRule type="expression" priority="53427" dxfId="4">
      <formula>$H1124="SUBETAPA"</formula>
    </cfRule>
    <cfRule type="expression" priority="53428" dxfId="5">
      <formula>$H1124="CÉLULA CONSTRUTIVA"</formula>
    </cfRule>
    <cfRule type="expression" priority="53429" dxfId="3">
      <formula>$H1124="ETAPA"</formula>
    </cfRule>
  </conditionalFormatting>
  <conditionalFormatting sqref="O1129:O1130">
    <cfRule type="expression" priority="51051" dxfId="4">
      <formula>$H1129="SUBETAPA"</formula>
    </cfRule>
    <cfRule type="expression" priority="51052" dxfId="5">
      <formula>$H1129="CÉLULA CONSTRUTIVA"</formula>
    </cfRule>
    <cfRule type="expression" priority="51053" dxfId="3">
      <formula>$H1129="ETAPA"</formula>
    </cfRule>
  </conditionalFormatting>
  <conditionalFormatting sqref="O1132">
    <cfRule type="expression" priority="51513" dxfId="4">
      <formula>$H1132="SUBETAPA"</formula>
    </cfRule>
    <cfRule type="expression" priority="51514" dxfId="5">
      <formula>$H1132="CÉLULA CONSTRUTIVA"</formula>
    </cfRule>
    <cfRule type="expression" priority="51515" dxfId="3">
      <formula>$H1132="ETAPA"</formula>
    </cfRule>
  </conditionalFormatting>
  <conditionalFormatting sqref="O1127:O1128 O1131 O1133 O1135 O1137">
    <cfRule type="expression" priority="53434" dxfId="4">
      <formula>$H1127="SUBETAPA"</formula>
    </cfRule>
    <cfRule type="expression" priority="53435" dxfId="5">
      <formula>$H1127="CÉLULA CONSTRUTIVA"</formula>
    </cfRule>
    <cfRule type="expression" priority="53436" dxfId="3">
      <formula>$H1127="ETAPA"</formula>
    </cfRule>
  </conditionalFormatting>
  <conditionalFormatting sqref="O1139:O1140">
    <cfRule type="expression" priority="53585" dxfId="4">
      <formula>$H1139="SUBETAPA"</formula>
    </cfRule>
    <cfRule type="expression" priority="53586" dxfId="5">
      <formula>$H1139="CÉLULA CONSTRUTIVA"</formula>
    </cfRule>
    <cfRule type="expression" priority="53587" dxfId="3">
      <formula>$H1139="ETAPA"</formula>
    </cfRule>
  </conditionalFormatting>
  <conditionalFormatting sqref="O1144:O1145">
    <cfRule type="expression" priority="51013" dxfId="4">
      <formula>$H1144="SUBETAPA"</formula>
    </cfRule>
    <cfRule type="expression" priority="51014" dxfId="5">
      <formula>$H1144="CÉLULA CONSTRUTIVA"</formula>
    </cfRule>
    <cfRule type="expression" priority="51015" dxfId="3">
      <formula>$H1144="ETAPA"</formula>
    </cfRule>
  </conditionalFormatting>
  <conditionalFormatting sqref="O1147">
    <cfRule type="expression" priority="51510" dxfId="4">
      <formula>$H1147="SUBETAPA"</formula>
    </cfRule>
    <cfRule type="expression" priority="51511" dxfId="5">
      <formula>$H1147="CÉLULA CONSTRUTIVA"</formula>
    </cfRule>
    <cfRule type="expression" priority="51512" dxfId="3">
      <formula>$H1147="ETAPA"</formula>
    </cfRule>
  </conditionalFormatting>
  <conditionalFormatting sqref="O1142:O1143 O1146 O1148 O1150 O1152">
    <cfRule type="expression" priority="53592" dxfId="4">
      <formula>$H1142="SUBETAPA"</formula>
    </cfRule>
    <cfRule type="expression" priority="53593" dxfId="5">
      <formula>$H1142="CÉLULA CONSTRUTIVA"</formula>
    </cfRule>
    <cfRule type="expression" priority="53594" dxfId="3">
      <formula>$H1142="ETAPA"</formula>
    </cfRule>
  </conditionalFormatting>
  <conditionalFormatting sqref="O1154">
    <cfRule type="expression" priority="58344" dxfId="5">
      <formula>$H1154="CÉLULA CONSTRUTIVA"</formula>
    </cfRule>
    <cfRule type="expression" priority="58345" dxfId="3">
      <formula>$H1154="ETAPA"</formula>
    </cfRule>
    <cfRule type="expression" priority="58346" dxfId="4">
      <formula>$H1154="SUBETAPA"</formula>
    </cfRule>
  </conditionalFormatting>
  <conditionalFormatting sqref="O1239">
    <cfRule type="expression" priority="58341" dxfId="5">
      <formula>$H1239="CÉLULA CONSTRUTIVA"</formula>
    </cfRule>
    <cfRule type="expression" priority="58342" dxfId="3">
      <formula>$H1239="ETAPA"</formula>
    </cfRule>
    <cfRule type="expression" priority="58343" dxfId="4">
      <formula>$H1239="SUBETAPA"</formula>
    </cfRule>
  </conditionalFormatting>
  <conditionalFormatting sqref="O1240:O1241">
    <cfRule type="expression" priority="86985" dxfId="4">
      <formula>$H1240="SUBETAPA"</formula>
    </cfRule>
    <cfRule type="expression" priority="86986" dxfId="5">
      <formula>$H1240="CÉLULA CONSTRUTIVA"</formula>
    </cfRule>
    <cfRule type="expression" priority="86987" dxfId="3">
      <formula>$H1240="ETAPA"</formula>
    </cfRule>
  </conditionalFormatting>
  <conditionalFormatting sqref="O1245:O1246">
    <cfRule type="expression" priority="3554" dxfId="8">
      <formula>$H1245="ETAPA"</formula>
    </cfRule>
    <cfRule type="expression" priority="3555" dxfId="6">
      <formula>$H1245="SUBETAPA"</formula>
    </cfRule>
    <cfRule type="expression" priority="3556" dxfId="8">
      <formula>$H1245="ETAPA"</formula>
    </cfRule>
    <cfRule type="expression" priority="3557" dxfId="6">
      <formula>$H1245="SUBETAPA"</formula>
    </cfRule>
    <cfRule type="expression" priority="3558" dxfId="8">
      <formula>$H1245="ETAPA"</formula>
    </cfRule>
    <cfRule type="expression" priority="3559" dxfId="6">
      <formula>$H1245="SUBETAPA"</formula>
    </cfRule>
    <cfRule type="expression" priority="3560" dxfId="7">
      <formula>$H1245="CÉLULA CONSTRUTIVA"</formula>
    </cfRule>
  </conditionalFormatting>
  <conditionalFormatting sqref="O1249">
    <cfRule type="expression" priority="3561" dxfId="8">
      <formula>$H1249="ETAPA"</formula>
    </cfRule>
    <cfRule type="expression" priority="3562" dxfId="6">
      <formula>$H1249="SUBETAPA"</formula>
    </cfRule>
    <cfRule type="expression" priority="3563" dxfId="8">
      <formula>$H1249="ETAPA"</formula>
    </cfRule>
    <cfRule type="expression" priority="3564" dxfId="6">
      <formula>$H1249="SUBETAPA"</formula>
    </cfRule>
    <cfRule type="expression" priority="3565" dxfId="8">
      <formula>$H1249="ETAPA"</formula>
    </cfRule>
    <cfRule type="expression" priority="3566" dxfId="6">
      <formula>$H1249="SUBETAPA"</formula>
    </cfRule>
    <cfRule type="expression" priority="3567" dxfId="7">
      <formula>$H1249="CÉLULA CONSTRUTIVA"</formula>
    </cfRule>
  </conditionalFormatting>
  <conditionalFormatting sqref="O1252">
    <cfRule type="expression" priority="58338" dxfId="5">
      <formula>$H1252="CÉLULA CONSTRUTIVA"</formula>
    </cfRule>
    <cfRule type="expression" priority="58339" dxfId="3">
      <formula>$H1252="ETAPA"</formula>
    </cfRule>
    <cfRule type="expression" priority="58340" dxfId="4">
      <formula>$H1252="SUBETAPA"</formula>
    </cfRule>
  </conditionalFormatting>
  <conditionalFormatting sqref="O1253:O1254 O1257">
    <cfRule type="expression" priority="2694" dxfId="3">
      <formula>$H1253="ETAPA"</formula>
    </cfRule>
    <cfRule type="expression" priority="2685" dxfId="4">
      <formula>$H1253="SUBETAPA"</formula>
    </cfRule>
    <cfRule type="expression" priority="2686" dxfId="5">
      <formula>$H1253="CÉLULA CONSTRUTIVA"</formula>
    </cfRule>
  </conditionalFormatting>
  <conditionalFormatting sqref="O1255:O1256">
    <cfRule type="expression" priority="2687" dxfId="8">
      <formula>$H1255="ETAPA"</formula>
    </cfRule>
    <cfRule type="expression" priority="2688" dxfId="6">
      <formula>$H1255="SUBETAPA"</formula>
    </cfRule>
    <cfRule type="expression" priority="2689" dxfId="8">
      <formula>$H1255="ETAPA"</formula>
    </cfRule>
    <cfRule type="expression" priority="2690" dxfId="6">
      <formula>$H1255="SUBETAPA"</formula>
    </cfRule>
    <cfRule type="expression" priority="2691" dxfId="8">
      <formula>$H1255="ETAPA"</formula>
    </cfRule>
    <cfRule type="expression" priority="2692" dxfId="6">
      <formula>$H1255="SUBETAPA"</formula>
    </cfRule>
    <cfRule type="expression" priority="2693" dxfId="7">
      <formula>$H1255="CÉLULA CONSTRUTIVA"</formula>
    </cfRule>
  </conditionalFormatting>
  <conditionalFormatting sqref="O1259">
    <cfRule type="expression" priority="2682" dxfId="4">
      <formula>$H1259="SUBETAPA"</formula>
    </cfRule>
    <cfRule type="expression" priority="2683" dxfId="5">
      <formula>$H1259="CÉLULA CONSTRUTIVA"</formula>
    </cfRule>
    <cfRule type="expression" priority="2684" dxfId="3">
      <formula>$H1259="ETAPA"</formula>
    </cfRule>
  </conditionalFormatting>
  <conditionalFormatting sqref="O1260">
    <cfRule type="expression" priority="2679" dxfId="3">
      <formula>$H1260="ETAPA"</formula>
    </cfRule>
    <cfRule type="expression" priority="2680" dxfId="4">
      <formula>$H1260="SUBETAPA"</formula>
    </cfRule>
    <cfRule type="expression" priority="2681" dxfId="5">
      <formula>$H1260="CÉLULA CONSTRUTIVA"</formula>
    </cfRule>
  </conditionalFormatting>
  <conditionalFormatting sqref="O1261">
    <cfRule type="expression" priority="2658" dxfId="8">
      <formula>$H1261="ETAPA"</formula>
    </cfRule>
    <cfRule type="expression" priority="2659" dxfId="6">
      <formula>$H1261="SUBETAPA"</formula>
    </cfRule>
    <cfRule type="expression" priority="2660" dxfId="8">
      <formula>$H1261="ETAPA"</formula>
    </cfRule>
    <cfRule type="expression" priority="2661" dxfId="6">
      <formula>$H1261="SUBETAPA"</formula>
    </cfRule>
    <cfRule type="expression" priority="2662" dxfId="8">
      <formula>$H1261="ETAPA"</formula>
    </cfRule>
    <cfRule type="expression" priority="2663" dxfId="6">
      <formula>$H1261="SUBETAPA"</formula>
    </cfRule>
    <cfRule type="expression" priority="2664" dxfId="7">
      <formula>$H1261="CÉLULA CONSTRUTIVA"</formula>
    </cfRule>
  </conditionalFormatting>
  <conditionalFormatting sqref="O1262:O1266">
    <cfRule type="expression" priority="2676" dxfId="4">
      <formula>$H1262="SUBETAPA"</formula>
    </cfRule>
    <cfRule type="expression" priority="2677" dxfId="5">
      <formula>$H1262="CÉLULA CONSTRUTIVA"</formula>
    </cfRule>
    <cfRule type="expression" priority="2678" dxfId="3">
      <formula>$H1262="ETAPA"</formula>
    </cfRule>
  </conditionalFormatting>
  <conditionalFormatting sqref="O1267:O1268 O1271">
    <cfRule type="expression" priority="2763" dxfId="3">
      <formula>$H1267="ETAPA"</formula>
    </cfRule>
    <cfRule type="expression" priority="2754" dxfId="4">
      <formula>$H1267="SUBETAPA"</formula>
    </cfRule>
    <cfRule type="expression" priority="2755" dxfId="5">
      <formula>$H1267="CÉLULA CONSTRUTIVA"</formula>
    </cfRule>
  </conditionalFormatting>
  <conditionalFormatting sqref="O1269:O1270">
    <cfRule type="expression" priority="2756" dxfId="8">
      <formula>$H1269="ETAPA"</formula>
    </cfRule>
    <cfRule type="expression" priority="2757" dxfId="6">
      <formula>$H1269="SUBETAPA"</formula>
    </cfRule>
    <cfRule type="expression" priority="2758" dxfId="8">
      <formula>$H1269="ETAPA"</formula>
    </cfRule>
    <cfRule type="expression" priority="2759" dxfId="6">
      <formula>$H1269="SUBETAPA"</formula>
    </cfRule>
    <cfRule type="expression" priority="2760" dxfId="8">
      <formula>$H1269="ETAPA"</formula>
    </cfRule>
    <cfRule type="expression" priority="2761" dxfId="6">
      <formula>$H1269="SUBETAPA"</formula>
    </cfRule>
    <cfRule type="expression" priority="2762" dxfId="7">
      <formula>$H1269="CÉLULA CONSTRUTIVA"</formula>
    </cfRule>
  </conditionalFormatting>
  <conditionalFormatting sqref="O1273">
    <cfRule type="expression" priority="2751" dxfId="4">
      <formula>$H1273="SUBETAPA"</formula>
    </cfRule>
    <cfRule type="expression" priority="2752" dxfId="5">
      <formula>$H1273="CÉLULA CONSTRUTIVA"</formula>
    </cfRule>
    <cfRule type="expression" priority="2753" dxfId="3">
      <formula>$H1273="ETAPA"</formula>
    </cfRule>
  </conditionalFormatting>
  <conditionalFormatting sqref="O1274">
    <cfRule type="expression" priority="2748" dxfId="3">
      <formula>$H1274="ETAPA"</formula>
    </cfRule>
    <cfRule type="expression" priority="2749" dxfId="4">
      <formula>$H1274="SUBETAPA"</formula>
    </cfRule>
    <cfRule type="expression" priority="2750" dxfId="5">
      <formula>$H1274="CÉLULA CONSTRUTIVA"</formula>
    </cfRule>
  </conditionalFormatting>
  <conditionalFormatting sqref="O1275">
    <cfRule type="expression" priority="2727" dxfId="8">
      <formula>$H1275="ETAPA"</formula>
    </cfRule>
    <cfRule type="expression" priority="2728" dxfId="6">
      <formula>$H1275="SUBETAPA"</formula>
    </cfRule>
    <cfRule type="expression" priority="2729" dxfId="8">
      <formula>$H1275="ETAPA"</formula>
    </cfRule>
    <cfRule type="expression" priority="2730" dxfId="6">
      <formula>$H1275="SUBETAPA"</formula>
    </cfRule>
    <cfRule type="expression" priority="2731" dxfId="8">
      <formula>$H1275="ETAPA"</formula>
    </cfRule>
    <cfRule type="expression" priority="2732" dxfId="6">
      <formula>$H1275="SUBETAPA"</formula>
    </cfRule>
    <cfRule type="expression" priority="2733" dxfId="7">
      <formula>$H1275="CÉLULA CONSTRUTIVA"</formula>
    </cfRule>
  </conditionalFormatting>
  <conditionalFormatting sqref="O1276:O1280">
    <cfRule type="expression" priority="2745" dxfId="4">
      <formula>$H1276="SUBETAPA"</formula>
    </cfRule>
    <cfRule type="expression" priority="2746" dxfId="5">
      <formula>$H1276="CÉLULA CONSTRUTIVA"</formula>
    </cfRule>
    <cfRule type="expression" priority="2747" dxfId="3">
      <formula>$H1276="ETAPA"</formula>
    </cfRule>
  </conditionalFormatting>
  <conditionalFormatting sqref="O1281:O1282 O1285">
    <cfRule type="expression" priority="2832" dxfId="3">
      <formula>$H1281="ETAPA"</formula>
    </cfRule>
    <cfRule type="expression" priority="2823" dxfId="4">
      <formula>$H1281="SUBETAPA"</formula>
    </cfRule>
    <cfRule type="expression" priority="2824" dxfId="5">
      <formula>$H1281="CÉLULA CONSTRUTIVA"</formula>
    </cfRule>
  </conditionalFormatting>
  <conditionalFormatting sqref="O1283:O1284">
    <cfRule type="expression" priority="2825" dxfId="8">
      <formula>$H1283="ETAPA"</formula>
    </cfRule>
    <cfRule type="expression" priority="2826" dxfId="6">
      <formula>$H1283="SUBETAPA"</formula>
    </cfRule>
    <cfRule type="expression" priority="2827" dxfId="8">
      <formula>$H1283="ETAPA"</formula>
    </cfRule>
    <cfRule type="expression" priority="2828" dxfId="6">
      <formula>$H1283="SUBETAPA"</formula>
    </cfRule>
    <cfRule type="expression" priority="2829" dxfId="8">
      <formula>$H1283="ETAPA"</formula>
    </cfRule>
    <cfRule type="expression" priority="2830" dxfId="6">
      <formula>$H1283="SUBETAPA"</formula>
    </cfRule>
    <cfRule type="expression" priority="2831" dxfId="7">
      <formula>$H1283="CÉLULA CONSTRUTIVA"</formula>
    </cfRule>
  </conditionalFormatting>
  <conditionalFormatting sqref="O1287">
    <cfRule type="expression" priority="2820" dxfId="4">
      <formula>$H1287="SUBETAPA"</formula>
    </cfRule>
    <cfRule type="expression" priority="2821" dxfId="5">
      <formula>$H1287="CÉLULA CONSTRUTIVA"</formula>
    </cfRule>
    <cfRule type="expression" priority="2822" dxfId="3">
      <formula>$H1287="ETAPA"</formula>
    </cfRule>
  </conditionalFormatting>
  <conditionalFormatting sqref="O1288">
    <cfRule type="expression" priority="2817" dxfId="3">
      <formula>$H1288="ETAPA"</formula>
    </cfRule>
    <cfRule type="expression" priority="2818" dxfId="4">
      <formula>$H1288="SUBETAPA"</formula>
    </cfRule>
    <cfRule type="expression" priority="2819" dxfId="5">
      <formula>$H1288="CÉLULA CONSTRUTIVA"</formula>
    </cfRule>
  </conditionalFormatting>
  <conditionalFormatting sqref="O1289">
    <cfRule type="expression" priority="2796" dxfId="8">
      <formula>$H1289="ETAPA"</formula>
    </cfRule>
    <cfRule type="expression" priority="2797" dxfId="6">
      <formula>$H1289="SUBETAPA"</formula>
    </cfRule>
    <cfRule type="expression" priority="2798" dxfId="8">
      <formula>$H1289="ETAPA"</formula>
    </cfRule>
    <cfRule type="expression" priority="2799" dxfId="6">
      <formula>$H1289="SUBETAPA"</formula>
    </cfRule>
    <cfRule type="expression" priority="2800" dxfId="8">
      <formula>$H1289="ETAPA"</formula>
    </cfRule>
    <cfRule type="expression" priority="2801" dxfId="6">
      <formula>$H1289="SUBETAPA"</formula>
    </cfRule>
    <cfRule type="expression" priority="2802" dxfId="7">
      <formula>$H1289="CÉLULA CONSTRUTIVA"</formula>
    </cfRule>
  </conditionalFormatting>
  <conditionalFormatting sqref="O1290:O1294">
    <cfRule type="expression" priority="2814" dxfId="4">
      <formula>$H1290="SUBETAPA"</formula>
    </cfRule>
    <cfRule type="expression" priority="2815" dxfId="5">
      <formula>$H1290="CÉLULA CONSTRUTIVA"</formula>
    </cfRule>
    <cfRule type="expression" priority="2816" dxfId="3">
      <formula>$H1290="ETAPA"</formula>
    </cfRule>
  </conditionalFormatting>
  <conditionalFormatting sqref="O1295:O1296 O1299">
    <cfRule type="expression" priority="2901" dxfId="3">
      <formula>$H1295="ETAPA"</formula>
    </cfRule>
    <cfRule type="expression" priority="2892" dxfId="4">
      <formula>$H1295="SUBETAPA"</formula>
    </cfRule>
    <cfRule type="expression" priority="2893" dxfId="5">
      <formula>$H1295="CÉLULA CONSTRUTIVA"</formula>
    </cfRule>
  </conditionalFormatting>
  <conditionalFormatting sqref="O1297:O1298">
    <cfRule type="expression" priority="2894" dxfId="8">
      <formula>$H1297="ETAPA"</formula>
    </cfRule>
    <cfRule type="expression" priority="2895" dxfId="6">
      <formula>$H1297="SUBETAPA"</formula>
    </cfRule>
    <cfRule type="expression" priority="2896" dxfId="8">
      <formula>$H1297="ETAPA"</formula>
    </cfRule>
    <cfRule type="expression" priority="2897" dxfId="6">
      <formula>$H1297="SUBETAPA"</formula>
    </cfRule>
    <cfRule type="expression" priority="2898" dxfId="8">
      <formula>$H1297="ETAPA"</formula>
    </cfRule>
    <cfRule type="expression" priority="2899" dxfId="6">
      <formula>$H1297="SUBETAPA"</formula>
    </cfRule>
    <cfRule type="expression" priority="2900" dxfId="7">
      <formula>$H1297="CÉLULA CONSTRUTIVA"</formula>
    </cfRule>
  </conditionalFormatting>
  <conditionalFormatting sqref="O1301">
    <cfRule type="expression" priority="2889" dxfId="4">
      <formula>$H1301="SUBETAPA"</formula>
    </cfRule>
    <cfRule type="expression" priority="2890" dxfId="5">
      <formula>$H1301="CÉLULA CONSTRUTIVA"</formula>
    </cfRule>
    <cfRule type="expression" priority="2891" dxfId="3">
      <formula>$H1301="ETAPA"</formula>
    </cfRule>
  </conditionalFormatting>
  <conditionalFormatting sqref="O1302">
    <cfRule type="expression" priority="2886" dxfId="3">
      <formula>$H1302="ETAPA"</formula>
    </cfRule>
    <cfRule type="expression" priority="2887" dxfId="4">
      <formula>$H1302="SUBETAPA"</formula>
    </cfRule>
    <cfRule type="expression" priority="2888" dxfId="5">
      <formula>$H1302="CÉLULA CONSTRUTIVA"</formula>
    </cfRule>
  </conditionalFormatting>
  <conditionalFormatting sqref="O1303">
    <cfRule type="expression" priority="2865" dxfId="8">
      <formula>$H1303="ETAPA"</formula>
    </cfRule>
    <cfRule type="expression" priority="2866" dxfId="6">
      <formula>$H1303="SUBETAPA"</formula>
    </cfRule>
    <cfRule type="expression" priority="2867" dxfId="8">
      <formula>$H1303="ETAPA"</formula>
    </cfRule>
    <cfRule type="expression" priority="2868" dxfId="6">
      <formula>$H1303="SUBETAPA"</formula>
    </cfRule>
    <cfRule type="expression" priority="2869" dxfId="8">
      <formula>$H1303="ETAPA"</formula>
    </cfRule>
    <cfRule type="expression" priority="2870" dxfId="6">
      <formula>$H1303="SUBETAPA"</formula>
    </cfRule>
    <cfRule type="expression" priority="2871" dxfId="7">
      <formula>$H1303="CÉLULA CONSTRUTIVA"</formula>
    </cfRule>
  </conditionalFormatting>
  <conditionalFormatting sqref="O1304:O1308">
    <cfRule type="expression" priority="2883" dxfId="4">
      <formula>$H1304="SUBETAPA"</formula>
    </cfRule>
    <cfRule type="expression" priority="2884" dxfId="5">
      <formula>$H1304="CÉLULA CONSTRUTIVA"</formula>
    </cfRule>
    <cfRule type="expression" priority="2885" dxfId="3">
      <formula>$H1304="ETAPA"</formula>
    </cfRule>
  </conditionalFormatting>
  <conditionalFormatting sqref="O1309:O1310 O1313">
    <cfRule type="expression" priority="2970" dxfId="3">
      <formula>$H1309="ETAPA"</formula>
    </cfRule>
    <cfRule type="expression" priority="2961" dxfId="4">
      <formula>$H1309="SUBETAPA"</formula>
    </cfRule>
    <cfRule type="expression" priority="2962" dxfId="5">
      <formula>$H1309="CÉLULA CONSTRUTIVA"</formula>
    </cfRule>
  </conditionalFormatting>
  <conditionalFormatting sqref="O1311:O1312">
    <cfRule type="expression" priority="2963" dxfId="8">
      <formula>$H1311="ETAPA"</formula>
    </cfRule>
    <cfRule type="expression" priority="2964" dxfId="6">
      <formula>$H1311="SUBETAPA"</formula>
    </cfRule>
    <cfRule type="expression" priority="2965" dxfId="8">
      <formula>$H1311="ETAPA"</formula>
    </cfRule>
    <cfRule type="expression" priority="2966" dxfId="6">
      <formula>$H1311="SUBETAPA"</formula>
    </cfRule>
    <cfRule type="expression" priority="2967" dxfId="8">
      <formula>$H1311="ETAPA"</formula>
    </cfRule>
    <cfRule type="expression" priority="2968" dxfId="6">
      <formula>$H1311="SUBETAPA"</formula>
    </cfRule>
    <cfRule type="expression" priority="2969" dxfId="7">
      <formula>$H1311="CÉLULA CONSTRUTIVA"</formula>
    </cfRule>
  </conditionalFormatting>
  <conditionalFormatting sqref="O1315">
    <cfRule type="expression" priority="2958" dxfId="4">
      <formula>$H1315="SUBETAPA"</formula>
    </cfRule>
    <cfRule type="expression" priority="2959" dxfId="5">
      <formula>$H1315="CÉLULA CONSTRUTIVA"</formula>
    </cfRule>
    <cfRule type="expression" priority="2960" dxfId="3">
      <formula>$H1315="ETAPA"</formula>
    </cfRule>
  </conditionalFormatting>
  <conditionalFormatting sqref="O1316">
    <cfRule type="expression" priority="2955" dxfId="3">
      <formula>$H1316="ETAPA"</formula>
    </cfRule>
    <cfRule type="expression" priority="2956" dxfId="4">
      <formula>$H1316="SUBETAPA"</formula>
    </cfRule>
    <cfRule type="expression" priority="2957" dxfId="5">
      <formula>$H1316="CÉLULA CONSTRUTIVA"</formula>
    </cfRule>
  </conditionalFormatting>
  <conditionalFormatting sqref="O1317">
    <cfRule type="expression" priority="2934" dxfId="8">
      <formula>$H1317="ETAPA"</formula>
    </cfRule>
    <cfRule type="expression" priority="2935" dxfId="6">
      <formula>$H1317="SUBETAPA"</formula>
    </cfRule>
    <cfRule type="expression" priority="2936" dxfId="8">
      <formula>$H1317="ETAPA"</formula>
    </cfRule>
    <cfRule type="expression" priority="2937" dxfId="6">
      <formula>$H1317="SUBETAPA"</formula>
    </cfRule>
    <cfRule type="expression" priority="2938" dxfId="8">
      <formula>$H1317="ETAPA"</formula>
    </cfRule>
    <cfRule type="expression" priority="2939" dxfId="6">
      <formula>$H1317="SUBETAPA"</formula>
    </cfRule>
    <cfRule type="expression" priority="2940" dxfId="7">
      <formula>$H1317="CÉLULA CONSTRUTIVA"</formula>
    </cfRule>
  </conditionalFormatting>
  <conditionalFormatting sqref="O1318:O1322">
    <cfRule type="expression" priority="2952" dxfId="4">
      <formula>$H1318="SUBETAPA"</formula>
    </cfRule>
    <cfRule type="expression" priority="2953" dxfId="5">
      <formula>$H1318="CÉLULA CONSTRUTIVA"</formula>
    </cfRule>
    <cfRule type="expression" priority="2954" dxfId="3">
      <formula>$H1318="ETAPA"</formula>
    </cfRule>
  </conditionalFormatting>
  <conditionalFormatting sqref="O1323:O1324 O1327">
    <cfRule type="expression" priority="3039" dxfId="3">
      <formula>$H1323="ETAPA"</formula>
    </cfRule>
    <cfRule type="expression" priority="3030" dxfId="4">
      <formula>$H1323="SUBETAPA"</formula>
    </cfRule>
    <cfRule type="expression" priority="3031" dxfId="5">
      <formula>$H1323="CÉLULA CONSTRUTIVA"</formula>
    </cfRule>
  </conditionalFormatting>
  <conditionalFormatting sqref="O1325:O1326">
    <cfRule type="expression" priority="3032" dxfId="8">
      <formula>$H1325="ETAPA"</formula>
    </cfRule>
    <cfRule type="expression" priority="3033" dxfId="6">
      <formula>$H1325="SUBETAPA"</formula>
    </cfRule>
    <cfRule type="expression" priority="3034" dxfId="8">
      <formula>$H1325="ETAPA"</formula>
    </cfRule>
    <cfRule type="expression" priority="3035" dxfId="6">
      <formula>$H1325="SUBETAPA"</formula>
    </cfRule>
    <cfRule type="expression" priority="3036" dxfId="8">
      <formula>$H1325="ETAPA"</formula>
    </cfRule>
    <cfRule type="expression" priority="3037" dxfId="6">
      <formula>$H1325="SUBETAPA"</formula>
    </cfRule>
    <cfRule type="expression" priority="3038" dxfId="7">
      <formula>$H1325="CÉLULA CONSTRUTIVA"</formula>
    </cfRule>
  </conditionalFormatting>
  <conditionalFormatting sqref="O1329">
    <cfRule type="expression" priority="3027" dxfId="4">
      <formula>$H1329="SUBETAPA"</formula>
    </cfRule>
    <cfRule type="expression" priority="3028" dxfId="5">
      <formula>$H1329="CÉLULA CONSTRUTIVA"</formula>
    </cfRule>
    <cfRule type="expression" priority="3029" dxfId="3">
      <formula>$H1329="ETAPA"</formula>
    </cfRule>
  </conditionalFormatting>
  <conditionalFormatting sqref="O1330">
    <cfRule type="expression" priority="3024" dxfId="3">
      <formula>$H1330="ETAPA"</formula>
    </cfRule>
    <cfRule type="expression" priority="3025" dxfId="4">
      <formula>$H1330="SUBETAPA"</formula>
    </cfRule>
    <cfRule type="expression" priority="3026" dxfId="5">
      <formula>$H1330="CÉLULA CONSTRUTIVA"</formula>
    </cfRule>
  </conditionalFormatting>
  <conditionalFormatting sqref="O1331">
    <cfRule type="expression" priority="3003" dxfId="8">
      <formula>$H1331="ETAPA"</formula>
    </cfRule>
    <cfRule type="expression" priority="3004" dxfId="6">
      <formula>$H1331="SUBETAPA"</formula>
    </cfRule>
    <cfRule type="expression" priority="3005" dxfId="8">
      <formula>$H1331="ETAPA"</formula>
    </cfRule>
    <cfRule type="expression" priority="3006" dxfId="6">
      <formula>$H1331="SUBETAPA"</formula>
    </cfRule>
    <cfRule type="expression" priority="3007" dxfId="8">
      <formula>$H1331="ETAPA"</formula>
    </cfRule>
    <cfRule type="expression" priority="3008" dxfId="6">
      <formula>$H1331="SUBETAPA"</formula>
    </cfRule>
    <cfRule type="expression" priority="3009" dxfId="7">
      <formula>$H1331="CÉLULA CONSTRUTIVA"</formula>
    </cfRule>
  </conditionalFormatting>
  <conditionalFormatting sqref="O1332:O1336">
    <cfRule type="expression" priority="3021" dxfId="4">
      <formula>$H1332="SUBETAPA"</formula>
    </cfRule>
    <cfRule type="expression" priority="3022" dxfId="5">
      <formula>$H1332="CÉLULA CONSTRUTIVA"</formula>
    </cfRule>
    <cfRule type="expression" priority="3023" dxfId="3">
      <formula>$H1332="ETAPA"</formula>
    </cfRule>
  </conditionalFormatting>
  <conditionalFormatting sqref="O1337:O1338 O1341">
    <cfRule type="expression" priority="3108" dxfId="3">
      <formula>$H1337="ETAPA"</formula>
    </cfRule>
    <cfRule type="expression" priority="3099" dxfId="4">
      <formula>$H1337="SUBETAPA"</formula>
    </cfRule>
    <cfRule type="expression" priority="3100" dxfId="5">
      <formula>$H1337="CÉLULA CONSTRUTIVA"</formula>
    </cfRule>
  </conditionalFormatting>
  <conditionalFormatting sqref="O1339:O1340">
    <cfRule type="expression" priority="3101" dxfId="8">
      <formula>$H1339="ETAPA"</formula>
    </cfRule>
    <cfRule type="expression" priority="3102" dxfId="6">
      <formula>$H1339="SUBETAPA"</formula>
    </cfRule>
    <cfRule type="expression" priority="3103" dxfId="8">
      <formula>$H1339="ETAPA"</formula>
    </cfRule>
    <cfRule type="expression" priority="3104" dxfId="6">
      <formula>$H1339="SUBETAPA"</formula>
    </cfRule>
    <cfRule type="expression" priority="3105" dxfId="8">
      <formula>$H1339="ETAPA"</formula>
    </cfRule>
    <cfRule type="expression" priority="3106" dxfId="6">
      <formula>$H1339="SUBETAPA"</formula>
    </cfRule>
    <cfRule type="expression" priority="3107" dxfId="7">
      <formula>$H1339="CÉLULA CONSTRUTIVA"</formula>
    </cfRule>
  </conditionalFormatting>
  <conditionalFormatting sqref="O1343">
    <cfRule type="expression" priority="3096" dxfId="4">
      <formula>$H1343="SUBETAPA"</formula>
    </cfRule>
    <cfRule type="expression" priority="3097" dxfId="5">
      <formula>$H1343="CÉLULA CONSTRUTIVA"</formula>
    </cfRule>
    <cfRule type="expression" priority="3098" dxfId="3">
      <formula>$H1343="ETAPA"</formula>
    </cfRule>
  </conditionalFormatting>
  <conditionalFormatting sqref="O1344">
    <cfRule type="expression" priority="3093" dxfId="3">
      <formula>$H1344="ETAPA"</formula>
    </cfRule>
    <cfRule type="expression" priority="3094" dxfId="4">
      <formula>$H1344="SUBETAPA"</formula>
    </cfRule>
    <cfRule type="expression" priority="3095" dxfId="5">
      <formula>$H1344="CÉLULA CONSTRUTIVA"</formula>
    </cfRule>
  </conditionalFormatting>
  <conditionalFormatting sqref="O1345">
    <cfRule type="expression" priority="3072" dxfId="8">
      <formula>$H1345="ETAPA"</formula>
    </cfRule>
    <cfRule type="expression" priority="3073" dxfId="6">
      <formula>$H1345="SUBETAPA"</formula>
    </cfRule>
    <cfRule type="expression" priority="3074" dxfId="8">
      <formula>$H1345="ETAPA"</formula>
    </cfRule>
    <cfRule type="expression" priority="3075" dxfId="6">
      <formula>$H1345="SUBETAPA"</formula>
    </cfRule>
    <cfRule type="expression" priority="3076" dxfId="8">
      <formula>$H1345="ETAPA"</formula>
    </cfRule>
    <cfRule type="expression" priority="3077" dxfId="6">
      <formula>$H1345="SUBETAPA"</formula>
    </cfRule>
    <cfRule type="expression" priority="3078" dxfId="7">
      <formula>$H1345="CÉLULA CONSTRUTIVA"</formula>
    </cfRule>
  </conditionalFormatting>
  <conditionalFormatting sqref="O1346:O1350">
    <cfRule type="expression" priority="3090" dxfId="4">
      <formula>$H1346="SUBETAPA"</formula>
    </cfRule>
    <cfRule type="expression" priority="3091" dxfId="5">
      <formula>$H1346="CÉLULA CONSTRUTIVA"</formula>
    </cfRule>
    <cfRule type="expression" priority="3092" dxfId="3">
      <formula>$H1346="ETAPA"</formula>
    </cfRule>
  </conditionalFormatting>
  <conditionalFormatting sqref="O1351:O1352 O1355">
    <cfRule type="expression" priority="86699" dxfId="3">
      <formula>$H1351="ETAPA"</formula>
    </cfRule>
    <cfRule type="expression" priority="86697" dxfId="4">
      <formula>$H1351="SUBETAPA"</formula>
    </cfRule>
    <cfRule type="expression" priority="86698" dxfId="5">
      <formula>$H1351="CÉLULA CONSTRUTIVA"</formula>
    </cfRule>
  </conditionalFormatting>
  <conditionalFormatting sqref="O1353:O1354">
    <cfRule type="expression" priority="3547" dxfId="8">
      <formula>$H1353="ETAPA"</formula>
    </cfRule>
    <cfRule type="expression" priority="3548" dxfId="6">
      <formula>$H1353="SUBETAPA"</formula>
    </cfRule>
    <cfRule type="expression" priority="3549" dxfId="8">
      <formula>$H1353="ETAPA"</formula>
    </cfRule>
    <cfRule type="expression" priority="3550" dxfId="6">
      <formula>$H1353="SUBETAPA"</formula>
    </cfRule>
    <cfRule type="expression" priority="3551" dxfId="8">
      <formula>$H1353="ETAPA"</formula>
    </cfRule>
    <cfRule type="expression" priority="3552" dxfId="6">
      <formula>$H1353="SUBETAPA"</formula>
    </cfRule>
    <cfRule type="expression" priority="3553" dxfId="7">
      <formula>$H1353="CÉLULA CONSTRUTIVA"</formula>
    </cfRule>
  </conditionalFormatting>
  <conditionalFormatting sqref="O1357">
    <cfRule type="expression" priority="59896" dxfId="4">
      <formula>$H1357="SUBETAPA"</formula>
    </cfRule>
    <cfRule type="expression" priority="59897" dxfId="5">
      <formula>$H1357="CÉLULA CONSTRUTIVA"</formula>
    </cfRule>
    <cfRule type="expression" priority="59898" dxfId="3">
      <formula>$H1357="ETAPA"</formula>
    </cfRule>
  </conditionalFormatting>
  <conditionalFormatting sqref="O1358">
    <cfRule type="expression" priority="3537" dxfId="3">
      <formula>$H1358="ETAPA"</formula>
    </cfRule>
    <cfRule type="expression" priority="3538" dxfId="4">
      <formula>$H1358="SUBETAPA"</formula>
    </cfRule>
    <cfRule type="expression" priority="3539" dxfId="5">
      <formula>$H1358="CÉLULA CONSTRUTIVA"</formula>
    </cfRule>
  </conditionalFormatting>
  <conditionalFormatting sqref="O1359">
    <cfRule type="expression" priority="3141" dxfId="8">
      <formula>$H1359="ETAPA"</formula>
    </cfRule>
    <cfRule type="expression" priority="3142" dxfId="6">
      <formula>$H1359="SUBETAPA"</formula>
    </cfRule>
    <cfRule type="expression" priority="3143" dxfId="8">
      <formula>$H1359="ETAPA"</formula>
    </cfRule>
    <cfRule type="expression" priority="3144" dxfId="6">
      <formula>$H1359="SUBETAPA"</formula>
    </cfRule>
    <cfRule type="expression" priority="3145" dxfId="8">
      <formula>$H1359="ETAPA"</formula>
    </cfRule>
    <cfRule type="expression" priority="3146" dxfId="6">
      <formula>$H1359="SUBETAPA"</formula>
    </cfRule>
    <cfRule type="expression" priority="3147" dxfId="7">
      <formula>$H1359="CÉLULA CONSTRUTIVA"</formula>
    </cfRule>
  </conditionalFormatting>
  <conditionalFormatting sqref="O1360:O1364">
    <cfRule type="expression" priority="86717" dxfId="4">
      <formula>$H1360="SUBETAPA"</formula>
    </cfRule>
    <cfRule type="expression" priority="86718" dxfId="5">
      <formula>$H1360="CÉLULA CONSTRUTIVA"</formula>
    </cfRule>
    <cfRule type="expression" priority="86719" dxfId="3">
      <formula>$H1360="ETAPA"</formula>
    </cfRule>
  </conditionalFormatting>
  <conditionalFormatting sqref="O1365">
    <cfRule type="expression" priority="58335" dxfId="5">
      <formula>$H1365="CÉLULA CONSTRUTIVA"</formula>
    </cfRule>
    <cfRule type="expression" priority="58336" dxfId="3">
      <formula>$H1365="ETAPA"</formula>
    </cfRule>
    <cfRule type="expression" priority="58337" dxfId="4">
      <formula>$H1365="SUBETAPA"</formula>
    </cfRule>
  </conditionalFormatting>
  <conditionalFormatting sqref="O1366:O1368">
    <cfRule type="expression" priority="53755" dxfId="4">
      <formula>$H1366="SUBETAPA"</formula>
    </cfRule>
    <cfRule type="expression" priority="53756" dxfId="5">
      <formula>$H1366="CÉLULA CONSTRUTIVA"</formula>
    </cfRule>
    <cfRule type="expression" priority="53757" dxfId="3">
      <formula>$H1366="ETAPA"</formula>
    </cfRule>
  </conditionalFormatting>
  <conditionalFormatting sqref="O1370">
    <cfRule type="expression" priority="3530" dxfId="8">
      <formula>$H1370="ETAPA"</formula>
    </cfRule>
    <cfRule type="expression" priority="3531" dxfId="6">
      <formula>$H1370="SUBETAPA"</formula>
    </cfRule>
    <cfRule type="expression" priority="3532" dxfId="8">
      <formula>$H1370="ETAPA"</formula>
    </cfRule>
    <cfRule type="expression" priority="3533" dxfId="6">
      <formula>$H1370="SUBETAPA"</formula>
    </cfRule>
    <cfRule type="expression" priority="3534" dxfId="8">
      <formula>$H1370="ETAPA"</formula>
    </cfRule>
    <cfRule type="expression" priority="3535" dxfId="6">
      <formula>$H1370="SUBETAPA"</formula>
    </cfRule>
    <cfRule type="expression" priority="3536" dxfId="7">
      <formula>$H1370="CÉLULA CONSTRUTIVA"</formula>
    </cfRule>
  </conditionalFormatting>
  <conditionalFormatting sqref="O1373">
    <cfRule type="expression" priority="3523" dxfId="8">
      <formula>$H1373="ETAPA"</formula>
    </cfRule>
    <cfRule type="expression" priority="3524" dxfId="6">
      <formula>$H1373="SUBETAPA"</formula>
    </cfRule>
    <cfRule type="expression" priority="3525" dxfId="8">
      <formula>$H1373="ETAPA"</formula>
    </cfRule>
    <cfRule type="expression" priority="3526" dxfId="6">
      <formula>$H1373="SUBETAPA"</formula>
    </cfRule>
    <cfRule type="expression" priority="3527" dxfId="8">
      <formula>$H1373="ETAPA"</formula>
    </cfRule>
    <cfRule type="expression" priority="3528" dxfId="6">
      <formula>$H1373="SUBETAPA"</formula>
    </cfRule>
    <cfRule type="expression" priority="3529" dxfId="7">
      <formula>$H1373="CÉLULA CONSTRUTIVA"</formula>
    </cfRule>
  </conditionalFormatting>
  <conditionalFormatting sqref="H1376 J1376:L1376 O1376">
    <cfRule type="expression" priority="54014" dxfId="3">
      <formula>$H1376="ETAPA"</formula>
    </cfRule>
  </conditionalFormatting>
  <conditionalFormatting sqref="H1379 J1379:L1379 O1379">
    <cfRule type="expression" priority="54138" dxfId="3">
      <formula>$H1379="ETAPA"</formula>
    </cfRule>
  </conditionalFormatting>
  <conditionalFormatting sqref="H1382 J1382:L1382 O1382">
    <cfRule type="expression" priority="54262" dxfId="3">
      <formula>$H1382="ETAPA"</formula>
    </cfRule>
  </conditionalFormatting>
  <conditionalFormatting sqref="H1385 J1385:L1385 O1385">
    <cfRule type="expression" priority="54386" dxfId="3">
      <formula>$H1385="ETAPA"</formula>
    </cfRule>
  </conditionalFormatting>
  <conditionalFormatting sqref="O1386:O1388">
    <cfRule type="expression" priority="54499" dxfId="4">
      <formula>$H1386="SUBETAPA"</formula>
    </cfRule>
    <cfRule type="expression" priority="54500" dxfId="5">
      <formula>$H1386="CÉLULA CONSTRUTIVA"</formula>
    </cfRule>
    <cfRule type="expression" priority="54501" dxfId="3">
      <formula>$H1386="ETAPA"</formula>
    </cfRule>
  </conditionalFormatting>
  <conditionalFormatting sqref="H1390 J1390:L1390 O1390">
    <cfRule type="expression" priority="54510" dxfId="3">
      <formula>$H1390="ETAPA"</formula>
    </cfRule>
  </conditionalFormatting>
  <conditionalFormatting sqref="O1391:O1392">
    <cfRule type="expression" priority="54505" dxfId="4">
      <formula>$H1391="SUBETAPA"</formula>
    </cfRule>
    <cfRule type="expression" priority="54506" dxfId="5">
      <formula>$H1391="CÉLULA CONSTRUTIVA"</formula>
    </cfRule>
    <cfRule type="expression" priority="54507" dxfId="3">
      <formula>$H1391="ETAPA"</formula>
    </cfRule>
  </conditionalFormatting>
  <conditionalFormatting sqref="O1393:O1395">
    <cfRule type="expression" priority="54623" dxfId="4">
      <formula>$H1393="SUBETAPA"</formula>
    </cfRule>
    <cfRule type="expression" priority="54624" dxfId="5">
      <formula>$H1393="CÉLULA CONSTRUTIVA"</formula>
    </cfRule>
    <cfRule type="expression" priority="54625" dxfId="3">
      <formula>$H1393="ETAPA"</formula>
    </cfRule>
  </conditionalFormatting>
  <conditionalFormatting sqref="H1397 J1397:L1397 O1397">
    <cfRule type="expression" priority="54634" dxfId="3">
      <formula>$H1397="ETAPA"</formula>
    </cfRule>
  </conditionalFormatting>
  <conditionalFormatting sqref="O1398:O1399">
    <cfRule type="expression" priority="54629" dxfId="4">
      <formula>$H1398="SUBETAPA"</formula>
    </cfRule>
    <cfRule type="expression" priority="54630" dxfId="5">
      <formula>$H1398="CÉLULA CONSTRUTIVA"</formula>
    </cfRule>
    <cfRule type="expression" priority="54631" dxfId="3">
      <formula>$H1398="ETAPA"</formula>
    </cfRule>
  </conditionalFormatting>
  <conditionalFormatting sqref="O1400:O1402">
    <cfRule type="expression" priority="54747" dxfId="4">
      <formula>$H1400="SUBETAPA"</formula>
    </cfRule>
    <cfRule type="expression" priority="54748" dxfId="5">
      <formula>$H1400="CÉLULA CONSTRUTIVA"</formula>
    </cfRule>
    <cfRule type="expression" priority="54749" dxfId="3">
      <formula>$H1400="ETAPA"</formula>
    </cfRule>
  </conditionalFormatting>
  <conditionalFormatting sqref="O1404">
    <cfRule type="expression" priority="3516" dxfId="8">
      <formula>$H1404="ETAPA"</formula>
    </cfRule>
    <cfRule type="expression" priority="3517" dxfId="6">
      <formula>$H1404="SUBETAPA"</formula>
    </cfRule>
    <cfRule type="expression" priority="3518" dxfId="8">
      <formula>$H1404="ETAPA"</formula>
    </cfRule>
    <cfRule type="expression" priority="3519" dxfId="6">
      <formula>$H1404="SUBETAPA"</formula>
    </cfRule>
    <cfRule type="expression" priority="3520" dxfId="8">
      <formula>$H1404="ETAPA"</formula>
    </cfRule>
    <cfRule type="expression" priority="3521" dxfId="6">
      <formula>$H1404="SUBETAPA"</formula>
    </cfRule>
    <cfRule type="expression" priority="3522" dxfId="7">
      <formula>$H1404="CÉLULA CONSTRUTIVA"</formula>
    </cfRule>
  </conditionalFormatting>
  <conditionalFormatting sqref="O1405:O1406">
    <cfRule type="expression" priority="54871" dxfId="4">
      <formula>$H1405="SUBETAPA"</formula>
    </cfRule>
    <cfRule type="expression" priority="54872" dxfId="5">
      <formula>$H1405="CÉLULA CONSTRUTIVA"</formula>
    </cfRule>
    <cfRule type="expression" priority="54873" dxfId="3">
      <formula>$H1405="ETAPA"</formula>
    </cfRule>
  </conditionalFormatting>
  <conditionalFormatting sqref="O1407">
    <cfRule type="expression" priority="3509" dxfId="8">
      <formula>$H1407="ETAPA"</formula>
    </cfRule>
    <cfRule type="expression" priority="3510" dxfId="6">
      <formula>$H1407="SUBETAPA"</formula>
    </cfRule>
    <cfRule type="expression" priority="3511" dxfId="8">
      <formula>$H1407="ETAPA"</formula>
    </cfRule>
    <cfRule type="expression" priority="3512" dxfId="6">
      <formula>$H1407="SUBETAPA"</formula>
    </cfRule>
    <cfRule type="expression" priority="3513" dxfId="8">
      <formula>$H1407="ETAPA"</formula>
    </cfRule>
    <cfRule type="expression" priority="3514" dxfId="6">
      <formula>$H1407="SUBETAPA"</formula>
    </cfRule>
    <cfRule type="expression" priority="3515" dxfId="7">
      <formula>$H1407="CÉLULA CONSTRUTIVA"</formula>
    </cfRule>
  </conditionalFormatting>
  <conditionalFormatting sqref="H1409 J1409:L1409 O1409">
    <cfRule type="expression" priority="54882" dxfId="3">
      <formula>$H1409="ETAPA"</formula>
    </cfRule>
  </conditionalFormatting>
  <conditionalFormatting sqref="O1410:O1412">
    <cfRule type="expression" priority="54995" dxfId="4">
      <formula>$H1410="SUBETAPA"</formula>
    </cfRule>
    <cfRule type="expression" priority="54996" dxfId="5">
      <formula>$H1410="CÉLULA CONSTRUTIVA"</formula>
    </cfRule>
    <cfRule type="expression" priority="54997" dxfId="3">
      <formula>$H1410="ETAPA"</formula>
    </cfRule>
  </conditionalFormatting>
  <conditionalFormatting sqref="O1414">
    <cfRule type="expression" priority="3495" dxfId="8">
      <formula>$H1414="ETAPA"</formula>
    </cfRule>
    <cfRule type="expression" priority="3496" dxfId="6">
      <formula>$H1414="SUBETAPA"</formula>
    </cfRule>
    <cfRule type="expression" priority="3497" dxfId="8">
      <formula>$H1414="ETAPA"</formula>
    </cfRule>
    <cfRule type="expression" priority="3498" dxfId="6">
      <formula>$H1414="SUBETAPA"</formula>
    </cfRule>
    <cfRule type="expression" priority="3499" dxfId="8">
      <formula>$H1414="ETAPA"</formula>
    </cfRule>
    <cfRule type="expression" priority="3500" dxfId="6">
      <formula>$H1414="SUBETAPA"</formula>
    </cfRule>
    <cfRule type="expression" priority="3501" dxfId="7">
      <formula>$H1414="CÉLULA CONSTRUTIVA"</formula>
    </cfRule>
  </conditionalFormatting>
  <conditionalFormatting sqref="O1415:O1417">
    <cfRule type="expression" priority="55119" dxfId="4">
      <formula>$H1415="SUBETAPA"</formula>
    </cfRule>
    <cfRule type="expression" priority="55120" dxfId="5">
      <formula>$H1415="CÉLULA CONSTRUTIVA"</formula>
    </cfRule>
    <cfRule type="expression" priority="55121" dxfId="3">
      <formula>$H1415="ETAPA"</formula>
    </cfRule>
  </conditionalFormatting>
  <conditionalFormatting sqref="O1419">
    <cfRule type="expression" priority="3481" dxfId="8">
      <formula>$H1419="ETAPA"</formula>
    </cfRule>
    <cfRule type="expression" priority="3482" dxfId="6">
      <formula>$H1419="SUBETAPA"</formula>
    </cfRule>
    <cfRule type="expression" priority="3483" dxfId="8">
      <formula>$H1419="ETAPA"</formula>
    </cfRule>
    <cfRule type="expression" priority="3484" dxfId="6">
      <formula>$H1419="SUBETAPA"</formula>
    </cfRule>
    <cfRule type="expression" priority="3485" dxfId="8">
      <formula>$H1419="ETAPA"</formula>
    </cfRule>
    <cfRule type="expression" priority="3486" dxfId="6">
      <formula>$H1419="SUBETAPA"</formula>
    </cfRule>
    <cfRule type="expression" priority="3487" dxfId="7">
      <formula>$H1419="CÉLULA CONSTRUTIVA"</formula>
    </cfRule>
  </conditionalFormatting>
  <conditionalFormatting sqref="O1422">
    <cfRule type="expression" priority="3467" dxfId="8">
      <formula>$H1422="ETAPA"</formula>
    </cfRule>
    <cfRule type="expression" priority="3468" dxfId="6">
      <formula>$H1422="SUBETAPA"</formula>
    </cfRule>
    <cfRule type="expression" priority="3469" dxfId="8">
      <formula>$H1422="ETAPA"</formula>
    </cfRule>
    <cfRule type="expression" priority="3470" dxfId="6">
      <formula>$H1422="SUBETAPA"</formula>
    </cfRule>
    <cfRule type="expression" priority="3471" dxfId="8">
      <formula>$H1422="ETAPA"</formula>
    </cfRule>
    <cfRule type="expression" priority="3472" dxfId="6">
      <formula>$H1422="SUBETAPA"</formula>
    </cfRule>
    <cfRule type="expression" priority="3473" dxfId="7">
      <formula>$H1422="CÉLULA CONSTRUTIVA"</formula>
    </cfRule>
  </conditionalFormatting>
  <conditionalFormatting sqref="O1423">
    <cfRule type="expression" priority="58332" dxfId="5">
      <formula>$H1423="CÉLULA CONSTRUTIVA"</formula>
    </cfRule>
    <cfRule type="expression" priority="58333" dxfId="3">
      <formula>$H1423="ETAPA"</formula>
    </cfRule>
    <cfRule type="expression" priority="58334" dxfId="4">
      <formula>$H1423="SUBETAPA"</formula>
    </cfRule>
  </conditionalFormatting>
  <conditionalFormatting sqref="O1428:O1429">
    <cfRule type="expression" priority="91930" dxfId="4">
      <formula>$H1428="SUBETAPA"</formula>
    </cfRule>
    <cfRule type="expression" priority="91931" dxfId="5">
      <formula>$H1428="CÉLULA CONSTRUTIVA"</formula>
    </cfRule>
  </conditionalFormatting>
  <conditionalFormatting sqref="O1431">
    <cfRule type="expression" priority="4777" dxfId="3">
      <formula>$H1431="ETAPA"</formula>
    </cfRule>
    <cfRule type="expression" priority="4778" dxfId="4">
      <formula>$H1431="SUBETAPA"</formula>
    </cfRule>
  </conditionalFormatting>
  <conditionalFormatting sqref="O1437:O1442">
    <cfRule type="expression" priority="92312" dxfId="3">
      <formula>$H1437="ETAPA"</formula>
    </cfRule>
  </conditionalFormatting>
  <conditionalFormatting sqref="O1440:O1442">
    <cfRule type="expression" priority="92310" dxfId="4">
      <formula>$H1440="SUBETAPA"</formula>
    </cfRule>
    <cfRule type="expression" priority="92311" dxfId="5">
      <formula>$H1440="CÉLULA CONSTRUTIVA"</formula>
    </cfRule>
  </conditionalFormatting>
  <conditionalFormatting sqref="O1443:O1446">
    <cfRule type="expression" priority="92193" dxfId="5">
      <formula>$H1443="CÉLULA CONSTRUTIVA"</formula>
    </cfRule>
  </conditionalFormatting>
  <conditionalFormatting sqref="O1456">
    <cfRule type="expression" priority="4426" dxfId="3">
      <formula>$H1456="ETAPA"</formula>
    </cfRule>
    <cfRule type="expression" priority="4427" dxfId="4">
      <formula>$H1456="SUBETAPA"</formula>
    </cfRule>
  </conditionalFormatting>
  <conditionalFormatting sqref="K1460 O1460">
    <cfRule type="expression" priority="4442" dxfId="4">
      <formula>$H1460="SUBETAPA"</formula>
    </cfRule>
    <cfRule type="expression" priority="4443" dxfId="3">
      <formula>$H1460="ETAPA"</formula>
    </cfRule>
  </conditionalFormatting>
  <conditionalFormatting sqref="O1463">
    <cfRule type="expression" priority="4390" dxfId="3">
      <formula>$H1463="ETAPA"</formula>
    </cfRule>
    <cfRule type="expression" priority="4391" dxfId="4">
      <formula>$H1463="SUBETAPA"</formula>
    </cfRule>
  </conditionalFormatting>
  <conditionalFormatting sqref="K1467 O1467">
    <cfRule type="expression" priority="4406" dxfId="4">
      <formula>$H1467="SUBETAPA"</formula>
    </cfRule>
    <cfRule type="expression" priority="4407" dxfId="3">
      <formula>$H1467="ETAPA"</formula>
    </cfRule>
  </conditionalFormatting>
  <conditionalFormatting sqref="O1473">
    <cfRule type="expression" priority="4354" dxfId="3">
      <formula>$H1473="ETAPA"</formula>
    </cfRule>
    <cfRule type="expression" priority="4355" dxfId="4">
      <formula>$H1473="SUBETAPA"</formula>
    </cfRule>
  </conditionalFormatting>
  <conditionalFormatting sqref="K1482 O1482">
    <cfRule type="expression" priority="4367" dxfId="4">
      <formula>$H1482="SUBETAPA"</formula>
    </cfRule>
    <cfRule type="expression" priority="4368" dxfId="3">
      <formula>$H1482="ETAPA"</formula>
    </cfRule>
  </conditionalFormatting>
  <conditionalFormatting sqref="O1482:O1485">
    <cfRule type="expression" priority="4358" dxfId="5">
      <formula>$H1482="CÉLULA CONSTRUTIVA"</formula>
    </cfRule>
  </conditionalFormatting>
  <conditionalFormatting sqref="J1485:K1485 K1483 O1483 O1485">
    <cfRule type="expression" priority="4370" dxfId="4">
      <formula>$H1483="SUBETAPA"</formula>
    </cfRule>
    <cfRule type="expression" priority="4371" dxfId="3">
      <formula>$H1483="ETAPA"</formula>
    </cfRule>
  </conditionalFormatting>
  <conditionalFormatting sqref="K1484 O1484">
    <cfRule type="expression" priority="4364" dxfId="4">
      <formula>$H1484="SUBETAPA"</formula>
    </cfRule>
    <cfRule type="expression" priority="4365" dxfId="3">
      <formula>$H1484="ETAPA"</formula>
    </cfRule>
  </conditionalFormatting>
  <conditionalFormatting sqref="O1488">
    <cfRule type="expression" priority="4318" dxfId="3">
      <formula>$H1488="ETAPA"</formula>
    </cfRule>
    <cfRule type="expression" priority="4319" dxfId="4">
      <formula>$H1488="SUBETAPA"</formula>
    </cfRule>
  </conditionalFormatting>
  <conditionalFormatting sqref="J1493:K1493 K1492 O1492:O1493">
    <cfRule type="expression" priority="4334" dxfId="4">
      <formula>$H1492="SUBETAPA"</formula>
    </cfRule>
    <cfRule type="expression" priority="4335" dxfId="3">
      <formula>$H1492="ETAPA"</formula>
    </cfRule>
  </conditionalFormatting>
  <conditionalFormatting sqref="O1499">
    <cfRule type="expression" priority="4460" dxfId="4">
      <formula>$H1499="SUBETAPA"</formula>
    </cfRule>
    <cfRule type="expression" priority="4461" dxfId="5">
      <formula>$H1499="CÉLULA CONSTRUTIVA"</formula>
    </cfRule>
  </conditionalFormatting>
  <conditionalFormatting sqref="O1501:O1504">
    <cfRule type="expression" priority="4638" dxfId="3">
      <formula>$H1501="ETAPA"</formula>
    </cfRule>
    <cfRule type="expression" priority="4639" dxfId="4">
      <formula>$H1501="SUBETAPA"</formula>
    </cfRule>
  </conditionalFormatting>
  <conditionalFormatting sqref="O1505">
    <cfRule type="expression" priority="4282" dxfId="3">
      <formula>$H1505="ETAPA"</formula>
    </cfRule>
    <cfRule type="expression" priority="4283" dxfId="4">
      <formula>$H1505="SUBETAPA"</formula>
    </cfRule>
  </conditionalFormatting>
  <conditionalFormatting sqref="K1513 O1513">
    <cfRule type="expression" priority="4295" dxfId="4">
      <formula>$H1513="SUBETAPA"</formula>
    </cfRule>
    <cfRule type="expression" priority="4296" dxfId="3">
      <formula>$H1513="ETAPA"</formula>
    </cfRule>
  </conditionalFormatting>
  <conditionalFormatting sqref="O1513:O1518">
    <cfRule type="expression" priority="4286" dxfId="5">
      <formula>$H1513="CÉLULA CONSTRUTIVA"</formula>
    </cfRule>
  </conditionalFormatting>
  <conditionalFormatting sqref="K1516:K1517 O1516:O1517">
    <cfRule type="expression" priority="4292" dxfId="4">
      <formula>$H1516="SUBETAPA"</formula>
    </cfRule>
    <cfRule type="expression" priority="4293" dxfId="3">
      <formula>$H1516="ETAPA"</formula>
    </cfRule>
  </conditionalFormatting>
  <conditionalFormatting sqref="J1518:K1518 K1514:K1515 O1514:O1515 O1518">
    <cfRule type="expression" priority="4298" dxfId="4">
      <formula>$H1514="SUBETAPA"</formula>
    </cfRule>
    <cfRule type="expression" priority="4299" dxfId="3">
      <formula>$H1514="ETAPA"</formula>
    </cfRule>
  </conditionalFormatting>
  <conditionalFormatting sqref="O1535:O1538">
    <cfRule type="expression" priority="88876" dxfId="5">
      <formula>$H1535="CÉLULA CONSTRUTIVA"</formula>
    </cfRule>
  </conditionalFormatting>
  <conditionalFormatting sqref="O1543:O1545">
    <cfRule type="expression" priority="4600" dxfId="3">
      <formula>$H1543="ETAPA"</formula>
    </cfRule>
    <cfRule type="expression" priority="4601" dxfId="4">
      <formula>$H1543="SUBETAPA"</formula>
    </cfRule>
  </conditionalFormatting>
  <conditionalFormatting sqref="O1547:O1551">
    <cfRule type="expression" priority="4598" dxfId="3">
      <formula>$H1547="ETAPA"</formula>
    </cfRule>
    <cfRule type="expression" priority="4599" dxfId="4">
      <formula>$H1547="SUBETAPA"</formula>
    </cfRule>
  </conditionalFormatting>
  <conditionalFormatting sqref="O1557:O1560">
    <cfRule type="expression" priority="89535" dxfId="5">
      <formula>$H1557="CÉLULA CONSTRUTIVA"</formula>
    </cfRule>
  </conditionalFormatting>
  <conditionalFormatting sqref="O1585:O1589">
    <cfRule type="expression" priority="4558" dxfId="3">
      <formula>$H1585="ETAPA"</formula>
    </cfRule>
    <cfRule type="expression" priority="4559" dxfId="4">
      <formula>$H1585="SUBETAPA"</formula>
    </cfRule>
  </conditionalFormatting>
  <conditionalFormatting sqref="O1595:O1598">
    <cfRule type="expression" priority="90853" dxfId="5">
      <formula>$H1595="CÉLULA CONSTRUTIVA"</formula>
    </cfRule>
  </conditionalFormatting>
  <conditionalFormatting sqref="O1606:O1610">
    <cfRule type="expression" priority="4538" dxfId="3">
      <formula>$H1606="ETAPA"</formula>
    </cfRule>
    <cfRule type="expression" priority="4539" dxfId="4">
      <formula>$H1606="SUBETAPA"</formula>
    </cfRule>
  </conditionalFormatting>
  <conditionalFormatting sqref="O1616:O1619">
    <cfRule type="expression" priority="91513" dxfId="5">
      <formula>$H1616="CÉLULA CONSTRUTIVA"</formula>
    </cfRule>
  </conditionalFormatting>
  <conditionalFormatting sqref="O1624:O1626">
    <cfRule type="expression" priority="4520" dxfId="3">
      <formula>$H1624="ETAPA"</formula>
    </cfRule>
    <cfRule type="expression" priority="4521" dxfId="4">
      <formula>$H1624="SUBETAPA"</formula>
    </cfRule>
  </conditionalFormatting>
  <conditionalFormatting sqref="O1630:O1634">
    <cfRule type="expression" priority="4518" dxfId="3">
      <formula>$H1630="ETAPA"</formula>
    </cfRule>
    <cfRule type="expression" priority="4519" dxfId="4">
      <formula>$H1630="SUBETAPA"</formula>
    </cfRule>
  </conditionalFormatting>
  <conditionalFormatting sqref="O1640:O1643">
    <cfRule type="expression" priority="96147" dxfId="5">
      <formula>$H1640="CÉLULA CONSTRUTIVA"</formula>
    </cfRule>
  </conditionalFormatting>
  <conditionalFormatting sqref="O1648:O1650">
    <cfRule type="expression" priority="4500" dxfId="3">
      <formula>$H1648="ETAPA"</formula>
    </cfRule>
    <cfRule type="expression" priority="4501" dxfId="4">
      <formula>$H1648="SUBETAPA"</formula>
    </cfRule>
  </conditionalFormatting>
  <conditionalFormatting sqref="O1674:O1675 O1681 O1693">
    <cfRule type="expression" priority="80565" dxfId="5">
      <formula>$H1674="CÉLULA CONSTRUTIVA"</formula>
    </cfRule>
    <cfRule type="expression" priority="80566" dxfId="3">
      <formula>$H1674="ETAPA"</formula>
    </cfRule>
  </conditionalFormatting>
  <conditionalFormatting sqref="H1676 K1676 O1676">
    <cfRule type="expression" priority="80490" dxfId="4">
      <formula>$H1676="SUBETAPA"</formula>
    </cfRule>
  </conditionalFormatting>
  <conditionalFormatting sqref="O1676:O1677">
    <cfRule type="expression" priority="80483" dxfId="3">
      <formula>$H1676="ETAPA"</formula>
    </cfRule>
  </conditionalFormatting>
  <conditionalFormatting sqref="H1677 K1677 O1677">
    <cfRule type="expression" priority="80484" dxfId="4">
      <formula>$H1677="SUBETAPA"</formula>
    </cfRule>
  </conditionalFormatting>
  <conditionalFormatting sqref="O1678">
    <cfRule type="expression" priority="3460" dxfId="8">
      <formula>$H1678="ETAPA"</formula>
    </cfRule>
    <cfRule type="expression" priority="3461" dxfId="6">
      <formula>$H1678="SUBETAPA"</formula>
    </cfRule>
    <cfRule type="expression" priority="3462" dxfId="8">
      <formula>$H1678="ETAPA"</formula>
    </cfRule>
    <cfRule type="expression" priority="3463" dxfId="6">
      <formula>$H1678="SUBETAPA"</formula>
    </cfRule>
    <cfRule type="expression" priority="3464" dxfId="8">
      <formula>$H1678="ETAPA"</formula>
    </cfRule>
    <cfRule type="expression" priority="3465" dxfId="6">
      <formula>$H1678="SUBETAPA"</formula>
    </cfRule>
    <cfRule type="expression" priority="3466" dxfId="7">
      <formula>$H1678="CÉLULA CONSTRUTIVA"</formula>
    </cfRule>
  </conditionalFormatting>
  <conditionalFormatting sqref="O1683 O1685">
    <cfRule type="expression" priority="80353" dxfId="5">
      <formula>$H1683="CÉLULA CONSTRUTIVA"</formula>
    </cfRule>
  </conditionalFormatting>
  <conditionalFormatting sqref="O1689:O1690">
    <cfRule type="expression" priority="80397" dxfId="5">
      <formula>$H1689="CÉLULA CONSTRUTIVA"</formula>
    </cfRule>
  </conditionalFormatting>
  <conditionalFormatting sqref="O1692">
    <cfRule type="expression" priority="80450" dxfId="3">
      <formula>$H1692="ETAPA"</formula>
    </cfRule>
  </conditionalFormatting>
  <conditionalFormatting sqref="O1694:O1695 O1709">
    <cfRule type="expression" priority="80889" dxfId="5">
      <formula>$H1694="CÉLULA CONSTRUTIVA"</formula>
    </cfRule>
    <cfRule type="expression" priority="80890" dxfId="3">
      <formula>$H1694="ETAPA"</formula>
    </cfRule>
  </conditionalFormatting>
  <conditionalFormatting sqref="H1696 K1696 O1696">
    <cfRule type="expression" priority="80814" dxfId="4">
      <formula>$H1696="SUBETAPA"</formula>
    </cfRule>
  </conditionalFormatting>
  <conditionalFormatting sqref="O1696:O1700">
    <cfRule type="expression" priority="80691" dxfId="3">
      <formula>$H1696="ETAPA"</formula>
    </cfRule>
  </conditionalFormatting>
  <conditionalFormatting sqref="H1697 K1697 O1697">
    <cfRule type="expression" priority="80808" dxfId="4">
      <formula>$H1697="SUBETAPA"</formula>
    </cfRule>
  </conditionalFormatting>
  <conditionalFormatting sqref="O1700 O1702">
    <cfRule type="expression" priority="80677" dxfId="5">
      <formula>$H1700="CÉLULA CONSTRUTIVA"</formula>
    </cfRule>
  </conditionalFormatting>
  <conditionalFormatting sqref="O1701">
    <cfRule type="expression" priority="60979" dxfId="5">
      <formula>$H1701="CÉLULA CONSTRUTIVA"</formula>
    </cfRule>
    <cfRule type="expression" priority="60980" dxfId="4">
      <formula>$H1701="SUBETAPA"</formula>
    </cfRule>
    <cfRule type="expression" priority="60981" dxfId="3">
      <formula>$H1701="ETAPA"</formula>
    </cfRule>
  </conditionalFormatting>
  <conditionalFormatting sqref="O1706:O1707">
    <cfRule type="expression" priority="80721" dxfId="5">
      <formula>$H1706="CÉLULA CONSTRUTIVA"</formula>
    </cfRule>
  </conditionalFormatting>
  <conditionalFormatting sqref="O1710:O1711 O1724">
    <cfRule type="expression" priority="81213" dxfId="5">
      <formula>$H1710="CÉLULA CONSTRUTIVA"</formula>
    </cfRule>
    <cfRule type="expression" priority="81214" dxfId="3">
      <formula>$H1710="ETAPA"</formula>
    </cfRule>
  </conditionalFormatting>
  <conditionalFormatting sqref="H1712 K1712 O1712">
    <cfRule type="expression" priority="81138" dxfId="4">
      <formula>$H1712="SUBETAPA"</formula>
    </cfRule>
  </conditionalFormatting>
  <conditionalFormatting sqref="O1712:O1716">
    <cfRule type="expression" priority="81015" dxfId="3">
      <formula>$H1712="ETAPA"</formula>
    </cfRule>
  </conditionalFormatting>
  <conditionalFormatting sqref="H1713 K1713 O1713">
    <cfRule type="expression" priority="81132" dxfId="4">
      <formula>$H1713="SUBETAPA"</formula>
    </cfRule>
  </conditionalFormatting>
  <conditionalFormatting sqref="O1716">
    <cfRule type="expression" priority="81001" dxfId="5">
      <formula>$H1716="CÉLULA CONSTRUTIVA"</formula>
    </cfRule>
  </conditionalFormatting>
  <conditionalFormatting sqref="O1717">
    <cfRule type="expression" priority="60976" dxfId="5">
      <formula>$H1717="CÉLULA CONSTRUTIVA"</formula>
    </cfRule>
    <cfRule type="expression" priority="60977" dxfId="4">
      <formula>$H1717="SUBETAPA"</formula>
    </cfRule>
    <cfRule type="expression" priority="60978" dxfId="3">
      <formula>$H1717="ETAPA"</formula>
    </cfRule>
  </conditionalFormatting>
  <conditionalFormatting sqref="O1721:O1722">
    <cfRule type="expression" priority="81045" dxfId="5">
      <formula>$H1721="CÉLULA CONSTRUTIVA"</formula>
    </cfRule>
  </conditionalFormatting>
  <conditionalFormatting sqref="O1725:O1726">
    <cfRule type="expression" priority="81537" dxfId="5">
      <formula>$H1725="CÉLULA CONSTRUTIVA"</formula>
    </cfRule>
    <cfRule type="expression" priority="81538" dxfId="3">
      <formula>$H1725="ETAPA"</formula>
    </cfRule>
  </conditionalFormatting>
  <conditionalFormatting sqref="H1727 K1727 O1727">
    <cfRule type="expression" priority="81462" dxfId="4">
      <formula>$H1727="SUBETAPA"</formula>
    </cfRule>
  </conditionalFormatting>
  <conditionalFormatting sqref="O1727:O1731">
    <cfRule type="expression" priority="81339" dxfId="3">
      <formula>$H1727="ETAPA"</formula>
    </cfRule>
  </conditionalFormatting>
  <conditionalFormatting sqref="H1728 K1728 O1728">
    <cfRule type="expression" priority="81456" dxfId="4">
      <formula>$H1728="SUBETAPA"</formula>
    </cfRule>
  </conditionalFormatting>
  <conditionalFormatting sqref="O1731">
    <cfRule type="expression" priority="81325" dxfId="5">
      <formula>$H1731="CÉLULA CONSTRUTIVA"</formula>
    </cfRule>
  </conditionalFormatting>
  <conditionalFormatting sqref="O1732">
    <cfRule type="expression" priority="60973" dxfId="5">
      <formula>$H1732="CÉLULA CONSTRUTIVA"</formula>
    </cfRule>
    <cfRule type="expression" priority="60974" dxfId="4">
      <formula>$H1732="SUBETAPA"</formula>
    </cfRule>
    <cfRule type="expression" priority="60975" dxfId="3">
      <formula>$H1732="ETAPA"</formula>
    </cfRule>
  </conditionalFormatting>
  <conditionalFormatting sqref="O1734:O1735">
    <cfRule type="expression" priority="81369" dxfId="5">
      <formula>$H1734="CÉLULA CONSTRUTIVA"</formula>
    </cfRule>
  </conditionalFormatting>
  <conditionalFormatting sqref="O1737:O1738 O1742:O1743">
    <cfRule type="expression" priority="81862" dxfId="3">
      <formula>$H1737="ETAPA"</formula>
    </cfRule>
  </conditionalFormatting>
  <conditionalFormatting sqref="O1737:O1738">
    <cfRule type="expression" priority="81861" dxfId="5">
      <formula>$H1737="CÉLULA CONSTRUTIVA"</formula>
    </cfRule>
  </conditionalFormatting>
  <conditionalFormatting sqref="H1739 K1739 O1739">
    <cfRule type="expression" priority="81786" dxfId="4">
      <formula>$H1739="SUBETAPA"</formula>
    </cfRule>
  </conditionalFormatting>
  <conditionalFormatting sqref="O1739:O1740">
    <cfRule type="expression" priority="81779" dxfId="3">
      <formula>$H1739="ETAPA"</formula>
    </cfRule>
  </conditionalFormatting>
  <conditionalFormatting sqref="H1740 K1740 O1740">
    <cfRule type="expression" priority="81780" dxfId="4">
      <formula>$H1740="SUBETAPA"</formula>
    </cfRule>
  </conditionalFormatting>
  <conditionalFormatting sqref="O1743">
    <cfRule type="expression" priority="81649" dxfId="5">
      <formula>$H1743="CÉLULA CONSTRUTIVA"</formula>
    </cfRule>
  </conditionalFormatting>
  <conditionalFormatting sqref="O1744">
    <cfRule type="expression" priority="60970" dxfId="5">
      <formula>$H1744="CÉLULA CONSTRUTIVA"</formula>
    </cfRule>
    <cfRule type="expression" priority="60971" dxfId="4">
      <formula>$H1744="SUBETAPA"</formula>
    </cfRule>
    <cfRule type="expression" priority="60972" dxfId="3">
      <formula>$H1744="ETAPA"</formula>
    </cfRule>
  </conditionalFormatting>
  <conditionalFormatting sqref="O1746:O1747">
    <cfRule type="expression" priority="81693" dxfId="5">
      <formula>$H1746="CÉLULA CONSTRUTIVA"</formula>
    </cfRule>
  </conditionalFormatting>
  <conditionalFormatting sqref="O1749:O1750">
    <cfRule type="expression" priority="82185" dxfId="5">
      <formula>$H1749="CÉLULA CONSTRUTIVA"</formula>
    </cfRule>
    <cfRule type="expression" priority="82186" dxfId="3">
      <formula>$H1749="ETAPA"</formula>
    </cfRule>
  </conditionalFormatting>
  <conditionalFormatting sqref="H1751 K1751 O1751">
    <cfRule type="expression" priority="82110" dxfId="4">
      <formula>$H1751="SUBETAPA"</formula>
    </cfRule>
  </conditionalFormatting>
  <conditionalFormatting sqref="O1751:O1755">
    <cfRule type="expression" priority="81987" dxfId="3">
      <formula>$H1751="ETAPA"</formula>
    </cfRule>
  </conditionalFormatting>
  <conditionalFormatting sqref="H1752 K1752 O1752">
    <cfRule type="expression" priority="82104" dxfId="4">
      <formula>$H1752="SUBETAPA"</formula>
    </cfRule>
  </conditionalFormatting>
  <conditionalFormatting sqref="O1755">
    <cfRule type="expression" priority="81973" dxfId="5">
      <formula>$H1755="CÉLULA CONSTRUTIVA"</formula>
    </cfRule>
  </conditionalFormatting>
  <conditionalFormatting sqref="O1756">
    <cfRule type="expression" priority="60967" dxfId="5">
      <formula>$H1756="CÉLULA CONSTRUTIVA"</formula>
    </cfRule>
    <cfRule type="expression" priority="60968" dxfId="4">
      <formula>$H1756="SUBETAPA"</formula>
    </cfRule>
    <cfRule type="expression" priority="60969" dxfId="3">
      <formula>$H1756="ETAPA"</formula>
    </cfRule>
  </conditionalFormatting>
  <conditionalFormatting sqref="O1758:O1759">
    <cfRule type="expression" priority="82017" dxfId="5">
      <formula>$H1758="CÉLULA CONSTRUTIVA"</formula>
    </cfRule>
  </conditionalFormatting>
  <conditionalFormatting sqref="O1761:O1762 O1773 O1781:O1782 O1784">
    <cfRule type="expression" priority="82509" dxfId="5">
      <formula>$H1761="CÉLULA CONSTRUTIVA"</formula>
    </cfRule>
  </conditionalFormatting>
  <conditionalFormatting sqref="O1761:O1762 O1771 O1781:O1782 O1784">
    <cfRule type="expression" priority="82510" dxfId="3">
      <formula>$H1761="ETAPA"</formula>
    </cfRule>
  </conditionalFormatting>
  <conditionalFormatting sqref="H1763 K1763 O1763">
    <cfRule type="expression" priority="82434" dxfId="4">
      <formula>$H1763="SUBETAPA"</formula>
    </cfRule>
  </conditionalFormatting>
  <conditionalFormatting sqref="O1763:O1767">
    <cfRule type="expression" priority="82311" dxfId="3">
      <formula>$H1763="ETAPA"</formula>
    </cfRule>
  </conditionalFormatting>
  <conditionalFormatting sqref="H1764 K1764 O1764">
    <cfRule type="expression" priority="82428" dxfId="4">
      <formula>$H1764="SUBETAPA"</formula>
    </cfRule>
  </conditionalFormatting>
  <conditionalFormatting sqref="O1771">
    <cfRule type="expression" priority="82297" dxfId="5">
      <formula>$H1771="CÉLULA CONSTRUTIVA"</formula>
    </cfRule>
  </conditionalFormatting>
  <conditionalFormatting sqref="O1772">
    <cfRule type="expression" priority="60964" dxfId="5">
      <formula>$H1772="CÉLULA CONSTRUTIVA"</formula>
    </cfRule>
    <cfRule type="expression" priority="60965" dxfId="4">
      <formula>$H1772="SUBETAPA"</formula>
    </cfRule>
    <cfRule type="expression" priority="60966" dxfId="3">
      <formula>$H1772="ETAPA"</formula>
    </cfRule>
  </conditionalFormatting>
  <conditionalFormatting sqref="O1779:O1780">
    <cfRule type="expression" priority="82341" dxfId="5">
      <formula>$H1779="CÉLULA CONSTRUTIVA"</formula>
    </cfRule>
  </conditionalFormatting>
  <conditionalFormatting sqref="O1783">
    <cfRule type="expression" priority="82394" dxfId="3">
      <formula>$H1783="ETAPA"</formula>
    </cfRule>
  </conditionalFormatting>
  <conditionalFormatting sqref="O1785:O1786 O1795 O1797 O1799 O1810">
    <cfRule type="expression" priority="82833" dxfId="5">
      <formula>$H1785="CÉLULA CONSTRUTIVA"</formula>
    </cfRule>
  </conditionalFormatting>
  <conditionalFormatting sqref="O1785:O1786 O1793 O1797 O1799 O1810">
    <cfRule type="expression" priority="82834" dxfId="3">
      <formula>$H1785="ETAPA"</formula>
    </cfRule>
  </conditionalFormatting>
  <conditionalFormatting sqref="H1787 K1787 O1787">
    <cfRule type="expression" priority="82758" dxfId="4">
      <formula>$H1787="SUBETAPA"</formula>
    </cfRule>
  </conditionalFormatting>
  <conditionalFormatting sqref="O1787:O1791">
    <cfRule type="expression" priority="82635" dxfId="3">
      <formula>$H1787="ETAPA"</formula>
    </cfRule>
  </conditionalFormatting>
  <conditionalFormatting sqref="H1788 K1788 O1788">
    <cfRule type="expression" priority="82752" dxfId="4">
      <formula>$H1788="SUBETAPA"</formula>
    </cfRule>
  </conditionalFormatting>
  <conditionalFormatting sqref="O1793">
    <cfRule type="expression" priority="82621" dxfId="5">
      <formula>$H1793="CÉLULA CONSTRUTIVA"</formula>
    </cfRule>
  </conditionalFormatting>
  <conditionalFormatting sqref="O1794">
    <cfRule type="expression" priority="60961" dxfId="5">
      <formula>$H1794="CÉLULA CONSTRUTIVA"</formula>
    </cfRule>
    <cfRule type="expression" priority="60962" dxfId="4">
      <formula>$H1794="SUBETAPA"</formula>
    </cfRule>
    <cfRule type="expression" priority="60963" dxfId="3">
      <formula>$H1794="ETAPA"</formula>
    </cfRule>
  </conditionalFormatting>
  <conditionalFormatting sqref="H1795:H1796 H1802 H1810 J1795:L1795 J1796 J1802:L1802 L1810 O1796 O1802:O1805">
    <cfRule type="expression" priority="82835" dxfId="5">
      <formula>$H1795="CÉLULA CONSTRUTIVA"</formula>
    </cfRule>
  </conditionalFormatting>
  <conditionalFormatting sqref="O1798">
    <cfRule type="expression" priority="82783" dxfId="3">
      <formula>$H1798="ETAPA"</formula>
    </cfRule>
  </conditionalFormatting>
  <conditionalFormatting sqref="O1800:O1801">
    <cfRule type="expression" priority="78847" dxfId="5">
      <formula>$H1800="CÉLULA CONSTRUTIVA"</formula>
    </cfRule>
    <cfRule type="expression" priority="78848" dxfId="3">
      <formula>$H1800="ETAPA"</formula>
    </cfRule>
    <cfRule type="expression" priority="78858" dxfId="5">
      <formula>$H1800="CÉLULA CONSTRUTIVA"</formula>
    </cfRule>
    <cfRule type="expression" priority="78859" dxfId="3">
      <formula>$H1800="ETAPA"</formula>
    </cfRule>
  </conditionalFormatting>
  <conditionalFormatting sqref="O1806:O1807">
    <cfRule type="expression" priority="82665" dxfId="5">
      <formula>$H1806="CÉLULA CONSTRUTIVA"</formula>
    </cfRule>
  </conditionalFormatting>
  <conditionalFormatting sqref="O1809">
    <cfRule type="expression" priority="82718" dxfId="3">
      <formula>$H1809="ETAPA"</formula>
    </cfRule>
  </conditionalFormatting>
  <conditionalFormatting sqref="O1811:O1812 O1823">
    <cfRule type="expression" priority="83157" dxfId="5">
      <formula>$H1811="CÉLULA CONSTRUTIVA"</formula>
    </cfRule>
    <cfRule type="expression" priority="83158" dxfId="3">
      <formula>$H1811="ETAPA"</formula>
    </cfRule>
  </conditionalFormatting>
  <conditionalFormatting sqref="H1813 K1813 O1813">
    <cfRule type="expression" priority="83082" dxfId="4">
      <formula>$H1813="SUBETAPA"</formula>
    </cfRule>
  </conditionalFormatting>
  <conditionalFormatting sqref="O1813:O1816">
    <cfRule type="expression" priority="82959" dxfId="3">
      <formula>$H1813="ETAPA"</formula>
    </cfRule>
  </conditionalFormatting>
  <conditionalFormatting sqref="H1814 K1814 O1814">
    <cfRule type="expression" priority="83076" dxfId="4">
      <formula>$H1814="SUBETAPA"</formula>
    </cfRule>
  </conditionalFormatting>
  <conditionalFormatting sqref="O1824:O1825 O1836">
    <cfRule type="expression" priority="83481" dxfId="5">
      <formula>$H1824="CÉLULA CONSTRUTIVA"</formula>
    </cfRule>
    <cfRule type="expression" priority="83482" dxfId="3">
      <formula>$H1824="ETAPA"</formula>
    </cfRule>
  </conditionalFormatting>
  <conditionalFormatting sqref="H1826 K1826 O1826">
    <cfRule type="expression" priority="83406" dxfId="4">
      <formula>$H1826="SUBETAPA"</formula>
    </cfRule>
  </conditionalFormatting>
  <conditionalFormatting sqref="H1827 K1827 O1827">
    <cfRule type="expression" priority="83400" dxfId="4">
      <formula>$H1827="SUBETAPA"</formula>
    </cfRule>
  </conditionalFormatting>
  <conditionalFormatting sqref="H1839 K1839 O1839">
    <cfRule type="expression" priority="111884" dxfId="4">
      <formula>$H1839="SUBETAPA"</formula>
    </cfRule>
  </conditionalFormatting>
  <conditionalFormatting sqref="H1840 K1840 O1840">
    <cfRule type="expression" priority="111837" dxfId="4">
      <formula>$H1840="SUBETAPA"</formula>
    </cfRule>
  </conditionalFormatting>
  <conditionalFormatting sqref="O1844">
    <cfRule type="expression" priority="83593" dxfId="5">
      <formula>$H1844="CÉLULA CONSTRUTIVA"</formula>
    </cfRule>
  </conditionalFormatting>
  <conditionalFormatting sqref="O1845">
    <cfRule type="expression" priority="83568" dxfId="5">
      <formula>$H1845="CÉLULA CONSTRUTIVA"</formula>
    </cfRule>
  </conditionalFormatting>
  <conditionalFormatting sqref="O1851">
    <cfRule type="expression" priority="111758" dxfId="3">
      <formula>$H1851="ETAPA"</formula>
    </cfRule>
  </conditionalFormatting>
  <conditionalFormatting sqref="O1853:O1854 O1860 O1868">
    <cfRule type="expression" priority="79295" dxfId="3">
      <formula>$H1853="ETAPA"</formula>
    </cfRule>
  </conditionalFormatting>
  <conditionalFormatting sqref="O1853:O1854 O1868">
    <cfRule type="expression" priority="79294" dxfId="5">
      <formula>$H1853="CÉLULA CONSTRUTIVA"</formula>
    </cfRule>
  </conditionalFormatting>
  <conditionalFormatting sqref="H1855 K1855 O1855">
    <cfRule type="expression" priority="79219" dxfId="4">
      <formula>$H1855="SUBETAPA"</formula>
    </cfRule>
  </conditionalFormatting>
  <conditionalFormatting sqref="O1855:O1858">
    <cfRule type="expression" priority="79096" dxfId="3">
      <formula>$H1855="ETAPA"</formula>
    </cfRule>
  </conditionalFormatting>
  <conditionalFormatting sqref="H1856 K1856 O1856">
    <cfRule type="expression" priority="79213" dxfId="4">
      <formula>$H1856="SUBETAPA"</formula>
    </cfRule>
  </conditionalFormatting>
  <conditionalFormatting sqref="O1860">
    <cfRule type="expression" priority="79082" dxfId="5">
      <formula>$H1860="CÉLULA CONSTRUTIVA"</formula>
    </cfRule>
  </conditionalFormatting>
  <conditionalFormatting sqref="O1861">
    <cfRule type="expression" priority="79057" dxfId="5">
      <formula>$H1861="CÉLULA CONSTRUTIVA"</formula>
    </cfRule>
  </conditionalFormatting>
  <conditionalFormatting sqref="O1867">
    <cfRule type="expression" priority="79179" dxfId="3">
      <formula>$H1867="ETAPA"</formula>
    </cfRule>
  </conditionalFormatting>
  <conditionalFormatting sqref="O1869:O1870 O1881">
    <cfRule type="expression" priority="79618" dxfId="5">
      <formula>$H1869="CÉLULA CONSTRUTIVA"</formula>
    </cfRule>
    <cfRule type="expression" priority="79619" dxfId="3">
      <formula>$H1869="ETAPA"</formula>
    </cfRule>
  </conditionalFormatting>
  <conditionalFormatting sqref="H1871 K1871 O1871">
    <cfRule type="expression" priority="79543" dxfId="4">
      <formula>$H1871="SUBETAPA"</formula>
    </cfRule>
  </conditionalFormatting>
  <conditionalFormatting sqref="O1871:O1874">
    <cfRule type="expression" priority="79420" dxfId="3">
      <formula>$H1871="ETAPA"</formula>
    </cfRule>
  </conditionalFormatting>
  <conditionalFormatting sqref="H1872 K1872 O1872">
    <cfRule type="expression" priority="79537" dxfId="4">
      <formula>$H1872="SUBETAPA"</formula>
    </cfRule>
  </conditionalFormatting>
  <conditionalFormatting sqref="O1874">
    <cfRule type="expression" priority="79406" dxfId="5">
      <formula>$H1874="CÉLULA CONSTRUTIVA"</formula>
    </cfRule>
  </conditionalFormatting>
  <conditionalFormatting sqref="O1875">
    <cfRule type="expression" priority="79381" dxfId="5">
      <formula>$H1875="CÉLULA CONSTRUTIVA"</formula>
    </cfRule>
  </conditionalFormatting>
  <conditionalFormatting sqref="O1880">
    <cfRule type="expression" priority="79503" dxfId="3">
      <formula>$H1880="ETAPA"</formula>
    </cfRule>
  </conditionalFormatting>
  <conditionalFormatting sqref="O1882:O1883 O1896">
    <cfRule type="expression" priority="79942" dxfId="5">
      <formula>$H1882="CÉLULA CONSTRUTIVA"</formula>
    </cfRule>
    <cfRule type="expression" priority="79943" dxfId="3">
      <formula>$H1882="ETAPA"</formula>
    </cfRule>
  </conditionalFormatting>
  <conditionalFormatting sqref="H1884 K1884 O1884">
    <cfRule type="expression" priority="79867" dxfId="4">
      <formula>$H1884="SUBETAPA"</formula>
    </cfRule>
  </conditionalFormatting>
  <conditionalFormatting sqref="O1884:O1886">
    <cfRule type="expression" priority="79744" dxfId="3">
      <formula>$H1884="ETAPA"</formula>
    </cfRule>
  </conditionalFormatting>
  <conditionalFormatting sqref="H1885 K1885 O1885">
    <cfRule type="expression" priority="79861" dxfId="4">
      <formula>$H1885="SUBETAPA"</formula>
    </cfRule>
  </conditionalFormatting>
  <conditionalFormatting sqref="O1897">
    <cfRule type="expression" priority="59931" dxfId="3">
      <formula>$H1897="ETAPA"</formula>
    </cfRule>
    <cfRule type="expression" priority="59932" dxfId="4">
      <formula>$H1897="SUBETAPA"</formula>
    </cfRule>
    <cfRule type="expression" priority="59933" dxfId="5">
      <formula>$H1897="CÉLULA CONSTRUTIVA"</formula>
    </cfRule>
  </conditionalFormatting>
  <conditionalFormatting sqref="O1908">
    <cfRule type="expression" priority="75972" dxfId="5">
      <formula>$H1908="CÉLULA CONSTRUTIVA"</formula>
    </cfRule>
    <cfRule type="expression" priority="75973" dxfId="3">
      <formula>$H1908="ETAPA"</formula>
    </cfRule>
    <cfRule type="expression" priority="75994" dxfId="4">
      <formula>$H1908="SUBETAPA"</formula>
    </cfRule>
  </conditionalFormatting>
  <conditionalFormatting sqref="O1909">
    <cfRule type="expression" priority="75982" dxfId="4">
      <formula>$H1909="SUBETAPA"</formula>
    </cfRule>
    <cfRule type="expression" priority="75983" dxfId="5">
      <formula>$H1909="CÉLULA CONSTRUTIVA"</formula>
    </cfRule>
    <cfRule type="expression" priority="75984" dxfId="3">
      <formula>$H1909="ETAPA"</formula>
    </cfRule>
  </conditionalFormatting>
  <conditionalFormatting sqref="M1911 O1911">
    <cfRule type="expression" priority="76013" dxfId="3">
      <formula>$H1911="ETAPA"</formula>
    </cfRule>
  </conditionalFormatting>
  <conditionalFormatting sqref="O1911">
    <cfRule type="expression" priority="76012" dxfId="5">
      <formula>$H1911="CÉLULA CONSTRUTIVA"</formula>
    </cfRule>
  </conditionalFormatting>
  <conditionalFormatting sqref="O1915:O1919">
    <cfRule type="expression" priority="76192" dxfId="5">
      <formula>$H1915="CÉLULA CONSTRUTIVA"</formula>
    </cfRule>
    <cfRule type="expression" priority="76193" dxfId="3">
      <formula>$H1915="ETAPA"</formula>
    </cfRule>
  </conditionalFormatting>
  <conditionalFormatting sqref="L1924:M1924 O1924">
    <cfRule type="expression" priority="76186" dxfId="3">
      <formula>$H1924="ETAPA"</formula>
    </cfRule>
  </conditionalFormatting>
  <conditionalFormatting sqref="O1924">
    <cfRule type="expression" priority="76185" dxfId="5">
      <formula>$H1924="CÉLULA CONSTRUTIVA"</formula>
    </cfRule>
    <cfRule type="expression" priority="76187" dxfId="4">
      <formula>$H1924="SUBETAPA"</formula>
    </cfRule>
  </conditionalFormatting>
  <conditionalFormatting sqref="L1932:M1932 O1932">
    <cfRule type="expression" priority="76372" dxfId="3">
      <formula>$H1932="ETAPA"</formula>
    </cfRule>
  </conditionalFormatting>
  <conditionalFormatting sqref="O1932">
    <cfRule type="expression" priority="76371" dxfId="5">
      <formula>$H1932="CÉLULA CONSTRUTIVA"</formula>
    </cfRule>
    <cfRule type="expression" priority="76373" dxfId="4">
      <formula>$H1932="SUBETAPA"</formula>
    </cfRule>
  </conditionalFormatting>
  <conditionalFormatting sqref="L1937:M1937 O1937">
    <cfRule type="expression" priority="76558" dxfId="3">
      <formula>$H1937="ETAPA"</formula>
    </cfRule>
  </conditionalFormatting>
  <conditionalFormatting sqref="O1937">
    <cfRule type="expression" priority="76557" dxfId="5">
      <formula>$H1937="CÉLULA CONSTRUTIVA"</formula>
    </cfRule>
    <cfRule type="expression" priority="76559" dxfId="4">
      <formula>$H1937="SUBETAPA"</formula>
    </cfRule>
  </conditionalFormatting>
  <conditionalFormatting sqref="L1945:M1945 O1945">
    <cfRule type="expression" priority="76744" dxfId="3">
      <formula>$H1945="ETAPA"</formula>
    </cfRule>
  </conditionalFormatting>
  <conditionalFormatting sqref="O1945">
    <cfRule type="expression" priority="76743" dxfId="5">
      <formula>$H1945="CÉLULA CONSTRUTIVA"</formula>
    </cfRule>
    <cfRule type="expression" priority="76745" dxfId="4">
      <formula>$H1945="SUBETAPA"</formula>
    </cfRule>
  </conditionalFormatting>
  <conditionalFormatting sqref="L1954:M1954 O1954">
    <cfRule type="expression" priority="76930" dxfId="3">
      <formula>$H1954="ETAPA"</formula>
    </cfRule>
  </conditionalFormatting>
  <conditionalFormatting sqref="O1954">
    <cfRule type="expression" priority="76929" dxfId="5">
      <formula>$H1954="CÉLULA CONSTRUTIVA"</formula>
    </cfRule>
    <cfRule type="expression" priority="76931" dxfId="4">
      <formula>$H1954="SUBETAPA"</formula>
    </cfRule>
  </conditionalFormatting>
  <conditionalFormatting sqref="L1970:M1970 O1970">
    <cfRule type="expression" priority="77116" dxfId="3">
      <formula>$H1970="ETAPA"</formula>
    </cfRule>
  </conditionalFormatting>
  <conditionalFormatting sqref="O1970">
    <cfRule type="expression" priority="77115" dxfId="5">
      <formula>$H1970="CÉLULA CONSTRUTIVA"</formula>
    </cfRule>
    <cfRule type="expression" priority="77117" dxfId="4">
      <formula>$H1970="SUBETAPA"</formula>
    </cfRule>
  </conditionalFormatting>
  <conditionalFormatting sqref="O1985:O1989">
    <cfRule type="expression" priority="77494" dxfId="5">
      <formula>$H1985="CÉLULA CONSTRUTIVA"</formula>
    </cfRule>
    <cfRule type="expression" priority="77495" dxfId="3">
      <formula>$H1985="ETAPA"</formula>
    </cfRule>
  </conditionalFormatting>
  <conditionalFormatting sqref="O1992:O1996">
    <cfRule type="expression" priority="77680" dxfId="5">
      <formula>$H1992="CÉLULA CONSTRUTIVA"</formula>
    </cfRule>
    <cfRule type="expression" priority="77681" dxfId="3">
      <formula>$H1992="ETAPA"</formula>
    </cfRule>
  </conditionalFormatting>
  <conditionalFormatting sqref="O1999:O2003">
    <cfRule type="expression" priority="77866" dxfId="5">
      <formula>$H1999="CÉLULA CONSTRUTIVA"</formula>
    </cfRule>
    <cfRule type="expression" priority="77867" dxfId="3">
      <formula>$H1999="ETAPA"</formula>
    </cfRule>
  </conditionalFormatting>
  <conditionalFormatting sqref="O2006:O2010">
    <cfRule type="expression" priority="78052" dxfId="5">
      <formula>$H2006="CÉLULA CONSTRUTIVA"</formula>
    </cfRule>
    <cfRule type="expression" priority="78053" dxfId="3">
      <formula>$H2006="ETAPA"</formula>
    </cfRule>
  </conditionalFormatting>
  <conditionalFormatting sqref="O2015:O2019">
    <cfRule type="expression" priority="78238" dxfId="5">
      <formula>$H2015="CÉLULA CONSTRUTIVA"</formula>
    </cfRule>
    <cfRule type="expression" priority="78239" dxfId="3">
      <formula>$H2015="ETAPA"</formula>
    </cfRule>
  </conditionalFormatting>
  <conditionalFormatting sqref="L2022:M2022 O2022">
    <cfRule type="expression" priority="78232" dxfId="3">
      <formula>$H2022="ETAPA"</formula>
    </cfRule>
  </conditionalFormatting>
  <conditionalFormatting sqref="O2022">
    <cfRule type="expression" priority="78231" dxfId="5">
      <formula>$H2022="CÉLULA CONSTRUTIVA"</formula>
    </cfRule>
    <cfRule type="expression" priority="78233" dxfId="4">
      <formula>$H2022="SUBETAPA"</formula>
    </cfRule>
  </conditionalFormatting>
  <conditionalFormatting sqref="L2030:M2030 O2030">
    <cfRule type="expression" priority="78418" dxfId="3">
      <formula>$H2030="ETAPA"</formula>
    </cfRule>
  </conditionalFormatting>
  <conditionalFormatting sqref="O2030">
    <cfRule type="expression" priority="78417" dxfId="5">
      <formula>$H2030="CÉLULA CONSTRUTIVA"</formula>
    </cfRule>
    <cfRule type="expression" priority="78419" dxfId="4">
      <formula>$H2030="SUBETAPA"</formula>
    </cfRule>
  </conditionalFormatting>
  <conditionalFormatting sqref="O2032:O2033 O2035:O2040 O2052 O2054:O2055 O2061:O2062">
    <cfRule type="expression" priority="67440" dxfId="3">
      <formula>$H2032="ETAPA"</formula>
    </cfRule>
  </conditionalFormatting>
  <conditionalFormatting sqref="O2034">
    <cfRule type="expression" priority="3453" dxfId="8">
      <formula>$H2034="ETAPA"</formula>
    </cfRule>
    <cfRule type="expression" priority="3454" dxfId="6">
      <formula>$H2034="SUBETAPA"</formula>
    </cfRule>
    <cfRule type="expression" priority="3455" dxfId="8">
      <formula>$H2034="ETAPA"</formula>
    </cfRule>
    <cfRule type="expression" priority="3456" dxfId="6">
      <formula>$H2034="SUBETAPA"</formula>
    </cfRule>
    <cfRule type="expression" priority="3457" dxfId="8">
      <formula>$H2034="ETAPA"</formula>
    </cfRule>
    <cfRule type="expression" priority="3458" dxfId="6">
      <formula>$H2034="SUBETAPA"</formula>
    </cfRule>
    <cfRule type="expression" priority="3459" dxfId="7">
      <formula>$H2034="CÉLULA CONSTRUTIVA"</formula>
    </cfRule>
  </conditionalFormatting>
  <conditionalFormatting sqref="O2041">
    <cfRule type="expression" priority="3446" dxfId="8">
      <formula>$H2041="ETAPA"</formula>
    </cfRule>
    <cfRule type="expression" priority="3447" dxfId="6">
      <formula>$H2041="SUBETAPA"</formula>
    </cfRule>
    <cfRule type="expression" priority="3448" dxfId="8">
      <formula>$H2041="ETAPA"</formula>
    </cfRule>
    <cfRule type="expression" priority="3449" dxfId="6">
      <formula>$H2041="SUBETAPA"</formula>
    </cfRule>
    <cfRule type="expression" priority="3450" dxfId="8">
      <formula>$H2041="ETAPA"</formula>
    </cfRule>
    <cfRule type="expression" priority="3451" dxfId="6">
      <formula>$H2041="SUBETAPA"</formula>
    </cfRule>
    <cfRule type="expression" priority="3452" dxfId="7">
      <formula>$H2041="CÉLULA CONSTRUTIVA"</formula>
    </cfRule>
  </conditionalFormatting>
  <conditionalFormatting sqref="O2043:O2046">
    <cfRule type="expression" priority="66889" dxfId="3">
      <formula>$H2043="ETAPA"</formula>
    </cfRule>
  </conditionalFormatting>
  <conditionalFormatting sqref="O2047:O2049">
    <cfRule type="expression" priority="66894" dxfId="3">
      <formula>$H2047="ETAPA"</formula>
    </cfRule>
  </conditionalFormatting>
  <conditionalFormatting sqref="O2048:O2049">
    <cfRule type="expression" priority="66892" dxfId="4">
      <formula>$H2048="SUBETAPA"</formula>
    </cfRule>
    <cfRule type="expression" priority="66893" dxfId="5">
      <formula>$H2048="CÉLULA CONSTRUTIVA"</formula>
    </cfRule>
  </conditionalFormatting>
  <conditionalFormatting sqref="H2051 J2051:L2051 J2061:L2062 O2051">
    <cfRule type="expression" priority="67442" dxfId="5">
      <formula>$H2051="CÉLULA CONSTRUTIVA"</formula>
    </cfRule>
  </conditionalFormatting>
  <conditionalFormatting sqref="H2051 J2051:L2051 J2061:L2062 L2056 O2051">
    <cfRule type="expression" priority="67441" dxfId="4">
      <formula>$H2051="SUBETAPA"</formula>
    </cfRule>
  </conditionalFormatting>
  <conditionalFormatting sqref="O2032:O2033 O2035:O2036 O2052 O2054:O2055 O2061:O2062">
    <cfRule type="expression" priority="67360" dxfId="5">
      <formula>$H2032="CÉLULA CONSTRUTIVA"</formula>
    </cfRule>
    <cfRule type="expression" priority="67439" dxfId="4">
      <formula>$H2032="SUBETAPA"</formula>
    </cfRule>
  </conditionalFormatting>
  <conditionalFormatting sqref="H2052:H2053 J2052:L2052 J2053:K2053 L2053:L2054 O2053">
    <cfRule type="expression" priority="67361" dxfId="5">
      <formula>$H2052="CÉLULA CONSTRUTIVA"</formula>
    </cfRule>
  </conditionalFormatting>
  <conditionalFormatting sqref="H2059:H2064 O2059:O2060">
    <cfRule type="expression" priority="67185" dxfId="3">
      <formula>$H2059="ETAPA"</formula>
    </cfRule>
  </conditionalFormatting>
  <conditionalFormatting sqref="O2059:O2060">
    <cfRule type="expression" priority="67162" dxfId="5">
      <formula>$H2059="CÉLULA CONSTRUTIVA"</formula>
    </cfRule>
  </conditionalFormatting>
  <conditionalFormatting sqref="O2063:O2064 O2066 O2072 O2074 O2076:O2077 O2082:O2083">
    <cfRule type="expression" priority="68080" dxfId="3">
      <formula>$H2063="ETAPA"</formula>
    </cfRule>
    <cfRule type="expression" priority="68000" dxfId="5">
      <formula>$H2063="CÉLULA CONSTRUTIVA"</formula>
    </cfRule>
    <cfRule type="expression" priority="68079" dxfId="4">
      <formula>$H2063="SUBETAPA"</formula>
    </cfRule>
  </conditionalFormatting>
  <conditionalFormatting sqref="H2066:H2067 J2066:L2066 J2067:K2067 K2070:L2070 O2067">
    <cfRule type="expression" priority="67744" dxfId="5">
      <formula>$H2066="CÉLULA CONSTRUTIVA"</formula>
    </cfRule>
  </conditionalFormatting>
  <conditionalFormatting sqref="H2073 J2073:L2073 J2082:L2083 O2073">
    <cfRule type="expression" priority="68082" dxfId="5">
      <formula>$H2073="CÉLULA CONSTRUTIVA"</formula>
    </cfRule>
  </conditionalFormatting>
  <conditionalFormatting sqref="H2073 J2073:L2073 J2082:L2083 L2078 O2073">
    <cfRule type="expression" priority="68081" dxfId="4">
      <formula>$H2073="SUBETAPA"</formula>
    </cfRule>
  </conditionalFormatting>
  <conditionalFormatting sqref="O2073">
    <cfRule type="expression" priority="68004" dxfId="3">
      <formula>$H2073="ETAPA"</formula>
    </cfRule>
  </conditionalFormatting>
  <conditionalFormatting sqref="H2074:H2075 H2079:H2080 J2074:L2074 J2075:K2075 J2079:L2080 L2075:L2076 O2075">
    <cfRule type="expression" priority="68001" dxfId="5">
      <formula>$H2074="CÉLULA CONSTRUTIVA"</formula>
    </cfRule>
  </conditionalFormatting>
  <conditionalFormatting sqref="O2084:O2085 O2087 O2092 O2094:O2096">
    <cfRule type="expression" priority="68720" dxfId="3">
      <formula>$H2084="ETAPA"</formula>
    </cfRule>
    <cfRule type="expression" priority="68640" dxfId="5">
      <formula>$H2084="CÉLULA CONSTRUTIVA"</formula>
    </cfRule>
    <cfRule type="expression" priority="68719" dxfId="4">
      <formula>$H2084="SUBETAPA"</formula>
    </cfRule>
  </conditionalFormatting>
  <conditionalFormatting sqref="H2087:H2088 J2087:L2087 J2088:K2088 K2090 O2088">
    <cfRule type="expression" priority="68384" dxfId="5">
      <formula>$H2087="CÉLULA CONSTRUTIVA"</formula>
    </cfRule>
  </conditionalFormatting>
  <conditionalFormatting sqref="H2093 J2093:L2093 O2093">
    <cfRule type="expression" priority="68722" dxfId="5">
      <formula>$H2093="CÉLULA CONSTRUTIVA"</formula>
    </cfRule>
  </conditionalFormatting>
  <conditionalFormatting sqref="H2093 J2093:L2093 L2097 O2093">
    <cfRule type="expression" priority="68721" dxfId="4">
      <formula>$H2093="SUBETAPA"</formula>
    </cfRule>
  </conditionalFormatting>
  <conditionalFormatting sqref="O2101:O2102 O2104 O2110:O2112">
    <cfRule type="expression" priority="69360" dxfId="3">
      <formula>$H2101="ETAPA"</formula>
    </cfRule>
    <cfRule type="expression" priority="69280" dxfId="5">
      <formula>$H2101="CÉLULA CONSTRUTIVA"</formula>
    </cfRule>
    <cfRule type="expression" priority="69359" dxfId="4">
      <formula>$H2101="SUBETAPA"</formula>
    </cfRule>
  </conditionalFormatting>
  <conditionalFormatting sqref="H2104:H2105 J2104:L2104 J2105:K2105 K2107 O2105">
    <cfRule type="expression" priority="69024" dxfId="5">
      <formula>$H2104="CÉLULA CONSTRUTIVA"</formula>
    </cfRule>
  </conditionalFormatting>
  <conditionalFormatting sqref="H2109 J2109:L2109 O2109">
    <cfRule type="expression" priority="69362" dxfId="5">
      <formula>$H2109="CÉLULA CONSTRUTIVA"</formula>
    </cfRule>
  </conditionalFormatting>
  <conditionalFormatting sqref="H2109 J2109:L2109 L2113 O2109">
    <cfRule type="expression" priority="69361" dxfId="4">
      <formula>$H2109="SUBETAPA"</formula>
    </cfRule>
  </conditionalFormatting>
  <conditionalFormatting sqref="O2117:O2118 O2120 O2125 O2127:O2129">
    <cfRule type="expression" priority="70000" dxfId="3">
      <formula>$H2117="ETAPA"</formula>
    </cfRule>
    <cfRule type="expression" priority="69920" dxfId="5">
      <formula>$H2117="CÉLULA CONSTRUTIVA"</formula>
    </cfRule>
    <cfRule type="expression" priority="69999" dxfId="4">
      <formula>$H2117="SUBETAPA"</formula>
    </cfRule>
  </conditionalFormatting>
  <conditionalFormatting sqref="H2120:H2121 J2120:L2120 J2121:K2121 K2123 O2121">
    <cfRule type="expression" priority="69664" dxfId="5">
      <formula>$H2120="CÉLULA CONSTRUTIVA"</formula>
    </cfRule>
  </conditionalFormatting>
  <conditionalFormatting sqref="H2126 J2126:L2126 O2126">
    <cfRule type="expression" priority="70002" dxfId="5">
      <formula>$H2126="CÉLULA CONSTRUTIVA"</formula>
    </cfRule>
  </conditionalFormatting>
  <conditionalFormatting sqref="H2126 J2126:L2126 L2130 O2126">
    <cfRule type="expression" priority="70001" dxfId="4">
      <formula>$H2126="SUBETAPA"</formula>
    </cfRule>
  </conditionalFormatting>
  <conditionalFormatting sqref="O2134:O2135 O2137 O2139:O2143 O2145:O2147">
    <cfRule type="expression" priority="70640" dxfId="3">
      <formula>$H2134="ETAPA"</formula>
    </cfRule>
  </conditionalFormatting>
  <conditionalFormatting sqref="H2137:H2138 H2140:H2141 J2137:L2137 J2138:K2138 J2140:L2140 K2141 O2138 O2140:O2142">
    <cfRule type="expression" priority="70304" dxfId="5">
      <formula>$H2137="CÉLULA CONSTRUTIVA"</formula>
    </cfRule>
  </conditionalFormatting>
  <conditionalFormatting sqref="H2144 J2144:L2144 O2144">
    <cfRule type="expression" priority="70642" dxfId="5">
      <formula>$H2144="CÉLULA CONSTRUTIVA"</formula>
    </cfRule>
  </conditionalFormatting>
  <conditionalFormatting sqref="H2144 J2144:L2144 L2148 O2144">
    <cfRule type="expression" priority="70641" dxfId="4">
      <formula>$H2144="SUBETAPA"</formula>
    </cfRule>
  </conditionalFormatting>
  <conditionalFormatting sqref="O2134:O2135 O2137 O2143 O2145:O2147">
    <cfRule type="expression" priority="70560" dxfId="5">
      <formula>$H2134="CÉLULA CONSTRUTIVA"</formula>
    </cfRule>
    <cfRule type="expression" priority="70639" dxfId="4">
      <formula>$H2134="SUBETAPA"</formula>
    </cfRule>
  </conditionalFormatting>
  <conditionalFormatting sqref="O2152:O2153 O2155 O2160 O2169 O2171 O2173 O2178:O2179">
    <cfRule type="expression" priority="71280" dxfId="3">
      <formula>$H2152="ETAPA"</formula>
    </cfRule>
    <cfRule type="expression" priority="71200" dxfId="5">
      <formula>$H2152="CÉLULA CONSTRUTIVA"</formula>
    </cfRule>
    <cfRule type="expression" priority="71279" dxfId="4">
      <formula>$H2152="SUBETAPA"</formula>
    </cfRule>
  </conditionalFormatting>
  <conditionalFormatting sqref="H2155:H2156 J2155:L2155 J2156:K2156 K2158 O2156">
    <cfRule type="expression" priority="70944" dxfId="5">
      <formula>$H2155="CÉLULA CONSTRUTIVA"</formula>
    </cfRule>
  </conditionalFormatting>
  <conditionalFormatting sqref="H2161 J2161:L2161 O2161">
    <cfRule type="expression" priority="70795" dxfId="4">
      <formula>$H2161="SUBETAPA"</formula>
    </cfRule>
  </conditionalFormatting>
  <conditionalFormatting sqref="O2165">
    <cfRule type="expression" priority="70787" dxfId="5">
      <formula>$H2165="CÉLULA CONSTRUTIVA"</formula>
    </cfRule>
    <cfRule type="expression" priority="70817" dxfId="4">
      <formula>$H2165="SUBETAPA"</formula>
    </cfRule>
  </conditionalFormatting>
  <conditionalFormatting sqref="O2165:O2166">
    <cfRule type="expression" priority="70818" dxfId="3">
      <formula>$H2165="ETAPA"</formula>
    </cfRule>
  </conditionalFormatting>
  <conditionalFormatting sqref="H2168 H2172 H2178:H2180 J2168:L2168 J2172:L2172 J2178:L2179 K2180:L2180 O2168 O2180">
    <cfRule type="expression" priority="71282" dxfId="5">
      <formula>$H2168="CÉLULA CONSTRUTIVA"</formula>
    </cfRule>
  </conditionalFormatting>
  <conditionalFormatting sqref="H2168 H2178:H2180 J2168:L2168 J2178:L2179 K2180:L2180 L2172 L2174 O2168 O2180">
    <cfRule type="expression" priority="71281" dxfId="4">
      <formula>$H2168="SUBETAPA"</formula>
    </cfRule>
  </conditionalFormatting>
  <conditionalFormatting sqref="H2169:H2170 J2169:L2169 J2170:K2170 L2170:L2171 O2170">
    <cfRule type="expression" priority="71201" dxfId="5">
      <formula>$H2169="CÉLULA CONSTRUTIVA"</formula>
    </cfRule>
  </conditionalFormatting>
  <conditionalFormatting sqref="O2181:O2182 O2187 O2191 O2201 O2203:O2204 O2208:O2209">
    <cfRule type="expression" priority="71920" dxfId="3">
      <formula>$H2181="ETAPA"</formula>
    </cfRule>
    <cfRule type="expression" priority="71840" dxfId="5">
      <formula>$H2181="CÉLULA CONSTRUTIVA"</formula>
    </cfRule>
    <cfRule type="expression" priority="71919" dxfId="4">
      <formula>$H2181="SUBETAPA"</formula>
    </cfRule>
  </conditionalFormatting>
  <conditionalFormatting sqref="O2188:O2190">
    <cfRule type="expression" priority="71375" dxfId="3">
      <formula>$H2188="ETAPA"</formula>
    </cfRule>
  </conditionalFormatting>
  <conditionalFormatting sqref="O2196">
    <cfRule type="expression" priority="71335" dxfId="5">
      <formula>$H2196="CÉLULA CONSTRUTIVA"</formula>
    </cfRule>
    <cfRule type="expression" priority="71363" dxfId="4">
      <formula>$H2196="SUBETAPA"</formula>
    </cfRule>
    <cfRule type="expression" priority="71364" dxfId="3">
      <formula>$H2196="ETAPA"</formula>
    </cfRule>
  </conditionalFormatting>
  <conditionalFormatting sqref="H2200 J2200:L2200 J2208:L2209 O2200">
    <cfRule type="expression" priority="71922" dxfId="5">
      <formula>$H2200="CÉLULA CONSTRUTIVA"</formula>
    </cfRule>
  </conditionalFormatting>
  <conditionalFormatting sqref="H2200 J2200:L2200 J2208:L2209 L2205 O2200">
    <cfRule type="expression" priority="71921" dxfId="4">
      <formula>$H2200="SUBETAPA"</formula>
    </cfRule>
  </conditionalFormatting>
  <conditionalFormatting sqref="H2201:H2202 J2201:L2201 J2202:K2202 L2202:L2203 O2202">
    <cfRule type="expression" priority="71841" dxfId="5">
      <formula>$H2201="CÉLULA CONSTRUTIVA"</formula>
    </cfRule>
  </conditionalFormatting>
  <conditionalFormatting sqref="O2210:O2211 O2218 O2222 O2224:O2225 O2228:O2229">
    <cfRule type="expression" priority="72560" dxfId="3">
      <formula>$H2210="ETAPA"</formula>
    </cfRule>
    <cfRule type="expression" priority="72480" dxfId="5">
      <formula>$H2210="CÉLULA CONSTRUTIVA"</formula>
    </cfRule>
    <cfRule type="expression" priority="72559" dxfId="4">
      <formula>$H2210="SUBETAPA"</formula>
    </cfRule>
  </conditionalFormatting>
  <conditionalFormatting sqref="O2213">
    <cfRule type="expression" priority="72105" dxfId="4">
      <formula>$H2213="SUBETAPA"</formula>
    </cfRule>
    <cfRule type="expression" priority="72106" dxfId="5">
      <formula>$H2213="CÉLULA CONSTRUTIVA"</formula>
    </cfRule>
    <cfRule type="expression" priority="72107" dxfId="3">
      <formula>$H2213="ETAPA"</formula>
    </cfRule>
  </conditionalFormatting>
  <conditionalFormatting sqref="H2210:H2211 O2214 O2221">
    <cfRule type="expression" priority="72484" dxfId="3">
      <formula>$H2210="ETAPA"</formula>
    </cfRule>
  </conditionalFormatting>
  <conditionalFormatting sqref="O2214">
    <cfRule type="expression" priority="72251" dxfId="4">
      <formula>$H2214="SUBETAPA"</formula>
    </cfRule>
    <cfRule type="expression" priority="72252" dxfId="5">
      <formula>$H2214="CÉLULA CONSTRUTIVA"</formula>
    </cfRule>
  </conditionalFormatting>
  <conditionalFormatting sqref="O2219">
    <cfRule type="expression" priority="72277" dxfId="3">
      <formula>$H2219="ETAPA"</formula>
    </cfRule>
  </conditionalFormatting>
  <conditionalFormatting sqref="H2221 J2221:L2221 J2228:L2229 L2223:L2224 O2221">
    <cfRule type="expression" priority="72562" dxfId="5">
      <formula>$H2221="CÉLULA CONSTRUTIVA"</formula>
    </cfRule>
  </conditionalFormatting>
  <conditionalFormatting sqref="H2221 J2221:L2221 J2228:L2229 L2226 O2221">
    <cfRule type="expression" priority="72561" dxfId="4">
      <formula>$H2221="SUBETAPA"</formula>
    </cfRule>
  </conditionalFormatting>
  <conditionalFormatting sqref="H2222:H2223 J2222:L2222 J2223:K2223 O2223">
    <cfRule type="expression" priority="72481" dxfId="5">
      <formula>$H2222="CÉLULA CONSTRUTIVA"</formula>
    </cfRule>
  </conditionalFormatting>
  <conditionalFormatting sqref="O2230:O2231 O2238 O2242 O2244:O2245 O2248:O2249">
    <cfRule type="expression" priority="73200" dxfId="3">
      <formula>$H2230="ETAPA"</formula>
    </cfRule>
    <cfRule type="expression" priority="73120" dxfId="5">
      <formula>$H2230="CÉLULA CONSTRUTIVA"</formula>
    </cfRule>
    <cfRule type="expression" priority="73199" dxfId="4">
      <formula>$H2230="SUBETAPA"</formula>
    </cfRule>
  </conditionalFormatting>
  <conditionalFormatting sqref="O2233">
    <cfRule type="expression" priority="72745" dxfId="4">
      <formula>$H2233="SUBETAPA"</formula>
    </cfRule>
    <cfRule type="expression" priority="72746" dxfId="5">
      <formula>$H2233="CÉLULA CONSTRUTIVA"</formula>
    </cfRule>
    <cfRule type="expression" priority="72747" dxfId="3">
      <formula>$H2233="ETAPA"</formula>
    </cfRule>
  </conditionalFormatting>
  <conditionalFormatting sqref="O2234 O2241">
    <cfRule type="expression" priority="73124" dxfId="3">
      <formula>$H2234="ETAPA"</formula>
    </cfRule>
  </conditionalFormatting>
  <conditionalFormatting sqref="O2234">
    <cfRule type="expression" priority="72891" dxfId="4">
      <formula>$H2234="SUBETAPA"</formula>
    </cfRule>
    <cfRule type="expression" priority="72892" dxfId="5">
      <formula>$H2234="CÉLULA CONSTRUTIVA"</formula>
    </cfRule>
  </conditionalFormatting>
  <conditionalFormatting sqref="O2239">
    <cfRule type="expression" priority="72917" dxfId="3">
      <formula>$H2239="ETAPA"</formula>
    </cfRule>
  </conditionalFormatting>
  <conditionalFormatting sqref="H2241 J2241:L2241 J2248:L2249 L2243 O2241">
    <cfRule type="expression" priority="73202" dxfId="5">
      <formula>$H2241="CÉLULA CONSTRUTIVA"</formula>
    </cfRule>
  </conditionalFormatting>
  <conditionalFormatting sqref="H2241 J2241:L2241 J2248:L2249 L2243 L2246 O2241">
    <cfRule type="expression" priority="73201" dxfId="4">
      <formula>$H2241="SUBETAPA"</formula>
    </cfRule>
  </conditionalFormatting>
  <conditionalFormatting sqref="H2242:H2243 J2242:L2242 J2243:K2243 O2243">
    <cfRule type="expression" priority="73121" dxfId="5">
      <formula>$H2242="CÉLULA CONSTRUTIVA"</formula>
    </cfRule>
  </conditionalFormatting>
  <conditionalFormatting sqref="O2250:O2251 O2258 O2264 O2266:O2267 O2271:O2272">
    <cfRule type="expression" priority="73840" dxfId="3">
      <formula>$H2250="ETAPA"</formula>
    </cfRule>
    <cfRule type="expression" priority="73760" dxfId="5">
      <formula>$H2250="CÉLULA CONSTRUTIVA"</formula>
    </cfRule>
    <cfRule type="expression" priority="73839" dxfId="4">
      <formula>$H2250="SUBETAPA"</formula>
    </cfRule>
  </conditionalFormatting>
  <conditionalFormatting sqref="O2253">
    <cfRule type="expression" priority="73385" dxfId="4">
      <formula>$H2253="SUBETAPA"</formula>
    </cfRule>
    <cfRule type="expression" priority="73386" dxfId="5">
      <formula>$H2253="CÉLULA CONSTRUTIVA"</formula>
    </cfRule>
    <cfRule type="expression" priority="73387" dxfId="3">
      <formula>$H2253="ETAPA"</formula>
    </cfRule>
  </conditionalFormatting>
  <conditionalFormatting sqref="O2254 O2263">
    <cfRule type="expression" priority="73764" dxfId="3">
      <formula>$H2254="ETAPA"</formula>
    </cfRule>
  </conditionalFormatting>
  <conditionalFormatting sqref="O2254">
    <cfRule type="expression" priority="73531" dxfId="4">
      <formula>$H2254="SUBETAPA"</formula>
    </cfRule>
    <cfRule type="expression" priority="73532" dxfId="5">
      <formula>$H2254="CÉLULA CONSTRUTIVA"</formula>
    </cfRule>
  </conditionalFormatting>
  <conditionalFormatting sqref="O2259:O2261">
    <cfRule type="expression" priority="73288" dxfId="3">
      <formula>$H2259="ETAPA"</formula>
    </cfRule>
  </conditionalFormatting>
  <conditionalFormatting sqref="J2271:L2272 L2265 O2263">
    <cfRule type="expression" priority="73842" dxfId="5">
      <formula>$H2263="CÉLULA CONSTRUTIVA"</formula>
    </cfRule>
  </conditionalFormatting>
  <conditionalFormatting sqref="J2271:L2272 L2265 L2268 O2263">
    <cfRule type="expression" priority="73841" dxfId="4">
      <formula>$H2263="SUBETAPA"</formula>
    </cfRule>
  </conditionalFormatting>
  <conditionalFormatting sqref="H2264:H2265 J2264:L2264 J2265:K2265 O2265">
    <cfRule type="expression" priority="73761" dxfId="5">
      <formula>$H2264="CÉLULA CONSTRUTIVA"</formula>
    </cfRule>
  </conditionalFormatting>
  <conditionalFormatting sqref="O2273:O2274 O2281 O2288 O2290:O2291 O2295:O2296">
    <cfRule type="expression" priority="74480" dxfId="3">
      <formula>$H2273="ETAPA"</formula>
    </cfRule>
    <cfRule type="expression" priority="74400" dxfId="5">
      <formula>$H2273="CÉLULA CONSTRUTIVA"</formula>
    </cfRule>
    <cfRule type="expression" priority="74479" dxfId="4">
      <formula>$H2273="SUBETAPA"</formula>
    </cfRule>
  </conditionalFormatting>
  <conditionalFormatting sqref="O2276">
    <cfRule type="expression" priority="74025" dxfId="4">
      <formula>$H2276="SUBETAPA"</formula>
    </cfRule>
    <cfRule type="expression" priority="74026" dxfId="5">
      <formula>$H2276="CÉLULA CONSTRUTIVA"</formula>
    </cfRule>
    <cfRule type="expression" priority="74027" dxfId="3">
      <formula>$H2276="ETAPA"</formula>
    </cfRule>
  </conditionalFormatting>
  <conditionalFormatting sqref="O2277 O2287">
    <cfRule type="expression" priority="74404" dxfId="3">
      <formula>$H2277="ETAPA"</formula>
    </cfRule>
  </conditionalFormatting>
  <conditionalFormatting sqref="O2277">
    <cfRule type="expression" priority="74171" dxfId="4">
      <formula>$H2277="SUBETAPA"</formula>
    </cfRule>
    <cfRule type="expression" priority="74172" dxfId="5">
      <formula>$H2277="CÉLULA CONSTRUTIVA"</formula>
    </cfRule>
  </conditionalFormatting>
  <conditionalFormatting sqref="O2282:O2285">
    <cfRule type="expression" priority="73928" dxfId="3">
      <formula>$H2282="ETAPA"</formula>
    </cfRule>
  </conditionalFormatting>
  <conditionalFormatting sqref="J2295:L2296 L2289 O2287">
    <cfRule type="expression" priority="74482" dxfId="5">
      <formula>$H2287="CÉLULA CONSTRUTIVA"</formula>
    </cfRule>
  </conditionalFormatting>
  <conditionalFormatting sqref="J2295:L2296 L2289 L2292 O2287">
    <cfRule type="expression" priority="74481" dxfId="4">
      <formula>$H2287="SUBETAPA"</formula>
    </cfRule>
  </conditionalFormatting>
  <conditionalFormatting sqref="H2288:H2289 J2288:L2288 J2289:K2289 O2289">
    <cfRule type="expression" priority="74401" dxfId="5">
      <formula>$H2288="CÉLULA CONSTRUTIVA"</formula>
    </cfRule>
  </conditionalFormatting>
  <conditionalFormatting sqref="O2297:O2298 O2306 O2311 O2313 O2319:O2320">
    <cfRule type="expression" priority="75120" dxfId="3">
      <formula>$H2297="ETAPA"</formula>
    </cfRule>
    <cfRule type="expression" priority="75040" dxfId="5">
      <formula>$H2297="CÉLULA CONSTRUTIVA"</formula>
    </cfRule>
    <cfRule type="expression" priority="75119" dxfId="4">
      <formula>$H2297="SUBETAPA"</formula>
    </cfRule>
  </conditionalFormatting>
  <conditionalFormatting sqref="H2299:H2300 K2299:K2300 O2299:O2300">
    <cfRule type="expression" priority="74740" dxfId="4">
      <formula>$H2299="SUBETAPA"</formula>
    </cfRule>
  </conditionalFormatting>
  <conditionalFormatting sqref="O2299:O2301">
    <cfRule type="expression" priority="74667" dxfId="3">
      <formula>$H2299="ETAPA"</formula>
    </cfRule>
  </conditionalFormatting>
  <conditionalFormatting sqref="O2301">
    <cfRule type="expression" priority="74665" dxfId="4">
      <formula>$H2301="SUBETAPA"</formula>
    </cfRule>
    <cfRule type="expression" priority="74666" dxfId="5">
      <formula>$H2301="CÉLULA CONSTRUTIVA"</formula>
    </cfRule>
  </conditionalFormatting>
  <conditionalFormatting sqref="O2302">
    <cfRule type="expression" priority="74811" dxfId="4">
      <formula>$H2302="SUBETAPA"</formula>
    </cfRule>
    <cfRule type="expression" priority="74812" dxfId="5">
      <formula>$H2302="CÉLULA CONSTRUTIVA"</formula>
    </cfRule>
    <cfRule type="expression" priority="75044" dxfId="3">
      <formula>$H2302="ETAPA"</formula>
    </cfRule>
  </conditionalFormatting>
  <conditionalFormatting sqref="O2307:O2310">
    <cfRule type="expression" priority="74569" dxfId="3">
      <formula>$H2307="ETAPA"</formula>
    </cfRule>
  </conditionalFormatting>
  <conditionalFormatting sqref="H2310 J2310:L2310 J2319:L2320 K2314:L2315 L2312 O2310">
    <cfRule type="expression" priority="75122" dxfId="5">
      <formula>$H2310="CÉLULA CONSTRUTIVA"</formula>
    </cfRule>
  </conditionalFormatting>
  <conditionalFormatting sqref="H2310 J2310:L2310 J2319:L2320 L2312 L2314 O2310">
    <cfRule type="expression" priority="75121" dxfId="4">
      <formula>$H2310="SUBETAPA"</formula>
    </cfRule>
  </conditionalFormatting>
  <conditionalFormatting sqref="H2311:H2312 J2311:L2311 J2312:K2312 O2312">
    <cfRule type="expression" priority="75041" dxfId="5">
      <formula>$H2311="CÉLULA CONSTRUTIVA"</formula>
    </cfRule>
  </conditionalFormatting>
  <conditionalFormatting sqref="H2317:H2322 O2317:O2318">
    <cfRule type="expression" priority="74865" dxfId="3">
      <formula>$H2317="ETAPA"</formula>
    </cfRule>
  </conditionalFormatting>
  <conditionalFormatting sqref="O2317:O2318">
    <cfRule type="expression" priority="74842" dxfId="5">
      <formula>$H2317="CÉLULA CONSTRUTIVA"</formula>
    </cfRule>
  </conditionalFormatting>
  <conditionalFormatting sqref="O2321:O2322 O2328 O2330 O2333:O2334">
    <cfRule type="expression" priority="75760" dxfId="3">
      <formula>$H2321="ETAPA"</formula>
    </cfRule>
    <cfRule type="expression" priority="75680" dxfId="5">
      <formula>$H2321="CÉLULA CONSTRUTIVA"</formula>
    </cfRule>
    <cfRule type="expression" priority="75759" dxfId="4">
      <formula>$H2321="SUBETAPA"</formula>
    </cfRule>
  </conditionalFormatting>
  <conditionalFormatting sqref="H2327 J2327:L2327 J2333:L2334 L2329 O2327">
    <cfRule type="expression" priority="75762" dxfId="5">
      <formula>$H2327="CÉLULA CONSTRUTIVA"</formula>
    </cfRule>
  </conditionalFormatting>
  <conditionalFormatting sqref="H2327 J2327:L2327 J2333:L2334 L2329 L2331 O2327">
    <cfRule type="expression" priority="75761" dxfId="4">
      <formula>$H2327="SUBETAPA"</formula>
    </cfRule>
  </conditionalFormatting>
  <conditionalFormatting sqref="O2327">
    <cfRule type="expression" priority="75684" dxfId="3">
      <formula>$H2327="ETAPA"</formula>
    </cfRule>
  </conditionalFormatting>
  <conditionalFormatting sqref="H2328:H2329 J2328:L2328 J2329:K2329 O2329">
    <cfRule type="expression" priority="75681" dxfId="5">
      <formula>$H2328="CÉLULA CONSTRUTIVA"</formula>
    </cfRule>
  </conditionalFormatting>
  <conditionalFormatting sqref="O2335:O2336 O2338">
    <cfRule type="expression" priority="86530" dxfId="5">
      <formula>$H2335="CÉLULA CONSTRUTIVA"</formula>
    </cfRule>
  </conditionalFormatting>
  <conditionalFormatting sqref="O2340">
    <cfRule type="expression" priority="59930" dxfId="5">
      <formula>$H2340="CÉLULA CONSTRUTIVA"</formula>
    </cfRule>
  </conditionalFormatting>
  <conditionalFormatting sqref="O2342 O2348 O2354">
    <cfRule type="expression" priority="61965" dxfId="4">
      <formula>$H2342="SUBETAPA"</formula>
    </cfRule>
    <cfRule type="expression" priority="61966" dxfId="3">
      <formula>$H2342="ETAPA"</formula>
    </cfRule>
  </conditionalFormatting>
  <conditionalFormatting sqref="O2343:O2344">
    <cfRule type="expression" priority="61920" dxfId="4">
      <formula>$H2343="SUBETAPA"</formula>
    </cfRule>
    <cfRule type="expression" priority="61930" dxfId="4">
      <formula>$H2343="SUBETAPA"</formula>
    </cfRule>
  </conditionalFormatting>
  <conditionalFormatting sqref="O2343:O2345">
    <cfRule type="expression" priority="61931" dxfId="5">
      <formula>$H2343="CÉLULA CONSTRUTIVA"</formula>
    </cfRule>
  </conditionalFormatting>
  <conditionalFormatting sqref="O2345:O2346">
    <cfRule type="expression" priority="62017" dxfId="4">
      <formula>$H2345="SUBETAPA"</formula>
    </cfRule>
    <cfRule type="expression" priority="62018" dxfId="5">
      <formula>$H2345="CÉLULA CONSTRUTIVA"</formula>
    </cfRule>
  </conditionalFormatting>
  <conditionalFormatting sqref="O2346">
    <cfRule type="expression" priority="62019" dxfId="4">
      <formula>$H2346="SUBETAPA"</formula>
    </cfRule>
  </conditionalFormatting>
  <conditionalFormatting sqref="K2347 O2347">
    <cfRule type="expression" priority="7135" dxfId="4">
      <formula>$H2347="SUBETAPA"</formula>
    </cfRule>
    <cfRule type="expression" priority="7136" dxfId="5">
      <formula>$H2347="CÉLULA CONSTRUTIVA"</formula>
    </cfRule>
  </conditionalFormatting>
  <conditionalFormatting sqref="O2347">
    <cfRule type="expression" priority="7127" dxfId="3">
      <formula>$H2347="ETAPA"</formula>
    </cfRule>
  </conditionalFormatting>
  <conditionalFormatting sqref="O2349:O2350">
    <cfRule type="expression" priority="61803" dxfId="5">
      <formula>$H2349="CÉLULA CONSTRUTIVA"</formula>
    </cfRule>
  </conditionalFormatting>
  <conditionalFormatting sqref="O2357:O2358">
    <cfRule type="expression" priority="61898" dxfId="3">
      <formula>$H2357="ETAPA"</formula>
    </cfRule>
  </conditionalFormatting>
  <conditionalFormatting sqref="O2358">
    <cfRule type="expression" priority="61981" dxfId="4">
      <formula>$H2358="SUBETAPA"</formula>
    </cfRule>
  </conditionalFormatting>
  <conditionalFormatting sqref="O2363 O2369:O2370 O2378:O2379">
    <cfRule type="expression" priority="62205" dxfId="3">
      <formula>$H2363="ETAPA"</formula>
    </cfRule>
  </conditionalFormatting>
  <conditionalFormatting sqref="O2363 O2370 O2378">
    <cfRule type="expression" priority="62204" dxfId="4">
      <formula>$H2363="SUBETAPA"</formula>
    </cfRule>
  </conditionalFormatting>
  <conditionalFormatting sqref="O2364:O2365">
    <cfRule type="expression" priority="62159" dxfId="4">
      <formula>$H2364="SUBETAPA"</formula>
    </cfRule>
    <cfRule type="expression" priority="62169" dxfId="4">
      <formula>$H2364="SUBETAPA"</formula>
    </cfRule>
  </conditionalFormatting>
  <conditionalFormatting sqref="O2364:O2366">
    <cfRule type="expression" priority="62170" dxfId="5">
      <formula>$H2364="CÉLULA CONSTRUTIVA"</formula>
    </cfRule>
  </conditionalFormatting>
  <conditionalFormatting sqref="O2366:O2367">
    <cfRule type="expression" priority="62256" dxfId="4">
      <formula>$H2366="SUBETAPA"</formula>
    </cfRule>
    <cfRule type="expression" priority="62257" dxfId="5">
      <formula>$H2366="CÉLULA CONSTRUTIVA"</formula>
    </cfRule>
  </conditionalFormatting>
  <conditionalFormatting sqref="O2367">
    <cfRule type="expression" priority="62258" dxfId="4">
      <formula>$H2367="SUBETAPA"</formula>
    </cfRule>
  </conditionalFormatting>
  <conditionalFormatting sqref="K2368 O2368">
    <cfRule type="expression" priority="7106" dxfId="4">
      <formula>$H2368="SUBETAPA"</formula>
    </cfRule>
    <cfRule type="expression" priority="7107" dxfId="5">
      <formula>$H2368="CÉLULA CONSTRUTIVA"</formula>
    </cfRule>
  </conditionalFormatting>
  <conditionalFormatting sqref="O2368">
    <cfRule type="expression" priority="7104" dxfId="3">
      <formula>$H2368="ETAPA"</formula>
    </cfRule>
  </conditionalFormatting>
  <conditionalFormatting sqref="O2371:O2372">
    <cfRule type="expression" priority="62042" dxfId="5">
      <formula>$H2371="CÉLULA CONSTRUTIVA"</formula>
    </cfRule>
  </conditionalFormatting>
  <conditionalFormatting sqref="O2373:O2374">
    <cfRule type="expression" priority="62020" dxfId="5">
      <formula>$H2373="CÉLULA CONSTRUTIVA"</formula>
    </cfRule>
  </conditionalFormatting>
  <conditionalFormatting sqref="H2369 H2379 J2369:K2369 J2379:K2379 J2383:J2385 O2379 O2384">
    <cfRule type="expression" priority="62220" dxfId="4">
      <formula>$H2369="SUBETAPA"</formula>
    </cfRule>
  </conditionalFormatting>
  <conditionalFormatting sqref="J2380:L2380 O2380">
    <cfRule type="expression" priority="7088" dxfId="3">
      <formula>$H2380="ETAPA"</formula>
    </cfRule>
  </conditionalFormatting>
  <conditionalFormatting sqref="O2382:O2384">
    <cfRule type="expression" priority="62123" dxfId="3">
      <formula>$H2382="ETAPA"</formula>
    </cfRule>
  </conditionalFormatting>
  <conditionalFormatting sqref="O2390 O2396:O2397 O2403:O2404">
    <cfRule type="expression" priority="62444" dxfId="3">
      <formula>$H2390="ETAPA"</formula>
    </cfRule>
  </conditionalFormatting>
  <conditionalFormatting sqref="O2390 O2397 O2403">
    <cfRule type="expression" priority="62443" dxfId="4">
      <formula>$H2390="SUBETAPA"</formula>
    </cfRule>
  </conditionalFormatting>
  <conditionalFormatting sqref="O2391:O2392">
    <cfRule type="expression" priority="62398" dxfId="4">
      <formula>$H2391="SUBETAPA"</formula>
    </cfRule>
    <cfRule type="expression" priority="62408" dxfId="4">
      <formula>$H2391="SUBETAPA"</formula>
    </cfRule>
  </conditionalFormatting>
  <conditionalFormatting sqref="O2391:O2393">
    <cfRule type="expression" priority="62409" dxfId="5">
      <formula>$H2391="CÉLULA CONSTRUTIVA"</formula>
    </cfRule>
  </conditionalFormatting>
  <conditionalFormatting sqref="O2393:O2394">
    <cfRule type="expression" priority="62495" dxfId="4">
      <formula>$H2393="SUBETAPA"</formula>
    </cfRule>
    <cfRule type="expression" priority="62496" dxfId="5">
      <formula>$H2393="CÉLULA CONSTRUTIVA"</formula>
    </cfRule>
  </conditionalFormatting>
  <conditionalFormatting sqref="O2394">
    <cfRule type="expression" priority="62497" dxfId="4">
      <formula>$H2394="SUBETAPA"</formula>
    </cfRule>
  </conditionalFormatting>
  <conditionalFormatting sqref="K2395 O2395">
    <cfRule type="expression" priority="7050" dxfId="4">
      <formula>$H2395="SUBETAPA"</formula>
    </cfRule>
    <cfRule type="expression" priority="7051" dxfId="5">
      <formula>$H2395="CÉLULA CONSTRUTIVA"</formula>
    </cfRule>
  </conditionalFormatting>
  <conditionalFormatting sqref="O2395">
    <cfRule type="expression" priority="7048" dxfId="3">
      <formula>$H2395="ETAPA"</formula>
    </cfRule>
  </conditionalFormatting>
  <conditionalFormatting sqref="O2398:O2399">
    <cfRule type="expression" priority="62281" dxfId="5">
      <formula>$H2398="CÉLULA CONSTRUTIVA"</formula>
    </cfRule>
  </conditionalFormatting>
  <conditionalFormatting sqref="H2396 H2404 J2396:K2396 J2404:K2404 O2404 O2409">
    <cfRule type="expression" priority="62459" dxfId="4">
      <formula>$H2396="SUBETAPA"</formula>
    </cfRule>
  </conditionalFormatting>
  <conditionalFormatting sqref="J2405:L2405 O2405">
    <cfRule type="expression" priority="7032" dxfId="3">
      <formula>$H2405="ETAPA"</formula>
    </cfRule>
  </conditionalFormatting>
  <conditionalFormatting sqref="O2407:O2409">
    <cfRule type="expression" priority="62362" dxfId="3">
      <formula>$H2407="ETAPA"</formula>
    </cfRule>
  </conditionalFormatting>
  <conditionalFormatting sqref="O2414 O2419:O2420 O2426:O2427">
    <cfRule type="expression" priority="62683" dxfId="3">
      <formula>$H2414="ETAPA"</formula>
    </cfRule>
  </conditionalFormatting>
  <conditionalFormatting sqref="O2414 O2420 O2426">
    <cfRule type="expression" priority="62682" dxfId="4">
      <formula>$H2414="SUBETAPA"</formula>
    </cfRule>
  </conditionalFormatting>
  <conditionalFormatting sqref="O2415:O2416">
    <cfRule type="expression" priority="62637" dxfId="4">
      <formula>$H2415="SUBETAPA"</formula>
    </cfRule>
    <cfRule type="expression" priority="62647" dxfId="4">
      <formula>$H2415="SUBETAPA"</formula>
    </cfRule>
  </conditionalFormatting>
  <conditionalFormatting sqref="O2415:O2417">
    <cfRule type="expression" priority="62648" dxfId="5">
      <formula>$H2415="CÉLULA CONSTRUTIVA"</formula>
    </cfRule>
  </conditionalFormatting>
  <conditionalFormatting sqref="K2418 O2418">
    <cfRule type="expression" priority="6994" dxfId="4">
      <formula>$H2418="SUBETAPA"</formula>
    </cfRule>
    <cfRule type="expression" priority="6995" dxfId="5">
      <formula>$H2418="CÉLULA CONSTRUTIVA"</formula>
    </cfRule>
  </conditionalFormatting>
  <conditionalFormatting sqref="O2418">
    <cfRule type="expression" priority="6992" dxfId="3">
      <formula>$H2418="ETAPA"</formula>
    </cfRule>
  </conditionalFormatting>
  <conditionalFormatting sqref="O2421:O2422">
    <cfRule type="expression" priority="62520" dxfId="5">
      <formula>$H2421="CÉLULA CONSTRUTIVA"</formula>
    </cfRule>
  </conditionalFormatting>
  <conditionalFormatting sqref="H2419 H2427 J2419:K2419 J2427:K2427 O2427 O2432">
    <cfRule type="expression" priority="62698" dxfId="4">
      <formula>$H2419="SUBETAPA"</formula>
    </cfRule>
  </conditionalFormatting>
  <conditionalFormatting sqref="J2428:L2428 O2428">
    <cfRule type="expression" priority="6976" dxfId="3">
      <formula>$H2428="ETAPA"</formula>
    </cfRule>
  </conditionalFormatting>
  <conditionalFormatting sqref="O2430:O2432">
    <cfRule type="expression" priority="62601" dxfId="3">
      <formula>$H2430="ETAPA"</formula>
    </cfRule>
  </conditionalFormatting>
  <conditionalFormatting sqref="O2437 O2442:O2443 O2449:O2450">
    <cfRule type="expression" priority="62922" dxfId="3">
      <formula>$H2437="ETAPA"</formula>
    </cfRule>
  </conditionalFormatting>
  <conditionalFormatting sqref="O2437 O2443 O2449">
    <cfRule type="expression" priority="62921" dxfId="4">
      <formula>$H2437="SUBETAPA"</formula>
    </cfRule>
  </conditionalFormatting>
  <conditionalFormatting sqref="O2438:O2439">
    <cfRule type="expression" priority="62876" dxfId="4">
      <formula>$H2438="SUBETAPA"</formula>
    </cfRule>
    <cfRule type="expression" priority="62886" dxfId="4">
      <formula>$H2438="SUBETAPA"</formula>
    </cfRule>
  </conditionalFormatting>
  <conditionalFormatting sqref="O2438:O2440">
    <cfRule type="expression" priority="62887" dxfId="5">
      <formula>$H2438="CÉLULA CONSTRUTIVA"</formula>
    </cfRule>
  </conditionalFormatting>
  <conditionalFormatting sqref="K2441 O2441">
    <cfRule type="expression" priority="6938" dxfId="4">
      <formula>$H2441="SUBETAPA"</formula>
    </cfRule>
    <cfRule type="expression" priority="6939" dxfId="5">
      <formula>$H2441="CÉLULA CONSTRUTIVA"</formula>
    </cfRule>
  </conditionalFormatting>
  <conditionalFormatting sqref="O2441">
    <cfRule type="expression" priority="6936" dxfId="3">
      <formula>$H2441="ETAPA"</formula>
    </cfRule>
  </conditionalFormatting>
  <conditionalFormatting sqref="O2444:O2445">
    <cfRule type="expression" priority="62759" dxfId="5">
      <formula>$H2444="CÉLULA CONSTRUTIVA"</formula>
    </cfRule>
  </conditionalFormatting>
  <conditionalFormatting sqref="H2442 H2450 J2442:K2442 J2450:K2450 O2450 O2455">
    <cfRule type="expression" priority="62937" dxfId="4">
      <formula>$H2442="SUBETAPA"</formula>
    </cfRule>
  </conditionalFormatting>
  <conditionalFormatting sqref="J2451:L2451 O2451">
    <cfRule type="expression" priority="6920" dxfId="3">
      <formula>$H2451="ETAPA"</formula>
    </cfRule>
  </conditionalFormatting>
  <conditionalFormatting sqref="O2453:O2455">
    <cfRule type="expression" priority="62840" dxfId="3">
      <formula>$H2453="ETAPA"</formula>
    </cfRule>
  </conditionalFormatting>
  <conditionalFormatting sqref="O2460 O2466:O2467 O2473:O2474">
    <cfRule type="expression" priority="63161" dxfId="3">
      <formula>$H2460="ETAPA"</formula>
    </cfRule>
  </conditionalFormatting>
  <conditionalFormatting sqref="O2460 O2467 O2473">
    <cfRule type="expression" priority="63160" dxfId="4">
      <formula>$H2460="SUBETAPA"</formula>
    </cfRule>
  </conditionalFormatting>
  <conditionalFormatting sqref="O2461:O2462">
    <cfRule type="expression" priority="63115" dxfId="4">
      <formula>$H2461="SUBETAPA"</formula>
    </cfRule>
    <cfRule type="expression" priority="63125" dxfId="4">
      <formula>$H2461="SUBETAPA"</formula>
    </cfRule>
  </conditionalFormatting>
  <conditionalFormatting sqref="O2461:O2463">
    <cfRule type="expression" priority="63126" dxfId="5">
      <formula>$H2461="CÉLULA CONSTRUTIVA"</formula>
    </cfRule>
  </conditionalFormatting>
  <conditionalFormatting sqref="O2463:O2464">
    <cfRule type="expression" priority="63212" dxfId="4">
      <formula>$H2463="SUBETAPA"</formula>
    </cfRule>
    <cfRule type="expression" priority="63213" dxfId="5">
      <formula>$H2463="CÉLULA CONSTRUTIVA"</formula>
    </cfRule>
  </conditionalFormatting>
  <conditionalFormatting sqref="O2464">
    <cfRule type="expression" priority="63214" dxfId="4">
      <formula>$H2464="SUBETAPA"</formula>
    </cfRule>
  </conditionalFormatting>
  <conditionalFormatting sqref="K2465 O2465">
    <cfRule type="expression" priority="6882" dxfId="4">
      <formula>$H2465="SUBETAPA"</formula>
    </cfRule>
    <cfRule type="expression" priority="6883" dxfId="5">
      <formula>$H2465="CÉLULA CONSTRUTIVA"</formula>
    </cfRule>
  </conditionalFormatting>
  <conditionalFormatting sqref="O2465">
    <cfRule type="expression" priority="6880" dxfId="3">
      <formula>$H2465="ETAPA"</formula>
    </cfRule>
  </conditionalFormatting>
  <conditionalFormatting sqref="O2468:O2469">
    <cfRule type="expression" priority="62998" dxfId="5">
      <formula>$H2468="CÉLULA CONSTRUTIVA"</formula>
    </cfRule>
  </conditionalFormatting>
  <conditionalFormatting sqref="H2466 H2474 J2466:K2466 J2474:K2474 O2474 O2479">
    <cfRule type="expression" priority="63176" dxfId="4">
      <formula>$H2466="SUBETAPA"</formula>
    </cfRule>
  </conditionalFormatting>
  <conditionalFormatting sqref="J2475:L2475 O2475">
    <cfRule type="expression" priority="6864" dxfId="3">
      <formula>$H2475="ETAPA"</formula>
    </cfRule>
  </conditionalFormatting>
  <conditionalFormatting sqref="O2477:O2479">
    <cfRule type="expression" priority="63079" dxfId="3">
      <formula>$H2477="ETAPA"</formula>
    </cfRule>
  </conditionalFormatting>
  <conditionalFormatting sqref="O2484 O2492:O2493 O2501:O2502">
    <cfRule type="expression" priority="63400" dxfId="3">
      <formula>$H2484="ETAPA"</formula>
    </cfRule>
  </conditionalFormatting>
  <conditionalFormatting sqref="O2484 O2493 O2501">
    <cfRule type="expression" priority="63399" dxfId="4">
      <formula>$H2484="SUBETAPA"</formula>
    </cfRule>
  </conditionalFormatting>
  <conditionalFormatting sqref="O2485:O2486">
    <cfRule type="expression" priority="63354" dxfId="4">
      <formula>$H2485="SUBETAPA"</formula>
    </cfRule>
    <cfRule type="expression" priority="63364" dxfId="4">
      <formula>$H2485="SUBETAPA"</formula>
    </cfRule>
  </conditionalFormatting>
  <conditionalFormatting sqref="O2485:O2487">
    <cfRule type="expression" priority="63365" dxfId="5">
      <formula>$H2485="CÉLULA CONSTRUTIVA"</formula>
    </cfRule>
  </conditionalFormatting>
  <conditionalFormatting sqref="K2489 O2489">
    <cfRule type="expression" priority="6826" dxfId="4">
      <formula>$H2489="SUBETAPA"</formula>
    </cfRule>
    <cfRule type="expression" priority="6827" dxfId="5">
      <formula>$H2489="CÉLULA CONSTRUTIVA"</formula>
    </cfRule>
  </conditionalFormatting>
  <conditionalFormatting sqref="O2489">
    <cfRule type="expression" priority="6824" dxfId="3">
      <formula>$H2489="ETAPA"</formula>
    </cfRule>
  </conditionalFormatting>
  <conditionalFormatting sqref="O2494:O2495">
    <cfRule type="expression" priority="63237" dxfId="5">
      <formula>$H2494="CÉLULA CONSTRUTIVA"</formula>
    </cfRule>
  </conditionalFormatting>
  <conditionalFormatting sqref="H2491:H2492 H2502 H2504:H2505 J2491:K2492 J2502:K2502 J2504:K2505 O2502 O2504:O2505 O2508">
    <cfRule type="expression" priority="63415" dxfId="4">
      <formula>$H2491="SUBETAPA"</formula>
    </cfRule>
  </conditionalFormatting>
  <conditionalFormatting sqref="J2503:L2503 O2503">
    <cfRule type="expression" priority="6808" dxfId="3">
      <formula>$H2503="ETAPA"</formula>
    </cfRule>
  </conditionalFormatting>
  <conditionalFormatting sqref="O2504:O2508">
    <cfRule type="expression" priority="63318" dxfId="3">
      <formula>$H2504="ETAPA"</formula>
    </cfRule>
  </conditionalFormatting>
  <conditionalFormatting sqref="O2511 O2518 O2525">
    <cfRule type="expression" priority="63638" dxfId="4">
      <formula>$H2511="SUBETAPA"</formula>
    </cfRule>
    <cfRule type="expression" priority="63639" dxfId="3">
      <formula>$H2511="ETAPA"</formula>
    </cfRule>
  </conditionalFormatting>
  <conditionalFormatting sqref="O2512:O2513">
    <cfRule type="expression" priority="63593" dxfId="4">
      <formula>$H2512="SUBETAPA"</formula>
    </cfRule>
    <cfRule type="expression" priority="63603" dxfId="4">
      <formula>$H2512="SUBETAPA"</formula>
    </cfRule>
  </conditionalFormatting>
  <conditionalFormatting sqref="O2512:O2514">
    <cfRule type="expression" priority="63604" dxfId="5">
      <formula>$H2512="CÉLULA CONSTRUTIVA"</formula>
    </cfRule>
  </conditionalFormatting>
  <conditionalFormatting sqref="K2516 O2516">
    <cfRule type="expression" priority="6770" dxfId="4">
      <formula>$H2516="SUBETAPA"</formula>
    </cfRule>
    <cfRule type="expression" priority="6771" dxfId="5">
      <formula>$H2516="CÉLULA CONSTRUTIVA"</formula>
    </cfRule>
  </conditionalFormatting>
  <conditionalFormatting sqref="O2516">
    <cfRule type="expression" priority="6768" dxfId="3">
      <formula>$H2516="ETAPA"</formula>
    </cfRule>
  </conditionalFormatting>
  <conditionalFormatting sqref="O2519:O2520">
    <cfRule type="expression" priority="63476" dxfId="5">
      <formula>$H2519="CÉLULA CONSTRUTIVA"</formula>
    </cfRule>
  </conditionalFormatting>
  <conditionalFormatting sqref="J2526:L2526 O2526">
    <cfRule type="expression" priority="6734" dxfId="3">
      <formula>$H2526="ETAPA"</formula>
    </cfRule>
  </conditionalFormatting>
  <conditionalFormatting sqref="O2527:O2530">
    <cfRule type="expression" priority="63571" dxfId="3">
      <formula>$H2527="ETAPA"</formula>
    </cfRule>
  </conditionalFormatting>
  <conditionalFormatting sqref="H2517 H2527:H2528 J2517:K2517 J2527:K2528 O2527:O2528 O2530">
    <cfRule type="expression" priority="63654" dxfId="4">
      <formula>$H2517="SUBETAPA"</formula>
    </cfRule>
  </conditionalFormatting>
  <conditionalFormatting sqref="O2533 O2538 O2543">
    <cfRule type="expression" priority="63877" dxfId="4">
      <formula>$H2533="SUBETAPA"</formula>
    </cfRule>
    <cfRule type="expression" priority="63878" dxfId="3">
      <formula>$H2533="ETAPA"</formula>
    </cfRule>
  </conditionalFormatting>
  <conditionalFormatting sqref="O2534:O2535">
    <cfRule type="expression" priority="63832" dxfId="4">
      <formula>$H2534="SUBETAPA"</formula>
    </cfRule>
    <cfRule type="expression" priority="63842" dxfId="4">
      <formula>$H2534="SUBETAPA"</formula>
    </cfRule>
  </conditionalFormatting>
  <conditionalFormatting sqref="O2534:O2536">
    <cfRule type="expression" priority="63843" dxfId="5">
      <formula>$H2534="CÉLULA CONSTRUTIVA"</formula>
    </cfRule>
  </conditionalFormatting>
  <conditionalFormatting sqref="K2537 O2537">
    <cfRule type="expression" priority="6691" dxfId="4">
      <formula>$H2537="SUBETAPA"</formula>
    </cfRule>
    <cfRule type="expression" priority="6692" dxfId="5">
      <formula>$H2537="CÉLULA CONSTRUTIVA"</formula>
    </cfRule>
  </conditionalFormatting>
  <conditionalFormatting sqref="O2537">
    <cfRule type="expression" priority="6689" dxfId="3">
      <formula>$H2537="ETAPA"</formula>
    </cfRule>
  </conditionalFormatting>
  <conditionalFormatting sqref="O2539:O2540">
    <cfRule type="expression" priority="63715" dxfId="5">
      <formula>$H2539="CÉLULA CONSTRUTIVA"</formula>
    </cfRule>
  </conditionalFormatting>
  <conditionalFormatting sqref="J2544:L2544 O2544">
    <cfRule type="expression" priority="6670" dxfId="3">
      <formula>$H2544="ETAPA"</formula>
    </cfRule>
  </conditionalFormatting>
  <conditionalFormatting sqref="O2549 O2554 O2559">
    <cfRule type="expression" priority="64116" dxfId="4">
      <formula>$H2549="SUBETAPA"</formula>
    </cfRule>
    <cfRule type="expression" priority="64117" dxfId="3">
      <formula>$H2549="ETAPA"</formula>
    </cfRule>
  </conditionalFormatting>
  <conditionalFormatting sqref="O2550:O2551">
    <cfRule type="expression" priority="64071" dxfId="4">
      <formula>$H2550="SUBETAPA"</formula>
    </cfRule>
    <cfRule type="expression" priority="64081" dxfId="4">
      <formula>$H2550="SUBETAPA"</formula>
    </cfRule>
  </conditionalFormatting>
  <conditionalFormatting sqref="O2550:O2552">
    <cfRule type="expression" priority="64082" dxfId="5">
      <formula>$H2550="CÉLULA CONSTRUTIVA"</formula>
    </cfRule>
  </conditionalFormatting>
  <conditionalFormatting sqref="K2553 O2553">
    <cfRule type="expression" priority="6633" dxfId="4">
      <formula>$H2553="SUBETAPA"</formula>
    </cfRule>
    <cfRule type="expression" priority="6634" dxfId="5">
      <formula>$H2553="CÉLULA CONSTRUTIVA"</formula>
    </cfRule>
  </conditionalFormatting>
  <conditionalFormatting sqref="O2553">
    <cfRule type="expression" priority="6631" dxfId="3">
      <formula>$H2553="ETAPA"</formula>
    </cfRule>
  </conditionalFormatting>
  <conditionalFormatting sqref="O2555:O2556">
    <cfRule type="expression" priority="63954" dxfId="5">
      <formula>$H2555="CÉLULA CONSTRUTIVA"</formula>
    </cfRule>
  </conditionalFormatting>
  <conditionalFormatting sqref="J2560:L2560 O2560">
    <cfRule type="expression" priority="6612" dxfId="3">
      <formula>$H2560="ETAPA"</formula>
    </cfRule>
  </conditionalFormatting>
  <conditionalFormatting sqref="O2565 O2570 O2575">
    <cfRule type="expression" priority="64355" dxfId="4">
      <formula>$H2565="SUBETAPA"</formula>
    </cfRule>
    <cfRule type="expression" priority="64356" dxfId="3">
      <formula>$H2565="ETAPA"</formula>
    </cfRule>
  </conditionalFormatting>
  <conditionalFormatting sqref="O2566:O2567">
    <cfRule type="expression" priority="64310" dxfId="4">
      <formula>$H2566="SUBETAPA"</formula>
    </cfRule>
    <cfRule type="expression" priority="64320" dxfId="4">
      <formula>$H2566="SUBETAPA"</formula>
    </cfRule>
  </conditionalFormatting>
  <conditionalFormatting sqref="O2566:O2568">
    <cfRule type="expression" priority="64321" dxfId="5">
      <formula>$H2566="CÉLULA CONSTRUTIVA"</formula>
    </cfRule>
  </conditionalFormatting>
  <conditionalFormatting sqref="K2569 O2569">
    <cfRule type="expression" priority="6575" dxfId="4">
      <formula>$H2569="SUBETAPA"</formula>
    </cfRule>
    <cfRule type="expression" priority="6576" dxfId="5">
      <formula>$H2569="CÉLULA CONSTRUTIVA"</formula>
    </cfRule>
  </conditionalFormatting>
  <conditionalFormatting sqref="O2569">
    <cfRule type="expression" priority="6573" dxfId="3">
      <formula>$H2569="ETAPA"</formula>
    </cfRule>
  </conditionalFormatting>
  <conditionalFormatting sqref="O2571:O2572">
    <cfRule type="expression" priority="64193" dxfId="5">
      <formula>$H2571="CÉLULA CONSTRUTIVA"</formula>
    </cfRule>
  </conditionalFormatting>
  <conditionalFormatting sqref="J2576:L2576 O2576">
    <cfRule type="expression" priority="6554" dxfId="3">
      <formula>$H2576="ETAPA"</formula>
    </cfRule>
  </conditionalFormatting>
  <conditionalFormatting sqref="O2581 O2586 O2591">
    <cfRule type="expression" priority="64594" dxfId="4">
      <formula>$H2581="SUBETAPA"</formula>
    </cfRule>
    <cfRule type="expression" priority="64595" dxfId="3">
      <formula>$H2581="ETAPA"</formula>
    </cfRule>
  </conditionalFormatting>
  <conditionalFormatting sqref="O2582:O2583">
    <cfRule type="expression" priority="64549" dxfId="4">
      <formula>$H2582="SUBETAPA"</formula>
    </cfRule>
    <cfRule type="expression" priority="64559" dxfId="4">
      <formula>$H2582="SUBETAPA"</formula>
    </cfRule>
  </conditionalFormatting>
  <conditionalFormatting sqref="O2582:O2584">
    <cfRule type="expression" priority="64560" dxfId="5">
      <formula>$H2582="CÉLULA CONSTRUTIVA"</formula>
    </cfRule>
  </conditionalFormatting>
  <conditionalFormatting sqref="K2585 O2585">
    <cfRule type="expression" priority="6517" dxfId="4">
      <formula>$H2585="SUBETAPA"</formula>
    </cfRule>
    <cfRule type="expression" priority="6518" dxfId="5">
      <formula>$H2585="CÉLULA CONSTRUTIVA"</formula>
    </cfRule>
  </conditionalFormatting>
  <conditionalFormatting sqref="O2585">
    <cfRule type="expression" priority="6515" dxfId="3">
      <formula>$H2585="ETAPA"</formula>
    </cfRule>
  </conditionalFormatting>
  <conditionalFormatting sqref="O2587:O2588">
    <cfRule type="expression" priority="64432" dxfId="5">
      <formula>$H2587="CÉLULA CONSTRUTIVA"</formula>
    </cfRule>
  </conditionalFormatting>
  <conditionalFormatting sqref="J2592:L2592 O2592">
    <cfRule type="expression" priority="6496" dxfId="3">
      <formula>$H2592="ETAPA"</formula>
    </cfRule>
  </conditionalFormatting>
  <conditionalFormatting sqref="O2597 O2602 O2607">
    <cfRule type="expression" priority="64833" dxfId="4">
      <formula>$H2597="SUBETAPA"</formula>
    </cfRule>
    <cfRule type="expression" priority="64834" dxfId="3">
      <formula>$H2597="ETAPA"</formula>
    </cfRule>
  </conditionalFormatting>
  <conditionalFormatting sqref="O2598:O2599">
    <cfRule type="expression" priority="64788" dxfId="4">
      <formula>$H2598="SUBETAPA"</formula>
    </cfRule>
    <cfRule type="expression" priority="64798" dxfId="4">
      <formula>$H2598="SUBETAPA"</formula>
    </cfRule>
  </conditionalFormatting>
  <conditionalFormatting sqref="O2598:O2600">
    <cfRule type="expression" priority="64799" dxfId="5">
      <formula>$H2598="CÉLULA CONSTRUTIVA"</formula>
    </cfRule>
  </conditionalFormatting>
  <conditionalFormatting sqref="K2601 O2601">
    <cfRule type="expression" priority="6459" dxfId="4">
      <formula>$H2601="SUBETAPA"</formula>
    </cfRule>
    <cfRule type="expression" priority="6460" dxfId="5">
      <formula>$H2601="CÉLULA CONSTRUTIVA"</formula>
    </cfRule>
  </conditionalFormatting>
  <conditionalFormatting sqref="O2601">
    <cfRule type="expression" priority="6457" dxfId="3">
      <formula>$H2601="ETAPA"</formula>
    </cfRule>
  </conditionalFormatting>
  <conditionalFormatting sqref="O2603:O2604">
    <cfRule type="expression" priority="64671" dxfId="5">
      <formula>$H2603="CÉLULA CONSTRUTIVA"</formula>
    </cfRule>
  </conditionalFormatting>
  <conditionalFormatting sqref="J2608:L2608 O2608">
    <cfRule type="expression" priority="6438" dxfId="3">
      <formula>$H2608="ETAPA"</formula>
    </cfRule>
  </conditionalFormatting>
  <conditionalFormatting sqref="O2613 O2618 O2622">
    <cfRule type="expression" priority="65072" dxfId="4">
      <formula>$H2613="SUBETAPA"</formula>
    </cfRule>
    <cfRule type="expression" priority="65073" dxfId="3">
      <formula>$H2613="ETAPA"</formula>
    </cfRule>
  </conditionalFormatting>
  <conditionalFormatting sqref="O2614:O2615">
    <cfRule type="expression" priority="65027" dxfId="4">
      <formula>$H2614="SUBETAPA"</formula>
    </cfRule>
    <cfRule type="expression" priority="65037" dxfId="4">
      <formula>$H2614="SUBETAPA"</formula>
    </cfRule>
  </conditionalFormatting>
  <conditionalFormatting sqref="O2614:O2616">
    <cfRule type="expression" priority="65038" dxfId="5">
      <formula>$H2614="CÉLULA CONSTRUTIVA"</formula>
    </cfRule>
  </conditionalFormatting>
  <conditionalFormatting sqref="K2617 O2617">
    <cfRule type="expression" priority="6401" dxfId="4">
      <formula>$H2617="SUBETAPA"</formula>
    </cfRule>
    <cfRule type="expression" priority="6402" dxfId="5">
      <formula>$H2617="CÉLULA CONSTRUTIVA"</formula>
    </cfRule>
  </conditionalFormatting>
  <conditionalFormatting sqref="O2617">
    <cfRule type="expression" priority="6399" dxfId="3">
      <formula>$H2617="ETAPA"</formula>
    </cfRule>
  </conditionalFormatting>
  <conditionalFormatting sqref="O2619:O2620">
    <cfRule type="expression" priority="64910" dxfId="5">
      <formula>$H2619="CÉLULA CONSTRUTIVA"</formula>
    </cfRule>
  </conditionalFormatting>
  <conditionalFormatting sqref="J2623:L2623 O2623">
    <cfRule type="expression" priority="6380" dxfId="3">
      <formula>$H2623="ETAPA"</formula>
    </cfRule>
  </conditionalFormatting>
  <conditionalFormatting sqref="O2626">
    <cfRule type="expression" priority="59927" dxfId="3">
      <formula>$H2626="ETAPA"</formula>
    </cfRule>
    <cfRule type="expression" priority="59928" dxfId="4">
      <formula>$H2626="SUBETAPA"</formula>
    </cfRule>
    <cfRule type="expression" priority="59929" dxfId="5">
      <formula>$H2626="CÉLULA CONSTRUTIVA"</formula>
    </cfRule>
  </conditionalFormatting>
  <conditionalFormatting sqref="O2627:O2628">
    <cfRule type="expression" priority="1891" dxfId="3">
      <formula>$H2627="ETAPA"</formula>
    </cfRule>
    <cfRule type="expression" priority="1920" dxfId="4">
      <formula>$H2627="SUBETAPA"</formula>
    </cfRule>
  </conditionalFormatting>
  <conditionalFormatting sqref="O2629">
    <cfRule type="expression" priority="1917" dxfId="4">
      <formula>$H2629="SUBETAPA"</formula>
    </cfRule>
    <cfRule type="expression" priority="1918" dxfId="5">
      <formula>$H2629="CÉLULA CONSTRUTIVA"</formula>
    </cfRule>
    <cfRule type="expression" priority="1919" dxfId="3">
      <formula>$H2629="ETAPA"</formula>
    </cfRule>
  </conditionalFormatting>
  <conditionalFormatting sqref="O2630">
    <cfRule type="expression" priority="1886" dxfId="4">
      <formula>$H2630="SUBETAPA"</formula>
    </cfRule>
  </conditionalFormatting>
  <conditionalFormatting sqref="O2631">
    <cfRule type="expression" priority="1914" dxfId="4">
      <formula>$H2631="SUBETAPA"</formula>
    </cfRule>
    <cfRule type="expression" priority="1915" dxfId="5">
      <formula>$H2631="CÉLULA CONSTRUTIVA"</formula>
    </cfRule>
    <cfRule type="expression" priority="1916" dxfId="3">
      <formula>$H2631="ETAPA"</formula>
    </cfRule>
  </conditionalFormatting>
  <conditionalFormatting sqref="O2632">
    <cfRule type="expression" priority="1911" dxfId="4">
      <formula>$H2632="SUBETAPA"</formula>
    </cfRule>
    <cfRule type="expression" priority="1912" dxfId="5">
      <formula>$H2632="CÉLULA CONSTRUTIVA"</formula>
    </cfRule>
    <cfRule type="expression" priority="1913" dxfId="3">
      <formula>$H2632="ETAPA"</formula>
    </cfRule>
  </conditionalFormatting>
  <conditionalFormatting sqref="O2633">
    <cfRule type="expression" priority="1908" dxfId="4">
      <formula>$H2633="SUBETAPA"</formula>
    </cfRule>
    <cfRule type="expression" priority="1909" dxfId="5">
      <formula>$H2633="CÉLULA CONSTRUTIVA"</formula>
    </cfRule>
    <cfRule type="expression" priority="1910" dxfId="3">
      <formula>$H2633="ETAPA"</formula>
    </cfRule>
  </conditionalFormatting>
  <conditionalFormatting sqref="O2634">
    <cfRule type="expression" priority="1905" dxfId="4">
      <formula>$H2634="SUBETAPA"</formula>
    </cfRule>
    <cfRule type="expression" priority="1906" dxfId="5">
      <formula>$H2634="CÉLULA CONSTRUTIVA"</formula>
    </cfRule>
    <cfRule type="expression" priority="1907" dxfId="3">
      <formula>$H2634="ETAPA"</formula>
    </cfRule>
  </conditionalFormatting>
  <conditionalFormatting sqref="O2635">
    <cfRule type="expression" priority="1902" dxfId="4">
      <formula>$H2635="SUBETAPA"</formula>
    </cfRule>
    <cfRule type="expression" priority="1903" dxfId="5">
      <formula>$H2635="CÉLULA CONSTRUTIVA"</formula>
    </cfRule>
    <cfRule type="expression" priority="1904" dxfId="3">
      <formula>$H2635="ETAPA"</formula>
    </cfRule>
  </conditionalFormatting>
  <conditionalFormatting sqref="O2630 O2636">
    <cfRule type="expression" priority="1951" dxfId="3">
      <formula>$H2630="ETAPA"</formula>
    </cfRule>
  </conditionalFormatting>
  <conditionalFormatting sqref="O2636">
    <cfRule type="expression" priority="1949" dxfId="4">
      <formula>$H2636="SUBETAPA"</formula>
    </cfRule>
    <cfRule type="expression" priority="1950" dxfId="5">
      <formula>$H2636="CÉLULA CONSTRUTIVA"</formula>
    </cfRule>
  </conditionalFormatting>
  <conditionalFormatting sqref="O2637">
    <cfRule type="expression" priority="1899" dxfId="4">
      <formula>$H2637="SUBETAPA"</formula>
    </cfRule>
    <cfRule type="expression" priority="1900" dxfId="5">
      <formula>$H2637="CÉLULA CONSTRUTIVA"</formula>
    </cfRule>
    <cfRule type="expression" priority="1901" dxfId="3">
      <formula>$H2637="ETAPA"</formula>
    </cfRule>
  </conditionalFormatting>
  <conditionalFormatting sqref="O2638:O2639">
    <cfRule type="expression" priority="1959" dxfId="3">
      <formula>$H2638="ETAPA"</formula>
    </cfRule>
    <cfRule type="expression" priority="1988" dxfId="4">
      <formula>$H2638="SUBETAPA"</formula>
    </cfRule>
  </conditionalFormatting>
  <conditionalFormatting sqref="O2640">
    <cfRule type="expression" priority="1985" dxfId="4">
      <formula>$H2640="SUBETAPA"</formula>
    </cfRule>
    <cfRule type="expression" priority="1986" dxfId="5">
      <formula>$H2640="CÉLULA CONSTRUTIVA"</formula>
    </cfRule>
    <cfRule type="expression" priority="1987" dxfId="3">
      <formula>$H2640="ETAPA"</formula>
    </cfRule>
  </conditionalFormatting>
  <conditionalFormatting sqref="O2641">
    <cfRule type="expression" priority="1954" dxfId="4">
      <formula>$H2641="SUBETAPA"</formula>
    </cfRule>
  </conditionalFormatting>
  <conditionalFormatting sqref="O2642">
    <cfRule type="expression" priority="1982" dxfId="4">
      <formula>$H2642="SUBETAPA"</formula>
    </cfRule>
    <cfRule type="expression" priority="1983" dxfId="5">
      <formula>$H2642="CÉLULA CONSTRUTIVA"</formula>
    </cfRule>
    <cfRule type="expression" priority="1984" dxfId="3">
      <formula>$H2642="ETAPA"</formula>
    </cfRule>
  </conditionalFormatting>
  <conditionalFormatting sqref="O2643">
    <cfRule type="expression" priority="1979" dxfId="4">
      <formula>$H2643="SUBETAPA"</formula>
    </cfRule>
    <cfRule type="expression" priority="1980" dxfId="5">
      <formula>$H2643="CÉLULA CONSTRUTIVA"</formula>
    </cfRule>
    <cfRule type="expression" priority="1981" dxfId="3">
      <formula>$H2643="ETAPA"</formula>
    </cfRule>
  </conditionalFormatting>
  <conditionalFormatting sqref="O2641 O2644 O2646">
    <cfRule type="expression" priority="2019" dxfId="3">
      <formula>$H2641="ETAPA"</formula>
    </cfRule>
  </conditionalFormatting>
  <conditionalFormatting sqref="O2644 O2646">
    <cfRule type="expression" priority="2017" dxfId="4">
      <formula>$H2644="SUBETAPA"</formula>
    </cfRule>
    <cfRule type="expression" priority="2018" dxfId="5">
      <formula>$H2644="CÉLULA CONSTRUTIVA"</formula>
    </cfRule>
  </conditionalFormatting>
  <conditionalFormatting sqref="O2645 O2647">
    <cfRule type="expression" priority="1967" dxfId="4">
      <formula>$H2645="SUBETAPA"</formula>
    </cfRule>
    <cfRule type="expression" priority="1968" dxfId="5">
      <formula>$H2645="CÉLULA CONSTRUTIVA"</formula>
    </cfRule>
    <cfRule type="expression" priority="1969" dxfId="3">
      <formula>$H2645="ETAPA"</formula>
    </cfRule>
  </conditionalFormatting>
  <conditionalFormatting sqref="O2648:O2649">
    <cfRule type="expression" priority="2027" dxfId="3">
      <formula>$H2648="ETAPA"</formula>
    </cfRule>
    <cfRule type="expression" priority="2056" dxfId="4">
      <formula>$H2648="SUBETAPA"</formula>
    </cfRule>
  </conditionalFormatting>
  <conditionalFormatting sqref="O2650">
    <cfRule type="expression" priority="2053" dxfId="4">
      <formula>$H2650="SUBETAPA"</formula>
    </cfRule>
    <cfRule type="expression" priority="2054" dxfId="5">
      <formula>$H2650="CÉLULA CONSTRUTIVA"</formula>
    </cfRule>
    <cfRule type="expression" priority="2055" dxfId="3">
      <formula>$H2650="ETAPA"</formula>
    </cfRule>
  </conditionalFormatting>
  <conditionalFormatting sqref="O2651">
    <cfRule type="expression" priority="2022" dxfId="4">
      <formula>$H2651="SUBETAPA"</formula>
    </cfRule>
  </conditionalFormatting>
  <conditionalFormatting sqref="O2652">
    <cfRule type="expression" priority="2047" dxfId="4">
      <formula>$H2652="SUBETAPA"</formula>
    </cfRule>
    <cfRule type="expression" priority="2048" dxfId="5">
      <formula>$H2652="CÉLULA CONSTRUTIVA"</formula>
    </cfRule>
    <cfRule type="expression" priority="2049" dxfId="3">
      <formula>$H2652="ETAPA"</formula>
    </cfRule>
  </conditionalFormatting>
  <conditionalFormatting sqref="O2651 O2653 O2655">
    <cfRule type="expression" priority="2087" dxfId="3">
      <formula>$H2651="ETAPA"</formula>
    </cfRule>
  </conditionalFormatting>
  <conditionalFormatting sqref="O2654">
    <cfRule type="expression" priority="2035" dxfId="4">
      <formula>$H2654="SUBETAPA"</formula>
    </cfRule>
    <cfRule type="expression" priority="2036" dxfId="5">
      <formula>$H2654="CÉLULA CONSTRUTIVA"</formula>
    </cfRule>
    <cfRule type="expression" priority="2037" dxfId="3">
      <formula>$H2654="ETAPA"</formula>
    </cfRule>
  </conditionalFormatting>
  <conditionalFormatting sqref="O2653 O2655">
    <cfRule type="expression" priority="2085" dxfId="4">
      <formula>$H2653="SUBETAPA"</formula>
    </cfRule>
    <cfRule type="expression" priority="2086" dxfId="5">
      <formula>$H2653="CÉLULA CONSTRUTIVA"</formula>
    </cfRule>
  </conditionalFormatting>
  <conditionalFormatting sqref="O2656">
    <cfRule type="expression" priority="237" dxfId="4">
      <formula>$H2656="SUBETAPA"</formula>
    </cfRule>
    <cfRule type="expression" priority="238" dxfId="5">
      <formula>$H2656="CÉLULA CONSTRUTIVA"</formula>
    </cfRule>
    <cfRule type="expression" priority="239" dxfId="3">
      <formula>$H2656="ETAPA"</formula>
    </cfRule>
  </conditionalFormatting>
  <conditionalFormatting sqref="O2657:O2658">
    <cfRule type="expression" priority="2095" dxfId="3">
      <formula>$H2657="ETAPA"</formula>
    </cfRule>
    <cfRule type="expression" priority="2124" dxfId="4">
      <formula>$H2657="SUBETAPA"</formula>
    </cfRule>
  </conditionalFormatting>
  <conditionalFormatting sqref="O2659">
    <cfRule type="expression" priority="2121" dxfId="4">
      <formula>$H2659="SUBETAPA"</formula>
    </cfRule>
    <cfRule type="expression" priority="2122" dxfId="5">
      <formula>$H2659="CÉLULA CONSTRUTIVA"</formula>
    </cfRule>
    <cfRule type="expression" priority="2123" dxfId="3">
      <formula>$H2659="ETAPA"</formula>
    </cfRule>
  </conditionalFormatting>
  <conditionalFormatting sqref="O2660">
    <cfRule type="expression" priority="2090" dxfId="4">
      <formula>$H2660="SUBETAPA"</formula>
    </cfRule>
  </conditionalFormatting>
  <conditionalFormatting sqref="O2661">
    <cfRule type="expression" priority="2115" dxfId="4">
      <formula>$H2661="SUBETAPA"</formula>
    </cfRule>
    <cfRule type="expression" priority="2116" dxfId="5">
      <formula>$H2661="CÉLULA CONSTRUTIVA"</formula>
    </cfRule>
    <cfRule type="expression" priority="2117" dxfId="3">
      <formula>$H2661="ETAPA"</formula>
    </cfRule>
  </conditionalFormatting>
  <conditionalFormatting sqref="O2660 O2662">
    <cfRule type="expression" priority="2155" dxfId="3">
      <formula>$H2660="ETAPA"</formula>
    </cfRule>
  </conditionalFormatting>
  <conditionalFormatting sqref="O2662">
    <cfRule type="expression" priority="2153" dxfId="4">
      <formula>$H2662="SUBETAPA"</formula>
    </cfRule>
    <cfRule type="expression" priority="2154" dxfId="5">
      <formula>$H2662="CÉLULA CONSTRUTIVA"</formula>
    </cfRule>
  </conditionalFormatting>
  <conditionalFormatting sqref="O2663">
    <cfRule type="expression" priority="240" dxfId="4">
      <formula>$H2663="SUBETAPA"</formula>
    </cfRule>
    <cfRule type="expression" priority="241" dxfId="5">
      <formula>$H2663="CÉLULA CONSTRUTIVA"</formula>
    </cfRule>
    <cfRule type="expression" priority="242" dxfId="3">
      <formula>$H2663="ETAPA"</formula>
    </cfRule>
  </conditionalFormatting>
  <conditionalFormatting sqref="O2664:O2665">
    <cfRule type="expression" priority="2163" dxfId="3">
      <formula>$H2664="ETAPA"</formula>
    </cfRule>
    <cfRule type="expression" priority="2192" dxfId="4">
      <formula>$H2664="SUBETAPA"</formula>
    </cfRule>
  </conditionalFormatting>
  <conditionalFormatting sqref="O2666">
    <cfRule type="expression" priority="2189" dxfId="4">
      <formula>$H2666="SUBETAPA"</formula>
    </cfRule>
    <cfRule type="expression" priority="2190" dxfId="5">
      <formula>$H2666="CÉLULA CONSTRUTIVA"</formula>
    </cfRule>
    <cfRule type="expression" priority="2191" dxfId="3">
      <formula>$H2666="ETAPA"</formula>
    </cfRule>
  </conditionalFormatting>
  <conditionalFormatting sqref="O2667">
    <cfRule type="expression" priority="2158" dxfId="4">
      <formula>$H2667="SUBETAPA"</formula>
    </cfRule>
  </conditionalFormatting>
  <conditionalFormatting sqref="O2668">
    <cfRule type="expression" priority="2183" dxfId="4">
      <formula>$H2668="SUBETAPA"</formula>
    </cfRule>
    <cfRule type="expression" priority="2184" dxfId="5">
      <formula>$H2668="CÉLULA CONSTRUTIVA"</formula>
    </cfRule>
    <cfRule type="expression" priority="2185" dxfId="3">
      <formula>$H2668="ETAPA"</formula>
    </cfRule>
  </conditionalFormatting>
  <conditionalFormatting sqref="O2667 O2669">
    <cfRule type="expression" priority="2223" dxfId="3">
      <formula>$H2667="ETAPA"</formula>
    </cfRule>
  </conditionalFormatting>
  <conditionalFormatting sqref="O2669">
    <cfRule type="expression" priority="2221" dxfId="4">
      <formula>$H2669="SUBETAPA"</formula>
    </cfRule>
    <cfRule type="expression" priority="2222" dxfId="5">
      <formula>$H2669="CÉLULA CONSTRUTIVA"</formula>
    </cfRule>
  </conditionalFormatting>
  <conditionalFormatting sqref="O2670">
    <cfRule type="expression" priority="243" dxfId="4">
      <formula>$H2670="SUBETAPA"</formula>
    </cfRule>
    <cfRule type="expression" priority="244" dxfId="5">
      <formula>$H2670="CÉLULA CONSTRUTIVA"</formula>
    </cfRule>
    <cfRule type="expression" priority="245" dxfId="3">
      <formula>$H2670="ETAPA"</formula>
    </cfRule>
  </conditionalFormatting>
  <conditionalFormatting sqref="O2671:O2672">
    <cfRule type="expression" priority="2231" dxfId="3">
      <formula>$H2671="ETAPA"</formula>
    </cfRule>
    <cfRule type="expression" priority="2260" dxfId="4">
      <formula>$H2671="SUBETAPA"</formula>
    </cfRule>
  </conditionalFormatting>
  <conditionalFormatting sqref="O2673">
    <cfRule type="expression" priority="2257" dxfId="4">
      <formula>$H2673="SUBETAPA"</formula>
    </cfRule>
    <cfRule type="expression" priority="2258" dxfId="5">
      <formula>$H2673="CÉLULA CONSTRUTIVA"</formula>
    </cfRule>
    <cfRule type="expression" priority="2259" dxfId="3">
      <formula>$H2673="ETAPA"</formula>
    </cfRule>
  </conditionalFormatting>
  <conditionalFormatting sqref="O2674">
    <cfRule type="expression" priority="2226" dxfId="4">
      <formula>$H2674="SUBETAPA"</formula>
    </cfRule>
  </conditionalFormatting>
  <conditionalFormatting sqref="O2675">
    <cfRule type="expression" priority="2254" dxfId="4">
      <formula>$H2675="SUBETAPA"</formula>
    </cfRule>
    <cfRule type="expression" priority="2255" dxfId="5">
      <formula>$H2675="CÉLULA CONSTRUTIVA"</formula>
    </cfRule>
    <cfRule type="expression" priority="2256" dxfId="3">
      <formula>$H2675="ETAPA"</formula>
    </cfRule>
  </conditionalFormatting>
  <conditionalFormatting sqref="O2676">
    <cfRule type="expression" priority="2251" dxfId="4">
      <formula>$H2676="SUBETAPA"</formula>
    </cfRule>
    <cfRule type="expression" priority="2252" dxfId="5">
      <formula>$H2676="CÉLULA CONSTRUTIVA"</formula>
    </cfRule>
    <cfRule type="expression" priority="2253" dxfId="3">
      <formula>$H2676="ETAPA"</formula>
    </cfRule>
  </conditionalFormatting>
  <conditionalFormatting sqref="O2674 O2677">
    <cfRule type="expression" priority="2291" dxfId="3">
      <formula>$H2674="ETAPA"</formula>
    </cfRule>
  </conditionalFormatting>
  <conditionalFormatting sqref="O2677">
    <cfRule type="expression" priority="2289" dxfId="4">
      <formula>$H2677="SUBETAPA"</formula>
    </cfRule>
    <cfRule type="expression" priority="2290" dxfId="5">
      <formula>$H2677="CÉLULA CONSTRUTIVA"</formula>
    </cfRule>
  </conditionalFormatting>
  <conditionalFormatting sqref="O2678">
    <cfRule type="expression" priority="246" dxfId="4">
      <formula>$H2678="SUBETAPA"</formula>
    </cfRule>
    <cfRule type="expression" priority="247" dxfId="5">
      <formula>$H2678="CÉLULA CONSTRUTIVA"</formula>
    </cfRule>
    <cfRule type="expression" priority="248" dxfId="3">
      <formula>$H2678="ETAPA"</formula>
    </cfRule>
  </conditionalFormatting>
  <conditionalFormatting sqref="O2679:O2680">
    <cfRule type="expression" priority="2299" dxfId="3">
      <formula>$H2679="ETAPA"</formula>
    </cfRule>
    <cfRule type="expression" priority="2328" dxfId="4">
      <formula>$H2679="SUBETAPA"</formula>
    </cfRule>
  </conditionalFormatting>
  <conditionalFormatting sqref="O2681">
    <cfRule type="expression" priority="2325" dxfId="4">
      <formula>$H2681="SUBETAPA"</formula>
    </cfRule>
    <cfRule type="expression" priority="2326" dxfId="5">
      <formula>$H2681="CÉLULA CONSTRUTIVA"</formula>
    </cfRule>
    <cfRule type="expression" priority="2327" dxfId="3">
      <formula>$H2681="ETAPA"</formula>
    </cfRule>
  </conditionalFormatting>
  <conditionalFormatting sqref="O2682">
    <cfRule type="expression" priority="2294" dxfId="4">
      <formula>$H2682="SUBETAPA"</formula>
    </cfRule>
  </conditionalFormatting>
  <conditionalFormatting sqref="O2683">
    <cfRule type="expression" priority="2322" dxfId="4">
      <formula>$H2683="SUBETAPA"</formula>
    </cfRule>
    <cfRule type="expression" priority="2323" dxfId="5">
      <formula>$H2683="CÉLULA CONSTRUTIVA"</formula>
    </cfRule>
    <cfRule type="expression" priority="2324" dxfId="3">
      <formula>$H2683="ETAPA"</formula>
    </cfRule>
  </conditionalFormatting>
  <conditionalFormatting sqref="O2684">
    <cfRule type="expression" priority="2319" dxfId="4">
      <formula>$H2684="SUBETAPA"</formula>
    </cfRule>
    <cfRule type="expression" priority="2320" dxfId="5">
      <formula>$H2684="CÉLULA CONSTRUTIVA"</formula>
    </cfRule>
    <cfRule type="expression" priority="2321" dxfId="3">
      <formula>$H2684="ETAPA"</formula>
    </cfRule>
  </conditionalFormatting>
  <conditionalFormatting sqref="O2682 O2685 O2687">
    <cfRule type="expression" priority="2359" dxfId="3">
      <formula>$H2682="ETAPA"</formula>
    </cfRule>
  </conditionalFormatting>
  <conditionalFormatting sqref="O2685 O2687">
    <cfRule type="expression" priority="2357" dxfId="4">
      <formula>$H2685="SUBETAPA"</formula>
    </cfRule>
    <cfRule type="expression" priority="2358" dxfId="5">
      <formula>$H2685="CÉLULA CONSTRUTIVA"</formula>
    </cfRule>
  </conditionalFormatting>
  <conditionalFormatting sqref="O2686">
    <cfRule type="expression" priority="2307" dxfId="4">
      <formula>$H2686="SUBETAPA"</formula>
    </cfRule>
    <cfRule type="expression" priority="2308" dxfId="5">
      <formula>$H2686="CÉLULA CONSTRUTIVA"</formula>
    </cfRule>
    <cfRule type="expression" priority="2309" dxfId="3">
      <formula>$H2686="ETAPA"</formula>
    </cfRule>
  </conditionalFormatting>
  <conditionalFormatting sqref="O2688">
    <cfRule type="expression" priority="249" dxfId="4">
      <formula>$H2688="SUBETAPA"</formula>
    </cfRule>
    <cfRule type="expression" priority="250" dxfId="5">
      <formula>$H2688="CÉLULA CONSTRUTIVA"</formula>
    </cfRule>
    <cfRule type="expression" priority="251" dxfId="3">
      <formula>$H2688="ETAPA"</formula>
    </cfRule>
  </conditionalFormatting>
  <conditionalFormatting sqref="O2689:O2690">
    <cfRule type="expression" priority="2367" dxfId="3">
      <formula>$H2689="ETAPA"</formula>
    </cfRule>
    <cfRule type="expression" priority="2396" dxfId="4">
      <formula>$H2689="SUBETAPA"</formula>
    </cfRule>
  </conditionalFormatting>
  <conditionalFormatting sqref="O2691">
    <cfRule type="expression" priority="2393" dxfId="4">
      <formula>$H2691="SUBETAPA"</formula>
    </cfRule>
    <cfRule type="expression" priority="2394" dxfId="5">
      <formula>$H2691="CÉLULA CONSTRUTIVA"</formula>
    </cfRule>
    <cfRule type="expression" priority="2395" dxfId="3">
      <formula>$H2691="ETAPA"</formula>
    </cfRule>
  </conditionalFormatting>
  <conditionalFormatting sqref="O2692">
    <cfRule type="expression" priority="2362" dxfId="4">
      <formula>$H2692="SUBETAPA"</formula>
    </cfRule>
  </conditionalFormatting>
  <conditionalFormatting sqref="O2693">
    <cfRule type="expression" priority="2390" dxfId="4">
      <formula>$H2693="SUBETAPA"</formula>
    </cfRule>
    <cfRule type="expression" priority="2391" dxfId="5">
      <formula>$H2693="CÉLULA CONSTRUTIVA"</formula>
    </cfRule>
    <cfRule type="expression" priority="2392" dxfId="3">
      <formula>$H2693="ETAPA"</formula>
    </cfRule>
  </conditionalFormatting>
  <conditionalFormatting sqref="O2694">
    <cfRule type="expression" priority="2387" dxfId="4">
      <formula>$H2694="SUBETAPA"</formula>
    </cfRule>
    <cfRule type="expression" priority="2388" dxfId="5">
      <formula>$H2694="CÉLULA CONSTRUTIVA"</formula>
    </cfRule>
    <cfRule type="expression" priority="2389" dxfId="3">
      <formula>$H2694="ETAPA"</formula>
    </cfRule>
  </conditionalFormatting>
  <conditionalFormatting sqref="O2692 O2695">
    <cfRule type="expression" priority="2427" dxfId="3">
      <formula>$H2692="ETAPA"</formula>
    </cfRule>
  </conditionalFormatting>
  <conditionalFormatting sqref="O2695">
    <cfRule type="expression" priority="2425" dxfId="4">
      <formula>$H2695="SUBETAPA"</formula>
    </cfRule>
    <cfRule type="expression" priority="2426" dxfId="5">
      <formula>$H2695="CÉLULA CONSTRUTIVA"</formula>
    </cfRule>
  </conditionalFormatting>
  <conditionalFormatting sqref="O2696">
    <cfRule type="expression" priority="2375" dxfId="4">
      <formula>$H2696="SUBETAPA"</formula>
    </cfRule>
    <cfRule type="expression" priority="2376" dxfId="5">
      <formula>$H2696="CÉLULA CONSTRUTIVA"</formula>
    </cfRule>
    <cfRule type="expression" priority="2377" dxfId="3">
      <formula>$H2696="ETAPA"</formula>
    </cfRule>
  </conditionalFormatting>
  <conditionalFormatting sqref="O2697:O2698">
    <cfRule type="expression" priority="2435" dxfId="3">
      <formula>$H2697="ETAPA"</formula>
    </cfRule>
    <cfRule type="expression" priority="2464" dxfId="4">
      <formula>$H2697="SUBETAPA"</formula>
    </cfRule>
  </conditionalFormatting>
  <conditionalFormatting sqref="O2699">
    <cfRule type="expression" priority="2461" dxfId="4">
      <formula>$H2699="SUBETAPA"</formula>
    </cfRule>
    <cfRule type="expression" priority="2462" dxfId="5">
      <formula>$H2699="CÉLULA CONSTRUTIVA"</formula>
    </cfRule>
    <cfRule type="expression" priority="2463" dxfId="3">
      <formula>$H2699="ETAPA"</formula>
    </cfRule>
  </conditionalFormatting>
  <conditionalFormatting sqref="O2700">
    <cfRule type="expression" priority="2430" dxfId="4">
      <formula>$H2700="SUBETAPA"</formula>
    </cfRule>
  </conditionalFormatting>
  <conditionalFormatting sqref="O2701">
    <cfRule type="expression" priority="2458" dxfId="4">
      <formula>$H2701="SUBETAPA"</formula>
    </cfRule>
    <cfRule type="expression" priority="2459" dxfId="5">
      <formula>$H2701="CÉLULA CONSTRUTIVA"</formula>
    </cfRule>
    <cfRule type="expression" priority="2460" dxfId="3">
      <formula>$H2701="ETAPA"</formula>
    </cfRule>
  </conditionalFormatting>
  <conditionalFormatting sqref="O2702">
    <cfRule type="expression" priority="2455" dxfId="4">
      <formula>$H2702="SUBETAPA"</formula>
    </cfRule>
    <cfRule type="expression" priority="2456" dxfId="5">
      <formula>$H2702="CÉLULA CONSTRUTIVA"</formula>
    </cfRule>
    <cfRule type="expression" priority="2457" dxfId="3">
      <formula>$H2702="ETAPA"</formula>
    </cfRule>
  </conditionalFormatting>
  <conditionalFormatting sqref="O2703">
    <cfRule type="expression" priority="2452" dxfId="4">
      <formula>$H2703="SUBETAPA"</formula>
    </cfRule>
    <cfRule type="expression" priority="2453" dxfId="5">
      <formula>$H2703="CÉLULA CONSTRUTIVA"</formula>
    </cfRule>
    <cfRule type="expression" priority="2454" dxfId="3">
      <formula>$H2703="ETAPA"</formula>
    </cfRule>
  </conditionalFormatting>
  <conditionalFormatting sqref="O2700 O2704 O2706">
    <cfRule type="expression" priority="2495" dxfId="3">
      <formula>$H2700="ETAPA"</formula>
    </cfRule>
  </conditionalFormatting>
  <conditionalFormatting sqref="O2704 O2706">
    <cfRule type="expression" priority="2493" dxfId="4">
      <formula>$H2704="SUBETAPA"</formula>
    </cfRule>
    <cfRule type="expression" priority="2494" dxfId="5">
      <formula>$H2704="CÉLULA CONSTRUTIVA"</formula>
    </cfRule>
  </conditionalFormatting>
  <conditionalFormatting sqref="O2705 O2707">
    <cfRule type="expression" priority="2443" dxfId="4">
      <formula>$H2705="SUBETAPA"</formula>
    </cfRule>
    <cfRule type="expression" priority="2444" dxfId="5">
      <formula>$H2705="CÉLULA CONSTRUTIVA"</formula>
    </cfRule>
    <cfRule type="expression" priority="2445" dxfId="3">
      <formula>$H2705="ETAPA"</formula>
    </cfRule>
  </conditionalFormatting>
  <conditionalFormatting sqref="O2708:O2709">
    <cfRule type="expression" priority="2503" dxfId="3">
      <formula>$H2708="ETAPA"</formula>
    </cfRule>
    <cfRule type="expression" priority="2532" dxfId="4">
      <formula>$H2708="SUBETAPA"</formula>
    </cfRule>
  </conditionalFormatting>
  <conditionalFormatting sqref="O2710">
    <cfRule type="expression" priority="2529" dxfId="4">
      <formula>$H2710="SUBETAPA"</formula>
    </cfRule>
    <cfRule type="expression" priority="2530" dxfId="5">
      <formula>$H2710="CÉLULA CONSTRUTIVA"</formula>
    </cfRule>
    <cfRule type="expression" priority="2531" dxfId="3">
      <formula>$H2710="ETAPA"</formula>
    </cfRule>
  </conditionalFormatting>
  <conditionalFormatting sqref="O2711">
    <cfRule type="expression" priority="2498" dxfId="4">
      <formula>$H2711="SUBETAPA"</formula>
    </cfRule>
  </conditionalFormatting>
  <conditionalFormatting sqref="O2712">
    <cfRule type="expression" priority="2526" dxfId="4">
      <formula>$H2712="SUBETAPA"</formula>
    </cfRule>
    <cfRule type="expression" priority="2527" dxfId="5">
      <formula>$H2712="CÉLULA CONSTRUTIVA"</formula>
    </cfRule>
    <cfRule type="expression" priority="2528" dxfId="3">
      <formula>$H2712="ETAPA"</formula>
    </cfRule>
  </conditionalFormatting>
  <conditionalFormatting sqref="O2713">
    <cfRule type="expression" priority="2523" dxfId="4">
      <formula>$H2713="SUBETAPA"</formula>
    </cfRule>
    <cfRule type="expression" priority="2524" dxfId="5">
      <formula>$H2713="CÉLULA CONSTRUTIVA"</formula>
    </cfRule>
    <cfRule type="expression" priority="2525" dxfId="3">
      <formula>$H2713="ETAPA"</formula>
    </cfRule>
  </conditionalFormatting>
  <conditionalFormatting sqref="O2714">
    <cfRule type="expression" priority="2520" dxfId="4">
      <formula>$H2714="SUBETAPA"</formula>
    </cfRule>
    <cfRule type="expression" priority="2521" dxfId="5">
      <formula>$H2714="CÉLULA CONSTRUTIVA"</formula>
    </cfRule>
    <cfRule type="expression" priority="2522" dxfId="3">
      <formula>$H2714="ETAPA"</formula>
    </cfRule>
  </conditionalFormatting>
  <conditionalFormatting sqref="O2711 O2715 O2717">
    <cfRule type="expression" priority="2563" dxfId="3">
      <formula>$H2711="ETAPA"</formula>
    </cfRule>
  </conditionalFormatting>
  <conditionalFormatting sqref="O2715 O2717">
    <cfRule type="expression" priority="2561" dxfId="4">
      <formula>$H2715="SUBETAPA"</formula>
    </cfRule>
    <cfRule type="expression" priority="2562" dxfId="5">
      <formula>$H2715="CÉLULA CONSTRUTIVA"</formula>
    </cfRule>
  </conditionalFormatting>
  <conditionalFormatting sqref="O2716 O2718">
    <cfRule type="expression" priority="2511" dxfId="4">
      <formula>$H2716="SUBETAPA"</formula>
    </cfRule>
    <cfRule type="expression" priority="2512" dxfId="5">
      <formula>$H2716="CÉLULA CONSTRUTIVA"</formula>
    </cfRule>
    <cfRule type="expression" priority="2513" dxfId="3">
      <formula>$H2716="ETAPA"</formula>
    </cfRule>
  </conditionalFormatting>
  <conditionalFormatting sqref="O2719:O2720">
    <cfRule type="expression" priority="1746" dxfId="3">
      <formula>$H2719="ETAPA"</formula>
    </cfRule>
    <cfRule type="expression" priority="1775" dxfId="4">
      <formula>$H2719="SUBETAPA"</formula>
    </cfRule>
  </conditionalFormatting>
  <conditionalFormatting sqref="O2721">
    <cfRule type="expression" priority="1772" dxfId="4">
      <formula>$H2721="SUBETAPA"</formula>
    </cfRule>
    <cfRule type="expression" priority="1773" dxfId="5">
      <formula>$H2721="CÉLULA CONSTRUTIVA"</formula>
    </cfRule>
    <cfRule type="expression" priority="1774" dxfId="3">
      <formula>$H2721="ETAPA"</formula>
    </cfRule>
  </conditionalFormatting>
  <conditionalFormatting sqref="O2722">
    <cfRule type="expression" priority="1741" dxfId="4">
      <formula>$H2722="SUBETAPA"</formula>
    </cfRule>
  </conditionalFormatting>
  <conditionalFormatting sqref="O2723">
    <cfRule type="expression" priority="1769" dxfId="4">
      <formula>$H2723="SUBETAPA"</formula>
    </cfRule>
    <cfRule type="expression" priority="1770" dxfId="5">
      <formula>$H2723="CÉLULA CONSTRUTIVA"</formula>
    </cfRule>
    <cfRule type="expression" priority="1771" dxfId="3">
      <formula>$H2723="ETAPA"</formula>
    </cfRule>
  </conditionalFormatting>
  <conditionalFormatting sqref="O2724">
    <cfRule type="expression" priority="1766" dxfId="4">
      <formula>$H2724="SUBETAPA"</formula>
    </cfRule>
    <cfRule type="expression" priority="1767" dxfId="5">
      <formula>$H2724="CÉLULA CONSTRUTIVA"</formula>
    </cfRule>
    <cfRule type="expression" priority="1768" dxfId="3">
      <formula>$H2724="ETAPA"</formula>
    </cfRule>
  </conditionalFormatting>
  <conditionalFormatting sqref="O2725">
    <cfRule type="expression" priority="1763" dxfId="4">
      <formula>$H2725="SUBETAPA"</formula>
    </cfRule>
    <cfRule type="expression" priority="1764" dxfId="5">
      <formula>$H2725="CÉLULA CONSTRUTIVA"</formula>
    </cfRule>
    <cfRule type="expression" priority="1765" dxfId="3">
      <formula>$H2725="ETAPA"</formula>
    </cfRule>
  </conditionalFormatting>
  <conditionalFormatting sqref="O2722 O2726 O2728">
    <cfRule type="expression" priority="1806" dxfId="3">
      <formula>$H2722="ETAPA"</formula>
    </cfRule>
  </conditionalFormatting>
  <conditionalFormatting sqref="O2726 O2728">
    <cfRule type="expression" priority="1804" dxfId="4">
      <formula>$H2726="SUBETAPA"</formula>
    </cfRule>
    <cfRule type="expression" priority="1805" dxfId="5">
      <formula>$H2726="CÉLULA CONSTRUTIVA"</formula>
    </cfRule>
  </conditionalFormatting>
  <conditionalFormatting sqref="O2727 O2729">
    <cfRule type="expression" priority="1754" dxfId="4">
      <formula>$H2727="SUBETAPA"</formula>
    </cfRule>
    <cfRule type="expression" priority="1755" dxfId="5">
      <formula>$H2727="CÉLULA CONSTRUTIVA"</formula>
    </cfRule>
    <cfRule type="expression" priority="1756" dxfId="3">
      <formula>$H2727="ETAPA"</formula>
    </cfRule>
  </conditionalFormatting>
  <conditionalFormatting sqref="O2730:O2731">
    <cfRule type="expression" priority="1815" dxfId="3">
      <formula>$H2730="ETAPA"</formula>
    </cfRule>
    <cfRule type="expression" priority="1844" dxfId="4">
      <formula>$H2730="SUBETAPA"</formula>
    </cfRule>
  </conditionalFormatting>
  <conditionalFormatting sqref="O2732">
    <cfRule type="expression" priority="1841" dxfId="4">
      <formula>$H2732="SUBETAPA"</formula>
    </cfRule>
    <cfRule type="expression" priority="1842" dxfId="5">
      <formula>$H2732="CÉLULA CONSTRUTIVA"</formula>
    </cfRule>
    <cfRule type="expression" priority="1843" dxfId="3">
      <formula>$H2732="ETAPA"</formula>
    </cfRule>
  </conditionalFormatting>
  <conditionalFormatting sqref="O2733">
    <cfRule type="expression" priority="1810" dxfId="4">
      <formula>$H2733="SUBETAPA"</formula>
    </cfRule>
  </conditionalFormatting>
  <conditionalFormatting sqref="O2734">
    <cfRule type="expression" priority="1838" dxfId="4">
      <formula>$H2734="SUBETAPA"</formula>
    </cfRule>
    <cfRule type="expression" priority="1839" dxfId="5">
      <formula>$H2734="CÉLULA CONSTRUTIVA"</formula>
    </cfRule>
    <cfRule type="expression" priority="1840" dxfId="3">
      <formula>$H2734="ETAPA"</formula>
    </cfRule>
  </conditionalFormatting>
  <conditionalFormatting sqref="O2735">
    <cfRule type="expression" priority="1835" dxfId="4">
      <formula>$H2735="SUBETAPA"</formula>
    </cfRule>
    <cfRule type="expression" priority="1836" dxfId="5">
      <formula>$H2735="CÉLULA CONSTRUTIVA"</formula>
    </cfRule>
    <cfRule type="expression" priority="1837" dxfId="3">
      <formula>$H2735="ETAPA"</formula>
    </cfRule>
  </conditionalFormatting>
  <conditionalFormatting sqref="O2736">
    <cfRule type="expression" priority="1832" dxfId="4">
      <formula>$H2736="SUBETAPA"</formula>
    </cfRule>
    <cfRule type="expression" priority="1833" dxfId="5">
      <formula>$H2736="CÉLULA CONSTRUTIVA"</formula>
    </cfRule>
    <cfRule type="expression" priority="1834" dxfId="3">
      <formula>$H2736="ETAPA"</formula>
    </cfRule>
  </conditionalFormatting>
  <conditionalFormatting sqref="O2733 O2737 O2739">
    <cfRule type="expression" priority="1882" dxfId="3">
      <formula>$H2733="ETAPA"</formula>
    </cfRule>
  </conditionalFormatting>
  <conditionalFormatting sqref="O2737 O2739">
    <cfRule type="expression" priority="1877" dxfId="4">
      <formula>$H2737="SUBETAPA"</formula>
    </cfRule>
    <cfRule type="expression" priority="1878" dxfId="5">
      <formula>$H2737="CÉLULA CONSTRUTIVA"</formula>
    </cfRule>
  </conditionalFormatting>
  <conditionalFormatting sqref="O2738 O2740">
    <cfRule type="expression" priority="1823" dxfId="4">
      <formula>$H2738="SUBETAPA"</formula>
    </cfRule>
    <cfRule type="expression" priority="1824" dxfId="5">
      <formula>$H2738="CÉLULA CONSTRUTIVA"</formula>
    </cfRule>
    <cfRule type="expression" priority="1825" dxfId="3">
      <formula>$H2738="ETAPA"</formula>
    </cfRule>
  </conditionalFormatting>
  <conditionalFormatting sqref="O2741:O2742">
    <cfRule type="expression" priority="2571" dxfId="3">
      <formula>$H2741="ETAPA"</formula>
    </cfRule>
    <cfRule type="expression" priority="2600" dxfId="4">
      <formula>$H2741="SUBETAPA"</formula>
    </cfRule>
  </conditionalFormatting>
  <conditionalFormatting sqref="O2743">
    <cfRule type="expression" priority="2597" dxfId="4">
      <formula>$H2743="SUBETAPA"</formula>
    </cfRule>
    <cfRule type="expression" priority="2598" dxfId="5">
      <formula>$H2743="CÉLULA CONSTRUTIVA"</formula>
    </cfRule>
    <cfRule type="expression" priority="2599" dxfId="3">
      <formula>$H2743="ETAPA"</formula>
    </cfRule>
  </conditionalFormatting>
  <conditionalFormatting sqref="O2744">
    <cfRule type="expression" priority="2566" dxfId="4">
      <formula>$H2744="SUBETAPA"</formula>
    </cfRule>
  </conditionalFormatting>
  <conditionalFormatting sqref="O2745">
    <cfRule type="expression" priority="2594" dxfId="4">
      <formula>$H2745="SUBETAPA"</formula>
    </cfRule>
    <cfRule type="expression" priority="2595" dxfId="5">
      <formula>$H2745="CÉLULA CONSTRUTIVA"</formula>
    </cfRule>
    <cfRule type="expression" priority="2596" dxfId="3">
      <formula>$H2745="ETAPA"</formula>
    </cfRule>
  </conditionalFormatting>
  <conditionalFormatting sqref="O2746">
    <cfRule type="expression" priority="2591" dxfId="4">
      <formula>$H2746="SUBETAPA"</formula>
    </cfRule>
    <cfRule type="expression" priority="2592" dxfId="5">
      <formula>$H2746="CÉLULA CONSTRUTIVA"</formula>
    </cfRule>
    <cfRule type="expression" priority="2593" dxfId="3">
      <formula>$H2746="ETAPA"</formula>
    </cfRule>
  </conditionalFormatting>
  <conditionalFormatting sqref="O2747">
    <cfRule type="expression" priority="2588" dxfId="4">
      <formula>$H2747="SUBETAPA"</formula>
    </cfRule>
    <cfRule type="expression" priority="2589" dxfId="5">
      <formula>$H2747="CÉLULA CONSTRUTIVA"</formula>
    </cfRule>
    <cfRule type="expression" priority="2590" dxfId="3">
      <formula>$H2747="ETAPA"</formula>
    </cfRule>
  </conditionalFormatting>
  <conditionalFormatting sqref="O2744 O2748 O2750">
    <cfRule type="expression" priority="2631" dxfId="3">
      <formula>$H2744="ETAPA"</formula>
    </cfRule>
  </conditionalFormatting>
  <conditionalFormatting sqref="O2748 O2750">
    <cfRule type="expression" priority="2629" dxfId="4">
      <formula>$H2748="SUBETAPA"</formula>
    </cfRule>
    <cfRule type="expression" priority="2630" dxfId="5">
      <formula>$H2748="CÉLULA CONSTRUTIVA"</formula>
    </cfRule>
  </conditionalFormatting>
  <conditionalFormatting sqref="O2749 O2751">
    <cfRule type="expression" priority="2579" dxfId="4">
      <formula>$H2749="SUBETAPA"</formula>
    </cfRule>
    <cfRule type="expression" priority="2580" dxfId="5">
      <formula>$H2749="CÉLULA CONSTRUTIVA"</formula>
    </cfRule>
    <cfRule type="expression" priority="2581" dxfId="3">
      <formula>$H2749="ETAPA"</formula>
    </cfRule>
  </conditionalFormatting>
  <conditionalFormatting sqref="O380:O381 O387 O391 O395 O399:O400 O404 O408 O412 O416:O417 O421 O425 O428 O432:O433 O437 O441 O444 O448:O449 O453 O457 O461 O465:O466 O470 O474 O478 O482:O483 O487 O491 O495 O499:O500 O504 O509 O513 O517:O518 O522 O527 O531 O535:O536 O540 O545 O549 O553:O554 O558 O563 O567 O571:O572 O576 O580 O583 O587:O588 O593 O598 O602 O606:O607 O610 O614 O616 O1674:O1675 O1681 O1683 O1693:O1695 O1700 O1709:O1711 O1716 O1724:O1726 O1731 O1743 O1755 O1771 O1781:O1782 O1784:O1786 O1793 O1797 O1799:O1801 O1810:O1812 O1823:O1825 O1836:O1838 O1844 O1852:O1854 O1860 O1868:O1870 O1874 O1881:O1883 O1910 O1912:O1913 O1923 O1925:O1926 O1931 O1933:O1934 O1936 O1938:O1939 O1944 O1946:O1947 O1953 O1955:O1956 O1969 O2012:O2013 O2021 O2023:O2024 O2029 O2335:O2336 O2338 O2752:O2753">
    <cfRule type="expression" priority="116153" dxfId="4">
      <formula>$H380="SUBETAPA"</formula>
    </cfRule>
  </conditionalFormatting>
  <conditionalFormatting sqref="O2754">
    <cfRule type="expression" priority="59973" dxfId="4">
      <formula>$H2754="SUBETAPA"</formula>
    </cfRule>
    <cfRule type="expression" priority="59974" dxfId="5">
      <formula>$H2754="CÉLULA CONSTRUTIVA"</formula>
    </cfRule>
    <cfRule type="expression" priority="59975" dxfId="3">
      <formula>$H2754="ETAPA"</formula>
    </cfRule>
  </conditionalFormatting>
  <conditionalFormatting sqref="O2755">
    <cfRule type="expression" priority="116887" dxfId="4">
      <formula>$H2755="SUBETAPA"</formula>
    </cfRule>
  </conditionalFormatting>
  <conditionalFormatting sqref="O2755:O2756">
    <cfRule type="expression" priority="60000" dxfId="3">
      <formula>$H2755="ETAPA"</formula>
    </cfRule>
  </conditionalFormatting>
  <conditionalFormatting sqref="O2756">
    <cfRule type="expression" priority="59998" dxfId="4">
      <formula>$H2756="SUBETAPA"</formula>
    </cfRule>
    <cfRule type="expression" priority="59999" dxfId="5">
      <formula>$H2756="CÉLULA CONSTRUTIVA"</formula>
    </cfRule>
  </conditionalFormatting>
  <conditionalFormatting sqref="O2757">
    <cfRule type="expression" priority="59995" dxfId="4">
      <formula>$H2757="SUBETAPA"</formula>
    </cfRule>
    <cfRule type="expression" priority="59996" dxfId="5">
      <formula>$H2757="CÉLULA CONSTRUTIVA"</formula>
    </cfRule>
    <cfRule type="expression" priority="59997" dxfId="3">
      <formula>$H2757="ETAPA"</formula>
    </cfRule>
  </conditionalFormatting>
  <conditionalFormatting sqref="O2760">
    <cfRule type="expression" priority="1378" dxfId="4">
      <formula>$H2760="SUBETAPA"</formula>
    </cfRule>
    <cfRule type="expression" priority="1379" dxfId="5">
      <formula>$H2760="CÉLULA CONSTRUTIVA"</formula>
    </cfRule>
    <cfRule type="expression" priority="1380" dxfId="3">
      <formula>$H2760="ETAPA"</formula>
    </cfRule>
  </conditionalFormatting>
  <conditionalFormatting sqref="O2761">
    <cfRule type="expression" priority="1375" dxfId="4">
      <formula>$H2761="SUBETAPA"</formula>
    </cfRule>
    <cfRule type="expression" priority="1376" dxfId="5">
      <formula>$H2761="CÉLULA CONSTRUTIVA"</formula>
    </cfRule>
    <cfRule type="expression" priority="1377" dxfId="3">
      <formula>$H2761="ETAPA"</formula>
    </cfRule>
  </conditionalFormatting>
  <conditionalFormatting sqref="O2762">
    <cfRule type="expression" priority="1371" dxfId="3">
      <formula>$H2762="ETAPA"</formula>
    </cfRule>
    <cfRule type="expression" priority="1372" dxfId="5">
      <formula>$H2762="CÉLULA CONSTRUTIVA"</formula>
    </cfRule>
  </conditionalFormatting>
  <conditionalFormatting sqref="O2763">
    <cfRule type="expression" priority="1368" dxfId="4">
      <formula>$H2763="SUBETAPA"</formula>
    </cfRule>
    <cfRule type="expression" priority="1369" dxfId="5">
      <formula>$H2763="CÉLULA CONSTRUTIVA"</formula>
    </cfRule>
    <cfRule type="expression" priority="1370" dxfId="3">
      <formula>$H2763="ETAPA"</formula>
    </cfRule>
  </conditionalFormatting>
  <conditionalFormatting sqref="O2766">
    <cfRule type="expression" priority="1420" dxfId="4">
      <formula>$H2766="SUBETAPA"</formula>
    </cfRule>
    <cfRule type="expression" priority="1421" dxfId="5">
      <formula>$H2766="CÉLULA CONSTRUTIVA"</formula>
    </cfRule>
    <cfRule type="expression" priority="1422" dxfId="3">
      <formula>$H2766="ETAPA"</formula>
    </cfRule>
  </conditionalFormatting>
  <conditionalFormatting sqref="O2767">
    <cfRule type="expression" priority="1417" dxfId="4">
      <formula>$H2767="SUBETAPA"</formula>
    </cfRule>
    <cfRule type="expression" priority="1418" dxfId="5">
      <formula>$H2767="CÉLULA CONSTRUTIVA"</formula>
    </cfRule>
    <cfRule type="expression" priority="1419" dxfId="3">
      <formula>$H2767="ETAPA"</formula>
    </cfRule>
  </conditionalFormatting>
  <conditionalFormatting sqref="O2768">
    <cfRule type="expression" priority="1413" dxfId="3">
      <formula>$H2768="ETAPA"</formula>
    </cfRule>
    <cfRule type="expression" priority="1414" dxfId="5">
      <formula>$H2768="CÉLULA CONSTRUTIVA"</formula>
    </cfRule>
  </conditionalFormatting>
  <conditionalFormatting sqref="O2769">
    <cfRule type="expression" priority="1410" dxfId="4">
      <formula>$H2769="SUBETAPA"</formula>
    </cfRule>
    <cfRule type="expression" priority="1411" dxfId="5">
      <formula>$H2769="CÉLULA CONSTRUTIVA"</formula>
    </cfRule>
    <cfRule type="expression" priority="1412" dxfId="3">
      <formula>$H2769="ETAPA"</formula>
    </cfRule>
  </conditionalFormatting>
  <conditionalFormatting sqref="O2772">
    <cfRule type="expression" priority="1462" dxfId="4">
      <formula>$H2772="SUBETAPA"</formula>
    </cfRule>
    <cfRule type="expression" priority="1463" dxfId="5">
      <formula>$H2772="CÉLULA CONSTRUTIVA"</formula>
    </cfRule>
    <cfRule type="expression" priority="1464" dxfId="3">
      <formula>$H2772="ETAPA"</formula>
    </cfRule>
  </conditionalFormatting>
  <conditionalFormatting sqref="O2773">
    <cfRule type="expression" priority="1459" dxfId="4">
      <formula>$H2773="SUBETAPA"</formula>
    </cfRule>
    <cfRule type="expression" priority="1460" dxfId="5">
      <formula>$H2773="CÉLULA CONSTRUTIVA"</formula>
    </cfRule>
    <cfRule type="expression" priority="1461" dxfId="3">
      <formula>$H2773="ETAPA"</formula>
    </cfRule>
  </conditionalFormatting>
  <conditionalFormatting sqref="O2774">
    <cfRule type="expression" priority="1455" dxfId="3">
      <formula>$H2774="ETAPA"</formula>
    </cfRule>
    <cfRule type="expression" priority="1456" dxfId="5">
      <formula>$H2774="CÉLULA CONSTRUTIVA"</formula>
    </cfRule>
  </conditionalFormatting>
  <conditionalFormatting sqref="O2775">
    <cfRule type="expression" priority="1452" dxfId="4">
      <formula>$H2775="SUBETAPA"</formula>
    </cfRule>
    <cfRule type="expression" priority="1453" dxfId="5">
      <formula>$H2775="CÉLULA CONSTRUTIVA"</formula>
    </cfRule>
    <cfRule type="expression" priority="1454" dxfId="3">
      <formula>$H2775="ETAPA"</formula>
    </cfRule>
  </conditionalFormatting>
  <conditionalFormatting sqref="O2778">
    <cfRule type="expression" priority="1507" dxfId="4">
      <formula>$H2778="SUBETAPA"</formula>
    </cfRule>
    <cfRule type="expression" priority="1508" dxfId="5">
      <formula>$H2778="CÉLULA CONSTRUTIVA"</formula>
    </cfRule>
    <cfRule type="expression" priority="1509" dxfId="3">
      <formula>$H2778="ETAPA"</formula>
    </cfRule>
  </conditionalFormatting>
  <conditionalFormatting sqref="O2779">
    <cfRule type="expression" priority="1504" dxfId="4">
      <formula>$H2779="SUBETAPA"</formula>
    </cfRule>
    <cfRule type="expression" priority="1505" dxfId="5">
      <formula>$H2779="CÉLULA CONSTRUTIVA"</formula>
    </cfRule>
    <cfRule type="expression" priority="1506" dxfId="3">
      <formula>$H2779="ETAPA"</formula>
    </cfRule>
  </conditionalFormatting>
  <conditionalFormatting sqref="O2780">
    <cfRule type="expression" priority="1501" dxfId="4">
      <formula>$H2780="SUBETAPA"</formula>
    </cfRule>
    <cfRule type="expression" priority="1502" dxfId="5">
      <formula>$H2780="CÉLULA CONSTRUTIVA"</formula>
    </cfRule>
    <cfRule type="expression" priority="1503" dxfId="3">
      <formula>$H2780="ETAPA"</formula>
    </cfRule>
  </conditionalFormatting>
  <conditionalFormatting sqref="O2781">
    <cfRule type="expression" priority="1499" dxfId="4">
      <formula>$H2781="SUBETAPA"</formula>
    </cfRule>
  </conditionalFormatting>
  <conditionalFormatting sqref="O2783">
    <cfRule type="expression" priority="1497" dxfId="3">
      <formula>$H2783="ETAPA"</formula>
    </cfRule>
    <cfRule type="expression" priority="1498" dxfId="5">
      <formula>$H2783="CÉLULA CONSTRUTIVA"</formula>
    </cfRule>
  </conditionalFormatting>
  <conditionalFormatting sqref="O2784">
    <cfRule type="expression" priority="1494" dxfId="4">
      <formula>$H2784="SUBETAPA"</formula>
    </cfRule>
    <cfRule type="expression" priority="1495" dxfId="5">
      <formula>$H2784="CÉLULA CONSTRUTIVA"</formula>
    </cfRule>
    <cfRule type="expression" priority="1496" dxfId="3">
      <formula>$H2784="ETAPA"</formula>
    </cfRule>
  </conditionalFormatting>
  <conditionalFormatting sqref="O2787">
    <cfRule type="expression" priority="1549" dxfId="4">
      <formula>$H2787="SUBETAPA"</formula>
    </cfRule>
    <cfRule type="expression" priority="1550" dxfId="5">
      <formula>$H2787="CÉLULA CONSTRUTIVA"</formula>
    </cfRule>
    <cfRule type="expression" priority="1551" dxfId="3">
      <formula>$H2787="ETAPA"</formula>
    </cfRule>
  </conditionalFormatting>
  <conditionalFormatting sqref="O2788">
    <cfRule type="expression" priority="1546" dxfId="4">
      <formula>$H2788="SUBETAPA"</formula>
    </cfRule>
    <cfRule type="expression" priority="1547" dxfId="5">
      <formula>$H2788="CÉLULA CONSTRUTIVA"</formula>
    </cfRule>
    <cfRule type="expression" priority="1548" dxfId="3">
      <formula>$H2788="ETAPA"</formula>
    </cfRule>
  </conditionalFormatting>
  <conditionalFormatting sqref="O2789">
    <cfRule type="expression" priority="1543" dxfId="4">
      <formula>$H2789="SUBETAPA"</formula>
    </cfRule>
    <cfRule type="expression" priority="1544" dxfId="5">
      <formula>$H2789="CÉLULA CONSTRUTIVA"</formula>
    </cfRule>
    <cfRule type="expression" priority="1545" dxfId="3">
      <formula>$H2789="ETAPA"</formula>
    </cfRule>
  </conditionalFormatting>
  <conditionalFormatting sqref="O2790">
    <cfRule type="expression" priority="1541" dxfId="4">
      <formula>$H2790="SUBETAPA"</formula>
    </cfRule>
  </conditionalFormatting>
  <conditionalFormatting sqref="O2792">
    <cfRule type="expression" priority="1539" dxfId="3">
      <formula>$H2792="ETAPA"</formula>
    </cfRule>
    <cfRule type="expression" priority="1540" dxfId="5">
      <formula>$H2792="CÉLULA CONSTRUTIVA"</formula>
    </cfRule>
  </conditionalFormatting>
  <conditionalFormatting sqref="O2793">
    <cfRule type="expression" priority="1536" dxfId="4">
      <formula>$H2793="SUBETAPA"</formula>
    </cfRule>
    <cfRule type="expression" priority="1537" dxfId="5">
      <formula>$H2793="CÉLULA CONSTRUTIVA"</formula>
    </cfRule>
    <cfRule type="expression" priority="1538" dxfId="3">
      <formula>$H2793="ETAPA"</formula>
    </cfRule>
  </conditionalFormatting>
  <conditionalFormatting sqref="O2796">
    <cfRule type="expression" priority="1591" dxfId="4">
      <formula>$H2796="SUBETAPA"</formula>
    </cfRule>
    <cfRule type="expression" priority="1592" dxfId="5">
      <formula>$H2796="CÉLULA CONSTRUTIVA"</formula>
    </cfRule>
    <cfRule type="expression" priority="1593" dxfId="3">
      <formula>$H2796="ETAPA"</formula>
    </cfRule>
  </conditionalFormatting>
  <conditionalFormatting sqref="O2797">
    <cfRule type="expression" priority="1588" dxfId="4">
      <formula>$H2797="SUBETAPA"</formula>
    </cfRule>
    <cfRule type="expression" priority="1589" dxfId="5">
      <formula>$H2797="CÉLULA CONSTRUTIVA"</formula>
    </cfRule>
    <cfRule type="expression" priority="1590" dxfId="3">
      <formula>$H2797="ETAPA"</formula>
    </cfRule>
  </conditionalFormatting>
  <conditionalFormatting sqref="O2798">
    <cfRule type="expression" priority="1585" dxfId="4">
      <formula>$H2798="SUBETAPA"</formula>
    </cfRule>
    <cfRule type="expression" priority="1586" dxfId="5">
      <formula>$H2798="CÉLULA CONSTRUTIVA"</formula>
    </cfRule>
    <cfRule type="expression" priority="1587" dxfId="3">
      <formula>$H2798="ETAPA"</formula>
    </cfRule>
  </conditionalFormatting>
  <conditionalFormatting sqref="O2799">
    <cfRule type="expression" priority="1583" dxfId="4">
      <formula>$H2799="SUBETAPA"</formula>
    </cfRule>
  </conditionalFormatting>
  <conditionalFormatting sqref="O2801">
    <cfRule type="expression" priority="1581" dxfId="3">
      <formula>$H2801="ETAPA"</formula>
    </cfRule>
    <cfRule type="expression" priority="1582" dxfId="5">
      <formula>$H2801="CÉLULA CONSTRUTIVA"</formula>
    </cfRule>
  </conditionalFormatting>
  <conditionalFormatting sqref="O2802">
    <cfRule type="expression" priority="1578" dxfId="4">
      <formula>$H2802="SUBETAPA"</formula>
    </cfRule>
    <cfRule type="expression" priority="1579" dxfId="5">
      <formula>$H2802="CÉLULA CONSTRUTIVA"</formula>
    </cfRule>
    <cfRule type="expression" priority="1580" dxfId="3">
      <formula>$H2802="ETAPA"</formula>
    </cfRule>
  </conditionalFormatting>
  <conditionalFormatting sqref="O2805">
    <cfRule type="expression" priority="1633" dxfId="4">
      <formula>$H2805="SUBETAPA"</formula>
    </cfRule>
    <cfRule type="expression" priority="1634" dxfId="5">
      <formula>$H2805="CÉLULA CONSTRUTIVA"</formula>
    </cfRule>
    <cfRule type="expression" priority="1635" dxfId="3">
      <formula>$H2805="ETAPA"</formula>
    </cfRule>
  </conditionalFormatting>
  <conditionalFormatting sqref="O2806">
    <cfRule type="expression" priority="1630" dxfId="4">
      <formula>$H2806="SUBETAPA"</formula>
    </cfRule>
    <cfRule type="expression" priority="1631" dxfId="5">
      <formula>$H2806="CÉLULA CONSTRUTIVA"</formula>
    </cfRule>
    <cfRule type="expression" priority="1632" dxfId="3">
      <formula>$H2806="ETAPA"</formula>
    </cfRule>
  </conditionalFormatting>
  <conditionalFormatting sqref="O2807">
    <cfRule type="expression" priority="1627" dxfId="4">
      <formula>$H2807="SUBETAPA"</formula>
    </cfRule>
    <cfRule type="expression" priority="1628" dxfId="5">
      <formula>$H2807="CÉLULA CONSTRUTIVA"</formula>
    </cfRule>
    <cfRule type="expression" priority="1629" dxfId="3">
      <formula>$H2807="ETAPA"</formula>
    </cfRule>
  </conditionalFormatting>
  <conditionalFormatting sqref="O2808">
    <cfRule type="expression" priority="1625" dxfId="4">
      <formula>$H2808="SUBETAPA"</formula>
    </cfRule>
  </conditionalFormatting>
  <conditionalFormatting sqref="O2810">
    <cfRule type="expression" priority="1623" dxfId="3">
      <formula>$H2810="ETAPA"</formula>
    </cfRule>
    <cfRule type="expression" priority="1624" dxfId="5">
      <formula>$H2810="CÉLULA CONSTRUTIVA"</formula>
    </cfRule>
  </conditionalFormatting>
  <conditionalFormatting sqref="O2811">
    <cfRule type="expression" priority="1620" dxfId="4">
      <formula>$H2811="SUBETAPA"</formula>
    </cfRule>
    <cfRule type="expression" priority="1621" dxfId="5">
      <formula>$H2811="CÉLULA CONSTRUTIVA"</formula>
    </cfRule>
    <cfRule type="expression" priority="1622" dxfId="3">
      <formula>$H2811="ETAPA"</formula>
    </cfRule>
  </conditionalFormatting>
  <conditionalFormatting sqref="O2814">
    <cfRule type="expression" priority="1675" dxfId="4">
      <formula>$H2814="SUBETAPA"</formula>
    </cfRule>
    <cfRule type="expression" priority="1676" dxfId="5">
      <formula>$H2814="CÉLULA CONSTRUTIVA"</formula>
    </cfRule>
    <cfRule type="expression" priority="1677" dxfId="3">
      <formula>$H2814="ETAPA"</formula>
    </cfRule>
  </conditionalFormatting>
  <conditionalFormatting sqref="O2815">
    <cfRule type="expression" priority="1672" dxfId="4">
      <formula>$H2815="SUBETAPA"</formula>
    </cfRule>
    <cfRule type="expression" priority="1673" dxfId="5">
      <formula>$H2815="CÉLULA CONSTRUTIVA"</formula>
    </cfRule>
    <cfRule type="expression" priority="1674" dxfId="3">
      <formula>$H2815="ETAPA"</formula>
    </cfRule>
  </conditionalFormatting>
  <conditionalFormatting sqref="O2816">
    <cfRule type="expression" priority="1669" dxfId="4">
      <formula>$H2816="SUBETAPA"</formula>
    </cfRule>
    <cfRule type="expression" priority="1670" dxfId="5">
      <formula>$H2816="CÉLULA CONSTRUTIVA"</formula>
    </cfRule>
    <cfRule type="expression" priority="1671" dxfId="3">
      <formula>$H2816="ETAPA"</formula>
    </cfRule>
  </conditionalFormatting>
  <conditionalFormatting sqref="O2817">
    <cfRule type="expression" priority="1665" dxfId="3">
      <formula>$H2817="ETAPA"</formula>
    </cfRule>
    <cfRule type="expression" priority="1666" dxfId="5">
      <formula>$H2817="CÉLULA CONSTRUTIVA"</formula>
    </cfRule>
  </conditionalFormatting>
  <conditionalFormatting sqref="O2818">
    <cfRule type="expression" priority="1662" dxfId="4">
      <formula>$H2818="SUBETAPA"</formula>
    </cfRule>
    <cfRule type="expression" priority="1663" dxfId="5">
      <formula>$H2818="CÉLULA CONSTRUTIVA"</formula>
    </cfRule>
    <cfRule type="expression" priority="1664" dxfId="3">
      <formula>$H2818="ETAPA"</formula>
    </cfRule>
  </conditionalFormatting>
  <conditionalFormatting sqref="O2819 O2828">
    <cfRule type="expression" priority="422" dxfId="4">
      <formula>$H2819="SUBETAPA"</formula>
    </cfRule>
  </conditionalFormatting>
  <conditionalFormatting sqref="O2819:O2820 O2828">
    <cfRule type="expression" priority="393" dxfId="3">
      <formula>$H2819="ETAPA"</formula>
    </cfRule>
  </conditionalFormatting>
  <conditionalFormatting sqref="O2820">
    <cfRule type="expression" priority="423" dxfId="5">
      <formula>$H2820="CÉLULA CONSTRUTIVA"</formula>
    </cfRule>
  </conditionalFormatting>
  <conditionalFormatting sqref="O2821">
    <cfRule type="expression" priority="418" dxfId="4">
      <formula>$H2821="SUBETAPA"</formula>
    </cfRule>
    <cfRule type="expression" priority="419" dxfId="5">
      <formula>$H2821="CÉLULA CONSTRUTIVA"</formula>
    </cfRule>
    <cfRule type="expression" priority="420" dxfId="3">
      <formula>$H2821="ETAPA"</formula>
    </cfRule>
  </conditionalFormatting>
  <conditionalFormatting sqref="O2824">
    <cfRule type="expression" priority="412" dxfId="4">
      <formula>$H2824="SUBETAPA"</formula>
    </cfRule>
    <cfRule type="expression" priority="413" dxfId="5">
      <formula>$H2824="CÉLULA CONSTRUTIVA"</formula>
    </cfRule>
    <cfRule type="expression" priority="414" dxfId="3">
      <formula>$H2824="ETAPA"</formula>
    </cfRule>
  </conditionalFormatting>
  <conditionalFormatting sqref="O2825">
    <cfRule type="expression" priority="409" dxfId="4">
      <formula>$H2825="SUBETAPA"</formula>
    </cfRule>
    <cfRule type="expression" priority="410" dxfId="5">
      <formula>$H2825="CÉLULA CONSTRUTIVA"</formula>
    </cfRule>
    <cfRule type="expression" priority="411" dxfId="3">
      <formula>$H2825="ETAPA"</formula>
    </cfRule>
  </conditionalFormatting>
  <conditionalFormatting sqref="O2826">
    <cfRule type="expression" priority="406" dxfId="4">
      <formula>$H2826="SUBETAPA"</formula>
    </cfRule>
    <cfRule type="expression" priority="407" dxfId="5">
      <formula>$H2826="CÉLULA CONSTRUTIVA"</formula>
    </cfRule>
    <cfRule type="expression" priority="408" dxfId="3">
      <formula>$H2826="ETAPA"</formula>
    </cfRule>
  </conditionalFormatting>
  <conditionalFormatting sqref="O2827">
    <cfRule type="expression" priority="403" dxfId="4">
      <formula>$H2827="SUBETAPA"</formula>
    </cfRule>
    <cfRule type="expression" priority="404" dxfId="5">
      <formula>$H2827="CÉLULA CONSTRUTIVA"</formula>
    </cfRule>
    <cfRule type="expression" priority="405" dxfId="3">
      <formula>$H2827="ETAPA"</formula>
    </cfRule>
  </conditionalFormatting>
  <conditionalFormatting sqref="O2829">
    <cfRule type="expression" priority="395" dxfId="4">
      <formula>$H2829="SUBETAPA"</formula>
    </cfRule>
    <cfRule type="expression" priority="396" dxfId="5">
      <formula>$H2829="CÉLULA CONSTRUTIVA"</formula>
    </cfRule>
    <cfRule type="expression" priority="397" dxfId="3">
      <formula>$H2829="ETAPA"</formula>
    </cfRule>
  </conditionalFormatting>
  <conditionalFormatting sqref="O2830 O2837">
    <cfRule type="expression" priority="487" dxfId="4">
      <formula>$H2830="SUBETAPA"</formula>
    </cfRule>
  </conditionalFormatting>
  <conditionalFormatting sqref="O2830:O2831 O2837">
    <cfRule type="expression" priority="458" dxfId="3">
      <formula>$H2830="ETAPA"</formula>
    </cfRule>
  </conditionalFormatting>
  <conditionalFormatting sqref="O2831">
    <cfRule type="expression" priority="488" dxfId="5">
      <formula>$H2831="CÉLULA CONSTRUTIVA"</formula>
    </cfRule>
  </conditionalFormatting>
  <conditionalFormatting sqref="O2832">
    <cfRule type="expression" priority="483" dxfId="4">
      <formula>$H2832="SUBETAPA"</formula>
    </cfRule>
    <cfRule type="expression" priority="484" dxfId="5">
      <formula>$H2832="CÉLULA CONSTRUTIVA"</formula>
    </cfRule>
    <cfRule type="expression" priority="485" dxfId="3">
      <formula>$H2832="ETAPA"</formula>
    </cfRule>
  </conditionalFormatting>
  <conditionalFormatting sqref="O2835">
    <cfRule type="expression" priority="477" dxfId="4">
      <formula>$H2835="SUBETAPA"</formula>
    </cfRule>
    <cfRule type="expression" priority="478" dxfId="5">
      <formula>$H2835="CÉLULA CONSTRUTIVA"</formula>
    </cfRule>
    <cfRule type="expression" priority="479" dxfId="3">
      <formula>$H2835="ETAPA"</formula>
    </cfRule>
  </conditionalFormatting>
  <conditionalFormatting sqref="O2836">
    <cfRule type="expression" priority="474" dxfId="4">
      <formula>$H2836="SUBETAPA"</formula>
    </cfRule>
    <cfRule type="expression" priority="475" dxfId="5">
      <formula>$H2836="CÉLULA CONSTRUTIVA"</formula>
    </cfRule>
    <cfRule type="expression" priority="476" dxfId="3">
      <formula>$H2836="ETAPA"</formula>
    </cfRule>
  </conditionalFormatting>
  <conditionalFormatting sqref="O2838">
    <cfRule type="expression" priority="460" dxfId="4">
      <formula>$H2838="SUBETAPA"</formula>
    </cfRule>
    <cfRule type="expression" priority="461" dxfId="5">
      <formula>$H2838="CÉLULA CONSTRUTIVA"</formula>
    </cfRule>
    <cfRule type="expression" priority="462" dxfId="3">
      <formula>$H2838="ETAPA"</formula>
    </cfRule>
  </conditionalFormatting>
  <conditionalFormatting sqref="O2839 O2846">
    <cfRule type="expression" priority="552" dxfId="4">
      <formula>$H2839="SUBETAPA"</formula>
    </cfRule>
  </conditionalFormatting>
  <conditionalFormatting sqref="O2839:O2840 O2846">
    <cfRule type="expression" priority="523" dxfId="3">
      <formula>$H2839="ETAPA"</formula>
    </cfRule>
  </conditionalFormatting>
  <conditionalFormatting sqref="O2840">
    <cfRule type="expression" priority="553" dxfId="5">
      <formula>$H2840="CÉLULA CONSTRUTIVA"</formula>
    </cfRule>
  </conditionalFormatting>
  <conditionalFormatting sqref="O2841">
    <cfRule type="expression" priority="548" dxfId="4">
      <formula>$H2841="SUBETAPA"</formula>
    </cfRule>
    <cfRule type="expression" priority="549" dxfId="5">
      <formula>$H2841="CÉLULA CONSTRUTIVA"</formula>
    </cfRule>
    <cfRule type="expression" priority="550" dxfId="3">
      <formula>$H2841="ETAPA"</formula>
    </cfRule>
  </conditionalFormatting>
  <conditionalFormatting sqref="O2844">
    <cfRule type="expression" priority="542" dxfId="4">
      <formula>$H2844="SUBETAPA"</formula>
    </cfRule>
    <cfRule type="expression" priority="543" dxfId="5">
      <formula>$H2844="CÉLULA CONSTRUTIVA"</formula>
    </cfRule>
    <cfRule type="expression" priority="544" dxfId="3">
      <formula>$H2844="ETAPA"</formula>
    </cfRule>
  </conditionalFormatting>
  <conditionalFormatting sqref="O2845">
    <cfRule type="expression" priority="539" dxfId="4">
      <formula>$H2845="SUBETAPA"</formula>
    </cfRule>
    <cfRule type="expression" priority="540" dxfId="5">
      <formula>$H2845="CÉLULA CONSTRUTIVA"</formula>
    </cfRule>
    <cfRule type="expression" priority="541" dxfId="3">
      <formula>$H2845="ETAPA"</formula>
    </cfRule>
  </conditionalFormatting>
  <conditionalFormatting sqref="O2847">
    <cfRule type="expression" priority="525" dxfId="4">
      <formula>$H2847="SUBETAPA"</formula>
    </cfRule>
    <cfRule type="expression" priority="526" dxfId="5">
      <formula>$H2847="CÉLULA CONSTRUTIVA"</formula>
    </cfRule>
    <cfRule type="expression" priority="527" dxfId="3">
      <formula>$H2847="ETAPA"</formula>
    </cfRule>
  </conditionalFormatting>
  <conditionalFormatting sqref="O2848 O2855">
    <cfRule type="expression" priority="617" dxfId="4">
      <formula>$H2848="SUBETAPA"</formula>
    </cfRule>
  </conditionalFormatting>
  <conditionalFormatting sqref="O2848:O2849 O2855">
    <cfRule type="expression" priority="588" dxfId="3">
      <formula>$H2848="ETAPA"</formula>
    </cfRule>
  </conditionalFormatting>
  <conditionalFormatting sqref="O2849">
    <cfRule type="expression" priority="618" dxfId="5">
      <formula>$H2849="CÉLULA CONSTRUTIVA"</formula>
    </cfRule>
  </conditionalFormatting>
  <conditionalFormatting sqref="O2850">
    <cfRule type="expression" priority="613" dxfId="4">
      <formula>$H2850="SUBETAPA"</formula>
    </cfRule>
    <cfRule type="expression" priority="614" dxfId="5">
      <formula>$H2850="CÉLULA CONSTRUTIVA"</formula>
    </cfRule>
    <cfRule type="expression" priority="615" dxfId="3">
      <formula>$H2850="ETAPA"</formula>
    </cfRule>
  </conditionalFormatting>
  <conditionalFormatting sqref="O2853">
    <cfRule type="expression" priority="607" dxfId="4">
      <formula>$H2853="SUBETAPA"</formula>
    </cfRule>
    <cfRule type="expression" priority="608" dxfId="5">
      <formula>$H2853="CÉLULA CONSTRUTIVA"</formula>
    </cfRule>
    <cfRule type="expression" priority="609" dxfId="3">
      <formula>$H2853="ETAPA"</formula>
    </cfRule>
  </conditionalFormatting>
  <conditionalFormatting sqref="O2854">
    <cfRule type="expression" priority="604" dxfId="4">
      <formula>$H2854="SUBETAPA"</formula>
    </cfRule>
    <cfRule type="expression" priority="605" dxfId="5">
      <formula>$H2854="CÉLULA CONSTRUTIVA"</formula>
    </cfRule>
    <cfRule type="expression" priority="606" dxfId="3">
      <formula>$H2854="ETAPA"</formula>
    </cfRule>
  </conditionalFormatting>
  <conditionalFormatting sqref="O2856">
    <cfRule type="expression" priority="590" dxfId="4">
      <formula>$H2856="SUBETAPA"</formula>
    </cfRule>
    <cfRule type="expression" priority="591" dxfId="5">
      <formula>$H2856="CÉLULA CONSTRUTIVA"</formula>
    </cfRule>
    <cfRule type="expression" priority="592" dxfId="3">
      <formula>$H2856="ETAPA"</formula>
    </cfRule>
  </conditionalFormatting>
  <conditionalFormatting sqref="O2857 O2864">
    <cfRule type="expression" priority="682" dxfId="4">
      <formula>$H2857="SUBETAPA"</formula>
    </cfRule>
  </conditionalFormatting>
  <conditionalFormatting sqref="O2857:O2858 O2864">
    <cfRule type="expression" priority="653" dxfId="3">
      <formula>$H2857="ETAPA"</formula>
    </cfRule>
  </conditionalFormatting>
  <conditionalFormatting sqref="O2858">
    <cfRule type="expression" priority="683" dxfId="5">
      <formula>$H2858="CÉLULA CONSTRUTIVA"</formula>
    </cfRule>
  </conditionalFormatting>
  <conditionalFormatting sqref="O2859">
    <cfRule type="expression" priority="678" dxfId="4">
      <formula>$H2859="SUBETAPA"</formula>
    </cfRule>
    <cfRule type="expression" priority="679" dxfId="5">
      <formula>$H2859="CÉLULA CONSTRUTIVA"</formula>
    </cfRule>
    <cfRule type="expression" priority="680" dxfId="3">
      <formula>$H2859="ETAPA"</formula>
    </cfRule>
  </conditionalFormatting>
  <conditionalFormatting sqref="O2862">
    <cfRule type="expression" priority="672" dxfId="4">
      <formula>$H2862="SUBETAPA"</formula>
    </cfRule>
    <cfRule type="expression" priority="673" dxfId="5">
      <formula>$H2862="CÉLULA CONSTRUTIVA"</formula>
    </cfRule>
    <cfRule type="expression" priority="674" dxfId="3">
      <formula>$H2862="ETAPA"</formula>
    </cfRule>
  </conditionalFormatting>
  <conditionalFormatting sqref="O2863">
    <cfRule type="expression" priority="669" dxfId="4">
      <formula>$H2863="SUBETAPA"</formula>
    </cfRule>
    <cfRule type="expression" priority="670" dxfId="5">
      <formula>$H2863="CÉLULA CONSTRUTIVA"</formula>
    </cfRule>
    <cfRule type="expression" priority="671" dxfId="3">
      <formula>$H2863="ETAPA"</formula>
    </cfRule>
  </conditionalFormatting>
  <conditionalFormatting sqref="O2865">
    <cfRule type="expression" priority="655" dxfId="4">
      <formula>$H2865="SUBETAPA"</formula>
    </cfRule>
    <cfRule type="expression" priority="656" dxfId="5">
      <formula>$H2865="CÉLULA CONSTRUTIVA"</formula>
    </cfRule>
    <cfRule type="expression" priority="657" dxfId="3">
      <formula>$H2865="ETAPA"</formula>
    </cfRule>
  </conditionalFormatting>
  <conditionalFormatting sqref="O2866 O2873">
    <cfRule type="expression" priority="747" dxfId="4">
      <formula>$H2866="SUBETAPA"</formula>
    </cfRule>
  </conditionalFormatting>
  <conditionalFormatting sqref="O2866:O2867 O2873">
    <cfRule type="expression" priority="718" dxfId="3">
      <formula>$H2866="ETAPA"</formula>
    </cfRule>
  </conditionalFormatting>
  <conditionalFormatting sqref="O2867">
    <cfRule type="expression" priority="748" dxfId="5">
      <formula>$H2867="CÉLULA CONSTRUTIVA"</formula>
    </cfRule>
  </conditionalFormatting>
  <conditionalFormatting sqref="O2868">
    <cfRule type="expression" priority="743" dxfId="4">
      <formula>$H2868="SUBETAPA"</formula>
    </cfRule>
    <cfRule type="expression" priority="744" dxfId="5">
      <formula>$H2868="CÉLULA CONSTRUTIVA"</formula>
    </cfRule>
    <cfRule type="expression" priority="745" dxfId="3">
      <formula>$H2868="ETAPA"</formula>
    </cfRule>
  </conditionalFormatting>
  <conditionalFormatting sqref="O2871">
    <cfRule type="expression" priority="737" dxfId="4">
      <formula>$H2871="SUBETAPA"</formula>
    </cfRule>
    <cfRule type="expression" priority="738" dxfId="5">
      <formula>$H2871="CÉLULA CONSTRUTIVA"</formula>
    </cfRule>
    <cfRule type="expression" priority="739" dxfId="3">
      <formula>$H2871="ETAPA"</formula>
    </cfRule>
  </conditionalFormatting>
  <conditionalFormatting sqref="O2872">
    <cfRule type="expression" priority="734" dxfId="4">
      <formula>$H2872="SUBETAPA"</formula>
    </cfRule>
    <cfRule type="expression" priority="735" dxfId="5">
      <formula>$H2872="CÉLULA CONSTRUTIVA"</formula>
    </cfRule>
    <cfRule type="expression" priority="736" dxfId="3">
      <formula>$H2872="ETAPA"</formula>
    </cfRule>
  </conditionalFormatting>
  <conditionalFormatting sqref="O2874">
    <cfRule type="expression" priority="720" dxfId="4">
      <formula>$H2874="SUBETAPA"</formula>
    </cfRule>
    <cfRule type="expression" priority="721" dxfId="5">
      <formula>$H2874="CÉLULA CONSTRUTIVA"</formula>
    </cfRule>
    <cfRule type="expression" priority="722" dxfId="3">
      <formula>$H2874="ETAPA"</formula>
    </cfRule>
  </conditionalFormatting>
  <conditionalFormatting sqref="O2875 O2884">
    <cfRule type="expression" priority="812" dxfId="4">
      <formula>$H2875="SUBETAPA"</formula>
    </cfRule>
  </conditionalFormatting>
  <conditionalFormatting sqref="O2875:O2876 O2884">
    <cfRule type="expression" priority="783" dxfId="3">
      <formula>$H2875="ETAPA"</formula>
    </cfRule>
  </conditionalFormatting>
  <conditionalFormatting sqref="O2876">
    <cfRule type="expression" priority="813" dxfId="5">
      <formula>$H2876="CÉLULA CONSTRUTIVA"</formula>
    </cfRule>
  </conditionalFormatting>
  <conditionalFormatting sqref="O2877">
    <cfRule type="expression" priority="808" dxfId="4">
      <formula>$H2877="SUBETAPA"</formula>
    </cfRule>
    <cfRule type="expression" priority="809" dxfId="5">
      <formula>$H2877="CÉLULA CONSTRUTIVA"</formula>
    </cfRule>
    <cfRule type="expression" priority="810" dxfId="3">
      <formula>$H2877="ETAPA"</formula>
    </cfRule>
  </conditionalFormatting>
  <conditionalFormatting sqref="O2880">
    <cfRule type="expression" priority="802" dxfId="4">
      <formula>$H2880="SUBETAPA"</formula>
    </cfRule>
    <cfRule type="expression" priority="803" dxfId="5">
      <formula>$H2880="CÉLULA CONSTRUTIVA"</formula>
    </cfRule>
    <cfRule type="expression" priority="804" dxfId="3">
      <formula>$H2880="ETAPA"</formula>
    </cfRule>
  </conditionalFormatting>
  <conditionalFormatting sqref="O2881">
    <cfRule type="expression" priority="799" dxfId="4">
      <formula>$H2881="SUBETAPA"</formula>
    </cfRule>
    <cfRule type="expression" priority="800" dxfId="5">
      <formula>$H2881="CÉLULA CONSTRUTIVA"</formula>
    </cfRule>
    <cfRule type="expression" priority="801" dxfId="3">
      <formula>$H2881="ETAPA"</formula>
    </cfRule>
  </conditionalFormatting>
  <conditionalFormatting sqref="O2882">
    <cfRule type="expression" priority="796" dxfId="4">
      <formula>$H2882="SUBETAPA"</formula>
    </cfRule>
    <cfRule type="expression" priority="797" dxfId="5">
      <formula>$H2882="CÉLULA CONSTRUTIVA"</formula>
    </cfRule>
    <cfRule type="expression" priority="798" dxfId="3">
      <formula>$H2882="ETAPA"</formula>
    </cfRule>
  </conditionalFormatting>
  <conditionalFormatting sqref="O2883">
    <cfRule type="expression" priority="793" dxfId="4">
      <formula>$H2883="SUBETAPA"</formula>
    </cfRule>
    <cfRule type="expression" priority="794" dxfId="5">
      <formula>$H2883="CÉLULA CONSTRUTIVA"</formula>
    </cfRule>
    <cfRule type="expression" priority="795" dxfId="3">
      <formula>$H2883="ETAPA"</formula>
    </cfRule>
  </conditionalFormatting>
  <conditionalFormatting sqref="O2885">
    <cfRule type="expression" priority="785" dxfId="4">
      <formula>$H2885="SUBETAPA"</formula>
    </cfRule>
    <cfRule type="expression" priority="786" dxfId="5">
      <formula>$H2885="CÉLULA CONSTRUTIVA"</formula>
    </cfRule>
    <cfRule type="expression" priority="787" dxfId="3">
      <formula>$H2885="ETAPA"</formula>
    </cfRule>
  </conditionalFormatting>
  <conditionalFormatting sqref="O2886 O2895">
    <cfRule type="expression" priority="877" dxfId="4">
      <formula>$H2886="SUBETAPA"</formula>
    </cfRule>
  </conditionalFormatting>
  <conditionalFormatting sqref="O2886:O2887 O2895">
    <cfRule type="expression" priority="848" dxfId="3">
      <formula>$H2886="ETAPA"</formula>
    </cfRule>
  </conditionalFormatting>
  <conditionalFormatting sqref="O2887">
    <cfRule type="expression" priority="878" dxfId="5">
      <formula>$H2887="CÉLULA CONSTRUTIVA"</formula>
    </cfRule>
  </conditionalFormatting>
  <conditionalFormatting sqref="O2888">
    <cfRule type="expression" priority="873" dxfId="4">
      <formula>$H2888="SUBETAPA"</formula>
    </cfRule>
    <cfRule type="expression" priority="874" dxfId="5">
      <formula>$H2888="CÉLULA CONSTRUTIVA"</formula>
    </cfRule>
    <cfRule type="expression" priority="875" dxfId="3">
      <formula>$H2888="ETAPA"</formula>
    </cfRule>
  </conditionalFormatting>
  <conditionalFormatting sqref="O2891">
    <cfRule type="expression" priority="867" dxfId="4">
      <formula>$H2891="SUBETAPA"</formula>
    </cfRule>
    <cfRule type="expression" priority="868" dxfId="5">
      <formula>$H2891="CÉLULA CONSTRUTIVA"</formula>
    </cfRule>
    <cfRule type="expression" priority="869" dxfId="3">
      <formula>$H2891="ETAPA"</formula>
    </cfRule>
  </conditionalFormatting>
  <conditionalFormatting sqref="O2892">
    <cfRule type="expression" priority="864" dxfId="4">
      <formula>$H2892="SUBETAPA"</formula>
    </cfRule>
    <cfRule type="expression" priority="865" dxfId="5">
      <formula>$H2892="CÉLULA CONSTRUTIVA"</formula>
    </cfRule>
    <cfRule type="expression" priority="866" dxfId="3">
      <formula>$H2892="ETAPA"</formula>
    </cfRule>
  </conditionalFormatting>
  <conditionalFormatting sqref="O2893">
    <cfRule type="expression" priority="861" dxfId="4">
      <formula>$H2893="SUBETAPA"</formula>
    </cfRule>
    <cfRule type="expression" priority="862" dxfId="5">
      <formula>$H2893="CÉLULA CONSTRUTIVA"</formula>
    </cfRule>
    <cfRule type="expression" priority="863" dxfId="3">
      <formula>$H2893="ETAPA"</formula>
    </cfRule>
  </conditionalFormatting>
  <conditionalFormatting sqref="O2894">
    <cfRule type="expression" priority="858" dxfId="4">
      <formula>$H2894="SUBETAPA"</formula>
    </cfRule>
    <cfRule type="expression" priority="859" dxfId="5">
      <formula>$H2894="CÉLULA CONSTRUTIVA"</formula>
    </cfRule>
    <cfRule type="expression" priority="860" dxfId="3">
      <formula>$H2894="ETAPA"</formula>
    </cfRule>
  </conditionalFormatting>
  <conditionalFormatting sqref="O2896">
    <cfRule type="expression" priority="850" dxfId="4">
      <formula>$H2896="SUBETAPA"</formula>
    </cfRule>
    <cfRule type="expression" priority="851" dxfId="5">
      <formula>$H2896="CÉLULA CONSTRUTIVA"</formula>
    </cfRule>
    <cfRule type="expression" priority="852" dxfId="3">
      <formula>$H2896="ETAPA"</formula>
    </cfRule>
  </conditionalFormatting>
  <conditionalFormatting sqref="O2897 O2904">
    <cfRule type="expression" priority="942" dxfId="4">
      <formula>$H2897="SUBETAPA"</formula>
    </cfRule>
  </conditionalFormatting>
  <conditionalFormatting sqref="O2897:O2898 O2904">
    <cfRule type="expression" priority="913" dxfId="3">
      <formula>$H2897="ETAPA"</formula>
    </cfRule>
  </conditionalFormatting>
  <conditionalFormatting sqref="O2898">
    <cfRule type="expression" priority="943" dxfId="5">
      <formula>$H2898="CÉLULA CONSTRUTIVA"</formula>
    </cfRule>
  </conditionalFormatting>
  <conditionalFormatting sqref="O2899">
    <cfRule type="expression" priority="938" dxfId="4">
      <formula>$H2899="SUBETAPA"</formula>
    </cfRule>
    <cfRule type="expression" priority="939" dxfId="5">
      <formula>$H2899="CÉLULA CONSTRUTIVA"</formula>
    </cfRule>
    <cfRule type="expression" priority="940" dxfId="3">
      <formula>$H2899="ETAPA"</formula>
    </cfRule>
  </conditionalFormatting>
  <conditionalFormatting sqref="O2900">
    <cfRule type="expression" priority="935" dxfId="4">
      <formula>$H2900="SUBETAPA"</formula>
    </cfRule>
    <cfRule type="expression" priority="936" dxfId="5">
      <formula>$H2900="CÉLULA CONSTRUTIVA"</formula>
    </cfRule>
    <cfRule type="expression" priority="937" dxfId="3">
      <formula>$H2900="ETAPA"</formula>
    </cfRule>
  </conditionalFormatting>
  <conditionalFormatting sqref="O2902">
    <cfRule type="expression" priority="932" dxfId="4">
      <formula>$H2902="SUBETAPA"</formula>
    </cfRule>
    <cfRule type="expression" priority="933" dxfId="5">
      <formula>$H2902="CÉLULA CONSTRUTIVA"</formula>
    </cfRule>
    <cfRule type="expression" priority="934" dxfId="3">
      <formula>$H2902="ETAPA"</formula>
    </cfRule>
  </conditionalFormatting>
  <conditionalFormatting sqref="O2903">
    <cfRule type="expression" priority="929" dxfId="4">
      <formula>$H2903="SUBETAPA"</formula>
    </cfRule>
    <cfRule type="expression" priority="930" dxfId="5">
      <formula>$H2903="CÉLULA CONSTRUTIVA"</formula>
    </cfRule>
    <cfRule type="expression" priority="931" dxfId="3">
      <formula>$H2903="ETAPA"</formula>
    </cfRule>
  </conditionalFormatting>
  <conditionalFormatting sqref="O2905">
    <cfRule type="expression" priority="915" dxfId="4">
      <formula>$H2905="SUBETAPA"</formula>
    </cfRule>
    <cfRule type="expression" priority="916" dxfId="5">
      <formula>$H2905="CÉLULA CONSTRUTIVA"</formula>
    </cfRule>
    <cfRule type="expression" priority="917" dxfId="3">
      <formula>$H2905="ETAPA"</formula>
    </cfRule>
  </conditionalFormatting>
  <conditionalFormatting sqref="O2906 O2913">
    <cfRule type="expression" priority="1007" dxfId="4">
      <formula>$H2906="SUBETAPA"</formula>
    </cfRule>
  </conditionalFormatting>
  <conditionalFormatting sqref="O2906:O2907 O2913">
    <cfRule type="expression" priority="978" dxfId="3">
      <formula>$H2906="ETAPA"</formula>
    </cfRule>
  </conditionalFormatting>
  <conditionalFormatting sqref="O2907">
    <cfRule type="expression" priority="1008" dxfId="5">
      <formula>$H2907="CÉLULA CONSTRUTIVA"</formula>
    </cfRule>
  </conditionalFormatting>
  <conditionalFormatting sqref="O2908">
    <cfRule type="expression" priority="1003" dxfId="4">
      <formula>$H2908="SUBETAPA"</formula>
    </cfRule>
    <cfRule type="expression" priority="1004" dxfId="5">
      <formula>$H2908="CÉLULA CONSTRUTIVA"</formula>
    </cfRule>
    <cfRule type="expression" priority="1005" dxfId="3">
      <formula>$H2908="ETAPA"</formula>
    </cfRule>
  </conditionalFormatting>
  <conditionalFormatting sqref="O2909">
    <cfRule type="expression" priority="1000" dxfId="4">
      <formula>$H2909="SUBETAPA"</formula>
    </cfRule>
    <cfRule type="expression" priority="1001" dxfId="5">
      <formula>$H2909="CÉLULA CONSTRUTIVA"</formula>
    </cfRule>
    <cfRule type="expression" priority="1002" dxfId="3">
      <formula>$H2909="ETAPA"</formula>
    </cfRule>
  </conditionalFormatting>
  <conditionalFormatting sqref="O2911">
    <cfRule type="expression" priority="997" dxfId="4">
      <formula>$H2911="SUBETAPA"</formula>
    </cfRule>
    <cfRule type="expression" priority="998" dxfId="5">
      <formula>$H2911="CÉLULA CONSTRUTIVA"</formula>
    </cfRule>
    <cfRule type="expression" priority="999" dxfId="3">
      <formula>$H2911="ETAPA"</formula>
    </cfRule>
  </conditionalFormatting>
  <conditionalFormatting sqref="O2912">
    <cfRule type="expression" priority="994" dxfId="4">
      <formula>$H2912="SUBETAPA"</formula>
    </cfRule>
    <cfRule type="expression" priority="995" dxfId="5">
      <formula>$H2912="CÉLULA CONSTRUTIVA"</formula>
    </cfRule>
    <cfRule type="expression" priority="996" dxfId="3">
      <formula>$H2912="ETAPA"</formula>
    </cfRule>
  </conditionalFormatting>
  <conditionalFormatting sqref="O2914">
    <cfRule type="expression" priority="980" dxfId="4">
      <formula>$H2914="SUBETAPA"</formula>
    </cfRule>
    <cfRule type="expression" priority="981" dxfId="5">
      <formula>$H2914="CÉLULA CONSTRUTIVA"</formula>
    </cfRule>
    <cfRule type="expression" priority="982" dxfId="3">
      <formula>$H2914="ETAPA"</formula>
    </cfRule>
  </conditionalFormatting>
  <conditionalFormatting sqref="O2915 O2922">
    <cfRule type="expression" priority="1072" dxfId="4">
      <formula>$H2915="SUBETAPA"</formula>
    </cfRule>
  </conditionalFormatting>
  <conditionalFormatting sqref="O2915:O2916 O2922">
    <cfRule type="expression" priority="1043" dxfId="3">
      <formula>$H2915="ETAPA"</formula>
    </cfRule>
  </conditionalFormatting>
  <conditionalFormatting sqref="O2916">
    <cfRule type="expression" priority="1073" dxfId="5">
      <formula>$H2916="CÉLULA CONSTRUTIVA"</formula>
    </cfRule>
  </conditionalFormatting>
  <conditionalFormatting sqref="O2917">
    <cfRule type="expression" priority="1068" dxfId="4">
      <formula>$H2917="SUBETAPA"</formula>
    </cfRule>
    <cfRule type="expression" priority="1069" dxfId="5">
      <formula>$H2917="CÉLULA CONSTRUTIVA"</formula>
    </cfRule>
    <cfRule type="expression" priority="1070" dxfId="3">
      <formula>$H2917="ETAPA"</formula>
    </cfRule>
  </conditionalFormatting>
  <conditionalFormatting sqref="O2918">
    <cfRule type="expression" priority="1065" dxfId="4">
      <formula>$H2918="SUBETAPA"</formula>
    </cfRule>
    <cfRule type="expression" priority="1066" dxfId="5">
      <formula>$H2918="CÉLULA CONSTRUTIVA"</formula>
    </cfRule>
    <cfRule type="expression" priority="1067" dxfId="3">
      <formula>$H2918="ETAPA"</formula>
    </cfRule>
  </conditionalFormatting>
  <conditionalFormatting sqref="O2920">
    <cfRule type="expression" priority="1062" dxfId="4">
      <formula>$H2920="SUBETAPA"</formula>
    </cfRule>
    <cfRule type="expression" priority="1063" dxfId="5">
      <formula>$H2920="CÉLULA CONSTRUTIVA"</formula>
    </cfRule>
    <cfRule type="expression" priority="1064" dxfId="3">
      <formula>$H2920="ETAPA"</formula>
    </cfRule>
  </conditionalFormatting>
  <conditionalFormatting sqref="O2921">
    <cfRule type="expression" priority="1059" dxfId="4">
      <formula>$H2921="SUBETAPA"</formula>
    </cfRule>
    <cfRule type="expression" priority="1060" dxfId="5">
      <formula>$H2921="CÉLULA CONSTRUTIVA"</formula>
    </cfRule>
    <cfRule type="expression" priority="1061" dxfId="3">
      <formula>$H2921="ETAPA"</formula>
    </cfRule>
  </conditionalFormatting>
  <conditionalFormatting sqref="O2923">
    <cfRule type="expression" priority="1045" dxfId="4">
      <formula>$H2923="SUBETAPA"</formula>
    </cfRule>
    <cfRule type="expression" priority="1046" dxfId="5">
      <formula>$H2923="CÉLULA CONSTRUTIVA"</formula>
    </cfRule>
    <cfRule type="expression" priority="1047" dxfId="3">
      <formula>$H2923="ETAPA"</formula>
    </cfRule>
  </conditionalFormatting>
  <conditionalFormatting sqref="O2924 O2931">
    <cfRule type="expression" priority="1137" dxfId="4">
      <formula>$H2924="SUBETAPA"</formula>
    </cfRule>
  </conditionalFormatting>
  <conditionalFormatting sqref="O2924:O2925 O2931">
    <cfRule type="expression" priority="1108" dxfId="3">
      <formula>$H2924="ETAPA"</formula>
    </cfRule>
  </conditionalFormatting>
  <conditionalFormatting sqref="O2925">
    <cfRule type="expression" priority="1138" dxfId="5">
      <formula>$H2925="CÉLULA CONSTRUTIVA"</formula>
    </cfRule>
  </conditionalFormatting>
  <conditionalFormatting sqref="O2926">
    <cfRule type="expression" priority="1133" dxfId="4">
      <formula>$H2926="SUBETAPA"</formula>
    </cfRule>
    <cfRule type="expression" priority="1134" dxfId="5">
      <formula>$H2926="CÉLULA CONSTRUTIVA"</formula>
    </cfRule>
    <cfRule type="expression" priority="1135" dxfId="3">
      <formula>$H2926="ETAPA"</formula>
    </cfRule>
  </conditionalFormatting>
  <conditionalFormatting sqref="O2927">
    <cfRule type="expression" priority="1130" dxfId="4">
      <formula>$H2927="SUBETAPA"</formula>
    </cfRule>
    <cfRule type="expression" priority="1131" dxfId="5">
      <formula>$H2927="CÉLULA CONSTRUTIVA"</formula>
    </cfRule>
    <cfRule type="expression" priority="1132" dxfId="3">
      <formula>$H2927="ETAPA"</formula>
    </cfRule>
  </conditionalFormatting>
  <conditionalFormatting sqref="O2929">
    <cfRule type="expression" priority="1127" dxfId="4">
      <formula>$H2929="SUBETAPA"</formula>
    </cfRule>
    <cfRule type="expression" priority="1128" dxfId="5">
      <formula>$H2929="CÉLULA CONSTRUTIVA"</formula>
    </cfRule>
    <cfRule type="expression" priority="1129" dxfId="3">
      <formula>$H2929="ETAPA"</formula>
    </cfRule>
  </conditionalFormatting>
  <conditionalFormatting sqref="O2930">
    <cfRule type="expression" priority="1124" dxfId="4">
      <formula>$H2930="SUBETAPA"</formula>
    </cfRule>
    <cfRule type="expression" priority="1125" dxfId="5">
      <formula>$H2930="CÉLULA CONSTRUTIVA"</formula>
    </cfRule>
    <cfRule type="expression" priority="1126" dxfId="3">
      <formula>$H2930="ETAPA"</formula>
    </cfRule>
  </conditionalFormatting>
  <conditionalFormatting sqref="O2932">
    <cfRule type="expression" priority="1110" dxfId="4">
      <formula>$H2932="SUBETAPA"</formula>
    </cfRule>
    <cfRule type="expression" priority="1111" dxfId="5">
      <formula>$H2932="CÉLULA CONSTRUTIVA"</formula>
    </cfRule>
    <cfRule type="expression" priority="1112" dxfId="3">
      <formula>$H2932="ETAPA"</formula>
    </cfRule>
  </conditionalFormatting>
  <conditionalFormatting sqref="O2933 O2942">
    <cfRule type="expression" priority="1202" dxfId="4">
      <formula>$H2933="SUBETAPA"</formula>
    </cfRule>
  </conditionalFormatting>
  <conditionalFormatting sqref="O2933:O2934 O2942">
    <cfRule type="expression" priority="1173" dxfId="3">
      <formula>$H2933="ETAPA"</formula>
    </cfRule>
  </conditionalFormatting>
  <conditionalFormatting sqref="O2934">
    <cfRule type="expression" priority="1203" dxfId="5">
      <formula>$H2934="CÉLULA CONSTRUTIVA"</formula>
    </cfRule>
  </conditionalFormatting>
  <conditionalFormatting sqref="O2935">
    <cfRule type="expression" priority="1198" dxfId="4">
      <formula>$H2935="SUBETAPA"</formula>
    </cfRule>
    <cfRule type="expression" priority="1199" dxfId="5">
      <formula>$H2935="CÉLULA CONSTRUTIVA"</formula>
    </cfRule>
    <cfRule type="expression" priority="1200" dxfId="3">
      <formula>$H2935="ETAPA"</formula>
    </cfRule>
  </conditionalFormatting>
  <conditionalFormatting sqref="O2936">
    <cfRule type="expression" priority="1195" dxfId="4">
      <formula>$H2936="SUBETAPA"</formula>
    </cfRule>
    <cfRule type="expression" priority="1196" dxfId="5">
      <formula>$H2936="CÉLULA CONSTRUTIVA"</formula>
    </cfRule>
    <cfRule type="expression" priority="1197" dxfId="3">
      <formula>$H2936="ETAPA"</formula>
    </cfRule>
  </conditionalFormatting>
  <conditionalFormatting sqref="O2938">
    <cfRule type="expression" priority="1192" dxfId="4">
      <formula>$H2938="SUBETAPA"</formula>
    </cfRule>
    <cfRule type="expression" priority="1193" dxfId="5">
      <formula>$H2938="CÉLULA CONSTRUTIVA"</formula>
    </cfRule>
    <cfRule type="expression" priority="1194" dxfId="3">
      <formula>$H2938="ETAPA"</formula>
    </cfRule>
  </conditionalFormatting>
  <conditionalFormatting sqref="O2939">
    <cfRule type="expression" priority="1189" dxfId="4">
      <formula>$H2939="SUBETAPA"</formula>
    </cfRule>
    <cfRule type="expression" priority="1190" dxfId="5">
      <formula>$H2939="CÉLULA CONSTRUTIVA"</formula>
    </cfRule>
    <cfRule type="expression" priority="1191" dxfId="3">
      <formula>$H2939="ETAPA"</formula>
    </cfRule>
  </conditionalFormatting>
  <conditionalFormatting sqref="O2940">
    <cfRule type="expression" priority="1186" dxfId="4">
      <formula>$H2940="SUBETAPA"</formula>
    </cfRule>
    <cfRule type="expression" priority="1187" dxfId="5">
      <formula>$H2940="CÉLULA CONSTRUTIVA"</formula>
    </cfRule>
    <cfRule type="expression" priority="1188" dxfId="3">
      <formula>$H2940="ETAPA"</formula>
    </cfRule>
  </conditionalFormatting>
  <conditionalFormatting sqref="O2941">
    <cfRule type="expression" priority="1183" dxfId="4">
      <formula>$H2941="SUBETAPA"</formula>
    </cfRule>
    <cfRule type="expression" priority="1184" dxfId="5">
      <formula>$H2941="CÉLULA CONSTRUTIVA"</formula>
    </cfRule>
    <cfRule type="expression" priority="1185" dxfId="3">
      <formula>$H2941="ETAPA"</formula>
    </cfRule>
  </conditionalFormatting>
  <conditionalFormatting sqref="O2943">
    <cfRule type="expression" priority="1175" dxfId="4">
      <formula>$H2943="SUBETAPA"</formula>
    </cfRule>
    <cfRule type="expression" priority="1176" dxfId="5">
      <formula>$H2943="CÉLULA CONSTRUTIVA"</formula>
    </cfRule>
    <cfRule type="expression" priority="1177" dxfId="3">
      <formula>$H2943="ETAPA"</formula>
    </cfRule>
  </conditionalFormatting>
  <conditionalFormatting sqref="O2944 O2952">
    <cfRule type="expression" priority="1267" dxfId="4">
      <formula>$H2944="SUBETAPA"</formula>
    </cfRule>
  </conditionalFormatting>
  <conditionalFormatting sqref="O2944:O2945 O2952">
    <cfRule type="expression" priority="1238" dxfId="3">
      <formula>$H2944="ETAPA"</formula>
    </cfRule>
  </conditionalFormatting>
  <conditionalFormatting sqref="O2945">
    <cfRule type="expression" priority="1268" dxfId="5">
      <formula>$H2945="CÉLULA CONSTRUTIVA"</formula>
    </cfRule>
  </conditionalFormatting>
  <conditionalFormatting sqref="O2946">
    <cfRule type="expression" priority="1263" dxfId="4">
      <formula>$H2946="SUBETAPA"</formula>
    </cfRule>
    <cfRule type="expression" priority="1264" dxfId="5">
      <formula>$H2946="CÉLULA CONSTRUTIVA"</formula>
    </cfRule>
    <cfRule type="expression" priority="1265" dxfId="3">
      <formula>$H2946="ETAPA"</formula>
    </cfRule>
  </conditionalFormatting>
  <conditionalFormatting sqref="O2947">
    <cfRule type="expression" priority="1260" dxfId="4">
      <formula>$H2947="SUBETAPA"</formula>
    </cfRule>
    <cfRule type="expression" priority="1261" dxfId="5">
      <formula>$H2947="CÉLULA CONSTRUTIVA"</formula>
    </cfRule>
    <cfRule type="expression" priority="1262" dxfId="3">
      <formula>$H2947="ETAPA"</formula>
    </cfRule>
  </conditionalFormatting>
  <conditionalFormatting sqref="O2948">
    <cfRule type="expression" priority="1251" dxfId="4">
      <formula>$H2948="SUBETAPA"</formula>
    </cfRule>
    <cfRule type="expression" priority="1252" dxfId="5">
      <formula>$H2948="CÉLULA CONSTRUTIVA"</formula>
    </cfRule>
    <cfRule type="expression" priority="1253" dxfId="3">
      <formula>$H2948="ETAPA"</formula>
    </cfRule>
  </conditionalFormatting>
  <conditionalFormatting sqref="O2949">
    <cfRule type="expression" priority="1248" dxfId="4">
      <formula>$H2949="SUBETAPA"</formula>
    </cfRule>
    <cfRule type="expression" priority="1249" dxfId="5">
      <formula>$H2949="CÉLULA CONSTRUTIVA"</formula>
    </cfRule>
    <cfRule type="expression" priority="1250" dxfId="3">
      <formula>$H2949="ETAPA"</formula>
    </cfRule>
  </conditionalFormatting>
  <conditionalFormatting sqref="O2950">
    <cfRule type="expression" priority="1245" dxfId="4">
      <formula>$H2950="SUBETAPA"</formula>
    </cfRule>
    <cfRule type="expression" priority="1246" dxfId="5">
      <formula>$H2950="CÉLULA CONSTRUTIVA"</formula>
    </cfRule>
    <cfRule type="expression" priority="1247" dxfId="3">
      <formula>$H2950="ETAPA"</formula>
    </cfRule>
  </conditionalFormatting>
  <conditionalFormatting sqref="O2951">
    <cfRule type="expression" priority="1243" dxfId="4">
      <formula>$H2951="SUBETAPA"</formula>
    </cfRule>
    <cfRule type="expression" priority="1244" dxfId="5">
      <formula>$H2951="CÉLULA CONSTRUTIVA"</formula>
    </cfRule>
  </conditionalFormatting>
  <conditionalFormatting sqref="O2953">
    <cfRule type="expression" priority="1240" dxfId="4">
      <formula>$H2953="SUBETAPA"</formula>
    </cfRule>
    <cfRule type="expression" priority="1241" dxfId="5">
      <formula>$H2953="CÉLULA CONSTRUTIVA"</formula>
    </cfRule>
    <cfRule type="expression" priority="1242" dxfId="3">
      <formula>$H2953="ETAPA"</formula>
    </cfRule>
  </conditionalFormatting>
  <conditionalFormatting sqref="O2954">
    <cfRule type="expression" priority="59924" dxfId="3">
      <formula>$H2954="ETAPA"</formula>
    </cfRule>
    <cfRule type="expression" priority="59925" dxfId="4">
      <formula>$H2954="SUBETAPA"</formula>
    </cfRule>
    <cfRule type="expression" priority="59926" dxfId="5">
      <formula>$H2954="CÉLULA CONSTRUTIVA"</formula>
    </cfRule>
  </conditionalFormatting>
  <conditionalFormatting sqref="O2955:O2956 O2958 O2965 O2970 O2975 O2980 O2985 O2992 O2999 O3002:O3006 O3008 O3015 O3022 O3029 O3036:O3037 O3041 O3050:O3051 O3053 O3067 O3076:O3078 O3081:O3082 O3084 O3091 O3100:O3101 O3103 O3112 O3123:O3124 O3126 O3136 O3147:O3148 O3150:O3151 O3156:O3157 O3159:O3161 O3166:O3168 O3171:O3172">
    <cfRule type="expression" priority="83627" dxfId="3">
      <formula>$H2955="ETAPA"</formula>
    </cfRule>
  </conditionalFormatting>
  <conditionalFormatting sqref="O2957">
    <cfRule type="expression" priority="66712" dxfId="3">
      <formula>$H2957="ETAPA"</formula>
    </cfRule>
    <cfRule type="expression" priority="66713" dxfId="4">
      <formula>$H2957="SUBETAPA"</formula>
    </cfRule>
  </conditionalFormatting>
  <conditionalFormatting sqref="O2959 O3054 O3085 O3104">
    <cfRule type="expression" priority="66714" dxfId="5">
      <formula>$H2959="CÉLULA CONSTRUTIVA"</formula>
    </cfRule>
    <cfRule type="expression" priority="66715" dxfId="4">
      <formula>$H2959="SUBETAPA"</formula>
    </cfRule>
  </conditionalFormatting>
  <conditionalFormatting sqref="O2959:O2960">
    <cfRule type="expression" priority="66705" dxfId="3">
      <formula>$H2959="ETAPA"</formula>
    </cfRule>
  </conditionalFormatting>
  <conditionalFormatting sqref="O2960">
    <cfRule type="expression" priority="66704" dxfId="5">
      <formula>$H2960="CÉLULA CONSTRUTIVA"</formula>
    </cfRule>
  </conditionalFormatting>
  <conditionalFormatting sqref="O2966">
    <cfRule type="expression" priority="65564" dxfId="3">
      <formula>$H2966="ETAPA"</formula>
    </cfRule>
    <cfRule type="expression" priority="65570" dxfId="5">
      <formula>$H2966="CÉLULA CONSTRUTIVA"</formula>
    </cfRule>
    <cfRule type="expression" priority="65571" dxfId="4">
      <formula>$H2966="SUBETAPA"</formula>
    </cfRule>
  </conditionalFormatting>
  <conditionalFormatting sqref="O2971">
    <cfRule type="expression" priority="65166" dxfId="3">
      <formula>$H2971="ETAPA"</formula>
    </cfRule>
    <cfRule type="expression" priority="65172" dxfId="5">
      <formula>$H2971="CÉLULA CONSTRUTIVA"</formula>
    </cfRule>
    <cfRule type="expression" priority="65173" dxfId="4">
      <formula>$H2971="SUBETAPA"</formula>
    </cfRule>
  </conditionalFormatting>
  <conditionalFormatting sqref="O2976">
    <cfRule type="expression" priority="65270" dxfId="3">
      <formula>$H2976="ETAPA"</formula>
    </cfRule>
    <cfRule type="expression" priority="65276" dxfId="5">
      <formula>$H2976="CÉLULA CONSTRUTIVA"</formula>
    </cfRule>
    <cfRule type="expression" priority="65277" dxfId="4">
      <formula>$H2976="SUBETAPA"</formula>
    </cfRule>
  </conditionalFormatting>
  <conditionalFormatting sqref="O2981">
    <cfRule type="expression" priority="65365" dxfId="3">
      <formula>$H2981="ETAPA"</formula>
    </cfRule>
    <cfRule type="expression" priority="65371" dxfId="5">
      <formula>$H2981="CÉLULA CONSTRUTIVA"</formula>
    </cfRule>
    <cfRule type="expression" priority="65372" dxfId="4">
      <formula>$H2981="SUBETAPA"</formula>
    </cfRule>
  </conditionalFormatting>
  <conditionalFormatting sqref="O2986">
    <cfRule type="expression" priority="65469" dxfId="3">
      <formula>$H2986="ETAPA"</formula>
    </cfRule>
    <cfRule type="expression" priority="65475" dxfId="5">
      <formula>$H2986="CÉLULA CONSTRUTIVA"</formula>
    </cfRule>
    <cfRule type="expression" priority="65476" dxfId="4">
      <formula>$H2986="SUBETAPA"</formula>
    </cfRule>
  </conditionalFormatting>
  <conditionalFormatting sqref="O2991">
    <cfRule type="expression" priority="65684" dxfId="3">
      <formula>$H2991="ETAPA"</formula>
    </cfRule>
    <cfRule type="expression" priority="65685" dxfId="4">
      <formula>$H2991="SUBETAPA"</formula>
    </cfRule>
  </conditionalFormatting>
  <conditionalFormatting sqref="O2993">
    <cfRule type="expression" priority="65680" dxfId="3">
      <formula>$H2993="ETAPA"</formula>
    </cfRule>
    <cfRule type="expression" priority="65686" dxfId="5">
      <formula>$H2993="CÉLULA CONSTRUTIVA"</formula>
    </cfRule>
    <cfRule type="expression" priority="65687" dxfId="4">
      <formula>$H2993="SUBETAPA"</formula>
    </cfRule>
  </conditionalFormatting>
  <conditionalFormatting sqref="O2998">
    <cfRule type="expression" priority="66198" dxfId="3">
      <formula>$H2998="ETAPA"</formula>
    </cfRule>
    <cfRule type="expression" priority="66199" dxfId="4">
      <formula>$H2998="SUBETAPA"</formula>
    </cfRule>
  </conditionalFormatting>
  <conditionalFormatting sqref="O3000">
    <cfRule type="expression" priority="66200" dxfId="5">
      <formula>$H3000="CÉLULA CONSTRUTIVA"</formula>
    </cfRule>
    <cfRule type="expression" priority="66201" dxfId="4">
      <formula>$H3000="SUBETAPA"</formula>
    </cfRule>
  </conditionalFormatting>
  <conditionalFormatting sqref="O3000:O3001">
    <cfRule type="expression" priority="66191" dxfId="3">
      <formula>$H3000="ETAPA"</formula>
    </cfRule>
  </conditionalFormatting>
  <conditionalFormatting sqref="O3001">
    <cfRule type="expression" priority="66190" dxfId="5">
      <formula>$H3001="CÉLULA CONSTRUTIVA"</formula>
    </cfRule>
  </conditionalFormatting>
  <conditionalFormatting sqref="O3007">
    <cfRule type="expression" priority="65800" dxfId="3">
      <formula>$H3007="ETAPA"</formula>
    </cfRule>
    <cfRule type="expression" priority="65801" dxfId="4">
      <formula>$H3007="SUBETAPA"</formula>
    </cfRule>
  </conditionalFormatting>
  <conditionalFormatting sqref="O3009">
    <cfRule type="expression" priority="65796" dxfId="3">
      <formula>$H3009="ETAPA"</formula>
    </cfRule>
    <cfRule type="expression" priority="65802" dxfId="5">
      <formula>$H3009="CÉLULA CONSTRUTIVA"</formula>
    </cfRule>
    <cfRule type="expression" priority="65803" dxfId="4">
      <formula>$H3009="SUBETAPA"</formula>
    </cfRule>
  </conditionalFormatting>
  <conditionalFormatting sqref="O3014">
    <cfRule type="expression" priority="65904" dxfId="3">
      <formula>$H3014="ETAPA"</formula>
    </cfRule>
    <cfRule type="expression" priority="65905" dxfId="4">
      <formula>$H3014="SUBETAPA"</formula>
    </cfRule>
  </conditionalFormatting>
  <conditionalFormatting sqref="O3016">
    <cfRule type="expression" priority="65900" dxfId="3">
      <formula>$H3016="ETAPA"</formula>
    </cfRule>
    <cfRule type="expression" priority="65906" dxfId="5">
      <formula>$H3016="CÉLULA CONSTRUTIVA"</formula>
    </cfRule>
    <cfRule type="expression" priority="65907" dxfId="4">
      <formula>$H3016="SUBETAPA"</formula>
    </cfRule>
  </conditionalFormatting>
  <conditionalFormatting sqref="O3021">
    <cfRule type="expression" priority="65999" dxfId="3">
      <formula>$H3021="ETAPA"</formula>
    </cfRule>
    <cfRule type="expression" priority="66000" dxfId="4">
      <formula>$H3021="SUBETAPA"</formula>
    </cfRule>
  </conditionalFormatting>
  <conditionalFormatting sqref="O3023">
    <cfRule type="expression" priority="65995" dxfId="3">
      <formula>$H3023="ETAPA"</formula>
    </cfRule>
    <cfRule type="expression" priority="66001" dxfId="5">
      <formula>$H3023="CÉLULA CONSTRUTIVA"</formula>
    </cfRule>
    <cfRule type="expression" priority="66002" dxfId="4">
      <formula>$H3023="SUBETAPA"</formula>
    </cfRule>
  </conditionalFormatting>
  <conditionalFormatting sqref="O3028">
    <cfRule type="expression" priority="66103" dxfId="3">
      <formula>$H3028="ETAPA"</formula>
    </cfRule>
    <cfRule type="expression" priority="66104" dxfId="4">
      <formula>$H3028="SUBETAPA"</formula>
    </cfRule>
  </conditionalFormatting>
  <conditionalFormatting sqref="O3030">
    <cfRule type="expression" priority="66099" dxfId="3">
      <formula>$H3030="ETAPA"</formula>
    </cfRule>
    <cfRule type="expression" priority="66105" dxfId="5">
      <formula>$H3030="CÉLULA CONSTRUTIVA"</formula>
    </cfRule>
    <cfRule type="expression" priority="66106" dxfId="4">
      <formula>$H3030="SUBETAPA"</formula>
    </cfRule>
  </conditionalFormatting>
  <conditionalFormatting sqref="O3035 O3048 O3125 O3135 O3142 O3149 O3155 O3162 O3170">
    <cfRule type="expression" priority="83636" dxfId="3">
      <formula>$H3035="ETAPA"</formula>
    </cfRule>
    <cfRule type="expression" priority="83639" dxfId="4">
      <formula>$H3035="SUBETAPA"</formula>
    </cfRule>
  </conditionalFormatting>
  <conditionalFormatting sqref="M3151 M3157 M3164 M3172 O3037 O3145 O3151 O3157 O3164 O3172">
    <cfRule type="expression" priority="83646" dxfId="5">
      <formula>$H3037="CÉLULA CONSTRUTIVA"</formula>
    </cfRule>
  </conditionalFormatting>
  <conditionalFormatting sqref="O3037 O3145 O3151 O3157 O3164 O3172">
    <cfRule type="expression" priority="83647" dxfId="4">
      <formula>$H3037="SUBETAPA"</formula>
    </cfRule>
  </conditionalFormatting>
  <conditionalFormatting sqref="O3042">
    <cfRule type="expression" priority="66310" dxfId="3">
      <formula>$H3042="ETAPA"</formula>
    </cfRule>
    <cfRule type="expression" priority="66316" dxfId="5">
      <formula>$H3042="CÉLULA CONSTRUTIVA"</formula>
    </cfRule>
    <cfRule type="expression" priority="66317" dxfId="4">
      <formula>$H3042="SUBETAPA"</formula>
    </cfRule>
  </conditionalFormatting>
  <conditionalFormatting sqref="O3045">
    <cfRule type="expression" priority="59921" dxfId="3">
      <formula>$H3045="ETAPA"</formula>
    </cfRule>
    <cfRule type="expression" priority="59922" dxfId="4">
      <formula>$H3045="SUBETAPA"</formula>
    </cfRule>
    <cfRule type="expression" priority="59923" dxfId="5">
      <formula>$H3045="CÉLULA CONSTRUTIVA"</formula>
    </cfRule>
  </conditionalFormatting>
  <conditionalFormatting sqref="O3049">
    <cfRule type="expression" priority="59918" dxfId="3">
      <formula>$H3049="ETAPA"</formula>
    </cfRule>
    <cfRule type="expression" priority="59919" dxfId="4">
      <formula>$H3049="SUBETAPA"</formula>
    </cfRule>
    <cfRule type="expression" priority="59920" dxfId="5">
      <formula>$H3049="CÉLULA CONSTRUTIVA"</formula>
    </cfRule>
  </conditionalFormatting>
  <conditionalFormatting sqref="O3052 O3066 O3075">
    <cfRule type="expression" priority="61056" dxfId="3">
      <formula>$H3052="ETAPA"</formula>
    </cfRule>
    <cfRule type="expression" priority="61057" dxfId="4">
      <formula>$H3052="SUBETAPA"</formula>
    </cfRule>
  </conditionalFormatting>
  <conditionalFormatting sqref="O3054:O3055 O3059">
    <cfRule type="expression" priority="61049" dxfId="3">
      <formula>$H3054="ETAPA"</formula>
    </cfRule>
  </conditionalFormatting>
  <conditionalFormatting sqref="O3055 O3059">
    <cfRule type="expression" priority="61048" dxfId="5">
      <formula>$H3055="CÉLULA CONSTRUTIVA"</formula>
    </cfRule>
  </conditionalFormatting>
  <conditionalFormatting sqref="O3056:O3058 O3060:O3063">
    <cfRule type="expression" priority="61045" dxfId="3">
      <formula>$H3056="ETAPA"</formula>
    </cfRule>
  </conditionalFormatting>
  <conditionalFormatting sqref="O3056:O3058 O3060:O3062">
    <cfRule type="expression" priority="61043" dxfId="4">
      <formula>$H3056="SUBETAPA"</formula>
    </cfRule>
    <cfRule type="expression" priority="61044" dxfId="5">
      <formula>$H3056="CÉLULA CONSTRUTIVA"</formula>
    </cfRule>
  </conditionalFormatting>
  <conditionalFormatting sqref="O3064:O3065">
    <cfRule type="expression" priority="60187" dxfId="4">
      <formula>$H3064="SUBETAPA"</formula>
    </cfRule>
    <cfRule type="expression" priority="60188" dxfId="5">
      <formula>$H3064="CÉLULA CONSTRUTIVA"</formula>
    </cfRule>
    <cfRule type="expression" priority="60189" dxfId="3">
      <formula>$H3064="ETAPA"</formula>
    </cfRule>
  </conditionalFormatting>
  <conditionalFormatting sqref="O3068">
    <cfRule type="expression" priority="4084" dxfId="3">
      <formula>$H3068="ETAPA"</formula>
    </cfRule>
    <cfRule type="expression" priority="4085" dxfId="5">
      <formula>$H3068="CÉLULA CONSTRUTIVA"</formula>
    </cfRule>
    <cfRule type="expression" priority="4086" dxfId="4">
      <formula>$H3068="SUBETAPA"</formula>
    </cfRule>
  </conditionalFormatting>
  <conditionalFormatting sqref="O3069 O3079:O3080">
    <cfRule type="expression" priority="61052" dxfId="3">
      <formula>$H3069="ETAPA"</formula>
    </cfRule>
    <cfRule type="expression" priority="61058" dxfId="5">
      <formula>$H3069="CÉLULA CONSTRUTIVA"</formula>
    </cfRule>
    <cfRule type="expression" priority="61059" dxfId="4">
      <formula>$H3069="SUBETAPA"</formula>
    </cfRule>
  </conditionalFormatting>
  <conditionalFormatting sqref="O3083 O3097">
    <cfRule type="expression" priority="61302" dxfId="3">
      <formula>$H3083="ETAPA"</formula>
    </cfRule>
    <cfRule type="expression" priority="61303" dxfId="4">
      <formula>$H3083="SUBETAPA"</formula>
    </cfRule>
  </conditionalFormatting>
  <conditionalFormatting sqref="O3085:O3086">
    <cfRule type="expression" priority="61295" dxfId="3">
      <formula>$H3085="ETAPA"</formula>
    </cfRule>
  </conditionalFormatting>
  <conditionalFormatting sqref="O3086">
    <cfRule type="expression" priority="61294" dxfId="5">
      <formula>$H3086="CÉLULA CONSTRUTIVA"</formula>
    </cfRule>
  </conditionalFormatting>
  <conditionalFormatting sqref="O3089">
    <cfRule type="expression" priority="4173" dxfId="3">
      <formula>$H3089="ETAPA"</formula>
    </cfRule>
    <cfRule type="expression" priority="4174" dxfId="4">
      <formula>$H3089="SUBETAPA"</formula>
    </cfRule>
  </conditionalFormatting>
  <conditionalFormatting sqref="O3090">
    <cfRule type="expression" priority="4167" dxfId="4">
      <formula>$H3090="SUBETAPA"</formula>
    </cfRule>
    <cfRule type="expression" priority="4168" dxfId="5">
      <formula>$H3090="CÉLULA CONSTRUTIVA"</formula>
    </cfRule>
    <cfRule type="expression" priority="4169" dxfId="3">
      <formula>$H3090="ETAPA"</formula>
    </cfRule>
  </conditionalFormatting>
  <conditionalFormatting sqref="O3092">
    <cfRule type="expression" priority="4087" dxfId="3">
      <formula>$H3092="ETAPA"</formula>
    </cfRule>
    <cfRule type="expression" priority="4088" dxfId="5">
      <formula>$H3092="CÉLULA CONSTRUTIVA"</formula>
    </cfRule>
    <cfRule type="expression" priority="4089" dxfId="4">
      <formula>$H3092="SUBETAPA"</formula>
    </cfRule>
  </conditionalFormatting>
  <conditionalFormatting sqref="O3093">
    <cfRule type="expression" priority="4201" dxfId="3">
      <formula>$H3093="ETAPA"</formula>
    </cfRule>
    <cfRule type="expression" priority="4202" dxfId="5">
      <formula>$H3093="CÉLULA CONSTRUTIVA"</formula>
    </cfRule>
    <cfRule type="expression" priority="4203" dxfId="4">
      <formula>$H3093="SUBETAPA"</formula>
    </cfRule>
  </conditionalFormatting>
  <conditionalFormatting sqref="O3102 O3119">
    <cfRule type="expression" priority="61548" dxfId="3">
      <formula>$H3102="ETAPA"</formula>
    </cfRule>
    <cfRule type="expression" priority="61549" dxfId="4">
      <formula>$H3102="SUBETAPA"</formula>
    </cfRule>
  </conditionalFormatting>
  <conditionalFormatting sqref="O3104:O3105 O3107">
    <cfRule type="expression" priority="61541" dxfId="3">
      <formula>$H3104="ETAPA"</formula>
    </cfRule>
  </conditionalFormatting>
  <conditionalFormatting sqref="O3105 O3107">
    <cfRule type="expression" priority="61540" dxfId="5">
      <formula>$H3105="CÉLULA CONSTRUTIVA"</formula>
    </cfRule>
  </conditionalFormatting>
  <conditionalFormatting sqref="O3106">
    <cfRule type="expression" priority="61535" dxfId="4">
      <formula>$H3106="SUBETAPA"</formula>
    </cfRule>
    <cfRule type="expression" priority="61536" dxfId="5">
      <formula>$H3106="CÉLULA CONSTRUTIVA"</formula>
    </cfRule>
    <cfRule type="expression" priority="61537" dxfId="3">
      <formula>$H3106="ETAPA"</formula>
    </cfRule>
  </conditionalFormatting>
  <conditionalFormatting sqref="O3110">
    <cfRule type="expression" priority="4157" dxfId="3">
      <formula>$H3110="ETAPA"</formula>
    </cfRule>
    <cfRule type="expression" priority="4158" dxfId="4">
      <formula>$H3110="SUBETAPA"</formula>
    </cfRule>
  </conditionalFormatting>
  <conditionalFormatting sqref="O3111">
    <cfRule type="expression" priority="4151" dxfId="4">
      <formula>$H3111="SUBETAPA"</formula>
    </cfRule>
    <cfRule type="expression" priority="4152" dxfId="5">
      <formula>$H3111="CÉLULA CONSTRUTIVA"</formula>
    </cfRule>
    <cfRule type="expression" priority="4153" dxfId="3">
      <formula>$H3111="ETAPA"</formula>
    </cfRule>
  </conditionalFormatting>
  <conditionalFormatting sqref="O3113">
    <cfRule type="expression" priority="4090" dxfId="3">
      <formula>$H3113="ETAPA"</formula>
    </cfRule>
    <cfRule type="expression" priority="4091" dxfId="5">
      <formula>$H3113="CÉLULA CONSTRUTIVA"</formula>
    </cfRule>
    <cfRule type="expression" priority="4092" dxfId="4">
      <formula>$H3113="SUBETAPA"</formula>
    </cfRule>
  </conditionalFormatting>
  <conditionalFormatting sqref="O3114">
    <cfRule type="expression" priority="4198" dxfId="3">
      <formula>$H3114="ETAPA"</formula>
    </cfRule>
    <cfRule type="expression" priority="4199" dxfId="5">
      <formula>$H3114="CÉLULA CONSTRUTIVA"</formula>
    </cfRule>
    <cfRule type="expression" priority="4200" dxfId="4">
      <formula>$H3114="SUBETAPA"</formula>
    </cfRule>
  </conditionalFormatting>
  <conditionalFormatting sqref="O3122">
    <cfRule type="expression" priority="61544" dxfId="3">
      <formula>$H3122="ETAPA"</formula>
    </cfRule>
    <cfRule type="expression" priority="61550" dxfId="5">
      <formula>$H3122="CÉLULA CONSTRUTIVA"</formula>
    </cfRule>
    <cfRule type="expression" priority="61551" dxfId="4">
      <formula>$H3122="SUBETAPA"</formula>
    </cfRule>
  </conditionalFormatting>
  <conditionalFormatting sqref="M3152 M3154 M3158 M3165 O3128 O3130 O3152 O3154 O3158 O3165">
    <cfRule type="expression" priority="83615" dxfId="5">
      <formula>$H3128="CÉLULA CONSTRUTIVA"</formula>
    </cfRule>
  </conditionalFormatting>
  <conditionalFormatting sqref="O3128 O3130 O3152 O3154 O3158 O3164:O3165">
    <cfRule type="expression" priority="83616" dxfId="3">
      <formula>$H3128="ETAPA"</formula>
    </cfRule>
  </conditionalFormatting>
  <conditionalFormatting sqref="M1239:M1241 O3073:O3074 O3095:O3096 O3117:O3118 O3129 O3140:O3141">
    <cfRule type="expression" priority="80359" dxfId="4">
      <formula>$H1239="SUBETAPA"</formula>
    </cfRule>
    <cfRule type="expression" priority="80360" dxfId="5">
      <formula>$H1239="CÉLULA CONSTRUTIVA"</formula>
    </cfRule>
  </conditionalFormatting>
  <conditionalFormatting sqref="G1685:H1685 H1702 H1845 H1861 H1875 J1685 J1702 J1845 J1861 J1875 L1685 L1702 L1845 L1861 L1875 O639 O652 O665 O678 O691 O704 O717 O1371 O1374 O1377 O1380 O1383 O1420 O1480:O1481 O1511:O1512 O1682 O1768 O3087:O3088 O3108:O3109 O3131:O3132">
    <cfRule type="expression" priority="5720" dxfId="4">
      <formula>$H639="SUBETAPA"</formula>
    </cfRule>
    <cfRule type="expression" priority="5721" dxfId="5">
      <formula>$H639="CÉLULA CONSTRUTIVA"</formula>
    </cfRule>
    <cfRule type="expression" priority="5722" dxfId="3">
      <formula>$H639="ETAPA"</formula>
    </cfRule>
  </conditionalFormatting>
  <conditionalFormatting sqref="O3133">
    <cfRule type="expression" priority="4141" dxfId="3">
      <formula>$H3133="ETAPA"</formula>
    </cfRule>
    <cfRule type="expression" priority="4142" dxfId="4">
      <formula>$H3133="SUBETAPA"</formula>
    </cfRule>
  </conditionalFormatting>
  <conditionalFormatting sqref="O3134">
    <cfRule type="expression" priority="4135" dxfId="4">
      <formula>$H3134="SUBETAPA"</formula>
    </cfRule>
    <cfRule type="expression" priority="4136" dxfId="5">
      <formula>$H3134="CÉLULA CONSTRUTIVA"</formula>
    </cfRule>
    <cfRule type="expression" priority="4137" dxfId="3">
      <formula>$H3134="ETAPA"</formula>
    </cfRule>
  </conditionalFormatting>
  <conditionalFormatting sqref="O3137:O3138">
    <cfRule type="expression" priority="4195" dxfId="3">
      <formula>$H3137="ETAPA"</formula>
    </cfRule>
    <cfRule type="expression" priority="4196" dxfId="5">
      <formula>$H3137="CÉLULA CONSTRUTIVA"</formula>
    </cfRule>
    <cfRule type="expression" priority="4197" dxfId="4">
      <formula>$H3137="SUBETAPA"</formula>
    </cfRule>
  </conditionalFormatting>
  <conditionalFormatting sqref="O3146">
    <cfRule type="expression" priority="59915" dxfId="3">
      <formula>$H3146="ETAPA"</formula>
    </cfRule>
    <cfRule type="expression" priority="59916" dxfId="4">
      <formula>$H3146="SUBETAPA"</formula>
    </cfRule>
    <cfRule type="expression" priority="59917" dxfId="5">
      <formula>$H3146="CÉLULA CONSTRUTIVA"</formula>
    </cfRule>
  </conditionalFormatting>
  <conditionalFormatting sqref="O2955:O2956 O2958 O2965 O2970 O2975 O2980 O2985 O2992 O2999 O3002:O3006 O3008 O3015 O3022 O3029 O3036 O3041 O3046 O3050:O3051 O3053 O3067 O3076:O3078 O3081:O3082 O3084 O3091 O3100:O3101 O3103 O3112 O3123:O3124 O3126 O3136 O3147:O3148 O3150 O3156 O3159:O3161 O3166:O3168 O3171">
    <cfRule type="expression" priority="83625" dxfId="4">
      <formula>$H2955="SUBETAPA"</formula>
    </cfRule>
    <cfRule type="expression" priority="83626" dxfId="5">
      <formula>$H2955="CÉLULA CONSTRUTIVA"</formula>
    </cfRule>
  </conditionalFormatting>
  <conditionalFormatting sqref="O3153">
    <cfRule type="expression" priority="61020" dxfId="3">
      <formula>$H3153="ETAPA"</formula>
    </cfRule>
    <cfRule type="expression" priority="61022" dxfId="4">
      <formula>$H3153="SUBETAPA"</formula>
    </cfRule>
  </conditionalFormatting>
  <conditionalFormatting sqref="O3163">
    <cfRule type="expression" priority="3437" dxfId="8">
      <formula>$H3163="ETAPA"</formula>
    </cfRule>
    <cfRule type="expression" priority="3438" dxfId="6">
      <formula>$H3163="SUBETAPA"</formula>
    </cfRule>
    <cfRule type="expression" priority="3439" dxfId="8">
      <formula>$H3163="ETAPA"</formula>
    </cfRule>
    <cfRule type="expression" priority="3440" dxfId="6">
      <formula>$H3163="SUBETAPA"</formula>
    </cfRule>
    <cfRule type="expression" priority="3441" dxfId="8">
      <formula>$H3163="ETAPA"</formula>
    </cfRule>
    <cfRule type="expression" priority="3442" dxfId="6">
      <formula>$H3163="SUBETAPA"</formula>
    </cfRule>
    <cfRule type="expression" priority="3443" dxfId="7">
      <formula>$H3163="CÉLULA CONSTRUTIVA"</formula>
    </cfRule>
  </conditionalFormatting>
  <conditionalFormatting sqref="O3169">
    <cfRule type="expression" priority="59912" dxfId="3">
      <formula>$H3169="ETAPA"</formula>
    </cfRule>
    <cfRule type="expression" priority="59913" dxfId="4">
      <formula>$H3169="SUBETAPA"</formula>
    </cfRule>
    <cfRule type="expression" priority="59914" dxfId="5">
      <formula>$H3169="CÉLULA CONSTRUTIVA"</formula>
    </cfRule>
  </conditionalFormatting>
  <conditionalFormatting sqref="P8:P3173">
    <cfRule type="expression" priority="121168" dxfId="2">
      <formula>AND($H8="SERVIÇO",$P8="Pendente")</formula>
    </cfRule>
    <cfRule type="expression" priority="121169" dxfId="0">
      <formula>AND($H8="SERVIÇO",$P8="Finalizado")</formula>
    </cfRule>
    <cfRule type="expression" priority="121170" dxfId="1">
      <formula>AND($H8="SERVIÇO",$P8="Em andamento")</formula>
    </cfRule>
  </conditionalFormatting>
  <dataValidations count="5">
    <dataValidation sqref="P11 P14:P15 P17:P18 P20 P23 P25 P27 P29:P30 P32:P33 P35:P38 P40:P41 P43 P45:P48 P50 P53:P54 P57 P59 P61:P62 P64:P65 P67 P69 P71 P73:P76 P78 P80 P82 P84:P92 P94 P96:P97 P99:P100 P102:P103 P105 P107 P109 P111 P113 P115 P117 P119 P121 P123:P124 P126:P127 P129:P130 P132 P134:P135 P137:P139 P141:P147 P149:P157 P159:P167 P169:P176 P178:P185 P187:P194 P196:P203 P205:P212 P214:P221 P223:P230 P232:P239 P241:P248 P250:P257 P259:P266 P268:P273 P275:P280 P282 P284 P286 P288 P290 P292 P294 P296 P298 P300 P302 P304 P306 P308 P310 P312 P315 P317 P319 P321 P323 P325 P327 P329 P331 P333 P335 P337 P339 P341 P343 P345 P348 P350 P352 P354 P356 P358 P360 P362 P364 P366 P368 P370 P372 P374 P376 P378:P380 P382:P384 P386 P388:P390 P392:P394 P396:P399 P401 P403 P405:P407 P409:P411 P413:P416 P418 P420 P422:P424 P426:P427 P429:P432 P434 P436 P438:P440 P442:P443 P445:P448 P450 P452 P454:P456 P458:P460 P462:P465 P467 P469 P471:P473 P475:P477 P479:P482 P484 P486 P488:P490 P492:P494 P496:P499 P501 P503 P505:P508 P510:P512 P514:P517 P519 P521 P523:P526 P528:P530 P532:P535 P537 P539 P541:P544 P546:P548 P550:P553 P555 P557 P559:P562 P564:P566 P568:P571 P573 P575 P577:P579 P581:P582 P584:P587 P589:P590 P592 P594:P597 P599:P601 P603:P606 P608:P609 P611:P613 P615 P617:P618 P622 P624 P626 P628 P630 P632 P634 P636 P638 P641 P643 P645 P647 P649 P651 P654 P656 P658 P660 P662 P664 P667 P669 P671 P673 P675 P677 P680 P682 P684 P686 P688 P690 P693 P695 P697 P699 P701 P703 P706 P708 P710 P712 P714 P716 P719 P721 P723 P725 P727 P729 P732 P734 P736 P738 P740 P742 P745 P747 P749 P751 P753 P755 P758 P760 P762 P764 P766 P768 P771 P773 P775 P777 P779 P781 P784 P786 P788 P790 P792 P794 P797 P799 P801 P803 P805 P807 P811 P813 P815 P817 P819 P822 P824 P826 P828 P831 P833 P835 P837 P840 P842 P844 P846 P849 P851 P853 P855 P858 P860 P862 P864 P867 P869 P871 P873 P876 P878 P880 P882 P885 P887 P889 P891 P894 P896 P898 P900 P902 P905 P907 P909 P911 P913 P916 P918 P920 P922 P925 P927 P929 P931 P934 P936 P938 P940 P942 P946 P948 P950 P952 P954 P956 P958 P961 P963 P965 P967 P969 P971 P973 P976 P978 P980 P982 P984 P986 P988 P991 P993 P995 P997 P999 P1001 P1003 P1006 P1008 P1010 P1012 P1014 P1016 P1018 P1021 P1023 P1025 P1027 P1029 P1031 P1033 P1036 P1038 P1040 P1042 P1044 P1046 P1048 P1051 P1053 P1055 P1057 P1059 P1061 P1063 P1066 P1068 P1070 P1072 P1074 P1076 P1078 P1081 P1083 P1085 P1087 P1089 P1091 P1093 P1096 P1098 P1100 P1102 P1104 P1106 P1108 P1111 P1113 P1115 P1117 P1119 P1121 P1123 P1126 P1128 P1130 P1132 P1134 P1136 P1138 P1141 P1143 P1145 P1147 P1149 P1151 P1153 P1157 P1159 P1161 P1164 P1166 P1169 P1171 P1174 P1176 P1179 P1181 P1184 P1186 P1189 P1191 P1193 P1196 P1198 P1200 P1203 P1205 P1207 P1210 P1212 P1214 P1217 P1219 P1221 P1224 P1226 P1229 P1231 P1233 P1236 P1238 P1242:P1243 P1245:P1249 P1251 P1255:P1256 P1258 P1260:P1261 P1263:P1264 P1266 P1269:P1270 P1272 P1274:P1275 P1277:P1278 P1280 P1283:P1284 P1286 P1288:P1289 P1291:P1292 P1294 P1297:P1298 P1300 P1302:P1303 P1305:P1306 P1308 P1311:P1312 P1314 P1316:P1317 P1319:P1320 P1322 P1325:P1326 P1328 P1330:P1331 P1333:P1334 P1336 P1339:P1340 P1342 P1344:P1345 P1347:P1348 P1350 P1353:P1354 P1356 P1358:P1359 P1361:P1362 P1364 P1368 P1370 P1373 P1376 P1379 P1382 P1385 P1388 P1390 P1392 P1395 P1397 P1399 P1402 P1404 P1407 P1409 P1412 P1414 P1417 P1419 P1422:P1424 P1426:P1427 P1429 P1431:P1432 P1434 P1436 P1438 P1440:P1447 P1449 P1451 P1453:P1454 P1456 P1458 P1460:P1461 P1463 P1465 P1467:P1468 P1470:P1471 P1473 P1475 P1477:P1478 P1480:P1486 P1488 P1490 P1492:P1494 P1496:P1497 P1499 P1501:P1503 P1505 P1507 P1509 P1511:P1519 P1521:P1522 P1524:P1525 P1527 P1529 P1531 P1533:P1539 P1541:P1542 P1544:P1545 P1547:P1549 P1551 P1553 P1555:P1561 P1563 P1565 P1567:P1568 P1570 P1572 P1574:P1578 P1580:P1581 P1583 P1585:P1587 P1589 P1591 P1593:P1599 P1601:P1602 P1604 P1606:P1608 P1610 P1612 P1614:P1620 P1622:P1623 P1625:P1626 P1628 P1630:P1632 P1634 P1636 P1638:P1644 P1646:P1647 P1649:P1650 P1652 P1654 P1656:P1661 P1663 P1665:P1667 P1669:P1673 P1676:P1679 P1681:P1682 P1684:P1685 P1687 P1689:P1693 P1696:P1699 P1701:P1702 P1704 P1706:P1709 P1712:P1715 P1717 P1719 P1721:P1724 P1727:P1730 P1732 P1734:P1736 P1739:P1742 P1744 P1746:P1748 P1751:P1754 P1756 P1758:P1760 P1763:P1766 P1768:P1770 P1772 P1774 P1776:P1777 P1779:P1784 P1787:P1790 P1792 P1794 P1796:P1801 P1803:P1804 P1806:P1810 P1813:P1815 P1817 P1819 P1821:P1823 P1826:P1828 P1830 P1832 P1834:P1836 P1839:P1841 P1843 P1845 P1847 P1849:P1852 P1855:P1857 P1859 P1861 P1863 P1865:P1868 P1871:P1873 P1875 P1877 P1879:P1881 P1884:P1886 P1888 P1890:P1891 P1894 P1896:P1898 P1900:P1901 P1903:P1906 P1908:P1909 P1911:P1912 P1914 P1916:P1920 P1922 P1924:P1925 P1927 P1929:P1930 P1932:P1933 P1935 P1937:P1938 P1940 P1942:P1943 P1945:P1946 P1948 P1950:P1952 P1954:P1955 P1957 P1959:P1965 P1967:P1968 P1970:P1971 P1973:P1976 P1978:P1984 P1986:P1991 P1993:P1998 P2000:P2005 P2007:P2012 P2014 P2016:P2020 P2022:P2023 P2025 P2027:P2028 P2030:P2031 P2034 P2036 P2038:P2042 P2044:P2046 P2048:P2050 P2052:P2054 P2056:P2062 P2065 P2067:P2068 P2070:P2072 P2074:P2076 P2078:P2083 P2086 P2088 P2090:P2092 P2094:P2095 P2097:P2100 P2103 P2105 P2107:P2108 P2110:P2111 P2113:P2116 P2119 P2121 P2123:P2125 P2127:P2128 P2130:P2133 P2136 P2138 P2140:P2143 P2145:P2146 P2148:P2151 P2154 P2156 P2158:P2165 P2167 P2169:P2172 P2174:P2180 P2183 P2185:P2189 P2191:P2199 P2201:P2203 P2205:P2209 P2212 P2214 P2216:P2218 P2220 P2222:P2224 P2226:P2229 P2232 P2234 P2236:P2238 P2240 P2242:P2244 P2246:P2249 P2252 P2254 P2256:P2258 P2260 P2262 P2264:P2266 P2268:P2272 P2275 P2277 P2279:P2281 P2283:P2284 P2286 P2288:P2290 P2292:P2296 P2299:P2300 P2302 P2304:P2306 P2308:P2309 P2311:P2312 P2314:P2320 P2323 P2325:P2326 P2328:P2329 P2331:P2334 P2337 P2339:P2341 P2343:P2347 P2349:P2353 P2355:P2360 P2362 P2364:P2369 P2371:P2377 P2379:P2387 P2389 P2391:P2396 P2398:P2402 P2404:P2411 P2413 P2415:P2419 P2421:P2425 P2427:P2434 P2436 P2438:P2442 P2444:P2448 P2450:P2457 P2459 P2461:P2466 P2468:P2472 P2474:P2481 P2483 P2485:P2492 P2494:P2500 P2502:P2510 P2512:P2517 P2519:P2524 P2526:P2532 P2534:P2537 P2539:P2542 P2544:P2548 P2550:P2553 P2555:P2558 P2560:P2564 P2566:P2569 P2571:P2574 P2576:P2580 P2582:P2585 P2587:P2590 P2592:P2596 P2598:P2601 P2603:P2606 P2608:P2612 P2614:P2617 P2619:P2621 P2623:P2627 P2629 P2631:P2635 P2637:P2638 P2640 P2642:P2643 P2645 P2647:P2648 P2650 P2652 P2654 P2656:P2657 P2659 P2661 P2663:P2664 P2666 P2668 P2670:P2671 P2673 P2675:P2676 P2678:P2679 P2681 P2683:P2684 P2686 P2688:P2689 P2691 P2693:P2694 P2696:P2697 P2699 P2701:P2703 P2705 P2707:P2708 P2710 P2712:P2714 P2716 P2718:P2719 P2721 P2723:P2725 P2727 P2729:P2730 P2732 P2734:P2736 P2738 P2740:P2741 P2743 P2745:P2747 P2749 P2751:P2752 P2754 P2756:P2758 P2760:P2761 P2763:P2764 P2766:P2767 P2769:P2770 P2772:P2773 P2775:P2776 P2778:P2780 P2782 P2784:P2785 P2787:P2789 P2791 P2793:P2794 P2796:P2798 P2800 P2802:P2803 P2805:P2807 P2809 P2811:P2812 P2814:P2816 P2818:P2819 P2821:P2822 P2824:P2825 P2827 P2829:P2830 P2832:P2833 P2835:P2836 P2838:P2839 P2841:P2842 P2844:P2845 P2847:P2848 P2850:P2851 P2853:P2854 P2856:P2857 P2859:P2860 P2862:P2863 P2865:P2866 P2868:P2869 P2871:P2872 P2874:P2875 P2877:P2878 P2880:P2881 P2883 P2885:P2886 P2888:P2889 P2891:P2892 P2894 P2896:P2897 P2899:P2900 P2902:P2903 P2905:P2906 P2908:P2909 P2911:P2912 P2914:P2915 P2917:P2918 P2920:P2921 P2923:P2924 P2926:P2927 P2929:P2930 P2932:P2933 P2935:P2936 P2938:P2939 P2941 P2943:P2944 P2946:P2947 P2949 P2951 P2953 P2957 P2959 P2961 P2963 P2966 P2968 P2971 P2973 P2976 P2978 P2981 P2983 P2986 P2988 P2991 P2993 P2995 P2998 P3000 P3002 P3004 P3007 P3009 P3011 P3014 P3016 P3018 P3021 P3023 P3025 P3028 P3030 P3032 P3035 P3037 P3039 P3042 P3044 P3048 P3052:P3054 P3056:P3058 P3060:P3072 P3074:P3080 P3083:P3085 P3087:P3094 P3096:P3099 P3102:P3104 P3106 P3108:P3116 P3118:P3122 P3125:P3127 P3129 P3131:P3139 P3141:P3145 P3149:P3150 P3152 P3154 P3157 P3159 P3161 P3163:P3165 P3167:P3168 P3172" showDropDown="0" showInputMessage="0" showErrorMessage="1" allowBlank="1" type="list">
      <formula1>"Finalizado,Em Andamento,Pendente,N/A,Lançado ERP"</formula1>
    </dataValidation>
    <dataValidation sqref="H8:H618 H1423:H2953 H3173" showDropDown="0" showInputMessage="0" showErrorMessage="1" allowBlank="1" type="list">
      <formula1>"UNIDADE CONSTRUTIVA,CÉLULA CONSTRUTIVA,ETAPA,SUBETAPA,SERVIÇO"</formula1>
    </dataValidation>
    <dataValidation sqref="H619:H1422 H2954:H3172" showDropDown="0" showInputMessage="1" showErrorMessage="1" allowBlank="1" type="list">
      <formula1>"UNIDADE CONSTRUTIVA,CÉLULA CONSTRUTIVA,ETAPA,SUBETAPA,SERVIÇO"</formula1>
    </dataValidation>
    <dataValidation sqref="P619:P620 P639 P652 P665 P678 P691 P704 P717 P730 P743 P756 P769 P782 P795 P1239:P1240 P1252:P1253 P1267 P1281 P1295 P1309 P1323 P1337 P1351 P1365:P1366 P1371 P1374 P1377 P1380 P1383 P1386 P1393 P1400 P1405 P1410 P1415 P1420 P2954:P2955 P2964 P2969 P2974 P2979 P2984 P2989 P2996 P3005 P3012 P3019 P3026 P3033 P3040 P3045:P3046 P3147 P3155 P3170" showDropDown="0" showInputMessage="1" showErrorMessage="1" allowBlank="1" type="list">
      <formula1>"Finalizado, Em Andamento, Pendente, N/A,Lançado ERP"</formula1>
    </dataValidation>
    <dataValidation sqref="P10 P13 P16 P19 P22 P26 P28 P31 P34 P39 P42 P44 P49 P52 P56 P60 P63 P66 P68 P70 P72 P77 P79 P81 P83 P93 P95 P98 P101 P104 P106 P108 P110 P112 P114 P116 P118 P120 P122 P125 P128 P131 P133 P136 P140 P148 P158 P168 P177 P186 P195 P204 P213 P222 P231 P240 P249 P258 P267 P274 P281 P283 P285 P287 P289 P291 P293 P295 P297 P299 P301 P303 P305 P307 P309 P311 P314 P316 P318 P320 P322 P324 P326 P328 P330 P332 P334 P336 P338 P340 P342 P344 P347 P349 P351 P353 P355 P357 P359 P361 P363 P365 P367 P369 P371 P373 P375 P377 P381 P385 P387 P391 P395 P400 P402 P404 P408 P412 P417 P419 P421 P425 P428 P433 P435 P437 P441 P444 P449 P451 P453 P457 P461 P466 P468 P470 P474 P478 P483 P485 P487 P491 P495 P500 P502 P504 P509 P513 P518 P520 P522 P527 P531 P536 P538 P540 P545 P549 P554 P556 P558 P563 P567 P572 P574 P576 P580 P583 P588 P591 P593 P598 P602 P607 P610 P614 P616 P621 P623 P625 P627 P629 P631 P633 P635 P637 P640 P642 P644 P646 P648 P650 P653 P655 P657 P659 P661 P663 P666 P668 P670 P672 P674 P676 P679 P681 P683 P685 P687 P689 P692 P694 P696 P698 P700 P702 P705 P707 P709 P711 P713 P715 P718 P720 P722 P724 P726 P728 P731 P733 P735 P737 P739 P741 P744 P746 P748 P750 P752 P754 P757 P759 P761 P763 P765 P767 P770 P772 P774 P776 P778 P780 P783 P785 P787 P789 P791 P793 P796 P798 P800 P802 P804 P806 P810 P812 P814 P816 P818 P821 P823 P825 P827 P830 P832 P834 P836 P839 P841 P843 P845 P848 P850 P852 P854 P857 P859 P861 P863 P866 P868 P870 P872 P875 P877 P879 P881 P884 P886 P888 P890 P893 P895 P897 P899 P901 P904 P906 P908 P910 P912 P915 P917 P919 P921 P924 P926 P928 P930 P933 P935 P937 P939 P941 P945 P947 P949 P951 P953 P955 P957 P960 P962 P964 P966 P968 P970 P972 P975 P977 P979 P981 P983 P985 P987 P990 P992 P994 P996 P998 P1000 P1002 P1005 P1007 P1009 P1011 P1013 P1015 P1017 P1020 P1022 P1024 P1026 P1028 P1030 P1032 P1035 P1037 P1039 P1041 P1043 P1045 P1047 P1050 P1052 P1054 P1056 P1058 P1060 P1062 P1065 P1067 P1069 P1071 P1073 P1075 P1077 P1080 P1082 P1084 P1086 P1088 P1090 P1092 P1095 P1097 P1099 P1101 P1103 P1105 P1107 P1110 P1112 P1114 P1116 P1118 P1120 P1122 P1125 P1127 P1129 P1131 P1133 P1135 P1137 P1140 P1142 P1144 P1146 P1148 P1150 P1152 P1156 P1158 P1160 P1163 P1165 P1168 P1170 P1173 P1175 P1178 P1180 P1183 P1185 P1188 P1190 P1192 P1195 P1197 P1199 P1202 P1204 P1206 P1209 P1211 P1213 P1216 P1218 P1220 P1223 P1225 P1228 P1230 P1232 P1235 P1237 P1241 P1244 P1250 P1254 P1257 P1259 P1262 P1265 P1268 P1271 P1273 P1276 P1279 P1282 P1285 P1287 P1290 P1293 P1296 P1299 P1301 P1304 P1307 P1310 P1313 P1315 P1318 P1321 P1324 P1327 P1329 P1332 P1335 P1338 P1341 P1343 P1346 P1349 P1352 P1355 P1357 P1360 P1363 P1367 P1369 P1372 P1375 P1378 P1381 P1384 P1387 P1389 P1391 P1394 P1396 P1398 P1401 P1403 P1406 P1408 P1411 P1413 P1416 P1418 P1421 P1425 P1428 P1430 P1433 P1435 P1437 P1439 P1448 P1450 P1452 P1455 P1457 P1459 P1462 P1464 P1466 P1469 P1472 P1474 P1476 P1479 P1487 P1489 P1491 P1495 P1498 P1500 P1504 P1506 P1508 P1510 P1520 P1523 P1526 P1528 P1530 P1532 P1540 P1543 P1546 P1550 P1552 P1554 P1562 P1564 P1566 P1569 P1571 P1573 P1579 P1582 P1584 P1588 P1590 P1592 P1600 P1603 P1605 P1609 P1611 P1613 P1621 P1624 P1627 P1629 P1633 P1635 P1637 P1645 P1648 P1651 P1653 P1655 P1662 P1664 P1668 P1675 P1680 P1683 P1686 P1688 P1695 P1700 P1703 P1705 P1711 P1716 P1718 P1720 P1726 P1731 P1733 P1738 P1743 P1745 P1750 P1755 P1757 P1762 P1767 P1771 P1773 P1775 P1778 P1786 P1791 P1793 P1795 P1802 P1805 P1812 P1816 P1818 P1820 P1825 P1829 P1831 P1833 P1838 P1842 P1844 P1846 P1848 P1854 P1858 P1860 P1862 P1864 P1870 P1874 P1876 P1878 P1883 P1887 P1889 P1893 P1895 P1899 P1902 P1907 P1910 P1913 P1915 P1921 P1923 P1926 P1928 P1931 P1934 P1936 P1939 P1941 P1944 P1947 P1949 P1953 P1956 P1958 P1966 P1969 P1972 P1977 P1985 P1992 P1999 P2006 P2013 P2015 P2021 P2024 P2026 P2029 P2033 P2035 P2037 P2043 P2047 P2051 P2055 P2064 P2066 P2069 P2073 P2077 P2085 P2087 P2089 P2093 P2096 P2102 P2104 P2106 P2109 P2112 P2118 P2120 P2122 P2126 P2129 P2135 P2137 P2139 P2144 P2147 P2153 P2155 P2157 P2166 P2168 P2173 P2182 P2184 P2190 P2200 P2204 P2211 P2213 P2215 P2219 P2221 P2225 P2231 P2233 P2235 P2239 P2241 P2245 P2251 P2253 P2255 P2259 P2261 P2263 P2267 P2274 P2276 P2278 P2282 P2285 P2287 P2291 P2298 P2301 P2303 P2307 P2310 P2313 P2322 P2324 P2327 P2330 P2336 P2338 P2342 P2348 P2354 P2361 P2363 P2370 P2378 P2388 P2390 P2397 P2403 P2412 P2414 P2420 P2426 P2435 P2437 P2443 P2449 P2458 P2460 P2467 P2473 P2482 P2484 P2493 P2501 P2511 P2518 P2525 P2533 P2538 P2543 P2549 P2554 P2559 P2565 P2570 P2575 P2581 P2586 P2591 P2597 P2602 P2607 P2613 P2618 P2622 P2628 P2630 P2636 P2639 P2641 P2644 P2646 P2649 P2651 P2653 P2655 P2658 P2660 P2662 P2665 P2667 P2669 P2672 P2674 P2677 P2680 P2682 P2685 P2687 P2690 P2692 P2695 P2698 P2700 P2704 P2706 P2709 P2711 P2715 P2717 P2720 P2722 P2726 P2728 P2731 P2733 P2737 P2739 P2742 P2744 P2748 P2750 P2753 P2755 P2759 P2762 P2765 P2768 P2771 P2774 P2777 P2781 P2783 P2786 P2790 P2792 P2795 P2799 P2801 P2804 P2808 P2810 P2813 P2817 P2820 P2823 P2826 P2828 P2831 P2834 P2837 P2840 P2843 P2846 P2849 P2852 P2855 P2858 P2861 P2864 P2867 P2870 P2873 P2876 P2879 P2882 P2884 P2887 P2890 P2893 P2895 P2898 P2901 P2904 P2907 P2910 P2913 P2916 P2919 P2922 P2925 P2928 P2931 P2934 P2937 P2940 P2942 P2945 P2948 P2950 P2952 P2956 P2958 P2960 P2962 P2965 P2967 P2970 P2972 P2975 P2977 P2980 P2982 P2985 P2987 P2990 P2992 P2994 P2997 P2999 P3001 P3003 P3006 P3008 P3010 P3013 P3015 P3017 P3020 P3022 P3024 P3027 P3029 P3031 P3034 P3036 P3038 P3041 P3043 P3047 P3051 P3055 P3059 P3073 P3082 P3086 P3095 P3101 P3105 P3107 P3117 P3124 P3128 P3130 P3140 P3148 P3151 P3153 P3156 P3158 P3160 P3162 P3166 P3171" showDropDown="0" showInputMessage="0" showErrorMessage="1" allowBlank="1" type="list">
      <formula1>#REF!</formula1>
    </dataValidation>
  </dataValidations>
  <printOptions horizontalCentered="1"/>
  <pageMargins left="0.5118110236220472" right="0.5118110236220472" top="0.7874015748031497" bottom="0.7874015748031497" header="0" footer="0"/>
  <pageSetup orientation="portrait" paperSize="9"/>
  <drawing xmlns:r="http://schemas.openxmlformats.org/officeDocument/2006/relationships" r:id="rId1"/>
</worksheet>
</file>

<file path=xl/worksheets/sheet11.xml><?xml version="1.0" encoding="utf-8"?>
<worksheet xmlns="http://schemas.openxmlformats.org/spreadsheetml/2006/main">
  <sheetPr codeName="Planilha9">
    <tabColor rgb="FFFFFF00"/>
    <outlinePr summaryBelow="0"/>
    <pageSetUpPr/>
  </sheetPr>
  <dimension ref="A1:AL5040"/>
  <sheetViews>
    <sheetView showGridLines="0" zoomScale="115" zoomScaleNormal="115" workbookViewId="0">
      <pane ySplit="1" topLeftCell="A2233" activePane="bottomLeft" state="frozen"/>
      <selection activeCell="D3300" sqref="D3300"/>
      <selection pane="bottomLeft" activeCell="D2246" sqref="D2246"/>
    </sheetView>
  </sheetViews>
  <sheetFormatPr baseColWidth="8" defaultColWidth="12.5703125" defaultRowHeight="15" customHeight="1" outlineLevelRow="3"/>
  <cols>
    <col width="4.28515625" customWidth="1" style="1064" min="1" max="1"/>
    <col width="7.140625" customWidth="1" style="1064" min="2" max="2"/>
    <col width="31.85546875" customWidth="1" style="1064" min="3" max="3"/>
    <col width="64.7109375" customWidth="1" style="1064" min="4" max="4"/>
    <col width="9.140625" bestFit="1" customWidth="1" style="1064" min="5" max="5"/>
    <col width="10.140625" customWidth="1" style="1064" min="6" max="6"/>
    <col width="7.140625" customWidth="1" style="1066" min="7" max="8"/>
    <col width="17.140625" customWidth="1" style="1064" min="9" max="11"/>
    <col width="8.5703125" customWidth="1" style="1064" min="12" max="25"/>
    <col width="12.5703125" customWidth="1" style="1064" min="26" max="38"/>
  </cols>
  <sheetData>
    <row r="1">
      <c r="A1" s="1059" t="inlineStr">
        <is>
          <t>Repetição</t>
        </is>
      </c>
      <c r="B1" s="1059" t="inlineStr">
        <is>
          <t>Tipo</t>
        </is>
      </c>
      <c r="C1" s="1060" t="inlineStr">
        <is>
          <t>Descrição</t>
        </is>
      </c>
      <c r="D1" s="1060" t="inlineStr">
        <is>
          <t>Descrição</t>
        </is>
      </c>
      <c r="E1" s="1060" t="inlineStr">
        <is>
          <t>Und</t>
        </is>
      </c>
      <c r="F1" s="1061" t="inlineStr">
        <is>
          <t>Quantidade</t>
        </is>
      </c>
      <c r="G1" s="1062" t="inlineStr">
        <is>
          <t>Custo unit.</t>
        </is>
      </c>
      <c r="H1" s="1062" t="inlineStr">
        <is>
          <t>Custo Total.</t>
        </is>
      </c>
      <c r="I1" s="2158" t="inlineStr">
        <is>
          <t>Quantidade</t>
        </is>
      </c>
      <c r="J1" s="2158" t="inlineStr">
        <is>
          <t>Cuto Total</t>
        </is>
      </c>
      <c r="K1" s="2158" t="inlineStr">
        <is>
          <t>Observgações</t>
        </is>
      </c>
    </row>
    <row r="2" ht="12.75" customHeight="1">
      <c r="A2" s="7" t="n">
        <v>1</v>
      </c>
      <c r="B2" s="7" t="inlineStr">
        <is>
          <t>Etapa</t>
        </is>
      </c>
      <c r="C2" s="7" t="inlineStr">
        <is>
          <t>Descrição</t>
        </is>
      </c>
      <c r="D2" s="7" t="inlineStr">
        <is>
          <t>CUSTOS INDIRETOS</t>
        </is>
      </c>
      <c r="E2" s="8" t="n"/>
      <c r="F2" s="7" t="n"/>
      <c r="G2" s="91">
        <f t="array" ref="G2">IF(B2="insumo",_xlfn.XLOOKUP($D2,Insumos!$B$1:$B$996,Insumos!$D$1:$D$996),"")</f>
        <v/>
      </c>
      <c r="H2" s="91" t="n">
        <v>0</v>
      </c>
      <c r="I2" s="2159" t="n">
        <v>0</v>
      </c>
      <c r="J2" s="2159" t="n">
        <v>0</v>
      </c>
      <c r="K2" s="2159" t="n"/>
    </row>
    <row r="3" outlineLevel="1" ht="15.75" customHeight="1">
      <c r="A3" s="1090" t="n">
        <v>1</v>
      </c>
      <c r="B3" s="1090" t="inlineStr">
        <is>
          <t>Subetapa</t>
        </is>
      </c>
      <c r="C3" s="1090" t="inlineStr">
        <is>
          <t>Descrição</t>
        </is>
      </c>
      <c r="D3" s="1090" t="inlineStr">
        <is>
          <t>INSTALAÇÕES PROVISÓRIAS</t>
        </is>
      </c>
      <c r="E3" s="1091" t="n"/>
      <c r="F3" s="1091" t="n"/>
      <c r="G3" s="1091" t="n"/>
      <c r="H3" s="1091" t="n">
        <v>0</v>
      </c>
      <c r="I3" s="2160" t="n">
        <v>0</v>
      </c>
      <c r="J3" s="2160" t="n">
        <v>0</v>
      </c>
      <c r="K3" s="2160" t="n"/>
    </row>
    <row r="4" outlineLevel="2" ht="12.75" customHeight="1">
      <c r="A4" s="1067" t="n">
        <v>1</v>
      </c>
      <c r="B4" s="1067" t="inlineStr">
        <is>
          <t>Serviço</t>
        </is>
      </c>
      <c r="C4" s="1067" t="inlineStr">
        <is>
          <t>Central de aço</t>
        </is>
      </c>
      <c r="D4" s="1067" t="inlineStr">
        <is>
          <t>Central de aço</t>
        </is>
      </c>
      <c r="E4" s="1068" t="inlineStr">
        <is>
          <t>M2</t>
        </is>
      </c>
      <c r="F4" s="1067" t="n"/>
      <c r="G4" s="1069">
        <f t="array" ref="G4">IF(B4="insumo",_xlfn.XLOOKUP($D4,Insumos!$B$1:$B$996,Insumos!$D$1:$D$996),"")</f>
        <v/>
      </c>
      <c r="H4" s="1069" t="n">
        <v>118.1045</v>
      </c>
      <c r="I4" s="2161" t="n">
        <v>0</v>
      </c>
      <c r="J4" s="2161" t="n">
        <v>0</v>
      </c>
      <c r="K4" s="2161" t="n"/>
    </row>
    <row r="5" outlineLevel="3" ht="12.75" customHeight="1">
      <c r="A5" s="10" t="n">
        <v>3</v>
      </c>
      <c r="B5" s="10" t="inlineStr">
        <is>
          <t>Insumo</t>
        </is>
      </c>
      <c r="C5" s="10" t="inlineStr">
        <is>
          <t>Central de aço</t>
        </is>
      </c>
      <c r="D5" s="10" t="inlineStr">
        <is>
          <t>LONA PLASTICA 120 MICRAS 4X100M PRETA</t>
        </is>
      </c>
      <c r="E5" s="11">
        <f t="array" ref="E5">_xlfn.XLOOKUP(D5,Insumos!B:B,Insumos!C:$C)</f>
        <v/>
      </c>
      <c r="F5" s="14" t="n">
        <v>1</v>
      </c>
      <c r="G5" s="92">
        <f t="array" ref="G5">IF(B5="insumo",_xlfn.XLOOKUP($D5,Insumos!$B$1:$B$996,Insumos!$D$1:$D$996),"")</f>
        <v/>
      </c>
      <c r="H5" s="92" t="n">
        <v>1.25</v>
      </c>
      <c r="I5" s="2162" t="n">
        <v>0</v>
      </c>
      <c r="J5" s="2162" t="n">
        <v>0</v>
      </c>
      <c r="K5" s="2162" t="n"/>
    </row>
    <row r="6" outlineLevel="3" ht="12.75" customHeight="1">
      <c r="A6" s="10" t="n">
        <v>3</v>
      </c>
      <c r="B6" s="10" t="inlineStr">
        <is>
          <t>Insumo</t>
        </is>
      </c>
      <c r="C6" s="10" t="inlineStr">
        <is>
          <t>Central de aço</t>
        </is>
      </c>
      <c r="D6" s="10" t="inlineStr">
        <is>
          <t>TELHA METALICA GALVANIZADA TRAPEZOIDAL 0,43MM NBR 14514</t>
        </is>
      </c>
      <c r="E6" s="11">
        <f t="array" ref="E6">_xlfn.XLOOKUP(D6,Insumos!B:B,Insumos!C:$C)</f>
        <v/>
      </c>
      <c r="F6" s="14" t="n">
        <v>1</v>
      </c>
      <c r="G6" s="92">
        <f t="array" ref="G6">IF(B6="insumo",_xlfn.XLOOKUP($D6,Insumos!$B$1:$B$996,Insumos!$D$1:$D$996),"")</f>
        <v/>
      </c>
      <c r="H6" s="92" t="n">
        <v>31</v>
      </c>
      <c r="I6" s="2162" t="n">
        <v>0</v>
      </c>
      <c r="J6" s="2162" t="n">
        <v>0</v>
      </c>
      <c r="K6" s="2162" t="n"/>
    </row>
    <row r="7" outlineLevel="3" ht="12.75" customHeight="1">
      <c r="A7" s="10" t="n">
        <v>9</v>
      </c>
      <c r="B7" s="10" t="inlineStr">
        <is>
          <t>Insumo</t>
        </is>
      </c>
      <c r="C7" s="10" t="inlineStr">
        <is>
          <t>Central de aço</t>
        </is>
      </c>
      <c r="D7" s="10" t="inlineStr">
        <is>
          <t>Concreto Usinado bombeável 20MPa Convencional</t>
        </is>
      </c>
      <c r="E7" s="11">
        <f t="array" ref="E7">_xlfn.XLOOKUP(D7,Insumos!B:B,Insumos!C:$C)</f>
        <v/>
      </c>
      <c r="F7" s="14" t="n">
        <v>0.074</v>
      </c>
      <c r="G7" s="92">
        <f t="array" ref="G7">IF(B7="insumo",_xlfn.XLOOKUP($D7,Insumos!$B$1:$B$996,Insumos!$D$1:$D$996),"")</f>
        <v/>
      </c>
      <c r="H7" s="92" t="n">
        <v>36.26</v>
      </c>
      <c r="I7" s="2162" t="n">
        <v>0</v>
      </c>
      <c r="J7" s="2162" t="n">
        <v>0</v>
      </c>
      <c r="K7" s="2162" t="n"/>
    </row>
    <row r="8" outlineLevel="3" ht="12.75" customHeight="1">
      <c r="A8" s="10" t="n">
        <v>3</v>
      </c>
      <c r="B8" s="10" t="inlineStr">
        <is>
          <t>Insumo</t>
        </is>
      </c>
      <c r="C8" s="10" t="inlineStr">
        <is>
          <t>Central de aço</t>
        </is>
      </c>
      <c r="D8" s="10" t="inlineStr">
        <is>
          <t>PREGO GALVANIZADO LISO S/CABECA 17X21 NBR 6627</t>
        </is>
      </c>
      <c r="E8" s="11">
        <f t="array" ref="E8">_xlfn.XLOOKUP(D8,Insumos!B:B,Insumos!C:$C)</f>
        <v/>
      </c>
      <c r="F8" s="14" t="n">
        <v>0.15</v>
      </c>
      <c r="G8" s="92">
        <f t="array" ref="G8">IF(B8="insumo",_xlfn.XLOOKUP($D8,Insumos!$B$1:$B$996,Insumos!$D$1:$D$996),"")</f>
        <v/>
      </c>
      <c r="H8" s="92" t="n">
        <v>1.5045</v>
      </c>
      <c r="I8" s="2162" t="n">
        <v>0</v>
      </c>
      <c r="J8" s="2162" t="n">
        <v>0</v>
      </c>
      <c r="K8" s="2162" t="n"/>
    </row>
    <row r="9" outlineLevel="3" ht="12.75" customHeight="1">
      <c r="A9" s="10" t="n">
        <v>3</v>
      </c>
      <c r="B9" s="10" t="inlineStr">
        <is>
          <t>Insumo</t>
        </is>
      </c>
      <c r="C9" s="10" t="inlineStr">
        <is>
          <t>Central de aço</t>
        </is>
      </c>
      <c r="D9" s="10" t="inlineStr">
        <is>
          <t>BLOCO CONCRETO ESTRUTURAL 03MPA 14X19X39CM NBR 6136</t>
        </is>
      </c>
      <c r="E9" s="11">
        <f t="array" ref="E9">_xlfn.XLOOKUP(D9,Insumos!B:B,Insumos!C:$C)</f>
        <v/>
      </c>
      <c r="F9" s="14" t="n">
        <v>9</v>
      </c>
      <c r="G9" s="92">
        <f t="array" ref="G9">IF(B9="insumo",_xlfn.XLOOKUP($D9,Insumos!$B$1:$B$996,Insumos!$D$1:$D$996),"")</f>
        <v/>
      </c>
      <c r="H9" s="92" t="n">
        <v>26.55</v>
      </c>
      <c r="I9" s="2162" t="n">
        <v>0</v>
      </c>
      <c r="J9" s="2162" t="n">
        <v>0</v>
      </c>
      <c r="K9" s="2162" t="n"/>
    </row>
    <row r="10" outlineLevel="3" ht="12.75" customHeight="1">
      <c r="A10" s="10" t="n">
        <v>3</v>
      </c>
      <c r="B10" s="10" t="inlineStr">
        <is>
          <t>Insumo</t>
        </is>
      </c>
      <c r="C10" s="10" t="inlineStr">
        <is>
          <t>Central de aço</t>
        </is>
      </c>
      <c r="D10" s="10" t="inlineStr">
        <is>
          <t>ARGAMASSA ENSACADA P/ASSENTAMENTO BLOCO 04MPA NBR 13281</t>
        </is>
      </c>
      <c r="E10" s="11">
        <f t="array" ref="E10">_xlfn.XLOOKUP(D10,Insumos!B:B,Insumos!C:$C)</f>
        <v/>
      </c>
      <c r="F10" s="14" t="n">
        <v>24</v>
      </c>
      <c r="G10" s="92">
        <f t="array" ref="G10">IF(B10="insumo",_xlfn.XLOOKUP($D10,Insumos!$B$1:$B$996,Insumos!$D$1:$D$996),"")</f>
        <v/>
      </c>
      <c r="H10" s="92" t="n">
        <v>11.04</v>
      </c>
      <c r="I10" s="2162" t="n">
        <v>0</v>
      </c>
      <c r="J10" s="2162" t="n">
        <v>0</v>
      </c>
      <c r="K10" s="2162" t="n"/>
    </row>
    <row r="11" outlineLevel="3" ht="12.75" customHeight="1">
      <c r="A11" s="10" t="n">
        <v>3</v>
      </c>
      <c r="B11" s="10" t="inlineStr">
        <is>
          <t>Insumo</t>
        </is>
      </c>
      <c r="C11" s="10" t="inlineStr">
        <is>
          <t>Central de aço</t>
        </is>
      </c>
      <c r="D11" s="10" t="inlineStr">
        <is>
          <t>SERVICO EMP. - INST. PROVISORIA - CONFECCAO BAIA P/MATERIAL</t>
        </is>
      </c>
      <c r="E11" s="11">
        <f t="array" ref="E11">_xlfn.XLOOKUP(D11,Insumos!B:B,Insumos!C:$C)</f>
        <v/>
      </c>
      <c r="F11" s="14" t="n">
        <v>1</v>
      </c>
      <c r="G11" s="92">
        <f t="array" ref="G11">IF(B11="insumo",_xlfn.XLOOKUP($D11,Insumos!$B$1:$B$996,Insumos!$D$1:$D$996),"")</f>
        <v/>
      </c>
      <c r="H11" s="92" t="n">
        <v>10.5</v>
      </c>
      <c r="I11" s="2162" t="n">
        <v>0</v>
      </c>
      <c r="J11" s="2162" t="n">
        <v>0</v>
      </c>
      <c r="K11" s="2162" t="n"/>
    </row>
    <row r="12" outlineLevel="2" ht="12.75" customHeight="1">
      <c r="A12" s="1067" t="n">
        <v>1</v>
      </c>
      <c r="B12" s="1067" t="inlineStr">
        <is>
          <t>Serviço</t>
        </is>
      </c>
      <c r="C12" s="1067" t="inlineStr">
        <is>
          <t>Central de fôrmas</t>
        </is>
      </c>
      <c r="D12" s="1067" t="inlineStr">
        <is>
          <t>Central de fôrmas</t>
        </is>
      </c>
      <c r="E12" s="1068" t="inlineStr">
        <is>
          <t>M2</t>
        </is>
      </c>
      <c r="F12" s="1067" t="n"/>
      <c r="G12" s="1069">
        <f t="array" ref="G12">IF(B12="insumo",_xlfn.XLOOKUP($D12,Insumos!$B$1:$B$996,Insumos!$D$1:$D$996),"")</f>
        <v/>
      </c>
      <c r="H12" s="1069" t="n">
        <v>118.1045</v>
      </c>
      <c r="I12" s="2161" t="n">
        <v>0</v>
      </c>
      <c r="J12" s="2161" t="n">
        <v>0</v>
      </c>
      <c r="K12" s="2161" t="n"/>
    </row>
    <row r="13" outlineLevel="3" ht="12.75" customHeight="1">
      <c r="A13" s="10" t="n">
        <v>3</v>
      </c>
      <c r="B13" s="10" t="inlineStr">
        <is>
          <t>Insumo</t>
        </is>
      </c>
      <c r="C13" s="10" t="inlineStr">
        <is>
          <t>Central de fôrmas</t>
        </is>
      </c>
      <c r="D13" s="10" t="inlineStr">
        <is>
          <t>LONA PLASTICA 120 MICRAS 4X100M PRETA</t>
        </is>
      </c>
      <c r="E13" s="11">
        <f t="array" ref="E13">_xlfn.XLOOKUP(D13,Insumos!B:B,Insumos!C:$C)</f>
        <v/>
      </c>
      <c r="F13" s="14" t="n">
        <v>1</v>
      </c>
      <c r="G13" s="92">
        <f t="array" ref="G13">IF(B13="insumo",_xlfn.XLOOKUP($D13,Insumos!$B$1:$B$996,Insumos!$D$1:$D$996),"")</f>
        <v/>
      </c>
      <c r="H13" s="92" t="n">
        <v>1.25</v>
      </c>
      <c r="I13" s="2162" t="n">
        <v>0</v>
      </c>
      <c r="J13" s="2162" t="n">
        <v>0</v>
      </c>
      <c r="K13" s="2162" t="n"/>
    </row>
    <row r="14" outlineLevel="3" ht="12.75" customHeight="1">
      <c r="A14" s="10" t="n">
        <v>3</v>
      </c>
      <c r="B14" s="10" t="inlineStr">
        <is>
          <t>Insumo</t>
        </is>
      </c>
      <c r="C14" s="10" t="inlineStr">
        <is>
          <t>Central de fôrmas</t>
        </is>
      </c>
      <c r="D14" s="10" t="inlineStr">
        <is>
          <t>TELHA METALICA GALVANIZADA TRAPEZOIDAL 0,43MM NBR 14514</t>
        </is>
      </c>
      <c r="E14" s="11">
        <f t="array" ref="E14">_xlfn.XLOOKUP(D14,Insumos!B:B,Insumos!C:$C)</f>
        <v/>
      </c>
      <c r="F14" s="14" t="n">
        <v>1</v>
      </c>
      <c r="G14" s="92">
        <f t="array" ref="G14">IF(B14="insumo",_xlfn.XLOOKUP($D14,Insumos!$B$1:$B$996,Insumos!$D$1:$D$996),"")</f>
        <v/>
      </c>
      <c r="H14" s="92" t="n">
        <v>31</v>
      </c>
      <c r="I14" s="2162" t="n">
        <v>0</v>
      </c>
      <c r="J14" s="2162" t="n">
        <v>0</v>
      </c>
      <c r="K14" s="2162" t="n"/>
    </row>
    <row r="15" outlineLevel="3" ht="12.75" customHeight="1">
      <c r="A15" s="10" t="n">
        <v>9</v>
      </c>
      <c r="B15" s="10" t="inlineStr">
        <is>
          <t>Insumo</t>
        </is>
      </c>
      <c r="C15" s="10" t="inlineStr">
        <is>
          <t>Central de fôrmas</t>
        </is>
      </c>
      <c r="D15" s="10" t="inlineStr">
        <is>
          <t>Concreto Usinado bombeável 20MPa Convencional</t>
        </is>
      </c>
      <c r="E15" s="11">
        <f t="array" ref="E15">_xlfn.XLOOKUP(D15,Insumos!B:B,Insumos!C:$C)</f>
        <v/>
      </c>
      <c r="F15" s="14" t="n">
        <v>0.074</v>
      </c>
      <c r="G15" s="92">
        <f t="array" ref="G15">IF(B15="insumo",_xlfn.XLOOKUP($D15,Insumos!$B$1:$B$996,Insumos!$D$1:$D$996),"")</f>
        <v/>
      </c>
      <c r="H15" s="92" t="n">
        <v>36.26</v>
      </c>
      <c r="I15" s="2162" t="n">
        <v>0</v>
      </c>
      <c r="J15" s="2162" t="n">
        <v>0</v>
      </c>
      <c r="K15" s="2162" t="n"/>
    </row>
    <row r="16" outlineLevel="3" ht="12.75" customHeight="1">
      <c r="A16" s="10" t="n">
        <v>3</v>
      </c>
      <c r="B16" s="10" t="inlineStr">
        <is>
          <t>Insumo</t>
        </is>
      </c>
      <c r="C16" s="10" t="inlineStr">
        <is>
          <t>Central de fôrmas</t>
        </is>
      </c>
      <c r="D16" s="10" t="inlineStr">
        <is>
          <t>PREGO GALVANIZADO LISO S/CABECA 17X21 NBR 6627</t>
        </is>
      </c>
      <c r="E16" s="11">
        <f t="array" ref="E16">_xlfn.XLOOKUP(D16,Insumos!B:B,Insumos!C:$C)</f>
        <v/>
      </c>
      <c r="F16" s="14" t="n">
        <v>0.15</v>
      </c>
      <c r="G16" s="92">
        <f t="array" ref="G16">IF(B16="insumo",_xlfn.XLOOKUP($D16,Insumos!$B$1:$B$996,Insumos!$D$1:$D$996),"")</f>
        <v/>
      </c>
      <c r="H16" s="92" t="n">
        <v>1.5045</v>
      </c>
      <c r="I16" s="2162" t="n">
        <v>0</v>
      </c>
      <c r="J16" s="2162" t="n">
        <v>0</v>
      </c>
      <c r="K16" s="2162" t="n"/>
    </row>
    <row r="17" outlineLevel="3" ht="12.75" customHeight="1">
      <c r="A17" s="10" t="n">
        <v>3</v>
      </c>
      <c r="B17" s="10" t="inlineStr">
        <is>
          <t>Insumo</t>
        </is>
      </c>
      <c r="C17" s="10" t="inlineStr">
        <is>
          <t>Central de fôrmas</t>
        </is>
      </c>
      <c r="D17" s="10" t="inlineStr">
        <is>
          <t>BLOCO CONCRETO ESTRUTURAL 03MPA 14X19X39CM NBR 6136</t>
        </is>
      </c>
      <c r="E17" s="11">
        <f t="array" ref="E17">_xlfn.XLOOKUP(D17,Insumos!B:B,Insumos!C:$C)</f>
        <v/>
      </c>
      <c r="F17" s="14" t="n">
        <v>9</v>
      </c>
      <c r="G17" s="92">
        <f t="array" ref="G17">IF(B17="insumo",_xlfn.XLOOKUP($D17,Insumos!$B$1:$B$996,Insumos!$D$1:$D$996),"")</f>
        <v/>
      </c>
      <c r="H17" s="92" t="n">
        <v>26.55</v>
      </c>
      <c r="I17" s="2162" t="n">
        <v>0</v>
      </c>
      <c r="J17" s="2162" t="n">
        <v>0</v>
      </c>
      <c r="K17" s="2162" t="n"/>
    </row>
    <row r="18" outlineLevel="3" ht="12.75" customHeight="1">
      <c r="A18" s="10" t="n">
        <v>3</v>
      </c>
      <c r="B18" s="10" t="inlineStr">
        <is>
          <t>Insumo</t>
        </is>
      </c>
      <c r="C18" s="10" t="inlineStr">
        <is>
          <t>Central de fôrmas</t>
        </is>
      </c>
      <c r="D18" s="10" t="inlineStr">
        <is>
          <t>ARGAMASSA ENSACADA P/ASSENTAMENTO BLOCO 04MPA NBR 13281</t>
        </is>
      </c>
      <c r="E18" s="11">
        <f t="array" ref="E18">_xlfn.XLOOKUP(D18,Insumos!B:B,Insumos!C:$C)</f>
        <v/>
      </c>
      <c r="F18" s="14" t="n">
        <v>24</v>
      </c>
      <c r="G18" s="92">
        <f t="array" ref="G18">IF(B18="insumo",_xlfn.XLOOKUP($D18,Insumos!$B$1:$B$996,Insumos!$D$1:$D$996),"")</f>
        <v/>
      </c>
      <c r="H18" s="92" t="n">
        <v>11.04</v>
      </c>
      <c r="I18" s="2162" t="n">
        <v>0</v>
      </c>
      <c r="J18" s="2162" t="n">
        <v>0</v>
      </c>
      <c r="K18" s="2162" t="n"/>
    </row>
    <row r="19" outlineLevel="3" ht="12.75" customHeight="1">
      <c r="A19" s="10" t="n">
        <v>3</v>
      </c>
      <c r="B19" s="10" t="inlineStr">
        <is>
          <t>Insumo</t>
        </is>
      </c>
      <c r="C19" s="10" t="inlineStr">
        <is>
          <t>Central de fôrmas</t>
        </is>
      </c>
      <c r="D19" s="10" t="inlineStr">
        <is>
          <t>SERVICO EMP. - INST. PROVISORIA - CONFECCAO BAIA P/MATERIAL</t>
        </is>
      </c>
      <c r="E19" s="11">
        <f t="array" ref="E19">_xlfn.XLOOKUP(D19,Insumos!B:B,Insumos!C:$C)</f>
        <v/>
      </c>
      <c r="F19" s="14" t="n">
        <v>1</v>
      </c>
      <c r="G19" s="92">
        <f t="array" ref="G19">IF(B19="insumo",_xlfn.XLOOKUP($D19,Insumos!$B$1:$B$996,Insumos!$D$1:$D$996),"")</f>
        <v/>
      </c>
      <c r="H19" s="92" t="n">
        <v>10.5</v>
      </c>
      <c r="I19" s="2162" t="n">
        <v>0</v>
      </c>
      <c r="J19" s="2162" t="n">
        <v>0</v>
      </c>
      <c r="K19" s="2162" t="n"/>
    </row>
    <row r="20" outlineLevel="2" ht="12.75" customHeight="1">
      <c r="A20" s="1067" t="n">
        <v>1</v>
      </c>
      <c r="B20" s="1067" t="inlineStr">
        <is>
          <t>Serviço</t>
        </is>
      </c>
      <c r="C20" s="1067" t="inlineStr">
        <is>
          <t>Central de Argamassa</t>
        </is>
      </c>
      <c r="D20" s="1067" t="inlineStr">
        <is>
          <t>Central de Argamassa</t>
        </is>
      </c>
      <c r="E20" s="1068" t="inlineStr">
        <is>
          <t>M2</t>
        </is>
      </c>
      <c r="F20" s="1067" t="n"/>
      <c r="G20" s="1069">
        <f t="array" ref="G20">IF(B20="insumo",_xlfn.XLOOKUP($D20,Insumos!$B$1:$B$996,Insumos!$D$1:$D$996),"")</f>
        <v/>
      </c>
      <c r="H20" s="1069" t="n">
        <v>118.1045</v>
      </c>
      <c r="I20" s="2161" t="n">
        <v>0</v>
      </c>
      <c r="J20" s="2161" t="n">
        <v>0</v>
      </c>
      <c r="K20" s="2161" t="n"/>
    </row>
    <row r="21" outlineLevel="3" ht="12.75" customHeight="1">
      <c r="A21" s="10" t="n">
        <v>3</v>
      </c>
      <c r="B21" s="10" t="inlineStr">
        <is>
          <t>Insumo</t>
        </is>
      </c>
      <c r="C21" s="10" t="inlineStr">
        <is>
          <t>Central de Argamassa</t>
        </is>
      </c>
      <c r="D21" s="10" t="inlineStr">
        <is>
          <t>LONA PLASTICA 120 MICRAS 4X100M PRETA</t>
        </is>
      </c>
      <c r="E21" s="11">
        <f t="array" ref="E21">_xlfn.XLOOKUP(D21,Insumos!B:B,Insumos!C:$C)</f>
        <v/>
      </c>
      <c r="F21" s="14" t="n">
        <v>1</v>
      </c>
      <c r="G21" s="92">
        <f t="array" ref="G21">IF(B21="insumo",_xlfn.XLOOKUP($D21,Insumos!$B$1:$B$996,Insumos!$D$1:$D$996),"")</f>
        <v/>
      </c>
      <c r="H21" s="92" t="n">
        <v>1.25</v>
      </c>
      <c r="I21" s="2162" t="n">
        <v>0</v>
      </c>
      <c r="J21" s="2162" t="n">
        <v>0</v>
      </c>
      <c r="K21" s="2162" t="n"/>
    </row>
    <row r="22" outlineLevel="3" ht="15.75" customHeight="1">
      <c r="A22" s="10" t="n">
        <v>3</v>
      </c>
      <c r="B22" s="10" t="inlineStr">
        <is>
          <t>Insumo</t>
        </is>
      </c>
      <c r="C22" s="10" t="inlineStr">
        <is>
          <t>Central de Argamassa</t>
        </is>
      </c>
      <c r="D22" s="10" t="inlineStr">
        <is>
          <t>TELHA METALICA GALVANIZADA TRAPEZOIDAL 0,43MM NBR 14514</t>
        </is>
      </c>
      <c r="E22" s="11">
        <f t="array" ref="E22">_xlfn.XLOOKUP(D22,Insumos!B:B,Insumos!C:$C)</f>
        <v/>
      </c>
      <c r="F22" s="14" t="n">
        <v>1</v>
      </c>
      <c r="G22" s="92">
        <f t="array" ref="G22">IF(B22="insumo",_xlfn.XLOOKUP($D22,Insumos!$B$1:$B$996,Insumos!$D$1:$D$996),"")</f>
        <v/>
      </c>
      <c r="H22" s="92" t="n">
        <v>31</v>
      </c>
      <c r="I22" s="2162" t="n">
        <v>0</v>
      </c>
      <c r="J22" s="2162" t="n">
        <v>0</v>
      </c>
      <c r="K22" s="2162" t="n"/>
    </row>
    <row r="23" outlineLevel="3" ht="15.75" customHeight="1">
      <c r="A23" s="10" t="n">
        <v>9</v>
      </c>
      <c r="B23" s="10" t="inlineStr">
        <is>
          <t>Insumo</t>
        </is>
      </c>
      <c r="C23" s="10" t="inlineStr">
        <is>
          <t>Central de Argamassa</t>
        </is>
      </c>
      <c r="D23" s="10" t="inlineStr">
        <is>
          <t>Concreto Usinado bombeável 20MPa Convencional</t>
        </is>
      </c>
      <c r="E23" s="11">
        <f t="array" ref="E23">_xlfn.XLOOKUP(D23,Insumos!B:B,Insumos!C:$C)</f>
        <v/>
      </c>
      <c r="F23" s="14" t="n">
        <v>0.074</v>
      </c>
      <c r="G23" s="92">
        <f t="array" ref="G23">IF(B23="insumo",_xlfn.XLOOKUP($D23,Insumos!$B$1:$B$996,Insumos!$D$1:$D$996),"")</f>
        <v/>
      </c>
      <c r="H23" s="92" t="n">
        <v>36.26</v>
      </c>
      <c r="I23" s="2162" t="n">
        <v>0</v>
      </c>
      <c r="J23" s="2162" t="n">
        <v>0</v>
      </c>
      <c r="K23" s="2162" t="n"/>
    </row>
    <row r="24" outlineLevel="3" ht="15.75" customHeight="1">
      <c r="A24" s="10" t="n">
        <v>3</v>
      </c>
      <c r="B24" s="10" t="inlineStr">
        <is>
          <t>Insumo</t>
        </is>
      </c>
      <c r="C24" s="10" t="inlineStr">
        <is>
          <t>Central de Argamassa</t>
        </is>
      </c>
      <c r="D24" s="10" t="inlineStr">
        <is>
          <t>PREGO GALVANIZADO LISO S/CABECA 17X21 NBR 6627</t>
        </is>
      </c>
      <c r="E24" s="11">
        <f t="array" ref="E24">_xlfn.XLOOKUP(D24,Insumos!B:B,Insumos!C:$C)</f>
        <v/>
      </c>
      <c r="F24" s="14" t="n">
        <v>0.15</v>
      </c>
      <c r="G24" s="92">
        <f t="array" ref="G24">IF(B24="insumo",_xlfn.XLOOKUP($D24,Insumos!$B$1:$B$996,Insumos!$D$1:$D$996),"")</f>
        <v/>
      </c>
      <c r="H24" s="92" t="n">
        <v>1.5045</v>
      </c>
      <c r="I24" s="2162" t="n">
        <v>0</v>
      </c>
      <c r="J24" s="2162" t="n">
        <v>0</v>
      </c>
      <c r="K24" s="2162" t="n"/>
    </row>
    <row r="25" outlineLevel="3" ht="15.75" customHeight="1">
      <c r="A25" s="10" t="n">
        <v>3</v>
      </c>
      <c r="B25" s="10" t="inlineStr">
        <is>
          <t>Insumo</t>
        </is>
      </c>
      <c r="C25" s="10" t="inlineStr">
        <is>
          <t>Central de Argamassa</t>
        </is>
      </c>
      <c r="D25" s="10" t="inlineStr">
        <is>
          <t>BLOCO CONCRETO ESTRUTURAL 03MPA 14X19X39CM NBR 6136</t>
        </is>
      </c>
      <c r="E25" s="11">
        <f t="array" ref="E25">_xlfn.XLOOKUP(D25,Insumos!B:B,Insumos!C:$C)</f>
        <v/>
      </c>
      <c r="F25" s="14" t="n">
        <v>9</v>
      </c>
      <c r="G25" s="92">
        <f t="array" ref="G25">IF(B25="insumo",_xlfn.XLOOKUP($D25,Insumos!$B$1:$B$996,Insumos!$D$1:$D$996),"")</f>
        <v/>
      </c>
      <c r="H25" s="92" t="n">
        <v>26.55</v>
      </c>
      <c r="I25" s="2162" t="n">
        <v>0</v>
      </c>
      <c r="J25" s="2162" t="n">
        <v>0</v>
      </c>
      <c r="K25" s="2162" t="n"/>
    </row>
    <row r="26" outlineLevel="3" ht="15.75" customHeight="1">
      <c r="A26" s="10" t="n">
        <v>3</v>
      </c>
      <c r="B26" s="10" t="inlineStr">
        <is>
          <t>Insumo</t>
        </is>
      </c>
      <c r="C26" s="10" t="inlineStr">
        <is>
          <t>Central de Argamassa</t>
        </is>
      </c>
      <c r="D26" s="10" t="inlineStr">
        <is>
          <t>ARGAMASSA ENSACADA P/ASSENTAMENTO BLOCO 04MPA NBR 13281</t>
        </is>
      </c>
      <c r="E26" s="11">
        <f t="array" ref="E26">_xlfn.XLOOKUP(D26,Insumos!B:B,Insumos!C:$C)</f>
        <v/>
      </c>
      <c r="F26" s="14" t="n">
        <v>24</v>
      </c>
      <c r="G26" s="92">
        <f t="array" ref="G26">IF(B26="insumo",_xlfn.XLOOKUP($D26,Insumos!$B$1:$B$996,Insumos!$D$1:$D$996),"")</f>
        <v/>
      </c>
      <c r="H26" s="92" t="n">
        <v>11.04</v>
      </c>
      <c r="I26" s="2162" t="n">
        <v>0</v>
      </c>
      <c r="J26" s="2162" t="n">
        <v>0</v>
      </c>
      <c r="K26" s="2162" t="n"/>
    </row>
    <row r="27" outlineLevel="3" ht="15.75" customHeight="1">
      <c r="A27" s="10" t="n">
        <v>3</v>
      </c>
      <c r="B27" s="10" t="inlineStr">
        <is>
          <t>Insumo</t>
        </is>
      </c>
      <c r="C27" s="10" t="inlineStr">
        <is>
          <t>Central de Argamassa</t>
        </is>
      </c>
      <c r="D27" s="10" t="inlineStr">
        <is>
          <t>SERVICO EMP. - INST. PROVISORIA - CONFECCAO BAIA P/MATERIAL</t>
        </is>
      </c>
      <c r="E27" s="11">
        <f t="array" ref="E27">_xlfn.XLOOKUP(D27,Insumos!B:B,Insumos!C:$C)</f>
        <v/>
      </c>
      <c r="F27" s="14" t="n">
        <v>1</v>
      </c>
      <c r="G27" s="92">
        <f t="array" ref="G27">IF(B27="insumo",_xlfn.XLOOKUP($D27,Insumos!$B$1:$B$996,Insumos!$D$1:$D$996),"")</f>
        <v/>
      </c>
      <c r="H27" s="92" t="n">
        <v>10.5</v>
      </c>
      <c r="I27" s="2162" t="n">
        <v>0</v>
      </c>
      <c r="J27" s="2162" t="n">
        <v>0</v>
      </c>
      <c r="K27" s="2162" t="n"/>
    </row>
    <row r="28" outlineLevel="2" ht="15.75" customHeight="1">
      <c r="A28" s="1067" t="n">
        <v>1</v>
      </c>
      <c r="B28" s="1067" t="inlineStr">
        <is>
          <t>Serviço</t>
        </is>
      </c>
      <c r="C28" s="1067" t="inlineStr">
        <is>
          <t>Armazenamento de cerâmicas*</t>
        </is>
      </c>
      <c r="D28" s="1067" t="inlineStr">
        <is>
          <t>Armazenamento de cerâmicas*</t>
        </is>
      </c>
      <c r="E28" s="1068" t="inlineStr">
        <is>
          <t>M2</t>
        </is>
      </c>
      <c r="F28" s="1067" t="n"/>
      <c r="G28" s="1069">
        <f t="array" ref="G28">IF(B28="insumo",_xlfn.XLOOKUP($D28,Insumos!$B$1:$B$996,Insumos!$D$1:$D$996),"")</f>
        <v/>
      </c>
      <c r="H28" s="1069" t="n">
        <v>382.10489</v>
      </c>
      <c r="I28" s="2161" t="n">
        <v>0</v>
      </c>
      <c r="J28" s="2161" t="n">
        <v>0</v>
      </c>
      <c r="K28" s="2161" t="n"/>
    </row>
    <row r="29" outlineLevel="3" ht="15.75" customHeight="1">
      <c r="A29" s="10" t="n">
        <v>11</v>
      </c>
      <c r="B29" s="10" t="inlineStr">
        <is>
          <t>Insumo</t>
        </is>
      </c>
      <c r="C29" s="10" t="inlineStr">
        <is>
          <t>Armazenamento de cerâmicas*</t>
        </is>
      </c>
      <c r="D29" s="10" t="inlineStr">
        <is>
          <t>MADEIRA PINUS/SIMILAR - TABUA PINUS 200X20MM NBR 11700</t>
        </is>
      </c>
      <c r="E29" s="11">
        <f t="array" ref="E29">_xlfn.XLOOKUP(D29,Insumos!B:B,Insumos!C:$C)</f>
        <v/>
      </c>
      <c r="F29" s="14" t="n">
        <v>0.591</v>
      </c>
      <c r="G29" s="92">
        <f t="array" ref="G29">IF(B29="insumo",_xlfn.XLOOKUP($D29,Insumos!$B$1:$B$996,Insumos!$D$1:$D$996),"")</f>
        <v/>
      </c>
      <c r="H29" s="92" t="n">
        <v>27.4815</v>
      </c>
      <c r="I29" s="2162" t="n">
        <v>0</v>
      </c>
      <c r="J29" s="2162" t="n">
        <v>0</v>
      </c>
      <c r="K29" s="2162" t="n"/>
    </row>
    <row r="30" outlineLevel="3" ht="15.75" customHeight="1">
      <c r="A30" s="10" t="n">
        <v>10</v>
      </c>
      <c r="B30" s="10" t="inlineStr">
        <is>
          <t>Insumo</t>
        </is>
      </c>
      <c r="C30" s="10" t="inlineStr">
        <is>
          <t>Armazenamento de cerâmicas*</t>
        </is>
      </c>
      <c r="D30" s="10" t="inlineStr">
        <is>
          <t>COMPENSADO MADEIRA TIPO RESINADO COLA FENOLICA 2440X1220X10MM</t>
        </is>
      </c>
      <c r="E30" s="11">
        <f t="array" ref="E30">_xlfn.XLOOKUP(D30,Insumos!B:B,Insumos!C:$C)</f>
        <v/>
      </c>
      <c r="F30" s="14" t="n">
        <v>0.404</v>
      </c>
      <c r="G30" s="92">
        <f t="array" ref="G30">IF(B30="insumo",_xlfn.XLOOKUP($D30,Insumos!$B$1:$B$996,Insumos!$D$1:$D$996),"")</f>
        <v/>
      </c>
      <c r="H30" s="92" t="n">
        <v>23.61784</v>
      </c>
      <c r="I30" s="2162" t="n">
        <v>0</v>
      </c>
      <c r="J30" s="2162" t="n">
        <v>0</v>
      </c>
      <c r="K30" s="2162" t="n"/>
    </row>
    <row r="31" outlineLevel="3" ht="15.75" customHeight="1">
      <c r="A31" s="10" t="n">
        <v>25</v>
      </c>
      <c r="B31" s="10" t="inlineStr">
        <is>
          <t>Insumo</t>
        </is>
      </c>
      <c r="C31" s="10" t="inlineStr">
        <is>
          <t>Armazenamento de cerâmicas*</t>
        </is>
      </c>
      <c r="D31" s="10" t="inlineStr">
        <is>
          <t>MADEIRA PINUS/SIMILAR - PONTALETE 75X75MM NBR 11700/15696</t>
        </is>
      </c>
      <c r="E31" s="11">
        <f t="array" ref="E31">_xlfn.XLOOKUP(D31,Insumos!B:B,Insumos!C:$C)</f>
        <v/>
      </c>
      <c r="F31" s="14" t="n">
        <v>4.39</v>
      </c>
      <c r="G31" s="92">
        <f t="array" ref="G31">IF(B31="insumo",_xlfn.XLOOKUP($D31,Insumos!$B$1:$B$996,Insumos!$D$1:$D$996),"")</f>
        <v/>
      </c>
      <c r="H31" s="92" t="n">
        <v>30.73</v>
      </c>
      <c r="I31" s="2162" t="n">
        <v>0</v>
      </c>
      <c r="J31" s="2162" t="n">
        <v>0</v>
      </c>
      <c r="K31" s="2162" t="n"/>
    </row>
    <row r="32" outlineLevel="3" ht="15.75" customHeight="1">
      <c r="A32" s="10" t="n">
        <v>11</v>
      </c>
      <c r="B32" s="10" t="inlineStr">
        <is>
          <t>Insumo</t>
        </is>
      </c>
      <c r="C32" s="10" t="inlineStr">
        <is>
          <t>Armazenamento de cerâmicas*</t>
        </is>
      </c>
      <c r="D32" s="10" t="inlineStr">
        <is>
          <t>MADEIRA PINUS/SIMILAR - SARRAFO PINUS 50X20MM NBR 11700/15696</t>
        </is>
      </c>
      <c r="E32" s="11">
        <f t="array" ref="E32">_xlfn.XLOOKUP(D32,Insumos!B:B,Insumos!C:$C)</f>
        <v/>
      </c>
      <c r="F32" s="14" t="n">
        <v>0.15</v>
      </c>
      <c r="G32" s="92">
        <f t="array" ref="G32">IF(B32="insumo",_xlfn.XLOOKUP($D32,Insumos!$B$1:$B$996,Insumos!$D$1:$D$996),"")</f>
        <v/>
      </c>
      <c r="H32" s="92" t="n">
        <v>6.975</v>
      </c>
      <c r="I32" s="2162" t="n">
        <v>0</v>
      </c>
      <c r="J32" s="2162" t="n">
        <v>0</v>
      </c>
      <c r="K32" s="2162" t="n"/>
    </row>
    <row r="33" outlineLevel="3" ht="15.75" customHeight="1">
      <c r="A33" s="10" t="n">
        <v>10</v>
      </c>
      <c r="B33" s="10" t="inlineStr">
        <is>
          <t>Insumo</t>
        </is>
      </c>
      <c r="C33" s="10" t="inlineStr">
        <is>
          <t>Armazenamento de cerâmicas*</t>
        </is>
      </c>
      <c r="D33" s="10" t="inlineStr">
        <is>
          <t>MADEIRA PINUS/SIMILAR - SARRAFO PINUS 50X10MM NBR 11700</t>
        </is>
      </c>
      <c r="E33" s="11">
        <f t="array" ref="E33">_xlfn.XLOOKUP(D33,Insumos!B:B,Insumos!C:$C)</f>
        <v/>
      </c>
      <c r="F33" s="14" t="n">
        <v>1</v>
      </c>
      <c r="G33" s="92">
        <f t="array" ref="G33">IF(B33="insumo",_xlfn.XLOOKUP($D33,Insumos!$B$1:$B$996,Insumos!$D$1:$D$996),"")</f>
        <v/>
      </c>
      <c r="H33" s="92" t="n">
        <v>7.39</v>
      </c>
      <c r="I33" s="2162" t="n">
        <v>0</v>
      </c>
      <c r="J33" s="2162" t="n">
        <v>0</v>
      </c>
      <c r="K33" s="2162" t="n"/>
    </row>
    <row r="34" outlineLevel="3" ht="15.75" customHeight="1">
      <c r="A34" s="10" t="n">
        <v>40</v>
      </c>
      <c r="B34" s="10" t="inlineStr">
        <is>
          <t>Insumo</t>
        </is>
      </c>
      <c r="C34" s="10" t="inlineStr">
        <is>
          <t>Armazenamento de cerâmicas*</t>
        </is>
      </c>
      <c r="D34" s="10" t="inlineStr">
        <is>
          <t>PREGO DE ACO POLIDO COM CABECA 17 X 21 (2 X 11)</t>
        </is>
      </c>
      <c r="E34" s="11">
        <f t="array" ref="E34">_xlfn.XLOOKUP(D34,Insumos!B:B,Insumos!C:$C)</f>
        <v/>
      </c>
      <c r="F34" s="14" t="n">
        <v>1</v>
      </c>
      <c r="G34" s="92">
        <f t="array" ref="G34">IF(B34="insumo",_xlfn.XLOOKUP($D34,Insumos!$B$1:$B$996,Insumos!$D$1:$D$996),"")</f>
        <v/>
      </c>
      <c r="H34" s="92" t="n">
        <v>18.13</v>
      </c>
      <c r="I34" s="2162" t="n">
        <v>0</v>
      </c>
      <c r="J34" s="2162" t="n">
        <v>0</v>
      </c>
      <c r="K34" s="2162" t="n"/>
    </row>
    <row r="35" outlineLevel="3" ht="15.75" customHeight="1">
      <c r="A35" s="10" t="n">
        <v>10</v>
      </c>
      <c r="B35" s="10" t="inlineStr">
        <is>
          <t>Insumo</t>
        </is>
      </c>
      <c r="C35" s="10" t="inlineStr">
        <is>
          <t>Armazenamento de cerâmicas*</t>
        </is>
      </c>
      <c r="D35" s="10" t="inlineStr">
        <is>
          <t>EXTINTOR INCENDIO PO QUIMICO 06KG CLASSE ABC (COMPLETO) NBR 15808</t>
        </is>
      </c>
      <c r="E35" s="11">
        <f t="array" ref="E35">_xlfn.XLOOKUP(D35,Insumos!B:B,Insumos!C:$C)</f>
        <v/>
      </c>
      <c r="F35" s="14" t="n">
        <v>0.015</v>
      </c>
      <c r="G35" s="92">
        <f t="array" ref="G35">IF(B35="insumo",_xlfn.XLOOKUP($D35,Insumos!$B$1:$B$996,Insumos!$D$1:$D$996),"")</f>
        <v/>
      </c>
      <c r="H35" s="92" t="n">
        <v>2.78055</v>
      </c>
      <c r="I35" s="2162" t="n">
        <v>0</v>
      </c>
      <c r="J35" s="2162" t="n">
        <v>0</v>
      </c>
      <c r="K35" s="2162" t="n"/>
    </row>
    <row r="36" outlineLevel="3" ht="15.75" customHeight="1">
      <c r="A36" s="10" t="n">
        <v>10</v>
      </c>
      <c r="B36" s="10" t="inlineStr">
        <is>
          <t>Insumo</t>
        </is>
      </c>
      <c r="C36" s="10" t="inlineStr">
        <is>
          <t>Armazenamento de cerâmicas*</t>
        </is>
      </c>
      <c r="D36" s="10" t="inlineStr">
        <is>
          <t>MATERIAL PARA INSTALAÇÃO ELÉTRICA</t>
        </is>
      </c>
      <c r="E36" s="11">
        <f t="array" ref="E36">_xlfn.XLOOKUP(D36,Insumos!B:B,Insumos!C:$C)</f>
        <v/>
      </c>
      <c r="F36" s="14" t="n">
        <v>1</v>
      </c>
      <c r="G36" s="92">
        <f t="array" ref="G36">IF(B36="insumo",_xlfn.XLOOKUP($D36,Insumos!$B$1:$B$996,Insumos!$D$1:$D$996),"")</f>
        <v/>
      </c>
      <c r="H36" s="92" t="n">
        <v>215</v>
      </c>
      <c r="I36" s="2162" t="n">
        <v>0</v>
      </c>
      <c r="J36" s="2162" t="n">
        <v>0</v>
      </c>
      <c r="K36" s="2162" t="n"/>
    </row>
    <row r="37" outlineLevel="3" ht="15.75" customHeight="1">
      <c r="A37" s="10" t="n">
        <v>10</v>
      </c>
      <c r="B37" s="10" t="inlineStr">
        <is>
          <t>Insumo</t>
        </is>
      </c>
      <c r="C37" s="10" t="inlineStr">
        <is>
          <t>Armazenamento de cerâmicas*</t>
        </is>
      </c>
      <c r="D37" s="10" t="inlineStr">
        <is>
          <t>SERVICO INSTALAÇÃO BARRACAO ALMOXARIFADO</t>
        </is>
      </c>
      <c r="E37" s="11">
        <f t="array" ref="E37">_xlfn.XLOOKUP(D37,Insumos!B:B,Insumos!C:$C)</f>
        <v/>
      </c>
      <c r="F37" s="14" t="n">
        <v>1</v>
      </c>
      <c r="G37" s="92">
        <f t="array" ref="G37">IF(B37="insumo",_xlfn.XLOOKUP($D37,Insumos!$B$1:$B$996,Insumos!$D$1:$D$996),"")</f>
        <v/>
      </c>
      <c r="H37" s="92" t="n">
        <v>50</v>
      </c>
      <c r="I37" s="2162" t="n">
        <v>0</v>
      </c>
      <c r="J37" s="2162" t="n">
        <v>0</v>
      </c>
      <c r="K37" s="2162" t="n"/>
    </row>
    <row r="38" outlineLevel="2" ht="15.75" customHeight="1">
      <c r="A38" s="1067" t="n">
        <v>1</v>
      </c>
      <c r="B38" s="1067" t="inlineStr">
        <is>
          <t>Serviço</t>
        </is>
      </c>
      <c r="C38" s="1067" t="inlineStr">
        <is>
          <t>Armazenamento de placas degesso*</t>
        </is>
      </c>
      <c r="D38" s="1067" t="inlineStr">
        <is>
          <t>Armazenamento de placas degesso*</t>
        </is>
      </c>
      <c r="E38" s="1068" t="inlineStr">
        <is>
          <t>M2</t>
        </is>
      </c>
      <c r="F38" s="1067" t="n"/>
      <c r="G38" s="1069">
        <f t="array" ref="G38">IF(B38="insumo",_xlfn.XLOOKUP($D38,Insumos!$B$1:$B$996,Insumos!$D$1:$D$996),"")</f>
        <v/>
      </c>
      <c r="H38" s="1069" t="n">
        <v>382.10489</v>
      </c>
      <c r="I38" s="2161" t="n">
        <v>0</v>
      </c>
      <c r="J38" s="2161" t="n">
        <v>0</v>
      </c>
      <c r="K38" s="2161" t="n"/>
    </row>
    <row r="39" outlineLevel="3" ht="15.75" customHeight="1">
      <c r="A39" s="10" t="n">
        <v>11</v>
      </c>
      <c r="B39" s="10" t="inlineStr">
        <is>
          <t>Insumo</t>
        </is>
      </c>
      <c r="C39" s="10" t="inlineStr">
        <is>
          <t>Armazenamento de placas degesso*</t>
        </is>
      </c>
      <c r="D39" s="10" t="inlineStr">
        <is>
          <t>MADEIRA PINUS/SIMILAR - TABUA PINUS 200X20MM NBR 11700</t>
        </is>
      </c>
      <c r="E39" s="11">
        <f t="array" ref="E39">_xlfn.XLOOKUP(D39,Insumos!B:B,Insumos!C:$C)</f>
        <v/>
      </c>
      <c r="F39" s="14" t="n">
        <v>0.591</v>
      </c>
      <c r="G39" s="92">
        <f t="array" ref="G39">IF(B39="insumo",_xlfn.XLOOKUP($D39,Insumos!$B$1:$B$996,Insumos!$D$1:$D$996),"")</f>
        <v/>
      </c>
      <c r="H39" s="92" t="n">
        <v>27.4815</v>
      </c>
      <c r="I39" s="2162" t="n">
        <v>0</v>
      </c>
      <c r="J39" s="2162" t="n">
        <v>0</v>
      </c>
      <c r="K39" s="2162" t="n"/>
    </row>
    <row r="40" outlineLevel="3" ht="15.75" customHeight="1">
      <c r="A40" s="10" t="n">
        <v>10</v>
      </c>
      <c r="B40" s="10" t="inlineStr">
        <is>
          <t>Insumo</t>
        </is>
      </c>
      <c r="C40" s="10" t="inlineStr">
        <is>
          <t>Armazenamento de placas degesso*</t>
        </is>
      </c>
      <c r="D40" s="10" t="inlineStr">
        <is>
          <t>COMPENSADO MADEIRA TIPO RESINADO COLA FENOLICA 2440X1220X10MM</t>
        </is>
      </c>
      <c r="E40" s="11">
        <f t="array" ref="E40">_xlfn.XLOOKUP(D40,Insumos!B:B,Insumos!C:$C)</f>
        <v/>
      </c>
      <c r="F40" s="14" t="n">
        <v>0.404</v>
      </c>
      <c r="G40" s="92">
        <f t="array" ref="G40">IF(B40="insumo",_xlfn.XLOOKUP($D40,Insumos!$B$1:$B$996,Insumos!$D$1:$D$996),"")</f>
        <v/>
      </c>
      <c r="H40" s="92" t="n">
        <v>23.61784</v>
      </c>
      <c r="I40" s="2162" t="n">
        <v>0</v>
      </c>
      <c r="J40" s="2162" t="n">
        <v>0</v>
      </c>
      <c r="K40" s="2162" t="n"/>
    </row>
    <row r="41" outlineLevel="3" ht="15.75" customHeight="1">
      <c r="A41" s="10" t="n">
        <v>25</v>
      </c>
      <c r="B41" s="10" t="inlineStr">
        <is>
          <t>Insumo</t>
        </is>
      </c>
      <c r="C41" s="10" t="inlineStr">
        <is>
          <t>Armazenamento de placas degesso*</t>
        </is>
      </c>
      <c r="D41" s="10" t="inlineStr">
        <is>
          <t>MADEIRA PINUS/SIMILAR - PONTALETE 75X75MM NBR 11700/15696</t>
        </is>
      </c>
      <c r="E41" s="11">
        <f t="array" ref="E41">_xlfn.XLOOKUP(D41,Insumos!B:B,Insumos!C:$C)</f>
        <v/>
      </c>
      <c r="F41" s="14" t="n">
        <v>4.39</v>
      </c>
      <c r="G41" s="92">
        <f t="array" ref="G41">IF(B41="insumo",_xlfn.XLOOKUP($D41,Insumos!$B$1:$B$996,Insumos!$D$1:$D$996),"")</f>
        <v/>
      </c>
      <c r="H41" s="92" t="n">
        <v>30.73</v>
      </c>
      <c r="I41" s="2162" t="n">
        <v>0</v>
      </c>
      <c r="J41" s="2162" t="n">
        <v>0</v>
      </c>
      <c r="K41" s="2162" t="n"/>
    </row>
    <row r="42" outlineLevel="3" ht="15.75" customHeight="1">
      <c r="A42" s="10" t="n">
        <v>11</v>
      </c>
      <c r="B42" s="10" t="inlineStr">
        <is>
          <t>Insumo</t>
        </is>
      </c>
      <c r="C42" s="10" t="inlineStr">
        <is>
          <t>Armazenamento de placas degesso*</t>
        </is>
      </c>
      <c r="D42" s="10" t="inlineStr">
        <is>
          <t>MADEIRA PINUS/SIMILAR - SARRAFO PINUS 50X20MM NBR 11700/15696</t>
        </is>
      </c>
      <c r="E42" s="11">
        <f t="array" ref="E42">_xlfn.XLOOKUP(D42,Insumos!B:B,Insumos!C:$C)</f>
        <v/>
      </c>
      <c r="F42" s="14" t="n">
        <v>0.15</v>
      </c>
      <c r="G42" s="92">
        <f t="array" ref="G42">IF(B42="insumo",_xlfn.XLOOKUP($D42,Insumos!$B$1:$B$996,Insumos!$D$1:$D$996),"")</f>
        <v/>
      </c>
      <c r="H42" s="92" t="n">
        <v>6.975</v>
      </c>
      <c r="I42" s="2162" t="n">
        <v>0</v>
      </c>
      <c r="J42" s="2162" t="n">
        <v>0</v>
      </c>
      <c r="K42" s="2162" t="n"/>
    </row>
    <row r="43" outlineLevel="3" ht="15.75" customHeight="1">
      <c r="A43" s="10" t="n">
        <v>10</v>
      </c>
      <c r="B43" s="10" t="inlineStr">
        <is>
          <t>Insumo</t>
        </is>
      </c>
      <c r="C43" s="10" t="inlineStr">
        <is>
          <t>Armazenamento de placas degesso*</t>
        </is>
      </c>
      <c r="D43" s="10" t="inlineStr">
        <is>
          <t>MADEIRA PINUS/SIMILAR - SARRAFO PINUS 50X10MM NBR 11700</t>
        </is>
      </c>
      <c r="E43" s="11">
        <f t="array" ref="E43">_xlfn.XLOOKUP(D43,Insumos!B:B,Insumos!C:$C)</f>
        <v/>
      </c>
      <c r="F43" s="14" t="n">
        <v>1</v>
      </c>
      <c r="G43" s="92">
        <f t="array" ref="G43">IF(B43="insumo",_xlfn.XLOOKUP($D43,Insumos!$B$1:$B$996,Insumos!$D$1:$D$996),"")</f>
        <v/>
      </c>
      <c r="H43" s="92" t="n">
        <v>7.39</v>
      </c>
      <c r="I43" s="2162" t="n">
        <v>0</v>
      </c>
      <c r="J43" s="2162" t="n">
        <v>0</v>
      </c>
      <c r="K43" s="2162" t="n"/>
    </row>
    <row r="44" outlineLevel="3" ht="15.75" customHeight="1">
      <c r="A44" s="10" t="n">
        <v>40</v>
      </c>
      <c r="B44" s="10" t="inlineStr">
        <is>
          <t>Insumo</t>
        </is>
      </c>
      <c r="C44" s="10" t="inlineStr">
        <is>
          <t>Armazenamento de placas degesso*</t>
        </is>
      </c>
      <c r="D44" s="10" t="inlineStr">
        <is>
          <t>PREGO DE ACO POLIDO COM CABECA 17 X 21 (2 X 11)</t>
        </is>
      </c>
      <c r="E44" s="11">
        <f t="array" ref="E44">_xlfn.XLOOKUP(D44,Insumos!B:B,Insumos!C:$C)</f>
        <v/>
      </c>
      <c r="F44" s="14" t="n">
        <v>1</v>
      </c>
      <c r="G44" s="92">
        <f t="array" ref="G44">IF(B44="insumo",_xlfn.XLOOKUP($D44,Insumos!$B$1:$B$996,Insumos!$D$1:$D$996),"")</f>
        <v/>
      </c>
      <c r="H44" s="92" t="n">
        <v>18.13</v>
      </c>
      <c r="I44" s="2162" t="n">
        <v>0</v>
      </c>
      <c r="J44" s="2162" t="n">
        <v>0</v>
      </c>
      <c r="K44" s="2162" t="n"/>
    </row>
    <row r="45" outlineLevel="3" ht="15.75" customHeight="1">
      <c r="A45" s="10" t="n">
        <v>10</v>
      </c>
      <c r="B45" s="10" t="inlineStr">
        <is>
          <t>Insumo</t>
        </is>
      </c>
      <c r="C45" s="10" t="inlineStr">
        <is>
          <t>Armazenamento de placas degesso*</t>
        </is>
      </c>
      <c r="D45" s="10" t="inlineStr">
        <is>
          <t>EXTINTOR INCENDIO PO QUIMICO 06KG CLASSE ABC (COMPLETO) NBR 15808</t>
        </is>
      </c>
      <c r="E45" s="11">
        <f t="array" ref="E45">_xlfn.XLOOKUP(D45,Insumos!B:B,Insumos!C:$C)</f>
        <v/>
      </c>
      <c r="F45" s="14" t="n">
        <v>0.015</v>
      </c>
      <c r="G45" s="92">
        <f t="array" ref="G45">IF(B45="insumo",_xlfn.XLOOKUP($D45,Insumos!$B$1:$B$996,Insumos!$D$1:$D$996),"")</f>
        <v/>
      </c>
      <c r="H45" s="92" t="n">
        <v>2.78055</v>
      </c>
      <c r="I45" s="2162" t="n">
        <v>0</v>
      </c>
      <c r="J45" s="2162" t="n">
        <v>0</v>
      </c>
      <c r="K45" s="2162" t="n"/>
    </row>
    <row r="46" outlineLevel="3" ht="15.75" customHeight="1">
      <c r="A46" s="10" t="n">
        <v>10</v>
      </c>
      <c r="B46" s="10" t="inlineStr">
        <is>
          <t>Insumo</t>
        </is>
      </c>
      <c r="C46" s="10" t="inlineStr">
        <is>
          <t>Armazenamento de placas degesso*</t>
        </is>
      </c>
      <c r="D46" s="10" t="inlineStr">
        <is>
          <t>MATERIAL PARA INSTALAÇÃO ELÉTRICA</t>
        </is>
      </c>
      <c r="E46" s="11">
        <f t="array" ref="E46">_xlfn.XLOOKUP(D46,Insumos!B:B,Insumos!C:$C)</f>
        <v/>
      </c>
      <c r="F46" s="14" t="n">
        <v>1</v>
      </c>
      <c r="G46" s="92">
        <f t="array" ref="G46">IF(B46="insumo",_xlfn.XLOOKUP($D46,Insumos!$B$1:$B$996,Insumos!$D$1:$D$996),"")</f>
        <v/>
      </c>
      <c r="H46" s="92" t="n">
        <v>215</v>
      </c>
      <c r="I46" s="2162" t="n">
        <v>0</v>
      </c>
      <c r="J46" s="2162" t="n">
        <v>0</v>
      </c>
      <c r="K46" s="2162" t="n"/>
    </row>
    <row r="47" outlineLevel="3" ht="15.75" customHeight="1">
      <c r="A47" s="10" t="n">
        <v>10</v>
      </c>
      <c r="B47" s="10" t="inlineStr">
        <is>
          <t>Insumo</t>
        </is>
      </c>
      <c r="C47" s="10" t="inlineStr">
        <is>
          <t>Armazenamento de placas degesso*</t>
        </is>
      </c>
      <c r="D47" s="10" t="inlineStr">
        <is>
          <t>SERVICO INSTALAÇÃO BARRACAO ALMOXARIFADO</t>
        </is>
      </c>
      <c r="E47" s="11">
        <f t="array" ref="E47">_xlfn.XLOOKUP(D47,Insumos!B:B,Insumos!C:$C)</f>
        <v/>
      </c>
      <c r="F47" s="14" t="n">
        <v>1</v>
      </c>
      <c r="G47" s="92">
        <f t="array" ref="G47">IF(B47="insumo",_xlfn.XLOOKUP($D47,Insumos!$B$1:$B$996,Insumos!$D$1:$D$996),"")</f>
        <v/>
      </c>
      <c r="H47" s="92" t="n">
        <v>50</v>
      </c>
      <c r="I47" s="2162" t="n">
        <v>0</v>
      </c>
      <c r="J47" s="2162" t="n">
        <v>0</v>
      </c>
      <c r="K47" s="2162" t="n"/>
    </row>
    <row r="48" outlineLevel="2" ht="15.75" customHeight="1">
      <c r="A48" s="1067" t="n">
        <v>1</v>
      </c>
      <c r="B48" s="1067" t="inlineStr">
        <is>
          <t>Serviço</t>
        </is>
      </c>
      <c r="C48" s="1067" t="inlineStr">
        <is>
          <t>Armazenamento de blocos*</t>
        </is>
      </c>
      <c r="D48" s="1067" t="inlineStr">
        <is>
          <t>Armazenamento de blocos*</t>
        </is>
      </c>
      <c r="E48" s="1068" t="inlineStr">
        <is>
          <t>M2</t>
        </is>
      </c>
      <c r="F48" s="1067" t="n"/>
      <c r="G48" s="1069">
        <f t="array" ref="G48">IF(B48="insumo",_xlfn.XLOOKUP($D48,Insumos!$B$1:$B$996,Insumos!$D$1:$D$996),"")</f>
        <v/>
      </c>
      <c r="H48" s="1069" t="n">
        <v>382.10489</v>
      </c>
      <c r="I48" s="2161" t="n">
        <v>0</v>
      </c>
      <c r="J48" s="2161" t="n">
        <v>0</v>
      </c>
      <c r="K48" s="2161" t="n"/>
    </row>
    <row r="49" outlineLevel="3" ht="15.75" customHeight="1">
      <c r="A49" s="10" t="n">
        <v>11</v>
      </c>
      <c r="B49" s="10" t="inlineStr">
        <is>
          <t>Insumo</t>
        </is>
      </c>
      <c r="C49" s="10" t="inlineStr">
        <is>
          <t>Armazenamento de blocos*</t>
        </is>
      </c>
      <c r="D49" s="10" t="inlineStr">
        <is>
          <t>MADEIRA PINUS/SIMILAR - TABUA PINUS 200X20MM NBR 11700</t>
        </is>
      </c>
      <c r="E49" s="11">
        <f t="array" ref="E49">_xlfn.XLOOKUP(D49,Insumos!B:B,Insumos!C:$C)</f>
        <v/>
      </c>
      <c r="F49" s="14" t="n">
        <v>0.591</v>
      </c>
      <c r="G49" s="92">
        <f t="array" ref="G49">IF(B49="insumo",_xlfn.XLOOKUP($D49,Insumos!$B$1:$B$996,Insumos!$D$1:$D$996),"")</f>
        <v/>
      </c>
      <c r="H49" s="92" t="n">
        <v>27.4815</v>
      </c>
      <c r="I49" s="2162" t="n">
        <v>0</v>
      </c>
      <c r="J49" s="2162" t="n">
        <v>0</v>
      </c>
      <c r="K49" s="2162" t="n"/>
    </row>
    <row r="50" outlineLevel="3" ht="15.75" customHeight="1">
      <c r="A50" s="10" t="n">
        <v>10</v>
      </c>
      <c r="B50" s="10" t="inlineStr">
        <is>
          <t>Insumo</t>
        </is>
      </c>
      <c r="C50" s="10" t="inlineStr">
        <is>
          <t>Armazenamento de blocos*</t>
        </is>
      </c>
      <c r="D50" s="10" t="inlineStr">
        <is>
          <t>COMPENSADO MADEIRA TIPO RESINADO COLA FENOLICA 2440X1220X10MM</t>
        </is>
      </c>
      <c r="E50" s="11">
        <f t="array" ref="E50">_xlfn.XLOOKUP(D50,Insumos!B:B,Insumos!C:$C)</f>
        <v/>
      </c>
      <c r="F50" s="14" t="n">
        <v>0.404</v>
      </c>
      <c r="G50" s="92">
        <f t="array" ref="G50">IF(B50="insumo",_xlfn.XLOOKUP($D50,Insumos!$B$1:$B$996,Insumos!$D$1:$D$996),"")</f>
        <v/>
      </c>
      <c r="H50" s="92" t="n">
        <v>23.61784</v>
      </c>
      <c r="I50" s="2162" t="n">
        <v>0</v>
      </c>
      <c r="J50" s="2162" t="n">
        <v>0</v>
      </c>
      <c r="K50" s="2162" t="n"/>
    </row>
    <row r="51" outlineLevel="3" ht="15.75" customHeight="1">
      <c r="A51" s="10" t="n">
        <v>25</v>
      </c>
      <c r="B51" s="10" t="inlineStr">
        <is>
          <t>Insumo</t>
        </is>
      </c>
      <c r="C51" s="10" t="inlineStr">
        <is>
          <t>Armazenamento de blocos*</t>
        </is>
      </c>
      <c r="D51" s="10" t="inlineStr">
        <is>
          <t>MADEIRA PINUS/SIMILAR - PONTALETE 75X75MM NBR 11700/15696</t>
        </is>
      </c>
      <c r="E51" s="11">
        <f t="array" ref="E51">_xlfn.XLOOKUP(D51,Insumos!B:B,Insumos!C:$C)</f>
        <v/>
      </c>
      <c r="F51" s="14" t="n">
        <v>4.39</v>
      </c>
      <c r="G51" s="92">
        <f t="array" ref="G51">IF(B51="insumo",_xlfn.XLOOKUP($D51,Insumos!$B$1:$B$996,Insumos!$D$1:$D$996),"")</f>
        <v/>
      </c>
      <c r="H51" s="92" t="n">
        <v>30.73</v>
      </c>
      <c r="I51" s="2162" t="n">
        <v>0</v>
      </c>
      <c r="J51" s="2162" t="n">
        <v>0</v>
      </c>
      <c r="K51" s="2162" t="n"/>
    </row>
    <row r="52" outlineLevel="3" ht="15.75" customHeight="1">
      <c r="A52" s="10" t="n">
        <v>11</v>
      </c>
      <c r="B52" s="10" t="inlineStr">
        <is>
          <t>Insumo</t>
        </is>
      </c>
      <c r="C52" s="10" t="inlineStr">
        <is>
          <t>Armazenamento de blocos*</t>
        </is>
      </c>
      <c r="D52" s="10" t="inlineStr">
        <is>
          <t>MADEIRA PINUS/SIMILAR - SARRAFO PINUS 50X20MM NBR 11700/15696</t>
        </is>
      </c>
      <c r="E52" s="11">
        <f t="array" ref="E52">_xlfn.XLOOKUP(D52,Insumos!B:B,Insumos!C:$C)</f>
        <v/>
      </c>
      <c r="F52" s="14" t="n">
        <v>0.15</v>
      </c>
      <c r="G52" s="92">
        <f t="array" ref="G52">IF(B52="insumo",_xlfn.XLOOKUP($D52,Insumos!$B$1:$B$996,Insumos!$D$1:$D$996),"")</f>
        <v/>
      </c>
      <c r="H52" s="92" t="n">
        <v>6.975</v>
      </c>
      <c r="I52" s="2162" t="n">
        <v>0</v>
      </c>
      <c r="J52" s="2162" t="n">
        <v>0</v>
      </c>
      <c r="K52" s="2162" t="n"/>
    </row>
    <row r="53" outlineLevel="3" ht="15.75" customHeight="1">
      <c r="A53" s="10" t="n">
        <v>10</v>
      </c>
      <c r="B53" s="10" t="inlineStr">
        <is>
          <t>Insumo</t>
        </is>
      </c>
      <c r="C53" s="10" t="inlineStr">
        <is>
          <t>Armazenamento de blocos*</t>
        </is>
      </c>
      <c r="D53" s="10" t="inlineStr">
        <is>
          <t>MADEIRA PINUS/SIMILAR - SARRAFO PINUS 50X10MM NBR 11700</t>
        </is>
      </c>
      <c r="E53" s="11">
        <f t="array" ref="E53">_xlfn.XLOOKUP(D53,Insumos!B:B,Insumos!C:$C)</f>
        <v/>
      </c>
      <c r="F53" s="14" t="n">
        <v>1</v>
      </c>
      <c r="G53" s="92">
        <f t="array" ref="G53">IF(B53="insumo",_xlfn.XLOOKUP($D53,Insumos!$B$1:$B$996,Insumos!$D$1:$D$996),"")</f>
        <v/>
      </c>
      <c r="H53" s="92" t="n">
        <v>7.39</v>
      </c>
      <c r="I53" s="2162" t="n">
        <v>0</v>
      </c>
      <c r="J53" s="2162" t="n">
        <v>0</v>
      </c>
      <c r="K53" s="2162" t="n"/>
    </row>
    <row r="54" outlineLevel="3" ht="15.75" customHeight="1">
      <c r="A54" s="10" t="n">
        <v>40</v>
      </c>
      <c r="B54" s="10" t="inlineStr">
        <is>
          <t>Insumo</t>
        </is>
      </c>
      <c r="C54" s="10" t="inlineStr">
        <is>
          <t>Armazenamento de blocos*</t>
        </is>
      </c>
      <c r="D54" s="10" t="inlineStr">
        <is>
          <t>PREGO DE ACO POLIDO COM CABECA 17 X 21 (2 X 11)</t>
        </is>
      </c>
      <c r="E54" s="11">
        <f t="array" ref="E54">_xlfn.XLOOKUP(D54,Insumos!B:B,Insumos!C:$C)</f>
        <v/>
      </c>
      <c r="F54" s="14" t="n">
        <v>1</v>
      </c>
      <c r="G54" s="92">
        <f t="array" ref="G54">IF(B54="insumo",_xlfn.XLOOKUP($D54,Insumos!$B$1:$B$996,Insumos!$D$1:$D$996),"")</f>
        <v/>
      </c>
      <c r="H54" s="92" t="n">
        <v>18.13</v>
      </c>
      <c r="I54" s="2162" t="n">
        <v>0</v>
      </c>
      <c r="J54" s="2162" t="n">
        <v>0</v>
      </c>
      <c r="K54" s="2162" t="n"/>
    </row>
    <row r="55" outlineLevel="3" ht="15.75" customHeight="1">
      <c r="A55" s="10" t="n">
        <v>10</v>
      </c>
      <c r="B55" s="10" t="inlineStr">
        <is>
          <t>Insumo</t>
        </is>
      </c>
      <c r="C55" s="10" t="inlineStr">
        <is>
          <t>Armazenamento de blocos*</t>
        </is>
      </c>
      <c r="D55" s="10" t="inlineStr">
        <is>
          <t>EXTINTOR INCENDIO PO QUIMICO 06KG CLASSE ABC (COMPLETO) NBR 15808</t>
        </is>
      </c>
      <c r="E55" s="11">
        <f t="array" ref="E55">_xlfn.XLOOKUP(D55,Insumos!B:B,Insumos!C:$C)</f>
        <v/>
      </c>
      <c r="F55" s="14" t="n">
        <v>0.015</v>
      </c>
      <c r="G55" s="92">
        <f t="array" ref="G55">IF(B55="insumo",_xlfn.XLOOKUP($D55,Insumos!$B$1:$B$996,Insumos!$D$1:$D$996),"")</f>
        <v/>
      </c>
      <c r="H55" s="92" t="n">
        <v>2.78055</v>
      </c>
      <c r="I55" s="2162" t="n">
        <v>0</v>
      </c>
      <c r="J55" s="2162" t="n">
        <v>0</v>
      </c>
      <c r="K55" s="2162" t="n"/>
    </row>
    <row r="56" outlineLevel="3" ht="15.75" customHeight="1">
      <c r="A56" s="10" t="n">
        <v>10</v>
      </c>
      <c r="B56" s="10" t="inlineStr">
        <is>
          <t>Insumo</t>
        </is>
      </c>
      <c r="C56" s="10" t="inlineStr">
        <is>
          <t>Armazenamento de blocos*</t>
        </is>
      </c>
      <c r="D56" s="10" t="inlineStr">
        <is>
          <t>MATERIAL PARA INSTALAÇÃO ELÉTRICA</t>
        </is>
      </c>
      <c r="E56" s="11">
        <f t="array" ref="E56">_xlfn.XLOOKUP(D56,Insumos!B:B,Insumos!C:$C)</f>
        <v/>
      </c>
      <c r="F56" s="14" t="n">
        <v>1</v>
      </c>
      <c r="G56" s="92">
        <f t="array" ref="G56">IF(B56="insumo",_xlfn.XLOOKUP($D56,Insumos!$B$1:$B$996,Insumos!$D$1:$D$996),"")</f>
        <v/>
      </c>
      <c r="H56" s="92" t="n">
        <v>215</v>
      </c>
      <c r="I56" s="2162" t="n">
        <v>0</v>
      </c>
      <c r="J56" s="2162" t="n">
        <v>0</v>
      </c>
      <c r="K56" s="2162" t="n"/>
    </row>
    <row r="57" outlineLevel="3" ht="15.75" customHeight="1">
      <c r="A57" s="10" t="n">
        <v>10</v>
      </c>
      <c r="B57" s="10" t="inlineStr">
        <is>
          <t>Insumo</t>
        </is>
      </c>
      <c r="C57" s="10" t="inlineStr">
        <is>
          <t>Armazenamento de blocos*</t>
        </is>
      </c>
      <c r="D57" s="10" t="inlineStr">
        <is>
          <t>SERVICO INSTALAÇÃO BARRACAO ALMOXARIFADO</t>
        </is>
      </c>
      <c r="E57" s="11">
        <f t="array" ref="E57">_xlfn.XLOOKUP(D57,Insumos!B:B,Insumos!C:$C)</f>
        <v/>
      </c>
      <c r="F57" s="14" t="n">
        <v>1</v>
      </c>
      <c r="G57" s="92">
        <f t="array" ref="G57">IF(B57="insumo",_xlfn.XLOOKUP($D57,Insumos!$B$1:$B$996,Insumos!$D$1:$D$996),"")</f>
        <v/>
      </c>
      <c r="H57" s="92" t="n">
        <v>50</v>
      </c>
      <c r="I57" s="2162" t="n">
        <v>0</v>
      </c>
      <c r="J57" s="2162" t="n">
        <v>0</v>
      </c>
      <c r="K57" s="2162" t="n"/>
    </row>
    <row r="58" outlineLevel="2" ht="15.75" customHeight="1">
      <c r="A58" s="1067" t="n">
        <v>1</v>
      </c>
      <c r="B58" s="1067" t="inlineStr">
        <is>
          <t>Serviço</t>
        </is>
      </c>
      <c r="C58" s="1067" t="inlineStr">
        <is>
          <t>Armazenamento de contramarcos*</t>
        </is>
      </c>
      <c r="D58" s="1067" t="inlineStr">
        <is>
          <t>Armazenamento de contramarcos*</t>
        </is>
      </c>
      <c r="E58" s="1068" t="inlineStr">
        <is>
          <t>M2</t>
        </is>
      </c>
      <c r="F58" s="1067" t="n"/>
      <c r="G58" s="1069">
        <f t="array" ref="G58">IF(B58="insumo",_xlfn.XLOOKUP($D58,Insumos!$B$1:$B$996,Insumos!$D$1:$D$996),"")</f>
        <v/>
      </c>
      <c r="H58" s="1069" t="n">
        <v>382.10489</v>
      </c>
      <c r="I58" s="2161" t="n">
        <v>0</v>
      </c>
      <c r="J58" s="2161" t="n">
        <v>0</v>
      </c>
      <c r="K58" s="2161" t="n"/>
    </row>
    <row r="59" outlineLevel="3" ht="15.75" customHeight="1">
      <c r="A59" s="10" t="n">
        <v>11</v>
      </c>
      <c r="B59" s="10" t="inlineStr">
        <is>
          <t>Insumo</t>
        </is>
      </c>
      <c r="C59" s="10" t="inlineStr">
        <is>
          <t>Armazenamento de contramarcos*</t>
        </is>
      </c>
      <c r="D59" s="10" t="inlineStr">
        <is>
          <t>MADEIRA PINUS/SIMILAR - TABUA PINUS 200X20MM NBR 11700</t>
        </is>
      </c>
      <c r="E59" s="11">
        <f t="array" ref="E59">_xlfn.XLOOKUP(D59,Insumos!B:B,Insumos!C:$C)</f>
        <v/>
      </c>
      <c r="F59" s="14" t="n">
        <v>0.591</v>
      </c>
      <c r="G59" s="92">
        <f t="array" ref="G59">IF(B59="insumo",_xlfn.XLOOKUP($D59,Insumos!$B$1:$B$996,Insumos!$D$1:$D$996),"")</f>
        <v/>
      </c>
      <c r="H59" s="92" t="n">
        <v>27.4815</v>
      </c>
      <c r="I59" s="2162" t="n">
        <v>0</v>
      </c>
      <c r="J59" s="2162" t="n">
        <v>0</v>
      </c>
      <c r="K59" s="2162" t="n"/>
    </row>
    <row r="60" outlineLevel="3" ht="15.75" customHeight="1">
      <c r="A60" s="10" t="n">
        <v>10</v>
      </c>
      <c r="B60" s="10" t="inlineStr">
        <is>
          <t>Insumo</t>
        </is>
      </c>
      <c r="C60" s="10" t="inlineStr">
        <is>
          <t>Armazenamento de contramarcos*</t>
        </is>
      </c>
      <c r="D60" s="10" t="inlineStr">
        <is>
          <t>COMPENSADO MADEIRA TIPO RESINADO COLA FENOLICA 2440X1220X10MM</t>
        </is>
      </c>
      <c r="E60" s="11">
        <f t="array" ref="E60">_xlfn.XLOOKUP(D60,Insumos!B:B,Insumos!C:$C)</f>
        <v/>
      </c>
      <c r="F60" s="14" t="n">
        <v>0.404</v>
      </c>
      <c r="G60" s="92">
        <f t="array" ref="G60">IF(B60="insumo",_xlfn.XLOOKUP($D60,Insumos!$B$1:$B$996,Insumos!$D$1:$D$996),"")</f>
        <v/>
      </c>
      <c r="H60" s="92" t="n">
        <v>23.61784</v>
      </c>
      <c r="I60" s="2162" t="n">
        <v>0</v>
      </c>
      <c r="J60" s="2162" t="n">
        <v>0</v>
      </c>
      <c r="K60" s="2162" t="n"/>
    </row>
    <row r="61" outlineLevel="3" ht="15.75" customHeight="1">
      <c r="A61" s="10" t="n">
        <v>25</v>
      </c>
      <c r="B61" s="10" t="inlineStr">
        <is>
          <t>Insumo</t>
        </is>
      </c>
      <c r="C61" s="10" t="inlineStr">
        <is>
          <t>Armazenamento de contramarcos*</t>
        </is>
      </c>
      <c r="D61" s="10" t="inlineStr">
        <is>
          <t>MADEIRA PINUS/SIMILAR - PONTALETE 75X75MM NBR 11700/15696</t>
        </is>
      </c>
      <c r="E61" s="11">
        <f t="array" ref="E61">_xlfn.XLOOKUP(D61,Insumos!B:B,Insumos!C:$C)</f>
        <v/>
      </c>
      <c r="F61" s="14" t="n">
        <v>4.39</v>
      </c>
      <c r="G61" s="92">
        <f t="array" ref="G61">IF(B61="insumo",_xlfn.XLOOKUP($D61,Insumos!$B$1:$B$996,Insumos!$D$1:$D$996),"")</f>
        <v/>
      </c>
      <c r="H61" s="92" t="n">
        <v>30.73</v>
      </c>
      <c r="I61" s="2162" t="n">
        <v>0</v>
      </c>
      <c r="J61" s="2162" t="n">
        <v>0</v>
      </c>
      <c r="K61" s="2162" t="n"/>
    </row>
    <row r="62" outlineLevel="3" ht="15.75" customHeight="1">
      <c r="A62" s="10" t="n">
        <v>11</v>
      </c>
      <c r="B62" s="10" t="inlineStr">
        <is>
          <t>Insumo</t>
        </is>
      </c>
      <c r="C62" s="10" t="inlineStr">
        <is>
          <t>Armazenamento de contramarcos*</t>
        </is>
      </c>
      <c r="D62" s="10" t="inlineStr">
        <is>
          <t>MADEIRA PINUS/SIMILAR - SARRAFO PINUS 50X20MM NBR 11700/15696</t>
        </is>
      </c>
      <c r="E62" s="11">
        <f t="array" ref="E62">_xlfn.XLOOKUP(D62,Insumos!B:B,Insumos!C:$C)</f>
        <v/>
      </c>
      <c r="F62" s="14" t="n">
        <v>0.15</v>
      </c>
      <c r="G62" s="92">
        <f t="array" ref="G62">IF(B62="insumo",_xlfn.XLOOKUP($D62,Insumos!$B$1:$B$996,Insumos!$D$1:$D$996),"")</f>
        <v/>
      </c>
      <c r="H62" s="92" t="n">
        <v>6.975</v>
      </c>
      <c r="I62" s="2162" t="n">
        <v>0</v>
      </c>
      <c r="J62" s="2162" t="n">
        <v>0</v>
      </c>
      <c r="K62" s="2162" t="n"/>
    </row>
    <row r="63" outlineLevel="3" ht="15.75" customHeight="1">
      <c r="A63" s="10" t="n">
        <v>10</v>
      </c>
      <c r="B63" s="10" t="inlineStr">
        <is>
          <t>Insumo</t>
        </is>
      </c>
      <c r="C63" s="10" t="inlineStr">
        <is>
          <t>Armazenamento de contramarcos*</t>
        </is>
      </c>
      <c r="D63" s="10" t="inlineStr">
        <is>
          <t>MADEIRA PINUS/SIMILAR - SARRAFO PINUS 50X10MM NBR 11700</t>
        </is>
      </c>
      <c r="E63" s="11">
        <f t="array" ref="E63">_xlfn.XLOOKUP(D63,Insumos!B:B,Insumos!C:$C)</f>
        <v/>
      </c>
      <c r="F63" s="14" t="n">
        <v>1</v>
      </c>
      <c r="G63" s="92">
        <f t="array" ref="G63">IF(B63="insumo",_xlfn.XLOOKUP($D63,Insumos!$B$1:$B$996,Insumos!$D$1:$D$996),"")</f>
        <v/>
      </c>
      <c r="H63" s="92" t="n">
        <v>7.39</v>
      </c>
      <c r="I63" s="2162" t="n">
        <v>0</v>
      </c>
      <c r="J63" s="2162" t="n">
        <v>0</v>
      </c>
      <c r="K63" s="2162" t="n"/>
    </row>
    <row r="64" outlineLevel="3" ht="15.75" customHeight="1">
      <c r="A64" s="10" t="n">
        <v>40</v>
      </c>
      <c r="B64" s="10" t="inlineStr">
        <is>
          <t>Insumo</t>
        </is>
      </c>
      <c r="C64" s="10" t="inlineStr">
        <is>
          <t>Armazenamento de contramarcos*</t>
        </is>
      </c>
      <c r="D64" s="10" t="inlineStr">
        <is>
          <t>PREGO DE ACO POLIDO COM CABECA 17 X 21 (2 X 11)</t>
        </is>
      </c>
      <c r="E64" s="11">
        <f t="array" ref="E64">_xlfn.XLOOKUP(D64,Insumos!B:B,Insumos!C:$C)</f>
        <v/>
      </c>
      <c r="F64" s="14" t="n">
        <v>1</v>
      </c>
      <c r="G64" s="92">
        <f t="array" ref="G64">IF(B64="insumo",_xlfn.XLOOKUP($D64,Insumos!$B$1:$B$996,Insumos!$D$1:$D$996),"")</f>
        <v/>
      </c>
      <c r="H64" s="92" t="n">
        <v>18.13</v>
      </c>
      <c r="I64" s="2162" t="n">
        <v>0</v>
      </c>
      <c r="J64" s="2162" t="n">
        <v>0</v>
      </c>
      <c r="K64" s="2162" t="n"/>
    </row>
    <row r="65" outlineLevel="3" ht="15.75" customHeight="1">
      <c r="A65" s="10" t="n">
        <v>10</v>
      </c>
      <c r="B65" s="10" t="inlineStr">
        <is>
          <t>Insumo</t>
        </is>
      </c>
      <c r="C65" s="10" t="inlineStr">
        <is>
          <t>Armazenamento de contramarcos*</t>
        </is>
      </c>
      <c r="D65" s="10" t="inlineStr">
        <is>
          <t>EXTINTOR INCENDIO PO QUIMICO 06KG CLASSE ABC (COMPLETO) NBR 15808</t>
        </is>
      </c>
      <c r="E65" s="11">
        <f t="array" ref="E65">_xlfn.XLOOKUP(D65,Insumos!B:B,Insumos!C:$C)</f>
        <v/>
      </c>
      <c r="F65" s="14" t="n">
        <v>0.015</v>
      </c>
      <c r="G65" s="92">
        <f t="array" ref="G65">IF(B65="insumo",_xlfn.XLOOKUP($D65,Insumos!$B$1:$B$996,Insumos!$D$1:$D$996),"")</f>
        <v/>
      </c>
      <c r="H65" s="92" t="n">
        <v>2.78055</v>
      </c>
      <c r="I65" s="2162" t="n">
        <v>0</v>
      </c>
      <c r="J65" s="2162" t="n">
        <v>0</v>
      </c>
      <c r="K65" s="2162" t="n"/>
    </row>
    <row r="66" outlineLevel="3" ht="15.75" customHeight="1">
      <c r="A66" s="10" t="n">
        <v>10</v>
      </c>
      <c r="B66" s="10" t="inlineStr">
        <is>
          <t>Insumo</t>
        </is>
      </c>
      <c r="C66" s="10" t="inlineStr">
        <is>
          <t>Armazenamento de contramarcos*</t>
        </is>
      </c>
      <c r="D66" s="10" t="inlineStr">
        <is>
          <t>MATERIAL PARA INSTALAÇÃO ELÉTRICA</t>
        </is>
      </c>
      <c r="E66" s="11">
        <f t="array" ref="E66">_xlfn.XLOOKUP(D66,Insumos!B:B,Insumos!C:$C)</f>
        <v/>
      </c>
      <c r="F66" s="14" t="n">
        <v>1</v>
      </c>
      <c r="G66" s="92">
        <f t="array" ref="G66">IF(B66="insumo",_xlfn.XLOOKUP($D66,Insumos!$B$1:$B$996,Insumos!$D$1:$D$996),"")</f>
        <v/>
      </c>
      <c r="H66" s="92" t="n">
        <v>215</v>
      </c>
      <c r="I66" s="2162" t="n">
        <v>0</v>
      </c>
      <c r="J66" s="2162" t="n">
        <v>0</v>
      </c>
      <c r="K66" s="2162" t="n"/>
    </row>
    <row r="67" outlineLevel="3" ht="15.75" customHeight="1">
      <c r="A67" s="10" t="n">
        <v>10</v>
      </c>
      <c r="B67" s="10" t="inlineStr">
        <is>
          <t>Insumo</t>
        </is>
      </c>
      <c r="C67" s="10" t="inlineStr">
        <is>
          <t>Armazenamento de contramarcos*</t>
        </is>
      </c>
      <c r="D67" s="10" t="inlineStr">
        <is>
          <t>SERVICO INSTALAÇÃO BARRACAO ALMOXARIFADO</t>
        </is>
      </c>
      <c r="E67" s="11">
        <f t="array" ref="E67">_xlfn.XLOOKUP(D67,Insumos!B:B,Insumos!C:$C)</f>
        <v/>
      </c>
      <c r="F67" s="14" t="n">
        <v>1</v>
      </c>
      <c r="G67" s="92">
        <f t="array" ref="G67">IF(B67="insumo",_xlfn.XLOOKUP($D67,Insumos!$B$1:$B$996,Insumos!$D$1:$D$996),"")</f>
        <v/>
      </c>
      <c r="H67" s="92" t="n">
        <v>50</v>
      </c>
      <c r="I67" s="2162" t="n">
        <v>0</v>
      </c>
      <c r="J67" s="2162" t="n">
        <v>0</v>
      </c>
      <c r="K67" s="2162" t="n"/>
    </row>
    <row r="68" outlineLevel="2" ht="15.75" customHeight="1">
      <c r="A68" s="1067" t="n">
        <v>1</v>
      </c>
      <c r="B68" s="1067" t="inlineStr">
        <is>
          <t>Serviço</t>
        </is>
      </c>
      <c r="C68" s="1067" t="inlineStr">
        <is>
          <t>Armazenamento de portas e rodapés*</t>
        </is>
      </c>
      <c r="D68" s="1067" t="inlineStr">
        <is>
          <t>Armazenamento de portas e rodapés*</t>
        </is>
      </c>
      <c r="E68" s="1068" t="inlineStr">
        <is>
          <t>M2</t>
        </is>
      </c>
      <c r="F68" s="1067" t="n"/>
      <c r="G68" s="1069">
        <f t="array" ref="G68">IF(B68="insumo",_xlfn.XLOOKUP($D68,Insumos!$B$1:$B$996,Insumos!$D$1:$D$996),"")</f>
        <v/>
      </c>
      <c r="H68" s="1069" t="n">
        <v>382.10489</v>
      </c>
      <c r="I68" s="2161" t="n">
        <v>0</v>
      </c>
      <c r="J68" s="2161" t="n">
        <v>0</v>
      </c>
      <c r="K68" s="2161" t="n"/>
    </row>
    <row r="69" outlineLevel="3" ht="15.75" customHeight="1">
      <c r="A69" s="10" t="n">
        <v>11</v>
      </c>
      <c r="B69" s="10" t="inlineStr">
        <is>
          <t>Insumo</t>
        </is>
      </c>
      <c r="C69" s="10" t="inlineStr">
        <is>
          <t>Armazenamento de portas e rodapés*</t>
        </is>
      </c>
      <c r="D69" s="10" t="inlineStr">
        <is>
          <t>MADEIRA PINUS/SIMILAR - TABUA PINUS 200X20MM NBR 11700</t>
        </is>
      </c>
      <c r="E69" s="11">
        <f t="array" ref="E69">_xlfn.XLOOKUP(D69,Insumos!B:B,Insumos!C:$C)</f>
        <v/>
      </c>
      <c r="F69" s="14" t="n">
        <v>0.591</v>
      </c>
      <c r="G69" s="92">
        <f t="array" ref="G69">IF(B69="insumo",_xlfn.XLOOKUP($D69,Insumos!$B$1:$B$996,Insumos!$D$1:$D$996),"")</f>
        <v/>
      </c>
      <c r="H69" s="92" t="n">
        <v>27.4815</v>
      </c>
      <c r="I69" s="2162" t="n">
        <v>0</v>
      </c>
      <c r="J69" s="2162" t="n">
        <v>0</v>
      </c>
      <c r="K69" s="2162" t="n"/>
    </row>
    <row r="70" outlineLevel="3" ht="15.75" customHeight="1">
      <c r="A70" s="10" t="n">
        <v>10</v>
      </c>
      <c r="B70" s="10" t="inlineStr">
        <is>
          <t>Insumo</t>
        </is>
      </c>
      <c r="C70" s="10" t="inlineStr">
        <is>
          <t>Armazenamento de portas e rodapés*</t>
        </is>
      </c>
      <c r="D70" s="10" t="inlineStr">
        <is>
          <t>COMPENSADO MADEIRA TIPO RESINADO COLA FENOLICA 2440X1220X10MM</t>
        </is>
      </c>
      <c r="E70" s="11">
        <f t="array" ref="E70">_xlfn.XLOOKUP(D70,Insumos!B:B,Insumos!C:$C)</f>
        <v/>
      </c>
      <c r="F70" s="14" t="n">
        <v>0.404</v>
      </c>
      <c r="G70" s="92">
        <f t="array" ref="G70">IF(B70="insumo",_xlfn.XLOOKUP($D70,Insumos!$B$1:$B$996,Insumos!$D$1:$D$996),"")</f>
        <v/>
      </c>
      <c r="H70" s="92" t="n">
        <v>23.61784</v>
      </c>
      <c r="I70" s="2162" t="n">
        <v>0</v>
      </c>
      <c r="J70" s="2162" t="n">
        <v>0</v>
      </c>
      <c r="K70" s="2162" t="n"/>
    </row>
    <row r="71" outlineLevel="3" ht="15.75" customHeight="1">
      <c r="A71" s="10" t="n">
        <v>25</v>
      </c>
      <c r="B71" s="10" t="inlineStr">
        <is>
          <t>Insumo</t>
        </is>
      </c>
      <c r="C71" s="10" t="inlineStr">
        <is>
          <t>Armazenamento de portas e rodapés*</t>
        </is>
      </c>
      <c r="D71" s="10" t="inlineStr">
        <is>
          <t>MADEIRA PINUS/SIMILAR - PONTALETE 75X75MM NBR 11700/15696</t>
        </is>
      </c>
      <c r="E71" s="11">
        <f t="array" ref="E71">_xlfn.XLOOKUP(D71,Insumos!B:B,Insumos!C:$C)</f>
        <v/>
      </c>
      <c r="F71" s="14" t="n">
        <v>4.39</v>
      </c>
      <c r="G71" s="92">
        <f t="array" ref="G71">IF(B71="insumo",_xlfn.XLOOKUP($D71,Insumos!$B$1:$B$996,Insumos!$D$1:$D$996),"")</f>
        <v/>
      </c>
      <c r="H71" s="92" t="n">
        <v>30.73</v>
      </c>
      <c r="I71" s="2162" t="n">
        <v>0</v>
      </c>
      <c r="J71" s="2162" t="n">
        <v>0</v>
      </c>
      <c r="K71" s="2162" t="n"/>
    </row>
    <row r="72" outlineLevel="3" ht="15.75" customHeight="1">
      <c r="A72" s="10" t="n">
        <v>11</v>
      </c>
      <c r="B72" s="10" t="inlineStr">
        <is>
          <t>Insumo</t>
        </is>
      </c>
      <c r="C72" s="10" t="inlineStr">
        <is>
          <t>Armazenamento de portas e rodapés*</t>
        </is>
      </c>
      <c r="D72" s="10" t="inlineStr">
        <is>
          <t>MADEIRA PINUS/SIMILAR - SARRAFO PINUS 50X20MM NBR 11700/15696</t>
        </is>
      </c>
      <c r="E72" s="11">
        <f t="array" ref="E72">_xlfn.XLOOKUP(D72,Insumos!B:B,Insumos!C:$C)</f>
        <v/>
      </c>
      <c r="F72" s="14" t="n">
        <v>0.15</v>
      </c>
      <c r="G72" s="92">
        <f t="array" ref="G72">IF(B72="insumo",_xlfn.XLOOKUP($D72,Insumos!$B$1:$B$996,Insumos!$D$1:$D$996),"")</f>
        <v/>
      </c>
      <c r="H72" s="92" t="n">
        <v>6.975</v>
      </c>
      <c r="I72" s="2162" t="n">
        <v>0</v>
      </c>
      <c r="J72" s="2162" t="n">
        <v>0</v>
      </c>
      <c r="K72" s="2162" t="n"/>
    </row>
    <row r="73" outlineLevel="3" ht="15.75" customHeight="1">
      <c r="A73" s="10" t="n">
        <v>10</v>
      </c>
      <c r="B73" s="10" t="inlineStr">
        <is>
          <t>Insumo</t>
        </is>
      </c>
      <c r="C73" s="10" t="inlineStr">
        <is>
          <t>Armazenamento de portas e rodapés*</t>
        </is>
      </c>
      <c r="D73" s="10" t="inlineStr">
        <is>
          <t>MADEIRA PINUS/SIMILAR - SARRAFO PINUS 50X10MM NBR 11700</t>
        </is>
      </c>
      <c r="E73" s="11">
        <f t="array" ref="E73">_xlfn.XLOOKUP(D73,Insumos!B:B,Insumos!C:$C)</f>
        <v/>
      </c>
      <c r="F73" s="14" t="n">
        <v>1</v>
      </c>
      <c r="G73" s="92">
        <f t="array" ref="G73">IF(B73="insumo",_xlfn.XLOOKUP($D73,Insumos!$B$1:$B$996,Insumos!$D$1:$D$996),"")</f>
        <v/>
      </c>
      <c r="H73" s="92" t="n">
        <v>7.39</v>
      </c>
      <c r="I73" s="2162" t="n">
        <v>0</v>
      </c>
      <c r="J73" s="2162" t="n">
        <v>0</v>
      </c>
      <c r="K73" s="2162" t="n"/>
    </row>
    <row r="74" outlineLevel="3" ht="15.75" customHeight="1">
      <c r="A74" s="10" t="n">
        <v>40</v>
      </c>
      <c r="B74" s="10" t="inlineStr">
        <is>
          <t>Insumo</t>
        </is>
      </c>
      <c r="C74" s="10" t="inlineStr">
        <is>
          <t>Armazenamento de portas e rodapés*</t>
        </is>
      </c>
      <c r="D74" s="10" t="inlineStr">
        <is>
          <t>PREGO DE ACO POLIDO COM CABECA 17 X 21 (2 X 11)</t>
        </is>
      </c>
      <c r="E74" s="11">
        <f t="array" ref="E74">_xlfn.XLOOKUP(D74,Insumos!B:B,Insumos!C:$C)</f>
        <v/>
      </c>
      <c r="F74" s="14" t="n">
        <v>1</v>
      </c>
      <c r="G74" s="92">
        <f t="array" ref="G74">IF(B74="insumo",_xlfn.XLOOKUP($D74,Insumos!$B$1:$B$996,Insumos!$D$1:$D$996),"")</f>
        <v/>
      </c>
      <c r="H74" s="92" t="n">
        <v>18.13</v>
      </c>
      <c r="I74" s="2162" t="n">
        <v>0</v>
      </c>
      <c r="J74" s="2162" t="n">
        <v>0</v>
      </c>
      <c r="K74" s="2162" t="n"/>
    </row>
    <row r="75" outlineLevel="3" ht="15.75" customHeight="1">
      <c r="A75" s="10" t="n">
        <v>10</v>
      </c>
      <c r="B75" s="10" t="inlineStr">
        <is>
          <t>Insumo</t>
        </is>
      </c>
      <c r="C75" s="10" t="inlineStr">
        <is>
          <t>Armazenamento de portas e rodapés*</t>
        </is>
      </c>
      <c r="D75" s="10" t="inlineStr">
        <is>
          <t>EXTINTOR INCENDIO PO QUIMICO 06KG CLASSE ABC (COMPLETO) NBR 15808</t>
        </is>
      </c>
      <c r="E75" s="11">
        <f t="array" ref="E75">_xlfn.XLOOKUP(D75,Insumos!B:B,Insumos!C:$C)</f>
        <v/>
      </c>
      <c r="F75" s="14" t="n">
        <v>0.015</v>
      </c>
      <c r="G75" s="92">
        <f t="array" ref="G75">IF(B75="insumo",_xlfn.XLOOKUP($D75,Insumos!$B$1:$B$996,Insumos!$D$1:$D$996),"")</f>
        <v/>
      </c>
      <c r="H75" s="92" t="n">
        <v>2.78055</v>
      </c>
      <c r="I75" s="2162" t="n">
        <v>0</v>
      </c>
      <c r="J75" s="2162" t="n">
        <v>0</v>
      </c>
      <c r="K75" s="2162" t="n"/>
    </row>
    <row r="76" outlineLevel="3" ht="15.75" customHeight="1">
      <c r="A76" s="10" t="n">
        <v>10</v>
      </c>
      <c r="B76" s="10" t="inlineStr">
        <is>
          <t>Insumo</t>
        </is>
      </c>
      <c r="C76" s="10" t="inlineStr">
        <is>
          <t>Armazenamento de portas e rodapés*</t>
        </is>
      </c>
      <c r="D76" s="10" t="inlineStr">
        <is>
          <t>MATERIAL PARA INSTALAÇÃO ELÉTRICA</t>
        </is>
      </c>
      <c r="E76" s="11">
        <f t="array" ref="E76">_xlfn.XLOOKUP(D76,Insumos!B:B,Insumos!C:$C)</f>
        <v/>
      </c>
      <c r="F76" s="14" t="n">
        <v>1</v>
      </c>
      <c r="G76" s="92">
        <f t="array" ref="G76">IF(B76="insumo",_xlfn.XLOOKUP($D76,Insumos!$B$1:$B$996,Insumos!$D$1:$D$996),"")</f>
        <v/>
      </c>
      <c r="H76" s="92" t="n">
        <v>215</v>
      </c>
      <c r="I76" s="2162" t="n">
        <v>0</v>
      </c>
      <c r="J76" s="2162" t="n">
        <v>0</v>
      </c>
      <c r="K76" s="2162" t="n"/>
    </row>
    <row r="77" outlineLevel="3" ht="15.75" customHeight="1">
      <c r="A77" s="10" t="n">
        <v>10</v>
      </c>
      <c r="B77" s="10" t="inlineStr">
        <is>
          <t>Insumo</t>
        </is>
      </c>
      <c r="C77" s="10" t="inlineStr">
        <is>
          <t>Armazenamento de portas e rodapés*</t>
        </is>
      </c>
      <c r="D77" s="10" t="inlineStr">
        <is>
          <t>SERVICO INSTALAÇÃO BARRACAO ALMOXARIFADO</t>
        </is>
      </c>
      <c r="E77" s="11">
        <f t="array" ref="E77">_xlfn.XLOOKUP(D77,Insumos!B:B,Insumos!C:$C)</f>
        <v/>
      </c>
      <c r="F77" s="14" t="n">
        <v>1</v>
      </c>
      <c r="G77" s="92">
        <f t="array" ref="G77">IF(B77="insumo",_xlfn.XLOOKUP($D77,Insumos!$B$1:$B$996,Insumos!$D$1:$D$996),"")</f>
        <v/>
      </c>
      <c r="H77" s="92" t="n">
        <v>50</v>
      </c>
      <c r="I77" s="2162" t="n">
        <v>0</v>
      </c>
      <c r="J77" s="2162" t="n">
        <v>0</v>
      </c>
      <c r="K77" s="2162" t="n"/>
    </row>
    <row r="78" outlineLevel="2" ht="15.75" customHeight="1">
      <c r="A78" s="1067" t="n">
        <v>1</v>
      </c>
      <c r="B78" s="1067" t="inlineStr">
        <is>
          <t>Serviço</t>
        </is>
      </c>
      <c r="C78" s="1067" t="inlineStr">
        <is>
          <t>Armazenamento de esquadrias*</t>
        </is>
      </c>
      <c r="D78" s="1067" t="inlineStr">
        <is>
          <t>Armazenamento de esquadrias*</t>
        </is>
      </c>
      <c r="E78" s="1068" t="inlineStr">
        <is>
          <t>M2</t>
        </is>
      </c>
      <c r="F78" s="1067" t="n"/>
      <c r="G78" s="1069">
        <f t="array" ref="G78">IF(B78="insumo",_xlfn.XLOOKUP($D78,Insumos!$B$1:$B$996,Insumos!$D$1:$D$996),"")</f>
        <v/>
      </c>
      <c r="H78" s="1069" t="n">
        <v>382.10489</v>
      </c>
      <c r="I78" s="2161" t="n">
        <v>0</v>
      </c>
      <c r="J78" s="2161" t="n">
        <v>0</v>
      </c>
      <c r="K78" s="2161" t="n"/>
    </row>
    <row r="79" outlineLevel="3" ht="15.75" customHeight="1">
      <c r="A79" s="10" t="n">
        <v>11</v>
      </c>
      <c r="B79" s="10" t="inlineStr">
        <is>
          <t>Insumo</t>
        </is>
      </c>
      <c r="C79" s="10" t="inlineStr">
        <is>
          <t>Armazenamento de esquadrias*</t>
        </is>
      </c>
      <c r="D79" s="10" t="inlineStr">
        <is>
          <t>MADEIRA PINUS/SIMILAR - TABUA PINUS 200X20MM NBR 11700</t>
        </is>
      </c>
      <c r="E79" s="11">
        <f t="array" ref="E79">_xlfn.XLOOKUP(D79,Insumos!B:B,Insumos!C:$C)</f>
        <v/>
      </c>
      <c r="F79" s="14" t="n">
        <v>0.591</v>
      </c>
      <c r="G79" s="92">
        <f t="array" ref="G79">IF(B79="insumo",_xlfn.XLOOKUP($D79,Insumos!$B$1:$B$996,Insumos!$D$1:$D$996),"")</f>
        <v/>
      </c>
      <c r="H79" s="92" t="n">
        <v>27.4815</v>
      </c>
      <c r="I79" s="2162" t="n">
        <v>0</v>
      </c>
      <c r="J79" s="2162" t="n">
        <v>0</v>
      </c>
      <c r="K79" s="2162" t="n"/>
    </row>
    <row r="80" outlineLevel="3" ht="15.75" customHeight="1">
      <c r="A80" s="10" t="n">
        <v>10</v>
      </c>
      <c r="B80" s="10" t="inlineStr">
        <is>
          <t>Insumo</t>
        </is>
      </c>
      <c r="C80" s="10" t="inlineStr">
        <is>
          <t>Armazenamento de esquadrias*</t>
        </is>
      </c>
      <c r="D80" s="10" t="inlineStr">
        <is>
          <t>COMPENSADO MADEIRA TIPO RESINADO COLA FENOLICA 2440X1220X10MM</t>
        </is>
      </c>
      <c r="E80" s="11">
        <f t="array" ref="E80">_xlfn.XLOOKUP(D80,Insumos!B:B,Insumos!C:$C)</f>
        <v/>
      </c>
      <c r="F80" s="14" t="n">
        <v>0.404</v>
      </c>
      <c r="G80" s="92">
        <f t="array" ref="G80">IF(B80="insumo",_xlfn.XLOOKUP($D80,Insumos!$B$1:$B$996,Insumos!$D$1:$D$996),"")</f>
        <v/>
      </c>
      <c r="H80" s="92" t="n">
        <v>23.61784</v>
      </c>
      <c r="I80" s="2162" t="n">
        <v>0</v>
      </c>
      <c r="J80" s="2162" t="n">
        <v>0</v>
      </c>
      <c r="K80" s="2162" t="n"/>
    </row>
    <row r="81" outlineLevel="3" ht="15.75" customHeight="1">
      <c r="A81" s="10" t="n">
        <v>25</v>
      </c>
      <c r="B81" s="10" t="inlineStr">
        <is>
          <t>Insumo</t>
        </is>
      </c>
      <c r="C81" s="10" t="inlineStr">
        <is>
          <t>Armazenamento de esquadrias*</t>
        </is>
      </c>
      <c r="D81" s="10" t="inlineStr">
        <is>
          <t>MADEIRA PINUS/SIMILAR - PONTALETE 75X75MM NBR 11700/15696</t>
        </is>
      </c>
      <c r="E81" s="11">
        <f t="array" ref="E81">_xlfn.XLOOKUP(D81,Insumos!B:B,Insumos!C:$C)</f>
        <v/>
      </c>
      <c r="F81" s="14" t="n">
        <v>4.39</v>
      </c>
      <c r="G81" s="92">
        <f t="array" ref="G81">IF(B81="insumo",_xlfn.XLOOKUP($D81,Insumos!$B$1:$B$996,Insumos!$D$1:$D$996),"")</f>
        <v/>
      </c>
      <c r="H81" s="92" t="n">
        <v>30.73</v>
      </c>
      <c r="I81" s="2162" t="n">
        <v>0</v>
      </c>
      <c r="J81" s="2162" t="n">
        <v>0</v>
      </c>
      <c r="K81" s="2162" t="n"/>
    </row>
    <row r="82" outlineLevel="3" ht="15.75" customHeight="1">
      <c r="A82" s="10" t="n">
        <v>11</v>
      </c>
      <c r="B82" s="10" t="inlineStr">
        <is>
          <t>Insumo</t>
        </is>
      </c>
      <c r="C82" s="10" t="inlineStr">
        <is>
          <t>Armazenamento de esquadrias*</t>
        </is>
      </c>
      <c r="D82" s="10" t="inlineStr">
        <is>
          <t>MADEIRA PINUS/SIMILAR - SARRAFO PINUS 50X20MM NBR 11700/15696</t>
        </is>
      </c>
      <c r="E82" s="11">
        <f t="array" ref="E82">_xlfn.XLOOKUP(D82,Insumos!B:B,Insumos!C:$C)</f>
        <v/>
      </c>
      <c r="F82" s="14" t="n">
        <v>0.15</v>
      </c>
      <c r="G82" s="92">
        <f t="array" ref="G82">IF(B82="insumo",_xlfn.XLOOKUP($D82,Insumos!$B$1:$B$996,Insumos!$D$1:$D$996),"")</f>
        <v/>
      </c>
      <c r="H82" s="92" t="n">
        <v>6.975</v>
      </c>
      <c r="I82" s="2162" t="n">
        <v>0</v>
      </c>
      <c r="J82" s="2162" t="n">
        <v>0</v>
      </c>
      <c r="K82" s="2162" t="n"/>
    </row>
    <row r="83" outlineLevel="3" ht="15.75" customHeight="1">
      <c r="A83" s="10" t="n">
        <v>10</v>
      </c>
      <c r="B83" s="10" t="inlineStr">
        <is>
          <t>Insumo</t>
        </is>
      </c>
      <c r="C83" s="10" t="inlineStr">
        <is>
          <t>Armazenamento de esquadrias*</t>
        </is>
      </c>
      <c r="D83" s="10" t="inlineStr">
        <is>
          <t>MADEIRA PINUS/SIMILAR - SARRAFO PINUS 50X10MM NBR 11700</t>
        </is>
      </c>
      <c r="E83" s="11">
        <f t="array" ref="E83">_xlfn.XLOOKUP(D83,Insumos!B:B,Insumos!C:$C)</f>
        <v/>
      </c>
      <c r="F83" s="14" t="n">
        <v>1</v>
      </c>
      <c r="G83" s="92">
        <f t="array" ref="G83">IF(B83="insumo",_xlfn.XLOOKUP($D83,Insumos!$B$1:$B$996,Insumos!$D$1:$D$996),"")</f>
        <v/>
      </c>
      <c r="H83" s="92" t="n">
        <v>7.39</v>
      </c>
      <c r="I83" s="2162" t="n">
        <v>0</v>
      </c>
      <c r="J83" s="2162" t="n">
        <v>0</v>
      </c>
      <c r="K83" s="2162" t="n"/>
    </row>
    <row r="84" outlineLevel="3" ht="15.75" customHeight="1">
      <c r="A84" s="10" t="n">
        <v>40</v>
      </c>
      <c r="B84" s="10" t="inlineStr">
        <is>
          <t>Insumo</t>
        </is>
      </c>
      <c r="C84" s="10" t="inlineStr">
        <is>
          <t>Armazenamento de esquadrias*</t>
        </is>
      </c>
      <c r="D84" s="10" t="inlineStr">
        <is>
          <t>PREGO DE ACO POLIDO COM CABECA 17 X 21 (2 X 11)</t>
        </is>
      </c>
      <c r="E84" s="11">
        <f t="array" ref="E84">_xlfn.XLOOKUP(D84,Insumos!B:B,Insumos!C:$C)</f>
        <v/>
      </c>
      <c r="F84" s="14" t="n">
        <v>1</v>
      </c>
      <c r="G84" s="92">
        <f t="array" ref="G84">IF(B84="insumo",_xlfn.XLOOKUP($D84,Insumos!$B$1:$B$996,Insumos!$D$1:$D$996),"")</f>
        <v/>
      </c>
      <c r="H84" s="92" t="n">
        <v>18.13</v>
      </c>
      <c r="I84" s="2162" t="n">
        <v>0</v>
      </c>
      <c r="J84" s="2162" t="n">
        <v>0</v>
      </c>
      <c r="K84" s="2162" t="n"/>
    </row>
    <row r="85" outlineLevel="3" ht="15.75" customHeight="1">
      <c r="A85" s="10" t="n">
        <v>10</v>
      </c>
      <c r="B85" s="10" t="inlineStr">
        <is>
          <t>Insumo</t>
        </is>
      </c>
      <c r="C85" s="10" t="inlineStr">
        <is>
          <t>Armazenamento de esquadrias*</t>
        </is>
      </c>
      <c r="D85" s="10" t="inlineStr">
        <is>
          <t>EXTINTOR INCENDIO PO QUIMICO 06KG CLASSE ABC (COMPLETO) NBR 15808</t>
        </is>
      </c>
      <c r="E85" s="11">
        <f t="array" ref="E85">_xlfn.XLOOKUP(D85,Insumos!B:B,Insumos!C:$C)</f>
        <v/>
      </c>
      <c r="F85" s="14" t="n">
        <v>0.015</v>
      </c>
      <c r="G85" s="92">
        <f t="array" ref="G85">IF(B85="insumo",_xlfn.XLOOKUP($D85,Insumos!$B$1:$B$996,Insumos!$D$1:$D$996),"")</f>
        <v/>
      </c>
      <c r="H85" s="92" t="n">
        <v>2.78055</v>
      </c>
      <c r="I85" s="2162" t="n">
        <v>0</v>
      </c>
      <c r="J85" s="2162" t="n">
        <v>0</v>
      </c>
      <c r="K85" s="2162" t="n"/>
    </row>
    <row r="86" outlineLevel="3" ht="15.75" customHeight="1">
      <c r="A86" s="10" t="n">
        <v>10</v>
      </c>
      <c r="B86" s="10" t="inlineStr">
        <is>
          <t>Insumo</t>
        </is>
      </c>
      <c r="C86" s="10" t="inlineStr">
        <is>
          <t>Armazenamento de esquadrias*</t>
        </is>
      </c>
      <c r="D86" s="10" t="inlineStr">
        <is>
          <t>MATERIAL PARA INSTALAÇÃO ELÉTRICA</t>
        </is>
      </c>
      <c r="E86" s="11">
        <f t="array" ref="E86">_xlfn.XLOOKUP(D86,Insumos!B:B,Insumos!C:$C)</f>
        <v/>
      </c>
      <c r="F86" s="14" t="n">
        <v>1</v>
      </c>
      <c r="G86" s="92">
        <f t="array" ref="G86">IF(B86="insumo",_xlfn.XLOOKUP($D86,Insumos!$B$1:$B$996,Insumos!$D$1:$D$996),"")</f>
        <v/>
      </c>
      <c r="H86" s="92" t="n">
        <v>215</v>
      </c>
      <c r="I86" s="2162" t="n">
        <v>0</v>
      </c>
      <c r="J86" s="2162" t="n">
        <v>0</v>
      </c>
      <c r="K86" s="2162" t="n"/>
    </row>
    <row r="87" outlineLevel="3" ht="15.75" customHeight="1">
      <c r="A87" s="10" t="n">
        <v>10</v>
      </c>
      <c r="B87" s="10" t="inlineStr">
        <is>
          <t>Insumo</t>
        </is>
      </c>
      <c r="C87" s="10" t="inlineStr">
        <is>
          <t>Armazenamento de esquadrias*</t>
        </is>
      </c>
      <c r="D87" s="10" t="inlineStr">
        <is>
          <t>SERVICO INSTALAÇÃO BARRACAO ALMOXARIFADO</t>
        </is>
      </c>
      <c r="E87" s="11">
        <f t="array" ref="E87">_xlfn.XLOOKUP(D87,Insumos!B:B,Insumos!C:$C)</f>
        <v/>
      </c>
      <c r="F87" s="14" t="n">
        <v>1</v>
      </c>
      <c r="G87" s="92">
        <f t="array" ref="G87">IF(B87="insumo",_xlfn.XLOOKUP($D87,Insumos!$B$1:$B$996,Insumos!$D$1:$D$996),"")</f>
        <v/>
      </c>
      <c r="H87" s="92" t="n">
        <v>50</v>
      </c>
      <c r="I87" s="2162" t="n">
        <v>0</v>
      </c>
      <c r="J87" s="2162" t="n">
        <v>0</v>
      </c>
      <c r="K87" s="2162" t="n"/>
    </row>
    <row r="88" outlineLevel="2" ht="15.75" customHeight="1">
      <c r="A88" s="1067" t="n">
        <v>1</v>
      </c>
      <c r="B88" s="1067" t="inlineStr">
        <is>
          <t>Serviço</t>
        </is>
      </c>
      <c r="C88" s="1067" t="inlineStr">
        <is>
          <t>Armazenamento de instalações complementares*</t>
        </is>
      </c>
      <c r="D88" s="1067" t="inlineStr">
        <is>
          <t>Armazenamento de instalações complementares*</t>
        </is>
      </c>
      <c r="E88" s="1068" t="inlineStr">
        <is>
          <t>M2</t>
        </is>
      </c>
      <c r="F88" s="1067" t="n"/>
      <c r="G88" s="1069">
        <f t="array" ref="G88">IF(B88="insumo",_xlfn.XLOOKUP($D88,Insumos!$B$1:$B$996,Insumos!$D$1:$D$996),"")</f>
        <v/>
      </c>
      <c r="H88" s="1069" t="n">
        <v>382.10489</v>
      </c>
      <c r="I88" s="2161" t="n">
        <v>0</v>
      </c>
      <c r="J88" s="2161" t="n">
        <v>0</v>
      </c>
      <c r="K88" s="2161" t="n"/>
    </row>
    <row r="89" outlineLevel="3" ht="15.75" customHeight="1">
      <c r="A89" s="10" t="n">
        <v>11</v>
      </c>
      <c r="B89" s="10" t="inlineStr">
        <is>
          <t>Insumo</t>
        </is>
      </c>
      <c r="C89" s="10" t="inlineStr">
        <is>
          <t>Armazenamento de instalações complementares*</t>
        </is>
      </c>
      <c r="D89" s="10" t="inlineStr">
        <is>
          <t>MADEIRA PINUS/SIMILAR - TABUA PINUS 200X20MM NBR 11700</t>
        </is>
      </c>
      <c r="E89" s="11">
        <f t="array" ref="E89">_xlfn.XLOOKUP(D89,Insumos!B:B,Insumos!C:$C)</f>
        <v/>
      </c>
      <c r="F89" s="14" t="n">
        <v>0.591</v>
      </c>
      <c r="G89" s="92">
        <f t="array" ref="G89">IF(B89="insumo",_xlfn.XLOOKUP($D89,Insumos!$B$1:$B$996,Insumos!$D$1:$D$996),"")</f>
        <v/>
      </c>
      <c r="H89" s="92" t="n">
        <v>27.4815</v>
      </c>
      <c r="I89" s="2162" t="n">
        <v>0</v>
      </c>
      <c r="J89" s="2162" t="n">
        <v>0</v>
      </c>
      <c r="K89" s="2162" t="n"/>
    </row>
    <row r="90" outlineLevel="3" ht="15.75" customHeight="1">
      <c r="A90" s="10" t="n">
        <v>10</v>
      </c>
      <c r="B90" s="10" t="inlineStr">
        <is>
          <t>Insumo</t>
        </is>
      </c>
      <c r="C90" s="10" t="inlineStr">
        <is>
          <t>Armazenamento de instalações complementares*</t>
        </is>
      </c>
      <c r="D90" s="10" t="inlineStr">
        <is>
          <t>COMPENSADO MADEIRA TIPO RESINADO COLA FENOLICA 2440X1220X10MM</t>
        </is>
      </c>
      <c r="E90" s="11">
        <f t="array" ref="E90">_xlfn.XLOOKUP(D90,Insumos!B:B,Insumos!C:$C)</f>
        <v/>
      </c>
      <c r="F90" s="14" t="n">
        <v>0.404</v>
      </c>
      <c r="G90" s="92">
        <f t="array" ref="G90">IF(B90="insumo",_xlfn.XLOOKUP($D90,Insumos!$B$1:$B$996,Insumos!$D$1:$D$996),"")</f>
        <v/>
      </c>
      <c r="H90" s="92" t="n">
        <v>23.61784</v>
      </c>
      <c r="I90" s="2162" t="n">
        <v>0</v>
      </c>
      <c r="J90" s="2162" t="n">
        <v>0</v>
      </c>
      <c r="K90" s="2162" t="n"/>
    </row>
    <row r="91" outlineLevel="3" ht="15.75" customHeight="1">
      <c r="A91" s="10" t="n">
        <v>25</v>
      </c>
      <c r="B91" s="10" t="inlineStr">
        <is>
          <t>Insumo</t>
        </is>
      </c>
      <c r="C91" s="10" t="inlineStr">
        <is>
          <t>Armazenamento de instalações complementares*</t>
        </is>
      </c>
      <c r="D91" s="10" t="inlineStr">
        <is>
          <t>MADEIRA PINUS/SIMILAR - PONTALETE 75X75MM NBR 11700/15696</t>
        </is>
      </c>
      <c r="E91" s="11">
        <f t="array" ref="E91">_xlfn.XLOOKUP(D91,Insumos!B:B,Insumos!C:$C)</f>
        <v/>
      </c>
      <c r="F91" s="14" t="n">
        <v>4.39</v>
      </c>
      <c r="G91" s="92">
        <f t="array" ref="G91">IF(B91="insumo",_xlfn.XLOOKUP($D91,Insumos!$B$1:$B$996,Insumos!$D$1:$D$996),"")</f>
        <v/>
      </c>
      <c r="H91" s="92" t="n">
        <v>30.73</v>
      </c>
      <c r="I91" s="2162" t="n">
        <v>0</v>
      </c>
      <c r="J91" s="2162" t="n">
        <v>0</v>
      </c>
      <c r="K91" s="2162" t="n"/>
    </row>
    <row r="92" outlineLevel="3" ht="15.75" customHeight="1">
      <c r="A92" s="10" t="n">
        <v>11</v>
      </c>
      <c r="B92" s="10" t="inlineStr">
        <is>
          <t>Insumo</t>
        </is>
      </c>
      <c r="C92" s="10" t="inlineStr">
        <is>
          <t>Armazenamento de instalações complementares*</t>
        </is>
      </c>
      <c r="D92" s="10" t="inlineStr">
        <is>
          <t>MADEIRA PINUS/SIMILAR - SARRAFO PINUS 50X20MM NBR 11700/15696</t>
        </is>
      </c>
      <c r="E92" s="11">
        <f t="array" ref="E92">_xlfn.XLOOKUP(D92,Insumos!B:B,Insumos!C:$C)</f>
        <v/>
      </c>
      <c r="F92" s="14" t="n">
        <v>0.15</v>
      </c>
      <c r="G92" s="92">
        <f t="array" ref="G92">IF(B92="insumo",_xlfn.XLOOKUP($D92,Insumos!$B$1:$B$996,Insumos!$D$1:$D$996),"")</f>
        <v/>
      </c>
      <c r="H92" s="92" t="n">
        <v>6.975</v>
      </c>
      <c r="I92" s="2162" t="n">
        <v>0</v>
      </c>
      <c r="J92" s="2162" t="n">
        <v>0</v>
      </c>
      <c r="K92" s="2162" t="n"/>
    </row>
    <row r="93" outlineLevel="3" ht="15.75" customHeight="1">
      <c r="A93" s="10" t="n">
        <v>10</v>
      </c>
      <c r="B93" s="10" t="inlineStr">
        <is>
          <t>Insumo</t>
        </is>
      </c>
      <c r="C93" s="10" t="inlineStr">
        <is>
          <t>Armazenamento de instalações complementares*</t>
        </is>
      </c>
      <c r="D93" s="10" t="inlineStr">
        <is>
          <t>MADEIRA PINUS/SIMILAR - SARRAFO PINUS 50X10MM NBR 11700</t>
        </is>
      </c>
      <c r="E93" s="11">
        <f t="array" ref="E93">_xlfn.XLOOKUP(D93,Insumos!B:B,Insumos!C:$C)</f>
        <v/>
      </c>
      <c r="F93" s="14" t="n">
        <v>1</v>
      </c>
      <c r="G93" s="92">
        <f t="array" ref="G93">IF(B93="insumo",_xlfn.XLOOKUP($D93,Insumos!$B$1:$B$996,Insumos!$D$1:$D$996),"")</f>
        <v/>
      </c>
      <c r="H93" s="92" t="n">
        <v>7.39</v>
      </c>
      <c r="I93" s="2162" t="n">
        <v>0</v>
      </c>
      <c r="J93" s="2162" t="n">
        <v>0</v>
      </c>
      <c r="K93" s="2162" t="n"/>
    </row>
    <row r="94" outlineLevel="3" ht="15.75" customHeight="1">
      <c r="A94" s="10" t="n">
        <v>40</v>
      </c>
      <c r="B94" s="10" t="inlineStr">
        <is>
          <t>Insumo</t>
        </is>
      </c>
      <c r="C94" s="10" t="inlineStr">
        <is>
          <t>Armazenamento de instalações complementares*</t>
        </is>
      </c>
      <c r="D94" s="10" t="inlineStr">
        <is>
          <t>PREGO DE ACO POLIDO COM CABECA 17 X 21 (2 X 11)</t>
        </is>
      </c>
      <c r="E94" s="11">
        <f t="array" ref="E94">_xlfn.XLOOKUP(D94,Insumos!B:B,Insumos!C:$C)</f>
        <v/>
      </c>
      <c r="F94" s="14" t="n">
        <v>1</v>
      </c>
      <c r="G94" s="92">
        <f t="array" ref="G94">IF(B94="insumo",_xlfn.XLOOKUP($D94,Insumos!$B$1:$B$996,Insumos!$D$1:$D$996),"")</f>
        <v/>
      </c>
      <c r="H94" s="92" t="n">
        <v>18.13</v>
      </c>
      <c r="I94" s="2162" t="n">
        <v>0</v>
      </c>
      <c r="J94" s="2162" t="n">
        <v>0</v>
      </c>
      <c r="K94" s="2162" t="n"/>
    </row>
    <row r="95" outlineLevel="3" ht="15.75" customHeight="1">
      <c r="A95" s="10" t="n">
        <v>10</v>
      </c>
      <c r="B95" s="10" t="inlineStr">
        <is>
          <t>Insumo</t>
        </is>
      </c>
      <c r="C95" s="10" t="inlineStr">
        <is>
          <t>Armazenamento de instalações complementares*</t>
        </is>
      </c>
      <c r="D95" s="10" t="inlineStr">
        <is>
          <t>EXTINTOR INCENDIO PO QUIMICO 06KG CLASSE ABC (COMPLETO) NBR 15808</t>
        </is>
      </c>
      <c r="E95" s="11">
        <f t="array" ref="E95">_xlfn.XLOOKUP(D95,Insumos!B:B,Insumos!C:$C)</f>
        <v/>
      </c>
      <c r="F95" s="14" t="n">
        <v>0.015</v>
      </c>
      <c r="G95" s="92">
        <f t="array" ref="G95">IF(B95="insumo",_xlfn.XLOOKUP($D95,Insumos!$B$1:$B$996,Insumos!$D$1:$D$996),"")</f>
        <v/>
      </c>
      <c r="H95" s="92" t="n">
        <v>2.78055</v>
      </c>
      <c r="I95" s="2162" t="n">
        <v>0</v>
      </c>
      <c r="J95" s="2162" t="n">
        <v>0</v>
      </c>
      <c r="K95" s="2162" t="n"/>
    </row>
    <row r="96" outlineLevel="3" ht="15.75" customHeight="1">
      <c r="A96" s="10" t="n">
        <v>10</v>
      </c>
      <c r="B96" s="10" t="inlineStr">
        <is>
          <t>Insumo</t>
        </is>
      </c>
      <c r="C96" s="10" t="inlineStr">
        <is>
          <t>Armazenamento de instalações complementares*</t>
        </is>
      </c>
      <c r="D96" s="10" t="inlineStr">
        <is>
          <t>MATERIAL PARA INSTALAÇÃO ELÉTRICA</t>
        </is>
      </c>
      <c r="E96" s="11">
        <f t="array" ref="E96">_xlfn.XLOOKUP(D96,Insumos!B:B,Insumos!C:$C)</f>
        <v/>
      </c>
      <c r="F96" s="14" t="n">
        <v>1</v>
      </c>
      <c r="G96" s="92">
        <f t="array" ref="G96">IF(B96="insumo",_xlfn.XLOOKUP($D96,Insumos!$B$1:$B$996,Insumos!$D$1:$D$996),"")</f>
        <v/>
      </c>
      <c r="H96" s="92" t="n">
        <v>215</v>
      </c>
      <c r="I96" s="2162" t="n">
        <v>0</v>
      </c>
      <c r="J96" s="2162" t="n">
        <v>0</v>
      </c>
      <c r="K96" s="2162" t="n"/>
    </row>
    <row r="97" outlineLevel="3" ht="15.75" customHeight="1">
      <c r="A97" s="10" t="n">
        <v>10</v>
      </c>
      <c r="B97" s="10" t="inlineStr">
        <is>
          <t>Insumo</t>
        </is>
      </c>
      <c r="C97" s="10" t="inlineStr">
        <is>
          <t>Armazenamento de instalações complementares*</t>
        </is>
      </c>
      <c r="D97" s="10" t="inlineStr">
        <is>
          <t>SERVICO INSTALAÇÃO BARRACAO ALMOXARIFADO</t>
        </is>
      </c>
      <c r="E97" s="11">
        <f t="array" ref="E97">_xlfn.XLOOKUP(D97,Insumos!B:B,Insumos!C:$C)</f>
        <v/>
      </c>
      <c r="F97" s="14" t="n">
        <v>1</v>
      </c>
      <c r="G97" s="92">
        <f t="array" ref="G97">IF(B97="insumo",_xlfn.XLOOKUP($D97,Insumos!$B$1:$B$996,Insumos!$D$1:$D$996),"")</f>
        <v/>
      </c>
      <c r="H97" s="92" t="n">
        <v>50</v>
      </c>
      <c r="I97" s="2162" t="n">
        <v>0</v>
      </c>
      <c r="J97" s="2162" t="n">
        <v>0</v>
      </c>
      <c r="K97" s="2162" t="n"/>
    </row>
    <row r="98" outlineLevel="2" ht="15.75" customHeight="1">
      <c r="A98" s="1067" t="n">
        <v>1</v>
      </c>
      <c r="B98" s="1067" t="inlineStr">
        <is>
          <t>Serviço</t>
        </is>
      </c>
      <c r="C98" s="1067" t="inlineStr">
        <is>
          <t>Armazenamento para estoque geral*</t>
        </is>
      </c>
      <c r="D98" s="1067" t="inlineStr">
        <is>
          <t>Armazenamento para estoque geral*</t>
        </is>
      </c>
      <c r="E98" s="1068" t="inlineStr">
        <is>
          <t>M2</t>
        </is>
      </c>
      <c r="F98" s="1067" t="n"/>
      <c r="G98" s="1069">
        <f t="array" ref="G98">IF(B98="insumo",_xlfn.XLOOKUP($D98,Insumos!$B$1:$B$996,Insumos!$D$1:$D$996),"")</f>
        <v/>
      </c>
      <c r="H98" s="1069" t="n">
        <v>382.10489</v>
      </c>
      <c r="I98" s="2161" t="n">
        <v>0</v>
      </c>
      <c r="J98" s="2161" t="n">
        <v>0</v>
      </c>
      <c r="K98" s="2161" t="n"/>
    </row>
    <row r="99" outlineLevel="3" ht="15.75" customHeight="1">
      <c r="A99" s="10" t="n">
        <v>11</v>
      </c>
      <c r="B99" s="10" t="inlineStr">
        <is>
          <t>Insumo</t>
        </is>
      </c>
      <c r="C99" s="10" t="inlineStr">
        <is>
          <t>Armazenamento para estoque geral*</t>
        </is>
      </c>
      <c r="D99" s="10" t="inlineStr">
        <is>
          <t>MADEIRA PINUS/SIMILAR - TABUA PINUS 200X20MM NBR 11700</t>
        </is>
      </c>
      <c r="E99" s="11">
        <f t="array" ref="E99">_xlfn.XLOOKUP(D99,Insumos!B:B,Insumos!C:$C)</f>
        <v/>
      </c>
      <c r="F99" s="14" t="n">
        <v>0.591</v>
      </c>
      <c r="G99" s="92">
        <f t="array" ref="G99">IF(B99="insumo",_xlfn.XLOOKUP($D99,Insumos!$B$1:$B$996,Insumos!$D$1:$D$996),"")</f>
        <v/>
      </c>
      <c r="H99" s="92" t="n">
        <v>27.4815</v>
      </c>
      <c r="I99" s="2162" t="n">
        <v>0</v>
      </c>
      <c r="J99" s="2162" t="n">
        <v>0</v>
      </c>
      <c r="K99" s="2162" t="n"/>
    </row>
    <row r="100" outlineLevel="3" ht="15.75" customHeight="1">
      <c r="A100" s="10" t="n">
        <v>10</v>
      </c>
      <c r="B100" s="10" t="inlineStr">
        <is>
          <t>Insumo</t>
        </is>
      </c>
      <c r="C100" s="10" t="inlineStr">
        <is>
          <t>Armazenamento para estoque geral*</t>
        </is>
      </c>
      <c r="D100" s="10" t="inlineStr">
        <is>
          <t>COMPENSADO MADEIRA TIPO RESINADO COLA FENOLICA 2440X1220X10MM</t>
        </is>
      </c>
      <c r="E100" s="11">
        <f t="array" ref="E100">_xlfn.XLOOKUP(D100,Insumos!B:B,Insumos!C:$C)</f>
        <v/>
      </c>
      <c r="F100" s="14" t="n">
        <v>0.404</v>
      </c>
      <c r="G100" s="92">
        <f t="array" ref="G100">IF(B100="insumo",_xlfn.XLOOKUP($D100,Insumos!$B$1:$B$996,Insumos!$D$1:$D$996),"")</f>
        <v/>
      </c>
      <c r="H100" s="92" t="n">
        <v>23.61784</v>
      </c>
      <c r="I100" s="2162" t="n">
        <v>0</v>
      </c>
      <c r="J100" s="2162" t="n">
        <v>0</v>
      </c>
      <c r="K100" s="2162" t="n"/>
    </row>
    <row r="101" outlineLevel="3" ht="15.75" customHeight="1">
      <c r="A101" s="10" t="n">
        <v>25</v>
      </c>
      <c r="B101" s="10" t="inlineStr">
        <is>
          <t>Insumo</t>
        </is>
      </c>
      <c r="C101" s="10" t="inlineStr">
        <is>
          <t>Armazenamento para estoque geral*</t>
        </is>
      </c>
      <c r="D101" s="10" t="inlineStr">
        <is>
          <t>MADEIRA PINUS/SIMILAR - PONTALETE 75X75MM NBR 11700/15696</t>
        </is>
      </c>
      <c r="E101" s="11">
        <f t="array" ref="E101">_xlfn.XLOOKUP(D101,Insumos!B:B,Insumos!C:$C)</f>
        <v/>
      </c>
      <c r="F101" s="14" t="n">
        <v>4.39</v>
      </c>
      <c r="G101" s="92">
        <f t="array" ref="G101">IF(B101="insumo",_xlfn.XLOOKUP($D101,Insumos!$B$1:$B$996,Insumos!$D$1:$D$996),"")</f>
        <v/>
      </c>
      <c r="H101" s="92" t="n">
        <v>30.73</v>
      </c>
      <c r="I101" s="2162" t="n">
        <v>0</v>
      </c>
      <c r="J101" s="2162" t="n">
        <v>0</v>
      </c>
      <c r="K101" s="2162" t="n"/>
    </row>
    <row r="102" outlineLevel="3" ht="15.75" customHeight="1">
      <c r="A102" s="10" t="n">
        <v>11</v>
      </c>
      <c r="B102" s="10" t="inlineStr">
        <is>
          <t>Insumo</t>
        </is>
      </c>
      <c r="C102" s="10" t="inlineStr">
        <is>
          <t>Armazenamento para estoque geral*</t>
        </is>
      </c>
      <c r="D102" s="10" t="inlineStr">
        <is>
          <t>MADEIRA PINUS/SIMILAR - SARRAFO PINUS 50X20MM NBR 11700/15696</t>
        </is>
      </c>
      <c r="E102" s="11">
        <f t="array" ref="E102">_xlfn.XLOOKUP(D102,Insumos!B:B,Insumos!C:$C)</f>
        <v/>
      </c>
      <c r="F102" s="14" t="n">
        <v>0.15</v>
      </c>
      <c r="G102" s="92">
        <f t="array" ref="G102">IF(B102="insumo",_xlfn.XLOOKUP($D102,Insumos!$B$1:$B$996,Insumos!$D$1:$D$996),"")</f>
        <v/>
      </c>
      <c r="H102" s="92" t="n">
        <v>6.975</v>
      </c>
      <c r="I102" s="2162" t="n">
        <v>0</v>
      </c>
      <c r="J102" s="2162" t="n">
        <v>0</v>
      </c>
      <c r="K102" s="2162" t="n"/>
    </row>
    <row r="103" outlineLevel="3" ht="15.75" customHeight="1">
      <c r="A103" s="10" t="n">
        <v>10</v>
      </c>
      <c r="B103" s="10" t="inlineStr">
        <is>
          <t>Insumo</t>
        </is>
      </c>
      <c r="C103" s="10" t="inlineStr">
        <is>
          <t>Armazenamento para estoque geral*</t>
        </is>
      </c>
      <c r="D103" s="10" t="inlineStr">
        <is>
          <t>MADEIRA PINUS/SIMILAR - SARRAFO PINUS 50X10MM NBR 11700</t>
        </is>
      </c>
      <c r="E103" s="11">
        <f t="array" ref="E103">_xlfn.XLOOKUP(D103,Insumos!B:B,Insumos!C:$C)</f>
        <v/>
      </c>
      <c r="F103" s="14" t="n">
        <v>1</v>
      </c>
      <c r="G103" s="92">
        <f t="array" ref="G103">IF(B103="insumo",_xlfn.XLOOKUP($D103,Insumos!$B$1:$B$996,Insumos!$D$1:$D$996),"")</f>
        <v/>
      </c>
      <c r="H103" s="92" t="n">
        <v>7.39</v>
      </c>
      <c r="I103" s="2162" t="n">
        <v>0</v>
      </c>
      <c r="J103" s="2162" t="n">
        <v>0</v>
      </c>
      <c r="K103" s="2162" t="n"/>
    </row>
    <row r="104" outlineLevel="3" ht="15.75" customHeight="1">
      <c r="A104" s="10" t="n">
        <v>40</v>
      </c>
      <c r="B104" s="10" t="inlineStr">
        <is>
          <t>Insumo</t>
        </is>
      </c>
      <c r="C104" s="10" t="inlineStr">
        <is>
          <t>Armazenamento para estoque geral*</t>
        </is>
      </c>
      <c r="D104" s="10" t="inlineStr">
        <is>
          <t>PREGO DE ACO POLIDO COM CABECA 17 X 21 (2 X 11)</t>
        </is>
      </c>
      <c r="E104" s="11">
        <f t="array" ref="E104">_xlfn.XLOOKUP(D104,Insumos!B:B,Insumos!C:$C)</f>
        <v/>
      </c>
      <c r="F104" s="14" t="n">
        <v>1</v>
      </c>
      <c r="G104" s="92">
        <f t="array" ref="G104">IF(B104="insumo",_xlfn.XLOOKUP($D104,Insumos!$B$1:$B$996,Insumos!$D$1:$D$996),"")</f>
        <v/>
      </c>
      <c r="H104" s="92" t="n">
        <v>18.13</v>
      </c>
      <c r="I104" s="2162" t="n">
        <v>0</v>
      </c>
      <c r="J104" s="2162" t="n">
        <v>0</v>
      </c>
      <c r="K104" s="2162" t="n"/>
    </row>
    <row r="105" outlineLevel="3" ht="15.75" customHeight="1">
      <c r="A105" s="10" t="n">
        <v>10</v>
      </c>
      <c r="B105" s="10" t="inlineStr">
        <is>
          <t>Insumo</t>
        </is>
      </c>
      <c r="C105" s="10" t="inlineStr">
        <is>
          <t>Armazenamento para estoque geral*</t>
        </is>
      </c>
      <c r="D105" s="10" t="inlineStr">
        <is>
          <t>EXTINTOR INCENDIO PO QUIMICO 06KG CLASSE ABC (COMPLETO) NBR 15808</t>
        </is>
      </c>
      <c r="E105" s="11">
        <f t="array" ref="E105">_xlfn.XLOOKUP(D105,Insumos!B:B,Insumos!C:$C)</f>
        <v/>
      </c>
      <c r="F105" s="14" t="n">
        <v>0.015</v>
      </c>
      <c r="G105" s="92">
        <f t="array" ref="G105">IF(B105="insumo",_xlfn.XLOOKUP($D105,Insumos!$B$1:$B$996,Insumos!$D$1:$D$996),"")</f>
        <v/>
      </c>
      <c r="H105" s="92" t="n">
        <v>2.78055</v>
      </c>
      <c r="I105" s="2162" t="n">
        <v>0</v>
      </c>
      <c r="J105" s="2162" t="n">
        <v>0</v>
      </c>
      <c r="K105" s="2162" t="n"/>
    </row>
    <row r="106" outlineLevel="3" ht="15.75" customHeight="1">
      <c r="A106" s="10" t="n">
        <v>10</v>
      </c>
      <c r="B106" s="10" t="inlineStr">
        <is>
          <t>Insumo</t>
        </is>
      </c>
      <c r="C106" s="10" t="inlineStr">
        <is>
          <t>Armazenamento para estoque geral*</t>
        </is>
      </c>
      <c r="D106" s="10" t="inlineStr">
        <is>
          <t>MATERIAL PARA INSTALAÇÃO ELÉTRICA</t>
        </is>
      </c>
      <c r="E106" s="11">
        <f t="array" ref="E106">_xlfn.XLOOKUP(D106,Insumos!B:B,Insumos!C:$C)</f>
        <v/>
      </c>
      <c r="F106" s="14" t="n">
        <v>1</v>
      </c>
      <c r="G106" s="92">
        <f t="array" ref="G106">IF(B106="insumo",_xlfn.XLOOKUP($D106,Insumos!$B$1:$B$996,Insumos!$D$1:$D$996),"")</f>
        <v/>
      </c>
      <c r="H106" s="92" t="n">
        <v>215</v>
      </c>
      <c r="I106" s="2162" t="n">
        <v>0</v>
      </c>
      <c r="J106" s="2162" t="n">
        <v>0</v>
      </c>
      <c r="K106" s="2162" t="n"/>
    </row>
    <row r="107" outlineLevel="3" ht="15.75" customHeight="1">
      <c r="A107" s="10" t="n">
        <v>10</v>
      </c>
      <c r="B107" s="10" t="inlineStr">
        <is>
          <t>Insumo</t>
        </is>
      </c>
      <c r="C107" s="10" t="inlineStr">
        <is>
          <t>Armazenamento para estoque geral*</t>
        </is>
      </c>
      <c r="D107" s="10" t="inlineStr">
        <is>
          <t>SERVICO INSTALAÇÃO BARRACAO ALMOXARIFADO</t>
        </is>
      </c>
      <c r="E107" s="11">
        <f t="array" ref="E107">_xlfn.XLOOKUP(D107,Insumos!B:B,Insumos!C:$C)</f>
        <v/>
      </c>
      <c r="F107" s="14" t="n">
        <v>1</v>
      </c>
      <c r="G107" s="92">
        <f t="array" ref="G107">IF(B107="insumo",_xlfn.XLOOKUP($D107,Insumos!$B$1:$B$996,Insumos!$D$1:$D$996),"")</f>
        <v/>
      </c>
      <c r="H107" s="92" t="n">
        <v>50</v>
      </c>
      <c r="I107" s="2162" t="n">
        <v>0</v>
      </c>
      <c r="J107" s="2162" t="n">
        <v>0</v>
      </c>
      <c r="K107" s="2162" t="n"/>
    </row>
    <row r="108" outlineLevel="2" ht="15.75" customHeight="1">
      <c r="A108" s="1067" t="n">
        <v>1</v>
      </c>
      <c r="B108" s="1067" t="inlineStr">
        <is>
          <t>Serviço</t>
        </is>
      </c>
      <c r="C108" s="1067" t="inlineStr">
        <is>
          <t>Construções temporárias</t>
        </is>
      </c>
      <c r="D108" s="1067" t="inlineStr">
        <is>
          <t>Construções temporárias</t>
        </is>
      </c>
      <c r="E108" s="1068" t="inlineStr">
        <is>
          <t>M2</t>
        </is>
      </c>
      <c r="F108" s="1067" t="n"/>
      <c r="G108" s="1069">
        <f t="array" ref="G108">IF(B108="insumo",_xlfn.XLOOKUP($D108,Insumos!$B$1:$B$996,Insumos!$D$1:$D$996),"")</f>
        <v/>
      </c>
      <c r="H108" s="1069" t="n">
        <v>454.5449</v>
      </c>
      <c r="I108" s="2161" t="n">
        <v>0</v>
      </c>
      <c r="J108" s="2161" t="n">
        <v>0</v>
      </c>
      <c r="K108" s="2161" t="n"/>
    </row>
    <row r="109" outlineLevel="3" ht="15.75" customHeight="1">
      <c r="A109" s="10" t="n">
        <v>11</v>
      </c>
      <c r="B109" s="10" t="inlineStr">
        <is>
          <t>Insumo</t>
        </is>
      </c>
      <c r="C109" s="10" t="inlineStr">
        <is>
          <t>Construções temporárias</t>
        </is>
      </c>
      <c r="D109" s="10" t="inlineStr">
        <is>
          <t>MADEIRA PINUS/SIMILAR - TABUA PINUS 200X20MM NBR 11700</t>
        </is>
      </c>
      <c r="E109" s="11">
        <f t="array" ref="E109">_xlfn.XLOOKUP(D109,Insumos!B:B,Insumos!C:$C)</f>
        <v/>
      </c>
      <c r="F109" s="14" t="n">
        <v>0.591</v>
      </c>
      <c r="G109" s="92">
        <f t="array" ref="G109">IF(B109="insumo",_xlfn.XLOOKUP($D109,Insumos!$B$1:$B$996,Insumos!$D$1:$D$996),"")</f>
        <v/>
      </c>
      <c r="H109" s="92" t="n">
        <v>27.4815</v>
      </c>
      <c r="I109" s="2162" t="n">
        <v>0</v>
      </c>
      <c r="J109" s="2162" t="n">
        <v>0</v>
      </c>
      <c r="K109" s="2162" t="n"/>
    </row>
    <row r="110" outlineLevel="3" ht="15.75" customHeight="1">
      <c r="A110" s="10" t="n">
        <v>10</v>
      </c>
      <c r="B110" s="10" t="inlineStr">
        <is>
          <t>Insumo</t>
        </is>
      </c>
      <c r="C110" s="10" t="inlineStr">
        <is>
          <t>Construções temporárias</t>
        </is>
      </c>
      <c r="D110" s="10" t="inlineStr">
        <is>
          <t>COMPENSADO MADEIRA TIPO RESINADO COLA FENOLICA 2440X1220X10MM</t>
        </is>
      </c>
      <c r="E110" s="11">
        <f t="array" ref="E110">_xlfn.XLOOKUP(D110,Insumos!B:B,Insumos!C:$C)</f>
        <v/>
      </c>
      <c r="F110" s="14" t="n">
        <v>0.404</v>
      </c>
      <c r="G110" s="92">
        <f t="array" ref="G110">IF(B110="insumo",_xlfn.XLOOKUP($D110,Insumos!$B$1:$B$996,Insumos!$D$1:$D$996),"")</f>
        <v/>
      </c>
      <c r="H110" s="92" t="n">
        <v>23.61784</v>
      </c>
      <c r="I110" s="2162" t="n">
        <v>0</v>
      </c>
      <c r="J110" s="2162" t="n">
        <v>0</v>
      </c>
      <c r="K110" s="2162" t="n"/>
    </row>
    <row r="111" outlineLevel="3" ht="15.75" customHeight="1">
      <c r="A111" s="10" t="n">
        <v>25</v>
      </c>
      <c r="B111" s="10" t="inlineStr">
        <is>
          <t>Insumo</t>
        </is>
      </c>
      <c r="C111" s="10" t="inlineStr">
        <is>
          <t>Construções temporárias</t>
        </is>
      </c>
      <c r="D111" s="10" t="inlineStr">
        <is>
          <t>MADEIRA PINUS/SIMILAR - PONTALETE 75X75MM NBR 11700/15696</t>
        </is>
      </c>
      <c r="E111" s="11">
        <f t="array" ref="E111">_xlfn.XLOOKUP(D111,Insumos!B:B,Insumos!C:$C)</f>
        <v/>
      </c>
      <c r="F111" s="14" t="n">
        <v>4.39</v>
      </c>
      <c r="G111" s="92">
        <f t="array" ref="G111">IF(B111="insumo",_xlfn.XLOOKUP($D111,Insumos!$B$1:$B$996,Insumos!$D$1:$D$996),"")</f>
        <v/>
      </c>
      <c r="H111" s="92" t="n">
        <v>30.73</v>
      </c>
      <c r="I111" s="2162" t="n">
        <v>0</v>
      </c>
      <c r="J111" s="2162" t="n">
        <v>0</v>
      </c>
      <c r="K111" s="2162" t="n"/>
    </row>
    <row r="112" outlineLevel="3" ht="15.75" customHeight="1">
      <c r="A112" s="10" t="n">
        <v>11</v>
      </c>
      <c r="B112" s="10" t="inlineStr">
        <is>
          <t>Insumo</t>
        </is>
      </c>
      <c r="C112" s="10" t="inlineStr">
        <is>
          <t>Construções temporárias</t>
        </is>
      </c>
      <c r="D112" s="10" t="inlineStr">
        <is>
          <t>MADEIRA PINUS/SIMILAR - SARRAFO PINUS 50X20MM NBR 11700/15696</t>
        </is>
      </c>
      <c r="E112" s="11">
        <f t="array" ref="E112">_xlfn.XLOOKUP(D112,Insumos!B:B,Insumos!C:$C)</f>
        <v/>
      </c>
      <c r="F112" s="14" t="n">
        <v>0.15</v>
      </c>
      <c r="G112" s="92">
        <f t="array" ref="G112">IF(B112="insumo",_xlfn.XLOOKUP($D112,Insumos!$B$1:$B$996,Insumos!$D$1:$D$996),"")</f>
        <v/>
      </c>
      <c r="H112" s="92" t="n">
        <v>6.975</v>
      </c>
      <c r="I112" s="2162" t="n">
        <v>0</v>
      </c>
      <c r="J112" s="2162" t="n">
        <v>0</v>
      </c>
      <c r="K112" s="2162" t="n"/>
    </row>
    <row r="113" outlineLevel="3" ht="15.75" customHeight="1">
      <c r="A113" s="10" t="n">
        <v>10</v>
      </c>
      <c r="B113" s="10" t="inlineStr">
        <is>
          <t>Insumo</t>
        </is>
      </c>
      <c r="C113" s="10" t="inlineStr">
        <is>
          <t>Construções temporárias</t>
        </is>
      </c>
      <c r="D113" s="10" t="inlineStr">
        <is>
          <t>MADEIRA PINUS/SIMILAR - SARRAFO PINUS 50X10MM NBR 11700</t>
        </is>
      </c>
      <c r="E113" s="11">
        <f t="array" ref="E113">_xlfn.XLOOKUP(D113,Insumos!B:B,Insumos!C:$C)</f>
        <v/>
      </c>
      <c r="F113" s="14" t="n">
        <v>1</v>
      </c>
      <c r="G113" s="92">
        <f t="array" ref="G113">IF(B113="insumo",_xlfn.XLOOKUP($D113,Insumos!$B$1:$B$996,Insumos!$D$1:$D$996),"")</f>
        <v/>
      </c>
      <c r="H113" s="92" t="n">
        <v>7.39</v>
      </c>
      <c r="I113" s="2162" t="n">
        <v>0</v>
      </c>
      <c r="J113" s="2162" t="n">
        <v>0</v>
      </c>
      <c r="K113" s="2162" t="n"/>
    </row>
    <row r="114" outlineLevel="3" ht="15.75" customHeight="1">
      <c r="A114" s="10" t="n">
        <v>40</v>
      </c>
      <c r="B114" s="10" t="inlineStr">
        <is>
          <t>Insumo</t>
        </is>
      </c>
      <c r="C114" s="10" t="inlineStr">
        <is>
          <t>Construções temporárias</t>
        </is>
      </c>
      <c r="D114" s="10" t="inlineStr">
        <is>
          <t>PREGO DE ACO POLIDO COM CABECA 17 X 21 (2 X 11)</t>
        </is>
      </c>
      <c r="E114" s="11">
        <f t="array" ref="E114">_xlfn.XLOOKUP(D114,Insumos!B:B,Insumos!C:$C)</f>
        <v/>
      </c>
      <c r="F114" s="14" t="n">
        <v>1</v>
      </c>
      <c r="G114" s="92">
        <f t="array" ref="G114">IF(B114="insumo",_xlfn.XLOOKUP($D114,Insumos!$B$1:$B$996,Insumos!$D$1:$D$996),"")</f>
        <v/>
      </c>
      <c r="H114" s="92" t="n">
        <v>18.13</v>
      </c>
      <c r="I114" s="2162" t="n">
        <v>0</v>
      </c>
      <c r="J114" s="2162" t="n">
        <v>0</v>
      </c>
      <c r="K114" s="2162" t="n"/>
    </row>
    <row r="115" outlineLevel="3" ht="15.75" customHeight="1">
      <c r="A115" s="10" t="n">
        <v>9</v>
      </c>
      <c r="B115" s="10" t="inlineStr">
        <is>
          <t>Insumo</t>
        </is>
      </c>
      <c r="C115" s="10" t="inlineStr">
        <is>
          <t>Construções temporárias</t>
        </is>
      </c>
      <c r="D115" s="10" t="inlineStr">
        <is>
          <t>Concreto Usinado bombeável 20MPa Convencional</t>
        </is>
      </c>
      <c r="E115" s="11">
        <f t="array" ref="E115">_xlfn.XLOOKUP(D115,Insumos!B:B,Insumos!C:$C)</f>
        <v/>
      </c>
      <c r="F115" s="14" t="n">
        <v>0.074</v>
      </c>
      <c r="G115" s="92">
        <f t="array" ref="G115">IF(B115="insumo",_xlfn.XLOOKUP($D115,Insumos!$B$1:$B$996,Insumos!$D$1:$D$996),"")</f>
        <v/>
      </c>
      <c r="H115" s="92" t="n">
        <v>36.26</v>
      </c>
      <c r="I115" s="2162" t="n">
        <v>0</v>
      </c>
      <c r="J115" s="2162" t="n">
        <v>0</v>
      </c>
      <c r="K115" s="2162" t="n"/>
    </row>
    <row r="116" outlineLevel="3" ht="15.75" customHeight="1">
      <c r="A116" s="10" t="n">
        <v>2</v>
      </c>
      <c r="B116" s="10" t="inlineStr">
        <is>
          <t>Insumo</t>
        </is>
      </c>
      <c r="C116" s="10" t="inlineStr">
        <is>
          <t>Construções temporárias</t>
        </is>
      </c>
      <c r="D116" s="10" t="inlineStr">
        <is>
          <t>TELA ACO CARBONO CA60 M.150X150MM F.03,4MM 245X600CM Q61 (14,26KG/UN)</t>
        </is>
      </c>
      <c r="E116" s="11">
        <f t="array" ref="E116">_xlfn.XLOOKUP(D116,Insumos!B:B,Insumos!C:$C)</f>
        <v/>
      </c>
      <c r="F116" s="14" t="n">
        <v>1.334</v>
      </c>
      <c r="G116" s="92">
        <f t="array" ref="G116">IF(B116="insumo",_xlfn.XLOOKUP($D116,Insumos!$B$1:$B$996,Insumos!$D$1:$D$996),"")</f>
        <v/>
      </c>
      <c r="H116" s="92" t="n">
        <v>8.1374</v>
      </c>
      <c r="I116" s="2162" t="n">
        <v>0</v>
      </c>
      <c r="J116" s="2162" t="n">
        <v>0</v>
      </c>
      <c r="K116" s="2162" t="n"/>
    </row>
    <row r="117" outlineLevel="3" ht="15.75" customHeight="1">
      <c r="A117" s="10" t="n">
        <v>2</v>
      </c>
      <c r="B117" s="10" t="inlineStr">
        <is>
          <t>Insumo</t>
        </is>
      </c>
      <c r="C117" s="10" t="inlineStr">
        <is>
          <t>Construções temporárias</t>
        </is>
      </c>
      <c r="D117" s="10" t="inlineStr">
        <is>
          <t>TELHA FIBROCIMENTO NATURAL S/AMIANTO 06X1100X1530MM NBR 7581/15210</t>
        </is>
      </c>
      <c r="E117" s="11">
        <f t="array" ref="E117">_xlfn.XLOOKUP(D117,Insumos!B:B,Insumos!C:$C)</f>
        <v/>
      </c>
      <c r="F117" s="14" t="n">
        <v>1.19</v>
      </c>
      <c r="G117" s="92">
        <f t="array" ref="G117">IF(B117="insumo",_xlfn.XLOOKUP($D117,Insumos!$B$1:$B$996,Insumos!$D$1:$D$996),"")</f>
        <v/>
      </c>
      <c r="H117" s="92" t="n">
        <v>25.3589</v>
      </c>
      <c r="I117" s="2162" t="n">
        <v>0</v>
      </c>
      <c r="J117" s="2162" t="n">
        <v>0</v>
      </c>
      <c r="K117" s="2162" t="n"/>
    </row>
    <row r="118" outlineLevel="3" ht="15.75" customHeight="1">
      <c r="A118" s="10" t="n">
        <v>2</v>
      </c>
      <c r="B118" s="10" t="inlineStr">
        <is>
          <t>Insumo</t>
        </is>
      </c>
      <c r="C118" s="10" t="inlineStr">
        <is>
          <t>Construções temporárias</t>
        </is>
      </c>
      <c r="D118" s="10" t="inlineStr">
        <is>
          <t>TINTA LATEX ACRILICO FOSCO INT./EXT. PREMIUM PLUS BRANCO NBR 14942</t>
        </is>
      </c>
      <c r="E118" s="11">
        <f t="array" ref="E118">_xlfn.XLOOKUP(D118,Insumos!B:B,Insumos!C:$C)</f>
        <v/>
      </c>
      <c r="F118" s="14" t="n">
        <v>0.18</v>
      </c>
      <c r="G118" s="92">
        <f t="array" ref="G118">IF(B118="insumo",_xlfn.XLOOKUP($D118,Insumos!$B$1:$B$996,Insumos!$D$1:$D$996),"")</f>
        <v/>
      </c>
      <c r="H118" s="92" t="n">
        <v>1.53</v>
      </c>
      <c r="I118" s="2162" t="n">
        <v>0</v>
      </c>
      <c r="J118" s="2162" t="n">
        <v>0</v>
      </c>
      <c r="K118" s="2162" t="n"/>
    </row>
    <row r="119" outlineLevel="3" ht="15.75" customHeight="1">
      <c r="A119" s="10" t="n">
        <v>2</v>
      </c>
      <c r="B119" s="10" t="inlineStr">
        <is>
          <t>Insumo</t>
        </is>
      </c>
      <c r="C119" s="10" t="inlineStr">
        <is>
          <t>Construções temporárias</t>
        </is>
      </c>
      <c r="D119" s="10" t="inlineStr">
        <is>
          <t>TINTA ESMALTE ACETINADO BASE SOLVENTE BRANCO NBR 15299</t>
        </is>
      </c>
      <c r="E119" s="11">
        <f t="array" ref="E119">_xlfn.XLOOKUP(D119,Insumos!B:B,Insumos!C:$C)</f>
        <v/>
      </c>
      <c r="F119" s="14" t="n">
        <v>0.06</v>
      </c>
      <c r="G119" s="92">
        <f t="array" ref="G119">IF(B119="insumo",_xlfn.XLOOKUP($D119,Insumos!$B$1:$B$996,Insumos!$D$1:$D$996),"")</f>
        <v/>
      </c>
      <c r="H119" s="92" t="n">
        <v>0.6</v>
      </c>
      <c r="I119" s="2162" t="n">
        <v>0</v>
      </c>
      <c r="J119" s="2162" t="n">
        <v>0</v>
      </c>
      <c r="K119" s="2162" t="n"/>
    </row>
    <row r="120" outlineLevel="3" ht="15.75" customHeight="1">
      <c r="A120" s="10" t="n">
        <v>2</v>
      </c>
      <c r="B120" s="10" t="inlineStr">
        <is>
          <t>Insumo</t>
        </is>
      </c>
      <c r="C120" s="10" t="inlineStr">
        <is>
          <t>Construções temporárias</t>
        </is>
      </c>
      <c r="D120" s="10" t="inlineStr">
        <is>
          <t>SOLVENTE BASE THINNER P/TINTA NBR 14725</t>
        </is>
      </c>
      <c r="E120" s="11">
        <f t="array" ref="E120">_xlfn.XLOOKUP(D120,Insumos!B:B,Insumos!C:$C)</f>
        <v/>
      </c>
      <c r="F120" s="14" t="n">
        <v>0.03</v>
      </c>
      <c r="G120" s="92">
        <f t="array" ref="G120">IF(B120="insumo",_xlfn.XLOOKUP($D120,Insumos!$B$1:$B$996,Insumos!$D$1:$D$996),"")</f>
        <v/>
      </c>
      <c r="H120" s="92" t="n">
        <v>0.48</v>
      </c>
      <c r="I120" s="2162" t="n">
        <v>0</v>
      </c>
      <c r="J120" s="2162" t="n">
        <v>0</v>
      </c>
      <c r="K120" s="2162" t="n"/>
    </row>
    <row r="121" outlineLevel="3" ht="15.75" customHeight="1">
      <c r="A121" s="10" t="n">
        <v>36</v>
      </c>
      <c r="B121" s="10" t="inlineStr">
        <is>
          <t>Insumo</t>
        </is>
      </c>
      <c r="C121" s="10" t="inlineStr">
        <is>
          <t>Construções temporárias</t>
        </is>
      </c>
      <c r="D121" s="10" t="inlineStr">
        <is>
          <t>LIXA DAGUA 225X275MM GR100</t>
        </is>
      </c>
      <c r="E121" s="11">
        <f t="array" ref="E121">_xlfn.XLOOKUP(D121,Insumos!B:B,Insumos!C:$C)</f>
        <v/>
      </c>
      <c r="F121" s="14" t="n">
        <v>0.039</v>
      </c>
      <c r="G121" s="92">
        <f t="array" ref="G121">IF(B121="insumo",_xlfn.XLOOKUP($D121,Insumos!$B$1:$B$996,Insumos!$D$1:$D$996),"")</f>
        <v/>
      </c>
      <c r="H121" s="92" t="n">
        <v>0.07371</v>
      </c>
      <c r="I121" s="2162" t="n">
        <v>0</v>
      </c>
      <c r="J121" s="2162" t="n">
        <v>0</v>
      </c>
      <c r="K121" s="2162" t="n"/>
    </row>
    <row r="122" outlineLevel="3" ht="15.75" customHeight="1">
      <c r="A122" s="10" t="n">
        <v>10</v>
      </c>
      <c r="B122" s="10" t="inlineStr">
        <is>
          <t>Insumo</t>
        </is>
      </c>
      <c r="C122" s="10" t="inlineStr">
        <is>
          <t>Construções temporárias</t>
        </is>
      </c>
      <c r="D122" s="10" t="inlineStr">
        <is>
          <t>EXTINTOR INCENDIO PO QUIMICO 06KG CLASSE ABC (COMPLETO) NBR 15808</t>
        </is>
      </c>
      <c r="E122" s="11">
        <f t="array" ref="E122">_xlfn.XLOOKUP(D122,Insumos!B:B,Insumos!C:$C)</f>
        <v/>
      </c>
      <c r="F122" s="14" t="n">
        <v>0.015</v>
      </c>
      <c r="G122" s="92">
        <f t="array" ref="G122">IF(B122="insumo",_xlfn.XLOOKUP($D122,Insumos!$B$1:$B$996,Insumos!$D$1:$D$996),"")</f>
        <v/>
      </c>
      <c r="H122" s="92" t="n">
        <v>2.78055</v>
      </c>
      <c r="I122" s="2162" t="n">
        <v>0</v>
      </c>
      <c r="J122" s="2162" t="n">
        <v>0</v>
      </c>
      <c r="K122" s="2162" t="n"/>
    </row>
    <row r="123" outlineLevel="3" ht="15.75" customHeight="1">
      <c r="A123" s="10" t="n">
        <v>10</v>
      </c>
      <c r="B123" s="10" t="inlineStr">
        <is>
          <t>Insumo</t>
        </is>
      </c>
      <c r="C123" s="10" t="inlineStr">
        <is>
          <t>Construções temporárias</t>
        </is>
      </c>
      <c r="D123" s="10" t="inlineStr">
        <is>
          <t>MATERIAL PARA INSTALAÇÃO ELÉTRICA</t>
        </is>
      </c>
      <c r="E123" s="11">
        <f t="array" ref="E123">_xlfn.XLOOKUP(D123,Insumos!B:B,Insumos!C:$C)</f>
        <v/>
      </c>
      <c r="F123" s="14" t="n">
        <v>1</v>
      </c>
      <c r="G123" s="92">
        <f t="array" ref="G123">IF(B123="insumo",_xlfn.XLOOKUP($D123,Insumos!$B$1:$B$996,Insumos!$D$1:$D$996),"")</f>
        <v/>
      </c>
      <c r="H123" s="92" t="n">
        <v>215</v>
      </c>
      <c r="I123" s="2162" t="n">
        <v>0</v>
      </c>
      <c r="J123" s="2162" t="n">
        <v>0</v>
      </c>
      <c r="K123" s="2162" t="n"/>
    </row>
    <row r="124" outlineLevel="3" ht="15.75" customHeight="1">
      <c r="A124" s="10" t="n">
        <v>10</v>
      </c>
      <c r="B124" s="10" t="inlineStr">
        <is>
          <t>Insumo</t>
        </is>
      </c>
      <c r="C124" s="10" t="inlineStr">
        <is>
          <t>Construções temporárias</t>
        </is>
      </c>
      <c r="D124" s="10" t="inlineStr">
        <is>
          <t>SERVICO INSTALAÇÃO BARRACAO ALMOXARIFADO</t>
        </is>
      </c>
      <c r="E124" s="11">
        <f t="array" ref="E124">_xlfn.XLOOKUP(D124,Insumos!B:B,Insumos!C:$C)</f>
        <v/>
      </c>
      <c r="F124" s="14" t="n">
        <v>1</v>
      </c>
      <c r="G124" s="92">
        <f t="array" ref="G124">IF(B124="insumo",_xlfn.XLOOKUP($D124,Insumos!$B$1:$B$996,Insumos!$D$1:$D$996),"")</f>
        <v/>
      </c>
      <c r="H124" s="92" t="n">
        <v>50</v>
      </c>
      <c r="I124" s="2162" t="n">
        <v>0</v>
      </c>
      <c r="J124" s="2162" t="n">
        <v>0</v>
      </c>
      <c r="K124" s="2162" t="n"/>
    </row>
    <row r="125" outlineLevel="2" ht="15.75" customHeight="1">
      <c r="A125" s="1067" t="n">
        <v>1</v>
      </c>
      <c r="B125" s="1067" t="inlineStr">
        <is>
          <t>Serviço</t>
        </is>
      </c>
      <c r="C125" s="1067" t="inlineStr">
        <is>
          <t>Almoxarifado geral</t>
        </is>
      </c>
      <c r="D125" s="1067" t="inlineStr">
        <is>
          <t>Almoxarifado geral</t>
        </is>
      </c>
      <c r="E125" s="1068" t="inlineStr">
        <is>
          <t>M2</t>
        </is>
      </c>
      <c r="F125" s="1067" t="n"/>
      <c r="G125" s="1069">
        <f t="array" ref="G125">IF(B125="insumo",_xlfn.XLOOKUP($D125,Insumos!$B$1:$B$996,Insumos!$D$1:$D$996),"")</f>
        <v/>
      </c>
      <c r="H125" s="1069" t="n">
        <v>454.5449</v>
      </c>
      <c r="I125" s="2161" t="n">
        <v>0</v>
      </c>
      <c r="J125" s="2161" t="n">
        <v>0</v>
      </c>
      <c r="K125" s="2161" t="n"/>
    </row>
    <row r="126" outlineLevel="3" ht="15.75" customHeight="1">
      <c r="A126" s="10" t="n">
        <v>11</v>
      </c>
      <c r="B126" s="10" t="inlineStr">
        <is>
          <t>Insumo</t>
        </is>
      </c>
      <c r="C126" s="10" t="inlineStr">
        <is>
          <t>Almoxarifado geral</t>
        </is>
      </c>
      <c r="D126" s="10" t="inlineStr">
        <is>
          <t>MADEIRA PINUS/SIMILAR - TABUA PINUS 200X20MM NBR 11700</t>
        </is>
      </c>
      <c r="E126" s="11">
        <f t="array" ref="E126">_xlfn.XLOOKUP(D126,Insumos!B:B,Insumos!C:$C)</f>
        <v/>
      </c>
      <c r="F126" s="14" t="n">
        <v>0.591</v>
      </c>
      <c r="G126" s="92">
        <f t="array" ref="G126">IF(B126="insumo",_xlfn.XLOOKUP($D126,Insumos!$B$1:$B$996,Insumos!$D$1:$D$996),"")</f>
        <v/>
      </c>
      <c r="H126" s="92" t="n">
        <v>27.4815</v>
      </c>
      <c r="I126" s="2162" t="n">
        <v>0</v>
      </c>
      <c r="J126" s="2162" t="n">
        <v>0</v>
      </c>
      <c r="K126" s="2162" t="n"/>
    </row>
    <row r="127" outlineLevel="3" ht="15.75" customHeight="1">
      <c r="A127" s="10" t="n">
        <v>10</v>
      </c>
      <c r="B127" s="10" t="inlineStr">
        <is>
          <t>Insumo</t>
        </is>
      </c>
      <c r="C127" s="10" t="inlineStr">
        <is>
          <t>Almoxarifado geral</t>
        </is>
      </c>
      <c r="D127" s="10" t="inlineStr">
        <is>
          <t>COMPENSADO MADEIRA TIPO RESINADO COLA FENOLICA 2440X1220X10MM</t>
        </is>
      </c>
      <c r="E127" s="11">
        <f t="array" ref="E127">_xlfn.XLOOKUP(D127,Insumos!B:B,Insumos!C:$C)</f>
        <v/>
      </c>
      <c r="F127" s="14" t="n">
        <v>0.404</v>
      </c>
      <c r="G127" s="92">
        <f t="array" ref="G127">IF(B127="insumo",_xlfn.XLOOKUP($D127,Insumos!$B$1:$B$996,Insumos!$D$1:$D$996),"")</f>
        <v/>
      </c>
      <c r="H127" s="92" t="n">
        <v>23.61784</v>
      </c>
      <c r="I127" s="2162" t="n">
        <v>0</v>
      </c>
      <c r="J127" s="2162" t="n">
        <v>0</v>
      </c>
      <c r="K127" s="2162" t="n"/>
    </row>
    <row r="128" outlineLevel="3" ht="15.75" customHeight="1">
      <c r="A128" s="10" t="n">
        <v>25</v>
      </c>
      <c r="B128" s="10" t="inlineStr">
        <is>
          <t>Insumo</t>
        </is>
      </c>
      <c r="C128" s="10" t="inlineStr">
        <is>
          <t>Almoxarifado geral</t>
        </is>
      </c>
      <c r="D128" s="10" t="inlineStr">
        <is>
          <t>MADEIRA PINUS/SIMILAR - PONTALETE 75X75MM NBR 11700/15696</t>
        </is>
      </c>
      <c r="E128" s="11">
        <f t="array" ref="E128">_xlfn.XLOOKUP(D128,Insumos!B:B,Insumos!C:$C)</f>
        <v/>
      </c>
      <c r="F128" s="14" t="n">
        <v>4.39</v>
      </c>
      <c r="G128" s="92">
        <f t="array" ref="G128">IF(B128="insumo",_xlfn.XLOOKUP($D128,Insumos!$B$1:$B$996,Insumos!$D$1:$D$996),"")</f>
        <v/>
      </c>
      <c r="H128" s="92" t="n">
        <v>30.73</v>
      </c>
      <c r="I128" s="2162" t="n">
        <v>0</v>
      </c>
      <c r="J128" s="2162" t="n">
        <v>0</v>
      </c>
      <c r="K128" s="2162" t="n"/>
    </row>
    <row r="129" outlineLevel="3" ht="15.75" customHeight="1">
      <c r="A129" s="10" t="n">
        <v>11</v>
      </c>
      <c r="B129" s="10" t="inlineStr">
        <is>
          <t>Insumo</t>
        </is>
      </c>
      <c r="C129" s="10" t="inlineStr">
        <is>
          <t>Almoxarifado geral</t>
        </is>
      </c>
      <c r="D129" s="10" t="inlineStr">
        <is>
          <t>MADEIRA PINUS/SIMILAR - SARRAFO PINUS 50X20MM NBR 11700/15696</t>
        </is>
      </c>
      <c r="E129" s="11">
        <f t="array" ref="E129">_xlfn.XLOOKUP(D129,Insumos!B:B,Insumos!C:$C)</f>
        <v/>
      </c>
      <c r="F129" s="14" t="n">
        <v>0.15</v>
      </c>
      <c r="G129" s="92">
        <f t="array" ref="G129">IF(B129="insumo",_xlfn.XLOOKUP($D129,Insumos!$B$1:$B$996,Insumos!$D$1:$D$996),"")</f>
        <v/>
      </c>
      <c r="H129" s="92" t="n">
        <v>6.975</v>
      </c>
      <c r="I129" s="2162" t="n">
        <v>0</v>
      </c>
      <c r="J129" s="2162" t="n">
        <v>0</v>
      </c>
      <c r="K129" s="2162" t="n"/>
    </row>
    <row r="130" outlineLevel="3" ht="15.75" customHeight="1">
      <c r="A130" s="10" t="n">
        <v>10</v>
      </c>
      <c r="B130" s="10" t="inlineStr">
        <is>
          <t>Insumo</t>
        </is>
      </c>
      <c r="C130" s="10" t="inlineStr">
        <is>
          <t>Almoxarifado geral</t>
        </is>
      </c>
      <c r="D130" s="10" t="inlineStr">
        <is>
          <t>MADEIRA PINUS/SIMILAR - SARRAFO PINUS 50X10MM NBR 11700</t>
        </is>
      </c>
      <c r="E130" s="11">
        <f t="array" ref="E130">_xlfn.XLOOKUP(D130,Insumos!B:B,Insumos!C:$C)</f>
        <v/>
      </c>
      <c r="F130" s="14" t="n">
        <v>1</v>
      </c>
      <c r="G130" s="92">
        <f t="array" ref="G130">IF(B130="insumo",_xlfn.XLOOKUP($D130,Insumos!$B$1:$B$996,Insumos!$D$1:$D$996),"")</f>
        <v/>
      </c>
      <c r="H130" s="92" t="n">
        <v>7.39</v>
      </c>
      <c r="I130" s="2162" t="n">
        <v>0</v>
      </c>
      <c r="J130" s="2162" t="n">
        <v>0</v>
      </c>
      <c r="K130" s="2162" t="n"/>
    </row>
    <row r="131" outlineLevel="3" ht="15.75" customHeight="1">
      <c r="A131" s="10" t="n">
        <v>40</v>
      </c>
      <c r="B131" s="10" t="inlineStr">
        <is>
          <t>Insumo</t>
        </is>
      </c>
      <c r="C131" s="10" t="inlineStr">
        <is>
          <t>Almoxarifado geral</t>
        </is>
      </c>
      <c r="D131" s="10" t="inlineStr">
        <is>
          <t>PREGO DE ACO POLIDO COM CABECA 17 X 21 (2 X 11)</t>
        </is>
      </c>
      <c r="E131" s="11">
        <f t="array" ref="E131">_xlfn.XLOOKUP(D131,Insumos!B:B,Insumos!C:$C)</f>
        <v/>
      </c>
      <c r="F131" s="14" t="n">
        <v>1</v>
      </c>
      <c r="G131" s="92">
        <f t="array" ref="G131">IF(B131="insumo",_xlfn.XLOOKUP($D131,Insumos!$B$1:$B$996,Insumos!$D$1:$D$996),"")</f>
        <v/>
      </c>
      <c r="H131" s="92" t="n">
        <v>18.13</v>
      </c>
      <c r="I131" s="2162" t="n">
        <v>0</v>
      </c>
      <c r="J131" s="2162" t="n">
        <v>0</v>
      </c>
      <c r="K131" s="2162" t="n"/>
    </row>
    <row r="132" outlineLevel="3" ht="15.75" customHeight="1">
      <c r="A132" s="10" t="n">
        <v>9</v>
      </c>
      <c r="B132" s="10" t="inlineStr">
        <is>
          <t>Insumo</t>
        </is>
      </c>
      <c r="C132" s="10" t="inlineStr">
        <is>
          <t>Almoxarifado geral</t>
        </is>
      </c>
      <c r="D132" s="10" t="inlineStr">
        <is>
          <t>Concreto Usinado bombeável 20MPa Convencional</t>
        </is>
      </c>
      <c r="E132" s="11">
        <f t="array" ref="E132">_xlfn.XLOOKUP(D132,Insumos!B:B,Insumos!C:$C)</f>
        <v/>
      </c>
      <c r="F132" s="14" t="n">
        <v>0.074</v>
      </c>
      <c r="G132" s="92">
        <f t="array" ref="G132">IF(B132="insumo",_xlfn.XLOOKUP($D132,Insumos!$B$1:$B$996,Insumos!$D$1:$D$996),"")</f>
        <v/>
      </c>
      <c r="H132" s="92" t="n">
        <v>36.26</v>
      </c>
      <c r="I132" s="2162" t="n">
        <v>0</v>
      </c>
      <c r="J132" s="2162" t="n">
        <v>0</v>
      </c>
      <c r="K132" s="2162" t="n"/>
    </row>
    <row r="133" outlineLevel="3" ht="15.75" customHeight="1">
      <c r="A133" s="10" t="n">
        <v>2</v>
      </c>
      <c r="B133" s="10" t="inlineStr">
        <is>
          <t>Insumo</t>
        </is>
      </c>
      <c r="C133" s="10" t="inlineStr">
        <is>
          <t>Almoxarifado geral</t>
        </is>
      </c>
      <c r="D133" s="10" t="inlineStr">
        <is>
          <t>TELA ACO CARBONO CA60 M.150X150MM F.03,4MM 245X600CM Q61 (14,26KG/UN)</t>
        </is>
      </c>
      <c r="E133" s="11">
        <f t="array" ref="E133">_xlfn.XLOOKUP(D133,Insumos!B:B,Insumos!C:$C)</f>
        <v/>
      </c>
      <c r="F133" s="14" t="n">
        <v>1.334</v>
      </c>
      <c r="G133" s="92">
        <f t="array" ref="G133">IF(B133="insumo",_xlfn.XLOOKUP($D133,Insumos!$B$1:$B$996,Insumos!$D$1:$D$996),"")</f>
        <v/>
      </c>
      <c r="H133" s="92" t="n">
        <v>8.1374</v>
      </c>
      <c r="I133" s="2162" t="n">
        <v>0</v>
      </c>
      <c r="J133" s="2162" t="n">
        <v>0</v>
      </c>
      <c r="K133" s="2162" t="n"/>
    </row>
    <row r="134" outlineLevel="3" ht="15.75" customHeight="1">
      <c r="A134" s="10" t="n">
        <v>2</v>
      </c>
      <c r="B134" s="10" t="inlineStr">
        <is>
          <t>Insumo</t>
        </is>
      </c>
      <c r="C134" s="10" t="inlineStr">
        <is>
          <t>Almoxarifado geral</t>
        </is>
      </c>
      <c r="D134" s="10" t="inlineStr">
        <is>
          <t>TELHA FIBROCIMENTO NATURAL S/AMIANTO 06X1100X1530MM NBR 7581/15210</t>
        </is>
      </c>
      <c r="E134" s="11">
        <f t="array" ref="E134">_xlfn.XLOOKUP(D134,Insumos!B:B,Insumos!C:$C)</f>
        <v/>
      </c>
      <c r="F134" s="14" t="n">
        <v>1.19</v>
      </c>
      <c r="G134" s="92">
        <f t="array" ref="G134">IF(B134="insumo",_xlfn.XLOOKUP($D134,Insumos!$B$1:$B$996,Insumos!$D$1:$D$996),"")</f>
        <v/>
      </c>
      <c r="H134" s="92" t="n">
        <v>25.3589</v>
      </c>
      <c r="I134" s="2162" t="n">
        <v>0</v>
      </c>
      <c r="J134" s="2162" t="n">
        <v>0</v>
      </c>
      <c r="K134" s="2162" t="n"/>
    </row>
    <row r="135" outlineLevel="3" ht="15.75" customHeight="1">
      <c r="A135" s="10" t="n">
        <v>2</v>
      </c>
      <c r="B135" s="10" t="inlineStr">
        <is>
          <t>Insumo</t>
        </is>
      </c>
      <c r="C135" s="10" t="inlineStr">
        <is>
          <t>Almoxarifado geral</t>
        </is>
      </c>
      <c r="D135" s="10" t="inlineStr">
        <is>
          <t>TINTA LATEX ACRILICO FOSCO INT./EXT. PREMIUM PLUS BRANCO NBR 14942</t>
        </is>
      </c>
      <c r="E135" s="11">
        <f t="array" ref="E135">_xlfn.XLOOKUP(D135,Insumos!B:B,Insumos!C:$C)</f>
        <v/>
      </c>
      <c r="F135" s="14" t="n">
        <v>0.18</v>
      </c>
      <c r="G135" s="92">
        <f t="array" ref="G135">IF(B135="insumo",_xlfn.XLOOKUP($D135,Insumos!$B$1:$B$996,Insumos!$D$1:$D$996),"")</f>
        <v/>
      </c>
      <c r="H135" s="92" t="n">
        <v>1.53</v>
      </c>
      <c r="I135" s="2162" t="n">
        <v>0</v>
      </c>
      <c r="J135" s="2162" t="n">
        <v>0</v>
      </c>
      <c r="K135" s="2162" t="n"/>
    </row>
    <row r="136" outlineLevel="3" ht="15.75" customHeight="1">
      <c r="A136" s="10" t="n">
        <v>2</v>
      </c>
      <c r="B136" s="10" t="inlineStr">
        <is>
          <t>Insumo</t>
        </is>
      </c>
      <c r="C136" s="10" t="inlineStr">
        <is>
          <t>Almoxarifado geral</t>
        </is>
      </c>
      <c r="D136" s="10" t="inlineStr">
        <is>
          <t>TINTA ESMALTE ACETINADO BASE SOLVENTE BRANCO NBR 15299</t>
        </is>
      </c>
      <c r="E136" s="11">
        <f t="array" ref="E136">_xlfn.XLOOKUP(D136,Insumos!B:B,Insumos!C:$C)</f>
        <v/>
      </c>
      <c r="F136" s="14" t="n">
        <v>0.06</v>
      </c>
      <c r="G136" s="92">
        <f t="array" ref="G136">IF(B136="insumo",_xlfn.XLOOKUP($D136,Insumos!$B$1:$B$996,Insumos!$D$1:$D$996),"")</f>
        <v/>
      </c>
      <c r="H136" s="92" t="n">
        <v>0.6</v>
      </c>
      <c r="I136" s="2162" t="n">
        <v>0</v>
      </c>
      <c r="J136" s="2162" t="n">
        <v>0</v>
      </c>
      <c r="K136" s="2162" t="n"/>
    </row>
    <row r="137" outlineLevel="3" ht="15.75" customHeight="1">
      <c r="A137" s="10" t="n">
        <v>2</v>
      </c>
      <c r="B137" s="10" t="inlineStr">
        <is>
          <t>Insumo</t>
        </is>
      </c>
      <c r="C137" s="10" t="inlineStr">
        <is>
          <t>Almoxarifado geral</t>
        </is>
      </c>
      <c r="D137" s="10" t="inlineStr">
        <is>
          <t>SOLVENTE BASE THINNER P/TINTA NBR 14725</t>
        </is>
      </c>
      <c r="E137" s="11">
        <f t="array" ref="E137">_xlfn.XLOOKUP(D137,Insumos!B:B,Insumos!C:$C)</f>
        <v/>
      </c>
      <c r="F137" s="14" t="n">
        <v>0.03</v>
      </c>
      <c r="G137" s="92">
        <f t="array" ref="G137">IF(B137="insumo",_xlfn.XLOOKUP($D137,Insumos!$B$1:$B$996,Insumos!$D$1:$D$996),"")</f>
        <v/>
      </c>
      <c r="H137" s="92" t="n">
        <v>0.48</v>
      </c>
      <c r="I137" s="2162" t="n">
        <v>0</v>
      </c>
      <c r="J137" s="2162" t="n">
        <v>0</v>
      </c>
      <c r="K137" s="2162" t="n"/>
    </row>
    <row r="138" outlineLevel="3" ht="15.75" customHeight="1">
      <c r="A138" s="10" t="n">
        <v>36</v>
      </c>
      <c r="B138" s="10" t="inlineStr">
        <is>
          <t>Insumo</t>
        </is>
      </c>
      <c r="C138" s="10" t="inlineStr">
        <is>
          <t>Almoxarifado geral</t>
        </is>
      </c>
      <c r="D138" s="10" t="inlineStr">
        <is>
          <t>LIXA DAGUA 225X275MM GR100</t>
        </is>
      </c>
      <c r="E138" s="11">
        <f t="array" ref="E138">_xlfn.XLOOKUP(D138,Insumos!B:B,Insumos!C:$C)</f>
        <v/>
      </c>
      <c r="F138" s="14" t="n">
        <v>0.039</v>
      </c>
      <c r="G138" s="92">
        <f t="array" ref="G138">IF(B138="insumo",_xlfn.XLOOKUP($D138,Insumos!$B$1:$B$996,Insumos!$D$1:$D$996),"")</f>
        <v/>
      </c>
      <c r="H138" s="92" t="n">
        <v>0.07371</v>
      </c>
      <c r="I138" s="2162" t="n">
        <v>0</v>
      </c>
      <c r="J138" s="2162" t="n">
        <v>0</v>
      </c>
      <c r="K138" s="2162" t="n"/>
    </row>
    <row r="139" outlineLevel="3" ht="15.75" customHeight="1">
      <c r="A139" s="10" t="n">
        <v>10</v>
      </c>
      <c r="B139" s="10" t="inlineStr">
        <is>
          <t>Insumo</t>
        </is>
      </c>
      <c r="C139" s="10" t="inlineStr">
        <is>
          <t>Almoxarifado geral</t>
        </is>
      </c>
      <c r="D139" s="10" t="inlineStr">
        <is>
          <t>EXTINTOR INCENDIO PO QUIMICO 06KG CLASSE ABC (COMPLETO) NBR 15808</t>
        </is>
      </c>
      <c r="E139" s="11">
        <f t="array" ref="E139">_xlfn.XLOOKUP(D139,Insumos!B:B,Insumos!C:$C)</f>
        <v/>
      </c>
      <c r="F139" s="14" t="n">
        <v>0.015</v>
      </c>
      <c r="G139" s="92">
        <f t="array" ref="G139">IF(B139="insumo",_xlfn.XLOOKUP($D139,Insumos!$B$1:$B$996,Insumos!$D$1:$D$996),"")</f>
        <v/>
      </c>
      <c r="H139" s="92" t="n">
        <v>2.78055</v>
      </c>
      <c r="I139" s="2162" t="n">
        <v>0</v>
      </c>
      <c r="J139" s="2162" t="n">
        <v>0</v>
      </c>
      <c r="K139" s="2162" t="n"/>
    </row>
    <row r="140" outlineLevel="3" ht="15.75" customHeight="1">
      <c r="A140" s="10" t="n">
        <v>10</v>
      </c>
      <c r="B140" s="10" t="inlineStr">
        <is>
          <t>Insumo</t>
        </is>
      </c>
      <c r="C140" s="10" t="inlineStr">
        <is>
          <t>Almoxarifado geral</t>
        </is>
      </c>
      <c r="D140" s="10" t="inlineStr">
        <is>
          <t>MATERIAL PARA INSTALAÇÃO ELÉTRICA</t>
        </is>
      </c>
      <c r="E140" s="11">
        <f t="array" ref="E140">_xlfn.XLOOKUP(D140,Insumos!B:B,Insumos!C:$C)</f>
        <v/>
      </c>
      <c r="F140" s="14" t="n">
        <v>1</v>
      </c>
      <c r="G140" s="92">
        <f t="array" ref="G140">IF(B140="insumo",_xlfn.XLOOKUP($D140,Insumos!$B$1:$B$996,Insumos!$D$1:$D$996),"")</f>
        <v/>
      </c>
      <c r="H140" s="92" t="n">
        <v>215</v>
      </c>
      <c r="I140" s="2162" t="n">
        <v>0</v>
      </c>
      <c r="J140" s="2162" t="n">
        <v>0</v>
      </c>
      <c r="K140" s="2162" t="n"/>
    </row>
    <row r="141" outlineLevel="3" ht="15.75" customHeight="1">
      <c r="A141" s="10" t="n">
        <v>10</v>
      </c>
      <c r="B141" s="10" t="inlineStr">
        <is>
          <t>Insumo</t>
        </is>
      </c>
      <c r="C141" s="10" t="inlineStr">
        <is>
          <t>Almoxarifado geral</t>
        </is>
      </c>
      <c r="D141" s="10" t="inlineStr">
        <is>
          <t>SERVICO INSTALAÇÃO BARRACAO ALMOXARIFADO</t>
        </is>
      </c>
      <c r="E141" s="11">
        <f t="array" ref="E141">_xlfn.XLOOKUP(D141,Insumos!B:B,Insumos!C:$C)</f>
        <v/>
      </c>
      <c r="F141" s="14" t="n">
        <v>1</v>
      </c>
      <c r="G141" s="92">
        <f t="array" ref="G141">IF(B141="insumo",_xlfn.XLOOKUP($D141,Insumos!$B$1:$B$996,Insumos!$D$1:$D$996),"")</f>
        <v/>
      </c>
      <c r="H141" s="92" t="n">
        <v>50</v>
      </c>
      <c r="I141" s="2162" t="n">
        <v>0</v>
      </c>
      <c r="J141" s="2162" t="n">
        <v>0</v>
      </c>
      <c r="K141" s="2162" t="n"/>
    </row>
    <row r="142" outlineLevel="2" ht="15.75" customHeight="1">
      <c r="A142" s="1067" t="n">
        <v>1</v>
      </c>
      <c r="B142" s="1067" t="inlineStr">
        <is>
          <t>Serviço</t>
        </is>
      </c>
      <c r="C142" s="1067" t="inlineStr">
        <is>
          <t>Placa indicativa fixada na estrutura por pregos</t>
        </is>
      </c>
      <c r="D142" s="1067" t="inlineStr">
        <is>
          <t>Placa indicativa fixada na estrutura por pregos</t>
        </is>
      </c>
      <c r="E142" s="1068" t="inlineStr">
        <is>
          <t>M2</t>
        </is>
      </c>
      <c r="F142" s="1067" t="n"/>
      <c r="G142" s="1069">
        <f t="array" ref="G142">IF(B142="insumo",_xlfn.XLOOKUP($D142,Insumos!$B$1:$B$996,Insumos!$D$1:$D$996),"")</f>
        <v/>
      </c>
      <c r="H142" s="1069" t="n">
        <v>7891.02</v>
      </c>
      <c r="I142" s="2161" t="n">
        <v>0</v>
      </c>
      <c r="J142" s="2161" t="n">
        <v>0</v>
      </c>
      <c r="K142" s="2161" t="n"/>
    </row>
    <row r="143" outlineLevel="3" ht="15.75" customHeight="1">
      <c r="A143" s="10" t="n">
        <v>1</v>
      </c>
      <c r="B143" s="10" t="inlineStr">
        <is>
          <t>Insumo</t>
        </is>
      </c>
      <c r="C143" s="10" t="inlineStr">
        <is>
          <t>Placa indicativa fixada na estrutura por pregos</t>
        </is>
      </c>
      <c r="D143" s="10" t="inlineStr">
        <is>
          <t>BANNER LONA VINILICA</t>
        </is>
      </c>
      <c r="E143" s="11">
        <f t="array" ref="E143">_xlfn.XLOOKUP(D143,Insumos!B:B,Insumos!C:$C)</f>
        <v/>
      </c>
      <c r="F143" s="14" t="n">
        <v>3</v>
      </c>
      <c r="G143" s="92">
        <f t="array" ref="G143">IF(B143="insumo",_xlfn.XLOOKUP($D143,Insumos!$B$1:$B$996,Insumos!$D$1:$D$996),"")</f>
        <v/>
      </c>
      <c r="H143" s="92" t="n">
        <v>3156.33</v>
      </c>
      <c r="I143" s="2162" t="n">
        <v>0</v>
      </c>
      <c r="J143" s="2162" t="n">
        <v>0</v>
      </c>
      <c r="K143" s="2162" t="n"/>
    </row>
    <row r="144" outlineLevel="3" ht="15.75" customHeight="1">
      <c r="A144" s="10" t="n">
        <v>1</v>
      </c>
      <c r="B144" s="10" t="inlineStr">
        <is>
          <t>Insumo</t>
        </is>
      </c>
      <c r="C144" s="10" t="inlineStr">
        <is>
          <t>Placa indicativa fixada na estrutura por pregos</t>
        </is>
      </c>
      <c r="D144" s="10" t="inlineStr">
        <is>
          <t xml:space="preserve">PLACA SINALIZACAO PVC C/ADESIVO </t>
        </is>
      </c>
      <c r="E144" s="11">
        <f t="array" ref="E144">_xlfn.XLOOKUP(D144,Insumos!B:B,Insumos!C:$C)</f>
        <v/>
      </c>
      <c r="F144" s="14" t="n">
        <v>3</v>
      </c>
      <c r="G144" s="92">
        <f t="array" ref="G144">IF(B144="insumo",_xlfn.XLOOKUP($D144,Insumos!$B$1:$B$996,Insumos!$D$1:$D$996),"")</f>
        <v/>
      </c>
      <c r="H144" s="92" t="n">
        <v>1609.59</v>
      </c>
      <c r="I144" s="2162" t="n">
        <v>0</v>
      </c>
      <c r="J144" s="2162" t="n">
        <v>0</v>
      </c>
      <c r="K144" s="2162" t="n"/>
    </row>
    <row r="145" outlineLevel="3" ht="15.75" customHeight="1">
      <c r="A145" s="10" t="n">
        <v>1</v>
      </c>
      <c r="B145" s="10" t="inlineStr">
        <is>
          <t>Insumo</t>
        </is>
      </c>
      <c r="C145" s="10" t="inlineStr">
        <is>
          <t>Placa indicativa fixada na estrutura por pregos</t>
        </is>
      </c>
      <c r="D145" s="10" t="inlineStr">
        <is>
          <t>SUPORTE ACO CARBONO P/PLACA - REQ. CANTONEIRA 1.1/4"X1/8" 160X250CM</t>
        </is>
      </c>
      <c r="E145" s="11">
        <f t="array" ref="E145">_xlfn.XLOOKUP(D145,Insumos!B:B,Insumos!C:$C)</f>
        <v/>
      </c>
      <c r="F145" s="14" t="n">
        <v>6</v>
      </c>
      <c r="G145" s="92">
        <f t="array" ref="G145">IF(B145="insumo",_xlfn.XLOOKUP($D145,Insumos!$B$1:$B$996,Insumos!$D$1:$D$996),"")</f>
        <v/>
      </c>
      <c r="H145" s="92" t="n">
        <v>3125.1</v>
      </c>
      <c r="I145" s="2162" t="n">
        <v>0</v>
      </c>
      <c r="J145" s="2162" t="n">
        <v>0</v>
      </c>
      <c r="K145" s="2162" t="n"/>
    </row>
    <row r="146" outlineLevel="2" ht="15.75" customHeight="1">
      <c r="A146" s="1067" t="n">
        <v>1</v>
      </c>
      <c r="B146" s="1067" t="inlineStr">
        <is>
          <t>Serviço</t>
        </is>
      </c>
      <c r="C146" s="1067" t="inlineStr">
        <is>
          <t>Locação da obra</t>
        </is>
      </c>
      <c r="D146" s="1067" t="inlineStr">
        <is>
          <t>Locação da obra</t>
        </is>
      </c>
      <c r="E146" s="1068" t="inlineStr">
        <is>
          <t>M2</t>
        </is>
      </c>
      <c r="F146" s="1067" t="n"/>
      <c r="G146" s="1069">
        <f t="array" ref="G146">IF(B146="insumo",_xlfn.XLOOKUP($D146,Insumos!$B$1:$B$996,Insumos!$D$1:$D$996),"")</f>
        <v/>
      </c>
      <c r="H146" s="1069" t="n">
        <v>25.2262633333333</v>
      </c>
      <c r="I146" s="2161" t="n">
        <v>1040</v>
      </c>
      <c r="J146" s="2161" t="n">
        <v>26235.3138666666</v>
      </c>
      <c r="K146" s="2161" t="n"/>
    </row>
    <row r="147" outlineLevel="3" ht="15.75" customHeight="1">
      <c r="A147" s="10" t="n">
        <v>3</v>
      </c>
      <c r="B147" s="10" t="inlineStr">
        <is>
          <t>Insumo</t>
        </is>
      </c>
      <c r="C147" s="10" t="inlineStr">
        <is>
          <t>Locação da obra</t>
        </is>
      </c>
      <c r="D147" s="10" t="inlineStr">
        <is>
          <t>TINTA ACRILICA A BASE DE SOLVENTE</t>
        </is>
      </c>
      <c r="E147" s="11">
        <f t="array" ref="E147">_xlfn.XLOOKUP(D147,Insumos!B:B,Insumos!C:$C)</f>
        <v/>
      </c>
      <c r="F147" s="14" t="n">
        <v>0.0256</v>
      </c>
      <c r="G147" s="92">
        <f t="array" ref="G147">IF(B147="insumo",_xlfn.XLOOKUP($D147,Insumos!$B$1:$B$996,Insumos!$D$1:$D$996),"")</f>
        <v/>
      </c>
      <c r="H147" s="92" t="n">
        <v>0.8533333333333331</v>
      </c>
      <c r="I147" s="2162" t="n">
        <v>1040</v>
      </c>
      <c r="J147" s="2162" t="n">
        <v>887.466666666666</v>
      </c>
      <c r="K147" s="2162" t="n"/>
    </row>
    <row r="148" outlineLevel="3" ht="15.75" customHeight="1">
      <c r="A148" s="10" t="n">
        <v>11</v>
      </c>
      <c r="B148" s="10" t="inlineStr">
        <is>
          <t>Insumo</t>
        </is>
      </c>
      <c r="C148" s="10" t="inlineStr">
        <is>
          <t>Locação da obra</t>
        </is>
      </c>
      <c r="D148" s="10" t="inlineStr">
        <is>
          <t>MADEIRA PINUS/SIMILAR - TABUA PINUS 200X20MM NBR 11700</t>
        </is>
      </c>
      <c r="E148" s="11">
        <f t="array" ref="E148">_xlfn.XLOOKUP(D148,Insumos!B:B,Insumos!C:$C)</f>
        <v/>
      </c>
      <c r="F148" s="14" t="n">
        <v>0.112</v>
      </c>
      <c r="G148" s="92">
        <f t="array" ref="G148">IF(B148="insumo",_xlfn.XLOOKUP($D148,Insumos!$B$1:$B$996,Insumos!$D$1:$D$996),"")</f>
        <v/>
      </c>
      <c r="H148" s="92" t="n">
        <v>5.208</v>
      </c>
      <c r="I148" s="2162" t="n">
        <v>1040</v>
      </c>
      <c r="J148" s="2162" t="n">
        <v>5416.32</v>
      </c>
      <c r="K148" s="2162" t="n"/>
    </row>
    <row r="149" outlineLevel="3" ht="15.75" customHeight="1">
      <c r="A149" s="10" t="n">
        <v>40</v>
      </c>
      <c r="B149" s="10" t="inlineStr">
        <is>
          <t>Insumo</t>
        </is>
      </c>
      <c r="C149" s="10" t="inlineStr">
        <is>
          <t>Locação da obra</t>
        </is>
      </c>
      <c r="D149" s="10" t="inlineStr">
        <is>
          <t>PREGO DE ACO POLIDO COM CABECA 17 X 21 (2 X 11)</t>
        </is>
      </c>
      <c r="E149" s="11">
        <f t="array" ref="E149">_xlfn.XLOOKUP(D149,Insumos!B:B,Insumos!C:$C)</f>
        <v/>
      </c>
      <c r="F149" s="14" t="n">
        <v>0.111</v>
      </c>
      <c r="G149" s="92">
        <f t="array" ref="G149">IF(B149="insumo",_xlfn.XLOOKUP($D149,Insumos!$B$1:$B$996,Insumos!$D$1:$D$996),"")</f>
        <v/>
      </c>
      <c r="H149" s="92" t="n">
        <v>2.01243</v>
      </c>
      <c r="I149" s="2162" t="n">
        <v>1040</v>
      </c>
      <c r="J149" s="2162" t="n">
        <v>2092.9272</v>
      </c>
      <c r="K149" s="2162" t="n"/>
    </row>
    <row r="150" outlineLevel="3" ht="15.75" customHeight="1">
      <c r="A150" s="10" t="n">
        <v>11</v>
      </c>
      <c r="B150" s="10" t="inlineStr">
        <is>
          <t>Insumo</t>
        </is>
      </c>
      <c r="C150" s="10" t="inlineStr">
        <is>
          <t>Locação da obra</t>
        </is>
      </c>
      <c r="D150" s="10" t="inlineStr">
        <is>
          <t>MADEIRA PINUS/SIMILAR - SARRAFO PINUS 50X20MM NBR 11700/15696</t>
        </is>
      </c>
      <c r="E150" s="11">
        <f t="array" ref="E150">_xlfn.XLOOKUP(D150,Insumos!B:B,Insumos!C:$C)</f>
        <v/>
      </c>
      <c r="F150" s="14" t="n">
        <v>0.15</v>
      </c>
      <c r="G150" s="92">
        <f t="array" ref="G150">IF(B150="insumo",_xlfn.XLOOKUP($D150,Insumos!$B$1:$B$996,Insumos!$D$1:$D$996),"")</f>
        <v/>
      </c>
      <c r="H150" s="92" t="n">
        <v>6.975</v>
      </c>
      <c r="I150" s="2162" t="n">
        <v>1040</v>
      </c>
      <c r="J150" s="2162" t="n">
        <v>7254</v>
      </c>
      <c r="K150" s="2162" t="n"/>
    </row>
    <row r="151" outlineLevel="3" ht="15.75" customHeight="1">
      <c r="A151" s="10" t="n">
        <v>1</v>
      </c>
      <c r="B151" s="10" t="inlineStr">
        <is>
          <t>Insumo</t>
        </is>
      </c>
      <c r="C151" s="10" t="inlineStr">
        <is>
          <t>Locação da obra</t>
        </is>
      </c>
      <c r="D151" s="10" t="inlineStr">
        <is>
          <t>CAIBRO NAO APARELHADO *5 X 6* CM, EM MACARANDUBA/MASSARANDUBA, ANGELIM OU EQUIVALENTE DA REGIAO - BRUTA</t>
        </is>
      </c>
      <c r="E151" s="11">
        <f t="array" ref="E151">_xlfn.XLOOKUP(D151,Insumos!B:B,Insumos!C:$C)</f>
        <v/>
      </c>
      <c r="F151" s="14" t="n">
        <v>0.345</v>
      </c>
      <c r="G151" s="92">
        <f t="array" ref="G151">IF(B151="insumo",_xlfn.XLOOKUP($D151,Insumos!$B$1:$B$996,Insumos!$D$1:$D$996),"")</f>
        <v/>
      </c>
      <c r="H151" s="92" t="n">
        <v>10.1775</v>
      </c>
      <c r="I151" s="2162" t="n">
        <v>1040</v>
      </c>
      <c r="J151" s="2162" t="n">
        <v>10584.6</v>
      </c>
      <c r="K151" s="2162" t="n"/>
    </row>
    <row r="152" outlineLevel="1" ht="15.75" customHeight="1">
      <c r="A152" s="1090" t="n">
        <v>1</v>
      </c>
      <c r="B152" s="1090" t="inlineStr">
        <is>
          <t>Subetapa</t>
        </is>
      </c>
      <c r="C152" s="1090" t="inlineStr">
        <is>
          <t>Locação da obra</t>
        </is>
      </c>
      <c r="D152" s="1090" t="inlineStr">
        <is>
          <t>EPC'S</t>
        </is>
      </c>
      <c r="E152" s="1091" t="n"/>
      <c r="F152" s="1091" t="n"/>
      <c r="G152" s="1091" t="n"/>
      <c r="H152" s="1091" t="n">
        <v>0</v>
      </c>
      <c r="I152" s="2160" t="n">
        <v>0</v>
      </c>
      <c r="J152" s="2160" t="n">
        <v>0</v>
      </c>
      <c r="K152" s="2160" t="n"/>
    </row>
    <row r="153" outlineLevel="2" ht="15.75" customHeight="1">
      <c r="A153" s="1067" t="n">
        <v>1</v>
      </c>
      <c r="B153" s="1067" t="inlineStr">
        <is>
          <t>Serviço</t>
        </is>
      </c>
      <c r="C153" s="1067" t="inlineStr">
        <is>
          <t>Bandeja de proteção primária</t>
        </is>
      </c>
      <c r="D153" s="1067" t="inlineStr">
        <is>
          <t>Bandeja de proteção primária</t>
        </is>
      </c>
      <c r="E153" s="1068" t="inlineStr">
        <is>
          <t>M</t>
        </is>
      </c>
      <c r="F153" s="1067" t="n"/>
      <c r="G153" s="1069">
        <f t="array" ref="G153">IF(B153="insumo",_xlfn.XLOOKUP($D153,Insumos!$B$1:$B$996,Insumos!$D$1:$D$996),"")</f>
        <v/>
      </c>
      <c r="H153" s="1069" t="n">
        <v>243.956146372819</v>
      </c>
      <c r="I153" s="2161" t="n">
        <v>0</v>
      </c>
      <c r="J153" s="2161" t="n">
        <v>0</v>
      </c>
      <c r="K153" s="2161" t="n"/>
    </row>
    <row r="154" outlineLevel="3" ht="15.75" customHeight="1">
      <c r="A154" s="10" t="n">
        <v>2</v>
      </c>
      <c r="B154" s="10" t="inlineStr">
        <is>
          <t>Insumo</t>
        </is>
      </c>
      <c r="C154" s="10" t="inlineStr">
        <is>
          <t>Bandeja de proteção primária</t>
        </is>
      </c>
      <c r="D154" s="10" t="inlineStr">
        <is>
          <t>PREGO DE ACO POLIDO COM CABECA 16 X 24 (2 1/4 X 12)</t>
        </is>
      </c>
      <c r="E154" s="11">
        <f t="array" ref="E154">_xlfn.XLOOKUP(D154,Insumos!B:B,Insumos!C:$C)</f>
        <v/>
      </c>
      <c r="F154" s="14" t="n">
        <v>0.17</v>
      </c>
      <c r="G154" s="92">
        <f t="array" ref="G154">IF(B154="insumo",_xlfn.XLOOKUP($D154,Insumos!$B$1:$B$996,Insumos!$D$1:$D$996),"")</f>
        <v/>
      </c>
      <c r="H154" s="92" t="n">
        <v>2.2236</v>
      </c>
      <c r="I154" s="2162" t="n">
        <v>0</v>
      </c>
      <c r="J154" s="2162" t="n">
        <v>0</v>
      </c>
      <c r="K154" s="2162" t="n"/>
    </row>
    <row r="155" outlineLevel="3" ht="15.75" customHeight="1">
      <c r="A155" s="10" t="n">
        <v>2</v>
      </c>
      <c r="B155" s="10" t="inlineStr">
        <is>
          <t>Insumo</t>
        </is>
      </c>
      <c r="C155" s="10" t="inlineStr">
        <is>
          <t>Bandeja de proteção primária</t>
        </is>
      </c>
      <c r="D155" s="10" t="inlineStr">
        <is>
          <t>CHAPA/PAINEL DE MADEIRA COMPENSADA PLASTIFICADA, DE 2200 X 1100 MM, E = 14 MM</t>
        </is>
      </c>
      <c r="E155" s="11">
        <f t="array" ref="E155">_xlfn.XLOOKUP(D155,Insumos!B:B,Insumos!C:$C)</f>
        <v/>
      </c>
      <c r="F155" s="14" t="n">
        <v>2.54</v>
      </c>
      <c r="G155" s="92">
        <f t="array" ref="G155">IF(B155="insumo",_xlfn.XLOOKUP($D155,Insumos!$B$1:$B$996,Insumos!$D$1:$D$996),"")</f>
        <v/>
      </c>
      <c r="H155" s="92" t="n">
        <v>117.145546372819</v>
      </c>
      <c r="I155" s="2162" t="n">
        <v>0</v>
      </c>
      <c r="J155" s="2162" t="n">
        <v>0</v>
      </c>
      <c r="K155" s="2162" t="n"/>
    </row>
    <row r="156" outlineLevel="3" ht="15.75" customHeight="1">
      <c r="A156" s="10" t="n">
        <v>2</v>
      </c>
      <c r="B156" s="10" t="inlineStr">
        <is>
          <t>Insumo</t>
        </is>
      </c>
      <c r="C156" s="10" t="inlineStr">
        <is>
          <t>Bandeja de proteção primária</t>
        </is>
      </c>
      <c r="D156" s="10" t="inlineStr">
        <is>
          <t>CHUMBADOR PARABOLT ACO CARBONO CBA 1/2"X75MM</t>
        </is>
      </c>
      <c r="E156" s="11">
        <f t="array" ref="E156">_xlfn.XLOOKUP(D156,Insumos!B:B,Insumos!C:$C)</f>
        <v/>
      </c>
      <c r="F156" s="14" t="n">
        <v>3.39</v>
      </c>
      <c r="G156" s="92">
        <f t="array" ref="G156">IF(B156="insumo",_xlfn.XLOOKUP($D156,Insumos!$B$1:$B$996,Insumos!$D$1:$D$996),"")</f>
        <v/>
      </c>
      <c r="H156" s="92" t="n">
        <v>17.967</v>
      </c>
      <c r="I156" s="2162" t="n">
        <v>0</v>
      </c>
      <c r="J156" s="2162" t="n">
        <v>0</v>
      </c>
      <c r="K156" s="2162" t="n"/>
    </row>
    <row r="157" outlineLevel="3" ht="15.75" customHeight="1">
      <c r="A157" s="10" t="n">
        <v>2</v>
      </c>
      <c r="B157" s="10" t="inlineStr">
        <is>
          <t>Insumo</t>
        </is>
      </c>
      <c r="C157" s="10" t="inlineStr">
        <is>
          <t>Bandeja de proteção primária</t>
        </is>
      </c>
      <c r="D157" s="10" t="inlineStr">
        <is>
          <t>PERFIL METALICO BANDEJA PRIMARIA 2,50M</t>
        </is>
      </c>
      <c r="E157" s="11">
        <f t="array" ref="E157">_xlfn.XLOOKUP(D157,Insumos!B:B,Insumos!C:$C)</f>
        <v/>
      </c>
      <c r="F157" s="14" t="n">
        <v>1.13</v>
      </c>
      <c r="G157" s="92">
        <f t="array" ref="G157">IF(B157="insumo",_xlfn.XLOOKUP($D157,Insumos!$B$1:$B$996,Insumos!$D$1:$D$996),"")</f>
        <v/>
      </c>
      <c r="H157" s="92" t="n">
        <v>50.85</v>
      </c>
      <c r="I157" s="2162" t="n">
        <v>0</v>
      </c>
      <c r="J157" s="2162" t="n">
        <v>0</v>
      </c>
      <c r="K157" s="2162" t="n"/>
    </row>
    <row r="158" outlineLevel="3" ht="15.75" customHeight="1">
      <c r="A158" s="10" t="n">
        <v>7</v>
      </c>
      <c r="B158" s="10" t="inlineStr">
        <is>
          <t>Insumo</t>
        </is>
      </c>
      <c r="C158" s="10" t="inlineStr">
        <is>
          <t>Bandeja de proteção primária</t>
        </is>
      </c>
      <c r="D158" s="10" t="inlineStr">
        <is>
          <t>PONTALETE *7,5 X 7,5* CM EM PINUS, MISTA OU EQUIVALENTE DA REGIAO - BRUTA</t>
        </is>
      </c>
      <c r="E158" s="11">
        <f t="array" ref="E158">_xlfn.XLOOKUP(D158,Insumos!B:B,Insumos!C:$C)</f>
        <v/>
      </c>
      <c r="F158" s="14" t="n">
        <v>0.0507</v>
      </c>
      <c r="G158" s="92">
        <f t="array" ref="G158">IF(B158="insumo",_xlfn.XLOOKUP($D158,Insumos!$B$1:$B$996,Insumos!$D$1:$D$996),"")</f>
        <v/>
      </c>
      <c r="H158" s="92" t="n">
        <v>55.77</v>
      </c>
      <c r="I158" s="2162" t="n">
        <v>0</v>
      </c>
      <c r="J158" s="2162" t="n">
        <v>0</v>
      </c>
      <c r="K158" s="2162" t="n"/>
    </row>
    <row r="159" outlineLevel="2" ht="15.75" customHeight="1">
      <c r="A159" s="1067" t="n">
        <v>1</v>
      </c>
      <c r="B159" s="1067" t="inlineStr">
        <is>
          <t>Serviço</t>
        </is>
      </c>
      <c r="C159" s="1067" t="inlineStr">
        <is>
          <t>Bandeja de proteção secundária</t>
        </is>
      </c>
      <c r="D159" s="1067" t="inlineStr">
        <is>
          <t>Bandeja de proteção secundária</t>
        </is>
      </c>
      <c r="E159" s="1068" t="inlineStr">
        <is>
          <t>M</t>
        </is>
      </c>
      <c r="F159" s="1067" t="n"/>
      <c r="G159" s="1069">
        <f t="array" ref="G159">IF(B159="insumo",_xlfn.XLOOKUP($D159,Insumos!$B$1:$B$996,Insumos!$D$1:$D$996),"")</f>
        <v/>
      </c>
      <c r="H159" s="1069" t="n">
        <v>230.096146372819</v>
      </c>
      <c r="I159" s="2161" t="n">
        <v>0</v>
      </c>
      <c r="J159" s="2161" t="n">
        <v>0</v>
      </c>
      <c r="K159" s="2161" t="n"/>
    </row>
    <row r="160" outlineLevel="3" ht="15.75" customHeight="1">
      <c r="A160" s="10" t="n">
        <v>2</v>
      </c>
      <c r="B160" s="10" t="inlineStr">
        <is>
          <t>Insumo</t>
        </is>
      </c>
      <c r="C160" s="10" t="inlineStr">
        <is>
          <t>Bandeja de proteção secundária</t>
        </is>
      </c>
      <c r="D160" s="10" t="inlineStr">
        <is>
          <t>PREGO DE ACO POLIDO COM CABECA 16 X 24 (2 1/4 X 12)</t>
        </is>
      </c>
      <c r="E160" s="11">
        <f t="array" ref="E160">_xlfn.XLOOKUP(D160,Insumos!B:B,Insumos!C:$C)</f>
        <v/>
      </c>
      <c r="F160" s="14" t="n">
        <v>0.17</v>
      </c>
      <c r="G160" s="92">
        <f t="array" ref="G160">IF(B160="insumo",_xlfn.XLOOKUP($D160,Insumos!$B$1:$B$996,Insumos!$D$1:$D$996),"")</f>
        <v/>
      </c>
      <c r="H160" s="92" t="n">
        <v>2.2236</v>
      </c>
      <c r="I160" s="2162" t="n">
        <v>0</v>
      </c>
      <c r="J160" s="2162" t="n">
        <v>0</v>
      </c>
      <c r="K160" s="2162" t="n"/>
    </row>
    <row r="161" outlineLevel="3" ht="15.75" customHeight="1">
      <c r="A161" s="10" t="n">
        <v>2</v>
      </c>
      <c r="B161" s="10" t="inlineStr">
        <is>
          <t>Insumo</t>
        </is>
      </c>
      <c r="C161" s="10" t="inlineStr">
        <is>
          <t>Bandeja de proteção secundária</t>
        </is>
      </c>
      <c r="D161" s="10" t="inlineStr">
        <is>
          <t>CHAPA/PAINEL DE MADEIRA COMPENSADA PLASTIFICADA, DE 2200 X 1100 MM, E = 14 MM</t>
        </is>
      </c>
      <c r="E161" s="11">
        <f t="array" ref="E161">_xlfn.XLOOKUP(D161,Insumos!B:B,Insumos!C:$C)</f>
        <v/>
      </c>
      <c r="F161" s="14" t="n">
        <v>2.54</v>
      </c>
      <c r="G161" s="92">
        <f t="array" ref="G161">IF(B161="insumo",_xlfn.XLOOKUP($D161,Insumos!$B$1:$B$996,Insumos!$D$1:$D$996),"")</f>
        <v/>
      </c>
      <c r="H161" s="92" t="n">
        <v>117.145546372819</v>
      </c>
      <c r="I161" s="2162" t="n">
        <v>0</v>
      </c>
      <c r="J161" s="2162" t="n">
        <v>0</v>
      </c>
      <c r="K161" s="2162" t="n"/>
    </row>
    <row r="162" outlineLevel="3" ht="15.75" customHeight="1">
      <c r="A162" s="10" t="n">
        <v>2</v>
      </c>
      <c r="B162" s="10" t="inlineStr">
        <is>
          <t>Insumo</t>
        </is>
      </c>
      <c r="C162" s="10" t="inlineStr">
        <is>
          <t>Bandeja de proteção secundária</t>
        </is>
      </c>
      <c r="D162" s="10" t="inlineStr">
        <is>
          <t>CHUMBADOR PARABOLT ACO CARBONO CBA 1/2"X75MM</t>
        </is>
      </c>
      <c r="E162" s="11">
        <f t="array" ref="E162">_xlfn.XLOOKUP(D162,Insumos!B:B,Insumos!C:$C)</f>
        <v/>
      </c>
      <c r="F162" s="14" t="n">
        <v>3.39</v>
      </c>
      <c r="G162" s="92">
        <f t="array" ref="G162">IF(B162="insumo",_xlfn.XLOOKUP($D162,Insumos!$B$1:$B$996,Insumos!$D$1:$D$996),"")</f>
        <v/>
      </c>
      <c r="H162" s="92" t="n">
        <v>17.967</v>
      </c>
      <c r="I162" s="2162" t="n">
        <v>0</v>
      </c>
      <c r="J162" s="2162" t="n">
        <v>0</v>
      </c>
      <c r="K162" s="2162" t="n"/>
    </row>
    <row r="163" outlineLevel="3" ht="15.75" customHeight="1">
      <c r="A163" s="10" t="n">
        <v>2</v>
      </c>
      <c r="B163" s="10" t="inlineStr">
        <is>
          <t>Insumo</t>
        </is>
      </c>
      <c r="C163" s="10" t="inlineStr">
        <is>
          <t>Bandeja de proteção secundária</t>
        </is>
      </c>
      <c r="D163" s="10" t="inlineStr">
        <is>
          <t>PERFIL METALICO BANDEJA PRIMARIA 2,50M</t>
        </is>
      </c>
      <c r="E163" s="11">
        <f t="array" ref="E163">_xlfn.XLOOKUP(D163,Insumos!B:B,Insumos!C:$C)</f>
        <v/>
      </c>
      <c r="F163" s="14" t="n">
        <v>1.13</v>
      </c>
      <c r="G163" s="92">
        <f t="array" ref="G163">IF(B163="insumo",_xlfn.XLOOKUP($D163,Insumos!$B$1:$B$996,Insumos!$D$1:$D$996),"")</f>
        <v/>
      </c>
      <c r="H163" s="92" t="n">
        <v>50.85</v>
      </c>
      <c r="I163" s="2162" t="n">
        <v>0</v>
      </c>
      <c r="J163" s="2162" t="n">
        <v>0</v>
      </c>
      <c r="K163" s="2162" t="n"/>
    </row>
    <row r="164" outlineLevel="3" ht="15.75" customHeight="1">
      <c r="A164" s="10" t="n">
        <v>7</v>
      </c>
      <c r="B164" s="10" t="inlineStr">
        <is>
          <t>Insumo</t>
        </is>
      </c>
      <c r="C164" s="10" t="inlineStr">
        <is>
          <t>Bandeja de proteção secundária</t>
        </is>
      </c>
      <c r="D164" s="10" t="inlineStr">
        <is>
          <t>PONTALETE *7,5 X 7,5* CM EM PINUS, MISTA OU EQUIVALENTE DA REGIAO - BRUTA</t>
        </is>
      </c>
      <c r="E164" s="11">
        <f t="array" ref="E164">_xlfn.XLOOKUP(D164,Insumos!B:B,Insumos!C:$C)</f>
        <v/>
      </c>
      <c r="F164" s="14" t="n">
        <v>0.0381</v>
      </c>
      <c r="G164" s="92">
        <f t="array" ref="G164">IF(B164="insumo",_xlfn.XLOOKUP($D164,Insumos!$B$1:$B$996,Insumos!$D$1:$D$996),"")</f>
        <v/>
      </c>
      <c r="H164" s="92" t="n">
        <v>41.91</v>
      </c>
      <c r="I164" s="2162" t="n">
        <v>0</v>
      </c>
      <c r="J164" s="2162" t="n">
        <v>0</v>
      </c>
      <c r="K164" s="2162" t="n"/>
    </row>
    <row r="165" outlineLevel="2" ht="15.75" customHeight="1">
      <c r="A165" s="1067" t="n">
        <v>1</v>
      </c>
      <c r="B165" s="1067" t="inlineStr">
        <is>
          <t>Serviço</t>
        </is>
      </c>
      <c r="C165" s="1067" t="inlineStr">
        <is>
          <t>Guarda-corpo de vãos, fixado em fôrma de madeira, em trama de madeira com tela de polipropileno</t>
        </is>
      </c>
      <c r="D165" s="1067" t="inlineStr">
        <is>
          <t>Guarda-corpo de vãos, fixado em fôrma de madeira, em trama de madeira com tela de polipropileno</t>
        </is>
      </c>
      <c r="E165" s="1068" t="inlineStr">
        <is>
          <t>M2</t>
        </is>
      </c>
      <c r="F165" s="1067" t="n"/>
      <c r="G165" s="1069">
        <f t="array" ref="G165">IF(B165="insumo",_xlfn.XLOOKUP($D165,Insumos!$B$1:$B$996,Insumos!$D$1:$D$996),"")</f>
        <v/>
      </c>
      <c r="H165" s="1069" t="n">
        <v>38.622647</v>
      </c>
      <c r="I165" s="2161" t="n">
        <v>0</v>
      </c>
      <c r="J165" s="2161" t="n">
        <v>0</v>
      </c>
      <c r="K165" s="2161" t="n"/>
    </row>
    <row r="166" outlineLevel="3" ht="15.75" customHeight="1">
      <c r="A166" s="10" t="n">
        <v>40</v>
      </c>
      <c r="B166" s="10" t="inlineStr">
        <is>
          <t>Insumo</t>
        </is>
      </c>
      <c r="C166" s="10" t="inlineStr">
        <is>
          <t>Guarda-corpo de vãos, fixado em fôrma de madeira, em trama de madeira com tela de polipropileno</t>
        </is>
      </c>
      <c r="D166" s="10" t="inlineStr">
        <is>
          <t>PREGO DE ACO POLIDO COM CABECA 17 X 21 (2 X 11)</t>
        </is>
      </c>
      <c r="E166" s="11">
        <f t="array" ref="E166">_xlfn.XLOOKUP(D166,Insumos!B:B,Insumos!C:$C)</f>
        <v/>
      </c>
      <c r="F166" s="14" t="n">
        <v>0.0389</v>
      </c>
      <c r="G166" s="92">
        <f t="array" ref="G166">IF(B166="insumo",_xlfn.XLOOKUP($D166,Insumos!$B$1:$B$996,Insumos!$D$1:$D$996),"")</f>
        <v/>
      </c>
      <c r="H166" s="92" t="n">
        <v>0.705257</v>
      </c>
      <c r="I166" s="2162" t="n">
        <v>0</v>
      </c>
      <c r="J166" s="2162" t="n">
        <v>0</v>
      </c>
      <c r="K166" s="2162" t="n"/>
    </row>
    <row r="167" outlineLevel="3" ht="15.75" customHeight="1">
      <c r="A167" s="10" t="n">
        <v>4</v>
      </c>
      <c r="B167" s="10" t="inlineStr">
        <is>
          <t>Insumo</t>
        </is>
      </c>
      <c r="C167" s="10" t="inlineStr">
        <is>
          <t>Guarda-corpo de vãos, fixado em fôrma de madeira, em trama de madeira com tela de polipropileno</t>
        </is>
      </c>
      <c r="D167" s="10" t="inlineStr">
        <is>
          <t>TABUA *2,5 X 15 CM EM PINUS, MISTA OU EQUIVALENTE DA REGIAO - BRUTA</t>
        </is>
      </c>
      <c r="E167" s="11">
        <f t="array" ref="E167">_xlfn.XLOOKUP(D167,Insumos!B:B,Insumos!C:$C)</f>
        <v/>
      </c>
      <c r="F167" s="14" t="n">
        <v>1.418</v>
      </c>
      <c r="G167" s="92">
        <f t="array" ref="G167">IF(B167="insumo",_xlfn.XLOOKUP($D167,Insumos!$B$1:$B$996,Insumos!$D$1:$D$996),"")</f>
        <v/>
      </c>
      <c r="H167" s="92" t="n">
        <v>30.10414</v>
      </c>
      <c r="I167" s="2162" t="n">
        <v>0</v>
      </c>
      <c r="J167" s="2162" t="n">
        <v>0</v>
      </c>
      <c r="K167" s="2162" t="n"/>
    </row>
    <row r="168" outlineLevel="3" ht="15.75" customHeight="1">
      <c r="A168" s="10" t="n">
        <v>3</v>
      </c>
      <c r="B168" s="10" t="inlineStr">
        <is>
          <t>Insumo</t>
        </is>
      </c>
      <c r="C168" s="10" t="inlineStr">
        <is>
          <t>Guarda-corpo de vãos, fixado em fôrma de madeira, em trama de madeira com tela de polipropileno</t>
        </is>
      </c>
      <c r="D168" s="10" t="inlineStr">
        <is>
          <t>TELA PLASTICA TECIDA LISTRADA BRANCA E LARANJA, EM POLIETILENO MONOFILADO</t>
        </is>
      </c>
      <c r="E168" s="11">
        <f t="array" ref="E168">_xlfn.XLOOKUP(D168,Insumos!B:B,Insumos!C:$C)</f>
        <v/>
      </c>
      <c r="F168" s="14" t="n">
        <v>0.525</v>
      </c>
      <c r="G168" s="92">
        <f t="array" ref="G168">IF(B168="insumo",_xlfn.XLOOKUP($D168,Insumos!$B$1:$B$996,Insumos!$D$1:$D$996),"")</f>
        <v/>
      </c>
      <c r="H168" s="92" t="n">
        <v>1.43325</v>
      </c>
      <c r="I168" s="2162" t="n">
        <v>0</v>
      </c>
      <c r="J168" s="2162" t="n">
        <v>0</v>
      </c>
      <c r="K168" s="2162" t="n"/>
    </row>
    <row r="169" outlineLevel="3" ht="15.75" customHeight="1">
      <c r="A169" s="10" t="n">
        <v>7</v>
      </c>
      <c r="B169" s="10" t="inlineStr">
        <is>
          <t>Insumo</t>
        </is>
      </c>
      <c r="C169" s="10" t="inlineStr">
        <is>
          <t>Guarda-corpo de vãos, fixado em fôrma de madeira, em trama de madeira com tela de polipropileno</t>
        </is>
      </c>
      <c r="D169" s="10" t="inlineStr">
        <is>
          <t>PONTALETE *7,5 X 7,5* CM EM PINUS, MISTA OU EQUIVALENTE DA REGIAO - BRUTA</t>
        </is>
      </c>
      <c r="E169" s="11">
        <f t="array" ref="E169">_xlfn.XLOOKUP(D169,Insumos!B:B,Insumos!C:$C)</f>
        <v/>
      </c>
      <c r="F169" s="14" t="n">
        <v>0.0058</v>
      </c>
      <c r="G169" s="92">
        <f t="array" ref="G169">IF(B169="insumo",_xlfn.XLOOKUP($D169,Insumos!$B$1:$B$996,Insumos!$D$1:$D$996),"")</f>
        <v/>
      </c>
      <c r="H169" s="92" t="n">
        <v>6.38</v>
      </c>
      <c r="I169" s="2162" t="n">
        <v>0</v>
      </c>
      <c r="J169" s="2162" t="n">
        <v>0</v>
      </c>
      <c r="K169" s="2162" t="n"/>
    </row>
    <row r="170" outlineLevel="2" ht="15.75" customHeight="1">
      <c r="A170" s="1067" t="n">
        <v>1</v>
      </c>
      <c r="B170" s="1067" t="inlineStr">
        <is>
          <t>Serviço</t>
        </is>
      </c>
      <c r="C170" s="1067" t="inlineStr">
        <is>
          <t>Guarda-corpo em laje pós-desforma com Escora metálica, travessões e tela</t>
        </is>
      </c>
      <c r="D170" s="1067" t="inlineStr">
        <is>
          <t>Guarda-corpo em laje pós-desforma com Escora metálica, travessões e tela</t>
        </is>
      </c>
      <c r="E170" s="1068" t="inlineStr">
        <is>
          <t>M</t>
        </is>
      </c>
      <c r="F170" s="1067" t="n"/>
      <c r="G170" s="1069">
        <f t="array" ref="G170">IF(B170="insumo",_xlfn.XLOOKUP($D170,Insumos!$B$1:$B$996,Insumos!$D$1:$D$996),"")</f>
        <v/>
      </c>
      <c r="H170" s="1069" t="n">
        <v>42.431057</v>
      </c>
      <c r="I170" s="2161" t="n">
        <v>0</v>
      </c>
      <c r="J170" s="2161" t="n">
        <v>0</v>
      </c>
      <c r="K170" s="2161" t="n"/>
    </row>
    <row r="171" outlineLevel="3" ht="15.75" customHeight="1">
      <c r="A171" s="10" t="n">
        <v>40</v>
      </c>
      <c r="B171" s="10" t="inlineStr">
        <is>
          <t>Insumo</t>
        </is>
      </c>
      <c r="C171" s="10" t="inlineStr">
        <is>
          <t>Guarda-corpo em laje pós-desforma com Escora metálica, travessões e tela</t>
        </is>
      </c>
      <c r="D171" s="10" t="inlineStr">
        <is>
          <t>PREGO DE ACO POLIDO COM CABECA 17 X 21 (2 X 11)</t>
        </is>
      </c>
      <c r="E171" s="11">
        <f t="array" ref="E171">_xlfn.XLOOKUP(D171,Insumos!B:B,Insumos!C:$C)</f>
        <v/>
      </c>
      <c r="F171" s="14" t="n">
        <v>0.0389</v>
      </c>
      <c r="G171" s="92">
        <f t="array" ref="G171">IF(B171="insumo",_xlfn.XLOOKUP($D171,Insumos!$B$1:$B$996,Insumos!$D$1:$D$996),"")</f>
        <v/>
      </c>
      <c r="H171" s="92" t="n">
        <v>0.705257</v>
      </c>
      <c r="I171" s="2162" t="n">
        <v>0</v>
      </c>
      <c r="J171" s="2162" t="n">
        <v>0</v>
      </c>
      <c r="K171" s="2162" t="n"/>
    </row>
    <row r="172" outlineLevel="3" ht="15.75" customHeight="1">
      <c r="A172" s="10" t="n">
        <v>4</v>
      </c>
      <c r="B172" s="10" t="inlineStr">
        <is>
          <t>Insumo</t>
        </is>
      </c>
      <c r="C172" s="10" t="inlineStr">
        <is>
          <t>Guarda-corpo em laje pós-desforma com Escora metálica, travessões e tela</t>
        </is>
      </c>
      <c r="D172" s="10" t="inlineStr">
        <is>
          <t>TABUA *2,5 X 15 CM EM PINUS, MISTA OU EQUIVALENTE DA REGIAO - BRUTA</t>
        </is>
      </c>
      <c r="E172" s="11">
        <f t="array" ref="E172">_xlfn.XLOOKUP(D172,Insumos!B:B,Insumos!C:$C)</f>
        <v/>
      </c>
      <c r="F172" s="14" t="n">
        <v>1.41</v>
      </c>
      <c r="G172" s="92">
        <f t="array" ref="G172">IF(B172="insumo",_xlfn.XLOOKUP($D172,Insumos!$B$1:$B$996,Insumos!$D$1:$D$996),"")</f>
        <v/>
      </c>
      <c r="H172" s="92" t="n">
        <v>29.9343</v>
      </c>
      <c r="I172" s="2162" t="n">
        <v>0</v>
      </c>
      <c r="J172" s="2162" t="n">
        <v>0</v>
      </c>
      <c r="K172" s="2162" t="n"/>
    </row>
    <row r="173" outlineLevel="3" ht="15.75" customHeight="1">
      <c r="A173" s="10" t="n">
        <v>2</v>
      </c>
      <c r="B173" s="10" t="inlineStr">
        <is>
          <t>Insumo</t>
        </is>
      </c>
      <c r="C173" s="10" t="inlineStr">
        <is>
          <t>Guarda-corpo em laje pós-desforma com Escora metálica, travessões e tela</t>
        </is>
      </c>
      <c r="D173" s="10" t="inlineStr">
        <is>
          <t>ESCORA METALICA TELESCOPICA, COM ALTURA REGULAVEL DE *1,80* A *3,20* M, INCLUSO TRIPE E FORCADO</t>
        </is>
      </c>
      <c r="E173" s="11">
        <f t="array" ref="E173">_xlfn.XLOOKUP(D173,Insumos!B:B,Insumos!C:$C)</f>
        <v/>
      </c>
      <c r="F173" s="14" t="n">
        <v>0.1</v>
      </c>
      <c r="G173" s="92">
        <f t="array" ref="G173">IF(B173="insumo",_xlfn.XLOOKUP($D173,Insumos!$B$1:$B$996,Insumos!$D$1:$D$996),"")</f>
        <v/>
      </c>
      <c r="H173" s="92" t="n">
        <v>3.29</v>
      </c>
      <c r="I173" s="2162" t="n">
        <v>0</v>
      </c>
      <c r="J173" s="2162" t="n">
        <v>0</v>
      </c>
      <c r="K173" s="2162" t="n"/>
    </row>
    <row r="174" outlineLevel="3" ht="15.75" customHeight="1">
      <c r="A174" s="10" t="n">
        <v>3</v>
      </c>
      <c r="B174" s="10" t="inlineStr">
        <is>
          <t>Insumo</t>
        </is>
      </c>
      <c r="C174" s="10" t="inlineStr">
        <is>
          <t>Guarda-corpo em laje pós-desforma com Escora metálica, travessões e tela</t>
        </is>
      </c>
      <c r="D174" s="10" t="inlineStr">
        <is>
          <t>TELA PLASTICA TECIDA LISTRADA BRANCA E LARANJA, EM POLIETILENO MONOFILADO</t>
        </is>
      </c>
      <c r="E174" s="11">
        <f t="array" ref="E174">_xlfn.XLOOKUP(D174,Insumos!B:B,Insumos!C:$C)</f>
        <v/>
      </c>
      <c r="F174" s="14" t="n">
        <v>0.55</v>
      </c>
      <c r="G174" s="92">
        <f t="array" ref="G174">IF(B174="insumo",_xlfn.XLOOKUP($D174,Insumos!$B$1:$B$996,Insumos!$D$1:$D$996),"")</f>
        <v/>
      </c>
      <c r="H174" s="92" t="n">
        <v>1.5015</v>
      </c>
      <c r="I174" s="2162" t="n">
        <v>0</v>
      </c>
      <c r="J174" s="2162" t="n">
        <v>0</v>
      </c>
      <c r="K174" s="2162" t="n"/>
    </row>
    <row r="175" outlineLevel="3" ht="15.75" customHeight="1">
      <c r="A175" s="10" t="n">
        <v>1</v>
      </c>
      <c r="B175" s="10" t="inlineStr">
        <is>
          <t>Insumo</t>
        </is>
      </c>
      <c r="C175" s="10" t="inlineStr">
        <is>
          <t>Guarda-corpo em laje pós-desforma com Escora metálica, travessões e tela</t>
        </is>
      </c>
      <c r="D175" s="10" t="inlineStr">
        <is>
          <t>Travessão metálico 2"</t>
        </is>
      </c>
      <c r="E175" s="11">
        <f t="array" ref="E175">_xlfn.XLOOKUP(D175,Insumos!B:B,Insumos!C:$C)</f>
        <v/>
      </c>
      <c r="F175" s="14" t="n">
        <v>0.35</v>
      </c>
      <c r="G175" s="92">
        <f t="array" ref="G175">IF(B175="insumo",_xlfn.XLOOKUP($D175,Insumos!$B$1:$B$996,Insumos!$D$1:$D$996),"")</f>
        <v/>
      </c>
      <c r="H175" s="92" t="n">
        <v>7</v>
      </c>
      <c r="I175" s="2162" t="n">
        <v>0</v>
      </c>
      <c r="J175" s="2162" t="n">
        <v>0</v>
      </c>
      <c r="K175" s="2162" t="n"/>
    </row>
    <row r="176" outlineLevel="2" ht="15.75" customHeight="1">
      <c r="A176" s="1067" t="n">
        <v>1</v>
      </c>
      <c r="B176" s="1067" t="inlineStr">
        <is>
          <t>Serviço</t>
        </is>
      </c>
      <c r="C176" s="1067" t="inlineStr">
        <is>
          <t>Guarda-corpo em laje pós-desforma com pontalete de madeira, travessões e tela</t>
        </is>
      </c>
      <c r="D176" s="1067" t="inlineStr">
        <is>
          <t>Guarda-corpo em laje pós-desforma com pontalete de madeira, travessões e tela</t>
        </is>
      </c>
      <c r="E176" s="1068" t="inlineStr">
        <is>
          <t>M</t>
        </is>
      </c>
      <c r="F176" s="1067" t="n"/>
      <c r="G176" s="1069">
        <f t="array" ref="G176">IF(B176="insumo",_xlfn.XLOOKUP($D176,Insumos!$B$1:$B$996,Insumos!$D$1:$D$996),"")</f>
        <v/>
      </c>
      <c r="H176" s="1069" t="n">
        <v>41.811057</v>
      </c>
      <c r="I176" s="2161" t="n">
        <v>0</v>
      </c>
      <c r="J176" s="2161" t="n">
        <v>0</v>
      </c>
      <c r="K176" s="2161" t="n"/>
    </row>
    <row r="177" outlineLevel="3" ht="15.75" customHeight="1">
      <c r="A177" s="10" t="n">
        <v>40</v>
      </c>
      <c r="B177" s="10" t="inlineStr">
        <is>
          <t>Insumo</t>
        </is>
      </c>
      <c r="C177" s="10" t="inlineStr">
        <is>
          <t>Guarda-corpo em laje pós-desforma com pontalete de madeira, travessões e tela</t>
        </is>
      </c>
      <c r="D177" s="10" t="inlineStr">
        <is>
          <t>PREGO DE ACO POLIDO COM CABECA 17 X 21 (2 X 11)</t>
        </is>
      </c>
      <c r="E177" s="11">
        <f t="array" ref="E177">_xlfn.XLOOKUP(D177,Insumos!B:B,Insumos!C:$C)</f>
        <v/>
      </c>
      <c r="F177" s="14" t="n">
        <v>0.0389</v>
      </c>
      <c r="G177" s="92">
        <f t="array" ref="G177">IF(B177="insumo",_xlfn.XLOOKUP($D177,Insumos!$B$1:$B$996,Insumos!$D$1:$D$996),"")</f>
        <v/>
      </c>
      <c r="H177" s="92" t="n">
        <v>0.705257</v>
      </c>
      <c r="I177" s="2162" t="n">
        <v>0</v>
      </c>
      <c r="J177" s="2162" t="n">
        <v>0</v>
      </c>
      <c r="K177" s="2162" t="n"/>
    </row>
    <row r="178" outlineLevel="3" ht="15.75" customHeight="1">
      <c r="A178" s="10" t="n">
        <v>4</v>
      </c>
      <c r="B178" s="10" t="inlineStr">
        <is>
          <t>Insumo</t>
        </is>
      </c>
      <c r="C178" s="10" t="inlineStr">
        <is>
          <t>Guarda-corpo em laje pós-desforma com pontalete de madeira, travessões e tela</t>
        </is>
      </c>
      <c r="D178" s="10" t="inlineStr">
        <is>
          <t>TABUA *2,5 X 15 CM EM PINUS, MISTA OU EQUIVALENTE DA REGIAO - BRUTA</t>
        </is>
      </c>
      <c r="E178" s="11">
        <f t="array" ref="E178">_xlfn.XLOOKUP(D178,Insumos!B:B,Insumos!C:$C)</f>
        <v/>
      </c>
      <c r="F178" s="14" t="n">
        <v>1.41</v>
      </c>
      <c r="G178" s="92">
        <f t="array" ref="G178">IF(B178="insumo",_xlfn.XLOOKUP($D178,Insumos!$B$1:$B$996,Insumos!$D$1:$D$996),"")</f>
        <v/>
      </c>
      <c r="H178" s="92" t="n">
        <v>29.9343</v>
      </c>
      <c r="I178" s="2162" t="n">
        <v>0</v>
      </c>
      <c r="J178" s="2162" t="n">
        <v>0</v>
      </c>
      <c r="K178" s="2162" t="n"/>
    </row>
    <row r="179" outlineLevel="3" ht="15.75" customHeight="1">
      <c r="A179" s="10" t="n">
        <v>2</v>
      </c>
      <c r="B179" s="10" t="inlineStr">
        <is>
          <t>Insumo</t>
        </is>
      </c>
      <c r="C179" s="10" t="inlineStr">
        <is>
          <t>Guarda-corpo em laje pós-desforma com pontalete de madeira, travessões e tela</t>
        </is>
      </c>
      <c r="D179" s="10" t="inlineStr">
        <is>
          <t>ESCORA METALICA TELESCOPICA, COM ALTURA REGULAVEL DE *1,80* A *3,20* M, INCLUSO TRIPE E FORCADO</t>
        </is>
      </c>
      <c r="E179" s="11">
        <f t="array" ref="E179">_xlfn.XLOOKUP(D179,Insumos!B:B,Insumos!C:$C)</f>
        <v/>
      </c>
      <c r="F179" s="14" t="n">
        <v>0.1</v>
      </c>
      <c r="G179" s="92">
        <f t="array" ref="G179">IF(B179="insumo",_xlfn.XLOOKUP($D179,Insumos!$B$1:$B$996,Insumos!$D$1:$D$996),"")</f>
        <v/>
      </c>
      <c r="H179" s="92" t="n">
        <v>3.29</v>
      </c>
      <c r="I179" s="2162" t="n">
        <v>0</v>
      </c>
      <c r="J179" s="2162" t="n">
        <v>0</v>
      </c>
      <c r="K179" s="2162" t="n"/>
    </row>
    <row r="180" outlineLevel="3" ht="15.75" customHeight="1">
      <c r="A180" s="10" t="n">
        <v>3</v>
      </c>
      <c r="B180" s="10" t="inlineStr">
        <is>
          <t>Insumo</t>
        </is>
      </c>
      <c r="C180" s="10" t="inlineStr">
        <is>
          <t>Guarda-corpo em laje pós-desforma com pontalete de madeira, travessões e tela</t>
        </is>
      </c>
      <c r="D180" s="10" t="inlineStr">
        <is>
          <t>TELA PLASTICA TECIDA LISTRADA BRANCA E LARANJA, EM POLIETILENO MONOFILADO</t>
        </is>
      </c>
      <c r="E180" s="11">
        <f t="array" ref="E180">_xlfn.XLOOKUP(D180,Insumos!B:B,Insumos!C:$C)</f>
        <v/>
      </c>
      <c r="F180" s="14" t="n">
        <v>0.55</v>
      </c>
      <c r="G180" s="92">
        <f t="array" ref="G180">IF(B180="insumo",_xlfn.XLOOKUP($D180,Insumos!$B$1:$B$996,Insumos!$D$1:$D$996),"")</f>
        <v/>
      </c>
      <c r="H180" s="92" t="n">
        <v>1.5015</v>
      </c>
      <c r="I180" s="2162" t="n">
        <v>0</v>
      </c>
      <c r="J180" s="2162" t="n">
        <v>0</v>
      </c>
      <c r="K180" s="2162" t="n"/>
    </row>
    <row r="181" outlineLevel="3" ht="15.75" customHeight="1">
      <c r="A181" s="10" t="n">
        <v>7</v>
      </c>
      <c r="B181" s="10" t="inlineStr">
        <is>
          <t>Insumo</t>
        </is>
      </c>
      <c r="C181" s="10" t="inlineStr">
        <is>
          <t>Guarda-corpo em laje pós-desforma com pontalete de madeira, travessões e tela</t>
        </is>
      </c>
      <c r="D181" s="10" t="inlineStr">
        <is>
          <t>PONTALETE *7,5 X 7,5* CM EM PINUS, MISTA OU EQUIVALENTE DA REGIAO - BRUTA</t>
        </is>
      </c>
      <c r="E181" s="11">
        <f t="array" ref="E181">_xlfn.XLOOKUP(D181,Insumos!B:B,Insumos!C:$C)</f>
        <v/>
      </c>
      <c r="F181" s="14" t="n">
        <v>0.0058</v>
      </c>
      <c r="G181" s="92">
        <f t="array" ref="G181">IF(B181="insumo",_xlfn.XLOOKUP($D181,Insumos!$B$1:$B$996,Insumos!$D$1:$D$996),"")</f>
        <v/>
      </c>
      <c r="H181" s="92" t="n">
        <v>6.38</v>
      </c>
      <c r="I181" s="2162" t="n">
        <v>0</v>
      </c>
      <c r="J181" s="2162" t="n">
        <v>0</v>
      </c>
      <c r="K181" s="2162" t="n"/>
    </row>
    <row r="182" outlineLevel="2" ht="15.75" customHeight="1">
      <c r="A182" s="1067" t="n">
        <v>1</v>
      </c>
      <c r="B182" s="1067" t="inlineStr">
        <is>
          <t>Serviço</t>
        </is>
      </c>
      <c r="C182" s="1067" t="inlineStr">
        <is>
          <t>Tela fachadeira</t>
        </is>
      </c>
      <c r="D182" s="1067" t="inlineStr">
        <is>
          <t>Tela fachadeira</t>
        </is>
      </c>
      <c r="E182" s="1068" t="inlineStr">
        <is>
          <t>M2</t>
        </is>
      </c>
      <c r="F182" s="1067" t="n"/>
      <c r="G182" s="1069">
        <f t="array" ref="G182">IF(B182="insumo",_xlfn.XLOOKUP($D182,Insumos!$B$1:$B$996,Insumos!$D$1:$D$996),"")</f>
        <v/>
      </c>
      <c r="H182" s="1069" t="n">
        <v>8.5113</v>
      </c>
      <c r="I182" s="2161" t="n">
        <v>0</v>
      </c>
      <c r="J182" s="2161" t="n">
        <v>0</v>
      </c>
      <c r="K182" s="2161" t="n"/>
    </row>
    <row r="183" outlineLevel="3" ht="15.75" customHeight="1">
      <c r="A183" s="10" t="n">
        <v>40</v>
      </c>
      <c r="B183" s="10" t="inlineStr">
        <is>
          <t>Insumo</t>
        </is>
      </c>
      <c r="C183" s="10" t="inlineStr">
        <is>
          <t>Tela fachadeira</t>
        </is>
      </c>
      <c r="D183" s="10" t="inlineStr">
        <is>
          <t>PREGO DE ACO POLIDO COM CABECA 17 X 21 (2 X 11)</t>
        </is>
      </c>
      <c r="E183" s="11">
        <f t="array" ref="E183">_xlfn.XLOOKUP(D183,Insumos!B:B,Insumos!C:$C)</f>
        <v/>
      </c>
      <c r="F183" s="14" t="n">
        <v>0.01</v>
      </c>
      <c r="G183" s="92">
        <f t="array" ref="G183">IF(B183="insumo",_xlfn.XLOOKUP($D183,Insumos!$B$1:$B$996,Insumos!$D$1:$D$996),"")</f>
        <v/>
      </c>
      <c r="H183" s="92" t="n">
        <v>0.1813</v>
      </c>
      <c r="I183" s="2162" t="n">
        <v>0</v>
      </c>
      <c r="J183" s="2162" t="n">
        <v>0</v>
      </c>
      <c r="K183" s="2162" t="n"/>
    </row>
    <row r="184" outlineLevel="3" ht="15.75" customHeight="1">
      <c r="A184" s="10" t="n">
        <v>1</v>
      </c>
      <c r="B184" s="10" t="inlineStr">
        <is>
          <t>Insumo</t>
        </is>
      </c>
      <c r="C184" s="10" t="inlineStr">
        <is>
          <t>Tela fachadeira</t>
        </is>
      </c>
      <c r="D184" s="10" t="inlineStr">
        <is>
          <t>TELA FACHADEIRA POLIETILENO MALHA 1,5X1,5MM</t>
        </is>
      </c>
      <c r="E184" s="11">
        <f t="array" ref="E184">_xlfn.XLOOKUP(D184,Insumos!B:B,Insumos!C:$C)</f>
        <v/>
      </c>
      <c r="F184" s="14" t="n">
        <v>1.05</v>
      </c>
      <c r="G184" s="92">
        <f t="array" ref="G184">IF(B184="insumo",_xlfn.XLOOKUP($D184,Insumos!$B$1:$B$996,Insumos!$D$1:$D$996),"")</f>
        <v/>
      </c>
      <c r="H184" s="92" t="n">
        <v>3.675</v>
      </c>
      <c r="I184" s="2162" t="n">
        <v>0</v>
      </c>
      <c r="J184" s="2162" t="n">
        <v>0</v>
      </c>
      <c r="K184" s="2162" t="n"/>
    </row>
    <row r="185" outlineLevel="3" ht="15.75" customHeight="1">
      <c r="A185" s="10" t="n">
        <v>7</v>
      </c>
      <c r="B185" s="10" t="inlineStr">
        <is>
          <t>Insumo</t>
        </is>
      </c>
      <c r="C185" s="10" t="inlineStr">
        <is>
          <t>Tela fachadeira</t>
        </is>
      </c>
      <c r="D185" s="10" t="inlineStr">
        <is>
          <t>PONTALETE *7,5 X 7,5* CM EM PINUS, MISTA OU EQUIVALENTE DA REGIAO - BRUTA</t>
        </is>
      </c>
      <c r="E185" s="11">
        <f t="array" ref="E185">_xlfn.XLOOKUP(D185,Insumos!B:B,Insumos!C:$C)</f>
        <v/>
      </c>
      <c r="F185" s="14" t="n">
        <v>0.0019</v>
      </c>
      <c r="G185" s="92">
        <f t="array" ref="G185">IF(B185="insumo",_xlfn.XLOOKUP($D185,Insumos!$B$1:$B$996,Insumos!$D$1:$D$996),"")</f>
        <v/>
      </c>
      <c r="H185" s="92" t="n">
        <v>2.09</v>
      </c>
      <c r="I185" s="2162" t="n">
        <v>0</v>
      </c>
      <c r="J185" s="2162" t="n">
        <v>0</v>
      </c>
      <c r="K185" s="2162" t="n"/>
    </row>
    <row r="186" outlineLevel="3" ht="15.75" customHeight="1">
      <c r="A186" s="10" t="n">
        <v>19</v>
      </c>
      <c r="B186" s="10" t="inlineStr">
        <is>
          <t>Insumo</t>
        </is>
      </c>
      <c r="C186" s="10" t="inlineStr">
        <is>
          <t>Tela fachadeira</t>
        </is>
      </c>
      <c r="D186" s="10" t="inlineStr">
        <is>
          <t>SARRAFO *2,5 X 7,5* CM EM PINUS, MISTA OU EQUIVALENTE DA REGIAO - BRUTA</t>
        </is>
      </c>
      <c r="E186" s="11">
        <f t="array" ref="E186">_xlfn.XLOOKUP(D186,Insumos!B:B,Insumos!C:$C)</f>
        <v/>
      </c>
      <c r="F186" s="14" t="n">
        <v>0.0019</v>
      </c>
      <c r="G186" s="92">
        <f t="array" ref="G186">IF(B186="insumo",_xlfn.XLOOKUP($D186,Insumos!$B$1:$B$996,Insumos!$D$1:$D$996),"")</f>
        <v/>
      </c>
      <c r="H186" s="92" t="n">
        <v>2.565</v>
      </c>
      <c r="I186" s="2162" t="n">
        <v>0</v>
      </c>
      <c r="J186" s="2162" t="n">
        <v>0</v>
      </c>
      <c r="K186" s="2162" t="n"/>
    </row>
    <row r="187" outlineLevel="2" ht="15.75" customHeight="1">
      <c r="A187" s="1067" t="n">
        <v>1</v>
      </c>
      <c r="B187" s="1067" t="inlineStr">
        <is>
          <t>Serviço</t>
        </is>
      </c>
      <c r="C187" s="1067" t="inlineStr">
        <is>
          <t>Fechamento removível de vãos de porta de elevador em madeira</t>
        </is>
      </c>
      <c r="D187" s="1067" t="inlineStr">
        <is>
          <t>Fechamento removível de vãos de porta de elevador em madeira</t>
        </is>
      </c>
      <c r="E187" s="1068" t="inlineStr">
        <is>
          <t>M2</t>
        </is>
      </c>
      <c r="F187" s="1067" t="n"/>
      <c r="G187" s="1069">
        <f t="array" ref="G187">IF(B187="insumo",_xlfn.XLOOKUP($D187,Insumos!$B$1:$B$996,Insumos!$D$1:$D$996),"")</f>
        <v/>
      </c>
      <c r="H187" s="1069" t="n">
        <v>49.519651</v>
      </c>
      <c r="I187" s="2161" t="n">
        <v>0</v>
      </c>
      <c r="J187" s="2161" t="n">
        <v>0</v>
      </c>
      <c r="K187" s="2161" t="n"/>
    </row>
    <row r="188" outlineLevel="3" ht="15.75" customHeight="1">
      <c r="A188" s="10" t="n">
        <v>40</v>
      </c>
      <c r="B188" s="10" t="inlineStr">
        <is>
          <t>Insumo</t>
        </is>
      </c>
      <c r="C188" s="10" t="inlineStr">
        <is>
          <t>Fechamento removível de vãos de porta de elevador em madeira</t>
        </is>
      </c>
      <c r="D188" s="10" t="inlineStr">
        <is>
          <t>PREGO DE ACO POLIDO COM CABECA 17 X 21 (2 X 11)</t>
        </is>
      </c>
      <c r="E188" s="11">
        <f t="array" ref="E188">_xlfn.XLOOKUP(D188,Insumos!B:B,Insumos!C:$C)</f>
        <v/>
      </c>
      <c r="F188" s="14" t="n">
        <v>0.0667</v>
      </c>
      <c r="G188" s="92">
        <f t="array" ref="G188">IF(B188="insumo",_xlfn.XLOOKUP($D188,Insumos!$B$1:$B$996,Insumos!$D$1:$D$996),"")</f>
        <v/>
      </c>
      <c r="H188" s="92" t="n">
        <v>1.209271</v>
      </c>
      <c r="I188" s="2162" t="n">
        <v>0</v>
      </c>
      <c r="J188" s="2162" t="n">
        <v>0</v>
      </c>
      <c r="K188" s="2162" t="n"/>
    </row>
    <row r="189" outlineLevel="3" ht="15.75" customHeight="1">
      <c r="A189" s="10" t="n">
        <v>3</v>
      </c>
      <c r="B189" s="10" t="inlineStr">
        <is>
          <t>Insumo</t>
        </is>
      </c>
      <c r="C189" s="10" t="inlineStr">
        <is>
          <t>Fechamento removível de vãos de porta de elevador em madeira</t>
        </is>
      </c>
      <c r="D189" s="10" t="inlineStr">
        <is>
          <t>CHAPA/PAINEL DE MADEIRA COMPENSADA RESINADA, DE 2200 X 1100 MM, E = 14 MM</t>
        </is>
      </c>
      <c r="E189" s="11">
        <f t="array" ref="E189">_xlfn.XLOOKUP(D189,Insumos!B:B,Insumos!C:$C)</f>
        <v/>
      </c>
      <c r="F189" s="14" t="n">
        <v>1.071</v>
      </c>
      <c r="G189" s="92">
        <f t="array" ref="G189">IF(B189="insumo",_xlfn.XLOOKUP($D189,Insumos!$B$1:$B$996,Insumos!$D$1:$D$996),"")</f>
        <v/>
      </c>
      <c r="H189" s="92" t="n">
        <v>38.32038</v>
      </c>
      <c r="I189" s="2162" t="n">
        <v>0</v>
      </c>
      <c r="J189" s="2162" t="n">
        <v>0</v>
      </c>
      <c r="K189" s="2162" t="n"/>
    </row>
    <row r="190" outlineLevel="3" ht="15.75" customHeight="1">
      <c r="A190" s="10" t="n">
        <v>19</v>
      </c>
      <c r="B190" s="10" t="inlineStr">
        <is>
          <t>Insumo</t>
        </is>
      </c>
      <c r="C190" s="10" t="inlineStr">
        <is>
          <t>Fechamento removível de vãos de porta de elevador em madeira</t>
        </is>
      </c>
      <c r="D190" s="10" t="inlineStr">
        <is>
          <t>SARRAFO *2,5 X 7,5* CM EM PINUS, MISTA OU EQUIVALENTE DA REGIAO - BRUTA</t>
        </is>
      </c>
      <c r="E190" s="11">
        <f t="array" ref="E190">_xlfn.XLOOKUP(D190,Insumos!B:B,Insumos!C:$C)</f>
        <v/>
      </c>
      <c r="F190" s="14" t="n">
        <v>0.0074</v>
      </c>
      <c r="G190" s="92">
        <f t="array" ref="G190">IF(B190="insumo",_xlfn.XLOOKUP($D190,Insumos!$B$1:$B$996,Insumos!$D$1:$D$996),"")</f>
        <v/>
      </c>
      <c r="H190" s="92" t="n">
        <v>9.99</v>
      </c>
      <c r="I190" s="2162" t="n">
        <v>0</v>
      </c>
      <c r="J190" s="2162" t="n">
        <v>0</v>
      </c>
      <c r="K190" s="2162" t="n"/>
    </row>
    <row r="191" outlineLevel="2" ht="15.75" customHeight="1">
      <c r="A191" s="1067" t="n">
        <v>1</v>
      </c>
      <c r="B191" s="1067" t="inlineStr">
        <is>
          <t>Serviço</t>
        </is>
      </c>
      <c r="C191" s="1067" t="inlineStr">
        <is>
          <t>Fechamento removível de vãos de porta de entrada dos aptos. em madeira</t>
        </is>
      </c>
      <c r="D191" s="1067" t="inlineStr">
        <is>
          <t>Fechamento removível de vãos de porta de entrada dos aptos. em madeira</t>
        </is>
      </c>
      <c r="E191" s="1068" t="inlineStr">
        <is>
          <t>M2</t>
        </is>
      </c>
      <c r="F191" s="1067" t="n"/>
      <c r="G191" s="1069">
        <f t="array" ref="G191">IF(B191="insumo",_xlfn.XLOOKUP($D191,Insumos!$B$1:$B$996,Insumos!$D$1:$D$996),"")</f>
        <v/>
      </c>
      <c r="H191" s="1069" t="n">
        <v>49.519651</v>
      </c>
      <c r="I191" s="2161" t="n">
        <v>0</v>
      </c>
      <c r="J191" s="2161" t="n">
        <v>0</v>
      </c>
      <c r="K191" s="2161" t="n"/>
    </row>
    <row r="192" outlineLevel="3" ht="15.75" customHeight="1">
      <c r="A192" s="10" t="n">
        <v>40</v>
      </c>
      <c r="B192" s="10" t="inlineStr">
        <is>
          <t>Insumo</t>
        </is>
      </c>
      <c r="C192" s="10" t="inlineStr">
        <is>
          <t>Fechamento removível de vãos de porta de entrada dos aptos. em madeira</t>
        </is>
      </c>
      <c r="D192" s="10" t="inlineStr">
        <is>
          <t>PREGO DE ACO POLIDO COM CABECA 17 X 21 (2 X 11)</t>
        </is>
      </c>
      <c r="E192" s="11">
        <f t="array" ref="E192">_xlfn.XLOOKUP(D192,Insumos!B:B,Insumos!C:$C)</f>
        <v/>
      </c>
      <c r="F192" s="14" t="n">
        <v>0.0667</v>
      </c>
      <c r="G192" s="92">
        <f t="array" ref="G192">IF(B192="insumo",_xlfn.XLOOKUP($D192,Insumos!$B$1:$B$996,Insumos!$D$1:$D$996),"")</f>
        <v/>
      </c>
      <c r="H192" s="92" t="n">
        <v>1.209271</v>
      </c>
      <c r="I192" s="2162" t="n">
        <v>0</v>
      </c>
      <c r="J192" s="2162" t="n">
        <v>0</v>
      </c>
      <c r="K192" s="2162" t="n"/>
    </row>
    <row r="193" outlineLevel="3" ht="15.75" customHeight="1">
      <c r="A193" s="10" t="n">
        <v>3</v>
      </c>
      <c r="B193" s="10" t="inlineStr">
        <is>
          <t>Insumo</t>
        </is>
      </c>
      <c r="C193" s="10" t="inlineStr">
        <is>
          <t>Fechamento removível de vãos de porta de entrada dos aptos. em madeira</t>
        </is>
      </c>
      <c r="D193" s="10" t="inlineStr">
        <is>
          <t>CHAPA/PAINEL DE MADEIRA COMPENSADA RESINADA, DE 2200 X 1100 MM, E = 14 MM</t>
        </is>
      </c>
      <c r="E193" s="11">
        <f t="array" ref="E193">_xlfn.XLOOKUP(D193,Insumos!B:B,Insumos!C:$C)</f>
        <v/>
      </c>
      <c r="F193" s="14" t="n">
        <v>1.071</v>
      </c>
      <c r="G193" s="92">
        <f t="array" ref="G193">IF(B193="insumo",_xlfn.XLOOKUP($D193,Insumos!$B$1:$B$996,Insumos!$D$1:$D$996),"")</f>
        <v/>
      </c>
      <c r="H193" s="92" t="n">
        <v>38.32038</v>
      </c>
      <c r="I193" s="2162" t="n">
        <v>0</v>
      </c>
      <c r="J193" s="2162" t="n">
        <v>0</v>
      </c>
      <c r="K193" s="2162" t="n"/>
    </row>
    <row r="194" outlineLevel="3" ht="15.75" customHeight="1">
      <c r="A194" s="10" t="n">
        <v>19</v>
      </c>
      <c r="B194" s="10" t="inlineStr">
        <is>
          <t>Insumo</t>
        </is>
      </c>
      <c r="C194" s="10" t="inlineStr">
        <is>
          <t>Fechamento removível de vãos de porta de entrada dos aptos. em madeira</t>
        </is>
      </c>
      <c r="D194" s="10" t="inlineStr">
        <is>
          <t>SARRAFO *2,5 X 7,5* CM EM PINUS, MISTA OU EQUIVALENTE DA REGIAO - BRUTA</t>
        </is>
      </c>
      <c r="E194" s="11">
        <f t="array" ref="E194">_xlfn.XLOOKUP(D194,Insumos!B:B,Insumos!C:$C)</f>
        <v/>
      </c>
      <c r="F194" s="14" t="n">
        <v>0.0074</v>
      </c>
      <c r="G194" s="92">
        <f t="array" ref="G194">IF(B194="insumo",_xlfn.XLOOKUP($D194,Insumos!$B$1:$B$996,Insumos!$D$1:$D$996),"")</f>
        <v/>
      </c>
      <c r="H194" s="92" t="n">
        <v>9.99</v>
      </c>
      <c r="I194" s="2162" t="n">
        <v>0</v>
      </c>
      <c r="J194" s="2162" t="n">
        <v>0</v>
      </c>
      <c r="K194" s="2162" t="n"/>
    </row>
    <row r="195" outlineLevel="2" ht="15.75" customHeight="1">
      <c r="A195" s="1067" t="n">
        <v>1</v>
      </c>
      <c r="B195" s="1067" t="inlineStr">
        <is>
          <t>Serviço</t>
        </is>
      </c>
      <c r="C195" s="1067" t="inlineStr">
        <is>
          <t>Fechamento removível de abertura no piso do elevador em madeira</t>
        </is>
      </c>
      <c r="D195" s="1067" t="inlineStr">
        <is>
          <t>Fechamento removível de abertura no piso do elevador em madeira</t>
        </is>
      </c>
      <c r="E195" s="1068" t="inlineStr">
        <is>
          <t>M2</t>
        </is>
      </c>
      <c r="F195" s="1067" t="n"/>
      <c r="G195" s="1069">
        <f t="array" ref="G195">IF(B195="insumo",_xlfn.XLOOKUP($D195,Insumos!$B$1:$B$996,Insumos!$D$1:$D$996),"")</f>
        <v/>
      </c>
      <c r="H195" s="1069" t="n">
        <v>49.519651</v>
      </c>
      <c r="I195" s="2161" t="n">
        <v>0</v>
      </c>
      <c r="J195" s="2161" t="n">
        <v>0</v>
      </c>
      <c r="K195" s="2161" t="n"/>
    </row>
    <row r="196" outlineLevel="3" ht="15.75" customHeight="1">
      <c r="A196" s="10" t="n">
        <v>40</v>
      </c>
      <c r="B196" s="10" t="inlineStr">
        <is>
          <t>Insumo</t>
        </is>
      </c>
      <c r="C196" s="10" t="inlineStr">
        <is>
          <t>Fechamento removível de abertura no piso do elevador em madeira</t>
        </is>
      </c>
      <c r="D196" s="10" t="inlineStr">
        <is>
          <t>PREGO DE ACO POLIDO COM CABECA 17 X 21 (2 X 11)</t>
        </is>
      </c>
      <c r="E196" s="11">
        <f t="array" ref="E196">_xlfn.XLOOKUP(D196,Insumos!B:B,Insumos!C:$C)</f>
        <v/>
      </c>
      <c r="F196" s="14" t="n">
        <v>0.0667</v>
      </c>
      <c r="G196" s="92">
        <f t="array" ref="G196">IF(B196="insumo",_xlfn.XLOOKUP($D196,Insumos!$B$1:$B$996,Insumos!$D$1:$D$996),"")</f>
        <v/>
      </c>
      <c r="H196" s="92" t="n">
        <v>1.209271</v>
      </c>
      <c r="I196" s="2162" t="n">
        <v>0</v>
      </c>
      <c r="J196" s="2162" t="n">
        <v>0</v>
      </c>
      <c r="K196" s="2162" t="n"/>
    </row>
    <row r="197" outlineLevel="3" ht="15.75" customHeight="1">
      <c r="A197" s="10" t="n">
        <v>3</v>
      </c>
      <c r="B197" s="10" t="inlineStr">
        <is>
          <t>Insumo</t>
        </is>
      </c>
      <c r="C197" s="10" t="inlineStr">
        <is>
          <t>Fechamento removível de abertura no piso do elevador em madeira</t>
        </is>
      </c>
      <c r="D197" s="10" t="inlineStr">
        <is>
          <t>CHAPA/PAINEL DE MADEIRA COMPENSADA RESINADA, DE 2200 X 1100 MM, E = 14 MM</t>
        </is>
      </c>
      <c r="E197" s="11">
        <f t="array" ref="E197">_xlfn.XLOOKUP(D197,Insumos!B:B,Insumos!C:$C)</f>
        <v/>
      </c>
      <c r="F197" s="14" t="n">
        <v>1.071</v>
      </c>
      <c r="G197" s="92">
        <f t="array" ref="G197">IF(B197="insumo",_xlfn.XLOOKUP($D197,Insumos!$B$1:$B$996,Insumos!$D$1:$D$996),"")</f>
        <v/>
      </c>
      <c r="H197" s="92" t="n">
        <v>38.32038</v>
      </c>
      <c r="I197" s="2162" t="n">
        <v>0</v>
      </c>
      <c r="J197" s="2162" t="n">
        <v>0</v>
      </c>
      <c r="K197" s="2162" t="n"/>
    </row>
    <row r="198" outlineLevel="3" ht="15.75" customHeight="1">
      <c r="A198" s="10" t="n">
        <v>19</v>
      </c>
      <c r="B198" s="10" t="inlineStr">
        <is>
          <t>Insumo</t>
        </is>
      </c>
      <c r="C198" s="10" t="inlineStr">
        <is>
          <t>Fechamento removível de abertura no piso do elevador em madeira</t>
        </is>
      </c>
      <c r="D198" s="10" t="inlineStr">
        <is>
          <t>SARRAFO *2,5 X 7,5* CM EM PINUS, MISTA OU EQUIVALENTE DA REGIAO - BRUTA</t>
        </is>
      </c>
      <c r="E198" s="11">
        <f t="array" ref="E198">_xlfn.XLOOKUP(D198,Insumos!B:B,Insumos!C:$C)</f>
        <v/>
      </c>
      <c r="F198" s="14" t="n">
        <v>0.0074</v>
      </c>
      <c r="G198" s="92">
        <f t="array" ref="G198">IF(B198="insumo",_xlfn.XLOOKUP($D198,Insumos!$B$1:$B$996,Insumos!$D$1:$D$996),"")</f>
        <v/>
      </c>
      <c r="H198" s="92" t="n">
        <v>9.99</v>
      </c>
      <c r="I198" s="2162" t="n">
        <v>0</v>
      </c>
      <c r="J198" s="2162" t="n">
        <v>0</v>
      </c>
      <c r="K198" s="2162" t="n"/>
    </row>
    <row r="199" outlineLevel="2" ht="15.75" customHeight="1">
      <c r="A199" s="1067" t="n">
        <v>1</v>
      </c>
      <c r="B199" s="1067" t="inlineStr">
        <is>
          <t>Serviço</t>
        </is>
      </c>
      <c r="C199" s="1067" t="inlineStr">
        <is>
          <t>Cobertura para Proteção de Pedestres</t>
        </is>
      </c>
      <c r="D199" s="1067" t="inlineStr">
        <is>
          <t>Cobertura para Proteção de Pedestres</t>
        </is>
      </c>
      <c r="E199" s="1068" t="inlineStr">
        <is>
          <t>M2</t>
        </is>
      </c>
      <c r="F199" s="1067" t="n"/>
      <c r="G199" s="1069">
        <f t="array" ref="G199">IF(B199="insumo",_xlfn.XLOOKUP($D199,Insumos!$B$1:$B$996,Insumos!$D$1:$D$996),"")</f>
        <v/>
      </c>
      <c r="H199" s="1069" t="n">
        <v>880</v>
      </c>
      <c r="I199" s="2161" t="n">
        <v>0</v>
      </c>
      <c r="J199" s="2161" t="n">
        <v>0</v>
      </c>
      <c r="K199" s="2161" t="n"/>
    </row>
    <row r="200" outlineLevel="3" ht="15.75" customHeight="1">
      <c r="A200" s="10" t="n">
        <v>1</v>
      </c>
      <c r="B200" s="10" t="inlineStr">
        <is>
          <t>Insumo</t>
        </is>
      </c>
      <c r="C200" s="10" t="inlineStr">
        <is>
          <t>Cobertura para Proteção de Pedestres</t>
        </is>
      </c>
      <c r="D200" s="10" t="inlineStr">
        <is>
          <t>Locação estrutura metálica para proteção de pesdestres</t>
        </is>
      </c>
      <c r="E200" s="11">
        <f t="array" ref="E200">_xlfn.XLOOKUP(D200,Insumos!B:B,Insumos!C:$C)</f>
        <v/>
      </c>
      <c r="F200" s="14" t="n">
        <v>1</v>
      </c>
      <c r="G200" s="92">
        <f t="array" ref="G200">IF(B200="insumo",_xlfn.XLOOKUP($D200,Insumos!$B$1:$B$996,Insumos!$D$1:$D$996),"")</f>
        <v/>
      </c>
      <c r="H200" s="92" t="n">
        <v>880</v>
      </c>
      <c r="I200" s="2162" t="n">
        <v>0</v>
      </c>
      <c r="J200" s="2162" t="n">
        <v>0</v>
      </c>
      <c r="K200" s="2162" t="n"/>
    </row>
    <row r="201" outlineLevel="2" ht="15.75" customHeight="1">
      <c r="A201" s="1067" t="n">
        <v>1</v>
      </c>
      <c r="B201" s="1067" t="inlineStr">
        <is>
          <t>Serviço</t>
        </is>
      </c>
      <c r="C201" s="1067" t="inlineStr">
        <is>
          <t>Tapume em telha metálica trapezoidal</t>
        </is>
      </c>
      <c r="D201" s="1067" t="inlineStr">
        <is>
          <t>Tapume em telha metálica trapezoidal</t>
        </is>
      </c>
      <c r="E201" s="1068" t="inlineStr">
        <is>
          <t>M2</t>
        </is>
      </c>
      <c r="F201" s="1067" t="n"/>
      <c r="G201" s="1069">
        <f t="array" ref="G201">IF(B201="insumo",_xlfn.XLOOKUP($D201,Insumos!$B$1:$B$996,Insumos!$D$1:$D$996),"")</f>
        <v/>
      </c>
      <c r="H201" s="1069" t="n">
        <v>164.0766</v>
      </c>
      <c r="I201" s="2161" t="n">
        <v>0</v>
      </c>
      <c r="J201" s="2161" t="n">
        <v>0</v>
      </c>
      <c r="K201" s="2161" t="n"/>
    </row>
    <row r="202" outlineLevel="3" ht="15.75" customHeight="1">
      <c r="A202" s="10" t="n">
        <v>6</v>
      </c>
      <c r="B202" s="10" t="inlineStr">
        <is>
          <t>Insumo</t>
        </is>
      </c>
      <c r="C202" s="10" t="inlineStr">
        <is>
          <t>Tapume em telha metálica trapezoidal</t>
        </is>
      </c>
      <c r="D202" s="10" t="inlineStr">
        <is>
          <t>PREGO DE ACO POLIDO COM CABECA 18 X 27 (2 1/2 X 10)</t>
        </is>
      </c>
      <c r="E202" s="11">
        <f t="array" ref="E202">_xlfn.XLOOKUP(D202,Insumos!B:B,Insumos!C:$C)</f>
        <v/>
      </c>
      <c r="F202" s="14" t="n">
        <v>0.068</v>
      </c>
      <c r="G202" s="92">
        <f t="array" ref="G202">IF(B202="insumo",_xlfn.XLOOKUP($D202,Insumos!$B$1:$B$996,Insumos!$D$1:$D$996),"")</f>
        <v/>
      </c>
      <c r="H202" s="92" t="n">
        <v>1.0642</v>
      </c>
      <c r="I202" s="2162" t="n">
        <v>0</v>
      </c>
      <c r="J202" s="2162" t="n">
        <v>0</v>
      </c>
      <c r="K202" s="2162" t="n"/>
    </row>
    <row r="203" outlineLevel="3" ht="15.75" customHeight="1">
      <c r="A203" s="10" t="n">
        <v>7</v>
      </c>
      <c r="B203" s="10" t="inlineStr">
        <is>
          <t>Insumo</t>
        </is>
      </c>
      <c r="C203" s="10" t="inlineStr">
        <is>
          <t>Tapume em telha metálica trapezoidal</t>
        </is>
      </c>
      <c r="D203" s="10" t="inlineStr">
        <is>
          <t>PONTALETE *7,5 X 7,5* CM EM PINUS, MISTA OU EQUIVALENTE DA REGIAO - BRUTA</t>
        </is>
      </c>
      <c r="E203" s="11">
        <f t="array" ref="E203">_xlfn.XLOOKUP(D203,Insumos!B:B,Insumos!C:$C)</f>
        <v/>
      </c>
      <c r="F203" s="14" t="n">
        <v>0.0078</v>
      </c>
      <c r="G203" s="92">
        <f t="array" ref="G203">IF(B203="insumo",_xlfn.XLOOKUP($D203,Insumos!$B$1:$B$996,Insumos!$D$1:$D$996),"")</f>
        <v/>
      </c>
      <c r="H203" s="92" t="n">
        <v>8.58</v>
      </c>
      <c r="I203" s="2162" t="n">
        <v>0</v>
      </c>
      <c r="J203" s="2162" t="n">
        <v>0</v>
      </c>
      <c r="K203" s="2162" t="n"/>
    </row>
    <row r="204" outlineLevel="3" ht="15.75" customHeight="1">
      <c r="A204" s="10" t="n">
        <v>4</v>
      </c>
      <c r="B204" s="10" t="inlineStr">
        <is>
          <t>Insumo</t>
        </is>
      </c>
      <c r="C204" s="10" t="inlineStr">
        <is>
          <t>Tapume em telha metálica trapezoidal</t>
        </is>
      </c>
      <c r="D204" s="10" t="inlineStr">
        <is>
          <t>TABUA *2,5 X 15 CM EM PINUS, MISTA OU EQUIVALENTE DA REGIAO - BRUTA</t>
        </is>
      </c>
      <c r="E204" s="11">
        <f t="array" ref="E204">_xlfn.XLOOKUP(D204,Insumos!B:B,Insumos!C:$C)</f>
        <v/>
      </c>
      <c r="F204" s="14" t="n">
        <v>2</v>
      </c>
      <c r="G204" s="92">
        <f t="array" ref="G204">IF(B204="insumo",_xlfn.XLOOKUP($D204,Insumos!$B$1:$B$996,Insumos!$D$1:$D$996),"")</f>
        <v/>
      </c>
      <c r="H204" s="92" t="n">
        <v>42.46</v>
      </c>
      <c r="I204" s="2162" t="n">
        <v>0</v>
      </c>
      <c r="J204" s="2162" t="n">
        <v>0</v>
      </c>
      <c r="K204" s="2162" t="n"/>
    </row>
    <row r="205" outlineLevel="3" ht="15.75" customHeight="1">
      <c r="A205" s="10" t="n">
        <v>1</v>
      </c>
      <c r="B205" s="10" t="inlineStr">
        <is>
          <t>Insumo</t>
        </is>
      </c>
      <c r="C205" s="10" t="inlineStr">
        <is>
          <t>Tapume em telha metálica trapezoidal</t>
        </is>
      </c>
      <c r="D205" s="10" t="inlineStr">
        <is>
          <t>TELHA TRAPEZOIDAL EM ACO ZINCADO, ESPESSURA DE 0,50 MM</t>
        </is>
      </c>
      <c r="E205" s="11">
        <f t="array" ref="E205">_xlfn.XLOOKUP(D205,Insumos!B:B,Insumos!C:$C)</f>
        <v/>
      </c>
      <c r="F205" s="14" t="n">
        <v>1.15</v>
      </c>
      <c r="G205" s="92">
        <f t="array" ref="G205">IF(B205="insumo",_xlfn.XLOOKUP($D205,Insumos!$B$1:$B$996,Insumos!$D$1:$D$996),"")</f>
        <v/>
      </c>
      <c r="H205" s="92" t="n">
        <v>111.55</v>
      </c>
      <c r="I205" s="2162" t="n">
        <v>0</v>
      </c>
      <c r="J205" s="2162" t="n">
        <v>0</v>
      </c>
      <c r="K205" s="2162" t="n"/>
    </row>
    <row r="206" outlineLevel="3" ht="15.75" customHeight="1">
      <c r="A206" s="10" t="n">
        <v>1</v>
      </c>
      <c r="B206" s="10" t="inlineStr">
        <is>
          <t>Insumo</t>
        </is>
      </c>
      <c r="C206" s="10" t="inlineStr">
        <is>
          <t>Tapume em telha metálica trapezoidal</t>
        </is>
      </c>
      <c r="D206" s="10" t="inlineStr">
        <is>
          <t>CONCRETO MAGRO USINADO, COM BRITA 1</t>
        </is>
      </c>
      <c r="E206" s="11">
        <f t="array" ref="E206">_xlfn.XLOOKUP(D206,Insumos!B:B,Insumos!C:$C)</f>
        <v/>
      </c>
      <c r="F206" s="14" t="n">
        <v>0.0012</v>
      </c>
      <c r="G206" s="92">
        <f t="array" ref="G206">IF(B206="insumo",_xlfn.XLOOKUP($D206,Insumos!$B$1:$B$996,Insumos!$D$1:$D$996),"")</f>
        <v/>
      </c>
      <c r="H206" s="92" t="n">
        <v>0.4224</v>
      </c>
      <c r="I206" s="2162" t="n">
        <v>0</v>
      </c>
      <c r="J206" s="2162" t="n">
        <v>0</v>
      </c>
      <c r="K206" s="2162" t="n"/>
    </row>
    <row r="207" outlineLevel="2" ht="15.75" customHeight="1">
      <c r="A207" s="1067" t="n">
        <v>1</v>
      </c>
      <c r="B207" s="1067" t="inlineStr">
        <is>
          <t>Serviço</t>
        </is>
      </c>
      <c r="C207" s="1067" t="inlineStr">
        <is>
          <t>Varal de segurança com cabo de aço (linha de vida)</t>
        </is>
      </c>
      <c r="D207" s="1067" t="inlineStr">
        <is>
          <t>Varal de segurança com cabo de aço (linha de vida)</t>
        </is>
      </c>
      <c r="E207" s="1068" t="inlineStr">
        <is>
          <t>M</t>
        </is>
      </c>
      <c r="F207" s="1067" t="n"/>
      <c r="G207" s="1069">
        <f t="array" ref="G207">IF(B207="insumo",_xlfn.XLOOKUP($D207,Insumos!$B$1:$B$996,Insumos!$D$1:$D$996),"")</f>
        <v/>
      </c>
      <c r="H207" s="1069" t="n">
        <v>87.214</v>
      </c>
      <c r="I207" s="2161" t="n">
        <v>0</v>
      </c>
      <c r="J207" s="2161" t="n">
        <v>0</v>
      </c>
      <c r="K207" s="2161" t="n"/>
    </row>
    <row r="208" outlineLevel="3" ht="15.75" customHeight="1">
      <c r="A208" s="10" t="n">
        <v>1</v>
      </c>
      <c r="B208" s="10" t="inlineStr">
        <is>
          <t>Insumo</t>
        </is>
      </c>
      <c r="C208" s="10" t="inlineStr">
        <is>
          <t>Varal de segurança com cabo de aço (linha de vida)</t>
        </is>
      </c>
      <c r="D208" s="10" t="inlineStr">
        <is>
          <t>CABO DE AÇO GALVANIZADO 3/8</t>
        </is>
      </c>
      <c r="E208" s="11">
        <f t="array" ref="E208">_xlfn.XLOOKUP(D208,Insumos!B:B,Insumos!C:$C)</f>
        <v/>
      </c>
      <c r="F208" s="14" t="n">
        <v>1</v>
      </c>
      <c r="G208" s="92">
        <f t="array" ref="G208">IF(B208="insumo",_xlfn.XLOOKUP($D208,Insumos!$B$1:$B$996,Insumos!$D$1:$D$996),"")</f>
        <v/>
      </c>
      <c r="H208" s="92" t="n">
        <v>5.2</v>
      </c>
      <c r="I208" s="2162" t="n">
        <v>0</v>
      </c>
      <c r="J208" s="2162" t="n">
        <v>0</v>
      </c>
      <c r="K208" s="2162" t="n"/>
    </row>
    <row r="209" outlineLevel="3" ht="15.75" customHeight="1">
      <c r="A209" s="10" t="n">
        <v>1</v>
      </c>
      <c r="B209" s="10" t="inlineStr">
        <is>
          <t>Insumo</t>
        </is>
      </c>
      <c r="C209" s="10" t="inlineStr">
        <is>
          <t>Varal de segurança com cabo de aço (linha de vida)</t>
        </is>
      </c>
      <c r="D209" s="10" t="inlineStr">
        <is>
          <t>CLIPS PARA CABO DE AÇO 5/16</t>
        </is>
      </c>
      <c r="E209" s="11">
        <f t="array" ref="E209">_xlfn.XLOOKUP(D209,Insumos!B:B,Insumos!C:$C)</f>
        <v/>
      </c>
      <c r="F209" s="14" t="n">
        <v>0.92</v>
      </c>
      <c r="G209" s="92">
        <f t="array" ref="G209">IF(B209="insumo",_xlfn.XLOOKUP($D209,Insumos!$B$1:$B$996,Insumos!$D$1:$D$996),"")</f>
        <v/>
      </c>
      <c r="H209" s="92" t="n">
        <v>1.564</v>
      </c>
      <c r="I209" s="2162" t="n">
        <v>0</v>
      </c>
      <c r="J209" s="2162" t="n">
        <v>0</v>
      </c>
      <c r="K209" s="2162" t="n"/>
    </row>
    <row r="210" outlineLevel="3" ht="15.75" customHeight="1">
      <c r="A210" s="10" t="n">
        <v>1</v>
      </c>
      <c r="B210" s="10" t="inlineStr">
        <is>
          <t>Insumo</t>
        </is>
      </c>
      <c r="C210" s="10" t="inlineStr">
        <is>
          <t>Varal de segurança com cabo de aço (linha de vida)</t>
        </is>
      </c>
      <c r="D210" s="10" t="inlineStr">
        <is>
          <t>TUBO GALV. 3" X 2,65MM - 8M C/ RUPTURA: 40 MPA (LINHA DE VIDA)</t>
        </is>
      </c>
      <c r="E210" s="11">
        <f t="array" ref="E210">_xlfn.XLOOKUP(D210,Insumos!B:B,Insumos!C:$C)</f>
        <v/>
      </c>
      <c r="F210" s="14" t="n">
        <v>1.609</v>
      </c>
      <c r="G210" s="92">
        <f t="array" ref="G210">IF(B210="insumo",_xlfn.XLOOKUP($D210,Insumos!$B$1:$B$996,Insumos!$D$1:$D$996),"")</f>
        <v/>
      </c>
      <c r="H210" s="92" t="n">
        <v>80.45</v>
      </c>
      <c r="I210" s="2162" t="n">
        <v>0</v>
      </c>
      <c r="J210" s="2162" t="n">
        <v>0</v>
      </c>
      <c r="K210" s="2162" t="n"/>
    </row>
    <row r="211" outlineLevel="2" ht="15.75" customHeight="1">
      <c r="A211" s="1067" t="n">
        <v>1</v>
      </c>
      <c r="B211" s="1067" t="inlineStr">
        <is>
          <t>Serviço</t>
        </is>
      </c>
      <c r="C211" s="1067" t="inlineStr">
        <is>
          <t>Tela SLQA</t>
        </is>
      </c>
      <c r="D211" s="1067" t="inlineStr">
        <is>
          <t>Tela SLQA</t>
        </is>
      </c>
      <c r="E211" s="1068" t="inlineStr">
        <is>
          <t>M</t>
        </is>
      </c>
      <c r="F211" s="1067" t="n"/>
      <c r="G211" s="1069">
        <f t="array" ref="G211">IF(B211="insumo",_xlfn.XLOOKUP($D211,Insumos!$B$1:$B$996,Insumos!$D$1:$D$996),"")</f>
        <v/>
      </c>
      <c r="H211" s="1069" t="n">
        <v>110</v>
      </c>
      <c r="I211" s="2161" t="n">
        <v>0</v>
      </c>
      <c r="J211" s="2161" t="n">
        <v>0</v>
      </c>
      <c r="K211" s="2161" t="n"/>
    </row>
    <row r="212" outlineLevel="3" ht="15.75" customHeight="1">
      <c r="A212" s="10" t="n">
        <v>1</v>
      </c>
      <c r="B212" s="10" t="inlineStr">
        <is>
          <t>Insumo</t>
        </is>
      </c>
      <c r="C212" s="10" t="inlineStr">
        <is>
          <t>Tela SLQA</t>
        </is>
      </c>
      <c r="D212" s="10" t="inlineStr">
        <is>
          <t>Locação estrutura para proteção SLQA</t>
        </is>
      </c>
      <c r="E212" s="11">
        <f t="array" ref="E212">_xlfn.XLOOKUP(D212,Insumos!B:B,Insumos!C:$C)</f>
        <v/>
      </c>
      <c r="F212" s="14" t="n">
        <v>1</v>
      </c>
      <c r="G212" s="92">
        <f t="array" ref="G212">IF(B212="insumo",_xlfn.XLOOKUP($D212,Insumos!$B$1:$B$996,Insumos!$D$1:$D$996),"")</f>
        <v/>
      </c>
      <c r="H212" s="92" t="n">
        <v>110</v>
      </c>
      <c r="I212" s="2162" t="n">
        <v>0</v>
      </c>
      <c r="J212" s="2162" t="n">
        <v>0</v>
      </c>
      <c r="K212" s="2162" t="n"/>
    </row>
    <row r="213" ht="15.75" customHeight="1">
      <c r="A213" s="7" t="n">
        <v>1</v>
      </c>
      <c r="B213" s="7" t="inlineStr">
        <is>
          <t>Etapa</t>
        </is>
      </c>
      <c r="C213" s="7" t="inlineStr">
        <is>
          <t>Tela SLQA</t>
        </is>
      </c>
      <c r="D213" s="7" t="inlineStr">
        <is>
          <t>MOVIMENTAÇÃO DE TERRA</t>
        </is>
      </c>
      <c r="E213" s="8" t="n"/>
      <c r="F213" s="2159" t="n"/>
      <c r="G213" s="91">
        <f t="array" ref="G213">IF(B213="insumo",_xlfn.XLOOKUP($D213,Insumos!$B$1:$B$996,Insumos!$D$1:$D$996),"")</f>
        <v/>
      </c>
      <c r="H213" s="91" t="n">
        <v>0</v>
      </c>
      <c r="I213" s="2159" t="n">
        <v>0</v>
      </c>
      <c r="J213" s="2159" t="n">
        <v>0</v>
      </c>
      <c r="K213" s="2159" t="n"/>
    </row>
    <row r="214" outlineLevel="1" ht="15.75" customHeight="1">
      <c r="A214" s="1090" t="n">
        <v>1</v>
      </c>
      <c r="B214" s="1090" t="inlineStr">
        <is>
          <t>Subetapa</t>
        </is>
      </c>
      <c r="C214" s="1090" t="inlineStr">
        <is>
          <t>Tela SLQA</t>
        </is>
      </c>
      <c r="D214" s="1090" t="inlineStr">
        <is>
          <t>TERRAPLENAGEM E LIMPEZA</t>
        </is>
      </c>
      <c r="E214" s="1091" t="n"/>
      <c r="F214" s="1091" t="n"/>
      <c r="G214" s="1091" t="n"/>
      <c r="H214" s="1091" t="n">
        <v>0</v>
      </c>
      <c r="I214" s="2160" t="n">
        <v>0</v>
      </c>
      <c r="J214" s="2160" t="n">
        <v>0</v>
      </c>
      <c r="K214" s="2160" t="n"/>
    </row>
    <row r="215" outlineLevel="2" ht="15.75" customHeight="1">
      <c r="A215" s="1067" t="n">
        <v>1</v>
      </c>
      <c r="B215" s="1067" t="inlineStr">
        <is>
          <t>Serviço</t>
        </is>
      </c>
      <c r="C215" s="1067" t="inlineStr">
        <is>
          <t>Limpeza Terreno Pernamente</t>
        </is>
      </c>
      <c r="D215" s="1067" t="inlineStr">
        <is>
          <t>Limpeza Terreno Pernamente</t>
        </is>
      </c>
      <c r="E215" s="1068" t="inlineStr">
        <is>
          <t>M2</t>
        </is>
      </c>
      <c r="F215" s="1067" t="n"/>
      <c r="G215" s="1069">
        <f t="array" ref="G215">IF(B215="insumo",_xlfn.XLOOKUP($D215,Insumos!$B$1:$B$996,Insumos!$D$1:$D$996),"")</f>
        <v/>
      </c>
      <c r="H215" s="1069" t="n">
        <v>1.64</v>
      </c>
      <c r="I215" s="2161" t="n">
        <v>0</v>
      </c>
      <c r="J215" s="2161" t="n">
        <v>0</v>
      </c>
      <c r="K215" s="2161" t="n"/>
    </row>
    <row r="216" outlineLevel="3" ht="15.75" customHeight="1">
      <c r="A216" s="10" t="n">
        <v>1</v>
      </c>
      <c r="B216" s="10" t="inlineStr">
        <is>
          <t>Insumo</t>
        </is>
      </c>
      <c r="C216" s="10" t="inlineStr">
        <is>
          <t>Limpeza Terreno Pernamente</t>
        </is>
      </c>
      <c r="D216" s="10" t="inlineStr">
        <is>
          <t>Serviço de Limpeza permanete de Terreno</t>
        </is>
      </c>
      <c r="E216" s="11">
        <f t="array" ref="E216">_xlfn.XLOOKUP(D216,Insumos!B:B,Insumos!C:$C)</f>
        <v/>
      </c>
      <c r="F216" s="14" t="n">
        <v>1</v>
      </c>
      <c r="G216" s="92">
        <f t="array" ref="G216">IF(B216="insumo",_xlfn.XLOOKUP($D216,Insumos!$B$1:$B$996,Insumos!$D$1:$D$996),"")</f>
        <v/>
      </c>
      <c r="H216" s="92" t="n">
        <v>1.64</v>
      </c>
      <c r="I216" s="2162" t="n">
        <v>0</v>
      </c>
      <c r="J216" s="2162" t="n">
        <v>0</v>
      </c>
      <c r="K216" s="2162" t="n"/>
    </row>
    <row r="217" outlineLevel="2" ht="15.75" customHeight="1">
      <c r="A217" s="1067" t="n">
        <v>1</v>
      </c>
      <c r="B217" s="1067" t="inlineStr">
        <is>
          <t>Serviço</t>
        </is>
      </c>
      <c r="C217" s="1067" t="inlineStr">
        <is>
          <t>Rebaixamento de Lençol freático</t>
        </is>
      </c>
      <c r="D217" s="1067" t="inlineStr">
        <is>
          <t>Rebaixamento de Lençol freático</t>
        </is>
      </c>
      <c r="E217" s="1068" t="inlineStr">
        <is>
          <t>MÊS</t>
        </is>
      </c>
      <c r="F217" s="1067" t="n"/>
      <c r="G217" s="1069">
        <f t="array" ref="G217">IF(B217="insumo",_xlfn.XLOOKUP($D217,Insumos!$B$1:$B$996,Insumos!$D$1:$D$996),"")</f>
        <v/>
      </c>
      <c r="H217" s="1069" t="n">
        <v>29600</v>
      </c>
      <c r="I217" s="2161" t="n">
        <v>1</v>
      </c>
      <c r="J217" s="2161" t="n">
        <v>29600</v>
      </c>
      <c r="K217" s="2161" t="n"/>
    </row>
    <row r="218" outlineLevel="3" ht="15.75" customHeight="1">
      <c r="A218" s="10" t="n">
        <v>1</v>
      </c>
      <c r="B218" s="10" t="inlineStr">
        <is>
          <t>Insumo</t>
        </is>
      </c>
      <c r="C218" s="10" t="inlineStr">
        <is>
          <t>Rebaixamento de Lençol freático</t>
        </is>
      </c>
      <c r="D218" s="10" t="inlineStr">
        <is>
          <t>Locação 30 dias de cada equipamento de rebaixamento com 22,5 HP, vazão máxima = 100 m³/h, em operação ou a disposição.</t>
        </is>
      </c>
      <c r="E218" s="11">
        <f t="array" ref="E218">_xlfn.XLOOKUP(D218,Insumos!B:B,Insumos!C:$C)</f>
        <v/>
      </c>
      <c r="F218" s="14">
        <f>ROUNDUP(0.00347*'Dados Base'!$C$8,)</f>
        <v/>
      </c>
      <c r="G218" s="92">
        <f t="array" ref="G218">IF(B218="insumo",_xlfn.XLOOKUP($D218,Insumos!$B$1:$B$996,Insumos!$D$1:$D$996),"")</f>
        <v/>
      </c>
      <c r="H218" s="92" t="n">
        <v>26000</v>
      </c>
      <c r="I218" s="2162" t="n">
        <v>1</v>
      </c>
      <c r="J218" s="2162" t="n">
        <v>26000</v>
      </c>
      <c r="K218" s="2162" t="n"/>
    </row>
    <row r="219" outlineLevel="3" ht="15.75" customHeight="1">
      <c r="A219" s="10" t="n">
        <v>1</v>
      </c>
      <c r="B219" s="10" t="inlineStr">
        <is>
          <t>Insumo</t>
        </is>
      </c>
      <c r="C219" s="10" t="inlineStr">
        <is>
          <t>Rebaixamento de Lençol freático</t>
        </is>
      </c>
      <c r="D219" s="10" t="inlineStr">
        <is>
          <t>Locação 30 dias de cada mangote de descarga CDF-A com lance de 50,00 metros cada.</t>
        </is>
      </c>
      <c r="E219" s="11">
        <f t="array" ref="E219">_xlfn.XLOOKUP(D219,Insumos!B:B,Insumos!C:$C)</f>
        <v/>
      </c>
      <c r="F219" s="14">
        <f>ROUNDUP(0.00347*'Dados Base'!$C$8,)</f>
        <v/>
      </c>
      <c r="G219" s="92">
        <f t="array" ref="G219">IF(B219="insumo",_xlfn.XLOOKUP($D219,Insumos!$B$1:$B$996,Insumos!$D$1:$D$996),"")</f>
        <v/>
      </c>
      <c r="H219" s="92" t="n">
        <v>3600</v>
      </c>
      <c r="I219" s="2162" t="n">
        <v>1</v>
      </c>
      <c r="J219" s="2162" t="n">
        <v>3600</v>
      </c>
      <c r="K219" s="2162" t="n"/>
    </row>
    <row r="220" outlineLevel="2" ht="15.75" customHeight="1">
      <c r="A220" s="1067" t="n">
        <v>1</v>
      </c>
      <c r="B220" s="1067" t="inlineStr">
        <is>
          <t>Serviço</t>
        </is>
      </c>
      <c r="C220" s="1067" t="inlineStr">
        <is>
          <t>Instalação de equipamentos para Rebaixamento de Lençol freático</t>
        </is>
      </c>
      <c r="D220" s="1067" t="inlineStr">
        <is>
          <t>Instalação de equipamentos para Rebaixamento de Lençol freático</t>
        </is>
      </c>
      <c r="E220" s="1068" t="inlineStr">
        <is>
          <t>DIA</t>
        </is>
      </c>
      <c r="F220" s="1067" t="n"/>
      <c r="G220" s="1069">
        <f t="array" ref="G220">IF(B220="insumo",_xlfn.XLOOKUP($D220,Insumos!$B$1:$B$996,Insumos!$D$1:$D$996),"")</f>
        <v/>
      </c>
      <c r="H220" s="1069" t="n">
        <v>1200</v>
      </c>
      <c r="I220" s="2161" t="n">
        <v>0</v>
      </c>
      <c r="J220" s="2161" t="n">
        <v>0</v>
      </c>
      <c r="K220" s="2161" t="n"/>
    </row>
    <row r="221" outlineLevel="3" ht="15.75" customHeight="1">
      <c r="A221" s="10" t="n">
        <v>1</v>
      </c>
      <c r="B221" s="10" t="inlineStr">
        <is>
          <t>Insumo</t>
        </is>
      </c>
      <c r="C221" s="10" t="inlineStr">
        <is>
          <t>Instalação de equipamentos para Rebaixamento de Lençol freático</t>
        </is>
      </c>
      <c r="D221" s="10" t="inlineStr">
        <is>
          <t>Instalação e entrega técnica do(s) equipamento(s) de rebaixamento temporário de aquíferos AQ-EL 44-100. (Previsão de 04 dias)</t>
        </is>
      </c>
      <c r="E221" s="11">
        <f t="array" ref="E221">_xlfn.XLOOKUP(D221,Insumos!B:B,Insumos!C:$C)</f>
        <v/>
      </c>
      <c r="F221" s="14" t="n">
        <v>1</v>
      </c>
      <c r="G221" s="92">
        <f t="array" ref="G221">IF(B221="insumo",_xlfn.XLOOKUP($D221,Insumos!$B$1:$B$996,Insumos!$D$1:$D$996),"")</f>
        <v/>
      </c>
      <c r="H221" s="92" t="n">
        <v>1200</v>
      </c>
      <c r="I221" s="2162" t="n">
        <v>0</v>
      </c>
      <c r="J221" s="2162" t="n">
        <v>0</v>
      </c>
      <c r="K221" s="2162" t="n"/>
    </row>
    <row r="222" outlineLevel="2" ht="15.75" customHeight="1">
      <c r="A222" s="1067" t="n">
        <v>1</v>
      </c>
      <c r="B222" s="1067" t="inlineStr">
        <is>
          <t>Serviço</t>
        </is>
      </c>
      <c r="C222" s="1067" t="inlineStr">
        <is>
          <t>Detonação de rochas</t>
        </is>
      </c>
      <c r="D222" s="1067" t="inlineStr">
        <is>
          <t>Detonação de rochas</t>
        </is>
      </c>
      <c r="E222" s="1068" t="inlineStr">
        <is>
          <t>M3</t>
        </is>
      </c>
      <c r="F222" s="1067" t="n"/>
      <c r="G222" s="1069">
        <f t="array" ref="G222">IF(B222="insumo",_xlfn.XLOOKUP($D222,Insumos!$B$1:$B$996,Insumos!$D$1:$D$996),"")</f>
        <v/>
      </c>
      <c r="H222" s="1069" t="n">
        <v>320</v>
      </c>
      <c r="I222" s="2161" t="n">
        <v>0</v>
      </c>
      <c r="J222" s="2161" t="n">
        <v>0</v>
      </c>
      <c r="K222" s="2161" t="n"/>
    </row>
    <row r="223" outlineLevel="3" ht="15.75" customHeight="1">
      <c r="A223" s="10" t="n">
        <v>1</v>
      </c>
      <c r="B223" s="10" t="inlineStr">
        <is>
          <t>Insumo</t>
        </is>
      </c>
      <c r="C223" s="10" t="inlineStr">
        <is>
          <t>Detonação de rochas</t>
        </is>
      </c>
      <c r="D223" s="10" t="inlineStr">
        <is>
          <t>Detonação de rochas</t>
        </is>
      </c>
      <c r="E223" s="11">
        <f t="array" ref="E223">_xlfn.XLOOKUP(D223,Insumos!B:B,Insumos!C:$C)</f>
        <v/>
      </c>
      <c r="F223" s="14" t="n">
        <v>1</v>
      </c>
      <c r="G223" s="92">
        <f t="array" ref="G223">IF(B223="insumo",_xlfn.XLOOKUP($D223,Insumos!$B$1:$B$996,Insumos!$D$1:$D$996),"")</f>
        <v/>
      </c>
      <c r="H223" s="92" t="n">
        <v>320</v>
      </c>
      <c r="I223" s="2162" t="n">
        <v>0</v>
      </c>
      <c r="J223" s="2162" t="n">
        <v>0</v>
      </c>
      <c r="K223" s="2162" t="n"/>
    </row>
    <row r="224" outlineLevel="2" ht="15.75" customHeight="1">
      <c r="A224" s="1067" t="n">
        <v>1</v>
      </c>
      <c r="B224" s="1067" t="inlineStr">
        <is>
          <t>Serviço</t>
        </is>
      </c>
      <c r="C224" s="1067" t="inlineStr">
        <is>
          <t>Terraplanagem - Corte e Desaterro Solo</t>
        </is>
      </c>
      <c r="D224" s="1067" t="inlineStr">
        <is>
          <t>Terraplanagem - Corte e Desaterro Solo</t>
        </is>
      </c>
      <c r="E224" s="1068" t="inlineStr">
        <is>
          <t>M3</t>
        </is>
      </c>
      <c r="F224" s="1067" t="n"/>
      <c r="G224" s="1069">
        <f t="array" ref="G224">IF(B224="insumo",_xlfn.XLOOKUP($D224,Insumos!$B$1:$B$996,Insumos!$D$1:$D$996),"")</f>
        <v/>
      </c>
      <c r="H224" s="1069" t="n">
        <v>2.7132</v>
      </c>
      <c r="I224" s="2161" t="n">
        <v>0</v>
      </c>
      <c r="J224" s="2161" t="n">
        <v>0</v>
      </c>
      <c r="K224" s="2161" t="n"/>
    </row>
    <row r="225" outlineLevel="3" ht="15.75" customHeight="1">
      <c r="A225" s="10" t="n">
        <v>1</v>
      </c>
      <c r="B225" s="10" t="inlineStr">
        <is>
          <t>Insumo</t>
        </is>
      </c>
      <c r="C225" s="10" t="inlineStr">
        <is>
          <t>Terraplanagem - Corte e Desaterro Solo</t>
        </is>
      </c>
      <c r="D225" s="10" t="inlineStr">
        <is>
          <t>Escavação e Carga Mecanizada em Corte - Desaterro Solo</t>
        </is>
      </c>
      <c r="E225" s="11">
        <f t="array" ref="E225">_xlfn.XLOOKUP(D225,Insumos!B:B,Insumos!C:$C)</f>
        <v/>
      </c>
      <c r="F225" s="14" t="n">
        <v>1</v>
      </c>
      <c r="G225" s="92">
        <f t="array" ref="G225">IF(B225="insumo",_xlfn.XLOOKUP($D225,Insumos!$B$1:$B$996,Insumos!$D$1:$D$996),"")</f>
        <v/>
      </c>
      <c r="H225" s="92" t="n">
        <v>2.7132</v>
      </c>
      <c r="I225" s="2162" t="n">
        <v>0</v>
      </c>
      <c r="J225" s="2162" t="n">
        <v>0</v>
      </c>
      <c r="K225" s="2162" t="n"/>
    </row>
    <row r="226" outlineLevel="2" ht="15.75" customHeight="1">
      <c r="A226" s="1067" t="n">
        <v>1</v>
      </c>
      <c r="B226" s="1067" t="inlineStr">
        <is>
          <t>Serviço</t>
        </is>
      </c>
      <c r="C226" s="1067" t="inlineStr">
        <is>
          <t>Desmonte de Rocha</t>
        </is>
      </c>
      <c r="D226" s="1067" t="inlineStr">
        <is>
          <t>Desmonte de Rocha</t>
        </is>
      </c>
      <c r="E226" s="1068" t="inlineStr">
        <is>
          <t>M3</t>
        </is>
      </c>
      <c r="F226" s="1067" t="n"/>
      <c r="G226" s="1069">
        <f t="array" ref="G226">IF(B226="insumo",_xlfn.XLOOKUP($D226,Insumos!$B$1:$B$996,Insumos!$D$1:$D$996),"")</f>
        <v/>
      </c>
      <c r="H226" s="1069" t="n">
        <v>4.4982</v>
      </c>
      <c r="I226" s="2161" t="n">
        <v>0</v>
      </c>
      <c r="J226" s="2161" t="n">
        <v>0</v>
      </c>
      <c r="K226" s="2161" t="n"/>
    </row>
    <row r="227" outlineLevel="3" ht="15.75" customHeight="1">
      <c r="A227" s="10" t="n">
        <v>1</v>
      </c>
      <c r="B227" s="10" t="inlineStr">
        <is>
          <t>Insumo</t>
        </is>
      </c>
      <c r="C227" s="10" t="inlineStr">
        <is>
          <t>Desmonte de Rocha</t>
        </is>
      </c>
      <c r="D227" s="10" t="inlineStr">
        <is>
          <t>Escavação e Carga Mecanizada em Corte - Desaterro Rocha</t>
        </is>
      </c>
      <c r="E227" s="11">
        <f t="array" ref="E227">_xlfn.XLOOKUP(D227,Insumos!B:B,Insumos!C:$C)</f>
        <v/>
      </c>
      <c r="F227" s="14" t="n">
        <v>1</v>
      </c>
      <c r="G227" s="92">
        <f t="array" ref="G227">IF(B227="insumo",_xlfn.XLOOKUP($D227,Insumos!$B$1:$B$996,Insumos!$D$1:$D$996),"")</f>
        <v/>
      </c>
      <c r="H227" s="92" t="n">
        <v>4.4982</v>
      </c>
      <c r="I227" s="2162" t="n">
        <v>0</v>
      </c>
      <c r="J227" s="2162" t="n">
        <v>0</v>
      </c>
      <c r="K227" s="2162" t="n"/>
    </row>
    <row r="228" outlineLevel="2" ht="15.75" customHeight="1">
      <c r="A228" s="1067" t="n">
        <v>1</v>
      </c>
      <c r="B228" s="1067" t="inlineStr">
        <is>
          <t>Serviço</t>
        </is>
      </c>
      <c r="C228" s="1067" t="inlineStr">
        <is>
          <t>Terraplanagem - Aterro material de 1º categoria</t>
        </is>
      </c>
      <c r="D228" s="1067" t="inlineStr">
        <is>
          <t>Terraplanagem - Aterro material de 1º categoria</t>
        </is>
      </c>
      <c r="E228" s="1068" t="inlineStr">
        <is>
          <t>M3</t>
        </is>
      </c>
      <c r="F228" s="1067" t="n"/>
      <c r="G228" s="1069">
        <f t="array" ref="G228">IF(B228="insumo",_xlfn.XLOOKUP($D228,Insumos!$B$1:$B$996,Insumos!$D$1:$D$996),"")</f>
        <v/>
      </c>
      <c r="H228" s="1069" t="n">
        <v>9.271800000000001</v>
      </c>
      <c r="I228" s="2161" t="n">
        <v>0</v>
      </c>
      <c r="J228" s="2161" t="n">
        <v>0</v>
      </c>
      <c r="K228" s="2161" t="n"/>
    </row>
    <row r="229" outlineLevel="3" ht="15.75" customHeight="1">
      <c r="A229" s="10" t="n">
        <v>1</v>
      </c>
      <c r="B229" s="10" t="inlineStr">
        <is>
          <t>Insumo</t>
        </is>
      </c>
      <c r="C229" s="10" t="inlineStr">
        <is>
          <t>Terraplanagem - Aterro material de 1º categoria</t>
        </is>
      </c>
      <c r="D229" s="10" t="inlineStr">
        <is>
          <t>Espalhamento / Umedecimento / Compactação em Material de 1ª Categoria - 95% PN - Aterro</t>
        </is>
      </c>
      <c r="E229" s="11">
        <f t="array" ref="E229">_xlfn.XLOOKUP(D229,Insumos!B:B,Insumos!C:$C)</f>
        <v/>
      </c>
      <c r="F229" s="14" t="n">
        <v>1</v>
      </c>
      <c r="G229" s="92">
        <f t="array" ref="G229">IF(B229="insumo",_xlfn.XLOOKUP($D229,Insumos!$B$1:$B$996,Insumos!$D$1:$D$996),"")</f>
        <v/>
      </c>
      <c r="H229" s="92" t="n">
        <v>9.271800000000001</v>
      </c>
      <c r="I229" s="2162" t="n">
        <v>0</v>
      </c>
      <c r="J229" s="2162" t="n">
        <v>0</v>
      </c>
      <c r="K229" s="2162" t="n"/>
    </row>
    <row r="230" outlineLevel="2" ht="15.75" customHeight="1">
      <c r="A230" s="1067" t="n">
        <v>1</v>
      </c>
      <c r="B230" s="1067" t="inlineStr">
        <is>
          <t>Serviço</t>
        </is>
      </c>
      <c r="C230" s="1067" t="inlineStr">
        <is>
          <t>Terraplanagem - Corte e aterro (Produtividade 1890m3/dia) - Mão de Obra Própria</t>
        </is>
      </c>
      <c r="D230" s="1067" t="inlineStr">
        <is>
          <t>Terraplanagem - Corte e aterro (Produtividade 1890m3/dia) - Mão de Obra Própria</t>
        </is>
      </c>
      <c r="E230" s="1068" t="inlineStr">
        <is>
          <t>M3</t>
        </is>
      </c>
      <c r="F230" s="1067" t="n"/>
      <c r="G230" s="1069">
        <f t="array" ref="G230">IF(B230="insumo",_xlfn.XLOOKUP($D230,Insumos!$B$1:$B$996,Insumos!$D$1:$D$996),"")</f>
        <v/>
      </c>
      <c r="H230" s="1069" t="n">
        <v>2.9215</v>
      </c>
      <c r="I230" s="2161" t="n">
        <v>0</v>
      </c>
      <c r="J230" s="2161" t="n">
        <v>0</v>
      </c>
      <c r="K230" s="2161" t="n"/>
    </row>
    <row r="231" outlineLevel="3" ht="15.75" customHeight="1">
      <c r="A231" s="10" t="n">
        <v>1</v>
      </c>
      <c r="B231" s="10" t="inlineStr">
        <is>
          <t>Insumo</t>
        </is>
      </c>
      <c r="C231" s="10" t="inlineStr">
        <is>
          <t>Terraplanagem - Corte e aterro (Produtividade 1890m3/dia) - Mão de Obra Própria</t>
        </is>
      </c>
      <c r="D231" s="10" t="inlineStr">
        <is>
          <t>Escavadeira DOOSAN DX225 (terceirizado)</t>
        </is>
      </c>
      <c r="E231" s="11">
        <f t="array" ref="E231">_xlfn.XLOOKUP(D231,Insumos!B:B,Insumos!C:$C)</f>
        <v/>
      </c>
      <c r="F231" s="14" t="n">
        <v>1.1e-05</v>
      </c>
      <c r="G231" s="92">
        <f t="array" ref="G231">IF(B231="insumo",_xlfn.XLOOKUP($D231,Insumos!$B$1:$B$996,Insumos!$D$1:$D$996),"")</f>
        <v/>
      </c>
      <c r="H231" s="92" t="n">
        <v>0.37026</v>
      </c>
      <c r="I231" s="2162" t="n">
        <v>0</v>
      </c>
      <c r="J231" s="2162" t="n">
        <v>0</v>
      </c>
      <c r="K231" s="2162" t="n"/>
    </row>
    <row r="232" outlineLevel="3" ht="15.75" customHeight="1">
      <c r="A232" s="10" t="n">
        <v>1</v>
      </c>
      <c r="B232" s="10" t="inlineStr">
        <is>
          <t>Insumo</t>
        </is>
      </c>
      <c r="C232" s="10" t="inlineStr">
        <is>
          <t>Terraplanagem - Corte e aterro (Produtividade 1890m3/dia) - Mão de Obra Própria</t>
        </is>
      </c>
      <c r="D232" s="10" t="inlineStr">
        <is>
          <t>Trator esteira CAT D51 (terceirizado)</t>
        </is>
      </c>
      <c r="E232" s="11">
        <f t="array" ref="E232">_xlfn.XLOOKUP(D232,Insumos!B:B,Insumos!C:$C)</f>
        <v/>
      </c>
      <c r="F232" s="14" t="n">
        <v>1.2e-05</v>
      </c>
      <c r="G232" s="92">
        <f t="array" ref="G232">IF(B232="insumo",_xlfn.XLOOKUP($D232,Insumos!$B$1:$B$996,Insumos!$D$1:$D$996),"")</f>
        <v/>
      </c>
      <c r="H232" s="92" t="n">
        <v>0.38724</v>
      </c>
      <c r="I232" s="2162" t="n">
        <v>0</v>
      </c>
      <c r="J232" s="2162" t="n">
        <v>0</v>
      </c>
      <c r="K232" s="2162" t="n"/>
    </row>
    <row r="233" outlineLevel="3" ht="15.75" customHeight="1">
      <c r="A233" s="10" t="n">
        <v>1</v>
      </c>
      <c r="B233" s="10" t="inlineStr">
        <is>
          <t>Insumo</t>
        </is>
      </c>
      <c r="C233" s="10" t="inlineStr">
        <is>
          <t>Terraplanagem - Corte e aterro (Produtividade 1890m3/dia) - Mão de Obra Própria</t>
        </is>
      </c>
      <c r="D233" s="10" t="inlineStr">
        <is>
          <t>Escaveideira 320 CAT 2019</t>
        </is>
      </c>
      <c r="E233" s="11">
        <f t="array" ref="E233">_xlfn.XLOOKUP(D233,Insumos!B:B,Insumos!C:$C)</f>
        <v/>
      </c>
      <c r="F233" s="14" t="n">
        <v>2.4e-05</v>
      </c>
      <c r="G233" s="92">
        <f t="array" ref="G233">IF(B233="insumo",_xlfn.XLOOKUP($D233,Insumos!$B$1:$B$996,Insumos!$D$1:$D$996),"")</f>
        <v/>
      </c>
      <c r="H233" s="92" t="n">
        <v>0.36</v>
      </c>
      <c r="I233" s="2162" t="n">
        <v>0</v>
      </c>
      <c r="J233" s="2162" t="n">
        <v>0</v>
      </c>
      <c r="K233" s="2162" t="n"/>
    </row>
    <row r="234" outlineLevel="3" ht="15.75" customHeight="1">
      <c r="A234" s="10" t="n">
        <v>1</v>
      </c>
      <c r="B234" s="10" t="inlineStr">
        <is>
          <t>Insumo</t>
        </is>
      </c>
      <c r="C234" s="10" t="inlineStr">
        <is>
          <t>Terraplanagem - Corte e aterro (Produtividade 1890m3/dia) - Mão de Obra Própria</t>
        </is>
      </c>
      <c r="D234" s="10" t="inlineStr">
        <is>
          <t>Trator esteira 700 j john dree 2016</t>
        </is>
      </c>
      <c r="E234" s="11">
        <f t="array" ref="E234">_xlfn.XLOOKUP(D234,Insumos!B:B,Insumos!C:$C)</f>
        <v/>
      </c>
      <c r="F234" s="14" t="n">
        <v>5.2e-05</v>
      </c>
      <c r="G234" s="92">
        <f t="array" ref="G234">IF(B234="insumo",_xlfn.XLOOKUP($D234,Insumos!$B$1:$B$996,Insumos!$D$1:$D$996),"")</f>
        <v/>
      </c>
      <c r="H234" s="92" t="n">
        <v>0.364</v>
      </c>
      <c r="I234" s="2162" t="n">
        <v>0</v>
      </c>
      <c r="J234" s="2162" t="n">
        <v>0</v>
      </c>
      <c r="K234" s="2162" t="n"/>
    </row>
    <row r="235" outlineLevel="3" ht="15.75" customHeight="1">
      <c r="A235" s="10" t="n">
        <v>1</v>
      </c>
      <c r="B235" s="10" t="inlineStr">
        <is>
          <t>Insumo</t>
        </is>
      </c>
      <c r="C235" s="10" t="inlineStr">
        <is>
          <t>Terraplanagem - Corte e aterro (Produtividade 1890m3/dia) - Mão de Obra Própria</t>
        </is>
      </c>
      <c r="D235" s="10" t="inlineStr">
        <is>
          <t>Operador de máquina 1</t>
        </is>
      </c>
      <c r="E235" s="11">
        <f t="array" ref="E235">_xlfn.XLOOKUP(D235,Insumos!B:B,Insumos!C:$C)</f>
        <v/>
      </c>
      <c r="F235" s="14" t="n">
        <v>0.00036</v>
      </c>
      <c r="G235" s="92">
        <f t="array" ref="G235">IF(B235="insumo",_xlfn.XLOOKUP($D235,Insumos!$B$1:$B$996,Insumos!$D$1:$D$996),"")</f>
        <v/>
      </c>
      <c r="H235" s="92" t="n">
        <v>1.44</v>
      </c>
      <c r="I235" s="2162" t="n">
        <v>0</v>
      </c>
      <c r="J235" s="2162" t="n">
        <v>0</v>
      </c>
      <c r="K235" s="2162" t="n"/>
    </row>
    <row r="236" outlineLevel="2" ht="15.75" customHeight="1">
      <c r="A236" s="1067" t="n">
        <v>1</v>
      </c>
      <c r="B236" s="1067" t="inlineStr">
        <is>
          <t>Serviço</t>
        </is>
      </c>
      <c r="C236" s="1067" t="inlineStr">
        <is>
          <t>Movimentação de terra para bota-fora - Escavação Vertical Terraplenagem</t>
        </is>
      </c>
      <c r="D236" s="1067" t="inlineStr">
        <is>
          <t>Movimentação de terra para bota-fora - Escavação Vertical Terraplenagem</t>
        </is>
      </c>
      <c r="E236" s="1068" t="inlineStr">
        <is>
          <t>M3</t>
        </is>
      </c>
      <c r="F236" s="1067" t="n"/>
      <c r="G236" s="1069">
        <f t="array" ref="G236">IF(B236="insumo",_xlfn.XLOOKUP($D236,Insumos!$B$1:$B$996,Insumos!$D$1:$D$996),"")</f>
        <v/>
      </c>
      <c r="H236" s="1069" t="n">
        <v>45.45</v>
      </c>
      <c r="I236" s="2161" t="n">
        <v>0</v>
      </c>
      <c r="J236" s="2161" t="n">
        <v>0</v>
      </c>
      <c r="K236" s="2161" t="n"/>
    </row>
    <row r="237" outlineLevel="3" ht="15.75" customHeight="1">
      <c r="A237" s="10" t="n">
        <v>2</v>
      </c>
      <c r="B237" s="10" t="inlineStr">
        <is>
          <t>Insumo</t>
        </is>
      </c>
      <c r="C237" s="10" t="inlineStr">
        <is>
          <t>Movimentação de terra para bota-fora - Escavação Vertical Terraplenagem</t>
        </is>
      </c>
      <c r="D237" s="10" t="inlineStr">
        <is>
          <t>Movimentação de terra para bota-fora - Escavação de Valas</t>
        </is>
      </c>
      <c r="E237" s="11">
        <f t="array" ref="E237">_xlfn.XLOOKUP(D237,Insumos!B:B,Insumos!C:$C)</f>
        <v/>
      </c>
      <c r="F237" s="14" t="n">
        <v>1</v>
      </c>
      <c r="G237" s="92">
        <f t="array" ref="G237">IF(B237="insumo",_xlfn.XLOOKUP($D237,Insumos!$B$1:$B$996,Insumos!$D$1:$D$996),"")</f>
        <v/>
      </c>
      <c r="H237" s="92" t="n">
        <v>45.45</v>
      </c>
      <c r="I237" s="2162" t="n">
        <v>0</v>
      </c>
      <c r="J237" s="2162" t="n">
        <v>0</v>
      </c>
      <c r="K237" s="2162" t="n"/>
    </row>
    <row r="238" outlineLevel="1" ht="15.75" customHeight="1">
      <c r="A238" s="1090" t="n">
        <v>1</v>
      </c>
      <c r="B238" s="1090" t="inlineStr">
        <is>
          <t>Subetapa</t>
        </is>
      </c>
      <c r="C238" s="1090" t="inlineStr">
        <is>
          <t>Movimentação de terra para bota-fora - Escavação Vertical Terraplenagem</t>
        </is>
      </c>
      <c r="D238" s="1090" t="inlineStr">
        <is>
          <t>MOVIMENTAÇÃO DE TERRA PARA FUNDAÇÕES</t>
        </is>
      </c>
      <c r="E238" s="1091" t="n"/>
      <c r="F238" s="1091" t="n"/>
      <c r="G238" s="1091" t="n"/>
      <c r="H238" s="1091" t="n">
        <v>0</v>
      </c>
      <c r="I238" s="2160" t="n">
        <v>0</v>
      </c>
      <c r="J238" s="2160" t="n">
        <v>0</v>
      </c>
      <c r="K238" s="2160" t="n"/>
    </row>
    <row r="239" outlineLevel="2" ht="15.75" customHeight="1">
      <c r="A239" s="1067" t="n">
        <v>1</v>
      </c>
      <c r="B239" s="1067" t="inlineStr">
        <is>
          <t>Serviço</t>
        </is>
      </c>
      <c r="C239" s="1067" t="inlineStr">
        <is>
          <t>Escavação mecanizada para estacas, blocos de fundação, vigas de fundação e poço de elevador, com retroescavadeira</t>
        </is>
      </c>
      <c r="D239" s="1067" t="inlineStr">
        <is>
          <t>Escavação mecanizada para estacas, blocos de fundação, vigas de fundação e poço de elevador, com retroescavadeira</t>
        </is>
      </c>
      <c r="E239" s="1068" t="inlineStr">
        <is>
          <t>M3</t>
        </is>
      </c>
      <c r="F239" s="1067" t="n"/>
      <c r="G239" s="1069">
        <f t="array" ref="G239">IF(B239="insumo",_xlfn.XLOOKUP($D239,Insumos!$B$1:$B$996,Insumos!$D$1:$D$996),"")</f>
        <v/>
      </c>
      <c r="H239" s="1069" t="n">
        <v>36.36</v>
      </c>
      <c r="I239" s="2161" t="n">
        <v>0</v>
      </c>
      <c r="J239" s="2161" t="n">
        <v>0</v>
      </c>
      <c r="K239" s="2161" t="n"/>
    </row>
    <row r="240" outlineLevel="3" ht="15.75" customHeight="1">
      <c r="A240" s="10" t="n">
        <v>2</v>
      </c>
      <c r="B240" s="10" t="inlineStr">
        <is>
          <t>Insumo</t>
        </is>
      </c>
      <c r="C240" s="10" t="inlineStr">
        <is>
          <t>Escavação mecanizada para estacas, blocos de fundação, vigas de fundação e poço de elevador, com retroescavadeira</t>
        </is>
      </c>
      <c r="D240" s="10" t="inlineStr">
        <is>
          <t>Escavação mecanizada com retroescavadeira</t>
        </is>
      </c>
      <c r="E240" s="11">
        <f t="array" ref="E240">_xlfn.XLOOKUP(D240,Insumos!B:B,Insumos!C:$C)</f>
        <v/>
      </c>
      <c r="F240" s="14" t="n">
        <v>1</v>
      </c>
      <c r="G240" s="92">
        <f t="array" ref="G240">IF(B240="insumo",_xlfn.XLOOKUP($D240,Insumos!$B$1:$B$996,Insumos!$D$1:$D$996),"")</f>
        <v/>
      </c>
      <c r="H240" s="92" t="n">
        <v>36.36</v>
      </c>
      <c r="I240" s="2162" t="n">
        <v>0</v>
      </c>
      <c r="J240" s="2162" t="n">
        <v>0</v>
      </c>
      <c r="K240" s="2162" t="n"/>
    </row>
    <row r="241" outlineLevel="2" ht="15.75" customHeight="1">
      <c r="A241" s="1067" t="n">
        <v>1</v>
      </c>
      <c r="B241" s="1067" t="inlineStr">
        <is>
          <t>Serviço</t>
        </is>
      </c>
      <c r="C241" s="1067" t="inlineStr">
        <is>
          <t>Escavação mecanizada para estacas de fundação, com retroescavadeira</t>
        </is>
      </c>
      <c r="D241" s="1067" t="inlineStr">
        <is>
          <t>Escavação mecanizada para estacas de fundação, com retroescavadeira</t>
        </is>
      </c>
      <c r="E241" s="1068" t="inlineStr">
        <is>
          <t>M3</t>
        </is>
      </c>
      <c r="F241" s="1067" t="n"/>
      <c r="G241" s="1069">
        <f t="array" ref="G241">IF(B241="insumo",_xlfn.XLOOKUP($D241,Insumos!$B$1:$B$996,Insumos!$D$1:$D$996),"")</f>
        <v/>
      </c>
      <c r="H241" s="1069" t="n">
        <v>36.36</v>
      </c>
      <c r="I241" s="2161" t="n">
        <v>0</v>
      </c>
      <c r="J241" s="2161" t="n">
        <v>0</v>
      </c>
      <c r="K241" s="2161" t="n"/>
    </row>
    <row r="242" outlineLevel="3" ht="15.75" customHeight="1">
      <c r="A242" s="10" t="n">
        <v>2</v>
      </c>
      <c r="B242" s="10" t="inlineStr">
        <is>
          <t>Insumo</t>
        </is>
      </c>
      <c r="C242" s="10" t="inlineStr">
        <is>
          <t>Escavação mecanizada para estacas de fundação, com retroescavadeira</t>
        </is>
      </c>
      <c r="D242" s="10" t="inlineStr">
        <is>
          <t>Escavação mecanizada com retroescavadeira</t>
        </is>
      </c>
      <c r="E242" s="11">
        <f t="array" ref="E242">_xlfn.XLOOKUP(D242,Insumos!B:B,Insumos!C:$C)</f>
        <v/>
      </c>
      <c r="F242" s="14" t="n">
        <v>1</v>
      </c>
      <c r="G242" s="92">
        <f t="array" ref="G242">IF(B242="insumo",_xlfn.XLOOKUP($D242,Insumos!$B$1:$B$996,Insumos!$D$1:$D$996),"")</f>
        <v/>
      </c>
      <c r="H242" s="92" t="n">
        <v>36.36</v>
      </c>
      <c r="I242" s="2162" t="n">
        <v>0</v>
      </c>
      <c r="J242" s="2162" t="n">
        <v>0</v>
      </c>
      <c r="K242" s="2162" t="n"/>
    </row>
    <row r="243" outlineLevel="2" ht="15.75" customHeight="1">
      <c r="A243" s="1067" t="n">
        <v>1</v>
      </c>
      <c r="B243" s="1067" t="inlineStr">
        <is>
          <t>Serviço</t>
        </is>
      </c>
      <c r="C243" s="1067" t="inlineStr">
        <is>
          <t>Reaterro mecanizado de valas para blocos e vigas de fundação, com retroescavadeira</t>
        </is>
      </c>
      <c r="D243" s="1067" t="inlineStr">
        <is>
          <t>Reaterro mecanizado de valas para blocos e vigas de fundação, com retroescavadeira</t>
        </is>
      </c>
      <c r="E243" s="1068" t="inlineStr">
        <is>
          <t>M3</t>
        </is>
      </c>
      <c r="F243" s="1067" t="n"/>
      <c r="G243" s="1069">
        <f t="array" ref="G243">IF(B243="insumo",_xlfn.XLOOKUP($D243,Insumos!$B$1:$B$996,Insumos!$D$1:$D$996),"")</f>
        <v/>
      </c>
      <c r="H243" s="1069" t="n">
        <v>14.55</v>
      </c>
      <c r="I243" s="2161" t="n">
        <v>0</v>
      </c>
      <c r="J243" s="2161" t="n">
        <v>0</v>
      </c>
      <c r="K243" s="2161" t="n"/>
    </row>
    <row r="244" outlineLevel="3" ht="15.75" customHeight="1">
      <c r="A244" s="10" t="n">
        <v>1</v>
      </c>
      <c r="B244" s="10" t="inlineStr">
        <is>
          <t>Insumo</t>
        </is>
      </c>
      <c r="C244" s="10" t="inlineStr">
        <is>
          <t>Reaterro mecanizado de valas para blocos e vigas de fundação, com retroescavadeira</t>
        </is>
      </c>
      <c r="D244" s="10" t="inlineStr">
        <is>
          <t>Reaterro mecanizado com retroescavadeira</t>
        </is>
      </c>
      <c r="E244" s="11">
        <f t="array" ref="E244">_xlfn.XLOOKUP(D244,Insumos!B:B,Insumos!C:$C)</f>
        <v/>
      </c>
      <c r="F244" s="14" t="n">
        <v>1</v>
      </c>
      <c r="G244" s="92">
        <f t="array" ref="G244">IF(B244="insumo",_xlfn.XLOOKUP($D244,Insumos!$B$1:$B$996,Insumos!$D$1:$D$996),"")</f>
        <v/>
      </c>
      <c r="H244" s="92" t="n">
        <v>14.55</v>
      </c>
      <c r="I244" s="2162" t="n">
        <v>0</v>
      </c>
      <c r="J244" s="2162" t="n">
        <v>0</v>
      </c>
      <c r="K244" s="2162" t="n"/>
    </row>
    <row r="245" outlineLevel="2" ht="15.75" customHeight="1">
      <c r="A245" s="1067" t="n">
        <v>1</v>
      </c>
      <c r="B245" s="1067" t="inlineStr">
        <is>
          <t>Serviço</t>
        </is>
      </c>
      <c r="C245" s="1067" t="inlineStr">
        <is>
          <t>Lastro de Concreto Magro, Aplicado em Blocos de Fundação</t>
        </is>
      </c>
      <c r="D245" s="1067" t="inlineStr">
        <is>
          <t>Lastro de Concreto Magro, Aplicado em Blocos de Fundação</t>
        </is>
      </c>
      <c r="E245" s="1068" t="inlineStr">
        <is>
          <t>M3</t>
        </is>
      </c>
      <c r="F245" s="1067" t="n"/>
      <c r="G245" s="1069">
        <f t="array" ref="G245">IF(B245="insumo",_xlfn.XLOOKUP($D245,Insumos!$B$1:$B$996,Insumos!$D$1:$D$996),"")</f>
        <v/>
      </c>
      <c r="H245" s="1069" t="n">
        <v>495.247</v>
      </c>
      <c r="I245" s="2161" t="n">
        <v>0</v>
      </c>
      <c r="J245" s="2161" t="n">
        <v>0</v>
      </c>
      <c r="K245" s="2161" t="n"/>
    </row>
    <row r="246" outlineLevel="3" ht="15.75" customHeight="1">
      <c r="A246" s="10" t="n">
        <v>3</v>
      </c>
      <c r="B246" s="10" t="inlineStr">
        <is>
          <t>Insumo</t>
        </is>
      </c>
      <c r="C246" s="10" t="inlineStr">
        <is>
          <t>Lastro de Concreto Magro, Aplicado em Blocos de Fundação</t>
        </is>
      </c>
      <c r="D246" s="10" t="inlineStr">
        <is>
          <t>CONCRETO MAGRO PARA LASTRO</t>
        </is>
      </c>
      <c r="E246" s="11">
        <f t="array" ref="E246">_xlfn.XLOOKUP(D246,Insumos!B:B,Insumos!C:$C)</f>
        <v/>
      </c>
      <c r="F246" s="14" t="n">
        <v>1.05</v>
      </c>
      <c r="G246" s="92">
        <f t="array" ref="G246">IF(B246="insumo",_xlfn.XLOOKUP($D246,Insumos!$B$1:$B$996,Insumos!$D$1:$D$996),"")</f>
        <v/>
      </c>
      <c r="H246" s="92" t="n">
        <v>452.487</v>
      </c>
      <c r="I246" s="2162" t="n">
        <v>0</v>
      </c>
      <c r="J246" s="2162" t="n">
        <v>0</v>
      </c>
      <c r="K246" s="2162" t="n"/>
    </row>
    <row r="247" outlineLevel="3" ht="15.75" customHeight="1">
      <c r="A247" s="10" t="n">
        <v>25</v>
      </c>
      <c r="B247" s="10" t="inlineStr">
        <is>
          <t>Insumo</t>
        </is>
      </c>
      <c r="C247" s="10" t="inlineStr">
        <is>
          <t>Lastro de Concreto Magro, Aplicado em Blocos de Fundação</t>
        </is>
      </c>
      <c r="D247" s="10" t="inlineStr">
        <is>
          <t>serviço de bombeamento</t>
        </is>
      </c>
      <c r="E247" s="11">
        <f t="array" ref="E247">_xlfn.XLOOKUP(D247,Insumos!B:B,Insumos!C:$C)</f>
        <v/>
      </c>
      <c r="F247" s="14" t="n">
        <v>1.05</v>
      </c>
      <c r="G247" s="92">
        <f t="array" ref="G247">IF(B247="insumo",_xlfn.XLOOKUP($D247,Insumos!$B$1:$B$996,Insumos!$D$1:$D$996),"")</f>
        <v/>
      </c>
      <c r="H247" s="92" t="n">
        <v>42</v>
      </c>
      <c r="I247" s="2162" t="n">
        <v>0</v>
      </c>
      <c r="J247" s="2162" t="n">
        <v>0</v>
      </c>
      <c r="K247" s="2162" t="n"/>
    </row>
    <row r="248" outlineLevel="3" ht="15.75" customHeight="1">
      <c r="A248" s="10" t="n">
        <v>62</v>
      </c>
      <c r="B248" s="10" t="inlineStr">
        <is>
          <t>Insumo</t>
        </is>
      </c>
      <c r="C248" s="10" t="inlineStr">
        <is>
          <t>Lastro de Concreto Magro, Aplicado em Blocos de Fundação</t>
        </is>
      </c>
      <c r="D248" s="10" t="inlineStr">
        <is>
          <t>Cimento Portland Composto CP II-32</t>
        </is>
      </c>
      <c r="E248" s="11">
        <f t="array" ref="E248">_xlfn.XLOOKUP(D248,Insumos!B:B,Insumos!C:$C)</f>
        <v/>
      </c>
      <c r="F248" s="14" t="n">
        <v>1</v>
      </c>
      <c r="G248" s="92">
        <f t="array" ref="G248">IF(B248="insumo",_xlfn.XLOOKUP($D248,Insumos!$B$1:$B$996,Insumos!$D$1:$D$996),"")</f>
        <v/>
      </c>
      <c r="H248" s="92" t="n">
        <v>0.76</v>
      </c>
      <c r="I248" s="2162" t="n">
        <v>0</v>
      </c>
      <c r="J248" s="2162" t="n">
        <v>0</v>
      </c>
      <c r="K248" s="2162" t="n"/>
    </row>
    <row r="249" outlineLevel="2" ht="15.75" customHeight="1">
      <c r="A249" s="1067" t="n">
        <v>1</v>
      </c>
      <c r="B249" s="1067" t="inlineStr">
        <is>
          <t>Serviço</t>
        </is>
      </c>
      <c r="C249" s="1067" t="inlineStr">
        <is>
          <t>Lastro de Concreto Magro, Aplicado em piso sobre solo</t>
        </is>
      </c>
      <c r="D249" s="1067" t="inlineStr">
        <is>
          <t>Lastro de Concreto Magro, Aplicado em piso sobre solo</t>
        </is>
      </c>
      <c r="E249" s="1068" t="inlineStr">
        <is>
          <t>M3</t>
        </is>
      </c>
      <c r="F249" s="1067" t="n"/>
      <c r="G249" s="1069">
        <f t="array" ref="G249">IF(B249="insumo",_xlfn.XLOOKUP($D249,Insumos!$B$1:$B$996,Insumos!$D$1:$D$996),"")</f>
        <v/>
      </c>
      <c r="H249" s="1069" t="n">
        <v>495.247</v>
      </c>
      <c r="I249" s="2161" t="n">
        <v>39.229</v>
      </c>
      <c r="J249" s="2161" t="n">
        <v>19428.044563</v>
      </c>
      <c r="K249" s="2161" t="n"/>
    </row>
    <row r="250" outlineLevel="3" ht="15.75" customHeight="1">
      <c r="A250" s="10" t="n">
        <v>3</v>
      </c>
      <c r="B250" s="10" t="inlineStr">
        <is>
          <t>Insumo</t>
        </is>
      </c>
      <c r="C250" s="10" t="inlineStr">
        <is>
          <t>Lastro de Concreto Magro, Aplicado em piso sobre solo</t>
        </is>
      </c>
      <c r="D250" s="10" t="inlineStr">
        <is>
          <t>CONCRETO MAGRO PARA LASTRO</t>
        </is>
      </c>
      <c r="E250" s="11">
        <f t="array" ref="E250">_xlfn.XLOOKUP(D250,Insumos!B:B,Insumos!C:$C)</f>
        <v/>
      </c>
      <c r="F250" s="14" t="n">
        <v>1.05</v>
      </c>
      <c r="G250" s="92">
        <f t="array" ref="G250">IF(B250="insumo",_xlfn.XLOOKUP($D250,Insumos!$B$1:$B$996,Insumos!$D$1:$D$996),"")</f>
        <v/>
      </c>
      <c r="H250" s="92" t="n">
        <v>452.487</v>
      </c>
      <c r="I250" s="2162" t="n">
        <v>39.229</v>
      </c>
      <c r="J250" s="2162" t="n">
        <v>17750.612523</v>
      </c>
      <c r="K250" s="2162" t="n"/>
    </row>
    <row r="251" outlineLevel="3" ht="15.75" customHeight="1">
      <c r="A251" s="10" t="n">
        <v>25</v>
      </c>
      <c r="B251" s="10" t="inlineStr">
        <is>
          <t>Insumo</t>
        </is>
      </c>
      <c r="C251" s="10" t="inlineStr">
        <is>
          <t>Lastro de Concreto Magro, Aplicado em piso sobre solo</t>
        </is>
      </c>
      <c r="D251" s="10" t="inlineStr">
        <is>
          <t>serviço de bombeamento</t>
        </is>
      </c>
      <c r="E251" s="11">
        <f t="array" ref="E251">_xlfn.XLOOKUP(D251,Insumos!B:B,Insumos!C:$C)</f>
        <v/>
      </c>
      <c r="F251" s="14" t="n">
        <v>1.05</v>
      </c>
      <c r="G251" s="92">
        <f t="array" ref="G251">IF(B251="insumo",_xlfn.XLOOKUP($D251,Insumos!$B$1:$B$996,Insumos!$D$1:$D$996),"")</f>
        <v/>
      </c>
      <c r="H251" s="92" t="n">
        <v>42</v>
      </c>
      <c r="I251" s="2162" t="n">
        <v>39.229</v>
      </c>
      <c r="J251" s="2162" t="n">
        <v>1647.618</v>
      </c>
      <c r="K251" s="2162" t="n"/>
    </row>
    <row r="252" outlineLevel="3" ht="15.75" customHeight="1">
      <c r="A252" s="10" t="n">
        <v>62</v>
      </c>
      <c r="B252" s="10" t="inlineStr">
        <is>
          <t>Insumo</t>
        </is>
      </c>
      <c r="C252" s="10" t="inlineStr">
        <is>
          <t>Lastro de Concreto Magro, Aplicado em piso sobre solo</t>
        </is>
      </c>
      <c r="D252" s="10" t="inlineStr">
        <is>
          <t>Cimento Portland Composto CP II-32</t>
        </is>
      </c>
      <c r="E252" s="11">
        <f t="array" ref="E252">_xlfn.XLOOKUP(D252,Insumos!B:B,Insumos!C:$C)</f>
        <v/>
      </c>
      <c r="F252" s="14" t="n">
        <v>1</v>
      </c>
      <c r="G252" s="92">
        <f t="array" ref="G252">IF(B252="insumo",_xlfn.XLOOKUP($D252,Insumos!$B$1:$B$996,Insumos!$D$1:$D$996),"")</f>
        <v/>
      </c>
      <c r="H252" s="92" t="n">
        <v>0.76</v>
      </c>
      <c r="I252" s="2162" t="n">
        <v>39.229</v>
      </c>
      <c r="J252" s="2162" t="n">
        <v>29.81404</v>
      </c>
      <c r="K252" s="2162" t="n"/>
    </row>
    <row r="253" outlineLevel="2" ht="15.75" customHeight="1">
      <c r="A253" s="1067" t="n">
        <v>1</v>
      </c>
      <c r="B253" s="1067" t="inlineStr">
        <is>
          <t>Serviço</t>
        </is>
      </c>
      <c r="C253" s="1067" t="inlineStr">
        <is>
          <t>Lastro de Brita, Aplicado em Blocos de Fundação, e= 5cm</t>
        </is>
      </c>
      <c r="D253" s="1067" t="inlineStr">
        <is>
          <t>Lastro de Brita, Aplicado em Blocos de Fundação, e= 5cm</t>
        </is>
      </c>
      <c r="E253" s="1068" t="inlineStr">
        <is>
          <t>M3</t>
        </is>
      </c>
      <c r="F253" s="1067" t="n"/>
      <c r="G253" s="1069">
        <f t="array" ref="G253">IF(B253="insumo",_xlfn.XLOOKUP($D253,Insumos!$B$1:$B$996,Insumos!$D$1:$D$996),"")</f>
        <v/>
      </c>
      <c r="H253" s="1069" t="n">
        <v>208.656</v>
      </c>
      <c r="I253" s="2161" t="n">
        <v>0</v>
      </c>
      <c r="J253" s="2161" t="n">
        <v>0</v>
      </c>
      <c r="K253" s="2161" t="n"/>
    </row>
    <row r="254" outlineLevel="3" ht="15.75" customHeight="1">
      <c r="A254" s="10" t="n">
        <v>2</v>
      </c>
      <c r="B254" s="10" t="inlineStr">
        <is>
          <t>Insumo</t>
        </is>
      </c>
      <c r="C254" s="10" t="inlineStr">
        <is>
          <t>Lastro de Brita, Aplicado em Blocos de Fundação, e= 5cm</t>
        </is>
      </c>
      <c r="D254" s="10" t="inlineStr">
        <is>
          <t>BRITA Nº2</t>
        </is>
      </c>
      <c r="E254" s="11">
        <f t="array" ref="E254">_xlfn.XLOOKUP(D254,Insumos!B:B,Insumos!C:$C)</f>
        <v/>
      </c>
      <c r="F254" s="14" t="n">
        <v>1.38</v>
      </c>
      <c r="G254" s="92">
        <f t="array" ref="G254">IF(B254="insumo",_xlfn.XLOOKUP($D254,Insumos!$B$1:$B$996,Insumos!$D$1:$D$996),"")</f>
        <v/>
      </c>
      <c r="H254" s="92" t="n">
        <v>208.656</v>
      </c>
      <c r="I254" s="2162" t="n">
        <v>0</v>
      </c>
      <c r="J254" s="2162" t="n">
        <v>0</v>
      </c>
      <c r="K254" s="2162" t="n"/>
    </row>
    <row r="255" outlineLevel="2" ht="15.75" customHeight="1">
      <c r="A255" s="1067" t="n">
        <v>1</v>
      </c>
      <c r="B255" s="1067" t="inlineStr">
        <is>
          <t>Serviço</t>
        </is>
      </c>
      <c r="C255" s="1067" t="inlineStr">
        <is>
          <t>Lastro de Brita, Aplicado em fundação rasa</t>
        </is>
      </c>
      <c r="D255" s="1067" t="inlineStr">
        <is>
          <t>Lastro de Brita, Aplicado em fundação rasa</t>
        </is>
      </c>
      <c r="E255" s="1068" t="inlineStr">
        <is>
          <t>M3</t>
        </is>
      </c>
      <c r="F255" s="1067" t="n"/>
      <c r="G255" s="1069">
        <f t="array" ref="G255">IF(B255="insumo",_xlfn.XLOOKUP($D255,Insumos!$B$1:$B$996,Insumos!$D$1:$D$996),"")</f>
        <v/>
      </c>
      <c r="H255" s="1069" t="n">
        <v>208.656</v>
      </c>
      <c r="I255" s="2161" t="n">
        <v>0</v>
      </c>
      <c r="J255" s="2161" t="n">
        <v>0</v>
      </c>
      <c r="K255" s="2161" t="n"/>
    </row>
    <row r="256" outlineLevel="3" ht="15.75" customHeight="1">
      <c r="A256" s="10" t="n">
        <v>2</v>
      </c>
      <c r="B256" s="10" t="inlineStr">
        <is>
          <t>Insumo</t>
        </is>
      </c>
      <c r="C256" s="10" t="inlineStr">
        <is>
          <t>Lastro de Brita, Aplicado em fundação rasa</t>
        </is>
      </c>
      <c r="D256" s="10" t="inlineStr">
        <is>
          <t>BRITA Nº2</t>
        </is>
      </c>
      <c r="E256" s="11">
        <f t="array" ref="E256">_xlfn.XLOOKUP(D256,Insumos!B:B,Insumos!C:$C)</f>
        <v/>
      </c>
      <c r="F256" s="14" t="n">
        <v>1.38</v>
      </c>
      <c r="G256" s="92">
        <f t="array" ref="G256">IF(B256="insumo",_xlfn.XLOOKUP($D256,Insumos!$B$1:$B$996,Insumos!$D$1:$D$996),"")</f>
        <v/>
      </c>
      <c r="H256" s="92" t="n">
        <v>208.656</v>
      </c>
      <c r="I256" s="2162" t="n">
        <v>0</v>
      </c>
      <c r="J256" s="2162" t="n">
        <v>0</v>
      </c>
      <c r="K256" s="2162" t="n"/>
    </row>
    <row r="257" outlineLevel="2" ht="15.75" customHeight="1">
      <c r="A257" s="1067" t="n">
        <v>1</v>
      </c>
      <c r="B257" s="1067" t="inlineStr">
        <is>
          <t>Serviço</t>
        </is>
      </c>
      <c r="C257" s="1067" t="inlineStr">
        <is>
          <t>Movimentação de terra para bota-fora - Escavação de Valas</t>
        </is>
      </c>
      <c r="D257" s="1067" t="inlineStr">
        <is>
          <t>Movimentação de terra para bota-fora - Escavação de Valas</t>
        </is>
      </c>
      <c r="E257" s="1068" t="inlineStr">
        <is>
          <t>M3</t>
        </is>
      </c>
      <c r="F257" s="1067" t="n"/>
      <c r="G257" s="1069">
        <f t="array" ref="G257">IF(B257="insumo",_xlfn.XLOOKUP($D257,Insumos!$B$1:$B$996,Insumos!$D$1:$D$996),"")</f>
        <v/>
      </c>
      <c r="H257" s="1069" t="n">
        <v>45.45</v>
      </c>
      <c r="I257" s="2161" t="n">
        <v>0</v>
      </c>
      <c r="J257" s="2161" t="n">
        <v>0</v>
      </c>
      <c r="K257" s="2161" t="n"/>
    </row>
    <row r="258" outlineLevel="3" ht="15.75" customHeight="1">
      <c r="A258" s="10" t="n">
        <v>2</v>
      </c>
      <c r="B258" s="10" t="inlineStr">
        <is>
          <t>Insumo</t>
        </is>
      </c>
      <c r="C258" s="10" t="inlineStr">
        <is>
          <t>Movimentação de terra para bota-fora - Escavação de Valas</t>
        </is>
      </c>
      <c r="D258" s="10" t="inlineStr">
        <is>
          <t>Movimentação de terra para bota-fora - Escavação de Valas</t>
        </is>
      </c>
      <c r="E258" s="11">
        <f t="array" ref="E258">_xlfn.XLOOKUP(D258,Insumos!B:B,Insumos!C:$C)</f>
        <v/>
      </c>
      <c r="F258" s="14" t="n">
        <v>1</v>
      </c>
      <c r="G258" s="92">
        <f t="array" ref="G258">IF(B258="insumo",_xlfn.XLOOKUP($D258,Insumos!$B$1:$B$996,Insumos!$D$1:$D$996),"")</f>
        <v/>
      </c>
      <c r="H258" s="92" t="n">
        <v>45.45</v>
      </c>
      <c r="I258" s="2162" t="n">
        <v>0</v>
      </c>
      <c r="J258" s="2162" t="n">
        <v>0</v>
      </c>
      <c r="K258" s="2162" t="n"/>
    </row>
    <row r="259" outlineLevel="2" ht="15.75" customHeight="1">
      <c r="A259" s="1067" t="n">
        <v>1</v>
      </c>
      <c r="B259" s="1067" t="inlineStr">
        <is>
          <t>Serviço</t>
        </is>
      </c>
      <c r="C259" s="1067" t="inlineStr">
        <is>
          <t>Movimentação de terra para bota-fora - Estacas</t>
        </is>
      </c>
      <c r="D259" s="1067" t="inlineStr">
        <is>
          <t>Movimentação de terra para bota-fora - Estacas</t>
        </is>
      </c>
      <c r="E259" s="1068" t="inlineStr">
        <is>
          <t>M3</t>
        </is>
      </c>
      <c r="F259" s="1067" t="n"/>
      <c r="G259" s="1069">
        <f t="array" ref="G259">IF(B259="insumo",_xlfn.XLOOKUP($D259,Insumos!$B$1:$B$996,Insumos!$D$1:$D$996),"")</f>
        <v/>
      </c>
      <c r="H259" s="1069" t="n">
        <v>68.18000000000001</v>
      </c>
      <c r="I259" s="2161" t="n">
        <v>0</v>
      </c>
      <c r="J259" s="2161" t="n">
        <v>0</v>
      </c>
      <c r="K259" s="2161" t="n"/>
    </row>
    <row r="260" outlineLevel="3" ht="15.75" customHeight="1">
      <c r="A260" s="10" t="n">
        <v>1</v>
      </c>
      <c r="B260" s="10" t="inlineStr">
        <is>
          <t>Insumo</t>
        </is>
      </c>
      <c r="C260" s="10" t="inlineStr">
        <is>
          <t>Movimentação de terra para bota-fora - Estacas</t>
        </is>
      </c>
      <c r="D260" s="10" t="inlineStr">
        <is>
          <t>Movimentação de terra para bota-fora - Estacas</t>
        </is>
      </c>
      <c r="E260" s="11">
        <f t="array" ref="E260">_xlfn.XLOOKUP(D260,Insumos!B:B,Insumos!C:$C)</f>
        <v/>
      </c>
      <c r="F260" s="14" t="n">
        <v>1</v>
      </c>
      <c r="G260" s="92">
        <f t="array" ref="G260">IF(B260="insumo",_xlfn.XLOOKUP($D260,Insumos!$B$1:$B$996,Insumos!$D$1:$D$996),"")</f>
        <v/>
      </c>
      <c r="H260" s="92" t="n">
        <v>68.18000000000001</v>
      </c>
      <c r="I260" s="2162" t="n">
        <v>0</v>
      </c>
      <c r="J260" s="2162" t="n">
        <v>0</v>
      </c>
      <c r="K260" s="2162" t="n"/>
    </row>
    <row r="261" ht="15.75" customHeight="1">
      <c r="A261" s="7" t="n">
        <v>1</v>
      </c>
      <c r="B261" s="7" t="inlineStr">
        <is>
          <t>Etapa</t>
        </is>
      </c>
      <c r="C261" s="7" t="inlineStr">
        <is>
          <t>Movimentação de terra para bota-fora - Estacas</t>
        </is>
      </c>
      <c r="D261" s="7" t="inlineStr">
        <is>
          <t>FUNDAÇÃO PROFUNDA</t>
        </is>
      </c>
      <c r="E261" s="8" t="n"/>
      <c r="F261" s="2159" t="n"/>
      <c r="G261" s="91">
        <f t="array" ref="G261">IF(B261="insumo",_xlfn.XLOOKUP($D261,Insumos!$B$1:$B$996,Insumos!$D$1:$D$996),"")</f>
        <v/>
      </c>
      <c r="H261" s="91" t="n">
        <v>0</v>
      </c>
      <c r="I261" s="2159" t="n">
        <v>0</v>
      </c>
      <c r="J261" s="2159" t="n">
        <v>0</v>
      </c>
      <c r="K261" s="2159" t="n"/>
    </row>
    <row r="262" outlineLevel="1" ht="15.75" customHeight="1">
      <c r="A262" s="1090" t="n">
        <v>2</v>
      </c>
      <c r="B262" s="1090" t="inlineStr">
        <is>
          <t>Subetapa</t>
        </is>
      </c>
      <c r="C262" s="1090" t="inlineStr">
        <is>
          <t>Movimentação de terra para bota-fora - Estacas</t>
        </is>
      </c>
      <c r="D262" s="1090" t="inlineStr">
        <is>
          <t>PERFURAÇÃO</t>
        </is>
      </c>
      <c r="E262" s="1091" t="n"/>
      <c r="F262" s="1091" t="n"/>
      <c r="G262" s="1091" t="n"/>
      <c r="H262" s="1091" t="n">
        <v>0</v>
      </c>
      <c r="I262" s="2160" t="n">
        <v>0</v>
      </c>
      <c r="J262" s="2160" t="n">
        <v>0</v>
      </c>
      <c r="K262" s="2160" t="n"/>
    </row>
    <row r="263" outlineLevel="2" ht="15.75" customHeight="1">
      <c r="A263" s="1067" t="n">
        <v>1</v>
      </c>
      <c r="B263" s="1067" t="inlineStr">
        <is>
          <t>Serviço</t>
        </is>
      </c>
      <c r="C263" s="1067" t="inlineStr">
        <is>
          <t>Execucao Estaca Helice Continua 030Cm</t>
        </is>
      </c>
      <c r="D263" s="1067" t="inlineStr">
        <is>
          <t>Execucao Estaca Helice Continua 030Cm</t>
        </is>
      </c>
      <c r="E263" s="1068" t="inlineStr">
        <is>
          <t>M</t>
        </is>
      </c>
      <c r="F263" s="1067" t="n"/>
      <c r="G263" s="1069">
        <f t="array" ref="G263">IF(B263="insumo",_xlfn.XLOOKUP($D263,Insumos!$B$1:$B$996,Insumos!$D$1:$D$996),"")</f>
        <v/>
      </c>
      <c r="H263" s="1069" t="n">
        <v>60</v>
      </c>
      <c r="I263" s="2161" t="n">
        <v>0</v>
      </c>
      <c r="J263" s="2161" t="n">
        <v>0</v>
      </c>
      <c r="K263" s="2161" t="n"/>
    </row>
    <row r="264" outlineLevel="3" ht="15.75" customHeight="1">
      <c r="A264" s="10" t="n">
        <v>1</v>
      </c>
      <c r="B264" s="10" t="inlineStr">
        <is>
          <t>Insumo</t>
        </is>
      </c>
      <c r="C264" s="10" t="inlineStr">
        <is>
          <t>Execucao Estaca Helice Continua 030Cm</t>
        </is>
      </c>
      <c r="D264" s="10" t="inlineStr">
        <is>
          <t>Execucao Estaca Helice Continua 030Cm</t>
        </is>
      </c>
      <c r="E264" s="11">
        <f t="array" ref="E264">_xlfn.XLOOKUP(D264,Insumos!B:B,Insumos!C:$C)</f>
        <v/>
      </c>
      <c r="F264" s="14" t="n">
        <v>1</v>
      </c>
      <c r="G264" s="92">
        <f t="array" ref="G264">IF(B264="insumo",_xlfn.XLOOKUP($D264,Insumos!$B$1:$B$996,Insumos!$D$1:$D$996),"")</f>
        <v/>
      </c>
      <c r="H264" s="92" t="n">
        <v>60</v>
      </c>
      <c r="I264" s="2162" t="n">
        <v>0</v>
      </c>
      <c r="J264" s="2162" t="n">
        <v>0</v>
      </c>
      <c r="K264" s="2162" t="n"/>
    </row>
    <row r="265" outlineLevel="2" ht="15.75" customHeight="1">
      <c r="A265" s="1067" t="n">
        <v>1</v>
      </c>
      <c r="B265" s="1067" t="inlineStr">
        <is>
          <t>Serviço</t>
        </is>
      </c>
      <c r="C265" s="1067" t="inlineStr">
        <is>
          <t>Execucao Estaca Helice Continua 040Cm</t>
        </is>
      </c>
      <c r="D265" s="1067" t="inlineStr">
        <is>
          <t>Execucao Estaca Helice Continua 040Cm</t>
        </is>
      </c>
      <c r="E265" s="1068" t="inlineStr">
        <is>
          <t>M</t>
        </is>
      </c>
      <c r="F265" s="1067" t="n"/>
      <c r="G265" s="1069">
        <f t="array" ref="G265">IF(B265="insumo",_xlfn.XLOOKUP($D265,Insumos!$B$1:$B$996,Insumos!$D$1:$D$996),"")</f>
        <v/>
      </c>
      <c r="H265" s="1069" t="n">
        <v>75</v>
      </c>
      <c r="I265" s="2161" t="n">
        <v>0</v>
      </c>
      <c r="J265" s="2161" t="n">
        <v>0</v>
      </c>
      <c r="K265" s="2161" t="n"/>
    </row>
    <row r="266" outlineLevel="3" ht="15.75" customHeight="1">
      <c r="A266" s="10" t="n">
        <v>1</v>
      </c>
      <c r="B266" s="10" t="inlineStr">
        <is>
          <t>Insumo</t>
        </is>
      </c>
      <c r="C266" s="10" t="inlineStr">
        <is>
          <t>Execucao Estaca Helice Continua 040Cm</t>
        </is>
      </c>
      <c r="D266" s="10" t="inlineStr">
        <is>
          <t>Execucao Estaca Helice Continua 040Cm</t>
        </is>
      </c>
      <c r="E266" s="11">
        <f t="array" ref="E266">_xlfn.XLOOKUP(D266,Insumos!B:B,Insumos!C:$C)</f>
        <v/>
      </c>
      <c r="F266" s="14" t="n">
        <v>1</v>
      </c>
      <c r="G266" s="92">
        <f t="array" ref="G266">IF(B266="insumo",_xlfn.XLOOKUP($D266,Insumos!$B$1:$B$996,Insumos!$D$1:$D$996),"")</f>
        <v/>
      </c>
      <c r="H266" s="92" t="n">
        <v>75</v>
      </c>
      <c r="I266" s="2162" t="n">
        <v>0</v>
      </c>
      <c r="J266" s="2162" t="n">
        <v>0</v>
      </c>
      <c r="K266" s="2162" t="n"/>
    </row>
    <row r="267" outlineLevel="2" ht="15.75" customHeight="1">
      <c r="A267" s="1067" t="n">
        <v>1</v>
      </c>
      <c r="B267" s="1067" t="inlineStr">
        <is>
          <t>Serviço</t>
        </is>
      </c>
      <c r="C267" s="1067" t="inlineStr">
        <is>
          <t xml:space="preserve">Perfuração de estaca hélice contínua Ø 50cm	</t>
        </is>
      </c>
      <c r="D267" s="1067" t="inlineStr">
        <is>
          <t xml:space="preserve">Perfuração de estaca hélice contínua Ø 50cm	</t>
        </is>
      </c>
      <c r="E267" s="1068" t="inlineStr">
        <is>
          <t>M</t>
        </is>
      </c>
      <c r="F267" s="1067" t="n"/>
      <c r="G267" s="1069">
        <f t="array" ref="G267">IF(B267="insumo",_xlfn.XLOOKUP($D267,Insumos!$B$1:$B$996,Insumos!$D$1:$D$996),"")</f>
        <v/>
      </c>
      <c r="H267" s="1069" t="n">
        <v>150</v>
      </c>
      <c r="I267" s="2161" t="n">
        <v>0</v>
      </c>
      <c r="J267" s="2161" t="n">
        <v>0</v>
      </c>
      <c r="K267" s="2161" t="n"/>
    </row>
    <row r="268" outlineLevel="3" ht="15.75" customHeight="1">
      <c r="A268" s="10" t="n">
        <v>1</v>
      </c>
      <c r="B268" s="10" t="inlineStr">
        <is>
          <t>Insumo</t>
        </is>
      </c>
      <c r="C268" s="10" t="inlineStr">
        <is>
          <t xml:space="preserve">Perfuração de estaca hélice contínua Ø 50cm	</t>
        </is>
      </c>
      <c r="D268" s="10" t="inlineStr">
        <is>
          <t>Execucao Estaca Helice Continua 050Cm</t>
        </is>
      </c>
      <c r="E268" s="11">
        <f t="array" ref="E268">_xlfn.XLOOKUP(D268,Insumos!B:B,Insumos!C:$C)</f>
        <v/>
      </c>
      <c r="F268" s="14" t="n">
        <v>1</v>
      </c>
      <c r="G268" s="92">
        <f t="array" ref="G268">IF(B268="insumo",_xlfn.XLOOKUP($D268,Insumos!$B$1:$B$996,Insumos!$D$1:$D$996),"")</f>
        <v/>
      </c>
      <c r="H268" s="92" t="n">
        <v>150</v>
      </c>
      <c r="I268" s="2162" t="n">
        <v>0</v>
      </c>
      <c r="J268" s="2162" t="n">
        <v>0</v>
      </c>
      <c r="K268" s="2162" t="n"/>
    </row>
    <row r="269" outlineLevel="2" ht="15.75" customHeight="1">
      <c r="A269" s="1067" t="n">
        <v>1</v>
      </c>
      <c r="B269" s="1067" t="inlineStr">
        <is>
          <t>Serviço</t>
        </is>
      </c>
      <c r="C269" s="1067" t="inlineStr">
        <is>
          <t xml:space="preserve">Perfuração de estaca hélice contínua Ø 60cm	</t>
        </is>
      </c>
      <c r="D269" s="1067" t="inlineStr">
        <is>
          <t xml:space="preserve">Perfuração de estaca hélice contínua Ø 60cm	</t>
        </is>
      </c>
      <c r="E269" s="1068" t="inlineStr">
        <is>
          <t>M</t>
        </is>
      </c>
      <c r="F269" s="1067" t="n"/>
      <c r="G269" s="1069">
        <f t="array" ref="G269">IF(B269="insumo",_xlfn.XLOOKUP($D269,Insumos!$B$1:$B$996,Insumos!$D$1:$D$996),"")</f>
        <v/>
      </c>
      <c r="H269" s="1069" t="n">
        <v>137.486331768187</v>
      </c>
      <c r="I269" s="2161" t="n">
        <v>6732</v>
      </c>
      <c r="J269" s="2161" t="n">
        <v>925557.9854634349</v>
      </c>
      <c r="K269" s="2161" t="n"/>
    </row>
    <row r="270" outlineLevel="3" ht="15.75" customHeight="1">
      <c r="A270" s="10" t="n">
        <v>1</v>
      </c>
      <c r="B270" s="10" t="inlineStr">
        <is>
          <t>Insumo</t>
        </is>
      </c>
      <c r="C270" s="10" t="inlineStr">
        <is>
          <t xml:space="preserve">Perfuração de estaca hélice contínua Ø 60cm	</t>
        </is>
      </c>
      <c r="D270" s="10" t="inlineStr">
        <is>
          <t>Execucao Estaca Helice Continua 060Cm</t>
        </is>
      </c>
      <c r="E270" s="11">
        <f t="array" ref="E270">_xlfn.XLOOKUP(D270,Insumos!B:B,Insumos!C:$C)</f>
        <v/>
      </c>
      <c r="F270" s="14" t="n">
        <v>1</v>
      </c>
      <c r="G270" s="92">
        <f t="array" ref="G270">IF(B270="insumo",_xlfn.XLOOKUP($D270,Insumos!$B$1:$B$996,Insumos!$D$1:$D$996),"")</f>
        <v/>
      </c>
      <c r="H270" s="92" t="n">
        <v>137.486331768187</v>
      </c>
      <c r="I270" s="2162" t="n">
        <v>6732</v>
      </c>
      <c r="J270" s="2162" t="n">
        <v>925557.9854634349</v>
      </c>
      <c r="K270" s="2162" t="n"/>
    </row>
    <row r="271" outlineLevel="2" ht="12.75" customHeight="1">
      <c r="A271" s="1071" t="n">
        <v>1</v>
      </c>
      <c r="B271" s="1071" t="inlineStr">
        <is>
          <t>Serviço</t>
        </is>
      </c>
      <c r="C271" s="1071" t="inlineStr">
        <is>
          <t>Execucao Estaca Helice Continua Monitorada 050Cm</t>
        </is>
      </c>
      <c r="D271" s="1071" t="inlineStr">
        <is>
          <t>Execucao Estaca Helice Continua Monitorada 050Cm</t>
        </is>
      </c>
      <c r="E271" s="1072" t="inlineStr">
        <is>
          <t>M</t>
        </is>
      </c>
      <c r="F271" s="1071" t="n"/>
      <c r="G271" s="1073">
        <f t="array" ref="G271">IF(B271="insumo",_xlfn.XLOOKUP($D271,Insumos!$B$1:$B$996,Insumos!$D$1:$D$996),"")</f>
        <v/>
      </c>
      <c r="H271" s="1073" t="n">
        <v>150</v>
      </c>
      <c r="I271" s="2163" t="n">
        <v>0</v>
      </c>
      <c r="J271" s="2163" t="n">
        <v>0</v>
      </c>
      <c r="K271" s="2163" t="n"/>
    </row>
    <row r="272" outlineLevel="3" ht="15.75" customHeight="1">
      <c r="A272" s="10" t="n">
        <v>1</v>
      </c>
      <c r="B272" s="10" t="inlineStr">
        <is>
          <t>Insumo</t>
        </is>
      </c>
      <c r="C272" s="10" t="inlineStr">
        <is>
          <t>Execucao Estaca Helice Continua Monitorada 050Cm</t>
        </is>
      </c>
      <c r="D272" s="10" t="inlineStr">
        <is>
          <t>Execucao Estaca Helice Continua Monitorada 050Cm</t>
        </is>
      </c>
      <c r="E272" s="11">
        <f t="array" ref="E272">_xlfn.XLOOKUP(D272,Insumos!B:B,Insumos!C:$C)</f>
        <v/>
      </c>
      <c r="F272" s="14" t="n">
        <v>1</v>
      </c>
      <c r="G272" s="92">
        <f t="array" ref="G272">IF(B272="insumo",_xlfn.XLOOKUP($D272,Insumos!$B$1:$B$996,Insumos!$D$1:$D$996),"")</f>
        <v/>
      </c>
      <c r="H272" s="92" t="n">
        <v>150</v>
      </c>
      <c r="I272" s="2162" t="n">
        <v>0</v>
      </c>
      <c r="J272" s="2162" t="n">
        <v>0</v>
      </c>
      <c r="K272" s="2162" t="n"/>
    </row>
    <row r="273" outlineLevel="2" ht="12.75" customHeight="1">
      <c r="A273" s="1071" t="n">
        <v>1</v>
      </c>
      <c r="B273" s="1071" t="inlineStr">
        <is>
          <t>Serviço</t>
        </is>
      </c>
      <c r="C273" s="1071" t="inlineStr">
        <is>
          <t>Execucao Estaca Helice Continua Monitorada 060Cm</t>
        </is>
      </c>
      <c r="D273" s="1071" t="inlineStr">
        <is>
          <t>Execucao Estaca Helice Continua Monitorada 060Cm</t>
        </is>
      </c>
      <c r="E273" s="1072" t="inlineStr">
        <is>
          <t>M</t>
        </is>
      </c>
      <c r="F273" s="1071" t="n"/>
      <c r="G273" s="1073">
        <f t="array" ref="G273">IF(B273="insumo",_xlfn.XLOOKUP($D273,Insumos!$B$1:$B$996,Insumos!$D$1:$D$996),"")</f>
        <v/>
      </c>
      <c r="H273" s="1073" t="n">
        <v>180</v>
      </c>
      <c r="I273" s="2163" t="n">
        <v>0</v>
      </c>
      <c r="J273" s="2163" t="n">
        <v>0</v>
      </c>
      <c r="K273" s="2163" t="n"/>
    </row>
    <row r="274" outlineLevel="3" ht="15.75" customHeight="1">
      <c r="A274" s="10" t="n">
        <v>1</v>
      </c>
      <c r="B274" s="10" t="inlineStr">
        <is>
          <t>Insumo</t>
        </is>
      </c>
      <c r="C274" s="10" t="inlineStr">
        <is>
          <t>Execucao Estaca Helice Continua Monitorada 060Cm</t>
        </is>
      </c>
      <c r="D274" s="10" t="inlineStr">
        <is>
          <t>Execucao Estaca Helice Continua Monitorada 060Cm</t>
        </is>
      </c>
      <c r="E274" s="11">
        <f t="array" ref="E274">_xlfn.XLOOKUP(D274,Insumos!B:B,Insumos!C:$C)</f>
        <v/>
      </c>
      <c r="F274" s="14" t="n">
        <v>1</v>
      </c>
      <c r="G274" s="92">
        <f t="array" ref="G274">IF(B274="insumo",_xlfn.XLOOKUP($D274,Insumos!$B$1:$B$996,Insumos!$D$1:$D$996),"")</f>
        <v/>
      </c>
      <c r="H274" s="92" t="n">
        <v>180</v>
      </c>
      <c r="I274" s="2162" t="n">
        <v>0</v>
      </c>
      <c r="J274" s="2162" t="n">
        <v>0</v>
      </c>
      <c r="K274" s="2162" t="n"/>
    </row>
    <row r="275" outlineLevel="2" ht="15.75" customHeight="1">
      <c r="A275" s="1067" t="n">
        <v>1</v>
      </c>
      <c r="B275" s="1067" t="inlineStr">
        <is>
          <t>Serviço</t>
        </is>
      </c>
      <c r="C275" s="1067" t="inlineStr">
        <is>
          <t>Execucao Estaca Helice Continua 070Cm</t>
        </is>
      </c>
      <c r="D275" s="1067" t="inlineStr">
        <is>
          <t>Execucao Estaca Helice Continua 070Cm</t>
        </is>
      </c>
      <c r="E275" s="1068" t="inlineStr">
        <is>
          <t>M</t>
        </is>
      </c>
      <c r="F275" s="1067" t="n"/>
      <c r="G275" s="1069">
        <f t="array" ref="G275">IF(B275="insumo",_xlfn.XLOOKUP($D275,Insumos!$B$1:$B$996,Insumos!$D$1:$D$996),"")</f>
        <v/>
      </c>
      <c r="H275" s="1069" t="n">
        <v>120</v>
      </c>
      <c r="I275" s="2161" t="n">
        <v>0</v>
      </c>
      <c r="J275" s="2161" t="n">
        <v>0</v>
      </c>
      <c r="K275" s="2161" t="n"/>
    </row>
    <row r="276" outlineLevel="3" ht="15.75" customHeight="1">
      <c r="A276" s="10" t="n">
        <v>1</v>
      </c>
      <c r="B276" s="10" t="inlineStr">
        <is>
          <t>Insumo</t>
        </is>
      </c>
      <c r="C276" s="10" t="inlineStr">
        <is>
          <t>Execucao Estaca Helice Continua 070Cm</t>
        </is>
      </c>
      <c r="D276" s="10" t="inlineStr">
        <is>
          <t>Execucao Estaca Helice Continua 070Cm</t>
        </is>
      </c>
      <c r="E276" s="11">
        <f t="array" ref="E276">_xlfn.XLOOKUP(D276,Insumos!B:B,Insumos!C:$C)</f>
        <v/>
      </c>
      <c r="F276" s="14" t="n">
        <v>1</v>
      </c>
      <c r="G276" s="92">
        <f t="array" ref="G276">IF(B276="insumo",_xlfn.XLOOKUP($D276,Insumos!$B$1:$B$996,Insumos!$D$1:$D$996),"")</f>
        <v/>
      </c>
      <c r="H276" s="92" t="n">
        <v>120</v>
      </c>
      <c r="I276" s="2162" t="n">
        <v>0</v>
      </c>
      <c r="J276" s="2162" t="n">
        <v>0</v>
      </c>
      <c r="K276" s="2162" t="n"/>
    </row>
    <row r="277" outlineLevel="2" ht="15.75" customHeight="1">
      <c r="A277" s="1067" t="n">
        <v>1</v>
      </c>
      <c r="B277" s="1067" t="inlineStr">
        <is>
          <t>Serviço</t>
        </is>
      </c>
      <c r="C277" s="1067" t="inlineStr">
        <is>
          <t>Execucao Estaca Helice Continua 080Cm</t>
        </is>
      </c>
      <c r="D277" s="1067" t="inlineStr">
        <is>
          <t>Execucao Estaca Helice Continua 080Cm</t>
        </is>
      </c>
      <c r="E277" s="1068" t="inlineStr">
        <is>
          <t>M</t>
        </is>
      </c>
      <c r="F277" s="1067" t="n"/>
      <c r="G277" s="1069">
        <f t="array" ref="G277">IF(B277="insumo",_xlfn.XLOOKUP($D277,Insumos!$B$1:$B$996,Insumos!$D$1:$D$996),"")</f>
        <v/>
      </c>
      <c r="H277" s="1069" t="n">
        <v>135</v>
      </c>
      <c r="I277" s="2161" t="n">
        <v>0</v>
      </c>
      <c r="J277" s="2161" t="n">
        <v>0</v>
      </c>
      <c r="K277" s="2161" t="n"/>
    </row>
    <row r="278" outlineLevel="3" ht="15.75" customHeight="1">
      <c r="A278" s="10" t="n">
        <v>1</v>
      </c>
      <c r="B278" s="10" t="inlineStr">
        <is>
          <t>Insumo</t>
        </is>
      </c>
      <c r="C278" s="10" t="inlineStr">
        <is>
          <t>Execucao Estaca Helice Continua 080Cm</t>
        </is>
      </c>
      <c r="D278" s="10" t="inlineStr">
        <is>
          <t>Execucao Estaca Helice Continua 080Cm</t>
        </is>
      </c>
      <c r="E278" s="11">
        <f t="array" ref="E278">_xlfn.XLOOKUP(D278,Insumos!B:B,Insumos!C:$C)</f>
        <v/>
      </c>
      <c r="F278" s="14" t="n">
        <v>1</v>
      </c>
      <c r="G278" s="92">
        <f t="array" ref="G278">IF(B278="insumo",_xlfn.XLOOKUP($D278,Insumos!$B$1:$B$996,Insumos!$D$1:$D$996),"")</f>
        <v/>
      </c>
      <c r="H278" s="92" t="n">
        <v>135</v>
      </c>
      <c r="I278" s="2162" t="n">
        <v>0</v>
      </c>
      <c r="J278" s="2162" t="n">
        <v>0</v>
      </c>
      <c r="K278" s="2162" t="n"/>
    </row>
    <row r="279" outlineLevel="2" ht="15.75" customHeight="1">
      <c r="A279" s="1067" t="n">
        <v>1</v>
      </c>
      <c r="B279" s="1067" t="inlineStr">
        <is>
          <t>Serviço</t>
        </is>
      </c>
      <c r="C279" s="1067" t="inlineStr">
        <is>
          <t>Execucao Estaca Helice Continua 090Cm</t>
        </is>
      </c>
      <c r="D279" s="1067" t="inlineStr">
        <is>
          <t>Execucao Estaca Helice Continua 090Cm</t>
        </is>
      </c>
      <c r="E279" s="1068" t="inlineStr">
        <is>
          <t>M</t>
        </is>
      </c>
      <c r="F279" s="1067" t="n"/>
      <c r="G279" s="1069">
        <f t="array" ref="G279">IF(B279="insumo",_xlfn.XLOOKUP($D279,Insumos!$B$1:$B$996,Insumos!$D$1:$D$996),"")</f>
        <v/>
      </c>
      <c r="H279" s="1069" t="n">
        <v>150</v>
      </c>
      <c r="I279" s="2161" t="n">
        <v>0</v>
      </c>
      <c r="J279" s="2161" t="n">
        <v>0</v>
      </c>
      <c r="K279" s="2161" t="n"/>
    </row>
    <row r="280" outlineLevel="3" ht="15.75" customHeight="1">
      <c r="A280" s="10" t="n">
        <v>1</v>
      </c>
      <c r="B280" s="10" t="inlineStr">
        <is>
          <t>Insumo</t>
        </is>
      </c>
      <c r="C280" s="10" t="inlineStr">
        <is>
          <t>Execucao Estaca Helice Continua 090Cm</t>
        </is>
      </c>
      <c r="D280" s="10" t="inlineStr">
        <is>
          <t>Execucao Estaca Helice Continua 090Cm</t>
        </is>
      </c>
      <c r="E280" s="11">
        <f t="array" ref="E280">_xlfn.XLOOKUP(D280,Insumos!B:B,Insumos!C:$C)</f>
        <v/>
      </c>
      <c r="F280" s="14" t="n">
        <v>1</v>
      </c>
      <c r="G280" s="92">
        <f t="array" ref="G280">IF(B280="insumo",_xlfn.XLOOKUP($D280,Insumos!$B$1:$B$996,Insumos!$D$1:$D$996),"")</f>
        <v/>
      </c>
      <c r="H280" s="92" t="n">
        <v>150</v>
      </c>
      <c r="I280" s="2162" t="n">
        <v>0</v>
      </c>
      <c r="J280" s="2162" t="n">
        <v>0</v>
      </c>
      <c r="K280" s="2162" t="n"/>
    </row>
    <row r="281" outlineLevel="2" ht="15.75" customHeight="1">
      <c r="A281" s="1067" t="n">
        <v>1</v>
      </c>
      <c r="B281" s="1067" t="inlineStr">
        <is>
          <t>Serviço</t>
        </is>
      </c>
      <c r="C281" s="1067" t="inlineStr">
        <is>
          <t>Execucao Estaca Helice Continua 100Cm</t>
        </is>
      </c>
      <c r="D281" s="1067" t="inlineStr">
        <is>
          <t>Execucao Estaca Helice Continua 100Cm</t>
        </is>
      </c>
      <c r="E281" s="1068" t="inlineStr">
        <is>
          <t>M</t>
        </is>
      </c>
      <c r="F281" s="1067" t="n"/>
      <c r="G281" s="1069">
        <f t="array" ref="G281">IF(B281="insumo",_xlfn.XLOOKUP($D281,Insumos!$B$1:$B$996,Insumos!$D$1:$D$996),"")</f>
        <v/>
      </c>
      <c r="H281" s="1069" t="n">
        <v>166.666666666667</v>
      </c>
      <c r="I281" s="2161" t="n">
        <v>0</v>
      </c>
      <c r="J281" s="2161" t="n">
        <v>0</v>
      </c>
      <c r="K281" s="2161" t="n"/>
    </row>
    <row r="282" outlineLevel="3" ht="15.75" customHeight="1">
      <c r="A282" s="10" t="n">
        <v>1</v>
      </c>
      <c r="B282" s="10" t="inlineStr">
        <is>
          <t>Insumo</t>
        </is>
      </c>
      <c r="C282" s="10" t="inlineStr">
        <is>
          <t>Execucao Estaca Helice Continua 100Cm</t>
        </is>
      </c>
      <c r="D282" s="10" t="inlineStr">
        <is>
          <t>Execucao Estaca Helice Continua 100Cm</t>
        </is>
      </c>
      <c r="E282" s="11">
        <f t="array" ref="E282">_xlfn.XLOOKUP(D282,Insumos!B:B,Insumos!C:$C)</f>
        <v/>
      </c>
      <c r="F282" s="14" t="n">
        <v>1</v>
      </c>
      <c r="G282" s="92">
        <f t="array" ref="G282">IF(B282="insumo",_xlfn.XLOOKUP($D282,Insumos!$B$1:$B$996,Insumos!$D$1:$D$996),"")</f>
        <v/>
      </c>
      <c r="H282" s="92" t="n">
        <v>166.666666666667</v>
      </c>
      <c r="I282" s="2162" t="n">
        <v>0</v>
      </c>
      <c r="J282" s="2162" t="n">
        <v>0</v>
      </c>
      <c r="K282" s="2162" t="n"/>
    </row>
    <row r="283" outlineLevel="2" ht="15.75" customHeight="1">
      <c r="A283" s="1067" t="n">
        <v>1</v>
      </c>
      <c r="B283" s="1067" t="inlineStr">
        <is>
          <t>Serviço</t>
        </is>
      </c>
      <c r="C283" s="1067" t="inlineStr">
        <is>
          <t xml:space="preserve">Perfuração de estaca Escavada Ø 25cm	</t>
        </is>
      </c>
      <c r="D283" s="1067" t="inlineStr">
        <is>
          <t xml:space="preserve">Perfuração de estaca Escavada Ø 25cm	</t>
        </is>
      </c>
      <c r="E283" s="1068" t="inlineStr">
        <is>
          <t>M</t>
        </is>
      </c>
      <c r="F283" s="1067" t="n"/>
      <c r="G283" s="1069">
        <f t="array" ref="G283">IF(B283="insumo",_xlfn.XLOOKUP($D283,Insumos!$B$1:$B$996,Insumos!$D$1:$D$996),"")</f>
        <v/>
      </c>
      <c r="H283" s="1069" t="n">
        <v>33</v>
      </c>
      <c r="I283" s="2161" t="n">
        <v>0</v>
      </c>
      <c r="J283" s="2161" t="n">
        <v>0</v>
      </c>
      <c r="K283" s="2161" t="n"/>
    </row>
    <row r="284" outlineLevel="3" ht="15.75" customHeight="1">
      <c r="A284" s="10" t="n">
        <v>1</v>
      </c>
      <c r="B284" s="10" t="inlineStr">
        <is>
          <t>Insumo</t>
        </is>
      </c>
      <c r="C284" s="10" t="inlineStr">
        <is>
          <t xml:space="preserve">Perfuração de estaca Escavada Ø 25cm	</t>
        </is>
      </c>
      <c r="D284" s="10" t="inlineStr">
        <is>
          <t>Execucao Estaca Escavada 025Cm</t>
        </is>
      </c>
      <c r="E284" s="11">
        <f t="array" ref="E284">_xlfn.XLOOKUP(D284,Insumos!B:B,Insumos!C:$C)</f>
        <v/>
      </c>
      <c r="F284" s="14" t="n">
        <v>1</v>
      </c>
      <c r="G284" s="92">
        <f t="array" ref="G284">IF(B284="insumo",_xlfn.XLOOKUP($D284,Insumos!$B$1:$B$996,Insumos!$D$1:$D$996),"")</f>
        <v/>
      </c>
      <c r="H284" s="92" t="n">
        <v>33</v>
      </c>
      <c r="I284" s="2162" t="n">
        <v>0</v>
      </c>
      <c r="J284" s="2162" t="n">
        <v>0</v>
      </c>
      <c r="K284" s="2162" t="n"/>
    </row>
    <row r="285" outlineLevel="2" ht="15.75" customHeight="1">
      <c r="A285" s="1067" t="n">
        <v>1</v>
      </c>
      <c r="B285" s="1067" t="inlineStr">
        <is>
          <t>Serviço</t>
        </is>
      </c>
      <c r="C285" s="1067" t="inlineStr">
        <is>
          <t xml:space="preserve">Perfuração de estaca Escavada Ø 30cm	</t>
        </is>
      </c>
      <c r="D285" s="1067" t="inlineStr">
        <is>
          <t xml:space="preserve">Perfuração de estaca Escavada Ø 30cm	</t>
        </is>
      </c>
      <c r="E285" s="1068" t="inlineStr">
        <is>
          <t>M</t>
        </is>
      </c>
      <c r="F285" s="1067" t="n"/>
      <c r="G285" s="1069">
        <f t="array" ref="G285">IF(B285="insumo",_xlfn.XLOOKUP($D285,Insumos!$B$1:$B$996,Insumos!$D$1:$D$996),"")</f>
        <v/>
      </c>
      <c r="H285" s="1069" t="n">
        <v>39</v>
      </c>
      <c r="I285" s="2161" t="n">
        <v>0</v>
      </c>
      <c r="J285" s="2161" t="n">
        <v>0</v>
      </c>
      <c r="K285" s="2161" t="n"/>
    </row>
    <row r="286" outlineLevel="3" ht="15.75" customHeight="1">
      <c r="A286" s="10" t="n">
        <v>2</v>
      </c>
      <c r="B286" s="10" t="inlineStr">
        <is>
          <t>Insumo</t>
        </is>
      </c>
      <c r="C286" s="10" t="inlineStr">
        <is>
          <t xml:space="preserve">Perfuração de estaca Escavada Ø 30cm	</t>
        </is>
      </c>
      <c r="D286" s="10" t="inlineStr">
        <is>
          <t>Execucao Estaca Escavada 030Cm</t>
        </is>
      </c>
      <c r="E286" s="11">
        <f t="array" ref="E286">_xlfn.XLOOKUP(D286,Insumos!B:B,Insumos!C:$C)</f>
        <v/>
      </c>
      <c r="F286" s="14" t="n">
        <v>1</v>
      </c>
      <c r="G286" s="92">
        <f t="array" ref="G286">IF(B286="insumo",_xlfn.XLOOKUP($D286,Insumos!$B$1:$B$996,Insumos!$D$1:$D$996),"")</f>
        <v/>
      </c>
      <c r="H286" s="92" t="n">
        <v>39</v>
      </c>
      <c r="I286" s="2162" t="n">
        <v>0</v>
      </c>
      <c r="J286" s="2162" t="n">
        <v>0</v>
      </c>
      <c r="K286" s="2162" t="n"/>
    </row>
    <row r="287" outlineLevel="2" ht="12.75" customHeight="1">
      <c r="A287" s="1071" t="n">
        <v>1</v>
      </c>
      <c r="B287" s="1071" t="inlineStr">
        <is>
          <t>Serviço</t>
        </is>
      </c>
      <c r="C287" s="1071" t="inlineStr">
        <is>
          <t xml:space="preserve">Perfuração de estaca Escavada Ø 40cm	</t>
        </is>
      </c>
      <c r="D287" s="1071" t="inlineStr">
        <is>
          <t xml:space="preserve">Perfuração de estaca Escavada Ø 40cm	</t>
        </is>
      </c>
      <c r="E287" s="1072" t="inlineStr">
        <is>
          <t>M</t>
        </is>
      </c>
      <c r="F287" s="1071" t="n"/>
      <c r="G287" s="1073">
        <f t="array" ref="G287">IF(B287="insumo",_xlfn.XLOOKUP($D287,Insumos!$B$1:$B$996,Insumos!$D$1:$D$996),"")</f>
        <v/>
      </c>
      <c r="H287" s="1073" t="n">
        <v>52.8</v>
      </c>
      <c r="I287" s="2163" t="n">
        <v>0</v>
      </c>
      <c r="J287" s="2163" t="n">
        <v>0</v>
      </c>
      <c r="K287" s="2163" t="n"/>
    </row>
    <row r="288" outlineLevel="3" ht="12.75" customHeight="1">
      <c r="A288" s="82" t="n">
        <v>2</v>
      </c>
      <c r="B288" s="82" t="inlineStr">
        <is>
          <t>Insumo</t>
        </is>
      </c>
      <c r="C288" s="82" t="inlineStr">
        <is>
          <t xml:space="preserve">Perfuração de estaca Escavada Ø 40cm	</t>
        </is>
      </c>
      <c r="D288" s="82" t="inlineStr">
        <is>
          <t>Execucao Estaca Escavada 040Cm</t>
        </is>
      </c>
      <c r="E288" s="11">
        <f t="array" ref="E288">_xlfn.XLOOKUP(D288,Insumos!B:B,Insumos!C:$C)</f>
        <v/>
      </c>
      <c r="F288" s="2164" t="n">
        <v>1</v>
      </c>
      <c r="G288" s="92">
        <f t="array" ref="G288">IF(B288="insumo",_xlfn.XLOOKUP($D288,Insumos!$B$1:$B$996,Insumos!$D$1:$D$996),"")</f>
        <v/>
      </c>
      <c r="H288" s="92" t="n">
        <v>52.8</v>
      </c>
      <c r="I288" s="2165" t="n">
        <v>0</v>
      </c>
      <c r="J288" s="2165" t="n">
        <v>0</v>
      </c>
      <c r="K288" s="2165" t="n"/>
    </row>
    <row r="289" outlineLevel="2" ht="12.75" customHeight="1">
      <c r="A289" s="1071" t="n">
        <v>1</v>
      </c>
      <c r="B289" s="1071" t="inlineStr">
        <is>
          <t>Serviço</t>
        </is>
      </c>
      <c r="C289" s="1071" t="inlineStr">
        <is>
          <t xml:space="preserve">Perfuração de estaca Escavada Ø 50cm	</t>
        </is>
      </c>
      <c r="D289" s="1071" t="inlineStr">
        <is>
          <t xml:space="preserve">Perfuração de estaca Escavada Ø 50cm	</t>
        </is>
      </c>
      <c r="E289" s="1072" t="inlineStr">
        <is>
          <t>M</t>
        </is>
      </c>
      <c r="F289" s="1071" t="n"/>
      <c r="G289" s="1073">
        <f t="array" ref="G289">IF(B289="insumo",_xlfn.XLOOKUP($D289,Insumos!$B$1:$B$996,Insumos!$D$1:$D$996),"")</f>
        <v/>
      </c>
      <c r="H289" s="1073" t="n">
        <v>66</v>
      </c>
      <c r="I289" s="2163" t="n">
        <v>0</v>
      </c>
      <c r="J289" s="2163" t="n">
        <v>0</v>
      </c>
      <c r="K289" s="2163" t="n"/>
    </row>
    <row r="290" outlineLevel="3" ht="15.75" customHeight="1">
      <c r="A290" s="10" t="n">
        <v>1</v>
      </c>
      <c r="B290" s="10" t="inlineStr">
        <is>
          <t>Insumo</t>
        </is>
      </c>
      <c r="C290" s="10" t="inlineStr">
        <is>
          <t xml:space="preserve">Perfuração de estaca Escavada Ø 50cm	</t>
        </is>
      </c>
      <c r="D290" s="10" t="inlineStr">
        <is>
          <t>Execucao Estaca Escavada 050Cm</t>
        </is>
      </c>
      <c r="E290" s="11">
        <f t="array" ref="E290">_xlfn.XLOOKUP(D290,Insumos!B:B,Insumos!C:$C)</f>
        <v/>
      </c>
      <c r="F290" s="14" t="n">
        <v>1</v>
      </c>
      <c r="G290" s="92">
        <f t="array" ref="G290">IF(B290="insumo",_xlfn.XLOOKUP($D290,Insumos!$B$1:$B$996,Insumos!$D$1:$D$996),"")</f>
        <v/>
      </c>
      <c r="H290" s="92" t="n">
        <v>66</v>
      </c>
      <c r="I290" s="2162" t="n">
        <v>0</v>
      </c>
      <c r="J290" s="2162" t="n">
        <v>0</v>
      </c>
      <c r="K290" s="2162" t="n"/>
    </row>
    <row r="291" outlineLevel="2" ht="12.75" customHeight="1">
      <c r="A291" s="1071" t="n">
        <v>1</v>
      </c>
      <c r="B291" s="1071" t="inlineStr">
        <is>
          <t>Serviço</t>
        </is>
      </c>
      <c r="C291" s="1071" t="inlineStr">
        <is>
          <t xml:space="preserve">Perfuração de estaca Escavada Ø 60cm	</t>
        </is>
      </c>
      <c r="D291" s="1071" t="inlineStr">
        <is>
          <t xml:space="preserve">Perfuração de estaca Escavada Ø 60cm	</t>
        </is>
      </c>
      <c r="E291" s="1072" t="inlineStr">
        <is>
          <t>M</t>
        </is>
      </c>
      <c r="F291" s="1071" t="n"/>
      <c r="G291" s="1073">
        <f t="array" ref="G291">IF(B291="insumo",_xlfn.XLOOKUP($D291,Insumos!$B$1:$B$996,Insumos!$D$1:$D$996),"")</f>
        <v/>
      </c>
      <c r="H291" s="1073" t="n">
        <v>79.2</v>
      </c>
      <c r="I291" s="2163" t="n">
        <v>0</v>
      </c>
      <c r="J291" s="2163" t="n">
        <v>0</v>
      </c>
      <c r="K291" s="2163" t="n"/>
    </row>
    <row r="292" outlineLevel="3" ht="15.75" customHeight="1">
      <c r="A292" s="10" t="n">
        <v>1</v>
      </c>
      <c r="B292" s="10" t="inlineStr">
        <is>
          <t>Insumo</t>
        </is>
      </c>
      <c r="C292" s="10" t="inlineStr">
        <is>
          <t xml:space="preserve">Perfuração de estaca Escavada Ø 60cm	</t>
        </is>
      </c>
      <c r="D292" s="10" t="inlineStr">
        <is>
          <t>Execucao Estaca Escavada 060Cm</t>
        </is>
      </c>
      <c r="E292" s="11">
        <f t="array" ref="E292">_xlfn.XLOOKUP(D292,Insumos!B:B,Insumos!C:$C)</f>
        <v/>
      </c>
      <c r="F292" s="14" t="n">
        <v>1</v>
      </c>
      <c r="G292" s="92">
        <f t="array" ref="G292">IF(B292="insumo",_xlfn.XLOOKUP($D292,Insumos!$B$1:$B$996,Insumos!$D$1:$D$996),"")</f>
        <v/>
      </c>
      <c r="H292" s="92" t="n">
        <v>79.2</v>
      </c>
      <c r="I292" s="2162" t="n">
        <v>0</v>
      </c>
      <c r="J292" s="2162" t="n">
        <v>0</v>
      </c>
      <c r="K292" s="2162" t="n"/>
    </row>
    <row r="293" outlineLevel="2" ht="12.75" customHeight="1">
      <c r="A293" s="1071" t="n">
        <v>1</v>
      </c>
      <c r="B293" s="1071" t="inlineStr">
        <is>
          <t>Serviço</t>
        </is>
      </c>
      <c r="C293" s="1071" t="inlineStr">
        <is>
          <t xml:space="preserve">Perfuração de estaca Escavada Ø 70cm	</t>
        </is>
      </c>
      <c r="D293" s="1071" t="inlineStr">
        <is>
          <t xml:space="preserve">Perfuração de estaca Escavada Ø 70cm	</t>
        </is>
      </c>
      <c r="E293" s="1072" t="inlineStr">
        <is>
          <t>M</t>
        </is>
      </c>
      <c r="F293" s="1071" t="n"/>
      <c r="G293" s="1073">
        <f t="array" ref="G293">IF(B293="insumo",_xlfn.XLOOKUP($D293,Insumos!$B$1:$B$996,Insumos!$D$1:$D$996),"")</f>
        <v/>
      </c>
      <c r="H293" s="1073" t="n">
        <v>92.40000000000001</v>
      </c>
      <c r="I293" s="2163" t="n">
        <v>0</v>
      </c>
      <c r="J293" s="2163" t="n">
        <v>0</v>
      </c>
      <c r="K293" s="2163" t="n"/>
    </row>
    <row r="294" outlineLevel="3" ht="15.75" customHeight="1">
      <c r="A294" s="10" t="n">
        <v>1</v>
      </c>
      <c r="B294" s="10" t="inlineStr">
        <is>
          <t>Insumo</t>
        </is>
      </c>
      <c r="C294" s="10" t="inlineStr">
        <is>
          <t xml:space="preserve">Perfuração de estaca Escavada Ø 70cm	</t>
        </is>
      </c>
      <c r="D294" s="10" t="inlineStr">
        <is>
          <t>Execucao Estaca Escavada 070Cm</t>
        </is>
      </c>
      <c r="E294" s="11">
        <f t="array" ref="E294">_xlfn.XLOOKUP(D294,Insumos!B:B,Insumos!C:$C)</f>
        <v/>
      </c>
      <c r="F294" s="14" t="n">
        <v>1</v>
      </c>
      <c r="G294" s="92">
        <f t="array" ref="G294">IF(B294="insumo",_xlfn.XLOOKUP($D294,Insumos!$B$1:$B$996,Insumos!$D$1:$D$996),"")</f>
        <v/>
      </c>
      <c r="H294" s="92" t="n">
        <v>92.40000000000001</v>
      </c>
      <c r="I294" s="2162" t="n">
        <v>0</v>
      </c>
      <c r="J294" s="2162" t="n">
        <v>0</v>
      </c>
      <c r="K294" s="2162" t="n"/>
    </row>
    <row r="295" outlineLevel="2" ht="12.75" customHeight="1">
      <c r="A295" s="1071" t="n">
        <v>1</v>
      </c>
      <c r="B295" s="1071" t="inlineStr">
        <is>
          <t>Serviço</t>
        </is>
      </c>
      <c r="C295" s="1071" t="inlineStr">
        <is>
          <t xml:space="preserve">Perfuração de estaca Escavada Ø 80cm	</t>
        </is>
      </c>
      <c r="D295" s="1071" t="inlineStr">
        <is>
          <t xml:space="preserve">Perfuração de estaca Escavada Ø 80cm	</t>
        </is>
      </c>
      <c r="E295" s="1072" t="inlineStr">
        <is>
          <t>M</t>
        </is>
      </c>
      <c r="F295" s="1071" t="n"/>
      <c r="G295" s="1073">
        <f t="array" ref="G295">IF(B295="insumo",_xlfn.XLOOKUP($D295,Insumos!$B$1:$B$996,Insumos!$D$1:$D$996),"")</f>
        <v/>
      </c>
      <c r="H295" s="1073" t="n">
        <v>105.6</v>
      </c>
      <c r="I295" s="2163" t="n">
        <v>0</v>
      </c>
      <c r="J295" s="2163" t="n">
        <v>0</v>
      </c>
      <c r="K295" s="2163" t="n"/>
    </row>
    <row r="296" outlineLevel="3" ht="15.75" customHeight="1">
      <c r="A296" s="10" t="n">
        <v>1</v>
      </c>
      <c r="B296" s="10" t="inlineStr">
        <is>
          <t>Insumo</t>
        </is>
      </c>
      <c r="C296" s="10" t="inlineStr">
        <is>
          <t xml:space="preserve">Perfuração de estaca Escavada Ø 80cm	</t>
        </is>
      </c>
      <c r="D296" s="10" t="inlineStr">
        <is>
          <t>Execucao Estaca Escavada 080Cm</t>
        </is>
      </c>
      <c r="E296" s="11">
        <f t="array" ref="E296">_xlfn.XLOOKUP(D296,Insumos!B:B,Insumos!C:$C)</f>
        <v/>
      </c>
      <c r="F296" s="14" t="n">
        <v>1</v>
      </c>
      <c r="G296" s="92">
        <f t="array" ref="G296">IF(B296="insumo",_xlfn.XLOOKUP($D296,Insumos!$B$1:$B$996,Insumos!$D$1:$D$996),"")</f>
        <v/>
      </c>
      <c r="H296" s="92" t="n">
        <v>105.6</v>
      </c>
      <c r="I296" s="2162" t="n">
        <v>0</v>
      </c>
      <c r="J296" s="2162" t="n">
        <v>0</v>
      </c>
      <c r="K296" s="2162" t="n"/>
    </row>
    <row r="297" outlineLevel="2" ht="12.75" customHeight="1">
      <c r="A297" s="1071" t="n">
        <v>1</v>
      </c>
      <c r="B297" s="1071" t="inlineStr">
        <is>
          <t>Serviço</t>
        </is>
      </c>
      <c r="C297" s="1071" t="inlineStr">
        <is>
          <t xml:space="preserve">	Mobilização e desmobilização de equipamentos - Para execução de estaca hélice monitorada</t>
        </is>
      </c>
      <c r="D297" s="1071" t="inlineStr">
        <is>
          <t xml:space="preserve">	Mobilização e desmobilização de equipamentos - Para execução de estaca hélice monitorada</t>
        </is>
      </c>
      <c r="E297" s="1072" t="inlineStr">
        <is>
          <t>VB</t>
        </is>
      </c>
      <c r="F297" s="1071" t="n"/>
      <c r="G297" s="1073">
        <f t="array" ref="G297">IF(B297="insumo",_xlfn.XLOOKUP($D297,Insumos!$B$1:$B$996,Insumos!$D$1:$D$996),"")</f>
        <v/>
      </c>
      <c r="H297" s="1073" t="n">
        <v>24442.0145365666</v>
      </c>
      <c r="I297" s="2163" t="n">
        <v>1</v>
      </c>
      <c r="J297" s="2163" t="n">
        <v>24442.0145365666</v>
      </c>
      <c r="K297" s="2163" t="n"/>
    </row>
    <row r="298" outlineLevel="3" ht="15.75" customHeight="1">
      <c r="A298" s="10" t="n">
        <v>1</v>
      </c>
      <c r="B298" s="10" t="inlineStr">
        <is>
          <t>Insumo</t>
        </is>
      </c>
      <c r="C298" s="10" t="inlineStr">
        <is>
          <t xml:space="preserve">	Mobilização e desmobilização de equipamentos - Para execução de estaca hélice monitorada</t>
        </is>
      </c>
      <c r="D298" s="10" t="inlineStr">
        <is>
          <t xml:space="preserve">	Mobilização e desmobilização de equipamentos - Para execução de estaca hélice monitorada</t>
        </is>
      </c>
      <c r="E298" s="11">
        <f t="array" ref="E298">_xlfn.XLOOKUP(D298,Insumos!B:B,Insumos!C:$C)</f>
        <v/>
      </c>
      <c r="F298" s="14" t="n">
        <v>1</v>
      </c>
      <c r="G298" s="92">
        <f t="array" ref="G298">IF(B298="insumo",_xlfn.XLOOKUP($D298,Insumos!$B$1:$B$996,Insumos!$D$1:$D$996),"")</f>
        <v/>
      </c>
      <c r="H298" s="92" t="n">
        <v>24442.0145365666</v>
      </c>
      <c r="I298" s="2162" t="n">
        <v>1</v>
      </c>
      <c r="J298" s="2162" t="n">
        <v>24442.0145365666</v>
      </c>
      <c r="K298" s="2162" t="n"/>
    </row>
    <row r="299" outlineLevel="2" ht="15.75" customHeight="1">
      <c r="A299" s="1067" t="n">
        <v>1</v>
      </c>
      <c r="B299" s="1067" t="inlineStr">
        <is>
          <t>Serviço</t>
        </is>
      </c>
      <c r="C299" s="1067" t="inlineStr">
        <is>
          <t xml:space="preserve">	Mobilização e desmobilização de equipamentos - Para execução de estaca hélice</t>
        </is>
      </c>
      <c r="D299" s="1067" t="inlineStr">
        <is>
          <t xml:space="preserve">	Mobilização e desmobilização de equipamentos - Para execução de estaca hélice</t>
        </is>
      </c>
      <c r="E299" s="1068" t="inlineStr">
        <is>
          <t>VB</t>
        </is>
      </c>
      <c r="F299" s="1067" t="n"/>
      <c r="G299" s="1069">
        <f t="array" ref="G299">IF(B299="insumo",_xlfn.XLOOKUP($D299,Insumos!$B$1:$B$996,Insumos!$D$1:$D$996),"")</f>
        <v/>
      </c>
      <c r="H299" s="1069" t="n">
        <v>18500</v>
      </c>
      <c r="I299" s="2161" t="n">
        <v>0</v>
      </c>
      <c r="J299" s="2161" t="n">
        <v>0</v>
      </c>
      <c r="K299" s="2161" t="n"/>
    </row>
    <row r="300" outlineLevel="3" ht="15.75" customHeight="1">
      <c r="A300" s="10" t="n">
        <v>1</v>
      </c>
      <c r="B300" s="10" t="inlineStr">
        <is>
          <t>Insumo</t>
        </is>
      </c>
      <c r="C300" s="10" t="inlineStr">
        <is>
          <t xml:space="preserve">	Mobilização e desmobilização de equipamentos - Para execução de estaca hélice</t>
        </is>
      </c>
      <c r="D300" s="10" t="inlineStr">
        <is>
          <t xml:space="preserve">	Mobilização e desmobilização de equipamentos - Para execução de estaca hélice</t>
        </is>
      </c>
      <c r="E300" s="11">
        <f t="array" ref="E300">_xlfn.XLOOKUP(D300,Insumos!B:B,Insumos!C:$C)</f>
        <v/>
      </c>
      <c r="F300" s="14" t="n">
        <v>1</v>
      </c>
      <c r="G300" s="92">
        <f t="array" ref="G300">IF(B300="insumo",_xlfn.XLOOKUP($D300,Insumos!$B$1:$B$996,Insumos!$D$1:$D$996),"")</f>
        <v/>
      </c>
      <c r="H300" s="92" t="n">
        <v>18500</v>
      </c>
      <c r="I300" s="2162" t="n">
        <v>0</v>
      </c>
      <c r="J300" s="2162" t="n">
        <v>0</v>
      </c>
      <c r="K300" s="2162" t="n"/>
    </row>
    <row r="301" outlineLevel="2" ht="15.75" customHeight="1">
      <c r="A301" s="1067" t="n">
        <v>1</v>
      </c>
      <c r="B301" s="1067" t="inlineStr">
        <is>
          <t>Serviço</t>
        </is>
      </c>
      <c r="C301" s="1067" t="inlineStr">
        <is>
          <t xml:space="preserve">	Mobilização e desmobilização de equipamentos - Para execução de estaca Escavada</t>
        </is>
      </c>
      <c r="D301" s="1067" t="inlineStr">
        <is>
          <t xml:space="preserve">	Mobilização e desmobilização de equipamentos - Para execução de estaca Escavada</t>
        </is>
      </c>
      <c r="E301" s="1068" t="inlineStr">
        <is>
          <t>VB</t>
        </is>
      </c>
      <c r="F301" s="1067" t="n"/>
      <c r="G301" s="1069">
        <f t="array" ref="G301">IF(B301="insumo",_xlfn.XLOOKUP($D301,Insumos!$B$1:$B$996,Insumos!$D$1:$D$996),"")</f>
        <v/>
      </c>
      <c r="H301" s="1069" t="n">
        <v>26000</v>
      </c>
      <c r="I301" s="2161" t="n">
        <v>0</v>
      </c>
      <c r="J301" s="2161" t="n">
        <v>0</v>
      </c>
      <c r="K301" s="2161" t="n"/>
    </row>
    <row r="302" outlineLevel="3" ht="15.75" customHeight="1">
      <c r="A302" s="10" t="n">
        <v>1</v>
      </c>
      <c r="B302" s="10" t="inlineStr">
        <is>
          <t>Insumo</t>
        </is>
      </c>
      <c r="C302" s="10" t="inlineStr">
        <is>
          <t xml:space="preserve">	Mobilização e desmobilização de equipamentos - Para execução de estaca Escavada</t>
        </is>
      </c>
      <c r="D302" s="10" t="inlineStr">
        <is>
          <t xml:space="preserve">	Mobilização e desmobilização de equipamentos - Para execução de estaca Escavada</t>
        </is>
      </c>
      <c r="E302" s="11">
        <f t="array" ref="E302">_xlfn.XLOOKUP(D302,Insumos!B:B,Insumos!C:$C)</f>
        <v/>
      </c>
      <c r="F302" s="14" t="n">
        <v>1</v>
      </c>
      <c r="G302" s="92">
        <f t="array" ref="G302">IF(B302="insumo",_xlfn.XLOOKUP($D302,Insumos!$B$1:$B$996,Insumos!$D$1:$D$996),"")</f>
        <v/>
      </c>
      <c r="H302" s="92" t="n">
        <v>26000</v>
      </c>
      <c r="I302" s="2162" t="n">
        <v>0</v>
      </c>
      <c r="J302" s="2162" t="n">
        <v>0</v>
      </c>
      <c r="K302" s="2162" t="n"/>
    </row>
    <row r="303" outlineLevel="1" ht="15.75" customHeight="1">
      <c r="A303" s="1090" t="n">
        <v>4</v>
      </c>
      <c r="B303" s="1090" t="inlineStr">
        <is>
          <t>Subetapa</t>
        </is>
      </c>
      <c r="C303" s="1090" t="inlineStr">
        <is>
          <t xml:space="preserve">	Mobilização e desmobilização de equipamentos - Para execução de estaca Escavada</t>
        </is>
      </c>
      <c r="D303" s="1090" t="inlineStr">
        <is>
          <t>ARMADURA</t>
        </is>
      </c>
      <c r="E303" s="1091" t="n"/>
      <c r="F303" s="2160" t="n"/>
      <c r="G303" s="1091" t="n"/>
      <c r="H303" s="1091" t="n">
        <v>0</v>
      </c>
      <c r="I303" s="2160" t="n">
        <v>0</v>
      </c>
      <c r="J303" s="2160" t="n">
        <v>0</v>
      </c>
      <c r="K303" s="2160" t="n"/>
    </row>
    <row r="304" outlineLevel="2" ht="15.75" customHeight="1">
      <c r="A304" s="1067" t="n">
        <v>1</v>
      </c>
      <c r="B304" s="1067" t="inlineStr">
        <is>
          <t>Serviço</t>
        </is>
      </c>
      <c r="C304" s="1067" t="inlineStr">
        <is>
          <t>Armação Pronta para estaca Ø 50cm (5F 16,0 4MTS ESP75 PS20)</t>
        </is>
      </c>
      <c r="D304" s="1067" t="inlineStr">
        <is>
          <t>Armação Pronta para estaca Ø 50cm (5F 16,0 4MTS ESP75 PS20)</t>
        </is>
      </c>
      <c r="E304" s="1068" t="inlineStr">
        <is>
          <t>UN</t>
        </is>
      </c>
      <c r="F304" s="1067" t="n"/>
      <c r="G304" s="1069">
        <f t="array" ref="G304">IF(B304="insumo",_xlfn.XLOOKUP($D304,Insumos!$B$1:$B$996,Insumos!$D$1:$D$996),"")</f>
        <v/>
      </c>
      <c r="H304" s="1069" t="n">
        <v>302.922</v>
      </c>
      <c r="I304" s="2161" t="n">
        <v>0</v>
      </c>
      <c r="J304" s="2161" t="n">
        <v>0</v>
      </c>
      <c r="K304" s="2161" t="n"/>
    </row>
    <row r="305" outlineLevel="3" ht="15.75" customHeight="1">
      <c r="A305" s="10" t="n">
        <v>1</v>
      </c>
      <c r="B305" s="10" t="inlineStr">
        <is>
          <t>Insumo</t>
        </is>
      </c>
      <c r="C305" s="10" t="inlineStr">
        <is>
          <t>Armação Pronta para estaca Ø 50cm (5F 16,0 4MTS ESP75 PS20)</t>
        </is>
      </c>
      <c r="D305" s="10" t="inlineStr">
        <is>
          <t>CORTE E DOBRA ARMADO ESTACA Ø50CM 5F 16,0 4MTS ESP75 PS20</t>
        </is>
      </c>
      <c r="E305" s="11">
        <f t="array" ref="E305">_xlfn.XLOOKUP(D305,Insumos!B:B,Insumos!C:$C)</f>
        <v/>
      </c>
      <c r="F305" s="14" t="n">
        <v>1</v>
      </c>
      <c r="G305" s="92">
        <f t="array" ref="G305">IF(B305="insumo",_xlfn.XLOOKUP($D305,Insumos!$B$1:$B$996,Insumos!$D$1:$D$996),"")</f>
        <v/>
      </c>
      <c r="H305" s="92" t="n">
        <v>302.922</v>
      </c>
      <c r="I305" s="2162" t="n">
        <v>0</v>
      </c>
      <c r="J305" s="2162" t="n">
        <v>0</v>
      </c>
      <c r="K305" s="2162" t="n"/>
    </row>
    <row r="306" outlineLevel="2" ht="15.75" customHeight="1">
      <c r="A306" s="1067" t="n">
        <v>1</v>
      </c>
      <c r="B306" s="1067" t="inlineStr">
        <is>
          <t>Serviço</t>
        </is>
      </c>
      <c r="C306" s="1067" t="inlineStr">
        <is>
          <t>Armação Pronta para estaca Ø 60cm (5F 20,0 4MTS ESP75 PS20)</t>
        </is>
      </c>
      <c r="D306" s="1067" t="inlineStr">
        <is>
          <t>Armação Pronta para estaca Ø 60cm (5F 20,0 4MTS ESP75 PS20)</t>
        </is>
      </c>
      <c r="E306" s="1068" t="inlineStr">
        <is>
          <t>UN</t>
        </is>
      </c>
      <c r="F306" s="1067" t="n"/>
      <c r="G306" s="1069">
        <f t="array" ref="G306">IF(B306="insumo",_xlfn.XLOOKUP($D306,Insumos!$B$1:$B$996,Insumos!$D$1:$D$996),"")</f>
        <v/>
      </c>
      <c r="H306" s="1069" t="n">
        <v>466.337</v>
      </c>
      <c r="I306" s="2161" t="n">
        <v>0</v>
      </c>
      <c r="J306" s="2161" t="n">
        <v>0</v>
      </c>
      <c r="K306" s="2161" t="n"/>
    </row>
    <row r="307" outlineLevel="3" ht="15.75" customHeight="1">
      <c r="A307" s="10" t="n">
        <v>1</v>
      </c>
      <c r="B307" s="10" t="inlineStr">
        <is>
          <t>Insumo</t>
        </is>
      </c>
      <c r="C307" s="10" t="inlineStr">
        <is>
          <t>Armação Pronta para estaca Ø 60cm (5F 20,0 4MTS ESP75 PS20)</t>
        </is>
      </c>
      <c r="D307" s="10" t="inlineStr">
        <is>
          <t>CORTE E DOBRA ARMADO ESTACA Ø60CM 5F 20,0 4MTS ESP75 PS20</t>
        </is>
      </c>
      <c r="E307" s="11">
        <f t="array" ref="E307">_xlfn.XLOOKUP(D307,Insumos!B:B,Insumos!C:$C)</f>
        <v/>
      </c>
      <c r="F307" s="14" t="n">
        <v>1</v>
      </c>
      <c r="G307" s="92">
        <f t="array" ref="G307">IF(B307="insumo",_xlfn.XLOOKUP($D307,Insumos!$B$1:$B$996,Insumos!$D$1:$D$996),"")</f>
        <v/>
      </c>
      <c r="H307" s="92" t="n">
        <v>466.337</v>
      </c>
      <c r="I307" s="2162" t="n">
        <v>0</v>
      </c>
      <c r="J307" s="2162" t="n">
        <v>0</v>
      </c>
      <c r="K307" s="2162" t="n"/>
    </row>
    <row r="308" outlineLevel="2" ht="15.75" customHeight="1">
      <c r="A308" s="1067" t="n">
        <v>1</v>
      </c>
      <c r="B308" s="1067" t="inlineStr">
        <is>
          <t>Serviço</t>
        </is>
      </c>
      <c r="C308" s="1067" t="inlineStr">
        <is>
          <t>Armação Pronta para estaca Ø 60cm (7F 20,0 6MTS ESP75 PS20)</t>
        </is>
      </c>
      <c r="D308" s="1067" t="inlineStr">
        <is>
          <t>Armação Pronta para estaca Ø 60cm (7F 20,0 6MTS ESP75 PS20)</t>
        </is>
      </c>
      <c r="E308" s="1068" t="inlineStr">
        <is>
          <t>UN</t>
        </is>
      </c>
      <c r="F308" s="1067" t="n"/>
      <c r="G308" s="1069">
        <f t="array" ref="G308">IF(B308="insumo",_xlfn.XLOOKUP($D308,Insumos!$B$1:$B$996,Insumos!$D$1:$D$996),"")</f>
        <v/>
      </c>
      <c r="H308" s="1069" t="n">
        <v>937.639</v>
      </c>
      <c r="I308" s="2161" t="n">
        <v>0</v>
      </c>
      <c r="J308" s="2161" t="n">
        <v>0</v>
      </c>
      <c r="K308" s="2161" t="n"/>
    </row>
    <row r="309" outlineLevel="3" ht="15.75" customHeight="1">
      <c r="A309" s="10" t="n">
        <v>1</v>
      </c>
      <c r="B309" s="10" t="inlineStr">
        <is>
          <t>Insumo</t>
        </is>
      </c>
      <c r="C309" s="10" t="inlineStr">
        <is>
          <t>Armação Pronta para estaca Ø 60cm (7F 20,0 6MTS ESP75 PS20)</t>
        </is>
      </c>
      <c r="D309" s="10" t="inlineStr">
        <is>
          <t>CORTE E DOBRA ARMADO ESTACA Ø60CM 7F 20,0 6MTS ESP75 PS20</t>
        </is>
      </c>
      <c r="E309" s="11">
        <f t="array" ref="E309">_xlfn.XLOOKUP(D309,Insumos!B:B,Insumos!C:$C)</f>
        <v/>
      </c>
      <c r="F309" s="14" t="n">
        <v>1</v>
      </c>
      <c r="G309" s="92">
        <f t="array" ref="G309">IF(B309="insumo",_xlfn.XLOOKUP($D309,Insumos!$B$1:$B$996,Insumos!$D$1:$D$996),"")</f>
        <v/>
      </c>
      <c r="H309" s="92" t="n">
        <v>937.639</v>
      </c>
      <c r="I309" s="2162" t="n">
        <v>0</v>
      </c>
      <c r="J309" s="2162" t="n">
        <v>0</v>
      </c>
      <c r="K309" s="2162" t="n"/>
    </row>
    <row r="310" outlineLevel="2" ht="15.75" customHeight="1">
      <c r="A310" s="1067" t="n">
        <v>1</v>
      </c>
      <c r="B310" s="1067" t="inlineStr">
        <is>
          <t>Serviço</t>
        </is>
      </c>
      <c r="C310" s="1067" t="inlineStr">
        <is>
          <t>Armação Pronta para estaca Ø 60cm (9F 20,0 8MTS ESP75 PS20)</t>
        </is>
      </c>
      <c r="D310" s="1067" t="inlineStr">
        <is>
          <t>Armação Pronta para estaca Ø 60cm (9F 20,0 8MTS ESP75 PS20)</t>
        </is>
      </c>
      <c r="E310" s="1068" t="inlineStr">
        <is>
          <t>UN</t>
        </is>
      </c>
      <c r="F310" s="1067" t="n"/>
      <c r="G310" s="1069">
        <f t="array" ref="G310">IF(B310="insumo",_xlfn.XLOOKUP($D310,Insumos!$B$1:$B$996,Insumos!$D$1:$D$996),"")</f>
        <v/>
      </c>
      <c r="H310" s="1069" t="n">
        <v>1609.666</v>
      </c>
      <c r="I310" s="2161" t="n">
        <v>0</v>
      </c>
      <c r="J310" s="2161" t="n">
        <v>0</v>
      </c>
      <c r="K310" s="2161" t="n"/>
    </row>
    <row r="311" outlineLevel="3" ht="15.75" customHeight="1">
      <c r="A311" s="10" t="n">
        <v>1</v>
      </c>
      <c r="B311" s="10" t="inlineStr">
        <is>
          <t>Insumo</t>
        </is>
      </c>
      <c r="C311" s="10" t="inlineStr">
        <is>
          <t>Armação Pronta para estaca Ø 60cm (9F 20,0 8MTS ESP75 PS20)</t>
        </is>
      </c>
      <c r="D311" s="10" t="inlineStr">
        <is>
          <t>CORTE E DOBRA ARMADO ESTACA Ø60CM 9F 20,0 8MTS ESP75 PS20</t>
        </is>
      </c>
      <c r="E311" s="11">
        <f t="array" ref="E311">_xlfn.XLOOKUP(D311,Insumos!B:B,Insumos!C:$C)</f>
        <v/>
      </c>
      <c r="F311" s="14" t="n">
        <v>1</v>
      </c>
      <c r="G311" s="92">
        <f t="array" ref="G311">IF(B311="insumo",_xlfn.XLOOKUP($D311,Insumos!$B$1:$B$996,Insumos!$D$1:$D$996),"")</f>
        <v/>
      </c>
      <c r="H311" s="92" t="n">
        <v>1609.666</v>
      </c>
      <c r="I311" s="2162" t="n">
        <v>0</v>
      </c>
      <c r="J311" s="2162" t="n">
        <v>0</v>
      </c>
      <c r="K311" s="2162" t="n"/>
    </row>
    <row r="312" outlineLevel="2" ht="15.75" customHeight="1">
      <c r="A312" s="1067" t="n">
        <v>1</v>
      </c>
      <c r="B312" s="1067" t="inlineStr">
        <is>
          <t>Serviço</t>
        </is>
      </c>
      <c r="C312" s="1067" t="inlineStr">
        <is>
          <t>Armação aço CA-50 ø 6,3mm para estaca (corte e dobra em indústria)</t>
        </is>
      </c>
      <c r="D312" s="1067" t="inlineStr">
        <is>
          <t>Armação aço CA-50 ø 6,3mm para estaca (corte e dobra em indústria)</t>
        </is>
      </c>
      <c r="E312" s="1068" t="inlineStr">
        <is>
          <t>KG</t>
        </is>
      </c>
      <c r="F312" s="1067" t="n"/>
      <c r="G312" s="1069">
        <f t="array" ref="G312">IF(B312="insumo",_xlfn.XLOOKUP($D312,Insumos!$B$1:$B$996,Insumos!$D$1:$D$996),"")</f>
        <v/>
      </c>
      <c r="H312" s="1069" t="n">
        <v>8.964145</v>
      </c>
      <c r="I312" s="2161" t="n">
        <v>3495</v>
      </c>
      <c r="J312" s="2161" t="n">
        <v>31329.686775</v>
      </c>
      <c r="K312" s="2161" t="n"/>
    </row>
    <row r="313" outlineLevel="3" ht="15.75" customHeight="1">
      <c r="A313" s="10" t="n">
        <v>4</v>
      </c>
      <c r="B313" s="10" t="inlineStr">
        <is>
          <t>Insumo</t>
        </is>
      </c>
      <c r="C313" s="10" t="inlineStr">
        <is>
          <t>Armação aço CA-50 ø 6,3mm para estaca (corte e dobra em indústria)</t>
        </is>
      </c>
      <c r="D313" s="10" t="inlineStr">
        <is>
          <t>Aço CA50 6,3 mm Corte e Dobra em Indústria</t>
        </is>
      </c>
      <c r="E313" s="11">
        <f t="array" ref="E313">_xlfn.XLOOKUP(D313,Insumos!B:B,Insumos!C:$C)</f>
        <v/>
      </c>
      <c r="F313" s="14" t="n">
        <v>1</v>
      </c>
      <c r="G313" s="92">
        <f t="array" ref="G313">IF(B313="insumo",_xlfn.XLOOKUP($D313,Insumos!$B$1:$B$996,Insumos!$D$1:$D$996),"")</f>
        <v/>
      </c>
      <c r="H313" s="92" t="n">
        <v>8.67</v>
      </c>
      <c r="I313" s="2162" t="n">
        <v>3495</v>
      </c>
      <c r="J313" s="2162" t="n">
        <v>30301.65</v>
      </c>
      <c r="K313" s="2162" t="n"/>
    </row>
    <row r="314" outlineLevel="3" ht="15.75" customHeight="1">
      <c r="A314" s="10" t="n">
        <v>41</v>
      </c>
      <c r="B314" s="10" t="inlineStr">
        <is>
          <t>Insumo</t>
        </is>
      </c>
      <c r="C314" s="10" t="inlineStr">
        <is>
          <t>Armação aço CA-50 ø 6,3mm para estaca (corte e dobra em indústria)</t>
        </is>
      </c>
      <c r="D314" s="10" t="inlineStr">
        <is>
          <t xml:space="preserve">Arame Galvanizado </t>
        </is>
      </c>
      <c r="E314" s="11">
        <f t="array" ref="E314">_xlfn.XLOOKUP(D314,Insumos!B:B,Insumos!C:$C)</f>
        <v/>
      </c>
      <c r="F314" s="14" t="n">
        <v>0.0205</v>
      </c>
      <c r="G314" s="92">
        <f t="array" ref="G314">IF(B314="insumo",_xlfn.XLOOKUP($D314,Insumos!$B$1:$B$996,Insumos!$D$1:$D$996),"")</f>
        <v/>
      </c>
      <c r="H314" s="92" t="n">
        <v>0.280645</v>
      </c>
      <c r="I314" s="2162" t="n">
        <v>3495</v>
      </c>
      <c r="J314" s="2162" t="n">
        <v>980.854275</v>
      </c>
      <c r="K314" s="2162" t="n"/>
    </row>
    <row r="315" outlineLevel="3" ht="15.75" customHeight="1">
      <c r="A315" s="10" t="n">
        <v>62</v>
      </c>
      <c r="B315" s="10" t="inlineStr">
        <is>
          <t>Insumo</t>
        </is>
      </c>
      <c r="C315" s="10" t="inlineStr">
        <is>
          <t>Armação aço CA-50 ø 6,3mm para estaca (corte e dobra em indústria)</t>
        </is>
      </c>
      <c r="D315" s="10" t="inlineStr">
        <is>
          <t>Espaçador para armadura</t>
        </is>
      </c>
      <c r="E315" s="11">
        <f t="array" ref="E315">_xlfn.XLOOKUP(D315,Insumos!B:B,Insumos!C:$C)</f>
        <v/>
      </c>
      <c r="F315" s="14" t="n">
        <v>0.05</v>
      </c>
      <c r="G315" s="92">
        <f t="array" ref="G315">IF(B315="insumo",_xlfn.XLOOKUP($D315,Insumos!$B$1:$B$996,Insumos!$D$1:$D$996),"")</f>
        <v/>
      </c>
      <c r="H315" s="92" t="n">
        <v>0.0135</v>
      </c>
      <c r="I315" s="2162" t="n">
        <v>3495</v>
      </c>
      <c r="J315" s="2162" t="n">
        <v>47.1825</v>
      </c>
      <c r="K315" s="2162" t="n"/>
    </row>
    <row r="316" outlineLevel="2" ht="15.75" customHeight="1">
      <c r="A316" s="1067" t="n">
        <v>1</v>
      </c>
      <c r="B316" s="1067" t="inlineStr">
        <is>
          <t>Serviço</t>
        </is>
      </c>
      <c r="C316" s="1067" t="inlineStr">
        <is>
          <t>Armação aço CA-50 ø 20,0mm para estaca (corte e dobra em indústria)</t>
        </is>
      </c>
      <c r="D316" s="1067" t="inlineStr">
        <is>
          <t>Armação aço CA-50 ø 20,0mm para estaca (corte e dobra em indústria)</t>
        </is>
      </c>
      <c r="E316" s="1068" t="inlineStr">
        <is>
          <t>KG</t>
        </is>
      </c>
      <c r="F316" s="1067" t="n"/>
      <c r="G316" s="1069">
        <f t="array" ref="G316">IF(B316="insumo",_xlfn.XLOOKUP($D316,Insumos!$B$1:$B$996,Insumos!$D$1:$D$996),"")</f>
        <v/>
      </c>
      <c r="H316" s="1069" t="n">
        <v>8.484145</v>
      </c>
      <c r="I316" s="2161" t="n">
        <v>31530</v>
      </c>
      <c r="J316" s="2161" t="n">
        <v>267505.09185</v>
      </c>
      <c r="K316" s="2161" t="n"/>
    </row>
    <row r="317" outlineLevel="3" ht="15.75" customHeight="1">
      <c r="A317" s="10" t="n">
        <v>4</v>
      </c>
      <c r="B317" s="10" t="inlineStr">
        <is>
          <t>Insumo</t>
        </is>
      </c>
      <c r="C317" s="10" t="inlineStr">
        <is>
          <t>Armação aço CA-50 ø 20,0mm para estaca (corte e dobra em indústria)</t>
        </is>
      </c>
      <c r="D317" s="10" t="inlineStr">
        <is>
          <t>Aço CA50 20,0 mm Corte e Dobra em Indústria</t>
        </is>
      </c>
      <c r="E317" s="11">
        <f t="array" ref="E317">_xlfn.XLOOKUP(D317,Insumos!B:B,Insumos!C:$C)</f>
        <v/>
      </c>
      <c r="F317" s="14" t="n">
        <v>1</v>
      </c>
      <c r="G317" s="92">
        <f t="array" ref="G317">IF(B317="insumo",_xlfn.XLOOKUP($D317,Insumos!$B$1:$B$996,Insumos!$D$1:$D$996),"")</f>
        <v/>
      </c>
      <c r="H317" s="92" t="n">
        <v>8.19</v>
      </c>
      <c r="I317" s="2162" t="n">
        <v>31530</v>
      </c>
      <c r="J317" s="2162" t="n">
        <v>258230.7</v>
      </c>
      <c r="K317" s="2162" t="n"/>
    </row>
    <row r="318" outlineLevel="3" ht="15.75" customHeight="1">
      <c r="A318" s="10" t="n">
        <v>41</v>
      </c>
      <c r="B318" s="10" t="inlineStr">
        <is>
          <t>Insumo</t>
        </is>
      </c>
      <c r="C318" s="10" t="inlineStr">
        <is>
          <t>Armação aço CA-50 ø 20,0mm para estaca (corte e dobra em indústria)</t>
        </is>
      </c>
      <c r="D318" s="10" t="inlineStr">
        <is>
          <t xml:space="preserve">Arame Galvanizado </t>
        </is>
      </c>
      <c r="E318" s="11">
        <f t="array" ref="E318">_xlfn.XLOOKUP(D318,Insumos!B:B,Insumos!C:$C)</f>
        <v/>
      </c>
      <c r="F318" s="14" t="n">
        <v>0.0205</v>
      </c>
      <c r="G318" s="92">
        <f t="array" ref="G318">IF(B318="insumo",_xlfn.XLOOKUP($D318,Insumos!$B$1:$B$996,Insumos!$D$1:$D$996),"")</f>
        <v/>
      </c>
      <c r="H318" s="92" t="n">
        <v>0.280645</v>
      </c>
      <c r="I318" s="2162" t="n">
        <v>31530</v>
      </c>
      <c r="J318" s="2162" t="n">
        <v>8848.736849999999</v>
      </c>
      <c r="K318" s="2162" t="n"/>
    </row>
    <row r="319" outlineLevel="3" ht="15.75" customHeight="1">
      <c r="A319" s="10" t="n">
        <v>62</v>
      </c>
      <c r="B319" s="10" t="inlineStr">
        <is>
          <t>Insumo</t>
        </is>
      </c>
      <c r="C319" s="10" t="inlineStr">
        <is>
          <t>Armação aço CA-50 ø 20,0mm para estaca (corte e dobra em indústria)</t>
        </is>
      </c>
      <c r="D319" s="10" t="inlineStr">
        <is>
          <t>Espaçador para armadura</t>
        </is>
      </c>
      <c r="E319" s="11">
        <f t="array" ref="E319">_xlfn.XLOOKUP(D319,Insumos!B:B,Insumos!C:$C)</f>
        <v/>
      </c>
      <c r="F319" s="14" t="n">
        <v>0.05</v>
      </c>
      <c r="G319" s="92">
        <f t="array" ref="G319">IF(B319="insumo",_xlfn.XLOOKUP($D319,Insumos!$B$1:$B$996,Insumos!$D$1:$D$996),"")</f>
        <v/>
      </c>
      <c r="H319" s="92" t="n">
        <v>0.0135</v>
      </c>
      <c r="I319" s="2162" t="n">
        <v>31530</v>
      </c>
      <c r="J319" s="2162" t="n">
        <v>425.655</v>
      </c>
      <c r="K319" s="2162" t="n"/>
    </row>
    <row r="320" outlineLevel="2" ht="15.75" customHeight="1">
      <c r="A320" s="1067" t="n">
        <v>1</v>
      </c>
      <c r="B320" s="1067" t="inlineStr">
        <is>
          <t>Serviço</t>
        </is>
      </c>
      <c r="C320" s="1067" t="inlineStr">
        <is>
          <t>Armação aço CA-50 ø 6,3mm para estaca (corte e dobra em obra)</t>
        </is>
      </c>
      <c r="D320" s="1067" t="inlineStr">
        <is>
          <t>Armação aço CA-50 ø 6,3mm para estaca (corte e dobra em obra)</t>
        </is>
      </c>
      <c r="E320" s="1068" t="inlineStr">
        <is>
          <t>KG</t>
        </is>
      </c>
      <c r="F320" s="1067" t="n"/>
      <c r="G320" s="1069">
        <f t="array" ref="G320">IF(B320="insumo",_xlfn.XLOOKUP($D320,Insumos!$B$1:$B$996,Insumos!$D$1:$D$996),"")</f>
        <v/>
      </c>
      <c r="H320" s="1069" t="n">
        <v>6.0795673937957</v>
      </c>
      <c r="I320" s="2161" t="n">
        <v>0</v>
      </c>
      <c r="J320" s="2161" t="n">
        <v>0</v>
      </c>
      <c r="K320" s="2161" t="n"/>
    </row>
    <row r="321" outlineLevel="3" ht="15.75" customHeight="1">
      <c r="A321" s="10" t="n">
        <v>4</v>
      </c>
      <c r="B321" s="10" t="inlineStr">
        <is>
          <t>Insumo</t>
        </is>
      </c>
      <c r="C321" s="10" t="inlineStr">
        <is>
          <t>Armação aço CA-50 ø 6,3mm para estaca (corte e dobra em obra)</t>
        </is>
      </c>
      <c r="D321" s="10" t="inlineStr">
        <is>
          <t>Aço CA50 6,3 mm</t>
        </is>
      </c>
      <c r="E321" s="11">
        <f t="array" ref="E321">_xlfn.XLOOKUP(D321,Insumos!B:B,Insumos!C:$C)</f>
        <v/>
      </c>
      <c r="F321" s="14" t="n">
        <v>1.1</v>
      </c>
      <c r="G321" s="92">
        <f t="array" ref="G321">IF(B321="insumo",_xlfn.XLOOKUP($D321,Insumos!$B$1:$B$996,Insumos!$D$1:$D$996),"")</f>
        <v/>
      </c>
      <c r="H321" s="92" t="n">
        <v>5.7854223937957</v>
      </c>
      <c r="I321" s="2162" t="n">
        <v>0</v>
      </c>
      <c r="J321" s="2162" t="n">
        <v>0</v>
      </c>
      <c r="K321" s="2162" t="n"/>
    </row>
    <row r="322" outlineLevel="3" ht="15.75" customHeight="1">
      <c r="A322" s="10" t="n">
        <v>41</v>
      </c>
      <c r="B322" s="10" t="inlineStr">
        <is>
          <t>Insumo</t>
        </is>
      </c>
      <c r="C322" s="10" t="inlineStr">
        <is>
          <t>Armação aço CA-50 ø 6,3mm para estaca (corte e dobra em obra)</t>
        </is>
      </c>
      <c r="D322" s="10" t="inlineStr">
        <is>
          <t xml:space="preserve">Arame Galvanizado </t>
        </is>
      </c>
      <c r="E322" s="11">
        <f t="array" ref="E322">_xlfn.XLOOKUP(D322,Insumos!B:B,Insumos!C:$C)</f>
        <v/>
      </c>
      <c r="F322" s="14" t="n">
        <v>0.0205</v>
      </c>
      <c r="G322" s="92">
        <f t="array" ref="G322">IF(B322="insumo",_xlfn.XLOOKUP($D322,Insumos!$B$1:$B$996,Insumos!$D$1:$D$996),"")</f>
        <v/>
      </c>
      <c r="H322" s="92" t="n">
        <v>0.280645</v>
      </c>
      <c r="I322" s="2162" t="n">
        <v>0</v>
      </c>
      <c r="J322" s="2162" t="n">
        <v>0</v>
      </c>
      <c r="K322" s="2162" t="n"/>
    </row>
    <row r="323" outlineLevel="3" ht="15.75" customHeight="1">
      <c r="A323" s="10" t="n">
        <v>62</v>
      </c>
      <c r="B323" s="10" t="inlineStr">
        <is>
          <t>Insumo</t>
        </is>
      </c>
      <c r="C323" s="10" t="inlineStr">
        <is>
          <t>Armação aço CA-50 ø 6,3mm para estaca (corte e dobra em obra)</t>
        </is>
      </c>
      <c r="D323" s="10" t="inlineStr">
        <is>
          <t>Espaçador para armadura</t>
        </is>
      </c>
      <c r="E323" s="11">
        <f t="array" ref="E323">_xlfn.XLOOKUP(D323,Insumos!B:B,Insumos!C:$C)</f>
        <v/>
      </c>
      <c r="F323" s="14" t="n">
        <v>0.05</v>
      </c>
      <c r="G323" s="92">
        <f t="array" ref="G323">IF(B323="insumo",_xlfn.XLOOKUP($D323,Insumos!$B$1:$B$996,Insumos!$D$1:$D$996),"")</f>
        <v/>
      </c>
      <c r="H323" s="92" t="n">
        <v>0.0135</v>
      </c>
      <c r="I323" s="2162" t="n">
        <v>0</v>
      </c>
      <c r="J323" s="2162" t="n">
        <v>0</v>
      </c>
      <c r="K323" s="2162" t="n"/>
    </row>
    <row r="324" outlineLevel="2" ht="15.75" customHeight="1">
      <c r="A324" s="1067" t="n">
        <v>1</v>
      </c>
      <c r="B324" s="1067" t="inlineStr">
        <is>
          <t>Serviço</t>
        </is>
      </c>
      <c r="C324" s="1067" t="inlineStr">
        <is>
          <t>Armação aço CA-50 ø 8,0mm para estaca (corte e dobra em obra)</t>
        </is>
      </c>
      <c r="D324" s="1067" t="inlineStr">
        <is>
          <t>Armação aço CA-50 ø 8,0mm para estaca (corte e dobra em obra)</t>
        </is>
      </c>
      <c r="E324" s="1068" t="inlineStr">
        <is>
          <t>KG</t>
        </is>
      </c>
      <c r="F324" s="1067" t="n"/>
      <c r="G324" s="1069">
        <f t="array" ref="G324">IF(B324="insumo",_xlfn.XLOOKUP($D324,Insumos!$B$1:$B$996,Insumos!$D$1:$D$996),"")</f>
        <v/>
      </c>
      <c r="H324" s="1069" t="n">
        <v>5.71148765890462</v>
      </c>
      <c r="I324" s="2161" t="n">
        <v>0</v>
      </c>
      <c r="J324" s="2161" t="n">
        <v>0</v>
      </c>
      <c r="K324" s="2161" t="n"/>
    </row>
    <row r="325" outlineLevel="3" ht="15.75" customHeight="1">
      <c r="A325" s="10" t="n">
        <v>5</v>
      </c>
      <c r="B325" s="10" t="inlineStr">
        <is>
          <t>Insumo</t>
        </is>
      </c>
      <c r="C325" s="10" t="inlineStr">
        <is>
          <t>Armação aço CA-50 ø 8,0mm para estaca (corte e dobra em obra)</t>
        </is>
      </c>
      <c r="D325" s="10" t="inlineStr">
        <is>
          <t>Aço CA50 8,0 mm</t>
        </is>
      </c>
      <c r="E325" s="11">
        <f t="array" ref="E325">_xlfn.XLOOKUP(D325,Insumos!B:B,Insumos!C:$C)</f>
        <v/>
      </c>
      <c r="F325" s="14" t="n">
        <v>1.1</v>
      </c>
      <c r="G325" s="92">
        <f t="array" ref="G325">IF(B325="insumo",_xlfn.XLOOKUP($D325,Insumos!$B$1:$B$996,Insumos!$D$1:$D$996),"")</f>
        <v/>
      </c>
      <c r="H325" s="92" t="n">
        <v>5.41734265890462</v>
      </c>
      <c r="I325" s="2162" t="n">
        <v>0</v>
      </c>
      <c r="J325" s="2162" t="n">
        <v>0</v>
      </c>
      <c r="K325" s="2162" t="n"/>
    </row>
    <row r="326" outlineLevel="3" ht="15.75" customHeight="1">
      <c r="A326" s="10" t="n">
        <v>41</v>
      </c>
      <c r="B326" s="10" t="inlineStr">
        <is>
          <t>Insumo</t>
        </is>
      </c>
      <c r="C326" s="10" t="inlineStr">
        <is>
          <t>Armação aço CA-50 ø 8,0mm para estaca (corte e dobra em obra)</t>
        </is>
      </c>
      <c r="D326" s="10" t="inlineStr">
        <is>
          <t xml:space="preserve">Arame Galvanizado </t>
        </is>
      </c>
      <c r="E326" s="11">
        <f t="array" ref="E326">_xlfn.XLOOKUP(D326,Insumos!B:B,Insumos!C:$C)</f>
        <v/>
      </c>
      <c r="F326" s="14" t="n">
        <v>0.0205</v>
      </c>
      <c r="G326" s="92">
        <f t="array" ref="G326">IF(B326="insumo",_xlfn.XLOOKUP($D326,Insumos!$B$1:$B$996,Insumos!$D$1:$D$996),"")</f>
        <v/>
      </c>
      <c r="H326" s="92" t="n">
        <v>0.280645</v>
      </c>
      <c r="I326" s="2162" t="n">
        <v>0</v>
      </c>
      <c r="J326" s="2162" t="n">
        <v>0</v>
      </c>
      <c r="K326" s="2162" t="n"/>
    </row>
    <row r="327" outlineLevel="3" ht="15.75" customHeight="1">
      <c r="A327" s="10" t="n">
        <v>62</v>
      </c>
      <c r="B327" s="10" t="inlineStr">
        <is>
          <t>Insumo</t>
        </is>
      </c>
      <c r="C327" s="10" t="inlineStr">
        <is>
          <t>Armação aço CA-50 ø 8,0mm para estaca (corte e dobra em obra)</t>
        </is>
      </c>
      <c r="D327" s="10" t="inlineStr">
        <is>
          <t>Espaçador para armadura</t>
        </is>
      </c>
      <c r="E327" s="11">
        <f t="array" ref="E327">_xlfn.XLOOKUP(D327,Insumos!B:B,Insumos!C:$C)</f>
        <v/>
      </c>
      <c r="F327" s="14" t="n">
        <v>0.05</v>
      </c>
      <c r="G327" s="92">
        <f t="array" ref="G327">IF(B327="insumo",_xlfn.XLOOKUP($D327,Insumos!$B$1:$B$996,Insumos!$D$1:$D$996),"")</f>
        <v/>
      </c>
      <c r="H327" s="92" t="n">
        <v>0.0135</v>
      </c>
      <c r="I327" s="2162" t="n">
        <v>0</v>
      </c>
      <c r="J327" s="2162" t="n">
        <v>0</v>
      </c>
      <c r="K327" s="2162" t="n"/>
    </row>
    <row r="328" outlineLevel="2" ht="15.75" customHeight="1">
      <c r="A328" s="1067" t="n">
        <v>1</v>
      </c>
      <c r="B328" s="1067" t="inlineStr">
        <is>
          <t>Serviço</t>
        </is>
      </c>
      <c r="C328" s="1067" t="inlineStr">
        <is>
          <t>Armação aço CA-50 ø 10,0mm para estaca (corte e dobra em obra)</t>
        </is>
      </c>
      <c r="D328" s="1067" t="inlineStr">
        <is>
          <t>Armação aço CA-50 ø 10,0mm para estaca (corte e dobra em obra)</t>
        </is>
      </c>
      <c r="E328" s="1068" t="inlineStr">
        <is>
          <t>KG</t>
        </is>
      </c>
      <c r="F328" s="1067" t="n"/>
      <c r="G328" s="1069">
        <f t="array" ref="G328">IF(B328="insumo",_xlfn.XLOOKUP($D328,Insumos!$B$1:$B$996,Insumos!$D$1:$D$996),"")</f>
        <v/>
      </c>
      <c r="H328" s="1069" t="n">
        <v>5.57489771932025</v>
      </c>
      <c r="I328" s="2161" t="n">
        <v>0</v>
      </c>
      <c r="J328" s="2161" t="n">
        <v>0</v>
      </c>
      <c r="K328" s="2161" t="n"/>
    </row>
    <row r="329" outlineLevel="3" ht="15.75" customHeight="1">
      <c r="A329" s="10" t="n">
        <v>4</v>
      </c>
      <c r="B329" s="10" t="inlineStr">
        <is>
          <t>Insumo</t>
        </is>
      </c>
      <c r="C329" s="10" t="inlineStr">
        <is>
          <t>Armação aço CA-50 ø 10,0mm para estaca (corte e dobra em obra)</t>
        </is>
      </c>
      <c r="D329" s="10" t="inlineStr">
        <is>
          <t>Aço CA50 10,0 mm</t>
        </is>
      </c>
      <c r="E329" s="11">
        <f t="array" ref="E329">_xlfn.XLOOKUP(D329,Insumos!B:B,Insumos!C:$C)</f>
        <v/>
      </c>
      <c r="F329" s="14" t="n">
        <v>1.1</v>
      </c>
      <c r="G329" s="92">
        <f t="array" ref="G329">IF(B329="insumo",_xlfn.XLOOKUP($D329,Insumos!$B$1:$B$996,Insumos!$D$1:$D$996),"")</f>
        <v/>
      </c>
      <c r="H329" s="92" t="n">
        <v>5.28075271932025</v>
      </c>
      <c r="I329" s="2162" t="n">
        <v>0</v>
      </c>
      <c r="J329" s="2162" t="n">
        <v>0</v>
      </c>
      <c r="K329" s="2162" t="n"/>
    </row>
    <row r="330" outlineLevel="3" ht="15.75" customHeight="1">
      <c r="A330" s="10" t="n">
        <v>41</v>
      </c>
      <c r="B330" s="10" t="inlineStr">
        <is>
          <t>Insumo</t>
        </is>
      </c>
      <c r="C330" s="10" t="inlineStr">
        <is>
          <t>Armação aço CA-50 ø 10,0mm para estaca (corte e dobra em obra)</t>
        </is>
      </c>
      <c r="D330" s="10" t="inlineStr">
        <is>
          <t xml:space="preserve">Arame Galvanizado </t>
        </is>
      </c>
      <c r="E330" s="11">
        <f t="array" ref="E330">_xlfn.XLOOKUP(D330,Insumos!B:B,Insumos!C:$C)</f>
        <v/>
      </c>
      <c r="F330" s="14" t="n">
        <v>0.0205</v>
      </c>
      <c r="G330" s="92">
        <f t="array" ref="G330">IF(B330="insumo",_xlfn.XLOOKUP($D330,Insumos!$B$1:$B$996,Insumos!$D$1:$D$996),"")</f>
        <v/>
      </c>
      <c r="H330" s="92" t="n">
        <v>0.280645</v>
      </c>
      <c r="I330" s="2162" t="n">
        <v>0</v>
      </c>
      <c r="J330" s="2162" t="n">
        <v>0</v>
      </c>
      <c r="K330" s="2162" t="n"/>
    </row>
    <row r="331" outlineLevel="3" ht="15.75" customHeight="1">
      <c r="A331" s="10" t="n">
        <v>62</v>
      </c>
      <c r="B331" s="10" t="inlineStr">
        <is>
          <t>Insumo</t>
        </is>
      </c>
      <c r="C331" s="10" t="inlineStr">
        <is>
          <t>Armação aço CA-50 ø 10,0mm para estaca (corte e dobra em obra)</t>
        </is>
      </c>
      <c r="D331" s="10" t="inlineStr">
        <is>
          <t>Espaçador para armadura</t>
        </is>
      </c>
      <c r="E331" s="11">
        <f t="array" ref="E331">_xlfn.XLOOKUP(D331,Insumos!B:B,Insumos!C:$C)</f>
        <v/>
      </c>
      <c r="F331" s="14" t="n">
        <v>0.05</v>
      </c>
      <c r="G331" s="92">
        <f t="array" ref="G331">IF(B331="insumo",_xlfn.XLOOKUP($D331,Insumos!$B$1:$B$996,Insumos!$D$1:$D$996),"")</f>
        <v/>
      </c>
      <c r="H331" s="92" t="n">
        <v>0.0135</v>
      </c>
      <c r="I331" s="2162" t="n">
        <v>0</v>
      </c>
      <c r="J331" s="2162" t="n">
        <v>0</v>
      </c>
      <c r="K331" s="2162" t="n"/>
    </row>
    <row r="332" outlineLevel="2" ht="15.75" customHeight="1">
      <c r="A332" s="1067" t="n">
        <v>1</v>
      </c>
      <c r="B332" s="1067" t="inlineStr">
        <is>
          <t>Serviço</t>
        </is>
      </c>
      <c r="C332" s="1067" t="inlineStr">
        <is>
          <t>Armação aço CA-50 ø 16,0mm para estaca (corte e dobra em obra)</t>
        </is>
      </c>
      <c r="D332" s="1067" t="inlineStr">
        <is>
          <t>Armação aço CA-50 ø 16,0mm para estaca (corte e dobra em obra)</t>
        </is>
      </c>
      <c r="E332" s="1068" t="inlineStr">
        <is>
          <t>KG</t>
        </is>
      </c>
      <c r="F332" s="1067" t="n"/>
      <c r="G332" s="1069">
        <f t="array" ref="G332">IF(B332="insumo",_xlfn.XLOOKUP($D332,Insumos!$B$1:$B$996,Insumos!$D$1:$D$996),"")</f>
        <v/>
      </c>
      <c r="H332" s="1069" t="n">
        <v>5.72876144939818</v>
      </c>
      <c r="I332" s="2161" t="n">
        <v>0</v>
      </c>
      <c r="J332" s="2161" t="n">
        <v>0</v>
      </c>
      <c r="K332" s="2161" t="n"/>
    </row>
    <row r="333" outlineLevel="3" ht="15.75" customHeight="1">
      <c r="A333" s="10" t="n">
        <v>4</v>
      </c>
      <c r="B333" s="10" t="inlineStr">
        <is>
          <t>Insumo</t>
        </is>
      </c>
      <c r="C333" s="10" t="inlineStr">
        <is>
          <t>Armação aço CA-50 ø 16,0mm para estaca (corte e dobra em obra)</t>
        </is>
      </c>
      <c r="D333" s="10" t="inlineStr">
        <is>
          <t>Aço CA50 16,0mm</t>
        </is>
      </c>
      <c r="E333" s="11">
        <f t="array" ref="E333">_xlfn.XLOOKUP(D333,Insumos!B:B,Insumos!C:$C)</f>
        <v/>
      </c>
      <c r="F333" s="14" t="n">
        <v>1.1</v>
      </c>
      <c r="G333" s="92">
        <f t="array" ref="G333">IF(B333="insumo",_xlfn.XLOOKUP($D333,Insumos!$B$1:$B$996,Insumos!$D$1:$D$996),"")</f>
        <v/>
      </c>
      <c r="H333" s="92" t="n">
        <v>5.43461644939818</v>
      </c>
      <c r="I333" s="2162" t="n">
        <v>0</v>
      </c>
      <c r="J333" s="2162" t="n">
        <v>0</v>
      </c>
      <c r="K333" s="2162" t="n"/>
    </row>
    <row r="334" outlineLevel="3" ht="15.75" customHeight="1">
      <c r="A334" s="10" t="n">
        <v>41</v>
      </c>
      <c r="B334" s="10" t="inlineStr">
        <is>
          <t>Insumo</t>
        </is>
      </c>
      <c r="C334" s="10" t="inlineStr">
        <is>
          <t>Armação aço CA-50 ø 16,0mm para estaca (corte e dobra em obra)</t>
        </is>
      </c>
      <c r="D334" s="10" t="inlineStr">
        <is>
          <t xml:space="preserve">Arame Galvanizado </t>
        </is>
      </c>
      <c r="E334" s="11">
        <f t="array" ref="E334">_xlfn.XLOOKUP(D334,Insumos!B:B,Insumos!C:$C)</f>
        <v/>
      </c>
      <c r="F334" s="14" t="n">
        <v>0.0205</v>
      </c>
      <c r="G334" s="92">
        <f t="array" ref="G334">IF(B334="insumo",_xlfn.XLOOKUP($D334,Insumos!$B$1:$B$996,Insumos!$D$1:$D$996),"")</f>
        <v/>
      </c>
      <c r="H334" s="92" t="n">
        <v>0.280645</v>
      </c>
      <c r="I334" s="2162" t="n">
        <v>0</v>
      </c>
      <c r="J334" s="2162" t="n">
        <v>0</v>
      </c>
      <c r="K334" s="2162" t="n"/>
    </row>
    <row r="335" outlineLevel="3" ht="15.75" customHeight="1">
      <c r="A335" s="10" t="n">
        <v>62</v>
      </c>
      <c r="B335" s="10" t="inlineStr">
        <is>
          <t>Insumo</t>
        </is>
      </c>
      <c r="C335" s="10" t="inlineStr">
        <is>
          <t>Armação aço CA-50 ø 16,0mm para estaca (corte e dobra em obra)</t>
        </is>
      </c>
      <c r="D335" s="10" t="inlineStr">
        <is>
          <t>Espaçador para armadura</t>
        </is>
      </c>
      <c r="E335" s="11">
        <f t="array" ref="E335">_xlfn.XLOOKUP(D335,Insumos!B:B,Insumos!C:$C)</f>
        <v/>
      </c>
      <c r="F335" s="14" t="n">
        <v>0.05</v>
      </c>
      <c r="G335" s="92">
        <f t="array" ref="G335">IF(B335="insumo",_xlfn.XLOOKUP($D335,Insumos!$B$1:$B$996,Insumos!$D$1:$D$996),"")</f>
        <v/>
      </c>
      <c r="H335" s="92" t="n">
        <v>0.0135</v>
      </c>
      <c r="I335" s="2162" t="n">
        <v>0</v>
      </c>
      <c r="J335" s="2162" t="n">
        <v>0</v>
      </c>
      <c r="K335" s="2162" t="n"/>
    </row>
    <row r="336" outlineLevel="2" ht="15.75" customHeight="1">
      <c r="A336" s="1067" t="n">
        <v>1</v>
      </c>
      <c r="B336" s="1067" t="inlineStr">
        <is>
          <t>Serviço</t>
        </is>
      </c>
      <c r="C336" s="1067" t="inlineStr">
        <is>
          <t>Armação aço CA-50 ø 20,0mm para estaca (corte e dobra em obra)</t>
        </is>
      </c>
      <c r="D336" s="1067" t="inlineStr">
        <is>
          <t>Armação aço CA-50 ø 20,0mm para estaca (corte e dobra em obra)</t>
        </is>
      </c>
      <c r="E336" s="1068" t="inlineStr">
        <is>
          <t>KG</t>
        </is>
      </c>
      <c r="F336" s="1067" t="n"/>
      <c r="G336" s="1069">
        <f t="array" ref="G336">IF(B336="insumo",_xlfn.XLOOKUP($D336,Insumos!$B$1:$B$996,Insumos!$D$1:$D$996),"")</f>
        <v/>
      </c>
      <c r="H336" s="1069" t="n">
        <v>5.83202387420167</v>
      </c>
      <c r="I336" s="2161" t="n">
        <v>0</v>
      </c>
      <c r="J336" s="2161" t="n">
        <v>0</v>
      </c>
      <c r="K336" s="2161" t="n"/>
    </row>
    <row r="337" outlineLevel="3" ht="15.75" customHeight="1">
      <c r="A337" s="10" t="n">
        <v>4</v>
      </c>
      <c r="B337" s="10" t="inlineStr">
        <is>
          <t>Insumo</t>
        </is>
      </c>
      <c r="C337" s="10" t="inlineStr">
        <is>
          <t>Armação aço CA-50 ø 20,0mm para estaca (corte e dobra em obra)</t>
        </is>
      </c>
      <c r="D337" s="10" t="inlineStr">
        <is>
          <t>Aço CA50 20,0mm</t>
        </is>
      </c>
      <c r="E337" s="11">
        <f t="array" ref="E337">_xlfn.XLOOKUP(D337,Insumos!B:B,Insumos!C:$C)</f>
        <v/>
      </c>
      <c r="F337" s="14" t="n">
        <v>1.1</v>
      </c>
      <c r="G337" s="92">
        <f t="array" ref="G337">IF(B337="insumo",_xlfn.XLOOKUP($D337,Insumos!$B$1:$B$996,Insumos!$D$1:$D$996),"")</f>
        <v/>
      </c>
      <c r="H337" s="92" t="n">
        <v>5.53787887420167</v>
      </c>
      <c r="I337" s="2162" t="n">
        <v>0</v>
      </c>
      <c r="J337" s="2162" t="n">
        <v>0</v>
      </c>
      <c r="K337" s="2162" t="n"/>
    </row>
    <row r="338" outlineLevel="3" ht="15.75" customHeight="1">
      <c r="A338" s="10" t="n">
        <v>41</v>
      </c>
      <c r="B338" s="10" t="inlineStr">
        <is>
          <t>Insumo</t>
        </is>
      </c>
      <c r="C338" s="10" t="inlineStr">
        <is>
          <t>Armação aço CA-50 ø 20,0mm para estaca (corte e dobra em obra)</t>
        </is>
      </c>
      <c r="D338" s="10" t="inlineStr">
        <is>
          <t xml:space="preserve">Arame Galvanizado </t>
        </is>
      </c>
      <c r="E338" s="11">
        <f t="array" ref="E338">_xlfn.XLOOKUP(D338,Insumos!B:B,Insumos!C:$C)</f>
        <v/>
      </c>
      <c r="F338" s="14" t="n">
        <v>0.0205</v>
      </c>
      <c r="G338" s="92">
        <f t="array" ref="G338">IF(B338="insumo",_xlfn.XLOOKUP($D338,Insumos!$B$1:$B$996,Insumos!$D$1:$D$996),"")</f>
        <v/>
      </c>
      <c r="H338" s="92" t="n">
        <v>0.280645</v>
      </c>
      <c r="I338" s="2162" t="n">
        <v>0</v>
      </c>
      <c r="J338" s="2162" t="n">
        <v>0</v>
      </c>
      <c r="K338" s="2162" t="n"/>
    </row>
    <row r="339" outlineLevel="3" ht="15.75" customHeight="1">
      <c r="A339" s="10" t="n">
        <v>62</v>
      </c>
      <c r="B339" s="10" t="inlineStr">
        <is>
          <t>Insumo</t>
        </is>
      </c>
      <c r="C339" s="10" t="inlineStr">
        <is>
          <t>Armação aço CA-50 ø 20,0mm para estaca (corte e dobra em obra)</t>
        </is>
      </c>
      <c r="D339" s="10" t="inlineStr">
        <is>
          <t>Espaçador para armadura</t>
        </is>
      </c>
      <c r="E339" s="11">
        <f t="array" ref="E339">_xlfn.XLOOKUP(D339,Insumos!B:B,Insumos!C:$C)</f>
        <v/>
      </c>
      <c r="F339" s="14" t="n">
        <v>0.05</v>
      </c>
      <c r="G339" s="92">
        <f t="array" ref="G339">IF(B339="insumo",_xlfn.XLOOKUP($D339,Insumos!$B$1:$B$996,Insumos!$D$1:$D$996),"")</f>
        <v/>
      </c>
      <c r="H339" s="92" t="n">
        <v>0.0135</v>
      </c>
      <c r="I339" s="2162" t="n">
        <v>0</v>
      </c>
      <c r="J339" s="2162" t="n">
        <v>0</v>
      </c>
      <c r="K339" s="2162" t="n"/>
    </row>
    <row r="340" outlineLevel="2" ht="15.75" customHeight="1">
      <c r="A340" s="1067" t="n">
        <v>1</v>
      </c>
      <c r="B340" s="1067" t="inlineStr">
        <is>
          <t>Serviço</t>
        </is>
      </c>
      <c r="C340" s="1067" t="inlineStr">
        <is>
          <t xml:space="preserve">Armação aço CA-60 ø 5,00mm para estaca (corte e dobra em obra) </t>
        </is>
      </c>
      <c r="D340" s="1067" t="inlineStr">
        <is>
          <t xml:space="preserve">Armação aço CA-60 ø 5,00mm para estaca (corte e dobra em obra) </t>
        </is>
      </c>
      <c r="E340" s="1068" t="inlineStr">
        <is>
          <t>KG</t>
        </is>
      </c>
      <c r="F340" s="1067" t="n"/>
      <c r="G340" s="1069">
        <f t="array" ref="G340">IF(B340="insumo",_xlfn.XLOOKUP($D340,Insumos!$B$1:$B$996,Insumos!$D$1:$D$996),"")</f>
        <v/>
      </c>
      <c r="H340" s="1069" t="n">
        <v>7.0532266249184</v>
      </c>
      <c r="I340" s="2161" t="n">
        <v>0</v>
      </c>
      <c r="J340" s="2161" t="n">
        <v>0</v>
      </c>
      <c r="K340" s="2161" t="n"/>
    </row>
    <row r="341" outlineLevel="3" ht="15.75" customHeight="1">
      <c r="A341" s="10" t="n">
        <v>5</v>
      </c>
      <c r="B341" s="10" t="inlineStr">
        <is>
          <t>Insumo</t>
        </is>
      </c>
      <c r="C341" s="10" t="inlineStr">
        <is>
          <t xml:space="preserve">Armação aço CA-60 ø 5,00mm para estaca (corte e dobra em obra) </t>
        </is>
      </c>
      <c r="D341" s="10" t="inlineStr">
        <is>
          <t>Aço CA60 5,0mm</t>
        </is>
      </c>
      <c r="E341" s="11">
        <f t="array" ref="E341">_xlfn.XLOOKUP(D341,Insumos!B:B,Insumos!C:$C)</f>
        <v/>
      </c>
      <c r="F341" s="14" t="n">
        <v>1.1</v>
      </c>
      <c r="G341" s="92">
        <f t="array" ref="G341">IF(B341="insumo",_xlfn.XLOOKUP($D341,Insumos!$B$1:$B$996,Insumos!$D$1:$D$996),"")</f>
        <v/>
      </c>
      <c r="H341" s="92" t="n">
        <v>6.7590816249184</v>
      </c>
      <c r="I341" s="2162" t="n">
        <v>0</v>
      </c>
      <c r="J341" s="2162" t="n">
        <v>0</v>
      </c>
      <c r="K341" s="2162" t="n"/>
    </row>
    <row r="342" outlineLevel="3" ht="15.75" customHeight="1">
      <c r="A342" s="10" t="n">
        <v>41</v>
      </c>
      <c r="B342" s="10" t="inlineStr">
        <is>
          <t>Insumo</t>
        </is>
      </c>
      <c r="C342" s="10" t="inlineStr">
        <is>
          <t xml:space="preserve">Armação aço CA-60 ø 5,00mm para estaca (corte e dobra em obra) </t>
        </is>
      </c>
      <c r="D342" s="10" t="inlineStr">
        <is>
          <t xml:space="preserve">Arame Galvanizado </t>
        </is>
      </c>
      <c r="E342" s="11">
        <f t="array" ref="E342">_xlfn.XLOOKUP(D342,Insumos!B:B,Insumos!C:$C)</f>
        <v/>
      </c>
      <c r="F342" s="14" t="n">
        <v>0.0205</v>
      </c>
      <c r="G342" s="92">
        <f t="array" ref="G342">IF(B342="insumo",_xlfn.XLOOKUP($D342,Insumos!$B$1:$B$996,Insumos!$D$1:$D$996),"")</f>
        <v/>
      </c>
      <c r="H342" s="92" t="n">
        <v>0.280645</v>
      </c>
      <c r="I342" s="2162" t="n">
        <v>0</v>
      </c>
      <c r="J342" s="2162" t="n">
        <v>0</v>
      </c>
      <c r="K342" s="2162" t="n"/>
    </row>
    <row r="343" outlineLevel="3" ht="15.75" customHeight="1">
      <c r="A343" s="10" t="n">
        <v>62</v>
      </c>
      <c r="B343" s="10" t="inlineStr">
        <is>
          <t>Insumo</t>
        </is>
      </c>
      <c r="C343" s="10" t="inlineStr">
        <is>
          <t xml:space="preserve">Armação aço CA-60 ø 5,00mm para estaca (corte e dobra em obra) </t>
        </is>
      </c>
      <c r="D343" s="10" t="inlineStr">
        <is>
          <t>Espaçador para armadura</t>
        </is>
      </c>
      <c r="E343" s="11">
        <f t="array" ref="E343">_xlfn.XLOOKUP(D343,Insumos!B:B,Insumos!C:$C)</f>
        <v/>
      </c>
      <c r="F343" s="14" t="n">
        <v>0.05</v>
      </c>
      <c r="G343" s="92">
        <f t="array" ref="G343">IF(B343="insumo",_xlfn.XLOOKUP($D343,Insumos!$B$1:$B$996,Insumos!$D$1:$D$996),"")</f>
        <v/>
      </c>
      <c r="H343" s="92" t="n">
        <v>0.0135</v>
      </c>
      <c r="I343" s="2162" t="n">
        <v>0</v>
      </c>
      <c r="J343" s="2162" t="n">
        <v>0</v>
      </c>
      <c r="K343" s="2162" t="n"/>
    </row>
    <row r="344" outlineLevel="1" ht="15.75" customHeight="1">
      <c r="A344" s="1090" t="n">
        <v>5</v>
      </c>
      <c r="B344" s="1090" t="inlineStr">
        <is>
          <t>Subetapa</t>
        </is>
      </c>
      <c r="C344" s="1090" t="inlineStr">
        <is>
          <t xml:space="preserve">Armação aço CA-60 ø 5,00mm para estaca (corte e dobra em obra) </t>
        </is>
      </c>
      <c r="D344" s="1090" t="inlineStr">
        <is>
          <t>CONCRETO</t>
        </is>
      </c>
      <c r="E344" s="1091" t="n"/>
      <c r="F344" s="2160" t="n"/>
      <c r="G344" s="1091" t="n"/>
      <c r="H344" s="1091" t="n">
        <v>0</v>
      </c>
      <c r="I344" s="2160" t="n">
        <v>0</v>
      </c>
      <c r="J344" s="2160" t="n">
        <v>0</v>
      </c>
      <c r="K344" s="2160" t="n"/>
    </row>
    <row r="345" outlineLevel="2" ht="15.75" customHeight="1">
      <c r="A345" s="1067" t="n">
        <v>1</v>
      </c>
      <c r="B345" s="1067" t="inlineStr">
        <is>
          <t>Serviço</t>
        </is>
      </c>
      <c r="C345" s="1067" t="inlineStr">
        <is>
          <t>Concreto Usinado bombeável para estacas 25MPa  - incluindo serviço de bombeamento</t>
        </is>
      </c>
      <c r="D345" s="1067" t="inlineStr">
        <is>
          <t>Concreto Usinado bombeável para estacas 25MPa  - incluindo serviço de bombeamento</t>
        </is>
      </c>
      <c r="E345" s="1068" t="inlineStr">
        <is>
          <t>M3</t>
        </is>
      </c>
      <c r="F345" s="1067" t="n"/>
      <c r="G345" s="1069">
        <f t="array" ref="G345">IF(B345="insumo",_xlfn.XLOOKUP($D345,Insumos!$B$1:$B$996,Insumos!$D$1:$D$996),"")</f>
        <v/>
      </c>
      <c r="H345" s="1069" t="n">
        <v>693.66</v>
      </c>
      <c r="I345" s="2161" t="n">
        <v>0</v>
      </c>
      <c r="J345" s="2161" t="n">
        <v>0</v>
      </c>
      <c r="K345" s="2161" t="n"/>
    </row>
    <row r="346" outlineLevel="3" ht="15.75" customHeight="1">
      <c r="A346" s="10" t="n">
        <v>3</v>
      </c>
      <c r="B346" s="10" t="inlineStr">
        <is>
          <t>Insumo</t>
        </is>
      </c>
      <c r="C346" s="10" t="inlineStr">
        <is>
          <t>Concreto Usinado bombeável para estacas 25MPa  - incluindo serviço de bombeamento</t>
        </is>
      </c>
      <c r="D346" s="10" t="inlineStr">
        <is>
          <t>Concreto Usinado bombeável 25MPa</t>
        </is>
      </c>
      <c r="E346" s="11">
        <f t="array" ref="E346">_xlfn.XLOOKUP(D346,Insumos!B:B,Insumos!C:$C)</f>
        <v/>
      </c>
      <c r="F346" s="14" t="n">
        <v>1.3</v>
      </c>
      <c r="G346" s="92">
        <f t="array" ref="G346">IF(B346="insumo",_xlfn.XLOOKUP($D346,Insumos!$B$1:$B$996,Insumos!$D$1:$D$996),"")</f>
        <v/>
      </c>
      <c r="H346" s="92" t="n">
        <v>640.9</v>
      </c>
      <c r="I346" s="2162" t="n">
        <v>0</v>
      </c>
      <c r="J346" s="2162" t="n">
        <v>0</v>
      </c>
      <c r="K346" s="2162" t="n"/>
    </row>
    <row r="347" outlineLevel="3" ht="15.75" customHeight="1">
      <c r="A347" s="10" t="n">
        <v>25</v>
      </c>
      <c r="B347" s="10" t="inlineStr">
        <is>
          <t>Insumo</t>
        </is>
      </c>
      <c r="C347" s="10" t="inlineStr">
        <is>
          <t>Concreto Usinado bombeável para estacas 25MPa  - incluindo serviço de bombeamento</t>
        </is>
      </c>
      <c r="D347" s="10" t="inlineStr">
        <is>
          <t>serviço de bombeamento</t>
        </is>
      </c>
      <c r="E347" s="11">
        <f t="array" ref="E347">_xlfn.XLOOKUP(D347,Insumos!B:B,Insumos!C:$C)</f>
        <v/>
      </c>
      <c r="F347" s="14" t="n">
        <v>1.3</v>
      </c>
      <c r="G347" s="92">
        <f t="array" ref="G347">IF(B347="insumo",_xlfn.XLOOKUP($D347,Insumos!$B$1:$B$996,Insumos!$D$1:$D$996),"")</f>
        <v/>
      </c>
      <c r="H347" s="92" t="n">
        <v>52</v>
      </c>
      <c r="I347" s="2162" t="n">
        <v>0</v>
      </c>
      <c r="J347" s="2162" t="n">
        <v>0</v>
      </c>
      <c r="K347" s="2162" t="n"/>
    </row>
    <row r="348" outlineLevel="3" ht="15.75" customHeight="1">
      <c r="A348" s="10" t="n">
        <v>62</v>
      </c>
      <c r="B348" s="10" t="inlineStr">
        <is>
          <t>Insumo</t>
        </is>
      </c>
      <c r="C348" s="10" t="inlineStr">
        <is>
          <t>Concreto Usinado bombeável para estacas 25MPa  - incluindo serviço de bombeamento</t>
        </is>
      </c>
      <c r="D348" s="10" t="inlineStr">
        <is>
          <t>Cimento Portland Composto CP II-32</t>
        </is>
      </c>
      <c r="E348" s="11">
        <f t="array" ref="E348">_xlfn.XLOOKUP(D348,Insumos!B:B,Insumos!C:$C)</f>
        <v/>
      </c>
      <c r="F348" s="14" t="n">
        <v>1</v>
      </c>
      <c r="G348" s="92">
        <f t="array" ref="G348">IF(B348="insumo",_xlfn.XLOOKUP($D348,Insumos!$B$1:$B$996,Insumos!$D$1:$D$996),"")</f>
        <v/>
      </c>
      <c r="H348" s="92" t="n">
        <v>0.76</v>
      </c>
      <c r="I348" s="2162" t="n">
        <v>0</v>
      </c>
      <c r="J348" s="2162" t="n">
        <v>0</v>
      </c>
      <c r="K348" s="2162" t="n"/>
    </row>
    <row r="349" outlineLevel="2" ht="15.75" customHeight="1">
      <c r="A349" s="1067" t="n">
        <v>1</v>
      </c>
      <c r="B349" s="1067" t="inlineStr">
        <is>
          <t>Serviço</t>
        </is>
      </c>
      <c r="C349" s="1067" t="inlineStr">
        <is>
          <t>Concreto Usinado bombeável para estacas 30MPa  - incluindo serviço de bombeamento</t>
        </is>
      </c>
      <c r="D349" s="1067" t="inlineStr">
        <is>
          <t>Concreto Usinado bombeável para estacas 30MPa  - incluindo serviço de bombeamento</t>
        </is>
      </c>
      <c r="E349" s="1068" t="inlineStr">
        <is>
          <t>M3</t>
        </is>
      </c>
      <c r="F349" s="1067" t="n"/>
      <c r="G349" s="1069">
        <f t="array" ref="G349">IF(B349="insumo",_xlfn.XLOOKUP($D349,Insumos!$B$1:$B$996,Insumos!$D$1:$D$996),"")</f>
        <v/>
      </c>
      <c r="H349" s="1069" t="n">
        <v>725.705</v>
      </c>
      <c r="I349" s="2161" t="n">
        <v>0</v>
      </c>
      <c r="J349" s="2161" t="n">
        <v>0</v>
      </c>
      <c r="K349" s="2161" t="n"/>
    </row>
    <row r="350" outlineLevel="3" ht="15.75" customHeight="1">
      <c r="A350" s="10" t="n">
        <v>1</v>
      </c>
      <c r="B350" s="10" t="inlineStr">
        <is>
          <t>Insumo</t>
        </is>
      </c>
      <c r="C350" s="10" t="inlineStr">
        <is>
          <t>Concreto Usinado bombeável para estacas 30MPa  - incluindo serviço de bombeamento</t>
        </is>
      </c>
      <c r="D350" s="10" t="inlineStr">
        <is>
          <t>Concreto Usinado bombeável 30MPa para estacas</t>
        </is>
      </c>
      <c r="E350" s="11">
        <f t="array" ref="E350">_xlfn.XLOOKUP(D350,Insumos!B:B,Insumos!C:$C)</f>
        <v/>
      </c>
      <c r="F350" s="14" t="n">
        <v>1.3</v>
      </c>
      <c r="G350" s="92">
        <f t="array" ref="G350">IF(B350="insumo",_xlfn.XLOOKUP($D350,Insumos!$B$1:$B$996,Insumos!$D$1:$D$996),"")</f>
        <v/>
      </c>
      <c r="H350" s="92" t="n">
        <v>672.9450000000001</v>
      </c>
      <c r="I350" s="2162" t="n">
        <v>0</v>
      </c>
      <c r="J350" s="2162" t="n">
        <v>0</v>
      </c>
      <c r="K350" s="2162" t="n"/>
    </row>
    <row r="351" outlineLevel="3" ht="15.75" customHeight="1">
      <c r="A351" s="10" t="n">
        <v>25</v>
      </c>
      <c r="B351" s="10" t="inlineStr">
        <is>
          <t>Insumo</t>
        </is>
      </c>
      <c r="C351" s="10" t="inlineStr">
        <is>
          <t>Concreto Usinado bombeável para estacas 30MPa  - incluindo serviço de bombeamento</t>
        </is>
      </c>
      <c r="D351" s="10" t="inlineStr">
        <is>
          <t>serviço de bombeamento</t>
        </is>
      </c>
      <c r="E351" s="11">
        <f t="array" ref="E351">_xlfn.XLOOKUP(D351,Insumos!B:B,Insumos!C:$C)</f>
        <v/>
      </c>
      <c r="F351" s="14" t="n">
        <v>1.3</v>
      </c>
      <c r="G351" s="92">
        <f t="array" ref="G351">IF(B351="insumo",_xlfn.XLOOKUP($D351,Insumos!$B$1:$B$996,Insumos!$D$1:$D$996),"")</f>
        <v/>
      </c>
      <c r="H351" s="92" t="n">
        <v>52</v>
      </c>
      <c r="I351" s="2162" t="n">
        <v>0</v>
      </c>
      <c r="J351" s="2162" t="n">
        <v>0</v>
      </c>
      <c r="K351" s="2162" t="n"/>
    </row>
    <row r="352" outlineLevel="3" ht="15.75" customHeight="1">
      <c r="A352" s="10" t="n">
        <v>62</v>
      </c>
      <c r="B352" s="10" t="inlineStr">
        <is>
          <t>Insumo</t>
        </is>
      </c>
      <c r="C352" s="10" t="inlineStr">
        <is>
          <t>Concreto Usinado bombeável para estacas 30MPa  - incluindo serviço de bombeamento</t>
        </is>
      </c>
      <c r="D352" s="10" t="inlineStr">
        <is>
          <t>Cimento Portland Composto CP II-32</t>
        </is>
      </c>
      <c r="E352" s="11">
        <f t="array" ref="E352">_xlfn.XLOOKUP(D352,Insumos!B:B,Insumos!C:$C)</f>
        <v/>
      </c>
      <c r="F352" s="14" t="n">
        <v>1</v>
      </c>
      <c r="G352" s="92">
        <f t="array" ref="G352">IF(B352="insumo",_xlfn.XLOOKUP($D352,Insumos!$B$1:$B$996,Insumos!$D$1:$D$996),"")</f>
        <v/>
      </c>
      <c r="H352" s="92" t="n">
        <v>0.76</v>
      </c>
      <c r="I352" s="2162" t="n">
        <v>0</v>
      </c>
      <c r="J352" s="2162" t="n">
        <v>0</v>
      </c>
      <c r="K352" s="2162" t="n"/>
    </row>
    <row r="353" outlineLevel="2" ht="15.75" customHeight="1">
      <c r="A353" s="1067" t="n">
        <v>1</v>
      </c>
      <c r="B353" s="1067" t="inlineStr">
        <is>
          <t>Serviço</t>
        </is>
      </c>
      <c r="C353" s="1067" t="inlineStr">
        <is>
          <t>Concreto Usinado bombeável para estacas 35MPa  - incluindo serviço de bombeamento</t>
        </is>
      </c>
      <c r="D353" s="1067" t="inlineStr">
        <is>
          <t>Concreto Usinado bombeável para estacas 35MPa  - incluindo serviço de bombeamento</t>
        </is>
      </c>
      <c r="E353" s="1068" t="inlineStr">
        <is>
          <t>M3</t>
        </is>
      </c>
      <c r="F353" s="1067" t="n"/>
      <c r="G353" s="1069">
        <f t="array" ref="G353">IF(B353="insumo",_xlfn.XLOOKUP($D353,Insumos!$B$1:$B$996,Insumos!$D$1:$D$996),"")</f>
        <v/>
      </c>
      <c r="H353" s="1069" t="n">
        <v>787.26</v>
      </c>
      <c r="I353" s="2161" t="n">
        <v>0</v>
      </c>
      <c r="J353" s="2161" t="n">
        <v>0</v>
      </c>
      <c r="K353" s="2161" t="n"/>
    </row>
    <row r="354" outlineLevel="3" ht="15.75" customHeight="1">
      <c r="A354" s="10" t="n">
        <v>1</v>
      </c>
      <c r="B354" s="10" t="inlineStr">
        <is>
          <t>Insumo</t>
        </is>
      </c>
      <c r="C354" s="10" t="inlineStr">
        <is>
          <t>Concreto Usinado bombeável para estacas 35MPa  - incluindo serviço de bombeamento</t>
        </is>
      </c>
      <c r="D354" s="10" t="inlineStr">
        <is>
          <t>Concreto Usinado bombeável 35MPa para estacas</t>
        </is>
      </c>
      <c r="E354" s="11">
        <f t="array" ref="E354">_xlfn.XLOOKUP(D354,Insumos!B:B,Insumos!C:$C)</f>
        <v/>
      </c>
      <c r="F354" s="14" t="n">
        <v>1.3</v>
      </c>
      <c r="G354" s="92">
        <f t="array" ref="G354">IF(B354="insumo",_xlfn.XLOOKUP($D354,Insumos!$B$1:$B$996,Insumos!$D$1:$D$996),"")</f>
        <v/>
      </c>
      <c r="H354" s="92" t="n">
        <v>734.5</v>
      </c>
      <c r="I354" s="2162" t="n">
        <v>0</v>
      </c>
      <c r="J354" s="2162" t="n">
        <v>0</v>
      </c>
      <c r="K354" s="2162" t="n"/>
    </row>
    <row r="355" outlineLevel="3" ht="15.75" customHeight="1">
      <c r="A355" s="10" t="n">
        <v>25</v>
      </c>
      <c r="B355" s="10" t="inlineStr">
        <is>
          <t>Insumo</t>
        </is>
      </c>
      <c r="C355" s="10" t="inlineStr">
        <is>
          <t>Concreto Usinado bombeável para estacas 35MPa  - incluindo serviço de bombeamento</t>
        </is>
      </c>
      <c r="D355" s="10" t="inlineStr">
        <is>
          <t>serviço de bombeamento</t>
        </is>
      </c>
      <c r="E355" s="11">
        <f t="array" ref="E355">_xlfn.XLOOKUP(D355,Insumos!B:B,Insumos!C:$C)</f>
        <v/>
      </c>
      <c r="F355" s="14" t="n">
        <v>1.3</v>
      </c>
      <c r="G355" s="92">
        <f t="array" ref="G355">IF(B355="insumo",_xlfn.XLOOKUP($D355,Insumos!$B$1:$B$996,Insumos!$D$1:$D$996),"")</f>
        <v/>
      </c>
      <c r="H355" s="92" t="n">
        <v>52</v>
      </c>
      <c r="I355" s="2162" t="n">
        <v>0</v>
      </c>
      <c r="J355" s="2162" t="n">
        <v>0</v>
      </c>
      <c r="K355" s="2162" t="n"/>
    </row>
    <row r="356" outlineLevel="3" ht="15.75" customHeight="1">
      <c r="A356" s="10" t="n">
        <v>62</v>
      </c>
      <c r="B356" s="10" t="inlineStr">
        <is>
          <t>Insumo</t>
        </is>
      </c>
      <c r="C356" s="10" t="inlineStr">
        <is>
          <t>Concreto Usinado bombeável para estacas 35MPa  - incluindo serviço de bombeamento</t>
        </is>
      </c>
      <c r="D356" s="10" t="inlineStr">
        <is>
          <t>Cimento Portland Composto CP II-32</t>
        </is>
      </c>
      <c r="E356" s="11">
        <f t="array" ref="E356">_xlfn.XLOOKUP(D356,Insumos!B:B,Insumos!C:$C)</f>
        <v/>
      </c>
      <c r="F356" s="14" t="n">
        <v>1</v>
      </c>
      <c r="G356" s="92">
        <f t="array" ref="G356">IF(B356="insumo",_xlfn.XLOOKUP($D356,Insumos!$B$1:$B$996,Insumos!$D$1:$D$996),"")</f>
        <v/>
      </c>
      <c r="H356" s="92" t="n">
        <v>0.76</v>
      </c>
      <c r="I356" s="2162" t="n">
        <v>0</v>
      </c>
      <c r="J356" s="2162" t="n">
        <v>0</v>
      </c>
      <c r="K356" s="2162" t="n"/>
    </row>
    <row r="357" outlineLevel="2" ht="15.75" customHeight="1">
      <c r="A357" s="1067" t="n">
        <v>1</v>
      </c>
      <c r="B357" s="1067" t="inlineStr">
        <is>
          <t>Serviço</t>
        </is>
      </c>
      <c r="C357" s="1067" t="inlineStr">
        <is>
          <t>Concreto Usinado bombeável para estacas 40MPa  - incluindo serviço de bombeamento</t>
        </is>
      </c>
      <c r="D357" s="1067" t="inlineStr">
        <is>
          <t>Concreto Usinado bombeável para estacas 40MPa  - incluindo serviço de bombeamento</t>
        </is>
      </c>
      <c r="E357" s="1068" t="inlineStr">
        <is>
          <t>M3</t>
        </is>
      </c>
      <c r="F357" s="1067" t="n"/>
      <c r="G357" s="1069">
        <f t="array" ref="G357">IF(B357="insumo",_xlfn.XLOOKUP($D357,Insumos!$B$1:$B$996,Insumos!$D$1:$D$996),"")</f>
        <v/>
      </c>
      <c r="H357" s="1069" t="n">
        <v>741.76</v>
      </c>
      <c r="I357" s="2161" t="n">
        <v>0</v>
      </c>
      <c r="J357" s="2161" t="n">
        <v>0</v>
      </c>
      <c r="K357" s="2161" t="n"/>
    </row>
    <row r="358" outlineLevel="3" ht="15.75" customHeight="1">
      <c r="A358" s="10" t="n">
        <v>1</v>
      </c>
      <c r="B358" s="10" t="inlineStr">
        <is>
          <t>Insumo</t>
        </is>
      </c>
      <c r="C358" s="10" t="inlineStr">
        <is>
          <t>Concreto Usinado bombeável para estacas 40MPa  - incluindo serviço de bombeamento</t>
        </is>
      </c>
      <c r="D358" s="10" t="inlineStr">
        <is>
          <t>Concreto Usinado bombeável 40MPa para estacas</t>
        </is>
      </c>
      <c r="E358" s="11">
        <f t="array" ref="E358">_xlfn.XLOOKUP(D358,Insumos!B:B,Insumos!C:$C)</f>
        <v/>
      </c>
      <c r="F358" s="14" t="n">
        <v>1.3</v>
      </c>
      <c r="G358" s="92">
        <f t="array" ref="G358">IF(B358="insumo",_xlfn.XLOOKUP($D358,Insumos!$B$1:$B$996,Insumos!$D$1:$D$996),"")</f>
        <v/>
      </c>
      <c r="H358" s="92" t="n">
        <v>689</v>
      </c>
      <c r="I358" s="2162" t="n">
        <v>0</v>
      </c>
      <c r="J358" s="2162" t="n">
        <v>0</v>
      </c>
      <c r="K358" s="2162" t="n"/>
    </row>
    <row r="359" outlineLevel="3" ht="15.75" customHeight="1">
      <c r="A359" s="10" t="n">
        <v>25</v>
      </c>
      <c r="B359" s="10" t="inlineStr">
        <is>
          <t>Insumo</t>
        </is>
      </c>
      <c r="C359" s="10" t="inlineStr">
        <is>
          <t>Concreto Usinado bombeável para estacas 40MPa  - incluindo serviço de bombeamento</t>
        </is>
      </c>
      <c r="D359" s="10" t="inlineStr">
        <is>
          <t>serviço de bombeamento</t>
        </is>
      </c>
      <c r="E359" s="11">
        <f t="array" ref="E359">_xlfn.XLOOKUP(D359,Insumos!B:B,Insumos!C:$C)</f>
        <v/>
      </c>
      <c r="F359" s="14" t="n">
        <v>1.3</v>
      </c>
      <c r="G359" s="92">
        <f t="array" ref="G359">IF(B359="insumo",_xlfn.XLOOKUP($D359,Insumos!$B$1:$B$996,Insumos!$D$1:$D$996),"")</f>
        <v/>
      </c>
      <c r="H359" s="92" t="n">
        <v>52</v>
      </c>
      <c r="I359" s="2162" t="n">
        <v>0</v>
      </c>
      <c r="J359" s="2162" t="n">
        <v>0</v>
      </c>
      <c r="K359" s="2162" t="n"/>
    </row>
    <row r="360" outlineLevel="3" ht="15.75" customHeight="1">
      <c r="A360" s="10" t="n">
        <v>62</v>
      </c>
      <c r="B360" s="10" t="inlineStr">
        <is>
          <t>Insumo</t>
        </is>
      </c>
      <c r="C360" s="10" t="inlineStr">
        <is>
          <t>Concreto Usinado bombeável para estacas 40MPa  - incluindo serviço de bombeamento</t>
        </is>
      </c>
      <c r="D360" s="10" t="inlineStr">
        <is>
          <t>Cimento Portland Composto CP II-32</t>
        </is>
      </c>
      <c r="E360" s="11">
        <f t="array" ref="E360">_xlfn.XLOOKUP(D360,Insumos!B:B,Insumos!C:$C)</f>
        <v/>
      </c>
      <c r="F360" s="14" t="n">
        <v>1</v>
      </c>
      <c r="G360" s="92">
        <f t="array" ref="G360">IF(B360="insumo",_xlfn.XLOOKUP($D360,Insumos!$B$1:$B$996,Insumos!$D$1:$D$996),"")</f>
        <v/>
      </c>
      <c r="H360" s="92" t="n">
        <v>0.76</v>
      </c>
      <c r="I360" s="2162" t="n">
        <v>0</v>
      </c>
      <c r="J360" s="2162" t="n">
        <v>0</v>
      </c>
      <c r="K360" s="2162" t="n"/>
    </row>
    <row r="361" outlineLevel="2" ht="15.75" customHeight="1">
      <c r="A361" s="1067" t="n">
        <v>1</v>
      </c>
      <c r="B361" s="1067" t="inlineStr">
        <is>
          <t>Serviço</t>
        </is>
      </c>
      <c r="C361" s="1067" t="inlineStr">
        <is>
          <t>Concreto Usinado bombeável para estacas 50MPa  - incluindo serviço de bombeamento</t>
        </is>
      </c>
      <c r="D361" s="1067" t="inlineStr">
        <is>
          <t>Concreto Usinado bombeável para estacas 50MPa  - incluindo serviço de bombeamento</t>
        </is>
      </c>
      <c r="E361" s="1068" t="inlineStr">
        <is>
          <t>M3</t>
        </is>
      </c>
      <c r="F361" s="1067" t="n"/>
      <c r="G361" s="1069">
        <f t="array" ref="G361">IF(B361="insumo",_xlfn.XLOOKUP($D361,Insumos!$B$1:$B$996,Insumos!$D$1:$D$996),"")</f>
        <v/>
      </c>
      <c r="H361" s="1069" t="n">
        <v>941.83</v>
      </c>
      <c r="I361" s="2161" t="n">
        <v>1903.42815695698</v>
      </c>
      <c r="J361" s="2161" t="n">
        <v>1792705.74106679</v>
      </c>
      <c r="K361" s="2161" t="n"/>
    </row>
    <row r="362" outlineLevel="3" ht="15.75" customHeight="1">
      <c r="A362" s="10" t="n">
        <v>1</v>
      </c>
      <c r="B362" s="10" t="inlineStr">
        <is>
          <t>Insumo</t>
        </is>
      </c>
      <c r="C362" s="10" t="inlineStr">
        <is>
          <t>Concreto Usinado bombeável para estacas 50MPa  - incluindo serviço de bombeamento</t>
        </is>
      </c>
      <c r="D362" s="10" t="inlineStr">
        <is>
          <t>Concreto Usinado bombeável 50MPa Fundação Profunda</t>
        </is>
      </c>
      <c r="E362" s="11">
        <f t="array" ref="E362">_xlfn.XLOOKUP(D362,Insumos!B:B,Insumos!C:$C)</f>
        <v/>
      </c>
      <c r="F362" s="14" t="n">
        <v>1.3</v>
      </c>
      <c r="G362" s="92">
        <f>IF(B362="insumo",_xlfn.XLOOKUP($D362,Insumos!$B$1:$B$996,Insumos!$D$1:$D$996),"")</f>
        <v/>
      </c>
      <c r="H362" s="92" t="n">
        <v>889.0700000000001</v>
      </c>
      <c r="I362" s="2162" t="n">
        <v>1903.42815695698</v>
      </c>
      <c r="J362" s="2162" t="n">
        <v>1692280.87150574</v>
      </c>
      <c r="K362" s="2162" t="n"/>
    </row>
    <row r="363" outlineLevel="3" ht="15.75" customHeight="1">
      <c r="A363" s="10" t="n">
        <v>25</v>
      </c>
      <c r="B363" s="10" t="inlineStr">
        <is>
          <t>Insumo</t>
        </is>
      </c>
      <c r="C363" s="10" t="inlineStr">
        <is>
          <t>Concreto Usinado bombeável para estacas 50MPa  - incluindo serviço de bombeamento</t>
        </is>
      </c>
      <c r="D363" s="10" t="inlineStr">
        <is>
          <t>serviço de bombeamento</t>
        </is>
      </c>
      <c r="E363" s="11">
        <f t="array" ref="E363">_xlfn.XLOOKUP(D363,Insumos!B:B,Insumos!C:$C)</f>
        <v/>
      </c>
      <c r="F363" s="14" t="n">
        <v>1.3</v>
      </c>
      <c r="G363" s="92">
        <f t="array" ref="G363">IF(B363="insumo",_xlfn.XLOOKUP($D363,Insumos!$B$1:$B$996,Insumos!$D$1:$D$996),"")</f>
        <v/>
      </c>
      <c r="H363" s="92" t="n">
        <v>52</v>
      </c>
      <c r="I363" s="2162" t="n">
        <v>1903.42815695698</v>
      </c>
      <c r="J363" s="2162" t="n">
        <v>98978.264161763</v>
      </c>
      <c r="K363" s="2162" t="n"/>
    </row>
    <row r="364" outlineLevel="3" ht="15.75" customHeight="1">
      <c r="A364" s="10" t="n">
        <v>62</v>
      </c>
      <c r="B364" s="10" t="inlineStr">
        <is>
          <t>Insumo</t>
        </is>
      </c>
      <c r="C364" s="10" t="inlineStr">
        <is>
          <t>Concreto Usinado bombeável para estacas 50MPa  - incluindo serviço de bombeamento</t>
        </is>
      </c>
      <c r="D364" s="10" t="inlineStr">
        <is>
          <t>Cimento Portland Composto CP II-32</t>
        </is>
      </c>
      <c r="E364" s="11">
        <f t="array" ref="E364">_xlfn.XLOOKUP(D364,Insumos!B:B,Insumos!C:$C)</f>
        <v/>
      </c>
      <c r="F364" s="14" t="n">
        <v>1</v>
      </c>
      <c r="G364" s="92">
        <f t="array" ref="G364">IF(B364="insumo",_xlfn.XLOOKUP($D364,Insumos!$B$1:$B$996,Insumos!$D$1:$D$996),"")</f>
        <v/>
      </c>
      <c r="H364" s="92" t="n">
        <v>0.76</v>
      </c>
      <c r="I364" s="2162" t="n">
        <v>1903.42815695698</v>
      </c>
      <c r="J364" s="2162" t="n">
        <v>1446.6053992873</v>
      </c>
      <c r="K364" s="2162" t="n"/>
    </row>
    <row r="365" outlineLevel="1" ht="15.75" customHeight="1">
      <c r="A365" s="1090" t="n">
        <v>6</v>
      </c>
      <c r="B365" s="1090" t="inlineStr">
        <is>
          <t>Subetapa</t>
        </is>
      </c>
      <c r="C365" s="1090" t="inlineStr">
        <is>
          <t>Concreto Usinado bombeável para estacas 50MPa  - incluindo serviço de bombeamento</t>
        </is>
      </c>
      <c r="D365" s="1090" t="inlineStr">
        <is>
          <t>MÃO DE OBRA</t>
        </is>
      </c>
      <c r="E365" s="1091" t="n"/>
      <c r="F365" s="2160" t="n"/>
      <c r="G365" s="1091" t="n"/>
      <c r="H365" s="1091" t="n">
        <v>0</v>
      </c>
      <c r="I365" s="2160" t="n">
        <v>0</v>
      </c>
      <c r="J365" s="2160" t="n">
        <v>0</v>
      </c>
      <c r="K365" s="2160" t="n"/>
    </row>
    <row r="366" outlineLevel="2" ht="15.75" customHeight="1">
      <c r="A366" s="1067" t="n">
        <v>1</v>
      </c>
      <c r="B366" s="1067" t="inlineStr">
        <is>
          <t>Serviço</t>
        </is>
      </c>
      <c r="C366" s="1067" t="inlineStr">
        <is>
          <t>Corte e Preparo de Cabeça de Estaca</t>
        </is>
      </c>
      <c r="D366" s="1067" t="inlineStr">
        <is>
          <t>Corte e Preparo de Cabeça de Estaca</t>
        </is>
      </c>
      <c r="E366" s="1068" t="inlineStr">
        <is>
          <t>UN</t>
        </is>
      </c>
      <c r="F366" s="1067" t="n"/>
      <c r="G366" s="1069">
        <f t="array" ref="G366">IF(B366="insumo",_xlfn.XLOOKUP($D366,Insumos!$B$1:$B$996,Insumos!$D$1:$D$996),"")</f>
        <v/>
      </c>
      <c r="H366" s="1069" t="n">
        <v>300</v>
      </c>
      <c r="I366" s="2161" t="n">
        <v>0</v>
      </c>
      <c r="J366" s="2161" t="n">
        <v>0</v>
      </c>
      <c r="K366" s="2161" t="n"/>
    </row>
    <row r="367" outlineLevel="3" ht="15.75" customHeight="1">
      <c r="A367" s="10" t="n">
        <v>1</v>
      </c>
      <c r="B367" s="10" t="inlineStr">
        <is>
          <t>Insumo</t>
        </is>
      </c>
      <c r="C367" s="10" t="inlineStr">
        <is>
          <t>Corte e Preparo de Cabeça de Estaca</t>
        </is>
      </c>
      <c r="D367" s="10" t="inlineStr">
        <is>
          <t>Serviço de Arrasamentode Estacas</t>
        </is>
      </c>
      <c r="E367" s="11">
        <f t="array" ref="E367">_xlfn.XLOOKUP(D367,Insumos!B:B,Insumos!C:$C)</f>
        <v/>
      </c>
      <c r="F367" s="14" t="n">
        <v>1</v>
      </c>
      <c r="G367" s="92">
        <f t="array" ref="G367">IF(B367="insumo",_xlfn.XLOOKUP($D367,Insumos!$B$1:$B$996,Insumos!$D$1:$D$996),"")</f>
        <v/>
      </c>
      <c r="H367" s="92" t="n">
        <v>300</v>
      </c>
      <c r="I367" s="2162" t="n">
        <v>0</v>
      </c>
      <c r="J367" s="2162" t="n">
        <v>0</v>
      </c>
      <c r="K367" s="2162" t="n"/>
    </row>
    <row r="368" ht="15.75" customHeight="1">
      <c r="A368" s="7" t="n">
        <v>1</v>
      </c>
      <c r="B368" s="7" t="inlineStr">
        <is>
          <t>Etapa</t>
        </is>
      </c>
      <c r="C368" s="7" t="inlineStr">
        <is>
          <t>Corte e Preparo de Cabeça de Estaca</t>
        </is>
      </c>
      <c r="D368" s="7" t="inlineStr">
        <is>
          <t>FUNDAÇÃO RASA</t>
        </is>
      </c>
      <c r="E368" s="8" t="n"/>
      <c r="F368" s="2159" t="n"/>
      <c r="G368" s="91">
        <f t="array" ref="G368">IF(B368="insumo",_xlfn.XLOOKUP($D368,Insumos!$B$1:$B$996,Insumos!$D$1:$D$996),"")</f>
        <v/>
      </c>
      <c r="H368" s="91" t="n">
        <v>0</v>
      </c>
      <c r="I368" s="2159" t="n">
        <v>0</v>
      </c>
      <c r="J368" s="2159" t="n">
        <v>0</v>
      </c>
      <c r="K368" s="2159" t="n"/>
    </row>
    <row r="369" outlineLevel="1" ht="15.75" customHeight="1">
      <c r="A369" s="1090" t="n">
        <v>3</v>
      </c>
      <c r="B369" s="1090" t="inlineStr">
        <is>
          <t>Subetapa</t>
        </is>
      </c>
      <c r="C369" s="1090" t="inlineStr">
        <is>
          <t>Corte e Preparo de Cabeça de Estaca</t>
        </is>
      </c>
      <c r="D369" s="1090" t="inlineStr">
        <is>
          <t>FORMA</t>
        </is>
      </c>
      <c r="E369" s="1091" t="n"/>
      <c r="F369" s="2160" t="n"/>
      <c r="G369" s="1091" t="n"/>
      <c r="H369" s="1091" t="n">
        <v>0</v>
      </c>
      <c r="I369" s="2160" t="n">
        <v>0</v>
      </c>
      <c r="J369" s="2160" t="n">
        <v>0</v>
      </c>
      <c r="K369" s="2160" t="n"/>
    </row>
    <row r="370" outlineLevel="2" ht="15.75" customHeight="1">
      <c r="A370" s="1067" t="n">
        <v>1</v>
      </c>
      <c r="B370" s="1067" t="inlineStr">
        <is>
          <t>Serviço</t>
        </is>
      </c>
      <c r="C370" s="1067" t="inlineStr">
        <is>
          <t>Forma para infraestrutura em Tábuas de Madeira Serrada 2x reaproveitamento</t>
        </is>
      </c>
      <c r="D370" s="1067" t="inlineStr">
        <is>
          <t>Forma para infraestrutura em Tábuas de Madeira Serrada 2x reaproveitamento</t>
        </is>
      </c>
      <c r="E370" s="1068" t="inlineStr">
        <is>
          <t>M2</t>
        </is>
      </c>
      <c r="F370" s="1067" t="n"/>
      <c r="G370" s="1069">
        <f t="array" ref="G370">IF(B370="insumo",_xlfn.XLOOKUP($D370,Insumos!$B$1:$B$996,Insumos!$D$1:$D$996),"")</f>
        <v/>
      </c>
      <c r="H370" s="1069" t="n">
        <v>59.9562285714286</v>
      </c>
      <c r="I370" s="2161" t="n">
        <v>581.6956</v>
      </c>
      <c r="J370" s="2161" t="n">
        <v>34876.2743525943</v>
      </c>
      <c r="K370" s="2161" t="n"/>
    </row>
    <row r="371" outlineLevel="3" ht="15.75" customHeight="1">
      <c r="A371" s="10" t="n">
        <v>3</v>
      </c>
      <c r="B371" s="10" t="inlineStr">
        <is>
          <t>Insumo</t>
        </is>
      </c>
      <c r="C371" s="10" t="inlineStr">
        <is>
          <t>Forma para infraestrutura em Tábuas de Madeira Serrada 2x reaproveitamento</t>
        </is>
      </c>
      <c r="D371" s="10" t="inlineStr">
        <is>
          <t>PREGO DE ACO POLIDO COM CABECA 15 X 18 (1 1/2 X 13)</t>
        </is>
      </c>
      <c r="E371" s="11">
        <f t="array" ref="E371">_xlfn.XLOOKUP(D371,Insumos!B:B,Insumos!C:$C)</f>
        <v/>
      </c>
      <c r="F371" s="14" t="n">
        <v>0.011</v>
      </c>
      <c r="G371" s="92">
        <f t="array" ref="G371">IF(B371="insumo",_xlfn.XLOOKUP($D371,Insumos!$B$1:$B$996,Insumos!$D$1:$D$996),"")</f>
        <v/>
      </c>
      <c r="H371" s="92" t="n">
        <v>0.2068</v>
      </c>
      <c r="I371" s="2162" t="n">
        <v>581.6956</v>
      </c>
      <c r="J371" s="2162" t="n">
        <v>120.29465008</v>
      </c>
      <c r="K371" s="2162" t="n"/>
    </row>
    <row r="372" outlineLevel="3" ht="15.75" customHeight="1">
      <c r="A372" s="10" t="n">
        <v>40</v>
      </c>
      <c r="B372" s="10" t="inlineStr">
        <is>
          <t>Insumo</t>
        </is>
      </c>
      <c r="C372" s="10" t="inlineStr">
        <is>
          <t>Forma para infraestrutura em Tábuas de Madeira Serrada 2x reaproveitamento</t>
        </is>
      </c>
      <c r="D372" s="10" t="inlineStr">
        <is>
          <t>PREGO DE ACO POLIDO COM CABECA 17 X 21 (2 X 11)</t>
        </is>
      </c>
      <c r="E372" s="11">
        <f t="array" ref="E372">_xlfn.XLOOKUP(D372,Insumos!B:B,Insumos!C:$C)</f>
        <v/>
      </c>
      <c r="F372" s="14" t="n">
        <v>0.095</v>
      </c>
      <c r="G372" s="92">
        <f t="array" ref="G372">IF(B372="insumo",_xlfn.XLOOKUP($D372,Insumos!$B$1:$B$996,Insumos!$D$1:$D$996),"")</f>
        <v/>
      </c>
      <c r="H372" s="92" t="n">
        <v>1.72235</v>
      </c>
      <c r="I372" s="2162" t="n">
        <v>581.6956</v>
      </c>
      <c r="J372" s="2162" t="n">
        <v>1001.88341666</v>
      </c>
      <c r="K372" s="2162" t="n"/>
    </row>
    <row r="373" outlineLevel="3" ht="15.75" customHeight="1">
      <c r="A373" s="10" t="n">
        <v>10</v>
      </c>
      <c r="B373" s="10" t="inlineStr">
        <is>
          <t>Insumo</t>
        </is>
      </c>
      <c r="C373" s="10" t="inlineStr">
        <is>
          <t>Forma para infraestrutura em Tábuas de Madeira Serrada 2x reaproveitamento</t>
        </is>
      </c>
      <c r="D373" s="10" t="inlineStr">
        <is>
          <t xml:space="preserve">DESMOLDANTE PROTETOR PARA FORMAS DE MADEIRA, DE BASE OLEOSA EMULSIONADA EM AGUA   </t>
        </is>
      </c>
      <c r="E373" s="11">
        <f t="array" ref="E373">_xlfn.XLOOKUP(D373,Insumos!B:B,Insumos!C:$C)</f>
        <v/>
      </c>
      <c r="F373" s="14" t="n">
        <v>0.017</v>
      </c>
      <c r="G373" s="92">
        <f t="array" ref="G373">IF(B373="insumo",_xlfn.XLOOKUP($D373,Insumos!$B$1:$B$996,Insumos!$D$1:$D$996),"")</f>
        <v/>
      </c>
      <c r="H373" s="92" t="n">
        <v>0.26435</v>
      </c>
      <c r="I373" s="2162" t="n">
        <v>581.6956</v>
      </c>
      <c r="J373" s="2162" t="n">
        <v>153.77123186</v>
      </c>
      <c r="K373" s="2162" t="n"/>
    </row>
    <row r="374" outlineLevel="3" ht="15.75" customHeight="1">
      <c r="A374" s="10" t="n">
        <v>25</v>
      </c>
      <c r="B374" s="10" t="inlineStr">
        <is>
          <t>Insumo</t>
        </is>
      </c>
      <c r="C374" s="10" t="inlineStr">
        <is>
          <t>Forma para infraestrutura em Tábuas de Madeira Serrada 2x reaproveitamento</t>
        </is>
      </c>
      <c r="D374" s="10" t="inlineStr">
        <is>
          <t>MADEIRA PINUS/SIMILAR - PONTALETE 75X75MM NBR 11700/15696</t>
        </is>
      </c>
      <c r="E374" s="11">
        <f t="array" ref="E374">_xlfn.XLOOKUP(D374,Insumos!B:B,Insumos!C:$C)</f>
        <v/>
      </c>
      <c r="F374" s="14" t="n">
        <v>0.7371428571428572</v>
      </c>
      <c r="G374" s="92">
        <f t="array" ref="G374">IF(B374="insumo",_xlfn.XLOOKUP($D374,Insumos!$B$1:$B$996,Insumos!$D$1:$D$996),"")</f>
        <v/>
      </c>
      <c r="H374" s="92" t="n">
        <v>5.16</v>
      </c>
      <c r="I374" s="2162" t="n">
        <v>581.6956</v>
      </c>
      <c r="J374" s="2162" t="n">
        <v>3001.549296</v>
      </c>
      <c r="K374" s="2162" t="n"/>
    </row>
    <row r="375" outlineLevel="3" ht="15.75" customHeight="1">
      <c r="A375" s="10" t="n">
        <v>19</v>
      </c>
      <c r="B375" s="10" t="inlineStr">
        <is>
          <t>Insumo</t>
        </is>
      </c>
      <c r="C375" s="10" t="inlineStr">
        <is>
          <t>Forma para infraestrutura em Tábuas de Madeira Serrada 2x reaproveitamento</t>
        </is>
      </c>
      <c r="D375" s="10" t="inlineStr">
        <is>
          <t>SARRAFO *2,5 X 7,5* CM EM PINUS, MISTA OU EQUIVALENTE DA REGIAO - BRUTA</t>
        </is>
      </c>
      <c r="E375" s="11">
        <f t="array" ref="E375">_xlfn.XLOOKUP(D375,Insumos!B:B,Insumos!C:$C)</f>
        <v/>
      </c>
      <c r="F375" s="14" t="n">
        <v>0.002638095238095238</v>
      </c>
      <c r="G375" s="92">
        <f t="array" ref="G375">IF(B375="insumo",_xlfn.XLOOKUP($D375,Insumos!$B$1:$B$996,Insumos!$D$1:$D$996),"")</f>
        <v/>
      </c>
      <c r="H375" s="92" t="n">
        <v>3.56142857142857</v>
      </c>
      <c r="I375" s="2162" t="n">
        <v>581.6956</v>
      </c>
      <c r="J375" s="2162" t="n">
        <v>2071.66732971429</v>
      </c>
      <c r="K375" s="2162" t="n"/>
    </row>
    <row r="376" outlineLevel="3" ht="15.75" customHeight="1">
      <c r="A376" s="10" t="n">
        <v>6</v>
      </c>
      <c r="B376" s="10" t="inlineStr">
        <is>
          <t>Insumo</t>
        </is>
      </c>
      <c r="C376" s="10" t="inlineStr">
        <is>
          <t>Forma para infraestrutura em Tábuas de Madeira Serrada 2x reaproveitamento</t>
        </is>
      </c>
      <c r="D376" s="10" t="inlineStr">
        <is>
          <t>TABUA *2,5 X 30 CM EM PINUS, MISTA OU EQUIVALENTE DA REGIAO - BRUTA (M)</t>
        </is>
      </c>
      <c r="E376" s="11">
        <f t="array" ref="E376">_xlfn.XLOOKUP(D376,Insumos!B:B,Insumos!C:$C)</f>
        <v/>
      </c>
      <c r="F376" s="14" t="n">
        <v>1.155</v>
      </c>
      <c r="G376" s="92">
        <f t="array" ref="G376">IF(B376="insumo",_xlfn.XLOOKUP($D376,Insumos!$B$1:$B$996,Insumos!$D$1:$D$996),"")</f>
        <v/>
      </c>
      <c r="H376" s="92" t="n">
        <v>49.0413</v>
      </c>
      <c r="I376" s="2162" t="n">
        <v>581.6956</v>
      </c>
      <c r="J376" s="2162" t="n">
        <v>28527.10842828</v>
      </c>
      <c r="K376" s="2162" t="n"/>
    </row>
    <row r="377" outlineLevel="2" ht="15.75" customHeight="1">
      <c r="A377" s="1067" t="n">
        <v>1</v>
      </c>
      <c r="B377" s="1067" t="inlineStr">
        <is>
          <t>Serviço</t>
        </is>
      </c>
      <c r="C377" s="1067" t="inlineStr">
        <is>
          <t>Forma para infraestrutura em Tábuas de Madeira Serrada 4x reaproveitamento</t>
        </is>
      </c>
      <c r="D377" s="1067" t="inlineStr">
        <is>
          <t>Forma para infraestrutura em Tábuas de Madeira Serrada 4x reaproveitamento</t>
        </is>
      </c>
      <c r="E377" s="1068" t="inlineStr">
        <is>
          <t>M2</t>
        </is>
      </c>
      <c r="F377" s="1067" t="n"/>
      <c r="G377" s="1069">
        <f t="array" ref="G377">IF(B377="insumo",_xlfn.XLOOKUP($D377,Insumos!$B$1:$B$996,Insumos!$D$1:$D$996),"")</f>
        <v/>
      </c>
      <c r="H377" s="1069" t="n">
        <v>59.9562285714286</v>
      </c>
      <c r="I377" s="2161" t="n">
        <v>0</v>
      </c>
      <c r="J377" s="2161" t="n">
        <v>0</v>
      </c>
      <c r="K377" s="2161" t="n"/>
    </row>
    <row r="378" outlineLevel="3" ht="15.75" customHeight="1">
      <c r="A378" s="10" t="n">
        <v>3</v>
      </c>
      <c r="B378" s="10" t="inlineStr">
        <is>
          <t>Insumo</t>
        </is>
      </c>
      <c r="C378" s="10" t="inlineStr">
        <is>
          <t>Forma para infraestrutura em Tábuas de Madeira Serrada 4x reaproveitamento</t>
        </is>
      </c>
      <c r="D378" s="10" t="inlineStr">
        <is>
          <t>PREGO DE ACO POLIDO COM CABECA 15 X 18 (1 1/2 X 13)</t>
        </is>
      </c>
      <c r="E378" s="11">
        <f t="array" ref="E378">_xlfn.XLOOKUP(D378,Insumos!B:B,Insumos!C:$C)</f>
        <v/>
      </c>
      <c r="F378" s="14" t="n">
        <v>0.011</v>
      </c>
      <c r="G378" s="92">
        <f t="array" ref="G378">IF(B378="insumo",_xlfn.XLOOKUP($D378,Insumos!$B$1:$B$996,Insumos!$D$1:$D$996),"")</f>
        <v/>
      </c>
      <c r="H378" s="92" t="n">
        <v>0.2068</v>
      </c>
      <c r="I378" s="2162" t="n">
        <v>0</v>
      </c>
      <c r="J378" s="2162" t="n">
        <v>0</v>
      </c>
      <c r="K378" s="2162" t="n"/>
    </row>
    <row r="379" outlineLevel="3" ht="15.75" customHeight="1">
      <c r="A379" s="10" t="n">
        <v>40</v>
      </c>
      <c r="B379" s="10" t="inlineStr">
        <is>
          <t>Insumo</t>
        </is>
      </c>
      <c r="C379" s="10" t="inlineStr">
        <is>
          <t>Forma para infraestrutura em Tábuas de Madeira Serrada 4x reaproveitamento</t>
        </is>
      </c>
      <c r="D379" s="10" t="inlineStr">
        <is>
          <t>PREGO DE ACO POLIDO COM CABECA 17 X 21 (2 X 11)</t>
        </is>
      </c>
      <c r="E379" s="11">
        <f t="array" ref="E379">_xlfn.XLOOKUP(D379,Insumos!B:B,Insumos!C:$C)</f>
        <v/>
      </c>
      <c r="F379" s="14" t="n">
        <v>0.095</v>
      </c>
      <c r="G379" s="92">
        <f t="array" ref="G379">IF(B379="insumo",_xlfn.XLOOKUP($D379,Insumos!$B$1:$B$996,Insumos!$D$1:$D$996),"")</f>
        <v/>
      </c>
      <c r="H379" s="92" t="n">
        <v>1.72235</v>
      </c>
      <c r="I379" s="2162" t="n">
        <v>0</v>
      </c>
      <c r="J379" s="2162" t="n">
        <v>0</v>
      </c>
      <c r="K379" s="2162" t="n"/>
    </row>
    <row r="380" outlineLevel="3" ht="15.75" customHeight="1">
      <c r="A380" s="10" t="n">
        <v>10</v>
      </c>
      <c r="B380" s="10" t="inlineStr">
        <is>
          <t>Insumo</t>
        </is>
      </c>
      <c r="C380" s="10" t="inlineStr">
        <is>
          <t>Forma para infraestrutura em Tábuas de Madeira Serrada 4x reaproveitamento</t>
        </is>
      </c>
      <c r="D380" s="10" t="inlineStr">
        <is>
          <t xml:space="preserve">DESMOLDANTE PROTETOR PARA FORMAS DE MADEIRA, DE BASE OLEOSA EMULSIONADA EM AGUA   </t>
        </is>
      </c>
      <c r="E380" s="11">
        <f t="array" ref="E380">_xlfn.XLOOKUP(D380,Insumos!B:B,Insumos!C:$C)</f>
        <v/>
      </c>
      <c r="F380" s="14" t="n">
        <v>0.017</v>
      </c>
      <c r="G380" s="92">
        <f t="array" ref="G380">IF(B380="insumo",_xlfn.XLOOKUP($D380,Insumos!$B$1:$B$996,Insumos!$D$1:$D$996),"")</f>
        <v/>
      </c>
      <c r="H380" s="92" t="n">
        <v>0.26435</v>
      </c>
      <c r="I380" s="2162" t="n">
        <v>0</v>
      </c>
      <c r="J380" s="2162" t="n">
        <v>0</v>
      </c>
      <c r="K380" s="2162" t="n"/>
    </row>
    <row r="381" outlineLevel="3" ht="15.75" customHeight="1">
      <c r="A381" s="10" t="n">
        <v>25</v>
      </c>
      <c r="B381" s="10" t="inlineStr">
        <is>
          <t>Insumo</t>
        </is>
      </c>
      <c r="C381" s="10" t="inlineStr">
        <is>
          <t>Forma para infraestrutura em Tábuas de Madeira Serrada 4x reaproveitamento</t>
        </is>
      </c>
      <c r="D381" s="10" t="inlineStr">
        <is>
          <t>MADEIRA PINUS/SIMILAR - PONTALETE 75X75MM NBR 11700/15696</t>
        </is>
      </c>
      <c r="E381" s="11">
        <f t="array" ref="E381">_xlfn.XLOOKUP(D381,Insumos!B:B,Insumos!C:$C)</f>
        <v/>
      </c>
      <c r="F381" s="14" t="n">
        <v>0.7371428571428572</v>
      </c>
      <c r="G381" s="92">
        <f t="array" ref="G381">IF(B381="insumo",_xlfn.XLOOKUP($D381,Insumos!$B$1:$B$996,Insumos!$D$1:$D$996),"")</f>
        <v/>
      </c>
      <c r="H381" s="92" t="n">
        <v>5.16</v>
      </c>
      <c r="I381" s="2162" t="n">
        <v>0</v>
      </c>
      <c r="J381" s="2162" t="n">
        <v>0</v>
      </c>
      <c r="K381" s="2162" t="n"/>
    </row>
    <row r="382" outlineLevel="3" ht="15.75" customHeight="1">
      <c r="A382" s="10" t="n">
        <v>19</v>
      </c>
      <c r="B382" s="10" t="inlineStr">
        <is>
          <t>Insumo</t>
        </is>
      </c>
      <c r="C382" s="10" t="inlineStr">
        <is>
          <t>Forma para infraestrutura em Tábuas de Madeira Serrada 4x reaproveitamento</t>
        </is>
      </c>
      <c r="D382" s="10" t="inlineStr">
        <is>
          <t>SARRAFO *2,5 X 7,5* CM EM PINUS, MISTA OU EQUIVALENTE DA REGIAO - BRUTA</t>
        </is>
      </c>
      <c r="E382" s="11">
        <f t="array" ref="E382">_xlfn.XLOOKUP(D382,Insumos!B:B,Insumos!C:$C)</f>
        <v/>
      </c>
      <c r="F382" s="14" t="n">
        <v>0.002638095238095238</v>
      </c>
      <c r="G382" s="92">
        <f t="array" ref="G382">IF(B382="insumo",_xlfn.XLOOKUP($D382,Insumos!$B$1:$B$996,Insumos!$D$1:$D$996),"")</f>
        <v/>
      </c>
      <c r="H382" s="92" t="n">
        <v>3.56142857142857</v>
      </c>
      <c r="I382" s="2162" t="n">
        <v>0</v>
      </c>
      <c r="J382" s="2162" t="n">
        <v>0</v>
      </c>
      <c r="K382" s="2162" t="n"/>
    </row>
    <row r="383" outlineLevel="3" ht="15.75" customHeight="1">
      <c r="A383" s="10" t="n">
        <v>6</v>
      </c>
      <c r="B383" s="10" t="inlineStr">
        <is>
          <t>Insumo</t>
        </is>
      </c>
      <c r="C383" s="10" t="inlineStr">
        <is>
          <t>Forma para infraestrutura em Tábuas de Madeira Serrada 4x reaproveitamento</t>
        </is>
      </c>
      <c r="D383" s="10" t="inlineStr">
        <is>
          <t>TABUA *2,5 X 30 CM EM PINUS, MISTA OU EQUIVALENTE DA REGIAO - BRUTA (M)</t>
        </is>
      </c>
      <c r="E383" s="11">
        <f t="array" ref="E383">_xlfn.XLOOKUP(D383,Insumos!B:B,Insumos!C:$C)</f>
        <v/>
      </c>
      <c r="F383" s="14" t="n">
        <v>1.155</v>
      </c>
      <c r="G383" s="92">
        <f t="array" ref="G383">IF(B383="insumo",_xlfn.XLOOKUP($D383,Insumos!$B$1:$B$996,Insumos!$D$1:$D$996),"")</f>
        <v/>
      </c>
      <c r="H383" s="92" t="n">
        <v>49.0413</v>
      </c>
      <c r="I383" s="2162" t="n">
        <v>0</v>
      </c>
      <c r="J383" s="2162" t="n">
        <v>0</v>
      </c>
      <c r="K383" s="2162" t="n"/>
    </row>
    <row r="384" outlineLevel="1" ht="15.75" customHeight="1">
      <c r="A384" s="1090" t="n">
        <v>4</v>
      </c>
      <c r="B384" s="1090" t="inlineStr">
        <is>
          <t>Subetapa</t>
        </is>
      </c>
      <c r="C384" s="1090" t="inlineStr">
        <is>
          <t>Forma para infraestrutura em Tábuas de Madeira Serrada 4x reaproveitamento</t>
        </is>
      </c>
      <c r="D384" s="1090" t="inlineStr">
        <is>
          <t>ARMADURA</t>
        </is>
      </c>
      <c r="E384" s="1091" t="n"/>
      <c r="F384" s="2160" t="n"/>
      <c r="G384" s="1091" t="n"/>
      <c r="H384" s="1091" t="n">
        <v>0</v>
      </c>
      <c r="I384" s="2160" t="n">
        <v>0</v>
      </c>
      <c r="J384" s="2160" t="n">
        <v>0</v>
      </c>
      <c r="K384" s="2160" t="n"/>
    </row>
    <row r="385" outlineLevel="2" ht="15.75" customHeight="1">
      <c r="A385" s="1067" t="n">
        <v>1</v>
      </c>
      <c r="B385" s="1067" t="inlineStr">
        <is>
          <t>Serviço</t>
        </is>
      </c>
      <c r="C385" s="1067" t="inlineStr">
        <is>
          <t>Armação aço CA-50 ø 5,0mm para infraestrutura (corte e dobra em obra)</t>
        </is>
      </c>
      <c r="D385" s="1067" t="inlineStr">
        <is>
          <t>Armação aço CA-50 ø 5,0mm para infraestrutura (corte e dobra em obra)</t>
        </is>
      </c>
      <c r="E385" s="1068" t="inlineStr">
        <is>
          <t>KG</t>
        </is>
      </c>
      <c r="F385" s="1067" t="n"/>
      <c r="G385" s="1069">
        <f t="array" ref="G385">IF(B385="insumo",_xlfn.XLOOKUP($D385,Insumos!$B$1:$B$996,Insumos!$D$1:$D$996),"")</f>
        <v/>
      </c>
      <c r="H385" s="1069" t="n">
        <v>7.0532266249184</v>
      </c>
      <c r="I385" s="2161" t="n">
        <v>0</v>
      </c>
      <c r="J385" s="2161" t="n">
        <v>0</v>
      </c>
      <c r="K385" s="2161" t="n"/>
    </row>
    <row r="386" outlineLevel="3" ht="15.75" customHeight="1">
      <c r="A386" s="10" t="n">
        <v>5</v>
      </c>
      <c r="B386" s="10" t="inlineStr">
        <is>
          <t>Insumo</t>
        </is>
      </c>
      <c r="C386" s="10" t="inlineStr">
        <is>
          <t>Armação aço CA-50 ø 5,0mm para infraestrutura (corte e dobra em obra)</t>
        </is>
      </c>
      <c r="D386" s="10" t="inlineStr">
        <is>
          <t>Aço CA60 5,0mm</t>
        </is>
      </c>
      <c r="E386" s="11">
        <f t="array" ref="E386">_xlfn.XLOOKUP(D386,Insumos!B:B,Insumos!C:$C)</f>
        <v/>
      </c>
      <c r="F386" s="14" t="n">
        <v>1.1</v>
      </c>
      <c r="G386" s="92">
        <f t="array" ref="G386">IF(B386="insumo",_xlfn.XLOOKUP($D386,Insumos!$B$1:$B$996,Insumos!$D$1:$D$996),"")</f>
        <v/>
      </c>
      <c r="H386" s="92" t="n">
        <v>6.7590816249184</v>
      </c>
      <c r="I386" s="2162" t="n">
        <v>0</v>
      </c>
      <c r="J386" s="2162" t="n">
        <v>0</v>
      </c>
      <c r="K386" s="2162" t="n"/>
    </row>
    <row r="387" outlineLevel="3" ht="15.75" customHeight="1">
      <c r="A387" s="10" t="n">
        <v>41</v>
      </c>
      <c r="B387" s="10" t="inlineStr">
        <is>
          <t>Insumo</t>
        </is>
      </c>
      <c r="C387" s="10" t="inlineStr">
        <is>
          <t>Armação aço CA-50 ø 5,0mm para infraestrutura (corte e dobra em obra)</t>
        </is>
      </c>
      <c r="D387" s="10" t="inlineStr">
        <is>
          <t xml:space="preserve">Arame Galvanizado </t>
        </is>
      </c>
      <c r="E387" s="11">
        <f t="array" ref="E387">_xlfn.XLOOKUP(D387,Insumos!B:B,Insumos!C:$C)</f>
        <v/>
      </c>
      <c r="F387" s="14" t="n">
        <v>0.0205</v>
      </c>
      <c r="G387" s="92">
        <f t="array" ref="G387">IF(B387="insumo",_xlfn.XLOOKUP($D387,Insumos!$B$1:$B$996,Insumos!$D$1:$D$996),"")</f>
        <v/>
      </c>
      <c r="H387" s="92" t="n">
        <v>0.280645</v>
      </c>
      <c r="I387" s="2162" t="n">
        <v>0</v>
      </c>
      <c r="J387" s="2162" t="n">
        <v>0</v>
      </c>
      <c r="K387" s="2162" t="n"/>
    </row>
    <row r="388" outlineLevel="3" ht="15.75" customHeight="1">
      <c r="A388" s="10" t="n">
        <v>62</v>
      </c>
      <c r="B388" s="10" t="inlineStr">
        <is>
          <t>Insumo</t>
        </is>
      </c>
      <c r="C388" s="10" t="inlineStr">
        <is>
          <t>Armação aço CA-50 ø 5,0mm para infraestrutura (corte e dobra em obra)</t>
        </is>
      </c>
      <c r="D388" s="10" t="inlineStr">
        <is>
          <t>Espaçador para armadura</t>
        </is>
      </c>
      <c r="E388" s="11">
        <f t="array" ref="E388">_xlfn.XLOOKUP(D388,Insumos!B:B,Insumos!C:$C)</f>
        <v/>
      </c>
      <c r="F388" s="14" t="n">
        <v>0.05</v>
      </c>
      <c r="G388" s="92">
        <f t="array" ref="G388">IF(B388="insumo",_xlfn.XLOOKUP($D388,Insumos!$B$1:$B$996,Insumos!$D$1:$D$996),"")</f>
        <v/>
      </c>
      <c r="H388" s="92" t="n">
        <v>0.0135</v>
      </c>
      <c r="I388" s="2162" t="n">
        <v>0</v>
      </c>
      <c r="J388" s="2162" t="n">
        <v>0</v>
      </c>
      <c r="K388" s="2162" t="n"/>
    </row>
    <row r="389" outlineLevel="2" ht="15.75" customHeight="1">
      <c r="A389" s="1067" t="n">
        <v>1</v>
      </c>
      <c r="B389" s="1067" t="inlineStr">
        <is>
          <t>Serviço</t>
        </is>
      </c>
      <c r="C389" s="1067" t="inlineStr">
        <is>
          <t>Armação aço CA-50 ø 6,3mm para infraestrutura (corte e dobra em obra)</t>
        </is>
      </c>
      <c r="D389" s="1067" t="inlineStr">
        <is>
          <t>Armação aço CA-50 ø 6,3mm para infraestrutura (corte e dobra em obra)</t>
        </is>
      </c>
      <c r="E389" s="1068" t="inlineStr">
        <is>
          <t>KG</t>
        </is>
      </c>
      <c r="F389" s="1067" t="n"/>
      <c r="G389" s="1069">
        <f t="array" ref="G389">IF(B389="insumo",_xlfn.XLOOKUP($D389,Insumos!$B$1:$B$996,Insumos!$D$1:$D$996),"")</f>
        <v/>
      </c>
      <c r="H389" s="1069" t="n">
        <v>6.0795673937957</v>
      </c>
      <c r="I389" s="2161" t="n">
        <v>0</v>
      </c>
      <c r="J389" s="2161" t="n">
        <v>0</v>
      </c>
      <c r="K389" s="2161" t="n"/>
    </row>
    <row r="390" outlineLevel="3" ht="15.75" customHeight="1">
      <c r="A390" s="10" t="n">
        <v>4</v>
      </c>
      <c r="B390" s="10" t="inlineStr">
        <is>
          <t>Insumo</t>
        </is>
      </c>
      <c r="C390" s="10" t="inlineStr">
        <is>
          <t>Armação aço CA-50 ø 6,3mm para infraestrutura (corte e dobra em obra)</t>
        </is>
      </c>
      <c r="D390" s="10" t="inlineStr">
        <is>
          <t>Aço CA50 6,3 mm</t>
        </is>
      </c>
      <c r="E390" s="11">
        <f t="array" ref="E390">_xlfn.XLOOKUP(D390,Insumos!B:B,Insumos!C:$C)</f>
        <v/>
      </c>
      <c r="F390" s="14" t="n">
        <v>1.1</v>
      </c>
      <c r="G390" s="92">
        <f t="array" ref="G390">IF(B390="insumo",_xlfn.XLOOKUP($D390,Insumos!$B$1:$B$996,Insumos!$D$1:$D$996),"")</f>
        <v/>
      </c>
      <c r="H390" s="92" t="n">
        <v>5.7854223937957</v>
      </c>
      <c r="I390" s="2162" t="n">
        <v>0</v>
      </c>
      <c r="J390" s="2162" t="n">
        <v>0</v>
      </c>
      <c r="K390" s="2162" t="n"/>
    </row>
    <row r="391" outlineLevel="3" ht="15.75" customHeight="1">
      <c r="A391" s="10" t="n">
        <v>41</v>
      </c>
      <c r="B391" s="10" t="inlineStr">
        <is>
          <t>Insumo</t>
        </is>
      </c>
      <c r="C391" s="10" t="inlineStr">
        <is>
          <t>Armação aço CA-50 ø 6,3mm para infraestrutura (corte e dobra em obra)</t>
        </is>
      </c>
      <c r="D391" s="10" t="inlineStr">
        <is>
          <t xml:space="preserve">Arame Galvanizado </t>
        </is>
      </c>
      <c r="E391" s="11">
        <f t="array" ref="E391">_xlfn.XLOOKUP(D391,Insumos!B:B,Insumos!C:$C)</f>
        <v/>
      </c>
      <c r="F391" s="14" t="n">
        <v>0.0205</v>
      </c>
      <c r="G391" s="92">
        <f t="array" ref="G391">IF(B391="insumo",_xlfn.XLOOKUP($D391,Insumos!$B$1:$B$996,Insumos!$D$1:$D$996),"")</f>
        <v/>
      </c>
      <c r="H391" s="92" t="n">
        <v>0.280645</v>
      </c>
      <c r="I391" s="2162" t="n">
        <v>0</v>
      </c>
      <c r="J391" s="2162" t="n">
        <v>0</v>
      </c>
      <c r="K391" s="2162" t="n"/>
    </row>
    <row r="392" outlineLevel="3" ht="15.75" customHeight="1">
      <c r="A392" s="10" t="n">
        <v>62</v>
      </c>
      <c r="B392" s="10" t="inlineStr">
        <is>
          <t>Insumo</t>
        </is>
      </c>
      <c r="C392" s="10" t="inlineStr">
        <is>
          <t>Armação aço CA-50 ø 6,3mm para infraestrutura (corte e dobra em obra)</t>
        </is>
      </c>
      <c r="D392" s="10" t="inlineStr">
        <is>
          <t>Espaçador para armadura</t>
        </is>
      </c>
      <c r="E392" s="11">
        <f t="array" ref="E392">_xlfn.XLOOKUP(D392,Insumos!B:B,Insumos!C:$C)</f>
        <v/>
      </c>
      <c r="F392" s="14" t="n">
        <v>0.05</v>
      </c>
      <c r="G392" s="92">
        <f t="array" ref="G392">IF(B392="insumo",_xlfn.XLOOKUP($D392,Insumos!$B$1:$B$996,Insumos!$D$1:$D$996),"")</f>
        <v/>
      </c>
      <c r="H392" s="92" t="n">
        <v>0.0135</v>
      </c>
      <c r="I392" s="2162" t="n">
        <v>0</v>
      </c>
      <c r="J392" s="2162" t="n">
        <v>0</v>
      </c>
      <c r="K392" s="2162" t="n"/>
    </row>
    <row r="393" outlineLevel="2" ht="15.75" customHeight="1">
      <c r="A393" s="1067" t="n">
        <v>1</v>
      </c>
      <c r="B393" s="1067" t="inlineStr">
        <is>
          <t>Serviço</t>
        </is>
      </c>
      <c r="C393" s="1067" t="inlineStr">
        <is>
          <t>Armação aço CA-50 ø 8,0mm para infraestrutura (corte e dobra em obra)</t>
        </is>
      </c>
      <c r="D393" s="1067" t="inlineStr">
        <is>
          <t>Armação aço CA-50 ø 8,0mm para infraestrutura (corte e dobra em obra)</t>
        </is>
      </c>
      <c r="E393" s="1068" t="inlineStr">
        <is>
          <t>KG</t>
        </is>
      </c>
      <c r="F393" s="1067" t="n"/>
      <c r="G393" s="1069">
        <f t="array" ref="G393">IF(B393="insumo",_xlfn.XLOOKUP($D393,Insumos!$B$1:$B$996,Insumos!$D$1:$D$996),"")</f>
        <v/>
      </c>
      <c r="H393" s="1069" t="n">
        <v>5.71148765890462</v>
      </c>
      <c r="I393" s="2161" t="n">
        <v>0</v>
      </c>
      <c r="J393" s="2161" t="n">
        <v>0</v>
      </c>
      <c r="K393" s="2161" t="n"/>
    </row>
    <row r="394" outlineLevel="3" ht="15.75" customHeight="1">
      <c r="A394" s="10" t="n">
        <v>5</v>
      </c>
      <c r="B394" s="10" t="inlineStr">
        <is>
          <t>Insumo</t>
        </is>
      </c>
      <c r="C394" s="10" t="inlineStr">
        <is>
          <t>Armação aço CA-50 ø 8,0mm para infraestrutura (corte e dobra em obra)</t>
        </is>
      </c>
      <c r="D394" s="10" t="inlineStr">
        <is>
          <t>Aço CA50 8,0 mm</t>
        </is>
      </c>
      <c r="E394" s="11">
        <f t="array" ref="E394">_xlfn.XLOOKUP(D394,Insumos!B:B,Insumos!C:$C)</f>
        <v/>
      </c>
      <c r="F394" s="14" t="n">
        <v>1.1</v>
      </c>
      <c r="G394" s="92">
        <f t="array" ref="G394">IF(B394="insumo",_xlfn.XLOOKUP($D394,Insumos!$B$1:$B$996,Insumos!$D$1:$D$996),"")</f>
        <v/>
      </c>
      <c r="H394" s="92" t="n">
        <v>5.41734265890462</v>
      </c>
      <c r="I394" s="2162" t="n">
        <v>0</v>
      </c>
      <c r="J394" s="2162" t="n">
        <v>0</v>
      </c>
      <c r="K394" s="2162" t="n"/>
    </row>
    <row r="395" outlineLevel="3" ht="15.75" customHeight="1">
      <c r="A395" s="10" t="n">
        <v>41</v>
      </c>
      <c r="B395" s="10" t="inlineStr">
        <is>
          <t>Insumo</t>
        </is>
      </c>
      <c r="C395" s="10" t="inlineStr">
        <is>
          <t>Armação aço CA-50 ø 8,0mm para infraestrutura (corte e dobra em obra)</t>
        </is>
      </c>
      <c r="D395" s="10" t="inlineStr">
        <is>
          <t xml:space="preserve">Arame Galvanizado </t>
        </is>
      </c>
      <c r="E395" s="11">
        <f t="array" ref="E395">_xlfn.XLOOKUP(D395,Insumos!B:B,Insumos!C:$C)</f>
        <v/>
      </c>
      <c r="F395" s="14" t="n">
        <v>0.0205</v>
      </c>
      <c r="G395" s="92">
        <f t="array" ref="G395">IF(B395="insumo",_xlfn.XLOOKUP($D395,Insumos!$B$1:$B$996,Insumos!$D$1:$D$996),"")</f>
        <v/>
      </c>
      <c r="H395" s="92" t="n">
        <v>0.280645</v>
      </c>
      <c r="I395" s="2162" t="n">
        <v>0</v>
      </c>
      <c r="J395" s="2162" t="n">
        <v>0</v>
      </c>
      <c r="K395" s="2162" t="n"/>
    </row>
    <row r="396" outlineLevel="3" ht="15.75" customHeight="1">
      <c r="A396" s="10" t="n">
        <v>62</v>
      </c>
      <c r="B396" s="10" t="inlineStr">
        <is>
          <t>Insumo</t>
        </is>
      </c>
      <c r="C396" s="10" t="inlineStr">
        <is>
          <t>Armação aço CA-50 ø 8,0mm para infraestrutura (corte e dobra em obra)</t>
        </is>
      </c>
      <c r="D396" s="10" t="inlineStr">
        <is>
          <t>Espaçador para armadura</t>
        </is>
      </c>
      <c r="E396" s="11">
        <f t="array" ref="E396">_xlfn.XLOOKUP(D396,Insumos!B:B,Insumos!C:$C)</f>
        <v/>
      </c>
      <c r="F396" s="14" t="n">
        <v>0.05</v>
      </c>
      <c r="G396" s="92">
        <f t="array" ref="G396">IF(B396="insumo",_xlfn.XLOOKUP($D396,Insumos!$B$1:$B$996,Insumos!$D$1:$D$996),"")</f>
        <v/>
      </c>
      <c r="H396" s="92" t="n">
        <v>0.0135</v>
      </c>
      <c r="I396" s="2162" t="n">
        <v>0</v>
      </c>
      <c r="J396" s="2162" t="n">
        <v>0</v>
      </c>
      <c r="K396" s="2162" t="n"/>
    </row>
    <row r="397" outlineLevel="2" ht="15.75" customHeight="1">
      <c r="A397" s="1067" t="n">
        <v>1</v>
      </c>
      <c r="B397" s="1067" t="inlineStr">
        <is>
          <t>Serviço</t>
        </is>
      </c>
      <c r="C397" s="1067" t="inlineStr">
        <is>
          <t>Armação aço CA-50 ø 10,0mm para infraestrutura (corte e dobra em obra)</t>
        </is>
      </c>
      <c r="D397" s="1067" t="inlineStr">
        <is>
          <t>Armação aço CA-50 ø 10,0mm para infraestrutura (corte e dobra em obra)</t>
        </is>
      </c>
      <c r="E397" s="1068" t="inlineStr">
        <is>
          <t>KG</t>
        </is>
      </c>
      <c r="F397" s="1067" t="n"/>
      <c r="G397" s="1069">
        <f t="array" ref="G397">IF(B397="insumo",_xlfn.XLOOKUP($D397,Insumos!$B$1:$B$996,Insumos!$D$1:$D$996),"")</f>
        <v/>
      </c>
      <c r="H397" s="1069" t="n">
        <v>5.57489771932025</v>
      </c>
      <c r="I397" s="2161" t="n">
        <v>0</v>
      </c>
      <c r="J397" s="2161" t="n">
        <v>0</v>
      </c>
      <c r="K397" s="2161" t="n"/>
    </row>
    <row r="398" outlineLevel="3" ht="15.75" customHeight="1">
      <c r="A398" s="10" t="n">
        <v>4</v>
      </c>
      <c r="B398" s="10" t="inlineStr">
        <is>
          <t>Insumo</t>
        </is>
      </c>
      <c r="C398" s="10" t="inlineStr">
        <is>
          <t>Armação aço CA-50 ø 10,0mm para infraestrutura (corte e dobra em obra)</t>
        </is>
      </c>
      <c r="D398" s="10" t="inlineStr">
        <is>
          <t>Aço CA50 10,0 mm</t>
        </is>
      </c>
      <c r="E398" s="11">
        <f t="array" ref="E398">_xlfn.XLOOKUP(D398,Insumos!B:B,Insumos!C:$C)</f>
        <v/>
      </c>
      <c r="F398" s="14" t="n">
        <v>1.1</v>
      </c>
      <c r="G398" s="92">
        <f t="array" ref="G398">IF(B398="insumo",_xlfn.XLOOKUP($D398,Insumos!$B$1:$B$996,Insumos!$D$1:$D$996),"")</f>
        <v/>
      </c>
      <c r="H398" s="92" t="n">
        <v>5.28075271932025</v>
      </c>
      <c r="I398" s="2162" t="n">
        <v>0</v>
      </c>
      <c r="J398" s="2162" t="n">
        <v>0</v>
      </c>
      <c r="K398" s="2162" t="n"/>
    </row>
    <row r="399" outlineLevel="3" ht="15.75" customHeight="1">
      <c r="A399" s="10" t="n">
        <v>41</v>
      </c>
      <c r="B399" s="10" t="inlineStr">
        <is>
          <t>Insumo</t>
        </is>
      </c>
      <c r="C399" s="10" t="inlineStr">
        <is>
          <t>Armação aço CA-50 ø 10,0mm para infraestrutura (corte e dobra em obra)</t>
        </is>
      </c>
      <c r="D399" s="10" t="inlineStr">
        <is>
          <t xml:space="preserve">Arame Galvanizado </t>
        </is>
      </c>
      <c r="E399" s="11">
        <f t="array" ref="E399">_xlfn.XLOOKUP(D399,Insumos!B:B,Insumos!C:$C)</f>
        <v/>
      </c>
      <c r="F399" s="14" t="n">
        <v>0.0205</v>
      </c>
      <c r="G399" s="92">
        <f t="array" ref="G399">IF(B399="insumo",_xlfn.XLOOKUP($D399,Insumos!$B$1:$B$996,Insumos!$D$1:$D$996),"")</f>
        <v/>
      </c>
      <c r="H399" s="92" t="n">
        <v>0.280645</v>
      </c>
      <c r="I399" s="2162" t="n">
        <v>0</v>
      </c>
      <c r="J399" s="2162" t="n">
        <v>0</v>
      </c>
      <c r="K399" s="2162" t="n"/>
    </row>
    <row r="400" outlineLevel="3" ht="15.75" customHeight="1">
      <c r="A400" s="10" t="n">
        <v>62</v>
      </c>
      <c r="B400" s="10" t="inlineStr">
        <is>
          <t>Insumo</t>
        </is>
      </c>
      <c r="C400" s="10" t="inlineStr">
        <is>
          <t>Armação aço CA-50 ø 10,0mm para infraestrutura (corte e dobra em obra)</t>
        </is>
      </c>
      <c r="D400" s="10" t="inlineStr">
        <is>
          <t>Espaçador para armadura</t>
        </is>
      </c>
      <c r="E400" s="11">
        <f t="array" ref="E400">_xlfn.XLOOKUP(D400,Insumos!B:B,Insumos!C:$C)</f>
        <v/>
      </c>
      <c r="F400" s="14" t="n">
        <v>0.05</v>
      </c>
      <c r="G400" s="92">
        <f t="array" ref="G400">IF(B400="insumo",_xlfn.XLOOKUP($D400,Insumos!$B$1:$B$996,Insumos!$D$1:$D$996),"")</f>
        <v/>
      </c>
      <c r="H400" s="92" t="n">
        <v>0.0135</v>
      </c>
      <c r="I400" s="2162" t="n">
        <v>0</v>
      </c>
      <c r="J400" s="2162" t="n">
        <v>0</v>
      </c>
      <c r="K400" s="2162" t="n"/>
    </row>
    <row r="401" outlineLevel="2" ht="15.75" customHeight="1">
      <c r="A401" s="1067" t="n">
        <v>1</v>
      </c>
      <c r="B401" s="1067" t="inlineStr">
        <is>
          <t>Serviço</t>
        </is>
      </c>
      <c r="C401" s="1067" t="inlineStr">
        <is>
          <t xml:space="preserve">Armação aço CA-50 ø 12,5mm para infraestrutura (corte e dobra em obra) </t>
        </is>
      </c>
      <c r="D401" s="1067" t="inlineStr">
        <is>
          <t xml:space="preserve">Armação aço CA-50 ø 12,5mm para infraestrutura (corte e dobra em obra) </t>
        </is>
      </c>
      <c r="E401" s="1068" t="inlineStr">
        <is>
          <t>KG</t>
        </is>
      </c>
      <c r="F401" s="1067" t="n"/>
      <c r="G401" s="1069">
        <f t="array" ref="G401">IF(B401="insumo",_xlfn.XLOOKUP($D401,Insumos!$B$1:$B$996,Insumos!$D$1:$D$996),"")</f>
        <v/>
      </c>
      <c r="H401" s="1069" t="n">
        <v>5.85253908446873</v>
      </c>
      <c r="I401" s="2161" t="n">
        <v>0</v>
      </c>
      <c r="J401" s="2161" t="n">
        <v>0</v>
      </c>
      <c r="K401" s="2161" t="n"/>
    </row>
    <row r="402" outlineLevel="3" ht="15.75" customHeight="1">
      <c r="A402" s="10" t="n">
        <v>3</v>
      </c>
      <c r="B402" s="10" t="inlineStr">
        <is>
          <t>Insumo</t>
        </is>
      </c>
      <c r="C402" s="10" t="inlineStr">
        <is>
          <t xml:space="preserve">Armação aço CA-50 ø 12,5mm para infraestrutura (corte e dobra em obra) </t>
        </is>
      </c>
      <c r="D402" s="10" t="inlineStr">
        <is>
          <t>Aço CA50 12,5 mm</t>
        </is>
      </c>
      <c r="E402" s="11">
        <f t="array" ref="E402">_xlfn.XLOOKUP(D402,Insumos!B:B,Insumos!C:$C)</f>
        <v/>
      </c>
      <c r="F402" s="14" t="n">
        <v>1.1</v>
      </c>
      <c r="G402" s="92">
        <f t="array" ref="G402">IF(B402="insumo",_xlfn.XLOOKUP($D402,Insumos!$B$1:$B$996,Insumos!$D$1:$D$996),"")</f>
        <v/>
      </c>
      <c r="H402" s="92" t="n">
        <v>5.55839408446873</v>
      </c>
      <c r="I402" s="2162" t="n">
        <v>0</v>
      </c>
      <c r="J402" s="2162" t="n">
        <v>0</v>
      </c>
      <c r="K402" s="2162" t="n"/>
    </row>
    <row r="403" outlineLevel="3" ht="15.75" customHeight="1">
      <c r="A403" s="10" t="n">
        <v>41</v>
      </c>
      <c r="B403" s="10" t="inlineStr">
        <is>
          <t>Insumo</t>
        </is>
      </c>
      <c r="C403" s="10" t="inlineStr">
        <is>
          <t xml:space="preserve">Armação aço CA-50 ø 12,5mm para infraestrutura (corte e dobra em obra) </t>
        </is>
      </c>
      <c r="D403" s="10" t="inlineStr">
        <is>
          <t xml:space="preserve">Arame Galvanizado </t>
        </is>
      </c>
      <c r="E403" s="11">
        <f t="array" ref="E403">_xlfn.XLOOKUP(D403,Insumos!B:B,Insumos!C:$C)</f>
        <v/>
      </c>
      <c r="F403" s="14" t="n">
        <v>0.0205</v>
      </c>
      <c r="G403" s="92">
        <f t="array" ref="G403">IF(B403="insumo",_xlfn.XLOOKUP($D403,Insumos!$B$1:$B$996,Insumos!$D$1:$D$996),"")</f>
        <v/>
      </c>
      <c r="H403" s="92" t="n">
        <v>0.280645</v>
      </c>
      <c r="I403" s="2162" t="n">
        <v>0</v>
      </c>
      <c r="J403" s="2162" t="n">
        <v>0</v>
      </c>
      <c r="K403" s="2162" t="n"/>
    </row>
    <row r="404" outlineLevel="3" ht="15.75" customHeight="1">
      <c r="A404" s="10" t="n">
        <v>62</v>
      </c>
      <c r="B404" s="10" t="inlineStr">
        <is>
          <t>Insumo</t>
        </is>
      </c>
      <c r="C404" s="10" t="inlineStr">
        <is>
          <t xml:space="preserve">Armação aço CA-50 ø 12,5mm para infraestrutura (corte e dobra em obra) </t>
        </is>
      </c>
      <c r="D404" s="10" t="inlineStr">
        <is>
          <t>Espaçador para armadura</t>
        </is>
      </c>
      <c r="E404" s="11">
        <f t="array" ref="E404">_xlfn.XLOOKUP(D404,Insumos!B:B,Insumos!C:$C)</f>
        <v/>
      </c>
      <c r="F404" s="14" t="n">
        <v>0.05</v>
      </c>
      <c r="G404" s="92">
        <f t="array" ref="G404">IF(B404="insumo",_xlfn.XLOOKUP($D404,Insumos!$B$1:$B$996,Insumos!$D$1:$D$996),"")</f>
        <v/>
      </c>
      <c r="H404" s="92" t="n">
        <v>0.0135</v>
      </c>
      <c r="I404" s="2162" t="n">
        <v>0</v>
      </c>
      <c r="J404" s="2162" t="n">
        <v>0</v>
      </c>
      <c r="K404" s="2162" t="n"/>
    </row>
    <row r="405" outlineLevel="2" ht="15.75" customHeight="1">
      <c r="A405" s="1067" t="n">
        <v>1</v>
      </c>
      <c r="B405" s="1067" t="inlineStr">
        <is>
          <t>Serviço</t>
        </is>
      </c>
      <c r="C405" s="1067" t="inlineStr">
        <is>
          <t>Armação aço CA-50 ø 16,0mm para infraestrutura (corte e dobra em obra)</t>
        </is>
      </c>
      <c r="D405" s="1067" t="inlineStr">
        <is>
          <t>Armação aço CA-50 ø 16,0mm para infraestrutura (corte e dobra em obra)</t>
        </is>
      </c>
      <c r="E405" s="1068" t="inlineStr">
        <is>
          <t>KG</t>
        </is>
      </c>
      <c r="F405" s="1067" t="n"/>
      <c r="G405" s="1069">
        <f t="array" ref="G405">IF(B405="insumo",_xlfn.XLOOKUP($D405,Insumos!$B$1:$B$996,Insumos!$D$1:$D$996),"")</f>
        <v/>
      </c>
      <c r="H405" s="1069" t="n">
        <v>5.72876144939818</v>
      </c>
      <c r="I405" s="2161" t="n">
        <v>0</v>
      </c>
      <c r="J405" s="2161" t="n">
        <v>0</v>
      </c>
      <c r="K405" s="2161" t="n"/>
    </row>
    <row r="406" outlineLevel="3" ht="15.75" customHeight="1">
      <c r="A406" s="10" t="n">
        <v>4</v>
      </c>
      <c r="B406" s="10" t="inlineStr">
        <is>
          <t>Insumo</t>
        </is>
      </c>
      <c r="C406" s="10" t="inlineStr">
        <is>
          <t>Armação aço CA-50 ø 16,0mm para infraestrutura (corte e dobra em obra)</t>
        </is>
      </c>
      <c r="D406" s="10" t="inlineStr">
        <is>
          <t>Aço CA50 16,0mm</t>
        </is>
      </c>
      <c r="E406" s="11">
        <f t="array" ref="E406">_xlfn.XLOOKUP(D406,Insumos!B:B,Insumos!C:$C)</f>
        <v/>
      </c>
      <c r="F406" s="14" t="n">
        <v>1.1</v>
      </c>
      <c r="G406" s="92">
        <f t="array" ref="G406">IF(B406="insumo",_xlfn.XLOOKUP($D406,Insumos!$B$1:$B$996,Insumos!$D$1:$D$996),"")</f>
        <v/>
      </c>
      <c r="H406" s="92" t="n">
        <v>5.43461644939818</v>
      </c>
      <c r="I406" s="2162" t="n">
        <v>0</v>
      </c>
      <c r="J406" s="2162" t="n">
        <v>0</v>
      </c>
      <c r="K406" s="2162" t="n"/>
    </row>
    <row r="407" outlineLevel="3" ht="15.75" customHeight="1">
      <c r="A407" s="10" t="n">
        <v>41</v>
      </c>
      <c r="B407" s="10" t="inlineStr">
        <is>
          <t>Insumo</t>
        </is>
      </c>
      <c r="C407" s="10" t="inlineStr">
        <is>
          <t>Armação aço CA-50 ø 16,0mm para infraestrutura (corte e dobra em obra)</t>
        </is>
      </c>
      <c r="D407" s="10" t="inlineStr">
        <is>
          <t xml:space="preserve">Arame Galvanizado </t>
        </is>
      </c>
      <c r="E407" s="11">
        <f t="array" ref="E407">_xlfn.XLOOKUP(D407,Insumos!B:B,Insumos!C:$C)</f>
        <v/>
      </c>
      <c r="F407" s="14" t="n">
        <v>0.0205</v>
      </c>
      <c r="G407" s="92">
        <f t="array" ref="G407">IF(B407="insumo",_xlfn.XLOOKUP($D407,Insumos!$B$1:$B$996,Insumos!$D$1:$D$996),"")</f>
        <v/>
      </c>
      <c r="H407" s="92" t="n">
        <v>0.280645</v>
      </c>
      <c r="I407" s="2162" t="n">
        <v>0</v>
      </c>
      <c r="J407" s="2162" t="n">
        <v>0</v>
      </c>
      <c r="K407" s="2162" t="n"/>
    </row>
    <row r="408" outlineLevel="3" ht="15.75" customHeight="1">
      <c r="A408" s="10" t="n">
        <v>62</v>
      </c>
      <c r="B408" s="10" t="inlineStr">
        <is>
          <t>Insumo</t>
        </is>
      </c>
      <c r="C408" s="10" t="inlineStr">
        <is>
          <t>Armação aço CA-50 ø 16,0mm para infraestrutura (corte e dobra em obra)</t>
        </is>
      </c>
      <c r="D408" s="10" t="inlineStr">
        <is>
          <t>Espaçador para armadura</t>
        </is>
      </c>
      <c r="E408" s="11">
        <f t="array" ref="E408">_xlfn.XLOOKUP(D408,Insumos!B:B,Insumos!C:$C)</f>
        <v/>
      </c>
      <c r="F408" s="14" t="n">
        <v>0.05</v>
      </c>
      <c r="G408" s="92">
        <f t="array" ref="G408">IF(B408="insumo",_xlfn.XLOOKUP($D408,Insumos!$B$1:$B$996,Insumos!$D$1:$D$996),"")</f>
        <v/>
      </c>
      <c r="H408" s="92" t="n">
        <v>0.0135</v>
      </c>
      <c r="I408" s="2162" t="n">
        <v>0</v>
      </c>
      <c r="J408" s="2162" t="n">
        <v>0</v>
      </c>
      <c r="K408" s="2162" t="n"/>
    </row>
    <row r="409" outlineLevel="2" ht="15.75" customHeight="1">
      <c r="A409" s="1067" t="n">
        <v>1</v>
      </c>
      <c r="B409" s="1067" t="inlineStr">
        <is>
          <t>Serviço</t>
        </is>
      </c>
      <c r="C409" s="1067" t="inlineStr">
        <is>
          <t xml:space="preserve">Armação aço CA-50 ø 20,0mm para infraestrutura (corte e dobra em obra) </t>
        </is>
      </c>
      <c r="D409" s="1067" t="inlineStr">
        <is>
          <t xml:space="preserve">Armação aço CA-50 ø 20,0mm para infraestrutura (corte e dobra em obra) </t>
        </is>
      </c>
      <c r="E409" s="1068" t="inlineStr">
        <is>
          <t>KG</t>
        </is>
      </c>
      <c r="F409" s="1067" t="n"/>
      <c r="G409" s="1069">
        <f t="array" ref="G409">IF(B409="insumo",_xlfn.XLOOKUP($D409,Insumos!$B$1:$B$996,Insumos!$D$1:$D$996),"")</f>
        <v/>
      </c>
      <c r="H409" s="1069" t="n">
        <v>5.83202387420167</v>
      </c>
      <c r="I409" s="2161" t="n">
        <v>0</v>
      </c>
      <c r="J409" s="2161" t="n">
        <v>0</v>
      </c>
      <c r="K409" s="2161" t="n"/>
    </row>
    <row r="410" outlineLevel="3" ht="15.75" customHeight="1">
      <c r="A410" s="10" t="n">
        <v>4</v>
      </c>
      <c r="B410" s="10" t="inlineStr">
        <is>
          <t>Insumo</t>
        </is>
      </c>
      <c r="C410" s="10" t="inlineStr">
        <is>
          <t xml:space="preserve">Armação aço CA-50 ø 20,0mm para infraestrutura (corte e dobra em obra) </t>
        </is>
      </c>
      <c r="D410" s="10" t="inlineStr">
        <is>
          <t>Aço CA50 20,0mm</t>
        </is>
      </c>
      <c r="E410" s="11">
        <f t="array" ref="E410">_xlfn.XLOOKUP(D410,Insumos!B:B,Insumos!C:$C)</f>
        <v/>
      </c>
      <c r="F410" s="14" t="n">
        <v>1.1</v>
      </c>
      <c r="G410" s="92">
        <f t="array" ref="G410">IF(B410="insumo",_xlfn.XLOOKUP($D410,Insumos!$B$1:$B$996,Insumos!$D$1:$D$996),"")</f>
        <v/>
      </c>
      <c r="H410" s="92" t="n">
        <v>5.53787887420167</v>
      </c>
      <c r="I410" s="2162" t="n">
        <v>0</v>
      </c>
      <c r="J410" s="2162" t="n">
        <v>0</v>
      </c>
      <c r="K410" s="2162" t="n"/>
    </row>
    <row r="411" outlineLevel="3" ht="15.75" customHeight="1">
      <c r="A411" s="10" t="n">
        <v>41</v>
      </c>
      <c r="B411" s="10" t="inlineStr">
        <is>
          <t>Insumo</t>
        </is>
      </c>
      <c r="C411" s="10" t="inlineStr">
        <is>
          <t xml:space="preserve">Armação aço CA-50 ø 20,0mm para infraestrutura (corte e dobra em obra) </t>
        </is>
      </c>
      <c r="D411" s="10" t="inlineStr">
        <is>
          <t xml:space="preserve">Arame Galvanizado </t>
        </is>
      </c>
      <c r="E411" s="11">
        <f t="array" ref="E411">_xlfn.XLOOKUP(D411,Insumos!B:B,Insumos!C:$C)</f>
        <v/>
      </c>
      <c r="F411" s="14" t="n">
        <v>0.0205</v>
      </c>
      <c r="G411" s="92">
        <f t="array" ref="G411">IF(B411="insumo",_xlfn.XLOOKUP($D411,Insumos!$B$1:$B$996,Insumos!$D$1:$D$996),"")</f>
        <v/>
      </c>
      <c r="H411" s="92" t="n">
        <v>0.280645</v>
      </c>
      <c r="I411" s="2162" t="n">
        <v>0</v>
      </c>
      <c r="J411" s="2162" t="n">
        <v>0</v>
      </c>
      <c r="K411" s="2162" t="n"/>
    </row>
    <row r="412" outlineLevel="3" ht="15.75" customHeight="1">
      <c r="A412" s="10" t="n">
        <v>62</v>
      </c>
      <c r="B412" s="10" t="inlineStr">
        <is>
          <t>Insumo</t>
        </is>
      </c>
      <c r="C412" s="10" t="inlineStr">
        <is>
          <t xml:space="preserve">Armação aço CA-50 ø 20,0mm para infraestrutura (corte e dobra em obra) </t>
        </is>
      </c>
      <c r="D412" s="10" t="inlineStr">
        <is>
          <t>Espaçador para armadura</t>
        </is>
      </c>
      <c r="E412" s="11">
        <f t="array" ref="E412">_xlfn.XLOOKUP(D412,Insumos!B:B,Insumos!C:$C)</f>
        <v/>
      </c>
      <c r="F412" s="14" t="n">
        <v>0.05</v>
      </c>
      <c r="G412" s="92">
        <f t="array" ref="G412">IF(B412="insumo",_xlfn.XLOOKUP($D412,Insumos!$B$1:$B$996,Insumos!$D$1:$D$996),"")</f>
        <v/>
      </c>
      <c r="H412" s="92" t="n">
        <v>0.0135</v>
      </c>
      <c r="I412" s="2162" t="n">
        <v>0</v>
      </c>
      <c r="J412" s="2162" t="n">
        <v>0</v>
      </c>
      <c r="K412" s="2162" t="n"/>
    </row>
    <row r="413" outlineLevel="2" ht="15.75" customHeight="1">
      <c r="A413" s="1067" t="n">
        <v>1</v>
      </c>
      <c r="B413" s="1067" t="inlineStr">
        <is>
          <t>Serviço</t>
        </is>
      </c>
      <c r="C413" s="1067" t="inlineStr">
        <is>
          <t xml:space="preserve">Armação aço CA-50 ø 25,0mm para infraestrutura (corte e dobra em obra) </t>
        </is>
      </c>
      <c r="D413" s="1067" t="inlineStr">
        <is>
          <t xml:space="preserve">Armação aço CA-50 ø 25,0mm para infraestrutura (corte e dobra em obra) </t>
        </is>
      </c>
      <c r="E413" s="1068" t="inlineStr">
        <is>
          <t>KG</t>
        </is>
      </c>
      <c r="F413" s="1067" t="n"/>
      <c r="G413" s="1069">
        <f t="array" ref="G413">IF(B413="insumo",_xlfn.XLOOKUP($D413,Insumos!$B$1:$B$996,Insumos!$D$1:$D$996),"")</f>
        <v/>
      </c>
      <c r="H413" s="1069" t="n">
        <v>5.97109784758844</v>
      </c>
      <c r="I413" s="2161" t="n">
        <v>0</v>
      </c>
      <c r="J413" s="2161" t="n">
        <v>0</v>
      </c>
      <c r="K413" s="2161" t="n"/>
    </row>
    <row r="414" outlineLevel="3" ht="15.75" customHeight="1">
      <c r="A414" s="10" t="n">
        <v>3</v>
      </c>
      <c r="B414" s="10" t="inlineStr">
        <is>
          <t>Insumo</t>
        </is>
      </c>
      <c r="C414" s="10" t="inlineStr">
        <is>
          <t xml:space="preserve">Armação aço CA-50 ø 25,0mm para infraestrutura (corte e dobra em obra) </t>
        </is>
      </c>
      <c r="D414" s="10" t="inlineStr">
        <is>
          <t>Aço CA50 25,0mm</t>
        </is>
      </c>
      <c r="E414" s="11">
        <f t="array" ref="E414">_xlfn.XLOOKUP(D414,Insumos!B:B,Insumos!C:$C)</f>
        <v/>
      </c>
      <c r="F414" s="14" t="n">
        <v>1.1</v>
      </c>
      <c r="G414" s="92">
        <f t="array" ref="G414">IF(B414="insumo",_xlfn.XLOOKUP($D414,Insumos!$B$1:$B$996,Insumos!$D$1:$D$996),"")</f>
        <v/>
      </c>
      <c r="H414" s="92" t="n">
        <v>5.67695284758844</v>
      </c>
      <c r="I414" s="2162" t="n">
        <v>0</v>
      </c>
      <c r="J414" s="2162" t="n">
        <v>0</v>
      </c>
      <c r="K414" s="2162" t="n"/>
    </row>
    <row r="415" outlineLevel="3" ht="15.75" customHeight="1">
      <c r="A415" s="10" t="n">
        <v>41</v>
      </c>
      <c r="B415" s="10" t="inlineStr">
        <is>
          <t>Insumo</t>
        </is>
      </c>
      <c r="C415" s="10" t="inlineStr">
        <is>
          <t xml:space="preserve">Armação aço CA-50 ø 25,0mm para infraestrutura (corte e dobra em obra) </t>
        </is>
      </c>
      <c r="D415" s="10" t="inlineStr">
        <is>
          <t xml:space="preserve">Arame Galvanizado </t>
        </is>
      </c>
      <c r="E415" s="11">
        <f t="array" ref="E415">_xlfn.XLOOKUP(D415,Insumos!B:B,Insumos!C:$C)</f>
        <v/>
      </c>
      <c r="F415" s="14" t="n">
        <v>0.0205</v>
      </c>
      <c r="G415" s="92">
        <f t="array" ref="G415">IF(B415="insumo",_xlfn.XLOOKUP($D415,Insumos!$B$1:$B$996,Insumos!$D$1:$D$996),"")</f>
        <v/>
      </c>
      <c r="H415" s="92" t="n">
        <v>0.280645</v>
      </c>
      <c r="I415" s="2162" t="n">
        <v>0</v>
      </c>
      <c r="J415" s="2162" t="n">
        <v>0</v>
      </c>
      <c r="K415" s="2162" t="n"/>
    </row>
    <row r="416" outlineLevel="3" ht="15.75" customHeight="1">
      <c r="A416" s="10" t="n">
        <v>62</v>
      </c>
      <c r="B416" s="10" t="inlineStr">
        <is>
          <t>Insumo</t>
        </is>
      </c>
      <c r="C416" s="10" t="inlineStr">
        <is>
          <t xml:space="preserve">Armação aço CA-50 ø 25,0mm para infraestrutura (corte e dobra em obra) </t>
        </is>
      </c>
      <c r="D416" s="10" t="inlineStr">
        <is>
          <t>Espaçador para armadura</t>
        </is>
      </c>
      <c r="E416" s="11">
        <f t="array" ref="E416">_xlfn.XLOOKUP(D416,Insumos!B:B,Insumos!C:$C)</f>
        <v/>
      </c>
      <c r="F416" s="14" t="n">
        <v>0.05</v>
      </c>
      <c r="G416" s="92">
        <f t="array" ref="G416">IF(B416="insumo",_xlfn.XLOOKUP($D416,Insumos!$B$1:$B$996,Insumos!$D$1:$D$996),"")</f>
        <v/>
      </c>
      <c r="H416" s="92" t="n">
        <v>0.0135</v>
      </c>
      <c r="I416" s="2162" t="n">
        <v>0</v>
      </c>
      <c r="J416" s="2162" t="n">
        <v>0</v>
      </c>
      <c r="K416" s="2162" t="n"/>
    </row>
    <row r="417" outlineLevel="2" ht="15.75" customHeight="1">
      <c r="A417" s="1067" t="n">
        <v>1</v>
      </c>
      <c r="B417" s="1067" t="inlineStr">
        <is>
          <t>Serviço</t>
        </is>
      </c>
      <c r="C417" s="1067" t="inlineStr">
        <is>
          <t xml:space="preserve">Armação aço CA-60 ø 5,00mm para infraestrutura (corte e dobra em obra) </t>
        </is>
      </c>
      <c r="D417" s="1067" t="inlineStr">
        <is>
          <t xml:space="preserve">Armação aço CA-60 ø 5,00mm para infraestrutura (corte e dobra em obra) </t>
        </is>
      </c>
      <c r="E417" s="1068" t="inlineStr">
        <is>
          <t>KG</t>
        </is>
      </c>
      <c r="F417" s="1067" t="n"/>
      <c r="G417" s="1069">
        <f t="array" ref="G417">IF(B417="insumo",_xlfn.XLOOKUP($D417,Insumos!$B$1:$B$996,Insumos!$D$1:$D$996),"")</f>
        <v/>
      </c>
      <c r="H417" s="1069" t="n">
        <v>7.0532266249184</v>
      </c>
      <c r="I417" s="2161" t="n">
        <v>0</v>
      </c>
      <c r="J417" s="2161" t="n">
        <v>0</v>
      </c>
      <c r="K417" s="2161" t="n"/>
    </row>
    <row r="418" outlineLevel="3" ht="15.75" customHeight="1">
      <c r="A418" s="10" t="n">
        <v>5</v>
      </c>
      <c r="B418" s="10" t="inlineStr">
        <is>
          <t>Insumo</t>
        </is>
      </c>
      <c r="C418" s="10" t="inlineStr">
        <is>
          <t xml:space="preserve">Armação aço CA-60 ø 5,00mm para infraestrutura (corte e dobra em obra) </t>
        </is>
      </c>
      <c r="D418" s="10" t="inlineStr">
        <is>
          <t>Aço CA60 5,0mm</t>
        </is>
      </c>
      <c r="E418" s="11">
        <f t="array" ref="E418">_xlfn.XLOOKUP(D418,Insumos!B:B,Insumos!C:$C)</f>
        <v/>
      </c>
      <c r="F418" s="14" t="n">
        <v>1.1</v>
      </c>
      <c r="G418" s="92">
        <f t="array" ref="G418">IF(B418="insumo",_xlfn.XLOOKUP($D418,Insumos!$B$1:$B$996,Insumos!$D$1:$D$996),"")</f>
        <v/>
      </c>
      <c r="H418" s="92" t="n">
        <v>6.7590816249184</v>
      </c>
      <c r="I418" s="2162" t="n">
        <v>0</v>
      </c>
      <c r="J418" s="2162" t="n">
        <v>0</v>
      </c>
      <c r="K418" s="2162" t="n"/>
    </row>
    <row r="419" outlineLevel="3" ht="15.75" customHeight="1">
      <c r="A419" s="10" t="n">
        <v>41</v>
      </c>
      <c r="B419" s="10" t="inlineStr">
        <is>
          <t>Insumo</t>
        </is>
      </c>
      <c r="C419" s="10" t="inlineStr">
        <is>
          <t xml:space="preserve">Armação aço CA-60 ø 5,00mm para infraestrutura (corte e dobra em obra) </t>
        </is>
      </c>
      <c r="D419" s="10" t="inlineStr">
        <is>
          <t xml:space="preserve">Arame Galvanizado </t>
        </is>
      </c>
      <c r="E419" s="11">
        <f t="array" ref="E419">_xlfn.XLOOKUP(D419,Insumos!B:B,Insumos!C:$C)</f>
        <v/>
      </c>
      <c r="F419" s="14" t="n">
        <v>0.0205</v>
      </c>
      <c r="G419" s="92">
        <f t="array" ref="G419">IF(B419="insumo",_xlfn.XLOOKUP($D419,Insumos!$B$1:$B$996,Insumos!$D$1:$D$996),"")</f>
        <v/>
      </c>
      <c r="H419" s="92" t="n">
        <v>0.280645</v>
      </c>
      <c r="I419" s="2162" t="n">
        <v>0</v>
      </c>
      <c r="J419" s="2162" t="n">
        <v>0</v>
      </c>
      <c r="K419" s="2162" t="n"/>
    </row>
    <row r="420" outlineLevel="3" ht="15.75" customHeight="1">
      <c r="A420" s="10" t="n">
        <v>62</v>
      </c>
      <c r="B420" s="10" t="inlineStr">
        <is>
          <t>Insumo</t>
        </is>
      </c>
      <c r="C420" s="10" t="inlineStr">
        <is>
          <t xml:space="preserve">Armação aço CA-60 ø 5,00mm para infraestrutura (corte e dobra em obra) </t>
        </is>
      </c>
      <c r="D420" s="10" t="inlineStr">
        <is>
          <t>Espaçador para armadura</t>
        </is>
      </c>
      <c r="E420" s="11">
        <f t="array" ref="E420">_xlfn.XLOOKUP(D420,Insumos!B:B,Insumos!C:$C)</f>
        <v/>
      </c>
      <c r="F420" s="14" t="n">
        <v>0.05</v>
      </c>
      <c r="G420" s="92">
        <f t="array" ref="G420">IF(B420="insumo",_xlfn.XLOOKUP($D420,Insumos!$B$1:$B$996,Insumos!$D$1:$D$996),"")</f>
        <v/>
      </c>
      <c r="H420" s="92" t="n">
        <v>0.0135</v>
      </c>
      <c r="I420" s="2162" t="n">
        <v>0</v>
      </c>
      <c r="J420" s="2162" t="n">
        <v>0</v>
      </c>
      <c r="K420" s="2162" t="n"/>
    </row>
    <row r="421" outlineLevel="2" ht="15.75" customHeight="1">
      <c r="A421" s="1067" t="n">
        <v>1</v>
      </c>
      <c r="B421" s="1067" t="inlineStr">
        <is>
          <t>Serviço</t>
        </is>
      </c>
      <c r="C421" s="1067" t="inlineStr">
        <is>
          <t xml:space="preserve">Armação aço CA-50 ø 32,00mm para infraestrutura (corte e dobra em obra) </t>
        </is>
      </c>
      <c r="D421" s="1067" t="inlineStr">
        <is>
          <t xml:space="preserve">Armação aço CA-50 ø 32,00mm para infraestrutura (corte e dobra em obra) </t>
        </is>
      </c>
      <c r="E421" s="1068" t="inlineStr">
        <is>
          <t>KG</t>
        </is>
      </c>
      <c r="F421" s="1067" t="n"/>
      <c r="G421" s="1069">
        <f t="array" ref="G421">IF(B421="insumo",_xlfn.XLOOKUP($D421,Insumos!$B$1:$B$996,Insumos!$D$1:$D$996),"")</f>
        <v/>
      </c>
      <c r="H421" s="1069" t="n">
        <v>7.136145</v>
      </c>
      <c r="I421" s="2161" t="n">
        <v>0</v>
      </c>
      <c r="J421" s="2161" t="n">
        <v>0</v>
      </c>
      <c r="K421" s="2161" t="n"/>
    </row>
    <row r="422" outlineLevel="3" ht="15.75" customHeight="1">
      <c r="A422" s="10" t="n">
        <v>2</v>
      </c>
      <c r="B422" s="10" t="inlineStr">
        <is>
          <t>Insumo</t>
        </is>
      </c>
      <c r="C422" s="10" t="inlineStr">
        <is>
          <t xml:space="preserve">Armação aço CA-50 ø 32,00mm para infraestrutura (corte e dobra em obra) </t>
        </is>
      </c>
      <c r="D422" s="10" t="inlineStr">
        <is>
          <t>Aço CA60 32,0mm</t>
        </is>
      </c>
      <c r="E422" s="11">
        <f t="array" ref="E422">_xlfn.XLOOKUP(D422,Insumos!B:B,Insumos!C:$C)</f>
        <v/>
      </c>
      <c r="F422" s="14" t="n">
        <v>1.1</v>
      </c>
      <c r="G422" s="92">
        <f t="array" ref="G422">IF(B422="insumo",_xlfn.XLOOKUP($D422,Insumos!$B$1:$B$996,Insumos!$D$1:$D$996),"")</f>
        <v/>
      </c>
      <c r="H422" s="92" t="n">
        <v>6.842</v>
      </c>
      <c r="I422" s="2162" t="n">
        <v>0</v>
      </c>
      <c r="J422" s="2162" t="n">
        <v>0</v>
      </c>
      <c r="K422" s="2162" t="n"/>
    </row>
    <row r="423" outlineLevel="3" ht="15.75" customHeight="1">
      <c r="A423" s="10" t="n">
        <v>41</v>
      </c>
      <c r="B423" s="10" t="inlineStr">
        <is>
          <t>Insumo</t>
        </is>
      </c>
      <c r="C423" s="10" t="inlineStr">
        <is>
          <t xml:space="preserve">Armação aço CA-50 ø 32,00mm para infraestrutura (corte e dobra em obra) </t>
        </is>
      </c>
      <c r="D423" s="10" t="inlineStr">
        <is>
          <t xml:space="preserve">Arame Galvanizado </t>
        </is>
      </c>
      <c r="E423" s="11">
        <f t="array" ref="E423">_xlfn.XLOOKUP(D423,Insumos!B:B,Insumos!C:$C)</f>
        <v/>
      </c>
      <c r="F423" s="14" t="n">
        <v>0.0205</v>
      </c>
      <c r="G423" s="92">
        <f t="array" ref="G423">IF(B423="insumo",_xlfn.XLOOKUP($D423,Insumos!$B$1:$B$996,Insumos!$D$1:$D$996),"")</f>
        <v/>
      </c>
      <c r="H423" s="92" t="n">
        <v>0.280645</v>
      </c>
      <c r="I423" s="2162" t="n">
        <v>0</v>
      </c>
      <c r="J423" s="2162" t="n">
        <v>0</v>
      </c>
      <c r="K423" s="2162" t="n"/>
    </row>
    <row r="424" outlineLevel="3" ht="15.75" customHeight="1">
      <c r="A424" s="10" t="n">
        <v>62</v>
      </c>
      <c r="B424" s="10" t="inlineStr">
        <is>
          <t>Insumo</t>
        </is>
      </c>
      <c r="C424" s="10" t="inlineStr">
        <is>
          <t xml:space="preserve">Armação aço CA-50 ø 32,00mm para infraestrutura (corte e dobra em obra) </t>
        </is>
      </c>
      <c r="D424" s="10" t="inlineStr">
        <is>
          <t>Espaçador para armadura</t>
        </is>
      </c>
      <c r="E424" s="11">
        <f t="array" ref="E424">_xlfn.XLOOKUP(D424,Insumos!B:B,Insumos!C:$C)</f>
        <v/>
      </c>
      <c r="F424" s="14" t="n">
        <v>0.05</v>
      </c>
      <c r="G424" s="92">
        <f t="array" ref="G424">IF(B424="insumo",_xlfn.XLOOKUP($D424,Insumos!$B$1:$B$996,Insumos!$D$1:$D$996),"")</f>
        <v/>
      </c>
      <c r="H424" s="92" t="n">
        <v>0.0135</v>
      </c>
      <c r="I424" s="2162" t="n">
        <v>0</v>
      </c>
      <c r="J424" s="2162" t="n">
        <v>0</v>
      </c>
      <c r="K424" s="2162" t="n"/>
    </row>
    <row r="425" outlineLevel="2" ht="15.75" customHeight="1">
      <c r="A425" s="1067" t="n">
        <v>1</v>
      </c>
      <c r="B425" s="1067" t="inlineStr">
        <is>
          <t>Serviço</t>
        </is>
      </c>
      <c r="C425" s="1067" t="inlineStr">
        <is>
          <t>Armação aço CA-50 ø 5,0mm para infraestrutura (corte e dobra em Indústria)</t>
        </is>
      </c>
      <c r="D425" s="1067" t="inlineStr">
        <is>
          <t>Armação aço CA-50 ø 5,0mm para infraestrutura (corte e dobra em Indústria)</t>
        </is>
      </c>
      <c r="E425" s="1068" t="inlineStr">
        <is>
          <t>KG</t>
        </is>
      </c>
      <c r="F425" s="1067" t="n"/>
      <c r="G425" s="1069">
        <f t="array" ref="G425">IF(B425="insumo",_xlfn.XLOOKUP($D425,Insumos!$B$1:$B$996,Insumos!$D$1:$D$996),"")</f>
        <v/>
      </c>
      <c r="H425" s="1069" t="n">
        <v>8.964145</v>
      </c>
      <c r="I425" s="2161" t="n">
        <v>52</v>
      </c>
      <c r="J425" s="2161" t="n">
        <v>466.13554</v>
      </c>
      <c r="K425" s="2161" t="n"/>
    </row>
    <row r="426" outlineLevel="3" ht="15.75" customHeight="1">
      <c r="A426" s="10" t="n">
        <v>2</v>
      </c>
      <c r="B426" s="10" t="inlineStr">
        <is>
          <t>Insumo</t>
        </is>
      </c>
      <c r="C426" s="10" t="inlineStr">
        <is>
          <t>Armação aço CA-50 ø 5,0mm para infraestrutura (corte e dobra em Indústria)</t>
        </is>
      </c>
      <c r="D426" s="10" t="inlineStr">
        <is>
          <t>Aço CA50 5,0 mm Corte e Dobra em Indústria</t>
        </is>
      </c>
      <c r="E426" s="11">
        <f t="array" ref="E426">_xlfn.XLOOKUP(D426,Insumos!B:B,Insumos!C:$C)</f>
        <v/>
      </c>
      <c r="F426" s="14" t="n">
        <v>1</v>
      </c>
      <c r="G426" s="92">
        <f t="array" ref="G426">IF(B426="insumo",_xlfn.XLOOKUP($D426,Insumos!$B$1:$B$996,Insumos!$D$1:$D$996),"")</f>
        <v/>
      </c>
      <c r="H426" s="92" t="n">
        <v>8.67</v>
      </c>
      <c r="I426" s="2162" t="n">
        <v>52</v>
      </c>
      <c r="J426" s="2162" t="n">
        <v>450.84</v>
      </c>
      <c r="K426" s="2162" t="n"/>
    </row>
    <row r="427" outlineLevel="3" ht="15.75" customHeight="1">
      <c r="A427" s="10" t="n">
        <v>41</v>
      </c>
      <c r="B427" s="10" t="inlineStr">
        <is>
          <t>Insumo</t>
        </is>
      </c>
      <c r="C427" s="10" t="inlineStr">
        <is>
          <t>Armação aço CA-50 ø 5,0mm para infraestrutura (corte e dobra em Indústria)</t>
        </is>
      </c>
      <c r="D427" s="10" t="inlineStr">
        <is>
          <t xml:space="preserve">Arame Galvanizado </t>
        </is>
      </c>
      <c r="E427" s="11">
        <f t="array" ref="E427">_xlfn.XLOOKUP(D427,Insumos!B:B,Insumos!C:$C)</f>
        <v/>
      </c>
      <c r="F427" s="14" t="n">
        <v>0.0205</v>
      </c>
      <c r="G427" s="92">
        <f t="array" ref="G427">IF(B427="insumo",_xlfn.XLOOKUP($D427,Insumos!$B$1:$B$996,Insumos!$D$1:$D$996),"")</f>
        <v/>
      </c>
      <c r="H427" s="92" t="n">
        <v>0.280645</v>
      </c>
      <c r="I427" s="2162" t="n">
        <v>52</v>
      </c>
      <c r="J427" s="2162" t="n">
        <v>14.59354</v>
      </c>
      <c r="K427" s="2162" t="n"/>
    </row>
    <row r="428" outlineLevel="3" ht="15.75" customHeight="1">
      <c r="A428" s="10" t="n">
        <v>62</v>
      </c>
      <c r="B428" s="10" t="inlineStr">
        <is>
          <t>Insumo</t>
        </is>
      </c>
      <c r="C428" s="10" t="inlineStr">
        <is>
          <t>Armação aço CA-50 ø 5,0mm para infraestrutura (corte e dobra em Indústria)</t>
        </is>
      </c>
      <c r="D428" s="10" t="inlineStr">
        <is>
          <t>Espaçador para armadura</t>
        </is>
      </c>
      <c r="E428" s="11">
        <f t="array" ref="E428">_xlfn.XLOOKUP(D428,Insumos!B:B,Insumos!C:$C)</f>
        <v/>
      </c>
      <c r="F428" s="14" t="n">
        <v>0.05</v>
      </c>
      <c r="G428" s="92">
        <f t="array" ref="G428">IF(B428="insumo",_xlfn.XLOOKUP($D428,Insumos!$B$1:$B$996,Insumos!$D$1:$D$996),"")</f>
        <v/>
      </c>
      <c r="H428" s="92" t="n">
        <v>0.0135</v>
      </c>
      <c r="I428" s="2162" t="n">
        <v>52</v>
      </c>
      <c r="J428" s="2162" t="n">
        <v>0.702</v>
      </c>
      <c r="K428" s="2162" t="n"/>
    </row>
    <row r="429" outlineLevel="2" ht="15.75" customHeight="1">
      <c r="A429" s="1067" t="n">
        <v>1</v>
      </c>
      <c r="B429" s="1067" t="inlineStr">
        <is>
          <t>Serviço</t>
        </is>
      </c>
      <c r="C429" s="1067" t="inlineStr">
        <is>
          <t>Armação aço CA-50 ø 6,3mm para infraestrutura (corte e dobra em Indústria)</t>
        </is>
      </c>
      <c r="D429" s="1067" t="inlineStr">
        <is>
          <t>Armação aço CA-50 ø 6,3mm para infraestrutura (corte e dobra em Indústria)</t>
        </is>
      </c>
      <c r="E429" s="1068" t="inlineStr">
        <is>
          <t>KG</t>
        </is>
      </c>
      <c r="F429" s="1067" t="n"/>
      <c r="G429" s="1069">
        <f t="array" ref="G429">IF(B429="insumo",_xlfn.XLOOKUP($D429,Insumos!$B$1:$B$996,Insumos!$D$1:$D$996),"")</f>
        <v/>
      </c>
      <c r="H429" s="1069" t="n">
        <v>8.964145</v>
      </c>
      <c r="I429" s="2161" t="n">
        <v>130.272727272727</v>
      </c>
      <c r="J429" s="2161" t="n">
        <v>1167.78361681818</v>
      </c>
      <c r="K429" s="2161" t="n"/>
    </row>
    <row r="430" outlineLevel="3" ht="15.75" customHeight="1">
      <c r="A430" s="10" t="n">
        <v>4</v>
      </c>
      <c r="B430" s="10" t="inlineStr">
        <is>
          <t>Insumo</t>
        </is>
      </c>
      <c r="C430" s="10" t="inlineStr">
        <is>
          <t>Armação aço CA-50 ø 6,3mm para infraestrutura (corte e dobra em Indústria)</t>
        </is>
      </c>
      <c r="D430" s="10" t="inlineStr">
        <is>
          <t>Aço CA50 6,3 mm Corte e Dobra em Indústria</t>
        </is>
      </c>
      <c r="E430" s="11">
        <f t="array" ref="E430">_xlfn.XLOOKUP(D430,Insumos!B:B,Insumos!C:$C)</f>
        <v/>
      </c>
      <c r="F430" s="14" t="n">
        <v>1</v>
      </c>
      <c r="G430" s="92">
        <f t="array" ref="G430">IF(B430="insumo",_xlfn.XLOOKUP($D430,Insumos!$B$1:$B$996,Insumos!$D$1:$D$996),"")</f>
        <v/>
      </c>
      <c r="H430" s="92" t="n">
        <v>8.67</v>
      </c>
      <c r="I430" s="2162" t="n">
        <v>130.272727272727</v>
      </c>
      <c r="J430" s="2162" t="n">
        <v>1129.46454545454</v>
      </c>
      <c r="K430" s="2162" t="n"/>
    </row>
    <row r="431" outlineLevel="3" ht="15.75" customHeight="1">
      <c r="A431" s="10" t="n">
        <v>41</v>
      </c>
      <c r="B431" s="10" t="inlineStr">
        <is>
          <t>Insumo</t>
        </is>
      </c>
      <c r="C431" s="10" t="inlineStr">
        <is>
          <t>Armação aço CA-50 ø 6,3mm para infraestrutura (corte e dobra em Indústria)</t>
        </is>
      </c>
      <c r="D431" s="10" t="inlineStr">
        <is>
          <t xml:space="preserve">Arame Galvanizado </t>
        </is>
      </c>
      <c r="E431" s="11">
        <f t="array" ref="E431">_xlfn.XLOOKUP(D431,Insumos!B:B,Insumos!C:$C)</f>
        <v/>
      </c>
      <c r="F431" s="14" t="n">
        <v>0.0205</v>
      </c>
      <c r="G431" s="92">
        <f t="array" ref="G431">IF(B431="insumo",_xlfn.XLOOKUP($D431,Insumos!$B$1:$B$996,Insumos!$D$1:$D$996),"")</f>
        <v/>
      </c>
      <c r="H431" s="92" t="n">
        <v>0.280645</v>
      </c>
      <c r="I431" s="2162" t="n">
        <v>130.272727272727</v>
      </c>
      <c r="J431" s="2162" t="n">
        <v>36.5603895454545</v>
      </c>
      <c r="K431" s="2162" t="n"/>
    </row>
    <row r="432" outlineLevel="3" ht="15.75" customHeight="1">
      <c r="A432" s="10" t="n">
        <v>62</v>
      </c>
      <c r="B432" s="10" t="inlineStr">
        <is>
          <t>Insumo</t>
        </is>
      </c>
      <c r="C432" s="10" t="inlineStr">
        <is>
          <t>Armação aço CA-50 ø 6,3mm para infraestrutura (corte e dobra em Indústria)</t>
        </is>
      </c>
      <c r="D432" s="10" t="inlineStr">
        <is>
          <t>Espaçador para armadura</t>
        </is>
      </c>
      <c r="E432" s="11">
        <f t="array" ref="E432">_xlfn.XLOOKUP(D432,Insumos!B:B,Insumos!C:$C)</f>
        <v/>
      </c>
      <c r="F432" s="14" t="n">
        <v>0.05</v>
      </c>
      <c r="G432" s="92">
        <f t="array" ref="G432">IF(B432="insumo",_xlfn.XLOOKUP($D432,Insumos!$B$1:$B$996,Insumos!$D$1:$D$996),"")</f>
        <v/>
      </c>
      <c r="H432" s="92" t="n">
        <v>0.0135</v>
      </c>
      <c r="I432" s="2162" t="n">
        <v>130.272727272727</v>
      </c>
      <c r="J432" s="2162" t="n">
        <v>1.75868181818181</v>
      </c>
      <c r="K432" s="2162" t="n"/>
    </row>
    <row r="433" outlineLevel="2" ht="15.75" customHeight="1">
      <c r="A433" s="1067" t="n">
        <v>1</v>
      </c>
      <c r="B433" s="1067" t="inlineStr">
        <is>
          <t>Serviço</t>
        </is>
      </c>
      <c r="C433" s="1067" t="inlineStr">
        <is>
          <t>Armação aço CA-50 ø 8,0mm para infraestrutura (corte e dobra em Indústria)</t>
        </is>
      </c>
      <c r="D433" s="1067" t="inlineStr">
        <is>
          <t>Armação aço CA-50 ø 8,0mm para infraestrutura (corte e dobra em Indústria)</t>
        </is>
      </c>
      <c r="E433" s="1068" t="inlineStr">
        <is>
          <t>KG</t>
        </is>
      </c>
      <c r="F433" s="1067" t="n"/>
      <c r="G433" s="1069">
        <f t="array" ref="G433">IF(B433="insumo",_xlfn.XLOOKUP($D433,Insumos!$B$1:$B$996,Insumos!$D$1:$D$996),"")</f>
        <v/>
      </c>
      <c r="H433" s="1069" t="n">
        <v>8.964145</v>
      </c>
      <c r="I433" s="2161" t="n">
        <v>982.636363636364</v>
      </c>
      <c r="J433" s="2161" t="n">
        <v>8808.49484590909</v>
      </c>
      <c r="K433" s="2161" t="n"/>
    </row>
    <row r="434" outlineLevel="3" ht="15.75" customHeight="1">
      <c r="A434" s="10" t="n">
        <v>3</v>
      </c>
      <c r="B434" s="10" t="inlineStr">
        <is>
          <t>Insumo</t>
        </is>
      </c>
      <c r="C434" s="10" t="inlineStr">
        <is>
          <t>Armação aço CA-50 ø 8,0mm para infraestrutura (corte e dobra em Indústria)</t>
        </is>
      </c>
      <c r="D434" s="10" t="inlineStr">
        <is>
          <t>Aço CA50 8,0 mm Corte e Dobra em Indústria</t>
        </is>
      </c>
      <c r="E434" s="11">
        <f t="array" ref="E434">_xlfn.XLOOKUP(D434,Insumos!B:B,Insumos!C:$C)</f>
        <v/>
      </c>
      <c r="F434" s="14" t="n">
        <v>1</v>
      </c>
      <c r="G434" s="92">
        <f t="array" ref="G434">IF(B434="insumo",_xlfn.XLOOKUP($D434,Insumos!$B$1:$B$996,Insumos!$D$1:$D$996),"")</f>
        <v/>
      </c>
      <c r="H434" s="92" t="n">
        <v>8.67</v>
      </c>
      <c r="I434" s="2162" t="n">
        <v>982.636363636364</v>
      </c>
      <c r="J434" s="2162" t="n">
        <v>8519.457272727281</v>
      </c>
      <c r="K434" s="2162" t="n"/>
    </row>
    <row r="435" outlineLevel="3" ht="15.75" customHeight="1">
      <c r="A435" s="10" t="n">
        <v>41</v>
      </c>
      <c r="B435" s="10" t="inlineStr">
        <is>
          <t>Insumo</t>
        </is>
      </c>
      <c r="C435" s="10" t="inlineStr">
        <is>
          <t>Armação aço CA-50 ø 8,0mm para infraestrutura (corte e dobra em Indústria)</t>
        </is>
      </c>
      <c r="D435" s="10" t="inlineStr">
        <is>
          <t xml:space="preserve">Arame Galvanizado </t>
        </is>
      </c>
      <c r="E435" s="11">
        <f t="array" ref="E435">_xlfn.XLOOKUP(D435,Insumos!B:B,Insumos!C:$C)</f>
        <v/>
      </c>
      <c r="F435" s="14" t="n">
        <v>0.0205</v>
      </c>
      <c r="G435" s="92">
        <f t="array" ref="G435">IF(B435="insumo",_xlfn.XLOOKUP($D435,Insumos!$B$1:$B$996,Insumos!$D$1:$D$996),"")</f>
        <v/>
      </c>
      <c r="H435" s="92" t="n">
        <v>0.280645</v>
      </c>
      <c r="I435" s="2162" t="n">
        <v>982.636363636364</v>
      </c>
      <c r="J435" s="2162" t="n">
        <v>275.771982272727</v>
      </c>
      <c r="K435" s="2162" t="n"/>
    </row>
    <row r="436" outlineLevel="3" ht="15.75" customHeight="1">
      <c r="A436" s="10" t="n">
        <v>62</v>
      </c>
      <c r="B436" s="10" t="inlineStr">
        <is>
          <t>Insumo</t>
        </is>
      </c>
      <c r="C436" s="10" t="inlineStr">
        <is>
          <t>Armação aço CA-50 ø 8,0mm para infraestrutura (corte e dobra em Indústria)</t>
        </is>
      </c>
      <c r="D436" s="10" t="inlineStr">
        <is>
          <t>Espaçador para armadura</t>
        </is>
      </c>
      <c r="E436" s="11">
        <f t="array" ref="E436">_xlfn.XLOOKUP(D436,Insumos!B:B,Insumos!C:$C)</f>
        <v/>
      </c>
      <c r="F436" s="14" t="n">
        <v>0.05</v>
      </c>
      <c r="G436" s="92">
        <f t="array" ref="G436">IF(B436="insumo",_xlfn.XLOOKUP($D436,Insumos!$B$1:$B$996,Insumos!$D$1:$D$996),"")</f>
        <v/>
      </c>
      <c r="H436" s="92" t="n">
        <v>0.0135</v>
      </c>
      <c r="I436" s="2162" t="n">
        <v>982.636363636364</v>
      </c>
      <c r="J436" s="2162" t="n">
        <v>13.2655909090909</v>
      </c>
      <c r="K436" s="2162" t="n"/>
    </row>
    <row r="437" outlineLevel="2" ht="15.75" customHeight="1">
      <c r="A437" s="1067" t="n">
        <v>1</v>
      </c>
      <c r="B437" s="1067" t="inlineStr">
        <is>
          <t>Serviço</t>
        </is>
      </c>
      <c r="C437" s="1067" t="inlineStr">
        <is>
          <t>Armação aço CA-50 ø 10,0mm para infraestrutura (corte e dobra em Indústria)</t>
        </is>
      </c>
      <c r="D437" s="1067" t="inlineStr">
        <is>
          <t>Armação aço CA-50 ø 10,0mm para infraestrutura (corte e dobra em Indústria)</t>
        </is>
      </c>
      <c r="E437" s="1068" t="inlineStr">
        <is>
          <t>KG</t>
        </is>
      </c>
      <c r="F437" s="1067" t="n"/>
      <c r="G437" s="1069">
        <f t="array" ref="G437">IF(B437="insumo",_xlfn.XLOOKUP($D437,Insumos!$B$1:$B$996,Insumos!$D$1:$D$996),"")</f>
        <v/>
      </c>
      <c r="H437" s="1069" t="n">
        <v>8.964145</v>
      </c>
      <c r="I437" s="2161" t="n">
        <v>7011.63636363636</v>
      </c>
      <c r="J437" s="2161" t="n">
        <v>62853.3250509091</v>
      </c>
      <c r="K437" s="2161" t="n"/>
    </row>
    <row r="438" outlineLevel="3" ht="15.75" customHeight="1">
      <c r="A438" s="10" t="n">
        <v>2</v>
      </c>
      <c r="B438" s="10" t="inlineStr">
        <is>
          <t>Insumo</t>
        </is>
      </c>
      <c r="C438" s="10" t="inlineStr">
        <is>
          <t>Armação aço CA-50 ø 10,0mm para infraestrutura (corte e dobra em Indústria)</t>
        </is>
      </c>
      <c r="D438" s="10" t="inlineStr">
        <is>
          <t>Aço CA50 10,0 mm Corte e Dobra em Indústria</t>
        </is>
      </c>
      <c r="E438" s="11">
        <f t="array" ref="E438">_xlfn.XLOOKUP(D438,Insumos!B:B,Insumos!C:$C)</f>
        <v/>
      </c>
      <c r="F438" s="14" t="n">
        <v>1</v>
      </c>
      <c r="G438" s="92">
        <f t="array" ref="G438">IF(B438="insumo",_xlfn.XLOOKUP($D438,Insumos!$B$1:$B$996,Insumos!$D$1:$D$996),"")</f>
        <v/>
      </c>
      <c r="H438" s="92" t="n">
        <v>8.67</v>
      </c>
      <c r="I438" s="2162" t="n">
        <v>7011.63636363636</v>
      </c>
      <c r="J438" s="2162" t="n">
        <v>60790.8872727272</v>
      </c>
      <c r="K438" s="2162" t="n"/>
    </row>
    <row r="439" outlineLevel="3" ht="15.75" customHeight="1">
      <c r="A439" s="10" t="n">
        <v>41</v>
      </c>
      <c r="B439" s="10" t="inlineStr">
        <is>
          <t>Insumo</t>
        </is>
      </c>
      <c r="C439" s="10" t="inlineStr">
        <is>
          <t>Armação aço CA-50 ø 10,0mm para infraestrutura (corte e dobra em Indústria)</t>
        </is>
      </c>
      <c r="D439" s="10" t="inlineStr">
        <is>
          <t xml:space="preserve">Arame Galvanizado </t>
        </is>
      </c>
      <c r="E439" s="11">
        <f t="array" ref="E439">_xlfn.XLOOKUP(D439,Insumos!B:B,Insumos!C:$C)</f>
        <v/>
      </c>
      <c r="F439" s="14" t="n">
        <v>0.0205</v>
      </c>
      <c r="G439" s="92">
        <f t="array" ref="G439">IF(B439="insumo",_xlfn.XLOOKUP($D439,Insumos!$B$1:$B$996,Insumos!$D$1:$D$996),"")</f>
        <v/>
      </c>
      <c r="H439" s="92" t="n">
        <v>0.280645</v>
      </c>
      <c r="I439" s="2162" t="n">
        <v>7011.63636363636</v>
      </c>
      <c r="J439" s="2162" t="n">
        <v>1967.78068727273</v>
      </c>
      <c r="K439" s="2162" t="n"/>
    </row>
    <row r="440" outlineLevel="3" ht="15.75" customHeight="1">
      <c r="A440" s="10" t="n">
        <v>62</v>
      </c>
      <c r="B440" s="10" t="inlineStr">
        <is>
          <t>Insumo</t>
        </is>
      </c>
      <c r="C440" s="10" t="inlineStr">
        <is>
          <t>Armação aço CA-50 ø 10,0mm para infraestrutura (corte e dobra em Indústria)</t>
        </is>
      </c>
      <c r="D440" s="10" t="inlineStr">
        <is>
          <t>Espaçador para armadura</t>
        </is>
      </c>
      <c r="E440" s="11">
        <f t="array" ref="E440">_xlfn.XLOOKUP(D440,Insumos!B:B,Insumos!C:$C)</f>
        <v/>
      </c>
      <c r="F440" s="14" t="n">
        <v>0.05</v>
      </c>
      <c r="G440" s="92">
        <f t="array" ref="G440">IF(B440="insumo",_xlfn.XLOOKUP($D440,Insumos!$B$1:$B$996,Insumos!$D$1:$D$996),"")</f>
        <v/>
      </c>
      <c r="H440" s="92" t="n">
        <v>0.0135</v>
      </c>
      <c r="I440" s="2162" t="n">
        <v>7011.63636363636</v>
      </c>
      <c r="J440" s="2162" t="n">
        <v>94.6570909090909</v>
      </c>
      <c r="K440" s="2162" t="n"/>
    </row>
    <row r="441" outlineLevel="2" ht="15.75" customHeight="1">
      <c r="A441" s="1067" t="n">
        <v>1</v>
      </c>
      <c r="B441" s="1067" t="inlineStr">
        <is>
          <t>Serviço</t>
        </is>
      </c>
      <c r="C441" s="1067" t="inlineStr">
        <is>
          <t xml:space="preserve">Armação aço CA-50 ø 12,5mm para infraestrutura (corte e dobra em Indústria) </t>
        </is>
      </c>
      <c r="D441" s="1067" t="inlineStr">
        <is>
          <t xml:space="preserve">Armação aço CA-50 ø 12,5mm para infraestrutura (corte e dobra em Indústria) </t>
        </is>
      </c>
      <c r="E441" s="1068" t="inlineStr">
        <is>
          <t>KG</t>
        </is>
      </c>
      <c r="F441" s="1067" t="n"/>
      <c r="G441" s="1069">
        <f t="array" ref="G441">IF(B441="insumo",_xlfn.XLOOKUP($D441,Insumos!$B$1:$B$996,Insumos!$D$1:$D$996),"")</f>
        <v/>
      </c>
      <c r="H441" s="1069" t="n">
        <v>8.484145</v>
      </c>
      <c r="I441" s="2161" t="n">
        <v>6536</v>
      </c>
      <c r="J441" s="2161" t="n">
        <v>55452.37172</v>
      </c>
      <c r="K441" s="2161" t="n"/>
    </row>
    <row r="442" outlineLevel="3" ht="15.75" customHeight="1">
      <c r="A442" s="10" t="n">
        <v>3</v>
      </c>
      <c r="B442" s="10" t="inlineStr">
        <is>
          <t>Insumo</t>
        </is>
      </c>
      <c r="C442" s="10" t="inlineStr">
        <is>
          <t xml:space="preserve">Armação aço CA-50 ø 12,5mm para infraestrutura (corte e dobra em Indústria) </t>
        </is>
      </c>
      <c r="D442" s="10" t="inlineStr">
        <is>
          <t>Aço CA50 12,5 mm Corte e Dobra em Indústria</t>
        </is>
      </c>
      <c r="E442" s="11">
        <f t="array" ref="E442">_xlfn.XLOOKUP(D442,Insumos!B:B,Insumos!C:$C)</f>
        <v/>
      </c>
      <c r="F442" s="14" t="n">
        <v>1</v>
      </c>
      <c r="G442" s="92">
        <f t="array" ref="G442">IF(B442="insumo",_xlfn.XLOOKUP($D442,Insumos!$B$1:$B$996,Insumos!$D$1:$D$996),"")</f>
        <v/>
      </c>
      <c r="H442" s="92" t="n">
        <v>8.19</v>
      </c>
      <c r="I442" s="2162" t="n">
        <v>6536</v>
      </c>
      <c r="J442" s="2162" t="n">
        <v>53529.84</v>
      </c>
      <c r="K442" s="2162" t="n"/>
    </row>
    <row r="443" outlineLevel="3" ht="15.75" customHeight="1">
      <c r="A443" s="10" t="n">
        <v>41</v>
      </c>
      <c r="B443" s="10" t="inlineStr">
        <is>
          <t>Insumo</t>
        </is>
      </c>
      <c r="C443" s="10" t="inlineStr">
        <is>
          <t xml:space="preserve">Armação aço CA-50 ø 12,5mm para infraestrutura (corte e dobra em Indústria) </t>
        </is>
      </c>
      <c r="D443" s="10" t="inlineStr">
        <is>
          <t xml:space="preserve">Arame Galvanizado </t>
        </is>
      </c>
      <c r="E443" s="11">
        <f t="array" ref="E443">_xlfn.XLOOKUP(D443,Insumos!B:B,Insumos!C:$C)</f>
        <v/>
      </c>
      <c r="F443" s="14" t="n">
        <v>0.0205</v>
      </c>
      <c r="G443" s="92">
        <f t="array" ref="G443">IF(B443="insumo",_xlfn.XLOOKUP($D443,Insumos!$B$1:$B$996,Insumos!$D$1:$D$996),"")</f>
        <v/>
      </c>
      <c r="H443" s="92" t="n">
        <v>0.280645</v>
      </c>
      <c r="I443" s="2162" t="n">
        <v>6536</v>
      </c>
      <c r="J443" s="2162" t="n">
        <v>1834.29572</v>
      </c>
      <c r="K443" s="2162" t="n"/>
    </row>
    <row r="444" outlineLevel="3" ht="15.75" customHeight="1">
      <c r="A444" s="10" t="n">
        <v>62</v>
      </c>
      <c r="B444" s="10" t="inlineStr">
        <is>
          <t>Insumo</t>
        </is>
      </c>
      <c r="C444" s="10" t="inlineStr">
        <is>
          <t xml:space="preserve">Armação aço CA-50 ø 12,5mm para infraestrutura (corte e dobra em Indústria) </t>
        </is>
      </c>
      <c r="D444" s="10" t="inlineStr">
        <is>
          <t>Espaçador para armadura</t>
        </is>
      </c>
      <c r="E444" s="11">
        <f t="array" ref="E444">_xlfn.XLOOKUP(D444,Insumos!B:B,Insumos!C:$C)</f>
        <v/>
      </c>
      <c r="F444" s="14" t="n">
        <v>0.05</v>
      </c>
      <c r="G444" s="92">
        <f t="array" ref="G444">IF(B444="insumo",_xlfn.XLOOKUP($D444,Insumos!$B$1:$B$996,Insumos!$D$1:$D$996),"")</f>
        <v/>
      </c>
      <c r="H444" s="92" t="n">
        <v>0.0135</v>
      </c>
      <c r="I444" s="2162" t="n">
        <v>6536</v>
      </c>
      <c r="J444" s="2162" t="n">
        <v>88.236</v>
      </c>
      <c r="K444" s="2162" t="n"/>
    </row>
    <row r="445" outlineLevel="2" ht="15.75" customHeight="1">
      <c r="A445" s="1067" t="n">
        <v>1</v>
      </c>
      <c r="B445" s="1067" t="inlineStr">
        <is>
          <t>Serviço</t>
        </is>
      </c>
      <c r="C445" s="1067" t="inlineStr">
        <is>
          <t>Armação aço CA-50 ø 16,0mm para infraestrutura (corte e dobra em Indústria)</t>
        </is>
      </c>
      <c r="D445" s="1067" t="inlineStr">
        <is>
          <t>Armação aço CA-50 ø 16,0mm para infraestrutura (corte e dobra em Indústria)</t>
        </is>
      </c>
      <c r="E445" s="1068" t="inlineStr">
        <is>
          <t>KG</t>
        </is>
      </c>
      <c r="F445" s="1067" t="n"/>
      <c r="G445" s="1069">
        <f t="array" ref="G445">IF(B445="insumo",_xlfn.XLOOKUP($D445,Insumos!$B$1:$B$996,Insumos!$D$1:$D$996),"")</f>
        <v/>
      </c>
      <c r="H445" s="1069" t="n">
        <v>8.484145</v>
      </c>
      <c r="I445" s="2161" t="n">
        <v>8601.54545454545</v>
      </c>
      <c r="J445" s="2161" t="n">
        <v>72976.7588604545</v>
      </c>
      <c r="K445" s="2161" t="n"/>
    </row>
    <row r="446" outlineLevel="3" ht="15.75" customHeight="1">
      <c r="A446" s="10" t="n">
        <v>3</v>
      </c>
      <c r="B446" s="10" t="inlineStr">
        <is>
          <t>Insumo</t>
        </is>
      </c>
      <c r="C446" s="10" t="inlineStr">
        <is>
          <t>Armação aço CA-50 ø 16,0mm para infraestrutura (corte e dobra em Indústria)</t>
        </is>
      </c>
      <c r="D446" s="10" t="inlineStr">
        <is>
          <t>Aço CA50 16,0 mm Corte e Dobra em Indústria</t>
        </is>
      </c>
      <c r="E446" s="11">
        <f t="array" ref="E446">_xlfn.XLOOKUP(D446,Insumos!B:B,Insumos!C:$C)</f>
        <v/>
      </c>
      <c r="F446" s="14" t="n">
        <v>1</v>
      </c>
      <c r="G446" s="92">
        <f t="array" ref="G446">IF(B446="insumo",_xlfn.XLOOKUP($D446,Insumos!$B$1:$B$996,Insumos!$D$1:$D$996),"")</f>
        <v/>
      </c>
      <c r="H446" s="92" t="n">
        <v>8.19</v>
      </c>
      <c r="I446" s="2162" t="n">
        <v>8601.54545454545</v>
      </c>
      <c r="J446" s="2162" t="n">
        <v>70446.6572727272</v>
      </c>
      <c r="K446" s="2162" t="n"/>
    </row>
    <row r="447" outlineLevel="3" ht="15.75" customHeight="1">
      <c r="A447" s="10" t="n">
        <v>41</v>
      </c>
      <c r="B447" s="10" t="inlineStr">
        <is>
          <t>Insumo</t>
        </is>
      </c>
      <c r="C447" s="10" t="inlineStr">
        <is>
          <t>Armação aço CA-50 ø 16,0mm para infraestrutura (corte e dobra em Indústria)</t>
        </is>
      </c>
      <c r="D447" s="10" t="inlineStr">
        <is>
          <t xml:space="preserve">Arame Galvanizado </t>
        </is>
      </c>
      <c r="E447" s="11">
        <f t="array" ref="E447">_xlfn.XLOOKUP(D447,Insumos!B:B,Insumos!C:$C)</f>
        <v/>
      </c>
      <c r="F447" s="14" t="n">
        <v>0.0205</v>
      </c>
      <c r="G447" s="92">
        <f t="array" ref="G447">IF(B447="insumo",_xlfn.XLOOKUP($D447,Insumos!$B$1:$B$996,Insumos!$D$1:$D$996),"")</f>
        <v/>
      </c>
      <c r="H447" s="92" t="n">
        <v>0.280645</v>
      </c>
      <c r="I447" s="2162" t="n">
        <v>8601.54545454545</v>
      </c>
      <c r="J447" s="2162" t="n">
        <v>2413.98072409091</v>
      </c>
      <c r="K447" s="2162" t="n"/>
    </row>
    <row r="448" outlineLevel="3" ht="15.75" customHeight="1">
      <c r="A448" s="10" t="n">
        <v>62</v>
      </c>
      <c r="B448" s="10" t="inlineStr">
        <is>
          <t>Insumo</t>
        </is>
      </c>
      <c r="C448" s="10" t="inlineStr">
        <is>
          <t>Armação aço CA-50 ø 16,0mm para infraestrutura (corte e dobra em Indústria)</t>
        </is>
      </c>
      <c r="D448" s="10" t="inlineStr">
        <is>
          <t>Espaçador para armadura</t>
        </is>
      </c>
      <c r="E448" s="11">
        <f t="array" ref="E448">_xlfn.XLOOKUP(D448,Insumos!B:B,Insumos!C:$C)</f>
        <v/>
      </c>
      <c r="F448" s="14" t="n">
        <v>0.05</v>
      </c>
      <c r="G448" s="92">
        <f t="array" ref="G448">IF(B448="insumo",_xlfn.XLOOKUP($D448,Insumos!$B$1:$B$996,Insumos!$D$1:$D$996),"")</f>
        <v/>
      </c>
      <c r="H448" s="92" t="n">
        <v>0.0135</v>
      </c>
      <c r="I448" s="2162" t="n">
        <v>8601.54545454545</v>
      </c>
      <c r="J448" s="2162" t="n">
        <v>116.120863636364</v>
      </c>
      <c r="K448" s="2162" t="n"/>
    </row>
    <row r="449" outlineLevel="2" ht="15.75" customHeight="1">
      <c r="A449" s="1067" t="n">
        <v>1</v>
      </c>
      <c r="B449" s="1067" t="inlineStr">
        <is>
          <t>Serviço</t>
        </is>
      </c>
      <c r="C449" s="1067" t="inlineStr">
        <is>
          <t xml:space="preserve">Armação aço CA-50 ø 20,0mm para infraestrutura (corte e dobra em Indústria) </t>
        </is>
      </c>
      <c r="D449" s="1067" t="inlineStr">
        <is>
          <t xml:space="preserve">Armação aço CA-50 ø 20,0mm para infraestrutura (corte e dobra em Indústria) </t>
        </is>
      </c>
      <c r="E449" s="1068" t="inlineStr">
        <is>
          <t>KG</t>
        </is>
      </c>
      <c r="F449" s="1067" t="n"/>
      <c r="G449" s="1069">
        <f t="array" ref="G449">IF(B449="insumo",_xlfn.XLOOKUP($D449,Insumos!$B$1:$B$996,Insumos!$D$1:$D$996),"")</f>
        <v/>
      </c>
      <c r="H449" s="1069" t="n">
        <v>8.484145</v>
      </c>
      <c r="I449" s="2161" t="n">
        <v>2220.18181818182</v>
      </c>
      <c r="J449" s="2161" t="n">
        <v>18836.3444718182</v>
      </c>
      <c r="K449" s="2161" t="n"/>
    </row>
    <row r="450" outlineLevel="3" ht="15.75" customHeight="1">
      <c r="A450" s="10" t="n">
        <v>4</v>
      </c>
      <c r="B450" s="10" t="inlineStr">
        <is>
          <t>Insumo</t>
        </is>
      </c>
      <c r="C450" s="10" t="inlineStr">
        <is>
          <t xml:space="preserve">Armação aço CA-50 ø 20,0mm para infraestrutura (corte e dobra em Indústria) </t>
        </is>
      </c>
      <c r="D450" s="10" t="inlineStr">
        <is>
          <t>Aço CA50 20,0 mm Corte e Dobra em Indústria</t>
        </is>
      </c>
      <c r="E450" s="11">
        <f t="array" ref="E450">_xlfn.XLOOKUP(D450,Insumos!B:B,Insumos!C:$C)</f>
        <v/>
      </c>
      <c r="F450" s="14" t="n">
        <v>1</v>
      </c>
      <c r="G450" s="92">
        <f t="array" ref="G450">IF(B450="insumo",_xlfn.XLOOKUP($D450,Insumos!$B$1:$B$996,Insumos!$D$1:$D$996),"")</f>
        <v/>
      </c>
      <c r="H450" s="92" t="n">
        <v>8.19</v>
      </c>
      <c r="I450" s="2162" t="n">
        <v>2220.18181818182</v>
      </c>
      <c r="J450" s="2162" t="n">
        <v>18183.2890909091</v>
      </c>
      <c r="K450" s="2162" t="n"/>
    </row>
    <row r="451" outlineLevel="3" ht="15.75" customHeight="1">
      <c r="A451" s="10" t="n">
        <v>41</v>
      </c>
      <c r="B451" s="10" t="inlineStr">
        <is>
          <t>Insumo</t>
        </is>
      </c>
      <c r="C451" s="10" t="inlineStr">
        <is>
          <t xml:space="preserve">Armação aço CA-50 ø 20,0mm para infraestrutura (corte e dobra em Indústria) </t>
        </is>
      </c>
      <c r="D451" s="10" t="inlineStr">
        <is>
          <t xml:space="preserve">Arame Galvanizado </t>
        </is>
      </c>
      <c r="E451" s="11">
        <f t="array" ref="E451">_xlfn.XLOOKUP(D451,Insumos!B:B,Insumos!C:$C)</f>
        <v/>
      </c>
      <c r="F451" s="14" t="n">
        <v>0.0205</v>
      </c>
      <c r="G451" s="92">
        <f t="array" ref="G451">IF(B451="insumo",_xlfn.XLOOKUP($D451,Insumos!$B$1:$B$996,Insumos!$D$1:$D$996),"")</f>
        <v/>
      </c>
      <c r="H451" s="92" t="n">
        <v>0.280645</v>
      </c>
      <c r="I451" s="2162" t="n">
        <v>2220.18181818182</v>
      </c>
      <c r="J451" s="2162" t="n">
        <v>623.0829263636369</v>
      </c>
      <c r="K451" s="2162" t="n"/>
    </row>
    <row r="452" outlineLevel="3" ht="15.75" customHeight="1">
      <c r="A452" s="10" t="n">
        <v>62</v>
      </c>
      <c r="B452" s="10" t="inlineStr">
        <is>
          <t>Insumo</t>
        </is>
      </c>
      <c r="C452" s="10" t="inlineStr">
        <is>
          <t xml:space="preserve">Armação aço CA-50 ø 20,0mm para infraestrutura (corte e dobra em Indústria) </t>
        </is>
      </c>
      <c r="D452" s="10" t="inlineStr">
        <is>
          <t>Espaçador para armadura</t>
        </is>
      </c>
      <c r="E452" s="11">
        <f t="array" ref="E452">_xlfn.XLOOKUP(D452,Insumos!B:B,Insumos!C:$C)</f>
        <v/>
      </c>
      <c r="F452" s="14" t="n">
        <v>0.05</v>
      </c>
      <c r="G452" s="92">
        <f t="array" ref="G452">IF(B452="insumo",_xlfn.XLOOKUP($D452,Insumos!$B$1:$B$996,Insumos!$D$1:$D$996),"")</f>
        <v/>
      </c>
      <c r="H452" s="92" t="n">
        <v>0.0135</v>
      </c>
      <c r="I452" s="2162" t="n">
        <v>2220.18181818182</v>
      </c>
      <c r="J452" s="2162" t="n">
        <v>29.9724545454546</v>
      </c>
      <c r="K452" s="2162" t="n"/>
    </row>
    <row r="453" outlineLevel="2" ht="15.75" customHeight="1">
      <c r="A453" s="1067" t="n">
        <v>1</v>
      </c>
      <c r="B453" s="1067" t="inlineStr">
        <is>
          <t>Serviço</t>
        </is>
      </c>
      <c r="C453" s="1067" t="inlineStr">
        <is>
          <t xml:space="preserve">Armação aço CA-50 ø 25,0mm para infraestrutura (corte e dobra em Indústria) </t>
        </is>
      </c>
      <c r="D453" s="1067" t="inlineStr">
        <is>
          <t xml:space="preserve">Armação aço CA-50 ø 25,0mm para infraestrutura (corte e dobra em Indústria) </t>
        </is>
      </c>
      <c r="E453" s="1068" t="inlineStr">
        <is>
          <t>KG</t>
        </is>
      </c>
      <c r="F453" s="1067" t="n"/>
      <c r="G453" s="1069">
        <f t="array" ref="G453">IF(B453="insumo",_xlfn.XLOOKUP($D453,Insumos!$B$1:$B$996,Insumos!$D$1:$D$996),"")</f>
        <v/>
      </c>
      <c r="H453" s="1069" t="n">
        <v>8.484145</v>
      </c>
      <c r="I453" s="2161" t="n">
        <v>65337.2727272727</v>
      </c>
      <c r="J453" s="2161" t="n">
        <v>554330.8957227269</v>
      </c>
      <c r="K453" s="2161" t="n"/>
    </row>
    <row r="454" outlineLevel="3" ht="15.75" customHeight="1">
      <c r="A454" s="10" t="n">
        <v>3</v>
      </c>
      <c r="B454" s="10" t="inlineStr">
        <is>
          <t>Insumo</t>
        </is>
      </c>
      <c r="C454" s="10" t="inlineStr">
        <is>
          <t xml:space="preserve">Armação aço CA-50 ø 25,0mm para infraestrutura (corte e dobra em Indústria) </t>
        </is>
      </c>
      <c r="D454" s="10" t="inlineStr">
        <is>
          <t>Aço CA50 25,0mm Corte e Dobra em Indústria</t>
        </is>
      </c>
      <c r="E454" s="11">
        <f t="array" ref="E454">_xlfn.XLOOKUP(D454,Insumos!B:B,Insumos!C:$C)</f>
        <v/>
      </c>
      <c r="F454" s="14" t="n">
        <v>1</v>
      </c>
      <c r="G454" s="92">
        <f t="array" ref="G454">IF(B454="insumo",_xlfn.XLOOKUP($D454,Insumos!$B$1:$B$996,Insumos!$D$1:$D$996),"")</f>
        <v/>
      </c>
      <c r="H454" s="92" t="n">
        <v>8.19</v>
      </c>
      <c r="I454" s="2162" t="n">
        <v>65337.2727272727</v>
      </c>
      <c r="J454" s="2162" t="n">
        <v>535112.263636363</v>
      </c>
      <c r="K454" s="2162" t="n"/>
    </row>
    <row r="455" outlineLevel="3" ht="15.75" customHeight="1">
      <c r="A455" s="10" t="n">
        <v>41</v>
      </c>
      <c r="B455" s="10" t="inlineStr">
        <is>
          <t>Insumo</t>
        </is>
      </c>
      <c r="C455" s="10" t="inlineStr">
        <is>
          <t xml:space="preserve">Armação aço CA-50 ø 25,0mm para infraestrutura (corte e dobra em Indústria) </t>
        </is>
      </c>
      <c r="D455" s="10" t="inlineStr">
        <is>
          <t xml:space="preserve">Arame Galvanizado </t>
        </is>
      </c>
      <c r="E455" s="11">
        <f t="array" ref="E455">_xlfn.XLOOKUP(D455,Insumos!B:B,Insumos!C:$C)</f>
        <v/>
      </c>
      <c r="F455" s="14" t="n">
        <v>0.0205</v>
      </c>
      <c r="G455" s="92">
        <f t="array" ref="G455">IF(B455="insumo",_xlfn.XLOOKUP($D455,Insumos!$B$1:$B$996,Insumos!$D$1:$D$996),"")</f>
        <v/>
      </c>
      <c r="H455" s="92" t="n">
        <v>0.280645</v>
      </c>
      <c r="I455" s="2162" t="n">
        <v>65337.2727272727</v>
      </c>
      <c r="J455" s="2162" t="n">
        <v>18336.5789045454</v>
      </c>
      <c r="K455" s="2162" t="n"/>
    </row>
    <row r="456" outlineLevel="3" ht="15.75" customHeight="1">
      <c r="A456" s="10" t="n">
        <v>62</v>
      </c>
      <c r="B456" s="10" t="inlineStr">
        <is>
          <t>Insumo</t>
        </is>
      </c>
      <c r="C456" s="10" t="inlineStr">
        <is>
          <t xml:space="preserve">Armação aço CA-50 ø 25,0mm para infraestrutura (corte e dobra em Indústria) </t>
        </is>
      </c>
      <c r="D456" s="10" t="inlineStr">
        <is>
          <t>Espaçador para armadura</t>
        </is>
      </c>
      <c r="E456" s="11">
        <f t="array" ref="E456">_xlfn.XLOOKUP(D456,Insumos!B:B,Insumos!C:$C)</f>
        <v/>
      </c>
      <c r="F456" s="14" t="n">
        <v>0.05</v>
      </c>
      <c r="G456" s="92">
        <f t="array" ref="G456">IF(B456="insumo",_xlfn.XLOOKUP($D456,Insumos!$B$1:$B$996,Insumos!$D$1:$D$996),"")</f>
        <v/>
      </c>
      <c r="H456" s="92" t="n">
        <v>0.0135</v>
      </c>
      <c r="I456" s="2162" t="n">
        <v>65337.2727272727</v>
      </c>
      <c r="J456" s="2162" t="n">
        <v>882.053181818181</v>
      </c>
      <c r="K456" s="2162" t="n"/>
    </row>
    <row r="457" outlineLevel="2" ht="15.75" customHeight="1">
      <c r="A457" s="1067" t="n">
        <v>1</v>
      </c>
      <c r="B457" s="1067" t="inlineStr">
        <is>
          <t>Serviço</t>
        </is>
      </c>
      <c r="C457" s="1067" t="inlineStr">
        <is>
          <t xml:space="preserve">Armação aço CA-50 ø 32,00mm para infraestrutura (corte e dobra em Indústria) </t>
        </is>
      </c>
      <c r="D457" s="1067" t="inlineStr">
        <is>
          <t xml:space="preserve">Armação aço CA-50 ø 32,00mm para infraestrutura (corte e dobra em Indústria) </t>
        </is>
      </c>
      <c r="E457" s="1068" t="inlineStr">
        <is>
          <t>KG</t>
        </is>
      </c>
      <c r="F457" s="1067" t="n"/>
      <c r="G457" s="1069">
        <f t="array" ref="G457">IF(B457="insumo",_xlfn.XLOOKUP($D457,Insumos!$B$1:$B$996,Insumos!$D$1:$D$996),"")</f>
        <v/>
      </c>
      <c r="H457" s="1069" t="n">
        <v>9.070505945443699</v>
      </c>
      <c r="I457" s="2161" t="n">
        <v>27316</v>
      </c>
      <c r="J457" s="2161" t="n">
        <v>247769.94040574</v>
      </c>
      <c r="K457" s="2161" t="n"/>
    </row>
    <row r="458" outlineLevel="3" ht="15.75" customHeight="1">
      <c r="A458" s="10" t="n">
        <v>2</v>
      </c>
      <c r="B458" s="10" t="inlineStr">
        <is>
          <t>Insumo</t>
        </is>
      </c>
      <c r="C458" s="10" t="inlineStr">
        <is>
          <t xml:space="preserve">Armação aço CA-50 ø 32,00mm para infraestrutura (corte e dobra em Indústria) </t>
        </is>
      </c>
      <c r="D458" s="10" t="inlineStr">
        <is>
          <t>Aço CA50 32,0mm Corte e Dobra em Indústria</t>
        </is>
      </c>
      <c r="E458" s="11">
        <f t="array" ref="E458">_xlfn.XLOOKUP(D458,Insumos!B:B,Insumos!C:$C)</f>
        <v/>
      </c>
      <c r="F458" s="14" t="n">
        <v>1</v>
      </c>
      <c r="G458" s="92">
        <f t="array" ref="G458">IF(B458="insumo",_xlfn.XLOOKUP($D458,Insumos!$B$1:$B$996,Insumos!$D$1:$D$996),"")</f>
        <v/>
      </c>
      <c r="H458" s="92" t="n">
        <v>8.776360945443701</v>
      </c>
      <c r="I458" s="2162" t="n">
        <v>27316</v>
      </c>
      <c r="J458" s="2162" t="n">
        <v>239735.07558574</v>
      </c>
      <c r="K458" s="2162" t="n"/>
    </row>
    <row r="459" outlineLevel="3" ht="15.75" customHeight="1">
      <c r="A459" s="10" t="n">
        <v>41</v>
      </c>
      <c r="B459" s="10" t="inlineStr">
        <is>
          <t>Insumo</t>
        </is>
      </c>
      <c r="C459" s="10" t="inlineStr">
        <is>
          <t xml:space="preserve">Armação aço CA-50 ø 32,00mm para infraestrutura (corte e dobra em Indústria) </t>
        </is>
      </c>
      <c r="D459" s="10" t="inlineStr">
        <is>
          <t xml:space="preserve">Arame Galvanizado </t>
        </is>
      </c>
      <c r="E459" s="11">
        <f t="array" ref="E459">_xlfn.XLOOKUP(D459,Insumos!B:B,Insumos!C:$C)</f>
        <v/>
      </c>
      <c r="F459" s="14" t="n">
        <v>0.0205</v>
      </c>
      <c r="G459" s="92">
        <f t="array" ref="G459">IF(B459="insumo",_xlfn.XLOOKUP($D459,Insumos!$B$1:$B$996,Insumos!$D$1:$D$996),"")</f>
        <v/>
      </c>
      <c r="H459" s="92" t="n">
        <v>0.280645</v>
      </c>
      <c r="I459" s="2162" t="n">
        <v>27316</v>
      </c>
      <c r="J459" s="2162" t="n">
        <v>7666.09882</v>
      </c>
      <c r="K459" s="2162" t="n"/>
    </row>
    <row r="460" outlineLevel="3" ht="15.75" customHeight="1">
      <c r="A460" s="10" t="n">
        <v>62</v>
      </c>
      <c r="B460" s="10" t="inlineStr">
        <is>
          <t>Insumo</t>
        </is>
      </c>
      <c r="C460" s="10" t="inlineStr">
        <is>
          <t xml:space="preserve">Armação aço CA-50 ø 32,00mm para infraestrutura (corte e dobra em Indústria) </t>
        </is>
      </c>
      <c r="D460" s="10" t="inlineStr">
        <is>
          <t>Espaçador para armadura</t>
        </is>
      </c>
      <c r="E460" s="11">
        <f t="array" ref="E460">_xlfn.XLOOKUP(D460,Insumos!B:B,Insumos!C:$C)</f>
        <v/>
      </c>
      <c r="F460" s="14" t="n">
        <v>0.05</v>
      </c>
      <c r="G460" s="92">
        <f t="array" ref="G460">IF(B460="insumo",_xlfn.XLOOKUP($D460,Insumos!$B$1:$B$996,Insumos!$D$1:$D$996),"")</f>
        <v/>
      </c>
      <c r="H460" s="92" t="n">
        <v>0.0135</v>
      </c>
      <c r="I460" s="2162" t="n">
        <v>27316</v>
      </c>
      <c r="J460" s="2162" t="n">
        <v>368.766</v>
      </c>
      <c r="K460" s="2162" t="n"/>
    </row>
    <row r="461" outlineLevel="2" ht="12.75" customHeight="1">
      <c r="A461" s="1071" t="n">
        <v>1</v>
      </c>
      <c r="B461" s="1071" t="inlineStr">
        <is>
          <t>Serviço</t>
        </is>
      </c>
      <c r="C461" s="1071" t="inlineStr">
        <is>
          <t>Junta serrada de 4 mm e 10 cm de altura, com tarucel</t>
        </is>
      </c>
      <c r="D461" s="1071" t="inlineStr">
        <is>
          <t>Junta serrada de 4 mm e 10 cm de altura, com tarucel</t>
        </is>
      </c>
      <c r="E461" s="1072" t="inlineStr">
        <is>
          <t>M</t>
        </is>
      </c>
      <c r="F461" s="1071" t="n"/>
      <c r="G461" s="1073">
        <f t="array" ref="G461">IF(B461="insumo",_xlfn.XLOOKUP($D461,Insumos!$B$1:$B$996,Insumos!$D$1:$D$996),"")</f>
        <v/>
      </c>
      <c r="H461" s="1073" t="n">
        <v>3.64</v>
      </c>
      <c r="I461" s="2163" t="n">
        <v>0</v>
      </c>
      <c r="J461" s="2163" t="n">
        <v>0</v>
      </c>
      <c r="K461" s="2163" t="n"/>
    </row>
    <row r="462" outlineLevel="3" ht="12.75" customHeight="1">
      <c r="A462" s="82" t="n">
        <v>1</v>
      </c>
      <c r="B462" s="82" t="inlineStr">
        <is>
          <t>Insumo</t>
        </is>
      </c>
      <c r="C462" s="82" t="inlineStr">
        <is>
          <t>Junta serrada de 4 mm e 10 cm de altura, com tarucel</t>
        </is>
      </c>
      <c r="D462" s="82" t="inlineStr">
        <is>
          <t>Tarucel de 6 mm</t>
        </is>
      </c>
      <c r="E462" s="11">
        <f t="array" ref="E462">_xlfn.XLOOKUP(D462,Insumos!B:B,Insumos!C:$C)</f>
        <v/>
      </c>
      <c r="F462" s="2164" t="n">
        <v>1.1</v>
      </c>
      <c r="G462" s="92">
        <f t="array" ref="G462">IF(B462="insumo",_xlfn.XLOOKUP($D462,Insumos!$B$1:$B$996,Insumos!$D$1:$D$996),"")</f>
        <v/>
      </c>
      <c r="H462" s="92" t="n">
        <v>0.88</v>
      </c>
      <c r="I462" s="2165" t="n">
        <v>0</v>
      </c>
      <c r="J462" s="2165" t="n">
        <v>0</v>
      </c>
      <c r="K462" s="2165" t="n"/>
    </row>
    <row r="463" outlineLevel="3" ht="12.75" customHeight="1">
      <c r="A463" s="82" t="n">
        <v>10</v>
      </c>
      <c r="B463" s="82" t="inlineStr">
        <is>
          <t>Insumo</t>
        </is>
      </c>
      <c r="C463" s="82" t="inlineStr">
        <is>
          <t>Junta serrada de 4 mm e 10 cm de altura, com tarucel</t>
        </is>
      </c>
      <c r="D463" s="82" t="inlineStr">
        <is>
          <t>SELANTE ELASTICO MONOCOMPONENTE A BASE DE POLIURETANO (PU) PARA JUNTAS DIVERSAS</t>
        </is>
      </c>
      <c r="E463" s="11">
        <f t="array" ref="E463">_xlfn.XLOOKUP(D463,Insumos!B:B,Insumos!C:$C)</f>
        <v/>
      </c>
      <c r="F463" s="2164">
        <f>(1*0.004*0.01)/(0.01*0.01*3)</f>
        <v/>
      </c>
      <c r="G463" s="92">
        <f t="array" ref="G463">IF(B463="insumo",_xlfn.XLOOKUP($D463,Insumos!$B$1:$B$996,Insumos!$D$1:$D$996),"")</f>
        <v/>
      </c>
      <c r="H463" s="92" t="n">
        <v>2.76</v>
      </c>
      <c r="I463" s="2164" t="n">
        <v>0</v>
      </c>
      <c r="J463" s="2164" t="n">
        <v>0</v>
      </c>
      <c r="K463" s="2164" t="n"/>
    </row>
    <row r="464" outlineLevel="1" ht="15.75" customHeight="1">
      <c r="A464" s="1090" t="n">
        <v>5</v>
      </c>
      <c r="B464" s="1090" t="inlineStr">
        <is>
          <t>Subetapa</t>
        </is>
      </c>
      <c r="C464" s="1090" t="inlineStr">
        <is>
          <t>Junta serrada de 4 mm e 10 cm de altura, com tarucel</t>
        </is>
      </c>
      <c r="D464" s="1090" t="inlineStr">
        <is>
          <t>CONCRETO</t>
        </is>
      </c>
      <c r="E464" s="1091" t="n"/>
      <c r="F464" s="2160" t="n"/>
      <c r="G464" s="1091" t="n"/>
      <c r="H464" s="1091" t="n">
        <v>0</v>
      </c>
      <c r="I464" s="2160" t="n">
        <v>0</v>
      </c>
      <c r="J464" s="2160" t="n">
        <v>0</v>
      </c>
      <c r="K464" s="2160" t="n"/>
    </row>
    <row r="465" outlineLevel="2" ht="15.75" customHeight="1">
      <c r="A465" s="1067" t="n">
        <v>1</v>
      </c>
      <c r="B465" s="1067" t="inlineStr">
        <is>
          <t>Serviço</t>
        </is>
      </c>
      <c r="C465" s="1067" t="inlineStr">
        <is>
          <t>Concreto Usinado bombeável 30MPa para infraestrutura - incluindo serviço de bombeamento</t>
        </is>
      </c>
      <c r="D465" s="1067" t="inlineStr">
        <is>
          <t>Concreto Usinado bombeável 30MPa para infraestrutura - incluindo serviço de bombeamento</t>
        </is>
      </c>
      <c r="E465" s="1068" t="inlineStr">
        <is>
          <t>M3</t>
        </is>
      </c>
      <c r="F465" s="1067" t="n"/>
      <c r="G465" s="1069">
        <f t="array" ref="G465">IF(B465="insumo",_xlfn.XLOOKUP($D465,Insumos!$B$1:$B$996,Insumos!$D$1:$D$996),"")</f>
        <v/>
      </c>
      <c r="H465" s="1069" t="n">
        <v>578.26</v>
      </c>
      <c r="I465" s="2161" t="n">
        <v>0</v>
      </c>
      <c r="J465" s="2161" t="n">
        <v>0</v>
      </c>
      <c r="K465" s="2161" t="n"/>
    </row>
    <row r="466" outlineLevel="3" ht="15.75" customHeight="1">
      <c r="A466" s="10" t="n">
        <v>4</v>
      </c>
      <c r="B466" s="10" t="inlineStr">
        <is>
          <t>Insumo</t>
        </is>
      </c>
      <c r="C466" s="10" t="inlineStr">
        <is>
          <t>Concreto Usinado bombeável 30MPa para infraestrutura - incluindo serviço de bombeamento</t>
        </is>
      </c>
      <c r="D466" s="10" t="inlineStr">
        <is>
          <t>Concreto Usinado bombeável 30MPa Convencional</t>
        </is>
      </c>
      <c r="E466" s="11">
        <f t="array" ref="E466">_xlfn.XLOOKUP(D466,Insumos!B:B,Insumos!C:$C)</f>
        <v/>
      </c>
      <c r="F466" s="14" t="n">
        <v>1.05</v>
      </c>
      <c r="G466" s="92">
        <f t="array" ref="G466">IF(B466="insumo",_xlfn.XLOOKUP($D466,Insumos!$B$1:$B$996,Insumos!$D$1:$D$996),"")</f>
        <v/>
      </c>
      <c r="H466" s="92" t="n">
        <v>535.5</v>
      </c>
      <c r="I466" s="2162" t="n">
        <v>0</v>
      </c>
      <c r="J466" s="2162" t="n">
        <v>0</v>
      </c>
      <c r="K466" s="2162" t="n"/>
    </row>
    <row r="467" outlineLevel="3" ht="15.75" customHeight="1">
      <c r="A467" s="10" t="n">
        <v>25</v>
      </c>
      <c r="B467" s="10" t="inlineStr">
        <is>
          <t>Insumo</t>
        </is>
      </c>
      <c r="C467" s="10" t="inlineStr">
        <is>
          <t>Concreto Usinado bombeável 30MPa para infraestrutura - incluindo serviço de bombeamento</t>
        </is>
      </c>
      <c r="D467" s="10" t="inlineStr">
        <is>
          <t>serviço de bombeamento</t>
        </is>
      </c>
      <c r="E467" s="11">
        <f t="array" ref="E467">_xlfn.XLOOKUP(D467,Insumos!B:B,Insumos!C:$C)</f>
        <v/>
      </c>
      <c r="F467" s="14" t="n">
        <v>1.05</v>
      </c>
      <c r="G467" s="92">
        <f t="array" ref="G467">IF(B467="insumo",_xlfn.XLOOKUP($D467,Insumos!$B$1:$B$996,Insumos!$D$1:$D$996),"")</f>
        <v/>
      </c>
      <c r="H467" s="92" t="n">
        <v>42</v>
      </c>
      <c r="I467" s="2162" t="n">
        <v>0</v>
      </c>
      <c r="J467" s="2162" t="n">
        <v>0</v>
      </c>
      <c r="K467" s="2162" t="n"/>
    </row>
    <row r="468" outlineLevel="3" ht="15.75" customHeight="1">
      <c r="A468" s="10" t="n">
        <v>62</v>
      </c>
      <c r="B468" s="10" t="inlineStr">
        <is>
          <t>Insumo</t>
        </is>
      </c>
      <c r="C468" s="10" t="inlineStr">
        <is>
          <t>Concreto Usinado bombeável 30MPa para infraestrutura - incluindo serviço de bombeamento</t>
        </is>
      </c>
      <c r="D468" s="10" t="inlineStr">
        <is>
          <t>Cimento Portland Composto CP II-32</t>
        </is>
      </c>
      <c r="E468" s="11">
        <f t="array" ref="E468">_xlfn.XLOOKUP(D468,Insumos!B:B,Insumos!C:$C)</f>
        <v/>
      </c>
      <c r="F468" s="14" t="n">
        <v>1</v>
      </c>
      <c r="G468" s="92">
        <f t="array" ref="G468">IF(B468="insumo",_xlfn.XLOOKUP($D468,Insumos!$B$1:$B$996,Insumos!$D$1:$D$996),"")</f>
        <v/>
      </c>
      <c r="H468" s="92" t="n">
        <v>0.76</v>
      </c>
      <c r="I468" s="2162" t="n">
        <v>0</v>
      </c>
      <c r="J468" s="2162" t="n">
        <v>0</v>
      </c>
      <c r="K468" s="2162" t="n"/>
    </row>
    <row r="469" outlineLevel="2" ht="15.75" customHeight="1">
      <c r="A469" s="1067" t="n">
        <v>1</v>
      </c>
      <c r="B469" s="1067" t="inlineStr">
        <is>
          <t>Serviço</t>
        </is>
      </c>
      <c r="C469" s="1067" t="inlineStr">
        <is>
          <t>Concreto Usinado bombeável 35MPa para infraestrutura - incluindo serviço de bombeamento</t>
        </is>
      </c>
      <c r="D469" s="1067" t="inlineStr">
        <is>
          <t>Concreto Usinado bombeável 35MPa para infraestrutura - incluindo serviço de bombeamento</t>
        </is>
      </c>
      <c r="E469" s="1068" t="inlineStr">
        <is>
          <t>M3</t>
        </is>
      </c>
      <c r="F469" s="1067" t="n"/>
      <c r="G469" s="1069">
        <f t="array" ref="G469">IF(B469="insumo",_xlfn.XLOOKUP($D469,Insumos!$B$1:$B$996,Insumos!$D$1:$D$996),"")</f>
        <v/>
      </c>
      <c r="H469" s="1069" t="n">
        <v>677.7265</v>
      </c>
      <c r="I469" s="2161" t="n">
        <v>0</v>
      </c>
      <c r="J469" s="2161" t="n">
        <v>0</v>
      </c>
      <c r="K469" s="2161" t="n"/>
    </row>
    <row r="470" outlineLevel="3" ht="15.75" customHeight="1">
      <c r="A470" s="10" t="n">
        <v>6</v>
      </c>
      <c r="B470" s="10" t="inlineStr">
        <is>
          <t>Insumo</t>
        </is>
      </c>
      <c r="C470" s="10" t="inlineStr">
        <is>
          <t>Concreto Usinado bombeável 35MPa para infraestrutura - incluindo serviço de bombeamento</t>
        </is>
      </c>
      <c r="D470" s="10" t="inlineStr">
        <is>
          <t>Concreto Usinado bombeável 35MPa Convencional</t>
        </is>
      </c>
      <c r="E470" s="11">
        <f t="array" ref="E470">_xlfn.XLOOKUP(D470,Insumos!B:B,Insumos!C:$C)</f>
        <v/>
      </c>
      <c r="F470" s="14" t="n">
        <v>1.05</v>
      </c>
      <c r="G470" s="92">
        <f t="array" ref="G470">IF(B470="insumo",_xlfn.XLOOKUP($D470,Insumos!$B$1:$B$996,Insumos!$D$1:$D$996),"")</f>
        <v/>
      </c>
      <c r="H470" s="92" t="n">
        <v>634.9665</v>
      </c>
      <c r="I470" s="2162" t="n">
        <v>0</v>
      </c>
      <c r="J470" s="2162" t="n">
        <v>0</v>
      </c>
      <c r="K470" s="2162" t="n"/>
    </row>
    <row r="471" outlineLevel="3" ht="15.75" customHeight="1">
      <c r="A471" s="10" t="n">
        <v>25</v>
      </c>
      <c r="B471" s="10" t="inlineStr">
        <is>
          <t>Insumo</t>
        </is>
      </c>
      <c r="C471" s="10" t="inlineStr">
        <is>
          <t>Concreto Usinado bombeável 35MPa para infraestrutura - incluindo serviço de bombeamento</t>
        </is>
      </c>
      <c r="D471" s="10" t="inlineStr">
        <is>
          <t>serviço de bombeamento</t>
        </is>
      </c>
      <c r="E471" s="11">
        <f t="array" ref="E471">_xlfn.XLOOKUP(D471,Insumos!B:B,Insumos!C:$C)</f>
        <v/>
      </c>
      <c r="F471" s="14" t="n">
        <v>1.05</v>
      </c>
      <c r="G471" s="92">
        <f t="array" ref="G471">IF(B471="insumo",_xlfn.XLOOKUP($D471,Insumos!$B$1:$B$996,Insumos!$D$1:$D$996),"")</f>
        <v/>
      </c>
      <c r="H471" s="92" t="n">
        <v>42</v>
      </c>
      <c r="I471" s="2162" t="n">
        <v>0</v>
      </c>
      <c r="J471" s="2162" t="n">
        <v>0</v>
      </c>
      <c r="K471" s="2162" t="n"/>
    </row>
    <row r="472" outlineLevel="3" ht="15.75" customHeight="1">
      <c r="A472" s="10" t="n">
        <v>62</v>
      </c>
      <c r="B472" s="10" t="inlineStr">
        <is>
          <t>Insumo</t>
        </is>
      </c>
      <c r="C472" s="10" t="inlineStr">
        <is>
          <t>Concreto Usinado bombeável 35MPa para infraestrutura - incluindo serviço de bombeamento</t>
        </is>
      </c>
      <c r="D472" s="10" t="inlineStr">
        <is>
          <t>Cimento Portland Composto CP II-32</t>
        </is>
      </c>
      <c r="E472" s="11">
        <f t="array" ref="E472">_xlfn.XLOOKUP(D472,Insumos!B:B,Insumos!C:$C)</f>
        <v/>
      </c>
      <c r="F472" s="14" t="n">
        <v>1</v>
      </c>
      <c r="G472" s="92">
        <f t="array" ref="G472">IF(B472="insumo",_xlfn.XLOOKUP($D472,Insumos!$B$1:$B$996,Insumos!$D$1:$D$996),"")</f>
        <v/>
      </c>
      <c r="H472" s="92" t="n">
        <v>0.76</v>
      </c>
      <c r="I472" s="2162" t="n">
        <v>0</v>
      </c>
      <c r="J472" s="2162" t="n">
        <v>0</v>
      </c>
      <c r="K472" s="2162" t="n"/>
    </row>
    <row r="473" outlineLevel="2" ht="12.75" customHeight="1">
      <c r="A473" s="1071" t="n">
        <v>1</v>
      </c>
      <c r="B473" s="1071" t="inlineStr">
        <is>
          <t>Serviço</t>
        </is>
      </c>
      <c r="C473" s="1071" t="inlineStr">
        <is>
          <t>Concreto Usinado bombeável 40MPa para infraestrutura- incluindo serviço de bombeamento</t>
        </is>
      </c>
      <c r="D473" s="1071" t="inlineStr">
        <is>
          <t>Concreto Usinado bombeável 40MPa para infraestrutura- incluindo serviço de bombeamento</t>
        </is>
      </c>
      <c r="E473" s="1072" t="inlineStr">
        <is>
          <t>M3</t>
        </is>
      </c>
      <c r="F473" s="1071" t="n"/>
      <c r="G473" s="1073">
        <f t="array" ref="G473">IF(B473="insumo",_xlfn.XLOOKUP($D473,Insumos!$B$1:$B$996,Insumos!$D$1:$D$996),"")</f>
        <v/>
      </c>
      <c r="H473" s="1073" t="n">
        <v>631.306</v>
      </c>
      <c r="I473" s="2163" t="n">
        <v>0</v>
      </c>
      <c r="J473" s="2163" t="n">
        <v>0</v>
      </c>
      <c r="K473" s="2163" t="n"/>
    </row>
    <row r="474" outlineLevel="3" ht="12.75" customHeight="1">
      <c r="A474" s="82" t="n">
        <v>2</v>
      </c>
      <c r="B474" s="82" t="inlineStr">
        <is>
          <t>Insumo</t>
        </is>
      </c>
      <c r="C474" s="82" t="inlineStr">
        <is>
          <t>Concreto Usinado bombeável 40MPa para infraestrutura- incluindo serviço de bombeamento</t>
        </is>
      </c>
      <c r="D474" s="82" t="inlineStr">
        <is>
          <t>Concreto Usinado bombeável 40MPa Convencional</t>
        </is>
      </c>
      <c r="E474" s="11">
        <f t="array" ref="E474">_xlfn.XLOOKUP(D474,Insumos!B:B,Insumos!C:$C)</f>
        <v/>
      </c>
      <c r="F474" s="2164" t="n">
        <v>1.05</v>
      </c>
      <c r="G474" s="92">
        <f t="array" ref="G474">IF(B474="insumo",_xlfn.XLOOKUP($D474,Insumos!$B$1:$B$996,Insumos!$D$1:$D$996),"")</f>
        <v/>
      </c>
      <c r="H474" s="92" t="n">
        <v>588.546</v>
      </c>
      <c r="I474" s="2165" t="n">
        <v>0</v>
      </c>
      <c r="J474" s="2165" t="n">
        <v>0</v>
      </c>
      <c r="K474" s="2165" t="n"/>
    </row>
    <row r="475" outlineLevel="3" ht="12.75" customHeight="1">
      <c r="A475" s="82" t="n">
        <v>25</v>
      </c>
      <c r="B475" s="82" t="inlineStr">
        <is>
          <t>Insumo</t>
        </is>
      </c>
      <c r="C475" s="82" t="inlineStr">
        <is>
          <t>Concreto Usinado bombeável 40MPa para infraestrutura- incluindo serviço de bombeamento</t>
        </is>
      </c>
      <c r="D475" s="82" t="inlineStr">
        <is>
          <t>serviço de bombeamento</t>
        </is>
      </c>
      <c r="E475" s="11">
        <f t="array" ref="E475">_xlfn.XLOOKUP(D475,Insumos!B:B,Insumos!C:$C)</f>
        <v/>
      </c>
      <c r="F475" s="2164" t="n">
        <v>1.05</v>
      </c>
      <c r="G475" s="92">
        <f t="array" ref="G475">IF(B475="insumo",_xlfn.XLOOKUP($D475,Insumos!$B$1:$B$996,Insumos!$D$1:$D$996),"")</f>
        <v/>
      </c>
      <c r="H475" s="92" t="n">
        <v>42</v>
      </c>
      <c r="I475" s="2165" t="n">
        <v>0</v>
      </c>
      <c r="J475" s="2165" t="n">
        <v>0</v>
      </c>
      <c r="K475" s="2165" t="n"/>
    </row>
    <row r="476" outlineLevel="3" ht="12.75" customHeight="1">
      <c r="A476" s="82" t="n">
        <v>62</v>
      </c>
      <c r="B476" s="82" t="inlineStr">
        <is>
          <t>Insumo</t>
        </is>
      </c>
      <c r="C476" s="82" t="inlineStr">
        <is>
          <t>Concreto Usinado bombeável 40MPa para infraestrutura- incluindo serviço de bombeamento</t>
        </is>
      </c>
      <c r="D476" s="82" t="inlineStr">
        <is>
          <t>Cimento Portland Composto CP II-32</t>
        </is>
      </c>
      <c r="E476" s="11">
        <f t="array" ref="E476">_xlfn.XLOOKUP(D476,Insumos!B:B,Insumos!C:$C)</f>
        <v/>
      </c>
      <c r="F476" s="2164" t="n">
        <v>1</v>
      </c>
      <c r="G476" s="92">
        <f t="array" ref="G476">IF(B476="insumo",_xlfn.XLOOKUP($D476,Insumos!$B$1:$B$996,Insumos!$D$1:$D$996),"")</f>
        <v/>
      </c>
      <c r="H476" s="92" t="n">
        <v>0.76</v>
      </c>
      <c r="I476" s="2165" t="n">
        <v>0</v>
      </c>
      <c r="J476" s="2165" t="n">
        <v>0</v>
      </c>
      <c r="K476" s="2165" t="n"/>
    </row>
    <row r="477" outlineLevel="2" ht="15.75" customHeight="1">
      <c r="A477" s="1067" t="n">
        <v>1</v>
      </c>
      <c r="B477" s="1067" t="inlineStr">
        <is>
          <t>Serviço</t>
        </is>
      </c>
      <c r="C477" s="1067" t="inlineStr">
        <is>
          <t>Concreto Usinado bombeável 45MPa para infraestrutura- incluindo serviço de bombeamento</t>
        </is>
      </c>
      <c r="D477" s="1067" t="inlineStr">
        <is>
          <t>Concreto Usinado bombeável 45MPa para infraestrutura- incluindo serviço de bombeamento</t>
        </is>
      </c>
      <c r="E477" s="1068" t="inlineStr">
        <is>
          <t>M3</t>
        </is>
      </c>
      <c r="F477" s="1067" t="n"/>
      <c r="G477" s="1069">
        <f t="array" ref="G477">IF(B477="insumo",_xlfn.XLOOKUP($D477,Insumos!$B$1:$B$996,Insumos!$D$1:$D$996),"")</f>
        <v/>
      </c>
      <c r="H477" s="1069" t="n">
        <v>620.407</v>
      </c>
      <c r="I477" s="2161" t="n">
        <v>0</v>
      </c>
      <c r="J477" s="2161" t="n">
        <v>0</v>
      </c>
      <c r="K477" s="2161" t="n"/>
    </row>
    <row r="478" outlineLevel="3" ht="15.75" customHeight="1">
      <c r="A478" s="10" t="n">
        <v>2</v>
      </c>
      <c r="B478" s="10" t="inlineStr">
        <is>
          <t>Insumo</t>
        </is>
      </c>
      <c r="C478" s="10" t="inlineStr">
        <is>
          <t>Concreto Usinado bombeável 45MPa para infraestrutura- incluindo serviço de bombeamento</t>
        </is>
      </c>
      <c r="D478" s="10" t="inlineStr">
        <is>
          <t>Concreto Usinado bombeável 45MPa Convencional</t>
        </is>
      </c>
      <c r="E478" s="11">
        <f t="array" ref="E478">_xlfn.XLOOKUP(D478,Insumos!B:B,Insumos!C:$C)</f>
        <v/>
      </c>
      <c r="F478" s="14" t="n">
        <v>1.05</v>
      </c>
      <c r="G478" s="92">
        <f t="array" ref="G478">IF(B478="insumo",_xlfn.XLOOKUP($D478,Insumos!$B$1:$B$996,Insumos!$D$1:$D$996),"")</f>
        <v/>
      </c>
      <c r="H478" s="92" t="n">
        <v>577.647</v>
      </c>
      <c r="I478" s="2162" t="n">
        <v>0</v>
      </c>
      <c r="J478" s="2162" t="n">
        <v>0</v>
      </c>
      <c r="K478" s="2162" t="n"/>
    </row>
    <row r="479" outlineLevel="3" ht="15.75" customHeight="1">
      <c r="A479" s="10" t="n">
        <v>25</v>
      </c>
      <c r="B479" s="10" t="inlineStr">
        <is>
          <t>Insumo</t>
        </is>
      </c>
      <c r="C479" s="10" t="inlineStr">
        <is>
          <t>Concreto Usinado bombeável 45MPa para infraestrutura- incluindo serviço de bombeamento</t>
        </is>
      </c>
      <c r="D479" s="10" t="inlineStr">
        <is>
          <t>serviço de bombeamento</t>
        </is>
      </c>
      <c r="E479" s="11">
        <f t="array" ref="E479">_xlfn.XLOOKUP(D479,Insumos!B:B,Insumos!C:$C)</f>
        <v/>
      </c>
      <c r="F479" s="14" t="n">
        <v>1.05</v>
      </c>
      <c r="G479" s="92">
        <f t="array" ref="G479">IF(B479="insumo",_xlfn.XLOOKUP($D479,Insumos!$B$1:$B$996,Insumos!$D$1:$D$996),"")</f>
        <v/>
      </c>
      <c r="H479" s="92" t="n">
        <v>42</v>
      </c>
      <c r="I479" s="2162" t="n">
        <v>0</v>
      </c>
      <c r="J479" s="2162" t="n">
        <v>0</v>
      </c>
      <c r="K479" s="2162" t="n"/>
    </row>
    <row r="480" outlineLevel="3" ht="15.75" customHeight="1">
      <c r="A480" s="10" t="n">
        <v>62</v>
      </c>
      <c r="B480" s="10" t="inlineStr">
        <is>
          <t>Insumo</t>
        </is>
      </c>
      <c r="C480" s="10" t="inlineStr">
        <is>
          <t>Concreto Usinado bombeável 45MPa para infraestrutura- incluindo serviço de bombeamento</t>
        </is>
      </c>
      <c r="D480" s="10" t="inlineStr">
        <is>
          <t>Cimento Portland Composto CP II-32</t>
        </is>
      </c>
      <c r="E480" s="11">
        <f t="array" ref="E480">_xlfn.XLOOKUP(D480,Insumos!B:B,Insumos!C:$C)</f>
        <v/>
      </c>
      <c r="F480" s="14" t="n">
        <v>1</v>
      </c>
      <c r="G480" s="92">
        <f t="array" ref="G480">IF(B480="insumo",_xlfn.XLOOKUP($D480,Insumos!$B$1:$B$996,Insumos!$D$1:$D$996),"")</f>
        <v/>
      </c>
      <c r="H480" s="92" t="n">
        <v>0.76</v>
      </c>
      <c r="I480" s="2162" t="n">
        <v>0</v>
      </c>
      <c r="J480" s="2162" t="n">
        <v>0</v>
      </c>
      <c r="K480" s="2162" t="n"/>
    </row>
    <row r="481" outlineLevel="2" ht="15.75" customHeight="1">
      <c r="A481" s="1067" t="n">
        <v>1</v>
      </c>
      <c r="B481" s="1067" t="inlineStr">
        <is>
          <t>Serviço</t>
        </is>
      </c>
      <c r="C481" s="1067" t="inlineStr">
        <is>
          <t>Concreto Usinado bombeável 50MPa para infraestrutura- incluindo serviço de bombeamento</t>
        </is>
      </c>
      <c r="D481" s="1067" t="inlineStr">
        <is>
          <t>Concreto Usinado bombeável 50MPa para infraestrutura- incluindo serviço de bombeamento</t>
        </is>
      </c>
      <c r="E481" s="1068" t="inlineStr">
        <is>
          <t>M3</t>
        </is>
      </c>
      <c r="F481" s="1067" t="n"/>
      <c r="G481" s="1069">
        <f t="array" ref="G481">IF(B481="insumo",_xlfn.XLOOKUP($D481,Insumos!$B$1:$B$996,Insumos!$D$1:$D$996),"")</f>
        <v/>
      </c>
      <c r="H481" s="1069" t="n">
        <v>680.106</v>
      </c>
      <c r="I481" s="2161" t="n">
        <v>738.737662</v>
      </c>
      <c r="J481" s="2161" t="n">
        <v>502419.916352172</v>
      </c>
      <c r="K481" s="2161" t="n"/>
    </row>
    <row r="482" outlineLevel="3" ht="15.75" customHeight="1">
      <c r="A482" s="10" t="n">
        <v>2</v>
      </c>
      <c r="B482" s="10" t="inlineStr">
        <is>
          <t>Insumo</t>
        </is>
      </c>
      <c r="C482" s="10" t="inlineStr">
        <is>
          <t>Concreto Usinado bombeável 50MPa para infraestrutura- incluindo serviço de bombeamento</t>
        </is>
      </c>
      <c r="D482" s="10" t="inlineStr">
        <is>
          <t>Concreto Usinado bombeável 50MPa Convencional</t>
        </is>
      </c>
      <c r="E482" s="11">
        <f t="array" ref="E482">_xlfn.XLOOKUP(D482,Insumos!B:B,Insumos!C:$C)</f>
        <v/>
      </c>
      <c r="F482" s="14" t="n">
        <v>1.05</v>
      </c>
      <c r="G482" s="92">
        <f t="array" ref="G482">IF(B482="insumo",_xlfn.XLOOKUP($D482,Insumos!$B$1:$B$996,Insumos!$D$1:$D$996),"")</f>
        <v/>
      </c>
      <c r="H482" s="92" t="n">
        <v>638.106</v>
      </c>
      <c r="I482" s="2162" t="n">
        <v>738.737662</v>
      </c>
      <c r="J482" s="2162" t="n">
        <v>471392.934548172</v>
      </c>
      <c r="K482" s="2162" t="n"/>
    </row>
    <row r="483" outlineLevel="3" ht="15.75" customHeight="1">
      <c r="A483" s="10" t="n">
        <v>25</v>
      </c>
      <c r="B483" s="10" t="inlineStr">
        <is>
          <t>Insumo</t>
        </is>
      </c>
      <c r="C483" s="10" t="inlineStr">
        <is>
          <t>Concreto Usinado bombeável 50MPa para infraestrutura- incluindo serviço de bombeamento</t>
        </is>
      </c>
      <c r="D483" s="10" t="inlineStr">
        <is>
          <t>serviço de bombeamento</t>
        </is>
      </c>
      <c r="E483" s="11">
        <f t="array" ref="E483">_xlfn.XLOOKUP(D483,Insumos!B:B,Insumos!C:$C)</f>
        <v/>
      </c>
      <c r="F483" s="14" t="n">
        <v>1.05</v>
      </c>
      <c r="G483" s="92">
        <f t="array" ref="G483">IF(B483="insumo",_xlfn.XLOOKUP($D483,Insumos!$B$1:$B$996,Insumos!$D$1:$D$996),"")</f>
        <v/>
      </c>
      <c r="H483" s="92" t="n">
        <v>42</v>
      </c>
      <c r="I483" s="2162" t="n">
        <v>738.737662</v>
      </c>
      <c r="J483" s="2162" t="n">
        <v>31026.981804</v>
      </c>
      <c r="K483" s="2162" t="n"/>
    </row>
    <row r="484" outlineLevel="3" ht="15.75" customHeight="1">
      <c r="A484" s="10" t="n">
        <v>62</v>
      </c>
      <c r="B484" s="10" t="inlineStr">
        <is>
          <t>Insumo</t>
        </is>
      </c>
      <c r="C484" s="10" t="inlineStr">
        <is>
          <t>Concreto Usinado bombeável 50MPa para infraestrutura- incluindo serviço de bombeamento</t>
        </is>
      </c>
      <c r="D484" s="10" t="inlineStr">
        <is>
          <t>Cimento Portland Composto CP II-32</t>
        </is>
      </c>
      <c r="E484" s="11">
        <f t="array" ref="E484">_xlfn.XLOOKUP(D484,Insumos!B:B,Insumos!C:$C)</f>
        <v/>
      </c>
      <c r="F484" s="14" t="n">
        <v>0</v>
      </c>
      <c r="G484" s="92">
        <f t="array" ref="G484">IF(B484="insumo",_xlfn.XLOOKUP($D484,Insumos!$B$1:$B$996,Insumos!$D$1:$D$996),"")</f>
        <v/>
      </c>
      <c r="H484" s="92" t="n">
        <v>0</v>
      </c>
      <c r="I484" s="2162" t="n">
        <v>738.737662</v>
      </c>
      <c r="J484" s="2162" t="n">
        <v>0</v>
      </c>
      <c r="K484" s="2162" t="n"/>
    </row>
    <row r="485" outlineLevel="2" ht="15.75" customHeight="1">
      <c r="A485" s="1067" t="n">
        <v>1</v>
      </c>
      <c r="B485" s="1067" t="inlineStr">
        <is>
          <t>Serviço</t>
        </is>
      </c>
      <c r="C485" s="1067" t="inlineStr">
        <is>
          <t>Concreto Usinado bombeável 60MPa para infraestrutura- incluindo serviço de bombeamento</t>
        </is>
      </c>
      <c r="D485" s="1067" t="inlineStr">
        <is>
          <t>Concreto Usinado bombeável 60MPa para infraestrutura- incluindo serviço de bombeamento</t>
        </is>
      </c>
      <c r="E485" s="1068" t="inlineStr">
        <is>
          <t>M3</t>
        </is>
      </c>
      <c r="F485" s="1067" t="n"/>
      <c r="G485" s="1069">
        <f t="array" ref="G485">IF(B485="insumo",_xlfn.XLOOKUP($D485,Insumos!$B$1:$B$996,Insumos!$D$1:$D$996),"")</f>
        <v/>
      </c>
      <c r="H485" s="1069" t="n">
        <v>656.292</v>
      </c>
      <c r="I485" s="2161" t="n">
        <v>0</v>
      </c>
      <c r="J485" s="2161" t="n">
        <v>0</v>
      </c>
      <c r="K485" s="2161" t="n"/>
    </row>
    <row r="486" outlineLevel="3" ht="15.75" customHeight="1">
      <c r="A486" s="10" t="n">
        <v>1</v>
      </c>
      <c r="B486" s="10" t="inlineStr">
        <is>
          <t>Insumo</t>
        </is>
      </c>
      <c r="C486" s="10" t="inlineStr">
        <is>
          <t>Concreto Usinado bombeável 60MPa para infraestrutura- incluindo serviço de bombeamento</t>
        </is>
      </c>
      <c r="D486" s="10" t="inlineStr">
        <is>
          <t>Concreto Usinado bombeável 60MPa Convencional</t>
        </is>
      </c>
      <c r="E486" s="11">
        <f t="array" ref="E486">_xlfn.XLOOKUP(D486,Insumos!B:B,Insumos!C:$C)</f>
        <v/>
      </c>
      <c r="F486" s="14" t="n">
        <v>1.05</v>
      </c>
      <c r="G486" s="92">
        <f t="array" ref="G486">IF(B486="insumo",_xlfn.XLOOKUP($D486,Insumos!$B$1:$B$996,Insumos!$D$1:$D$996),"")</f>
        <v/>
      </c>
      <c r="H486" s="92" t="n">
        <v>614.292</v>
      </c>
      <c r="I486" s="2162" t="n">
        <v>0</v>
      </c>
      <c r="J486" s="2162" t="n">
        <v>0</v>
      </c>
      <c r="K486" s="2162" t="n"/>
    </row>
    <row r="487" outlineLevel="3" ht="15.75" customHeight="1">
      <c r="A487" s="10" t="n">
        <v>25</v>
      </c>
      <c r="B487" s="10" t="inlineStr">
        <is>
          <t>Insumo</t>
        </is>
      </c>
      <c r="C487" s="10" t="inlineStr">
        <is>
          <t>Concreto Usinado bombeável 60MPa para infraestrutura- incluindo serviço de bombeamento</t>
        </is>
      </c>
      <c r="D487" s="10" t="inlineStr">
        <is>
          <t>serviço de bombeamento</t>
        </is>
      </c>
      <c r="E487" s="11">
        <f t="array" ref="E487">_xlfn.XLOOKUP(D487,Insumos!B:B,Insumos!C:$C)</f>
        <v/>
      </c>
      <c r="F487" s="14" t="n">
        <v>1.05</v>
      </c>
      <c r="G487" s="92">
        <f t="array" ref="G487">IF(B487="insumo",_xlfn.XLOOKUP($D487,Insumos!$B$1:$B$996,Insumos!$D$1:$D$996),"")</f>
        <v/>
      </c>
      <c r="H487" s="92" t="n">
        <v>42</v>
      </c>
      <c r="I487" s="2162" t="n">
        <v>0</v>
      </c>
      <c r="J487" s="2162" t="n">
        <v>0</v>
      </c>
      <c r="K487" s="2162" t="n"/>
    </row>
    <row r="488" outlineLevel="3" ht="15.75" customHeight="1">
      <c r="A488" s="10" t="n">
        <v>62</v>
      </c>
      <c r="B488" s="10" t="inlineStr">
        <is>
          <t>Insumo</t>
        </is>
      </c>
      <c r="C488" s="10" t="inlineStr">
        <is>
          <t>Concreto Usinado bombeável 60MPa para infraestrutura- incluindo serviço de bombeamento</t>
        </is>
      </c>
      <c r="D488" s="10" t="inlineStr">
        <is>
          <t>Cimento Portland Composto CP II-32</t>
        </is>
      </c>
      <c r="E488" s="11">
        <f t="array" ref="E488">_xlfn.XLOOKUP(D488,Insumos!B:B,Insumos!C:$C)</f>
        <v/>
      </c>
      <c r="F488" s="14" t="n">
        <v>0</v>
      </c>
      <c r="G488" s="92">
        <f t="array" ref="G488">IF(B488="insumo",_xlfn.XLOOKUP($D488,Insumos!$B$1:$B$996,Insumos!$D$1:$D$996),"")</f>
        <v/>
      </c>
      <c r="H488" s="92" t="n">
        <v>0</v>
      </c>
      <c r="I488" s="2162" t="n">
        <v>0</v>
      </c>
      <c r="J488" s="2162" t="n">
        <v>0</v>
      </c>
      <c r="K488" s="2162" t="n"/>
    </row>
    <row r="489" outlineLevel="2" ht="15.75" customHeight="1">
      <c r="A489" s="1067" t="n">
        <v>1</v>
      </c>
      <c r="B489" s="1067" t="inlineStr">
        <is>
          <t>Serviço</t>
        </is>
      </c>
      <c r="C489" s="1067" t="inlineStr">
        <is>
          <t>Concreto Usinado bombeável 50MPa com Penetron para infraestrutura- incluindo serviço de bombeamento</t>
        </is>
      </c>
      <c r="D489" s="1067" t="inlineStr">
        <is>
          <t>Concreto Usinado bombeável 50MPa com Penetron para infraestrutura- incluindo serviço de bombeamento</t>
        </is>
      </c>
      <c r="E489" s="1068" t="inlineStr">
        <is>
          <t>M3</t>
        </is>
      </c>
      <c r="F489" s="1067" t="n"/>
      <c r="G489" s="1069">
        <f t="array" ref="G489">IF(B489="insumo",_xlfn.XLOOKUP($D489,Insumos!$B$1:$B$876,Insumos!$D$1:$D$876),"")</f>
        <v/>
      </c>
      <c r="H489" s="1069" t="n">
        <v>837.606</v>
      </c>
      <c r="I489" s="2161" t="n">
        <v>210</v>
      </c>
      <c r="J489" s="2161" t="n">
        <v>175897.26</v>
      </c>
      <c r="K489" s="2161" t="n"/>
    </row>
    <row r="490" outlineLevel="3" ht="15.75" customHeight="1">
      <c r="A490" s="10" t="n">
        <v>1</v>
      </c>
      <c r="B490" s="10" t="inlineStr">
        <is>
          <t>Insumo</t>
        </is>
      </c>
      <c r="C490" s="10" t="inlineStr">
        <is>
          <t>Concreto Usinado bombeável 50MPa com Penetron para infraestrutura- incluindo serviço de bombeamento</t>
        </is>
      </c>
      <c r="D490" s="10" t="inlineStr">
        <is>
          <t>Concreto Usinado bombeável 50MPa Com Penetron</t>
        </is>
      </c>
      <c r="E490" s="11">
        <f t="array" ref="E490">_xlfn.XLOOKUP(D490,Insumos!B:B,Insumos!C:$C)</f>
        <v/>
      </c>
      <c r="F490" s="14" t="n">
        <v>1.05</v>
      </c>
      <c r="G490" s="92">
        <f t="array" ref="G490">IF(B490="insumo",_xlfn.XLOOKUP($D490,Insumos!$B$1:$B$996,Insumos!$D$1:$D$996),"")</f>
        <v/>
      </c>
      <c r="H490" s="92" t="n">
        <v>795.606</v>
      </c>
      <c r="I490" s="2162" t="n">
        <v>210</v>
      </c>
      <c r="J490" s="2162" t="n">
        <v>167077.26</v>
      </c>
      <c r="K490" s="2162" t="n"/>
    </row>
    <row r="491" outlineLevel="3" ht="15.75" customHeight="1">
      <c r="A491" s="10" t="n">
        <v>25</v>
      </c>
      <c r="B491" s="10" t="inlineStr">
        <is>
          <t>Insumo</t>
        </is>
      </c>
      <c r="C491" s="10" t="inlineStr">
        <is>
          <t>Concreto Usinado bombeável 50MPa com Penetron para infraestrutura- incluindo serviço de bombeamento</t>
        </is>
      </c>
      <c r="D491" s="10" t="inlineStr">
        <is>
          <t>serviço de bombeamento</t>
        </is>
      </c>
      <c r="E491" s="11">
        <f t="array" ref="E491">_xlfn.XLOOKUP(D491,Insumos!B:B,Insumos!C:$C)</f>
        <v/>
      </c>
      <c r="F491" s="14" t="n">
        <v>1.05</v>
      </c>
      <c r="G491" s="92">
        <f t="array" ref="G491">IF(B491="insumo",_xlfn.XLOOKUP($D491,Insumos!$B$1:$B$996,Insumos!$D$1:$D$996),"")</f>
        <v/>
      </c>
      <c r="H491" s="92" t="n">
        <v>42</v>
      </c>
      <c r="I491" s="2162" t="n">
        <v>210</v>
      </c>
      <c r="J491" s="2162" t="n">
        <v>8820</v>
      </c>
      <c r="K491" s="2162" t="n"/>
    </row>
    <row r="492" outlineLevel="3" ht="15.75" customHeight="1">
      <c r="A492" s="10" t="n">
        <v>62</v>
      </c>
      <c r="B492" s="10" t="inlineStr">
        <is>
          <t>Insumo</t>
        </is>
      </c>
      <c r="C492" s="10" t="inlineStr">
        <is>
          <t>Concreto Usinado bombeável 50MPa com Penetron para infraestrutura- incluindo serviço de bombeamento</t>
        </is>
      </c>
      <c r="D492" s="10" t="inlineStr">
        <is>
          <t>Cimento Portland Composto CP II-32</t>
        </is>
      </c>
      <c r="E492" s="11">
        <f t="array" ref="E492">_xlfn.XLOOKUP(D492,Insumos!B:B,Insumos!C:$C)</f>
        <v/>
      </c>
      <c r="F492" s="14" t="n">
        <v>0</v>
      </c>
      <c r="G492" s="92">
        <f t="array" ref="G492">IF(B492="insumo",_xlfn.XLOOKUP($D492,Insumos!$B$1:$B$996,Insumos!$D$1:$D$996),"")</f>
        <v/>
      </c>
      <c r="H492" s="92" t="n">
        <v>0</v>
      </c>
      <c r="I492" s="2162" t="n">
        <v>210</v>
      </c>
      <c r="J492" s="2162" t="n">
        <v>0</v>
      </c>
      <c r="K492" s="2162" t="n"/>
    </row>
    <row r="493" outlineLevel="1" ht="15.75" customHeight="1">
      <c r="A493" s="1090" t="n">
        <v>6</v>
      </c>
      <c r="B493" s="1090" t="inlineStr">
        <is>
          <t>Subetapa</t>
        </is>
      </c>
      <c r="C493" s="1090" t="inlineStr">
        <is>
          <t>Concreto Usinado bombeável 50MPa com Penetron para infraestrutura- incluindo serviço de bombeamento</t>
        </is>
      </c>
      <c r="D493" s="1090" t="inlineStr">
        <is>
          <t>MÃO DE OBRA</t>
        </is>
      </c>
      <c r="E493" s="1091" t="n"/>
      <c r="F493" s="2160" t="n"/>
      <c r="G493" s="1091" t="n"/>
      <c r="H493" s="1091" t="n">
        <v>0</v>
      </c>
      <c r="I493" s="2160" t="n">
        <v>0</v>
      </c>
      <c r="J493" s="2160" t="n">
        <v>0</v>
      </c>
      <c r="K493" s="2160" t="n"/>
    </row>
    <row r="494" outlineLevel="2" ht="15.75" customHeight="1">
      <c r="A494" s="1067" t="n">
        <v>1</v>
      </c>
      <c r="B494" s="1067" t="inlineStr">
        <is>
          <t>Serviço</t>
        </is>
      </c>
      <c r="C494" s="1067" t="inlineStr">
        <is>
          <t>Mão de obra para execução de fundação</t>
        </is>
      </c>
      <c r="D494" s="1067" t="inlineStr">
        <is>
          <t>Mão de obra para execução de fundação</t>
        </is>
      </c>
      <c r="E494" s="1068" t="inlineStr">
        <is>
          <t>M2</t>
        </is>
      </c>
      <c r="F494" s="1067" t="n"/>
      <c r="G494" s="1069">
        <f t="array" ref="G494">IF(B494="insumo",_xlfn.XLOOKUP($D494,Insumos!$B$1:$B$996,Insumos!$D$1:$D$996),"")</f>
        <v/>
      </c>
      <c r="H494" s="1069" t="n">
        <v>435</v>
      </c>
      <c r="I494" s="2161" t="n">
        <v>0</v>
      </c>
      <c r="J494" s="2161" t="n">
        <v>0</v>
      </c>
      <c r="K494" s="2161" t="n"/>
    </row>
    <row r="495" outlineLevel="3" ht="15.75" customHeight="1">
      <c r="A495" s="10" t="n">
        <v>1</v>
      </c>
      <c r="B495" s="10" t="inlineStr">
        <is>
          <t>Insumo</t>
        </is>
      </c>
      <c r="C495" s="10" t="inlineStr">
        <is>
          <t>Mão de obra para execução de fundação</t>
        </is>
      </c>
      <c r="D495" s="10" t="inlineStr">
        <is>
          <t>Mão de obra para execução de fundação</t>
        </is>
      </c>
      <c r="E495" s="11">
        <f t="array" ref="E495">_xlfn.XLOOKUP(D495,Insumos!B:B,Insumos!C:$C)</f>
        <v/>
      </c>
      <c r="F495" s="14" t="n">
        <v>1</v>
      </c>
      <c r="G495" s="92">
        <f t="array" ref="G495">IF(B495="insumo",_xlfn.XLOOKUP($D495,Insumos!$B$1:$B$996,Insumos!$D$1:$D$996),"")</f>
        <v/>
      </c>
      <c r="H495" s="92" t="n">
        <v>435</v>
      </c>
      <c r="I495" s="2162" t="n">
        <v>0</v>
      </c>
      <c r="J495" s="2162" t="n">
        <v>0</v>
      </c>
      <c r="K495" s="2162" t="n"/>
    </row>
    <row r="496" ht="15.75" customHeight="1">
      <c r="A496" s="7" t="n">
        <v>1</v>
      </c>
      <c r="B496" s="7" t="inlineStr">
        <is>
          <t>Etapa</t>
        </is>
      </c>
      <c r="C496" s="7" t="inlineStr">
        <is>
          <t>Mão de obra para execução de fundação</t>
        </is>
      </c>
      <c r="D496" s="7" t="inlineStr">
        <is>
          <t>CONTENÇÕES</t>
        </is>
      </c>
      <c r="E496" s="8" t="n"/>
      <c r="F496" s="2159" t="n"/>
      <c r="G496" s="91">
        <f t="array" ref="G496">IF(B496="insumo",_xlfn.XLOOKUP($D496,Insumos!$B$1:$B$996,Insumos!$D$1:$D$996),"")</f>
        <v/>
      </c>
      <c r="H496" s="91" t="n">
        <v>0</v>
      </c>
      <c r="I496" s="2159" t="n">
        <v>0</v>
      </c>
      <c r="J496" s="2159" t="n">
        <v>0</v>
      </c>
      <c r="K496" s="2159" t="n"/>
    </row>
    <row r="497" outlineLevel="1" ht="15.75" customHeight="1">
      <c r="A497" s="1090" t="n">
        <v>2</v>
      </c>
      <c r="B497" s="1090" t="inlineStr">
        <is>
          <t>Subetapa</t>
        </is>
      </c>
      <c r="C497" s="1090" t="inlineStr">
        <is>
          <t>Mão de obra para execução de fundação</t>
        </is>
      </c>
      <c r="D497" s="1090" t="inlineStr">
        <is>
          <t>PERFURAÇÃO</t>
        </is>
      </c>
      <c r="E497" s="1091" t="n"/>
      <c r="F497" s="2160" t="n"/>
      <c r="G497" s="1091" t="n"/>
      <c r="H497" s="1091" t="n">
        <v>0</v>
      </c>
      <c r="I497" s="2160" t="n">
        <v>0</v>
      </c>
      <c r="J497" s="2160" t="n">
        <v>0</v>
      </c>
      <c r="K497" s="2160" t="n"/>
    </row>
    <row r="498" outlineLevel="2" ht="15.75" customHeight="1">
      <c r="A498" s="1067" t="n">
        <v>1</v>
      </c>
      <c r="B498" s="1067" t="inlineStr">
        <is>
          <t>Serviço</t>
        </is>
      </c>
      <c r="C498" s="1067" t="inlineStr">
        <is>
          <t xml:space="preserve">Perfuração de estaca Escavada para contenção Ø 30cm	</t>
        </is>
      </c>
      <c r="D498" s="1067" t="inlineStr">
        <is>
          <t xml:space="preserve">Perfuração de estaca Escavada para contenção Ø 30cm	</t>
        </is>
      </c>
      <c r="E498" s="1068" t="inlineStr">
        <is>
          <t>M</t>
        </is>
      </c>
      <c r="F498" s="1067" t="n"/>
      <c r="G498" s="1069">
        <f t="array" ref="G498">IF(B498="insumo",_xlfn.XLOOKUP($D498,Insumos!$B$1:$B$996,Insumos!$D$1:$D$996),"")</f>
        <v/>
      </c>
      <c r="H498" s="1069" t="n">
        <v>39</v>
      </c>
      <c r="I498" s="2161" t="n">
        <v>0</v>
      </c>
      <c r="J498" s="2161" t="n">
        <v>0</v>
      </c>
      <c r="K498" s="2161" t="n"/>
    </row>
    <row r="499" outlineLevel="3" ht="15.75" customHeight="1">
      <c r="A499" s="10" t="n">
        <v>2</v>
      </c>
      <c r="B499" s="10" t="inlineStr">
        <is>
          <t>Insumo</t>
        </is>
      </c>
      <c r="C499" s="10" t="inlineStr">
        <is>
          <t xml:space="preserve">Perfuração de estaca Escavada para contenção Ø 30cm	</t>
        </is>
      </c>
      <c r="D499" s="10" t="inlineStr">
        <is>
          <t>Execucao Estaca Escavada 030Cm</t>
        </is>
      </c>
      <c r="E499" s="11">
        <f t="array" ref="E499">_xlfn.XLOOKUP(D499,Insumos!B:B,Insumos!C:$C)</f>
        <v/>
      </c>
      <c r="F499" s="14" t="n">
        <v>1</v>
      </c>
      <c r="G499" s="92">
        <f t="array" ref="G499">IF(B499="insumo",_xlfn.XLOOKUP($D499,Insumos!$B$1:$B$996,Insumos!$D$1:$D$996),"")</f>
        <v/>
      </c>
      <c r="H499" s="92" t="n">
        <v>39</v>
      </c>
      <c r="I499" s="2162" t="n">
        <v>0</v>
      </c>
      <c r="J499" s="2162" t="n">
        <v>0</v>
      </c>
      <c r="K499" s="2162" t="n"/>
    </row>
    <row r="500" outlineLevel="2" ht="12.75" customHeight="1">
      <c r="A500" s="1071" t="n">
        <v>1</v>
      </c>
      <c r="B500" s="1071" t="inlineStr">
        <is>
          <t>Serviço</t>
        </is>
      </c>
      <c r="C500" s="1071" t="inlineStr">
        <is>
          <t xml:space="preserve">Perfuração de estaca Escavada para contenção Ø 40cm	</t>
        </is>
      </c>
      <c r="D500" s="1071" t="inlineStr">
        <is>
          <t xml:space="preserve">Perfuração de estaca Escavada para contenção Ø 40cm	</t>
        </is>
      </c>
      <c r="E500" s="1072" t="inlineStr">
        <is>
          <t>M</t>
        </is>
      </c>
      <c r="F500" s="1071" t="n"/>
      <c r="G500" s="1073">
        <f t="array" ref="G500">IF(B500="insumo",_xlfn.XLOOKUP($D500,Insumos!$B$1:$B$996,Insumos!$D$1:$D$996),"")</f>
        <v/>
      </c>
      <c r="H500" s="1073" t="n">
        <v>52.8</v>
      </c>
      <c r="I500" s="2163" t="n">
        <v>0</v>
      </c>
      <c r="J500" s="2163" t="n">
        <v>0</v>
      </c>
      <c r="K500" s="2163" t="n"/>
    </row>
    <row r="501" outlineLevel="3" ht="12.75" customHeight="1">
      <c r="A501" s="82" t="n">
        <v>2</v>
      </c>
      <c r="B501" s="82" t="inlineStr">
        <is>
          <t>Insumo</t>
        </is>
      </c>
      <c r="C501" s="82" t="inlineStr">
        <is>
          <t xml:space="preserve">Perfuração de estaca Escavada para contenção Ø 40cm	</t>
        </is>
      </c>
      <c r="D501" s="82" t="inlineStr">
        <is>
          <t>Execucao Estaca Escavada 040Cm</t>
        </is>
      </c>
      <c r="E501" s="11">
        <f t="array" ref="E501">_xlfn.XLOOKUP(D501,Insumos!B:B,Insumos!C:$C)</f>
        <v/>
      </c>
      <c r="F501" s="2164" t="n">
        <v>1</v>
      </c>
      <c r="G501" s="92">
        <f t="array" ref="G501">IF(B501="insumo",_xlfn.XLOOKUP($D501,Insumos!$B$1:$B$996,Insumos!$D$1:$D$996),"")</f>
        <v/>
      </c>
      <c r="H501" s="92" t="n">
        <v>52.8</v>
      </c>
      <c r="I501" s="2165" t="n">
        <v>0</v>
      </c>
      <c r="J501" s="2165" t="n">
        <v>0</v>
      </c>
      <c r="K501" s="2165" t="n"/>
    </row>
    <row r="502" outlineLevel="1" ht="15.75" customHeight="1">
      <c r="A502" s="1090" t="n">
        <v>3</v>
      </c>
      <c r="B502" s="1090" t="inlineStr">
        <is>
          <t>Subetapa</t>
        </is>
      </c>
      <c r="C502" s="1090" t="inlineStr">
        <is>
          <t xml:space="preserve">Perfuração de estaca Escavada para contenção Ø 40cm	</t>
        </is>
      </c>
      <c r="D502" s="1090" t="inlineStr">
        <is>
          <t>FORMA</t>
        </is>
      </c>
      <c r="E502" s="1091" t="n"/>
      <c r="F502" s="2160" t="n"/>
      <c r="G502" s="1091" t="n"/>
      <c r="H502" s="1091" t="n">
        <v>0</v>
      </c>
      <c r="I502" s="2160" t="n">
        <v>0</v>
      </c>
      <c r="J502" s="2160" t="n">
        <v>0</v>
      </c>
      <c r="K502" s="2160" t="n"/>
    </row>
    <row r="503" outlineLevel="2" ht="15.75" customHeight="1">
      <c r="A503" s="1067" t="n">
        <v>1</v>
      </c>
      <c r="B503" s="1067" t="inlineStr">
        <is>
          <t>Serviço</t>
        </is>
      </c>
      <c r="C503" s="1067" t="inlineStr">
        <is>
          <t>Forma para Contenções em Tábuas de Madeira Serrada 17mm 4x reaproveitamento</t>
        </is>
      </c>
      <c r="D503" s="1067" t="inlineStr">
        <is>
          <t>Forma para Contenções em Tábuas de Madeira Serrada 17mm 4x reaproveitamento</t>
        </is>
      </c>
      <c r="E503" s="1068" t="inlineStr">
        <is>
          <t>M2</t>
        </is>
      </c>
      <c r="F503" s="1067" t="n"/>
      <c r="G503" s="1069">
        <f t="array" ref="G503">IF(B503="insumo",_xlfn.XLOOKUP($D503,Insumos!$B$1:$B$996,Insumos!$D$1:$D$996),"")</f>
        <v/>
      </c>
      <c r="H503" s="1069" t="n">
        <v>59.9562285714286</v>
      </c>
      <c r="I503" s="2161" t="n">
        <v>0</v>
      </c>
      <c r="J503" s="2161" t="n">
        <v>0</v>
      </c>
      <c r="K503" s="2161" t="n"/>
    </row>
    <row r="504" outlineLevel="3" ht="15.75" customHeight="1">
      <c r="A504" s="10" t="n">
        <v>3</v>
      </c>
      <c r="B504" s="10" t="inlineStr">
        <is>
          <t>Insumo</t>
        </is>
      </c>
      <c r="C504" s="10" t="inlineStr">
        <is>
          <t>Forma para Contenções em Tábuas de Madeira Serrada 17mm 4x reaproveitamento</t>
        </is>
      </c>
      <c r="D504" s="10" t="inlineStr">
        <is>
          <t>PREGO DE ACO POLIDO COM CABECA 15 X 18 (1 1/2 X 13)</t>
        </is>
      </c>
      <c r="E504" s="11">
        <f t="array" ref="E504">_xlfn.XLOOKUP(D504,Insumos!B:B,Insumos!C:$C)</f>
        <v/>
      </c>
      <c r="F504" s="14" t="n">
        <v>0.011</v>
      </c>
      <c r="G504" s="92">
        <f t="array" ref="G504">IF(B504="insumo",_xlfn.XLOOKUP($D504,Insumos!$B$1:$B$996,Insumos!$D$1:$D$996),"")</f>
        <v/>
      </c>
      <c r="H504" s="92" t="n">
        <v>0.2068</v>
      </c>
      <c r="I504" s="2162" t="n">
        <v>0</v>
      </c>
      <c r="J504" s="2162" t="n">
        <v>0</v>
      </c>
      <c r="K504" s="2162" t="n"/>
    </row>
    <row r="505" outlineLevel="3" ht="15.75" customHeight="1">
      <c r="A505" s="10" t="n">
        <v>40</v>
      </c>
      <c r="B505" s="10" t="inlineStr">
        <is>
          <t>Insumo</t>
        </is>
      </c>
      <c r="C505" s="10" t="inlineStr">
        <is>
          <t>Forma para Contenções em Tábuas de Madeira Serrada 17mm 4x reaproveitamento</t>
        </is>
      </c>
      <c r="D505" s="10" t="inlineStr">
        <is>
          <t>PREGO DE ACO POLIDO COM CABECA 17 X 21 (2 X 11)</t>
        </is>
      </c>
      <c r="E505" s="11">
        <f t="array" ref="E505">_xlfn.XLOOKUP(D505,Insumos!B:B,Insumos!C:$C)</f>
        <v/>
      </c>
      <c r="F505" s="14" t="n">
        <v>0.095</v>
      </c>
      <c r="G505" s="92">
        <f t="array" ref="G505">IF(B505="insumo",_xlfn.XLOOKUP($D505,Insumos!$B$1:$B$996,Insumos!$D$1:$D$996),"")</f>
        <v/>
      </c>
      <c r="H505" s="92" t="n">
        <v>1.72235</v>
      </c>
      <c r="I505" s="2162" t="n">
        <v>0</v>
      </c>
      <c r="J505" s="2162" t="n">
        <v>0</v>
      </c>
      <c r="K505" s="2162" t="n"/>
    </row>
    <row r="506" outlineLevel="3" ht="15.75" customHeight="1">
      <c r="A506" s="10" t="n">
        <v>10</v>
      </c>
      <c r="B506" s="10" t="inlineStr">
        <is>
          <t>Insumo</t>
        </is>
      </c>
      <c r="C506" s="10" t="inlineStr">
        <is>
          <t>Forma para Contenções em Tábuas de Madeira Serrada 17mm 4x reaproveitamento</t>
        </is>
      </c>
      <c r="D506" s="10" t="inlineStr">
        <is>
          <t xml:space="preserve">DESMOLDANTE PROTETOR PARA FORMAS DE MADEIRA, DE BASE OLEOSA EMULSIONADA EM AGUA   </t>
        </is>
      </c>
      <c r="E506" s="11">
        <f t="array" ref="E506">_xlfn.XLOOKUP(D506,Insumos!B:B,Insumos!C:$C)</f>
        <v/>
      </c>
      <c r="F506" s="14" t="n">
        <v>0.017</v>
      </c>
      <c r="G506" s="92">
        <f t="array" ref="G506">IF(B506="insumo",_xlfn.XLOOKUP($D506,Insumos!$B$1:$B$996,Insumos!$D$1:$D$996),"")</f>
        <v/>
      </c>
      <c r="H506" s="92" t="n">
        <v>0.26435</v>
      </c>
      <c r="I506" s="2162" t="n">
        <v>0</v>
      </c>
      <c r="J506" s="2162" t="n">
        <v>0</v>
      </c>
      <c r="K506" s="2162" t="n"/>
    </row>
    <row r="507" outlineLevel="3" ht="15.75" customHeight="1">
      <c r="A507" s="10" t="n">
        <v>25</v>
      </c>
      <c r="B507" s="10" t="inlineStr">
        <is>
          <t>Insumo</t>
        </is>
      </c>
      <c r="C507" s="10" t="inlineStr">
        <is>
          <t>Forma para Contenções em Tábuas de Madeira Serrada 17mm 4x reaproveitamento</t>
        </is>
      </c>
      <c r="D507" s="10" t="inlineStr">
        <is>
          <t>MADEIRA PINUS/SIMILAR - PONTALETE 75X75MM NBR 11700/15696</t>
        </is>
      </c>
      <c r="E507" s="11">
        <f t="array" ref="E507">_xlfn.XLOOKUP(D507,Insumos!B:B,Insumos!C:$C)</f>
        <v/>
      </c>
      <c r="F507" s="14" t="n">
        <v>0.7371428571428572</v>
      </c>
      <c r="G507" s="92">
        <f t="array" ref="G507">IF(B507="insumo",_xlfn.XLOOKUP($D507,Insumos!$B$1:$B$996,Insumos!$D$1:$D$996),"")</f>
        <v/>
      </c>
      <c r="H507" s="92" t="n">
        <v>5.16</v>
      </c>
      <c r="I507" s="2162" t="n">
        <v>0</v>
      </c>
      <c r="J507" s="2162" t="n">
        <v>0</v>
      </c>
      <c r="K507" s="2162" t="n"/>
    </row>
    <row r="508" outlineLevel="3" ht="15.75" customHeight="1">
      <c r="A508" s="10" t="n">
        <v>19</v>
      </c>
      <c r="B508" s="10" t="inlineStr">
        <is>
          <t>Insumo</t>
        </is>
      </c>
      <c r="C508" s="10" t="inlineStr">
        <is>
          <t>Forma para Contenções em Tábuas de Madeira Serrada 17mm 4x reaproveitamento</t>
        </is>
      </c>
      <c r="D508" s="10" t="inlineStr">
        <is>
          <t>SARRAFO *2,5 X 7,5* CM EM PINUS, MISTA OU EQUIVALENTE DA REGIAO - BRUTA</t>
        </is>
      </c>
      <c r="E508" s="11">
        <f t="array" ref="E508">_xlfn.XLOOKUP(D508,Insumos!B:B,Insumos!C:$C)</f>
        <v/>
      </c>
      <c r="F508" s="14" t="n">
        <v>0.002638095238095238</v>
      </c>
      <c r="G508" s="92">
        <f t="array" ref="G508">IF(B508="insumo",_xlfn.XLOOKUP($D508,Insumos!$B$1:$B$996,Insumos!$D$1:$D$996),"")</f>
        <v/>
      </c>
      <c r="H508" s="92" t="n">
        <v>3.56142857142857</v>
      </c>
      <c r="I508" s="2162" t="n">
        <v>0</v>
      </c>
      <c r="J508" s="2162" t="n">
        <v>0</v>
      </c>
      <c r="K508" s="2162" t="n"/>
    </row>
    <row r="509" outlineLevel="3" ht="15.75" customHeight="1">
      <c r="A509" s="10" t="n">
        <v>6</v>
      </c>
      <c r="B509" s="10" t="inlineStr">
        <is>
          <t>Insumo</t>
        </is>
      </c>
      <c r="C509" s="10" t="inlineStr">
        <is>
          <t>Forma para Contenções em Tábuas de Madeira Serrada 17mm 4x reaproveitamento</t>
        </is>
      </c>
      <c r="D509" s="10" t="inlineStr">
        <is>
          <t>TABUA *2,5 X 30 CM EM PINUS, MISTA OU EQUIVALENTE DA REGIAO - BRUTA (M)</t>
        </is>
      </c>
      <c r="E509" s="11">
        <f t="array" ref="E509">_xlfn.XLOOKUP(D509,Insumos!B:B,Insumos!C:$C)</f>
        <v/>
      </c>
      <c r="F509" s="14" t="n">
        <v>1.155</v>
      </c>
      <c r="G509" s="92">
        <f t="array" ref="G509">IF(B509="insumo",_xlfn.XLOOKUP($D509,Insumos!$B$1:$B$996,Insumos!$D$1:$D$996),"")</f>
        <v/>
      </c>
      <c r="H509" s="92" t="n">
        <v>49.0413</v>
      </c>
      <c r="I509" s="2162" t="n">
        <v>0</v>
      </c>
      <c r="J509" s="2162" t="n">
        <v>0</v>
      </c>
      <c r="K509" s="2162" t="n"/>
    </row>
    <row r="510" outlineLevel="1" ht="15.75" customHeight="1">
      <c r="A510" s="1090" t="n">
        <v>4</v>
      </c>
      <c r="B510" s="1090" t="inlineStr">
        <is>
          <t>Subetapa</t>
        </is>
      </c>
      <c r="C510" s="1090" t="inlineStr">
        <is>
          <t>Forma para Contenções em Tábuas de Madeira Serrada 17mm 4x reaproveitamento</t>
        </is>
      </c>
      <c r="D510" s="1090" t="inlineStr">
        <is>
          <t>ARMADURA</t>
        </is>
      </c>
      <c r="E510" s="1091" t="n"/>
      <c r="F510" s="2160" t="n"/>
      <c r="G510" s="1091" t="n"/>
      <c r="H510" s="1091" t="n">
        <v>0</v>
      </c>
      <c r="I510" s="2160" t="n">
        <v>0</v>
      </c>
      <c r="J510" s="2160" t="n">
        <v>0</v>
      </c>
      <c r="K510" s="2160" t="n"/>
    </row>
    <row r="511" outlineLevel="2" ht="15.75" customHeight="1">
      <c r="A511" s="1067" t="n">
        <v>1</v>
      </c>
      <c r="B511" s="1067" t="inlineStr">
        <is>
          <t>Serviço</t>
        </is>
      </c>
      <c r="C511" s="1067" t="inlineStr">
        <is>
          <t>Locação e cravação de estacas prancha EP400 para contenção</t>
        </is>
      </c>
      <c r="D511" s="1067" t="inlineStr">
        <is>
          <t>Locação e cravação de estacas prancha EP400 para contenção</t>
        </is>
      </c>
      <c r="E511" s="1068" t="inlineStr">
        <is>
          <t>M2</t>
        </is>
      </c>
      <c r="F511" s="1067" t="n"/>
      <c r="G511" s="1069">
        <f t="array" ref="G511">IF(B511="insumo",_xlfn.XLOOKUP($D511,Insumos!$B$1:$B$996,Insumos!$D$1:$D$996),"")</f>
        <v/>
      </c>
      <c r="H511" s="1069" t="n">
        <v>470.284090909091</v>
      </c>
      <c r="I511" s="2161" t="n">
        <v>492.8</v>
      </c>
      <c r="J511" s="2161" t="n">
        <v>231756</v>
      </c>
      <c r="K511" s="2161" t="n"/>
    </row>
    <row r="512" outlineLevel="3" ht="15.75" customHeight="1">
      <c r="A512" s="10" t="n">
        <v>1</v>
      </c>
      <c r="B512" s="10" t="inlineStr">
        <is>
          <t>Insumo</t>
        </is>
      </c>
      <c r="C512" s="10" t="inlineStr">
        <is>
          <t>Locação e cravação de estacas prancha EP400 para contenção</t>
        </is>
      </c>
      <c r="D512" s="10" t="inlineStr">
        <is>
          <t>Estaca prancha EP400 para contenção, L=8,00m</t>
        </is>
      </c>
      <c r="E512" s="11" t="inlineStr">
        <is>
          <t>M2</t>
        </is>
      </c>
      <c r="F512" s="14" t="n">
        <v>1</v>
      </c>
      <c r="G512" s="92">
        <f t="array" ref="G512">IF(B512="insumo",_xlfn.XLOOKUP($D512,Insumos!$B$1:$B$996,Insumos!$D$1:$D$996),"")</f>
        <v/>
      </c>
      <c r="H512" s="92" t="n">
        <v>470.284090909091</v>
      </c>
      <c r="I512" s="2162" t="n">
        <v>492.8</v>
      </c>
      <c r="J512" s="2162" t="n">
        <v>231756</v>
      </c>
      <c r="K512" s="2162" t="n"/>
    </row>
    <row r="513" outlineLevel="2" ht="15.75" customHeight="1">
      <c r="A513" s="1067" t="n">
        <v>1</v>
      </c>
      <c r="B513" s="1067" t="inlineStr">
        <is>
          <t>Serviço</t>
        </is>
      </c>
      <c r="C513" s="1067" t="inlineStr">
        <is>
          <t>Mobilização e Desmobilização de equipamento e máquinas considerando serviço de carga e descarga</t>
        </is>
      </c>
      <c r="D513" s="1067" t="inlineStr">
        <is>
          <t>Mobilização e Desmobilização de equipamento e máquinas considerando serviço de carga e descarga</t>
        </is>
      </c>
      <c r="E513" s="1068" t="inlineStr">
        <is>
          <t>M2</t>
        </is>
      </c>
      <c r="F513" s="1067" t="n"/>
      <c r="G513" s="1069">
        <f t="array" ref="G513">IF(B513="insumo",_xlfn.XLOOKUP($D513,Insumos!$B$1:$B$996,Insumos!$D$1:$D$996),"")</f>
        <v/>
      </c>
      <c r="H513" s="1069" t="n">
        <v>12000</v>
      </c>
      <c r="I513" s="2161" t="n">
        <v>1</v>
      </c>
      <c r="J513" s="2161" t="n">
        <v>12000</v>
      </c>
      <c r="K513" s="2161" t="n"/>
    </row>
    <row r="514" outlineLevel="3" ht="15.75" customHeight="1">
      <c r="A514" s="10" t="n">
        <v>1</v>
      </c>
      <c r="B514" s="10" t="inlineStr">
        <is>
          <t>Insumo</t>
        </is>
      </c>
      <c r="C514" s="10" t="inlineStr">
        <is>
          <t>Mobilização e Desmobilização de equipamento e máquinas considerando serviço de carga e descarga</t>
        </is>
      </c>
      <c r="D514" s="10" t="inlineStr">
        <is>
          <t>Mobilização e Desmobilização de equipamento e máquinas considerando serviço de carga e descarga</t>
        </is>
      </c>
      <c r="E514" s="11" t="inlineStr">
        <is>
          <t>M2</t>
        </is>
      </c>
      <c r="F514" s="14" t="n">
        <v>1</v>
      </c>
      <c r="G514" s="92">
        <f>IF(B514="insumo",_xlfn.XLOOKUP($D514,Insumos!$B$1:$B$996,Insumos!$D$1:$D$996),"")</f>
        <v/>
      </c>
      <c r="H514" s="92" t="n">
        <v>12000</v>
      </c>
      <c r="I514" s="2162" t="n">
        <v>1</v>
      </c>
      <c r="J514" s="2162" t="n">
        <v>12000</v>
      </c>
      <c r="K514" s="2162" t="n"/>
    </row>
    <row r="515" outlineLevel="2" ht="15.75" customHeight="1">
      <c r="A515" s="1067" t="n">
        <v>1</v>
      </c>
      <c r="B515" s="1067" t="inlineStr">
        <is>
          <t>Serviço</t>
        </is>
      </c>
      <c r="C515" s="1067" t="inlineStr">
        <is>
          <t>Armação aço CA-50 ø 6,3mm para Contenções (corte e dobra em obra)</t>
        </is>
      </c>
      <c r="D515" s="1067" t="inlineStr">
        <is>
          <t>Armação aço CA-50 ø 6,3mm para Contenções (corte e dobra em obra)</t>
        </is>
      </c>
      <c r="E515" s="1068" t="inlineStr">
        <is>
          <t>KG</t>
        </is>
      </c>
      <c r="F515" s="1067" t="n"/>
      <c r="G515" s="1069">
        <f t="array" ref="G515">IF(B515="insumo",_xlfn.XLOOKUP($D515,Insumos!$B$1:$B$996,Insumos!$D$1:$D$996),"")</f>
        <v/>
      </c>
      <c r="H515" s="1069" t="n">
        <v>6.0795673937957</v>
      </c>
      <c r="I515" s="2161" t="n">
        <v>670.3200000000001</v>
      </c>
      <c r="J515" s="2161" t="n">
        <v>4075.25561540913</v>
      </c>
      <c r="K515" s="2161" t="n"/>
    </row>
    <row r="516" outlineLevel="3" ht="15.75" customHeight="1">
      <c r="A516" s="10" t="n">
        <v>4</v>
      </c>
      <c r="B516" s="10" t="inlineStr">
        <is>
          <t>Insumo</t>
        </is>
      </c>
      <c r="C516" s="10" t="inlineStr">
        <is>
          <t>Armação aço CA-50 ø 6,3mm para Contenções (corte e dobra em obra)</t>
        </is>
      </c>
      <c r="D516" s="10" t="inlineStr">
        <is>
          <t>Aço CA50 6,3 mm</t>
        </is>
      </c>
      <c r="E516" s="11">
        <f t="array" ref="E516">_xlfn.XLOOKUP(D516,Insumos!B:B,Insumos!C:$C)</f>
        <v/>
      </c>
      <c r="F516" s="14" t="n">
        <v>1.1</v>
      </c>
      <c r="G516" s="92">
        <f t="array" ref="G516">IF(B516="insumo",_xlfn.XLOOKUP($D516,Insumos!$B$1:$B$996,Insumos!$D$1:$D$996),"")</f>
        <v/>
      </c>
      <c r="H516" s="92" t="n">
        <v>5.7854223937957</v>
      </c>
      <c r="I516" s="2162" t="n">
        <v>670.3200000000001</v>
      </c>
      <c r="J516" s="2162" t="n">
        <v>3878.08433900913</v>
      </c>
      <c r="K516" s="2162" t="n"/>
    </row>
    <row r="517" outlineLevel="3" ht="15.75" customHeight="1">
      <c r="A517" s="10" t="n">
        <v>41</v>
      </c>
      <c r="B517" s="10" t="inlineStr">
        <is>
          <t>Insumo</t>
        </is>
      </c>
      <c r="C517" s="10" t="inlineStr">
        <is>
          <t>Armação aço CA-50 ø 6,3mm para Contenções (corte e dobra em obra)</t>
        </is>
      </c>
      <c r="D517" s="10" t="inlineStr">
        <is>
          <t xml:space="preserve">Arame Galvanizado </t>
        </is>
      </c>
      <c r="E517" s="11">
        <f t="array" ref="E517">_xlfn.XLOOKUP(D517,Insumos!B:B,Insumos!C:$C)</f>
        <v/>
      </c>
      <c r="F517" s="14" t="n">
        <v>0.0205</v>
      </c>
      <c r="G517" s="92">
        <f t="array" ref="G517">IF(B517="insumo",_xlfn.XLOOKUP($D517,Insumos!$B$1:$B$996,Insumos!$D$1:$D$996),"")</f>
        <v/>
      </c>
      <c r="H517" s="92" t="n">
        <v>0.280645</v>
      </c>
      <c r="I517" s="2162" t="n">
        <v>670.3200000000001</v>
      </c>
      <c r="J517" s="2162" t="n">
        <v>188.1219564</v>
      </c>
      <c r="K517" s="2162" t="n"/>
    </row>
    <row r="518" outlineLevel="3" ht="15.75" customHeight="1">
      <c r="A518" s="10" t="n">
        <v>62</v>
      </c>
      <c r="B518" s="10" t="inlineStr">
        <is>
          <t>Insumo</t>
        </is>
      </c>
      <c r="C518" s="10" t="inlineStr">
        <is>
          <t>Armação aço CA-50 ø 6,3mm para Contenções (corte e dobra em obra)</t>
        </is>
      </c>
      <c r="D518" s="10" t="inlineStr">
        <is>
          <t>Espaçador para armadura</t>
        </is>
      </c>
      <c r="E518" s="11">
        <f t="array" ref="E518">_xlfn.XLOOKUP(D518,Insumos!B:B,Insumos!C:$C)</f>
        <v/>
      </c>
      <c r="F518" s="14" t="n">
        <v>0.05</v>
      </c>
      <c r="G518" s="92">
        <f t="array" ref="G518">IF(B518="insumo",_xlfn.XLOOKUP($D518,Insumos!$B$1:$B$996,Insumos!$D$1:$D$996),"")</f>
        <v/>
      </c>
      <c r="H518" s="92" t="n">
        <v>0.0135</v>
      </c>
      <c r="I518" s="2162" t="n">
        <v>670.3200000000001</v>
      </c>
      <c r="J518" s="2162" t="n">
        <v>9.04932</v>
      </c>
      <c r="K518" s="2162" t="n"/>
    </row>
    <row r="519" outlineLevel="2" ht="15.75" customHeight="1">
      <c r="A519" s="1067" t="n">
        <v>1</v>
      </c>
      <c r="B519" s="1067" t="inlineStr">
        <is>
          <t>Serviço</t>
        </is>
      </c>
      <c r="C519" s="1067" t="inlineStr">
        <is>
          <t>Armação aço CA-50 ø 8,0mm para Contenções (corte e dobra em obra)</t>
        </is>
      </c>
      <c r="D519" s="1067" t="inlineStr">
        <is>
          <t>Armação aço CA-50 ø 8,0mm para Contenções (corte e dobra em obra)</t>
        </is>
      </c>
      <c r="E519" s="1068" t="inlineStr">
        <is>
          <t>KG</t>
        </is>
      </c>
      <c r="F519" s="1067" t="n"/>
      <c r="G519" s="1069">
        <f t="array" ref="G519">IF(B519="insumo",_xlfn.XLOOKUP($D519,Insumos!$B$1:$B$996,Insumos!$D$1:$D$996),"")</f>
        <v/>
      </c>
      <c r="H519" s="1069" t="n">
        <v>5.71148765890462</v>
      </c>
      <c r="I519" s="2161" t="n">
        <v>0</v>
      </c>
      <c r="J519" s="2161" t="n">
        <v>0</v>
      </c>
      <c r="K519" s="2161" t="n"/>
    </row>
    <row r="520" outlineLevel="3" ht="15.75" customHeight="1">
      <c r="A520" s="10" t="n">
        <v>5</v>
      </c>
      <c r="B520" s="10" t="inlineStr">
        <is>
          <t>Insumo</t>
        </is>
      </c>
      <c r="C520" s="10" t="inlineStr">
        <is>
          <t>Armação aço CA-50 ø 8,0mm para Contenções (corte e dobra em obra)</t>
        </is>
      </c>
      <c r="D520" s="10" t="inlineStr">
        <is>
          <t>Aço CA50 8,0 mm</t>
        </is>
      </c>
      <c r="E520" s="11">
        <f t="array" ref="E520">_xlfn.XLOOKUP(D520,Insumos!B:B,Insumos!C:$C)</f>
        <v/>
      </c>
      <c r="F520" s="14" t="n">
        <v>1.1</v>
      </c>
      <c r="G520" s="92">
        <f t="array" ref="G520">IF(B520="insumo",_xlfn.XLOOKUP($D520,Insumos!$B$1:$B$996,Insumos!$D$1:$D$996),"")</f>
        <v/>
      </c>
      <c r="H520" s="92" t="n">
        <v>5.41734265890462</v>
      </c>
      <c r="I520" s="2162" t="n">
        <v>0</v>
      </c>
      <c r="J520" s="2162" t="n">
        <v>0</v>
      </c>
      <c r="K520" s="2162" t="n"/>
    </row>
    <row r="521" outlineLevel="3" ht="15.75" customHeight="1">
      <c r="A521" s="10" t="n">
        <v>41</v>
      </c>
      <c r="B521" s="10" t="inlineStr">
        <is>
          <t>Insumo</t>
        </is>
      </c>
      <c r="C521" s="10" t="inlineStr">
        <is>
          <t>Armação aço CA-50 ø 8,0mm para Contenções (corte e dobra em obra)</t>
        </is>
      </c>
      <c r="D521" s="10" t="inlineStr">
        <is>
          <t xml:space="preserve">Arame Galvanizado </t>
        </is>
      </c>
      <c r="E521" s="11">
        <f t="array" ref="E521">_xlfn.XLOOKUP(D521,Insumos!B:B,Insumos!C:$C)</f>
        <v/>
      </c>
      <c r="F521" s="14" t="n">
        <v>0.0205</v>
      </c>
      <c r="G521" s="92">
        <f t="array" ref="G521">IF(B521="insumo",_xlfn.XLOOKUP($D521,Insumos!$B$1:$B$996,Insumos!$D$1:$D$996),"")</f>
        <v/>
      </c>
      <c r="H521" s="92" t="n">
        <v>0.280645</v>
      </c>
      <c r="I521" s="2162" t="n">
        <v>0</v>
      </c>
      <c r="J521" s="2162" t="n">
        <v>0</v>
      </c>
      <c r="K521" s="2162" t="n"/>
    </row>
    <row r="522" outlineLevel="3" ht="15.75" customHeight="1">
      <c r="A522" s="10" t="n">
        <v>62</v>
      </c>
      <c r="B522" s="10" t="inlineStr">
        <is>
          <t>Insumo</t>
        </is>
      </c>
      <c r="C522" s="10" t="inlineStr">
        <is>
          <t>Armação aço CA-50 ø 8,0mm para Contenções (corte e dobra em obra)</t>
        </is>
      </c>
      <c r="D522" s="10" t="inlineStr">
        <is>
          <t>Espaçador para armadura</t>
        </is>
      </c>
      <c r="E522" s="11">
        <f t="array" ref="E522">_xlfn.XLOOKUP(D522,Insumos!B:B,Insumos!C:$C)</f>
        <v/>
      </c>
      <c r="F522" s="14" t="n">
        <v>0.05</v>
      </c>
      <c r="G522" s="92">
        <f t="array" ref="G522">IF(B522="insumo",_xlfn.XLOOKUP($D522,Insumos!$B$1:$B$996,Insumos!$D$1:$D$996),"")</f>
        <v/>
      </c>
      <c r="H522" s="92" t="n">
        <v>0.0135</v>
      </c>
      <c r="I522" s="2162" t="n">
        <v>0</v>
      </c>
      <c r="J522" s="2162" t="n">
        <v>0</v>
      </c>
      <c r="K522" s="2162" t="n"/>
    </row>
    <row r="523" outlineLevel="2" ht="15.75" customHeight="1">
      <c r="A523" s="1067" t="n">
        <v>1</v>
      </c>
      <c r="B523" s="1067" t="inlineStr">
        <is>
          <t>Serviço</t>
        </is>
      </c>
      <c r="C523" s="1067" t="inlineStr">
        <is>
          <t>Armação aço CA-50 ø 10,0mm para Contenções (corte e dobra em obra)</t>
        </is>
      </c>
      <c r="D523" s="1067" t="inlineStr">
        <is>
          <t>Armação aço CA-50 ø 10,0mm para Contenções (corte e dobra em obra)</t>
        </is>
      </c>
      <c r="E523" s="1068" t="inlineStr">
        <is>
          <t>KG</t>
        </is>
      </c>
      <c r="F523" s="1067" t="n"/>
      <c r="G523" s="1069">
        <f t="array" ref="G523">IF(B523="insumo",_xlfn.XLOOKUP($D523,Insumos!$B$1:$B$996,Insumos!$D$1:$D$996),"")</f>
        <v/>
      </c>
      <c r="H523" s="1069" t="n">
        <v>5.57489771932025</v>
      </c>
      <c r="I523" s="2161" t="n">
        <v>0</v>
      </c>
      <c r="J523" s="2161" t="n">
        <v>0</v>
      </c>
      <c r="K523" s="2161" t="n"/>
    </row>
    <row r="524" outlineLevel="3" ht="15.75" customHeight="1">
      <c r="A524" s="10" t="n">
        <v>4</v>
      </c>
      <c r="B524" s="10" t="inlineStr">
        <is>
          <t>Insumo</t>
        </is>
      </c>
      <c r="C524" s="10" t="inlineStr">
        <is>
          <t>Armação aço CA-50 ø 10,0mm para Contenções (corte e dobra em obra)</t>
        </is>
      </c>
      <c r="D524" s="10" t="inlineStr">
        <is>
          <t>Aço CA50 10,0 mm</t>
        </is>
      </c>
      <c r="E524" s="11">
        <f t="array" ref="E524">_xlfn.XLOOKUP(D524,Insumos!B:B,Insumos!C:$C)</f>
        <v/>
      </c>
      <c r="F524" s="14" t="n">
        <v>1.1</v>
      </c>
      <c r="G524" s="92">
        <f t="array" ref="G524">IF(B524="insumo",_xlfn.XLOOKUP($D524,Insumos!$B$1:$B$996,Insumos!$D$1:$D$996),"")</f>
        <v/>
      </c>
      <c r="H524" s="92" t="n">
        <v>5.28075271932025</v>
      </c>
      <c r="I524" s="2162" t="n">
        <v>0</v>
      </c>
      <c r="J524" s="2162" t="n">
        <v>0</v>
      </c>
      <c r="K524" s="2162" t="n"/>
    </row>
    <row r="525" outlineLevel="3" ht="15.75" customHeight="1">
      <c r="A525" s="10" t="n">
        <v>41</v>
      </c>
      <c r="B525" s="10" t="inlineStr">
        <is>
          <t>Insumo</t>
        </is>
      </c>
      <c r="C525" s="10" t="inlineStr">
        <is>
          <t>Armação aço CA-50 ø 10,0mm para Contenções (corte e dobra em obra)</t>
        </is>
      </c>
      <c r="D525" s="10" t="inlineStr">
        <is>
          <t xml:space="preserve">Arame Galvanizado </t>
        </is>
      </c>
      <c r="E525" s="11">
        <f t="array" ref="E525">_xlfn.XLOOKUP(D525,Insumos!B:B,Insumos!C:$C)</f>
        <v/>
      </c>
      <c r="F525" s="14" t="n">
        <v>0.0205</v>
      </c>
      <c r="G525" s="92">
        <f t="array" ref="G525">IF(B525="insumo",_xlfn.XLOOKUP($D525,Insumos!$B$1:$B$996,Insumos!$D$1:$D$996),"")</f>
        <v/>
      </c>
      <c r="H525" s="92" t="n">
        <v>0.280645</v>
      </c>
      <c r="I525" s="2162" t="n">
        <v>0</v>
      </c>
      <c r="J525" s="2162" t="n">
        <v>0</v>
      </c>
      <c r="K525" s="2162" t="n"/>
    </row>
    <row r="526" outlineLevel="3" ht="15.75" customHeight="1">
      <c r="A526" s="10" t="n">
        <v>62</v>
      </c>
      <c r="B526" s="10" t="inlineStr">
        <is>
          <t>Insumo</t>
        </is>
      </c>
      <c r="C526" s="10" t="inlineStr">
        <is>
          <t>Armação aço CA-50 ø 10,0mm para Contenções (corte e dobra em obra)</t>
        </is>
      </c>
      <c r="D526" s="10" t="inlineStr">
        <is>
          <t>Espaçador para armadura</t>
        </is>
      </c>
      <c r="E526" s="11">
        <f t="array" ref="E526">_xlfn.XLOOKUP(D526,Insumos!B:B,Insumos!C:$C)</f>
        <v/>
      </c>
      <c r="F526" s="14" t="n">
        <v>0.05</v>
      </c>
      <c r="G526" s="92">
        <f t="array" ref="G526">IF(B526="insumo",_xlfn.XLOOKUP($D526,Insumos!$B$1:$B$996,Insumos!$D$1:$D$996),"")</f>
        <v/>
      </c>
      <c r="H526" s="92" t="n">
        <v>0.0135</v>
      </c>
      <c r="I526" s="2162" t="n">
        <v>0</v>
      </c>
      <c r="J526" s="2162" t="n">
        <v>0</v>
      </c>
      <c r="K526" s="2162" t="n"/>
    </row>
    <row r="527" outlineLevel="2" ht="15.75" customHeight="1">
      <c r="A527" s="1067" t="n">
        <v>1</v>
      </c>
      <c r="B527" s="1067" t="inlineStr">
        <is>
          <t>Serviço</t>
        </is>
      </c>
      <c r="C527" s="1067" t="inlineStr">
        <is>
          <t xml:space="preserve">Armação aço CA-50 ø 12,5mm para Contenções (corte e dobra em obra) </t>
        </is>
      </c>
      <c r="D527" s="1067" t="inlineStr">
        <is>
          <t xml:space="preserve">Armação aço CA-50 ø 12,5mm para Contenções (corte e dobra em obra) </t>
        </is>
      </c>
      <c r="E527" s="1068" t="inlineStr">
        <is>
          <t>KG</t>
        </is>
      </c>
      <c r="F527" s="1067" t="n"/>
      <c r="G527" s="1069">
        <f t="array" ref="G527">IF(B527="insumo",_xlfn.XLOOKUP($D527,Insumos!$B$1:$B$996,Insumos!$D$1:$D$996),"")</f>
        <v/>
      </c>
      <c r="H527" s="1069" t="n">
        <v>5.85253908446873</v>
      </c>
      <c r="I527" s="2161" t="n">
        <v>41.6016</v>
      </c>
      <c r="J527" s="2161" t="n">
        <v>243.474989976434</v>
      </c>
      <c r="K527" s="2161" t="n"/>
    </row>
    <row r="528" outlineLevel="3" ht="15.75" customHeight="1">
      <c r="A528" s="10" t="n">
        <v>3</v>
      </c>
      <c r="B528" s="10" t="inlineStr">
        <is>
          <t>Insumo</t>
        </is>
      </c>
      <c r="C528" s="10" t="inlineStr">
        <is>
          <t xml:space="preserve">Armação aço CA-50 ø 12,5mm para Contenções (corte e dobra em obra) </t>
        </is>
      </c>
      <c r="D528" s="10" t="inlineStr">
        <is>
          <t>Aço CA50 12,5 mm</t>
        </is>
      </c>
      <c r="E528" s="11">
        <f t="array" ref="E528">_xlfn.XLOOKUP(D528,Insumos!B:B,Insumos!C:$C)</f>
        <v/>
      </c>
      <c r="F528" s="14" t="n">
        <v>1.1</v>
      </c>
      <c r="G528" s="92">
        <f t="array" ref="G528">IF(B528="insumo",_xlfn.XLOOKUP($D528,Insumos!$B$1:$B$996,Insumos!$D$1:$D$996),"")</f>
        <v/>
      </c>
      <c r="H528" s="92" t="n">
        <v>5.55839408446873</v>
      </c>
      <c r="I528" s="2162" t="n">
        <v>41.6016</v>
      </c>
      <c r="J528" s="2162" t="n">
        <v>231.238087344434</v>
      </c>
      <c r="K528" s="2162" t="n"/>
    </row>
    <row r="529" outlineLevel="3" ht="15.75" customHeight="1">
      <c r="A529" s="10" t="n">
        <v>41</v>
      </c>
      <c r="B529" s="10" t="inlineStr">
        <is>
          <t>Insumo</t>
        </is>
      </c>
      <c r="C529" s="10" t="inlineStr">
        <is>
          <t xml:space="preserve">Armação aço CA-50 ø 12,5mm para Contenções (corte e dobra em obra) </t>
        </is>
      </c>
      <c r="D529" s="10" t="inlineStr">
        <is>
          <t xml:space="preserve">Arame Galvanizado </t>
        </is>
      </c>
      <c r="E529" s="11">
        <f t="array" ref="E529">_xlfn.XLOOKUP(D529,Insumos!B:B,Insumos!C:$C)</f>
        <v/>
      </c>
      <c r="F529" s="14" t="n">
        <v>0.0205</v>
      </c>
      <c r="G529" s="92">
        <f t="array" ref="G529">IF(B529="insumo",_xlfn.XLOOKUP($D529,Insumos!$B$1:$B$996,Insumos!$D$1:$D$996),"")</f>
        <v/>
      </c>
      <c r="H529" s="92" t="n">
        <v>0.280645</v>
      </c>
      <c r="I529" s="2162" t="n">
        <v>41.6016</v>
      </c>
      <c r="J529" s="2162" t="n">
        <v>11.675281032</v>
      </c>
      <c r="K529" s="2162" t="n"/>
    </row>
    <row r="530" outlineLevel="3" ht="15.75" customHeight="1">
      <c r="A530" s="10" t="n">
        <v>62</v>
      </c>
      <c r="B530" s="10" t="inlineStr">
        <is>
          <t>Insumo</t>
        </is>
      </c>
      <c r="C530" s="10" t="inlineStr">
        <is>
          <t xml:space="preserve">Armação aço CA-50 ø 12,5mm para Contenções (corte e dobra em obra) </t>
        </is>
      </c>
      <c r="D530" s="10" t="inlineStr">
        <is>
          <t>Espaçador para armadura</t>
        </is>
      </c>
      <c r="E530" s="11">
        <f t="array" ref="E530">_xlfn.XLOOKUP(D530,Insumos!B:B,Insumos!C:$C)</f>
        <v/>
      </c>
      <c r="F530" s="14" t="n">
        <v>0.05</v>
      </c>
      <c r="G530" s="92">
        <f t="array" ref="G530">IF(B530="insumo",_xlfn.XLOOKUP($D530,Insumos!$B$1:$B$996,Insumos!$D$1:$D$996),"")</f>
        <v/>
      </c>
      <c r="H530" s="92" t="n">
        <v>0.0135</v>
      </c>
      <c r="I530" s="2162" t="n">
        <v>41.6016</v>
      </c>
      <c r="J530" s="2162" t="n">
        <v>0.5616216000000001</v>
      </c>
      <c r="K530" s="2162" t="n"/>
    </row>
    <row r="531" outlineLevel="2" ht="15.75" customHeight="1">
      <c r="A531" s="1067" t="n">
        <v>1</v>
      </c>
      <c r="B531" s="1067" t="inlineStr">
        <is>
          <t>Serviço</t>
        </is>
      </c>
      <c r="C531" s="1067" t="inlineStr">
        <is>
          <t>Armação aço CA-50 ø 16,0mm para Contenções (corte e dobra em obra)</t>
        </is>
      </c>
      <c r="D531" s="1067" t="inlineStr">
        <is>
          <t>Armação aço CA-50 ø 16,0mm para Contenções (corte e dobra em obra)</t>
        </is>
      </c>
      <c r="E531" s="1068" t="inlineStr">
        <is>
          <t>KG</t>
        </is>
      </c>
      <c r="F531" s="1067" t="n"/>
      <c r="G531" s="1069">
        <f t="array" ref="G531">IF(B531="insumo",_xlfn.XLOOKUP($D531,Insumos!$B$1:$B$996,Insumos!$D$1:$D$996),"")</f>
        <v/>
      </c>
      <c r="H531" s="1069" t="n">
        <v>5.72876144939818</v>
      </c>
      <c r="I531" s="2161" t="n">
        <v>0</v>
      </c>
      <c r="J531" s="2161" t="n">
        <v>0</v>
      </c>
      <c r="K531" s="2161" t="n"/>
    </row>
    <row r="532" outlineLevel="3" ht="15.75" customHeight="1">
      <c r="A532" s="10" t="n">
        <v>4</v>
      </c>
      <c r="B532" s="10" t="inlineStr">
        <is>
          <t>Insumo</t>
        </is>
      </c>
      <c r="C532" s="10" t="inlineStr">
        <is>
          <t>Armação aço CA-50 ø 16,0mm para Contenções (corte e dobra em obra)</t>
        </is>
      </c>
      <c r="D532" s="10" t="inlineStr">
        <is>
          <t>Aço CA50 16,0mm</t>
        </is>
      </c>
      <c r="E532" s="11">
        <f t="array" ref="E532">_xlfn.XLOOKUP(D532,Insumos!B:B,Insumos!C:$C)</f>
        <v/>
      </c>
      <c r="F532" s="14" t="n">
        <v>1.1</v>
      </c>
      <c r="G532" s="92">
        <f t="array" ref="G532">IF(B532="insumo",_xlfn.XLOOKUP($D532,Insumos!$B$1:$B$996,Insumos!$D$1:$D$996),"")</f>
        <v/>
      </c>
      <c r="H532" s="92" t="n">
        <v>5.43461644939818</v>
      </c>
      <c r="I532" s="2162" t="n">
        <v>0</v>
      </c>
      <c r="J532" s="2162" t="n">
        <v>0</v>
      </c>
      <c r="K532" s="2162" t="n"/>
    </row>
    <row r="533" outlineLevel="3" ht="15.75" customHeight="1">
      <c r="A533" s="10" t="n">
        <v>41</v>
      </c>
      <c r="B533" s="10" t="inlineStr">
        <is>
          <t>Insumo</t>
        </is>
      </c>
      <c r="C533" s="10" t="inlineStr">
        <is>
          <t>Armação aço CA-50 ø 16,0mm para Contenções (corte e dobra em obra)</t>
        </is>
      </c>
      <c r="D533" s="10" t="inlineStr">
        <is>
          <t xml:space="preserve">Arame Galvanizado </t>
        </is>
      </c>
      <c r="E533" s="11">
        <f t="array" ref="E533">_xlfn.XLOOKUP(D533,Insumos!B:B,Insumos!C:$C)</f>
        <v/>
      </c>
      <c r="F533" s="14" t="n">
        <v>0.0205</v>
      </c>
      <c r="G533" s="92">
        <f t="array" ref="G533">IF(B533="insumo",_xlfn.XLOOKUP($D533,Insumos!$B$1:$B$996,Insumos!$D$1:$D$996),"")</f>
        <v/>
      </c>
      <c r="H533" s="92" t="n">
        <v>0.280645</v>
      </c>
      <c r="I533" s="2162" t="n">
        <v>0</v>
      </c>
      <c r="J533" s="2162" t="n">
        <v>0</v>
      </c>
      <c r="K533" s="2162" t="n"/>
    </row>
    <row r="534" outlineLevel="3" ht="15.75" customHeight="1">
      <c r="A534" s="10" t="n">
        <v>62</v>
      </c>
      <c r="B534" s="10" t="inlineStr">
        <is>
          <t>Insumo</t>
        </is>
      </c>
      <c r="C534" s="10" t="inlineStr">
        <is>
          <t>Armação aço CA-50 ø 16,0mm para Contenções (corte e dobra em obra)</t>
        </is>
      </c>
      <c r="D534" s="10" t="inlineStr">
        <is>
          <t>Espaçador para armadura</t>
        </is>
      </c>
      <c r="E534" s="11">
        <f t="array" ref="E534">_xlfn.XLOOKUP(D534,Insumos!B:B,Insumos!C:$C)</f>
        <v/>
      </c>
      <c r="F534" s="14" t="n">
        <v>0.05</v>
      </c>
      <c r="G534" s="92">
        <f t="array" ref="G534">IF(B534="insumo",_xlfn.XLOOKUP($D534,Insumos!$B$1:$B$996,Insumos!$D$1:$D$996),"")</f>
        <v/>
      </c>
      <c r="H534" s="92" t="n">
        <v>0.0135</v>
      </c>
      <c r="I534" s="2162" t="n">
        <v>0</v>
      </c>
      <c r="J534" s="2162" t="n">
        <v>0</v>
      </c>
      <c r="K534" s="2162" t="n"/>
    </row>
    <row r="535" outlineLevel="2" ht="15.75" customHeight="1">
      <c r="A535" s="1067" t="n">
        <v>1</v>
      </c>
      <c r="B535" s="1067" t="inlineStr">
        <is>
          <t>Serviço</t>
        </is>
      </c>
      <c r="C535" s="1067" t="inlineStr">
        <is>
          <t xml:space="preserve">Armação aço CA-50 ø 20,0mm para Contenções (corte e dobra em obra) </t>
        </is>
      </c>
      <c r="D535" s="1067" t="inlineStr">
        <is>
          <t xml:space="preserve">Armação aço CA-50 ø 20,0mm para Contenções (corte e dobra em obra) </t>
        </is>
      </c>
      <c r="E535" s="1068" t="inlineStr">
        <is>
          <t>KG</t>
        </is>
      </c>
      <c r="F535" s="1067" t="n"/>
      <c r="G535" s="1069">
        <f t="array" ref="G535">IF(B535="insumo",_xlfn.XLOOKUP($D535,Insumos!$B$1:$B$996,Insumos!$D$1:$D$996),"")</f>
        <v/>
      </c>
      <c r="H535" s="1069" t="n">
        <v>5.83202387420167</v>
      </c>
      <c r="I535" s="2161" t="n">
        <v>0</v>
      </c>
      <c r="J535" s="2161" t="n">
        <v>0</v>
      </c>
      <c r="K535" s="2161" t="n"/>
    </row>
    <row r="536" outlineLevel="3" ht="15.75" customHeight="1">
      <c r="A536" s="10" t="n">
        <v>4</v>
      </c>
      <c r="B536" s="10" t="inlineStr">
        <is>
          <t>Insumo</t>
        </is>
      </c>
      <c r="C536" s="10" t="inlineStr">
        <is>
          <t xml:space="preserve">Armação aço CA-50 ø 20,0mm para Contenções (corte e dobra em obra) </t>
        </is>
      </c>
      <c r="D536" s="10" t="inlineStr">
        <is>
          <t>Aço CA50 20,0mm</t>
        </is>
      </c>
      <c r="E536" s="11">
        <f t="array" ref="E536">_xlfn.XLOOKUP(D536,Insumos!B:B,Insumos!C:$C)</f>
        <v/>
      </c>
      <c r="F536" s="14" t="n">
        <v>1.1</v>
      </c>
      <c r="G536" s="92">
        <f t="array" ref="G536">IF(B536="insumo",_xlfn.XLOOKUP($D536,Insumos!$B$1:$B$996,Insumos!$D$1:$D$996),"")</f>
        <v/>
      </c>
      <c r="H536" s="92" t="n">
        <v>5.53787887420167</v>
      </c>
      <c r="I536" s="2162" t="n">
        <v>0</v>
      </c>
      <c r="J536" s="2162" t="n">
        <v>0</v>
      </c>
      <c r="K536" s="2162" t="n"/>
    </row>
    <row r="537" outlineLevel="3" ht="15.75" customHeight="1">
      <c r="A537" s="10" t="n">
        <v>41</v>
      </c>
      <c r="B537" s="10" t="inlineStr">
        <is>
          <t>Insumo</t>
        </is>
      </c>
      <c r="C537" s="10" t="inlineStr">
        <is>
          <t xml:space="preserve">Armação aço CA-50 ø 20,0mm para Contenções (corte e dobra em obra) </t>
        </is>
      </c>
      <c r="D537" s="10" t="inlineStr">
        <is>
          <t xml:space="preserve">Arame Galvanizado </t>
        </is>
      </c>
      <c r="E537" s="11">
        <f t="array" ref="E537">_xlfn.XLOOKUP(D537,Insumos!B:B,Insumos!C:$C)</f>
        <v/>
      </c>
      <c r="F537" s="14" t="n">
        <v>0.0205</v>
      </c>
      <c r="G537" s="92">
        <f t="array" ref="G537">IF(B537="insumo",_xlfn.XLOOKUP($D537,Insumos!$B$1:$B$996,Insumos!$D$1:$D$996),"")</f>
        <v/>
      </c>
      <c r="H537" s="92" t="n">
        <v>0.280645</v>
      </c>
      <c r="I537" s="2162" t="n">
        <v>0</v>
      </c>
      <c r="J537" s="2162" t="n">
        <v>0</v>
      </c>
      <c r="K537" s="2162" t="n"/>
    </row>
    <row r="538" outlineLevel="3" ht="15.75" customHeight="1">
      <c r="A538" s="10" t="n">
        <v>62</v>
      </c>
      <c r="B538" s="10" t="inlineStr">
        <is>
          <t>Insumo</t>
        </is>
      </c>
      <c r="C538" s="10" t="inlineStr">
        <is>
          <t xml:space="preserve">Armação aço CA-50 ø 20,0mm para Contenções (corte e dobra em obra) </t>
        </is>
      </c>
      <c r="D538" s="10" t="inlineStr">
        <is>
          <t>Espaçador para armadura</t>
        </is>
      </c>
      <c r="E538" s="11">
        <f t="array" ref="E538">_xlfn.XLOOKUP(D538,Insumos!B:B,Insumos!C:$C)</f>
        <v/>
      </c>
      <c r="F538" s="14" t="n">
        <v>0.05</v>
      </c>
      <c r="G538" s="92">
        <f t="array" ref="G538">IF(B538="insumo",_xlfn.XLOOKUP($D538,Insumos!$B$1:$B$996,Insumos!$D$1:$D$996),"")</f>
        <v/>
      </c>
      <c r="H538" s="92" t="n">
        <v>0.0135</v>
      </c>
      <c r="I538" s="2162" t="n">
        <v>0</v>
      </c>
      <c r="J538" s="2162" t="n">
        <v>0</v>
      </c>
      <c r="K538" s="2162" t="n"/>
    </row>
    <row r="539" outlineLevel="2" ht="15.75" customHeight="1">
      <c r="A539" s="1067" t="n">
        <v>1</v>
      </c>
      <c r="B539" s="1067" t="inlineStr">
        <is>
          <t>Serviço</t>
        </is>
      </c>
      <c r="C539" s="1067" t="inlineStr">
        <is>
          <t xml:space="preserve">Armação aço CA-50 ø 25,0mm para Contenções (corte e dobra em obra) </t>
        </is>
      </c>
      <c r="D539" s="1067" t="inlineStr">
        <is>
          <t xml:space="preserve">Armação aço CA-50 ø 25,0mm para Contenções (corte e dobra em obra) </t>
        </is>
      </c>
      <c r="E539" s="1068" t="inlineStr">
        <is>
          <t>KG</t>
        </is>
      </c>
      <c r="F539" s="1067" t="n"/>
      <c r="G539" s="1069">
        <f t="array" ref="G539">IF(B539="insumo",_xlfn.XLOOKUP($D539,Insumos!$B$1:$B$996,Insumos!$D$1:$D$996),"")</f>
        <v/>
      </c>
      <c r="H539" s="1069" t="n">
        <v>5.97109784758844</v>
      </c>
      <c r="I539" s="2161" t="n">
        <v>0</v>
      </c>
      <c r="J539" s="2161" t="n">
        <v>0</v>
      </c>
      <c r="K539" s="2161" t="n"/>
    </row>
    <row r="540" outlineLevel="3" ht="15.75" customHeight="1">
      <c r="A540" s="10" t="n">
        <v>3</v>
      </c>
      <c r="B540" s="10" t="inlineStr">
        <is>
          <t>Insumo</t>
        </is>
      </c>
      <c r="C540" s="10" t="inlineStr">
        <is>
          <t xml:space="preserve">Armação aço CA-50 ø 25,0mm para Contenções (corte e dobra em obra) </t>
        </is>
      </c>
      <c r="D540" s="10" t="inlineStr">
        <is>
          <t>Aço CA50 25,0mm</t>
        </is>
      </c>
      <c r="E540" s="11">
        <f t="array" ref="E540">_xlfn.XLOOKUP(D540,Insumos!B:B,Insumos!C:$C)</f>
        <v/>
      </c>
      <c r="F540" s="14" t="n">
        <v>1.1</v>
      </c>
      <c r="G540" s="92">
        <f t="array" ref="G540">IF(B540="insumo",_xlfn.XLOOKUP($D540,Insumos!$B$1:$B$996,Insumos!$D$1:$D$996),"")</f>
        <v/>
      </c>
      <c r="H540" s="92" t="n">
        <v>5.67695284758844</v>
      </c>
      <c r="I540" s="2162" t="n">
        <v>0</v>
      </c>
      <c r="J540" s="2162" t="n">
        <v>0</v>
      </c>
      <c r="K540" s="2162" t="n"/>
    </row>
    <row r="541" outlineLevel="3" ht="15.75" customHeight="1">
      <c r="A541" s="10" t="n">
        <v>41</v>
      </c>
      <c r="B541" s="10" t="inlineStr">
        <is>
          <t>Insumo</t>
        </is>
      </c>
      <c r="C541" s="10" t="inlineStr">
        <is>
          <t xml:space="preserve">Armação aço CA-50 ø 25,0mm para Contenções (corte e dobra em obra) </t>
        </is>
      </c>
      <c r="D541" s="10" t="inlineStr">
        <is>
          <t xml:space="preserve">Arame Galvanizado </t>
        </is>
      </c>
      <c r="E541" s="11">
        <f t="array" ref="E541">_xlfn.XLOOKUP(D541,Insumos!B:B,Insumos!C:$C)</f>
        <v/>
      </c>
      <c r="F541" s="14" t="n">
        <v>0.0205</v>
      </c>
      <c r="G541" s="92">
        <f t="array" ref="G541">IF(B541="insumo",_xlfn.XLOOKUP($D541,Insumos!$B$1:$B$996,Insumos!$D$1:$D$996),"")</f>
        <v/>
      </c>
      <c r="H541" s="92" t="n">
        <v>0.280645</v>
      </c>
      <c r="I541" s="2162" t="n">
        <v>0</v>
      </c>
      <c r="J541" s="2162" t="n">
        <v>0</v>
      </c>
      <c r="K541" s="2162" t="n"/>
    </row>
    <row r="542" outlineLevel="3" ht="15.75" customHeight="1">
      <c r="A542" s="10" t="n">
        <v>62</v>
      </c>
      <c r="B542" s="10" t="inlineStr">
        <is>
          <t>Insumo</t>
        </is>
      </c>
      <c r="C542" s="10" t="inlineStr">
        <is>
          <t xml:space="preserve">Armação aço CA-50 ø 25,0mm para Contenções (corte e dobra em obra) </t>
        </is>
      </c>
      <c r="D542" s="10" t="inlineStr">
        <is>
          <t>Espaçador para armadura</t>
        </is>
      </c>
      <c r="E542" s="11">
        <f t="array" ref="E542">_xlfn.XLOOKUP(D542,Insumos!B:B,Insumos!C:$C)</f>
        <v/>
      </c>
      <c r="F542" s="14" t="n">
        <v>0.05</v>
      </c>
      <c r="G542" s="92">
        <f t="array" ref="G542">IF(B542="insumo",_xlfn.XLOOKUP($D542,Insumos!$B$1:$B$996,Insumos!$D$1:$D$996),"")</f>
        <v/>
      </c>
      <c r="H542" s="92" t="n">
        <v>0.0135</v>
      </c>
      <c r="I542" s="2162" t="n">
        <v>0</v>
      </c>
      <c r="J542" s="2162" t="n">
        <v>0</v>
      </c>
      <c r="K542" s="2162" t="n"/>
    </row>
    <row r="543" outlineLevel="2" ht="15.75" customHeight="1">
      <c r="A543" s="1067" t="n">
        <v>1</v>
      </c>
      <c r="B543" s="1067" t="inlineStr">
        <is>
          <t>Serviço</t>
        </is>
      </c>
      <c r="C543" s="1067" t="inlineStr">
        <is>
          <t xml:space="preserve">Armação aço CA-60 ø 5,00mm para Contenções (corte e dobra em obra) </t>
        </is>
      </c>
      <c r="D543" s="1067" t="inlineStr">
        <is>
          <t xml:space="preserve">Armação aço CA-60 ø 5,00mm para Contenções (corte e dobra em obra) </t>
        </is>
      </c>
      <c r="E543" s="1068" t="inlineStr">
        <is>
          <t>KG</t>
        </is>
      </c>
      <c r="F543" s="1067" t="n"/>
      <c r="G543" s="1069">
        <f t="array" ref="G543">IF(B543="insumo",_xlfn.XLOOKUP($D543,Insumos!$B$1:$B$996,Insumos!$D$1:$D$996),"")</f>
        <v/>
      </c>
      <c r="H543" s="1069" t="n">
        <v>7.0532266249184</v>
      </c>
      <c r="I543" s="2161" t="n">
        <v>0</v>
      </c>
      <c r="J543" s="2161" t="n">
        <v>0</v>
      </c>
      <c r="K543" s="2161" t="n"/>
    </row>
    <row r="544" outlineLevel="3" ht="15.75" customHeight="1">
      <c r="A544" s="10" t="n">
        <v>5</v>
      </c>
      <c r="B544" s="10" t="inlineStr">
        <is>
          <t>Insumo</t>
        </is>
      </c>
      <c r="C544" s="10" t="inlineStr">
        <is>
          <t xml:space="preserve">Armação aço CA-60 ø 5,00mm para Contenções (corte e dobra em obra) </t>
        </is>
      </c>
      <c r="D544" s="10" t="inlineStr">
        <is>
          <t>Aço CA60 5,0mm</t>
        </is>
      </c>
      <c r="E544" s="11">
        <f t="array" ref="E544">_xlfn.XLOOKUP(D544,Insumos!B:B,Insumos!C:$C)</f>
        <v/>
      </c>
      <c r="F544" s="14" t="n">
        <v>1.1</v>
      </c>
      <c r="G544" s="92">
        <f t="array" ref="G544">IF(B544="insumo",_xlfn.XLOOKUP($D544,Insumos!$B$1:$B$996,Insumos!$D$1:$D$996),"")</f>
        <v/>
      </c>
      <c r="H544" s="92" t="n">
        <v>6.7590816249184</v>
      </c>
      <c r="I544" s="2162" t="n">
        <v>0</v>
      </c>
      <c r="J544" s="2162" t="n">
        <v>0</v>
      </c>
      <c r="K544" s="2162" t="n"/>
    </row>
    <row r="545" outlineLevel="3" ht="15.75" customHeight="1">
      <c r="A545" s="10" t="n">
        <v>41</v>
      </c>
      <c r="B545" s="10" t="inlineStr">
        <is>
          <t>Insumo</t>
        </is>
      </c>
      <c r="C545" s="10" t="inlineStr">
        <is>
          <t xml:space="preserve">Armação aço CA-60 ø 5,00mm para Contenções (corte e dobra em obra) </t>
        </is>
      </c>
      <c r="D545" s="10" t="inlineStr">
        <is>
          <t xml:space="preserve">Arame Galvanizado </t>
        </is>
      </c>
      <c r="E545" s="11">
        <f t="array" ref="E545">_xlfn.XLOOKUP(D545,Insumos!B:B,Insumos!C:$C)</f>
        <v/>
      </c>
      <c r="F545" s="14" t="n">
        <v>0.0205</v>
      </c>
      <c r="G545" s="92">
        <f t="array" ref="G545">IF(B545="insumo",_xlfn.XLOOKUP($D545,Insumos!$B$1:$B$996,Insumos!$D$1:$D$996),"")</f>
        <v/>
      </c>
      <c r="H545" s="92" t="n">
        <v>0.280645</v>
      </c>
      <c r="I545" s="2162" t="n">
        <v>0</v>
      </c>
      <c r="J545" s="2162" t="n">
        <v>0</v>
      </c>
      <c r="K545" s="2162" t="n"/>
    </row>
    <row r="546" outlineLevel="3" ht="15.75" customHeight="1">
      <c r="A546" s="10" t="n">
        <v>62</v>
      </c>
      <c r="B546" s="10" t="inlineStr">
        <is>
          <t>Insumo</t>
        </is>
      </c>
      <c r="C546" s="10" t="inlineStr">
        <is>
          <t xml:space="preserve">Armação aço CA-60 ø 5,00mm para Contenções (corte e dobra em obra) </t>
        </is>
      </c>
      <c r="D546" s="10" t="inlineStr">
        <is>
          <t>Espaçador para armadura</t>
        </is>
      </c>
      <c r="E546" s="11">
        <f t="array" ref="E546">_xlfn.XLOOKUP(D546,Insumos!B:B,Insumos!C:$C)</f>
        <v/>
      </c>
      <c r="F546" s="14" t="n">
        <v>0.05</v>
      </c>
      <c r="G546" s="92">
        <f t="array" ref="G546">IF(B546="insumo",_xlfn.XLOOKUP($D546,Insumos!$B$1:$B$996,Insumos!$D$1:$D$996),"")</f>
        <v/>
      </c>
      <c r="H546" s="92" t="n">
        <v>0.0135</v>
      </c>
      <c r="I546" s="2162" t="n">
        <v>0</v>
      </c>
      <c r="J546" s="2162" t="n">
        <v>0</v>
      </c>
      <c r="K546" s="2162" t="n"/>
    </row>
    <row r="547" outlineLevel="2" ht="15.75" customHeight="1">
      <c r="A547" s="1067" t="n">
        <v>1</v>
      </c>
      <c r="B547" s="1067" t="inlineStr">
        <is>
          <t>Serviço</t>
        </is>
      </c>
      <c r="C547" s="1067" t="inlineStr">
        <is>
          <t>Armação aço CA-50 ø 6,3mm para Contenções (corte e dobra em Indústria)</t>
        </is>
      </c>
      <c r="D547" s="1067" t="inlineStr">
        <is>
          <t>Armação aço CA-50 ø 6,3mm para Contenções (corte e dobra em Indústria)</t>
        </is>
      </c>
      <c r="E547" s="1068" t="inlineStr">
        <is>
          <t>KG</t>
        </is>
      </c>
      <c r="F547" s="1067" t="n"/>
      <c r="G547" s="1069">
        <f t="array" ref="G547">IF(B547="insumo",_xlfn.XLOOKUP($D547,Insumos!$B$1:$B$880,Insumos!$D$1:$D$880),"")</f>
        <v/>
      </c>
      <c r="H547" s="1069" t="n">
        <v>8.964145</v>
      </c>
      <c r="I547" s="2161" t="n">
        <v>2282</v>
      </c>
      <c r="J547" s="2161" t="n">
        <v>20456.17889</v>
      </c>
      <c r="K547" s="2161" t="n"/>
    </row>
    <row r="548" outlineLevel="3" ht="15.75" customHeight="1">
      <c r="A548" s="10" t="n">
        <v>4</v>
      </c>
      <c r="B548" s="10" t="inlineStr">
        <is>
          <t>Insumo</t>
        </is>
      </c>
      <c r="C548" s="10" t="inlineStr">
        <is>
          <t>Armação aço CA-50 ø 6,3mm para Contenções (corte e dobra em Indústria)</t>
        </is>
      </c>
      <c r="D548" s="10" t="inlineStr">
        <is>
          <t>Aço CA50 6,3 mm Corte e Dobra em Indústria</t>
        </is>
      </c>
      <c r="E548" s="11">
        <f t="array" ref="E548">_xlfn.XLOOKUP(D548,Insumos!B:B,Insumos!C:$C)</f>
        <v/>
      </c>
      <c r="F548" s="14" t="n">
        <v>1</v>
      </c>
      <c r="G548" s="92">
        <f t="array" ref="G548">IF(B548="insumo",_xlfn.XLOOKUP($D548,Insumos!$B$1:$B$880,Insumos!$D$1:$D$880),"")</f>
        <v/>
      </c>
      <c r="H548" s="92" t="n">
        <v>8.67</v>
      </c>
      <c r="I548" s="2162" t="n">
        <v>2282</v>
      </c>
      <c r="J548" s="2162" t="n">
        <v>19784.94</v>
      </c>
      <c r="K548" s="2162" t="n"/>
    </row>
    <row r="549" outlineLevel="3" ht="15.75" customHeight="1">
      <c r="A549" s="10" t="n">
        <v>41</v>
      </c>
      <c r="B549" s="10" t="inlineStr">
        <is>
          <t>Insumo</t>
        </is>
      </c>
      <c r="C549" s="10" t="inlineStr">
        <is>
          <t>Armação aço CA-50 ø 6,3mm para Contenções (corte e dobra em Indústria)</t>
        </is>
      </c>
      <c r="D549" s="10" t="inlineStr">
        <is>
          <t xml:space="preserve">Arame Galvanizado </t>
        </is>
      </c>
      <c r="E549" s="11">
        <f t="array" ref="E549">_xlfn.XLOOKUP(D549,Insumos!B:B,Insumos!C:$C)</f>
        <v/>
      </c>
      <c r="F549" s="14" t="n">
        <v>0.0205</v>
      </c>
      <c r="G549" s="92">
        <f t="array" ref="G549">IF(B549="insumo",_xlfn.XLOOKUP($D549,Insumos!$B$1:$B$880,Insumos!$D$1:$D$880),"")</f>
        <v/>
      </c>
      <c r="H549" s="92" t="n">
        <v>0.280645</v>
      </c>
      <c r="I549" s="2162" t="n">
        <v>2282</v>
      </c>
      <c r="J549" s="2162" t="n">
        <v>640.43189</v>
      </c>
      <c r="K549" s="2162" t="n"/>
    </row>
    <row r="550" outlineLevel="3" ht="15.75" customHeight="1">
      <c r="A550" s="10" t="n">
        <v>62</v>
      </c>
      <c r="B550" s="10" t="inlineStr">
        <is>
          <t>Insumo</t>
        </is>
      </c>
      <c r="C550" s="10" t="inlineStr">
        <is>
          <t>Armação aço CA-50 ø 6,3mm para Contenções (corte e dobra em Indústria)</t>
        </is>
      </c>
      <c r="D550" s="10" t="inlineStr">
        <is>
          <t>Espaçador para armadura</t>
        </is>
      </c>
      <c r="E550" s="11">
        <f t="array" ref="E550">_xlfn.XLOOKUP(D550,Insumos!B:B,Insumos!C:$C)</f>
        <v/>
      </c>
      <c r="F550" s="14" t="n">
        <v>0.05</v>
      </c>
      <c r="G550" s="92">
        <f t="array" ref="G550">IF(B550="insumo",_xlfn.XLOOKUP($D550,Insumos!$B$1:$B$880,Insumos!$D$1:$D$880),"")</f>
        <v/>
      </c>
      <c r="H550" s="92" t="n">
        <v>0.0135</v>
      </c>
      <c r="I550" s="2162" t="n">
        <v>2282</v>
      </c>
      <c r="J550" s="2162" t="n">
        <v>30.807</v>
      </c>
      <c r="K550" s="2162" t="n"/>
    </row>
    <row r="551" outlineLevel="2" ht="15.75" customHeight="1">
      <c r="A551" s="1067" t="n">
        <v>1</v>
      </c>
      <c r="B551" s="1067" t="inlineStr">
        <is>
          <t>Serviço</t>
        </is>
      </c>
      <c r="C551" s="1067" t="inlineStr">
        <is>
          <t>Armação aço CA-50 ø 8,0mm para Contenções (corte e dobra em Indústria)</t>
        </is>
      </c>
      <c r="D551" s="1067" t="inlineStr">
        <is>
          <t>Armação aço CA-50 ø 8,0mm para Contenções (corte e dobra em Indústria)</t>
        </is>
      </c>
      <c r="E551" s="1068" t="inlineStr">
        <is>
          <t>KG</t>
        </is>
      </c>
      <c r="F551" s="1067" t="n"/>
      <c r="G551" s="1069">
        <f t="array" ref="G551">IF(B551="insumo",_xlfn.XLOOKUP($D551,Insumos!$B$1:$B$880,Insumos!$D$1:$D$880),"")</f>
        <v/>
      </c>
      <c r="H551" s="1069" t="n">
        <v>8.964145</v>
      </c>
      <c r="I551" s="2161" t="n">
        <v>990.363636363636</v>
      </c>
      <c r="J551" s="2161" t="n">
        <v>8877.763239090909</v>
      </c>
      <c r="K551" s="2161" t="n"/>
    </row>
    <row r="552" outlineLevel="3" ht="15.75" customHeight="1">
      <c r="A552" s="10" t="n">
        <v>3</v>
      </c>
      <c r="B552" s="10" t="inlineStr">
        <is>
          <t>Insumo</t>
        </is>
      </c>
      <c r="C552" s="10" t="inlineStr">
        <is>
          <t>Armação aço CA-50 ø 8,0mm para Contenções (corte e dobra em Indústria)</t>
        </is>
      </c>
      <c r="D552" s="10" t="inlineStr">
        <is>
          <t>Aço CA50 8,0 mm Corte e Dobra em Indústria</t>
        </is>
      </c>
      <c r="E552" s="11">
        <f t="array" ref="E552">_xlfn.XLOOKUP(D552,Insumos!B:B,Insumos!C:$C)</f>
        <v/>
      </c>
      <c r="F552" s="14" t="n">
        <v>1</v>
      </c>
      <c r="G552" s="92">
        <f t="array" ref="G552">IF(B552="insumo",_xlfn.XLOOKUP($D552,Insumos!$B$1:$B$880,Insumos!$D$1:$D$880),"")</f>
        <v/>
      </c>
      <c r="H552" s="92" t="n">
        <v>8.67</v>
      </c>
      <c r="I552" s="2162" t="n">
        <v>990.363636363636</v>
      </c>
      <c r="J552" s="2162" t="n">
        <v>8586.452727272719</v>
      </c>
      <c r="K552" s="2162" t="n"/>
    </row>
    <row r="553" outlineLevel="3" ht="15.75" customHeight="1">
      <c r="A553" s="10" t="n">
        <v>41</v>
      </c>
      <c r="B553" s="10" t="inlineStr">
        <is>
          <t>Insumo</t>
        </is>
      </c>
      <c r="C553" s="10" t="inlineStr">
        <is>
          <t>Armação aço CA-50 ø 8,0mm para Contenções (corte e dobra em Indústria)</t>
        </is>
      </c>
      <c r="D553" s="10" t="inlineStr">
        <is>
          <t xml:space="preserve">Arame Galvanizado </t>
        </is>
      </c>
      <c r="E553" s="11">
        <f t="array" ref="E553">_xlfn.XLOOKUP(D553,Insumos!B:B,Insumos!C:$C)</f>
        <v/>
      </c>
      <c r="F553" s="14" t="n">
        <v>0.0205</v>
      </c>
      <c r="G553" s="92">
        <f t="array" ref="G553">IF(B553="insumo",_xlfn.XLOOKUP($D553,Insumos!$B$1:$B$880,Insumos!$D$1:$D$880),"")</f>
        <v/>
      </c>
      <c r="H553" s="92" t="n">
        <v>0.280645</v>
      </c>
      <c r="I553" s="2162" t="n">
        <v>990.363636363636</v>
      </c>
      <c r="J553" s="2162" t="n">
        <v>277.940602727273</v>
      </c>
      <c r="K553" s="2162" t="n"/>
    </row>
    <row r="554" outlineLevel="3" ht="15.75" customHeight="1">
      <c r="A554" s="10" t="n">
        <v>62</v>
      </c>
      <c r="B554" s="10" t="inlineStr">
        <is>
          <t>Insumo</t>
        </is>
      </c>
      <c r="C554" s="10" t="inlineStr">
        <is>
          <t>Armação aço CA-50 ø 8,0mm para Contenções (corte e dobra em Indústria)</t>
        </is>
      </c>
      <c r="D554" s="10" t="inlineStr">
        <is>
          <t>Espaçador para armadura</t>
        </is>
      </c>
      <c r="E554" s="11">
        <f t="array" ref="E554">_xlfn.XLOOKUP(D554,Insumos!B:B,Insumos!C:$C)</f>
        <v/>
      </c>
      <c r="F554" s="14" t="n">
        <v>0.05</v>
      </c>
      <c r="G554" s="92">
        <f t="array" ref="G554">IF(B554="insumo",_xlfn.XLOOKUP($D554,Insumos!$B$1:$B$880,Insumos!$D$1:$D$880),"")</f>
        <v/>
      </c>
      <c r="H554" s="92" t="n">
        <v>0.0135</v>
      </c>
      <c r="I554" s="2162" t="n">
        <v>990.363636363636</v>
      </c>
      <c r="J554" s="2162" t="n">
        <v>13.3699090909091</v>
      </c>
      <c r="K554" s="2162" t="n"/>
    </row>
    <row r="555" outlineLevel="2" ht="15.75" customHeight="1">
      <c r="A555" s="1067" t="n">
        <v>1</v>
      </c>
      <c r="B555" s="1067" t="inlineStr">
        <is>
          <t>Serviço</t>
        </is>
      </c>
      <c r="C555" s="1067" t="inlineStr">
        <is>
          <t>Armação aço CA-50 ø 12,5mm para Contenções (corte e dobra em Indústria)</t>
        </is>
      </c>
      <c r="D555" s="1067" t="inlineStr">
        <is>
          <t>Armação aço CA-50 ø 12,5mm para Contenções (corte e dobra em Indústria)</t>
        </is>
      </c>
      <c r="E555" s="1068" t="inlineStr">
        <is>
          <t>KG</t>
        </is>
      </c>
      <c r="F555" s="1067" t="n"/>
      <c r="G555" s="1069">
        <f t="array" ref="G555">IF(B555="insumo",_xlfn.XLOOKUP($D555,Insumos!$B$1:$B$880,Insumos!$D$1:$D$880),"")</f>
        <v/>
      </c>
      <c r="H555" s="1069" t="n">
        <v>8.484145</v>
      </c>
      <c r="I555" s="2161" t="n">
        <v>3929.36363636364</v>
      </c>
      <c r="J555" s="2161" t="n">
        <v>33337.2908486364</v>
      </c>
      <c r="K555" s="2161" t="n"/>
    </row>
    <row r="556" outlineLevel="3" ht="15.75" customHeight="1">
      <c r="A556" s="10" t="n">
        <v>3</v>
      </c>
      <c r="B556" s="10" t="inlineStr">
        <is>
          <t>Insumo</t>
        </is>
      </c>
      <c r="C556" s="10" t="inlineStr">
        <is>
          <t>Armação aço CA-50 ø 12,5mm para Contenções (corte e dobra em Indústria)</t>
        </is>
      </c>
      <c r="D556" s="10" t="inlineStr">
        <is>
          <t>Aço CA50 12,5 mm Corte e Dobra em Indústria</t>
        </is>
      </c>
      <c r="E556" s="11">
        <f t="array" ref="E556">_xlfn.XLOOKUP(D556,Insumos!B:B,Insumos!C:$C)</f>
        <v/>
      </c>
      <c r="F556" s="14" t="n">
        <v>1</v>
      </c>
      <c r="G556" s="92">
        <f t="array" ref="G556">IF(B556="insumo",_xlfn.XLOOKUP($D556,Insumos!$B$1:$B$880,Insumos!$D$1:$D$880),"")</f>
        <v/>
      </c>
      <c r="H556" s="92" t="n">
        <v>8.19</v>
      </c>
      <c r="I556" s="2162" t="n">
        <v>3929.36363636364</v>
      </c>
      <c r="J556" s="2162" t="n">
        <v>32181.4881818182</v>
      </c>
      <c r="K556" s="2162" t="n"/>
    </row>
    <row r="557" outlineLevel="3" ht="15.75" customHeight="1">
      <c r="A557" s="10" t="n">
        <v>41</v>
      </c>
      <c r="B557" s="10" t="inlineStr">
        <is>
          <t>Insumo</t>
        </is>
      </c>
      <c r="C557" s="10" t="inlineStr">
        <is>
          <t>Armação aço CA-50 ø 12,5mm para Contenções (corte e dobra em Indústria)</t>
        </is>
      </c>
      <c r="D557" s="10" t="inlineStr">
        <is>
          <t xml:space="preserve">Arame Galvanizado </t>
        </is>
      </c>
      <c r="E557" s="11">
        <f t="array" ref="E557">_xlfn.XLOOKUP(D557,Insumos!B:B,Insumos!C:$C)</f>
        <v/>
      </c>
      <c r="F557" s="14" t="n">
        <v>0.0205</v>
      </c>
      <c r="G557" s="92">
        <f t="array" ref="G557">IF(B557="insumo",_xlfn.XLOOKUP($D557,Insumos!$B$1:$B$880,Insumos!$D$1:$D$880),"")</f>
        <v/>
      </c>
      <c r="H557" s="92" t="n">
        <v>0.280645</v>
      </c>
      <c r="I557" s="2162" t="n">
        <v>3929.36363636364</v>
      </c>
      <c r="J557" s="2162" t="n">
        <v>1102.75625772727</v>
      </c>
      <c r="K557" s="2162" t="n"/>
    </row>
    <row r="558" outlineLevel="3" ht="15.75" customHeight="1">
      <c r="A558" s="10" t="n">
        <v>62</v>
      </c>
      <c r="B558" s="10" t="inlineStr">
        <is>
          <t>Insumo</t>
        </is>
      </c>
      <c r="C558" s="10" t="inlineStr">
        <is>
          <t>Armação aço CA-50 ø 12,5mm para Contenções (corte e dobra em Indústria)</t>
        </is>
      </c>
      <c r="D558" s="10" t="inlineStr">
        <is>
          <t>Espaçador para armadura</t>
        </is>
      </c>
      <c r="E558" s="11">
        <f t="array" ref="E558">_xlfn.XLOOKUP(D558,Insumos!B:B,Insumos!C:$C)</f>
        <v/>
      </c>
      <c r="F558" s="14" t="n">
        <v>0.05</v>
      </c>
      <c r="G558" s="92">
        <f t="array" ref="G558">IF(B558="insumo",_xlfn.XLOOKUP($D558,Insumos!$B$1:$B$880,Insumos!$D$1:$D$880),"")</f>
        <v/>
      </c>
      <c r="H558" s="92" t="n">
        <v>0.0135</v>
      </c>
      <c r="I558" s="2162" t="n">
        <v>3929.36363636364</v>
      </c>
      <c r="J558" s="2162" t="n">
        <v>53.0464090909091</v>
      </c>
      <c r="K558" s="2162" t="n"/>
    </row>
    <row r="559" outlineLevel="2" ht="15.75" customHeight="1">
      <c r="A559" s="1067" t="n">
        <v>1</v>
      </c>
      <c r="B559" s="1067" t="inlineStr">
        <is>
          <t>Serviço</t>
        </is>
      </c>
      <c r="C559" s="1067" t="inlineStr">
        <is>
          <t>Armação aço CA-50 ø 16,0mm para Contenções (corte e dobra em Indústria)</t>
        </is>
      </c>
      <c r="D559" s="1067" t="inlineStr">
        <is>
          <t>Armação aço CA-50 ø 16,0mm para Contenções (corte e dobra em Indústria)</t>
        </is>
      </c>
      <c r="E559" s="1068" t="inlineStr">
        <is>
          <t>KG</t>
        </is>
      </c>
      <c r="F559" s="1067" t="n"/>
      <c r="G559" s="1069">
        <f t="array" ref="G559">IF(B559="insumo",_xlfn.XLOOKUP($D559,Insumos!$B$1:$B$880,Insumos!$D$1:$D$880),"")</f>
        <v/>
      </c>
      <c r="H559" s="1069" t="n">
        <v>8.484145</v>
      </c>
      <c r="I559" s="2161" t="n">
        <v>1277.27272727273</v>
      </c>
      <c r="J559" s="2161" t="n">
        <v>10836.5670227273</v>
      </c>
      <c r="K559" s="2161" t="n"/>
    </row>
    <row r="560" outlineLevel="3" ht="15.75" customHeight="1">
      <c r="A560" s="10" t="n">
        <v>3</v>
      </c>
      <c r="B560" s="10" t="inlineStr">
        <is>
          <t>Insumo</t>
        </is>
      </c>
      <c r="C560" s="10" t="inlineStr">
        <is>
          <t>Armação aço CA-50 ø 16,0mm para Contenções (corte e dobra em Indústria)</t>
        </is>
      </c>
      <c r="D560" s="10" t="inlineStr">
        <is>
          <t>Aço CA50 16,0 mm Corte e Dobra em Indústria</t>
        </is>
      </c>
      <c r="E560" s="11">
        <f t="array" ref="E560">_xlfn.XLOOKUP(D560,Insumos!B:B,Insumos!C:$C)</f>
        <v/>
      </c>
      <c r="F560" s="14" t="n">
        <v>1</v>
      </c>
      <c r="G560" s="92">
        <f t="array" ref="G560">IF(B560="insumo",_xlfn.XLOOKUP($D560,Insumos!$B$1:$B$880,Insumos!$D$1:$D$880),"")</f>
        <v/>
      </c>
      <c r="H560" s="92" t="n">
        <v>8.19</v>
      </c>
      <c r="I560" s="2162" t="n">
        <v>1277.27272727273</v>
      </c>
      <c r="J560" s="2162" t="n">
        <v>10460.8636363637</v>
      </c>
      <c r="K560" s="2162" t="n"/>
    </row>
    <row r="561" outlineLevel="3" ht="15.75" customHeight="1">
      <c r="A561" s="10" t="n">
        <v>41</v>
      </c>
      <c r="B561" s="10" t="inlineStr">
        <is>
          <t>Insumo</t>
        </is>
      </c>
      <c r="C561" s="10" t="inlineStr">
        <is>
          <t>Armação aço CA-50 ø 16,0mm para Contenções (corte e dobra em Indústria)</t>
        </is>
      </c>
      <c r="D561" s="10" t="inlineStr">
        <is>
          <t xml:space="preserve">Arame Galvanizado </t>
        </is>
      </c>
      <c r="E561" s="11">
        <f t="array" ref="E561">_xlfn.XLOOKUP(D561,Insumos!B:B,Insumos!C:$C)</f>
        <v/>
      </c>
      <c r="F561" s="14" t="n">
        <v>0.0205</v>
      </c>
      <c r="G561" s="92">
        <f t="array" ref="G561">IF(B561="insumo",_xlfn.XLOOKUP($D561,Insumos!$B$1:$B$880,Insumos!$D$1:$D$880),"")</f>
        <v/>
      </c>
      <c r="H561" s="92" t="n">
        <v>0.280645</v>
      </c>
      <c r="I561" s="2162" t="n">
        <v>1277.27272727273</v>
      </c>
      <c r="J561" s="2162" t="n">
        <v>358.460204545455</v>
      </c>
      <c r="K561" s="2162" t="n"/>
    </row>
    <row r="562" outlineLevel="3" ht="15.75" customHeight="1">
      <c r="A562" s="10" t="n">
        <v>62</v>
      </c>
      <c r="B562" s="10" t="inlineStr">
        <is>
          <t>Insumo</t>
        </is>
      </c>
      <c r="C562" s="10" t="inlineStr">
        <is>
          <t>Armação aço CA-50 ø 16,0mm para Contenções (corte e dobra em Indústria)</t>
        </is>
      </c>
      <c r="D562" s="10" t="inlineStr">
        <is>
          <t>Espaçador para armadura</t>
        </is>
      </c>
      <c r="E562" s="11">
        <f t="array" ref="E562">_xlfn.XLOOKUP(D562,Insumos!B:B,Insumos!C:$C)</f>
        <v/>
      </c>
      <c r="F562" s="14" t="n">
        <v>0.05</v>
      </c>
      <c r="G562" s="92">
        <f t="array" ref="G562">IF(B562="insumo",_xlfn.XLOOKUP($D562,Insumos!$B$1:$B$880,Insumos!$D$1:$D$880),"")</f>
        <v/>
      </c>
      <c r="H562" s="92" t="n">
        <v>0.0135</v>
      </c>
      <c r="I562" s="2162" t="n">
        <v>1277.27272727273</v>
      </c>
      <c r="J562" s="2162" t="n">
        <v>17.2431818181819</v>
      </c>
      <c r="K562" s="2162" t="n"/>
    </row>
    <row r="563" outlineLevel="2" ht="15.75" customHeight="1">
      <c r="A563" s="1067" t="n">
        <v>1</v>
      </c>
      <c r="B563" s="1067" t="inlineStr">
        <is>
          <t>Serviço</t>
        </is>
      </c>
      <c r="C563" s="1067" t="inlineStr">
        <is>
          <t>Armação aço CA-50 ø 20,0mm para Contenções (corte e dobra em Indústria)</t>
        </is>
      </c>
      <c r="D563" s="1067" t="inlineStr">
        <is>
          <t>Armação aço CA-50 ø 20,0mm para Contenções (corte e dobra em Indústria)</t>
        </is>
      </c>
      <c r="E563" s="1068" t="inlineStr">
        <is>
          <t>KG</t>
        </is>
      </c>
      <c r="F563" s="1067" t="n"/>
      <c r="G563" s="1069">
        <f t="array" ref="G563">IF(B563="insumo",_xlfn.XLOOKUP($D563,Insumos!$B$1:$B$880,Insumos!$D$1:$D$880),"")</f>
        <v/>
      </c>
      <c r="H563" s="1069" t="n">
        <v>8.484145</v>
      </c>
      <c r="I563" s="2161" t="n">
        <v>430.090909090909</v>
      </c>
      <c r="J563" s="2161" t="n">
        <v>3648.95363590909</v>
      </c>
      <c r="K563" s="2161" t="n"/>
    </row>
    <row r="564" outlineLevel="3" ht="15.75" customHeight="1">
      <c r="A564" s="10" t="n">
        <v>4</v>
      </c>
      <c r="B564" s="10" t="inlineStr">
        <is>
          <t>Insumo</t>
        </is>
      </c>
      <c r="C564" s="10" t="inlineStr">
        <is>
          <t>Armação aço CA-50 ø 20,0mm para Contenções (corte e dobra em Indústria)</t>
        </is>
      </c>
      <c r="D564" s="10" t="inlineStr">
        <is>
          <t>Aço CA50 20,0 mm Corte e Dobra em Indústria</t>
        </is>
      </c>
      <c r="E564" s="11">
        <f t="array" ref="E564">_xlfn.XLOOKUP(D564,Insumos!B:B,Insumos!C:$C)</f>
        <v/>
      </c>
      <c r="F564" s="14" t="n">
        <v>1</v>
      </c>
      <c r="G564" s="92">
        <f t="array" ref="G564">IF(B564="insumo",_xlfn.XLOOKUP($D564,Insumos!$B$1:$B$880,Insumos!$D$1:$D$880),"")</f>
        <v/>
      </c>
      <c r="H564" s="92" t="n">
        <v>8.19</v>
      </c>
      <c r="I564" s="2162" t="n">
        <v>430.090909090909</v>
      </c>
      <c r="J564" s="2162" t="n">
        <v>3522.44454545454</v>
      </c>
      <c r="K564" s="2162" t="n"/>
    </row>
    <row r="565" outlineLevel="3" ht="15.75" customHeight="1">
      <c r="A565" s="10" t="n">
        <v>41</v>
      </c>
      <c r="B565" s="10" t="inlineStr">
        <is>
          <t>Insumo</t>
        </is>
      </c>
      <c r="C565" s="10" t="inlineStr">
        <is>
          <t>Armação aço CA-50 ø 20,0mm para Contenções (corte e dobra em Indústria)</t>
        </is>
      </c>
      <c r="D565" s="10" t="inlineStr">
        <is>
          <t xml:space="preserve">Arame Galvanizado </t>
        </is>
      </c>
      <c r="E565" s="11">
        <f t="array" ref="E565">_xlfn.XLOOKUP(D565,Insumos!B:B,Insumos!C:$C)</f>
        <v/>
      </c>
      <c r="F565" s="14" t="n">
        <v>0.0205</v>
      </c>
      <c r="G565" s="92">
        <f t="array" ref="G565">IF(B565="insumo",_xlfn.XLOOKUP($D565,Insumos!$B$1:$B$880,Insumos!$D$1:$D$880),"")</f>
        <v/>
      </c>
      <c r="H565" s="92" t="n">
        <v>0.280645</v>
      </c>
      <c r="I565" s="2162" t="n">
        <v>430.090909090909</v>
      </c>
      <c r="J565" s="2162" t="n">
        <v>120.702863181818</v>
      </c>
      <c r="K565" s="2162" t="n"/>
    </row>
    <row r="566" outlineLevel="3" ht="15.75" customHeight="1">
      <c r="A566" s="10" t="n">
        <v>62</v>
      </c>
      <c r="B566" s="10" t="inlineStr">
        <is>
          <t>Insumo</t>
        </is>
      </c>
      <c r="C566" s="10" t="inlineStr">
        <is>
          <t>Armação aço CA-50 ø 20,0mm para Contenções (corte e dobra em Indústria)</t>
        </is>
      </c>
      <c r="D566" s="10" t="inlineStr">
        <is>
          <t>Espaçador para armadura</t>
        </is>
      </c>
      <c r="E566" s="11">
        <f t="array" ref="E566">_xlfn.XLOOKUP(D566,Insumos!B:B,Insumos!C:$C)</f>
        <v/>
      </c>
      <c r="F566" s="14" t="n">
        <v>0.05</v>
      </c>
      <c r="G566" s="92">
        <f t="array" ref="G566">IF(B566="insumo",_xlfn.XLOOKUP($D566,Insumos!$B$1:$B$880,Insumos!$D$1:$D$880),"")</f>
        <v/>
      </c>
      <c r="H566" s="92" t="n">
        <v>0.0135</v>
      </c>
      <c r="I566" s="2162" t="n">
        <v>430.090909090909</v>
      </c>
      <c r="J566" s="2162" t="n">
        <v>5.80622727272727</v>
      </c>
      <c r="K566" s="2162" t="n"/>
    </row>
    <row r="567" outlineLevel="2" ht="15.75" customHeight="1">
      <c r="A567" s="1067" t="n">
        <v>1</v>
      </c>
      <c r="B567" s="1067" t="inlineStr">
        <is>
          <t>Serviço</t>
        </is>
      </c>
      <c r="C567" s="1067" t="inlineStr">
        <is>
          <t>Armação aço CA-50 ø 25,0mm para Contenções (corte e dobra em Indústria)</t>
        </is>
      </c>
      <c r="D567" s="1067" t="inlineStr">
        <is>
          <t>Armação aço CA-50 ø 25,0mm para Contenções (corte e dobra em Indústria)</t>
        </is>
      </c>
      <c r="E567" s="1068" t="inlineStr">
        <is>
          <t>KG</t>
        </is>
      </c>
      <c r="F567" s="1067" t="n"/>
      <c r="G567" s="1069">
        <f t="array" ref="G567">IF(B567="insumo",_xlfn.XLOOKUP($D567,Insumos!$B$1:$B$880,Insumos!$D$1:$D$880),"")</f>
        <v/>
      </c>
      <c r="H567" s="1069" t="n">
        <v>8.484145</v>
      </c>
      <c r="I567" s="2161" t="n">
        <v>12007</v>
      </c>
      <c r="J567" s="2161" t="n">
        <v>101869.129015</v>
      </c>
      <c r="K567" s="2161" t="n"/>
    </row>
    <row r="568" outlineLevel="3" ht="15.75" customHeight="1">
      <c r="A568" s="10" t="n">
        <v>3</v>
      </c>
      <c r="B568" s="10" t="inlineStr">
        <is>
          <t>Insumo</t>
        </is>
      </c>
      <c r="C568" s="10" t="inlineStr">
        <is>
          <t>Armação aço CA-50 ø 25,0mm para Contenções (corte e dobra em Indústria)</t>
        </is>
      </c>
      <c r="D568" s="10" t="inlineStr">
        <is>
          <t>Aço CA50 25,0mm Corte e Dobra em Indústria</t>
        </is>
      </c>
      <c r="E568" s="11">
        <f t="array" ref="E568">_xlfn.XLOOKUP(D568,Insumos!B:B,Insumos!C:$C)</f>
        <v/>
      </c>
      <c r="F568" s="14" t="n">
        <v>1</v>
      </c>
      <c r="G568" s="92">
        <f t="array" ref="G568">IF(B568="insumo",_xlfn.XLOOKUP($D568,Insumos!$B$1:$B$880,Insumos!$D$1:$D$880),"")</f>
        <v/>
      </c>
      <c r="H568" s="92" t="n">
        <v>8.19</v>
      </c>
      <c r="I568" s="2162" t="n">
        <v>12007</v>
      </c>
      <c r="J568" s="2162" t="n">
        <v>98337.33</v>
      </c>
      <c r="K568" s="2162" t="n"/>
    </row>
    <row r="569" outlineLevel="3" ht="15.75" customHeight="1">
      <c r="A569" s="10" t="n">
        <v>41</v>
      </c>
      <c r="B569" s="10" t="inlineStr">
        <is>
          <t>Insumo</t>
        </is>
      </c>
      <c r="C569" s="10" t="inlineStr">
        <is>
          <t>Armação aço CA-50 ø 25,0mm para Contenções (corte e dobra em Indústria)</t>
        </is>
      </c>
      <c r="D569" s="10" t="inlineStr">
        <is>
          <t xml:space="preserve">Arame Galvanizado </t>
        </is>
      </c>
      <c r="E569" s="11">
        <f t="array" ref="E569">_xlfn.XLOOKUP(D569,Insumos!B:B,Insumos!C:$C)</f>
        <v/>
      </c>
      <c r="F569" s="14" t="n">
        <v>0.0205</v>
      </c>
      <c r="G569" s="92">
        <f t="array" ref="G569">IF(B569="insumo",_xlfn.XLOOKUP($D569,Insumos!$B$1:$B$880,Insumos!$D$1:$D$880),"")</f>
        <v/>
      </c>
      <c r="H569" s="92" t="n">
        <v>0.280645</v>
      </c>
      <c r="I569" s="2162" t="n">
        <v>12007</v>
      </c>
      <c r="J569" s="2162" t="n">
        <v>3369.704515</v>
      </c>
      <c r="K569" s="2162" t="n"/>
    </row>
    <row r="570" outlineLevel="3" ht="15.75" customHeight="1">
      <c r="A570" s="10" t="n">
        <v>62</v>
      </c>
      <c r="B570" s="10" t="inlineStr">
        <is>
          <t>Insumo</t>
        </is>
      </c>
      <c r="C570" s="10" t="inlineStr">
        <is>
          <t>Armação aço CA-50 ø 25,0mm para Contenções (corte e dobra em Indústria)</t>
        </is>
      </c>
      <c r="D570" s="10" t="inlineStr">
        <is>
          <t>Espaçador para armadura</t>
        </is>
      </c>
      <c r="E570" s="11">
        <f t="array" ref="E570">_xlfn.XLOOKUP(D570,Insumos!B:B,Insumos!C:$C)</f>
        <v/>
      </c>
      <c r="F570" s="14" t="n">
        <v>0.05</v>
      </c>
      <c r="G570" s="92">
        <f t="array" ref="G570">IF(B570="insumo",_xlfn.XLOOKUP($D570,Insumos!$B$1:$B$880,Insumos!$D$1:$D$880),"")</f>
        <v/>
      </c>
      <c r="H570" s="92" t="n">
        <v>0.0135</v>
      </c>
      <c r="I570" s="2162" t="n">
        <v>12007</v>
      </c>
      <c r="J570" s="2162" t="n">
        <v>162.0945</v>
      </c>
      <c r="K570" s="2162" t="n"/>
    </row>
    <row r="571" outlineLevel="1" ht="15.75" customHeight="1">
      <c r="A571" s="1090" t="n">
        <v>5</v>
      </c>
      <c r="B571" s="1090" t="inlineStr">
        <is>
          <t>Subetapa</t>
        </is>
      </c>
      <c r="C571" s="1090" t="inlineStr">
        <is>
          <t>Armação aço CA-50 ø 25,0mm para Contenções (corte e dobra em Indústria)</t>
        </is>
      </c>
      <c r="D571" s="1090" t="inlineStr">
        <is>
          <t>CONCRETO</t>
        </is>
      </c>
      <c r="E571" s="1091" t="n"/>
      <c r="F571" s="2160" t="n"/>
      <c r="G571" s="1091" t="n"/>
      <c r="H571" s="1091" t="n">
        <v>0</v>
      </c>
      <c r="I571" s="2160" t="n">
        <v>0</v>
      </c>
      <c r="J571" s="2160" t="n">
        <v>0</v>
      </c>
      <c r="K571" s="2160" t="n"/>
    </row>
    <row r="572" outlineLevel="2" ht="15.75" customHeight="1">
      <c r="A572" s="1067" t="n">
        <v>1</v>
      </c>
      <c r="B572" s="1067" t="inlineStr">
        <is>
          <t>Serviço</t>
        </is>
      </c>
      <c r="C572" s="1067" t="inlineStr">
        <is>
          <t>Concreto Usinado bombeável para estaca das Contenções 25MPa  - incluindo serviço de bombeamento</t>
        </is>
      </c>
      <c r="D572" s="1067" t="inlineStr">
        <is>
          <t>Concreto Usinado bombeável para estaca das Contenções 25MPa  - incluindo serviço de bombeamento</t>
        </is>
      </c>
      <c r="E572" s="1068" t="inlineStr">
        <is>
          <t>M3</t>
        </is>
      </c>
      <c r="F572" s="1067" t="n"/>
      <c r="G572" s="1069">
        <f t="array" ref="G572">IF(B572="insumo",_xlfn.XLOOKUP($D572,Insumos!$B$1:$B$996,Insumos!$D$1:$D$996),"")</f>
        <v/>
      </c>
      <c r="H572" s="1069" t="n">
        <v>693.66</v>
      </c>
      <c r="I572" s="2161" t="n">
        <v>0</v>
      </c>
      <c r="J572" s="2161" t="n">
        <v>0</v>
      </c>
      <c r="K572" s="2161" t="n"/>
    </row>
    <row r="573" outlineLevel="3" ht="15.75" customHeight="1">
      <c r="A573" s="10" t="n">
        <v>3</v>
      </c>
      <c r="B573" s="10" t="inlineStr">
        <is>
          <t>Insumo</t>
        </is>
      </c>
      <c r="C573" s="10" t="inlineStr">
        <is>
          <t>Concreto Usinado bombeável para estaca das Contenções 25MPa  - incluindo serviço de bombeamento</t>
        </is>
      </c>
      <c r="D573" s="10" t="inlineStr">
        <is>
          <t>Concreto Usinado bombeável 25MPa</t>
        </is>
      </c>
      <c r="E573" s="11">
        <f t="array" ref="E573">_xlfn.XLOOKUP(D573,Insumos!B:B,Insumos!C:$C)</f>
        <v/>
      </c>
      <c r="F573" s="14" t="n">
        <v>1.3</v>
      </c>
      <c r="G573" s="92">
        <f t="array" ref="G573">IF(B573="insumo",_xlfn.XLOOKUP($D573,Insumos!$B$1:$B$996,Insumos!$D$1:$D$996),"")</f>
        <v/>
      </c>
      <c r="H573" s="92" t="n">
        <v>640.9</v>
      </c>
      <c r="I573" s="2162" t="n">
        <v>0</v>
      </c>
      <c r="J573" s="2162" t="n">
        <v>0</v>
      </c>
      <c r="K573" s="2162" t="n"/>
    </row>
    <row r="574" outlineLevel="3" ht="15.75" customHeight="1">
      <c r="A574" s="10" t="n">
        <v>25</v>
      </c>
      <c r="B574" s="10" t="inlineStr">
        <is>
          <t>Insumo</t>
        </is>
      </c>
      <c r="C574" s="10" t="inlineStr">
        <is>
          <t>Concreto Usinado bombeável para estaca das Contenções 25MPa  - incluindo serviço de bombeamento</t>
        </is>
      </c>
      <c r="D574" s="10" t="inlineStr">
        <is>
          <t>serviço de bombeamento</t>
        </is>
      </c>
      <c r="E574" s="11">
        <f t="array" ref="E574">_xlfn.XLOOKUP(D574,Insumos!B:B,Insumos!C:$C)</f>
        <v/>
      </c>
      <c r="F574" s="14" t="n">
        <v>1.3</v>
      </c>
      <c r="G574" s="92">
        <f t="array" ref="G574">IF(B574="insumo",_xlfn.XLOOKUP($D574,Insumos!$B$1:$B$996,Insumos!$D$1:$D$996),"")</f>
        <v/>
      </c>
      <c r="H574" s="92" t="n">
        <v>52</v>
      </c>
      <c r="I574" s="2162" t="n">
        <v>0</v>
      </c>
      <c r="J574" s="2162" t="n">
        <v>0</v>
      </c>
      <c r="K574" s="2162" t="n"/>
    </row>
    <row r="575" outlineLevel="3" ht="15.75" customHeight="1">
      <c r="A575" s="10" t="n">
        <v>62</v>
      </c>
      <c r="B575" s="10" t="inlineStr">
        <is>
          <t>Insumo</t>
        </is>
      </c>
      <c r="C575" s="10" t="inlineStr">
        <is>
          <t>Concreto Usinado bombeável para estaca das Contenções 25MPa  - incluindo serviço de bombeamento</t>
        </is>
      </c>
      <c r="D575" s="10" t="inlineStr">
        <is>
          <t>Cimento Portland Composto CP II-32</t>
        </is>
      </c>
      <c r="E575" s="11">
        <f t="array" ref="E575">_xlfn.XLOOKUP(D575,Insumos!B:B,Insumos!C:$C)</f>
        <v/>
      </c>
      <c r="F575" s="14" t="n">
        <v>1</v>
      </c>
      <c r="G575" s="92">
        <f t="array" ref="G575">IF(B575="insumo",_xlfn.XLOOKUP($D575,Insumos!$B$1:$B$996,Insumos!$D$1:$D$996),"")</f>
        <v/>
      </c>
      <c r="H575" s="92" t="n">
        <v>0.76</v>
      </c>
      <c r="I575" s="2162" t="n">
        <v>0</v>
      </c>
      <c r="J575" s="2162" t="n">
        <v>0</v>
      </c>
      <c r="K575" s="2162" t="n"/>
    </row>
    <row r="576" outlineLevel="2" ht="15.75" customHeight="1">
      <c r="A576" s="1067" t="n">
        <v>1</v>
      </c>
      <c r="B576" s="1067" t="inlineStr">
        <is>
          <t>Serviço</t>
        </is>
      </c>
      <c r="C576" s="1067" t="inlineStr">
        <is>
          <t>Concreto Usinado bombeável para Contenções 25MPa  - incluindo serviço de bombeamento</t>
        </is>
      </c>
      <c r="D576" s="1067" t="inlineStr">
        <is>
          <t>Concreto Usinado bombeável para Contenções 25MPa  - incluindo serviço de bombeamento</t>
        </is>
      </c>
      <c r="E576" s="1068" t="inlineStr">
        <is>
          <t>M3</t>
        </is>
      </c>
      <c r="F576" s="1067" t="n"/>
      <c r="G576" s="1069">
        <f t="array" ref="G576">IF(B576="insumo",_xlfn.XLOOKUP($D576,Insumos!$B$1:$B$996,Insumos!$D$1:$D$996),"")</f>
        <v/>
      </c>
      <c r="H576" s="1069" t="n">
        <v>634.36</v>
      </c>
      <c r="I576" s="2161" t="n">
        <v>0</v>
      </c>
      <c r="J576" s="2161" t="n">
        <v>0</v>
      </c>
      <c r="K576" s="2161" t="n"/>
    </row>
    <row r="577" outlineLevel="3" ht="15.75" customHeight="1">
      <c r="A577" s="10" t="n">
        <v>3</v>
      </c>
      <c r="B577" s="10" t="inlineStr">
        <is>
          <t>Insumo</t>
        </is>
      </c>
      <c r="C577" s="10" t="inlineStr">
        <is>
          <t>Concreto Usinado bombeável para Contenções 25MPa  - incluindo serviço de bombeamento</t>
        </is>
      </c>
      <c r="D577" s="10" t="inlineStr">
        <is>
          <t>Concreto Usinado bombeável 25MPa</t>
        </is>
      </c>
      <c r="E577" s="11">
        <f t="array" ref="E577">_xlfn.XLOOKUP(D577,Insumos!B:B,Insumos!C:$C)</f>
        <v/>
      </c>
      <c r="F577" s="14" t="n">
        <v>1.2</v>
      </c>
      <c r="G577" s="92">
        <f t="array" ref="G577">IF(B577="insumo",_xlfn.XLOOKUP($D577,Insumos!$B$1:$B$996,Insumos!$D$1:$D$996),"")</f>
        <v/>
      </c>
      <c r="H577" s="92" t="n">
        <v>591.6</v>
      </c>
      <c r="I577" s="2162" t="n">
        <v>0</v>
      </c>
      <c r="J577" s="2162" t="n">
        <v>0</v>
      </c>
      <c r="K577" s="2162" t="n"/>
    </row>
    <row r="578" outlineLevel="3" ht="15.75" customHeight="1">
      <c r="A578" s="10" t="n">
        <v>25</v>
      </c>
      <c r="B578" s="10" t="inlineStr">
        <is>
          <t>Insumo</t>
        </is>
      </c>
      <c r="C578" s="10" t="inlineStr">
        <is>
          <t>Concreto Usinado bombeável para Contenções 25MPa  - incluindo serviço de bombeamento</t>
        </is>
      </c>
      <c r="D578" s="10" t="inlineStr">
        <is>
          <t>serviço de bombeamento</t>
        </is>
      </c>
      <c r="E578" s="11">
        <f t="array" ref="E578">_xlfn.XLOOKUP(D578,Insumos!B:B,Insumos!C:$C)</f>
        <v/>
      </c>
      <c r="F578" s="14" t="n">
        <v>1.05</v>
      </c>
      <c r="G578" s="92">
        <f t="array" ref="G578">IF(B578="insumo",_xlfn.XLOOKUP($D578,Insumos!$B$1:$B$996,Insumos!$D$1:$D$996),"")</f>
        <v/>
      </c>
      <c r="H578" s="92" t="n">
        <v>42</v>
      </c>
      <c r="I578" s="2162" t="n">
        <v>0</v>
      </c>
      <c r="J578" s="2162" t="n">
        <v>0</v>
      </c>
      <c r="K578" s="2162" t="n"/>
    </row>
    <row r="579" outlineLevel="3" ht="15.75" customHeight="1">
      <c r="A579" s="10" t="n">
        <v>62</v>
      </c>
      <c r="B579" s="10" t="inlineStr">
        <is>
          <t>Insumo</t>
        </is>
      </c>
      <c r="C579" s="10" t="inlineStr">
        <is>
          <t>Concreto Usinado bombeável para Contenções 25MPa  - incluindo serviço de bombeamento</t>
        </is>
      </c>
      <c r="D579" s="10" t="inlineStr">
        <is>
          <t>Cimento Portland Composto CP II-32</t>
        </is>
      </c>
      <c r="E579" s="11">
        <f t="array" ref="E579">_xlfn.XLOOKUP(D579,Insumos!B:B,Insumos!C:$C)</f>
        <v/>
      </c>
      <c r="F579" s="14" t="n">
        <v>1</v>
      </c>
      <c r="G579" s="92">
        <f t="array" ref="G579">IF(B579="insumo",_xlfn.XLOOKUP($D579,Insumos!$B$1:$B$996,Insumos!$D$1:$D$996),"")</f>
        <v/>
      </c>
      <c r="H579" s="92" t="n">
        <v>0.76</v>
      </c>
      <c r="I579" s="2162" t="n">
        <v>0</v>
      </c>
      <c r="J579" s="2162" t="n">
        <v>0</v>
      </c>
      <c r="K579" s="2162" t="n"/>
    </row>
    <row r="580" outlineLevel="2" ht="15.75" customHeight="1">
      <c r="A580" s="1067" t="n">
        <v>1</v>
      </c>
      <c r="B580" s="1067" t="inlineStr">
        <is>
          <t>Serviço</t>
        </is>
      </c>
      <c r="C580" s="1067" t="inlineStr">
        <is>
          <t>Concreto Usinado bombeável para Contenções 30MPa  - incluindo serviço de bombeamento</t>
        </is>
      </c>
      <c r="D580" s="1067" t="inlineStr">
        <is>
          <t>Concreto Usinado bombeável para Contenções 30MPa  - incluindo serviço de bombeamento</t>
        </is>
      </c>
      <c r="E580" s="1068" t="inlineStr">
        <is>
          <t>M3</t>
        </is>
      </c>
      <c r="F580" s="1067" t="n"/>
      <c r="G580" s="1069">
        <f t="array" ref="G580">IF(B580="insumo",_xlfn.XLOOKUP($D580,Insumos!$B$1:$B$996,Insumos!$D$1:$D$996),"")</f>
        <v/>
      </c>
      <c r="H580" s="1069" t="n">
        <v>654.76</v>
      </c>
      <c r="I580" s="2161" t="n">
        <v>0</v>
      </c>
      <c r="J580" s="2161" t="n">
        <v>0</v>
      </c>
      <c r="K580" s="2161" t="n"/>
    </row>
    <row r="581" outlineLevel="3" ht="15.75" customHeight="1">
      <c r="A581" s="10" t="n">
        <v>4</v>
      </c>
      <c r="B581" s="10" t="inlineStr">
        <is>
          <t>Insumo</t>
        </is>
      </c>
      <c r="C581" s="10" t="inlineStr">
        <is>
          <t>Concreto Usinado bombeável para Contenções 30MPa  - incluindo serviço de bombeamento</t>
        </is>
      </c>
      <c r="D581" s="10" t="inlineStr">
        <is>
          <t>Concreto Usinado bombeável 30MPa Convencional</t>
        </is>
      </c>
      <c r="E581" s="11">
        <f t="array" ref="E581">_xlfn.XLOOKUP(D581,Insumos!B:B,Insumos!C:$C)</f>
        <v/>
      </c>
      <c r="F581" s="14" t="n">
        <v>1.2</v>
      </c>
      <c r="G581" s="92">
        <f t="array" ref="G581">IF(B581="insumo",_xlfn.XLOOKUP($D581,Insumos!$B$1:$B$996,Insumos!$D$1:$D$996),"")</f>
        <v/>
      </c>
      <c r="H581" s="92" t="n">
        <v>612</v>
      </c>
      <c r="I581" s="2162" t="n">
        <v>0</v>
      </c>
      <c r="J581" s="2162" t="n">
        <v>0</v>
      </c>
      <c r="K581" s="2162" t="n"/>
    </row>
    <row r="582" outlineLevel="3" ht="15.75" customHeight="1">
      <c r="A582" s="10" t="n">
        <v>25</v>
      </c>
      <c r="B582" s="10" t="inlineStr">
        <is>
          <t>Insumo</t>
        </is>
      </c>
      <c r="C582" s="10" t="inlineStr">
        <is>
          <t>Concreto Usinado bombeável para Contenções 30MPa  - incluindo serviço de bombeamento</t>
        </is>
      </c>
      <c r="D582" s="10" t="inlineStr">
        <is>
          <t>serviço de bombeamento</t>
        </is>
      </c>
      <c r="E582" s="11">
        <f t="array" ref="E582">_xlfn.XLOOKUP(D582,Insumos!B:B,Insumos!C:$C)</f>
        <v/>
      </c>
      <c r="F582" s="14" t="n">
        <v>1.05</v>
      </c>
      <c r="G582" s="92">
        <f t="array" ref="G582">IF(B582="insumo",_xlfn.XLOOKUP($D582,Insumos!$B$1:$B$996,Insumos!$D$1:$D$996),"")</f>
        <v/>
      </c>
      <c r="H582" s="92" t="n">
        <v>42</v>
      </c>
      <c r="I582" s="2162" t="n">
        <v>0</v>
      </c>
      <c r="J582" s="2162" t="n">
        <v>0</v>
      </c>
      <c r="K582" s="2162" t="n"/>
    </row>
    <row r="583" outlineLevel="3" ht="15.75" customHeight="1">
      <c r="A583" s="10" t="n">
        <v>62</v>
      </c>
      <c r="B583" s="10" t="inlineStr">
        <is>
          <t>Insumo</t>
        </is>
      </c>
      <c r="C583" s="10" t="inlineStr">
        <is>
          <t>Concreto Usinado bombeável para Contenções 30MPa  - incluindo serviço de bombeamento</t>
        </is>
      </c>
      <c r="D583" s="10" t="inlineStr">
        <is>
          <t>Cimento Portland Composto CP II-32</t>
        </is>
      </c>
      <c r="E583" s="11">
        <f t="array" ref="E583">_xlfn.XLOOKUP(D583,Insumos!B:B,Insumos!C:$C)</f>
        <v/>
      </c>
      <c r="F583" s="14" t="n">
        <v>1</v>
      </c>
      <c r="G583" s="92">
        <f t="array" ref="G583">IF(B583="insumo",_xlfn.XLOOKUP($D583,Insumos!$B$1:$B$996,Insumos!$D$1:$D$996),"")</f>
        <v/>
      </c>
      <c r="H583" s="92" t="n">
        <v>0.76</v>
      </c>
      <c r="I583" s="2162" t="n">
        <v>0</v>
      </c>
      <c r="J583" s="2162" t="n">
        <v>0</v>
      </c>
      <c r="K583" s="2162" t="n"/>
    </row>
    <row r="584" outlineLevel="1" ht="15.75" customHeight="1">
      <c r="A584" s="1090" t="n">
        <v>6</v>
      </c>
      <c r="B584" s="1090" t="inlineStr">
        <is>
          <t>Subetapa</t>
        </is>
      </c>
      <c r="C584" s="1090" t="inlineStr">
        <is>
          <t>Concreto Usinado bombeável para Contenções 30MPa  - incluindo serviço de bombeamento</t>
        </is>
      </c>
      <c r="D584" s="1090" t="inlineStr">
        <is>
          <t>MÃO DE OBRA</t>
        </is>
      </c>
      <c r="E584" s="1091" t="n"/>
      <c r="F584" s="2160" t="n"/>
      <c r="G584" s="1091" t="n"/>
      <c r="H584" s="1091" t="n">
        <v>0</v>
      </c>
      <c r="I584" s="2160" t="n">
        <v>0</v>
      </c>
      <c r="J584" s="2160" t="n">
        <v>0</v>
      </c>
      <c r="K584" s="2160" t="n"/>
    </row>
    <row r="585" outlineLevel="2" ht="15.75" customHeight="1">
      <c r="A585" s="1067" t="n">
        <v>1</v>
      </c>
      <c r="B585" s="1067" t="inlineStr">
        <is>
          <t>Serviço</t>
        </is>
      </c>
      <c r="C585" s="1067" t="inlineStr">
        <is>
          <t>Mão de obra de obra execução de contenção em cortina de concreto</t>
        </is>
      </c>
      <c r="D585" s="1067" t="inlineStr">
        <is>
          <t>Mão de obra de obra execução de contenção em cortina de concreto</t>
        </is>
      </c>
      <c r="E585" s="1068">
        <f t="array" ref="E585">_xlfn.XLOOKUP(D585,Insumos!B:B,Insumos!C:$C)</f>
        <v/>
      </c>
      <c r="F585" s="1067" t="n"/>
      <c r="G585" s="1069">
        <f t="array" ref="G585">IF(B585="insumo",_xlfn.XLOOKUP($D585,Insumos!$B$1:$B$996,Insumos!$D$1:$D$996),"")</f>
        <v/>
      </c>
      <c r="H585" s="1069" t="n">
        <v>166.344205097087</v>
      </c>
      <c r="I585" s="2161" t="n">
        <v>0</v>
      </c>
      <c r="J585" s="2161" t="n">
        <v>0</v>
      </c>
      <c r="K585" s="2161" t="n"/>
    </row>
    <row r="586" outlineLevel="3" ht="15.75" customHeight="1">
      <c r="A586" s="10" t="n">
        <v>1</v>
      </c>
      <c r="B586" s="10" t="inlineStr">
        <is>
          <t>Insumo</t>
        </is>
      </c>
      <c r="C586" s="10" t="inlineStr">
        <is>
          <t>Mão de obra de obra execução de contenção em cortina de concreto</t>
        </is>
      </c>
      <c r="D586" s="10" t="inlineStr">
        <is>
          <t>Mão de obra de obra execução de contenção em cortina de concreto</t>
        </is>
      </c>
      <c r="E586" s="11">
        <f t="array" ref="E586">_xlfn.XLOOKUP(D586,Insumos!B:B,Insumos!C:$C)</f>
        <v/>
      </c>
      <c r="F586" s="14" t="n">
        <v>1</v>
      </c>
      <c r="G586" s="92">
        <f t="array" ref="G586">IF(B586="insumo",_xlfn.XLOOKUP($D586,Insumos!$B$1:$B$996,Insumos!$D$1:$D$996),"")</f>
        <v/>
      </c>
      <c r="H586" s="92" t="n">
        <v>166.344205097087</v>
      </c>
      <c r="I586" s="2162" t="n">
        <v>0</v>
      </c>
      <c r="J586" s="2162" t="n">
        <v>0</v>
      </c>
      <c r="K586" s="2162" t="n"/>
    </row>
    <row r="587" ht="15.75" customHeight="1">
      <c r="A587" s="7" t="n">
        <v>1</v>
      </c>
      <c r="B587" s="7" t="inlineStr">
        <is>
          <t>Etapa</t>
        </is>
      </c>
      <c r="C587" s="7" t="inlineStr">
        <is>
          <t>Mão de obra de obra execução de contenção em cortina de concreto</t>
        </is>
      </c>
      <c r="D587" s="7" t="inlineStr">
        <is>
          <t>SUPRAESTRUTURA</t>
        </is>
      </c>
      <c r="E587" s="8" t="n"/>
      <c r="F587" s="2159" t="n"/>
      <c r="G587" s="91">
        <f t="array" ref="G587">IF(B587="insumo",_xlfn.XLOOKUP($D587,Insumos!$B$1:$B$996,Insumos!$D$1:$D$996),"")</f>
        <v/>
      </c>
      <c r="H587" s="91" t="n">
        <v>0</v>
      </c>
      <c r="I587" s="2159" t="n">
        <v>0</v>
      </c>
      <c r="J587" s="2159" t="n">
        <v>0</v>
      </c>
      <c r="K587" s="2159" t="n"/>
    </row>
    <row r="588" outlineLevel="1" ht="15.75" customHeight="1">
      <c r="A588" s="1090" t="n">
        <v>3</v>
      </c>
      <c r="B588" s="1090" t="inlineStr">
        <is>
          <t>Subetapa</t>
        </is>
      </c>
      <c r="C588" s="1090" t="inlineStr">
        <is>
          <t>Mão de obra de obra execução de contenção em cortina de concreto</t>
        </is>
      </c>
      <c r="D588" s="1090" t="inlineStr">
        <is>
          <t>FORMA</t>
        </is>
      </c>
      <c r="E588" s="1091" t="n"/>
      <c r="F588" s="2160" t="n"/>
      <c r="G588" s="1091" t="n"/>
      <c r="H588" s="1091" t="n">
        <v>0</v>
      </c>
      <c r="I588" s="2160" t="n">
        <v>0</v>
      </c>
      <c r="J588" s="2160" t="n">
        <v>0</v>
      </c>
      <c r="K588" s="2160" t="n"/>
    </row>
    <row r="589" outlineLevel="2" ht="15.75" customHeight="1">
      <c r="A589" s="1067" t="n">
        <v>1</v>
      </c>
      <c r="B589" s="1067" t="inlineStr">
        <is>
          <t>Serviço</t>
        </is>
      </c>
      <c r="C589" s="1067" t="inlineStr">
        <is>
          <t>Forma para Laje Contrapiso Térreo em Tábuas de Madeira Serrada 18mm 4x reaproveitamento</t>
        </is>
      </c>
      <c r="D589" s="1067" t="inlineStr">
        <is>
          <t>Forma para Laje Contrapiso Térreo em Tábuas de Madeira Serrada 18mm 4x reaproveitamento</t>
        </is>
      </c>
      <c r="E589" s="1068" t="inlineStr">
        <is>
          <t>M2</t>
        </is>
      </c>
      <c r="F589" s="1067" t="n"/>
      <c r="G589" s="1069">
        <f t="array" ref="G589">IF(B589="insumo",_xlfn.XLOOKUP($D589,Insumos!$B$1:$B$996,Insumos!$D$1:$D$996),"")</f>
        <v/>
      </c>
      <c r="H589" s="1069" t="n">
        <v>65.41845000000001</v>
      </c>
      <c r="I589" s="2161" t="n">
        <v>0</v>
      </c>
      <c r="J589" s="2161" t="n">
        <v>0</v>
      </c>
      <c r="K589" s="2161" t="n"/>
    </row>
    <row r="590" outlineLevel="3" ht="15.75" customHeight="1">
      <c r="A590" s="10" t="n">
        <v>40</v>
      </c>
      <c r="B590" s="10" t="inlineStr">
        <is>
          <t>Insumo</t>
        </is>
      </c>
      <c r="C590" s="10" t="inlineStr">
        <is>
          <t>Forma para Laje Contrapiso Térreo em Tábuas de Madeira Serrada 18mm 4x reaproveitamento</t>
        </is>
      </c>
      <c r="D590" s="10" t="inlineStr">
        <is>
          <t>PREGO DE ACO POLIDO COM CABECA 17 X 21 (2 X 11)</t>
        </is>
      </c>
      <c r="E590" s="11">
        <f t="array" ref="E590">_xlfn.XLOOKUP(D590,Insumos!B:B,Insumos!C:$C)</f>
        <v/>
      </c>
      <c r="F590" s="14" t="n">
        <v>0.095</v>
      </c>
      <c r="G590" s="92">
        <f t="array" ref="G590">IF(B590="insumo",_xlfn.XLOOKUP($D590,Insumos!$B$1:$B$996,Insumos!$D$1:$D$996),"")</f>
        <v/>
      </c>
      <c r="H590" s="92" t="n">
        <v>1.72235</v>
      </c>
      <c r="I590" s="2162" t="n">
        <v>0</v>
      </c>
      <c r="J590" s="2162" t="n">
        <v>0</v>
      </c>
      <c r="K590" s="2162" t="n"/>
    </row>
    <row r="591" outlineLevel="3" ht="15.75" customHeight="1">
      <c r="A591" s="10" t="n">
        <v>10</v>
      </c>
      <c r="B591" s="10" t="inlineStr">
        <is>
          <t>Insumo</t>
        </is>
      </c>
      <c r="C591" s="10" t="inlineStr">
        <is>
          <t>Forma para Laje Contrapiso Térreo em Tábuas de Madeira Serrada 18mm 4x reaproveitamento</t>
        </is>
      </c>
      <c r="D591" s="10" t="inlineStr">
        <is>
          <t xml:space="preserve">DESMOLDANTE PROTETOR PARA FORMAS DE MADEIRA, DE BASE OLEOSA EMULSIONADA EM AGUA   </t>
        </is>
      </c>
      <c r="E591" s="11">
        <f t="array" ref="E591">_xlfn.XLOOKUP(D591,Insumos!B:B,Insumos!C:$C)</f>
        <v/>
      </c>
      <c r="F591" s="14" t="n">
        <v>0.017</v>
      </c>
      <c r="G591" s="92">
        <f t="array" ref="G591">IF(B591="insumo",_xlfn.XLOOKUP($D591,Insumos!$B$1:$B$996,Insumos!$D$1:$D$996),"")</f>
        <v/>
      </c>
      <c r="H591" s="92" t="n">
        <v>0.26435</v>
      </c>
      <c r="I591" s="2162" t="n">
        <v>0</v>
      </c>
      <c r="J591" s="2162" t="n">
        <v>0</v>
      </c>
      <c r="K591" s="2162" t="n"/>
    </row>
    <row r="592" outlineLevel="3" ht="15.75" customHeight="1">
      <c r="A592" s="10" t="n">
        <v>25</v>
      </c>
      <c r="B592" s="10" t="inlineStr">
        <is>
          <t>Insumo</t>
        </is>
      </c>
      <c r="C592" s="10" t="inlineStr">
        <is>
          <t>Forma para Laje Contrapiso Térreo em Tábuas de Madeira Serrada 18mm 4x reaproveitamento</t>
        </is>
      </c>
      <c r="D592" s="10" t="inlineStr">
        <is>
          <t>MADEIRA PINUS/SIMILAR - PONTALETE 75X75MM NBR 11700/15696</t>
        </is>
      </c>
      <c r="E592" s="11">
        <f t="array" ref="E592">_xlfn.XLOOKUP(D592,Insumos!B:B,Insumos!C:$C)</f>
        <v/>
      </c>
      <c r="F592" s="14" t="n">
        <v>0.4485714285714286</v>
      </c>
      <c r="G592" s="92">
        <f t="array" ref="G592">IF(B592="insumo",_xlfn.XLOOKUP($D592,Insumos!$B$1:$B$996,Insumos!$D$1:$D$996),"")</f>
        <v/>
      </c>
      <c r="H592" s="92" t="n">
        <v>3.14</v>
      </c>
      <c r="I592" s="2162" t="n">
        <v>0</v>
      </c>
      <c r="J592" s="2162" t="n">
        <v>0</v>
      </c>
      <c r="K592" s="2162" t="n"/>
    </row>
    <row r="593" outlineLevel="3" ht="15.75" customHeight="1">
      <c r="A593" s="10" t="n">
        <v>19</v>
      </c>
      <c r="B593" s="10" t="inlineStr">
        <is>
          <t>Insumo</t>
        </is>
      </c>
      <c r="C593" s="10" t="inlineStr">
        <is>
          <t>Forma para Laje Contrapiso Térreo em Tábuas de Madeira Serrada 18mm 4x reaproveitamento</t>
        </is>
      </c>
      <c r="D593" s="10" t="inlineStr">
        <is>
          <t>SARRAFO *2,5 X 7,5* CM EM PINUS, MISTA OU EQUIVALENTE DA REGIAO - BRUTA</t>
        </is>
      </c>
      <c r="E593" s="11">
        <f t="array" ref="E593">_xlfn.XLOOKUP(D593,Insumos!B:B,Insumos!C:$C)</f>
        <v/>
      </c>
      <c r="F593" s="14" t="n">
        <v>0.001257</v>
      </c>
      <c r="G593" s="92">
        <f t="array" ref="G593">IF(B593="insumo",_xlfn.XLOOKUP($D593,Insumos!$B$1:$B$996,Insumos!$D$1:$D$996),"")</f>
        <v/>
      </c>
      <c r="H593" s="92" t="n">
        <v>1.69695</v>
      </c>
      <c r="I593" s="2162" t="n">
        <v>0</v>
      </c>
      <c r="J593" s="2162" t="n">
        <v>0</v>
      </c>
      <c r="K593" s="2162" t="n"/>
    </row>
    <row r="594" outlineLevel="3" ht="15.75" customHeight="1">
      <c r="A594" s="10" t="n">
        <v>3</v>
      </c>
      <c r="B594" s="10" t="inlineStr">
        <is>
          <t>Insumo</t>
        </is>
      </c>
      <c r="C594" s="10" t="inlineStr">
        <is>
          <t>Forma para Laje Contrapiso Térreo em Tábuas de Madeira Serrada 18mm 4x reaproveitamento</t>
        </is>
      </c>
      <c r="D594" s="10" t="inlineStr">
        <is>
          <t>TABUA NAO APARELHADA *2,5 X 20* CM, EM MACARANDUBA/MASSARANDUBA, ANGELIM OU EQUIVALENTE DA REGIAO - BRUTA</t>
        </is>
      </c>
      <c r="E594" s="11">
        <f t="array" ref="E594">_xlfn.XLOOKUP(D594,Insumos!B:B,Insumos!C:$C)</f>
        <v/>
      </c>
      <c r="F594" s="14" t="n">
        <v>1.38</v>
      </c>
      <c r="G594" s="92">
        <f t="array" ref="G594">IF(B594="insumo",_xlfn.XLOOKUP($D594,Insumos!$B$1:$B$996,Insumos!$D$1:$D$996),"")</f>
        <v/>
      </c>
      <c r="H594" s="92" t="n">
        <v>58.5948</v>
      </c>
      <c r="I594" s="2162" t="n">
        <v>0</v>
      </c>
      <c r="J594" s="2162" t="n">
        <v>0</v>
      </c>
      <c r="K594" s="2162" t="n"/>
    </row>
    <row r="595" outlineLevel="2" ht="15.75" customHeight="1">
      <c r="A595" s="1067" t="n">
        <v>1</v>
      </c>
      <c r="B595" s="1067" t="inlineStr">
        <is>
          <t>Serviço</t>
        </is>
      </c>
      <c r="C595" s="1067" t="inlineStr">
        <is>
          <t>Fabricação de Fôrma para Pilares, em Chapa de Madeira Compensada Plastificada, E=18mm</t>
        </is>
      </c>
      <c r="D595" s="1067" t="inlineStr">
        <is>
          <t>Fabricação de Fôrma para Pilares, em Chapa de Madeira Compensada Plastificada, E=18mm</t>
        </is>
      </c>
      <c r="E595" s="1068" t="inlineStr">
        <is>
          <t>M2</t>
        </is>
      </c>
      <c r="F595" s="1067" t="n"/>
      <c r="G595" s="1069">
        <f t="array" ref="G595">IF(B595="insumo",_xlfn.XLOOKUP($D595,Insumos!$B$1:$B$996,Insumos!$D$1:$D$996),"")</f>
        <v/>
      </c>
      <c r="H595" s="1069" t="n">
        <v>117.154027603306</v>
      </c>
      <c r="I595" s="2161" t="n">
        <v>0</v>
      </c>
      <c r="J595" s="2161" t="n">
        <v>0</v>
      </c>
      <c r="K595" s="2161" t="n"/>
    </row>
    <row r="596" outlineLevel="3" ht="15.75" customHeight="1">
      <c r="A596" s="10" t="n">
        <v>40</v>
      </c>
      <c r="B596" s="10" t="inlineStr">
        <is>
          <t>Insumo</t>
        </is>
      </c>
      <c r="C596" s="10" t="inlineStr">
        <is>
          <t>Fabricação de Fôrma para Pilares, em Chapa de Madeira Compensada Plastificada, E=18mm</t>
        </is>
      </c>
      <c r="D596" s="10" t="inlineStr">
        <is>
          <t>PREGO DE ACO POLIDO COM CABECA 17 X 21 (2 X 11)</t>
        </is>
      </c>
      <c r="E596" s="11">
        <f t="array" ref="E596">_xlfn.XLOOKUP(D596,Insumos!B:B,Insumos!C:$C)</f>
        <v/>
      </c>
      <c r="F596" s="14" t="n">
        <v>0.208</v>
      </c>
      <c r="G596" s="92">
        <f t="array" ref="G596">IF(B596="insumo",_xlfn.XLOOKUP($D596,Insumos!$B$1:$B$996,Insumos!$D$1:$D$996),"")</f>
        <v/>
      </c>
      <c r="H596" s="92" t="n">
        <v>3.77104</v>
      </c>
      <c r="I596" s="2162" t="n">
        <v>0</v>
      </c>
      <c r="J596" s="2162" t="n">
        <v>0</v>
      </c>
      <c r="K596" s="2162" t="n"/>
    </row>
    <row r="597" outlineLevel="3" ht="15.75" customHeight="1">
      <c r="A597" s="10" t="n">
        <v>1</v>
      </c>
      <c r="B597" s="10" t="inlineStr">
        <is>
          <t>Insumo</t>
        </is>
      </c>
      <c r="C597" s="10" t="inlineStr">
        <is>
          <t>Fabricação de Fôrma para Pilares, em Chapa de Madeira Compensada Plastificada, E=18mm</t>
        </is>
      </c>
      <c r="D597" s="10" t="inlineStr">
        <is>
          <t>CHAPA/PAINEL DE MADEIRA COMPENSADA PLASTIFICADA, DE 2200 X 1100 MM, E = 18 MM</t>
        </is>
      </c>
      <c r="E597" s="11">
        <f t="array" ref="E597">_xlfn.XLOOKUP(D597,Insumos!B:B,Insumos!C:$C)</f>
        <v/>
      </c>
      <c r="F597" s="14" t="n">
        <v>1.336</v>
      </c>
      <c r="G597" s="92">
        <f t="array" ref="G597">IF(B597="insumo",_xlfn.XLOOKUP($D597,Insumos!$B$1:$B$996,Insumos!$D$1:$D$996),"")</f>
        <v/>
      </c>
      <c r="H597" s="92" t="n">
        <v>79.2214876033058</v>
      </c>
      <c r="I597" s="2162" t="n">
        <v>0</v>
      </c>
      <c r="J597" s="2162" t="n">
        <v>0</v>
      </c>
      <c r="K597" s="2162" t="n"/>
    </row>
    <row r="598" outlineLevel="3" ht="15.75" customHeight="1">
      <c r="A598" s="10" t="n">
        <v>25</v>
      </c>
      <c r="B598" s="10" t="inlineStr">
        <is>
          <t>Insumo</t>
        </is>
      </c>
      <c r="C598" s="10" t="inlineStr">
        <is>
          <t>Fabricação de Fôrma para Pilares, em Chapa de Madeira Compensada Plastificada, E=18mm</t>
        </is>
      </c>
      <c r="D598" s="10" t="inlineStr">
        <is>
          <t>MADEIRA PINUS/SIMILAR - PONTALETE 75X75MM NBR 11700/15696</t>
        </is>
      </c>
      <c r="E598" s="11">
        <f t="array" ref="E598">_xlfn.XLOOKUP(D598,Insumos!B:B,Insumos!C:$C)</f>
        <v/>
      </c>
      <c r="F598" s="14" t="n">
        <v>0.4271428571428572</v>
      </c>
      <c r="G598" s="92">
        <f t="array" ref="G598">IF(B598="insumo",_xlfn.XLOOKUP($D598,Insumos!$B$1:$B$996,Insumos!$D$1:$D$996),"")</f>
        <v/>
      </c>
      <c r="H598" s="92" t="n">
        <v>2.99</v>
      </c>
      <c r="I598" s="2162" t="n">
        <v>0</v>
      </c>
      <c r="J598" s="2162" t="n">
        <v>0</v>
      </c>
      <c r="K598" s="2162" t="n"/>
    </row>
    <row r="599" outlineLevel="3" ht="15.75" customHeight="1">
      <c r="A599" s="10" t="n">
        <v>19</v>
      </c>
      <c r="B599" s="10" t="inlineStr">
        <is>
          <t>Insumo</t>
        </is>
      </c>
      <c r="C599" s="10" t="inlineStr">
        <is>
          <t>Fabricação de Fôrma para Pilares, em Chapa de Madeira Compensada Plastificada, E=18mm</t>
        </is>
      </c>
      <c r="D599" s="10" t="inlineStr">
        <is>
          <t>SARRAFO *2,5 X 7,5* CM EM PINUS, MISTA OU EQUIVALENTE DA REGIAO - BRUTA</t>
        </is>
      </c>
      <c r="E599" s="11">
        <f t="array" ref="E599">_xlfn.XLOOKUP(D599,Insumos!B:B,Insumos!C:$C)</f>
        <v/>
      </c>
      <c r="F599" s="14" t="n">
        <v>0.02309</v>
      </c>
      <c r="G599" s="92">
        <f t="array" ref="G599">IF(B599="insumo",_xlfn.XLOOKUP($D599,Insumos!$B$1:$B$996,Insumos!$D$1:$D$996),"")</f>
        <v/>
      </c>
      <c r="H599" s="92" t="n">
        <v>31.1715</v>
      </c>
      <c r="I599" s="2162" t="n">
        <v>0</v>
      </c>
      <c r="J599" s="2162" t="n">
        <v>0</v>
      </c>
      <c r="K599" s="2162" t="n"/>
    </row>
    <row r="600" outlineLevel="2" ht="15.75" customHeight="1">
      <c r="A600" s="1067" t="n">
        <v>1</v>
      </c>
      <c r="B600" s="1067" t="inlineStr">
        <is>
          <t>Serviço</t>
        </is>
      </c>
      <c r="C600" s="1067" t="inlineStr">
        <is>
          <t>Fabricação de Fôrma para Vigas, em Chapa de Madeira Compensada Plastificada, E=18mm</t>
        </is>
      </c>
      <c r="D600" s="1067" t="inlineStr">
        <is>
          <t>Fabricação de Fôrma para Vigas, em Chapa de Madeira Compensada Plastificada, E=18mm</t>
        </is>
      </c>
      <c r="E600" s="1068" t="inlineStr">
        <is>
          <t>M2</t>
        </is>
      </c>
      <c r="F600" s="1067" t="n"/>
      <c r="G600" s="1069">
        <f t="array" ref="G600">IF(B600="insumo",_xlfn.XLOOKUP($D600,Insumos!$B$1:$B$996,Insumos!$D$1:$D$996),"")</f>
        <v/>
      </c>
      <c r="H600" s="1069" t="n">
        <v>81.4119442857143</v>
      </c>
      <c r="I600" s="2161" t="n">
        <v>0</v>
      </c>
      <c r="J600" s="2161" t="n">
        <v>0</v>
      </c>
      <c r="K600" s="2161" t="n"/>
    </row>
    <row r="601" outlineLevel="3" ht="15.75" customHeight="1">
      <c r="A601" s="10" t="n">
        <v>40</v>
      </c>
      <c r="B601" s="10" t="inlineStr">
        <is>
          <t>Insumo</t>
        </is>
      </c>
      <c r="C601" s="10" t="inlineStr">
        <is>
          <t>Fabricação de Fôrma para Vigas, em Chapa de Madeira Compensada Plastificada, E=18mm</t>
        </is>
      </c>
      <c r="D601" s="10" t="inlineStr">
        <is>
          <t>PREGO DE ACO POLIDO COM CABECA 17 X 21 (2 X 11)</t>
        </is>
      </c>
      <c r="E601" s="11">
        <f t="array" ref="E601">_xlfn.XLOOKUP(D601,Insumos!B:B,Insumos!C:$C)</f>
        <v/>
      </c>
      <c r="F601" s="14" t="n">
        <v>0.159</v>
      </c>
      <c r="G601" s="92">
        <f t="array" ref="G601">IF(B601="insumo",_xlfn.XLOOKUP($D601,Insumos!$B$1:$B$996,Insumos!$D$1:$D$996),"")</f>
        <v/>
      </c>
      <c r="H601" s="92" t="n">
        <v>2.88267</v>
      </c>
      <c r="I601" s="2162" t="n">
        <v>0</v>
      </c>
      <c r="J601" s="2162" t="n">
        <v>0</v>
      </c>
      <c r="K601" s="2162" t="n"/>
    </row>
    <row r="602" outlineLevel="3" ht="15.75" customHeight="1">
      <c r="A602" s="10" t="n">
        <v>5</v>
      </c>
      <c r="B602" s="10" t="inlineStr">
        <is>
          <t>Insumo</t>
        </is>
      </c>
      <c r="C602" s="10" t="inlineStr">
        <is>
          <t>Fabricação de Fôrma para Vigas, em Chapa de Madeira Compensada Plastificada, E=18mm</t>
        </is>
      </c>
      <c r="D602" s="10" t="inlineStr">
        <is>
          <t>CHAPA/PAINEL DE MADEIRA COMPENSADA RESINADA, DE 2200 X 1100 MM, E = 18 MM</t>
        </is>
      </c>
      <c r="E602" s="11">
        <f t="array" ref="E602">_xlfn.XLOOKUP(D602,Insumos!B:B,Insumos!C:$C)</f>
        <v/>
      </c>
      <c r="F602" s="14" t="n">
        <v>1.146</v>
      </c>
      <c r="G602" s="92">
        <f t="array" ref="G602">IF(B602="insumo",_xlfn.XLOOKUP($D602,Insumos!$B$1:$B$996,Insumos!$D$1:$D$996),"")</f>
        <v/>
      </c>
      <c r="H602" s="92" t="n">
        <v>52.7192742857143</v>
      </c>
      <c r="I602" s="2162" t="n">
        <v>0</v>
      </c>
      <c r="J602" s="2162" t="n">
        <v>0</v>
      </c>
      <c r="K602" s="2162" t="n"/>
    </row>
    <row r="603" outlineLevel="3" ht="15.75" customHeight="1">
      <c r="A603" s="10" t="n">
        <v>25</v>
      </c>
      <c r="B603" s="10" t="inlineStr">
        <is>
          <t>Insumo</t>
        </is>
      </c>
      <c r="C603" s="10" t="inlineStr">
        <is>
          <t>Fabricação de Fôrma para Vigas, em Chapa de Madeira Compensada Plastificada, E=18mm</t>
        </is>
      </c>
      <c r="D603" s="10" t="inlineStr">
        <is>
          <t>MADEIRA PINUS/SIMILAR - PONTALETE 75X75MM NBR 11700/15696</t>
        </is>
      </c>
      <c r="E603" s="11">
        <f t="array" ref="E603">_xlfn.XLOOKUP(D603,Insumos!B:B,Insumos!C:$C)</f>
        <v/>
      </c>
      <c r="F603" s="14" t="n">
        <v>0.3357142857142857</v>
      </c>
      <c r="G603" s="92">
        <f t="array" ref="G603">IF(B603="insumo",_xlfn.XLOOKUP($D603,Insumos!$B$1:$B$996,Insumos!$D$1:$D$996),"")</f>
        <v/>
      </c>
      <c r="H603" s="92" t="n">
        <v>2.35</v>
      </c>
      <c r="I603" s="2162" t="n">
        <v>0</v>
      </c>
      <c r="J603" s="2162" t="n">
        <v>0</v>
      </c>
      <c r="K603" s="2162" t="n"/>
    </row>
    <row r="604" outlineLevel="3" ht="15.75" customHeight="1">
      <c r="A604" s="10" t="n">
        <v>19</v>
      </c>
      <c r="B604" s="10" t="inlineStr">
        <is>
          <t>Insumo</t>
        </is>
      </c>
      <c r="C604" s="10" t="inlineStr">
        <is>
          <t>Fabricação de Fôrma para Vigas, em Chapa de Madeira Compensada Plastificada, E=18mm</t>
        </is>
      </c>
      <c r="D604" s="10" t="inlineStr">
        <is>
          <t>SARRAFO *2,5 X 7,5* CM EM PINUS, MISTA OU EQUIVALENTE DA REGIAO - BRUTA</t>
        </is>
      </c>
      <c r="E604" s="11">
        <f t="array" ref="E604">_xlfn.XLOOKUP(D604,Insumos!B:B,Insumos!C:$C)</f>
        <v/>
      </c>
      <c r="F604" s="14" t="n">
        <v>0.01737777777777778</v>
      </c>
      <c r="G604" s="92">
        <f t="array" ref="G604">IF(B604="insumo",_xlfn.XLOOKUP($D604,Insumos!$B$1:$B$996,Insumos!$D$1:$D$996),"")</f>
        <v/>
      </c>
      <c r="H604" s="92" t="n">
        <v>23.46</v>
      </c>
      <c r="I604" s="2162" t="n">
        <v>0</v>
      </c>
      <c r="J604" s="2162" t="n">
        <v>0</v>
      </c>
      <c r="K604" s="2162" t="n"/>
    </row>
    <row r="605" outlineLevel="2" ht="15.75" customHeight="1">
      <c r="A605" s="1067" t="n">
        <v>1</v>
      </c>
      <c r="B605" s="1067" t="inlineStr">
        <is>
          <t>Serviço</t>
        </is>
      </c>
      <c r="C605" s="1067" t="inlineStr">
        <is>
          <t>Fabricação de Fôrma para Lajes, em Chapa de Madeira Compensada Plastificada, E=18mm</t>
        </is>
      </c>
      <c r="D605" s="1067" t="inlineStr">
        <is>
          <t>Fabricação de Fôrma para Lajes, em Chapa de Madeira Compensada Plastificada, E=18mm</t>
        </is>
      </c>
      <c r="E605" s="1068" t="inlineStr">
        <is>
          <t>M2</t>
        </is>
      </c>
      <c r="F605" s="1067" t="n"/>
      <c r="G605" s="1069">
        <f t="array" ref="G605">IF(B605="insumo",_xlfn.XLOOKUP($D605,Insumos!$B$1:$B$996,Insumos!$D$1:$D$996),"")</f>
        <v/>
      </c>
      <c r="H605" s="1069" t="n">
        <v>55.6019442857143</v>
      </c>
      <c r="I605" s="2161" t="n">
        <v>0</v>
      </c>
      <c r="J605" s="2161" t="n">
        <v>0</v>
      </c>
      <c r="K605" s="2161" t="n"/>
    </row>
    <row r="606" outlineLevel="3" ht="15.75" customHeight="1">
      <c r="A606" s="10" t="n">
        <v>40</v>
      </c>
      <c r="B606" s="10" t="inlineStr">
        <is>
          <t>Insumo</t>
        </is>
      </c>
      <c r="C606" s="10" t="inlineStr">
        <is>
          <t>Fabricação de Fôrma para Lajes, em Chapa de Madeira Compensada Plastificada, E=18mm</t>
        </is>
      </c>
      <c r="D606" s="10" t="inlineStr">
        <is>
          <t>PREGO DE ACO POLIDO COM CABECA 17 X 21 (2 X 11)</t>
        </is>
      </c>
      <c r="E606" s="11">
        <f t="array" ref="E606">_xlfn.XLOOKUP(D606,Insumos!B:B,Insumos!C:$C)</f>
        <v/>
      </c>
      <c r="F606" s="14" t="n">
        <v>0.159</v>
      </c>
      <c r="G606" s="92">
        <f t="array" ref="G606">IF(B606="insumo",_xlfn.XLOOKUP($D606,Insumos!$B$1:$B$996,Insumos!$D$1:$D$996),"")</f>
        <v/>
      </c>
      <c r="H606" s="92" t="n">
        <v>2.88267</v>
      </c>
      <c r="I606" s="2162" t="n">
        <v>0</v>
      </c>
      <c r="J606" s="2162" t="n">
        <v>0</v>
      </c>
      <c r="K606" s="2162" t="n"/>
    </row>
    <row r="607" outlineLevel="3" ht="15.75" customHeight="1">
      <c r="A607" s="10" t="n">
        <v>5</v>
      </c>
      <c r="B607" s="10" t="inlineStr">
        <is>
          <t>Insumo</t>
        </is>
      </c>
      <c r="C607" s="10" t="inlineStr">
        <is>
          <t>Fabricação de Fôrma para Lajes, em Chapa de Madeira Compensada Plastificada, E=18mm</t>
        </is>
      </c>
      <c r="D607" s="10" t="inlineStr">
        <is>
          <t>CHAPA/PAINEL DE MADEIRA COMPENSADA RESINADA, DE 2200 X 1100 MM, E = 18 MM</t>
        </is>
      </c>
      <c r="E607" s="11">
        <f t="array" ref="E607">_xlfn.XLOOKUP(D607,Insumos!B:B,Insumos!C:$C)</f>
        <v/>
      </c>
      <c r="F607" s="14" t="n">
        <v>1.146</v>
      </c>
      <c r="G607" s="92">
        <f t="array" ref="G607">IF(B607="insumo",_xlfn.XLOOKUP($D607,Insumos!$B$1:$B$996,Insumos!$D$1:$D$996),"")</f>
        <v/>
      </c>
      <c r="H607" s="92" t="n">
        <v>52.7192742857143</v>
      </c>
      <c r="I607" s="2162" t="n">
        <v>0</v>
      </c>
      <c r="J607" s="2162" t="n">
        <v>0</v>
      </c>
      <c r="K607" s="2162" t="n"/>
    </row>
    <row r="608" outlineLevel="2" ht="15.75" customHeight="1">
      <c r="A608" s="1067" t="n">
        <v>1</v>
      </c>
      <c r="B608" s="1067" t="inlineStr">
        <is>
          <t>Serviço</t>
        </is>
      </c>
      <c r="C608" s="1067" t="inlineStr">
        <is>
          <t>Fabricação de Fôrma para Pilares, em Chapa de Madeira Compensada Resinada, E=18mm</t>
        </is>
      </c>
      <c r="D608" s="1067" t="inlineStr">
        <is>
          <t>Fabricação de Fôrma para Pilares, em Chapa de Madeira Compensada Resinada, E=18mm</t>
        </is>
      </c>
      <c r="E608" s="1068" t="inlineStr">
        <is>
          <t>M2</t>
        </is>
      </c>
      <c r="F608" s="1067" t="n"/>
      <c r="G608" s="1069">
        <f t="array" ref="G608">IF(B608="insumo",_xlfn.XLOOKUP($D608,Insumos!$B$1:$B$996,Insumos!$D$1:$D$996),"")</f>
        <v/>
      </c>
      <c r="H608" s="1069" t="n">
        <v>99.39235714285709</v>
      </c>
      <c r="I608" s="2161" t="n">
        <v>0</v>
      </c>
      <c r="J608" s="2161" t="n">
        <v>0</v>
      </c>
      <c r="K608" s="2161" t="n"/>
    </row>
    <row r="609" outlineLevel="3" ht="15.75" customHeight="1">
      <c r="A609" s="10" t="n">
        <v>40</v>
      </c>
      <c r="B609" s="10" t="inlineStr">
        <is>
          <t>Insumo</t>
        </is>
      </c>
      <c r="C609" s="10" t="inlineStr">
        <is>
          <t>Fabricação de Fôrma para Pilares, em Chapa de Madeira Compensada Resinada, E=18mm</t>
        </is>
      </c>
      <c r="D609" s="10" t="inlineStr">
        <is>
          <t>PREGO DE ACO POLIDO COM CABECA 17 X 21 (2 X 11)</t>
        </is>
      </c>
      <c r="E609" s="11">
        <f t="array" ref="E609">_xlfn.XLOOKUP(D609,Insumos!B:B,Insumos!C:$C)</f>
        <v/>
      </c>
      <c r="F609" s="14" t="n">
        <v>0.208</v>
      </c>
      <c r="G609" s="92">
        <f t="array" ref="G609">IF(B609="insumo",_xlfn.XLOOKUP($D609,Insumos!$B$1:$B$996,Insumos!$D$1:$D$996),"")</f>
        <v/>
      </c>
      <c r="H609" s="92" t="n">
        <v>3.77104</v>
      </c>
      <c r="I609" s="2162" t="n">
        <v>0</v>
      </c>
      <c r="J609" s="2162" t="n">
        <v>0</v>
      </c>
      <c r="K609" s="2162" t="n"/>
    </row>
    <row r="610" outlineLevel="3" ht="15.75" customHeight="1">
      <c r="A610" s="10" t="n">
        <v>5</v>
      </c>
      <c r="B610" s="10" t="inlineStr">
        <is>
          <t>Insumo</t>
        </is>
      </c>
      <c r="C610" s="10" t="inlineStr">
        <is>
          <t>Fabricação de Fôrma para Pilares, em Chapa de Madeira Compensada Resinada, E=18mm</t>
        </is>
      </c>
      <c r="D610" s="10" t="inlineStr">
        <is>
          <t>CHAPA/PAINEL DE MADEIRA COMPENSADA RESINADA, DE 2200 X 1100 MM, E = 18 MM</t>
        </is>
      </c>
      <c r="E610" s="11">
        <f t="array" ref="E610">_xlfn.XLOOKUP(D610,Insumos!B:B,Insumos!C:$C)</f>
        <v/>
      </c>
      <c r="F610" s="14" t="n">
        <v>1.336</v>
      </c>
      <c r="G610" s="92">
        <f t="array" ref="G610">IF(B610="insumo",_xlfn.XLOOKUP($D610,Insumos!$B$1:$B$996,Insumos!$D$1:$D$996),"")</f>
        <v/>
      </c>
      <c r="H610" s="92" t="n">
        <v>61.4598171428571</v>
      </c>
      <c r="I610" s="2162" t="n">
        <v>0</v>
      </c>
      <c r="J610" s="2162" t="n">
        <v>0</v>
      </c>
      <c r="K610" s="2162" t="n"/>
    </row>
    <row r="611" outlineLevel="3" ht="15.75" customHeight="1">
      <c r="A611" s="10" t="n">
        <v>25</v>
      </c>
      <c r="B611" s="10" t="inlineStr">
        <is>
          <t>Insumo</t>
        </is>
      </c>
      <c r="C611" s="10" t="inlineStr">
        <is>
          <t>Fabricação de Fôrma para Pilares, em Chapa de Madeira Compensada Resinada, E=18mm</t>
        </is>
      </c>
      <c r="D611" s="10" t="inlineStr">
        <is>
          <t>MADEIRA PINUS/SIMILAR - PONTALETE 75X75MM NBR 11700/15696</t>
        </is>
      </c>
      <c r="E611" s="11">
        <f t="array" ref="E611">_xlfn.XLOOKUP(D611,Insumos!B:B,Insumos!C:$C)</f>
        <v/>
      </c>
      <c r="F611" s="14" t="n">
        <v>0.4271428571428572</v>
      </c>
      <c r="G611" s="92">
        <f t="array" ref="G611">IF(B611="insumo",_xlfn.XLOOKUP($D611,Insumos!$B$1:$B$996,Insumos!$D$1:$D$996),"")</f>
        <v/>
      </c>
      <c r="H611" s="92" t="n">
        <v>2.99</v>
      </c>
      <c r="I611" s="2162" t="n">
        <v>0</v>
      </c>
      <c r="J611" s="2162" t="n">
        <v>0</v>
      </c>
      <c r="K611" s="2162" t="n"/>
    </row>
    <row r="612" outlineLevel="3" ht="15.75" customHeight="1">
      <c r="A612" s="10" t="n">
        <v>19</v>
      </c>
      <c r="B612" s="10" t="inlineStr">
        <is>
          <t>Insumo</t>
        </is>
      </c>
      <c r="C612" s="10" t="inlineStr">
        <is>
          <t>Fabricação de Fôrma para Pilares, em Chapa de Madeira Compensada Resinada, E=18mm</t>
        </is>
      </c>
      <c r="D612" s="10" t="inlineStr">
        <is>
          <t>SARRAFO *2,5 X 7,5* CM EM PINUS, MISTA OU EQUIVALENTE DA REGIAO - BRUTA</t>
        </is>
      </c>
      <c r="E612" s="11">
        <f t="array" ref="E612">_xlfn.XLOOKUP(D612,Insumos!B:B,Insumos!C:$C)</f>
        <v/>
      </c>
      <c r="F612" s="14" t="n">
        <v>0.02309</v>
      </c>
      <c r="G612" s="92">
        <f t="array" ref="G612">IF(B612="insumo",_xlfn.XLOOKUP($D612,Insumos!$B$1:$B$996,Insumos!$D$1:$D$996),"")</f>
        <v/>
      </c>
      <c r="H612" s="92" t="n">
        <v>31.1715</v>
      </c>
      <c r="I612" s="2162" t="n">
        <v>0</v>
      </c>
      <c r="J612" s="2162" t="n">
        <v>0</v>
      </c>
      <c r="K612" s="2162" t="n"/>
    </row>
    <row r="613" outlineLevel="2" ht="15.75" customHeight="1">
      <c r="A613" s="1067" t="n">
        <v>1</v>
      </c>
      <c r="B613" s="1067" t="inlineStr">
        <is>
          <t>Serviço</t>
        </is>
      </c>
      <c r="C613" s="1067" t="inlineStr">
        <is>
          <t>Fabricação de Fôrma para Vigas, em Chapa de Madeira Compensada Resinada, E=18mm</t>
        </is>
      </c>
      <c r="D613" s="1067" t="inlineStr">
        <is>
          <t>Fabricação de Fôrma para Vigas, em Chapa de Madeira Compensada Resinada, E=18mm</t>
        </is>
      </c>
      <c r="E613" s="1068" t="inlineStr">
        <is>
          <t>M2</t>
        </is>
      </c>
      <c r="F613" s="1067" t="n"/>
      <c r="G613" s="1069">
        <f t="array" ref="G613">IF(B613="insumo",_xlfn.XLOOKUP($D613,Insumos!$B$1:$B$996,Insumos!$D$1:$D$996),"")</f>
        <v/>
      </c>
      <c r="H613" s="1069" t="n">
        <v>81.4119442857143</v>
      </c>
      <c r="I613" s="2161" t="n">
        <v>0</v>
      </c>
      <c r="J613" s="2161" t="n">
        <v>0</v>
      </c>
      <c r="K613" s="2161" t="n"/>
    </row>
    <row r="614" outlineLevel="3" ht="15.75" customHeight="1">
      <c r="A614" s="10" t="n">
        <v>40</v>
      </c>
      <c r="B614" s="10" t="inlineStr">
        <is>
          <t>Insumo</t>
        </is>
      </c>
      <c r="C614" s="10" t="inlineStr">
        <is>
          <t>Fabricação de Fôrma para Vigas, em Chapa de Madeira Compensada Resinada, E=18mm</t>
        </is>
      </c>
      <c r="D614" s="10" t="inlineStr">
        <is>
          <t>PREGO DE ACO POLIDO COM CABECA 17 X 21 (2 X 11)</t>
        </is>
      </c>
      <c r="E614" s="11">
        <f t="array" ref="E614">_xlfn.XLOOKUP(D614,Insumos!B:B,Insumos!C:$C)</f>
        <v/>
      </c>
      <c r="F614" s="14" t="n">
        <v>0.159</v>
      </c>
      <c r="G614" s="92">
        <f t="array" ref="G614">IF(B614="insumo",_xlfn.XLOOKUP($D614,Insumos!$B$1:$B$996,Insumos!$D$1:$D$996),"")</f>
        <v/>
      </c>
      <c r="H614" s="92" t="n">
        <v>2.88267</v>
      </c>
      <c r="I614" s="2162" t="n">
        <v>0</v>
      </c>
      <c r="J614" s="2162" t="n">
        <v>0</v>
      </c>
      <c r="K614" s="2162" t="n"/>
    </row>
    <row r="615" outlineLevel="3" ht="15.75" customHeight="1">
      <c r="A615" s="10" t="n">
        <v>5</v>
      </c>
      <c r="B615" s="10" t="inlineStr">
        <is>
          <t>Insumo</t>
        </is>
      </c>
      <c r="C615" s="10" t="inlineStr">
        <is>
          <t>Fabricação de Fôrma para Vigas, em Chapa de Madeira Compensada Resinada, E=18mm</t>
        </is>
      </c>
      <c r="D615" s="10" t="inlineStr">
        <is>
          <t>CHAPA/PAINEL DE MADEIRA COMPENSADA RESINADA, DE 2200 X 1100 MM, E = 18 MM</t>
        </is>
      </c>
      <c r="E615" s="11">
        <f t="array" ref="E615">_xlfn.XLOOKUP(D615,Insumos!B:B,Insumos!C:$C)</f>
        <v/>
      </c>
      <c r="F615" s="14" t="n">
        <v>1.146</v>
      </c>
      <c r="G615" s="92">
        <f t="array" ref="G615">IF(B615="insumo",_xlfn.XLOOKUP($D615,Insumos!$B$1:$B$996,Insumos!$D$1:$D$996),"")</f>
        <v/>
      </c>
      <c r="H615" s="92" t="n">
        <v>52.7192742857143</v>
      </c>
      <c r="I615" s="2162" t="n">
        <v>0</v>
      </c>
      <c r="J615" s="2162" t="n">
        <v>0</v>
      </c>
      <c r="K615" s="2162" t="n"/>
    </row>
    <row r="616" outlineLevel="3" ht="15.75" customHeight="1">
      <c r="A616" s="10" t="n">
        <v>25</v>
      </c>
      <c r="B616" s="10" t="inlineStr">
        <is>
          <t>Insumo</t>
        </is>
      </c>
      <c r="C616" s="10" t="inlineStr">
        <is>
          <t>Fabricação de Fôrma para Vigas, em Chapa de Madeira Compensada Resinada, E=18mm</t>
        </is>
      </c>
      <c r="D616" s="10" t="inlineStr">
        <is>
          <t>MADEIRA PINUS/SIMILAR - PONTALETE 75X75MM NBR 11700/15696</t>
        </is>
      </c>
      <c r="E616" s="11">
        <f t="array" ref="E616">_xlfn.XLOOKUP(D616,Insumos!B:B,Insumos!C:$C)</f>
        <v/>
      </c>
      <c r="F616" s="14" t="n">
        <v>0.3357142857142857</v>
      </c>
      <c r="G616" s="92">
        <f t="array" ref="G616">IF(B616="insumo",_xlfn.XLOOKUP($D616,Insumos!$B$1:$B$996,Insumos!$D$1:$D$996),"")</f>
        <v/>
      </c>
      <c r="H616" s="92" t="n">
        <v>2.35</v>
      </c>
      <c r="I616" s="2162" t="n">
        <v>0</v>
      </c>
      <c r="J616" s="2162" t="n">
        <v>0</v>
      </c>
      <c r="K616" s="2162" t="n"/>
    </row>
    <row r="617" outlineLevel="3" ht="15.75" customHeight="1">
      <c r="A617" s="10" t="n">
        <v>19</v>
      </c>
      <c r="B617" s="10" t="inlineStr">
        <is>
          <t>Insumo</t>
        </is>
      </c>
      <c r="C617" s="10" t="inlineStr">
        <is>
          <t>Fabricação de Fôrma para Vigas, em Chapa de Madeira Compensada Resinada, E=18mm</t>
        </is>
      </c>
      <c r="D617" s="10" t="inlineStr">
        <is>
          <t>SARRAFO *2,5 X 7,5* CM EM PINUS, MISTA OU EQUIVALENTE DA REGIAO - BRUTA</t>
        </is>
      </c>
      <c r="E617" s="11">
        <f t="array" ref="E617">_xlfn.XLOOKUP(D617,Insumos!B:B,Insumos!C:$C)</f>
        <v/>
      </c>
      <c r="F617" s="14" t="n">
        <v>0.01737777777777778</v>
      </c>
      <c r="G617" s="92">
        <f t="array" ref="G617">IF(B617="insumo",_xlfn.XLOOKUP($D617,Insumos!$B$1:$B$996,Insumos!$D$1:$D$996),"")</f>
        <v/>
      </c>
      <c r="H617" s="92" t="n">
        <v>23.46</v>
      </c>
      <c r="I617" s="2162" t="n">
        <v>0</v>
      </c>
      <c r="J617" s="2162" t="n">
        <v>0</v>
      </c>
      <c r="K617" s="2162" t="n"/>
    </row>
    <row r="618" outlineLevel="2" ht="15.75" customHeight="1">
      <c r="A618" s="1067" t="n">
        <v>1</v>
      </c>
      <c r="B618" s="1067" t="inlineStr">
        <is>
          <t>Serviço</t>
        </is>
      </c>
      <c r="C618" s="1067" t="inlineStr">
        <is>
          <t>Fabricação de Fôrma para Lajes, em Chapa de Madeira Compensada Resinada, E=18mm</t>
        </is>
      </c>
      <c r="D618" s="1067" t="inlineStr">
        <is>
          <t>Fabricação de Fôrma para Lajes, em Chapa de Madeira Compensada Resinada, E=18mm</t>
        </is>
      </c>
      <c r="E618" s="1068" t="inlineStr">
        <is>
          <t>M2</t>
        </is>
      </c>
      <c r="F618" s="1067" t="n"/>
      <c r="G618" s="1069">
        <f t="array" ref="G618">IF(B618="insumo",_xlfn.XLOOKUP($D618,Insumos!$B$1:$B$996,Insumos!$D$1:$D$996),"")</f>
        <v/>
      </c>
      <c r="H618" s="1069" t="n">
        <v>55.6019442857143</v>
      </c>
      <c r="I618" s="2161" t="n">
        <v>0</v>
      </c>
      <c r="J618" s="2161" t="n">
        <v>0</v>
      </c>
      <c r="K618" s="2161" t="n"/>
    </row>
    <row r="619" outlineLevel="3" ht="15.75" customHeight="1">
      <c r="A619" s="10" t="n">
        <v>40</v>
      </c>
      <c r="B619" s="10" t="inlineStr">
        <is>
          <t>Insumo</t>
        </is>
      </c>
      <c r="C619" s="10" t="inlineStr">
        <is>
          <t>Fabricação de Fôrma para Lajes, em Chapa de Madeira Compensada Resinada, E=18mm</t>
        </is>
      </c>
      <c r="D619" s="10" t="inlineStr">
        <is>
          <t>PREGO DE ACO POLIDO COM CABECA 17 X 21 (2 X 11)</t>
        </is>
      </c>
      <c r="E619" s="11">
        <f t="array" ref="E619">_xlfn.XLOOKUP(D619,Insumos!B:B,Insumos!C:$C)</f>
        <v/>
      </c>
      <c r="F619" s="14" t="n">
        <v>0.159</v>
      </c>
      <c r="G619" s="92">
        <f t="array" ref="G619">IF(B619="insumo",_xlfn.XLOOKUP($D619,Insumos!$B$1:$B$996,Insumos!$D$1:$D$996),"")</f>
        <v/>
      </c>
      <c r="H619" s="92" t="n">
        <v>2.88267</v>
      </c>
      <c r="I619" s="2162" t="n">
        <v>0</v>
      </c>
      <c r="J619" s="2162" t="n">
        <v>0</v>
      </c>
      <c r="K619" s="2162" t="n"/>
    </row>
    <row r="620" outlineLevel="3" ht="15.75" customHeight="1">
      <c r="A620" s="10" t="n">
        <v>5</v>
      </c>
      <c r="B620" s="10" t="inlineStr">
        <is>
          <t>Insumo</t>
        </is>
      </c>
      <c r="C620" s="10" t="inlineStr">
        <is>
          <t>Fabricação de Fôrma para Lajes, em Chapa de Madeira Compensada Resinada, E=18mm</t>
        </is>
      </c>
      <c r="D620" s="10" t="inlineStr">
        <is>
          <t>CHAPA/PAINEL DE MADEIRA COMPENSADA RESINADA, DE 2200 X 1100 MM, E = 18 MM</t>
        </is>
      </c>
      <c r="E620" s="11">
        <f t="array" ref="E620">_xlfn.XLOOKUP(D620,Insumos!B:B,Insumos!C:$C)</f>
        <v/>
      </c>
      <c r="F620" s="14" t="n">
        <v>1.146</v>
      </c>
      <c r="G620" s="92">
        <f t="array" ref="G620">IF(B620="insumo",_xlfn.XLOOKUP($D620,Insumos!$B$1:$B$996,Insumos!$D$1:$D$996),"")</f>
        <v/>
      </c>
      <c r="H620" s="92" t="n">
        <v>52.7192742857143</v>
      </c>
      <c r="I620" s="2162" t="n">
        <v>0</v>
      </c>
      <c r="J620" s="2162" t="n">
        <v>0</v>
      </c>
      <c r="K620" s="2162" t="n"/>
    </row>
    <row r="621" outlineLevel="2" ht="12.75" customHeight="1">
      <c r="A621" s="1071" t="n">
        <v>1</v>
      </c>
      <c r="B621" s="1071" t="inlineStr">
        <is>
          <t>Serviço</t>
        </is>
      </c>
      <c r="C621" s="1071" t="inlineStr">
        <is>
          <t>Fabricação de Fôrma para Escadas, em Chapa de Madeira Compensada Resinada, E=17mm</t>
        </is>
      </c>
      <c r="D621" s="1071" t="inlineStr">
        <is>
          <t>Fabricação de Fôrma para Escadas, em Chapa de Madeira Compensada Resinada, E=17mm</t>
        </is>
      </c>
      <c r="E621" s="1072" t="inlineStr">
        <is>
          <t>M2</t>
        </is>
      </c>
      <c r="F621" s="1071" t="n"/>
      <c r="G621" s="1073">
        <f t="array" ref="G621">IF(B621="insumo",_xlfn.XLOOKUP($D621,Insumos!$B$1:$B$996,Insumos!$D$1:$D$996),"")</f>
        <v/>
      </c>
      <c r="H621" s="1073" t="n">
        <v>104.30944</v>
      </c>
      <c r="I621" s="2163" t="n">
        <v>0</v>
      </c>
      <c r="J621" s="2163" t="n">
        <v>0</v>
      </c>
      <c r="K621" s="2163" t="n"/>
    </row>
    <row r="622" outlineLevel="3" ht="12.75" customHeight="1">
      <c r="A622" s="82" t="n">
        <v>2</v>
      </c>
      <c r="B622" s="82" t="inlineStr">
        <is>
          <t>Insumo</t>
        </is>
      </c>
      <c r="C622" s="82" t="inlineStr">
        <is>
          <t>Fabricação de Fôrma para Escadas, em Chapa de Madeira Compensada Resinada, E=17mm</t>
        </is>
      </c>
      <c r="D622" s="82" t="inlineStr">
        <is>
          <t>PREGO DE ACO POLIDO COM CABECA 17 X 24 (2 1/4 X11)</t>
        </is>
      </c>
      <c r="E622" s="11">
        <f t="array" ref="E622">_xlfn.XLOOKUP(D622,Insumos!B:B,Insumos!C:$C)</f>
        <v/>
      </c>
      <c r="F622" s="2164" t="n">
        <v>0.07099999999999999</v>
      </c>
      <c r="G622" s="92">
        <f t="array" ref="G622">IF(B622="insumo",_xlfn.XLOOKUP($D622,Insumos!$B$1:$B$996,Insumos!$D$1:$D$996),"")</f>
        <v/>
      </c>
      <c r="H622" s="92" t="n">
        <v>1.12535</v>
      </c>
      <c r="I622" s="2165" t="n">
        <v>0</v>
      </c>
      <c r="J622" s="2165" t="n">
        <v>0</v>
      </c>
      <c r="K622" s="2165" t="n"/>
    </row>
    <row r="623" outlineLevel="3" ht="12.75" customHeight="1">
      <c r="A623" s="82" t="n">
        <v>3</v>
      </c>
      <c r="B623" s="82" t="inlineStr">
        <is>
          <t>Insumo</t>
        </is>
      </c>
      <c r="C623" s="82" t="inlineStr">
        <is>
          <t>Fabricação de Fôrma para Escadas, em Chapa de Madeira Compensada Resinada, E=17mm</t>
        </is>
      </c>
      <c r="D623" s="82" t="inlineStr">
        <is>
          <t>PREGO DE ACO POLIDO COM CABECA 15 X 15 (1 1/4 X 13)</t>
        </is>
      </c>
      <c r="E623" s="11">
        <f t="array" ref="E623">_xlfn.XLOOKUP(D623,Insumos!B:B,Insumos!C:$C)</f>
        <v/>
      </c>
      <c r="F623" s="2164" t="n">
        <v>0.031</v>
      </c>
      <c r="G623" s="92">
        <f t="array" ref="G623">IF(B623="insumo",_xlfn.XLOOKUP($D623,Insumos!$B$1:$B$996,Insumos!$D$1:$D$996),"")</f>
        <v/>
      </c>
      <c r="H623" s="92" t="n">
        <v>0.54653</v>
      </c>
      <c r="I623" s="2165" t="n">
        <v>0</v>
      </c>
      <c r="J623" s="2165" t="n">
        <v>0</v>
      </c>
      <c r="K623" s="2165" t="n"/>
    </row>
    <row r="624" outlineLevel="3" ht="12.75" customHeight="1">
      <c r="A624" s="82" t="n">
        <v>4</v>
      </c>
      <c r="B624" s="82" t="inlineStr">
        <is>
          <t>Insumo</t>
        </is>
      </c>
      <c r="C624" s="82" t="inlineStr">
        <is>
          <t>Fabricação de Fôrma para Escadas, em Chapa de Madeira Compensada Resinada, E=17mm</t>
        </is>
      </c>
      <c r="D624" s="82" t="inlineStr">
        <is>
          <t>CHAPA/PAINEL DE MADEIRA COMPENSADA RESINADA, DE 2200 X 1100 MM, E = 17 MM</t>
        </is>
      </c>
      <c r="E624" s="11">
        <f t="array" ref="E624">_xlfn.XLOOKUP(D624,Insumos!B:B,Insumos!C:$C)</f>
        <v/>
      </c>
      <c r="F624" s="2164" t="n">
        <v>1.336</v>
      </c>
      <c r="G624" s="92">
        <f t="array" ref="G624">IF(B624="insumo",_xlfn.XLOOKUP($D624,Insumos!$B$1:$B$996,Insumos!$D$1:$D$996),"")</f>
        <v/>
      </c>
      <c r="H624" s="92" t="n">
        <v>50.71456</v>
      </c>
      <c r="I624" s="2165" t="n">
        <v>0</v>
      </c>
      <c r="J624" s="2165" t="n">
        <v>0</v>
      </c>
      <c r="K624" s="2165" t="n"/>
    </row>
    <row r="625" outlineLevel="3" ht="12.75" customHeight="1">
      <c r="A625" s="82" t="n">
        <v>25</v>
      </c>
      <c r="B625" s="82" t="inlineStr">
        <is>
          <t>Insumo</t>
        </is>
      </c>
      <c r="C625" s="82" t="inlineStr">
        <is>
          <t>Fabricação de Fôrma para Escadas, em Chapa de Madeira Compensada Resinada, E=17mm</t>
        </is>
      </c>
      <c r="D625" s="82" t="inlineStr">
        <is>
          <t>MADEIRA PINUS/SIMILAR - PONTALETE 75X75MM NBR 11700/15696</t>
        </is>
      </c>
      <c r="E625" s="11">
        <f t="array" ref="E625">_xlfn.XLOOKUP(D625,Insumos!B:B,Insumos!C:$C)</f>
        <v/>
      </c>
      <c r="F625" s="2164" t="n">
        <v>6.704</v>
      </c>
      <c r="G625" s="92">
        <f t="array" ref="G625">IF(B625="insumo",_xlfn.XLOOKUP($D625,Insumos!$B$1:$B$996,Insumos!$D$1:$D$996),"")</f>
        <v/>
      </c>
      <c r="H625" s="92" t="n">
        <v>46.928</v>
      </c>
      <c r="I625" s="2165" t="n">
        <v>0</v>
      </c>
      <c r="J625" s="2165" t="n">
        <v>0</v>
      </c>
      <c r="K625" s="2165" t="n"/>
    </row>
    <row r="626" outlineLevel="3" ht="12.75" customHeight="1">
      <c r="A626" s="82" t="n">
        <v>19</v>
      </c>
      <c r="B626" s="82" t="inlineStr">
        <is>
          <t>Insumo</t>
        </is>
      </c>
      <c r="C626" s="82" t="inlineStr">
        <is>
          <t>Fabricação de Fôrma para Escadas, em Chapa de Madeira Compensada Resinada, E=17mm</t>
        </is>
      </c>
      <c r="D626" s="82" t="inlineStr">
        <is>
          <t>SARRAFO *2,5 X 7,5* CM EM PINUS, MISTA OU EQUIVALENTE DA REGIAO - BRUTA</t>
        </is>
      </c>
      <c r="E626" s="11">
        <f t="array" ref="E626">_xlfn.XLOOKUP(D626,Insumos!B:B,Insumos!C:$C)</f>
        <v/>
      </c>
      <c r="F626" s="2164" t="n">
        <v>0.0037</v>
      </c>
      <c r="G626" s="92">
        <f t="array" ref="G626">IF(B626="insumo",_xlfn.XLOOKUP($D626,Insumos!$B$1:$B$996,Insumos!$D$1:$D$996),"")</f>
        <v/>
      </c>
      <c r="H626" s="92" t="n">
        <v>4.995</v>
      </c>
      <c r="I626" s="2165" t="n">
        <v>0</v>
      </c>
      <c r="J626" s="2165" t="n">
        <v>0</v>
      </c>
      <c r="K626" s="2165" t="n"/>
    </row>
    <row r="627" outlineLevel="2" ht="12.75" customHeight="1">
      <c r="A627" s="1071" t="n">
        <v>1</v>
      </c>
      <c r="B627" s="1071" t="inlineStr">
        <is>
          <t>Serviço</t>
        </is>
      </c>
      <c r="C627" s="1071" t="inlineStr">
        <is>
          <t>Fabricação de Fôrma para Pilares, em Chapa de Madeira Compensada Resinada, E=17mm</t>
        </is>
      </c>
      <c r="D627" s="1071" t="inlineStr">
        <is>
          <t>Fabricação de Fôrma para Pilares, em Chapa de Madeira Compensada Resinada, E=17mm</t>
        </is>
      </c>
      <c r="E627" s="1072" t="inlineStr">
        <is>
          <t>M2</t>
        </is>
      </c>
      <c r="F627" s="1071" t="n"/>
      <c r="G627" s="1073">
        <f t="array" ref="G627">IF(B627="insumo",_xlfn.XLOOKUP($D627,Insumos!$B$1:$B$996,Insumos!$D$1:$D$996),"")</f>
        <v/>
      </c>
      <c r="H627" s="1073" t="n">
        <v>88.64709999999999</v>
      </c>
      <c r="I627" s="2163" t="n">
        <v>0</v>
      </c>
      <c r="J627" s="2163" t="n">
        <v>0</v>
      </c>
      <c r="K627" s="2163" t="n"/>
    </row>
    <row r="628" outlineLevel="3" ht="12.75" customHeight="1">
      <c r="A628" s="82" t="n">
        <v>40</v>
      </c>
      <c r="B628" s="82" t="inlineStr">
        <is>
          <t>Insumo</t>
        </is>
      </c>
      <c r="C628" s="82" t="inlineStr">
        <is>
          <t>Fabricação de Fôrma para Pilares, em Chapa de Madeira Compensada Resinada, E=17mm</t>
        </is>
      </c>
      <c r="D628" s="82" t="inlineStr">
        <is>
          <t>PREGO DE ACO POLIDO COM CABECA 17 X 21 (2 X 11)</t>
        </is>
      </c>
      <c r="E628" s="11">
        <f t="array" ref="E628">_xlfn.XLOOKUP(D628,Insumos!B:B,Insumos!C:$C)</f>
        <v/>
      </c>
      <c r="F628" s="2164" t="n">
        <v>0.208</v>
      </c>
      <c r="G628" s="92">
        <f t="array" ref="G628">IF(B628="insumo",_xlfn.XLOOKUP($D628,Insumos!$B$1:$B$996,Insumos!$D$1:$D$996),"")</f>
        <v/>
      </c>
      <c r="H628" s="92" t="n">
        <v>3.77104</v>
      </c>
      <c r="I628" s="2165" t="n">
        <v>0</v>
      </c>
      <c r="J628" s="2165" t="n">
        <v>0</v>
      </c>
      <c r="K628" s="2165" t="n"/>
    </row>
    <row r="629" outlineLevel="3" ht="12.75" customHeight="1">
      <c r="A629" s="82" t="n">
        <v>4</v>
      </c>
      <c r="B629" s="82" t="inlineStr">
        <is>
          <t>Insumo</t>
        </is>
      </c>
      <c r="C629" s="82" t="inlineStr">
        <is>
          <t>Fabricação de Fôrma para Pilares, em Chapa de Madeira Compensada Resinada, E=17mm</t>
        </is>
      </c>
      <c r="D629" s="82" t="inlineStr">
        <is>
          <t>CHAPA/PAINEL DE MADEIRA COMPENSADA RESINADA, DE 2200 X 1100 MM, E = 17 MM</t>
        </is>
      </c>
      <c r="E629" s="11">
        <f t="array" ref="E629">_xlfn.XLOOKUP(D629,Insumos!B:B,Insumos!C:$C)</f>
        <v/>
      </c>
      <c r="F629" s="2164" t="n">
        <v>1.336</v>
      </c>
      <c r="G629" s="92">
        <f t="array" ref="G629">IF(B629="insumo",_xlfn.XLOOKUP($D629,Insumos!$B$1:$B$996,Insumos!$D$1:$D$996),"")</f>
        <v/>
      </c>
      <c r="H629" s="92" t="n">
        <v>50.71456</v>
      </c>
      <c r="I629" s="2165" t="n">
        <v>0</v>
      </c>
      <c r="J629" s="2165" t="n">
        <v>0</v>
      </c>
      <c r="K629" s="2165" t="n"/>
    </row>
    <row r="630" outlineLevel="3" ht="12.75" customHeight="1">
      <c r="A630" s="82" t="n">
        <v>25</v>
      </c>
      <c r="B630" s="82" t="inlineStr">
        <is>
          <t>Insumo</t>
        </is>
      </c>
      <c r="C630" s="82" t="inlineStr">
        <is>
          <t>Fabricação de Fôrma para Pilares, em Chapa de Madeira Compensada Resinada, E=17mm</t>
        </is>
      </c>
      <c r="D630" s="82" t="inlineStr">
        <is>
          <t>MADEIRA PINUS/SIMILAR - PONTALETE 75X75MM NBR 11700/15696</t>
        </is>
      </c>
      <c r="E630" s="11">
        <f t="array" ref="E630">_xlfn.XLOOKUP(D630,Insumos!B:B,Insumos!C:$C)</f>
        <v/>
      </c>
      <c r="F630" s="2164" t="n">
        <v>0.4271428571428572</v>
      </c>
      <c r="G630" s="92">
        <f t="array" ref="G630">IF(B630="insumo",_xlfn.XLOOKUP($D630,Insumos!$B$1:$B$996,Insumos!$D$1:$D$996),"")</f>
        <v/>
      </c>
      <c r="H630" s="92" t="n">
        <v>2.99</v>
      </c>
      <c r="I630" s="2165" t="n">
        <v>0</v>
      </c>
      <c r="J630" s="2165" t="n">
        <v>0</v>
      </c>
      <c r="K630" s="2165" t="n"/>
    </row>
    <row r="631" outlineLevel="3" ht="12.75" customHeight="1">
      <c r="A631" s="82" t="n">
        <v>19</v>
      </c>
      <c r="B631" s="82" t="inlineStr">
        <is>
          <t>Insumo</t>
        </is>
      </c>
      <c r="C631" s="82" t="inlineStr">
        <is>
          <t>Fabricação de Fôrma para Pilares, em Chapa de Madeira Compensada Resinada, E=17mm</t>
        </is>
      </c>
      <c r="D631" s="82" t="inlineStr">
        <is>
          <t>SARRAFO *2,5 X 7,5* CM EM PINUS, MISTA OU EQUIVALENTE DA REGIAO - BRUTA</t>
        </is>
      </c>
      <c r="E631" s="11">
        <f t="array" ref="E631">_xlfn.XLOOKUP(D631,Insumos!B:B,Insumos!C:$C)</f>
        <v/>
      </c>
      <c r="F631" s="2164" t="n">
        <v>0.02309</v>
      </c>
      <c r="G631" s="92">
        <f t="array" ref="G631">IF(B631="insumo",_xlfn.XLOOKUP($D631,Insumos!$B$1:$B$996,Insumos!$D$1:$D$996),"")</f>
        <v/>
      </c>
      <c r="H631" s="92" t="n">
        <v>31.1715</v>
      </c>
      <c r="I631" s="2165" t="n">
        <v>0</v>
      </c>
      <c r="J631" s="2165" t="n">
        <v>0</v>
      </c>
      <c r="K631" s="2165" t="n"/>
    </row>
    <row r="632" outlineLevel="2" ht="12.75" customHeight="1">
      <c r="A632" s="1071" t="n">
        <v>1</v>
      </c>
      <c r="B632" s="1071" t="inlineStr">
        <is>
          <t>Serviço</t>
        </is>
      </c>
      <c r="C632" s="1071" t="inlineStr">
        <is>
          <t>Fabricação de Fôrma para Vigas, em Chapa de Madeira Compensada Resinada, E=17mm</t>
        </is>
      </c>
      <c r="D632" s="1071" t="inlineStr">
        <is>
          <t>Fabricação de Fôrma para Vigas, em Chapa de Madeira Compensada Resinada, E=17mm</t>
        </is>
      </c>
      <c r="E632" s="1068" t="inlineStr">
        <is>
          <t>M2</t>
        </is>
      </c>
      <c r="F632" s="1071" t="n"/>
      <c r="G632" s="1073">
        <f t="array" ref="G632">IF(B632="insumo",_xlfn.XLOOKUP($D632,Insumos!$B$1:$B$996,Insumos!$D$1:$D$996),"")</f>
        <v/>
      </c>
      <c r="H632" s="1073" t="n">
        <v>72.19483</v>
      </c>
      <c r="I632" s="2163" t="n">
        <v>0</v>
      </c>
      <c r="J632" s="2163" t="n">
        <v>0</v>
      </c>
      <c r="K632" s="2163" t="n"/>
    </row>
    <row r="633" outlineLevel="3" ht="12.75" customHeight="1">
      <c r="A633" s="82" t="n">
        <v>40</v>
      </c>
      <c r="B633" s="82" t="inlineStr">
        <is>
          <t>Insumo</t>
        </is>
      </c>
      <c r="C633" s="82" t="inlineStr">
        <is>
          <t>Fabricação de Fôrma para Vigas, em Chapa de Madeira Compensada Resinada, E=17mm</t>
        </is>
      </c>
      <c r="D633" s="82" t="inlineStr">
        <is>
          <t>PREGO DE ACO POLIDO COM CABECA 17 X 21 (2 X 11)</t>
        </is>
      </c>
      <c r="E633" s="11">
        <f t="array" ref="E633">_xlfn.XLOOKUP(D633,Insumos!B:B,Insumos!C:$C)</f>
        <v/>
      </c>
      <c r="F633" s="2164" t="n">
        <v>0.159</v>
      </c>
      <c r="G633" s="92">
        <f t="array" ref="G633">IF(B633="insumo",_xlfn.XLOOKUP($D633,Insumos!$B$1:$B$996,Insumos!$D$1:$D$996),"")</f>
        <v/>
      </c>
      <c r="H633" s="92" t="n">
        <v>2.88267</v>
      </c>
      <c r="I633" s="2165" t="n">
        <v>0</v>
      </c>
      <c r="J633" s="2165" t="n">
        <v>0</v>
      </c>
      <c r="K633" s="2165" t="n"/>
    </row>
    <row r="634" outlineLevel="3" ht="12.75" customHeight="1">
      <c r="A634" s="82" t="n">
        <v>4</v>
      </c>
      <c r="B634" s="82" t="inlineStr">
        <is>
          <t>Insumo</t>
        </is>
      </c>
      <c r="C634" s="82" t="inlineStr">
        <is>
          <t>Fabricação de Fôrma para Vigas, em Chapa de Madeira Compensada Resinada, E=17mm</t>
        </is>
      </c>
      <c r="D634" s="82" t="inlineStr">
        <is>
          <t>CHAPA/PAINEL DE MADEIRA COMPENSADA RESINADA, DE 2200 X 1100 MM, E = 17 MM</t>
        </is>
      </c>
      <c r="E634" s="11">
        <f t="array" ref="E634">_xlfn.XLOOKUP(D634,Insumos!B:B,Insumos!C:$C)</f>
        <v/>
      </c>
      <c r="F634" s="2164" t="n">
        <v>1.146</v>
      </c>
      <c r="G634" s="92">
        <f t="array" ref="G634">IF(B634="insumo",_xlfn.XLOOKUP($D634,Insumos!$B$1:$B$996,Insumos!$D$1:$D$996),"")</f>
        <v/>
      </c>
      <c r="H634" s="92" t="n">
        <v>43.50216</v>
      </c>
      <c r="I634" s="2165" t="n">
        <v>0</v>
      </c>
      <c r="J634" s="2165" t="n">
        <v>0</v>
      </c>
      <c r="K634" s="2165" t="n"/>
    </row>
    <row r="635" outlineLevel="3" ht="12.75" customHeight="1">
      <c r="A635" s="82" t="n">
        <v>25</v>
      </c>
      <c r="B635" s="82" t="inlineStr">
        <is>
          <t>Insumo</t>
        </is>
      </c>
      <c r="C635" s="82" t="inlineStr">
        <is>
          <t>Fabricação de Fôrma para Vigas, em Chapa de Madeira Compensada Resinada, E=17mm</t>
        </is>
      </c>
      <c r="D635" s="82" t="inlineStr">
        <is>
          <t>MADEIRA PINUS/SIMILAR - PONTALETE 75X75MM NBR 11700/15696</t>
        </is>
      </c>
      <c r="E635" s="11">
        <f t="array" ref="E635">_xlfn.XLOOKUP(D635,Insumos!B:B,Insumos!C:$C)</f>
        <v/>
      </c>
      <c r="F635" s="2164" t="n">
        <v>0.3357142857142857</v>
      </c>
      <c r="G635" s="92">
        <f t="array" ref="G635">IF(B635="insumo",_xlfn.XLOOKUP($D635,Insumos!$B$1:$B$996,Insumos!$D$1:$D$996),"")</f>
        <v/>
      </c>
      <c r="H635" s="92" t="n">
        <v>2.35</v>
      </c>
      <c r="I635" s="2165" t="n">
        <v>0</v>
      </c>
      <c r="J635" s="2165" t="n">
        <v>0</v>
      </c>
      <c r="K635" s="2165" t="n"/>
    </row>
    <row r="636" outlineLevel="3" ht="12.75" customHeight="1">
      <c r="A636" s="82" t="n">
        <v>19</v>
      </c>
      <c r="B636" s="82" t="inlineStr">
        <is>
          <t>Insumo</t>
        </is>
      </c>
      <c r="C636" s="82" t="inlineStr">
        <is>
          <t>Fabricação de Fôrma para Vigas, em Chapa de Madeira Compensada Resinada, E=17mm</t>
        </is>
      </c>
      <c r="D636" s="82" t="inlineStr">
        <is>
          <t>SARRAFO *2,5 X 7,5* CM EM PINUS, MISTA OU EQUIVALENTE DA REGIAO - BRUTA</t>
        </is>
      </c>
      <c r="E636" s="11">
        <f t="array" ref="E636">_xlfn.XLOOKUP(D636,Insumos!B:B,Insumos!C:$C)</f>
        <v/>
      </c>
      <c r="F636" s="2164" t="n">
        <v>0.01737777777777778</v>
      </c>
      <c r="G636" s="92">
        <f t="array" ref="G636">IF(B636="insumo",_xlfn.XLOOKUP($D636,Insumos!$B$1:$B$996,Insumos!$D$1:$D$996),"")</f>
        <v/>
      </c>
      <c r="H636" s="92" t="n">
        <v>23.46</v>
      </c>
      <c r="I636" s="2165" t="n">
        <v>0</v>
      </c>
      <c r="J636" s="2165" t="n">
        <v>0</v>
      </c>
      <c r="K636" s="2165" t="n"/>
    </row>
    <row r="637" outlineLevel="2" ht="12.75" customHeight="1">
      <c r="A637" s="1071" t="n">
        <v>1</v>
      </c>
      <c r="B637" s="1071" t="inlineStr">
        <is>
          <t>Serviço</t>
        </is>
      </c>
      <c r="C637" s="1071" t="inlineStr">
        <is>
          <t>Fabricação de Fôrma para Lajes, em Chapa de Madeira Compensada Resinada, E=17mm</t>
        </is>
      </c>
      <c r="D637" s="1071" t="inlineStr">
        <is>
          <t>Fabricação de Fôrma para Lajes, em Chapa de Madeira Compensada Resinada, E=17mm</t>
        </is>
      </c>
      <c r="E637" s="1068" t="inlineStr">
        <is>
          <t>M2</t>
        </is>
      </c>
      <c r="F637" s="1071" t="n"/>
      <c r="G637" s="1073">
        <f t="array" ref="G637">IF(B637="insumo",_xlfn.XLOOKUP($D637,Insumos!$B$1:$B$996,Insumos!$D$1:$D$996),"")</f>
        <v/>
      </c>
      <c r="H637" s="1073" t="n">
        <v>46.38483</v>
      </c>
      <c r="I637" s="2163" t="n">
        <v>0</v>
      </c>
      <c r="J637" s="2163" t="n">
        <v>0</v>
      </c>
      <c r="K637" s="2163" t="n"/>
    </row>
    <row r="638" outlineLevel="3" ht="12.75" customHeight="1">
      <c r="A638" s="82" t="n">
        <v>40</v>
      </c>
      <c r="B638" s="82" t="inlineStr">
        <is>
          <t>Insumo</t>
        </is>
      </c>
      <c r="C638" s="82" t="inlineStr">
        <is>
          <t>Fabricação de Fôrma para Lajes, em Chapa de Madeira Compensada Resinada, E=17mm</t>
        </is>
      </c>
      <c r="D638" s="82" t="inlineStr">
        <is>
          <t>PREGO DE ACO POLIDO COM CABECA 17 X 21 (2 X 11)</t>
        </is>
      </c>
      <c r="E638" s="11">
        <f t="array" ref="E638">_xlfn.XLOOKUP(D638,Insumos!B:B,Insumos!C:$C)</f>
        <v/>
      </c>
      <c r="F638" s="2164" t="n">
        <v>0.159</v>
      </c>
      <c r="G638" s="92">
        <f t="array" ref="G638">IF(B638="insumo",_xlfn.XLOOKUP($D638,Insumos!$B$1:$B$996,Insumos!$D$1:$D$996),"")</f>
        <v/>
      </c>
      <c r="H638" s="92" t="n">
        <v>2.88267</v>
      </c>
      <c r="I638" s="2165" t="n">
        <v>0</v>
      </c>
      <c r="J638" s="2165" t="n">
        <v>0</v>
      </c>
      <c r="K638" s="2165" t="n"/>
    </row>
    <row r="639" outlineLevel="3" ht="12.75" customHeight="1">
      <c r="A639" s="82" t="n">
        <v>4</v>
      </c>
      <c r="B639" s="82" t="inlineStr">
        <is>
          <t>Insumo</t>
        </is>
      </c>
      <c r="C639" s="82" t="inlineStr">
        <is>
          <t>Fabricação de Fôrma para Lajes, em Chapa de Madeira Compensada Resinada, E=17mm</t>
        </is>
      </c>
      <c r="D639" s="82" t="inlineStr">
        <is>
          <t>CHAPA/PAINEL DE MADEIRA COMPENSADA RESINADA, DE 2200 X 1100 MM, E = 17 MM</t>
        </is>
      </c>
      <c r="E639" s="11">
        <f t="array" ref="E639">_xlfn.XLOOKUP(D639,Insumos!B:B,Insumos!C:$C)</f>
        <v/>
      </c>
      <c r="F639" s="2164" t="n">
        <v>1.146</v>
      </c>
      <c r="G639" s="92">
        <f t="array" ref="G639">IF(B639="insumo",_xlfn.XLOOKUP($D639,Insumos!$B$1:$B$996,Insumos!$D$1:$D$996),"")</f>
        <v/>
      </c>
      <c r="H639" s="92" t="n">
        <v>43.50216</v>
      </c>
      <c r="I639" s="2165" t="n">
        <v>0</v>
      </c>
      <c r="J639" s="2165" t="n">
        <v>0</v>
      </c>
      <c r="K639" s="2165" t="n"/>
    </row>
    <row r="640" outlineLevel="2" ht="15.75" customHeight="1">
      <c r="A640" s="1067" t="n">
        <v>1</v>
      </c>
      <c r="B640" s="1067" t="inlineStr">
        <is>
          <t>Serviço</t>
        </is>
      </c>
      <c r="C640" s="1067" t="inlineStr">
        <is>
          <t>Fabricação de Fôrma para Supraestrutura, em Chapa de Madeira Compensada Resinada, E=20mm</t>
        </is>
      </c>
      <c r="D640" s="1067" t="inlineStr">
        <is>
          <t>Fabricação de Fôrma para Supraestrutura, em Chapa de Madeira Compensada Resinada, E=20mm</t>
        </is>
      </c>
      <c r="E640" s="1068" t="inlineStr">
        <is>
          <t>M2</t>
        </is>
      </c>
      <c r="F640" s="1067" t="n"/>
      <c r="G640" s="1069">
        <f t="array" ref="G640">IF(B640="insumo",_xlfn.XLOOKUP($D640,Insumos!$B$1:$B$996,Insumos!$D$1:$D$996),"")</f>
        <v/>
      </c>
      <c r="H640" s="1069" t="n">
        <v>108.035225950413</v>
      </c>
      <c r="I640" s="2161" t="n">
        <v>11715.3338181818</v>
      </c>
      <c r="J640" s="2161" t="n">
        <v>1265668.73613179</v>
      </c>
      <c r="K640" s="2161" t="n"/>
    </row>
    <row r="641" outlineLevel="3" ht="15.75" customHeight="1">
      <c r="A641" s="10" t="n">
        <v>40</v>
      </c>
      <c r="B641" s="10" t="inlineStr">
        <is>
          <t>Insumo</t>
        </is>
      </c>
      <c r="C641" s="10" t="inlineStr">
        <is>
          <t>Fabricação de Fôrma para Supraestrutura, em Chapa de Madeira Compensada Resinada, E=20mm</t>
        </is>
      </c>
      <c r="D641" s="10" t="inlineStr">
        <is>
          <t>PREGO DE ACO POLIDO COM CABECA 17 X 21 (2 X 11)</t>
        </is>
      </c>
      <c r="E641" s="11">
        <f t="array" ref="E641">_xlfn.XLOOKUP(D641,Insumos!B:B,Insumos!C:$C)</f>
        <v/>
      </c>
      <c r="F641" s="14" t="n">
        <v>0.208</v>
      </c>
      <c r="G641" s="92">
        <f t="array" ref="G641">IF(B641="insumo",_xlfn.XLOOKUP($D641,Insumos!$B$1:$B$996,Insumos!$D$1:$D$996),"")</f>
        <v/>
      </c>
      <c r="H641" s="92" t="n">
        <v>3.77104</v>
      </c>
      <c r="I641" s="2162" t="n">
        <v>11715.3338181818</v>
      </c>
      <c r="J641" s="2162" t="n">
        <v>44178.9924417163</v>
      </c>
      <c r="K641" s="2162" t="n"/>
    </row>
    <row r="642" outlineLevel="3" ht="15.75" customHeight="1">
      <c r="A642" s="10" t="n">
        <v>1</v>
      </c>
      <c r="B642" s="10" t="inlineStr">
        <is>
          <t>Insumo</t>
        </is>
      </c>
      <c r="C642" s="10" t="inlineStr">
        <is>
          <t>Fabricação de Fôrma para Supraestrutura, em Chapa de Madeira Compensada Resinada, E=20mm</t>
        </is>
      </c>
      <c r="D642" s="10" t="inlineStr">
        <is>
          <t>CHAPA/PAINEL DE MADEIRA COMPENSADA PLASTIFICADA, DE 2200 X 1100 MM, E = 20 MM</t>
        </is>
      </c>
      <c r="E642" s="11">
        <f t="array" ref="E642">_xlfn.XLOOKUP(D642,Insumos!B:B,Insumos!C:$C)</f>
        <v/>
      </c>
      <c r="F642" s="14" t="n">
        <v>0.755</v>
      </c>
      <c r="G642" s="92">
        <f t="array" ref="G642">IF(B642="insumo",_xlfn.XLOOKUP($D642,Insumos!$B$1:$B$996,Insumos!$D$1:$D$996),"")</f>
        <v/>
      </c>
      <c r="H642" s="92" t="n">
        <v>70.1026859504132</v>
      </c>
      <c r="I642" s="2162" t="n">
        <v>11715.3338181818</v>
      </c>
      <c r="J642" s="2162" t="n">
        <v>821276.367460254</v>
      </c>
      <c r="K642" s="2162" t="n"/>
    </row>
    <row r="643" outlineLevel="3" ht="15.75" customHeight="1">
      <c r="A643" s="10" t="n">
        <v>25</v>
      </c>
      <c r="B643" s="10" t="inlineStr">
        <is>
          <t>Insumo</t>
        </is>
      </c>
      <c r="C643" s="10" t="inlineStr">
        <is>
          <t>Fabricação de Fôrma para Supraestrutura, em Chapa de Madeira Compensada Resinada, E=20mm</t>
        </is>
      </c>
      <c r="D643" s="10" t="inlineStr">
        <is>
          <t>MADEIRA PINUS/SIMILAR - PONTALETE 75X75MM NBR 11700/15696</t>
        </is>
      </c>
      <c r="E643" s="11">
        <f t="array" ref="E643">_xlfn.XLOOKUP(D643,Insumos!B:B,Insumos!C:$C)</f>
        <v/>
      </c>
      <c r="F643" s="14" t="n">
        <v>0.4271428571428572</v>
      </c>
      <c r="G643" s="92">
        <f t="array" ref="G643">IF(B643="insumo",_xlfn.XLOOKUP($D643,Insumos!$B$1:$B$996,Insumos!$D$1:$D$996),"")</f>
        <v/>
      </c>
      <c r="H643" s="92" t="n">
        <v>2.99</v>
      </c>
      <c r="I643" s="2162" t="n">
        <v>11715.3338181818</v>
      </c>
      <c r="J643" s="2162" t="n">
        <v>35028.8481163636</v>
      </c>
      <c r="K643" s="2162" t="n"/>
    </row>
    <row r="644" outlineLevel="3" ht="15.75" customHeight="1">
      <c r="A644" s="10" t="n">
        <v>19</v>
      </c>
      <c r="B644" s="10" t="inlineStr">
        <is>
          <t>Insumo</t>
        </is>
      </c>
      <c r="C644" s="10" t="inlineStr">
        <is>
          <t>Fabricação de Fôrma para Supraestrutura, em Chapa de Madeira Compensada Resinada, E=20mm</t>
        </is>
      </c>
      <c r="D644" s="10" t="inlineStr">
        <is>
          <t>SARRAFO *2,5 X 7,5* CM EM PINUS, MISTA OU EQUIVALENTE DA REGIAO - BRUTA</t>
        </is>
      </c>
      <c r="E644" s="11">
        <f t="array" ref="E644">_xlfn.XLOOKUP(D644,Insumos!B:B,Insumos!C:$C)</f>
        <v/>
      </c>
      <c r="F644" s="14" t="n">
        <v>0.02309</v>
      </c>
      <c r="G644" s="92">
        <f t="array" ref="G644">IF(B644="insumo",_xlfn.XLOOKUP($D644,Insumos!$B$1:$B$996,Insumos!$D$1:$D$996),"")</f>
        <v/>
      </c>
      <c r="H644" s="92" t="n">
        <v>31.1715</v>
      </c>
      <c r="I644" s="2162" t="n">
        <v>11715.3338181818</v>
      </c>
      <c r="J644" s="2162" t="n">
        <v>365184.528113454</v>
      </c>
      <c r="K644" s="2162" t="n"/>
    </row>
    <row r="645" outlineLevel="2" ht="15.75" customHeight="1">
      <c r="A645" s="1067" t="n">
        <v>1</v>
      </c>
      <c r="B645" s="1067" t="inlineStr">
        <is>
          <t>Serviço</t>
        </is>
      </c>
      <c r="C645" s="1067" t="inlineStr">
        <is>
          <t>Montagem e Desmontagem de Fôrma de Supraestrutura</t>
        </is>
      </c>
      <c r="D645" s="1067" t="inlineStr">
        <is>
          <t>Montagem e Desmontagem de Fôrma de Supraestrutura</t>
        </is>
      </c>
      <c r="E645" s="1068" t="inlineStr">
        <is>
          <t>M2</t>
        </is>
      </c>
      <c r="F645" s="1067" t="n"/>
      <c r="G645" s="1069">
        <f t="array" ref="G645">IF(B645="insumo",_xlfn.XLOOKUP($D645,Insumos!$B$1:$B$996,Insumos!$D$1:$D$996),"")</f>
        <v/>
      </c>
      <c r="H645" s="1069" t="n">
        <v>3.9773488</v>
      </c>
      <c r="I645" s="2161" t="n">
        <v>42728.526</v>
      </c>
      <c r="J645" s="2161" t="n">
        <v>169946.251611869</v>
      </c>
      <c r="K645" s="2161" t="n"/>
    </row>
    <row r="646" outlineLevel="3" ht="15.75" customHeight="1">
      <c r="A646" s="10" t="n">
        <v>40</v>
      </c>
      <c r="B646" s="10" t="inlineStr">
        <is>
          <t>Insumo</t>
        </is>
      </c>
      <c r="C646" s="10" t="inlineStr">
        <is>
          <t>Montagem e Desmontagem de Fôrma de Supraestrutura</t>
        </is>
      </c>
      <c r="D646" s="10" t="inlineStr">
        <is>
          <t>PREGO DE ACO POLIDO COM CABECA 17 X 21 (2 X 11)</t>
        </is>
      </c>
      <c r="E646" s="11">
        <f t="array" ref="E646">_xlfn.XLOOKUP(D646,Insumos!B:B,Insumos!C:$C)</f>
        <v/>
      </c>
      <c r="F646" s="14" t="n">
        <v>0.027</v>
      </c>
      <c r="G646" s="92">
        <f t="array" ref="G646">IF(B646="insumo",_xlfn.XLOOKUP($D646,Insumos!$B$1:$B$996,Insumos!$D$1:$D$996),"")</f>
        <v/>
      </c>
      <c r="H646" s="92" t="n">
        <v>0.48951</v>
      </c>
      <c r="I646" s="2162" t="n">
        <v>42728.526</v>
      </c>
      <c r="J646" s="2162" t="n">
        <v>20916.04076226</v>
      </c>
      <c r="K646" s="2162" t="n"/>
    </row>
    <row r="647" outlineLevel="3" ht="15.75" customHeight="1">
      <c r="A647" s="10" t="n">
        <v>10</v>
      </c>
      <c r="B647" s="10" t="inlineStr">
        <is>
          <t>Insumo</t>
        </is>
      </c>
      <c r="C647" s="10" t="inlineStr">
        <is>
          <t>Montagem e Desmontagem de Fôrma de Supraestrutura</t>
        </is>
      </c>
      <c r="D647" s="10" t="inlineStr">
        <is>
          <t xml:space="preserve">DESMOLDANTE PROTETOR PARA FORMAS DE MADEIRA, DE BASE OLEOSA EMULSIONADA EM AGUA   </t>
        </is>
      </c>
      <c r="E647" s="11">
        <f t="array" ref="E647">_xlfn.XLOOKUP(D647,Insumos!B:B,Insumos!C:$C)</f>
        <v/>
      </c>
      <c r="F647" s="14" t="n">
        <v>0.013</v>
      </c>
      <c r="G647" s="92">
        <f t="array" ref="G647">IF(B647="insumo",_xlfn.XLOOKUP($D647,Insumos!$B$1:$B$996,Insumos!$D$1:$D$996),"")</f>
        <v/>
      </c>
      <c r="H647" s="92" t="n">
        <v>0.20215</v>
      </c>
      <c r="I647" s="2162" t="n">
        <v>42728.526</v>
      </c>
      <c r="J647" s="2162" t="n">
        <v>8637.571530900001</v>
      </c>
      <c r="K647" s="2162" t="n"/>
    </row>
    <row r="648" outlineLevel="3" ht="15.75" customHeight="1">
      <c r="A648" s="10" t="n">
        <v>25</v>
      </c>
      <c r="B648" s="10" t="inlineStr">
        <is>
          <t>Insumo</t>
        </is>
      </c>
      <c r="C648" s="10" t="inlineStr">
        <is>
          <t>Montagem e Desmontagem de Fôrma de Supraestrutura</t>
        </is>
      </c>
      <c r="D648" s="10" t="inlineStr">
        <is>
          <t>MADEIRA PINUS/SIMILAR - PONTALETE 75X75MM NBR 11700/15696</t>
        </is>
      </c>
      <c r="E648" s="11">
        <f t="array" ref="E648">_xlfn.XLOOKUP(D648,Insumos!B:B,Insumos!C:$C)</f>
        <v/>
      </c>
      <c r="F648" s="14" t="n">
        <v>0.2857142857142857</v>
      </c>
      <c r="G648" s="92">
        <f t="array" ref="G648">IF(B648="insumo",_xlfn.XLOOKUP($D648,Insumos!$B$1:$B$996,Insumos!$D$1:$D$996),"")</f>
        <v/>
      </c>
      <c r="H648" s="92" t="n">
        <v>2</v>
      </c>
      <c r="I648" s="2162" t="n">
        <v>42728.526</v>
      </c>
      <c r="J648" s="2162" t="n">
        <v>85457.052</v>
      </c>
      <c r="K648" s="2162" t="n"/>
    </row>
    <row r="649" outlineLevel="3" ht="15.75" customHeight="1">
      <c r="A649" s="10" t="n">
        <v>6</v>
      </c>
      <c r="B649" s="10" t="inlineStr">
        <is>
          <t>Insumo</t>
        </is>
      </c>
      <c r="C649" s="10" t="inlineStr">
        <is>
          <t>Montagem e Desmontagem de Fôrma de Supraestrutura</t>
        </is>
      </c>
      <c r="D649" s="10" t="inlineStr">
        <is>
          <t>TABUA *2,5 X 30 CM EM PINUS, MISTA OU EQUIVALENTE DA REGIAO - BRUTA (M)</t>
        </is>
      </c>
      <c r="E649" s="11">
        <f t="array" ref="E649">_xlfn.XLOOKUP(D649,Insumos!B:B,Insumos!C:$C)</f>
        <v/>
      </c>
      <c r="F649" s="14" t="n">
        <v>0.03028</v>
      </c>
      <c r="G649" s="92">
        <f t="array" ref="G649">IF(B649="insumo",_xlfn.XLOOKUP($D649,Insumos!$B$1:$B$996,Insumos!$D$1:$D$996),"")</f>
        <v/>
      </c>
      <c r="H649" s="92" t="n">
        <v>1.2856888</v>
      </c>
      <c r="I649" s="2162" t="n">
        <v>42728.526</v>
      </c>
      <c r="J649" s="2162" t="n">
        <v>54935.5873187088</v>
      </c>
      <c r="K649" s="2162" t="n"/>
    </row>
    <row r="650" outlineLevel="2" ht="15.75" customHeight="1">
      <c r="A650" s="1067" t="n">
        <v>1</v>
      </c>
      <c r="B650" s="1067" t="inlineStr">
        <is>
          <t>Serviço</t>
        </is>
      </c>
      <c r="C650" s="1067" t="inlineStr">
        <is>
          <t>Montagem e Desmontagem de Fôrma de Pilares</t>
        </is>
      </c>
      <c r="D650" s="1067" t="inlineStr">
        <is>
          <t>Montagem e Desmontagem de Fôrma de Pilares</t>
        </is>
      </c>
      <c r="E650" s="1068" t="inlineStr">
        <is>
          <t>M2</t>
        </is>
      </c>
      <c r="F650" s="1067" t="n"/>
      <c r="G650" s="1069">
        <f t="array" ref="G650">IF(B650="insumo",_xlfn.XLOOKUP($D650,Insumos!$B$1:$B$996,Insumos!$D$1:$D$996),"")</f>
        <v/>
      </c>
      <c r="H650" s="1069" t="n">
        <v>0.6916600000000001</v>
      </c>
      <c r="I650" s="2161" t="n">
        <v>0</v>
      </c>
      <c r="J650" s="2161" t="n">
        <v>0</v>
      </c>
      <c r="K650" s="2161" t="n"/>
    </row>
    <row r="651" outlineLevel="3" ht="15.75" customHeight="1">
      <c r="A651" s="10" t="n">
        <v>40</v>
      </c>
      <c r="B651" s="10" t="inlineStr">
        <is>
          <t>Insumo</t>
        </is>
      </c>
      <c r="C651" s="10" t="inlineStr">
        <is>
          <t>Montagem e Desmontagem de Fôrma de Pilares</t>
        </is>
      </c>
      <c r="D651" s="10" t="inlineStr">
        <is>
          <t>PREGO DE ACO POLIDO COM CABECA 17 X 21 (2 X 11)</t>
        </is>
      </c>
      <c r="E651" s="11">
        <f t="array" ref="E651">_xlfn.XLOOKUP(D651,Insumos!B:B,Insumos!C:$C)</f>
        <v/>
      </c>
      <c r="F651" s="14" t="n">
        <v>0.027</v>
      </c>
      <c r="G651" s="92">
        <f t="array" ref="G651">IF(B651="insumo",_xlfn.XLOOKUP($D651,Insumos!$B$1:$B$996,Insumos!$D$1:$D$996),"")</f>
        <v/>
      </c>
      <c r="H651" s="92" t="n">
        <v>0.48951</v>
      </c>
      <c r="I651" s="2162" t="n">
        <v>0</v>
      </c>
      <c r="J651" s="2162" t="n">
        <v>0</v>
      </c>
      <c r="K651" s="2162" t="n"/>
    </row>
    <row r="652" outlineLevel="3" ht="15.75" customHeight="1">
      <c r="A652" s="10" t="n">
        <v>10</v>
      </c>
      <c r="B652" s="10" t="inlineStr">
        <is>
          <t>Insumo</t>
        </is>
      </c>
      <c r="C652" s="10" t="inlineStr">
        <is>
          <t>Montagem e Desmontagem de Fôrma de Pilares</t>
        </is>
      </c>
      <c r="D652" s="10" t="inlineStr">
        <is>
          <t xml:space="preserve">DESMOLDANTE PROTETOR PARA FORMAS DE MADEIRA, DE BASE OLEOSA EMULSIONADA EM AGUA   </t>
        </is>
      </c>
      <c r="E652" s="11">
        <f t="array" ref="E652">_xlfn.XLOOKUP(D652,Insumos!B:B,Insumos!C:$C)</f>
        <v/>
      </c>
      <c r="F652" s="14" t="n">
        <v>0.013</v>
      </c>
      <c r="G652" s="92">
        <f t="array" ref="G652">IF(B652="insumo",_xlfn.XLOOKUP($D652,Insumos!$B$1:$B$996,Insumos!$D$1:$D$996),"")</f>
        <v/>
      </c>
      <c r="H652" s="92" t="n">
        <v>0.20215</v>
      </c>
      <c r="I652" s="2162" t="n">
        <v>0</v>
      </c>
      <c r="J652" s="2162" t="n">
        <v>0</v>
      </c>
      <c r="K652" s="2162" t="n"/>
    </row>
    <row r="653" outlineLevel="2" ht="16.5" customHeight="1">
      <c r="A653" s="1067" t="n">
        <v>1</v>
      </c>
      <c r="B653" s="1067" t="inlineStr">
        <is>
          <t>Serviço</t>
        </is>
      </c>
      <c r="C653" s="1067" t="inlineStr">
        <is>
          <t>Montagem e Desmontagem de Fôrma de Vigas</t>
        </is>
      </c>
      <c r="D653" s="1067" t="inlineStr">
        <is>
          <t>Montagem e Desmontagem de Fôrma de Vigas</t>
        </is>
      </c>
      <c r="E653" s="1068" t="inlineStr">
        <is>
          <t>M2</t>
        </is>
      </c>
      <c r="F653" s="1067" t="n"/>
      <c r="G653" s="1069">
        <f t="array" ref="G653">IF(B653="insumo",_xlfn.XLOOKUP($D653,Insumos!$B$1:$B$996,Insumos!$D$1:$D$996),"")</f>
        <v/>
      </c>
      <c r="H653" s="1069" t="n">
        <v>4.6844188</v>
      </c>
      <c r="I653" s="2161" t="n">
        <v>0</v>
      </c>
      <c r="J653" s="2161" t="n">
        <v>0</v>
      </c>
      <c r="K653" s="2161" t="n"/>
    </row>
    <row r="654" outlineLevel="3" ht="15.75" customHeight="1">
      <c r="A654" s="10" t="n">
        <v>40</v>
      </c>
      <c r="B654" s="10" t="inlineStr">
        <is>
          <t>Insumo</t>
        </is>
      </c>
      <c r="C654" s="10" t="inlineStr">
        <is>
          <t>Montagem e Desmontagem de Fôrma de Vigas</t>
        </is>
      </c>
      <c r="D654" s="10" t="inlineStr">
        <is>
          <t>PREGO DE ACO POLIDO COM CABECA 17 X 21 (2 X 11)</t>
        </is>
      </c>
      <c r="E654" s="11">
        <f t="array" ref="E654">_xlfn.XLOOKUP(D654,Insumos!B:B,Insumos!C:$C)</f>
        <v/>
      </c>
      <c r="F654" s="14" t="n">
        <v>0.066</v>
      </c>
      <c r="G654" s="92">
        <f t="array" ref="G654">IF(B654="insumo",_xlfn.XLOOKUP($D654,Insumos!$B$1:$B$996,Insumos!$D$1:$D$996),"")</f>
        <v/>
      </c>
      <c r="H654" s="92" t="n">
        <v>1.19658</v>
      </c>
      <c r="I654" s="2162" t="n">
        <v>0</v>
      </c>
      <c r="J654" s="2162" t="n">
        <v>0</v>
      </c>
      <c r="K654" s="2162" t="n"/>
    </row>
    <row r="655" outlineLevel="3" ht="15.75" customHeight="1">
      <c r="A655" s="10" t="n">
        <v>10</v>
      </c>
      <c r="B655" s="10" t="inlineStr">
        <is>
          <t>Insumo</t>
        </is>
      </c>
      <c r="C655" s="10" t="inlineStr">
        <is>
          <t>Montagem e Desmontagem de Fôrma de Vigas</t>
        </is>
      </c>
      <c r="D655" s="10" t="inlineStr">
        <is>
          <t xml:space="preserve">DESMOLDANTE PROTETOR PARA FORMAS DE MADEIRA, DE BASE OLEOSA EMULSIONADA EM AGUA   </t>
        </is>
      </c>
      <c r="E655" s="11">
        <f t="array" ref="E655">_xlfn.XLOOKUP(D655,Insumos!B:B,Insumos!C:$C)</f>
        <v/>
      </c>
      <c r="F655" s="14" t="n">
        <v>0.013</v>
      </c>
      <c r="G655" s="92">
        <f t="array" ref="G655">IF(B655="insumo",_xlfn.XLOOKUP($D655,Insumos!$B$1:$B$996,Insumos!$D$1:$D$996),"")</f>
        <v/>
      </c>
      <c r="H655" s="92" t="n">
        <v>0.20215</v>
      </c>
      <c r="I655" s="2162" t="n">
        <v>0</v>
      </c>
      <c r="J655" s="2162" t="n">
        <v>0</v>
      </c>
      <c r="K655" s="2162" t="n"/>
    </row>
    <row r="656" outlineLevel="3" ht="15.75" customHeight="1">
      <c r="A656" s="10" t="n">
        <v>25</v>
      </c>
      <c r="B656" s="10" t="inlineStr">
        <is>
          <t>Insumo</t>
        </is>
      </c>
      <c r="C656" s="10" t="inlineStr">
        <is>
          <t>Montagem e Desmontagem de Fôrma de Vigas</t>
        </is>
      </c>
      <c r="D656" s="10" t="inlineStr">
        <is>
          <t>MADEIRA PINUS/SIMILAR - PONTALETE 75X75MM NBR 11700/15696</t>
        </is>
      </c>
      <c r="E656" s="11">
        <f t="array" ref="E656">_xlfn.XLOOKUP(D656,Insumos!B:B,Insumos!C:$C)</f>
        <v/>
      </c>
      <c r="F656" s="14" t="n">
        <v>0.2857142857142857</v>
      </c>
      <c r="G656" s="92">
        <f t="array" ref="G656">IF(B656="insumo",_xlfn.XLOOKUP($D656,Insumos!$B$1:$B$996,Insumos!$D$1:$D$996),"")</f>
        <v/>
      </c>
      <c r="H656" s="92" t="n">
        <v>2</v>
      </c>
      <c r="I656" s="2162" t="n">
        <v>0</v>
      </c>
      <c r="J656" s="2162" t="n">
        <v>0</v>
      </c>
      <c r="K656" s="2162" t="n"/>
    </row>
    <row r="657" outlineLevel="3" ht="15.75" customHeight="1">
      <c r="A657" s="10" t="n">
        <v>6</v>
      </c>
      <c r="B657" s="10" t="inlineStr">
        <is>
          <t>Insumo</t>
        </is>
      </c>
      <c r="C657" s="10" t="inlineStr">
        <is>
          <t>Montagem e Desmontagem de Fôrma de Vigas</t>
        </is>
      </c>
      <c r="D657" s="10" t="inlineStr">
        <is>
          <t>TABUA *2,5 X 30 CM EM PINUS, MISTA OU EQUIVALENTE DA REGIAO - BRUTA (M)</t>
        </is>
      </c>
      <c r="E657" s="11">
        <f t="array" ref="E657">_xlfn.XLOOKUP(D657,Insumos!B:B,Insumos!C:$C)</f>
        <v/>
      </c>
      <c r="F657" s="14" t="n">
        <v>0.03028</v>
      </c>
      <c r="G657" s="92">
        <f t="array" ref="G657">IF(B657="insumo",_xlfn.XLOOKUP($D657,Insumos!$B$1:$B$996,Insumos!$D$1:$D$996),"")</f>
        <v/>
      </c>
      <c r="H657" s="92" t="n">
        <v>1.2856888</v>
      </c>
      <c r="I657" s="2162" t="n">
        <v>0</v>
      </c>
      <c r="J657" s="2162" t="n">
        <v>0</v>
      </c>
      <c r="K657" s="2162" t="n"/>
    </row>
    <row r="658" outlineLevel="2" ht="15.75" customHeight="1">
      <c r="A658" s="1067" t="n">
        <v>1</v>
      </c>
      <c r="B658" s="1067" t="inlineStr">
        <is>
          <t>Serviço</t>
        </is>
      </c>
      <c r="C658" s="1067" t="inlineStr">
        <is>
          <t>Montagem e Desmontagem de Fôrma de Lajes</t>
        </is>
      </c>
      <c r="D658" s="1067" t="inlineStr">
        <is>
          <t>Montagem e Desmontagem de Fôrma de Lajes</t>
        </is>
      </c>
      <c r="E658" s="1068" t="inlineStr">
        <is>
          <t>M2</t>
        </is>
      </c>
      <c r="F658" s="1067" t="n"/>
      <c r="G658" s="1069">
        <f t="array" ref="G658">IF(B658="insumo",_xlfn.XLOOKUP($D658,Insumos!$B$1:$B$996,Insumos!$D$1:$D$996),"")</f>
        <v/>
      </c>
      <c r="H658" s="1069" t="n">
        <v>0.6916600000000001</v>
      </c>
      <c r="I658" s="2161" t="n">
        <v>0</v>
      </c>
      <c r="J658" s="2161" t="n">
        <v>0</v>
      </c>
      <c r="K658" s="2161" t="n"/>
    </row>
    <row r="659" outlineLevel="3" ht="15.75" customHeight="1">
      <c r="A659" s="10" t="n">
        <v>40</v>
      </c>
      <c r="B659" s="10" t="inlineStr">
        <is>
          <t>Insumo</t>
        </is>
      </c>
      <c r="C659" s="10" t="inlineStr">
        <is>
          <t>Montagem e Desmontagem de Fôrma de Lajes</t>
        </is>
      </c>
      <c r="D659" s="10" t="inlineStr">
        <is>
          <t>PREGO DE ACO POLIDO COM CABECA 17 X 21 (2 X 11)</t>
        </is>
      </c>
      <c r="E659" s="11">
        <f t="array" ref="E659">_xlfn.XLOOKUP(D659,Insumos!B:B,Insumos!C:$C)</f>
        <v/>
      </c>
      <c r="F659" s="14" t="n">
        <v>0.027</v>
      </c>
      <c r="G659" s="92">
        <f t="array" ref="G659">IF(B659="insumo",_xlfn.XLOOKUP($D659,Insumos!$B$1:$B$996,Insumos!$D$1:$D$996),"")</f>
        <v/>
      </c>
      <c r="H659" s="92" t="n">
        <v>0.48951</v>
      </c>
      <c r="I659" s="2162" t="n">
        <v>0</v>
      </c>
      <c r="J659" s="2162" t="n">
        <v>0</v>
      </c>
      <c r="K659" s="2162" t="n"/>
    </row>
    <row r="660" outlineLevel="3" ht="15.75" customHeight="1">
      <c r="A660" s="10" t="n">
        <v>10</v>
      </c>
      <c r="B660" s="10" t="inlineStr">
        <is>
          <t>Insumo</t>
        </is>
      </c>
      <c r="C660" s="10" t="inlineStr">
        <is>
          <t>Montagem e Desmontagem de Fôrma de Lajes</t>
        </is>
      </c>
      <c r="D660" s="10" t="inlineStr">
        <is>
          <t xml:space="preserve">DESMOLDANTE PROTETOR PARA FORMAS DE MADEIRA, DE BASE OLEOSA EMULSIONADA EM AGUA   </t>
        </is>
      </c>
      <c r="E660" s="11">
        <f t="array" ref="E660">_xlfn.XLOOKUP(D660,Insumos!B:B,Insumos!C:$C)</f>
        <v/>
      </c>
      <c r="F660" s="14" t="n">
        <v>0.013</v>
      </c>
      <c r="G660" s="92">
        <f t="array" ref="G660">IF(B660="insumo",_xlfn.XLOOKUP($D660,Insumos!$B$1:$B$996,Insumos!$D$1:$D$996),"")</f>
        <v/>
      </c>
      <c r="H660" s="92" t="n">
        <v>0.20215</v>
      </c>
      <c r="I660" s="2162" t="n">
        <v>0</v>
      </c>
      <c r="J660" s="2162" t="n">
        <v>0</v>
      </c>
      <c r="K660" s="2162" t="n"/>
    </row>
    <row r="661" outlineLevel="2" ht="16.5" customHeight="1">
      <c r="A661" s="1071" t="n">
        <v>1</v>
      </c>
      <c r="B661" s="1071" t="inlineStr">
        <is>
          <t>Serviço</t>
        </is>
      </c>
      <c r="C661" s="1071" t="inlineStr">
        <is>
          <t>Montagem e Desmontagem de Fôrma de Escadas</t>
        </is>
      </c>
      <c r="D661" s="1071" t="inlineStr">
        <is>
          <t>Montagem e Desmontagem de Fôrma de Escadas</t>
        </is>
      </c>
      <c r="E661" s="1072" t="inlineStr">
        <is>
          <t>M2</t>
        </is>
      </c>
      <c r="F661" s="1071" t="n"/>
      <c r="G661" s="1073">
        <f t="array" ref="G661">IF(B661="insumo",_xlfn.XLOOKUP($D661,Insumos!$B$1:$B$996,Insumos!$D$1:$D$996),"")</f>
        <v/>
      </c>
      <c r="H661" s="1073" t="n">
        <v>0.9871799999999999</v>
      </c>
      <c r="I661" s="2163" t="n">
        <v>0</v>
      </c>
      <c r="J661" s="2163" t="n">
        <v>0</v>
      </c>
      <c r="K661" s="2163" t="n"/>
    </row>
    <row r="662" outlineLevel="3" ht="12.75" customHeight="1">
      <c r="A662" s="82" t="n">
        <v>3</v>
      </c>
      <c r="B662" s="82" t="inlineStr">
        <is>
          <t>Insumo</t>
        </is>
      </c>
      <c r="C662" s="82" t="inlineStr">
        <is>
          <t>Montagem e Desmontagem de Fôrma de Escadas</t>
        </is>
      </c>
      <c r="D662" s="82" t="inlineStr">
        <is>
          <t>PREGO DE ACO POLIDO COM CABECA 15 X 15 (1 1/4 X 13)</t>
        </is>
      </c>
      <c r="E662" s="11">
        <f t="array" ref="E662">_xlfn.XLOOKUP(D662,Insumos!B:B,Insumos!C:$C)</f>
        <v/>
      </c>
      <c r="F662" s="2164" t="n">
        <v>0.021</v>
      </c>
      <c r="G662" s="92">
        <f t="array" ref="G662">IF(B662="insumo",_xlfn.XLOOKUP($D662,Insumos!$B$1:$B$996,Insumos!$D$1:$D$996),"")</f>
        <v/>
      </c>
      <c r="H662" s="92" t="n">
        <v>0.37023</v>
      </c>
      <c r="I662" s="2165" t="n">
        <v>0</v>
      </c>
      <c r="J662" s="2165" t="n">
        <v>0</v>
      </c>
      <c r="K662" s="2165" t="n"/>
    </row>
    <row r="663" outlineLevel="3" ht="12.75" customHeight="1">
      <c r="A663" s="82" t="n">
        <v>10</v>
      </c>
      <c r="B663" s="82" t="inlineStr">
        <is>
          <t>Insumo</t>
        </is>
      </c>
      <c r="C663" s="82" t="inlineStr">
        <is>
          <t>Montagem e Desmontagem de Fôrma de Escadas</t>
        </is>
      </c>
      <c r="D663" s="82" t="inlineStr">
        <is>
          <t xml:space="preserve">DESMOLDANTE PROTETOR PARA FORMAS DE MADEIRA, DE BASE OLEOSA EMULSIONADA EM AGUA   </t>
        </is>
      </c>
      <c r="E663" s="11">
        <f t="array" ref="E663">_xlfn.XLOOKUP(D663,Insumos!B:B,Insumos!C:$C)</f>
        <v/>
      </c>
      <c r="F663" s="2164" t="n">
        <v>0.004</v>
      </c>
      <c r="G663" s="92">
        <f t="array" ref="G663">IF(B663="insumo",_xlfn.XLOOKUP($D663,Insumos!$B$1:$B$996,Insumos!$D$1:$D$996),"")</f>
        <v/>
      </c>
      <c r="H663" s="92" t="n">
        <v>0.0622</v>
      </c>
      <c r="I663" s="2165" t="n">
        <v>0</v>
      </c>
      <c r="J663" s="2165" t="n">
        <v>0</v>
      </c>
      <c r="K663" s="2165" t="n"/>
    </row>
    <row r="664" outlineLevel="3" ht="12.75" customHeight="1">
      <c r="A664" s="82" t="n">
        <v>2</v>
      </c>
      <c r="B664" s="82" t="inlineStr">
        <is>
          <t>Insumo</t>
        </is>
      </c>
      <c r="C664" s="82" t="inlineStr">
        <is>
          <t>Montagem e Desmontagem de Fôrma de Escadas</t>
        </is>
      </c>
      <c r="D664" s="82" t="inlineStr">
        <is>
          <t>PREGO DE ACO POLIDO COM CABECA 17 X 24 (2 1/4 X11)</t>
        </is>
      </c>
      <c r="E664" s="11">
        <f t="array" ref="E664">_xlfn.XLOOKUP(D664,Insumos!B:B,Insumos!C:$C)</f>
        <v/>
      </c>
      <c r="F664" s="2164" t="n">
        <v>0.035</v>
      </c>
      <c r="G664" s="92">
        <f t="array" ref="G664">IF(B664="insumo",_xlfn.XLOOKUP($D664,Insumos!$B$1:$B$996,Insumos!$D$1:$D$996),"")</f>
        <v/>
      </c>
      <c r="H664" s="92" t="n">
        <v>0.55475</v>
      </c>
      <c r="I664" s="2165" t="n">
        <v>0</v>
      </c>
      <c r="J664" s="2165" t="n">
        <v>0</v>
      </c>
      <c r="K664" s="2165" t="n"/>
    </row>
    <row r="665" outlineLevel="1" ht="15.75" customHeight="1">
      <c r="A665" s="1090" t="n">
        <v>4</v>
      </c>
      <c r="B665" s="1090" t="inlineStr">
        <is>
          <t>Subetapa</t>
        </is>
      </c>
      <c r="C665" s="1090" t="inlineStr">
        <is>
          <t>Montagem e Desmontagem de Fôrma de Escadas</t>
        </is>
      </c>
      <c r="D665" s="1090" t="inlineStr">
        <is>
          <t>ARMADURA</t>
        </is>
      </c>
      <c r="E665" s="1091" t="n"/>
      <c r="F665" s="2160" t="n"/>
      <c r="G665" s="1091" t="n"/>
      <c r="H665" s="1091" t="n">
        <v>0</v>
      </c>
      <c r="I665" s="2160" t="n">
        <v>0</v>
      </c>
      <c r="J665" s="2160" t="n">
        <v>0</v>
      </c>
      <c r="K665" s="2160" t="n"/>
    </row>
    <row r="666" outlineLevel="2" ht="15.75" customHeight="1">
      <c r="A666" s="1067" t="n">
        <v>1</v>
      </c>
      <c r="B666" s="1067" t="inlineStr">
        <is>
          <t>Serviço</t>
        </is>
      </c>
      <c r="C666" s="1067" t="inlineStr">
        <is>
          <t>Armação Aço CA-60, Diâmetro de 5,0mm para Supraestrutura, Corte e Dobra em Obra</t>
        </is>
      </c>
      <c r="D666" s="1067" t="inlineStr">
        <is>
          <t>Armação Aço CA-60, Diâmetro de 5,0mm para Supraestrutura, Corte e Dobra em Obra</t>
        </is>
      </c>
      <c r="E666" s="1068" t="inlineStr">
        <is>
          <t>KG</t>
        </is>
      </c>
      <c r="F666" s="1067" t="n"/>
      <c r="G666" s="1069">
        <f t="array" ref="G666">IF(B666="insumo",_xlfn.XLOOKUP($D666,Insumos!$B$1:$B$996,Insumos!$D$1:$D$996),"")</f>
        <v/>
      </c>
      <c r="H666" s="1069" t="n">
        <v>7.0540466249184</v>
      </c>
      <c r="I666" s="2161" t="n">
        <v>0</v>
      </c>
      <c r="J666" s="2161" t="n">
        <v>0</v>
      </c>
      <c r="K666" s="2161" t="n"/>
    </row>
    <row r="667" outlineLevel="3" ht="15.75" customHeight="1">
      <c r="A667" s="10" t="n">
        <v>5</v>
      </c>
      <c r="B667" s="10" t="inlineStr">
        <is>
          <t>Insumo</t>
        </is>
      </c>
      <c r="C667" s="10" t="inlineStr">
        <is>
          <t>Armação Aço CA-60, Diâmetro de 5,0mm para Supraestrutura, Corte e Dobra em Obra</t>
        </is>
      </c>
      <c r="D667" s="10" t="inlineStr">
        <is>
          <t>Aço CA60 5,0mm</t>
        </is>
      </c>
      <c r="E667" s="11">
        <f t="array" ref="E667">_xlfn.XLOOKUP(D667,Insumos!B:B,Insumos!C:$C)</f>
        <v/>
      </c>
      <c r="F667" s="14" t="n">
        <v>1.1</v>
      </c>
      <c r="G667" s="92">
        <f t="array" ref="G667">IF(B667="insumo",_xlfn.XLOOKUP($D667,Insumos!$B$1:$B$996,Insumos!$D$1:$D$996),"")</f>
        <v/>
      </c>
      <c r="H667" s="92" t="n">
        <v>6.7590816249184</v>
      </c>
      <c r="I667" s="2162" t="n">
        <v>0</v>
      </c>
      <c r="J667" s="2162" t="n">
        <v>0</v>
      </c>
      <c r="K667" s="2162" t="n"/>
    </row>
    <row r="668" outlineLevel="3" ht="15.75" customHeight="1">
      <c r="A668" s="10" t="n">
        <v>21</v>
      </c>
      <c r="B668" s="10" t="inlineStr">
        <is>
          <t>Insumo</t>
        </is>
      </c>
      <c r="C668" s="10" t="inlineStr">
        <is>
          <t>Armação Aço CA-60, Diâmetro de 5,0mm para Supraestrutura, Corte e Dobra em Obra</t>
        </is>
      </c>
      <c r="D668" s="10" t="inlineStr">
        <is>
          <t xml:space="preserve">Arame Recozido BWG 18 </t>
        </is>
      </c>
      <c r="E668" s="11">
        <f t="array" ref="E668">_xlfn.XLOOKUP(D668,Insumos!B:B,Insumos!C:$C)</f>
        <v/>
      </c>
      <c r="F668" s="14" t="n">
        <v>0.0205</v>
      </c>
      <c r="G668" s="92">
        <f t="array" ref="G668">IF(B668="insumo",_xlfn.XLOOKUP($D668,Insumos!$B$1:$B$996,Insumos!$D$1:$D$996),"")</f>
        <v/>
      </c>
      <c r="H668" s="92" t="n">
        <v>0.281465</v>
      </c>
      <c r="I668" s="2162" t="n">
        <v>0</v>
      </c>
      <c r="J668" s="2162" t="n">
        <v>0</v>
      </c>
      <c r="K668" s="2162" t="n"/>
    </row>
    <row r="669" outlineLevel="3" ht="15.75" customHeight="1">
      <c r="A669" s="10" t="n">
        <v>62</v>
      </c>
      <c r="B669" s="10" t="inlineStr">
        <is>
          <t>Insumo</t>
        </is>
      </c>
      <c r="C669" s="10" t="inlineStr">
        <is>
          <t>Armação Aço CA-60, Diâmetro de 5,0mm para Supraestrutura, Corte e Dobra em Obra</t>
        </is>
      </c>
      <c r="D669" s="10" t="inlineStr">
        <is>
          <t>Espaçador para armadura</t>
        </is>
      </c>
      <c r="E669" s="11">
        <f t="array" ref="E669">_xlfn.XLOOKUP(D669,Insumos!B:B,Insumos!C:$C)</f>
        <v/>
      </c>
      <c r="F669" s="14" t="n">
        <v>0.05</v>
      </c>
      <c r="G669" s="92">
        <f t="array" ref="G669">IF(B669="insumo",_xlfn.XLOOKUP($D669,Insumos!$B$1:$B$996,Insumos!$D$1:$D$996),"")</f>
        <v/>
      </c>
      <c r="H669" s="92" t="n">
        <v>0.0135</v>
      </c>
      <c r="I669" s="2162" t="n">
        <v>0</v>
      </c>
      <c r="J669" s="2162" t="n">
        <v>0</v>
      </c>
      <c r="K669" s="2162" t="n"/>
    </row>
    <row r="670" outlineLevel="2" ht="15.75" customHeight="1">
      <c r="A670" s="1067" t="n">
        <v>1</v>
      </c>
      <c r="B670" s="1067" t="inlineStr">
        <is>
          <t>Serviço</t>
        </is>
      </c>
      <c r="C670" s="1067" t="inlineStr">
        <is>
          <t>Armação Aço CA-50, Diâmetro de 6,3mm para Supraestrutura, Corte e Dobra em Obra</t>
        </is>
      </c>
      <c r="D670" s="1067" t="inlineStr">
        <is>
          <t>Armação Aço CA-50, Diâmetro de 6,3mm para Supraestrutura, Corte e Dobra em Obra</t>
        </is>
      </c>
      <c r="E670" s="1068" t="inlineStr">
        <is>
          <t>KG</t>
        </is>
      </c>
      <c r="F670" s="1067" t="n"/>
      <c r="G670" s="1069">
        <f t="array" ref="G670">IF(B670="insumo",_xlfn.XLOOKUP($D670,Insumos!$B$1:$B$996,Insumos!$D$1:$D$996),"")</f>
        <v/>
      </c>
      <c r="H670" s="1069" t="n">
        <v>6.0803873937957</v>
      </c>
      <c r="I670" s="2161" t="n">
        <v>0</v>
      </c>
      <c r="J670" s="2161" t="n">
        <v>0</v>
      </c>
      <c r="K670" s="2161" t="n"/>
    </row>
    <row r="671" outlineLevel="3" ht="15.75" customHeight="1">
      <c r="A671" s="10" t="n">
        <v>4</v>
      </c>
      <c r="B671" s="10" t="inlineStr">
        <is>
          <t>Insumo</t>
        </is>
      </c>
      <c r="C671" s="10" t="inlineStr">
        <is>
          <t>Armação Aço CA-50, Diâmetro de 6,3mm para Supraestrutura, Corte e Dobra em Obra</t>
        </is>
      </c>
      <c r="D671" s="10" t="inlineStr">
        <is>
          <t>Aço CA50 6,3 mm</t>
        </is>
      </c>
      <c r="E671" s="11">
        <f t="array" ref="E671">_xlfn.XLOOKUP(D671,Insumos!B:B,Insumos!C:$C)</f>
        <v/>
      </c>
      <c r="F671" s="14" t="n">
        <v>1.1</v>
      </c>
      <c r="G671" s="92">
        <f t="array" ref="G671">IF(B671="insumo",_xlfn.XLOOKUP($D671,Insumos!$B$1:$B$996,Insumos!$D$1:$D$996),"")</f>
        <v/>
      </c>
      <c r="H671" s="92" t="n">
        <v>5.7854223937957</v>
      </c>
      <c r="I671" s="2162" t="n">
        <v>0</v>
      </c>
      <c r="J671" s="2162" t="n">
        <v>0</v>
      </c>
      <c r="K671" s="2162" t="n"/>
    </row>
    <row r="672" outlineLevel="3" ht="15.75" customHeight="1">
      <c r="A672" s="10" t="n">
        <v>21</v>
      </c>
      <c r="B672" s="10" t="inlineStr">
        <is>
          <t>Insumo</t>
        </is>
      </c>
      <c r="C672" s="10" t="inlineStr">
        <is>
          <t>Armação Aço CA-50, Diâmetro de 6,3mm para Supraestrutura, Corte e Dobra em Obra</t>
        </is>
      </c>
      <c r="D672" s="10" t="inlineStr">
        <is>
          <t xml:space="preserve">Arame Recozido BWG 18 </t>
        </is>
      </c>
      <c r="E672" s="11">
        <f t="array" ref="E672">_xlfn.XLOOKUP(D672,Insumos!B:B,Insumos!C:$C)</f>
        <v/>
      </c>
      <c r="F672" s="14" t="n">
        <v>0.0205</v>
      </c>
      <c r="G672" s="92">
        <f t="array" ref="G672">IF(B672="insumo",_xlfn.XLOOKUP($D672,Insumos!$B$1:$B$996,Insumos!$D$1:$D$996),"")</f>
        <v/>
      </c>
      <c r="H672" s="92" t="n">
        <v>0.281465</v>
      </c>
      <c r="I672" s="2162" t="n">
        <v>0</v>
      </c>
      <c r="J672" s="2162" t="n">
        <v>0</v>
      </c>
      <c r="K672" s="2162" t="n"/>
    </row>
    <row r="673" outlineLevel="3" ht="15.75" customHeight="1">
      <c r="A673" s="10" t="n">
        <v>62</v>
      </c>
      <c r="B673" s="10" t="inlineStr">
        <is>
          <t>Insumo</t>
        </is>
      </c>
      <c r="C673" s="10" t="inlineStr">
        <is>
          <t>Armação Aço CA-50, Diâmetro de 6,3mm para Supraestrutura, Corte e Dobra em Obra</t>
        </is>
      </c>
      <c r="D673" s="10" t="inlineStr">
        <is>
          <t>Espaçador para armadura</t>
        </is>
      </c>
      <c r="E673" s="11">
        <f t="array" ref="E673">_xlfn.XLOOKUP(D673,Insumos!B:B,Insumos!C:$C)</f>
        <v/>
      </c>
      <c r="F673" s="14" t="n">
        <v>0.05</v>
      </c>
      <c r="G673" s="92">
        <f t="array" ref="G673">IF(B673="insumo",_xlfn.XLOOKUP($D673,Insumos!$B$1:$B$996,Insumos!$D$1:$D$996),"")</f>
        <v/>
      </c>
      <c r="H673" s="92" t="n">
        <v>0.0135</v>
      </c>
      <c r="I673" s="2162" t="n">
        <v>0</v>
      </c>
      <c r="J673" s="2162" t="n">
        <v>0</v>
      </c>
      <c r="K673" s="2162" t="n"/>
    </row>
    <row r="674" outlineLevel="2" ht="15.75" customHeight="1">
      <c r="A674" s="1067" t="n">
        <v>1</v>
      </c>
      <c r="B674" s="1067" t="inlineStr">
        <is>
          <t>Serviço</t>
        </is>
      </c>
      <c r="C674" s="1067" t="inlineStr">
        <is>
          <t>Armação Aço CA-50, Diâmetro de 8,0mm para Supraestrutura, Corte e Dobra em Obra</t>
        </is>
      </c>
      <c r="D674" s="1067" t="inlineStr">
        <is>
          <t>Armação Aço CA-50, Diâmetro de 8,0mm para Supraestrutura, Corte e Dobra em Obra</t>
        </is>
      </c>
      <c r="E674" s="1068" t="inlineStr">
        <is>
          <t>KG</t>
        </is>
      </c>
      <c r="F674" s="1067" t="n"/>
      <c r="G674" s="1069">
        <f t="array" ref="G674">IF(B674="insumo",_xlfn.XLOOKUP($D674,Insumos!$B$1:$B$996,Insumos!$D$1:$D$996),"")</f>
        <v/>
      </c>
      <c r="H674" s="1069" t="n">
        <v>5.71230765890462</v>
      </c>
      <c r="I674" s="2161" t="n">
        <v>0</v>
      </c>
      <c r="J674" s="2161" t="n">
        <v>0</v>
      </c>
      <c r="K674" s="2161" t="n"/>
    </row>
    <row r="675" outlineLevel="3" ht="15.75" customHeight="1">
      <c r="A675" s="10" t="n">
        <v>5</v>
      </c>
      <c r="B675" s="10" t="inlineStr">
        <is>
          <t>Insumo</t>
        </is>
      </c>
      <c r="C675" s="10" t="inlineStr">
        <is>
          <t>Armação Aço CA-50, Diâmetro de 8,0mm para Supraestrutura, Corte e Dobra em Obra</t>
        </is>
      </c>
      <c r="D675" s="10" t="inlineStr">
        <is>
          <t>Aço CA50 8,0 mm</t>
        </is>
      </c>
      <c r="E675" s="11">
        <f t="array" ref="E675">_xlfn.XLOOKUP(D675,Insumos!B:B,Insumos!C:$C)</f>
        <v/>
      </c>
      <c r="F675" s="14" t="n">
        <v>1.1</v>
      </c>
      <c r="G675" s="92">
        <f t="array" ref="G675">IF(B675="insumo",_xlfn.XLOOKUP($D675,Insumos!$B$1:$B$996,Insumos!$D$1:$D$996),"")</f>
        <v/>
      </c>
      <c r="H675" s="92" t="n">
        <v>5.41734265890462</v>
      </c>
      <c r="I675" s="2162" t="n">
        <v>0</v>
      </c>
      <c r="J675" s="2162" t="n">
        <v>0</v>
      </c>
      <c r="K675" s="2162" t="n"/>
    </row>
    <row r="676" outlineLevel="3" ht="15.75" customHeight="1">
      <c r="A676" s="10" t="n">
        <v>21</v>
      </c>
      <c r="B676" s="10" t="inlineStr">
        <is>
          <t>Insumo</t>
        </is>
      </c>
      <c r="C676" s="10" t="inlineStr">
        <is>
          <t>Armação Aço CA-50, Diâmetro de 8,0mm para Supraestrutura, Corte e Dobra em Obra</t>
        </is>
      </c>
      <c r="D676" s="10" t="inlineStr">
        <is>
          <t xml:space="preserve">Arame Recozido BWG 18 </t>
        </is>
      </c>
      <c r="E676" s="11">
        <f t="array" ref="E676">_xlfn.XLOOKUP(D676,Insumos!B:B,Insumos!C:$C)</f>
        <v/>
      </c>
      <c r="F676" s="14" t="n">
        <v>0.0205</v>
      </c>
      <c r="G676" s="92">
        <f t="array" ref="G676">IF(B676="insumo",_xlfn.XLOOKUP($D676,Insumos!$B$1:$B$996,Insumos!$D$1:$D$996),"")</f>
        <v/>
      </c>
      <c r="H676" s="92" t="n">
        <v>0.281465</v>
      </c>
      <c r="I676" s="2162" t="n">
        <v>0</v>
      </c>
      <c r="J676" s="2162" t="n">
        <v>0</v>
      </c>
      <c r="K676" s="2162" t="n"/>
    </row>
    <row r="677" outlineLevel="3" ht="15.75" customHeight="1">
      <c r="A677" s="10" t="n">
        <v>62</v>
      </c>
      <c r="B677" s="10" t="inlineStr">
        <is>
          <t>Insumo</t>
        </is>
      </c>
      <c r="C677" s="10" t="inlineStr">
        <is>
          <t>Armação Aço CA-50, Diâmetro de 8,0mm para Supraestrutura, Corte e Dobra em Obra</t>
        </is>
      </c>
      <c r="D677" s="10" t="inlineStr">
        <is>
          <t>Espaçador para armadura</t>
        </is>
      </c>
      <c r="E677" s="11">
        <f t="array" ref="E677">_xlfn.XLOOKUP(D677,Insumos!B:B,Insumos!C:$C)</f>
        <v/>
      </c>
      <c r="F677" s="14" t="n">
        <v>0.05</v>
      </c>
      <c r="G677" s="92">
        <f t="array" ref="G677">IF(B677="insumo",_xlfn.XLOOKUP($D677,Insumos!$B$1:$B$996,Insumos!$D$1:$D$996),"")</f>
        <v/>
      </c>
      <c r="H677" s="92" t="n">
        <v>0.0135</v>
      </c>
      <c r="I677" s="2162" t="n">
        <v>0</v>
      </c>
      <c r="J677" s="2162" t="n">
        <v>0</v>
      </c>
      <c r="K677" s="2162" t="n"/>
    </row>
    <row r="678" outlineLevel="2" ht="15.75" customHeight="1">
      <c r="A678" s="1067" t="n">
        <v>1</v>
      </c>
      <c r="B678" s="1067" t="inlineStr">
        <is>
          <t>Serviço</t>
        </is>
      </c>
      <c r="C678" s="1067" t="inlineStr">
        <is>
          <t>Armação Aço CA-50, Diâmetro de 10,0mm para Supraestrutura, Corte e Dobra em Obra</t>
        </is>
      </c>
      <c r="D678" s="1067" t="inlineStr">
        <is>
          <t>Armação Aço CA-50, Diâmetro de 10,0mm para Supraestrutura, Corte e Dobra em Obra</t>
        </is>
      </c>
      <c r="E678" s="1068" t="inlineStr">
        <is>
          <t>KG</t>
        </is>
      </c>
      <c r="F678" s="1067" t="n"/>
      <c r="G678" s="1069">
        <f t="array" ref="G678">IF(B678="insumo",_xlfn.XLOOKUP($D678,Insumos!$B$1:$B$996,Insumos!$D$1:$D$996),"")</f>
        <v/>
      </c>
      <c r="H678" s="1069" t="n">
        <v>5.57571771932025</v>
      </c>
      <c r="I678" s="2161" t="n">
        <v>0</v>
      </c>
      <c r="J678" s="2161" t="n">
        <v>0</v>
      </c>
      <c r="K678" s="2161" t="n"/>
    </row>
    <row r="679" outlineLevel="3" ht="15.75" customHeight="1">
      <c r="A679" s="10" t="n">
        <v>4</v>
      </c>
      <c r="B679" s="10" t="inlineStr">
        <is>
          <t>Insumo</t>
        </is>
      </c>
      <c r="C679" s="10" t="inlineStr">
        <is>
          <t>Armação Aço CA-50, Diâmetro de 10,0mm para Supraestrutura, Corte e Dobra em Obra</t>
        </is>
      </c>
      <c r="D679" s="10" t="inlineStr">
        <is>
          <t>Aço CA50 10,0 mm</t>
        </is>
      </c>
      <c r="E679" s="11">
        <f t="array" ref="E679">_xlfn.XLOOKUP(D679,Insumos!B:B,Insumos!C:$C)</f>
        <v/>
      </c>
      <c r="F679" s="14" t="n">
        <v>1.1</v>
      </c>
      <c r="G679" s="92">
        <f t="array" ref="G679">IF(B679="insumo",_xlfn.XLOOKUP($D679,Insumos!$B$1:$B$996,Insumos!$D$1:$D$996),"")</f>
        <v/>
      </c>
      <c r="H679" s="92" t="n">
        <v>5.28075271932025</v>
      </c>
      <c r="I679" s="2162" t="n">
        <v>0</v>
      </c>
      <c r="J679" s="2162" t="n">
        <v>0</v>
      </c>
      <c r="K679" s="2162" t="n"/>
    </row>
    <row r="680" outlineLevel="3" ht="15.75" customHeight="1">
      <c r="A680" s="10" t="n">
        <v>21</v>
      </c>
      <c r="B680" s="10" t="inlineStr">
        <is>
          <t>Insumo</t>
        </is>
      </c>
      <c r="C680" s="10" t="inlineStr">
        <is>
          <t>Armação Aço CA-50, Diâmetro de 10,0mm para Supraestrutura, Corte e Dobra em Obra</t>
        </is>
      </c>
      <c r="D680" s="10" t="inlineStr">
        <is>
          <t xml:space="preserve">Arame Recozido BWG 18 </t>
        </is>
      </c>
      <c r="E680" s="11">
        <f t="array" ref="E680">_xlfn.XLOOKUP(D680,Insumos!B:B,Insumos!C:$C)</f>
        <v/>
      </c>
      <c r="F680" s="14" t="n">
        <v>0.0205</v>
      </c>
      <c r="G680" s="92">
        <f t="array" ref="G680">IF(B680="insumo",_xlfn.XLOOKUP($D680,Insumos!$B$1:$B$996,Insumos!$D$1:$D$996),"")</f>
        <v/>
      </c>
      <c r="H680" s="92" t="n">
        <v>0.281465</v>
      </c>
      <c r="I680" s="2162" t="n">
        <v>0</v>
      </c>
      <c r="J680" s="2162" t="n">
        <v>0</v>
      </c>
      <c r="K680" s="2162" t="n"/>
    </row>
    <row r="681" outlineLevel="3" ht="15.75" customHeight="1">
      <c r="A681" s="10" t="n">
        <v>62</v>
      </c>
      <c r="B681" s="10" t="inlineStr">
        <is>
          <t>Insumo</t>
        </is>
      </c>
      <c r="C681" s="10" t="inlineStr">
        <is>
          <t>Armação Aço CA-50, Diâmetro de 10,0mm para Supraestrutura, Corte e Dobra em Obra</t>
        </is>
      </c>
      <c r="D681" s="10" t="inlineStr">
        <is>
          <t>Espaçador para armadura</t>
        </is>
      </c>
      <c r="E681" s="11">
        <f t="array" ref="E681">_xlfn.XLOOKUP(D681,Insumos!B:B,Insumos!C:$C)</f>
        <v/>
      </c>
      <c r="F681" s="14" t="n">
        <v>0.05</v>
      </c>
      <c r="G681" s="92">
        <f t="array" ref="G681">IF(B681="insumo",_xlfn.XLOOKUP($D681,Insumos!$B$1:$B$996,Insumos!$D$1:$D$996),"")</f>
        <v/>
      </c>
      <c r="H681" s="92" t="n">
        <v>0.0135</v>
      </c>
      <c r="I681" s="2162" t="n">
        <v>0</v>
      </c>
      <c r="J681" s="2162" t="n">
        <v>0</v>
      </c>
      <c r="K681" s="2162" t="n"/>
    </row>
    <row r="682" outlineLevel="2" ht="15.75" customHeight="1">
      <c r="A682" s="1067" t="n">
        <v>1</v>
      </c>
      <c r="B682" s="1067" t="inlineStr">
        <is>
          <t>Serviço</t>
        </is>
      </c>
      <c r="C682" s="1067" t="inlineStr">
        <is>
          <t>Armação Aço CA-50, Diâmetro de 12,5mm para Supraestrutura, Corte e Dobra em Obra</t>
        </is>
      </c>
      <c r="D682" s="1067" t="inlineStr">
        <is>
          <t>Armação Aço CA-50, Diâmetro de 12,5mm para Supraestrutura, Corte e Dobra em Obra</t>
        </is>
      </c>
      <c r="E682" s="1068" t="inlineStr">
        <is>
          <t>KG</t>
        </is>
      </c>
      <c r="F682" s="1067" t="n"/>
      <c r="G682" s="1069">
        <f t="array" ref="G682">IF(B682="insumo",_xlfn.XLOOKUP($D682,Insumos!$B$1:$B$996,Insumos!$D$1:$D$996),"")</f>
        <v/>
      </c>
      <c r="H682" s="1069" t="n">
        <v>5.85335908446873</v>
      </c>
      <c r="I682" s="2161" t="n">
        <v>0</v>
      </c>
      <c r="J682" s="2161" t="n">
        <v>0</v>
      </c>
      <c r="K682" s="2161" t="n"/>
    </row>
    <row r="683" outlineLevel="3" ht="15.75" customHeight="1">
      <c r="A683" s="10" t="n">
        <v>3</v>
      </c>
      <c r="B683" s="10" t="inlineStr">
        <is>
          <t>Insumo</t>
        </is>
      </c>
      <c r="C683" s="10" t="inlineStr">
        <is>
          <t>Armação Aço CA-50, Diâmetro de 12,5mm para Supraestrutura, Corte e Dobra em Obra</t>
        </is>
      </c>
      <c r="D683" s="10" t="inlineStr">
        <is>
          <t>Aço CA50 12,5 mm</t>
        </is>
      </c>
      <c r="E683" s="11">
        <f t="array" ref="E683">_xlfn.XLOOKUP(D683,Insumos!B:B,Insumos!C:$C)</f>
        <v/>
      </c>
      <c r="F683" s="14" t="n">
        <v>1.1</v>
      </c>
      <c r="G683" s="92">
        <f t="array" ref="G683">IF(B683="insumo",_xlfn.XLOOKUP($D683,Insumos!$B$1:$B$996,Insumos!$D$1:$D$996),"")</f>
        <v/>
      </c>
      <c r="H683" s="92" t="n">
        <v>5.55839408446873</v>
      </c>
      <c r="I683" s="2162" t="n">
        <v>0</v>
      </c>
      <c r="J683" s="2162" t="n">
        <v>0</v>
      </c>
      <c r="K683" s="2162" t="n"/>
    </row>
    <row r="684" outlineLevel="3" ht="15.75" customHeight="1">
      <c r="A684" s="10" t="n">
        <v>21</v>
      </c>
      <c r="B684" s="10" t="inlineStr">
        <is>
          <t>Insumo</t>
        </is>
      </c>
      <c r="C684" s="10" t="inlineStr">
        <is>
          <t>Armação Aço CA-50, Diâmetro de 12,5mm para Supraestrutura, Corte e Dobra em Obra</t>
        </is>
      </c>
      <c r="D684" s="10" t="inlineStr">
        <is>
          <t xml:space="preserve">Arame Recozido BWG 18 </t>
        </is>
      </c>
      <c r="E684" s="11">
        <f t="array" ref="E684">_xlfn.XLOOKUP(D684,Insumos!B:B,Insumos!C:$C)</f>
        <v/>
      </c>
      <c r="F684" s="14" t="n">
        <v>0.0205</v>
      </c>
      <c r="G684" s="92">
        <f t="array" ref="G684">IF(B684="insumo",_xlfn.XLOOKUP($D684,Insumos!$B$1:$B$996,Insumos!$D$1:$D$996),"")</f>
        <v/>
      </c>
      <c r="H684" s="92" t="n">
        <v>0.281465</v>
      </c>
      <c r="I684" s="2162" t="n">
        <v>0</v>
      </c>
      <c r="J684" s="2162" t="n">
        <v>0</v>
      </c>
      <c r="K684" s="2162" t="n"/>
    </row>
    <row r="685" outlineLevel="3" ht="15.75" customHeight="1">
      <c r="A685" s="10" t="n">
        <v>62</v>
      </c>
      <c r="B685" s="10" t="inlineStr">
        <is>
          <t>Insumo</t>
        </is>
      </c>
      <c r="C685" s="10" t="inlineStr">
        <is>
          <t>Armação Aço CA-50, Diâmetro de 12,5mm para Supraestrutura, Corte e Dobra em Obra</t>
        </is>
      </c>
      <c r="D685" s="10" t="inlineStr">
        <is>
          <t>Espaçador para armadura</t>
        </is>
      </c>
      <c r="E685" s="11">
        <f t="array" ref="E685">_xlfn.XLOOKUP(D685,Insumos!B:B,Insumos!C:$C)</f>
        <v/>
      </c>
      <c r="F685" s="14" t="n">
        <v>0.05</v>
      </c>
      <c r="G685" s="92">
        <f t="array" ref="G685">IF(B685="insumo",_xlfn.XLOOKUP($D685,Insumos!$B$1:$B$996,Insumos!$D$1:$D$996),"")</f>
        <v/>
      </c>
      <c r="H685" s="92" t="n">
        <v>0.0135</v>
      </c>
      <c r="I685" s="2162" t="n">
        <v>0</v>
      </c>
      <c r="J685" s="2162" t="n">
        <v>0</v>
      </c>
      <c r="K685" s="2162" t="n"/>
    </row>
    <row r="686" outlineLevel="2" ht="15.75" customHeight="1">
      <c r="A686" s="1067" t="n">
        <v>1</v>
      </c>
      <c r="B686" s="1067" t="inlineStr">
        <is>
          <t>Serviço</t>
        </is>
      </c>
      <c r="C686" s="1067" t="inlineStr">
        <is>
          <t>Armação Aço CA-50, Diâmetro de 16,0mm para Supraestrutura, Corte e Dobra em Obra</t>
        </is>
      </c>
      <c r="D686" s="1067" t="inlineStr">
        <is>
          <t>Armação Aço CA-50, Diâmetro de 16,0mm para Supraestrutura, Corte e Dobra em Obra</t>
        </is>
      </c>
      <c r="E686" s="1068" t="inlineStr">
        <is>
          <t>KG</t>
        </is>
      </c>
      <c r="F686" s="1067" t="n"/>
      <c r="G686" s="1069">
        <f t="array" ref="G686">IF(B686="insumo",_xlfn.XLOOKUP($D686,Insumos!$B$1:$B$996,Insumos!$D$1:$D$996),"")</f>
        <v/>
      </c>
      <c r="H686" s="1069" t="n">
        <v>5.72958144939818</v>
      </c>
      <c r="I686" s="2161" t="n">
        <v>0</v>
      </c>
      <c r="J686" s="2161" t="n">
        <v>0</v>
      </c>
      <c r="K686" s="2161" t="n"/>
    </row>
    <row r="687" outlineLevel="3" ht="15.75" customHeight="1">
      <c r="A687" s="10" t="n">
        <v>4</v>
      </c>
      <c r="B687" s="10" t="inlineStr">
        <is>
          <t>Insumo</t>
        </is>
      </c>
      <c r="C687" s="10" t="inlineStr">
        <is>
          <t>Armação Aço CA-50, Diâmetro de 16,0mm para Supraestrutura, Corte e Dobra em Obra</t>
        </is>
      </c>
      <c r="D687" s="10" t="inlineStr">
        <is>
          <t>Aço CA50 16,0mm</t>
        </is>
      </c>
      <c r="E687" s="11">
        <f t="array" ref="E687">_xlfn.XLOOKUP(D687,Insumos!B:B,Insumos!C:$C)</f>
        <v/>
      </c>
      <c r="F687" s="14" t="n">
        <v>1.1</v>
      </c>
      <c r="G687" s="92">
        <f t="array" ref="G687">IF(B687="insumo",_xlfn.XLOOKUP($D687,Insumos!$B$1:$B$996,Insumos!$D$1:$D$996),"")</f>
        <v/>
      </c>
      <c r="H687" s="92" t="n">
        <v>5.43461644939818</v>
      </c>
      <c r="I687" s="2162" t="n">
        <v>0</v>
      </c>
      <c r="J687" s="2162" t="n">
        <v>0</v>
      </c>
      <c r="K687" s="2162" t="n"/>
    </row>
    <row r="688" outlineLevel="3" ht="15.75" customHeight="1">
      <c r="A688" s="10" t="n">
        <v>21</v>
      </c>
      <c r="B688" s="10" t="inlineStr">
        <is>
          <t>Insumo</t>
        </is>
      </c>
      <c r="C688" s="10" t="inlineStr">
        <is>
          <t>Armação Aço CA-50, Diâmetro de 16,0mm para Supraestrutura, Corte e Dobra em Obra</t>
        </is>
      </c>
      <c r="D688" s="10" t="inlineStr">
        <is>
          <t xml:space="preserve">Arame Recozido BWG 18 </t>
        </is>
      </c>
      <c r="E688" s="11">
        <f t="array" ref="E688">_xlfn.XLOOKUP(D688,Insumos!B:B,Insumos!C:$C)</f>
        <v/>
      </c>
      <c r="F688" s="14" t="n">
        <v>0.0205</v>
      </c>
      <c r="G688" s="92">
        <f t="array" ref="G688">IF(B688="insumo",_xlfn.XLOOKUP($D688,Insumos!$B$1:$B$996,Insumos!$D$1:$D$996),"")</f>
        <v/>
      </c>
      <c r="H688" s="92" t="n">
        <v>0.281465</v>
      </c>
      <c r="I688" s="2162" t="n">
        <v>0</v>
      </c>
      <c r="J688" s="2162" t="n">
        <v>0</v>
      </c>
      <c r="K688" s="2162" t="n"/>
    </row>
    <row r="689" outlineLevel="3" ht="15.75" customHeight="1">
      <c r="A689" s="10" t="n">
        <v>62</v>
      </c>
      <c r="B689" s="10" t="inlineStr">
        <is>
          <t>Insumo</t>
        </is>
      </c>
      <c r="C689" s="10" t="inlineStr">
        <is>
          <t>Armação Aço CA-50, Diâmetro de 16,0mm para Supraestrutura, Corte e Dobra em Obra</t>
        </is>
      </c>
      <c r="D689" s="10" t="inlineStr">
        <is>
          <t>Espaçador para armadura</t>
        </is>
      </c>
      <c r="E689" s="11">
        <f t="array" ref="E689">_xlfn.XLOOKUP(D689,Insumos!B:B,Insumos!C:$C)</f>
        <v/>
      </c>
      <c r="F689" s="14" t="n">
        <v>0.05</v>
      </c>
      <c r="G689" s="92">
        <f t="array" ref="G689">IF(B689="insumo",_xlfn.XLOOKUP($D689,Insumos!$B$1:$B$996,Insumos!$D$1:$D$996),"")</f>
        <v/>
      </c>
      <c r="H689" s="92" t="n">
        <v>0.0135</v>
      </c>
      <c r="I689" s="2162" t="n">
        <v>0</v>
      </c>
      <c r="J689" s="2162" t="n">
        <v>0</v>
      </c>
      <c r="K689" s="2162" t="n"/>
    </row>
    <row r="690" outlineLevel="2" ht="15.75" customHeight="1">
      <c r="A690" s="1067" t="n">
        <v>1</v>
      </c>
      <c r="B690" s="1067" t="inlineStr">
        <is>
          <t>Serviço</t>
        </is>
      </c>
      <c r="C690" s="1067" t="inlineStr">
        <is>
          <t>Armação Aço CA-50, Diâmetro de 20,0mm para Supraestrutura, Corte e Dobra em Obra</t>
        </is>
      </c>
      <c r="D690" s="1067" t="inlineStr">
        <is>
          <t>Armação Aço CA-50, Diâmetro de 20,0mm para Supraestrutura, Corte e Dobra em Obra</t>
        </is>
      </c>
      <c r="E690" s="1068" t="inlineStr">
        <is>
          <t>KG</t>
        </is>
      </c>
      <c r="F690" s="1067" t="n"/>
      <c r="G690" s="1069">
        <f t="array" ref="G690">IF(B690="insumo",_xlfn.XLOOKUP($D690,Insumos!$B$1:$B$996,Insumos!$D$1:$D$996),"")</f>
        <v/>
      </c>
      <c r="H690" s="1069" t="n">
        <v>5.83284387420167</v>
      </c>
      <c r="I690" s="2161" t="n">
        <v>0</v>
      </c>
      <c r="J690" s="2161" t="n">
        <v>0</v>
      </c>
      <c r="K690" s="2161" t="n"/>
    </row>
    <row r="691" outlineLevel="3" ht="15.75" customHeight="1">
      <c r="A691" s="10" t="n">
        <v>4</v>
      </c>
      <c r="B691" s="10" t="inlineStr">
        <is>
          <t>Insumo</t>
        </is>
      </c>
      <c r="C691" s="10" t="inlineStr">
        <is>
          <t>Armação Aço CA-50, Diâmetro de 20,0mm para Supraestrutura, Corte e Dobra em Obra</t>
        </is>
      </c>
      <c r="D691" s="10" t="inlineStr">
        <is>
          <t>Aço CA50 20,0mm</t>
        </is>
      </c>
      <c r="E691" s="11">
        <f t="array" ref="E691">_xlfn.XLOOKUP(D691,Insumos!B:B,Insumos!C:$C)</f>
        <v/>
      </c>
      <c r="F691" s="14" t="n">
        <v>1.1</v>
      </c>
      <c r="G691" s="92">
        <f t="array" ref="G691">IF(B691="insumo",_xlfn.XLOOKUP($D691,Insumos!$B$1:$B$996,Insumos!$D$1:$D$996),"")</f>
        <v/>
      </c>
      <c r="H691" s="92" t="n">
        <v>5.53787887420167</v>
      </c>
      <c r="I691" s="2162" t="n">
        <v>0</v>
      </c>
      <c r="J691" s="2162" t="n">
        <v>0</v>
      </c>
      <c r="K691" s="2162" t="n"/>
    </row>
    <row r="692" outlineLevel="3" ht="15.75" customHeight="1">
      <c r="A692" s="10" t="n">
        <v>21</v>
      </c>
      <c r="B692" s="10" t="inlineStr">
        <is>
          <t>Insumo</t>
        </is>
      </c>
      <c r="C692" s="10" t="inlineStr">
        <is>
          <t>Armação Aço CA-50, Diâmetro de 20,0mm para Supraestrutura, Corte e Dobra em Obra</t>
        </is>
      </c>
      <c r="D692" s="10" t="inlineStr">
        <is>
          <t xml:space="preserve">Arame Recozido BWG 18 </t>
        </is>
      </c>
      <c r="E692" s="11">
        <f t="array" ref="E692">_xlfn.XLOOKUP(D692,Insumos!B:B,Insumos!C:$C)</f>
        <v/>
      </c>
      <c r="F692" s="14" t="n">
        <v>0.0205</v>
      </c>
      <c r="G692" s="92">
        <f t="array" ref="G692">IF(B692="insumo",_xlfn.XLOOKUP($D692,Insumos!$B$1:$B$996,Insumos!$D$1:$D$996),"")</f>
        <v/>
      </c>
      <c r="H692" s="92" t="n">
        <v>0.281465</v>
      </c>
      <c r="I692" s="2162" t="n">
        <v>0</v>
      </c>
      <c r="J692" s="2162" t="n">
        <v>0</v>
      </c>
      <c r="K692" s="2162" t="n"/>
    </row>
    <row r="693" outlineLevel="3" ht="15.75" customHeight="1">
      <c r="A693" s="10" t="n">
        <v>62</v>
      </c>
      <c r="B693" s="10" t="inlineStr">
        <is>
          <t>Insumo</t>
        </is>
      </c>
      <c r="C693" s="10" t="inlineStr">
        <is>
          <t>Armação Aço CA-50, Diâmetro de 20,0mm para Supraestrutura, Corte e Dobra em Obra</t>
        </is>
      </c>
      <c r="D693" s="10" t="inlineStr">
        <is>
          <t>Espaçador para armadura</t>
        </is>
      </c>
      <c r="E693" s="11">
        <f t="array" ref="E693">_xlfn.XLOOKUP(D693,Insumos!B:B,Insumos!C:$C)</f>
        <v/>
      </c>
      <c r="F693" s="14" t="n">
        <v>0.05</v>
      </c>
      <c r="G693" s="92">
        <f t="array" ref="G693">IF(B693="insumo",_xlfn.XLOOKUP($D693,Insumos!$B$1:$B$996,Insumos!$D$1:$D$996),"")</f>
        <v/>
      </c>
      <c r="H693" s="92" t="n">
        <v>0.0135</v>
      </c>
      <c r="I693" s="2162" t="n">
        <v>0</v>
      </c>
      <c r="J693" s="2162" t="n">
        <v>0</v>
      </c>
      <c r="K693" s="2162" t="n"/>
    </row>
    <row r="694" outlineLevel="2" ht="15.75" customHeight="1">
      <c r="A694" s="1067" t="n">
        <v>1</v>
      </c>
      <c r="B694" s="1067" t="inlineStr">
        <is>
          <t>Serviço</t>
        </is>
      </c>
      <c r="C694" s="1067" t="inlineStr">
        <is>
          <t>Armação Aço CA-50, Diâmetro de 25,0mm para Supraestrutura, Corte e Dobra em Obra</t>
        </is>
      </c>
      <c r="D694" s="1067" t="inlineStr">
        <is>
          <t>Armação Aço CA-50, Diâmetro de 25,0mm para Supraestrutura, Corte e Dobra em Obra</t>
        </is>
      </c>
      <c r="E694" s="1068" t="inlineStr">
        <is>
          <t>KG</t>
        </is>
      </c>
      <c r="F694" s="1067" t="n"/>
      <c r="G694" s="1069">
        <f t="array" ref="G694">IF(B694="insumo",_xlfn.XLOOKUP($D694,Insumos!$B$1:$B$996,Insumos!$D$1:$D$996),"")</f>
        <v/>
      </c>
      <c r="H694" s="1069" t="n">
        <v>5.97191784758844</v>
      </c>
      <c r="I694" s="2161" t="n">
        <v>0</v>
      </c>
      <c r="J694" s="2161" t="n">
        <v>0</v>
      </c>
      <c r="K694" s="2161" t="n"/>
    </row>
    <row r="695" outlineLevel="3" ht="15.75" customHeight="1">
      <c r="A695" s="10" t="n">
        <v>3</v>
      </c>
      <c r="B695" s="10" t="inlineStr">
        <is>
          <t>Insumo</t>
        </is>
      </c>
      <c r="C695" s="10" t="inlineStr">
        <is>
          <t>Armação Aço CA-50, Diâmetro de 25,0mm para Supraestrutura, Corte e Dobra em Obra</t>
        </is>
      </c>
      <c r="D695" s="10" t="inlineStr">
        <is>
          <t>Aço CA50 25,0mm</t>
        </is>
      </c>
      <c r="E695" s="11">
        <f t="array" ref="E695">_xlfn.XLOOKUP(D695,Insumos!B:B,Insumos!C:$C)</f>
        <v/>
      </c>
      <c r="F695" s="14" t="n">
        <v>1.1</v>
      </c>
      <c r="G695" s="92">
        <f t="array" ref="G695">IF(B695="insumo",_xlfn.XLOOKUP($D695,Insumos!$B$1:$B$996,Insumos!$D$1:$D$996),"")</f>
        <v/>
      </c>
      <c r="H695" s="92" t="n">
        <v>5.67695284758844</v>
      </c>
      <c r="I695" s="2162" t="n">
        <v>0</v>
      </c>
      <c r="J695" s="2162" t="n">
        <v>0</v>
      </c>
      <c r="K695" s="2162" t="n"/>
    </row>
    <row r="696" outlineLevel="3" ht="15.75" customHeight="1">
      <c r="A696" s="10" t="n">
        <v>21</v>
      </c>
      <c r="B696" s="10" t="inlineStr">
        <is>
          <t>Insumo</t>
        </is>
      </c>
      <c r="C696" s="10" t="inlineStr">
        <is>
          <t>Armação Aço CA-50, Diâmetro de 25,0mm para Supraestrutura, Corte e Dobra em Obra</t>
        </is>
      </c>
      <c r="D696" s="10" t="inlineStr">
        <is>
          <t xml:space="preserve">Arame Recozido BWG 18 </t>
        </is>
      </c>
      <c r="E696" s="11">
        <f t="array" ref="E696">_xlfn.XLOOKUP(D696,Insumos!B:B,Insumos!C:$C)</f>
        <v/>
      </c>
      <c r="F696" s="14" t="n">
        <v>0.0205</v>
      </c>
      <c r="G696" s="92">
        <f t="array" ref="G696">IF(B696="insumo",_xlfn.XLOOKUP($D696,Insumos!$B$1:$B$996,Insumos!$D$1:$D$996),"")</f>
        <v/>
      </c>
      <c r="H696" s="92" t="n">
        <v>0.281465</v>
      </c>
      <c r="I696" s="2162" t="n">
        <v>0</v>
      </c>
      <c r="J696" s="2162" t="n">
        <v>0</v>
      </c>
      <c r="K696" s="2162" t="n"/>
    </row>
    <row r="697" outlineLevel="3" ht="15.75" customHeight="1">
      <c r="A697" s="10" t="n">
        <v>62</v>
      </c>
      <c r="B697" s="10" t="inlineStr">
        <is>
          <t>Insumo</t>
        </is>
      </c>
      <c r="C697" s="10" t="inlineStr">
        <is>
          <t>Armação Aço CA-50, Diâmetro de 25,0mm para Supraestrutura, Corte e Dobra em Obra</t>
        </is>
      </c>
      <c r="D697" s="10" t="inlineStr">
        <is>
          <t>Espaçador para armadura</t>
        </is>
      </c>
      <c r="E697" s="11">
        <f t="array" ref="E697">_xlfn.XLOOKUP(D697,Insumos!B:B,Insumos!C:$C)</f>
        <v/>
      </c>
      <c r="F697" s="14" t="n">
        <v>0.05</v>
      </c>
      <c r="G697" s="92">
        <f t="array" ref="G697">IF(B697="insumo",_xlfn.XLOOKUP($D697,Insumos!$B$1:$B$996,Insumos!$D$1:$D$996),"")</f>
        <v/>
      </c>
      <c r="H697" s="92" t="n">
        <v>0.0135</v>
      </c>
      <c r="I697" s="2162" t="n">
        <v>0</v>
      </c>
      <c r="J697" s="2162" t="n">
        <v>0</v>
      </c>
      <c r="K697" s="2162" t="n"/>
    </row>
    <row r="698" outlineLevel="2" ht="15.75" customHeight="1">
      <c r="A698" s="1067" t="n">
        <v>1</v>
      </c>
      <c r="B698" s="1067" t="inlineStr">
        <is>
          <t>Serviço</t>
        </is>
      </c>
      <c r="C698" s="1067" t="inlineStr">
        <is>
          <t>Armação Aço CA-50, Diâmetro de 32,0mm para Supraestrutura, Corte e Dobra em Obra</t>
        </is>
      </c>
      <c r="D698" s="1067" t="inlineStr">
        <is>
          <t>Armação Aço CA-50, Diâmetro de 32,0mm para Supraestrutura, Corte e Dobra em Obra</t>
        </is>
      </c>
      <c r="E698" s="1068" t="inlineStr">
        <is>
          <t>KG</t>
        </is>
      </c>
      <c r="F698" s="1067" t="n"/>
      <c r="G698" s="1069">
        <f t="array" ref="G698">IF(B698="insumo",_xlfn.XLOOKUP($D698,Insumos!$B$1:$B$996,Insumos!$D$1:$D$996),"")</f>
        <v/>
      </c>
      <c r="H698" s="1069" t="n">
        <v>7.136965</v>
      </c>
      <c r="I698" s="2161" t="n">
        <v>0</v>
      </c>
      <c r="J698" s="2161" t="n">
        <v>0</v>
      </c>
      <c r="K698" s="2161" t="n"/>
    </row>
    <row r="699" outlineLevel="3" ht="15.75" customHeight="1">
      <c r="A699" s="10" t="n">
        <v>2</v>
      </c>
      <c r="B699" s="10" t="inlineStr">
        <is>
          <t>Insumo</t>
        </is>
      </c>
      <c r="C699" s="10" t="inlineStr">
        <is>
          <t>Armação Aço CA-50, Diâmetro de 32,0mm para Supraestrutura, Corte e Dobra em Obra</t>
        </is>
      </c>
      <c r="D699" s="10" t="inlineStr">
        <is>
          <t>Aço CA60 32,0mm</t>
        </is>
      </c>
      <c r="E699" s="11">
        <f t="array" ref="E699">_xlfn.XLOOKUP(D699,Insumos!B:B,Insumos!C:$C)</f>
        <v/>
      </c>
      <c r="F699" s="14" t="n">
        <v>1.1</v>
      </c>
      <c r="G699" s="92">
        <f t="array" ref="G699">IF(B699="insumo",_xlfn.XLOOKUP($D699,Insumos!$B$1:$B$996,Insumos!$D$1:$D$996),"")</f>
        <v/>
      </c>
      <c r="H699" s="92" t="n">
        <v>6.842</v>
      </c>
      <c r="I699" s="2162" t="n">
        <v>0</v>
      </c>
      <c r="J699" s="2162" t="n">
        <v>0</v>
      </c>
      <c r="K699" s="2162" t="n"/>
    </row>
    <row r="700" outlineLevel="3" ht="15.75" customHeight="1">
      <c r="A700" s="10" t="n">
        <v>21</v>
      </c>
      <c r="B700" s="10" t="inlineStr">
        <is>
          <t>Insumo</t>
        </is>
      </c>
      <c r="C700" s="10" t="inlineStr">
        <is>
          <t>Armação Aço CA-50, Diâmetro de 32,0mm para Supraestrutura, Corte e Dobra em Obra</t>
        </is>
      </c>
      <c r="D700" s="10" t="inlineStr">
        <is>
          <t xml:space="preserve">Arame Recozido BWG 18 </t>
        </is>
      </c>
      <c r="E700" s="11">
        <f t="array" ref="E700">_xlfn.XLOOKUP(D700,Insumos!B:B,Insumos!C:$C)</f>
        <v/>
      </c>
      <c r="F700" s="14" t="n">
        <v>0.0205</v>
      </c>
      <c r="G700" s="92">
        <f t="array" ref="G700">IF(B700="insumo",_xlfn.XLOOKUP($D700,Insumos!$B$1:$B$996,Insumos!$D$1:$D$996),"")</f>
        <v/>
      </c>
      <c r="H700" s="92" t="n">
        <v>0.281465</v>
      </c>
      <c r="I700" s="2162" t="n">
        <v>0</v>
      </c>
      <c r="J700" s="2162" t="n">
        <v>0</v>
      </c>
      <c r="K700" s="2162" t="n"/>
    </row>
    <row r="701" outlineLevel="3" ht="15.75" customHeight="1">
      <c r="A701" s="10" t="n">
        <v>62</v>
      </c>
      <c r="B701" s="10" t="inlineStr">
        <is>
          <t>Insumo</t>
        </is>
      </c>
      <c r="C701" s="10" t="inlineStr">
        <is>
          <t>Armação Aço CA-50, Diâmetro de 32,0mm para Supraestrutura, Corte e Dobra em Obra</t>
        </is>
      </c>
      <c r="D701" s="10" t="inlineStr">
        <is>
          <t>Espaçador para armadura</t>
        </is>
      </c>
      <c r="E701" s="11">
        <f t="array" ref="E701">_xlfn.XLOOKUP(D701,Insumos!B:B,Insumos!C:$C)</f>
        <v/>
      </c>
      <c r="F701" s="14" t="n">
        <v>0.05</v>
      </c>
      <c r="G701" s="92">
        <f t="array" ref="G701">IF(B701="insumo",_xlfn.XLOOKUP($D701,Insumos!$B$1:$B$996,Insumos!$D$1:$D$996),"")</f>
        <v/>
      </c>
      <c r="H701" s="92" t="n">
        <v>0.0135</v>
      </c>
      <c r="I701" s="2162" t="n">
        <v>0</v>
      </c>
      <c r="J701" s="2162" t="n">
        <v>0</v>
      </c>
      <c r="K701" s="2162" t="n"/>
    </row>
    <row r="702" outlineLevel="2" ht="15.75" customHeight="1">
      <c r="A702" s="1067" t="n">
        <v>1</v>
      </c>
      <c r="B702" s="1067" t="inlineStr">
        <is>
          <t>Serviço</t>
        </is>
      </c>
      <c r="C702" s="1067" t="inlineStr">
        <is>
          <t>Armação Aço CA-60, Diâmetro de 5,0mm para Supraestrutura, Corte e dobra em Indústria</t>
        </is>
      </c>
      <c r="D702" s="1067" t="inlineStr">
        <is>
          <t>Armação Aço CA-60, Diâmetro de 5,0mm para Supraestrutura, Corte e dobra em Indústria</t>
        </is>
      </c>
      <c r="E702" s="1068" t="inlineStr">
        <is>
          <t>KG</t>
        </is>
      </c>
      <c r="F702" s="1067" t="n"/>
      <c r="G702" s="1069">
        <f t="array" ref="G702">IF(B702="insumo",_xlfn.XLOOKUP($D702,Insumos!$B$1:$B$996,Insumos!$D$1:$D$996),"")</f>
        <v/>
      </c>
      <c r="H702" s="1069" t="n">
        <v>8.964964999999999</v>
      </c>
      <c r="I702" s="2161" t="n">
        <v>7253.87977615808</v>
      </c>
      <c r="J702" s="2161" t="n">
        <v>65030.778307465</v>
      </c>
      <c r="K702" s="2161" t="n"/>
    </row>
    <row r="703" outlineLevel="3" ht="15.75" customHeight="1">
      <c r="A703" s="10" t="n">
        <v>2</v>
      </c>
      <c r="B703" s="10" t="inlineStr">
        <is>
          <t>Insumo</t>
        </is>
      </c>
      <c r="C703" s="10" t="inlineStr">
        <is>
          <t>Armação Aço CA-60, Diâmetro de 5,0mm para Supraestrutura, Corte e dobra em Indústria</t>
        </is>
      </c>
      <c r="D703" s="10" t="inlineStr">
        <is>
          <t>Aço CA50 5,0 mm Corte e Dobra em Indústria</t>
        </is>
      </c>
      <c r="E703" s="11">
        <f t="array" ref="E703">_xlfn.XLOOKUP(D703,Insumos!B:B,Insumos!C:$C)</f>
        <v/>
      </c>
      <c r="F703" s="14" t="n">
        <v>1</v>
      </c>
      <c r="G703" s="92">
        <f t="array" ref="G703">IF(B703="insumo",_xlfn.XLOOKUP($D703,Insumos!$B$1:$B$996,Insumos!$D$1:$D$996),"")</f>
        <v/>
      </c>
      <c r="H703" s="92" t="n">
        <v>8.67</v>
      </c>
      <c r="I703" s="2162" t="n">
        <v>7253.87977615808</v>
      </c>
      <c r="J703" s="2162" t="n">
        <v>62891.1376592906</v>
      </c>
      <c r="K703" s="2162" t="n"/>
    </row>
    <row r="704" outlineLevel="3" ht="15.75" customHeight="1">
      <c r="A704" s="10" t="n">
        <v>21</v>
      </c>
      <c r="B704" s="10" t="inlineStr">
        <is>
          <t>Insumo</t>
        </is>
      </c>
      <c r="C704" s="10" t="inlineStr">
        <is>
          <t>Armação Aço CA-60, Diâmetro de 5,0mm para Supraestrutura, Corte e dobra em Indústria</t>
        </is>
      </c>
      <c r="D704" s="10" t="inlineStr">
        <is>
          <t xml:space="preserve">Arame Recozido BWG 18 </t>
        </is>
      </c>
      <c r="E704" s="11">
        <f t="array" ref="E704">_xlfn.XLOOKUP(D704,Insumos!B:B,Insumos!C:$C)</f>
        <v/>
      </c>
      <c r="F704" s="14" t="n">
        <v>0.0205</v>
      </c>
      <c r="G704" s="92">
        <f t="array" ref="G704">IF(B704="insumo",_xlfn.XLOOKUP($D704,Insumos!$B$1:$B$996,Insumos!$D$1:$D$996),"")</f>
        <v/>
      </c>
      <c r="H704" s="92" t="n">
        <v>0.281465</v>
      </c>
      <c r="I704" s="2162" t="n">
        <v>7253.87977615808</v>
      </c>
      <c r="J704" s="2162" t="n">
        <v>2041.71327119633</v>
      </c>
      <c r="K704" s="2162" t="n"/>
    </row>
    <row r="705" outlineLevel="3" ht="15.75" customHeight="1">
      <c r="A705" s="10" t="n">
        <v>62</v>
      </c>
      <c r="B705" s="10" t="inlineStr">
        <is>
          <t>Insumo</t>
        </is>
      </c>
      <c r="C705" s="10" t="inlineStr">
        <is>
          <t>Armação Aço CA-60, Diâmetro de 5,0mm para Supraestrutura, Corte e dobra em Indústria</t>
        </is>
      </c>
      <c r="D705" s="10" t="inlineStr">
        <is>
          <t>Espaçador para armadura</t>
        </is>
      </c>
      <c r="E705" s="11">
        <f t="array" ref="E705">_xlfn.XLOOKUP(D705,Insumos!B:B,Insumos!C:$C)</f>
        <v/>
      </c>
      <c r="F705" s="14" t="n">
        <v>0.05</v>
      </c>
      <c r="G705" s="92">
        <f t="array" ref="G705">IF(B705="insumo",_xlfn.XLOOKUP($D705,Insumos!$B$1:$B$996,Insumos!$D$1:$D$996),"")</f>
        <v/>
      </c>
      <c r="H705" s="92" t="n">
        <v>0.0135</v>
      </c>
      <c r="I705" s="2162" t="n">
        <v>7253.87977615808</v>
      </c>
      <c r="J705" s="2162" t="n">
        <v>97.92737697813411</v>
      </c>
      <c r="K705" s="2162" t="n"/>
    </row>
    <row r="706" outlineLevel="2" ht="15.75" customHeight="1">
      <c r="A706" s="1067" t="n">
        <v>1</v>
      </c>
      <c r="B706" s="1067" t="inlineStr">
        <is>
          <t>Serviço</t>
        </is>
      </c>
      <c r="C706" s="1067" t="inlineStr">
        <is>
          <t>Armação Aço CA-50, Diâmetro de 6,3mm para Supraestrutura, Corte e dobra em Indústria</t>
        </is>
      </c>
      <c r="D706" s="1067" t="inlineStr">
        <is>
          <t>Armação Aço CA-50, Diâmetro de 6,3mm para Supraestrutura, Corte e dobra em Indústria</t>
        </is>
      </c>
      <c r="E706" s="1068" t="inlineStr">
        <is>
          <t>KG</t>
        </is>
      </c>
      <c r="F706" s="1067" t="n"/>
      <c r="G706" s="1069">
        <f t="array" ref="G706">IF(B706="insumo",_xlfn.XLOOKUP($D706,Insumos!$B$1:$B$996,Insumos!$D$1:$D$996),"")</f>
        <v/>
      </c>
      <c r="H706" s="1069" t="n">
        <v>8.964964999999999</v>
      </c>
      <c r="I706" s="2161" t="n">
        <v>53934.2729518214</v>
      </c>
      <c r="J706" s="2161" t="n">
        <v>483518.869313526</v>
      </c>
      <c r="K706" s="2161" t="n"/>
    </row>
    <row r="707" outlineLevel="3" ht="15.75" customHeight="1">
      <c r="A707" s="10" t="n">
        <v>4</v>
      </c>
      <c r="B707" s="10" t="inlineStr">
        <is>
          <t>Insumo</t>
        </is>
      </c>
      <c r="C707" s="10" t="inlineStr">
        <is>
          <t>Armação Aço CA-50, Diâmetro de 6,3mm para Supraestrutura, Corte e dobra em Indústria</t>
        </is>
      </c>
      <c r="D707" s="10" t="inlineStr">
        <is>
          <t>Aço CA50 6,3 mm Corte e Dobra em Indústria</t>
        </is>
      </c>
      <c r="E707" s="11">
        <f t="array" ref="E707">_xlfn.XLOOKUP(D707,Insumos!B:B,Insumos!C:$C)</f>
        <v/>
      </c>
      <c r="F707" s="14" t="n">
        <v>1</v>
      </c>
      <c r="G707" s="92">
        <f t="array" ref="G707">IF(B707="insumo",_xlfn.XLOOKUP($D707,Insumos!$B$1:$B$996,Insumos!$D$1:$D$996),"")</f>
        <v/>
      </c>
      <c r="H707" s="92" t="n">
        <v>8.67</v>
      </c>
      <c r="I707" s="2162" t="n">
        <v>53934.2729518214</v>
      </c>
      <c r="J707" s="2162" t="n">
        <v>467610.146492291</v>
      </c>
      <c r="K707" s="2162" t="n"/>
    </row>
    <row r="708" outlineLevel="3" ht="15.75" customHeight="1">
      <c r="A708" s="10" t="n">
        <v>21</v>
      </c>
      <c r="B708" s="10" t="inlineStr">
        <is>
          <t>Insumo</t>
        </is>
      </c>
      <c r="C708" s="10" t="inlineStr">
        <is>
          <t>Armação Aço CA-50, Diâmetro de 6,3mm para Supraestrutura, Corte e dobra em Indústria</t>
        </is>
      </c>
      <c r="D708" s="10" t="inlineStr">
        <is>
          <t xml:space="preserve">Arame Recozido BWG 18 </t>
        </is>
      </c>
      <c r="E708" s="11">
        <f t="array" ref="E708">_xlfn.XLOOKUP(D708,Insumos!B:B,Insumos!C:$C)</f>
        <v/>
      </c>
      <c r="F708" s="14" t="n">
        <v>0.0205</v>
      </c>
      <c r="G708" s="92">
        <f t="array" ref="G708">IF(B708="insumo",_xlfn.XLOOKUP($D708,Insumos!$B$1:$B$996,Insumos!$D$1:$D$996),"")</f>
        <v/>
      </c>
      <c r="H708" s="92" t="n">
        <v>0.281465</v>
      </c>
      <c r="I708" s="2162" t="n">
        <v>53934.2729518214</v>
      </c>
      <c r="J708" s="2162" t="n">
        <v>15180.6101363844</v>
      </c>
      <c r="K708" s="2162" t="n"/>
    </row>
    <row r="709" outlineLevel="3" ht="15.75" customHeight="1">
      <c r="A709" s="10" t="n">
        <v>62</v>
      </c>
      <c r="B709" s="10" t="inlineStr">
        <is>
          <t>Insumo</t>
        </is>
      </c>
      <c r="C709" s="10" t="inlineStr">
        <is>
          <t>Armação Aço CA-50, Diâmetro de 6,3mm para Supraestrutura, Corte e dobra em Indústria</t>
        </is>
      </c>
      <c r="D709" s="10" t="inlineStr">
        <is>
          <t>Espaçador para armadura</t>
        </is>
      </c>
      <c r="E709" s="11">
        <f t="array" ref="E709">_xlfn.XLOOKUP(D709,Insumos!B:B,Insumos!C:$C)</f>
        <v/>
      </c>
      <c r="F709" s="14" t="n">
        <v>0.05</v>
      </c>
      <c r="G709" s="92">
        <f t="array" ref="G709">IF(B709="insumo",_xlfn.XLOOKUP($D709,Insumos!$B$1:$B$996,Insumos!$D$1:$D$996),"")</f>
        <v/>
      </c>
      <c r="H709" s="92" t="n">
        <v>0.0135</v>
      </c>
      <c r="I709" s="2162" t="n">
        <v>53934.2729518214</v>
      </c>
      <c r="J709" s="2162" t="n">
        <v>728.112684849589</v>
      </c>
      <c r="K709" s="2162" t="n"/>
    </row>
    <row r="710" outlineLevel="2" ht="15.75" customHeight="1">
      <c r="A710" s="1067" t="n">
        <v>1</v>
      </c>
      <c r="B710" s="1067" t="inlineStr">
        <is>
          <t>Serviço</t>
        </is>
      </c>
      <c r="C710" s="1067" t="inlineStr">
        <is>
          <t>Armação Aço CA-50, Diâmetro de 8,0mm para Supraestrutura, Corte e dobra em Indústria</t>
        </is>
      </c>
      <c r="D710" s="1067" t="inlineStr">
        <is>
          <t>Armação Aço CA-50, Diâmetro de 8,0mm para Supraestrutura, Corte e dobra em Indústria</t>
        </is>
      </c>
      <c r="E710" s="1068" t="inlineStr">
        <is>
          <t>KG</t>
        </is>
      </c>
      <c r="F710" s="1067" t="n"/>
      <c r="G710" s="1069">
        <f t="array" ref="G710">IF(B710="insumo",_xlfn.XLOOKUP($D710,Insumos!$B$1:$B$996,Insumos!$D$1:$D$996),"")</f>
        <v/>
      </c>
      <c r="H710" s="1069" t="n">
        <v>8.964964999999999</v>
      </c>
      <c r="I710" s="2161" t="n">
        <v>65571.51433062401</v>
      </c>
      <c r="J710" s="2161" t="n">
        <v>587846.330971043</v>
      </c>
      <c r="K710" s="2161" t="n"/>
    </row>
    <row r="711" outlineLevel="3" ht="15.75" customHeight="1">
      <c r="A711" s="10" t="n">
        <v>3</v>
      </c>
      <c r="B711" s="10" t="inlineStr">
        <is>
          <t>Insumo</t>
        </is>
      </c>
      <c r="C711" s="10" t="inlineStr">
        <is>
          <t>Armação Aço CA-50, Diâmetro de 8,0mm para Supraestrutura, Corte e dobra em Indústria</t>
        </is>
      </c>
      <c r="D711" s="10" t="inlineStr">
        <is>
          <t>Aço CA50 8,0 mm Corte e Dobra em Indústria</t>
        </is>
      </c>
      <c r="E711" s="11">
        <f t="array" ref="E711">_xlfn.XLOOKUP(D711,Insumos!B:B,Insumos!C:$C)</f>
        <v/>
      </c>
      <c r="F711" s="14" t="n">
        <v>1</v>
      </c>
      <c r="G711" s="92">
        <f t="array" ref="G711">IF(B711="insumo",_xlfn.XLOOKUP($D711,Insumos!$B$1:$B$996,Insumos!$D$1:$D$996),"")</f>
        <v/>
      </c>
      <c r="H711" s="92" t="n">
        <v>8.67</v>
      </c>
      <c r="I711" s="2162" t="n">
        <v>65571.51433062401</v>
      </c>
      <c r="J711" s="2162" t="n">
        <v>568505.02924651</v>
      </c>
      <c r="K711" s="2162" t="n"/>
    </row>
    <row r="712" outlineLevel="3" ht="15.75" customHeight="1">
      <c r="A712" s="10" t="n">
        <v>21</v>
      </c>
      <c r="B712" s="10" t="inlineStr">
        <is>
          <t>Insumo</t>
        </is>
      </c>
      <c r="C712" s="10" t="inlineStr">
        <is>
          <t>Armação Aço CA-50, Diâmetro de 8,0mm para Supraestrutura, Corte e dobra em Indústria</t>
        </is>
      </c>
      <c r="D712" s="10" t="inlineStr">
        <is>
          <t xml:space="preserve">Arame Recozido BWG 18 </t>
        </is>
      </c>
      <c r="E712" s="11">
        <f t="array" ref="E712">_xlfn.XLOOKUP(D712,Insumos!B:B,Insumos!C:$C)</f>
        <v/>
      </c>
      <c r="F712" s="14" t="n">
        <v>0.0205</v>
      </c>
      <c r="G712" s="92">
        <f t="array" ref="G712">IF(B712="insumo",_xlfn.XLOOKUP($D712,Insumos!$B$1:$B$996,Insumos!$D$1:$D$996),"")</f>
        <v/>
      </c>
      <c r="H712" s="92" t="n">
        <v>0.281465</v>
      </c>
      <c r="I712" s="2162" t="n">
        <v>65571.51433062401</v>
      </c>
      <c r="J712" s="2162" t="n">
        <v>18456.0862810691</v>
      </c>
      <c r="K712" s="2162" t="n"/>
    </row>
    <row r="713" outlineLevel="3" ht="15.75" customHeight="1">
      <c r="A713" s="10" t="n">
        <v>62</v>
      </c>
      <c r="B713" s="10" t="inlineStr">
        <is>
          <t>Insumo</t>
        </is>
      </c>
      <c r="C713" s="10" t="inlineStr">
        <is>
          <t>Armação Aço CA-50, Diâmetro de 8,0mm para Supraestrutura, Corte e dobra em Indústria</t>
        </is>
      </c>
      <c r="D713" s="10" t="inlineStr">
        <is>
          <t>Espaçador para armadura</t>
        </is>
      </c>
      <c r="E713" s="11">
        <f t="array" ref="E713">_xlfn.XLOOKUP(D713,Insumos!B:B,Insumos!C:$C)</f>
        <v/>
      </c>
      <c r="F713" s="14" t="n">
        <v>0.05</v>
      </c>
      <c r="G713" s="92">
        <f t="array" ref="G713">IF(B713="insumo",_xlfn.XLOOKUP($D713,Insumos!$B$1:$B$996,Insumos!$D$1:$D$996),"")</f>
        <v/>
      </c>
      <c r="H713" s="92" t="n">
        <v>0.0135</v>
      </c>
      <c r="I713" s="2162" t="n">
        <v>65571.51433062401</v>
      </c>
      <c r="J713" s="2162" t="n">
        <v>885.215443463424</v>
      </c>
      <c r="K713" s="2162" t="n"/>
    </row>
    <row r="714" outlineLevel="2" ht="15.75" customHeight="1">
      <c r="A714" s="1067" t="n">
        <v>1</v>
      </c>
      <c r="B714" s="1067" t="inlineStr">
        <is>
          <t>Serviço</t>
        </is>
      </c>
      <c r="C714" s="1067" t="inlineStr">
        <is>
          <t>Armação Aço CA-50, Diâmetro de 10,0mm para Supraestrutura, Corte e dobra em Indústria</t>
        </is>
      </c>
      <c r="D714" s="1067" t="inlineStr">
        <is>
          <t>Armação Aço CA-50, Diâmetro de 10,0mm para Supraestrutura, Corte e dobra em Indústria</t>
        </is>
      </c>
      <c r="E714" s="1068" t="inlineStr">
        <is>
          <t>KG</t>
        </is>
      </c>
      <c r="F714" s="1067" t="n"/>
      <c r="G714" s="1069">
        <f t="array" ref="G714">IF(B714="insumo",_xlfn.XLOOKUP($D714,Insumos!$B$1:$B$996,Insumos!$D$1:$D$996),"")</f>
        <v/>
      </c>
      <c r="H714" s="1069" t="n">
        <v>8.964964999999999</v>
      </c>
      <c r="I714" s="2161" t="n">
        <v>81096.4642304974</v>
      </c>
      <c r="J714" s="2161" t="n">
        <v>727026.963450161</v>
      </c>
      <c r="K714" s="2161" t="n"/>
    </row>
    <row r="715" outlineLevel="3" ht="15.75" customHeight="1">
      <c r="A715" s="10" t="n">
        <v>2</v>
      </c>
      <c r="B715" s="10" t="inlineStr">
        <is>
          <t>Insumo</t>
        </is>
      </c>
      <c r="C715" s="10" t="inlineStr">
        <is>
          <t>Armação Aço CA-50, Diâmetro de 10,0mm para Supraestrutura, Corte e dobra em Indústria</t>
        </is>
      </c>
      <c r="D715" s="10" t="inlineStr">
        <is>
          <t>Aço CA50 10,0 mm Corte e Dobra em Indústria</t>
        </is>
      </c>
      <c r="E715" s="11">
        <f t="array" ref="E715">_xlfn.XLOOKUP(D715,Insumos!B:B,Insumos!C:$C)</f>
        <v/>
      </c>
      <c r="F715" s="14" t="n">
        <v>1</v>
      </c>
      <c r="G715" s="92">
        <f t="array" ref="G715">IF(B715="insumo",_xlfn.XLOOKUP($D715,Insumos!$B$1:$B$996,Insumos!$D$1:$D$996),"")</f>
        <v/>
      </c>
      <c r="H715" s="92" t="n">
        <v>8.67</v>
      </c>
      <c r="I715" s="2162" t="n">
        <v>81096.4642304974</v>
      </c>
      <c r="J715" s="2162" t="n">
        <v>703106.344878412</v>
      </c>
      <c r="K715" s="2162" t="n"/>
    </row>
    <row r="716" outlineLevel="3" ht="15.75" customHeight="1">
      <c r="A716" s="10" t="n">
        <v>21</v>
      </c>
      <c r="B716" s="10" t="inlineStr">
        <is>
          <t>Insumo</t>
        </is>
      </c>
      <c r="C716" s="10" t="inlineStr">
        <is>
          <t>Armação Aço CA-50, Diâmetro de 10,0mm para Supraestrutura, Corte e dobra em Indústria</t>
        </is>
      </c>
      <c r="D716" s="10" t="inlineStr">
        <is>
          <t xml:space="preserve">Arame Recozido BWG 18 </t>
        </is>
      </c>
      <c r="E716" s="11">
        <f t="array" ref="E716">_xlfn.XLOOKUP(D716,Insumos!B:B,Insumos!C:$C)</f>
        <v/>
      </c>
      <c r="F716" s="14" t="n">
        <v>0.0205</v>
      </c>
      <c r="G716" s="92">
        <f t="array" ref="G716">IF(B716="insumo",_xlfn.XLOOKUP($D716,Insumos!$B$1:$B$996,Insumos!$D$1:$D$996),"")</f>
        <v/>
      </c>
      <c r="H716" s="92" t="n">
        <v>0.281465</v>
      </c>
      <c r="I716" s="2162" t="n">
        <v>81096.4642304974</v>
      </c>
      <c r="J716" s="2162" t="n">
        <v>22825.816304637</v>
      </c>
      <c r="K716" s="2162" t="n"/>
    </row>
    <row r="717" outlineLevel="3" ht="15.75" customHeight="1">
      <c r="A717" s="10" t="n">
        <v>62</v>
      </c>
      <c r="B717" s="10" t="inlineStr">
        <is>
          <t>Insumo</t>
        </is>
      </c>
      <c r="C717" s="10" t="inlineStr">
        <is>
          <t>Armação Aço CA-50, Diâmetro de 10,0mm para Supraestrutura, Corte e dobra em Indústria</t>
        </is>
      </c>
      <c r="D717" s="10" t="inlineStr">
        <is>
          <t>Espaçador para armadura</t>
        </is>
      </c>
      <c r="E717" s="11">
        <f t="array" ref="E717">_xlfn.XLOOKUP(D717,Insumos!B:B,Insumos!C:$C)</f>
        <v/>
      </c>
      <c r="F717" s="14" t="n">
        <v>0.05</v>
      </c>
      <c r="G717" s="92">
        <f t="array" ref="G717">IF(B717="insumo",_xlfn.XLOOKUP($D717,Insumos!$B$1:$B$996,Insumos!$D$1:$D$996),"")</f>
        <v/>
      </c>
      <c r="H717" s="92" t="n">
        <v>0.0135</v>
      </c>
      <c r="I717" s="2162" t="n">
        <v>81096.4642304974</v>
      </c>
      <c r="J717" s="2162" t="n">
        <v>1094.80226711171</v>
      </c>
      <c r="K717" s="2162" t="n"/>
    </row>
    <row r="718" outlineLevel="2" ht="15.75" customHeight="1">
      <c r="A718" s="1067" t="n">
        <v>1</v>
      </c>
      <c r="B718" s="1067" t="inlineStr">
        <is>
          <t>Serviço</t>
        </is>
      </c>
      <c r="C718" s="1067" t="inlineStr">
        <is>
          <t>Armação Aço CA-50, Diâmetro de 12,5mm para Supraestrutura, Corte e dobra em Indústria</t>
        </is>
      </c>
      <c r="D718" s="1067" t="inlineStr">
        <is>
          <t>Armação Aço CA-50, Diâmetro de 12,5mm para Supraestrutura, Corte e dobra em Indústria</t>
        </is>
      </c>
      <c r="E718" s="1068" t="inlineStr">
        <is>
          <t>KG</t>
        </is>
      </c>
      <c r="F718" s="1067" t="n"/>
      <c r="G718" s="1069">
        <f t="array" ref="G718">IF(B718="insumo",_xlfn.XLOOKUP($D718,Insumos!$B$1:$B$996,Insumos!$D$1:$D$996),"")</f>
        <v/>
      </c>
      <c r="H718" s="1069" t="n">
        <v>8.484965000000001</v>
      </c>
      <c r="I718" s="2161" t="n">
        <v>87261.1316279707</v>
      </c>
      <c r="J718" s="2161" t="n">
        <v>740407.647723724</v>
      </c>
      <c r="K718" s="2161" t="n"/>
    </row>
    <row r="719" outlineLevel="3" ht="15.75" customHeight="1">
      <c r="A719" s="10" t="n">
        <v>3</v>
      </c>
      <c r="B719" s="10" t="inlineStr">
        <is>
          <t>Insumo</t>
        </is>
      </c>
      <c r="C719" s="10" t="inlineStr">
        <is>
          <t>Armação Aço CA-50, Diâmetro de 12,5mm para Supraestrutura, Corte e dobra em Indústria</t>
        </is>
      </c>
      <c r="D719" s="10" t="inlineStr">
        <is>
          <t>Aço CA50 12,5 mm Corte e Dobra em Indústria</t>
        </is>
      </c>
      <c r="E719" s="11">
        <f t="array" ref="E719">_xlfn.XLOOKUP(D719,Insumos!B:B,Insumos!C:$C)</f>
        <v/>
      </c>
      <c r="F719" s="14" t="n">
        <v>1</v>
      </c>
      <c r="G719" s="92">
        <f t="array" ref="G719">IF(B719="insumo",_xlfn.XLOOKUP($D719,Insumos!$B$1:$B$996,Insumos!$D$1:$D$996),"")</f>
        <v/>
      </c>
      <c r="H719" s="92" t="n">
        <v>8.19</v>
      </c>
      <c r="I719" s="2162" t="n">
        <v>87261.1316279707</v>
      </c>
      <c r="J719" s="2162" t="n">
        <v>714668.6680330799</v>
      </c>
      <c r="K719" s="2162" t="n"/>
    </row>
    <row r="720" outlineLevel="3" ht="15.75" customHeight="1">
      <c r="A720" s="10" t="n">
        <v>21</v>
      </c>
      <c r="B720" s="10" t="inlineStr">
        <is>
          <t>Insumo</t>
        </is>
      </c>
      <c r="C720" s="10" t="inlineStr">
        <is>
          <t>Armação Aço CA-50, Diâmetro de 12,5mm para Supraestrutura, Corte e dobra em Indústria</t>
        </is>
      </c>
      <c r="D720" s="10" t="inlineStr">
        <is>
          <t xml:space="preserve">Arame Recozido BWG 18 </t>
        </is>
      </c>
      <c r="E720" s="11">
        <f t="array" ref="E720">_xlfn.XLOOKUP(D720,Insumos!B:B,Insumos!C:$C)</f>
        <v/>
      </c>
      <c r="F720" s="14" t="n">
        <v>0.0205</v>
      </c>
      <c r="G720" s="92">
        <f t="array" ref="G720">IF(B720="insumo",_xlfn.XLOOKUP($D720,Insumos!$B$1:$B$996,Insumos!$D$1:$D$996),"")</f>
        <v/>
      </c>
      <c r="H720" s="92" t="n">
        <v>0.281465</v>
      </c>
      <c r="I720" s="2162" t="n">
        <v>87261.1316279707</v>
      </c>
      <c r="J720" s="2162" t="n">
        <v>24560.9544136668</v>
      </c>
      <c r="K720" s="2162" t="n"/>
    </row>
    <row r="721" outlineLevel="3" ht="15.75" customHeight="1">
      <c r="A721" s="10" t="n">
        <v>62</v>
      </c>
      <c r="B721" s="10" t="inlineStr">
        <is>
          <t>Insumo</t>
        </is>
      </c>
      <c r="C721" s="10" t="inlineStr">
        <is>
          <t>Armação Aço CA-50, Diâmetro de 12,5mm para Supraestrutura, Corte e dobra em Indústria</t>
        </is>
      </c>
      <c r="D721" s="10" t="inlineStr">
        <is>
          <t>Espaçador para armadura</t>
        </is>
      </c>
      <c r="E721" s="11">
        <f t="array" ref="E721">_xlfn.XLOOKUP(D721,Insumos!B:B,Insumos!C:$C)</f>
        <v/>
      </c>
      <c r="F721" s="14" t="n">
        <v>0.05</v>
      </c>
      <c r="G721" s="92">
        <f t="array" ref="G721">IF(B721="insumo",_xlfn.XLOOKUP($D721,Insumos!$B$1:$B$996,Insumos!$D$1:$D$996),"")</f>
        <v/>
      </c>
      <c r="H721" s="92" t="n">
        <v>0.0135</v>
      </c>
      <c r="I721" s="2162" t="n">
        <v>87261.1316279707</v>
      </c>
      <c r="J721" s="2162" t="n">
        <v>1178.0252769776</v>
      </c>
      <c r="K721" s="2162" t="n"/>
    </row>
    <row r="722" outlineLevel="2" ht="15.75" customHeight="1">
      <c r="A722" s="1067" t="n">
        <v>1</v>
      </c>
      <c r="B722" s="1067" t="inlineStr">
        <is>
          <t>Serviço</t>
        </is>
      </c>
      <c r="C722" s="1067" t="inlineStr">
        <is>
          <t>Armação Aço CA-50, Diâmetro de 16,0mm para Supraestrutura, Corte e dobra em Indústria</t>
        </is>
      </c>
      <c r="D722" s="1067" t="inlineStr">
        <is>
          <t>Armação Aço CA-50, Diâmetro de 16,0mm para Supraestrutura, Corte e dobra em Indústria</t>
        </is>
      </c>
      <c r="E722" s="1068" t="inlineStr">
        <is>
          <t>KG</t>
        </is>
      </c>
      <c r="F722" s="1067" t="n"/>
      <c r="G722" s="1069">
        <f t="array" ref="G722">IF(B722="insumo",_xlfn.XLOOKUP($D722,Insumos!$B$1:$B$996,Insumos!$D$1:$D$996),"")</f>
        <v/>
      </c>
      <c r="H722" s="1069" t="n">
        <v>8.484965000000001</v>
      </c>
      <c r="I722" s="2161" t="n">
        <v>31256.2581978679</v>
      </c>
      <c r="J722" s="2161" t="n">
        <v>265208.256839872</v>
      </c>
      <c r="K722" s="2161" t="n"/>
    </row>
    <row r="723" outlineLevel="3" ht="15.75" customHeight="1">
      <c r="A723" s="10" t="n">
        <v>3</v>
      </c>
      <c r="B723" s="10" t="inlineStr">
        <is>
          <t>Insumo</t>
        </is>
      </c>
      <c r="C723" s="10" t="inlineStr">
        <is>
          <t>Armação Aço CA-50, Diâmetro de 16,0mm para Supraestrutura, Corte e dobra em Indústria</t>
        </is>
      </c>
      <c r="D723" s="10" t="inlineStr">
        <is>
          <t>Aço CA50 16,0 mm Corte e Dobra em Indústria</t>
        </is>
      </c>
      <c r="E723" s="11">
        <f t="array" ref="E723">_xlfn.XLOOKUP(D723,Insumos!B:B,Insumos!C:$C)</f>
        <v/>
      </c>
      <c r="F723" s="14" t="n">
        <v>1</v>
      </c>
      <c r="G723" s="92">
        <f t="array" ref="G723">IF(B723="insumo",_xlfn.XLOOKUP($D723,Insumos!$B$1:$B$996,Insumos!$D$1:$D$996),"")</f>
        <v/>
      </c>
      <c r="H723" s="92" t="n">
        <v>8.19</v>
      </c>
      <c r="I723" s="2162" t="n">
        <v>31256.2581978679</v>
      </c>
      <c r="J723" s="2162" t="n">
        <v>255988.754640538</v>
      </c>
      <c r="K723" s="2162" t="n"/>
    </row>
    <row r="724" outlineLevel="3" ht="15.75" customHeight="1">
      <c r="A724" s="10" t="n">
        <v>21</v>
      </c>
      <c r="B724" s="10" t="inlineStr">
        <is>
          <t>Insumo</t>
        </is>
      </c>
      <c r="C724" s="10" t="inlineStr">
        <is>
          <t>Armação Aço CA-50, Diâmetro de 16,0mm para Supraestrutura, Corte e dobra em Indústria</t>
        </is>
      </c>
      <c r="D724" s="10" t="inlineStr">
        <is>
          <t xml:space="preserve">Arame Recozido BWG 18 </t>
        </is>
      </c>
      <c r="E724" s="11">
        <f t="array" ref="E724">_xlfn.XLOOKUP(D724,Insumos!B:B,Insumos!C:$C)</f>
        <v/>
      </c>
      <c r="F724" s="14" t="n">
        <v>0.0205</v>
      </c>
      <c r="G724" s="92">
        <f t="array" ref="G724">IF(B724="insumo",_xlfn.XLOOKUP($D724,Insumos!$B$1:$B$996,Insumos!$D$1:$D$996),"")</f>
        <v/>
      </c>
      <c r="H724" s="92" t="n">
        <v>0.281465</v>
      </c>
      <c r="I724" s="2162" t="n">
        <v>31256.2581978679</v>
      </c>
      <c r="J724" s="2162" t="n">
        <v>8797.54271366289</v>
      </c>
      <c r="K724" s="2162" t="n"/>
    </row>
    <row r="725" outlineLevel="3" ht="15.75" customHeight="1">
      <c r="A725" s="10" t="n">
        <v>62</v>
      </c>
      <c r="B725" s="10" t="inlineStr">
        <is>
          <t>Insumo</t>
        </is>
      </c>
      <c r="C725" s="10" t="inlineStr">
        <is>
          <t>Armação Aço CA-50, Diâmetro de 16,0mm para Supraestrutura, Corte e dobra em Indústria</t>
        </is>
      </c>
      <c r="D725" s="10" t="inlineStr">
        <is>
          <t>Espaçador para armadura</t>
        </is>
      </c>
      <c r="E725" s="11">
        <f t="array" ref="E725">_xlfn.XLOOKUP(D725,Insumos!B:B,Insumos!C:$C)</f>
        <v/>
      </c>
      <c r="F725" s="14" t="n">
        <v>0.05</v>
      </c>
      <c r="G725" s="92">
        <f t="array" ref="G725">IF(B725="insumo",_xlfn.XLOOKUP($D725,Insumos!$B$1:$B$996,Insumos!$D$1:$D$996),"")</f>
        <v/>
      </c>
      <c r="H725" s="92" t="n">
        <v>0.0135</v>
      </c>
      <c r="I725" s="2162" t="n">
        <v>31256.2581978679</v>
      </c>
      <c r="J725" s="2162" t="n">
        <v>421.959485671217</v>
      </c>
      <c r="K725" s="2162" t="n"/>
    </row>
    <row r="726" outlineLevel="2" ht="15.75" customHeight="1">
      <c r="A726" s="1067" t="n">
        <v>1</v>
      </c>
      <c r="B726" s="1067" t="inlineStr">
        <is>
          <t>Serviço</t>
        </is>
      </c>
      <c r="C726" s="1067" t="inlineStr">
        <is>
          <t>Armação Aço CA-50, Diâmetro de 20,0mm para Supraestrutura, Corte e dobra em Indústria</t>
        </is>
      </c>
      <c r="D726" s="1067" t="inlineStr">
        <is>
          <t>Armação Aço CA-50, Diâmetro de 20,0mm para Supraestrutura, Corte e dobra em Indústria</t>
        </is>
      </c>
      <c r="E726" s="1068" t="inlineStr">
        <is>
          <t>KG</t>
        </is>
      </c>
      <c r="F726" s="1067" t="n"/>
      <c r="G726" s="1069">
        <f t="array" ref="G726">IF(B726="insumo",_xlfn.XLOOKUP($D726,Insumos!$B$1:$B$996,Insumos!$D$1:$D$996),"")</f>
        <v/>
      </c>
      <c r="H726" s="1069" t="n">
        <v>8.484965000000001</v>
      </c>
      <c r="I726" s="2161" t="n">
        <v>89836.89929543241</v>
      </c>
      <c r="J726" s="2161" t="n">
        <v>762262.946230269</v>
      </c>
      <c r="K726" s="2161" t="n"/>
    </row>
    <row r="727" outlineLevel="3" ht="15.75" customHeight="1">
      <c r="A727" s="10" t="n">
        <v>4</v>
      </c>
      <c r="B727" s="10" t="inlineStr">
        <is>
          <t>Insumo</t>
        </is>
      </c>
      <c r="C727" s="10" t="inlineStr">
        <is>
          <t>Armação Aço CA-50, Diâmetro de 20,0mm para Supraestrutura, Corte e dobra em Indústria</t>
        </is>
      </c>
      <c r="D727" s="10" t="inlineStr">
        <is>
          <t>Aço CA50 20,0 mm Corte e Dobra em Indústria</t>
        </is>
      </c>
      <c r="E727" s="11">
        <f t="array" ref="E727">_xlfn.XLOOKUP(D727,Insumos!B:B,Insumos!C:$C)</f>
        <v/>
      </c>
      <c r="F727" s="14" t="n">
        <v>1</v>
      </c>
      <c r="G727" s="92">
        <f t="array" ref="G727">IF(B727="insumo",_xlfn.XLOOKUP($D727,Insumos!$B$1:$B$996,Insumos!$D$1:$D$996),"")</f>
        <v/>
      </c>
      <c r="H727" s="92" t="n">
        <v>8.19</v>
      </c>
      <c r="I727" s="2162" t="n">
        <v>89836.89929543241</v>
      </c>
      <c r="J727" s="2162" t="n">
        <v>735764.205229591</v>
      </c>
      <c r="K727" s="2162" t="n"/>
    </row>
    <row r="728" outlineLevel="3" ht="15.75" customHeight="1">
      <c r="A728" s="10" t="n">
        <v>21</v>
      </c>
      <c r="B728" s="10" t="inlineStr">
        <is>
          <t>Insumo</t>
        </is>
      </c>
      <c r="C728" s="10" t="inlineStr">
        <is>
          <t>Armação Aço CA-50, Diâmetro de 20,0mm para Supraestrutura, Corte e dobra em Indústria</t>
        </is>
      </c>
      <c r="D728" s="10" t="inlineStr">
        <is>
          <t xml:space="preserve">Arame Recozido BWG 18 </t>
        </is>
      </c>
      <c r="E728" s="11">
        <f t="array" ref="E728">_xlfn.XLOOKUP(D728,Insumos!B:B,Insumos!C:$C)</f>
        <v/>
      </c>
      <c r="F728" s="14" t="n">
        <v>0.0205</v>
      </c>
      <c r="G728" s="92">
        <f t="array" ref="G728">IF(B728="insumo",_xlfn.XLOOKUP($D728,Insumos!$B$1:$B$996,Insumos!$D$1:$D$996),"")</f>
        <v/>
      </c>
      <c r="H728" s="92" t="n">
        <v>0.281465</v>
      </c>
      <c r="I728" s="2162" t="n">
        <v>89836.89929543241</v>
      </c>
      <c r="J728" s="2162" t="n">
        <v>25285.9428601889</v>
      </c>
      <c r="K728" s="2162" t="n"/>
    </row>
    <row r="729" outlineLevel="3" ht="15.75" customHeight="1">
      <c r="A729" s="10" t="n">
        <v>62</v>
      </c>
      <c r="B729" s="10" t="inlineStr">
        <is>
          <t>Insumo</t>
        </is>
      </c>
      <c r="C729" s="10" t="inlineStr">
        <is>
          <t>Armação Aço CA-50, Diâmetro de 20,0mm para Supraestrutura, Corte e dobra em Indústria</t>
        </is>
      </c>
      <c r="D729" s="10" t="inlineStr">
        <is>
          <t>Espaçador para armadura</t>
        </is>
      </c>
      <c r="E729" s="11">
        <f t="array" ref="E729">_xlfn.XLOOKUP(D729,Insumos!B:B,Insumos!C:$C)</f>
        <v/>
      </c>
      <c r="F729" s="14" t="n">
        <v>0.05</v>
      </c>
      <c r="G729" s="92">
        <f t="array" ref="G729">IF(B729="insumo",_xlfn.XLOOKUP($D729,Insumos!$B$1:$B$996,Insumos!$D$1:$D$996),"")</f>
        <v/>
      </c>
      <c r="H729" s="92" t="n">
        <v>0.0135</v>
      </c>
      <c r="I729" s="2162" t="n">
        <v>89836.89929543241</v>
      </c>
      <c r="J729" s="2162" t="n">
        <v>1212.79814048834</v>
      </c>
      <c r="K729" s="2162" t="n"/>
    </row>
    <row r="730" outlineLevel="2" ht="15.75" customHeight="1">
      <c r="A730" s="1067" t="n">
        <v>1</v>
      </c>
      <c r="B730" s="1067" t="inlineStr">
        <is>
          <t>Serviço</t>
        </is>
      </c>
      <c r="C730" s="1067" t="inlineStr">
        <is>
          <t>Armação Aço CA-50, Diâmetro de 25,0mm para Supraestrutura, Corte e dobra em Indústria</t>
        </is>
      </c>
      <c r="D730" s="1067" t="inlineStr">
        <is>
          <t>Armação Aço CA-50, Diâmetro de 25,0mm para Supraestrutura, Corte e dobra em Indústria</t>
        </is>
      </c>
      <c r="E730" s="1068" t="inlineStr">
        <is>
          <t>KG</t>
        </is>
      </c>
      <c r="F730" s="1067" t="n"/>
      <c r="G730" s="1069">
        <f t="array" ref="G730">IF(B730="insumo",_xlfn.XLOOKUP($D730,Insumos!$B$1:$B$996,Insumos!$D$1:$D$996),"")</f>
        <v/>
      </c>
      <c r="H730" s="1069" t="n">
        <v>8.484965000000001</v>
      </c>
      <c r="I730" s="2161" t="n">
        <v>415759.034135083</v>
      </c>
      <c r="J730" s="2161" t="n">
        <v>3527700.85306999</v>
      </c>
      <c r="K730" s="2161" t="n"/>
    </row>
    <row r="731" outlineLevel="3" ht="15.75" customHeight="1">
      <c r="A731" s="10" t="n">
        <v>3</v>
      </c>
      <c r="B731" s="10" t="inlineStr">
        <is>
          <t>Insumo</t>
        </is>
      </c>
      <c r="C731" s="10" t="inlineStr">
        <is>
          <t>Armação Aço CA-50, Diâmetro de 25,0mm para Supraestrutura, Corte e dobra em Indústria</t>
        </is>
      </c>
      <c r="D731" s="10" t="inlineStr">
        <is>
          <t>Aço CA50 25,0mm Corte e Dobra em Indústria</t>
        </is>
      </c>
      <c r="E731" s="11">
        <f t="array" ref="E731">_xlfn.XLOOKUP(D731,Insumos!B:B,Insumos!C:$C)</f>
        <v/>
      </c>
      <c r="F731" s="14" t="n">
        <v>1</v>
      </c>
      <c r="G731" s="92">
        <f t="array" ref="G731">IF(B731="insumo",_xlfn.XLOOKUP($D731,Insumos!$B$1:$B$996,Insumos!$D$1:$D$996),"")</f>
        <v/>
      </c>
      <c r="H731" s="92" t="n">
        <v>8.19</v>
      </c>
      <c r="I731" s="2162" t="n">
        <v>415759.034135083</v>
      </c>
      <c r="J731" s="2162" t="n">
        <v>3405066.48956633</v>
      </c>
      <c r="K731" s="2162" t="n"/>
    </row>
    <row r="732" outlineLevel="3" ht="15.75" customHeight="1">
      <c r="A732" s="10" t="n">
        <v>21</v>
      </c>
      <c r="B732" s="10" t="inlineStr">
        <is>
          <t>Insumo</t>
        </is>
      </c>
      <c r="C732" s="10" t="inlineStr">
        <is>
          <t>Armação Aço CA-50, Diâmetro de 25,0mm para Supraestrutura, Corte e dobra em Indústria</t>
        </is>
      </c>
      <c r="D732" s="10" t="inlineStr">
        <is>
          <t xml:space="preserve">Arame Recozido BWG 18 </t>
        </is>
      </c>
      <c r="E732" s="11">
        <f t="array" ref="E732">_xlfn.XLOOKUP(D732,Insumos!B:B,Insumos!C:$C)</f>
        <v/>
      </c>
      <c r="F732" s="14" t="n">
        <v>0.0205</v>
      </c>
      <c r="G732" s="92">
        <f t="array" ref="G732">IF(B732="insumo",_xlfn.XLOOKUP($D732,Insumos!$B$1:$B$996,Insumos!$D$1:$D$996),"")</f>
        <v/>
      </c>
      <c r="H732" s="92" t="n">
        <v>0.281465</v>
      </c>
      <c r="I732" s="2162" t="n">
        <v>415759.034135083</v>
      </c>
      <c r="J732" s="2162" t="n">
        <v>117021.616542831</v>
      </c>
      <c r="K732" s="2162" t="n"/>
    </row>
    <row r="733" outlineLevel="3" ht="15.75" customHeight="1">
      <c r="A733" s="10" t="n">
        <v>62</v>
      </c>
      <c r="B733" s="10" t="inlineStr">
        <is>
          <t>Insumo</t>
        </is>
      </c>
      <c r="C733" s="10" t="inlineStr">
        <is>
          <t>Armação Aço CA-50, Diâmetro de 25,0mm para Supraestrutura, Corte e dobra em Indústria</t>
        </is>
      </c>
      <c r="D733" s="10" t="inlineStr">
        <is>
          <t>Espaçador para armadura</t>
        </is>
      </c>
      <c r="E733" s="11">
        <f t="array" ref="E733">_xlfn.XLOOKUP(D733,Insumos!B:B,Insumos!C:$C)</f>
        <v/>
      </c>
      <c r="F733" s="14" t="n">
        <v>0.05</v>
      </c>
      <c r="G733" s="92">
        <f t="array" ref="G733">IF(B733="insumo",_xlfn.XLOOKUP($D733,Insumos!$B$1:$B$996,Insumos!$D$1:$D$996),"")</f>
        <v/>
      </c>
      <c r="H733" s="92" t="n">
        <v>0.0135</v>
      </c>
      <c r="I733" s="2162" t="n">
        <v>415759.034135083</v>
      </c>
      <c r="J733" s="2162" t="n">
        <v>5612.74696082362</v>
      </c>
      <c r="K733" s="2162" t="n"/>
    </row>
    <row r="734" outlineLevel="2" ht="15.75" customHeight="1">
      <c r="A734" s="1067" t="n">
        <v>1</v>
      </c>
      <c r="B734" s="1067" t="inlineStr">
        <is>
          <t>Serviço</t>
        </is>
      </c>
      <c r="C734" s="1067" t="inlineStr">
        <is>
          <t>Armação Aço CA-50, Diâmetro de 32,0mm para Supraestrutura, Corte e dobra em Indústria</t>
        </is>
      </c>
      <c r="D734" s="1067" t="inlineStr">
        <is>
          <t>Armação Aço CA-50, Diâmetro de 32,0mm para Supraestrutura, Corte e dobra em Indústria</t>
        </is>
      </c>
      <c r="E734" s="1068" t="inlineStr">
        <is>
          <t>KG</t>
        </is>
      </c>
      <c r="F734" s="1067" t="n"/>
      <c r="G734" s="1069">
        <f t="array" ref="G734">IF(B734="insumo",_xlfn.XLOOKUP($D734,Insumos!$B$1:$B$996,Insumos!$D$1:$D$996),"")</f>
        <v/>
      </c>
      <c r="H734" s="1069" t="n">
        <v>9.94896203998807</v>
      </c>
      <c r="I734" s="2161" t="n">
        <v>34044</v>
      </c>
      <c r="J734" s="2161" t="n">
        <v>338702.463689354</v>
      </c>
      <c r="K734" s="2161" t="n"/>
    </row>
    <row r="735" outlineLevel="3" ht="15.75" customHeight="1">
      <c r="A735" s="10" t="n">
        <v>2</v>
      </c>
      <c r="B735" s="10" t="inlineStr">
        <is>
          <t>Insumo</t>
        </is>
      </c>
      <c r="C735" s="10" t="inlineStr">
        <is>
          <t>Armação Aço CA-50, Diâmetro de 32,0mm para Supraestrutura, Corte e dobra em Indústria</t>
        </is>
      </c>
      <c r="D735" s="10" t="inlineStr">
        <is>
          <t>Aço CA50 32,0mm Corte e Dobra em Indústria</t>
        </is>
      </c>
      <c r="E735" s="11">
        <f t="array" ref="E735">_xlfn.XLOOKUP(D735,Insumos!B:B,Insumos!C:$C)</f>
        <v/>
      </c>
      <c r="F735" s="14" t="n">
        <v>1.1</v>
      </c>
      <c r="G735" s="92">
        <f t="array" ref="G735">IF(B735="insumo",_xlfn.XLOOKUP($D735,Insumos!$B$1:$B$996,Insumos!$D$1:$D$996),"")</f>
        <v/>
      </c>
      <c r="H735" s="92" t="n">
        <v>9.65399703998807</v>
      </c>
      <c r="I735" s="2162" t="n">
        <v>34044</v>
      </c>
      <c r="J735" s="2162" t="n">
        <v>328660.675229354</v>
      </c>
      <c r="K735" s="2162" t="n"/>
    </row>
    <row r="736" outlineLevel="3" ht="15.75" customHeight="1">
      <c r="A736" s="10" t="n">
        <v>21</v>
      </c>
      <c r="B736" s="10" t="inlineStr">
        <is>
          <t>Insumo</t>
        </is>
      </c>
      <c r="C736" s="10" t="inlineStr">
        <is>
          <t>Armação Aço CA-50, Diâmetro de 32,0mm para Supraestrutura, Corte e dobra em Indústria</t>
        </is>
      </c>
      <c r="D736" s="10" t="inlineStr">
        <is>
          <t xml:space="preserve">Arame Recozido BWG 18 </t>
        </is>
      </c>
      <c r="E736" s="11">
        <f t="array" ref="E736">_xlfn.XLOOKUP(D736,Insumos!B:B,Insumos!C:$C)</f>
        <v/>
      </c>
      <c r="F736" s="14" t="n">
        <v>0.0205</v>
      </c>
      <c r="G736" s="92">
        <f t="array" ref="G736">IF(B736="insumo",_xlfn.XLOOKUP($D736,Insumos!$B$1:$B$996,Insumos!$D$1:$D$996),"")</f>
        <v/>
      </c>
      <c r="H736" s="92" t="n">
        <v>0.281465</v>
      </c>
      <c r="I736" s="2162" t="n">
        <v>34044</v>
      </c>
      <c r="J736" s="2162" t="n">
        <v>9582.194460000001</v>
      </c>
      <c r="K736" s="2162" t="n"/>
    </row>
    <row r="737" outlineLevel="3" ht="15.75" customHeight="1">
      <c r="A737" s="10" t="n">
        <v>62</v>
      </c>
      <c r="B737" s="10" t="inlineStr">
        <is>
          <t>Insumo</t>
        </is>
      </c>
      <c r="C737" s="10" t="inlineStr">
        <is>
          <t>Armação Aço CA-50, Diâmetro de 32,0mm para Supraestrutura, Corte e dobra em Indústria</t>
        </is>
      </c>
      <c r="D737" s="10" t="inlineStr">
        <is>
          <t>Espaçador para armadura</t>
        </is>
      </c>
      <c r="E737" s="11">
        <f t="array" ref="E737">_xlfn.XLOOKUP(D737,Insumos!B:B,Insumos!C:$C)</f>
        <v/>
      </c>
      <c r="F737" s="14" t="n">
        <v>0.05</v>
      </c>
      <c r="G737" s="92">
        <f t="array" ref="G737">IF(B737="insumo",_xlfn.XLOOKUP($D737,Insumos!$B$1:$B$996,Insumos!$D$1:$D$996),"")</f>
        <v/>
      </c>
      <c r="H737" s="92" t="n">
        <v>0.0135</v>
      </c>
      <c r="I737" s="2162" t="n">
        <v>34044</v>
      </c>
      <c r="J737" s="2162" t="n">
        <v>459.594</v>
      </c>
      <c r="K737" s="2162" t="n"/>
    </row>
    <row r="738" outlineLevel="2" ht="18.75" customHeight="1">
      <c r="A738" s="1071" t="n">
        <v>1</v>
      </c>
      <c r="B738" s="1071" t="inlineStr">
        <is>
          <t>Serviço</t>
        </is>
      </c>
      <c r="C738" s="1071" t="inlineStr">
        <is>
          <t>Armação tela Q113 para Suprastrutura (corte e dobra em Obra)</t>
        </is>
      </c>
      <c r="D738" s="1071" t="inlineStr">
        <is>
          <t>Armação tela Q113 para Suprastrutura (corte e dobra em Obra)</t>
        </is>
      </c>
      <c r="E738" s="1072" t="inlineStr">
        <is>
          <t>KG</t>
        </is>
      </c>
      <c r="F738" s="1071" t="n"/>
      <c r="G738" s="1073">
        <f t="array" ref="G738">IF(B738="insumo",_xlfn.XLOOKUP($D738,Insumos!$B$1:$B$996,Insumos!$D$1:$D$996),"")</f>
        <v/>
      </c>
      <c r="H738" s="1073" t="n">
        <v>9.68570574074074</v>
      </c>
      <c r="I738" s="2163" t="n">
        <v>0</v>
      </c>
      <c r="J738" s="2163" t="n">
        <v>0</v>
      </c>
      <c r="K738" s="2163" t="n"/>
    </row>
    <row r="739" outlineLevel="3" ht="18.75" customHeight="1">
      <c r="A739" s="82" t="n">
        <v>2</v>
      </c>
      <c r="B739" s="82" t="inlineStr">
        <is>
          <t>Insumo</t>
        </is>
      </c>
      <c r="C739" s="82" t="inlineStr">
        <is>
          <t>Armação tela Q113 para Suprastrutura (corte e dobra em Obra)</t>
        </is>
      </c>
      <c r="D739" s="82" t="inlineStr">
        <is>
          <t>TELA ACO CARBONO CA60 M.100X100MM F.04,2MM 245X600CM Q113 (26,46KG/UN)</t>
        </is>
      </c>
      <c r="E739" s="11">
        <f t="array" ref="E739">_xlfn.XLOOKUP(D739,Insumos!B:B,Insumos!C:$C)</f>
        <v/>
      </c>
      <c r="F739" s="2164" t="n">
        <v>1.1</v>
      </c>
      <c r="G739" s="92">
        <f t="array" ref="G739">IF(B739="insumo",_xlfn.XLOOKUP($D739,Insumos!$B$1:$B$996,Insumos!$D$1:$D$996),"")</f>
        <v/>
      </c>
      <c r="H739" s="92" t="n">
        <v>9.390740740740741</v>
      </c>
      <c r="I739" s="2165" t="n">
        <v>0</v>
      </c>
      <c r="J739" s="2165" t="n">
        <v>0</v>
      </c>
      <c r="K739" s="2165" t="n"/>
    </row>
    <row r="740" outlineLevel="3" ht="18.75" customHeight="1">
      <c r="A740" s="82" t="n">
        <v>21</v>
      </c>
      <c r="B740" s="82" t="inlineStr">
        <is>
          <t>Insumo</t>
        </is>
      </c>
      <c r="C740" s="82" t="inlineStr">
        <is>
          <t>Armação tela Q113 para Suprastrutura (corte e dobra em Obra)</t>
        </is>
      </c>
      <c r="D740" s="82" t="inlineStr">
        <is>
          <t xml:space="preserve">Arame Recozido BWG 18 </t>
        </is>
      </c>
      <c r="E740" s="11">
        <f t="array" ref="E740">_xlfn.XLOOKUP(D740,Insumos!B:B,Insumos!C:$C)</f>
        <v/>
      </c>
      <c r="F740" s="2164" t="n">
        <v>0.0205</v>
      </c>
      <c r="G740" s="92">
        <f t="array" ref="G740">IF(B740="insumo",_xlfn.XLOOKUP($D740,Insumos!$B$1:$B$996,Insumos!$D$1:$D$996),"")</f>
        <v/>
      </c>
      <c r="H740" s="92" t="n">
        <v>0.281465</v>
      </c>
      <c r="I740" s="2165" t="n">
        <v>0</v>
      </c>
      <c r="J740" s="2165" t="n">
        <v>0</v>
      </c>
      <c r="K740" s="2165" t="n"/>
    </row>
    <row r="741" outlineLevel="3" ht="18.75" customHeight="1">
      <c r="A741" s="82" t="n">
        <v>62</v>
      </c>
      <c r="B741" s="82" t="inlineStr">
        <is>
          <t>Insumo</t>
        </is>
      </c>
      <c r="C741" s="82" t="inlineStr">
        <is>
          <t>Armação tela Q113 para Suprastrutura (corte e dobra em Obra)</t>
        </is>
      </c>
      <c r="D741" s="82" t="inlineStr">
        <is>
          <t>Espaçador para armadura</t>
        </is>
      </c>
      <c r="E741" s="11">
        <f t="array" ref="E741">_xlfn.XLOOKUP(D741,Insumos!B:B,Insumos!C:$C)</f>
        <v/>
      </c>
      <c r="F741" s="2164" t="n">
        <v>0.05</v>
      </c>
      <c r="G741" s="92">
        <f t="array" ref="G741">IF(B741="insumo",_xlfn.XLOOKUP($D741,Insumos!$B$1:$B$996,Insumos!$D$1:$D$996),"")</f>
        <v/>
      </c>
      <c r="H741" s="92" t="n">
        <v>0.0135</v>
      </c>
      <c r="I741" s="2165" t="n">
        <v>0</v>
      </c>
      <c r="J741" s="2165" t="n">
        <v>0</v>
      </c>
      <c r="K741" s="2165" t="n"/>
    </row>
    <row r="742" outlineLevel="2" ht="18.75" customHeight="1">
      <c r="A742" s="1067" t="n">
        <v>1</v>
      </c>
      <c r="B742" s="1067" t="inlineStr">
        <is>
          <t>Serviço</t>
        </is>
      </c>
      <c r="C742" s="1067" t="inlineStr">
        <is>
          <t>Armação tela Q138 para Suprastrutura (corte e dobra em Obra)</t>
        </is>
      </c>
      <c r="D742" s="1067" t="inlineStr">
        <is>
          <t>Armação tela Q138 para Suprastrutura (corte e dobra em Obra)</t>
        </is>
      </c>
      <c r="E742" s="1068" t="inlineStr">
        <is>
          <t>KG</t>
        </is>
      </c>
      <c r="F742" s="1067" t="n"/>
      <c r="G742" s="1069">
        <f t="array" ref="G742">IF(B742="insumo",_xlfn.XLOOKUP($D742,Insumos!$B$1:$B$996,Insumos!$D$1:$D$996),"")</f>
        <v/>
      </c>
      <c r="H742" s="1069" t="n">
        <v>10.3541486734694</v>
      </c>
      <c r="I742" s="2161" t="n">
        <v>0</v>
      </c>
      <c r="J742" s="2161" t="n">
        <v>0</v>
      </c>
      <c r="K742" s="2161" t="n"/>
    </row>
    <row r="743" outlineLevel="3" ht="18.75" customHeight="1">
      <c r="A743" s="10" t="n">
        <v>1</v>
      </c>
      <c r="B743" s="10" t="inlineStr">
        <is>
          <t>Insumo</t>
        </is>
      </c>
      <c r="C743" s="10" t="inlineStr">
        <is>
          <t>Armação tela Q138 para Suprastrutura (corte e dobra em Obra)</t>
        </is>
      </c>
      <c r="D743" s="10" t="inlineStr">
        <is>
          <t>TELA ACO CARBONO CA60 M.100X100MM F.04,2MM 245X600CM Q138 (32,34KG/UN)</t>
        </is>
      </c>
      <c r="E743" s="11">
        <f t="array" ref="E743">_xlfn.XLOOKUP(D743,Insumos!B:B,Insumos!C:$C)</f>
        <v/>
      </c>
      <c r="F743" s="14" t="n">
        <v>1.1</v>
      </c>
      <c r="G743" s="92">
        <f t="array" ref="G743">IF(B743="insumo",_xlfn.XLOOKUP($D743,Insumos!$B$1:$B$996,Insumos!$D$1:$D$996),"")</f>
        <v/>
      </c>
      <c r="H743" s="92" t="n">
        <v>10.0591836734694</v>
      </c>
      <c r="I743" s="2162" t="n">
        <v>0</v>
      </c>
      <c r="J743" s="2162" t="n">
        <v>0</v>
      </c>
      <c r="K743" s="2162" t="n"/>
    </row>
    <row r="744" outlineLevel="3" ht="18.75" customHeight="1">
      <c r="A744" s="10" t="n">
        <v>21</v>
      </c>
      <c r="B744" s="10" t="inlineStr">
        <is>
          <t>Insumo</t>
        </is>
      </c>
      <c r="C744" s="10" t="inlineStr">
        <is>
          <t>Armação tela Q138 para Suprastrutura (corte e dobra em Obra)</t>
        </is>
      </c>
      <c r="D744" s="10" t="inlineStr">
        <is>
          <t xml:space="preserve">Arame Recozido BWG 18 </t>
        </is>
      </c>
      <c r="E744" s="11">
        <f t="array" ref="E744">_xlfn.XLOOKUP(D744,Insumos!B:B,Insumos!C:$C)</f>
        <v/>
      </c>
      <c r="F744" s="14" t="n">
        <v>0.0205</v>
      </c>
      <c r="G744" s="92">
        <f t="array" ref="G744">IF(B744="insumo",_xlfn.XLOOKUP($D744,Insumos!$B$1:$B$996,Insumos!$D$1:$D$996),"")</f>
        <v/>
      </c>
      <c r="H744" s="92" t="n">
        <v>0.281465</v>
      </c>
      <c r="I744" s="2162" t="n">
        <v>0</v>
      </c>
      <c r="J744" s="2162" t="n">
        <v>0</v>
      </c>
      <c r="K744" s="2162" t="n"/>
    </row>
    <row r="745" outlineLevel="3" ht="18.75" customHeight="1">
      <c r="A745" s="10" t="n">
        <v>62</v>
      </c>
      <c r="B745" s="10" t="inlineStr">
        <is>
          <t>Insumo</t>
        </is>
      </c>
      <c r="C745" s="10" t="inlineStr">
        <is>
          <t>Armação tela Q138 para Suprastrutura (corte e dobra em Obra)</t>
        </is>
      </c>
      <c r="D745" s="10" t="inlineStr">
        <is>
          <t>Espaçador para armadura</t>
        </is>
      </c>
      <c r="E745" s="11">
        <f t="array" ref="E745">_xlfn.XLOOKUP(D745,Insumos!B:B,Insumos!C:$C)</f>
        <v/>
      </c>
      <c r="F745" s="14" t="n">
        <v>0.05</v>
      </c>
      <c r="G745" s="92">
        <f t="array" ref="G745">IF(B745="insumo",_xlfn.XLOOKUP($D745,Insumos!$B$1:$B$996,Insumos!$D$1:$D$996),"")</f>
        <v/>
      </c>
      <c r="H745" s="92" t="n">
        <v>0.0135</v>
      </c>
      <c r="I745" s="2162" t="n">
        <v>0</v>
      </c>
      <c r="J745" s="2162" t="n">
        <v>0</v>
      </c>
      <c r="K745" s="2162" t="n"/>
    </row>
    <row r="746" outlineLevel="2" ht="18.75" customHeight="1">
      <c r="A746" s="1067" t="n">
        <v>1</v>
      </c>
      <c r="B746" s="1067" t="inlineStr">
        <is>
          <t>Serviço</t>
        </is>
      </c>
      <c r="C746" s="1067" t="inlineStr">
        <is>
          <t>Armação tela Q92 para ContraPiso Armado (corte e dobra em Obra)</t>
        </is>
      </c>
      <c r="D746" s="1067" t="inlineStr">
        <is>
          <t>Armação tela Q92 para ContraPiso Armado (corte e dobra em Obra)</t>
        </is>
      </c>
      <c r="E746" s="1068" t="inlineStr">
        <is>
          <t>KG</t>
        </is>
      </c>
      <c r="F746" s="1067" t="n"/>
      <c r="G746" s="1069">
        <f t="array" ref="G746">IF(B746="insumo",_xlfn.XLOOKUP($D746,Insumos!$B$1:$B$996,Insumos!$D$1:$D$996),"")</f>
        <v/>
      </c>
      <c r="H746" s="1069" t="n">
        <v>5.662965</v>
      </c>
      <c r="I746" s="2161" t="n">
        <v>0</v>
      </c>
      <c r="J746" s="2161" t="n">
        <v>0</v>
      </c>
      <c r="K746" s="2161" t="n"/>
    </row>
    <row r="747" outlineLevel="3" ht="18.75" customHeight="1">
      <c r="A747" s="10" t="n">
        <v>1</v>
      </c>
      <c r="B747" s="10" t="inlineStr">
        <is>
          <t>Insumo</t>
        </is>
      </c>
      <c r="C747" s="10" t="inlineStr">
        <is>
          <t>Armação tela Q92 para ContraPiso Armado (corte e dobra em Obra)</t>
        </is>
      </c>
      <c r="D747" s="10" t="inlineStr">
        <is>
          <t>TELA ACO CARBONO CA60 M.150X150MM F.04,2MM 245X600CM Q92 (21,8KG/UN)</t>
        </is>
      </c>
      <c r="E747" s="11">
        <f t="array" ref="E747">_xlfn.XLOOKUP(D747,Insumos!B:B,Insumos!C:$C)</f>
        <v/>
      </c>
      <c r="F747" s="14" t="n">
        <v>1.1</v>
      </c>
      <c r="G747" s="92">
        <f t="array" ref="G747">IF(B747="insumo",_xlfn.XLOOKUP($D747,Insumos!$B$1:$B$996,Insumos!$D$1:$D$996),"")</f>
        <v/>
      </c>
      <c r="H747" s="92" t="n">
        <v>5.368</v>
      </c>
      <c r="I747" s="2162" t="n">
        <v>0</v>
      </c>
      <c r="J747" s="2162" t="n">
        <v>0</v>
      </c>
      <c r="K747" s="2162" t="n"/>
    </row>
    <row r="748" outlineLevel="3" ht="18.75" customHeight="1">
      <c r="A748" s="10" t="n">
        <v>21</v>
      </c>
      <c r="B748" s="10" t="inlineStr">
        <is>
          <t>Insumo</t>
        </is>
      </c>
      <c r="C748" s="10" t="inlineStr">
        <is>
          <t>Armação tela Q92 para ContraPiso Armado (corte e dobra em Obra)</t>
        </is>
      </c>
      <c r="D748" s="10" t="inlineStr">
        <is>
          <t xml:space="preserve">Arame Recozido BWG 18 </t>
        </is>
      </c>
      <c r="E748" s="11">
        <f t="array" ref="E748">_xlfn.XLOOKUP(D748,Insumos!B:B,Insumos!C:$C)</f>
        <v/>
      </c>
      <c r="F748" s="14" t="n">
        <v>0.0205</v>
      </c>
      <c r="G748" s="92">
        <f t="array" ref="G748">IF(B748="insumo",_xlfn.XLOOKUP($D748,Insumos!$B$1:$B$996,Insumos!$D$1:$D$996),"")</f>
        <v/>
      </c>
      <c r="H748" s="92" t="n">
        <v>0.281465</v>
      </c>
      <c r="I748" s="2162" t="n">
        <v>0</v>
      </c>
      <c r="J748" s="2162" t="n">
        <v>0</v>
      </c>
      <c r="K748" s="2162" t="n"/>
    </row>
    <row r="749" outlineLevel="3" ht="18.75" customHeight="1">
      <c r="A749" s="10" t="n">
        <v>62</v>
      </c>
      <c r="B749" s="10" t="inlineStr">
        <is>
          <t>Insumo</t>
        </is>
      </c>
      <c r="C749" s="10" t="inlineStr">
        <is>
          <t>Armação tela Q92 para ContraPiso Armado (corte e dobra em Obra)</t>
        </is>
      </c>
      <c r="D749" s="10" t="inlineStr">
        <is>
          <t>Espaçador para armadura</t>
        </is>
      </c>
      <c r="E749" s="11">
        <f t="array" ref="E749">_xlfn.XLOOKUP(D749,Insumos!B:B,Insumos!C:$C)</f>
        <v/>
      </c>
      <c r="F749" s="14" t="n">
        <v>0.05</v>
      </c>
      <c r="G749" s="92">
        <f t="array" ref="G749">IF(B749="insumo",_xlfn.XLOOKUP($D749,Insumos!$B$1:$B$996,Insumos!$D$1:$D$996),"")</f>
        <v/>
      </c>
      <c r="H749" s="92" t="n">
        <v>0.0135</v>
      </c>
      <c r="I749" s="2162" t="n">
        <v>0</v>
      </c>
      <c r="J749" s="2162" t="n">
        <v>0</v>
      </c>
      <c r="K749" s="2162" t="n"/>
    </row>
    <row r="750" outlineLevel="1" ht="15.75" customHeight="1">
      <c r="A750" s="1090" t="n">
        <v>5</v>
      </c>
      <c r="B750" s="1090" t="inlineStr">
        <is>
          <t>Subetapa</t>
        </is>
      </c>
      <c r="C750" s="1090" t="inlineStr">
        <is>
          <t>Armação tela Q92 para ContraPiso Armado (corte e dobra em Obra)</t>
        </is>
      </c>
      <c r="D750" s="1090" t="inlineStr">
        <is>
          <t>CONCRETO</t>
        </is>
      </c>
      <c r="E750" s="1091" t="n"/>
      <c r="F750" s="2160" t="n"/>
      <c r="G750" s="1091" t="n"/>
      <c r="H750" s="1091" t="n">
        <v>0</v>
      </c>
      <c r="I750" s="2160" t="n">
        <v>0</v>
      </c>
      <c r="J750" s="2160" t="n">
        <v>0</v>
      </c>
      <c r="K750" s="2160" t="n"/>
    </row>
    <row r="751" outlineLevel="2" ht="15.75" customHeight="1">
      <c r="A751" s="1067" t="n">
        <v>1</v>
      </c>
      <c r="B751" s="1067" t="inlineStr">
        <is>
          <t>Serviço</t>
        </is>
      </c>
      <c r="C751" s="1067" t="inlineStr">
        <is>
          <t>Concreto Usinado FCK = 20MPa Bombeavel Para Supraestrutura</t>
        </is>
      </c>
      <c r="D751" s="1067" t="inlineStr">
        <is>
          <t>Concreto Usinado FCK = 20MPa Bombeavel Para Supraestrutura</t>
        </is>
      </c>
      <c r="E751" s="1068" t="inlineStr">
        <is>
          <t>M3</t>
        </is>
      </c>
      <c r="F751" s="1067" t="n"/>
      <c r="G751" s="1069">
        <f t="array" ref="G751">IF(B751="insumo",_xlfn.XLOOKUP($D751,Insumos!$B$1:$B$996,Insumos!$D$1:$D$996),"")</f>
        <v/>
      </c>
      <c r="H751" s="1069" t="n">
        <v>557.26</v>
      </c>
      <c r="I751" s="2161" t="n">
        <v>0</v>
      </c>
      <c r="J751" s="2161" t="n">
        <v>0</v>
      </c>
      <c r="K751" s="2161" t="n"/>
    </row>
    <row r="752" outlineLevel="3" ht="15.75" customHeight="1">
      <c r="A752" s="10" t="n">
        <v>9</v>
      </c>
      <c r="B752" s="10" t="inlineStr">
        <is>
          <t>Insumo</t>
        </is>
      </c>
      <c r="C752" s="10" t="inlineStr">
        <is>
          <t>Concreto Usinado FCK = 20MPa Bombeavel Para Supraestrutura</t>
        </is>
      </c>
      <c r="D752" s="10" t="inlineStr">
        <is>
          <t>Concreto Usinado bombeável 20MPa Convencional</t>
        </is>
      </c>
      <c r="E752" s="11">
        <f t="array" ref="E752">_xlfn.XLOOKUP(D752,Insumos!B:B,Insumos!C:$C)</f>
        <v/>
      </c>
      <c r="F752" s="14" t="n">
        <v>1.05</v>
      </c>
      <c r="G752" s="92">
        <f t="array" ref="G752">IF(B752="insumo",_xlfn.XLOOKUP($D752,Insumos!$B$1:$B$996,Insumos!$D$1:$D$996),"")</f>
        <v/>
      </c>
      <c r="H752" s="92" t="n">
        <v>514.5</v>
      </c>
      <c r="I752" s="2162" t="n">
        <v>0</v>
      </c>
      <c r="J752" s="2162" t="n">
        <v>0</v>
      </c>
      <c r="K752" s="2162" t="n"/>
    </row>
    <row r="753" outlineLevel="3" ht="15.75" customHeight="1">
      <c r="A753" s="10" t="n">
        <v>25</v>
      </c>
      <c r="B753" s="10" t="inlineStr">
        <is>
          <t>Insumo</t>
        </is>
      </c>
      <c r="C753" s="10" t="inlineStr">
        <is>
          <t>Concreto Usinado FCK = 20MPa Bombeavel Para Supraestrutura</t>
        </is>
      </c>
      <c r="D753" s="10" t="inlineStr">
        <is>
          <t>serviço de bombeamento</t>
        </is>
      </c>
      <c r="E753" s="11">
        <f t="array" ref="E753">_xlfn.XLOOKUP(D753,Insumos!B:B,Insumos!C:$C)</f>
        <v/>
      </c>
      <c r="F753" s="14" t="n">
        <v>1.05</v>
      </c>
      <c r="G753" s="92">
        <f t="array" ref="G753">IF(B753="insumo",_xlfn.XLOOKUP($D753,Insumos!$B$1:$B$996,Insumos!$D$1:$D$996),"")</f>
        <v/>
      </c>
      <c r="H753" s="92" t="n">
        <v>42</v>
      </c>
      <c r="I753" s="2162" t="n">
        <v>0</v>
      </c>
      <c r="J753" s="2162" t="n">
        <v>0</v>
      </c>
      <c r="K753" s="2162" t="n"/>
    </row>
    <row r="754" outlineLevel="3" ht="15.75" customHeight="1">
      <c r="A754" s="10" t="n">
        <v>62</v>
      </c>
      <c r="B754" s="10" t="inlineStr">
        <is>
          <t>Insumo</t>
        </is>
      </c>
      <c r="C754" s="10" t="inlineStr">
        <is>
          <t>Concreto Usinado FCK = 20MPa Bombeavel Para Supraestrutura</t>
        </is>
      </c>
      <c r="D754" s="10" t="inlineStr">
        <is>
          <t>Cimento Portland Composto CP II-32</t>
        </is>
      </c>
      <c r="E754" s="11">
        <f t="array" ref="E754">_xlfn.XLOOKUP(D754,Insumos!B:B,Insumos!C:$C)</f>
        <v/>
      </c>
      <c r="F754" s="14" t="n">
        <v>1</v>
      </c>
      <c r="G754" s="92">
        <f t="array" ref="G754">IF(B754="insumo",_xlfn.XLOOKUP($D754,Insumos!$B$1:$B$996,Insumos!$D$1:$D$996),"")</f>
        <v/>
      </c>
      <c r="H754" s="92" t="n">
        <v>0.76</v>
      </c>
      <c r="I754" s="2162" t="n">
        <v>0</v>
      </c>
      <c r="J754" s="2162" t="n">
        <v>0</v>
      </c>
      <c r="K754" s="2162" t="n"/>
    </row>
    <row r="755" outlineLevel="2" ht="15.75" customHeight="1">
      <c r="A755" s="1067" t="n">
        <v>1</v>
      </c>
      <c r="B755" s="1067" t="inlineStr">
        <is>
          <t>Serviço</t>
        </is>
      </c>
      <c r="C755" s="1067" t="inlineStr">
        <is>
          <t>Concreto Usinado FCK = 30MPa Bombeavel Para Supraestrutura</t>
        </is>
      </c>
      <c r="D755" s="1067" t="inlineStr">
        <is>
          <t>Concreto Usinado FCK = 30MPa Bombeavel Para Supraestrutura</t>
        </is>
      </c>
      <c r="E755" s="1068" t="inlineStr">
        <is>
          <t>M3</t>
        </is>
      </c>
      <c r="F755" s="1067" t="n"/>
      <c r="G755" s="1069">
        <f t="array" ref="G755">IF(B755="insumo",_xlfn.XLOOKUP($D755,Insumos!$B$1:$B$996,Insumos!$D$1:$D$996),"")</f>
        <v/>
      </c>
      <c r="H755" s="1069" t="n">
        <v>578.26</v>
      </c>
      <c r="I755" s="2161" t="n">
        <v>0</v>
      </c>
      <c r="J755" s="2161" t="n">
        <v>0</v>
      </c>
      <c r="K755" s="2161" t="n"/>
    </row>
    <row r="756" outlineLevel="3" ht="15.75" customHeight="1">
      <c r="A756" s="10" t="n">
        <v>4</v>
      </c>
      <c r="B756" s="10" t="inlineStr">
        <is>
          <t>Insumo</t>
        </is>
      </c>
      <c r="C756" s="10" t="inlineStr">
        <is>
          <t>Concreto Usinado FCK = 30MPa Bombeavel Para Supraestrutura</t>
        </is>
      </c>
      <c r="D756" s="10" t="inlineStr">
        <is>
          <t>Concreto Usinado bombeável 30MPa Convencional</t>
        </is>
      </c>
      <c r="E756" s="11">
        <f t="array" ref="E756">_xlfn.XLOOKUP(D756,Insumos!B:B,Insumos!C:$C)</f>
        <v/>
      </c>
      <c r="F756" s="14" t="n">
        <v>1.05</v>
      </c>
      <c r="G756" s="92">
        <f t="array" ref="G756">IF(B756="insumo",_xlfn.XLOOKUP($D756,Insumos!$B$1:$B$996,Insumos!$D$1:$D$996),"")</f>
        <v/>
      </c>
      <c r="H756" s="92" t="n">
        <v>535.5</v>
      </c>
      <c r="I756" s="2162" t="n">
        <v>0</v>
      </c>
      <c r="J756" s="2162" t="n">
        <v>0</v>
      </c>
      <c r="K756" s="2162" t="n"/>
    </row>
    <row r="757" outlineLevel="3" ht="15.75" customHeight="1">
      <c r="A757" s="10" t="n">
        <v>25</v>
      </c>
      <c r="B757" s="10" t="inlineStr">
        <is>
          <t>Insumo</t>
        </is>
      </c>
      <c r="C757" s="10" t="inlineStr">
        <is>
          <t>Concreto Usinado FCK = 30MPa Bombeavel Para Supraestrutura</t>
        </is>
      </c>
      <c r="D757" s="10" t="inlineStr">
        <is>
          <t>serviço de bombeamento</t>
        </is>
      </c>
      <c r="E757" s="11">
        <f t="array" ref="E757">_xlfn.XLOOKUP(D757,Insumos!B:B,Insumos!C:$C)</f>
        <v/>
      </c>
      <c r="F757" s="14" t="n">
        <v>1.05</v>
      </c>
      <c r="G757" s="92">
        <f t="array" ref="G757">IF(B757="insumo",_xlfn.XLOOKUP($D757,Insumos!$B$1:$B$996,Insumos!$D$1:$D$996),"")</f>
        <v/>
      </c>
      <c r="H757" s="92" t="n">
        <v>42</v>
      </c>
      <c r="I757" s="2162" t="n">
        <v>0</v>
      </c>
      <c r="J757" s="2162" t="n">
        <v>0</v>
      </c>
      <c r="K757" s="2162" t="n"/>
    </row>
    <row r="758" outlineLevel="3" ht="15.75" customHeight="1">
      <c r="A758" s="10" t="n">
        <v>62</v>
      </c>
      <c r="B758" s="10" t="inlineStr">
        <is>
          <t>Insumo</t>
        </is>
      </c>
      <c r="C758" s="10" t="inlineStr">
        <is>
          <t>Concreto Usinado FCK = 30MPa Bombeavel Para Supraestrutura</t>
        </is>
      </c>
      <c r="D758" s="10" t="inlineStr">
        <is>
          <t>Cimento Portland Composto CP II-32</t>
        </is>
      </c>
      <c r="E758" s="11">
        <f t="array" ref="E758">_xlfn.XLOOKUP(D758,Insumos!B:B,Insumos!C:$C)</f>
        <v/>
      </c>
      <c r="F758" s="14" t="n">
        <v>1</v>
      </c>
      <c r="G758" s="92">
        <f t="array" ref="G758">IF(B758="insumo",_xlfn.XLOOKUP($D758,Insumos!$B$1:$B$996,Insumos!$D$1:$D$996),"")</f>
        <v/>
      </c>
      <c r="H758" s="92" t="n">
        <v>0.76</v>
      </c>
      <c r="I758" s="2162" t="n">
        <v>0</v>
      </c>
      <c r="J758" s="2162" t="n">
        <v>0</v>
      </c>
      <c r="K758" s="2162" t="n"/>
    </row>
    <row r="759" outlineLevel="2" ht="12.75" customHeight="1">
      <c r="A759" s="1071" t="n">
        <v>1</v>
      </c>
      <c r="B759" s="1071" t="inlineStr">
        <is>
          <t>Serviço</t>
        </is>
      </c>
      <c r="C759" s="1071" t="inlineStr">
        <is>
          <t>Concreto Usinado FCK = 35MPa Bombeavel Para Supraestrutura</t>
        </is>
      </c>
      <c r="D759" s="1071" t="inlineStr">
        <is>
          <t>Concreto Usinado FCK = 35MPa Bombeavel Para Supraestrutura</t>
        </is>
      </c>
      <c r="E759" s="1072" t="inlineStr">
        <is>
          <t>M3</t>
        </is>
      </c>
      <c r="F759" s="1071" t="n"/>
      <c r="G759" s="1073">
        <f t="array" ref="G759">IF(B759="insumo",_xlfn.XLOOKUP($D759,Insumos!$B$1:$B$996,Insumos!$D$1:$D$996),"")</f>
        <v/>
      </c>
      <c r="H759" s="1073" t="n">
        <v>677.7265</v>
      </c>
      <c r="I759" s="2163" t="n">
        <v>195.521784</v>
      </c>
      <c r="J759" s="2163" t="n">
        <v>132510.294344076</v>
      </c>
      <c r="K759" s="2163" t="n"/>
    </row>
    <row r="760" outlineLevel="3" ht="12.75" customHeight="1">
      <c r="A760" s="82" t="n">
        <v>6</v>
      </c>
      <c r="B760" s="82" t="inlineStr">
        <is>
          <t>Insumo</t>
        </is>
      </c>
      <c r="C760" s="82" t="inlineStr">
        <is>
          <t>Concreto Usinado FCK = 35MPa Bombeavel Para Supraestrutura</t>
        </is>
      </c>
      <c r="D760" s="82" t="inlineStr">
        <is>
          <t>Concreto Usinado bombeável 35MPa Convencional</t>
        </is>
      </c>
      <c r="E760" s="11">
        <f t="array" ref="E760">_xlfn.XLOOKUP(D760,Insumos!B:B,Insumos!C:$C)</f>
        <v/>
      </c>
      <c r="F760" s="2164" t="n">
        <v>1.05</v>
      </c>
      <c r="G760" s="92">
        <f t="array" ref="G760">IF(B760="insumo",_xlfn.XLOOKUP($D760,Insumos!$B$1:$B$996,Insumos!$D$1:$D$996),"")</f>
        <v/>
      </c>
      <c r="H760" s="92" t="n">
        <v>634.9665</v>
      </c>
      <c r="I760" s="2165" t="n">
        <v>195.521784</v>
      </c>
      <c r="J760" s="2165" t="n">
        <v>124149.782860236</v>
      </c>
      <c r="K760" s="2165" t="n"/>
    </row>
    <row r="761" outlineLevel="3" ht="12.75" customHeight="1">
      <c r="A761" s="82" t="n">
        <v>25</v>
      </c>
      <c r="B761" s="82" t="inlineStr">
        <is>
          <t>Insumo</t>
        </is>
      </c>
      <c r="C761" s="82" t="inlineStr">
        <is>
          <t>Concreto Usinado FCK = 35MPa Bombeavel Para Supraestrutura</t>
        </is>
      </c>
      <c r="D761" s="82" t="inlineStr">
        <is>
          <t>serviço de bombeamento</t>
        </is>
      </c>
      <c r="E761" s="11">
        <f t="array" ref="E761">_xlfn.XLOOKUP(D761,Insumos!B:B,Insumos!C:$C)</f>
        <v/>
      </c>
      <c r="F761" s="2164" t="n">
        <v>1.05</v>
      </c>
      <c r="G761" s="92">
        <f t="array" ref="G761">IF(B761="insumo",_xlfn.XLOOKUP($D761,Insumos!$B$1:$B$996,Insumos!$D$1:$D$996),"")</f>
        <v/>
      </c>
      <c r="H761" s="92" t="n">
        <v>42</v>
      </c>
      <c r="I761" s="2165" t="n">
        <v>195.521784</v>
      </c>
      <c r="J761" s="2165" t="n">
        <v>8211.914928</v>
      </c>
      <c r="K761" s="2165" t="n"/>
    </row>
    <row r="762" outlineLevel="3" ht="12.75" customHeight="1">
      <c r="A762" s="82" t="n">
        <v>62</v>
      </c>
      <c r="B762" s="82" t="inlineStr">
        <is>
          <t>Insumo</t>
        </is>
      </c>
      <c r="C762" s="82" t="inlineStr">
        <is>
          <t>Concreto Usinado FCK = 35MPa Bombeavel Para Supraestrutura</t>
        </is>
      </c>
      <c r="D762" s="82" t="inlineStr">
        <is>
          <t>Cimento Portland Composto CP II-32</t>
        </is>
      </c>
      <c r="E762" s="11">
        <f t="array" ref="E762">_xlfn.XLOOKUP(D762,Insumos!B:B,Insumos!C:$C)</f>
        <v/>
      </c>
      <c r="F762" s="2164" t="n">
        <v>1</v>
      </c>
      <c r="G762" s="92">
        <f t="array" ref="G762">IF(B762="insumo",_xlfn.XLOOKUP($D762,Insumos!$B$1:$B$996,Insumos!$D$1:$D$996),"")</f>
        <v/>
      </c>
      <c r="H762" s="92" t="n">
        <v>0.76</v>
      </c>
      <c r="I762" s="2165" t="n">
        <v>195.521784</v>
      </c>
      <c r="J762" s="2165" t="n">
        <v>148.59655584</v>
      </c>
      <c r="K762" s="2165" t="n"/>
    </row>
    <row r="763" outlineLevel="2" ht="15.75" customHeight="1">
      <c r="A763" s="1067" t="n">
        <v>1</v>
      </c>
      <c r="B763" s="1067" t="inlineStr">
        <is>
          <t>Serviço</t>
        </is>
      </c>
      <c r="C763" s="1067" t="inlineStr">
        <is>
          <t>Concreto Usinado FCK = 40MPa Bombeavel Para Supraestrutura</t>
        </is>
      </c>
      <c r="D763" s="1067" t="inlineStr">
        <is>
          <t>Concreto Usinado FCK = 40MPa Bombeavel Para Supraestrutura</t>
        </is>
      </c>
      <c r="E763" s="1068" t="inlineStr">
        <is>
          <t>M3</t>
        </is>
      </c>
      <c r="F763" s="1067" t="n"/>
      <c r="G763" s="1069">
        <f t="array" ref="G763">IF(B763="insumo",_xlfn.XLOOKUP($D763,Insumos!$B$1:$B$996,Insumos!$D$1:$D$996),"")</f>
        <v/>
      </c>
      <c r="H763" s="1069" t="n">
        <v>631.306</v>
      </c>
      <c r="I763" s="2161" t="n">
        <v>237.663568</v>
      </c>
      <c r="J763" s="2161" t="n">
        <v>150038.436459808</v>
      </c>
      <c r="K763" s="2161" t="n"/>
    </row>
    <row r="764" outlineLevel="3" ht="15.75" customHeight="1">
      <c r="A764" s="10" t="n">
        <v>2</v>
      </c>
      <c r="B764" s="10" t="inlineStr">
        <is>
          <t>Insumo</t>
        </is>
      </c>
      <c r="C764" s="10" t="inlineStr">
        <is>
          <t>Concreto Usinado FCK = 40MPa Bombeavel Para Supraestrutura</t>
        </is>
      </c>
      <c r="D764" s="10" t="inlineStr">
        <is>
          <t>Concreto Usinado bombeável 40MPa Convencional</t>
        </is>
      </c>
      <c r="E764" s="11">
        <f t="array" ref="E764">_xlfn.XLOOKUP(D764,Insumos!B:B,Insumos!C:$C)</f>
        <v/>
      </c>
      <c r="F764" s="14" t="n">
        <v>1.05</v>
      </c>
      <c r="G764" s="92">
        <f t="array" ref="G764">IF(B764="insumo",_xlfn.XLOOKUP($D764,Insumos!$B$1:$B$996,Insumos!$D$1:$D$996),"")</f>
        <v/>
      </c>
      <c r="H764" s="92" t="n">
        <v>588.546</v>
      </c>
      <c r="I764" s="2162" t="n">
        <v>237.663568</v>
      </c>
      <c r="J764" s="2162" t="n">
        <v>139875.942292128</v>
      </c>
      <c r="K764" s="2162" t="n"/>
    </row>
    <row r="765" outlineLevel="3" ht="15.75" customHeight="1">
      <c r="A765" s="10" t="n">
        <v>25</v>
      </c>
      <c r="B765" s="10" t="inlineStr">
        <is>
          <t>Insumo</t>
        </is>
      </c>
      <c r="C765" s="10" t="inlineStr">
        <is>
          <t>Concreto Usinado FCK = 40MPa Bombeavel Para Supraestrutura</t>
        </is>
      </c>
      <c r="D765" s="10" t="inlineStr">
        <is>
          <t>serviço de bombeamento</t>
        </is>
      </c>
      <c r="E765" s="11">
        <f t="array" ref="E765">_xlfn.XLOOKUP(D765,Insumos!B:B,Insumos!C:$C)</f>
        <v/>
      </c>
      <c r="F765" s="14" t="n">
        <v>1.05</v>
      </c>
      <c r="G765" s="92">
        <f t="array" ref="G765">IF(B765="insumo",_xlfn.XLOOKUP($D765,Insumos!$B$1:$B$996,Insumos!$D$1:$D$996),"")</f>
        <v/>
      </c>
      <c r="H765" s="92" t="n">
        <v>42</v>
      </c>
      <c r="I765" s="2162" t="n">
        <v>237.663568</v>
      </c>
      <c r="J765" s="2162" t="n">
        <v>9981.869855999999</v>
      </c>
      <c r="K765" s="2162" t="n"/>
    </row>
    <row r="766" outlineLevel="3" ht="15.75" customHeight="1">
      <c r="A766" s="10" t="n">
        <v>62</v>
      </c>
      <c r="B766" s="10" t="inlineStr">
        <is>
          <t>Insumo</t>
        </is>
      </c>
      <c r="C766" s="10" t="inlineStr">
        <is>
          <t>Concreto Usinado FCK = 40MPa Bombeavel Para Supraestrutura</t>
        </is>
      </c>
      <c r="D766" s="10" t="inlineStr">
        <is>
          <t>Cimento Portland Composto CP II-32</t>
        </is>
      </c>
      <c r="E766" s="11">
        <f t="array" ref="E766">_xlfn.XLOOKUP(D766,Insumos!B:B,Insumos!C:$C)</f>
        <v/>
      </c>
      <c r="F766" s="14" t="n">
        <v>1</v>
      </c>
      <c r="G766" s="92">
        <f t="array" ref="G766">IF(B766="insumo",_xlfn.XLOOKUP($D766,Insumos!$B$1:$B$996,Insumos!$D$1:$D$996),"")</f>
        <v/>
      </c>
      <c r="H766" s="92" t="n">
        <v>0.76</v>
      </c>
      <c r="I766" s="2162" t="n">
        <v>237.663568</v>
      </c>
      <c r="J766" s="2162" t="n">
        <v>180.62431168</v>
      </c>
      <c r="K766" s="2162" t="n"/>
    </row>
    <row r="767" outlineLevel="2" ht="15.75" customHeight="1">
      <c r="A767" s="1067" t="n">
        <v>1</v>
      </c>
      <c r="B767" s="1067" t="inlineStr">
        <is>
          <t>Serviço</t>
        </is>
      </c>
      <c r="C767" s="1067" t="inlineStr">
        <is>
          <t>Concreto Usinado FCK = 45MPa Bombeavel Para Supraestrutura</t>
        </is>
      </c>
      <c r="D767" s="1067" t="inlineStr">
        <is>
          <t>Concreto Usinado FCK = 45MPa Bombeavel Para Supraestrutura</t>
        </is>
      </c>
      <c r="E767" s="1068" t="inlineStr">
        <is>
          <t>M3</t>
        </is>
      </c>
      <c r="F767" s="1067" t="n"/>
      <c r="G767" s="1069">
        <f t="array" ref="G767">IF(B767="insumo",_xlfn.XLOOKUP($D767,Insumos!$B$1:$B$996,Insumos!$D$1:$D$996),"")</f>
        <v/>
      </c>
      <c r="H767" s="1069" t="n">
        <v>620.407</v>
      </c>
      <c r="I767" s="2161" t="n">
        <v>3803.151032</v>
      </c>
      <c r="J767" s="2161" t="n">
        <v>2359501.52231002</v>
      </c>
      <c r="K767" s="2161" t="n"/>
    </row>
    <row r="768" outlineLevel="3" ht="15.75" customHeight="1">
      <c r="A768" s="10" t="n">
        <v>2</v>
      </c>
      <c r="B768" s="10" t="inlineStr">
        <is>
          <t>Insumo</t>
        </is>
      </c>
      <c r="C768" s="10" t="inlineStr">
        <is>
          <t>Concreto Usinado FCK = 45MPa Bombeavel Para Supraestrutura</t>
        </is>
      </c>
      <c r="D768" s="10" t="inlineStr">
        <is>
          <t>Concreto Usinado bombeável 45MPa Convencional</t>
        </is>
      </c>
      <c r="E768" s="11">
        <f t="array" ref="E768">_xlfn.XLOOKUP(D768,Insumos!B:B,Insumos!C:$C)</f>
        <v/>
      </c>
      <c r="F768" s="14" t="n">
        <v>1.05</v>
      </c>
      <c r="G768" s="92">
        <f t="array" ref="G768">IF(B768="insumo",_xlfn.XLOOKUP($D768,Insumos!$B$1:$B$996,Insumos!$D$1:$D$996),"")</f>
        <v/>
      </c>
      <c r="H768" s="92" t="n">
        <v>577.647</v>
      </c>
      <c r="I768" s="2162" t="n">
        <v>3803.151032</v>
      </c>
      <c r="J768" s="2162" t="n">
        <v>2196878.7841817</v>
      </c>
      <c r="K768" s="2162" t="n"/>
    </row>
    <row r="769" outlineLevel="3" ht="15.75" customHeight="1">
      <c r="A769" s="10" t="n">
        <v>25</v>
      </c>
      <c r="B769" s="10" t="inlineStr">
        <is>
          <t>Insumo</t>
        </is>
      </c>
      <c r="C769" s="10" t="inlineStr">
        <is>
          <t>Concreto Usinado FCK = 45MPa Bombeavel Para Supraestrutura</t>
        </is>
      </c>
      <c r="D769" s="10" t="inlineStr">
        <is>
          <t>serviço de bombeamento</t>
        </is>
      </c>
      <c r="E769" s="11">
        <f t="array" ref="E769">_xlfn.XLOOKUP(D769,Insumos!B:B,Insumos!C:$C)</f>
        <v/>
      </c>
      <c r="F769" s="14" t="n">
        <v>1.05</v>
      </c>
      <c r="G769" s="92">
        <f t="array" ref="G769">IF(B769="insumo",_xlfn.XLOOKUP($D769,Insumos!$B$1:$B$996,Insumos!$D$1:$D$996),"")</f>
        <v/>
      </c>
      <c r="H769" s="92" t="n">
        <v>42</v>
      </c>
      <c r="I769" s="2162" t="n">
        <v>3803.151032</v>
      </c>
      <c r="J769" s="2162" t="n">
        <v>159732.343344</v>
      </c>
      <c r="K769" s="2162" t="n"/>
    </row>
    <row r="770" outlineLevel="3" ht="15.75" customHeight="1">
      <c r="A770" s="10" t="n">
        <v>62</v>
      </c>
      <c r="B770" s="10" t="inlineStr">
        <is>
          <t>Insumo</t>
        </is>
      </c>
      <c r="C770" s="10" t="inlineStr">
        <is>
          <t>Concreto Usinado FCK = 45MPa Bombeavel Para Supraestrutura</t>
        </is>
      </c>
      <c r="D770" s="10" t="inlineStr">
        <is>
          <t>Cimento Portland Composto CP II-32</t>
        </is>
      </c>
      <c r="E770" s="11">
        <f t="array" ref="E770">_xlfn.XLOOKUP(D770,Insumos!B:B,Insumos!C:$C)</f>
        <v/>
      </c>
      <c r="F770" s="14" t="n">
        <v>1</v>
      </c>
      <c r="G770" s="92">
        <f t="array" ref="G770">IF(B770="insumo",_xlfn.XLOOKUP($D770,Insumos!$B$1:$B$996,Insumos!$D$1:$D$996),"")</f>
        <v/>
      </c>
      <c r="H770" s="92" t="n">
        <v>0.76</v>
      </c>
      <c r="I770" s="2162" t="n">
        <v>3803.151032</v>
      </c>
      <c r="J770" s="2162" t="n">
        <v>2890.39478432</v>
      </c>
      <c r="K770" s="2162" t="n"/>
    </row>
    <row r="771" outlineLevel="2" ht="15.75" customHeight="1">
      <c r="A771" s="1067" t="n">
        <v>1</v>
      </c>
      <c r="B771" s="1067" t="inlineStr">
        <is>
          <t>Serviço</t>
        </is>
      </c>
      <c r="C771" s="1067" t="inlineStr">
        <is>
          <t>Concreto Usinado FCK = 50MPa Bombeavel Para Supraestrutura</t>
        </is>
      </c>
      <c r="D771" s="1067" t="inlineStr">
        <is>
          <t>Concreto Usinado FCK = 50MPa Bombeavel Para Supraestrutura</t>
        </is>
      </c>
      <c r="E771" s="1068" t="inlineStr">
        <is>
          <t>M3</t>
        </is>
      </c>
      <c r="F771" s="1067" t="n"/>
      <c r="G771" s="1069">
        <f t="array" ref="G771">IF(B771="insumo",_xlfn.XLOOKUP($D771,Insumos!$B$1:$B$996,Insumos!$D$1:$D$996),"")</f>
        <v/>
      </c>
      <c r="H771" s="1069" t="n">
        <v>680.866</v>
      </c>
      <c r="I771" s="2161" t="n">
        <v>2329.470704</v>
      </c>
      <c r="J771" s="2161" t="n">
        <v>1586057.40034966</v>
      </c>
      <c r="K771" s="2161" t="n"/>
    </row>
    <row r="772" outlineLevel="3" ht="15.75" customHeight="1">
      <c r="A772" s="10" t="n">
        <v>2</v>
      </c>
      <c r="B772" s="10" t="inlineStr">
        <is>
          <t>Insumo</t>
        </is>
      </c>
      <c r="C772" s="10" t="inlineStr">
        <is>
          <t>Concreto Usinado FCK = 50MPa Bombeavel Para Supraestrutura</t>
        </is>
      </c>
      <c r="D772" s="10" t="inlineStr">
        <is>
          <t>Concreto Usinado bombeável 50MPa Convencional</t>
        </is>
      </c>
      <c r="E772" s="11">
        <f t="array" ref="E772">_xlfn.XLOOKUP(D772,Insumos!B:B,Insumos!C:$C)</f>
        <v/>
      </c>
      <c r="F772" s="14" t="n">
        <v>1.05</v>
      </c>
      <c r="G772" s="92">
        <f t="array" ref="G772">IF(B772="insumo",_xlfn.XLOOKUP($D772,Insumos!$B$1:$B$996,Insumos!$D$1:$D$996),"")</f>
        <v/>
      </c>
      <c r="H772" s="92" t="n">
        <v>638.106</v>
      </c>
      <c r="I772" s="2162" t="n">
        <v>2329.470704</v>
      </c>
      <c r="J772" s="2162" t="n">
        <v>1486449.23304662</v>
      </c>
      <c r="K772" s="2162" t="n"/>
    </row>
    <row r="773" outlineLevel="3" ht="15.75" customHeight="1">
      <c r="A773" s="10" t="n">
        <v>25</v>
      </c>
      <c r="B773" s="10" t="inlineStr">
        <is>
          <t>Insumo</t>
        </is>
      </c>
      <c r="C773" s="10" t="inlineStr">
        <is>
          <t>Concreto Usinado FCK = 50MPa Bombeavel Para Supraestrutura</t>
        </is>
      </c>
      <c r="D773" s="10" t="inlineStr">
        <is>
          <t>serviço de bombeamento</t>
        </is>
      </c>
      <c r="E773" s="11">
        <f t="array" ref="E773">_xlfn.XLOOKUP(D773,Insumos!B:B,Insumos!C:$C)</f>
        <v/>
      </c>
      <c r="F773" s="14" t="n">
        <v>1.05</v>
      </c>
      <c r="G773" s="92">
        <f t="array" ref="G773">IF(B773="insumo",_xlfn.XLOOKUP($D773,Insumos!$B$1:$B$996,Insumos!$D$1:$D$996),"")</f>
        <v/>
      </c>
      <c r="H773" s="92" t="n">
        <v>42</v>
      </c>
      <c r="I773" s="2162" t="n">
        <v>2329.470704</v>
      </c>
      <c r="J773" s="2162" t="n">
        <v>97837.769568</v>
      </c>
      <c r="K773" s="2162" t="n"/>
    </row>
    <row r="774" outlineLevel="3" ht="15.75" customHeight="1">
      <c r="A774" s="10" t="n">
        <v>62</v>
      </c>
      <c r="B774" s="10" t="inlineStr">
        <is>
          <t>Insumo</t>
        </is>
      </c>
      <c r="C774" s="10" t="inlineStr">
        <is>
          <t>Concreto Usinado FCK = 50MPa Bombeavel Para Supraestrutura</t>
        </is>
      </c>
      <c r="D774" s="10" t="inlineStr">
        <is>
          <t>Cimento Portland Composto CP II-32</t>
        </is>
      </c>
      <c r="E774" s="11">
        <f t="array" ref="E774">_xlfn.XLOOKUP(D774,Insumos!B:B,Insumos!C:$C)</f>
        <v/>
      </c>
      <c r="F774" s="14" t="n">
        <v>1</v>
      </c>
      <c r="G774" s="92">
        <f t="array" ref="G774">IF(B774="insumo",_xlfn.XLOOKUP($D774,Insumos!$B$1:$B$996,Insumos!$D$1:$D$996),"")</f>
        <v/>
      </c>
      <c r="H774" s="92" t="n">
        <v>0.76</v>
      </c>
      <c r="I774" s="2162" t="n">
        <v>2329.470704</v>
      </c>
      <c r="J774" s="2162" t="n">
        <v>1770.39773504</v>
      </c>
      <c r="K774" s="2162" t="n"/>
    </row>
    <row r="775" outlineLevel="2" ht="15.75" customHeight="1">
      <c r="A775" s="1067" t="n">
        <v>1</v>
      </c>
      <c r="B775" s="1067" t="inlineStr">
        <is>
          <t>Serviço</t>
        </is>
      </c>
      <c r="C775" s="1067" t="inlineStr">
        <is>
          <t>Concreto Usinado FCK = 50MPa  Bombeavel para Laje de Fundação</t>
        </is>
      </c>
      <c r="D775" s="1067" t="inlineStr">
        <is>
          <t>Concreto Usinado FCK = 50MPa  Bombeavel para Laje de Fundação</t>
        </is>
      </c>
      <c r="E775" s="1068" t="inlineStr">
        <is>
          <t>M3</t>
        </is>
      </c>
      <c r="F775" s="1067" t="n"/>
      <c r="G775" s="1069">
        <f t="array" ref="G775">IF(B775="insumo",_xlfn.XLOOKUP($D775,Insumos!$B$1:$B$996,Insumos!$D$1:$D$996),"")</f>
        <v/>
      </c>
      <c r="H775" s="1069" t="n">
        <v>680.866</v>
      </c>
      <c r="I775" s="2161" t="n">
        <v>0</v>
      </c>
      <c r="J775" s="2161" t="n">
        <v>0</v>
      </c>
      <c r="K775" s="2161" t="n"/>
    </row>
    <row r="776" outlineLevel="3" ht="15.75" customHeight="1">
      <c r="A776" s="10" t="n">
        <v>1</v>
      </c>
      <c r="B776" s="10" t="inlineStr">
        <is>
          <t>Insumo</t>
        </is>
      </c>
      <c r="C776" s="10" t="inlineStr">
        <is>
          <t>Concreto Usinado FCK = 50MPa  Bombeavel para Laje de Fundação</t>
        </is>
      </c>
      <c r="D776" s="10" t="inlineStr">
        <is>
          <t>Concreto Usinado bombeável 50MPa Convencional Supraestrtura</t>
        </is>
      </c>
      <c r="E776" s="11">
        <f t="array" ref="E776">_xlfn.XLOOKUP(D776,Insumos!B:B,Insumos!C:$C)</f>
        <v/>
      </c>
      <c r="F776" s="14" t="n">
        <v>1.05</v>
      </c>
      <c r="G776" s="92">
        <f t="array" ref="G776">IF(B776="insumo",_xlfn.XLOOKUP($D776,Insumos!$B$1:$B$996,Insumos!$D$1:$D$996),"")</f>
        <v/>
      </c>
      <c r="H776" s="92" t="n">
        <v>638.106</v>
      </c>
      <c r="I776" s="2162" t="n">
        <v>0</v>
      </c>
      <c r="J776" s="2162" t="n">
        <v>0</v>
      </c>
      <c r="K776" s="2162" t="n"/>
    </row>
    <row r="777" outlineLevel="3" ht="15.75" customHeight="1">
      <c r="A777" s="10" t="n">
        <v>25</v>
      </c>
      <c r="B777" s="10" t="inlineStr">
        <is>
          <t>Insumo</t>
        </is>
      </c>
      <c r="C777" s="10" t="inlineStr">
        <is>
          <t>Concreto Usinado FCK = 50MPa  Bombeavel para Laje de Fundação</t>
        </is>
      </c>
      <c r="D777" s="10" t="inlineStr">
        <is>
          <t>serviço de bombeamento</t>
        </is>
      </c>
      <c r="E777" s="11">
        <f t="array" ref="E777">_xlfn.XLOOKUP(D777,Insumos!B:B,Insumos!C:$C)</f>
        <v/>
      </c>
      <c r="F777" s="14" t="n">
        <v>1.05</v>
      </c>
      <c r="G777" s="92">
        <f t="array" ref="G777">IF(B777="insumo",_xlfn.XLOOKUP($D777,Insumos!$B$1:$B$996,Insumos!$D$1:$D$996),"")</f>
        <v/>
      </c>
      <c r="H777" s="92" t="n">
        <v>42</v>
      </c>
      <c r="I777" s="2162" t="n">
        <v>0</v>
      </c>
      <c r="J777" s="2162" t="n">
        <v>0</v>
      </c>
      <c r="K777" s="2162" t="n"/>
    </row>
    <row r="778" outlineLevel="3" ht="15.75" customHeight="1">
      <c r="A778" s="10" t="n">
        <v>62</v>
      </c>
      <c r="B778" s="10" t="inlineStr">
        <is>
          <t>Insumo</t>
        </is>
      </c>
      <c r="C778" s="10" t="inlineStr">
        <is>
          <t>Concreto Usinado FCK = 50MPa  Bombeavel para Laje de Fundação</t>
        </is>
      </c>
      <c r="D778" s="10" t="inlineStr">
        <is>
          <t>Cimento Portland Composto CP II-32</t>
        </is>
      </c>
      <c r="E778" s="11">
        <f t="array" ref="E778">_xlfn.XLOOKUP(D778,Insumos!B:B,Insumos!C:$C)</f>
        <v/>
      </c>
      <c r="F778" s="14" t="n">
        <v>1</v>
      </c>
      <c r="G778" s="92">
        <f t="array" ref="G778">IF(B778="insumo",_xlfn.XLOOKUP($D778,Insumos!$B$1:$B$996,Insumos!$D$1:$D$996),"")</f>
        <v/>
      </c>
      <c r="H778" s="92" t="n">
        <v>0.76</v>
      </c>
      <c r="I778" s="2162" t="n">
        <v>0</v>
      </c>
      <c r="J778" s="2162" t="n">
        <v>0</v>
      </c>
      <c r="K778" s="2162" t="n"/>
    </row>
    <row r="779" outlineLevel="2" ht="12.75" customHeight="1">
      <c r="A779" s="1071" t="n">
        <v>1</v>
      </c>
      <c r="B779" s="1071" t="inlineStr">
        <is>
          <t>Serviço</t>
        </is>
      </c>
      <c r="C779" s="1071" t="inlineStr">
        <is>
          <t>Concreto armado no piso do térreo</t>
        </is>
      </c>
      <c r="D779" s="1071" t="inlineStr">
        <is>
          <t>Concreto armado no piso do térreo</t>
        </is>
      </c>
      <c r="E779" s="1072" t="inlineStr">
        <is>
          <t>M3</t>
        </is>
      </c>
      <c r="F779" s="1071" t="n"/>
      <c r="G779" s="1073">
        <f t="array" ref="G779">IF(B779="insumo",_xlfn.XLOOKUP($D779,Insumos!$B$1:$B$996,Insumos!$D$1:$D$996),"")</f>
        <v/>
      </c>
      <c r="H779" s="1073" t="n">
        <v>132.622633613793</v>
      </c>
      <c r="I779" s="2163" t="n">
        <v>0</v>
      </c>
      <c r="J779" s="2163" t="n">
        <v>0</v>
      </c>
      <c r="K779" s="2163" t="n"/>
    </row>
    <row r="780" outlineLevel="3" ht="12.75" customHeight="1">
      <c r="A780" s="82" t="n">
        <v>9</v>
      </c>
      <c r="B780" s="82" t="inlineStr">
        <is>
          <t>Insumo</t>
        </is>
      </c>
      <c r="C780" s="82" t="inlineStr">
        <is>
          <t>Concreto armado no piso do térreo</t>
        </is>
      </c>
      <c r="D780" s="82" t="inlineStr">
        <is>
          <t>Lona Preta Plástica 4x100 Metros 25kg - Agroplastic, Tamanho: 120 Micras</t>
        </is>
      </c>
      <c r="E780" s="11">
        <f t="array" ref="E780">_xlfn.XLOOKUP(D780,Insumos!B:B,Insumos!C:$C)</f>
        <v/>
      </c>
      <c r="F780" s="2164" t="n">
        <v>1.1</v>
      </c>
      <c r="G780" s="92">
        <f t="array" ref="G780">IF(B780="insumo",_xlfn.XLOOKUP($D780,Insumos!$B$1:$B$996,Insumos!$D$1:$D$996),"")</f>
        <v/>
      </c>
      <c r="H780" s="92" t="n">
        <v>2.53275</v>
      </c>
      <c r="I780" s="2165" t="n">
        <v>0</v>
      </c>
      <c r="J780" s="2165" t="n">
        <v>0</v>
      </c>
      <c r="K780" s="2165" t="n"/>
    </row>
    <row r="781" outlineLevel="3" ht="12.75" customHeight="1">
      <c r="A781" s="82" t="n">
        <v>40</v>
      </c>
      <c r="B781" s="82" t="inlineStr">
        <is>
          <t>Insumo</t>
        </is>
      </c>
      <c r="C781" s="82" t="inlineStr">
        <is>
          <t>Concreto armado no piso do térreo</t>
        </is>
      </c>
      <c r="D781" s="82" t="inlineStr">
        <is>
          <t>PREGO DE ACO POLIDO COM CABECA 17 X 21 (2 X 11)</t>
        </is>
      </c>
      <c r="E781" s="11">
        <f t="array" ref="E781">_xlfn.XLOOKUP(D781,Insumos!B:B,Insumos!C:$C)</f>
        <v/>
      </c>
      <c r="F781" s="2164" t="n">
        <v>0.02</v>
      </c>
      <c r="G781" s="92">
        <f t="array" ref="G781">IF(B781="insumo",_xlfn.XLOOKUP($D781,Insumos!$B$1:$B$996,Insumos!$D$1:$D$996),"")</f>
        <v/>
      </c>
      <c r="H781" s="92" t="n">
        <v>0.3626</v>
      </c>
      <c r="I781" s="2165" t="n">
        <v>0</v>
      </c>
      <c r="J781" s="2165" t="n">
        <v>0</v>
      </c>
      <c r="K781" s="2165" t="n"/>
    </row>
    <row r="782" outlineLevel="3" ht="12.75" customHeight="1">
      <c r="A782" s="82" t="n">
        <v>1</v>
      </c>
      <c r="B782" s="82" t="inlineStr">
        <is>
          <t>Insumo</t>
        </is>
      </c>
      <c r="C782" s="82" t="inlineStr">
        <is>
          <t>Concreto armado no piso do térreo</t>
        </is>
      </c>
      <c r="D782" s="82" t="inlineStr">
        <is>
          <t>Barras de transferencia lisa 12,5mm 50 cm</t>
        </is>
      </c>
      <c r="E782" s="11">
        <f t="array" ref="E782">_xlfn.XLOOKUP(D782,Insumos!B:B,Insumos!C:$C)</f>
        <v/>
      </c>
      <c r="F782" s="2164">
        <f>(546*0.5)/113.5</f>
        <v/>
      </c>
      <c r="G782" s="92">
        <f t="array" ref="G782">IF(B782="insumo",_xlfn.XLOOKUP($D782,Insumos!$B$1:$B$996,Insumos!$D$1:$D$996),"")</f>
        <v/>
      </c>
      <c r="H782" s="92" t="n">
        <v>9.18819383259912</v>
      </c>
      <c r="I782" s="2165" t="n">
        <v>0</v>
      </c>
      <c r="J782" s="2165" t="n">
        <v>0</v>
      </c>
      <c r="K782" s="2165" t="n"/>
    </row>
    <row r="783" outlineLevel="3" ht="12.75" customHeight="1">
      <c r="A783" s="82" t="n">
        <v>2</v>
      </c>
      <c r="B783" s="82" t="inlineStr">
        <is>
          <t>Insumo</t>
        </is>
      </c>
      <c r="C783" s="82" t="inlineStr">
        <is>
          <t>Concreto armado no piso do térreo</t>
        </is>
      </c>
      <c r="D783" s="82" t="inlineStr">
        <is>
          <t>TELA ACO CARBONO CA60 M.100X100MM F.04,2MM 245X600CM Q113 (26,46KG/UN)</t>
        </is>
      </c>
      <c r="E783" s="11">
        <f t="array" ref="E783">_xlfn.XLOOKUP(D783,Insumos!B:B,Insumos!C:$C)</f>
        <v/>
      </c>
      <c r="F783" s="2164" t="n">
        <v>5.003984581050924</v>
      </c>
      <c r="G783" s="92">
        <f t="array" ref="G783">IF(B783="insumo",_xlfn.XLOOKUP($D783,Insumos!$B$1:$B$996,Insumos!$D$1:$D$996),"")</f>
        <v/>
      </c>
      <c r="H783" s="92" t="n">
        <v>42.719201701194</v>
      </c>
      <c r="I783" s="2165" t="n">
        <v>0</v>
      </c>
      <c r="J783" s="2165" t="n">
        <v>0</v>
      </c>
      <c r="K783" s="2165" t="n"/>
    </row>
    <row r="784" outlineLevel="3" ht="12.75" customHeight="1">
      <c r="A784" s="82" t="n">
        <v>1</v>
      </c>
      <c r="B784" s="82" t="inlineStr">
        <is>
          <t>Insumo</t>
        </is>
      </c>
      <c r="C784" s="82" t="inlineStr">
        <is>
          <t>Concreto armado no piso do térreo</t>
        </is>
      </c>
      <c r="D784" s="82" t="inlineStr">
        <is>
          <t>Perna de serra pinus - 10x30x300cm</t>
        </is>
      </c>
      <c r="E784" s="11">
        <f t="array" ref="E784">_xlfn.XLOOKUP(D784,Insumos!B:B,Insumos!C:$C)</f>
        <v/>
      </c>
      <c r="F784" s="2164" t="n">
        <v>3.4e-05</v>
      </c>
      <c r="G784" s="92">
        <f t="array" ref="G784">IF(B784="insumo",_xlfn.XLOOKUP($D784,Insumos!$B$1:$B$996,Insumos!$D$1:$D$996),"")</f>
        <v/>
      </c>
      <c r="H784" s="92" t="n">
        <v>0.00071808</v>
      </c>
      <c r="I784" s="2165" t="n">
        <v>0</v>
      </c>
      <c r="J784" s="2165" t="n">
        <v>0</v>
      </c>
      <c r="K784" s="2165" t="n"/>
    </row>
    <row r="785" outlineLevel="3" ht="12.75" customHeight="1">
      <c r="A785" s="82" t="n">
        <v>6</v>
      </c>
      <c r="B785" s="82" t="inlineStr">
        <is>
          <t>Insumo</t>
        </is>
      </c>
      <c r="C785" s="82" t="inlineStr">
        <is>
          <t>Concreto armado no piso do térreo</t>
        </is>
      </c>
      <c r="D785" s="82" t="inlineStr">
        <is>
          <t>Concreto Usinado bombeável 35MPa Convencional</t>
        </is>
      </c>
      <c r="E785" s="11">
        <f t="array" ref="E785">_xlfn.XLOOKUP(D785,Insumos!B:B,Insumos!C:$C)</f>
        <v/>
      </c>
      <c r="F785" s="2164" t="n">
        <v>0.11</v>
      </c>
      <c r="G785" s="92">
        <f t="array" ref="G785">IF(B785="insumo",_xlfn.XLOOKUP($D785,Insumos!$B$1:$B$996,Insumos!$D$1:$D$996),"")</f>
        <v/>
      </c>
      <c r="H785" s="92" t="n">
        <v>66.52030000000001</v>
      </c>
      <c r="I785" s="2165" t="n">
        <v>0</v>
      </c>
      <c r="J785" s="2165" t="n">
        <v>0</v>
      </c>
      <c r="K785" s="2165" t="n"/>
    </row>
    <row r="786" outlineLevel="3" ht="12.75" customHeight="1">
      <c r="A786" s="82" t="n">
        <v>1</v>
      </c>
      <c r="B786" s="82" t="inlineStr">
        <is>
          <t>Insumo</t>
        </is>
      </c>
      <c r="C786" s="82" t="inlineStr">
        <is>
          <t>Concreto armado no piso do térreo</t>
        </is>
      </c>
      <c r="D786" s="82" t="inlineStr">
        <is>
          <t>Espaçador Treliçado p/ armaduras 6 cm</t>
        </is>
      </c>
      <c r="E786" s="11">
        <f t="array" ref="E786">_xlfn.XLOOKUP(D786,Insumos!B:B,Insumos!C:$C)</f>
        <v/>
      </c>
      <c r="F786" s="2164" t="n">
        <v>0.3333</v>
      </c>
      <c r="G786" s="92">
        <f t="array" ref="G786">IF(B786="insumo",_xlfn.XLOOKUP($D786,Insumos!$B$1:$B$996,Insumos!$D$1:$D$996),"")</f>
        <v/>
      </c>
      <c r="H786" s="92" t="n">
        <v>11.29887</v>
      </c>
      <c r="I786" s="2165" t="n">
        <v>0</v>
      </c>
      <c r="J786" s="2165" t="n">
        <v>0</v>
      </c>
      <c r="K786" s="2165" t="n"/>
    </row>
    <row r="787" outlineLevel="2" ht="15.75" customHeight="1">
      <c r="A787" s="1067" t="n">
        <v>1</v>
      </c>
      <c r="B787" s="1067" t="inlineStr">
        <is>
          <t>Serviço</t>
        </is>
      </c>
      <c r="C787" s="1067" t="inlineStr">
        <is>
          <t>Laje pré-moldada unidirecional enchimento em cerâmica, vigota convencional,</t>
        </is>
      </c>
      <c r="D787" s="1067" t="inlineStr">
        <is>
          <t>Laje pré-moldada unidirecional enchimento em cerâmica, vigota convencional,</t>
        </is>
      </c>
      <c r="E787" s="1068" t="inlineStr">
        <is>
          <t>M2</t>
        </is>
      </c>
      <c r="F787" s="1067" t="n"/>
      <c r="G787" s="1069">
        <f t="array" ref="G787">IF(B787="insumo",_xlfn.XLOOKUP($D787,Insumos!$B$1:$B$996,Insumos!$D$1:$D$996),"")</f>
        <v/>
      </c>
      <c r="H787" s="1069" t="n">
        <v>169.3082</v>
      </c>
      <c r="I787" s="2161" t="n">
        <v>0</v>
      </c>
      <c r="J787" s="2161" t="n">
        <v>0</v>
      </c>
      <c r="K787" s="2161" t="n"/>
    </row>
    <row r="788" outlineLevel="3" ht="15.75" customHeight="1">
      <c r="A788" s="10" t="n">
        <v>1</v>
      </c>
      <c r="B788" s="10" t="inlineStr">
        <is>
          <t>Insumo</t>
        </is>
      </c>
      <c r="C788" s="10" t="inlineStr">
        <is>
          <t>Laje pré-moldada unidirecional enchimento em cerâmica, vigota convencional,</t>
        </is>
      </c>
      <c r="D788" s="10" t="inlineStr">
        <is>
          <t>LAJE PRE-MOLDADA CONVENCIONAL (LAJOTAS + VIGOTAS) PARA PISO, UNIDIRECIONAL, SOBRECARGA DE 200 KG/M2, VAO ATE 3,50 M (SEM COLOCACAO)</t>
        </is>
      </c>
      <c r="E788" s="11">
        <f t="array" ref="E788">_xlfn.XLOOKUP(D788,Insumos!B:B,Insumos!C:$C)</f>
        <v/>
      </c>
      <c r="F788" s="14" t="n">
        <v>1</v>
      </c>
      <c r="G788" s="92">
        <f t="array" ref="G788">IF(B788="insumo",_xlfn.XLOOKUP($D788,Insumos!$B$1:$B$996,Insumos!$D$1:$D$996),"")</f>
        <v/>
      </c>
      <c r="H788" s="92" t="n">
        <v>59.4</v>
      </c>
      <c r="I788" s="2162" t="n">
        <v>0</v>
      </c>
      <c r="J788" s="2162" t="n">
        <v>0</v>
      </c>
      <c r="K788" s="2162" t="n"/>
    </row>
    <row r="789" outlineLevel="3" ht="15.75" customHeight="1">
      <c r="A789" s="10" t="n">
        <v>3</v>
      </c>
      <c r="B789" s="10" t="inlineStr">
        <is>
          <t>Insumo</t>
        </is>
      </c>
      <c r="C789" s="10" t="inlineStr">
        <is>
          <t>Laje pré-moldada unidirecional enchimento em cerâmica, vigota convencional,</t>
        </is>
      </c>
      <c r="D789" s="10" t="inlineStr">
        <is>
          <t>TABUA NAO APARELHADA *2,5 X 20* CM, EM MACARANDUBA/MASSARANDUBA, ANGELIM OU EQUIVALENTE DA REGIAO - BRUTA</t>
        </is>
      </c>
      <c r="E789" s="11">
        <f t="array" ref="E789">_xlfn.XLOOKUP(D789,Insumos!B:B,Insumos!C:$C)</f>
        <v/>
      </c>
      <c r="F789" s="14" t="n">
        <v>1.87</v>
      </c>
      <c r="G789" s="92">
        <f t="array" ref="G789">IF(B789="insumo",_xlfn.XLOOKUP($D789,Insumos!$B$1:$B$996,Insumos!$D$1:$D$996),"")</f>
        <v/>
      </c>
      <c r="H789" s="92" t="n">
        <v>79.4002</v>
      </c>
      <c r="I789" s="2162" t="n">
        <v>0</v>
      </c>
      <c r="J789" s="2162" t="n">
        <v>0</v>
      </c>
      <c r="K789" s="2162" t="n"/>
    </row>
    <row r="790" outlineLevel="3" ht="15.75" customHeight="1">
      <c r="A790" s="10" t="n">
        <v>1</v>
      </c>
      <c r="B790" s="10" t="inlineStr">
        <is>
          <t>Insumo</t>
        </is>
      </c>
      <c r="C790" s="10" t="inlineStr">
        <is>
          <t>Laje pré-moldada unidirecional enchimento em cerâmica, vigota convencional,</t>
        </is>
      </c>
      <c r="D790" s="10" t="inlineStr">
        <is>
          <t>PREGO DE ACO POLIDO COM CABECA 17 x 27 (2 1/2 x 11)</t>
        </is>
      </c>
      <c r="E790" s="11">
        <f t="array" ref="E790">_xlfn.XLOOKUP(D790,Insumos!B:B,Insumos!C:$C)</f>
        <v/>
      </c>
      <c r="F790" s="14" t="n">
        <v>0.04</v>
      </c>
      <c r="G790" s="92">
        <f t="array" ref="G790">IF(B790="insumo",_xlfn.XLOOKUP($D790,Insumos!$B$1:$B$996,Insumos!$D$1:$D$996),"")</f>
        <v/>
      </c>
      <c r="H790" s="92" t="n">
        <v>0.508</v>
      </c>
      <c r="I790" s="2162" t="n">
        <v>0</v>
      </c>
      <c r="J790" s="2162" t="n">
        <v>0</v>
      </c>
      <c r="K790" s="2162" t="n"/>
    </row>
    <row r="791" outlineLevel="3" ht="15.75" customHeight="1">
      <c r="A791" s="10" t="n">
        <v>1</v>
      </c>
      <c r="B791" s="10" t="inlineStr">
        <is>
          <t>Insumo</t>
        </is>
      </c>
      <c r="C791" s="10" t="inlineStr">
        <is>
          <t>Laje pré-moldada unidirecional enchimento em cerâmica, vigota convencional,</t>
        </is>
      </c>
      <c r="D791" s="10" t="inlineStr">
        <is>
          <t>Serviço de Instalação de Lajes pré-moldadas</t>
        </is>
      </c>
      <c r="E791" s="11">
        <f t="array" ref="E791">_xlfn.XLOOKUP(D791,Insumos!B:B,Insumos!C:$C)</f>
        <v/>
      </c>
      <c r="F791" s="14" t="n">
        <v>1</v>
      </c>
      <c r="G791" s="92">
        <f t="array" ref="G791">IF(B791="insumo",_xlfn.XLOOKUP($D791,Insumos!$B$1:$B$996,Insumos!$D$1:$D$996),"")</f>
        <v/>
      </c>
      <c r="H791" s="92" t="n">
        <v>30</v>
      </c>
      <c r="I791" s="2162" t="n">
        <v>0</v>
      </c>
      <c r="J791" s="2162" t="n">
        <v>0</v>
      </c>
      <c r="K791" s="2162" t="n"/>
    </row>
    <row r="792" outlineLevel="1" ht="15.75" customHeight="1">
      <c r="A792" s="1090" t="n">
        <v>1</v>
      </c>
      <c r="B792" s="1090" t="inlineStr">
        <is>
          <t>Subetapa</t>
        </is>
      </c>
      <c r="C792" s="1090" t="inlineStr">
        <is>
          <t>Laje pré-moldada unidirecional enchimento em cerâmica, vigota convencional,</t>
        </is>
      </c>
      <c r="D792" s="1090" t="inlineStr">
        <is>
          <t>EXTRA</t>
        </is>
      </c>
      <c r="E792" s="1091" t="n"/>
      <c r="F792" s="2160" t="n"/>
      <c r="G792" s="1091" t="n"/>
      <c r="H792" s="1091" t="n">
        <v>0</v>
      </c>
      <c r="I792" s="2160" t="n">
        <v>0</v>
      </c>
      <c r="J792" s="2160" t="n">
        <v>0</v>
      </c>
      <c r="K792" s="2160" t="n"/>
    </row>
    <row r="793" outlineLevel="2" ht="15.75" customHeight="1">
      <c r="A793" s="1067" t="n">
        <v>1</v>
      </c>
      <c r="B793" s="1067" t="inlineStr">
        <is>
          <t>Serviço</t>
        </is>
      </c>
      <c r="C793" s="1067" t="inlineStr">
        <is>
          <t>Lona Plastica para Contrapiso Armado</t>
        </is>
      </c>
      <c r="D793" s="1067" t="inlineStr">
        <is>
          <t>Lona Plastica para Contrapiso Armado</t>
        </is>
      </c>
      <c r="E793" s="1068" t="inlineStr">
        <is>
          <t>M2</t>
        </is>
      </c>
      <c r="F793" s="1067" t="n"/>
      <c r="G793" s="1069">
        <f t="array" ref="G793">IF(B793="insumo",_xlfn.XLOOKUP($D793,Insumos!$B$1:$B$996,Insumos!$D$1:$D$996),"")</f>
        <v/>
      </c>
      <c r="H793" s="1069" t="n">
        <v>2.763</v>
      </c>
      <c r="I793" s="2161" t="n">
        <v>0</v>
      </c>
      <c r="J793" s="2161" t="n">
        <v>0</v>
      </c>
      <c r="K793" s="2161" t="n"/>
    </row>
    <row r="794" outlineLevel="3" ht="15.75" customHeight="1">
      <c r="A794" s="10" t="n">
        <v>9</v>
      </c>
      <c r="B794" s="10" t="inlineStr">
        <is>
          <t>Insumo</t>
        </is>
      </c>
      <c r="C794" s="10" t="inlineStr">
        <is>
          <t>Lona Plastica para Contrapiso Armado</t>
        </is>
      </c>
      <c r="D794" s="10" t="inlineStr">
        <is>
          <t>Lona Preta Plástica 4x100 Metros 25kg - Agroplastic, Tamanho: 120 Micras</t>
        </is>
      </c>
      <c r="E794" s="11">
        <f t="array" ref="E794">_xlfn.XLOOKUP(D794,Insumos!B:B,Insumos!C:$C)</f>
        <v/>
      </c>
      <c r="F794" s="14" t="n">
        <v>1.2</v>
      </c>
      <c r="G794" s="92">
        <f t="array" ref="G794">IF(B794="insumo",_xlfn.XLOOKUP($D794,Insumos!$B$1:$B$996,Insumos!$D$1:$D$996),"")</f>
        <v/>
      </c>
      <c r="H794" s="92" t="n">
        <v>2.763</v>
      </c>
      <c r="I794" s="2162" t="n">
        <v>0</v>
      </c>
      <c r="J794" s="2162" t="n">
        <v>0</v>
      </c>
      <c r="K794" s="2162" t="n"/>
    </row>
    <row r="795" outlineLevel="2" ht="15.75" customHeight="1">
      <c r="A795" s="1067" t="n">
        <v>1</v>
      </c>
      <c r="B795" s="1067" t="inlineStr">
        <is>
          <t>Serviço</t>
        </is>
      </c>
      <c r="C795" s="1067" t="inlineStr">
        <is>
          <t xml:space="preserve">Protenção de cordoalhas para laje protendida Nervurada Tec- Serviço </t>
        </is>
      </c>
      <c r="D795" s="1067" t="inlineStr">
        <is>
          <t xml:space="preserve">Protenção de cordoalhas para laje protendida Nervurada Tec- Serviço </t>
        </is>
      </c>
      <c r="E795" s="1068" t="inlineStr">
        <is>
          <t>M2</t>
        </is>
      </c>
      <c r="F795" s="1067" t="n"/>
      <c r="G795" s="1069">
        <f t="array" ref="G795">IF(B795="insumo",_xlfn.XLOOKUP($D795,Insumos!$B$1:$B$996,Insumos!$D$1:$D$996),"")</f>
        <v/>
      </c>
      <c r="H795" s="1069" t="n">
        <v>11.49984</v>
      </c>
      <c r="I795" s="2161" t="n">
        <v>0</v>
      </c>
      <c r="J795" s="2161" t="n">
        <v>0</v>
      </c>
      <c r="K795" s="2161" t="n"/>
    </row>
    <row r="796" outlineLevel="3" ht="15.75" customHeight="1">
      <c r="A796" s="10" t="n">
        <v>1</v>
      </c>
      <c r="B796" s="10" t="inlineStr">
        <is>
          <t>Insumo</t>
        </is>
      </c>
      <c r="C796" s="10" t="inlineStr">
        <is>
          <t xml:space="preserve">Protenção de cordoalhas para laje protendida Nervurada Tec- Serviço </t>
        </is>
      </c>
      <c r="D796" s="10" t="inlineStr">
        <is>
          <t>Acompanhamento e fiscalização na montagem da Protensão, locação de macaco hidráulico e maçarico</t>
        </is>
      </c>
      <c r="E796" s="11">
        <f t="array" ref="E796">_xlfn.XLOOKUP(D796,Insumos!B:B,Insumos!C:$C)</f>
        <v/>
      </c>
      <c r="F796" s="14" t="n">
        <v>1.936</v>
      </c>
      <c r="G796" s="92">
        <f t="array" ref="G796">IF(B796="insumo",_xlfn.XLOOKUP($D796,Insumos!$B$1:$B$996,Insumos!$D$1:$D$996),"")</f>
        <v/>
      </c>
      <c r="H796" s="92" t="n">
        <v>8.595840000000001</v>
      </c>
      <c r="I796" s="2162" t="n">
        <v>0</v>
      </c>
      <c r="J796" s="2162" t="n">
        <v>0</v>
      </c>
      <c r="K796" s="2162" t="n"/>
    </row>
    <row r="797" outlineLevel="3" ht="15.75" customHeight="1">
      <c r="A797" s="10" t="n">
        <v>1</v>
      </c>
      <c r="B797" s="10" t="inlineStr">
        <is>
          <t>Insumo</t>
        </is>
      </c>
      <c r="C797" s="10" t="inlineStr">
        <is>
          <t xml:space="preserve">Protenção de cordoalhas para laje protendida Nervurada Tec- Serviço </t>
        </is>
      </c>
      <c r="D797" s="10" t="inlineStr">
        <is>
          <t>Corte Final dos Cabos</t>
        </is>
      </c>
      <c r="E797" s="11">
        <f t="array" ref="E797">_xlfn.XLOOKUP(D797,Insumos!B:B,Insumos!C:$C)</f>
        <v/>
      </c>
      <c r="F797" s="14" t="n">
        <v>1.936</v>
      </c>
      <c r="G797" s="92">
        <f t="array" ref="G797">IF(B797="insumo",_xlfn.XLOOKUP($D797,Insumos!$B$1:$B$996,Insumos!$D$1:$D$996),"")</f>
        <v/>
      </c>
      <c r="H797" s="92" t="n">
        <v>0.7744</v>
      </c>
      <c r="I797" s="2162" t="n">
        <v>0</v>
      </c>
      <c r="J797" s="2162" t="n">
        <v>0</v>
      </c>
      <c r="K797" s="2162" t="n"/>
    </row>
    <row r="798" outlineLevel="3" ht="15.75" customHeight="1">
      <c r="A798" s="10" t="n">
        <v>1</v>
      </c>
      <c r="B798" s="10" t="inlineStr">
        <is>
          <t>Insumo</t>
        </is>
      </c>
      <c r="C798" s="10" t="inlineStr">
        <is>
          <t xml:space="preserve">Protenção de cordoalhas para laje protendida Nervurada Tec- Serviço </t>
        </is>
      </c>
      <c r="D798" s="10" t="inlineStr">
        <is>
          <t>Fechamento dos nichos de Protensão</t>
        </is>
      </c>
      <c r="E798" s="11">
        <f t="array" ref="E798">_xlfn.XLOOKUP(D798,Insumos!B:B,Insumos!C:$C)</f>
        <v/>
      </c>
      <c r="F798" s="14" t="n">
        <v>1.936</v>
      </c>
      <c r="G798" s="92">
        <f t="array" ref="G798">IF(B798="insumo",_xlfn.XLOOKUP($D798,Insumos!$B$1:$B$996,Insumos!$D$1:$D$996),"")</f>
        <v/>
      </c>
      <c r="H798" s="92" t="n">
        <v>0.7744</v>
      </c>
      <c r="I798" s="2162" t="n">
        <v>0</v>
      </c>
      <c r="J798" s="2162" t="n">
        <v>0</v>
      </c>
      <c r="K798" s="2162" t="n"/>
    </row>
    <row r="799" outlineLevel="3" ht="15.75" customHeight="1">
      <c r="A799" s="10" t="n">
        <v>1</v>
      </c>
      <c r="B799" s="10" t="inlineStr">
        <is>
          <t>Insumo</t>
        </is>
      </c>
      <c r="C799" s="10" t="inlineStr">
        <is>
          <t xml:space="preserve">Protenção de cordoalhas para laje protendida Nervurada Tec- Serviço </t>
        </is>
      </c>
      <c r="D799" s="10" t="inlineStr">
        <is>
          <t>Compatibilização e elaboração do plano de execução dos materiais EVEHX</t>
        </is>
      </c>
      <c r="E799" s="11">
        <f t="array" ref="E799">_xlfn.XLOOKUP(D799,Insumos!B:B,Insumos!C:$C)</f>
        <v/>
      </c>
      <c r="F799" s="14" t="n">
        <v>1.936</v>
      </c>
      <c r="G799" s="92">
        <f t="array" ref="G799">IF(B799="insumo",_xlfn.XLOOKUP($D799,Insumos!$B$1:$B$996,Insumos!$D$1:$D$996),"")</f>
        <v/>
      </c>
      <c r="H799" s="92" t="n">
        <v>0.3872</v>
      </c>
      <c r="I799" s="2162" t="n">
        <v>0</v>
      </c>
      <c r="J799" s="2162" t="n">
        <v>0</v>
      </c>
      <c r="K799" s="2162" t="n"/>
    </row>
    <row r="800" outlineLevel="3" ht="15.75" customHeight="1">
      <c r="A800" s="10" t="n">
        <v>1</v>
      </c>
      <c r="B800" s="10" t="inlineStr">
        <is>
          <t>Insumo</t>
        </is>
      </c>
      <c r="C800" s="10" t="inlineStr">
        <is>
          <t xml:space="preserve">Protenção de cordoalhas para laje protendida Nervurada Tec- Serviço </t>
        </is>
      </c>
      <c r="D800" s="10" t="inlineStr">
        <is>
          <t>Controle tecnológico da Protensão</t>
        </is>
      </c>
      <c r="E800" s="11">
        <f t="array" ref="E800">_xlfn.XLOOKUP(D800,Insumos!B:B,Insumos!C:$C)</f>
        <v/>
      </c>
      <c r="F800" s="14" t="n">
        <v>1.936</v>
      </c>
      <c r="G800" s="92">
        <f t="array" ref="G800">IF(B800="insumo",_xlfn.XLOOKUP($D800,Insumos!$B$1:$B$996,Insumos!$D$1:$D$996),"")</f>
        <v/>
      </c>
      <c r="H800" s="92" t="n">
        <v>0.968</v>
      </c>
      <c r="I800" s="2162" t="n">
        <v>0</v>
      </c>
      <c r="J800" s="2162" t="n">
        <v>0</v>
      </c>
      <c r="K800" s="2162" t="n"/>
    </row>
    <row r="801" outlineLevel="2" ht="15.75" customHeight="1">
      <c r="A801" s="1067" t="n">
        <v>1</v>
      </c>
      <c r="B801" s="1067" t="inlineStr">
        <is>
          <t>Serviço</t>
        </is>
      </c>
      <c r="C801" s="1067" t="inlineStr">
        <is>
          <t>Protenção de cordoalhas para laje protendida Nervurada Tec - Materiais e acessórios</t>
        </is>
      </c>
      <c r="D801" s="1067" t="inlineStr">
        <is>
          <t>Protenção de cordoalhas para laje protendida Nervurada Tec - Materiais e acessórios</t>
        </is>
      </c>
      <c r="E801" s="1068" t="inlineStr">
        <is>
          <t>M2</t>
        </is>
      </c>
      <c r="F801" s="1067" t="n"/>
      <c r="G801" s="1069">
        <f t="array" ref="G801">IF(B801="insumo",_xlfn.XLOOKUP($D801,Insumos!$B$1:$B$996,Insumos!$D$1:$D$996),"")</f>
        <v/>
      </c>
      <c r="H801" s="1069" t="n">
        <v>11.47875</v>
      </c>
      <c r="I801" s="2161" t="n">
        <v>0</v>
      </c>
      <c r="J801" s="2161" t="n">
        <v>0</v>
      </c>
      <c r="K801" s="2161" t="n"/>
    </row>
    <row r="802" outlineLevel="3" ht="15.75" customHeight="1">
      <c r="A802" s="10" t="n">
        <v>3</v>
      </c>
      <c r="B802" s="10" t="inlineStr">
        <is>
          <t>Insumo</t>
        </is>
      </c>
      <c r="C802" s="10" t="inlineStr">
        <is>
          <t>Protenção de cordoalhas para laje protendida Nervurada Tec - Materiais e acessórios</t>
        </is>
      </c>
      <c r="D802" s="10" t="inlineStr">
        <is>
          <t>Ancoragem base 1/2" - EHX 0063</t>
        </is>
      </c>
      <c r="E802" s="11">
        <f t="array" ref="E802">_xlfn.XLOOKUP(D802,Insumos!B:B,Insumos!C:$C)</f>
        <v/>
      </c>
      <c r="F802" s="14" t="n">
        <v>0.253</v>
      </c>
      <c r="G802" s="92">
        <f t="array" ref="G802">IF(B802="insumo",_xlfn.XLOOKUP($D802,Insumos!$B$1:$B$996,Insumos!$D$1:$D$996),"")</f>
        <v/>
      </c>
      <c r="H802" s="92" t="n">
        <v>3.1625</v>
      </c>
      <c r="I802" s="2162" t="n">
        <v>0</v>
      </c>
      <c r="J802" s="2162" t="n">
        <v>0</v>
      </c>
      <c r="K802" s="2162" t="n"/>
    </row>
    <row r="803" outlineLevel="3" ht="15.75" customHeight="1">
      <c r="A803" s="10" t="n">
        <v>3</v>
      </c>
      <c r="B803" s="10" t="inlineStr">
        <is>
          <t>Insumo</t>
        </is>
      </c>
      <c r="C803" s="10" t="inlineStr">
        <is>
          <t>Protenção de cordoalhas para laje protendida Nervurada Tec - Materiais e acessórios</t>
        </is>
      </c>
      <c r="D803" s="10" t="inlineStr">
        <is>
          <t>Cunha 1/2" BI Partida - EHX 0036</t>
        </is>
      </c>
      <c r="E803" s="11">
        <f t="array" ref="E803">_xlfn.XLOOKUP(D803,Insumos!B:B,Insumos!C:$C)</f>
        <v/>
      </c>
      <c r="F803" s="14" t="n">
        <v>0.25</v>
      </c>
      <c r="G803" s="92">
        <f t="array" ref="G803">IF(B803="insumo",_xlfn.XLOOKUP($D803,Insumos!$B$1:$B$996,Insumos!$D$1:$D$996),"")</f>
        <v/>
      </c>
      <c r="H803" s="92" t="n">
        <v>2.2825</v>
      </c>
      <c r="I803" s="2162" t="n">
        <v>0</v>
      </c>
      <c r="J803" s="2162" t="n">
        <v>0</v>
      </c>
      <c r="K803" s="2162" t="n"/>
    </row>
    <row r="804" outlineLevel="3" ht="15.75" customHeight="1">
      <c r="A804" s="10" t="n">
        <v>3</v>
      </c>
      <c r="B804" s="10" t="inlineStr">
        <is>
          <t>Insumo</t>
        </is>
      </c>
      <c r="C804" s="10" t="inlineStr">
        <is>
          <t>Protenção de cordoalhas para laje protendida Nervurada Tec - Materiais e acessórios</t>
        </is>
      </c>
      <c r="D804" s="10" t="inlineStr">
        <is>
          <t>Pocket Former 1/2 - EHX 0009</t>
        </is>
      </c>
      <c r="E804" s="11">
        <f t="array" ref="E804">_xlfn.XLOOKUP(D804,Insumos!B:B,Insumos!C:$C)</f>
        <v/>
      </c>
      <c r="F804" s="14" t="n">
        <v>0.015</v>
      </c>
      <c r="G804" s="92">
        <f t="array" ref="G804">IF(B804="insumo",_xlfn.XLOOKUP($D804,Insumos!$B$1:$B$996,Insumos!$D$1:$D$996),"")</f>
        <v/>
      </c>
      <c r="H804" s="92" t="n">
        <v>0.04275</v>
      </c>
      <c r="I804" s="2162" t="n">
        <v>0</v>
      </c>
      <c r="J804" s="2162" t="n">
        <v>0</v>
      </c>
      <c r="K804" s="2162" t="n"/>
    </row>
    <row r="805" outlineLevel="3" ht="15.75" customHeight="1">
      <c r="A805" s="10" t="n">
        <v>3</v>
      </c>
      <c r="B805" s="10" t="inlineStr">
        <is>
          <t>Insumo</t>
        </is>
      </c>
      <c r="C805" s="10" t="inlineStr">
        <is>
          <t>Protenção de cordoalhas para laje protendida Nervurada Tec - Materiais e acessórios</t>
        </is>
      </c>
      <c r="D805" s="10" t="inlineStr">
        <is>
          <t>Adaptador Ancor. (AP2)B Chupeta-EHX 0027</t>
        </is>
      </c>
      <c r="E805" s="11">
        <f t="array" ref="E805">_xlfn.XLOOKUP(D805,Insumos!B:B,Insumos!C:$C)</f>
        <v/>
      </c>
      <c r="F805" s="14" t="n">
        <v>0.015</v>
      </c>
      <c r="G805" s="92">
        <f t="array" ref="G805">IF(B805="insumo",_xlfn.XLOOKUP($D805,Insumos!$B$1:$B$996,Insumos!$D$1:$D$996),"")</f>
        <v/>
      </c>
      <c r="H805" s="92" t="n">
        <v>0.0213</v>
      </c>
      <c r="I805" s="2162" t="n">
        <v>0</v>
      </c>
      <c r="J805" s="2162" t="n">
        <v>0</v>
      </c>
      <c r="K805" s="2162" t="n"/>
    </row>
    <row r="806" outlineLevel="3" ht="15.75" customHeight="1">
      <c r="A806" s="10" t="n">
        <v>3</v>
      </c>
      <c r="B806" s="10" t="inlineStr">
        <is>
          <t>Insumo</t>
        </is>
      </c>
      <c r="C806" s="10" t="inlineStr">
        <is>
          <t>Protenção de cordoalhas para laje protendida Nervurada Tec - Materiais e acessórios</t>
        </is>
      </c>
      <c r="D806" s="10" t="inlineStr">
        <is>
          <t>Pt-Plug Ø12,7 - 3,8cm</t>
        </is>
      </c>
      <c r="E806" s="11">
        <f t="array" ref="E806">_xlfn.XLOOKUP(D806,Insumos!B:B,Insumos!C:$C)</f>
        <v/>
      </c>
      <c r="F806" s="14" t="n">
        <v>0.015</v>
      </c>
      <c r="G806" s="92">
        <f t="array" ref="G806">IF(B806="insumo",_xlfn.XLOOKUP($D806,Insumos!$B$1:$B$996,Insumos!$D$1:$D$996),"")</f>
        <v/>
      </c>
      <c r="H806" s="92" t="n">
        <v>0.0852</v>
      </c>
      <c r="I806" s="2162" t="n">
        <v>0</v>
      </c>
      <c r="J806" s="2162" t="n">
        <v>0</v>
      </c>
      <c r="K806" s="2162" t="n"/>
    </row>
    <row r="807" outlineLevel="3" ht="15.75" customHeight="1">
      <c r="A807" s="10" t="n">
        <v>3</v>
      </c>
      <c r="B807" s="10" t="inlineStr">
        <is>
          <t>Insumo</t>
        </is>
      </c>
      <c r="C807" s="10" t="inlineStr">
        <is>
          <t>Protenção de cordoalhas para laje protendida Nervurada Tec - Materiais e acessórios</t>
        </is>
      </c>
      <c r="D807" s="10" t="inlineStr">
        <is>
          <t>Tirante Plast - EHX 0621</t>
        </is>
      </c>
      <c r="E807" s="11">
        <f t="array" ref="E807">_xlfn.XLOOKUP(D807,Insumos!B:B,Insumos!C:$C)</f>
        <v/>
      </c>
      <c r="F807" s="14" t="n">
        <v>0.015</v>
      </c>
      <c r="G807" s="92">
        <f t="array" ref="G807">IF(B807="insumo",_xlfn.XLOOKUP($D807,Insumos!$B$1:$B$996,Insumos!$D$1:$D$996),"")</f>
        <v/>
      </c>
      <c r="H807" s="92" t="n">
        <v>0.0345</v>
      </c>
      <c r="I807" s="2162" t="n">
        <v>0</v>
      </c>
      <c r="J807" s="2162" t="n">
        <v>0</v>
      </c>
      <c r="K807" s="2162" t="n"/>
    </row>
    <row r="808" outlineLevel="3" ht="15.75" customHeight="1">
      <c r="A808" s="10" t="n">
        <v>3</v>
      </c>
      <c r="B808" s="10" t="inlineStr">
        <is>
          <t>Insumo</t>
        </is>
      </c>
      <c r="C808" s="10" t="inlineStr">
        <is>
          <t>Protenção de cordoalhas para laje protendida Nervurada Tec - Materiais e acessórios</t>
        </is>
      </c>
      <c r="D808" s="10" t="inlineStr">
        <is>
          <t>Apoio Metálico EHX 0072</t>
        </is>
      </c>
      <c r="E808" s="11">
        <f t="array" ref="E808">_xlfn.XLOOKUP(D808,Insumos!B:B,Insumos!C:$C)</f>
        <v/>
      </c>
      <c r="F808" s="14" t="n">
        <v>1.3</v>
      </c>
      <c r="G808" s="92">
        <f t="array" ref="G808">IF(B808="insumo",_xlfn.XLOOKUP($D808,Insumos!$B$1:$B$996,Insumos!$D$1:$D$996),"")</f>
        <v/>
      </c>
      <c r="H808" s="92" t="n">
        <v>4.42</v>
      </c>
      <c r="I808" s="2162" t="n">
        <v>0</v>
      </c>
      <c r="J808" s="2162" t="n">
        <v>0</v>
      </c>
      <c r="K808" s="2162" t="n"/>
    </row>
    <row r="809" outlineLevel="3" ht="15.75" customHeight="1">
      <c r="A809" s="10" t="n">
        <v>3</v>
      </c>
      <c r="B809" s="10" t="inlineStr">
        <is>
          <t>Insumo</t>
        </is>
      </c>
      <c r="C809" s="10" t="inlineStr">
        <is>
          <t>Protenção de cordoalhas para laje protendida Nervurada Tec - Materiais e acessórios</t>
        </is>
      </c>
      <c r="D809" s="10" t="inlineStr">
        <is>
          <t>Industrialização dos cabos (Corte, enrolação, pré-blocagem e identificação por cores)</t>
        </is>
      </c>
      <c r="E809" s="11">
        <f t="array" ref="E809">_xlfn.XLOOKUP(D809,Insumos!B:B,Insumos!C:$C)</f>
        <v/>
      </c>
      <c r="F809" s="14" t="n">
        <v>1.3</v>
      </c>
      <c r="G809" s="92">
        <f t="array" ref="G809">IF(B809="insumo",_xlfn.XLOOKUP($D809,Insumos!$B$1:$B$996,Insumos!$D$1:$D$996),"")</f>
        <v/>
      </c>
      <c r="H809" s="92" t="n">
        <v>1.43</v>
      </c>
      <c r="I809" s="2162" t="n">
        <v>0</v>
      </c>
      <c r="J809" s="2162" t="n">
        <v>0</v>
      </c>
      <c r="K809" s="2162" t="n"/>
    </row>
    <row r="810" outlineLevel="2" ht="15.75" customHeight="1">
      <c r="A810" s="1067" t="n">
        <v>2</v>
      </c>
      <c r="B810" s="1067" t="inlineStr">
        <is>
          <t>Serviço</t>
        </is>
      </c>
      <c r="C810" s="1067" t="inlineStr">
        <is>
          <t>Locação de cubetas para laje nervurada</t>
        </is>
      </c>
      <c r="D810" s="1067" t="inlineStr">
        <is>
          <t>Locação de cubetas para laje nervurada</t>
        </is>
      </c>
      <c r="E810" s="1068" t="inlineStr">
        <is>
          <t>M3</t>
        </is>
      </c>
      <c r="F810" s="1067" t="n"/>
      <c r="G810" s="1069">
        <f t="array" ref="G810">IF(B810="insumo",_xlfn.XLOOKUP($D810,Insumos!$B$1:$B$996,Insumos!$D$1:$D$996),"")</f>
        <v/>
      </c>
      <c r="H810" s="1069" t="n">
        <v>44.255376</v>
      </c>
      <c r="I810" s="2161" t="n">
        <v>0</v>
      </c>
      <c r="J810" s="2161" t="n">
        <v>0</v>
      </c>
      <c r="K810" s="2161" t="n"/>
    </row>
    <row r="811" outlineLevel="3" ht="15.75" customHeight="1">
      <c r="A811" s="10" t="n">
        <v>2</v>
      </c>
      <c r="B811" s="10" t="inlineStr">
        <is>
          <t>Insumo</t>
        </is>
      </c>
      <c r="C811" s="10" t="inlineStr">
        <is>
          <t>Locação de cubetas para laje nervurada</t>
        </is>
      </c>
      <c r="D811" s="10" t="inlineStr">
        <is>
          <t xml:space="preserve">LOCACAO DE FORMA PLASTICA PARA LAJE NERVURADA, *60* X *60* X *16* CM       </t>
        </is>
      </c>
      <c r="E811" s="11">
        <f t="array" ref="E811">_xlfn.XLOOKUP(D811,Insumos!B:B,Insumos!C:$C)</f>
        <v/>
      </c>
      <c r="F811" s="14">
        <f>ROUNDUP(1/(0.6*0.6),2)</f>
        <v/>
      </c>
      <c r="G811" s="92">
        <f t="array" ref="G811">IF(B811="insumo",_xlfn.XLOOKUP($D811,Insumos!$B$1:$B$996,Insumos!$D$1:$D$996),"")</f>
        <v/>
      </c>
      <c r="H811" s="92" t="n">
        <v>14.751792</v>
      </c>
      <c r="I811" s="2162" t="n">
        <v>0</v>
      </c>
      <c r="J811" s="2162" t="n">
        <v>0</v>
      </c>
      <c r="K811" s="2162" t="n"/>
    </row>
    <row r="812" outlineLevel="2" ht="15.75" customHeight="1">
      <c r="A812" s="1067" t="n">
        <v>2</v>
      </c>
      <c r="B812" s="1067" t="inlineStr">
        <is>
          <t>Serviço</t>
        </is>
      </c>
      <c r="C812" s="1067" t="inlineStr">
        <is>
          <t>Manutenção de cubetas proprias</t>
        </is>
      </c>
      <c r="D812" s="1067" t="inlineStr">
        <is>
          <t>Manutenção de cubetas proprias</t>
        </is>
      </c>
      <c r="E812" s="1068" t="inlineStr">
        <is>
          <t>M3</t>
        </is>
      </c>
      <c r="F812" s="1067" t="n"/>
      <c r="G812" s="1069">
        <f t="array" ref="G812">IF(B812="insumo",_xlfn.XLOOKUP($D812,Insumos!$B$1:$B$996,Insumos!$D$1:$D$996),"")</f>
        <v/>
      </c>
      <c r="H812" s="1069" t="n">
        <v>118298.43</v>
      </c>
      <c r="I812" s="2161" t="n">
        <v>0</v>
      </c>
      <c r="J812" s="2161" t="n">
        <v>0</v>
      </c>
      <c r="K812" s="2161" t="n"/>
    </row>
    <row r="813" outlineLevel="3" ht="15.75" customHeight="1">
      <c r="A813" s="10" t="n">
        <v>2</v>
      </c>
      <c r="B813" s="10" t="inlineStr">
        <is>
          <t>Insumo</t>
        </is>
      </c>
      <c r="C813" s="10" t="inlineStr">
        <is>
          <t>Manutenção de cubetas proprias</t>
        </is>
      </c>
      <c r="D813" s="10">
        <f>D812</f>
        <v/>
      </c>
      <c r="E813" s="11">
        <f t="array" ref="E813">_xlfn.XLOOKUP(D813,Insumos!B:B,Insumos!C:$C)</f>
        <v/>
      </c>
      <c r="F813" s="14" t="n">
        <v>1</v>
      </c>
      <c r="G813" s="92">
        <f t="array" ref="G813">IF(B813="insumo",_xlfn.XLOOKUP($D813,Insumos!$B$1:$B$996,Insumos!$D$1:$D$996),"")</f>
        <v/>
      </c>
      <c r="H813" s="92" t="n">
        <v>39432.81</v>
      </c>
      <c r="I813" s="2162" t="n">
        <v>0</v>
      </c>
      <c r="J813" s="2162" t="n">
        <v>0</v>
      </c>
      <c r="K813" s="2162" t="n"/>
    </row>
    <row r="814" outlineLevel="2" ht="12.75" customHeight="1">
      <c r="A814" s="1071" t="n">
        <v>1</v>
      </c>
      <c r="B814" s="1071" t="inlineStr">
        <is>
          <t>Serviço</t>
        </is>
      </c>
      <c r="C814" s="1071" t="inlineStr">
        <is>
          <t>Monocordoalha engraxada CP - 190 RB (12,7mm) - Materiais e acessórios</t>
        </is>
      </c>
      <c r="D814" s="1071" t="inlineStr">
        <is>
          <t>Monocordoalha engraxada CP - 190 RB (12,7mm) - Materiais e acessórios</t>
        </is>
      </c>
      <c r="E814" s="1072" t="inlineStr">
        <is>
          <t>Kg</t>
        </is>
      </c>
      <c r="F814" s="1071" t="n"/>
      <c r="G814" s="1073">
        <f t="array" ref="G814">IF(B814="insumo",_xlfn.XLOOKUP($D814,Insumos!$B$1:$B$996,Insumos!$D$1:$D$996),"")</f>
        <v/>
      </c>
      <c r="H814" s="1073" t="n">
        <v>125.072312252964</v>
      </c>
      <c r="I814" s="2163" t="n">
        <v>0</v>
      </c>
      <c r="J814" s="2163" t="n">
        <v>0</v>
      </c>
      <c r="K814" s="2163" t="n"/>
    </row>
    <row r="815" outlineLevel="3" ht="12.75" customHeight="1">
      <c r="A815" s="82" t="n">
        <v>3</v>
      </c>
      <c r="B815" s="82" t="inlineStr">
        <is>
          <t>Insumo</t>
        </is>
      </c>
      <c r="C815" s="82" t="inlineStr">
        <is>
          <t>Monocordoalha engraxada CP - 190 RB (12,7mm) - Materiais e acessórios</t>
        </is>
      </c>
      <c r="D815" s="82" t="inlineStr">
        <is>
          <t>Ancoragem base 1/2" - EHX 0063</t>
        </is>
      </c>
      <c r="E815" s="11">
        <f t="array" ref="E815">_xlfn.XLOOKUP(D815,Insumos!B:B,Insumos!C:$C)</f>
        <v/>
      </c>
      <c r="F815" s="2164" t="n">
        <v>1</v>
      </c>
      <c r="G815" s="92">
        <f t="array" ref="G815">IF(B815="insumo",_xlfn.XLOOKUP($D815,Insumos!$B$1:$B$996,Insumos!$D$1:$D$996),"")</f>
        <v/>
      </c>
      <c r="H815" s="92" t="n">
        <v>12.5</v>
      </c>
      <c r="I815" s="2165" t="n">
        <v>0</v>
      </c>
      <c r="J815" s="2165" t="n">
        <v>0</v>
      </c>
      <c r="K815" s="2165" t="n"/>
    </row>
    <row r="816" outlineLevel="3" ht="12.75" customHeight="1">
      <c r="A816" s="82" t="n">
        <v>3</v>
      </c>
      <c r="B816" s="82" t="inlineStr">
        <is>
          <t>Insumo</t>
        </is>
      </c>
      <c r="C816" s="82" t="inlineStr">
        <is>
          <t>Monocordoalha engraxada CP - 190 RB (12,7mm) - Materiais e acessórios</t>
        </is>
      </c>
      <c r="D816" s="82" t="inlineStr">
        <is>
          <t>Cunha 1/2" BI Partida - EHX 0036</t>
        </is>
      </c>
      <c r="E816" s="11">
        <f t="array" ref="E816">_xlfn.XLOOKUP(D816,Insumos!B:B,Insumos!C:$C)</f>
        <v/>
      </c>
      <c r="F816" s="2164" t="n">
        <v>1</v>
      </c>
      <c r="G816" s="92">
        <f t="array" ref="G816">IF(B816="insumo",_xlfn.XLOOKUP($D816,Insumos!$B$1:$B$996,Insumos!$D$1:$D$996),"")</f>
        <v/>
      </c>
      <c r="H816" s="92" t="n">
        <v>9.130000000000001</v>
      </c>
      <c r="I816" s="2165" t="n">
        <v>0</v>
      </c>
      <c r="J816" s="2165" t="n">
        <v>0</v>
      </c>
      <c r="K816" s="2165" t="n"/>
    </row>
    <row r="817" outlineLevel="3" ht="12.75" customHeight="1">
      <c r="A817" s="82" t="n">
        <v>3</v>
      </c>
      <c r="B817" s="82" t="inlineStr">
        <is>
          <t>Insumo</t>
        </is>
      </c>
      <c r="C817" s="82" t="inlineStr">
        <is>
          <t>Monocordoalha engraxada CP - 190 RB (12,7mm) - Materiais e acessórios</t>
        </is>
      </c>
      <c r="D817" s="82" t="inlineStr">
        <is>
          <t>Pocket Former 1/2 - EHX 0009</t>
        </is>
      </c>
      <c r="E817" s="11">
        <f t="array" ref="E817">_xlfn.XLOOKUP(D817,Insumos!B:B,Insumos!C:$C)</f>
        <v/>
      </c>
      <c r="F817" s="2164" t="n">
        <v>4.743083003952568</v>
      </c>
      <c r="G817" s="92">
        <f t="array" ref="G817">IF(B817="insumo",_xlfn.XLOOKUP($D817,Insumos!$B$1:$B$996,Insumos!$D$1:$D$996),"")</f>
        <v/>
      </c>
      <c r="H817" s="92" t="n">
        <v>13.5177865612648</v>
      </c>
      <c r="I817" s="2165" t="n">
        <v>0</v>
      </c>
      <c r="J817" s="2165" t="n">
        <v>0</v>
      </c>
      <c r="K817" s="2165" t="n"/>
    </row>
    <row r="818" outlineLevel="3" ht="12.75" customHeight="1">
      <c r="A818" s="82" t="n">
        <v>3</v>
      </c>
      <c r="B818" s="82" t="inlineStr">
        <is>
          <t>Insumo</t>
        </is>
      </c>
      <c r="C818" s="82" t="inlineStr">
        <is>
          <t>Monocordoalha engraxada CP - 190 RB (12,7mm) - Materiais e acessórios</t>
        </is>
      </c>
      <c r="D818" s="82" t="inlineStr">
        <is>
          <t>Adaptador Ancor. (AP2)B Chupeta-EHX 0027</t>
        </is>
      </c>
      <c r="E818" s="11">
        <f t="array" ref="E818">_xlfn.XLOOKUP(D818,Insumos!B:B,Insumos!C:$C)</f>
        <v/>
      </c>
      <c r="F818" s="2164" t="n">
        <v>4.743083003952568</v>
      </c>
      <c r="G818" s="92">
        <f t="array" ref="G818">IF(B818="insumo",_xlfn.XLOOKUP($D818,Insumos!$B$1:$B$996,Insumos!$D$1:$D$996),"")</f>
        <v/>
      </c>
      <c r="H818" s="92" t="n">
        <v>6.73517786561265</v>
      </c>
      <c r="I818" s="2165" t="n">
        <v>0</v>
      </c>
      <c r="J818" s="2165" t="n">
        <v>0</v>
      </c>
      <c r="K818" s="2165" t="n"/>
    </row>
    <row r="819" outlineLevel="3" ht="12.75" customHeight="1">
      <c r="A819" s="82" t="n">
        <v>2</v>
      </c>
      <c r="B819" s="82" t="inlineStr">
        <is>
          <t>Insumo</t>
        </is>
      </c>
      <c r="C819" s="82" t="inlineStr">
        <is>
          <t>Monocordoalha engraxada CP - 190 RB (12,7mm) - Materiais e acessórios</t>
        </is>
      </c>
      <c r="D819" s="82" t="inlineStr">
        <is>
          <t>Monocordoalha engraxada CP - 190 RB (12,7mm)</t>
        </is>
      </c>
      <c r="E819" s="11">
        <f t="array" ref="E819">_xlfn.XLOOKUP(D819,Insumos!B:B,Insumos!C:$C)</f>
        <v/>
      </c>
      <c r="F819" s="2164" t="n">
        <v>1.05</v>
      </c>
      <c r="G819" s="92">
        <f t="array" ref="G819">IF(B819="insumo",_xlfn.XLOOKUP($D819,Insumos!$B$1:$B$996,Insumos!$D$1:$D$996),"")</f>
        <v/>
      </c>
      <c r="H819" s="92" t="n">
        <v>16.275</v>
      </c>
      <c r="I819" s="2165" t="n">
        <v>0</v>
      </c>
      <c r="J819" s="2165" t="n">
        <v>0</v>
      </c>
      <c r="K819" s="2165" t="n"/>
    </row>
    <row r="820" outlineLevel="3" ht="12.75" customHeight="1">
      <c r="A820" s="82" t="n">
        <v>3</v>
      </c>
      <c r="B820" s="82" t="inlineStr">
        <is>
          <t>Insumo</t>
        </is>
      </c>
      <c r="C820" s="82" t="inlineStr">
        <is>
          <t>Monocordoalha engraxada CP - 190 RB (12,7mm) - Materiais e acessórios</t>
        </is>
      </c>
      <c r="D820" s="82" t="inlineStr">
        <is>
          <t>Pt-Plug Ø12,7 - 3,8cm</t>
        </is>
      </c>
      <c r="E820" s="11">
        <f t="array" ref="E820">_xlfn.XLOOKUP(D820,Insumos!B:B,Insumos!C:$C)</f>
        <v/>
      </c>
      <c r="F820" s="2164" t="n">
        <v>7.652173913043478</v>
      </c>
      <c r="G820" s="92">
        <f t="array" ref="G820">IF(B820="insumo",_xlfn.XLOOKUP($D820,Insumos!$B$1:$B$996,Insumos!$D$1:$D$996),"")</f>
        <v/>
      </c>
      <c r="H820" s="92" t="n">
        <v>43.464347826087</v>
      </c>
      <c r="I820" s="2165" t="n">
        <v>0</v>
      </c>
      <c r="J820" s="2165" t="n">
        <v>0</v>
      </c>
      <c r="K820" s="2165" t="n"/>
    </row>
    <row r="821" outlineLevel="3" ht="12.75" customHeight="1">
      <c r="A821" s="82" t="n">
        <v>3</v>
      </c>
      <c r="B821" s="82" t="inlineStr">
        <is>
          <t>Insumo</t>
        </is>
      </c>
      <c r="C821" s="82" t="inlineStr">
        <is>
          <t>Monocordoalha engraxada CP - 190 RB (12,7mm) - Materiais e acessórios</t>
        </is>
      </c>
      <c r="D821" s="82" t="inlineStr">
        <is>
          <t>Tirante Plast - EHX 0621</t>
        </is>
      </c>
      <c r="E821" s="11">
        <f t="array" ref="E821">_xlfn.XLOOKUP(D821,Insumos!B:B,Insumos!C:$C)</f>
        <v/>
      </c>
      <c r="F821" s="2164" t="n">
        <v>7.652173913043478</v>
      </c>
      <c r="G821" s="92">
        <f t="array" ref="G821">IF(B821="insumo",_xlfn.XLOOKUP($D821,Insumos!$B$1:$B$996,Insumos!$D$1:$D$996),"")</f>
        <v/>
      </c>
      <c r="H821" s="92" t="n">
        <v>17.6</v>
      </c>
      <c r="I821" s="2165" t="n">
        <v>0</v>
      </c>
      <c r="J821" s="2165" t="n">
        <v>0</v>
      </c>
      <c r="K821" s="2165" t="n"/>
    </row>
    <row r="822" outlineLevel="3" ht="12.75" customHeight="1">
      <c r="A822" s="82" t="n">
        <v>3</v>
      </c>
      <c r="B822" s="82" t="inlineStr">
        <is>
          <t>Insumo</t>
        </is>
      </c>
      <c r="C822" s="82" t="inlineStr">
        <is>
          <t>Monocordoalha engraxada CP - 190 RB (12,7mm) - Materiais e acessórios</t>
        </is>
      </c>
      <c r="D822" s="82" t="inlineStr">
        <is>
          <t>Apoio Metálico EHX 0072</t>
        </is>
      </c>
      <c r="E822" s="11">
        <f t="array" ref="E822">_xlfn.XLOOKUP(D822,Insumos!B:B,Insumos!C:$C)</f>
        <v/>
      </c>
      <c r="F822" s="2164" t="n">
        <v>1.3</v>
      </c>
      <c r="G822" s="92">
        <f t="array" ref="G822">IF(B822="insumo",_xlfn.XLOOKUP($D822,Insumos!$B$1:$B$996,Insumos!$D$1:$D$996),"")</f>
        <v/>
      </c>
      <c r="H822" s="92" t="n">
        <v>4.42</v>
      </c>
      <c r="I822" s="2165" t="n">
        <v>0</v>
      </c>
      <c r="J822" s="2165" t="n">
        <v>0</v>
      </c>
      <c r="K822" s="2165" t="n"/>
    </row>
    <row r="823" outlineLevel="3" ht="12.75" customHeight="1">
      <c r="A823" s="82" t="n">
        <v>3</v>
      </c>
      <c r="B823" s="82" t="inlineStr">
        <is>
          <t>Insumo</t>
        </is>
      </c>
      <c r="C823" s="82" t="inlineStr">
        <is>
          <t>Monocordoalha engraxada CP - 190 RB (12,7mm) - Materiais e acessórios</t>
        </is>
      </c>
      <c r="D823" s="82" t="inlineStr">
        <is>
          <t>Industrialização dos cabos (Corte, enrolação, pré-blocagem e identificação por cores)</t>
        </is>
      </c>
      <c r="E823" s="11">
        <f t="array" ref="E823">_xlfn.XLOOKUP(D823,Insumos!B:B,Insumos!C:$C)</f>
        <v/>
      </c>
      <c r="F823" s="2164" t="n">
        <v>1.3</v>
      </c>
      <c r="G823" s="92">
        <f t="array" ref="G823">IF(B823="insumo",_xlfn.XLOOKUP($D823,Insumos!$B$1:$B$996,Insumos!$D$1:$D$996),"")</f>
        <v/>
      </c>
      <c r="H823" s="92" t="n">
        <v>1.43</v>
      </c>
      <c r="I823" s="2165" t="n">
        <v>0</v>
      </c>
      <c r="J823" s="2165" t="n">
        <v>0</v>
      </c>
      <c r="K823" s="2165" t="n"/>
    </row>
    <row r="824" outlineLevel="2" ht="12.75" customHeight="1">
      <c r="A824" s="1071" t="n">
        <v>1</v>
      </c>
      <c r="B824" s="1071" t="inlineStr">
        <is>
          <t>Serviço</t>
        </is>
      </c>
      <c r="C824" s="1071" t="inlineStr">
        <is>
          <t>Monocordoalha engraxada CP - 190 RB (12,7mm)</t>
        </is>
      </c>
      <c r="D824" s="1071" t="inlineStr">
        <is>
          <t>Monocordoalha engraxada CP - 190 RB (12,7mm)</t>
        </is>
      </c>
      <c r="E824" s="1072" t="inlineStr">
        <is>
          <t>Kg</t>
        </is>
      </c>
      <c r="F824" s="1071" t="n"/>
      <c r="G824" s="1073">
        <f t="array" ref="G824">IF(B824="insumo",_xlfn.XLOOKUP($D824,Insumos!$B$1:$B$996,Insumos!$D$1:$D$996),"")</f>
        <v/>
      </c>
      <c r="H824" s="1073" t="n">
        <v>16.275</v>
      </c>
      <c r="I824" s="2163" t="n">
        <v>0</v>
      </c>
      <c r="J824" s="2163" t="n">
        <v>0</v>
      </c>
      <c r="K824" s="2163" t="n"/>
    </row>
    <row r="825" outlineLevel="3" ht="12.75" customHeight="1">
      <c r="A825" s="82" t="n">
        <v>2</v>
      </c>
      <c r="B825" s="82" t="inlineStr">
        <is>
          <t>Insumo</t>
        </is>
      </c>
      <c r="C825" s="82" t="inlineStr">
        <is>
          <t>Monocordoalha engraxada CP - 190 RB (12,7mm)</t>
        </is>
      </c>
      <c r="D825" s="82" t="inlineStr">
        <is>
          <t>Monocordoalha engraxada CP - 190 RB (12,7mm)</t>
        </is>
      </c>
      <c r="E825" s="11">
        <f t="array" ref="E825">_xlfn.XLOOKUP(D825,Insumos!B:B,Insumos!C:$C)</f>
        <v/>
      </c>
      <c r="F825" s="2164" t="n">
        <v>1.05</v>
      </c>
      <c r="G825" s="92">
        <f t="array" ref="G825">IF(B825="insumo",_xlfn.XLOOKUP($D825,Insumos!$B$1:$B$996,Insumos!$D$1:$D$996),"")</f>
        <v/>
      </c>
      <c r="H825" s="92" t="n">
        <v>16.275</v>
      </c>
      <c r="I825" s="2165" t="n">
        <v>0</v>
      </c>
      <c r="J825" s="2165" t="n">
        <v>0</v>
      </c>
      <c r="K825" s="2165" t="n"/>
    </row>
    <row r="826" outlineLevel="2" ht="12.75" customHeight="1">
      <c r="A826" s="1071" t="n">
        <v>1</v>
      </c>
      <c r="B826" s="1071" t="inlineStr">
        <is>
          <t>Serviço</t>
        </is>
      </c>
      <c r="C826" s="1071" t="inlineStr">
        <is>
          <t>Materiais e acessórios de monocordoalha</t>
        </is>
      </c>
      <c r="D826" s="1071" t="inlineStr">
        <is>
          <t>Materiais e acessórios de monocordoalha</t>
        </is>
      </c>
      <c r="E826" s="1072" t="inlineStr">
        <is>
          <t>UM</t>
        </is>
      </c>
      <c r="F826" s="1071" t="n"/>
      <c r="G826" s="1073">
        <f t="array" ref="G826">IF(B826="insumo",_xlfn.XLOOKUP($D826,Insumos!$B$1:$B$996,Insumos!$D$1:$D$996),"")</f>
        <v/>
      </c>
      <c r="H826" s="1073" t="n">
        <v>57.725</v>
      </c>
      <c r="I826" s="2163" t="n">
        <v>0</v>
      </c>
      <c r="J826" s="2163" t="n">
        <v>0</v>
      </c>
      <c r="K826" s="2163" t="n"/>
    </row>
    <row r="827" outlineLevel="3" ht="12.75" customHeight="1">
      <c r="A827" s="82" t="n">
        <v>3</v>
      </c>
      <c r="B827" s="82" t="inlineStr">
        <is>
          <t>Insumo</t>
        </is>
      </c>
      <c r="C827" s="82" t="inlineStr">
        <is>
          <t>Materiais e acessórios de monocordoalha</t>
        </is>
      </c>
      <c r="D827" s="82" t="inlineStr">
        <is>
          <t>Ancoragem base 1/2" - EHX 0063</t>
        </is>
      </c>
      <c r="E827" s="11">
        <f t="array" ref="E827">_xlfn.XLOOKUP(D827,Insumos!B:B,Insumos!C:$C)</f>
        <v/>
      </c>
      <c r="F827" s="2164" t="n">
        <v>1</v>
      </c>
      <c r="G827" s="92">
        <f t="array" ref="G827">IF(B827="insumo",_xlfn.XLOOKUP($D827,Insumos!$B$1:$B$996,Insumos!$D$1:$D$996),"")</f>
        <v/>
      </c>
      <c r="H827" s="92" t="n">
        <v>12.5</v>
      </c>
      <c r="I827" s="2165" t="n">
        <v>0</v>
      </c>
      <c r="J827" s="2165" t="n">
        <v>0</v>
      </c>
      <c r="K827" s="2165" t="n"/>
    </row>
    <row r="828" outlineLevel="3" ht="12.75" customHeight="1">
      <c r="A828" s="82" t="n">
        <v>3</v>
      </c>
      <c r="B828" s="82" t="inlineStr">
        <is>
          <t>Insumo</t>
        </is>
      </c>
      <c r="C828" s="82" t="inlineStr">
        <is>
          <t>Materiais e acessórios de monocordoalha</t>
        </is>
      </c>
      <c r="D828" s="82" t="inlineStr">
        <is>
          <t>Cunha 1/2" BI Partida - EHX 0036</t>
        </is>
      </c>
      <c r="E828" s="11">
        <f t="array" ref="E828">_xlfn.XLOOKUP(D828,Insumos!B:B,Insumos!C:$C)</f>
        <v/>
      </c>
      <c r="F828" s="2164" t="n">
        <v>1</v>
      </c>
      <c r="G828" s="92">
        <f t="array" ref="G828">IF(B828="insumo",_xlfn.XLOOKUP($D828,Insumos!$B$1:$B$996,Insumos!$D$1:$D$996),"")</f>
        <v/>
      </c>
      <c r="H828" s="92" t="n">
        <v>9.130000000000001</v>
      </c>
      <c r="I828" s="2165" t="n">
        <v>0</v>
      </c>
      <c r="J828" s="2165" t="n">
        <v>0</v>
      </c>
      <c r="K828" s="2165" t="n"/>
    </row>
    <row r="829" outlineLevel="3" ht="12.75" customHeight="1">
      <c r="A829" s="82" t="n">
        <v>3</v>
      </c>
      <c r="B829" s="82" t="inlineStr">
        <is>
          <t>Insumo</t>
        </is>
      </c>
      <c r="C829" s="82" t="inlineStr">
        <is>
          <t>Materiais e acessórios de monocordoalha</t>
        </is>
      </c>
      <c r="D829" s="82" t="inlineStr">
        <is>
          <t>Pocket Former 1/2 - EHX 0009</t>
        </is>
      </c>
      <c r="E829" s="11">
        <f t="array" ref="E829">_xlfn.XLOOKUP(D829,Insumos!B:B,Insumos!C:$C)</f>
        <v/>
      </c>
      <c r="F829" s="2164" t="n">
        <v>0.5</v>
      </c>
      <c r="G829" s="92">
        <f t="array" ref="G829">IF(B829="insumo",_xlfn.XLOOKUP($D829,Insumos!$B$1:$B$996,Insumos!$D$1:$D$996),"")</f>
        <v/>
      </c>
      <c r="H829" s="92" t="n">
        <v>1.425</v>
      </c>
      <c r="I829" s="2165" t="n">
        <v>0</v>
      </c>
      <c r="J829" s="2165" t="n">
        <v>0</v>
      </c>
      <c r="K829" s="2165" t="n"/>
    </row>
    <row r="830" outlineLevel="3" ht="12.75" customHeight="1">
      <c r="A830" s="82" t="n">
        <v>3</v>
      </c>
      <c r="B830" s="82" t="inlineStr">
        <is>
          <t>Insumo</t>
        </is>
      </c>
      <c r="C830" s="82" t="inlineStr">
        <is>
          <t>Materiais e acessórios de monocordoalha</t>
        </is>
      </c>
      <c r="D830" s="82" t="inlineStr">
        <is>
          <t>Adaptador Ancor. (AP2)B Chupeta-EHX 0027</t>
        </is>
      </c>
      <c r="E830" s="11">
        <f t="array" ref="E830">_xlfn.XLOOKUP(D830,Insumos!B:B,Insumos!C:$C)</f>
        <v/>
      </c>
      <c r="F830" s="2164" t="n">
        <v>0.5</v>
      </c>
      <c r="G830" s="92">
        <f t="array" ref="G830">IF(B830="insumo",_xlfn.XLOOKUP($D830,Insumos!$B$1:$B$996,Insumos!$D$1:$D$996),"")</f>
        <v/>
      </c>
      <c r="H830" s="92" t="n">
        <v>0.71</v>
      </c>
      <c r="I830" s="2165" t="n">
        <v>0</v>
      </c>
      <c r="J830" s="2165" t="n">
        <v>0</v>
      </c>
      <c r="K830" s="2165" t="n"/>
    </row>
    <row r="831" outlineLevel="3" ht="12.75" customHeight="1">
      <c r="A831" s="82" t="n">
        <v>3</v>
      </c>
      <c r="B831" s="82" t="inlineStr">
        <is>
          <t>Insumo</t>
        </is>
      </c>
      <c r="C831" s="82" t="inlineStr">
        <is>
          <t>Materiais e acessórios de monocordoalha</t>
        </is>
      </c>
      <c r="D831" s="82" t="inlineStr">
        <is>
          <t>Pt-Plug Ø12,7 - 3,8cm</t>
        </is>
      </c>
      <c r="E831" s="11">
        <f t="array" ref="E831">_xlfn.XLOOKUP(D831,Insumos!B:B,Insumos!C:$C)</f>
        <v/>
      </c>
      <c r="F831" s="2164" t="n">
        <v>0.5</v>
      </c>
      <c r="G831" s="92">
        <f t="array" ref="G831">IF(B831="insumo",_xlfn.XLOOKUP($D831,Insumos!$B$1:$B$996,Insumos!$D$1:$D$996),"")</f>
        <v/>
      </c>
      <c r="H831" s="92" t="n">
        <v>2.84</v>
      </c>
      <c r="I831" s="2165" t="n">
        <v>0</v>
      </c>
      <c r="J831" s="2165" t="n">
        <v>0</v>
      </c>
      <c r="K831" s="2165" t="n"/>
    </row>
    <row r="832" outlineLevel="3" ht="12.75" customHeight="1">
      <c r="A832" s="82" t="n">
        <v>3</v>
      </c>
      <c r="B832" s="82" t="inlineStr">
        <is>
          <t>Insumo</t>
        </is>
      </c>
      <c r="C832" s="82" t="inlineStr">
        <is>
          <t>Materiais e acessórios de monocordoalha</t>
        </is>
      </c>
      <c r="D832" s="82" t="inlineStr">
        <is>
          <t>Tirante Plast - EHX 0621</t>
        </is>
      </c>
      <c r="E832" s="11">
        <f t="array" ref="E832">_xlfn.XLOOKUP(D832,Insumos!B:B,Insumos!C:$C)</f>
        <v/>
      </c>
      <c r="F832" s="2164" t="n">
        <v>0.5</v>
      </c>
      <c r="G832" s="92">
        <f t="array" ref="G832">IF(B832="insumo",_xlfn.XLOOKUP($D832,Insumos!$B$1:$B$996,Insumos!$D$1:$D$996),"")</f>
        <v/>
      </c>
      <c r="H832" s="92" t="n">
        <v>1.15</v>
      </c>
      <c r="I832" s="2165" t="n">
        <v>0</v>
      </c>
      <c r="J832" s="2165" t="n">
        <v>0</v>
      </c>
      <c r="K832" s="2165" t="n"/>
    </row>
    <row r="833" outlineLevel="3" ht="12.75" customHeight="1">
      <c r="A833" s="82" t="n">
        <v>3</v>
      </c>
      <c r="B833" s="82" t="inlineStr">
        <is>
          <t>Insumo</t>
        </is>
      </c>
      <c r="C833" s="82" t="inlineStr">
        <is>
          <t>Materiais e acessórios de monocordoalha</t>
        </is>
      </c>
      <c r="D833" s="82" t="inlineStr">
        <is>
          <t>Apoio Metálico EHX 0072</t>
        </is>
      </c>
      <c r="E833" s="11">
        <f t="array" ref="E833">_xlfn.XLOOKUP(D833,Insumos!B:B,Insumos!C:$C)</f>
        <v/>
      </c>
      <c r="F833" s="2164" t="n">
        <v>6.66</v>
      </c>
      <c r="G833" s="92">
        <f t="array" ref="G833">IF(B833="insumo",_xlfn.XLOOKUP($D833,Insumos!$B$1:$B$996,Insumos!$D$1:$D$996),"")</f>
        <v/>
      </c>
      <c r="H833" s="92" t="n">
        <v>22.644</v>
      </c>
      <c r="I833" s="2165" t="n">
        <v>0</v>
      </c>
      <c r="J833" s="2165" t="n">
        <v>0</v>
      </c>
      <c r="K833" s="2165" t="n"/>
    </row>
    <row r="834" outlineLevel="3" ht="12.75" customHeight="1">
      <c r="A834" s="82" t="n">
        <v>3</v>
      </c>
      <c r="B834" s="82" t="inlineStr">
        <is>
          <t>Insumo</t>
        </is>
      </c>
      <c r="C834" s="82" t="inlineStr">
        <is>
          <t>Materiais e acessórios de monocordoalha</t>
        </is>
      </c>
      <c r="D834" s="82" t="inlineStr">
        <is>
          <t>Industrialização dos cabos (Corte, enrolação, pré-blocagem e identificação por cores)</t>
        </is>
      </c>
      <c r="E834" s="11">
        <f t="array" ref="E834">_xlfn.XLOOKUP(D834,Insumos!B:B,Insumos!C:$C)</f>
        <v/>
      </c>
      <c r="F834" s="2164" t="n">
        <v>6.66</v>
      </c>
      <c r="G834" s="92">
        <f t="array" ref="G834">IF(B834="insumo",_xlfn.XLOOKUP($D834,Insumos!$B$1:$B$996,Insumos!$D$1:$D$996),"")</f>
        <v/>
      </c>
      <c r="H834" s="92" t="n">
        <v>7.326</v>
      </c>
      <c r="I834" s="2165" t="n">
        <v>0</v>
      </c>
      <c r="J834" s="2165" t="n">
        <v>0</v>
      </c>
      <c r="K834" s="2165" t="n"/>
    </row>
    <row r="835" outlineLevel="2" ht="12.75" customHeight="1">
      <c r="A835" s="1071" t="n">
        <v>2</v>
      </c>
      <c r="B835" s="1071" t="inlineStr">
        <is>
          <t>Serviço</t>
        </is>
      </c>
      <c r="C835" s="1071" t="inlineStr">
        <is>
          <t>Locação de cubetas para laje nervurada</t>
        </is>
      </c>
      <c r="D835" s="1071" t="inlineStr">
        <is>
          <t>Locação de cubetas para laje nervurada</t>
        </is>
      </c>
      <c r="E835" s="1072" t="inlineStr">
        <is>
          <t>UM</t>
        </is>
      </c>
      <c r="F835" s="1071" t="n"/>
      <c r="G835" s="1073">
        <f t="array" ref="G835">IF(B835="insumo",_xlfn.XLOOKUP($D835,Insumos!$B$1:$B$996,Insumos!$D$1:$D$996),"")</f>
        <v/>
      </c>
      <c r="H835" s="1073" t="n">
        <v>14.751792</v>
      </c>
      <c r="I835" s="2163" t="n">
        <v>0</v>
      </c>
      <c r="J835" s="2163" t="n">
        <v>0</v>
      </c>
      <c r="K835" s="2163" t="n"/>
    </row>
    <row r="836" outlineLevel="3" ht="12.75" customHeight="1">
      <c r="A836" s="82" t="n">
        <v>2</v>
      </c>
      <c r="B836" s="82" t="inlineStr">
        <is>
          <t>Insumo</t>
        </is>
      </c>
      <c r="C836" s="82" t="inlineStr">
        <is>
          <t>Locação de cubetas para laje nervurada</t>
        </is>
      </c>
      <c r="D836" s="82" t="inlineStr">
        <is>
          <t xml:space="preserve">LOCACAO DE FORMA PLASTICA PARA LAJE NERVURADA, *60* X *60* X *16* CM       </t>
        </is>
      </c>
      <c r="E836" s="11">
        <f t="array" ref="E836">_xlfn.XLOOKUP(D836,Insumos!B:B,Insumos!C:$C)</f>
        <v/>
      </c>
      <c r="F836" s="2164">
        <f>ROUNDUP(1/(0.6*0.6),2)</f>
        <v/>
      </c>
      <c r="G836" s="92">
        <f t="array" ref="G836">IF(B836="insumo",_xlfn.XLOOKUP($D836,Insumos!$B$1:$B$996,Insumos!$D$1:$D$996),"")</f>
        <v/>
      </c>
      <c r="H836" s="92" t="n">
        <v>14.751792</v>
      </c>
      <c r="I836" s="2165" t="n">
        <v>0</v>
      </c>
      <c r="J836" s="2165" t="n">
        <v>0</v>
      </c>
      <c r="K836" s="2165" t="n"/>
    </row>
    <row r="837" outlineLevel="2" ht="12.75" customHeight="1">
      <c r="A837" s="1071" t="n">
        <v>2</v>
      </c>
      <c r="B837" s="1071" t="inlineStr">
        <is>
          <t>Serviço</t>
        </is>
      </c>
      <c r="C837" s="1071" t="inlineStr">
        <is>
          <t>Manutenção de cubetas proprias</t>
        </is>
      </c>
      <c r="D837" s="1071" t="inlineStr">
        <is>
          <t>Manutenção de cubetas proprias</t>
        </is>
      </c>
      <c r="E837" s="1072" t="inlineStr">
        <is>
          <t>M3</t>
        </is>
      </c>
      <c r="F837" s="1071" t="n"/>
      <c r="G837" s="1073">
        <f t="array" ref="G837">IF(B837="insumo",_xlfn.XLOOKUP($D837,Insumos!$B$1:$B$996,Insumos!$D$1:$D$996),"")</f>
        <v/>
      </c>
      <c r="H837" s="1073" t="n">
        <v>39432.81</v>
      </c>
      <c r="I837" s="2163" t="n">
        <v>0</v>
      </c>
      <c r="J837" s="2163" t="n">
        <v>0</v>
      </c>
      <c r="K837" s="2163" t="n"/>
    </row>
    <row r="838" outlineLevel="3" ht="12.75" customHeight="1">
      <c r="A838" s="82" t="n">
        <v>2</v>
      </c>
      <c r="B838" s="82" t="inlineStr">
        <is>
          <t>Insumo</t>
        </is>
      </c>
      <c r="C838" s="82" t="inlineStr">
        <is>
          <t>Manutenção de cubetas proprias</t>
        </is>
      </c>
      <c r="D838" s="82">
        <f>D837</f>
        <v/>
      </c>
      <c r="E838" s="11">
        <f t="array" ref="E838">_xlfn.XLOOKUP(D838,Insumos!B:B,Insumos!C:$C)</f>
        <v/>
      </c>
      <c r="F838" s="2164" t="n">
        <v>1</v>
      </c>
      <c r="G838" s="92">
        <f t="array" ref="G838">IF(B838="insumo",_xlfn.XLOOKUP($D838,Insumos!$B$1:$B$996,Insumos!$D$1:$D$996),"")</f>
        <v/>
      </c>
      <c r="H838" s="92" t="n">
        <v>39432.81</v>
      </c>
      <c r="I838" s="2165" t="n">
        <v>0</v>
      </c>
      <c r="J838" s="2165" t="n">
        <v>0</v>
      </c>
      <c r="K838" s="2165" t="n"/>
    </row>
    <row r="839" outlineLevel="2" ht="15.75" customHeight="1">
      <c r="A839" s="1067" t="n">
        <v>1</v>
      </c>
      <c r="B839" s="1067" t="inlineStr">
        <is>
          <t>Serviço</t>
        </is>
      </c>
      <c r="C839" s="1067" t="inlineStr">
        <is>
          <t>Locação de escoramento metálico pe direito simples</t>
        </is>
      </c>
      <c r="D839" s="1067" t="inlineStr">
        <is>
          <t>Locação de escoramento metálico pe direito simples</t>
        </is>
      </c>
      <c r="E839" s="1068" t="inlineStr">
        <is>
          <t>M2</t>
        </is>
      </c>
      <c r="F839" s="1075" t="n"/>
      <c r="G839" s="1069">
        <f t="array" ref="G839">IF(B839="insumo",_xlfn.XLOOKUP($D839,Insumos!$B$1:$B$996,Insumos!$D$1:$D$996),"")</f>
        <v/>
      </c>
      <c r="H839" s="1069" t="n">
        <v>36.4250265061707</v>
      </c>
      <c r="I839" s="2161" t="n">
        <v>16241.65</v>
      </c>
      <c r="J839" s="2161" t="n">
        <v>591602.531753947</v>
      </c>
      <c r="K839" s="2161" t="n"/>
    </row>
    <row r="840" outlineLevel="3" ht="15.75" customHeight="1">
      <c r="A840" s="10" t="n">
        <v>1</v>
      </c>
      <c r="B840" s="10" t="inlineStr">
        <is>
          <t>Insumo</t>
        </is>
      </c>
      <c r="C840" s="10" t="inlineStr">
        <is>
          <t>Locação de escoramento metálico pe direito simples</t>
        </is>
      </c>
      <c r="D840" s="10" t="inlineStr">
        <is>
          <t>LOCACAO DE ESCORA METALICA TELESCOPICA, COM ALTURA REGULAVEL DE *1,80* A *3,20* M</t>
        </is>
      </c>
      <c r="E840" s="11">
        <f t="array" ref="E840">_xlfn.XLOOKUP(D840,Insumos!B:B,Insumos!C:$C)</f>
        <v/>
      </c>
      <c r="F840" s="14" t="n">
        <v>1</v>
      </c>
      <c r="G840" s="92">
        <f t="array" ref="G840">IF(B840="insumo",_xlfn.XLOOKUP($D840,Insumos!$B$1:$B$996,Insumos!$D$1:$D$996),"")</f>
        <v/>
      </c>
      <c r="H840" s="92" t="n">
        <v>36.4250265061707</v>
      </c>
      <c r="I840" s="2162" t="n">
        <v>16241.65</v>
      </c>
      <c r="J840" s="2162" t="n">
        <v>591602.531753947</v>
      </c>
      <c r="K840" s="2162" t="n"/>
    </row>
    <row r="841" outlineLevel="2" ht="15.75" customHeight="1">
      <c r="A841" s="1067" t="n">
        <v>1</v>
      </c>
      <c r="B841" s="1067" t="inlineStr">
        <is>
          <t>Serviço</t>
        </is>
      </c>
      <c r="C841" s="1067" t="inlineStr">
        <is>
          <t>Locação topográfica de lajes</t>
        </is>
      </c>
      <c r="D841" s="1067" t="inlineStr">
        <is>
          <t>Locação topográfica de lajes</t>
        </is>
      </c>
      <c r="E841" s="1068" t="inlineStr">
        <is>
          <t>DIAS</t>
        </is>
      </c>
      <c r="F841" s="1067" t="n"/>
      <c r="G841" s="1069">
        <f t="array" ref="G841">IF(B841="insumo",_xlfn.XLOOKUP($D841,Insumos!$B$1:$B$996,Insumos!$D$1:$D$996),"")</f>
        <v/>
      </c>
      <c r="H841" s="1069" t="n">
        <v>1300</v>
      </c>
      <c r="I841" s="2161" t="n">
        <v>0</v>
      </c>
      <c r="J841" s="2161" t="n">
        <v>0</v>
      </c>
      <c r="K841" s="2161" t="n"/>
    </row>
    <row r="842" outlineLevel="3" ht="15.75" customHeight="1">
      <c r="A842" s="10" t="n">
        <v>1</v>
      </c>
      <c r="B842" s="10" t="inlineStr">
        <is>
          <t>Insumo</t>
        </is>
      </c>
      <c r="C842" s="10" t="inlineStr">
        <is>
          <t>Locação topográfica de lajes</t>
        </is>
      </c>
      <c r="D842" s="10" t="inlineStr">
        <is>
          <t>Diária de topógrafo</t>
        </is>
      </c>
      <c r="E842" s="11">
        <f t="array" ref="E842">_xlfn.XLOOKUP(D842,Insumos!B:B,Insumos!C:$C)</f>
        <v/>
      </c>
      <c r="F842" s="14" t="n">
        <v>1</v>
      </c>
      <c r="G842" s="92">
        <f t="array" ref="G842">IF(B842="insumo",_xlfn.XLOOKUP($D842,Insumos!$B$1:$B$996,Insumos!$D$1:$D$996),"")</f>
        <v/>
      </c>
      <c r="H842" s="92" t="n">
        <v>1300</v>
      </c>
      <c r="I842" s="2162" t="n">
        <v>0</v>
      </c>
      <c r="J842" s="2162" t="n">
        <v>0</v>
      </c>
      <c r="K842" s="2162" t="n"/>
    </row>
    <row r="843" outlineLevel="2" ht="15.75" customHeight="1">
      <c r="A843" s="1067" t="n">
        <v>1</v>
      </c>
      <c r="B843" s="1067" t="inlineStr">
        <is>
          <t>Serviço</t>
        </is>
      </c>
      <c r="C843" s="1067" t="inlineStr">
        <is>
          <t>Sistema de Ancoragem Provisória e definitiva</t>
        </is>
      </c>
      <c r="D843" s="1067" t="inlineStr">
        <is>
          <t>Sistema de Ancoragem Provisória e definitiva</t>
        </is>
      </c>
      <c r="E843" s="1068" t="inlineStr">
        <is>
          <t>VB</t>
        </is>
      </c>
      <c r="F843" s="1067" t="n"/>
      <c r="G843" s="1069">
        <f t="array" ref="G843">IF(B843="insumo",_xlfn.XLOOKUP($D843,Insumos!$B$1:$B$996,Insumos!$D$1:$D$996),"")</f>
        <v/>
      </c>
      <c r="H843" s="1069" t="n">
        <v>15000</v>
      </c>
      <c r="I843" s="2161" t="n">
        <v>0</v>
      </c>
      <c r="J843" s="2161" t="n">
        <v>0</v>
      </c>
      <c r="K843" s="2161" t="n"/>
    </row>
    <row r="844" outlineLevel="3" ht="15.75" customHeight="1">
      <c r="A844" s="10" t="n">
        <v>1</v>
      </c>
      <c r="B844" s="10" t="inlineStr">
        <is>
          <t>Insumo</t>
        </is>
      </c>
      <c r="C844" s="10" t="inlineStr">
        <is>
          <t>Sistema de Ancoragem Provisória e definitiva</t>
        </is>
      </c>
      <c r="D844" s="10" t="inlineStr">
        <is>
          <t>Sistema de Ancoragem Provisória e definitiva</t>
        </is>
      </c>
      <c r="E844" s="11">
        <f t="array" ref="E844">_xlfn.XLOOKUP(D844,Insumos!B:B,Insumos!C:$C)</f>
        <v/>
      </c>
      <c r="F844" s="14" t="n">
        <v>1</v>
      </c>
      <c r="G844" s="92">
        <f t="array" ref="G844">IF(B844="insumo",_xlfn.XLOOKUP($D844,Insumos!$B$1:$B$996,Insumos!$D$1:$D$996),"")</f>
        <v/>
      </c>
      <c r="H844" s="92" t="n">
        <v>15000</v>
      </c>
      <c r="I844" s="2162" t="n">
        <v>0</v>
      </c>
      <c r="J844" s="2162" t="n">
        <v>0</v>
      </c>
      <c r="K844" s="2162" t="n"/>
    </row>
    <row r="845" outlineLevel="2" ht="15.75" customHeight="1">
      <c r="A845" s="1067" t="n">
        <v>1</v>
      </c>
      <c r="B845" s="1067" t="inlineStr">
        <is>
          <t>Serviço</t>
        </is>
      </c>
      <c r="C845" s="1067" t="inlineStr">
        <is>
          <t>Serviço de Perfuração de vigas e lajes</t>
        </is>
      </c>
      <c r="D845" s="1067" t="inlineStr">
        <is>
          <t>Serviço de Perfuração de vigas e lajes</t>
        </is>
      </c>
      <c r="E845" s="1068" t="inlineStr">
        <is>
          <t>VB</t>
        </is>
      </c>
      <c r="F845" s="1075" t="n"/>
      <c r="G845" s="1069">
        <f t="array" ref="G845">IF(B845="insumo",_xlfn.XLOOKUP($D845,Insumos!$B$1:$B$996,Insumos!$D$1:$D$996),"")</f>
        <v/>
      </c>
      <c r="H845" s="1069" t="n">
        <v>93981.53049999999</v>
      </c>
      <c r="I845" s="2161" t="n">
        <v>0</v>
      </c>
      <c r="J845" s="2161" t="n">
        <v>0</v>
      </c>
      <c r="K845" s="2161" t="n"/>
    </row>
    <row r="846" outlineLevel="3" ht="15.75" customHeight="1">
      <c r="A846" s="10" t="n">
        <v>1</v>
      </c>
      <c r="B846" s="10" t="inlineStr">
        <is>
          <t>Insumo</t>
        </is>
      </c>
      <c r="C846" s="10" t="inlineStr">
        <is>
          <t>Serviço de Perfuração de vigas e lajes</t>
        </is>
      </c>
      <c r="D846" s="10" t="inlineStr">
        <is>
          <t>Serviço de Perfuração de vigas e lajes</t>
        </is>
      </c>
      <c r="E846" s="11">
        <f t="array" ref="E846">_xlfn.XLOOKUP(D846,Insumos!B:B,Insumos!C:$C)</f>
        <v/>
      </c>
      <c r="F846" s="14" t="n">
        <v>1</v>
      </c>
      <c r="G846" s="92">
        <f t="array" ref="G846">IF(B846="insumo",_xlfn.XLOOKUP($D846,Insumos!$B$1:$B$996,Insumos!$D$1:$D$996),"")</f>
        <v/>
      </c>
      <c r="H846" s="92" t="n">
        <v>93981.53049999999</v>
      </c>
      <c r="I846" s="2162" t="n">
        <v>0</v>
      </c>
      <c r="J846" s="2162" t="n">
        <v>0</v>
      </c>
      <c r="K846" s="2162" t="n"/>
    </row>
    <row r="847" outlineLevel="2" ht="15.75" customHeight="1">
      <c r="A847" s="1067" t="n">
        <v>1</v>
      </c>
      <c r="B847" s="1067" t="inlineStr">
        <is>
          <t>Serviço</t>
        </is>
      </c>
      <c r="C847" s="1067" t="inlineStr">
        <is>
          <t>Escoramento de fôrmas para Lajes com escoras de Madeira incluindo travamento, 4 utilizações.</t>
        </is>
      </c>
      <c r="D847" s="1067" t="inlineStr">
        <is>
          <t>Escoramento de fôrmas para Lajes com escoras de Madeira incluindo travamento, 4 utilizações.</t>
        </is>
      </c>
      <c r="E847" s="1068" t="inlineStr">
        <is>
          <t>M3</t>
        </is>
      </c>
      <c r="F847" s="1067" t="n"/>
      <c r="G847" s="1069">
        <f t="array" ref="G847">IF(B847="insumo",_xlfn.XLOOKUP($D847,Insumos!$B$1:$B$996,Insumos!$D$1:$D$996),"")</f>
        <v/>
      </c>
      <c r="H847" s="1069" t="n">
        <v>11.49611955</v>
      </c>
      <c r="I847" s="2161" t="n">
        <v>0</v>
      </c>
      <c r="J847" s="2161" t="n">
        <v>0</v>
      </c>
      <c r="K847" s="2161" t="n"/>
    </row>
    <row r="848" outlineLevel="3" ht="15.75" customHeight="1">
      <c r="A848" s="10" t="n">
        <v>40</v>
      </c>
      <c r="B848" s="10" t="inlineStr">
        <is>
          <t>Insumo</t>
        </is>
      </c>
      <c r="C848" s="10" t="inlineStr">
        <is>
          <t>Escoramento de fôrmas para Lajes com escoras de Madeira incluindo travamento, 4 utilizações.</t>
        </is>
      </c>
      <c r="D848" s="10" t="inlineStr">
        <is>
          <t>PREGO DE ACO POLIDO COM CABECA 17 X 21 (2 X 11)</t>
        </is>
      </c>
      <c r="E848" s="11">
        <f t="array" ref="E848">_xlfn.XLOOKUP(D848,Insumos!B:B,Insumos!C:$C)</f>
        <v/>
      </c>
      <c r="F848" s="14" t="n">
        <v>0.023535</v>
      </c>
      <c r="G848" s="92">
        <f t="array" ref="G848">IF(B848="insumo",_xlfn.XLOOKUP($D848,Insumos!$B$1:$B$996,Insumos!$D$1:$D$996),"")</f>
        <v/>
      </c>
      <c r="H848" s="92" t="n">
        <v>0.42668955</v>
      </c>
      <c r="I848" s="2162" t="n">
        <v>0</v>
      </c>
      <c r="J848" s="2162" t="n">
        <v>0</v>
      </c>
      <c r="K848" s="2162" t="n"/>
    </row>
    <row r="849" outlineLevel="3" ht="15.75" customHeight="1">
      <c r="A849" s="10" t="n">
        <v>3</v>
      </c>
      <c r="B849" s="10" t="inlineStr">
        <is>
          <t>Insumo</t>
        </is>
      </c>
      <c r="C849" s="10" t="inlineStr">
        <is>
          <t>Escoramento de fôrmas para Lajes com escoras de Madeira incluindo travamento, 4 utilizações.</t>
        </is>
      </c>
      <c r="D849" s="10" t="inlineStr">
        <is>
          <t>TABUA NAO APARELHADA *2,5 X 20* CM, EM MACARANDUBA/MASSARANDUBA, ANGELIM OU EQUIVALENTE DA REGIAO - BRUTA</t>
        </is>
      </c>
      <c r="E849" s="11">
        <f t="array" ref="E849">_xlfn.XLOOKUP(D849,Insumos!B:B,Insumos!C:$C)</f>
        <v/>
      </c>
      <c r="F849" s="14" t="n">
        <v>0.143</v>
      </c>
      <c r="G849" s="92">
        <f t="array" ref="G849">IF(B849="insumo",_xlfn.XLOOKUP($D849,Insumos!$B$1:$B$996,Insumos!$D$1:$D$996),"")</f>
        <v/>
      </c>
      <c r="H849" s="92" t="n">
        <v>6.07178</v>
      </c>
      <c r="I849" s="2162" t="n">
        <v>0</v>
      </c>
      <c r="J849" s="2162" t="n">
        <v>0</v>
      </c>
      <c r="K849" s="2162" t="n"/>
    </row>
    <row r="850" outlineLevel="3" ht="16.5" customHeight="1">
      <c r="A850" s="10" t="n">
        <v>25</v>
      </c>
      <c r="B850" s="10" t="inlineStr">
        <is>
          <t>Insumo</t>
        </is>
      </c>
      <c r="C850" s="10" t="inlineStr">
        <is>
          <t>Escoramento de fôrmas para Lajes com escoras de Madeira incluindo travamento, 4 utilizações.</t>
        </is>
      </c>
      <c r="D850" s="10" t="inlineStr">
        <is>
          <t>MADEIRA PINUS/SIMILAR - PONTALETE 75X75MM NBR 11700/15696</t>
        </is>
      </c>
      <c r="E850" s="11">
        <f t="array" ref="E850">_xlfn.XLOOKUP(D850,Insumos!B:B,Insumos!C:$C)</f>
        <v/>
      </c>
      <c r="F850" s="14" t="n">
        <v>0.7139500000000001</v>
      </c>
      <c r="G850" s="92">
        <f t="array" ref="G850">IF(B850="insumo",_xlfn.XLOOKUP($D850,Insumos!$B$1:$B$996,Insumos!$D$1:$D$996),"")</f>
        <v/>
      </c>
      <c r="H850" s="92" t="n">
        <v>4.99765</v>
      </c>
      <c r="I850" s="2162" t="n">
        <v>0</v>
      </c>
      <c r="J850" s="2162" t="n">
        <v>0</v>
      </c>
      <c r="K850" s="2162" t="n"/>
    </row>
    <row r="851" outlineLevel="1" ht="15.75" customHeight="1">
      <c r="A851" s="1090" t="n">
        <v>6</v>
      </c>
      <c r="B851" s="1090" t="inlineStr">
        <is>
          <t>Subetapa</t>
        </is>
      </c>
      <c r="C851" s="1090" t="inlineStr">
        <is>
          <t>Escoramento de fôrmas para Lajes com escoras de Madeira incluindo travamento, 4 utilizações.</t>
        </is>
      </c>
      <c r="D851" s="1090" t="inlineStr">
        <is>
          <t>MÃO DE OBRA</t>
        </is>
      </c>
      <c r="E851" s="1091" t="n"/>
      <c r="F851" s="2160" t="n"/>
      <c r="G851" s="1091" t="n"/>
      <c r="H851" s="1091" t="n">
        <v>0</v>
      </c>
      <c r="I851" s="2160" t="n">
        <v>0</v>
      </c>
      <c r="J851" s="2160" t="n">
        <v>0</v>
      </c>
      <c r="K851" s="2160" t="n"/>
    </row>
    <row r="852" outlineLevel="2" ht="15.75" customHeight="1">
      <c r="A852" s="1067" t="n">
        <v>1</v>
      </c>
      <c r="B852" s="1067" t="inlineStr">
        <is>
          <t>Serviço</t>
        </is>
      </c>
      <c r="C852" s="1067" t="inlineStr">
        <is>
          <t>Mão de obra para execução de supraestrutura de concreto armado</t>
        </is>
      </c>
      <c r="D852" s="1067" t="inlineStr">
        <is>
          <t>Mão de obra para execução de supraestrutura de concreto armado</t>
        </is>
      </c>
      <c r="E852" s="1068" t="inlineStr">
        <is>
          <t>M2</t>
        </is>
      </c>
      <c r="F852" s="1067" t="n"/>
      <c r="G852" s="1069">
        <f t="array" ref="G852">IF(B852="insumo",_xlfn.XLOOKUP($D852,Insumos!$B$1:$B$996,Insumos!$D$1:$D$996),"")</f>
        <v/>
      </c>
      <c r="H852" s="1069" t="n">
        <v>290</v>
      </c>
      <c r="I852" s="2161" t="n">
        <v>16</v>
      </c>
      <c r="J852" s="2161" t="n">
        <v>4640</v>
      </c>
      <c r="K852" s="2161" t="n"/>
    </row>
    <row r="853" outlineLevel="3" ht="15.75" customHeight="1">
      <c r="A853" s="10" t="n">
        <v>1</v>
      </c>
      <c r="B853" s="10" t="inlineStr">
        <is>
          <t>Insumo</t>
        </is>
      </c>
      <c r="C853" s="10" t="inlineStr">
        <is>
          <t>Mão de obra para execução de supraestrutura de concreto armado</t>
        </is>
      </c>
      <c r="D853" s="10" t="inlineStr">
        <is>
          <t>Mão de obra para execução de supraestrutura de concreto armado</t>
        </is>
      </c>
      <c r="E853" s="11">
        <f t="array" ref="E853">_xlfn.XLOOKUP(D853,Insumos!B:B,Insumos!C:$C)</f>
        <v/>
      </c>
      <c r="F853" s="14" t="n">
        <v>1</v>
      </c>
      <c r="G853" s="92">
        <f t="array" ref="G853">IF(B853="insumo",_xlfn.XLOOKUP($D853,Insumos!$B$1:$B$996,Insumos!$D$1:$D$996),"")</f>
        <v/>
      </c>
      <c r="H853" s="92" t="n">
        <v>290</v>
      </c>
      <c r="I853" s="2162" t="n">
        <v>16</v>
      </c>
      <c r="J853" s="2162" t="n">
        <v>4640</v>
      </c>
      <c r="K853" s="2162" t="n"/>
    </row>
    <row r="854" outlineLevel="2" ht="15.75" customHeight="1">
      <c r="A854" s="1067" t="n">
        <v>1</v>
      </c>
      <c r="B854" s="1067" t="inlineStr">
        <is>
          <t>Serviço</t>
        </is>
      </c>
      <c r="C854" s="1067" t="inlineStr">
        <is>
          <t>Mão de Obra Polimento de piso</t>
        </is>
      </c>
      <c r="D854" s="1067" t="inlineStr">
        <is>
          <t>Mão de Obra Polimento de piso</t>
        </is>
      </c>
      <c r="E854" s="1068" t="inlineStr">
        <is>
          <t>M2</t>
        </is>
      </c>
      <c r="F854" s="1067" t="n"/>
      <c r="G854" s="1069">
        <f t="array" ref="G854">IF(B854="insumo",_xlfn.XLOOKUP($D854,Insumos!$B$1:$B$996,Insumos!$D$1:$D$996),"")</f>
        <v/>
      </c>
      <c r="H854" s="1069" t="n">
        <v>25</v>
      </c>
      <c r="I854" s="2161" t="n">
        <v>0</v>
      </c>
      <c r="J854" s="2161" t="n">
        <v>0</v>
      </c>
      <c r="K854" s="2161" t="n"/>
    </row>
    <row r="855" outlineLevel="3" ht="15.75" customHeight="1">
      <c r="A855" s="10" t="n">
        <v>1</v>
      </c>
      <c r="B855" s="10" t="inlineStr">
        <is>
          <t>Insumo</t>
        </is>
      </c>
      <c r="C855" s="10" t="inlineStr">
        <is>
          <t>Mão de Obra Polimento de piso</t>
        </is>
      </c>
      <c r="D855" s="10" t="inlineStr">
        <is>
          <t>Mão de Obra Polimento de piso</t>
        </is>
      </c>
      <c r="E855" s="11">
        <f t="array" ref="E855">_xlfn.XLOOKUP(D855,Insumos!B:B,Insumos!C:$C)</f>
        <v/>
      </c>
      <c r="F855" s="14" t="n">
        <v>1</v>
      </c>
      <c r="G855" s="92">
        <f t="array" ref="G855">IF(B855="insumo",_xlfn.XLOOKUP($D855,Insumos!$B$1:$B$996,Insumos!$D$1:$D$996),"")</f>
        <v/>
      </c>
      <c r="H855" s="92" t="n">
        <v>25</v>
      </c>
      <c r="I855" s="2162" t="n">
        <v>0</v>
      </c>
      <c r="J855" s="2162" t="n">
        <v>0</v>
      </c>
      <c r="K855" s="2162" t="n"/>
    </row>
    <row r="856" ht="15.75" customHeight="1">
      <c r="A856" s="7" t="n">
        <v>1</v>
      </c>
      <c r="B856" s="7" t="inlineStr">
        <is>
          <t>Etapa</t>
        </is>
      </c>
      <c r="C856" s="7" t="inlineStr">
        <is>
          <t>Mão de Obra Polimento de piso</t>
        </is>
      </c>
      <c r="D856" s="7" t="inlineStr">
        <is>
          <t>ALVENARIAS E VEDAÇÕES</t>
        </is>
      </c>
      <c r="E856" s="8" t="n"/>
      <c r="F856" s="2159" t="n"/>
      <c r="G856" s="91">
        <f t="array" ref="G856">IF(B856="insumo",_xlfn.XLOOKUP($D856,Insumos!$B$1:$B$996,Insumos!$D$1:$D$996),"")</f>
        <v/>
      </c>
      <c r="H856" s="91" t="n">
        <v>0</v>
      </c>
      <c r="I856" s="2159" t="n">
        <v>0</v>
      </c>
      <c r="J856" s="2159" t="n">
        <v>0</v>
      </c>
      <c r="K856" s="2159" t="n"/>
    </row>
    <row r="857" outlineLevel="1" ht="15.75" customHeight="1">
      <c r="A857" s="1090" t="n">
        <v>1</v>
      </c>
      <c r="B857" s="1090" t="inlineStr">
        <is>
          <t>Subetapa</t>
        </is>
      </c>
      <c r="C857" s="1090" t="inlineStr">
        <is>
          <t>Mão de Obra Polimento de piso</t>
        </is>
      </c>
      <c r="D857" s="1090" t="inlineStr">
        <is>
          <t>CERAMICO</t>
        </is>
      </c>
      <c r="E857" s="1091" t="n"/>
      <c r="F857" s="2160" t="n"/>
      <c r="G857" s="1091" t="n"/>
      <c r="H857" s="1091" t="n">
        <v>0</v>
      </c>
      <c r="I857" s="2160" t="n">
        <v>0</v>
      </c>
      <c r="J857" s="2160" t="n">
        <v>0</v>
      </c>
      <c r="K857" s="2160" t="n"/>
    </row>
    <row r="858" outlineLevel="2" ht="15.75" customHeight="1">
      <c r="A858" s="1067" t="n">
        <v>1</v>
      </c>
      <c r="B858" s="1067" t="inlineStr">
        <is>
          <t>Serviço</t>
        </is>
      </c>
      <c r="C858" s="1067" t="inlineStr">
        <is>
          <t>Alvenaria de vedacao de blocos ceramicos de 9x19x19cm com argamassa industrializada de assentamento</t>
        </is>
      </c>
      <c r="D858" s="1067" t="inlineStr">
        <is>
          <t>Alvenaria de vedacao de blocos ceramicos de 9x19x19cm com argamassa industrializada de assentamento</t>
        </is>
      </c>
      <c r="E858" s="1068" t="inlineStr">
        <is>
          <t>M2</t>
        </is>
      </c>
      <c r="F858" s="1067" t="n"/>
      <c r="G858" s="1069">
        <f t="array" ref="G858">IF(B858="insumo",_xlfn.XLOOKUP($D858,Insumos!$B$1:$B$996,Insumos!$D$1:$D$996),"")</f>
        <v/>
      </c>
      <c r="H858" s="1069" t="n">
        <v>36.22</v>
      </c>
      <c r="I858" s="2161" t="n">
        <v>0</v>
      </c>
      <c r="J858" s="2161" t="n">
        <v>0</v>
      </c>
      <c r="K858" s="2161" t="n"/>
    </row>
    <row r="859" outlineLevel="3" ht="15.75" customHeight="1">
      <c r="A859" s="10" t="n">
        <v>2</v>
      </c>
      <c r="B859" s="10" t="inlineStr">
        <is>
          <t>Insumo</t>
        </is>
      </c>
      <c r="C859" s="10" t="inlineStr">
        <is>
          <t>Alvenaria de vedacao de blocos ceramicos de 9x19x19cm com argamassa industrializada de assentamento</t>
        </is>
      </c>
      <c r="D859" s="10" t="inlineStr">
        <is>
          <t>BLOCO CERÂMICO - 9X19X19cm</t>
        </is>
      </c>
      <c r="E859" s="11">
        <f t="array" ref="E859">_xlfn.XLOOKUP(D859,Insumos!B:B,Insumos!C:$C)</f>
        <v/>
      </c>
      <c r="F859" s="14">
        <f>ROUNDUP(1/(0.19*0.19),)</f>
        <v/>
      </c>
      <c r="G859" s="92">
        <f t="array" ref="G859">IF(B859="insumo",_xlfn.XLOOKUP($D859,Insumos!$B$1:$B$996,Insumos!$D$1:$D$996),"")</f>
        <v/>
      </c>
      <c r="H859" s="92" t="n">
        <v>27.72</v>
      </c>
      <c r="I859" s="2162" t="n">
        <v>0</v>
      </c>
      <c r="J859" s="2162" t="n">
        <v>0</v>
      </c>
      <c r="K859" s="2162" t="n"/>
    </row>
    <row r="860" outlineLevel="3" ht="15.75" customHeight="1">
      <c r="A860" s="10" t="n">
        <v>27</v>
      </c>
      <c r="B860" s="10" t="inlineStr">
        <is>
          <t>Insumo</t>
        </is>
      </c>
      <c r="C860" s="10" t="inlineStr">
        <is>
          <t>Alvenaria de vedacao de blocos ceramicos de 9x19x19cm com argamassa industrializada de assentamento</t>
        </is>
      </c>
      <c r="D860" s="10" t="inlineStr">
        <is>
          <t>ARGAMASSA INDUSTRIALIZADA MULTIUSO, PARA REVESTIMENTO INTERNO E EXTERNO E ASSENTAMENTO DE BLOCOS DIVERSOS</t>
        </is>
      </c>
      <c r="E860" s="11">
        <f t="array" ref="E860">_xlfn.XLOOKUP(D860,Insumos!B:B,Insumos!C:$C)</f>
        <v/>
      </c>
      <c r="F860" s="14" t="n">
        <v>0.02</v>
      </c>
      <c r="G860" s="92">
        <f t="array" ref="G860">IF(B860="insumo",_xlfn.XLOOKUP($D860,Insumos!$B$1:$B$996,Insumos!$D$1:$D$996),"")</f>
        <v/>
      </c>
      <c r="H860" s="92" t="n">
        <v>8.5</v>
      </c>
      <c r="I860" s="2162" t="n">
        <v>0</v>
      </c>
      <c r="J860" s="2162" t="n">
        <v>0</v>
      </c>
      <c r="K860" s="2162" t="n"/>
    </row>
    <row r="861" outlineLevel="2" ht="15.75" customHeight="1">
      <c r="A861" s="1067" t="n">
        <v>1</v>
      </c>
      <c r="B861" s="1067" t="inlineStr">
        <is>
          <t>Serviço</t>
        </is>
      </c>
      <c r="C861" s="1067" t="inlineStr">
        <is>
          <t>Alvenaria de vedacao de blocos ceramicos de 11,5x19x19cm com argamassa industrializada de assentamento</t>
        </is>
      </c>
      <c r="D861" s="1067" t="inlineStr">
        <is>
          <t>Alvenaria de vedacao de blocos ceramicos de 11,5x19x19cm com argamassa industrializada de assentamento</t>
        </is>
      </c>
      <c r="E861" s="1068" t="inlineStr">
        <is>
          <t>M2</t>
        </is>
      </c>
      <c r="F861" s="1067" t="n"/>
      <c r="G861" s="1069">
        <f t="array" ref="G861">IF(B861="insumo",_xlfn.XLOOKUP($D861,Insumos!$B$1:$B$996,Insumos!$D$1:$D$996),"")</f>
        <v/>
      </c>
      <c r="H861" s="1069" t="n">
        <v>43.22</v>
      </c>
      <c r="I861" s="2161" t="n">
        <v>0</v>
      </c>
      <c r="J861" s="2161" t="n">
        <v>0</v>
      </c>
      <c r="K861" s="2161" t="n"/>
    </row>
    <row r="862" outlineLevel="3" ht="15.75" customHeight="1">
      <c r="A862" s="10" t="n">
        <v>1</v>
      </c>
      <c r="B862" s="10" t="inlineStr">
        <is>
          <t>Insumo</t>
        </is>
      </c>
      <c r="C862" s="10" t="inlineStr">
        <is>
          <t>Alvenaria de vedacao de blocos ceramicos de 11,5x19x19cm com argamassa industrializada de assentamento</t>
        </is>
      </c>
      <c r="D862" s="10" t="inlineStr">
        <is>
          <t>BLOCO CERÂMICO - 11,5X19X19cm</t>
        </is>
      </c>
      <c r="E862" s="11">
        <f t="array" ref="E862">_xlfn.XLOOKUP(D862,Insumos!B:B,Insumos!C:$C)</f>
        <v/>
      </c>
      <c r="F862" s="14">
        <f>ROUNDUP(1/(0.19*0.19),)</f>
        <v/>
      </c>
      <c r="G862" s="92">
        <f t="array" ref="G862">IF(B862="insumo",_xlfn.XLOOKUP($D862,Insumos!$B$1:$B$996,Insumos!$D$1:$D$996),"")</f>
        <v/>
      </c>
      <c r="H862" s="92" t="n">
        <v>34.72</v>
      </c>
      <c r="I862" s="2162" t="n">
        <v>0</v>
      </c>
      <c r="J862" s="2162" t="n">
        <v>0</v>
      </c>
      <c r="K862" s="2162" t="n"/>
    </row>
    <row r="863" outlineLevel="3" ht="15.75" customHeight="1">
      <c r="A863" s="10" t="n">
        <v>27</v>
      </c>
      <c r="B863" s="10" t="inlineStr">
        <is>
          <t>Insumo</t>
        </is>
      </c>
      <c r="C863" s="10" t="inlineStr">
        <is>
          <t>Alvenaria de vedacao de blocos ceramicos de 11,5x19x19cm com argamassa industrializada de assentamento</t>
        </is>
      </c>
      <c r="D863" s="10" t="inlineStr">
        <is>
          <t>ARGAMASSA INDUSTRIALIZADA MULTIUSO, PARA REVESTIMENTO INTERNO E EXTERNO E ASSENTAMENTO DE BLOCOS DIVERSOS</t>
        </is>
      </c>
      <c r="E863" s="11">
        <f t="array" ref="E863">_xlfn.XLOOKUP(D863,Insumos!B:B,Insumos!C:$C)</f>
        <v/>
      </c>
      <c r="F863" s="14" t="n">
        <v>0.02</v>
      </c>
      <c r="G863" s="92">
        <f t="array" ref="G863">IF(B863="insumo",_xlfn.XLOOKUP($D863,Insumos!$B$1:$B$996,Insumos!$D$1:$D$996),"")</f>
        <v/>
      </c>
      <c r="H863" s="92" t="n">
        <v>8.5</v>
      </c>
      <c r="I863" s="2162" t="n">
        <v>0</v>
      </c>
      <c r="J863" s="2162" t="n">
        <v>0</v>
      </c>
      <c r="K863" s="2162" t="n"/>
    </row>
    <row r="864" outlineLevel="2" ht="15.75" customHeight="1">
      <c r="A864" s="1067" t="n">
        <v>1</v>
      </c>
      <c r="B864" s="1067" t="inlineStr">
        <is>
          <t>Serviço</t>
        </is>
      </c>
      <c r="C864" s="1067" t="inlineStr">
        <is>
          <t>Alvenaria de vedacao de blocos ceramicos de 14x19x19cm com argamassa industrializada de assentamento</t>
        </is>
      </c>
      <c r="D864" s="1067" t="inlineStr">
        <is>
          <t>Alvenaria de vedacao de blocos ceramicos de 14x19x19cm com argamassa industrializada de assentamento</t>
        </is>
      </c>
      <c r="E864" s="1068" t="inlineStr">
        <is>
          <t>M2</t>
        </is>
      </c>
      <c r="F864" s="1067" t="n"/>
      <c r="G864" s="1069">
        <f t="array" ref="G864">IF(B864="insumo",_xlfn.XLOOKUP($D864,Insumos!$B$1:$B$996,Insumos!$D$1:$D$996),"")</f>
        <v/>
      </c>
      <c r="H864" s="1069" t="n">
        <v>81.3</v>
      </c>
      <c r="I864" s="2161" t="n">
        <v>0</v>
      </c>
      <c r="J864" s="2161" t="n">
        <v>0</v>
      </c>
      <c r="K864" s="2161" t="n"/>
    </row>
    <row r="865" outlineLevel="3" ht="15.75" customHeight="1">
      <c r="A865" s="10" t="n">
        <v>2</v>
      </c>
      <c r="B865" s="10" t="inlineStr">
        <is>
          <t>Insumo</t>
        </is>
      </c>
      <c r="C865" s="10" t="inlineStr">
        <is>
          <t>Alvenaria de vedacao de blocos ceramicos de 14x19x19cm com argamassa industrializada de assentamento</t>
        </is>
      </c>
      <c r="D865" s="10" t="inlineStr">
        <is>
          <t>BLOCO CERÂMICO - 14X19X19cm</t>
        </is>
      </c>
      <c r="E865" s="11">
        <f t="array" ref="E865">_xlfn.XLOOKUP(D865,Insumos!B:B,Insumos!C:$C)</f>
        <v/>
      </c>
      <c r="F865" s="14">
        <f>ROUNDUP(1/(0.19*0.19),)</f>
        <v/>
      </c>
      <c r="G865" s="92">
        <f t="array" ref="G865">IF(B865="insumo",_xlfn.XLOOKUP($D865,Insumos!$B$1:$B$996,Insumos!$D$1:$D$996),"")</f>
        <v/>
      </c>
      <c r="H865" s="92" t="n">
        <v>72.8</v>
      </c>
      <c r="I865" s="2162" t="n">
        <v>0</v>
      </c>
      <c r="J865" s="2162" t="n">
        <v>0</v>
      </c>
      <c r="K865" s="2162" t="n"/>
    </row>
    <row r="866" outlineLevel="3" ht="15.75" customHeight="1">
      <c r="A866" s="10" t="n">
        <v>27</v>
      </c>
      <c r="B866" s="10" t="inlineStr">
        <is>
          <t>Insumo</t>
        </is>
      </c>
      <c r="C866" s="10" t="inlineStr">
        <is>
          <t>Alvenaria de vedacao de blocos ceramicos de 14x19x19cm com argamassa industrializada de assentamento</t>
        </is>
      </c>
      <c r="D866" s="10" t="inlineStr">
        <is>
          <t>ARGAMASSA INDUSTRIALIZADA MULTIUSO, PARA REVESTIMENTO INTERNO E EXTERNO E ASSENTAMENTO DE BLOCOS DIVERSOS</t>
        </is>
      </c>
      <c r="E866" s="11">
        <f t="array" ref="E866">_xlfn.XLOOKUP(D866,Insumos!B:B,Insumos!C:$C)</f>
        <v/>
      </c>
      <c r="F866" s="14" t="n">
        <v>0.02</v>
      </c>
      <c r="G866" s="92">
        <f t="array" ref="G866">IF(B866="insumo",_xlfn.XLOOKUP($D866,Insumos!$B$1:$B$996,Insumos!$D$1:$D$996),"")</f>
        <v/>
      </c>
      <c r="H866" s="92" t="n">
        <v>8.5</v>
      </c>
      <c r="I866" s="2162" t="n">
        <v>0</v>
      </c>
      <c r="J866" s="2162" t="n">
        <v>0</v>
      </c>
      <c r="K866" s="2162" t="n"/>
    </row>
    <row r="867" outlineLevel="2" ht="15.75" customHeight="1">
      <c r="A867" s="1067" t="n">
        <v>1</v>
      </c>
      <c r="B867" s="1067" t="inlineStr">
        <is>
          <t>Serviço</t>
        </is>
      </c>
      <c r="C867" s="1067" t="inlineStr">
        <is>
          <t>Alvenaria de vedacao de blocos ceramicos furados na horizontal de 14x19x39cm (espessura 9cm) com argamassa industrializada de assentamento</t>
        </is>
      </c>
      <c r="D867" s="1067" t="inlineStr">
        <is>
          <t>Alvenaria de vedacao de blocos ceramicos furados na horizontal de 14x19x39cm (espessura 9cm) com argamassa industrializada de assentamento</t>
        </is>
      </c>
      <c r="E867" s="1068" t="inlineStr">
        <is>
          <t>M2</t>
        </is>
      </c>
      <c r="F867" s="1067" t="n"/>
      <c r="G867" s="1069">
        <f t="array" ref="G867">IF(B867="insumo",_xlfn.XLOOKUP($D867,Insumos!$B$1:$B$996,Insumos!$D$1:$D$996),"")</f>
        <v/>
      </c>
      <c r="H867" s="1069" t="n">
        <v>28.1</v>
      </c>
      <c r="I867" s="2161" t="n">
        <v>0</v>
      </c>
      <c r="J867" s="2161" t="n">
        <v>0</v>
      </c>
      <c r="K867" s="2161" t="n"/>
    </row>
    <row r="868" outlineLevel="3" ht="15.75" customHeight="1">
      <c r="A868" s="10" t="n">
        <v>2</v>
      </c>
      <c r="B868" s="10" t="inlineStr">
        <is>
          <t>Insumo</t>
        </is>
      </c>
      <c r="C868" s="10" t="inlineStr">
        <is>
          <t>Alvenaria de vedacao de blocos ceramicos furados na horizontal de 14x19x39cm (espessura 9cm) com argamassa industrializada de assentamento</t>
        </is>
      </c>
      <c r="D868" s="10" t="inlineStr">
        <is>
          <t>BLOCO CERÂMICO - 14X19X39cm</t>
        </is>
      </c>
      <c r="E868" s="11">
        <f t="array" ref="E868">_xlfn.XLOOKUP(D868,Insumos!B:B,Insumos!C:$C)</f>
        <v/>
      </c>
      <c r="F868" s="14">
        <f>ROUNDUP(1/(0.19*0.39),)</f>
        <v/>
      </c>
      <c r="G868" s="92">
        <f t="array" ref="G868">IF(B868="insumo",_xlfn.XLOOKUP($D868,Insumos!$B$1:$B$996,Insumos!$D$1:$D$996),"")</f>
        <v/>
      </c>
      <c r="H868" s="92" t="n">
        <v>19.6</v>
      </c>
      <c r="I868" s="2162" t="n">
        <v>0</v>
      </c>
      <c r="J868" s="2162" t="n">
        <v>0</v>
      </c>
      <c r="K868" s="2162" t="n"/>
    </row>
    <row r="869" outlineLevel="3" ht="15.75" customHeight="1">
      <c r="A869" s="10" t="n">
        <v>27</v>
      </c>
      <c r="B869" s="10" t="inlineStr">
        <is>
          <t>Insumo</t>
        </is>
      </c>
      <c r="C869" s="10" t="inlineStr">
        <is>
          <t>Alvenaria de vedacao de blocos ceramicos furados na horizontal de 14x19x39cm (espessura 9cm) com argamassa industrializada de assentamento</t>
        </is>
      </c>
      <c r="D869" s="10" t="inlineStr">
        <is>
          <t>ARGAMASSA INDUSTRIALIZADA MULTIUSO, PARA REVESTIMENTO INTERNO E EXTERNO E ASSENTAMENTO DE BLOCOS DIVERSOS</t>
        </is>
      </c>
      <c r="E869" s="11">
        <f t="array" ref="E869">_xlfn.XLOOKUP(D869,Insumos!B:B,Insumos!C:$C)</f>
        <v/>
      </c>
      <c r="F869" s="14" t="n">
        <v>0.02</v>
      </c>
      <c r="G869" s="92">
        <f t="array" ref="G869">IF(B869="insumo",_xlfn.XLOOKUP($D869,Insumos!$B$1:$B$996,Insumos!$D$1:$D$996),"")</f>
        <v/>
      </c>
      <c r="H869" s="92" t="n">
        <v>8.5</v>
      </c>
      <c r="I869" s="2162" t="n">
        <v>0</v>
      </c>
      <c r="J869" s="2162" t="n">
        <v>0</v>
      </c>
      <c r="K869" s="2162" t="n"/>
    </row>
    <row r="870" outlineLevel="2" ht="15.75" customHeight="1">
      <c r="A870" s="1067" t="n">
        <v>1</v>
      </c>
      <c r="B870" s="1067" t="inlineStr">
        <is>
          <t>Serviço</t>
        </is>
      </c>
      <c r="C870" s="1067" t="inlineStr">
        <is>
          <t>Alvenaria de vedacao de blocos ceramicos de 9x19x29cm com argamassa industrializada de assentamento</t>
        </is>
      </c>
      <c r="D870" s="1067" t="inlineStr">
        <is>
          <t>Alvenaria de vedacao de blocos ceramicos de 9x19x29cm com argamassa industrializada de assentamento</t>
        </is>
      </c>
      <c r="E870" s="1068" t="inlineStr">
        <is>
          <t>M2</t>
        </is>
      </c>
      <c r="F870" s="1067" t="n"/>
      <c r="G870" s="1069">
        <f t="array" ref="G870">IF(B870="insumo",_xlfn.XLOOKUP($D870,Insumos!$B$1:$B$996,Insumos!$D$1:$D$996),"")</f>
        <v/>
      </c>
      <c r="H870" s="1069" t="n">
        <v>30.92</v>
      </c>
      <c r="I870" s="2161" t="n">
        <v>0</v>
      </c>
      <c r="J870" s="2161" t="n">
        <v>0</v>
      </c>
      <c r="K870" s="2161" t="n"/>
    </row>
    <row r="871" outlineLevel="3" ht="15.75" customHeight="1">
      <c r="A871" s="10" t="n">
        <v>1</v>
      </c>
      <c r="B871" s="10" t="inlineStr">
        <is>
          <t>Insumo</t>
        </is>
      </c>
      <c r="C871" s="10" t="inlineStr">
        <is>
          <t>Alvenaria de vedacao de blocos ceramicos de 9x19x29cm com argamassa industrializada de assentamento</t>
        </is>
      </c>
      <c r="D871" s="10" t="inlineStr">
        <is>
          <t>BLOCO DE VEDACAO CERAMICO 09X19X29 CM</t>
        </is>
      </c>
      <c r="E871" s="11">
        <f t="array" ref="E871">_xlfn.XLOOKUP(D871,Insumos!B:B,Insumos!C:$C)</f>
        <v/>
      </c>
      <c r="F871" s="14">
        <f>ROUNDUP(1/(0.19*0.29),)</f>
        <v/>
      </c>
      <c r="G871" s="92">
        <f t="array" ref="G871">IF(B871="insumo",_xlfn.XLOOKUP($D871,Insumos!$B$1:$B$996,Insumos!$D$1:$D$996),"")</f>
        <v/>
      </c>
      <c r="H871" s="92" t="n">
        <v>22.42</v>
      </c>
      <c r="I871" s="2162" t="n">
        <v>0</v>
      </c>
      <c r="J871" s="2162" t="n">
        <v>0</v>
      </c>
      <c r="K871" s="2162" t="n"/>
    </row>
    <row r="872" outlineLevel="3" ht="15.75" customHeight="1">
      <c r="A872" s="10" t="n">
        <v>27</v>
      </c>
      <c r="B872" s="10" t="inlineStr">
        <is>
          <t>Insumo</t>
        </is>
      </c>
      <c r="C872" s="10" t="inlineStr">
        <is>
          <t>Alvenaria de vedacao de blocos ceramicos de 9x19x29cm com argamassa industrializada de assentamento</t>
        </is>
      </c>
      <c r="D872" s="10" t="inlineStr">
        <is>
          <t>ARGAMASSA INDUSTRIALIZADA MULTIUSO, PARA REVESTIMENTO INTERNO E EXTERNO E ASSENTAMENTO DE BLOCOS DIVERSOS</t>
        </is>
      </c>
      <c r="E872" s="11">
        <f t="array" ref="E872">_xlfn.XLOOKUP(D872,Insumos!B:B,Insumos!C:$C)</f>
        <v/>
      </c>
      <c r="F872" s="14" t="n">
        <v>0.02</v>
      </c>
      <c r="G872" s="92">
        <f t="array" ref="G872">IF(B872="insumo",_xlfn.XLOOKUP($D872,Insumos!$B$1:$B$996,Insumos!$D$1:$D$996),"")</f>
        <v/>
      </c>
      <c r="H872" s="92" t="n">
        <v>8.5</v>
      </c>
      <c r="I872" s="2162" t="n">
        <v>0</v>
      </c>
      <c r="J872" s="2162" t="n">
        <v>0</v>
      </c>
      <c r="K872" s="2162" t="n"/>
    </row>
    <row r="873" outlineLevel="2" ht="15.75" customHeight="1">
      <c r="A873" s="1067" t="n">
        <v>1</v>
      </c>
      <c r="B873" s="1067" t="inlineStr">
        <is>
          <t>Serviço</t>
        </is>
      </c>
      <c r="C873" s="1067" t="inlineStr">
        <is>
          <t>Alvenaria de vedacao de blocos ceramicos de 11.5x19x29cm com argamassa industrializada de assentamento</t>
        </is>
      </c>
      <c r="D873" s="1067" t="inlineStr">
        <is>
          <t>Alvenaria de vedacao de blocos ceramicos de 11.5x19x29cm com argamassa industrializada de assentamento</t>
        </is>
      </c>
      <c r="E873" s="1068" t="inlineStr">
        <is>
          <t>M2</t>
        </is>
      </c>
      <c r="F873" s="1067" t="n"/>
      <c r="G873" s="1069">
        <f t="array" ref="G873">IF(B873="insumo",_xlfn.XLOOKUP($D873,Insumos!$B$1:$B$996,Insumos!$D$1:$D$996),"")</f>
        <v/>
      </c>
      <c r="H873" s="1069" t="n">
        <v>35.67</v>
      </c>
      <c r="I873" s="2161" t="n">
        <v>0</v>
      </c>
      <c r="J873" s="2161" t="n">
        <v>0</v>
      </c>
      <c r="K873" s="2161" t="n"/>
    </row>
    <row r="874" outlineLevel="3" ht="15.75" customHeight="1">
      <c r="A874" s="10" t="n">
        <v>1</v>
      </c>
      <c r="B874" s="10" t="inlineStr">
        <is>
          <t>Insumo</t>
        </is>
      </c>
      <c r="C874" s="10" t="inlineStr">
        <is>
          <t>Alvenaria de vedacao de blocos ceramicos de 11.5x19x29cm com argamassa industrializada de assentamento</t>
        </is>
      </c>
      <c r="D874" s="10" t="inlineStr">
        <is>
          <t>BLOCO DE VEDACAO CERAMICO 11,5X19X29 CM</t>
        </is>
      </c>
      <c r="E874" s="11">
        <f t="array" ref="E874">_xlfn.XLOOKUP(D874,Insumos!B:B,Insumos!C:$C)</f>
        <v/>
      </c>
      <c r="F874" s="14">
        <f>ROUNDUP(1/(0.19*0.29),)</f>
        <v/>
      </c>
      <c r="G874" s="92">
        <f t="array" ref="G874">IF(B874="insumo",_xlfn.XLOOKUP($D874,Insumos!$B$1:$B$996,Insumos!$D$1:$D$996),"")</f>
        <v/>
      </c>
      <c r="H874" s="92" t="n">
        <v>27.17</v>
      </c>
      <c r="I874" s="2162" t="n">
        <v>0</v>
      </c>
      <c r="J874" s="2162" t="n">
        <v>0</v>
      </c>
      <c r="K874" s="2162" t="n"/>
    </row>
    <row r="875" outlineLevel="3" ht="15.75" customHeight="1">
      <c r="A875" s="10" t="n">
        <v>27</v>
      </c>
      <c r="B875" s="10" t="inlineStr">
        <is>
          <t>Insumo</t>
        </is>
      </c>
      <c r="C875" s="10" t="inlineStr">
        <is>
          <t>Alvenaria de vedacao de blocos ceramicos de 11.5x19x29cm com argamassa industrializada de assentamento</t>
        </is>
      </c>
      <c r="D875" s="10" t="inlineStr">
        <is>
          <t>ARGAMASSA INDUSTRIALIZADA MULTIUSO, PARA REVESTIMENTO INTERNO E EXTERNO E ASSENTAMENTO DE BLOCOS DIVERSOS</t>
        </is>
      </c>
      <c r="E875" s="11">
        <f t="array" ref="E875">_xlfn.XLOOKUP(D875,Insumos!B:B,Insumos!C:$C)</f>
        <v/>
      </c>
      <c r="F875" s="14" t="n">
        <v>0.02</v>
      </c>
      <c r="G875" s="92">
        <f t="array" ref="G875">IF(B875="insumo",_xlfn.XLOOKUP($D875,Insumos!$B$1:$B$996,Insumos!$D$1:$D$996),"")</f>
        <v/>
      </c>
      <c r="H875" s="92" t="n">
        <v>8.5</v>
      </c>
      <c r="I875" s="2162" t="n">
        <v>0</v>
      </c>
      <c r="J875" s="2162" t="n">
        <v>0</v>
      </c>
      <c r="K875" s="2162" t="n"/>
    </row>
    <row r="876" outlineLevel="2" ht="15.75" customHeight="1">
      <c r="A876" s="1067" t="n">
        <v>1</v>
      </c>
      <c r="B876" s="1067" t="inlineStr">
        <is>
          <t>Serviço</t>
        </is>
      </c>
      <c r="C876" s="1067" t="inlineStr">
        <is>
          <t>Alvenaria de vedacao de blocos ceramicos de 14x19x29cm com argamassa industrializada de assentamento</t>
        </is>
      </c>
      <c r="D876" s="1067" t="inlineStr">
        <is>
          <t>Alvenaria de vedacao de blocos ceramicos de 14x19x29cm com argamassa industrializada de assentamento</t>
        </is>
      </c>
      <c r="E876" s="1068" t="inlineStr">
        <is>
          <t>M2</t>
        </is>
      </c>
      <c r="F876" s="1067" t="n"/>
      <c r="G876" s="1069">
        <f t="array" ref="G876">IF(B876="insumo",_xlfn.XLOOKUP($D876,Insumos!$B$1:$B$996,Insumos!$D$1:$D$996),"")</f>
        <v/>
      </c>
      <c r="H876" s="1069" t="n">
        <v>41.18</v>
      </c>
      <c r="I876" s="2161" t="n">
        <v>0</v>
      </c>
      <c r="J876" s="2161" t="n">
        <v>0</v>
      </c>
      <c r="K876" s="2161" t="n"/>
    </row>
    <row r="877" outlineLevel="3" ht="15.75" customHeight="1">
      <c r="A877" s="10" t="n">
        <v>1</v>
      </c>
      <c r="B877" s="10" t="inlineStr">
        <is>
          <t>Insumo</t>
        </is>
      </c>
      <c r="C877" s="10" t="inlineStr">
        <is>
          <t>Alvenaria de vedacao de blocos ceramicos de 14x19x29cm com argamassa industrializada de assentamento</t>
        </is>
      </c>
      <c r="D877" s="10" t="inlineStr">
        <is>
          <t>BLOCO DE VEDACAO CERAMICO 14X19X29 CM</t>
        </is>
      </c>
      <c r="E877" s="11">
        <f t="array" ref="E877">_xlfn.XLOOKUP(D877,Insumos!B:B,Insumos!C:$C)</f>
        <v/>
      </c>
      <c r="F877" s="14">
        <f>ROUNDUP(1/(0.19*0.29),)</f>
        <v/>
      </c>
      <c r="G877" s="92">
        <f t="array" ref="G877">IF(B877="insumo",_xlfn.XLOOKUP($D877,Insumos!$B$1:$B$996,Insumos!$D$1:$D$996),"")</f>
        <v/>
      </c>
      <c r="H877" s="92" t="n">
        <v>32.68</v>
      </c>
      <c r="I877" s="2162" t="n">
        <v>0</v>
      </c>
      <c r="J877" s="2162" t="n">
        <v>0</v>
      </c>
      <c r="K877" s="2162" t="n"/>
    </row>
    <row r="878" outlineLevel="3" ht="15.75" customHeight="1">
      <c r="A878" s="10" t="n">
        <v>27</v>
      </c>
      <c r="B878" s="10" t="inlineStr">
        <is>
          <t>Insumo</t>
        </is>
      </c>
      <c r="C878" s="10" t="inlineStr">
        <is>
          <t>Alvenaria de vedacao de blocos ceramicos de 14x19x29cm com argamassa industrializada de assentamento</t>
        </is>
      </c>
      <c r="D878" s="10" t="inlineStr">
        <is>
          <t>ARGAMASSA INDUSTRIALIZADA MULTIUSO, PARA REVESTIMENTO INTERNO E EXTERNO E ASSENTAMENTO DE BLOCOS DIVERSOS</t>
        </is>
      </c>
      <c r="E878" s="11">
        <f t="array" ref="E878">_xlfn.XLOOKUP(D878,Insumos!B:B,Insumos!C:$C)</f>
        <v/>
      </c>
      <c r="F878" s="14" t="n">
        <v>0.02</v>
      </c>
      <c r="G878" s="92">
        <f t="array" ref="G878">IF(B878="insumo",_xlfn.XLOOKUP($D878,Insumos!$B$1:$B$996,Insumos!$D$1:$D$996),"")</f>
        <v/>
      </c>
      <c r="H878" s="92" t="n">
        <v>8.5</v>
      </c>
      <c r="I878" s="2162" t="n">
        <v>0</v>
      </c>
      <c r="J878" s="2162" t="n">
        <v>0</v>
      </c>
      <c r="K878" s="2162" t="n"/>
    </row>
    <row r="879" outlineLevel="2" ht="12.75" customHeight="1">
      <c r="A879" s="1071" t="n">
        <v>1</v>
      </c>
      <c r="B879" s="1071" t="inlineStr">
        <is>
          <t>Serviço</t>
        </is>
      </c>
      <c r="C879" s="1071" t="inlineStr">
        <is>
          <t>Alvenaria de vedacao de blocos ceramico de 19x19x19cm com argamassa industrializada de assentamento</t>
        </is>
      </c>
      <c r="D879" s="1071" t="inlineStr">
        <is>
          <t>Alvenaria de vedacao de blocos ceramico de 19x19x19cm com argamassa industrializada de assentamento</t>
        </is>
      </c>
      <c r="E879" s="1072" t="inlineStr">
        <is>
          <t>M2</t>
        </is>
      </c>
      <c r="F879" s="1071" t="n"/>
      <c r="G879" s="1073">
        <f t="array" ref="G879">IF(B879="insumo",_xlfn.XLOOKUP($D879,Insumos!$B$1:$B$996,Insumos!$D$1:$D$996),"")</f>
        <v/>
      </c>
      <c r="H879" s="1073" t="n">
        <v>53.02</v>
      </c>
      <c r="I879" s="2163" t="n">
        <v>0</v>
      </c>
      <c r="J879" s="2163" t="n">
        <v>0</v>
      </c>
      <c r="K879" s="2163" t="n"/>
    </row>
    <row r="880" outlineLevel="3" ht="12.75" customHeight="1">
      <c r="A880" s="82" t="n">
        <v>2</v>
      </c>
      <c r="B880" s="82" t="inlineStr">
        <is>
          <t>Insumo</t>
        </is>
      </c>
      <c r="C880" s="82" t="inlineStr">
        <is>
          <t>Alvenaria de vedacao de blocos ceramico de 19x19x19cm com argamassa industrializada de assentamento</t>
        </is>
      </c>
      <c r="D880" s="82" t="inlineStr">
        <is>
          <t>BLOCO CERÂMICO - 19X19X19cm</t>
        </is>
      </c>
      <c r="E880" s="11">
        <f t="array" ref="E880">_xlfn.XLOOKUP(D880,Insumos!B:B,Insumos!C:$C)</f>
        <v/>
      </c>
      <c r="F880" s="2164">
        <f>ROUNDUP(1/(0.19*0.19),)</f>
        <v/>
      </c>
      <c r="G880" s="92">
        <f t="array" ref="G880">IF(B880="insumo",_xlfn.XLOOKUP($D880,Insumos!$B$1:$B$996,Insumos!$D$1:$D$996),"")</f>
        <v/>
      </c>
      <c r="H880" s="92" t="n">
        <v>44.52</v>
      </c>
      <c r="I880" s="2165" t="n">
        <v>0</v>
      </c>
      <c r="J880" s="2165" t="n">
        <v>0</v>
      </c>
      <c r="K880" s="2165" t="n"/>
    </row>
    <row r="881" outlineLevel="3" ht="12.75" customHeight="1">
      <c r="A881" s="82" t="n">
        <v>27</v>
      </c>
      <c r="B881" s="82" t="inlineStr">
        <is>
          <t>Insumo</t>
        </is>
      </c>
      <c r="C881" s="82" t="inlineStr">
        <is>
          <t>Alvenaria de vedacao de blocos ceramico de 19x19x19cm com argamassa industrializada de assentamento</t>
        </is>
      </c>
      <c r="D881" s="82" t="inlineStr">
        <is>
          <t>ARGAMASSA INDUSTRIALIZADA MULTIUSO, PARA REVESTIMENTO INTERNO E EXTERNO E ASSENTAMENTO DE BLOCOS DIVERSOS</t>
        </is>
      </c>
      <c r="E881" s="11">
        <f t="array" ref="E881">_xlfn.XLOOKUP(D881,Insumos!B:B,Insumos!C:$C)</f>
        <v/>
      </c>
      <c r="F881" s="2164" t="n">
        <v>0.02</v>
      </c>
      <c r="G881" s="92">
        <f t="array" ref="G881">IF(B881="insumo",_xlfn.XLOOKUP($D881,Insumos!$B$1:$B$996,Insumos!$D$1:$D$996),"")</f>
        <v/>
      </c>
      <c r="H881" s="92" t="n">
        <v>8.5</v>
      </c>
      <c r="I881" s="2165" t="n">
        <v>0</v>
      </c>
      <c r="J881" s="2165" t="n">
        <v>0</v>
      </c>
      <c r="K881" s="2165" t="n"/>
    </row>
    <row r="882" outlineLevel="2" ht="12.75" customHeight="1">
      <c r="A882" s="1071" t="n">
        <v>1</v>
      </c>
      <c r="B882" s="1071" t="inlineStr">
        <is>
          <t>Serviço</t>
        </is>
      </c>
      <c r="C882" s="1071" t="inlineStr">
        <is>
          <t>Alvenaria de vedacao de blocos ceramicos de 19x19x29cm com argamassa industrializada de assentamento</t>
        </is>
      </c>
      <c r="D882" s="1071" t="inlineStr">
        <is>
          <t>Alvenaria de vedacao de blocos ceramicos de 19x19x29cm com argamassa industrializada de assentamento</t>
        </is>
      </c>
      <c r="E882" s="1072" t="inlineStr">
        <is>
          <t>M2</t>
        </is>
      </c>
      <c r="F882" s="1071" t="n"/>
      <c r="G882" s="1073">
        <f t="array" ref="G882">IF(B882="insumo",_xlfn.XLOOKUP($D882,Insumos!$B$1:$B$996,Insumos!$D$1:$D$996),"")</f>
        <v/>
      </c>
      <c r="H882" s="1073" t="n">
        <v>52.8514285714286</v>
      </c>
      <c r="I882" s="2163" t="n">
        <v>0</v>
      </c>
      <c r="J882" s="2163" t="n">
        <v>0</v>
      </c>
      <c r="K882" s="2163" t="n"/>
    </row>
    <row r="883" outlineLevel="3" ht="12.75" customHeight="1">
      <c r="A883" s="82" t="n">
        <v>1</v>
      </c>
      <c r="B883" s="82" t="inlineStr">
        <is>
          <t>Insumo</t>
        </is>
      </c>
      <c r="C883" s="82" t="inlineStr">
        <is>
          <t>Alvenaria de vedacao de blocos ceramicos de 19x19x29cm com argamassa industrializada de assentamento</t>
        </is>
      </c>
      <c r="D883" s="82" t="inlineStr">
        <is>
          <t>BLOCO DE VEDACAO CERAMICO 19X19X29 CM</t>
        </is>
      </c>
      <c r="E883" s="11">
        <f t="array" ref="E883">_xlfn.XLOOKUP(D883,Insumos!B:B,Insumos!C:$C)</f>
        <v/>
      </c>
      <c r="F883" s="2164">
        <f>ROUNDUP(1/(0.19*0.29),)</f>
        <v/>
      </c>
      <c r="G883" s="92">
        <f t="array" ref="G883">IF(B883="insumo",_xlfn.XLOOKUP($D883,Insumos!$B$1:$B$996,Insumos!$D$1:$D$996),"")</f>
        <v/>
      </c>
      <c r="H883" s="92" t="n">
        <v>44.3514285714286</v>
      </c>
      <c r="I883" s="2165" t="n">
        <v>0</v>
      </c>
      <c r="J883" s="2165" t="n">
        <v>0</v>
      </c>
      <c r="K883" s="2165" t="n"/>
    </row>
    <row r="884" outlineLevel="3" ht="12.75" customHeight="1">
      <c r="A884" s="82" t="n">
        <v>27</v>
      </c>
      <c r="B884" s="82" t="inlineStr">
        <is>
          <t>Insumo</t>
        </is>
      </c>
      <c r="C884" s="82" t="inlineStr">
        <is>
          <t>Alvenaria de vedacao de blocos ceramicos de 19x19x29cm com argamassa industrializada de assentamento</t>
        </is>
      </c>
      <c r="D884" s="82" t="inlineStr">
        <is>
          <t>ARGAMASSA INDUSTRIALIZADA MULTIUSO, PARA REVESTIMENTO INTERNO E EXTERNO E ASSENTAMENTO DE BLOCOS DIVERSOS</t>
        </is>
      </c>
      <c r="E884" s="11">
        <f t="array" ref="E884">_xlfn.XLOOKUP(D884,Insumos!B:B,Insumos!C:$C)</f>
        <v/>
      </c>
      <c r="F884" s="2164" t="n">
        <v>0.02</v>
      </c>
      <c r="G884" s="92">
        <f t="array" ref="G884">IF(B884="insumo",_xlfn.XLOOKUP($D884,Insumos!$B$1:$B$996,Insumos!$D$1:$D$996),"")</f>
        <v/>
      </c>
      <c r="H884" s="92" t="n">
        <v>8.5</v>
      </c>
      <c r="I884" s="2165" t="n">
        <v>0</v>
      </c>
      <c r="J884" s="2165" t="n">
        <v>0</v>
      </c>
      <c r="K884" s="2165" t="n"/>
    </row>
    <row r="885" outlineLevel="2" ht="12.75" customHeight="1">
      <c r="A885" s="1071" t="n">
        <v>1</v>
      </c>
      <c r="B885" s="1071" t="inlineStr">
        <is>
          <t>Serviço</t>
        </is>
      </c>
      <c r="C885" s="1071" t="inlineStr">
        <is>
          <t>Alvenaria de vedacao de blocos ceramicos de 9x19x39cm com argamassa industrializada de assentamento</t>
        </is>
      </c>
      <c r="D885" s="1071" t="inlineStr">
        <is>
          <t>Alvenaria de vedacao de blocos ceramicos de 9x19x39cm com argamassa industrializada de assentamento</t>
        </is>
      </c>
      <c r="E885" s="1072" t="inlineStr">
        <is>
          <t>M2</t>
        </is>
      </c>
      <c r="F885" s="1071" t="n"/>
      <c r="G885" s="1073">
        <f t="array" ref="G885">IF(B885="insumo",_xlfn.XLOOKUP($D885,Insumos!$B$1:$B$996,Insumos!$D$1:$D$996),"")</f>
        <v/>
      </c>
      <c r="H885" s="1073" t="n">
        <v>22.36</v>
      </c>
      <c r="I885" s="2163" t="e">
        <v>#REF!</v>
      </c>
      <c r="J885" s="2163" t="e">
        <v>#REF!</v>
      </c>
      <c r="K885" s="2163" t="n"/>
    </row>
    <row r="886" outlineLevel="3" ht="12.75" customHeight="1">
      <c r="A886" s="82" t="n">
        <v>1</v>
      </c>
      <c r="B886" s="82" t="inlineStr">
        <is>
          <t>Insumo</t>
        </is>
      </c>
      <c r="C886" s="82" t="inlineStr">
        <is>
          <t>Alvenaria de vedacao de blocos ceramicos de 9x19x39cm com argamassa industrializada de assentamento</t>
        </is>
      </c>
      <c r="D886" s="82" t="inlineStr">
        <is>
          <t>BLOCO CERÂMICO - 9X19X39cm</t>
        </is>
      </c>
      <c r="E886" s="11">
        <f t="array" ref="E886">_xlfn.XLOOKUP(D886,Insumos!B:B,Insumos!C:$C)</f>
        <v/>
      </c>
      <c r="F886" s="2164">
        <f>ROUNDUP(1/(0.19*0.39),)</f>
        <v/>
      </c>
      <c r="G886" s="92">
        <f t="array" ref="G886">IF(B886="insumo",_xlfn.XLOOKUP($D886,Insumos!$B$1:$B$996,Insumos!$D$1:$D$996),"")</f>
        <v/>
      </c>
      <c r="H886" s="92" t="n">
        <v>13.86</v>
      </c>
      <c r="I886" s="2165" t="e">
        <v>#REF!</v>
      </c>
      <c r="J886" s="2165" t="e">
        <v>#REF!</v>
      </c>
      <c r="K886" s="2165" t="n"/>
    </row>
    <row r="887" outlineLevel="3" ht="12.75" customHeight="1">
      <c r="A887" s="82" t="n">
        <v>27</v>
      </c>
      <c r="B887" s="82" t="inlineStr">
        <is>
          <t>Insumo</t>
        </is>
      </c>
      <c r="C887" s="82" t="inlineStr">
        <is>
          <t>Alvenaria de vedacao de blocos ceramicos de 9x19x39cm com argamassa industrializada de assentamento</t>
        </is>
      </c>
      <c r="D887" s="82" t="inlineStr">
        <is>
          <t>ARGAMASSA INDUSTRIALIZADA MULTIUSO, PARA REVESTIMENTO INTERNO E EXTERNO E ASSENTAMENTO DE BLOCOS DIVERSOS</t>
        </is>
      </c>
      <c r="E887" s="11">
        <f t="array" ref="E887">_xlfn.XLOOKUP(D887,Insumos!B:B,Insumos!C:$C)</f>
        <v/>
      </c>
      <c r="F887" s="2164" t="n">
        <v>0.02</v>
      </c>
      <c r="G887" s="92">
        <f t="array" ref="G887">IF(B887="insumo",_xlfn.XLOOKUP($D887,Insumos!$B$1:$B$996,Insumos!$D$1:$D$996),"")</f>
        <v/>
      </c>
      <c r="H887" s="92" t="n">
        <v>8.5</v>
      </c>
      <c r="I887" s="2165" t="e">
        <v>#REF!</v>
      </c>
      <c r="J887" s="2165" t="e">
        <v>#REF!</v>
      </c>
      <c r="K887" s="2165" t="n"/>
    </row>
    <row r="888" outlineLevel="2" ht="12.75" customHeight="1">
      <c r="A888" s="1071" t="n">
        <v>1</v>
      </c>
      <c r="B888" s="1071" t="inlineStr">
        <is>
          <t>Serviço</t>
        </is>
      </c>
      <c r="C888" s="1071" t="inlineStr">
        <is>
          <t>Alvenaria de vedacao de blocos ceramicos de 11,5x19x39cm com argamassa industrializada de assentamento</t>
        </is>
      </c>
      <c r="D888" s="1071" t="inlineStr">
        <is>
          <t>Alvenaria de vedacao de blocos ceramicos de 11,5x19x39cm com argamassa industrializada de assentamento</t>
        </is>
      </c>
      <c r="E888" s="1072" t="inlineStr">
        <is>
          <t>M2</t>
        </is>
      </c>
      <c r="F888" s="1071" t="n"/>
      <c r="G888" s="1073">
        <f t="array" ref="G888">IF(B888="insumo",_xlfn.XLOOKUP($D888,Insumos!$B$1:$B$996,Insumos!$D$1:$D$996),"")</f>
        <v/>
      </c>
      <c r="H888" s="1073" t="n">
        <v>24.6</v>
      </c>
      <c r="I888" s="2163" t="e">
        <v>#REF!</v>
      </c>
      <c r="J888" s="2163" t="e">
        <v>#REF!</v>
      </c>
      <c r="K888" s="2163" t="n"/>
    </row>
    <row r="889" outlineLevel="3" ht="12.75" customHeight="1">
      <c r="A889" s="82" t="n">
        <v>1</v>
      </c>
      <c r="B889" s="82" t="inlineStr">
        <is>
          <t>Insumo</t>
        </is>
      </c>
      <c r="C889" s="82" t="inlineStr">
        <is>
          <t>Alvenaria de vedacao de blocos ceramicos de 11,5x19x39cm com argamassa industrializada de assentamento</t>
        </is>
      </c>
      <c r="D889" s="82" t="inlineStr">
        <is>
          <t>BLOCO CERÂMICO - 11,5X19X39cm</t>
        </is>
      </c>
      <c r="E889" s="11">
        <f t="array" ref="E889">_xlfn.XLOOKUP(D889,Insumos!B:B,Insumos!C:$C)</f>
        <v/>
      </c>
      <c r="F889" s="2164">
        <f>ROUNDUP(1/(0.19*0.39),)</f>
        <v/>
      </c>
      <c r="G889" s="92">
        <f t="array" ref="G889">IF(B889="insumo",_xlfn.XLOOKUP($D889,Insumos!$B$1:$B$996,Insumos!$D$1:$D$996),"")</f>
        <v/>
      </c>
      <c r="H889" s="92" t="n">
        <v>16.1</v>
      </c>
      <c r="I889" s="2165" t="e">
        <v>#REF!</v>
      </c>
      <c r="J889" s="2165" t="e">
        <v>#REF!</v>
      </c>
      <c r="K889" s="2165" t="n"/>
    </row>
    <row r="890" outlineLevel="3" ht="12.75" customHeight="1">
      <c r="A890" s="82" t="n">
        <v>27</v>
      </c>
      <c r="B890" s="82" t="inlineStr">
        <is>
          <t>Insumo</t>
        </is>
      </c>
      <c r="C890" s="82" t="inlineStr">
        <is>
          <t>Alvenaria de vedacao de blocos ceramicos de 11,5x19x39cm com argamassa industrializada de assentamento</t>
        </is>
      </c>
      <c r="D890" s="82" t="inlineStr">
        <is>
          <t>ARGAMASSA INDUSTRIALIZADA MULTIUSO, PARA REVESTIMENTO INTERNO E EXTERNO E ASSENTAMENTO DE BLOCOS DIVERSOS</t>
        </is>
      </c>
      <c r="E890" s="11">
        <f t="array" ref="E890">_xlfn.XLOOKUP(D890,Insumos!B:B,Insumos!C:$C)</f>
        <v/>
      </c>
      <c r="F890" s="2164" t="n">
        <v>0.02</v>
      </c>
      <c r="G890" s="92">
        <f t="array" ref="G890">IF(B890="insumo",_xlfn.XLOOKUP($D890,Insumos!$B$1:$B$996,Insumos!$D$1:$D$996),"")</f>
        <v/>
      </c>
      <c r="H890" s="92" t="n">
        <v>8.5</v>
      </c>
      <c r="I890" s="2165" t="e">
        <v>#REF!</v>
      </c>
      <c r="J890" s="2165" t="e">
        <v>#REF!</v>
      </c>
      <c r="K890" s="2165" t="n"/>
    </row>
    <row r="891" outlineLevel="2" ht="12.75" customHeight="1">
      <c r="A891" s="1071" t="n">
        <v>1</v>
      </c>
      <c r="B891" s="1071" t="inlineStr">
        <is>
          <t>Serviço</t>
        </is>
      </c>
      <c r="C891" s="1071" t="inlineStr">
        <is>
          <t>Alvenaria de vedacao de blocos ceramicos de 14x19x39cm com argamassa industrializada de assentamento</t>
        </is>
      </c>
      <c r="D891" s="1071" t="inlineStr">
        <is>
          <t>Alvenaria de vedacao de blocos ceramicos de 14x19x39cm com argamassa industrializada de assentamento</t>
        </is>
      </c>
      <c r="E891" s="1072" t="inlineStr">
        <is>
          <t>M2</t>
        </is>
      </c>
      <c r="F891" s="1071" t="n"/>
      <c r="G891" s="1073">
        <f t="array" ref="G891">IF(B891="insumo",_xlfn.XLOOKUP($D891,Insumos!$B$1:$B$996,Insumos!$D$1:$D$996),"")</f>
        <v/>
      </c>
      <c r="H891" s="1073" t="n">
        <v>28.1</v>
      </c>
      <c r="I891" s="2163" t="n">
        <v>0</v>
      </c>
      <c r="J891" s="2163" t="n">
        <v>0</v>
      </c>
      <c r="K891" s="2163" t="n"/>
    </row>
    <row r="892" outlineLevel="3" ht="12.75" customHeight="1">
      <c r="A892" s="82" t="n">
        <v>2</v>
      </c>
      <c r="B892" s="82" t="inlineStr">
        <is>
          <t>Insumo</t>
        </is>
      </c>
      <c r="C892" s="82" t="inlineStr">
        <is>
          <t>Alvenaria de vedacao de blocos ceramicos de 14x19x39cm com argamassa industrializada de assentamento</t>
        </is>
      </c>
      <c r="D892" s="82" t="inlineStr">
        <is>
          <t>BLOCO CERÂMICO - 14X19X39cm</t>
        </is>
      </c>
      <c r="E892" s="11">
        <f t="array" ref="E892">_xlfn.XLOOKUP(D892,Insumos!B:B,Insumos!C:$C)</f>
        <v/>
      </c>
      <c r="F892" s="2164">
        <f>ROUNDUP(1/(0.19*0.39),)</f>
        <v/>
      </c>
      <c r="G892" s="92">
        <f t="array" ref="G892">IF(B892="insumo",_xlfn.XLOOKUP($D892,Insumos!$B$1:$B$996,Insumos!$D$1:$D$996),"")</f>
        <v/>
      </c>
      <c r="H892" s="92" t="n">
        <v>19.6</v>
      </c>
      <c r="I892" s="2165" t="n">
        <v>0</v>
      </c>
      <c r="J892" s="2165" t="n">
        <v>0</v>
      </c>
      <c r="K892" s="2165" t="n"/>
    </row>
    <row r="893" outlineLevel="3" ht="12.75" customHeight="1">
      <c r="A893" s="82" t="n">
        <v>27</v>
      </c>
      <c r="B893" s="82" t="inlineStr">
        <is>
          <t>Insumo</t>
        </is>
      </c>
      <c r="C893" s="82" t="inlineStr">
        <is>
          <t>Alvenaria de vedacao de blocos ceramicos de 14x19x39cm com argamassa industrializada de assentamento</t>
        </is>
      </c>
      <c r="D893" s="82" t="inlineStr">
        <is>
          <t>ARGAMASSA INDUSTRIALIZADA MULTIUSO, PARA REVESTIMENTO INTERNO E EXTERNO E ASSENTAMENTO DE BLOCOS DIVERSOS</t>
        </is>
      </c>
      <c r="E893" s="11">
        <f t="array" ref="E893">_xlfn.XLOOKUP(D893,Insumos!B:B,Insumos!C:$C)</f>
        <v/>
      </c>
      <c r="F893" s="2164" t="n">
        <v>0.02</v>
      </c>
      <c r="G893" s="92">
        <f t="array" ref="G893">IF(B893="insumo",_xlfn.XLOOKUP($D893,Insumos!$B$1:$B$996,Insumos!$D$1:$D$996),"")</f>
        <v/>
      </c>
      <c r="H893" s="92" t="n">
        <v>8.5</v>
      </c>
      <c r="I893" s="2165" t="n">
        <v>0</v>
      </c>
      <c r="J893" s="2165" t="n">
        <v>0</v>
      </c>
      <c r="K893" s="2165" t="n"/>
    </row>
    <row r="894" outlineLevel="2" ht="12.75" customHeight="1">
      <c r="A894" s="1071" t="n">
        <v>1</v>
      </c>
      <c r="B894" s="1071" t="inlineStr">
        <is>
          <t>Serviço</t>
        </is>
      </c>
      <c r="C894" s="1071" t="inlineStr">
        <is>
          <t>Alvenaria de vedacao de blocos ceramicos de 19x19x39cm com argamassa industrializada de assentamento</t>
        </is>
      </c>
      <c r="D894" s="1071" t="inlineStr">
        <is>
          <t>Alvenaria de vedacao de blocos ceramicos de 19x19x39cm com argamassa industrializada de assentamento</t>
        </is>
      </c>
      <c r="E894" s="1072" t="inlineStr">
        <is>
          <t>M2</t>
        </is>
      </c>
      <c r="F894" s="1071" t="n"/>
      <c r="G894" s="1073">
        <f t="array" ref="G894">IF(B894="insumo",_xlfn.XLOOKUP($D894,Insumos!$B$1:$B$996,Insumos!$D$1:$D$996),"")</f>
        <v/>
      </c>
      <c r="H894" s="1073" t="n">
        <v>35.1</v>
      </c>
      <c r="I894" s="2163" t="e">
        <v>#REF!</v>
      </c>
      <c r="J894" s="2163" t="e">
        <v>#REF!</v>
      </c>
      <c r="K894" s="2163" t="n"/>
    </row>
    <row r="895" outlineLevel="3" ht="12.75" customHeight="1">
      <c r="A895" s="82" t="n">
        <v>1</v>
      </c>
      <c r="B895" s="82" t="inlineStr">
        <is>
          <t>Insumo</t>
        </is>
      </c>
      <c r="C895" s="82" t="inlineStr">
        <is>
          <t>Alvenaria de vedacao de blocos ceramicos de 19x19x39cm com argamassa industrializada de assentamento</t>
        </is>
      </c>
      <c r="D895" s="82" t="inlineStr">
        <is>
          <t>BLOCO CERÂMICO - 19X19X39cm</t>
        </is>
      </c>
      <c r="E895" s="11">
        <f t="array" ref="E895">_xlfn.XLOOKUP(D895,Insumos!B:B,Insumos!C:$C)</f>
        <v/>
      </c>
      <c r="F895" s="2164">
        <f>ROUNDUP(1/(0.19*0.39),)</f>
        <v/>
      </c>
      <c r="G895" s="92">
        <f t="array" ref="G895">IF(B895="insumo",_xlfn.XLOOKUP($D895,Insumos!$B$1:$B$996,Insumos!$D$1:$D$996),"")</f>
        <v/>
      </c>
      <c r="H895" s="92" t="n">
        <v>26.6</v>
      </c>
      <c r="I895" s="2165" t="e">
        <v>#REF!</v>
      </c>
      <c r="J895" s="2165" t="e">
        <v>#REF!</v>
      </c>
      <c r="K895" s="2165" t="n"/>
    </row>
    <row r="896" outlineLevel="3" ht="12.75" customHeight="1">
      <c r="A896" s="82" t="n">
        <v>27</v>
      </c>
      <c r="B896" s="82" t="inlineStr">
        <is>
          <t>Insumo</t>
        </is>
      </c>
      <c r="C896" s="82" t="inlineStr">
        <is>
          <t>Alvenaria de vedacao de blocos ceramicos de 19x19x39cm com argamassa industrializada de assentamento</t>
        </is>
      </c>
      <c r="D896" s="82" t="inlineStr">
        <is>
          <t>ARGAMASSA INDUSTRIALIZADA MULTIUSO, PARA REVESTIMENTO INTERNO E EXTERNO E ASSENTAMENTO DE BLOCOS DIVERSOS</t>
        </is>
      </c>
      <c r="E896" s="11">
        <f t="array" ref="E896">_xlfn.XLOOKUP(D896,Insumos!B:B,Insumos!C:$C)</f>
        <v/>
      </c>
      <c r="F896" s="2164" t="n">
        <v>0.02</v>
      </c>
      <c r="G896" s="92">
        <f t="array" ref="G896">IF(B896="insumo",_xlfn.XLOOKUP($D896,Insumos!$B$1:$B$996,Insumos!$D$1:$D$996),"")</f>
        <v/>
      </c>
      <c r="H896" s="92" t="n">
        <v>8.5</v>
      </c>
      <c r="I896" s="2165" t="e">
        <v>#REF!</v>
      </c>
      <c r="J896" s="2165" t="e">
        <v>#REF!</v>
      </c>
      <c r="K896" s="2165" t="n"/>
    </row>
    <row r="897" outlineLevel="2" ht="15.75" customHeight="1">
      <c r="A897" s="1067" t="n">
        <v>1</v>
      </c>
      <c r="B897" s="1067" t="inlineStr">
        <is>
          <t>Serviço</t>
        </is>
      </c>
      <c r="C897" s="1067" t="inlineStr">
        <is>
          <t>Alvenaria de vedacao de blocos ceramicos maciço de 5,5 cm x 11,5 cm x 24 cm (espessura 5cm) com argamassa industrializada de assentamento</t>
        </is>
      </c>
      <c r="D897" s="1067" t="inlineStr">
        <is>
          <t>Alvenaria de vedacao de blocos ceramicos maciço de 5,5 cm x 11,5 cm x 24 cm (espessura 5cm) com argamassa industrializada de assentamento</t>
        </is>
      </c>
      <c r="E897" s="1068" t="inlineStr">
        <is>
          <t>M2</t>
        </is>
      </c>
      <c r="F897" s="1067" t="n"/>
      <c r="G897" s="1069">
        <f t="array" ref="G897">IF(B897="insumo",_xlfn.XLOOKUP($D897,Insumos!$B$1:$B$996,Insumos!$D$1:$D$996),"")</f>
        <v/>
      </c>
      <c r="H897" s="1069" t="n">
        <v>47.35</v>
      </c>
      <c r="I897" s="2161" t="n">
        <v>0</v>
      </c>
      <c r="J897" s="2161" t="n">
        <v>0</v>
      </c>
      <c r="K897" s="2161" t="n"/>
    </row>
    <row r="898" outlineLevel="3" ht="15.75" customHeight="1">
      <c r="A898" s="10" t="n">
        <v>1</v>
      </c>
      <c r="B898" s="10" t="inlineStr">
        <is>
          <t>Insumo</t>
        </is>
      </c>
      <c r="C898" s="10" t="inlineStr">
        <is>
          <t>Alvenaria de vedacao de blocos ceramicos maciço de 5,5 cm x 11,5 cm x 24 cm (espessura 5cm) com argamassa industrializada de assentamento</t>
        </is>
      </c>
      <c r="D898" s="10" t="inlineStr">
        <is>
          <t>BLOCO DE VEDACAO CERAMICO MACIÇO 5,5X11,5X24 CM</t>
        </is>
      </c>
      <c r="E898" s="11">
        <f t="array" ref="E898">_xlfn.XLOOKUP(D898,Insumos!B:B,Insumos!C:$C)</f>
        <v/>
      </c>
      <c r="F898" s="14">
        <f>ROUNDUP(1/(0.115*0.24),)</f>
        <v/>
      </c>
      <c r="G898" s="92">
        <f t="array" ref="G898">IF(B898="insumo",_xlfn.XLOOKUP($D898,Insumos!$B$1:$B$996,Insumos!$D$1:$D$996),"")</f>
        <v/>
      </c>
      <c r="H898" s="92" t="n">
        <v>38.85</v>
      </c>
      <c r="I898" s="2162" t="n">
        <v>0</v>
      </c>
      <c r="J898" s="2162" t="n">
        <v>0</v>
      </c>
      <c r="K898" s="2162" t="n"/>
    </row>
    <row r="899" outlineLevel="3" ht="15.75" customHeight="1">
      <c r="A899" s="10" t="n">
        <v>27</v>
      </c>
      <c r="B899" s="10" t="inlineStr">
        <is>
          <t>Insumo</t>
        </is>
      </c>
      <c r="C899" s="10" t="inlineStr">
        <is>
          <t>Alvenaria de vedacao de blocos ceramicos maciço de 5,5 cm x 11,5 cm x 24 cm (espessura 5cm) com argamassa industrializada de assentamento</t>
        </is>
      </c>
      <c r="D899" s="10" t="inlineStr">
        <is>
          <t>ARGAMASSA INDUSTRIALIZADA MULTIUSO, PARA REVESTIMENTO INTERNO E EXTERNO E ASSENTAMENTO DE BLOCOS DIVERSOS</t>
        </is>
      </c>
      <c r="E899" s="11">
        <f t="array" ref="E899">_xlfn.XLOOKUP(D899,Insumos!B:B,Insumos!C:$C)</f>
        <v/>
      </c>
      <c r="F899" s="14" t="n">
        <v>0.02</v>
      </c>
      <c r="G899" s="92">
        <f t="array" ref="G899">IF(B899="insumo",_xlfn.XLOOKUP($D899,Insumos!$B$1:$B$996,Insumos!$D$1:$D$996),"")</f>
        <v/>
      </c>
      <c r="H899" s="92" t="n">
        <v>8.5</v>
      </c>
      <c r="I899" s="2162" t="n">
        <v>0</v>
      </c>
      <c r="J899" s="2162" t="n">
        <v>0</v>
      </c>
      <c r="K899" s="2162" t="n"/>
    </row>
    <row r="900" outlineLevel="2" ht="15.75" customHeight="1">
      <c r="A900" s="1067" t="n">
        <v>1</v>
      </c>
      <c r="B900" s="1067" t="inlineStr">
        <is>
          <t>Serviço</t>
        </is>
      </c>
      <c r="C900" s="1067" t="inlineStr">
        <is>
          <t>Alvenaria de vedacao de blocos ceramicos de 19x19x19cm com argamassa industrializada de assentamento</t>
        </is>
      </c>
      <c r="D900" s="1067" t="inlineStr">
        <is>
          <t>Alvenaria de vedacao de blocos ceramicos de 19x19x19cm com argamassa industrializada de assentamento</t>
        </is>
      </c>
      <c r="E900" s="1068" t="inlineStr">
        <is>
          <t>M2</t>
        </is>
      </c>
      <c r="F900" s="1067" t="n"/>
      <c r="G900" s="1069">
        <f t="array" ref="G900">IF(B900="insumo",_xlfn.XLOOKUP($D900,Insumos!$B$1:$B$996,Insumos!$D$1:$D$996),"")</f>
        <v/>
      </c>
      <c r="H900" s="1069" t="n">
        <v>53.02</v>
      </c>
      <c r="I900" s="2161" t="n">
        <v>0</v>
      </c>
      <c r="J900" s="2161" t="n">
        <v>0</v>
      </c>
      <c r="K900" s="2161" t="n"/>
    </row>
    <row r="901" outlineLevel="3" ht="15.75" customHeight="1">
      <c r="A901" s="10" t="n">
        <v>2</v>
      </c>
      <c r="B901" s="10" t="inlineStr">
        <is>
          <t>Insumo</t>
        </is>
      </c>
      <c r="C901" s="10" t="inlineStr">
        <is>
          <t>Alvenaria de vedacao de blocos ceramicos de 19x19x19cm com argamassa industrializada de assentamento</t>
        </is>
      </c>
      <c r="D901" s="10" t="inlineStr">
        <is>
          <t>BLOCO CERÂMICO - 19X19X19cm</t>
        </is>
      </c>
      <c r="E901" s="11">
        <f t="array" ref="E901">_xlfn.XLOOKUP(D901,Insumos!B:B,Insumos!C:$C)</f>
        <v/>
      </c>
      <c r="F901" s="14">
        <f>ROUNDUP(1/(0.19*0.19),)</f>
        <v/>
      </c>
      <c r="G901" s="92">
        <f t="array" ref="G901">IF(B901="insumo",_xlfn.XLOOKUP($D901,Insumos!$B$1:$B$996,Insumos!$D$1:$D$996),"")</f>
        <v/>
      </c>
      <c r="H901" s="92" t="n">
        <v>44.52</v>
      </c>
      <c r="I901" s="2162" t="n">
        <v>0</v>
      </c>
      <c r="J901" s="2162" t="n">
        <v>0</v>
      </c>
      <c r="K901" s="2162" t="n"/>
    </row>
    <row r="902" outlineLevel="3" ht="15.75" customHeight="1">
      <c r="A902" s="10" t="n">
        <v>17</v>
      </c>
      <c r="B902" s="10" t="inlineStr">
        <is>
          <t>Insumo</t>
        </is>
      </c>
      <c r="C902" s="10" t="inlineStr">
        <is>
          <t>Alvenaria de vedacao de blocos ceramicos de 19x19x19cm com argamassa industrializada de assentamento</t>
        </is>
      </c>
      <c r="D902" s="10" t="inlineStr">
        <is>
          <t>ARGAMASSA ESTABILIZADA PARA ASSENTAMENTO</t>
        </is>
      </c>
      <c r="E902" s="11">
        <f t="array" ref="E902">_xlfn.XLOOKUP(D902,Insumos!B:B,Insumos!C:$C)</f>
        <v/>
      </c>
      <c r="F902" s="14" t="n">
        <v>0.02</v>
      </c>
      <c r="G902" s="92">
        <f t="array" ref="G902">IF(B902="insumo",_xlfn.XLOOKUP($D902,Insumos!$B$1:$B$996,Insumos!$D$1:$D$996),"")</f>
        <v/>
      </c>
      <c r="H902" s="92" t="n">
        <v>8.5</v>
      </c>
      <c r="I902" s="2162" t="n">
        <v>0</v>
      </c>
      <c r="J902" s="2162" t="n">
        <v>0</v>
      </c>
      <c r="K902" s="2162" t="n"/>
    </row>
    <row r="903" outlineLevel="2" ht="15.75" customHeight="1">
      <c r="A903" s="1067" t="n">
        <v>1</v>
      </c>
      <c r="B903" s="1067" t="inlineStr">
        <is>
          <t>Serviço</t>
        </is>
      </c>
      <c r="C903" s="1067" t="inlineStr">
        <is>
          <t>Fechamento de Shaft em Alvenaria convencional de 9x19x19cm</t>
        </is>
      </c>
      <c r="D903" s="1067" t="inlineStr">
        <is>
          <t>Fechamento de Shaft em Alvenaria convencional de 9x19x19cm</t>
        </is>
      </c>
      <c r="E903" s="1068" t="inlineStr">
        <is>
          <t>M2</t>
        </is>
      </c>
      <c r="F903" s="1067" t="n"/>
      <c r="G903" s="1069">
        <f t="array" ref="G903">IF(B903="insumo",_xlfn.XLOOKUP($D903,Insumos!$B$1:$B$996,Insumos!$D$1:$D$996),"")</f>
        <v/>
      </c>
      <c r="H903" s="1069" t="n">
        <v>39.985454</v>
      </c>
      <c r="I903" s="2161" t="n">
        <v>0</v>
      </c>
      <c r="J903" s="2161" t="n">
        <v>0</v>
      </c>
      <c r="K903" s="2161" t="n"/>
    </row>
    <row r="904" outlineLevel="3" ht="15.75" customHeight="1">
      <c r="A904" s="10" t="n">
        <v>2</v>
      </c>
      <c r="B904" s="10" t="inlineStr">
        <is>
          <t>Insumo</t>
        </is>
      </c>
      <c r="C904" s="10" t="inlineStr">
        <is>
          <t>Fechamento de Shaft em Alvenaria convencional de 9x19x19cm</t>
        </is>
      </c>
      <c r="D904" s="10" t="inlineStr">
        <is>
          <t>BLOCO CERÂMICO - 9X19X19cm</t>
        </is>
      </c>
      <c r="E904" s="11">
        <f t="array" ref="E904">_xlfn.XLOOKUP(D904,Insumos!B:B,Insumos!C:$C)</f>
        <v/>
      </c>
      <c r="F904" s="14">
        <f>ROUNDUP(1/(0.19*0.19),)</f>
        <v/>
      </c>
      <c r="G904" s="92">
        <f t="array" ref="G904">IF(B904="insumo",_xlfn.XLOOKUP($D904,Insumos!$B$1:$B$996,Insumos!$D$1:$D$996),"")</f>
        <v/>
      </c>
      <c r="H904" s="92" t="n">
        <v>27.72</v>
      </c>
      <c r="I904" s="2162" t="n">
        <v>0</v>
      </c>
      <c r="J904" s="2162" t="n">
        <v>0</v>
      </c>
      <c r="K904" s="2162" t="n"/>
    </row>
    <row r="905" outlineLevel="3" ht="15.75" customHeight="1">
      <c r="A905" s="10" t="n">
        <v>27</v>
      </c>
      <c r="B905" s="10" t="inlineStr">
        <is>
          <t>Insumo</t>
        </is>
      </c>
      <c r="C905" s="10" t="inlineStr">
        <is>
          <t>Fechamento de Shaft em Alvenaria convencional de 9x19x19cm</t>
        </is>
      </c>
      <c r="D905" s="10" t="inlineStr">
        <is>
          <t>ARGAMASSA INDUSTRIALIZADA MULTIUSO, PARA REVESTIMENTO INTERNO E EXTERNO E ASSENTAMENTO DE BLOCOS DIVERSOS</t>
        </is>
      </c>
      <c r="E905" s="11">
        <f t="array" ref="E905">_xlfn.XLOOKUP(D905,Insumos!B:B,Insumos!C:$C)</f>
        <v/>
      </c>
      <c r="F905" s="14" t="n">
        <v>0.02</v>
      </c>
      <c r="G905" s="92">
        <f t="array" ref="G905">IF(B905="insumo",_xlfn.XLOOKUP($D905,Insumos!$B$1:$B$996,Insumos!$D$1:$D$996),"")</f>
        <v/>
      </c>
      <c r="H905" s="92" t="n">
        <v>8.5</v>
      </c>
      <c r="I905" s="2162" t="n">
        <v>0</v>
      </c>
      <c r="J905" s="2162" t="n">
        <v>0</v>
      </c>
      <c r="K905" s="2162" t="n"/>
    </row>
    <row r="906" outlineLevel="3" ht="15.75" customHeight="1">
      <c r="A906" s="10" t="n">
        <v>95</v>
      </c>
      <c r="B906" s="10" t="inlineStr">
        <is>
          <t>Insumo</t>
        </is>
      </c>
      <c r="C906" s="10" t="inlineStr">
        <is>
          <t>Fechamento de Shaft em Alvenaria convencional de 9x19x19cm</t>
        </is>
      </c>
      <c r="D906" s="10" t="inlineStr">
        <is>
          <t>MASSA DE REJUNTE EM PO PARA DRYWALL, A BASE DE GESSO, SECAGEM RAPIDA, PARA TRATAMENTO DE JUNTAS DE CHAPA DE GESSO (NECESSITA ADICAO DE AGUA)</t>
        </is>
      </c>
      <c r="E906" s="11">
        <f t="array" ref="E906">_xlfn.XLOOKUP(D906,Insumos!B:B,Insumos!C:$C)</f>
        <v/>
      </c>
      <c r="F906" s="14" t="n">
        <v>1.0978</v>
      </c>
      <c r="G906" s="92">
        <f t="array" ref="G906">IF(B906="insumo",_xlfn.XLOOKUP($D906,Insumos!$B$1:$B$996,Insumos!$D$1:$D$996),"")</f>
        <v/>
      </c>
      <c r="H906" s="92" t="n">
        <v>3.765454</v>
      </c>
      <c r="I906" s="2162" t="n">
        <v>0</v>
      </c>
      <c r="J906" s="2162" t="n">
        <v>0</v>
      </c>
      <c r="K906" s="2162" t="n"/>
    </row>
    <row r="907" outlineLevel="1" ht="15.75" customHeight="1">
      <c r="A907" s="1090" t="n">
        <v>5</v>
      </c>
      <c r="B907" s="1090" t="inlineStr">
        <is>
          <t>Subetapa</t>
        </is>
      </c>
      <c r="C907" s="1090" t="inlineStr">
        <is>
          <t>Fechamento de Shaft em Alvenaria convencional de 9x19x19cm</t>
        </is>
      </c>
      <c r="D907" s="1090" t="inlineStr">
        <is>
          <t>CONCRETO</t>
        </is>
      </c>
      <c r="E907" s="1091" t="n"/>
      <c r="F907" s="2160" t="n"/>
      <c r="G907" s="1091" t="n"/>
      <c r="H907" s="1091" t="n">
        <v>0</v>
      </c>
      <c r="I907" s="2160" t="n">
        <v>0</v>
      </c>
      <c r="J907" s="2160" t="n">
        <v>0</v>
      </c>
      <c r="K907" s="2160" t="n"/>
    </row>
    <row r="908" outlineLevel="2" ht="15.75" customHeight="1">
      <c r="A908" s="1067" t="n">
        <v>1</v>
      </c>
      <c r="B908" s="1067" t="inlineStr">
        <is>
          <t>Serviço</t>
        </is>
      </c>
      <c r="C908" s="1067" t="inlineStr">
        <is>
          <t>Alvenaria de vedação de blocos de concreto de 09x19x39cm, com argamassa estabilizada</t>
        </is>
      </c>
      <c r="D908" s="1067" t="inlineStr">
        <is>
          <t>Alvenaria de vedação de blocos de concreto de 09x19x39cm, com argamassa estabilizada</t>
        </is>
      </c>
      <c r="E908" s="1068" t="inlineStr">
        <is>
          <t>M2</t>
        </is>
      </c>
      <c r="F908" s="1067" t="n"/>
      <c r="G908" s="1069">
        <f t="array" ref="G908">IF(B908="insumo",_xlfn.XLOOKUP($D908,Insumos!$B$1:$B$996,Insumos!$D$1:$D$996),"")</f>
        <v/>
      </c>
      <c r="H908" s="1069" t="n">
        <v>46.3</v>
      </c>
      <c r="I908" s="2161" t="n">
        <v>0</v>
      </c>
      <c r="J908" s="2161" t="n">
        <v>0</v>
      </c>
      <c r="K908" s="2161" t="n"/>
    </row>
    <row r="909" outlineLevel="3" ht="15.75" customHeight="1">
      <c r="A909" s="10" t="n">
        <v>1</v>
      </c>
      <c r="B909" s="10" t="inlineStr">
        <is>
          <t>Insumo</t>
        </is>
      </c>
      <c r="C909" s="10" t="inlineStr">
        <is>
          <t>Alvenaria de vedação de blocos de concreto de 09x19x39cm, com argamassa estabilizada</t>
        </is>
      </c>
      <c r="D909" s="10" t="inlineStr">
        <is>
          <t>BLOCO DE VEDACAO CONCRETO 09X19X39 CM</t>
        </is>
      </c>
      <c r="E909" s="11">
        <f t="array" ref="E909">_xlfn.XLOOKUP(D909,Insumos!B:B,Insumos!C:$C)</f>
        <v/>
      </c>
      <c r="F909" s="14">
        <f>ROUNDUP(1/(0.19*0.39),)</f>
        <v/>
      </c>
      <c r="G909" s="92">
        <f t="array" ref="G909">IF(B909="insumo",_xlfn.XLOOKUP($D909,Insumos!$B$1:$B$996,Insumos!$D$1:$D$996),"")</f>
        <v/>
      </c>
      <c r="H909" s="92" t="n">
        <v>37.8</v>
      </c>
      <c r="I909" s="2162" t="n">
        <v>0</v>
      </c>
      <c r="J909" s="2162" t="n">
        <v>0</v>
      </c>
      <c r="K909" s="2162" t="n"/>
    </row>
    <row r="910" outlineLevel="3" ht="15.75" customHeight="1">
      <c r="A910" s="10" t="n">
        <v>27</v>
      </c>
      <c r="B910" s="10" t="inlineStr">
        <is>
          <t>Insumo</t>
        </is>
      </c>
      <c r="C910" s="10" t="inlineStr">
        <is>
          <t>Alvenaria de vedação de blocos de concreto de 09x19x39cm, com argamassa estabilizada</t>
        </is>
      </c>
      <c r="D910" s="10" t="inlineStr">
        <is>
          <t>ARGAMASSA INDUSTRIALIZADA MULTIUSO, PARA REVESTIMENTO INTERNO E EXTERNO E ASSENTAMENTO DE BLOCOS DIVERSOS</t>
        </is>
      </c>
      <c r="E910" s="11">
        <f t="array" ref="E910">_xlfn.XLOOKUP(D910,Insumos!B:B,Insumos!C:$C)</f>
        <v/>
      </c>
      <c r="F910" s="14" t="n">
        <v>0.02</v>
      </c>
      <c r="G910" s="92">
        <f t="array" ref="G910">IF(B910="insumo",_xlfn.XLOOKUP($D910,Insumos!$B$1:$B$996,Insumos!$D$1:$D$996),"")</f>
        <v/>
      </c>
      <c r="H910" s="92" t="n">
        <v>8.5</v>
      </c>
      <c r="I910" s="2162" t="n">
        <v>0</v>
      </c>
      <c r="J910" s="2162" t="n">
        <v>0</v>
      </c>
      <c r="K910" s="2162" t="n"/>
    </row>
    <row r="911" outlineLevel="2" ht="15.75" customHeight="1">
      <c r="A911" s="1067" t="n">
        <v>1</v>
      </c>
      <c r="B911" s="1067" t="inlineStr">
        <is>
          <t>Serviço</t>
        </is>
      </c>
      <c r="C911" s="1067" t="inlineStr">
        <is>
          <t>Alvenaria de vedação de blocos de concreto de 11,5x19x39cm, com argamassa estabilizada</t>
        </is>
      </c>
      <c r="D911" s="1067" t="inlineStr">
        <is>
          <t>Alvenaria de vedação de blocos de concreto de 11,5x19x39cm, com argamassa estabilizada</t>
        </is>
      </c>
      <c r="E911" s="1068" t="inlineStr">
        <is>
          <t>M2</t>
        </is>
      </c>
      <c r="F911" s="1067" t="n"/>
      <c r="G911" s="1069">
        <f t="array" ref="G911">IF(B911="insumo",_xlfn.XLOOKUP($D911,Insumos!$B$1:$B$996,Insumos!$D$1:$D$996),"")</f>
        <v/>
      </c>
      <c r="H911" s="1069" t="n">
        <v>56.8</v>
      </c>
      <c r="I911" s="2161" t="n">
        <v>0</v>
      </c>
      <c r="J911" s="2161" t="n">
        <v>0</v>
      </c>
      <c r="K911" s="2161" t="n"/>
    </row>
    <row r="912" outlineLevel="3" ht="15.75" customHeight="1">
      <c r="A912" s="10" t="n">
        <v>1</v>
      </c>
      <c r="B912" s="10" t="inlineStr">
        <is>
          <t>Insumo</t>
        </is>
      </c>
      <c r="C912" s="10" t="inlineStr">
        <is>
          <t>Alvenaria de vedação de blocos de concreto de 11,5x19x39cm, com argamassa estabilizada</t>
        </is>
      </c>
      <c r="D912" s="10" t="inlineStr">
        <is>
          <t>BLOCO DE VEDACAO CONCRETO 11,5X19X39 CM</t>
        </is>
      </c>
      <c r="E912" s="11">
        <f t="array" ref="E912">_xlfn.XLOOKUP(D912,Insumos!B:B,Insumos!C:$C)</f>
        <v/>
      </c>
      <c r="F912" s="14">
        <f>ROUNDUP(1/(0.19*0.39),)</f>
        <v/>
      </c>
      <c r="G912" s="92">
        <f t="array" ref="G912">IF(B912="insumo",_xlfn.XLOOKUP($D912,Insumos!$B$1:$B$996,Insumos!$D$1:$D$996),"")</f>
        <v/>
      </c>
      <c r="H912" s="92" t="n">
        <v>48.3</v>
      </c>
      <c r="I912" s="2162" t="n">
        <v>0</v>
      </c>
      <c r="J912" s="2162" t="n">
        <v>0</v>
      </c>
      <c r="K912" s="2162" t="n"/>
    </row>
    <row r="913" outlineLevel="3" ht="15.75" customHeight="1">
      <c r="A913" s="10" t="n">
        <v>27</v>
      </c>
      <c r="B913" s="10" t="inlineStr">
        <is>
          <t>Insumo</t>
        </is>
      </c>
      <c r="C913" s="10" t="inlineStr">
        <is>
          <t>Alvenaria de vedação de blocos de concreto de 11,5x19x39cm, com argamassa estabilizada</t>
        </is>
      </c>
      <c r="D913" s="10" t="inlineStr">
        <is>
          <t>ARGAMASSA INDUSTRIALIZADA MULTIUSO, PARA REVESTIMENTO INTERNO E EXTERNO E ASSENTAMENTO DE BLOCOS DIVERSOS</t>
        </is>
      </c>
      <c r="E913" s="11">
        <f t="array" ref="E913">_xlfn.XLOOKUP(D913,Insumos!B:B,Insumos!C:$C)</f>
        <v/>
      </c>
      <c r="F913" s="14" t="n">
        <v>0.02</v>
      </c>
      <c r="G913" s="92">
        <f t="array" ref="G913">IF(B913="insumo",_xlfn.XLOOKUP($D913,Insumos!$B$1:$B$996,Insumos!$D$1:$D$996),"")</f>
        <v/>
      </c>
      <c r="H913" s="92" t="n">
        <v>8.5</v>
      </c>
      <c r="I913" s="2162" t="n">
        <v>0</v>
      </c>
      <c r="J913" s="2162" t="n">
        <v>0</v>
      </c>
      <c r="K913" s="2162" t="n"/>
    </row>
    <row r="914" outlineLevel="2" ht="15.75" customHeight="1">
      <c r="A914" s="1067" t="n">
        <v>1</v>
      </c>
      <c r="B914" s="1067" t="inlineStr">
        <is>
          <t>Serviço</t>
        </is>
      </c>
      <c r="C914" s="1067" t="inlineStr">
        <is>
          <t>Alvenaria de vedação de blocos de concreto de 19x19x39cm, com argamassa estabilizada</t>
        </is>
      </c>
      <c r="D914" s="1067" t="inlineStr">
        <is>
          <t>Alvenaria de vedação de blocos de concreto de 19x19x39cm, com argamassa estabilizada</t>
        </is>
      </c>
      <c r="E914" s="1068" t="inlineStr">
        <is>
          <t>M2</t>
        </is>
      </c>
      <c r="F914" s="1067" t="n"/>
      <c r="G914" s="1069">
        <f t="array" ref="G914">IF(B914="insumo",_xlfn.XLOOKUP($D914,Insumos!$B$1:$B$996,Insumos!$D$1:$D$996),"")</f>
        <v/>
      </c>
      <c r="H914" s="1069" t="n">
        <v>88.3</v>
      </c>
      <c r="I914" s="2161" t="n">
        <v>0</v>
      </c>
      <c r="J914" s="2161" t="n">
        <v>0</v>
      </c>
      <c r="K914" s="2161" t="n"/>
    </row>
    <row r="915" outlineLevel="3" ht="15.75" customHeight="1">
      <c r="A915" s="10" t="n">
        <v>1</v>
      </c>
      <c r="B915" s="10" t="inlineStr">
        <is>
          <t>Insumo</t>
        </is>
      </c>
      <c r="C915" s="10" t="inlineStr">
        <is>
          <t>Alvenaria de vedação de blocos de concreto de 19x19x39cm, com argamassa estabilizada</t>
        </is>
      </c>
      <c r="D915" s="10" t="inlineStr">
        <is>
          <t>BLOCO DE VEDACAO CONCRETO 19X19X39 CM</t>
        </is>
      </c>
      <c r="E915" s="11">
        <f t="array" ref="E915">_xlfn.XLOOKUP(D915,Insumos!B:B,Insumos!C:$C)</f>
        <v/>
      </c>
      <c r="F915" s="14">
        <f>ROUNDUP(1/(0.19*0.39),)</f>
        <v/>
      </c>
      <c r="G915" s="92">
        <f t="array" ref="G915">IF(B915="insumo",_xlfn.XLOOKUP($D915,Insumos!$B$1:$B$996,Insumos!$D$1:$D$996),"")</f>
        <v/>
      </c>
      <c r="H915" s="92" t="n">
        <v>79.8</v>
      </c>
      <c r="I915" s="2162" t="n">
        <v>0</v>
      </c>
      <c r="J915" s="2162" t="n">
        <v>0</v>
      </c>
      <c r="K915" s="2162" t="n"/>
    </row>
    <row r="916" outlineLevel="3" ht="15.75" customHeight="1">
      <c r="A916" s="10" t="n">
        <v>27</v>
      </c>
      <c r="B916" s="10" t="inlineStr">
        <is>
          <t>Insumo</t>
        </is>
      </c>
      <c r="C916" s="10" t="inlineStr">
        <is>
          <t>Alvenaria de vedação de blocos de concreto de 19x19x39cm, com argamassa estabilizada</t>
        </is>
      </c>
      <c r="D916" s="10" t="inlineStr">
        <is>
          <t>ARGAMASSA INDUSTRIALIZADA MULTIUSO, PARA REVESTIMENTO INTERNO E EXTERNO E ASSENTAMENTO DE BLOCOS DIVERSOS</t>
        </is>
      </c>
      <c r="E916" s="11">
        <f t="array" ref="E916">_xlfn.XLOOKUP(D916,Insumos!B:B,Insumos!C:$C)</f>
        <v/>
      </c>
      <c r="F916" s="14" t="n">
        <v>0.02</v>
      </c>
      <c r="G916" s="92">
        <f t="array" ref="G916">IF(B916="insumo",_xlfn.XLOOKUP($D916,Insumos!$B$1:$B$996,Insumos!$D$1:$D$996),"")</f>
        <v/>
      </c>
      <c r="H916" s="92" t="n">
        <v>8.5</v>
      </c>
      <c r="I916" s="2162" t="n">
        <v>0</v>
      </c>
      <c r="J916" s="2162" t="n">
        <v>0</v>
      </c>
      <c r="K916" s="2162" t="n"/>
    </row>
    <row r="917" outlineLevel="1" ht="15.75" customHeight="1">
      <c r="A917" s="1090" t="n">
        <v>1</v>
      </c>
      <c r="B917" s="1090" t="inlineStr">
        <is>
          <t>Subetapa</t>
        </is>
      </c>
      <c r="C917" s="1090" t="inlineStr">
        <is>
          <t>Alvenaria de vedação de blocos de concreto de 19x19x39cm, com argamassa estabilizada</t>
        </is>
      </c>
      <c r="D917" s="1090" t="inlineStr">
        <is>
          <t>CERÂMICO CORTA FOGO</t>
        </is>
      </c>
      <c r="E917" s="1091" t="n"/>
      <c r="F917" s="2160" t="n"/>
      <c r="G917" s="1091" t="n"/>
      <c r="H917" s="1091" t="n">
        <v>0</v>
      </c>
      <c r="I917" s="2160" t="n">
        <v>0</v>
      </c>
      <c r="J917" s="2160" t="n">
        <v>0</v>
      </c>
      <c r="K917" s="2160" t="n"/>
    </row>
    <row r="918" outlineLevel="2" ht="12.75" customHeight="1">
      <c r="A918" s="1071" t="n">
        <v>1</v>
      </c>
      <c r="B918" s="1071" t="inlineStr">
        <is>
          <t>Serviço</t>
        </is>
      </c>
      <c r="C918" s="1071" t="inlineStr">
        <is>
          <t>Alvenaria de vedação de Bloco cerâmico corta-fogo de 09x19x39cm, com argamassa estabilizada</t>
        </is>
      </c>
      <c r="D918" s="1071" t="inlineStr">
        <is>
          <t>Alvenaria de vedação de Bloco cerâmico corta-fogo de 09x19x39cm, com argamassa estabilizada</t>
        </is>
      </c>
      <c r="E918" s="1072" t="inlineStr">
        <is>
          <t>M2</t>
        </is>
      </c>
      <c r="F918" s="1071" t="n"/>
      <c r="G918" s="1073">
        <f t="array" ref="G918">IF(B918="insumo",_xlfn.XLOOKUP($D918,Insumos!$B$1:$B$996,Insumos!$D$1:$D$996),"")</f>
        <v/>
      </c>
      <c r="H918" s="1073" t="n">
        <v>75.7</v>
      </c>
      <c r="I918" s="2163" t="n">
        <v>0</v>
      </c>
      <c r="J918" s="2163" t="n">
        <v>0</v>
      </c>
      <c r="K918" s="2163" t="n"/>
    </row>
    <row r="919" outlineLevel="3" ht="12.75" customHeight="1">
      <c r="A919" s="82" t="n">
        <v>1</v>
      </c>
      <c r="B919" s="82" t="inlineStr">
        <is>
          <t>Insumo</t>
        </is>
      </c>
      <c r="C919" s="82" t="inlineStr">
        <is>
          <t>Alvenaria de vedação de Bloco cerâmico corta-fogo de 09x19x39cm, com argamassa estabilizada</t>
        </is>
      </c>
      <c r="D919" s="82" t="inlineStr">
        <is>
          <t>BLOCO DE CERÂMICO CORTA-FOGO  09X19X39 CM</t>
        </is>
      </c>
      <c r="E919" s="11">
        <f t="array" ref="E919">_xlfn.XLOOKUP(D919,Insumos!B:B,Insumos!C:$C)</f>
        <v/>
      </c>
      <c r="F919" s="2164">
        <f>ROUNDUP(1/(0.19*0.39),)</f>
        <v/>
      </c>
      <c r="G919" s="92">
        <f t="array" ref="G919">IF(B919="insumo",_xlfn.XLOOKUP($D919,Insumos!$B$1:$B$996,Insumos!$D$1:$D$996),"")</f>
        <v/>
      </c>
      <c r="H919" s="92" t="n">
        <v>67.2</v>
      </c>
      <c r="I919" s="2165" t="n">
        <v>0</v>
      </c>
      <c r="J919" s="2165" t="n">
        <v>0</v>
      </c>
      <c r="K919" s="2165" t="n"/>
    </row>
    <row r="920" outlineLevel="3" ht="12.75" customHeight="1">
      <c r="A920" s="82" t="n">
        <v>27</v>
      </c>
      <c r="B920" s="82" t="inlineStr">
        <is>
          <t>Insumo</t>
        </is>
      </c>
      <c r="C920" s="82" t="inlineStr">
        <is>
          <t>Alvenaria de vedação de Bloco cerâmico corta-fogo de 09x19x39cm, com argamassa estabilizada</t>
        </is>
      </c>
      <c r="D920" s="82" t="inlineStr">
        <is>
          <t>ARGAMASSA INDUSTRIALIZADA MULTIUSO, PARA REVESTIMENTO INTERNO E EXTERNO E ASSENTAMENTO DE BLOCOS DIVERSOS</t>
        </is>
      </c>
      <c r="E920" s="11">
        <f t="array" ref="E920">_xlfn.XLOOKUP(D920,Insumos!B:B,Insumos!C:$C)</f>
        <v/>
      </c>
      <c r="F920" s="2164" t="n">
        <v>0.02</v>
      </c>
      <c r="G920" s="92">
        <f t="array" ref="G920">IF(B920="insumo",_xlfn.XLOOKUP($D920,Insumos!$B$1:$B$996,Insumos!$D$1:$D$996),"")</f>
        <v/>
      </c>
      <c r="H920" s="92" t="n">
        <v>8.5</v>
      </c>
      <c r="I920" s="2165" t="n">
        <v>0</v>
      </c>
      <c r="J920" s="2165" t="n">
        <v>0</v>
      </c>
      <c r="K920" s="2165" t="n"/>
    </row>
    <row r="921" outlineLevel="2" ht="12.75" customHeight="1">
      <c r="A921" s="1071" t="n">
        <v>1</v>
      </c>
      <c r="B921" s="1071" t="inlineStr">
        <is>
          <t>Serviço</t>
        </is>
      </c>
      <c r="C921" s="1071" t="inlineStr">
        <is>
          <t>Alvenaria de vedação de Bloco cerâmico corta-fogo de 14x19x39cm, com argamassa estabilizada</t>
        </is>
      </c>
      <c r="D921" s="1071" t="inlineStr">
        <is>
          <t>Alvenaria de vedação de Bloco cerâmico corta-fogo de 14x19x39cm, com argamassa estabilizada</t>
        </is>
      </c>
      <c r="E921" s="1072" t="inlineStr">
        <is>
          <t>M2</t>
        </is>
      </c>
      <c r="F921" s="1071" t="n"/>
      <c r="G921" s="1073">
        <f t="array" ref="G921">IF(B921="insumo",_xlfn.XLOOKUP($D921,Insumos!$B$1:$B$996,Insumos!$D$1:$D$996),"")</f>
        <v/>
      </c>
      <c r="H921" s="1073" t="n">
        <v>103.7</v>
      </c>
      <c r="I921" s="2163" t="n">
        <v>0</v>
      </c>
      <c r="J921" s="2163" t="n">
        <v>0</v>
      </c>
      <c r="K921" s="2163" t="n"/>
    </row>
    <row r="922" outlineLevel="3" ht="12.75" customHeight="1">
      <c r="A922" s="82" t="n">
        <v>1</v>
      </c>
      <c r="B922" s="82" t="inlineStr">
        <is>
          <t>Insumo</t>
        </is>
      </c>
      <c r="C922" s="82" t="inlineStr">
        <is>
          <t>Alvenaria de vedação de Bloco cerâmico corta-fogo de 14x19x39cm, com argamassa estabilizada</t>
        </is>
      </c>
      <c r="D922" s="82" t="inlineStr">
        <is>
          <t>BLOCO DE CERÂMICO CORTA-FOGO  14X19X39 CM</t>
        </is>
      </c>
      <c r="E922" s="11">
        <f t="array" ref="E922">_xlfn.XLOOKUP(D922,Insumos!B:B,Insumos!C:$C)</f>
        <v/>
      </c>
      <c r="F922" s="2164">
        <f>ROUNDUP(1/(0.19*0.39),)</f>
        <v/>
      </c>
      <c r="G922" s="92">
        <f t="array" ref="G922">IF(B922="insumo",_xlfn.XLOOKUP($D922,Insumos!$B$1:$B$996,Insumos!$D$1:$D$996),"")</f>
        <v/>
      </c>
      <c r="H922" s="92" t="n">
        <v>95.2</v>
      </c>
      <c r="I922" s="2165" t="n">
        <v>0</v>
      </c>
      <c r="J922" s="2165" t="n">
        <v>0</v>
      </c>
      <c r="K922" s="2165" t="n"/>
    </row>
    <row r="923" outlineLevel="3" ht="12.75" customHeight="1">
      <c r="A923" s="82" t="n">
        <v>27</v>
      </c>
      <c r="B923" s="82" t="inlineStr">
        <is>
          <t>Insumo</t>
        </is>
      </c>
      <c r="C923" s="82" t="inlineStr">
        <is>
          <t>Alvenaria de vedação de Bloco cerâmico corta-fogo de 14x19x39cm, com argamassa estabilizada</t>
        </is>
      </c>
      <c r="D923" s="82" t="inlineStr">
        <is>
          <t>ARGAMASSA INDUSTRIALIZADA MULTIUSO, PARA REVESTIMENTO INTERNO E EXTERNO E ASSENTAMENTO DE BLOCOS DIVERSOS</t>
        </is>
      </c>
      <c r="E923" s="11">
        <f t="array" ref="E923">_xlfn.XLOOKUP(D923,Insumos!B:B,Insumos!C:$C)</f>
        <v/>
      </c>
      <c r="F923" s="2164" t="n">
        <v>0.02</v>
      </c>
      <c r="G923" s="92">
        <f t="array" ref="G923">IF(B923="insumo",_xlfn.XLOOKUP($D923,Insumos!$B$1:$B$996,Insumos!$D$1:$D$996),"")</f>
        <v/>
      </c>
      <c r="H923" s="92" t="n">
        <v>8.5</v>
      </c>
      <c r="I923" s="2165" t="n">
        <v>0</v>
      </c>
      <c r="J923" s="2165" t="n">
        <v>0</v>
      </c>
      <c r="K923" s="2165" t="n"/>
    </row>
    <row r="924" outlineLevel="2" ht="12.75" customHeight="1">
      <c r="A924" s="1071" t="n">
        <v>1</v>
      </c>
      <c r="B924" s="1071" t="inlineStr">
        <is>
          <t>Serviço</t>
        </is>
      </c>
      <c r="C924" s="1071" t="inlineStr">
        <is>
          <t>Alvenaria de vedação de Bloco cerâmico corta-fogo com densidade acustica reforçada de 14x19x39cm, com argamassa estabilizada</t>
        </is>
      </c>
      <c r="D924" s="1071" t="inlineStr">
        <is>
          <t>Alvenaria de vedação de Bloco cerâmico corta-fogo com densidade acustica reforçada de 14x19x39cm, com argamassa estabilizada</t>
        </is>
      </c>
      <c r="E924" s="1072" t="inlineStr">
        <is>
          <t>M2</t>
        </is>
      </c>
      <c r="F924" s="1071" t="n"/>
      <c r="G924" s="1073">
        <f t="array" ref="G924">IF(B924="insumo",_xlfn.XLOOKUP($D924,Insumos!$B$1:$B$996,Insumos!$D$1:$D$996),"")</f>
        <v/>
      </c>
      <c r="H924" s="1073" t="n">
        <v>145.7</v>
      </c>
      <c r="I924" s="2163" t="n">
        <v>0</v>
      </c>
      <c r="J924" s="2163" t="n">
        <v>0</v>
      </c>
      <c r="K924" s="2163" t="n"/>
    </row>
    <row r="925" outlineLevel="3" ht="12.75" customHeight="1">
      <c r="A925" s="82" t="n">
        <v>1</v>
      </c>
      <c r="B925" s="82" t="inlineStr">
        <is>
          <t>Insumo</t>
        </is>
      </c>
      <c r="C925" s="82" t="inlineStr">
        <is>
          <t>Alvenaria de vedação de Bloco cerâmico corta-fogo com densidade acustica reforçada de 14x19x39cm, com argamassa estabilizada</t>
        </is>
      </c>
      <c r="D925" s="82" t="inlineStr">
        <is>
          <t>BLOCO DE CERÂMICO CORTA-FOGO ACUSTICA REFORÇADO  14X19X39 CM</t>
        </is>
      </c>
      <c r="E925" s="11">
        <f t="array" ref="E925">_xlfn.XLOOKUP(D925,Insumos!B:B,Insumos!C:$C)</f>
        <v/>
      </c>
      <c r="F925" s="2164">
        <f>ROUNDUP(1/(0.19*0.39),)</f>
        <v/>
      </c>
      <c r="G925" s="92">
        <f t="array" ref="G925">IF(B925="insumo",_xlfn.XLOOKUP($D925,Insumos!$B$1:$B$996,Insumos!$D$1:$D$996),"")</f>
        <v/>
      </c>
      <c r="H925" s="92" t="n">
        <v>137.2</v>
      </c>
      <c r="I925" s="2165" t="n">
        <v>0</v>
      </c>
      <c r="J925" s="2165" t="n">
        <v>0</v>
      </c>
      <c r="K925" s="2165" t="n"/>
    </row>
    <row r="926" outlineLevel="3" ht="12.75" customHeight="1">
      <c r="A926" s="82" t="n">
        <v>27</v>
      </c>
      <c r="B926" s="82" t="inlineStr">
        <is>
          <t>Insumo</t>
        </is>
      </c>
      <c r="C926" s="82" t="inlineStr">
        <is>
          <t>Alvenaria de vedação de Bloco cerâmico corta-fogo com densidade acustica reforçada de 14x19x39cm, com argamassa estabilizada</t>
        </is>
      </c>
      <c r="D926" s="82" t="inlineStr">
        <is>
          <t>ARGAMASSA INDUSTRIALIZADA MULTIUSO, PARA REVESTIMENTO INTERNO E EXTERNO E ASSENTAMENTO DE BLOCOS DIVERSOS</t>
        </is>
      </c>
      <c r="E926" s="11">
        <f t="array" ref="E926">_xlfn.XLOOKUP(D926,Insumos!B:B,Insumos!C:$C)</f>
        <v/>
      </c>
      <c r="F926" s="2164" t="n">
        <v>0.02</v>
      </c>
      <c r="G926" s="92">
        <f t="array" ref="G926">IF(B926="insumo",_xlfn.XLOOKUP($D926,Insumos!$B$1:$B$996,Insumos!$D$1:$D$996),"")</f>
        <v/>
      </c>
      <c r="H926" s="92" t="n">
        <v>8.5</v>
      </c>
      <c r="I926" s="2165" t="n">
        <v>0</v>
      </c>
      <c r="J926" s="2165" t="n">
        <v>0</v>
      </c>
      <c r="K926" s="2165" t="n"/>
    </row>
    <row r="927" outlineLevel="2" ht="12.75" customHeight="1">
      <c r="A927" s="1071" t="n">
        <v>1</v>
      </c>
      <c r="B927" s="1071" t="inlineStr">
        <is>
          <t>Serviço</t>
        </is>
      </c>
      <c r="C927" s="1071" t="inlineStr">
        <is>
          <t>Alvenaria de vedação de Bloco cerâmico corta-fogo de 19x19x39cm, com argamassa estabilizada</t>
        </is>
      </c>
      <c r="D927" s="1071" t="inlineStr">
        <is>
          <t>Alvenaria de vedação de Bloco cerâmico corta-fogo de 19x19x39cm, com argamassa estabilizada</t>
        </is>
      </c>
      <c r="E927" s="1072" t="inlineStr">
        <is>
          <t>M2</t>
        </is>
      </c>
      <c r="F927" s="1071" t="n"/>
      <c r="G927" s="1073">
        <f t="array" ref="G927">IF(B927="insumo",_xlfn.XLOOKUP($D927,Insumos!$B$1:$B$996,Insumos!$D$1:$D$996),"")</f>
        <v/>
      </c>
      <c r="H927" s="1073" t="n">
        <v>127.5</v>
      </c>
      <c r="I927" s="2163" t="e">
        <v>#REF!</v>
      </c>
      <c r="J927" s="2163" t="e">
        <v>#REF!</v>
      </c>
      <c r="K927" s="2163" t="n"/>
    </row>
    <row r="928" outlineLevel="3" ht="12.75" customHeight="1">
      <c r="A928" s="82" t="n">
        <v>1</v>
      </c>
      <c r="B928" s="82" t="inlineStr">
        <is>
          <t>Insumo</t>
        </is>
      </c>
      <c r="C928" s="82" t="inlineStr">
        <is>
          <t>Alvenaria de vedação de Bloco cerâmico corta-fogo de 19x19x39cm, com argamassa estabilizada</t>
        </is>
      </c>
      <c r="D928" s="82" t="inlineStr">
        <is>
          <t>BLOCO DE CERÂMICO CORTA-FOGO  19X19X39 CM</t>
        </is>
      </c>
      <c r="E928" s="11">
        <f t="array" ref="E928">_xlfn.XLOOKUP(D928,Insumos!B:B,Insumos!C:$C)</f>
        <v/>
      </c>
      <c r="F928" s="2164">
        <f>ROUNDUP(1/(0.19*0.39),)</f>
        <v/>
      </c>
      <c r="G928" s="92">
        <f t="array" ref="G928">IF(B928="insumo",_xlfn.XLOOKUP($D928,Insumos!$B$1:$B$996,Insumos!$D$1:$D$996),"")</f>
        <v/>
      </c>
      <c r="H928" s="92" t="n">
        <v>119</v>
      </c>
      <c r="I928" s="2165" t="e">
        <v>#REF!</v>
      </c>
      <c r="J928" s="2165" t="e">
        <v>#REF!</v>
      </c>
      <c r="K928" s="2165" t="n"/>
    </row>
    <row r="929" outlineLevel="3" ht="12.75" customHeight="1">
      <c r="A929" s="82" t="n">
        <v>27</v>
      </c>
      <c r="B929" s="82" t="inlineStr">
        <is>
          <t>Insumo</t>
        </is>
      </c>
      <c r="C929" s="82" t="inlineStr">
        <is>
          <t>Alvenaria de vedação de Bloco cerâmico corta-fogo de 19x19x39cm, com argamassa estabilizada</t>
        </is>
      </c>
      <c r="D929" s="82" t="inlineStr">
        <is>
          <t>ARGAMASSA INDUSTRIALIZADA MULTIUSO, PARA REVESTIMENTO INTERNO E EXTERNO E ASSENTAMENTO DE BLOCOS DIVERSOS</t>
        </is>
      </c>
      <c r="E929" s="11">
        <f t="array" ref="E929">_xlfn.XLOOKUP(D929,Insumos!B:B,Insumos!C:$C)</f>
        <v/>
      </c>
      <c r="F929" s="2164" t="n">
        <v>0.02</v>
      </c>
      <c r="G929" s="92">
        <f t="array" ref="G929">IF(B929="insumo",_xlfn.XLOOKUP($D929,Insumos!$B$1:$B$996,Insumos!$D$1:$D$996),"")</f>
        <v/>
      </c>
      <c r="H929" s="92" t="n">
        <v>8.5</v>
      </c>
      <c r="I929" s="2165" t="e">
        <v>#REF!</v>
      </c>
      <c r="J929" s="2165" t="e">
        <v>#REF!</v>
      </c>
      <c r="K929" s="2165" t="n"/>
    </row>
    <row r="930" outlineLevel="1" ht="15.75" customHeight="1">
      <c r="A930" s="1090" t="n">
        <v>1</v>
      </c>
      <c r="B930" s="1090" t="inlineStr">
        <is>
          <t>Subetapa</t>
        </is>
      </c>
      <c r="C930" s="1090" t="inlineStr">
        <is>
          <t>Alvenaria de vedação de Bloco cerâmico corta-fogo de 19x19x39cm, com argamassa estabilizada</t>
        </is>
      </c>
      <c r="D930" s="1090" t="inlineStr">
        <is>
          <t>CONCRETO CORTA FOGO</t>
        </is>
      </c>
      <c r="E930" s="1091" t="n"/>
      <c r="F930" s="2160" t="n"/>
      <c r="G930" s="1091" t="n"/>
      <c r="H930" s="1091" t="n">
        <v>0</v>
      </c>
      <c r="I930" s="2160" t="n">
        <v>0</v>
      </c>
      <c r="J930" s="2160" t="n">
        <v>0</v>
      </c>
      <c r="K930" s="2160" t="n"/>
    </row>
    <row r="931" outlineLevel="2" ht="12.75" customHeight="1">
      <c r="A931" s="1071" t="n">
        <v>1</v>
      </c>
      <c r="B931" s="1071" t="inlineStr">
        <is>
          <t>Serviço</t>
        </is>
      </c>
      <c r="C931" s="1071" t="inlineStr">
        <is>
          <t>Alvenaria de vedação de Bloco concreto corta-fogo de 09x19x39cm, com argamassa estabilizada</t>
        </is>
      </c>
      <c r="D931" s="1071" t="inlineStr">
        <is>
          <t>Alvenaria de vedação de Bloco concreto corta-fogo de 09x19x39cm, com argamassa estabilizada</t>
        </is>
      </c>
      <c r="E931" s="1072" t="inlineStr">
        <is>
          <t>M2</t>
        </is>
      </c>
      <c r="F931" s="1071" t="n"/>
      <c r="G931" s="1073">
        <f t="array" ref="G931">IF(B931="insumo",_xlfn.XLOOKUP($D931,Insumos!$B$1:$B$996,Insumos!$D$1:$D$996),"")</f>
        <v/>
      </c>
      <c r="H931" s="1073" t="n">
        <v>71.5</v>
      </c>
      <c r="I931" s="2163" t="n">
        <v>0</v>
      </c>
      <c r="J931" s="2163" t="n">
        <v>0</v>
      </c>
      <c r="K931" s="2163" t="n"/>
    </row>
    <row r="932" outlineLevel="3" ht="12.75" customHeight="1">
      <c r="A932" s="82" t="n">
        <v>1</v>
      </c>
      <c r="B932" s="82" t="inlineStr">
        <is>
          <t>Insumo</t>
        </is>
      </c>
      <c r="C932" s="82" t="inlineStr">
        <is>
          <t>Alvenaria de vedação de Bloco concreto corta-fogo de 09x19x39cm, com argamassa estabilizada</t>
        </is>
      </c>
      <c r="D932" s="82" t="inlineStr">
        <is>
          <t>BLOCO DE concreto CORTA-FOGO  09X19X39 CM</t>
        </is>
      </c>
      <c r="E932" s="11">
        <f t="array" ref="E932">_xlfn.XLOOKUP(D932,Insumos!B:B,Insumos!C:$C)</f>
        <v/>
      </c>
      <c r="F932" s="2164">
        <f>ROUNDUP(1/(0.19*0.39),)</f>
        <v/>
      </c>
      <c r="G932" s="92">
        <f t="array" ref="G932">IF(B932="insumo",_xlfn.XLOOKUP($D932,Insumos!$B$1:$B$996,Insumos!$D$1:$D$996),"")</f>
        <v/>
      </c>
      <c r="H932" s="92" t="n">
        <v>63</v>
      </c>
      <c r="I932" s="2165" t="n">
        <v>0</v>
      </c>
      <c r="J932" s="2165" t="n">
        <v>0</v>
      </c>
      <c r="K932" s="2165" t="n"/>
    </row>
    <row r="933" outlineLevel="3" ht="12.75" customHeight="1">
      <c r="A933" s="82" t="n">
        <v>27</v>
      </c>
      <c r="B933" s="82" t="inlineStr">
        <is>
          <t>Insumo</t>
        </is>
      </c>
      <c r="C933" s="82" t="inlineStr">
        <is>
          <t>Alvenaria de vedação de Bloco concreto corta-fogo de 09x19x39cm, com argamassa estabilizada</t>
        </is>
      </c>
      <c r="D933" s="82" t="inlineStr">
        <is>
          <t>ARGAMASSA INDUSTRIALIZADA MULTIUSO, PARA REVESTIMENTO INTERNO E EXTERNO E ASSENTAMENTO DE BLOCOS DIVERSOS</t>
        </is>
      </c>
      <c r="E933" s="11">
        <f t="array" ref="E933">_xlfn.XLOOKUP(D933,Insumos!B:B,Insumos!C:$C)</f>
        <v/>
      </c>
      <c r="F933" s="2164" t="n">
        <v>0.02</v>
      </c>
      <c r="G933" s="92">
        <f t="array" ref="G933">IF(B933="insumo",_xlfn.XLOOKUP($D933,Insumos!$B$1:$B$996,Insumos!$D$1:$D$996),"")</f>
        <v/>
      </c>
      <c r="H933" s="92" t="n">
        <v>8.5</v>
      </c>
      <c r="I933" s="2165" t="n">
        <v>0</v>
      </c>
      <c r="J933" s="2165" t="n">
        <v>0</v>
      </c>
      <c r="K933" s="2165" t="n"/>
    </row>
    <row r="934" outlineLevel="2" ht="12.75" customHeight="1">
      <c r="A934" s="1071" t="n">
        <v>1</v>
      </c>
      <c r="B934" s="1071" t="inlineStr">
        <is>
          <t>Serviço</t>
        </is>
      </c>
      <c r="C934" s="1071" t="inlineStr">
        <is>
          <t>Alvenaria de vedação de Bloco concreto corta-fogo de 14x19x39cm, com argamassa estabilizada</t>
        </is>
      </c>
      <c r="D934" s="1071" t="inlineStr">
        <is>
          <t>Alvenaria de vedação de Bloco concreto corta-fogo de 14x19x39cm, com argamassa estabilizada</t>
        </is>
      </c>
      <c r="E934" s="1072" t="inlineStr">
        <is>
          <t>M2</t>
        </is>
      </c>
      <c r="F934" s="1071" t="n"/>
      <c r="G934" s="1073">
        <f t="array" ref="G934">IF(B934="insumo",_xlfn.XLOOKUP($D934,Insumos!$B$1:$B$996,Insumos!$D$1:$D$996),"")</f>
        <v/>
      </c>
      <c r="H934" s="1073" t="n">
        <v>99.5</v>
      </c>
      <c r="I934" s="2163" t="n">
        <v>0</v>
      </c>
      <c r="J934" s="2163" t="n">
        <v>0</v>
      </c>
      <c r="K934" s="2163" t="n"/>
    </row>
    <row r="935" outlineLevel="3" ht="12.75" customHeight="1">
      <c r="A935" s="82" t="n">
        <v>1</v>
      </c>
      <c r="B935" s="82" t="inlineStr">
        <is>
          <t>Insumo</t>
        </is>
      </c>
      <c r="C935" s="82" t="inlineStr">
        <is>
          <t>Alvenaria de vedação de Bloco concreto corta-fogo de 14x19x39cm, com argamassa estabilizada</t>
        </is>
      </c>
      <c r="D935" s="82" t="inlineStr">
        <is>
          <t>BLOCO DE concreto CORTA-FOGO  14X19X39 CM</t>
        </is>
      </c>
      <c r="E935" s="11">
        <f t="array" ref="E935">_xlfn.XLOOKUP(D935,Insumos!B:B,Insumos!C:$C)</f>
        <v/>
      </c>
      <c r="F935" s="2164">
        <f>ROUNDUP(1/(0.19*0.39),)</f>
        <v/>
      </c>
      <c r="G935" s="92">
        <f t="array" ref="G935">IF(B935="insumo",_xlfn.XLOOKUP($D935,Insumos!$B$1:$B$996,Insumos!$D$1:$D$996),"")</f>
        <v/>
      </c>
      <c r="H935" s="92" t="n">
        <v>91</v>
      </c>
      <c r="I935" s="2165" t="n">
        <v>0</v>
      </c>
      <c r="J935" s="2165" t="n">
        <v>0</v>
      </c>
      <c r="K935" s="2165" t="n"/>
    </row>
    <row r="936" outlineLevel="3" ht="12.75" customHeight="1">
      <c r="A936" s="82" t="n">
        <v>27</v>
      </c>
      <c r="B936" s="82" t="inlineStr">
        <is>
          <t>Insumo</t>
        </is>
      </c>
      <c r="C936" s="82" t="inlineStr">
        <is>
          <t>Alvenaria de vedação de Bloco concreto corta-fogo de 14x19x39cm, com argamassa estabilizada</t>
        </is>
      </c>
      <c r="D936" s="82" t="inlineStr">
        <is>
          <t>ARGAMASSA INDUSTRIALIZADA MULTIUSO, PARA REVESTIMENTO INTERNO E EXTERNO E ASSENTAMENTO DE BLOCOS DIVERSOS</t>
        </is>
      </c>
      <c r="E936" s="11">
        <f t="array" ref="E936">_xlfn.XLOOKUP(D936,Insumos!B:B,Insumos!C:$C)</f>
        <v/>
      </c>
      <c r="F936" s="2164" t="n">
        <v>0.02</v>
      </c>
      <c r="G936" s="92">
        <f t="array" ref="G936">IF(B936="insumo",_xlfn.XLOOKUP($D936,Insumos!$B$1:$B$996,Insumos!$D$1:$D$996),"")</f>
        <v/>
      </c>
      <c r="H936" s="92" t="n">
        <v>8.5</v>
      </c>
      <c r="I936" s="2165" t="n">
        <v>0</v>
      </c>
      <c r="J936" s="2165" t="n">
        <v>0</v>
      </c>
      <c r="K936" s="2165" t="n"/>
    </row>
    <row r="937" outlineLevel="2" ht="12.75" customHeight="1">
      <c r="A937" s="1071" t="n">
        <v>1</v>
      </c>
      <c r="B937" s="1071" t="inlineStr">
        <is>
          <t>Serviço</t>
        </is>
      </c>
      <c r="C937" s="1071" t="inlineStr">
        <is>
          <t>Alvenaria de vedação de Bloco concreto corta-fogo com densidade acustica reforçada de 14x19x39cm, com argamassa estabilizada</t>
        </is>
      </c>
      <c r="D937" s="1071" t="inlineStr">
        <is>
          <t>Alvenaria de vedação de Bloco concreto corta-fogo com densidade acustica reforçada de 14x19x39cm, com argamassa estabilizada</t>
        </is>
      </c>
      <c r="E937" s="1072" t="inlineStr">
        <is>
          <t>M2</t>
        </is>
      </c>
      <c r="F937" s="1071" t="n"/>
      <c r="G937" s="1073">
        <f t="array" ref="G937">IF(B937="insumo",_xlfn.XLOOKUP($D937,Insumos!$B$1:$B$996,Insumos!$D$1:$D$996),"")</f>
        <v/>
      </c>
      <c r="H937" s="1073" t="n">
        <v>148.5</v>
      </c>
      <c r="I937" s="2163" t="n">
        <v>0</v>
      </c>
      <c r="J937" s="2163" t="n">
        <v>0</v>
      </c>
      <c r="K937" s="2163" t="n"/>
    </row>
    <row r="938" outlineLevel="3" ht="12.75" customHeight="1">
      <c r="A938" s="82" t="n">
        <v>1</v>
      </c>
      <c r="B938" s="82" t="inlineStr">
        <is>
          <t>Insumo</t>
        </is>
      </c>
      <c r="C938" s="82" t="inlineStr">
        <is>
          <t>Alvenaria de vedação de Bloco concreto corta-fogo com densidade acustica reforçada de 14x19x39cm, com argamassa estabilizada</t>
        </is>
      </c>
      <c r="D938" s="82" t="inlineStr">
        <is>
          <t>BLOCO DE concreto CORTA-FOGO ACUSTICA REFORÇADO  14X19X39 CM</t>
        </is>
      </c>
      <c r="E938" s="11">
        <f t="array" ref="E938">_xlfn.XLOOKUP(D938,Insumos!B:B,Insumos!C:$C)</f>
        <v/>
      </c>
      <c r="F938" s="2164">
        <f>ROUNDUP(1/(0.19*0.39),)</f>
        <v/>
      </c>
      <c r="G938" s="92">
        <f t="array" ref="G938">IF(B938="insumo",_xlfn.XLOOKUP($D938,Insumos!$B$1:$B$996,Insumos!$D$1:$D$996),"")</f>
        <v/>
      </c>
      <c r="H938" s="92" t="n">
        <v>140</v>
      </c>
      <c r="I938" s="2165" t="n">
        <v>0</v>
      </c>
      <c r="J938" s="2165" t="n">
        <v>0</v>
      </c>
      <c r="K938" s="2165" t="n"/>
    </row>
    <row r="939" outlineLevel="3" ht="12.75" customHeight="1">
      <c r="A939" s="82" t="n">
        <v>27</v>
      </c>
      <c r="B939" s="82" t="inlineStr">
        <is>
          <t>Insumo</t>
        </is>
      </c>
      <c r="C939" s="82" t="inlineStr">
        <is>
          <t>Alvenaria de vedação de Bloco concreto corta-fogo com densidade acustica reforçada de 14x19x39cm, com argamassa estabilizada</t>
        </is>
      </c>
      <c r="D939" s="82" t="inlineStr">
        <is>
          <t>ARGAMASSA INDUSTRIALIZADA MULTIUSO, PARA REVESTIMENTO INTERNO E EXTERNO E ASSENTAMENTO DE BLOCOS DIVERSOS</t>
        </is>
      </c>
      <c r="E939" s="11">
        <f t="array" ref="E939">_xlfn.XLOOKUP(D939,Insumos!B:B,Insumos!C:$C)</f>
        <v/>
      </c>
      <c r="F939" s="2164" t="n">
        <v>0.02</v>
      </c>
      <c r="G939" s="92">
        <f t="array" ref="G939">IF(B939="insumo",_xlfn.XLOOKUP($D939,Insumos!$B$1:$B$996,Insumos!$D$1:$D$996),"")</f>
        <v/>
      </c>
      <c r="H939" s="92" t="n">
        <v>8.5</v>
      </c>
      <c r="I939" s="2165" t="n">
        <v>0</v>
      </c>
      <c r="J939" s="2165" t="n">
        <v>0</v>
      </c>
      <c r="K939" s="2165" t="n"/>
    </row>
    <row r="940" outlineLevel="2" ht="12.75" customHeight="1">
      <c r="A940" s="1071" t="n">
        <v>1</v>
      </c>
      <c r="B940" s="1071" t="inlineStr">
        <is>
          <t>Serviço</t>
        </is>
      </c>
      <c r="C940" s="1071" t="inlineStr">
        <is>
          <t>Alvenaria de vedação de Bloco concreto corta-fogo de 19x19x39cm, com argamassa estabilizada</t>
        </is>
      </c>
      <c r="D940" s="1071" t="inlineStr">
        <is>
          <t>Alvenaria de vedação de Bloco concreto corta-fogo de 19x19x39cm, com argamassa estabilizada</t>
        </is>
      </c>
      <c r="E940" s="1072" t="inlineStr">
        <is>
          <t>M2</t>
        </is>
      </c>
      <c r="F940" s="1071" t="n"/>
      <c r="G940" s="1073">
        <f t="array" ref="G940">IF(B940="insumo",_xlfn.XLOOKUP($D940,Insumos!$B$1:$B$996,Insumos!$D$1:$D$996),"")</f>
        <v/>
      </c>
      <c r="H940" s="1073" t="n">
        <v>141.5</v>
      </c>
      <c r="I940" s="2163" t="n">
        <v>0</v>
      </c>
      <c r="J940" s="2163" t="n">
        <v>0</v>
      </c>
      <c r="K940" s="2163" t="n"/>
    </row>
    <row r="941" outlineLevel="3" ht="12.75" customHeight="1">
      <c r="A941" s="82" t="n">
        <v>1</v>
      </c>
      <c r="B941" s="82" t="inlineStr">
        <is>
          <t>Insumo</t>
        </is>
      </c>
      <c r="C941" s="82" t="inlineStr">
        <is>
          <t>Alvenaria de vedação de Bloco concreto corta-fogo de 19x19x39cm, com argamassa estabilizada</t>
        </is>
      </c>
      <c r="D941" s="82" t="inlineStr">
        <is>
          <t>BLOCO DE concreto CORTA-FOGO  19X19X39 CM</t>
        </is>
      </c>
      <c r="E941" s="11">
        <f t="array" ref="E941">_xlfn.XLOOKUP(D941,Insumos!B:B,Insumos!C:$C)</f>
        <v/>
      </c>
      <c r="F941" s="2164">
        <f>ROUNDUP(1/(0.19*0.39),)</f>
        <v/>
      </c>
      <c r="G941" s="92">
        <f t="array" ref="G941">IF(B941="insumo",_xlfn.XLOOKUP($D941,Insumos!$B$1:$B$996,Insumos!$D$1:$D$996),"")</f>
        <v/>
      </c>
      <c r="H941" s="92" t="n">
        <v>133</v>
      </c>
      <c r="I941" s="2165" t="n">
        <v>0</v>
      </c>
      <c r="J941" s="2165" t="n">
        <v>0</v>
      </c>
      <c r="K941" s="2165" t="n"/>
    </row>
    <row r="942" outlineLevel="3" ht="12.75" customHeight="1">
      <c r="A942" s="82" t="n">
        <v>27</v>
      </c>
      <c r="B942" s="82" t="inlineStr">
        <is>
          <t>Insumo</t>
        </is>
      </c>
      <c r="C942" s="82" t="inlineStr">
        <is>
          <t>Alvenaria de vedação de Bloco concreto corta-fogo de 19x19x39cm, com argamassa estabilizada</t>
        </is>
      </c>
      <c r="D942" s="82" t="inlineStr">
        <is>
          <t>ARGAMASSA INDUSTRIALIZADA MULTIUSO, PARA REVESTIMENTO INTERNO E EXTERNO E ASSENTAMENTO DE BLOCOS DIVERSOS</t>
        </is>
      </c>
      <c r="E942" s="11">
        <f t="array" ref="E942">_xlfn.XLOOKUP(D942,Insumos!B:B,Insumos!C:$C)</f>
        <v/>
      </c>
      <c r="F942" s="2164" t="n">
        <v>0.02</v>
      </c>
      <c r="G942" s="92">
        <f t="array" ref="G942">IF(B942="insumo",_xlfn.XLOOKUP($D942,Insumos!$B$1:$B$996,Insumos!$D$1:$D$996),"")</f>
        <v/>
      </c>
      <c r="H942" s="92" t="n">
        <v>8.5</v>
      </c>
      <c r="I942" s="2165" t="n">
        <v>0</v>
      </c>
      <c r="J942" s="2165" t="n">
        <v>0</v>
      </c>
      <c r="K942" s="2165" t="n"/>
    </row>
    <row r="943" outlineLevel="1" ht="15.75" customHeight="1">
      <c r="A943" s="1090" t="n">
        <v>1</v>
      </c>
      <c r="B943" s="1090" t="inlineStr">
        <is>
          <t>Subetapa</t>
        </is>
      </c>
      <c r="C943" s="1090" t="inlineStr">
        <is>
          <t>Alvenaria de vedação de Bloco concreto corta-fogo de 19x19x39cm, com argamassa estabilizada</t>
        </is>
      </c>
      <c r="D943" s="1090" t="inlineStr">
        <is>
          <t>SICAL</t>
        </is>
      </c>
      <c r="E943" s="1091" t="n"/>
      <c r="F943" s="2160" t="n"/>
      <c r="G943" s="1091" t="n"/>
      <c r="H943" s="1091" t="n">
        <v>0</v>
      </c>
      <c r="I943" s="2160" t="n">
        <v>0</v>
      </c>
      <c r="J943" s="2160" t="n">
        <v>0</v>
      </c>
      <c r="K943" s="2160" t="n"/>
    </row>
    <row r="944" outlineLevel="2" ht="15.75" customHeight="1">
      <c r="A944" s="1067" t="n">
        <v>1</v>
      </c>
      <c r="B944" s="1067" t="inlineStr">
        <is>
          <t>Serviço</t>
        </is>
      </c>
      <c r="C944" s="1067" t="inlineStr">
        <is>
          <t>Alvenaria em Bloco De Concreto Celular 60x30x15cm Sical com argamassa industrializada de assentamento</t>
        </is>
      </c>
      <c r="D944" s="1067" t="inlineStr">
        <is>
          <t>Alvenaria em Bloco De Concreto Celular 60x30x15cm Sical com argamassa industrializada de assentamento</t>
        </is>
      </c>
      <c r="E944" s="1068" t="inlineStr">
        <is>
          <t>M2</t>
        </is>
      </c>
      <c r="F944" s="1067" t="n"/>
      <c r="G944" s="1069">
        <f t="array" ref="G944">IF(B944="insumo",_xlfn.XLOOKUP($D944,Insumos!$B$1:$B$996,Insumos!$D$1:$D$996),"")</f>
        <v/>
      </c>
      <c r="H944" s="1069" t="n">
        <v>107.14</v>
      </c>
      <c r="I944" s="2161" t="n">
        <v>0</v>
      </c>
      <c r="J944" s="2161" t="n">
        <v>0</v>
      </c>
      <c r="K944" s="2161" t="n"/>
    </row>
    <row r="945" outlineLevel="3" ht="15.75" customHeight="1">
      <c r="A945" s="10" t="n">
        <v>1</v>
      </c>
      <c r="B945" s="10" t="inlineStr">
        <is>
          <t>Insumo</t>
        </is>
      </c>
      <c r="C945" s="10" t="inlineStr">
        <is>
          <t>Alvenaria em Bloco De Concreto Celular 60x30x15cm Sical com argamassa industrializada de assentamento</t>
        </is>
      </c>
      <c r="D945" s="10" t="inlineStr">
        <is>
          <t>Bloco Concreto Celular 15x30x60</t>
        </is>
      </c>
      <c r="E945" s="11">
        <f t="array" ref="E945">_xlfn.XLOOKUP(D945,Insumos!B:B,Insumos!C:$C)</f>
        <v/>
      </c>
      <c r="F945" s="14">
        <f>ROUNDUP(1/(0.3*0.6),)</f>
        <v/>
      </c>
      <c r="G945" s="92">
        <f t="array" ref="G945">IF(B945="insumo",_xlfn.XLOOKUP($D945,Insumos!$B$1:$B$996,Insumos!$D$1:$D$996),"")</f>
        <v/>
      </c>
      <c r="H945" s="92" t="n">
        <v>98.64</v>
      </c>
      <c r="I945" s="2162" t="n">
        <v>0</v>
      </c>
      <c r="J945" s="2162" t="n">
        <v>0</v>
      </c>
      <c r="K945" s="2162" t="n"/>
    </row>
    <row r="946" outlineLevel="3" ht="15.75" customHeight="1">
      <c r="A946" s="10" t="n">
        <v>17</v>
      </c>
      <c r="B946" s="10" t="inlineStr">
        <is>
          <t>Insumo</t>
        </is>
      </c>
      <c r="C946" s="10" t="inlineStr">
        <is>
          <t>Alvenaria em Bloco De Concreto Celular 60x30x15cm Sical com argamassa industrializada de assentamento</t>
        </is>
      </c>
      <c r="D946" s="10" t="inlineStr">
        <is>
          <t>ARGAMASSA ESTABILIZADA PARA ASSENTAMENTO</t>
        </is>
      </c>
      <c r="E946" s="11">
        <f t="array" ref="E946">_xlfn.XLOOKUP(D946,Insumos!B:B,Insumos!C:$C)</f>
        <v/>
      </c>
      <c r="F946" s="14" t="n">
        <v>0.02</v>
      </c>
      <c r="G946" s="92">
        <f t="array" ref="G946">IF(B946="insumo",_xlfn.XLOOKUP($D946,Insumos!$B$1:$B$996,Insumos!$D$1:$D$996),"")</f>
        <v/>
      </c>
      <c r="H946" s="92" t="n">
        <v>8.5</v>
      </c>
      <c r="I946" s="2162" t="n">
        <v>0</v>
      </c>
      <c r="J946" s="2162" t="n">
        <v>0</v>
      </c>
      <c r="K946" s="2162" t="n"/>
    </row>
    <row r="947" outlineLevel="2" ht="15.75" customHeight="1">
      <c r="A947" s="1067" t="n">
        <v>1</v>
      </c>
      <c r="B947" s="1067" t="inlineStr">
        <is>
          <t>Serviço</t>
        </is>
      </c>
      <c r="C947" s="1067" t="inlineStr">
        <is>
          <t>Alvenaria em Bloco De Concreto Celular 60x30x12,5cm Sical com argamassa industrializada de assentamento</t>
        </is>
      </c>
      <c r="D947" s="1067" t="inlineStr">
        <is>
          <t>Alvenaria em Bloco De Concreto Celular 60x30x12,5cm Sical com argamassa industrializada de assentamento</t>
        </is>
      </c>
      <c r="E947" s="1068" t="inlineStr">
        <is>
          <t>M2</t>
        </is>
      </c>
      <c r="F947" s="1067" t="n"/>
      <c r="G947" s="1069">
        <f t="array" ref="G947">IF(B947="insumo",_xlfn.XLOOKUP($D947,Insumos!$B$1:$B$996,Insumos!$D$1:$D$996),"")</f>
        <v/>
      </c>
      <c r="H947" s="1069" t="n">
        <v>115.96</v>
      </c>
      <c r="I947" s="2161" t="n">
        <v>0</v>
      </c>
      <c r="J947" s="2161" t="n">
        <v>0</v>
      </c>
      <c r="K947" s="2161" t="n"/>
    </row>
    <row r="948" outlineLevel="3" ht="15.75" customHeight="1">
      <c r="A948" s="10" t="n">
        <v>1</v>
      </c>
      <c r="B948" s="10" t="inlineStr">
        <is>
          <t>Insumo</t>
        </is>
      </c>
      <c r="C948" s="10" t="inlineStr">
        <is>
          <t>Alvenaria em Bloco De Concreto Celular 60x30x12,5cm Sical com argamassa industrializada de assentamento</t>
        </is>
      </c>
      <c r="D948" s="10" t="inlineStr">
        <is>
          <t>Bloco Concreto Celular 12,5x30x60</t>
        </is>
      </c>
      <c r="E948" s="11">
        <f t="array" ref="E948">_xlfn.XLOOKUP(D948,Insumos!B:B,Insumos!C:$C)</f>
        <v/>
      </c>
      <c r="F948" s="14">
        <f>ROUNDUP(1/(0.3*0.6),)</f>
        <v/>
      </c>
      <c r="G948" s="92">
        <f t="array" ref="G948">IF(B948="insumo",_xlfn.XLOOKUP($D948,Insumos!$B$1:$B$996,Insumos!$D$1:$D$996),"")</f>
        <v/>
      </c>
      <c r="H948" s="92" t="n">
        <v>107.46</v>
      </c>
      <c r="I948" s="2162" t="n">
        <v>0</v>
      </c>
      <c r="J948" s="2162" t="n">
        <v>0</v>
      </c>
      <c r="K948" s="2162" t="n"/>
    </row>
    <row r="949" outlineLevel="3" ht="15.75" customHeight="1">
      <c r="A949" s="10" t="n">
        <v>17</v>
      </c>
      <c r="B949" s="10" t="inlineStr">
        <is>
          <t>Insumo</t>
        </is>
      </c>
      <c r="C949" s="10" t="inlineStr">
        <is>
          <t>Alvenaria em Bloco De Concreto Celular 60x30x12,5cm Sical com argamassa industrializada de assentamento</t>
        </is>
      </c>
      <c r="D949" s="10" t="inlineStr">
        <is>
          <t>ARGAMASSA ESTABILIZADA PARA ASSENTAMENTO</t>
        </is>
      </c>
      <c r="E949" s="11">
        <f t="array" ref="E949">_xlfn.XLOOKUP(D949,Insumos!B:B,Insumos!C:$C)</f>
        <v/>
      </c>
      <c r="F949" s="14" t="n">
        <v>0.02</v>
      </c>
      <c r="G949" s="92">
        <f t="array" ref="G949">IF(B949="insumo",_xlfn.XLOOKUP($D949,Insumos!$B$1:$B$996,Insumos!$D$1:$D$996),"")</f>
        <v/>
      </c>
      <c r="H949" s="92" t="n">
        <v>8.5</v>
      </c>
      <c r="I949" s="2162" t="n">
        <v>0</v>
      </c>
      <c r="J949" s="2162" t="n">
        <v>0</v>
      </c>
      <c r="K949" s="2162" t="n"/>
    </row>
    <row r="950" outlineLevel="2" ht="15.75" customHeight="1">
      <c r="A950" s="1067" t="n">
        <v>1</v>
      </c>
      <c r="B950" s="1067" t="inlineStr">
        <is>
          <t>Serviço</t>
        </is>
      </c>
      <c r="C950" s="1067" t="inlineStr">
        <is>
          <t>Alvenaria em Bloco De Concreto Celular 60x30x10cm Sical com argamassa industrializada de assentamento</t>
        </is>
      </c>
      <c r="D950" s="1067" t="inlineStr">
        <is>
          <t>Alvenaria em Bloco De Concreto Celular 60x30x10cm Sical com argamassa industrializada de assentamento</t>
        </is>
      </c>
      <c r="E950" s="1068" t="inlineStr">
        <is>
          <t>M2</t>
        </is>
      </c>
      <c r="F950" s="1067" t="n"/>
      <c r="G950" s="1069">
        <f t="array" ref="G950">IF(B950="insumo",_xlfn.XLOOKUP($D950,Insumos!$B$1:$B$996,Insumos!$D$1:$D$996),"")</f>
        <v/>
      </c>
      <c r="H950" s="1069" t="n">
        <v>82.95999999999999</v>
      </c>
      <c r="I950" s="2161" t="e">
        <v>#REF!</v>
      </c>
      <c r="J950" s="2161" t="e">
        <v>#REF!</v>
      </c>
      <c r="K950" s="2161" t="n"/>
    </row>
    <row r="951" outlineLevel="3" ht="15.75" customHeight="1">
      <c r="A951" s="10" t="n">
        <v>1</v>
      </c>
      <c r="B951" s="10" t="inlineStr">
        <is>
          <t>Insumo</t>
        </is>
      </c>
      <c r="C951" s="10" t="inlineStr">
        <is>
          <t>Alvenaria em Bloco De Concreto Celular 60x30x10cm Sical com argamassa industrializada de assentamento</t>
        </is>
      </c>
      <c r="D951" s="10" t="inlineStr">
        <is>
          <t>Bloco Concreto Celular 10x30x60</t>
        </is>
      </c>
      <c r="E951" s="11">
        <f t="array" ref="E951">_xlfn.XLOOKUP(D951,Insumos!B:B,Insumos!C:$C)</f>
        <v/>
      </c>
      <c r="F951" s="14">
        <f>ROUNDUP(1/(0.3*0.6),)</f>
        <v/>
      </c>
      <c r="G951" s="92">
        <f t="array" ref="G951">IF(B951="insumo",_xlfn.XLOOKUP($D951,Insumos!$B$1:$B$996,Insumos!$D$1:$D$996),"")</f>
        <v/>
      </c>
      <c r="H951" s="92" t="n">
        <v>74.45999999999999</v>
      </c>
      <c r="I951" s="2162" t="e">
        <v>#REF!</v>
      </c>
      <c r="J951" s="2162" t="e">
        <v>#REF!</v>
      </c>
      <c r="K951" s="2162" t="n"/>
    </row>
    <row r="952" outlineLevel="3" ht="15.75" customHeight="1">
      <c r="A952" s="10" t="n">
        <v>17</v>
      </c>
      <c r="B952" s="10" t="inlineStr">
        <is>
          <t>Insumo</t>
        </is>
      </c>
      <c r="C952" s="10" t="inlineStr">
        <is>
          <t>Alvenaria em Bloco De Concreto Celular 60x30x10cm Sical com argamassa industrializada de assentamento</t>
        </is>
      </c>
      <c r="D952" s="10" t="inlineStr">
        <is>
          <t>ARGAMASSA ESTABILIZADA PARA ASSENTAMENTO</t>
        </is>
      </c>
      <c r="E952" s="11">
        <f t="array" ref="E952">_xlfn.XLOOKUP(D952,Insumos!B:B,Insumos!C:$C)</f>
        <v/>
      </c>
      <c r="F952" s="14" t="n">
        <v>0.02</v>
      </c>
      <c r="G952" s="92">
        <f t="array" ref="G952">IF(B952="insumo",_xlfn.XLOOKUP($D952,Insumos!$B$1:$B$996,Insumos!$D$1:$D$996),"")</f>
        <v/>
      </c>
      <c r="H952" s="92" t="n">
        <v>8.5</v>
      </c>
      <c r="I952" s="2162" t="e">
        <v>#REF!</v>
      </c>
      <c r="J952" s="2162" t="e">
        <v>#REF!</v>
      </c>
      <c r="K952" s="2162" t="n"/>
    </row>
    <row r="953" outlineLevel="2" ht="15.75" customHeight="1">
      <c r="A953" s="1067" t="n">
        <v>1</v>
      </c>
      <c r="B953" s="1067" t="inlineStr">
        <is>
          <t>Serviço</t>
        </is>
      </c>
      <c r="C953" s="1067" t="inlineStr">
        <is>
          <t>Alvenaria em Bloco De Concreto Celular 60x30x7,5cm Sical com argamassa industrializada de assentamento</t>
        </is>
      </c>
      <c r="D953" s="1067" t="inlineStr">
        <is>
          <t>Alvenaria em Bloco De Concreto Celular 60x30x7,5cm Sical com argamassa industrializada de assentamento</t>
        </is>
      </c>
      <c r="E953" s="1068" t="inlineStr">
        <is>
          <t>M2</t>
        </is>
      </c>
      <c r="F953" s="1067" t="n"/>
      <c r="G953" s="1069">
        <f t="array" ref="G953">IF(B953="insumo",_xlfn.XLOOKUP($D953,Insumos!$B$1:$B$996,Insumos!$D$1:$D$996),"")</f>
        <v/>
      </c>
      <c r="H953" s="1069" t="n">
        <v>72.76000000000001</v>
      </c>
      <c r="I953" s="2161" t="n">
        <v>0</v>
      </c>
      <c r="J953" s="2161" t="n">
        <v>0</v>
      </c>
      <c r="K953" s="2161" t="n"/>
    </row>
    <row r="954" outlineLevel="3" ht="15.75" customHeight="1">
      <c r="A954" s="10" t="n">
        <v>1</v>
      </c>
      <c r="B954" s="10" t="inlineStr">
        <is>
          <t>Insumo</t>
        </is>
      </c>
      <c r="C954" s="10" t="inlineStr">
        <is>
          <t>Alvenaria em Bloco De Concreto Celular 60x30x7,5cm Sical com argamassa industrializada de assentamento</t>
        </is>
      </c>
      <c r="D954" s="10" t="inlineStr">
        <is>
          <t>Bloco Concreto Celular 7,5x30x60</t>
        </is>
      </c>
      <c r="E954" s="11">
        <f t="array" ref="E954">_xlfn.XLOOKUP(D954,Insumos!B:B,Insumos!C:$C)</f>
        <v/>
      </c>
      <c r="F954" s="14">
        <f>ROUNDUP(1/(0.3*0.6),)</f>
        <v/>
      </c>
      <c r="G954" s="92">
        <f t="array" ref="G954">IF(B954="insumo",_xlfn.XLOOKUP($D954,Insumos!$B$1:$B$996,Insumos!$D$1:$D$996),"")</f>
        <v/>
      </c>
      <c r="H954" s="92" t="n">
        <v>64.26000000000001</v>
      </c>
      <c r="I954" s="2162" t="n">
        <v>0</v>
      </c>
      <c r="J954" s="2162" t="n">
        <v>0</v>
      </c>
      <c r="K954" s="2162" t="n"/>
    </row>
    <row r="955" outlineLevel="3" ht="15.75" customHeight="1">
      <c r="A955" s="10" t="n">
        <v>17</v>
      </c>
      <c r="B955" s="10" t="inlineStr">
        <is>
          <t>Insumo</t>
        </is>
      </c>
      <c r="C955" s="10" t="inlineStr">
        <is>
          <t>Alvenaria em Bloco De Concreto Celular 60x30x7,5cm Sical com argamassa industrializada de assentamento</t>
        </is>
      </c>
      <c r="D955" s="10" t="inlineStr">
        <is>
          <t>ARGAMASSA ESTABILIZADA PARA ASSENTAMENTO</t>
        </is>
      </c>
      <c r="E955" s="11">
        <f t="array" ref="E955">_xlfn.XLOOKUP(D955,Insumos!B:B,Insumos!C:$C)</f>
        <v/>
      </c>
      <c r="F955" s="14" t="n">
        <v>0.02</v>
      </c>
      <c r="G955" s="92">
        <f t="array" ref="G955">IF(B955="insumo",_xlfn.XLOOKUP($D955,Insumos!$B$1:$B$996,Insumos!$D$1:$D$996),"")</f>
        <v/>
      </c>
      <c r="H955" s="92" t="n">
        <v>8.5</v>
      </c>
      <c r="I955" s="2162" t="n">
        <v>0</v>
      </c>
      <c r="J955" s="2162" t="n">
        <v>0</v>
      </c>
      <c r="K955" s="2162" t="n"/>
    </row>
    <row r="956" outlineLevel="1" ht="15.75" customHeight="1">
      <c r="A956" s="1090" t="n">
        <v>1</v>
      </c>
      <c r="B956" s="1090" t="inlineStr">
        <is>
          <t>Subetapa</t>
        </is>
      </c>
      <c r="C956" s="1090" t="inlineStr">
        <is>
          <t>Alvenaria em Bloco De Concreto Celular 60x30x7,5cm Sical com argamassa industrializada de assentamento</t>
        </is>
      </c>
      <c r="D956" s="1090" t="inlineStr">
        <is>
          <t>COBOGO</t>
        </is>
      </c>
      <c r="E956" s="1091" t="n"/>
      <c r="F956" s="2160" t="n"/>
      <c r="G956" s="1091" t="n"/>
      <c r="H956" s="1091" t="n">
        <v>0</v>
      </c>
      <c r="I956" s="2160" t="n">
        <v>0</v>
      </c>
      <c r="J956" s="2160" t="n">
        <v>0</v>
      </c>
      <c r="K956" s="2160" t="n"/>
    </row>
    <row r="957" outlineLevel="2" ht="15.75" customHeight="1">
      <c r="A957" s="1067" t="n">
        <v>1</v>
      </c>
      <c r="B957" s="1067" t="inlineStr">
        <is>
          <t>Serviço</t>
        </is>
      </c>
      <c r="C957" s="1067" t="inlineStr">
        <is>
          <t>Cobogó em cerâmico vazado 20x20cm</t>
        </is>
      </c>
      <c r="D957" s="1067" t="inlineStr">
        <is>
          <t>Cobogó em cerâmico vazado 20x20cm</t>
        </is>
      </c>
      <c r="E957" s="1068" t="inlineStr">
        <is>
          <t>M2</t>
        </is>
      </c>
      <c r="F957" s="1067" t="n"/>
      <c r="G957" s="1069">
        <f t="array" ref="G957">IF(B957="insumo",_xlfn.XLOOKUP($D957,Insumos!$B$1:$B$996,Insumos!$D$1:$D$996),"")</f>
        <v/>
      </c>
      <c r="H957" s="1069" t="n">
        <v>309.525</v>
      </c>
      <c r="I957" s="2161" t="n">
        <v>0</v>
      </c>
      <c r="J957" s="2161" t="n">
        <v>0</v>
      </c>
      <c r="K957" s="2161" t="n"/>
    </row>
    <row r="958" outlineLevel="3" ht="15.75" customHeight="1">
      <c r="A958" s="10" t="n">
        <v>17</v>
      </c>
      <c r="B958" s="10" t="inlineStr">
        <is>
          <t>Insumo</t>
        </is>
      </c>
      <c r="C958" s="10" t="inlineStr">
        <is>
          <t>Cobogó em cerâmico vazado 20x20cm</t>
        </is>
      </c>
      <c r="D958" s="10" t="inlineStr">
        <is>
          <t>ARGAMASSA ESTABILIZADA PARA ASSENTAMENTO</t>
        </is>
      </c>
      <c r="E958" s="11">
        <f t="array" ref="E958">_xlfn.XLOOKUP(D958,Insumos!B:B,Insumos!C:$C)</f>
        <v/>
      </c>
      <c r="F958" s="14" t="n">
        <v>0.023</v>
      </c>
      <c r="G958" s="92">
        <f t="array" ref="G958">IF(B958="insumo",_xlfn.XLOOKUP($D958,Insumos!$B$1:$B$996,Insumos!$D$1:$D$996),"")</f>
        <v/>
      </c>
      <c r="H958" s="92" t="n">
        <v>9.775</v>
      </c>
      <c r="I958" s="2162" t="n">
        <v>0</v>
      </c>
      <c r="J958" s="2162" t="n">
        <v>0</v>
      </c>
      <c r="K958" s="2162" t="n"/>
    </row>
    <row r="959" outlineLevel="3" ht="15.75" customHeight="1">
      <c r="A959" s="10" t="n">
        <v>1</v>
      </c>
      <c r="B959" s="10" t="inlineStr">
        <is>
          <t>Insumo</t>
        </is>
      </c>
      <c r="C959" s="10" t="inlineStr">
        <is>
          <t>Cobogó em cerâmico vazado 20x20cm</t>
        </is>
      </c>
      <c r="D959" s="10" t="inlineStr">
        <is>
          <t>ELEMENTO VAZADO CERAMICO QUADRADO</t>
        </is>
      </c>
      <c r="E959" s="11">
        <f t="array" ref="E959">_xlfn.XLOOKUP(D959,Insumos!B:B,Insumos!C:$C)</f>
        <v/>
      </c>
      <c r="F959" s="14" t="n">
        <v>25</v>
      </c>
      <c r="G959" s="92">
        <f t="array" ref="G959">IF(B959="insumo",_xlfn.XLOOKUP($D959,Insumos!$B$1:$B$996,Insumos!$D$1:$D$996),"")</f>
        <v/>
      </c>
      <c r="H959" s="92" t="n">
        <v>299.75</v>
      </c>
      <c r="I959" s="2162" t="n">
        <v>0</v>
      </c>
      <c r="J959" s="2162" t="n">
        <v>0</v>
      </c>
      <c r="K959" s="2162" t="n"/>
    </row>
    <row r="960" outlineLevel="2" ht="15.75" customHeight="1">
      <c r="A960" s="1067" t="n">
        <v>1</v>
      </c>
      <c r="B960" s="1067" t="inlineStr">
        <is>
          <t>Serviço</t>
        </is>
      </c>
      <c r="C960" s="1067" t="inlineStr">
        <is>
          <t>Cobogó em concreto vazado 20x20cm</t>
        </is>
      </c>
      <c r="D960" s="1067" t="inlineStr">
        <is>
          <t>Cobogó em concreto vazado 20x20cm</t>
        </is>
      </c>
      <c r="E960" s="1068" t="inlineStr">
        <is>
          <t>M2</t>
        </is>
      </c>
      <c r="F960" s="1067" t="n"/>
      <c r="G960" s="1069">
        <f t="array" ref="G960">IF(B960="insumo",_xlfn.XLOOKUP($D960,Insumos!$B$1:$B$996,Insumos!$D$1:$D$996),"")</f>
        <v/>
      </c>
      <c r="H960" s="1069" t="n">
        <v>384.775</v>
      </c>
      <c r="I960" s="2161" t="n">
        <v>0</v>
      </c>
      <c r="J960" s="2161" t="n">
        <v>0</v>
      </c>
      <c r="K960" s="2161" t="n"/>
    </row>
    <row r="961" outlineLevel="3" ht="15.75" customHeight="1">
      <c r="A961" s="10" t="n">
        <v>17</v>
      </c>
      <c r="B961" s="10" t="inlineStr">
        <is>
          <t>Insumo</t>
        </is>
      </c>
      <c r="C961" s="10" t="inlineStr">
        <is>
          <t>Cobogó em concreto vazado 20x20cm</t>
        </is>
      </c>
      <c r="D961" s="10" t="inlineStr">
        <is>
          <t>ARGAMASSA ESTABILIZADA PARA ASSENTAMENTO</t>
        </is>
      </c>
      <c r="E961" s="11">
        <f t="array" ref="E961">_xlfn.XLOOKUP(D961,Insumos!B:B,Insumos!C:$C)</f>
        <v/>
      </c>
      <c r="F961" s="14" t="n">
        <v>0.023</v>
      </c>
      <c r="G961" s="92">
        <f t="array" ref="G961">IF(B961="insumo",_xlfn.XLOOKUP($D961,Insumos!$B$1:$B$996,Insumos!$D$1:$D$996),"")</f>
        <v/>
      </c>
      <c r="H961" s="92" t="n">
        <v>9.775</v>
      </c>
      <c r="I961" s="2162" t="n">
        <v>0</v>
      </c>
      <c r="J961" s="2162" t="n">
        <v>0</v>
      </c>
      <c r="K961" s="2162" t="n"/>
    </row>
    <row r="962" outlineLevel="3" ht="15.75" customHeight="1">
      <c r="A962" s="10" t="n">
        <v>1</v>
      </c>
      <c r="B962" s="10" t="inlineStr">
        <is>
          <t>Insumo</t>
        </is>
      </c>
      <c r="C962" s="10" t="inlineStr">
        <is>
          <t>Cobogó em concreto vazado 20x20cm</t>
        </is>
      </c>
      <c r="D962" s="10" t="inlineStr">
        <is>
          <t>ELEMENTO VAZADO CONCRETO QUADRADO</t>
        </is>
      </c>
      <c r="E962" s="11">
        <f t="array" ref="E962">_xlfn.XLOOKUP(D962,Insumos!B:B,Insumos!C:$C)</f>
        <v/>
      </c>
      <c r="F962" s="14" t="n">
        <v>25</v>
      </c>
      <c r="G962" s="92">
        <f t="array" ref="G962">IF(B962="insumo",_xlfn.XLOOKUP($D962,Insumos!$B$1:$B$996,Insumos!$D$1:$D$996),"")</f>
        <v/>
      </c>
      <c r="H962" s="92" t="n">
        <v>375</v>
      </c>
      <c r="I962" s="2162" t="n">
        <v>0</v>
      </c>
      <c r="J962" s="2162" t="n">
        <v>0</v>
      </c>
      <c r="K962" s="2162" t="n"/>
    </row>
    <row r="963" outlineLevel="1" ht="15.75" customHeight="1">
      <c r="A963" s="1090" t="n">
        <v>1</v>
      </c>
      <c r="B963" s="1090" t="inlineStr">
        <is>
          <t>Subetapa</t>
        </is>
      </c>
      <c r="C963" s="1090" t="inlineStr">
        <is>
          <t>Cobogó em concreto vazado 20x20cm</t>
        </is>
      </c>
      <c r="D963" s="1090" t="inlineStr">
        <is>
          <t>RERATARIO</t>
        </is>
      </c>
      <c r="E963" s="1091" t="n"/>
      <c r="F963" s="2160" t="n"/>
      <c r="G963" s="1091" t="n"/>
      <c r="H963" s="1091" t="n">
        <v>0</v>
      </c>
      <c r="I963" s="2160" t="n">
        <v>0</v>
      </c>
      <c r="J963" s="2160" t="n">
        <v>0</v>
      </c>
      <c r="K963" s="2160" t="n"/>
    </row>
    <row r="964" outlineLevel="2" ht="15.75" customHeight="1">
      <c r="A964" s="1067" t="n">
        <v>1</v>
      </c>
      <c r="B964" s="1067" t="inlineStr">
        <is>
          <t>Serviço</t>
        </is>
      </c>
      <c r="C964" s="1067" t="inlineStr">
        <is>
          <t>Tijolo refratário para churrasqueiras 5x11,5x23cm com argamassa</t>
        </is>
      </c>
      <c r="D964" s="1067" t="inlineStr">
        <is>
          <t>Tijolo refratário para churrasqueiras 5x11,5x23cm com argamassa</t>
        </is>
      </c>
      <c r="E964" s="1068" t="inlineStr">
        <is>
          <t>M2</t>
        </is>
      </c>
      <c r="F964" s="1067" t="n"/>
      <c r="G964" s="1069">
        <f t="array" ref="G964">IF(B964="insumo",_xlfn.XLOOKUP($D964,Insumos!$B$1:$B$996,Insumos!$D$1:$D$996),"")</f>
        <v/>
      </c>
      <c r="H964" s="1069" t="n">
        <v>266.02625</v>
      </c>
      <c r="I964" s="2161" t="n">
        <v>0</v>
      </c>
      <c r="J964" s="2161" t="n">
        <v>0</v>
      </c>
      <c r="K964" s="2161" t="n"/>
    </row>
    <row r="965" outlineLevel="3" ht="15.75" customHeight="1">
      <c r="A965" s="10" t="n">
        <v>1</v>
      </c>
      <c r="B965" s="10" t="inlineStr">
        <is>
          <t>Insumo</t>
        </is>
      </c>
      <c r="C965" s="10" t="inlineStr">
        <is>
          <t>Tijolo refratário para churrasqueiras 5x11,5x23cm com argamassa</t>
        </is>
      </c>
      <c r="D965" s="10" t="inlineStr">
        <is>
          <t>TIJOLO REFRATÁRIO 5 X 11,5 X 23 CM</t>
        </is>
      </c>
      <c r="E965" s="11">
        <f t="array" ref="E965">_xlfn.XLOOKUP(D965,Insumos!B:B,Insumos!C:$C)</f>
        <v/>
      </c>
      <c r="F965" s="14" t="n">
        <v>38</v>
      </c>
      <c r="G965" s="92">
        <f t="array" ref="G965">IF(B965="insumo",_xlfn.XLOOKUP($D965,Insumos!$B$1:$B$996,Insumos!$D$1:$D$996),"")</f>
        <v/>
      </c>
      <c r="H965" s="92" t="n">
        <v>266</v>
      </c>
      <c r="I965" s="2162" t="n">
        <v>0</v>
      </c>
      <c r="J965" s="2162" t="n">
        <v>0</v>
      </c>
      <c r="K965" s="2162" t="n"/>
    </row>
    <row r="966" outlineLevel="3" ht="15.75" customHeight="1">
      <c r="A966" s="10" t="n">
        <v>2</v>
      </c>
      <c r="B966" s="10" t="inlineStr">
        <is>
          <t>Insumo</t>
        </is>
      </c>
      <c r="C966" s="10" t="inlineStr">
        <is>
          <t>Tijolo refratário para churrasqueiras 5x11,5x23cm com argamassa</t>
        </is>
      </c>
      <c r="D966" s="10" t="inlineStr">
        <is>
          <t>ARGAMASSA REFRATÁRIA</t>
        </is>
      </c>
      <c r="E966" s="11">
        <f t="array" ref="E966">_xlfn.XLOOKUP(D966,Insumos!B:B,Insumos!C:$C)</f>
        <v/>
      </c>
      <c r="F966" s="14" t="n">
        <v>0.015</v>
      </c>
      <c r="G966" s="92">
        <f t="array" ref="G966">IF(B966="insumo",_xlfn.XLOOKUP($D966,Insumos!$B$1:$B$996,Insumos!$D$1:$D$996),"")</f>
        <v/>
      </c>
      <c r="H966" s="92" t="n">
        <v>0.02625</v>
      </c>
      <c r="I966" s="2162" t="n">
        <v>0</v>
      </c>
      <c r="J966" s="2162" t="n">
        <v>0</v>
      </c>
      <c r="K966" s="2162" t="n"/>
    </row>
    <row r="967" outlineLevel="2" ht="15.75" customHeight="1">
      <c r="A967" s="1067" t="n">
        <v>1</v>
      </c>
      <c r="B967" s="1067" t="inlineStr">
        <is>
          <t>Serviço</t>
        </is>
      </c>
      <c r="C967" s="1067" t="inlineStr">
        <is>
          <t>Tijolo refratário para churrasqueiras 2,5x11,5x23cm com argamassa</t>
        </is>
      </c>
      <c r="D967" s="1067" t="inlineStr">
        <is>
          <t>Tijolo refratário para churrasqueiras 2,5x11,5x23cm com argamassa</t>
        </is>
      </c>
      <c r="E967" s="1068" t="inlineStr">
        <is>
          <t>M2</t>
        </is>
      </c>
      <c r="F967" s="1067" t="n"/>
      <c r="G967" s="1069">
        <f t="array" ref="G967">IF(B967="insumo",_xlfn.XLOOKUP($D967,Insumos!$B$1:$B$996,Insumos!$D$1:$D$996),"")</f>
        <v/>
      </c>
      <c r="H967" s="1069" t="n">
        <v>226.113125</v>
      </c>
      <c r="I967" s="2161" t="n">
        <v>0</v>
      </c>
      <c r="J967" s="2161" t="n">
        <v>0</v>
      </c>
      <c r="K967" s="2161" t="n"/>
    </row>
    <row r="968" outlineLevel="3" ht="15.75" customHeight="1">
      <c r="A968" s="10" t="n">
        <v>1</v>
      </c>
      <c r="B968" s="10" t="inlineStr">
        <is>
          <t>Insumo</t>
        </is>
      </c>
      <c r="C968" s="10" t="inlineStr">
        <is>
          <t>Tijolo refratário para churrasqueiras 2,5x11,5x23cm com argamassa</t>
        </is>
      </c>
      <c r="D968" s="10" t="inlineStr">
        <is>
          <t>TIJOLO REFRATÁRIO 2,5 X 11,5 X 23 CM</t>
        </is>
      </c>
      <c r="E968" s="11">
        <f t="array" ref="E968">_xlfn.XLOOKUP(D968,Insumos!B:B,Insumos!C:$C)</f>
        <v/>
      </c>
      <c r="F968" s="14" t="n">
        <v>38</v>
      </c>
      <c r="G968" s="92">
        <f t="array" ref="G968">IF(B968="insumo",_xlfn.XLOOKUP($D968,Insumos!$B$1:$B$996,Insumos!$D$1:$D$996),"")</f>
        <v/>
      </c>
      <c r="H968" s="92" t="n">
        <v>226.1</v>
      </c>
      <c r="I968" s="2162" t="n">
        <v>0</v>
      </c>
      <c r="J968" s="2162" t="n">
        <v>0</v>
      </c>
      <c r="K968" s="2162" t="n"/>
    </row>
    <row r="969" outlineLevel="3" ht="15.75" customHeight="1">
      <c r="A969" s="10" t="n">
        <v>2</v>
      </c>
      <c r="B969" s="10" t="inlineStr">
        <is>
          <t>Insumo</t>
        </is>
      </c>
      <c r="C969" s="10" t="inlineStr">
        <is>
          <t>Tijolo refratário para churrasqueiras 2,5x11,5x23cm com argamassa</t>
        </is>
      </c>
      <c r="D969" s="10" t="inlineStr">
        <is>
          <t>ARGAMASSA REFRATÁRIA</t>
        </is>
      </c>
      <c r="E969" s="11">
        <f t="array" ref="E969">_xlfn.XLOOKUP(D969,Insumos!B:B,Insumos!C:$C)</f>
        <v/>
      </c>
      <c r="F969" s="14" t="n">
        <v>0.0075</v>
      </c>
      <c r="G969" s="92">
        <f t="array" ref="G969">IF(B969="insumo",_xlfn.XLOOKUP($D969,Insumos!$B$1:$B$996,Insumos!$D$1:$D$996),"")</f>
        <v/>
      </c>
      <c r="H969" s="92" t="n">
        <v>0.013125</v>
      </c>
      <c r="I969" s="2162" t="n">
        <v>0</v>
      </c>
      <c r="J969" s="2162" t="n">
        <v>0</v>
      </c>
      <c r="K969" s="2162" t="n"/>
    </row>
    <row r="970" outlineLevel="1" ht="15.75" customHeight="1">
      <c r="A970" s="1090" t="n">
        <v>1</v>
      </c>
      <c r="B970" s="1090" t="inlineStr">
        <is>
          <t>Subetapa</t>
        </is>
      </c>
      <c r="C970" s="1090" t="inlineStr">
        <is>
          <t>Tijolo refratário para churrasqueiras 2,5x11,5x23cm com argamassa</t>
        </is>
      </c>
      <c r="D970" s="1090" t="inlineStr">
        <is>
          <t>COMPLEMENTACOES</t>
        </is>
      </c>
      <c r="E970" s="1091" t="n"/>
      <c r="F970" s="2160" t="n"/>
      <c r="G970" s="1091" t="n"/>
      <c r="H970" s="1091" t="n">
        <v>0</v>
      </c>
      <c r="I970" s="2160" t="n">
        <v>0</v>
      </c>
      <c r="J970" s="2160" t="n">
        <v>0</v>
      </c>
      <c r="K970" s="2160" t="n"/>
    </row>
    <row r="971" outlineLevel="2" ht="15.75" customHeight="1">
      <c r="A971" s="1067" t="n">
        <v>1</v>
      </c>
      <c r="B971" s="1067" t="inlineStr">
        <is>
          <t>Serviço</t>
        </is>
      </c>
      <c r="C971" s="1067" t="inlineStr">
        <is>
          <t>Encunhamento De Alvenaria De Vedação Com Argamassa Expansiva</t>
        </is>
      </c>
      <c r="D971" s="1067" t="inlineStr">
        <is>
          <t>Encunhamento De Alvenaria De Vedação Com Argamassa Expansiva</t>
        </is>
      </c>
      <c r="E971" s="1068" t="inlineStr">
        <is>
          <t>M</t>
        </is>
      </c>
      <c r="F971" s="1067" t="n"/>
      <c r="G971" s="1069">
        <f t="array" ref="G971">IF(B971="insumo",_xlfn.XLOOKUP($D971,Insumos!$B$1:$B$996,Insumos!$D$1:$D$996),"")</f>
        <v/>
      </c>
      <c r="H971" s="1069" t="n">
        <v>14.7875</v>
      </c>
      <c r="I971" s="2161" t="e">
        <v>#REF!</v>
      </c>
      <c r="J971" s="2161" t="e">
        <v>#REF!</v>
      </c>
      <c r="K971" s="2161" t="n"/>
    </row>
    <row r="972" outlineLevel="3" ht="15.75" customHeight="1">
      <c r="A972" s="10" t="n">
        <v>17</v>
      </c>
      <c r="B972" s="10" t="inlineStr">
        <is>
          <t>Insumo</t>
        </is>
      </c>
      <c r="C972" s="10" t="inlineStr">
        <is>
          <t>Encunhamento De Alvenaria De Vedação Com Argamassa Expansiva</t>
        </is>
      </c>
      <c r="D972" s="10" t="inlineStr">
        <is>
          <t>ARGAMASSA ESTABILIZADA PARA ASSENTAMENTO</t>
        </is>
      </c>
      <c r="E972" s="11">
        <f t="array" ref="E972">_xlfn.XLOOKUP(D972,Insumos!B:B,Insumos!C:$C)</f>
        <v/>
      </c>
      <c r="F972" s="14" t="n">
        <v>0.0035</v>
      </c>
      <c r="G972" s="92">
        <f t="array" ref="G972">IF(B972="insumo",_xlfn.XLOOKUP($D972,Insumos!$B$1:$B$996,Insumos!$D$1:$D$996),"")</f>
        <v/>
      </c>
      <c r="H972" s="92" t="n">
        <v>1.4875</v>
      </c>
      <c r="I972" s="2162" t="e">
        <v>#REF!</v>
      </c>
      <c r="J972" s="2162" t="e">
        <v>#REF!</v>
      </c>
      <c r="K972" s="2162" t="n"/>
    </row>
    <row r="973" outlineLevel="3" ht="15.75" customHeight="1">
      <c r="A973" s="10" t="n">
        <v>3</v>
      </c>
      <c r="B973" s="10" t="inlineStr">
        <is>
          <t>Insumo</t>
        </is>
      </c>
      <c r="C973" s="10" t="inlineStr">
        <is>
          <t>Encunhamento De Alvenaria De Vedação Com Argamassa Expansiva</t>
        </is>
      </c>
      <c r="D973" s="10" t="inlineStr">
        <is>
          <t>ADITIVO EXPANSOR EM PÓ</t>
        </is>
      </c>
      <c r="E973" s="11">
        <f t="array" ref="E973">_xlfn.XLOOKUP(D973,Insumos!B:B,Insumos!C:$C)</f>
        <v/>
      </c>
      <c r="F973" s="14" t="n">
        <v>0.07000000000000001</v>
      </c>
      <c r="G973" s="92">
        <f t="array" ref="G973">IF(B973="insumo",_xlfn.XLOOKUP($D973,Insumos!$B$1:$B$996,Insumos!$D$1:$D$996),"")</f>
        <v/>
      </c>
      <c r="H973" s="92" t="n">
        <v>13.3</v>
      </c>
      <c r="I973" s="2162" t="e">
        <v>#REF!</v>
      </c>
      <c r="J973" s="2162" t="e">
        <v>#REF!</v>
      </c>
      <c r="K973" s="2162" t="n"/>
    </row>
    <row r="974" outlineLevel="2" ht="15.75" customHeight="1">
      <c r="A974" s="1067" t="n">
        <v>1</v>
      </c>
      <c r="B974" s="1067" t="inlineStr">
        <is>
          <t>Serviço</t>
        </is>
      </c>
      <c r="C974" s="1067" t="inlineStr">
        <is>
          <t>Encunhamento De Alvenaria De Vedação Com Argamassa para encunhmento</t>
        </is>
      </c>
      <c r="D974" s="1067" t="inlineStr">
        <is>
          <t>Encunhamento De Alvenaria De Vedação Com Argamassa para encunhmento</t>
        </is>
      </c>
      <c r="E974" s="1068" t="inlineStr">
        <is>
          <t>M</t>
        </is>
      </c>
      <c r="F974" s="1067" t="n"/>
      <c r="G974" s="1069">
        <f t="array" ref="G974">IF(B974="insumo",_xlfn.XLOOKUP($D974,Insumos!$B$1:$B$996,Insumos!$D$1:$D$996),"")</f>
        <v/>
      </c>
      <c r="H974" s="1069" t="n">
        <v>15.2655664</v>
      </c>
      <c r="I974" s="2161" t="n">
        <v>0</v>
      </c>
      <c r="J974" s="2161" t="n">
        <v>0</v>
      </c>
      <c r="K974" s="2161" t="n"/>
    </row>
    <row r="975" outlineLevel="3" ht="15.75" customHeight="1">
      <c r="A975" s="10" t="n">
        <v>1</v>
      </c>
      <c r="B975" s="10" t="inlineStr">
        <is>
          <t>Insumo</t>
        </is>
      </c>
      <c r="C975" s="10" t="inlineStr">
        <is>
          <t>Encunhamento De Alvenaria De Vedação Com Argamassa para encunhmento</t>
        </is>
      </c>
      <c r="D975" s="10" t="inlineStr">
        <is>
          <t>Argamassa para encunhamento</t>
        </is>
      </c>
      <c r="E975" s="11">
        <f t="array" ref="E975">_xlfn.XLOOKUP(D975,Insumos!B:B,Insumos!C:$C)</f>
        <v/>
      </c>
      <c r="F975" s="14" t="n">
        <v>0.7672</v>
      </c>
      <c r="G975" s="92">
        <f t="array" ref="G975">IF(B975="insumo",_xlfn.XLOOKUP($D975,Insumos!$B$1:$B$996,Insumos!$D$1:$D$996),"")</f>
        <v/>
      </c>
      <c r="H975" s="92" t="n">
        <v>1.9655664</v>
      </c>
      <c r="I975" s="2162" t="n">
        <v>0</v>
      </c>
      <c r="J975" s="2162" t="n">
        <v>0</v>
      </c>
      <c r="K975" s="2162" t="n"/>
    </row>
    <row r="976" outlineLevel="3" ht="15.75" customHeight="1">
      <c r="A976" s="10" t="n">
        <v>3</v>
      </c>
      <c r="B976" s="10" t="inlineStr">
        <is>
          <t>Insumo</t>
        </is>
      </c>
      <c r="C976" s="10" t="inlineStr">
        <is>
          <t>Encunhamento De Alvenaria De Vedação Com Argamassa para encunhmento</t>
        </is>
      </c>
      <c r="D976" s="10" t="inlineStr">
        <is>
          <t>ADITIVO EXPANSOR EM PÓ</t>
        </is>
      </c>
      <c r="E976" s="11">
        <f t="array" ref="E976">_xlfn.XLOOKUP(D976,Insumos!B:B,Insumos!C:$C)</f>
        <v/>
      </c>
      <c r="F976" s="14" t="n">
        <v>0.07000000000000001</v>
      </c>
      <c r="G976" s="92">
        <f t="array" ref="G976">IF(B976="insumo",_xlfn.XLOOKUP($D976,Insumos!$B$1:$B$996,Insumos!$D$1:$D$996),"")</f>
        <v/>
      </c>
      <c r="H976" s="92" t="n">
        <v>13.3</v>
      </c>
      <c r="I976" s="2162" t="n">
        <v>0</v>
      </c>
      <c r="J976" s="2162" t="n">
        <v>0</v>
      </c>
      <c r="K976" s="2162" t="n"/>
    </row>
    <row r="977" outlineLevel="2" ht="15.75" customHeight="1">
      <c r="A977" s="1067" t="n">
        <v>1</v>
      </c>
      <c r="B977" s="1067" t="inlineStr">
        <is>
          <t>Serviço</t>
        </is>
      </c>
      <c r="C977" s="1067" t="inlineStr">
        <is>
          <t>Tela soldada para ligacao alvenaria/estrutura</t>
        </is>
      </c>
      <c r="D977" s="1067" t="inlineStr">
        <is>
          <t>Tela soldada para ligacao alvenaria/estrutura</t>
        </is>
      </c>
      <c r="E977" s="1068" t="inlineStr">
        <is>
          <t>UN</t>
        </is>
      </c>
      <c r="F977" s="1067" t="n"/>
      <c r="G977" s="1069">
        <f t="array" ref="G977">IF(B977="insumo",_xlfn.XLOOKUP($D977,Insumos!$B$1:$B$996,Insumos!$D$1:$D$996),"")</f>
        <v/>
      </c>
      <c r="H977" s="1069" t="n">
        <v>4.1072</v>
      </c>
      <c r="I977" s="2161" t="e">
        <v>#REF!</v>
      </c>
      <c r="J977" s="2161" t="e">
        <v>#REF!</v>
      </c>
      <c r="K977" s="2161" t="n"/>
    </row>
    <row r="978" outlineLevel="3" ht="15.75" customHeight="1">
      <c r="A978" s="10" t="n">
        <v>2</v>
      </c>
      <c r="B978" s="10" t="inlineStr">
        <is>
          <t>Insumo</t>
        </is>
      </c>
      <c r="C978" s="10" t="inlineStr">
        <is>
          <t>Tela soldada para ligacao alvenaria/estrutura</t>
        </is>
      </c>
      <c r="D978" s="10" t="inlineStr">
        <is>
          <t>PINO DE ACO COM FURO, HASTE = 27 MM (ACAO DIRETA)</t>
        </is>
      </c>
      <c r="E978" s="11">
        <f t="array" ref="E978">_xlfn.XLOOKUP(D978,Insumos!B:B,Insumos!C:$C)</f>
        <v/>
      </c>
      <c r="F978" s="14" t="n">
        <v>2</v>
      </c>
      <c r="G978" s="92">
        <f t="array" ref="G978">IF(B978="insumo",_xlfn.XLOOKUP($D978,Insumos!$B$1:$B$996,Insumos!$D$1:$D$996),"")</f>
        <v/>
      </c>
      <c r="H978" s="92" t="n">
        <v>0.8672</v>
      </c>
      <c r="I978" s="2162" t="e">
        <v>#REF!</v>
      </c>
      <c r="J978" s="2162" t="e">
        <v>#REF!</v>
      </c>
      <c r="K978" s="2162" t="n"/>
    </row>
    <row r="979" outlineLevel="3" ht="15.75" customHeight="1">
      <c r="A979" s="10" t="n">
        <v>2</v>
      </c>
      <c r="B979" s="10" t="inlineStr">
        <is>
          <t>Insumo</t>
        </is>
      </c>
      <c r="C979" s="10" t="inlineStr">
        <is>
          <t>Tela soldada para ligacao alvenaria/estrutura</t>
        </is>
      </c>
      <c r="D979" s="10" t="inlineStr">
        <is>
          <t>TELA DE ACO SOLDADA GALVANIZADA/ZINCADA PARA ALVENARIA, FIO D = *1,20 A 1,70* MM, MALHA 15 X 15 MM, (C X L) *50 X 17,5* CM</t>
        </is>
      </c>
      <c r="E979" s="11">
        <f t="array" ref="E979">_xlfn.XLOOKUP(D979,Insumos!B:B,Insumos!C:$C)</f>
        <v/>
      </c>
      <c r="F979" s="14" t="n">
        <v>1</v>
      </c>
      <c r="G979" s="92">
        <f t="array" ref="G979">IF(B979="insumo",_xlfn.XLOOKUP($D979,Insumos!$B$1:$B$996,Insumos!$D$1:$D$996),"")</f>
        <v/>
      </c>
      <c r="H979" s="92" t="n">
        <v>2.5</v>
      </c>
      <c r="I979" s="2162" t="e">
        <v>#REF!</v>
      </c>
      <c r="J979" s="2162" t="e">
        <v>#REF!</v>
      </c>
      <c r="K979" s="2162" t="n"/>
    </row>
    <row r="980" outlineLevel="3" ht="15.75" customHeight="1">
      <c r="A980" s="10" t="n">
        <v>2</v>
      </c>
      <c r="B980" s="10" t="inlineStr">
        <is>
          <t>Insumo</t>
        </is>
      </c>
      <c r="C980" s="10" t="inlineStr">
        <is>
          <t>Tela soldada para ligacao alvenaria/estrutura</t>
        </is>
      </c>
      <c r="D980" s="10" t="inlineStr">
        <is>
          <t>CARTUCHO/MUNIÇÃO FINCAPINO 22</t>
        </is>
      </c>
      <c r="E980" s="11">
        <f t="array" ref="E980">_xlfn.XLOOKUP(D980,Insumos!B:B,Insumos!C:$C)</f>
        <v/>
      </c>
      <c r="F980" s="14" t="n">
        <v>2</v>
      </c>
      <c r="G980" s="92">
        <f t="array" ref="G980">IF(B980="insumo",_xlfn.XLOOKUP($D980,Insumos!$B$1:$B$996,Insumos!$D$1:$D$996),"")</f>
        <v/>
      </c>
      <c r="H980" s="92" t="n">
        <v>0.74</v>
      </c>
      <c r="I980" s="2162" t="e">
        <v>#REF!</v>
      </c>
      <c r="J980" s="2162" t="e">
        <v>#REF!</v>
      </c>
      <c r="K980" s="2162" t="n"/>
    </row>
    <row r="981" outlineLevel="2" ht="15.75" customHeight="1">
      <c r="A981" s="1067" t="n">
        <v>1</v>
      </c>
      <c r="B981" s="1067" t="inlineStr">
        <is>
          <t>Serviço</t>
        </is>
      </c>
      <c r="C981" s="1067" t="inlineStr">
        <is>
          <t>Verga/contraverga de concreto, moldada in loco</t>
        </is>
      </c>
      <c r="D981" s="1067" t="inlineStr">
        <is>
          <t>Verga/contraverga de concreto, moldada in loco</t>
        </is>
      </c>
      <c r="E981" s="1068" t="inlineStr">
        <is>
          <t>UN</t>
        </is>
      </c>
      <c r="F981" s="1067" t="n"/>
      <c r="G981" s="1069">
        <f t="array" ref="G981">IF(B981="insumo",_xlfn.XLOOKUP($D981,Insumos!$B$1:$B$996,Insumos!$D$1:$D$996),"")</f>
        <v/>
      </c>
      <c r="H981" s="1069" t="n">
        <v>79.4036757105395</v>
      </c>
      <c r="I981" s="2161" t="e">
        <v>#REF!</v>
      </c>
      <c r="J981" s="2161" t="e">
        <v>#REF!</v>
      </c>
      <c r="K981" s="2161" t="n"/>
    </row>
    <row r="982" outlineLevel="3" ht="15.75" customHeight="1">
      <c r="A982" s="10" t="n">
        <v>5</v>
      </c>
      <c r="B982" s="10" t="inlineStr">
        <is>
          <t>Insumo</t>
        </is>
      </c>
      <c r="C982" s="10" t="inlineStr">
        <is>
          <t>Verga/contraverga de concreto, moldada in loco</t>
        </is>
      </c>
      <c r="D982" s="10" t="inlineStr">
        <is>
          <t>Aço CA50 8,0 mm</t>
        </is>
      </c>
      <c r="E982" s="11">
        <f t="array" ref="E982">_xlfn.XLOOKUP(D982,Insumos!B:B,Insumos!C:$C)</f>
        <v/>
      </c>
      <c r="F982" s="14" t="n">
        <v>0.8769</v>
      </c>
      <c r="G982" s="92">
        <f t="array" ref="G982">IF(B982="insumo",_xlfn.XLOOKUP($D982,Insumos!$B$1:$B$996,Insumos!$D$1:$D$996),"")</f>
        <v/>
      </c>
      <c r="H982" s="92" t="n">
        <v>4.31860707053951</v>
      </c>
      <c r="I982" s="2162" t="e">
        <v>#REF!</v>
      </c>
      <c r="J982" s="2162" t="e">
        <v>#REF!</v>
      </c>
      <c r="K982" s="2162" t="n"/>
    </row>
    <row r="983" outlineLevel="3" ht="15.75" customHeight="1">
      <c r="A983" s="10" t="n">
        <v>40</v>
      </c>
      <c r="B983" s="10" t="inlineStr">
        <is>
          <t>Insumo</t>
        </is>
      </c>
      <c r="C983" s="10" t="inlineStr">
        <is>
          <t>Verga/contraverga de concreto, moldada in loco</t>
        </is>
      </c>
      <c r="D983" s="10" t="inlineStr">
        <is>
          <t>PREGO DE ACO POLIDO COM CABECA 17 X 21 (2 X 11)</t>
        </is>
      </c>
      <c r="E983" s="11">
        <f t="array" ref="E983">_xlfn.XLOOKUP(D983,Insumos!B:B,Insumos!C:$C)</f>
        <v/>
      </c>
      <c r="F983" s="14" t="n">
        <v>0.009728000000000001</v>
      </c>
      <c r="G983" s="92">
        <f t="array" ref="G983">IF(B983="insumo",_xlfn.XLOOKUP($D983,Insumos!$B$1:$B$996,Insumos!$D$1:$D$996),"")</f>
        <v/>
      </c>
      <c r="H983" s="92" t="n">
        <v>0.17636864</v>
      </c>
      <c r="I983" s="2162" t="e">
        <v>#REF!</v>
      </c>
      <c r="J983" s="2162" t="e">
        <v>#REF!</v>
      </c>
      <c r="K983" s="2162" t="n"/>
    </row>
    <row r="984" outlineLevel="3" ht="15.75" customHeight="1">
      <c r="A984" s="10" t="n">
        <v>1</v>
      </c>
      <c r="B984" s="10" t="inlineStr">
        <is>
          <t>Insumo</t>
        </is>
      </c>
      <c r="C984" s="10" t="inlineStr">
        <is>
          <t>Verga/contraverga de concreto, moldada in loco</t>
        </is>
      </c>
      <c r="D984" s="10" t="inlineStr">
        <is>
          <t>ESPACADOR / DISTANCIADOR CIRCULAR COM ENTRADA LATERAL, EM PLASTICO, PARA VERGALHAO *4,2 A 12,5* MM, COBRIMENTO 40 MM</t>
        </is>
      </c>
      <c r="E984" s="11">
        <f t="array" ref="E984">_xlfn.XLOOKUP(D984,Insumos!B:B,Insumos!C:$C)</f>
        <v/>
      </c>
      <c r="F984" s="14" t="n">
        <v>6</v>
      </c>
      <c r="G984" s="92">
        <f t="array" ref="G984">IF(B984="insumo",_xlfn.XLOOKUP($D984,Insumos!$B$1:$B$996,Insumos!$D$1:$D$996),"")</f>
        <v/>
      </c>
      <c r="H984" s="92" t="n">
        <v>2.58</v>
      </c>
      <c r="I984" s="2162" t="e">
        <v>#REF!</v>
      </c>
      <c r="J984" s="2162" t="e">
        <v>#REF!</v>
      </c>
      <c r="K984" s="2162" t="n"/>
    </row>
    <row r="985" outlineLevel="3" ht="15.75" customHeight="1">
      <c r="A985" s="10" t="n">
        <v>4</v>
      </c>
      <c r="B985" s="10" t="inlineStr">
        <is>
          <t>Insumo</t>
        </is>
      </c>
      <c r="C985" s="10" t="inlineStr">
        <is>
          <t>Verga/contraverga de concreto, moldada in loco</t>
        </is>
      </c>
      <c r="D985" s="10" t="inlineStr">
        <is>
          <t>Concreto Usinado bombeável 30MPa Convencional</t>
        </is>
      </c>
      <c r="E985" s="11">
        <f t="array" ref="E985">_xlfn.XLOOKUP(D985,Insumos!B:B,Insumos!C:$C)</f>
        <v/>
      </c>
      <c r="F985" s="14" t="n">
        <v>0.032</v>
      </c>
      <c r="G985" s="92">
        <f t="array" ref="G985">IF(B985="insumo",_xlfn.XLOOKUP($D985,Insumos!$B$1:$B$996,Insumos!$D$1:$D$996),"")</f>
        <v/>
      </c>
      <c r="H985" s="92" t="n">
        <v>16.32</v>
      </c>
      <c r="I985" s="2162" t="e">
        <v>#REF!</v>
      </c>
      <c r="J985" s="2162" t="e">
        <v>#REF!</v>
      </c>
      <c r="K985" s="2162" t="n"/>
    </row>
    <row r="986" outlineLevel="3" ht="15.75" customHeight="1">
      <c r="A986" s="10" t="n">
        <v>10</v>
      </c>
      <c r="B986" s="10" t="inlineStr">
        <is>
          <t>Insumo</t>
        </is>
      </c>
      <c r="C986" s="10" t="inlineStr">
        <is>
          <t>Verga/contraverga de concreto, moldada in loco</t>
        </is>
      </c>
      <c r="D986" s="10" t="inlineStr">
        <is>
          <t xml:space="preserve">DESMOLDANTE PROTETOR PARA FORMAS DE MADEIRA, DE BASE OLEOSA EMULSIONADA EM AGUA   </t>
        </is>
      </c>
      <c r="E986" s="11">
        <f t="array" ref="E986">_xlfn.XLOOKUP(D986,Insumos!B:B,Insumos!C:$C)</f>
        <v/>
      </c>
      <c r="F986" s="14" t="n">
        <v>0.008999999999999999</v>
      </c>
      <c r="G986" s="92">
        <f t="array" ref="G986">IF(B986="insumo",_xlfn.XLOOKUP($D986,Insumos!$B$1:$B$996,Insumos!$D$1:$D$996),"")</f>
        <v/>
      </c>
      <c r="H986" s="92" t="n">
        <v>0.13995</v>
      </c>
      <c r="I986" s="2166" t="e">
        <v>#REF!</v>
      </c>
      <c r="J986" s="2166" t="e">
        <v>#REF!</v>
      </c>
      <c r="K986" s="2166" t="n"/>
    </row>
    <row r="987" outlineLevel="3" ht="15.75" customHeight="1">
      <c r="A987" s="10" t="n">
        <v>7</v>
      </c>
      <c r="B987" s="10" t="inlineStr">
        <is>
          <t>Insumo</t>
        </is>
      </c>
      <c r="C987" s="10" t="inlineStr">
        <is>
          <t>Verga/contraverga de concreto, moldada in loco</t>
        </is>
      </c>
      <c r="D987" s="10" t="inlineStr">
        <is>
          <t>PONTALETE *7,5 X 7,5* CM EM PINUS, MISTA OU EQUIVALENTE DA REGIAO - BRUTA</t>
        </is>
      </c>
      <c r="E987" s="11">
        <f t="array" ref="E987">_xlfn.XLOOKUP(D987,Insumos!B:B,Insumos!C:$C)</f>
        <v/>
      </c>
      <c r="F987" s="14" t="n">
        <v>0.015225</v>
      </c>
      <c r="G987" s="92">
        <f t="array" ref="G987">IF(B987="insumo",_xlfn.XLOOKUP($D987,Insumos!$B$1:$B$996,Insumos!$D$1:$D$996),"")</f>
        <v/>
      </c>
      <c r="H987" s="92" t="n">
        <v>16.7475</v>
      </c>
      <c r="I987" s="2162" t="e">
        <v>#REF!</v>
      </c>
      <c r="J987" s="2162" t="e">
        <v>#REF!</v>
      </c>
      <c r="K987" s="2162" t="n"/>
    </row>
    <row r="988" outlineLevel="3" ht="15.75" customHeight="1">
      <c r="A988" s="10" t="n">
        <v>19</v>
      </c>
      <c r="B988" s="10" t="inlineStr">
        <is>
          <t>Insumo</t>
        </is>
      </c>
      <c r="C988" s="10" t="inlineStr">
        <is>
          <t>Verga/contraverga de concreto, moldada in loco</t>
        </is>
      </c>
      <c r="D988" s="10" t="inlineStr">
        <is>
          <t>SARRAFO *2,5 X 7,5* CM EM PINUS, MISTA OU EQUIVALENTE DA REGIAO - BRUTA</t>
        </is>
      </c>
      <c r="E988" s="11">
        <f t="array" ref="E988">_xlfn.XLOOKUP(D988,Insumos!B:B,Insumos!C:$C)</f>
        <v/>
      </c>
      <c r="F988" s="14" t="n">
        <v>0.001875</v>
      </c>
      <c r="G988" s="92">
        <f t="array" ref="G988">IF(B988="insumo",_xlfn.XLOOKUP($D988,Insumos!$B$1:$B$996,Insumos!$D$1:$D$996),"")</f>
        <v/>
      </c>
      <c r="H988" s="92" t="n">
        <v>2.53125</v>
      </c>
      <c r="I988" s="2162" t="e">
        <v>#REF!</v>
      </c>
      <c r="J988" s="2162" t="e">
        <v>#REF!</v>
      </c>
      <c r="K988" s="2162" t="n"/>
    </row>
    <row r="989" outlineLevel="3" ht="15.75" customHeight="1">
      <c r="A989" s="10" t="n">
        <v>6</v>
      </c>
      <c r="B989" s="10" t="inlineStr">
        <is>
          <t>Insumo</t>
        </is>
      </c>
      <c r="C989" s="10" t="inlineStr">
        <is>
          <t>Verga/contraverga de concreto, moldada in loco</t>
        </is>
      </c>
      <c r="D989" s="10" t="inlineStr">
        <is>
          <t>TABUA *2,5 X 30 CM EM PINUS, MISTA OU EQUIVALENTE DA REGIAO - BRUTA (M)</t>
        </is>
      </c>
      <c r="E989" s="11">
        <f t="array" ref="E989">_xlfn.XLOOKUP(D989,Insumos!B:B,Insumos!C:$C)</f>
        <v/>
      </c>
      <c r="F989" s="14" t="n">
        <v>0.8617522373999058</v>
      </c>
      <c r="G989" s="92">
        <f t="array" ref="G989">IF(B989="insumo",_xlfn.XLOOKUP($D989,Insumos!$B$1:$B$996,Insumos!$D$1:$D$996),"")</f>
        <v/>
      </c>
      <c r="H989" s="92" t="n">
        <v>36.59</v>
      </c>
      <c r="I989" s="2162" t="e">
        <v>#REF!</v>
      </c>
      <c r="J989" s="2162" t="e">
        <v>#REF!</v>
      </c>
      <c r="K989" s="2162" t="n"/>
    </row>
    <row r="990" outlineLevel="1" ht="15.75" customHeight="1">
      <c r="A990" s="1090" t="n">
        <v>1</v>
      </c>
      <c r="B990" s="1090" t="inlineStr">
        <is>
          <t>Subetapa</t>
        </is>
      </c>
      <c r="C990" s="1090" t="inlineStr">
        <is>
          <t>Verga/contraverga de concreto, moldada in loco</t>
        </is>
      </c>
      <c r="D990" s="1090" t="inlineStr">
        <is>
          <t>CERAMICO ESTRUTURAL</t>
        </is>
      </c>
      <c r="E990" s="1091" t="n"/>
      <c r="F990" s="2160" t="n"/>
      <c r="G990" s="1091" t="n"/>
      <c r="H990" s="1091" t="n">
        <v>0</v>
      </c>
      <c r="I990" s="2160" t="n">
        <v>0</v>
      </c>
      <c r="J990" s="2160" t="n">
        <v>0</v>
      </c>
      <c r="K990" s="2160" t="n"/>
    </row>
    <row r="991" outlineLevel="2" ht="15.75" customHeight="1">
      <c r="A991" s="1067" t="n">
        <v>1</v>
      </c>
      <c r="B991" s="1067" t="inlineStr">
        <is>
          <t>Serviço</t>
        </is>
      </c>
      <c r="C991" s="1067" t="inlineStr">
        <is>
          <t>Alvenaria de vedacao de blocos ceramicos estrutural de 14x19x29cm (espessura 14cm) com argamassa industrializada de assentamento</t>
        </is>
      </c>
      <c r="D991" s="1067" t="inlineStr">
        <is>
          <t>Alvenaria de vedacao de blocos ceramicos estrutural de 14x19x29cm (espessura 14cm) com argamassa industrializada de assentamento</t>
        </is>
      </c>
      <c r="E991" s="1068" t="inlineStr">
        <is>
          <t>M2</t>
        </is>
      </c>
      <c r="F991" s="1067" t="n"/>
      <c r="G991" s="1069">
        <f t="array" ref="G991">IF(B991="insumo",_xlfn.XLOOKUP($D991,Insumos!$B$1:$B$996,Insumos!$D$1:$D$996),"")</f>
        <v/>
      </c>
      <c r="H991" s="1069" t="n">
        <v>60.94</v>
      </c>
      <c r="I991" s="2161" t="n">
        <v>0</v>
      </c>
      <c r="J991" s="2161" t="n">
        <v>0</v>
      </c>
      <c r="K991" s="2161" t="n"/>
    </row>
    <row r="992" outlineLevel="3" ht="15.75" customHeight="1">
      <c r="A992" s="10" t="n">
        <v>1</v>
      </c>
      <c r="B992" s="10" t="inlineStr">
        <is>
          <t>Insumo</t>
        </is>
      </c>
      <c r="C992" s="10" t="inlineStr">
        <is>
          <t>Alvenaria de vedacao de blocos ceramicos estrutural de 14x19x29cm (espessura 14cm) com argamassa industrializada de assentamento</t>
        </is>
      </c>
      <c r="D992" s="10" t="inlineStr">
        <is>
          <t>BLOCO CERÂMICO ESTRUTURAL 04MPA 14X19X29CM NBR 6136</t>
        </is>
      </c>
      <c r="E992" s="11">
        <f t="array" ref="E992">_xlfn.XLOOKUP(D992,Insumos!B:B,Insumos!C:$C)</f>
        <v/>
      </c>
      <c r="F992" s="14">
        <f>ROUNDUP(1/(0.19*0.29),)</f>
        <v/>
      </c>
      <c r="G992" s="92">
        <f t="array" ref="G992">IF(B992="insumo",_xlfn.XLOOKUP($D992,Insumos!$B$1:$B$996,Insumos!$D$1:$D$996),"")</f>
        <v/>
      </c>
      <c r="H992" s="92" t="n">
        <v>52.44</v>
      </c>
      <c r="I992" s="2162" t="n">
        <v>0</v>
      </c>
      <c r="J992" s="2162" t="n">
        <v>0</v>
      </c>
      <c r="K992" s="2162" t="n"/>
    </row>
    <row r="993" outlineLevel="3" ht="15.75" customHeight="1">
      <c r="A993" s="10" t="n">
        <v>17</v>
      </c>
      <c r="B993" s="10" t="inlineStr">
        <is>
          <t>Insumo</t>
        </is>
      </c>
      <c r="C993" s="10" t="inlineStr">
        <is>
          <t>Alvenaria de vedacao de blocos ceramicos estrutural de 14x19x29cm (espessura 14cm) com argamassa industrializada de assentamento</t>
        </is>
      </c>
      <c r="D993" s="10" t="inlineStr">
        <is>
          <t>ARGAMASSA ESTABILIZADA PARA ASSENTAMENTO</t>
        </is>
      </c>
      <c r="E993" s="11">
        <f t="array" ref="E993">_xlfn.XLOOKUP(D993,Insumos!B:B,Insumos!C:$C)</f>
        <v/>
      </c>
      <c r="F993" s="14" t="n">
        <v>0.02</v>
      </c>
      <c r="G993" s="92">
        <f t="array" ref="G993">IF(B993="insumo",_xlfn.XLOOKUP($D993,Insumos!$B$1:$B$996,Insumos!$D$1:$D$996),"")</f>
        <v/>
      </c>
      <c r="H993" s="92" t="n">
        <v>8.5</v>
      </c>
      <c r="I993" s="2162" t="n">
        <v>0</v>
      </c>
      <c r="J993" s="2162" t="n">
        <v>0</v>
      </c>
      <c r="K993" s="2162" t="n"/>
    </row>
    <row r="994" outlineLevel="1" ht="15.75" customHeight="1">
      <c r="A994" s="1090" t="n">
        <v>1</v>
      </c>
      <c r="B994" s="1090" t="inlineStr">
        <is>
          <t>Subetapa</t>
        </is>
      </c>
      <c r="C994" s="1090" t="inlineStr">
        <is>
          <t>Alvenaria de vedacao de blocos ceramicos estrutural de 14x19x29cm (espessura 14cm) com argamassa industrializada de assentamento</t>
        </is>
      </c>
      <c r="D994" s="1090" t="inlineStr">
        <is>
          <t>CONCRETO ESTRUTURAL</t>
        </is>
      </c>
      <c r="E994" s="1091" t="n"/>
      <c r="F994" s="2160" t="n"/>
      <c r="G994" s="1091" t="n"/>
      <c r="H994" s="1091" t="n">
        <v>0</v>
      </c>
      <c r="I994" s="2160" t="n">
        <v>0</v>
      </c>
      <c r="J994" s="2160" t="n">
        <v>0</v>
      </c>
      <c r="K994" s="2160" t="n"/>
    </row>
    <row r="995" outlineLevel="2" ht="15.75" customHeight="1">
      <c r="A995" s="1067" t="n">
        <v>1</v>
      </c>
      <c r="B995" s="1067" t="inlineStr">
        <is>
          <t>Serviço</t>
        </is>
      </c>
      <c r="C995" s="1067" t="inlineStr">
        <is>
          <t>Alvenaria Estrutural Bloco de concreto de 4,0 MPA, com argamassa estabilizada</t>
        </is>
      </c>
      <c r="D995" s="1067" t="inlineStr">
        <is>
          <t>Alvenaria Estrutural Bloco de concreto de 4,0 MPA, com argamassa estabilizada</t>
        </is>
      </c>
      <c r="E995" s="1068" t="inlineStr">
        <is>
          <t>M2</t>
        </is>
      </c>
      <c r="F995" s="1067" t="n"/>
      <c r="G995" s="1069">
        <f t="array" ref="G995">IF(B995="insumo",_xlfn.XLOOKUP($D995,Insumos!$B$1:$B$996,Insumos!$D$1:$D$996),"")</f>
        <v/>
      </c>
      <c r="H995" s="1069" t="n">
        <v>12.2904694642892</v>
      </c>
      <c r="I995" s="2161" t="n">
        <v>0</v>
      </c>
      <c r="J995" s="2161" t="n">
        <v>0</v>
      </c>
      <c r="K995" s="2161" t="n"/>
    </row>
    <row r="996" outlineLevel="3" ht="15.75" customHeight="1">
      <c r="A996" s="10" t="n">
        <v>1</v>
      </c>
      <c r="B996" s="10" t="inlineStr">
        <is>
          <t>Insumo</t>
        </is>
      </c>
      <c r="C996" s="10" t="inlineStr">
        <is>
          <t>Alvenaria Estrutural Bloco de concreto de 4,0 MPA, com argamassa estabilizada</t>
        </is>
      </c>
      <c r="D996" s="10" t="inlineStr">
        <is>
          <t>BLOCO CONCRETO ESTRUTURAL 04MPA 14X19X44CM NBR 6136</t>
        </is>
      </c>
      <c r="E996" s="11">
        <f t="array" ref="E996">_xlfn.XLOOKUP(D996,Insumos!B:B,Insumos!C:$C)</f>
        <v/>
      </c>
      <c r="F996" s="14" t="n">
        <v>0.03859017236943658</v>
      </c>
      <c r="G996" s="92">
        <f t="array" ref="G996">IF(B996="insumo",_xlfn.XLOOKUP($D996,Insumos!$B$1:$B$996,Insumos!$D$1:$D$996),"")</f>
        <v/>
      </c>
      <c r="H996" s="92" t="n">
        <v>0.155132492925135</v>
      </c>
      <c r="I996" s="2162" t="n">
        <v>0</v>
      </c>
      <c r="J996" s="2162" t="n">
        <v>0</v>
      </c>
      <c r="K996" s="2162" t="n"/>
    </row>
    <row r="997" outlineLevel="3" ht="15.75" customHeight="1">
      <c r="A997" s="10" t="n">
        <v>1</v>
      </c>
      <c r="B997" s="10" t="inlineStr">
        <is>
          <t>Insumo</t>
        </is>
      </c>
      <c r="C997" s="10" t="inlineStr">
        <is>
          <t>Alvenaria Estrutural Bloco de concreto de 4,0 MPA, com argamassa estabilizada</t>
        </is>
      </c>
      <c r="D997" s="10" t="inlineStr">
        <is>
          <t>BLOCO CONCRETO ESTRUTURAL 04MPA 14X19X29CM NBR 6136</t>
        </is>
      </c>
      <c r="E997" s="11">
        <f t="array" ref="E997">_xlfn.XLOOKUP(D997,Insumos!B:B,Insumos!C:$C)</f>
        <v/>
      </c>
      <c r="F997" s="14" t="n">
        <v>1.606315924877798</v>
      </c>
      <c r="G997" s="92">
        <f t="array" ref="G997">IF(B997="insumo",_xlfn.XLOOKUP($D997,Insumos!$B$1:$B$996,Insumos!$D$1:$D$996),"")</f>
        <v/>
      </c>
      <c r="H997" s="92" t="n">
        <v>3.20941921790584</v>
      </c>
      <c r="I997" s="2162" t="n">
        <v>0</v>
      </c>
      <c r="J997" s="2162" t="n">
        <v>0</v>
      </c>
      <c r="K997" s="2162" t="n"/>
    </row>
    <row r="998" outlineLevel="3" ht="15.75" customHeight="1">
      <c r="A998" s="10" t="n">
        <v>1</v>
      </c>
      <c r="B998" s="10" t="inlineStr">
        <is>
          <t>Insumo</t>
        </is>
      </c>
      <c r="C998" s="10" t="inlineStr">
        <is>
          <t>Alvenaria Estrutural Bloco de concreto de 4,0 MPA, com argamassa estabilizada</t>
        </is>
      </c>
      <c r="D998" s="10" t="inlineStr">
        <is>
          <t>BLOCO CONCRETO ESTRUTURAL 04MPA 14X19X14CM NBR 6136</t>
        </is>
      </c>
      <c r="E998" s="11">
        <f t="array" ref="E998">_xlfn.XLOOKUP(D998,Insumos!B:B,Insumos!C:$C)</f>
        <v/>
      </c>
      <c r="F998" s="14" t="n">
        <v>0.09004373552868537</v>
      </c>
      <c r="G998" s="92">
        <f t="array" ref="G998">IF(B998="insumo",_xlfn.XLOOKUP($D998,Insumos!$B$1:$B$996,Insumos!$D$1:$D$996),"")</f>
        <v/>
      </c>
      <c r="H998" s="92" t="n">
        <v>0.123900180087471</v>
      </c>
      <c r="I998" s="2162" t="n">
        <v>0</v>
      </c>
      <c r="J998" s="2162" t="n">
        <v>0</v>
      </c>
      <c r="K998" s="2162" t="n"/>
    </row>
    <row r="999" outlineLevel="3" ht="15.75" customHeight="1">
      <c r="A999" s="10" t="n">
        <v>1</v>
      </c>
      <c r="B999" s="10" t="inlineStr">
        <is>
          <t>Insumo</t>
        </is>
      </c>
      <c r="C999" s="10" t="inlineStr">
        <is>
          <t>Alvenaria Estrutural Bloco de concreto de 4,0 MPA, com argamassa estabilizada</t>
        </is>
      </c>
      <c r="D999" s="10" t="inlineStr">
        <is>
          <t>BLOCO CONCRETO ESTRUTURAL 04MPA 14X19X09CM NBR 6136</t>
        </is>
      </c>
      <c r="E999" s="11">
        <f t="array" ref="E999">_xlfn.XLOOKUP(D999,Insumos!B:B,Insumos!C:$C)</f>
        <v/>
      </c>
      <c r="F999" s="14" t="n">
        <v>0.03859017236943658</v>
      </c>
      <c r="G999" s="92">
        <f t="array" ref="G999">IF(B999="insumo",_xlfn.XLOOKUP($D999,Insumos!$B$1:$B$996,Insumos!$D$1:$D$996),"")</f>
        <v/>
      </c>
      <c r="H999" s="92" t="n">
        <v>0.153935208090083</v>
      </c>
      <c r="I999" s="2162" t="n">
        <v>0</v>
      </c>
      <c r="J999" s="2162" t="n">
        <v>0</v>
      </c>
      <c r="K999" s="2162" t="n"/>
    </row>
    <row r="1000" outlineLevel="3" ht="15.75" customHeight="1">
      <c r="A1000" s="10" t="n">
        <v>1</v>
      </c>
      <c r="B1000" s="10" t="inlineStr">
        <is>
          <t>Insumo</t>
        </is>
      </c>
      <c r="C1000" s="10" t="inlineStr">
        <is>
          <t>Alvenaria Estrutural Bloco de concreto de 4,0 MPA, com argamassa estabilizada</t>
        </is>
      </c>
      <c r="D1000" s="10" t="inlineStr">
        <is>
          <t>BLOCO CONCRETO ESTRUTURAL 04MPA 14X19X04CM NBR 6136</t>
        </is>
      </c>
      <c r="E1000" s="11">
        <f t="array" ref="E1000">_xlfn.XLOOKUP(D1000,Insumos!B:B,Insumos!C:$C)</f>
        <v/>
      </c>
      <c r="F1000" s="14" t="n">
        <v>0.03537432467198354</v>
      </c>
      <c r="G1000" s="92">
        <f t="array" ref="G1000">IF(B1000="insumo",_xlfn.XLOOKUP($D1000,Insumos!$B$1:$B$996,Insumos!$D$1:$D$996),"")</f>
        <v/>
      </c>
      <c r="H1000" s="92" t="n">
        <v>0.148082365280719</v>
      </c>
      <c r="I1000" s="2162" t="n">
        <v>0</v>
      </c>
      <c r="J1000" s="2162" t="n">
        <v>0</v>
      </c>
      <c r="K1000" s="2162" t="n"/>
    </row>
    <row r="1001" outlineLevel="3" ht="15.75" customHeight="1">
      <c r="A1001" s="10" t="n">
        <v>17</v>
      </c>
      <c r="B1001" s="10" t="inlineStr">
        <is>
          <t>Insumo</t>
        </is>
      </c>
      <c r="C1001" s="10" t="inlineStr">
        <is>
          <t>Alvenaria Estrutural Bloco de concreto de 4,0 MPA, com argamassa estabilizada</t>
        </is>
      </c>
      <c r="D1001" s="10" t="inlineStr">
        <is>
          <t>ARGAMASSA ESTABILIZADA PARA ASSENTAMENTO</t>
        </is>
      </c>
      <c r="E1001" s="11">
        <f t="array" ref="E1001">_xlfn.XLOOKUP(D1001,Insumos!B:B,Insumos!C:$C)</f>
        <v/>
      </c>
      <c r="F1001" s="14" t="n">
        <v>0.02</v>
      </c>
      <c r="G1001" s="92">
        <f t="array" ref="G1001">IF(B1001="insumo",_xlfn.XLOOKUP($D1001,Insumos!$B$1:$B$996,Insumos!$D$1:$D$996),"")</f>
        <v/>
      </c>
      <c r="H1001" s="92" t="n">
        <v>8.5</v>
      </c>
      <c r="I1001" s="2162" t="n">
        <v>0</v>
      </c>
      <c r="J1001" s="2162" t="n">
        <v>0</v>
      </c>
      <c r="K1001" s="2162" t="n"/>
    </row>
    <row r="1002" outlineLevel="2" ht="15.75" customHeight="1">
      <c r="A1002" s="1067" t="n">
        <v>1</v>
      </c>
      <c r="B1002" s="1067" t="inlineStr">
        <is>
          <t>Serviço</t>
        </is>
      </c>
      <c r="C1002" s="1067" t="inlineStr">
        <is>
          <t>Alvenaria Estrutural Bloco de concreto de 6,0 MPA, com argamassa estabilizada</t>
        </is>
      </c>
      <c r="D1002" s="1067" t="inlineStr">
        <is>
          <t>Alvenaria Estrutural Bloco de concreto de 6,0 MPA, com argamassa estabilizada</t>
        </is>
      </c>
      <c r="E1002" s="1068" t="inlineStr">
        <is>
          <t>M2</t>
        </is>
      </c>
      <c r="F1002" s="1067" t="n"/>
      <c r="G1002" s="1069">
        <f t="array" ref="G1002">IF(B1002="insumo",_xlfn.XLOOKUP($D1002,Insumos!$B$1:$B$996,Insumos!$D$1:$D$996),"")</f>
        <v/>
      </c>
      <c r="H1002" s="1069" t="n">
        <v>45.9660876018064</v>
      </c>
      <c r="I1002" s="2161" t="n">
        <v>0</v>
      </c>
      <c r="J1002" s="2161" t="n">
        <v>0</v>
      </c>
      <c r="K1002" s="2161" t="n"/>
    </row>
    <row r="1003" outlineLevel="3" ht="15.75" customHeight="1">
      <c r="A1003" s="10" t="n">
        <v>1</v>
      </c>
      <c r="B1003" s="10" t="inlineStr">
        <is>
          <t>Insumo</t>
        </is>
      </c>
      <c r="C1003" s="10" t="inlineStr">
        <is>
          <t>Alvenaria Estrutural Bloco de concreto de 6,0 MPA, com argamassa estabilizada</t>
        </is>
      </c>
      <c r="D1003" s="10" t="inlineStr">
        <is>
          <t>BLOCO CONCRETO ESTRUTURAL 06MPA 14X19X44CM NBR 6136</t>
        </is>
      </c>
      <c r="E1003" s="11">
        <f t="array" ref="E1003">_xlfn.XLOOKUP(D1003,Insumos!B:B,Insumos!C:$C)</f>
        <v/>
      </c>
      <c r="F1003" s="14" t="n">
        <v>0.1520073917319901</v>
      </c>
      <c r="G1003" s="92">
        <f t="array" ref="G1003">IF(B1003="insumo",_xlfn.XLOOKUP($D1003,Insumos!$B$1:$B$996,Insumos!$D$1:$D$996),"")</f>
        <v/>
      </c>
      <c r="H1003" s="92" t="n">
        <v>0.636758963965306</v>
      </c>
      <c r="I1003" s="2162" t="n">
        <v>0</v>
      </c>
      <c r="J1003" s="2162" t="n">
        <v>0</v>
      </c>
      <c r="K1003" s="2162" t="n"/>
    </row>
    <row r="1004" outlineLevel="3" ht="15.75" customHeight="1">
      <c r="A1004" s="10" t="n">
        <v>1</v>
      </c>
      <c r="B1004" s="10" t="inlineStr">
        <is>
          <t>Insumo</t>
        </is>
      </c>
      <c r="C1004" s="10" t="inlineStr">
        <is>
          <t>Alvenaria Estrutural Bloco de concreto de 6,0 MPA, com argamassa estabilizada</t>
        </is>
      </c>
      <c r="D1004" s="10" t="inlineStr">
        <is>
          <t>BLOCO CONCRETO ESTRUTURAL 06MPA 14X19X29CM NBR 6136</t>
        </is>
      </c>
      <c r="E1004" s="11">
        <f t="array" ref="E1004">_xlfn.XLOOKUP(D1004,Insumos!B:B,Insumos!C:$C)</f>
        <v/>
      </c>
      <c r="F1004" s="14" t="n">
        <v>11.7105302375488</v>
      </c>
      <c r="G1004" s="92">
        <f t="array" ref="G1004">IF(B1004="insumo",_xlfn.XLOOKUP($D1004,Insumos!$B$1:$B$996,Insumos!$D$1:$D$996),"")</f>
        <v/>
      </c>
      <c r="H1004" s="92" t="n">
        <v>24.5686924383774</v>
      </c>
      <c r="I1004" s="2162" t="n">
        <v>0</v>
      </c>
      <c r="J1004" s="2162" t="n">
        <v>0</v>
      </c>
      <c r="K1004" s="2162" t="n"/>
    </row>
    <row r="1005" outlineLevel="3" ht="15.75" customHeight="1">
      <c r="A1005" s="10" t="n">
        <v>1</v>
      </c>
      <c r="B1005" s="10" t="inlineStr">
        <is>
          <t>Insumo</t>
        </is>
      </c>
      <c r="C1005" s="10" t="inlineStr">
        <is>
          <t>Alvenaria Estrutural Bloco de concreto de 6,0 MPA, com argamassa estabilizada</t>
        </is>
      </c>
      <c r="D1005" s="10" t="inlineStr">
        <is>
          <t>BLOCO CONCRETO ESTRUTURAL 06MPA 14X19X14CM NBR 6136</t>
        </is>
      </c>
      <c r="E1005" s="11">
        <f t="array" ref="E1005">_xlfn.XLOOKUP(D1005,Insumos!B:B,Insumos!C:$C)</f>
        <v/>
      </c>
      <c r="F1005" s="14" t="n">
        <v>0.7570564215671663</v>
      </c>
      <c r="G1005" s="92">
        <f t="array" ref="G1005">IF(B1005="insumo",_xlfn.XLOOKUP($D1005,Insumos!$B$1:$B$996,Insumos!$D$1:$D$996),"")</f>
        <v/>
      </c>
      <c r="H1005" s="92" t="n">
        <v>1.08713302137045</v>
      </c>
      <c r="I1005" s="2162" t="n">
        <v>0</v>
      </c>
      <c r="J1005" s="2162" t="n">
        <v>0</v>
      </c>
      <c r="K1005" s="2162" t="n"/>
    </row>
    <row r="1006" outlineLevel="3" ht="15.75" customHeight="1">
      <c r="A1006" s="10" t="n">
        <v>1</v>
      </c>
      <c r="B1006" s="10" t="inlineStr">
        <is>
          <t>Insumo</t>
        </is>
      </c>
      <c r="C1006" s="10" t="inlineStr">
        <is>
          <t>Alvenaria Estrutural Bloco de concreto de 6,0 MPA, com argamassa estabilizada</t>
        </is>
      </c>
      <c r="D1006" s="10" t="inlineStr">
        <is>
          <t>BLOCO CONCRETO ESTRUTURAL 06MPA 14X19X09CM NBR 6136</t>
        </is>
      </c>
      <c r="E1006" s="11">
        <f t="array" ref="E1006">_xlfn.XLOOKUP(D1006,Insumos!B:B,Insumos!C:$C)</f>
        <v/>
      </c>
      <c r="F1006" s="14" t="n">
        <v>0.4142946558969926</v>
      </c>
      <c r="G1006" s="92">
        <f t="array" ref="G1006">IF(B1006="insumo",_xlfn.XLOOKUP($D1006,Insumos!$B$1:$B$996,Insumos!$D$1:$D$996),"")</f>
        <v/>
      </c>
      <c r="H1006" s="92" t="n">
        <v>1.65261075943321</v>
      </c>
      <c r="I1006" s="2162" t="n">
        <v>0</v>
      </c>
      <c r="J1006" s="2162" t="n">
        <v>0</v>
      </c>
      <c r="K1006" s="2162" t="n"/>
    </row>
    <row r="1007" outlineLevel="3" ht="15.75" customHeight="1">
      <c r="A1007" s="10" t="n">
        <v>1</v>
      </c>
      <c r="B1007" s="10" t="inlineStr">
        <is>
          <t>Insumo</t>
        </is>
      </c>
      <c r="C1007" s="10" t="inlineStr">
        <is>
          <t>Alvenaria Estrutural Bloco de concreto de 6,0 MPA, com argamassa estabilizada</t>
        </is>
      </c>
      <c r="D1007" s="10" t="inlineStr">
        <is>
          <t>BLOCO CONCRETO ESTRUTURAL 06MPA 14X19X04CM NBR 6136</t>
        </is>
      </c>
      <c r="E1007" s="11">
        <f t="array" ref="E1007">_xlfn.XLOOKUP(D1007,Insumos!B:B,Insumos!C:$C)</f>
        <v/>
      </c>
      <c r="F1007" s="14" t="n">
        <v>0.6318738636702332</v>
      </c>
      <c r="G1007" s="92">
        <f t="array" ref="G1007">IF(B1007="insumo",_xlfn.XLOOKUP($D1007,Insumos!$B$1:$B$996,Insumos!$D$1:$D$996),"")</f>
        <v/>
      </c>
      <c r="H1007" s="92" t="n">
        <v>2.64512120468724</v>
      </c>
      <c r="I1007" s="2162" t="n">
        <v>0</v>
      </c>
      <c r="J1007" s="2162" t="n">
        <v>0</v>
      </c>
      <c r="K1007" s="2162" t="n"/>
    </row>
    <row r="1008" outlineLevel="3" ht="15.75" customHeight="1">
      <c r="A1008" s="10" t="n">
        <v>1</v>
      </c>
      <c r="B1008" s="10" t="inlineStr">
        <is>
          <t>Insumo</t>
        </is>
      </c>
      <c r="C1008" s="10" t="inlineStr">
        <is>
          <t>Alvenaria Estrutural Bloco de concreto de 6,0 MPA, com argamassa estabilizada</t>
        </is>
      </c>
      <c r="D1008" s="10" t="inlineStr">
        <is>
          <t>CANALETA CONCRETO ESTRUTURAL "U" 06MPA 14X19X29CM NBR 6136</t>
        </is>
      </c>
      <c r="E1008" s="11">
        <f t="array" ref="E1008">_xlfn.XLOOKUP(D1008,Insumos!B:B,Insumos!C:$C)</f>
        <v/>
      </c>
      <c r="F1008" s="14" t="n">
        <v>2.080414890763315</v>
      </c>
      <c r="G1008" s="92">
        <f t="array" ref="G1008">IF(B1008="insumo",_xlfn.XLOOKUP($D1008,Insumos!$B$1:$B$996,Insumos!$D$1:$D$996),"")</f>
        <v/>
      </c>
      <c r="H1008" s="92" t="n">
        <v>6.87577121397276</v>
      </c>
      <c r="I1008" s="2162" t="n">
        <v>0</v>
      </c>
      <c r="J1008" s="2162" t="n">
        <v>0</v>
      </c>
      <c r="K1008" s="2162" t="n"/>
    </row>
    <row r="1009" outlineLevel="3" ht="15.75" customHeight="1">
      <c r="A1009" s="10" t="n">
        <v>17</v>
      </c>
      <c r="B1009" s="10" t="inlineStr">
        <is>
          <t>Insumo</t>
        </is>
      </c>
      <c r="C1009" s="10" t="inlineStr">
        <is>
          <t>Alvenaria Estrutural Bloco de concreto de 6,0 MPA, com argamassa estabilizada</t>
        </is>
      </c>
      <c r="D1009" s="10" t="inlineStr">
        <is>
          <t>ARGAMASSA ESTABILIZADA PARA ASSENTAMENTO</t>
        </is>
      </c>
      <c r="E1009" s="11">
        <f t="array" ref="E1009">_xlfn.XLOOKUP(D1009,Insumos!B:B,Insumos!C:$C)</f>
        <v/>
      </c>
      <c r="F1009" s="14" t="n">
        <v>0.02</v>
      </c>
      <c r="G1009" s="92">
        <f t="array" ref="G1009">IF(B1009="insumo",_xlfn.XLOOKUP($D1009,Insumos!$B$1:$B$996,Insumos!$D$1:$D$996),"")</f>
        <v/>
      </c>
      <c r="H1009" s="92" t="n">
        <v>8.5</v>
      </c>
      <c r="I1009" s="2162" t="n">
        <v>0</v>
      </c>
      <c r="J1009" s="2162" t="n">
        <v>0</v>
      </c>
      <c r="K1009" s="2162" t="n"/>
    </row>
    <row r="1010" outlineLevel="2" ht="15.75" customHeight="1">
      <c r="A1010" s="1067" t="n">
        <v>1</v>
      </c>
      <c r="B1010" s="1067" t="inlineStr">
        <is>
          <t>Serviço</t>
        </is>
      </c>
      <c r="C1010" s="1067" t="inlineStr">
        <is>
          <t>Alvenaria Estrutural Bloco de concreto de 8,0 MPA, com argamassa estabilizada</t>
        </is>
      </c>
      <c r="D1010" s="1067" t="inlineStr">
        <is>
          <t>Alvenaria Estrutural Bloco de concreto de 8,0 MPA, com argamassa estabilizada</t>
        </is>
      </c>
      <c r="E1010" s="1068" t="inlineStr">
        <is>
          <t>M2</t>
        </is>
      </c>
      <c r="F1010" s="1067" t="n"/>
      <c r="G1010" s="1069">
        <f t="array" ref="G1010">IF(B1010="insumo",_xlfn.XLOOKUP($D1010,Insumos!$B$1:$B$996,Insumos!$D$1:$D$996),"")</f>
        <v/>
      </c>
      <c r="H1010" s="1069" t="n">
        <v>58.1633102580239</v>
      </c>
      <c r="I1010" s="2161" t="n">
        <v>0</v>
      </c>
      <c r="J1010" s="2161" t="n">
        <v>0</v>
      </c>
      <c r="K1010" s="2161" t="n"/>
    </row>
    <row r="1011" outlineLevel="3" ht="15.75" customHeight="1">
      <c r="A1011" s="10" t="n">
        <v>1</v>
      </c>
      <c r="B1011" s="10" t="inlineStr">
        <is>
          <t>Insumo</t>
        </is>
      </c>
      <c r="C1011" s="10" t="inlineStr">
        <is>
          <t>Alvenaria Estrutural Bloco de concreto de 8,0 MPA, com argamassa estabilizada</t>
        </is>
      </c>
      <c r="D1011" s="10" t="inlineStr">
        <is>
          <t>BLOCO CONCRETO ESTRUTURAL 08MPA 19X19X39CM NBR 6136</t>
        </is>
      </c>
      <c r="E1011" s="11">
        <f t="array" ref="E1011">_xlfn.XLOOKUP(D1011,Insumos!B:B,Insumos!C:$C)</f>
        <v/>
      </c>
      <c r="F1011" s="14" t="n">
        <v>12.14600377595972</v>
      </c>
      <c r="G1011" s="92">
        <f t="array" ref="G1011">IF(B1011="insumo",_xlfn.XLOOKUP($D1011,Insumos!$B$1:$B$996,Insumos!$D$1:$D$996),"")</f>
        <v/>
      </c>
      <c r="H1011" s="92" t="n">
        <v>39.1101321585903</v>
      </c>
      <c r="I1011" s="2162" t="n">
        <v>0</v>
      </c>
      <c r="J1011" s="2162" t="n">
        <v>0</v>
      </c>
      <c r="K1011" s="2162" t="n"/>
    </row>
    <row r="1012" outlineLevel="3" ht="15.75" customHeight="1">
      <c r="A1012" s="10" t="n">
        <v>1</v>
      </c>
      <c r="B1012" s="10" t="inlineStr">
        <is>
          <t>Insumo</t>
        </is>
      </c>
      <c r="C1012" s="10" t="inlineStr">
        <is>
          <t>Alvenaria Estrutural Bloco de concreto de 8,0 MPA, com argamassa estabilizada</t>
        </is>
      </c>
      <c r="D1012" s="10" t="inlineStr">
        <is>
          <t>CANALETA CONCRETO ESTRUTURAL "U" 08MPA 19X19X39CM NBR 6136</t>
        </is>
      </c>
      <c r="E1012" s="11">
        <f t="array" ref="E1012">_xlfn.XLOOKUP(D1012,Insumos!B:B,Insumos!C:$C)</f>
        <v/>
      </c>
      <c r="F1012" s="14" t="n">
        <v>2.580239144115796</v>
      </c>
      <c r="G1012" s="92">
        <f t="array" ref="G1012">IF(B1012="insumo",_xlfn.XLOOKUP($D1012,Insumos!$B$1:$B$996,Insumos!$D$1:$D$996),"")</f>
        <v/>
      </c>
      <c r="H1012" s="92" t="n">
        <v>10.5531780994336</v>
      </c>
      <c r="I1012" s="2162" t="n">
        <v>0</v>
      </c>
      <c r="J1012" s="2162" t="n">
        <v>0</v>
      </c>
      <c r="K1012" s="2162" t="n"/>
    </row>
    <row r="1013" outlineLevel="3" ht="15.75" customHeight="1">
      <c r="A1013" s="10" t="n">
        <v>17</v>
      </c>
      <c r="B1013" s="10" t="inlineStr">
        <is>
          <t>Insumo</t>
        </is>
      </c>
      <c r="C1013" s="10" t="inlineStr">
        <is>
          <t>Alvenaria Estrutural Bloco de concreto de 8,0 MPA, com argamassa estabilizada</t>
        </is>
      </c>
      <c r="D1013" s="10" t="inlineStr">
        <is>
          <t>ARGAMASSA ESTABILIZADA PARA ASSENTAMENTO</t>
        </is>
      </c>
      <c r="E1013" s="11">
        <f t="array" ref="E1013">_xlfn.XLOOKUP(D1013,Insumos!B:B,Insumos!C:$C)</f>
        <v/>
      </c>
      <c r="F1013" s="14" t="n">
        <v>0.02</v>
      </c>
      <c r="G1013" s="92">
        <f t="array" ref="G1013">IF(B1013="insumo",_xlfn.XLOOKUP($D1013,Insumos!$B$1:$B$996,Insumos!$D$1:$D$996),"")</f>
        <v/>
      </c>
      <c r="H1013" s="92" t="n">
        <v>8.5</v>
      </c>
      <c r="I1013" s="2162" t="n">
        <v>0</v>
      </c>
      <c r="J1013" s="2162" t="n">
        <v>0</v>
      </c>
      <c r="K1013" s="2162" t="n"/>
    </row>
    <row r="1014" outlineLevel="1" ht="15.75" customHeight="1">
      <c r="A1014" s="1090" t="n">
        <v>1</v>
      </c>
      <c r="B1014" s="1090" t="inlineStr">
        <is>
          <t>Subetapa</t>
        </is>
      </c>
      <c r="C1014" s="1090" t="inlineStr">
        <is>
          <t>Alvenaria Estrutural Bloco de concreto de 8,0 MPA, com argamassa estabilizada</t>
        </is>
      </c>
      <c r="D1014" s="1090" t="inlineStr">
        <is>
          <t>GROUT</t>
        </is>
      </c>
      <c r="E1014" s="1091" t="n"/>
      <c r="F1014" s="2160" t="n"/>
      <c r="G1014" s="1091" t="n"/>
      <c r="H1014" s="1091" t="n">
        <v>0</v>
      </c>
      <c r="I1014" s="2160" t="n">
        <v>0</v>
      </c>
      <c r="J1014" s="2160" t="n">
        <v>0</v>
      </c>
      <c r="K1014" s="2160" t="n"/>
    </row>
    <row r="1015" outlineLevel="2" ht="15.75" customHeight="1">
      <c r="A1015" s="1067" t="n">
        <v>1</v>
      </c>
      <c r="B1015" s="1067" t="inlineStr">
        <is>
          <t>Serviço</t>
        </is>
      </c>
      <c r="C1015" s="1067" t="inlineStr">
        <is>
          <t>Grout 15 Mpa</t>
        </is>
      </c>
      <c r="D1015" s="1067" t="inlineStr">
        <is>
          <t>Grout 15 Mpa</t>
        </is>
      </c>
      <c r="E1015" s="1068" t="inlineStr">
        <is>
          <t>M3</t>
        </is>
      </c>
      <c r="F1015" s="1067" t="n"/>
      <c r="G1015" s="1069">
        <f t="array" ref="G1015">IF(B1015="insumo",_xlfn.XLOOKUP($D1015,Insumos!$B$1:$B$996,Insumos!$D$1:$D$996),"")</f>
        <v/>
      </c>
      <c r="H1015" s="1069" t="n">
        <v>492.303</v>
      </c>
      <c r="I1015" s="2161" t="n">
        <v>0</v>
      </c>
      <c r="J1015" s="2161" t="n">
        <v>0</v>
      </c>
      <c r="K1015" s="2161" t="n"/>
    </row>
    <row r="1016" outlineLevel="3" ht="15.75" customHeight="1">
      <c r="A1016" s="10" t="n">
        <v>1</v>
      </c>
      <c r="B1016" s="10" t="inlineStr">
        <is>
          <t>Insumo</t>
        </is>
      </c>
      <c r="C1016" s="10" t="inlineStr">
        <is>
          <t>Grout 15 Mpa</t>
        </is>
      </c>
      <c r="D1016" s="10" t="inlineStr">
        <is>
          <t>Grout 15 Mpa</t>
        </is>
      </c>
      <c r="E1016" s="11">
        <f t="array" ref="E1016">_xlfn.XLOOKUP(D1016,Insumos!B:B,Insumos!C:$C)</f>
        <v/>
      </c>
      <c r="F1016" s="14" t="n">
        <v>1.05</v>
      </c>
      <c r="G1016" s="92">
        <f t="array" ref="G1016">IF(B1016="insumo",_xlfn.XLOOKUP($D1016,Insumos!$B$1:$B$996,Insumos!$D$1:$D$996),"")</f>
        <v/>
      </c>
      <c r="H1016" s="92" t="n">
        <v>492.303</v>
      </c>
      <c r="I1016" s="2162" t="n">
        <v>0</v>
      </c>
      <c r="J1016" s="2162" t="n">
        <v>0</v>
      </c>
      <c r="K1016" s="2162" t="n"/>
    </row>
    <row r="1017" outlineLevel="2" ht="15.75" customHeight="1">
      <c r="A1017" s="1067" t="n">
        <v>1</v>
      </c>
      <c r="B1017" s="1067" t="inlineStr">
        <is>
          <t>Serviço</t>
        </is>
      </c>
      <c r="C1017" s="1067" t="inlineStr">
        <is>
          <t>Grout 20 Mpa</t>
        </is>
      </c>
      <c r="D1017" s="1067" t="inlineStr">
        <is>
          <t>Grout 20 Mpa</t>
        </is>
      </c>
      <c r="E1017" s="1068" t="inlineStr">
        <is>
          <t>M3</t>
        </is>
      </c>
      <c r="F1017" s="1067" t="n"/>
      <c r="G1017" s="1069">
        <f t="array" ref="G1017">IF(B1017="insumo",_xlfn.XLOOKUP($D1017,Insumos!$B$1:$B$996,Insumos!$D$1:$D$996),"")</f>
        <v/>
      </c>
      <c r="H1017" s="1069" t="n">
        <v>518.175</v>
      </c>
      <c r="I1017" s="2161" t="n">
        <v>0</v>
      </c>
      <c r="J1017" s="2161" t="n">
        <v>0</v>
      </c>
      <c r="K1017" s="2161" t="n"/>
    </row>
    <row r="1018" outlineLevel="3" ht="15.75" customHeight="1">
      <c r="A1018" s="10" t="n">
        <v>1</v>
      </c>
      <c r="B1018" s="10" t="inlineStr">
        <is>
          <t>Insumo</t>
        </is>
      </c>
      <c r="C1018" s="10" t="inlineStr">
        <is>
          <t>Grout 20 Mpa</t>
        </is>
      </c>
      <c r="D1018" s="10" t="inlineStr">
        <is>
          <t>Grout 20 Mpa</t>
        </is>
      </c>
      <c r="E1018" s="11">
        <f t="array" ref="E1018">_xlfn.XLOOKUP(D1018,Insumos!B:B,Insumos!C:$C)</f>
        <v/>
      </c>
      <c r="F1018" s="14" t="n">
        <v>1.05</v>
      </c>
      <c r="G1018" s="92">
        <f t="array" ref="G1018">IF(B1018="insumo",_xlfn.XLOOKUP($D1018,Insumos!$B$1:$B$996,Insumos!$D$1:$D$996),"")</f>
        <v/>
      </c>
      <c r="H1018" s="92" t="n">
        <v>518.175</v>
      </c>
      <c r="I1018" s="2162" t="n">
        <v>0</v>
      </c>
      <c r="J1018" s="2162" t="n">
        <v>0</v>
      </c>
      <c r="K1018" s="2162" t="n"/>
    </row>
    <row r="1019" outlineLevel="1" ht="15.75" customHeight="1">
      <c r="A1019" s="1090" t="n">
        <v>1</v>
      </c>
      <c r="B1019" s="1090" t="inlineStr">
        <is>
          <t>Subetapa</t>
        </is>
      </c>
      <c r="C1019" s="1090" t="inlineStr">
        <is>
          <t>Grout 20 Mpa</t>
        </is>
      </c>
      <c r="D1019" s="1090" t="inlineStr">
        <is>
          <t>DRYWALL - PERSONALIZADO</t>
        </is>
      </c>
      <c r="E1019" s="1091" t="n"/>
      <c r="F1019" s="2160" t="n"/>
      <c r="G1019" s="1091" t="n"/>
      <c r="H1019" s="1091" t="n">
        <v>0</v>
      </c>
      <c r="I1019" s="2160" t="n">
        <v>0</v>
      </c>
      <c r="J1019" s="2160" t="n">
        <v>0</v>
      </c>
      <c r="K1019" s="2160" t="n"/>
    </row>
    <row r="1020" outlineLevel="2" ht="18" customHeight="1">
      <c r="A1020" s="1076" t="n">
        <v>1</v>
      </c>
      <c r="B1020" s="1076" t="inlineStr">
        <is>
          <t>Serviço</t>
        </is>
      </c>
      <c r="C1020" s="1077" t="inlineStr">
        <is>
          <t>Parede Com Sistema Em Chapas De Gesso Para Drywall, Uso Interno, Montante 48mm  (48 / HU)</t>
        </is>
      </c>
      <c r="D1020" s="1077" t="inlineStr">
        <is>
          <t>Parede Com Sistema Em Chapas De Gesso Para Drywall, Uso Interno, Montante 48mm  (48 / HU)</t>
        </is>
      </c>
      <c r="E1020" s="1078" t="inlineStr">
        <is>
          <t>M2</t>
        </is>
      </c>
      <c r="F1020" s="1076" t="n"/>
      <c r="G1020" s="1069">
        <f t="array" ref="G1020">IF(B1020="insumo",_xlfn.XLOOKUP($D1020,Insumos!$B$1:$B$993,Insumos!$D$1:$D$993),"")</f>
        <v/>
      </c>
      <c r="H1020" s="1069" t="n">
        <v>103.175377</v>
      </c>
      <c r="I1020" s="2167" t="e">
        <v>#REF!</v>
      </c>
      <c r="J1020" s="2167" t="e">
        <v>#REF!</v>
      </c>
      <c r="K1020" s="2167" t="n"/>
    </row>
    <row r="1021" outlineLevel="3" ht="18" customHeight="1">
      <c r="A1021" s="471" t="n">
        <v>49</v>
      </c>
      <c r="B1021" s="471" t="inlineStr">
        <is>
          <t>Insumo</t>
        </is>
      </c>
      <c r="C1021" s="1053" t="inlineStr">
        <is>
          <t>Parede Com Sistema Em Chapas De Gesso Para Drywall, Uso Interno, Montante 48mm  (48 / HU)</t>
        </is>
      </c>
      <c r="D1021" s="1053" t="inlineStr">
        <is>
          <t>PLACA / CHAPA DE GESSO ACARTONADO, RESISTENTE A UMIDADE (RU), COR VERDE, E = 12,5 MM, 1200 X 2400 MM (L X C)</t>
        </is>
      </c>
      <c r="E1021" s="11">
        <f t="array" ref="E1021">_xlfn.XLOOKUP(D1021,Insumos!B:B,Insumos!C:$C)</f>
        <v/>
      </c>
      <c r="F1021" s="2164">
        <f>1.053</f>
        <v/>
      </c>
      <c r="G1021" s="92">
        <f t="array" ref="G1021">IF(B1021="insumo",_xlfn.XLOOKUP($D1021,Insumos!$B$1:$B$993,Insumos!$D$1:$D$993),"")</f>
        <v/>
      </c>
      <c r="H1021" s="92" t="n">
        <v>28.5363</v>
      </c>
      <c r="I1021" s="2165" t="e">
        <v>#REF!</v>
      </c>
      <c r="J1021" s="2165" t="e">
        <v>#REF!</v>
      </c>
      <c r="K1021" s="2165" t="n"/>
    </row>
    <row r="1022" outlineLevel="3" ht="12.75" customHeight="1">
      <c r="A1022" s="471" t="n">
        <v>10</v>
      </c>
      <c r="B1022" s="471" t="inlineStr">
        <is>
          <t>Insumo</t>
        </is>
      </c>
      <c r="C1022" s="10" t="inlineStr">
        <is>
          <t>Parede Com Sistema Em Chapas De Gesso Para Drywall, Uso Interno, Montante 48mm  (48 / HU)</t>
        </is>
      </c>
      <c r="D1022" s="10" t="inlineStr">
        <is>
          <t>PLACA / CHAPA DE GESSO ACARTONADO HARDBOARD (HB) E = 12,5 MM, 1200 X 1800 MM (L X C)</t>
        </is>
      </c>
      <c r="E1022" s="11">
        <f t="array" ref="E1022">_xlfn.XLOOKUP(D1022,Insumos!B:B,Insumos!C:$C)</f>
        <v/>
      </c>
      <c r="F1022" s="2164">
        <f>1.053</f>
        <v/>
      </c>
      <c r="G1022" s="92">
        <f t="array" ref="G1022">IF(B1022="insumo",_xlfn.XLOOKUP($D1022,Insumos!$B$1:$B$993,Insumos!$D$1:$D$993),"")</f>
        <v/>
      </c>
      <c r="H1022" s="92" t="n">
        <v>36.343125</v>
      </c>
      <c r="I1022" s="2165" t="e">
        <v>#REF!</v>
      </c>
      <c r="J1022" s="2165" t="e">
        <v>#REF!</v>
      </c>
      <c r="K1022" s="2165" t="n"/>
    </row>
    <row r="1023" outlineLevel="3" ht="18" customHeight="1">
      <c r="A1023" s="471" t="n">
        <v>95</v>
      </c>
      <c r="B1023" s="471" t="inlineStr">
        <is>
          <t>Insumo</t>
        </is>
      </c>
      <c r="C1023" s="1053" t="inlineStr">
        <is>
          <t>Parede Com Sistema Em Chapas De Gesso Para Drywall, Uso Interno, Montante 48mm  (48 / HU)</t>
        </is>
      </c>
      <c r="D1023" s="1053" t="inlineStr">
        <is>
          <t>PINO DE ACO COM ARRUELA CONICA, DIAMETRO ARRUELA = *23* MM E COMP HASTE = *27* MM (ACAO INDIRETA)</t>
        </is>
      </c>
      <c r="E1023" s="11">
        <f t="array" ref="E1023">_xlfn.XLOOKUP(D1023,Insumos!B:B,Insumos!C:$C)</f>
        <v/>
      </c>
      <c r="F1023" s="2164" t="n">
        <v>4.95</v>
      </c>
      <c r="G1023" s="92">
        <f t="array" ref="G1023">IF(B1023="insumo",_xlfn.XLOOKUP($D1023,Insumos!$B$1:$B$993,Insumos!$D$1:$D$993),"")</f>
        <v/>
      </c>
      <c r="H1023" s="92" t="n">
        <v>2.4948</v>
      </c>
      <c r="I1023" s="2165" t="e">
        <v>#REF!</v>
      </c>
      <c r="J1023" s="2165" t="e">
        <v>#REF!</v>
      </c>
      <c r="K1023" s="2165" t="n"/>
    </row>
    <row r="1024" outlineLevel="3" ht="18" customHeight="1">
      <c r="A1024" s="471" t="n">
        <v>26</v>
      </c>
      <c r="B1024" s="471" t="inlineStr">
        <is>
          <t>Insumo</t>
        </is>
      </c>
      <c r="C1024" s="1053" t="inlineStr">
        <is>
          <t>Parede Com Sistema Em Chapas De Gesso Para Drywall, Uso Interno, Montante 48mm  (48 / HU)</t>
        </is>
      </c>
      <c r="D1024" s="1053" t="inlineStr">
        <is>
          <t>PERFIL GUIA, FORMATO U, EM ACO ZINCADO, PARA ESTRUTURA PAREDE DRYWALL, E = 0,5 MM, 48 X 3000 MM (L X C)</t>
        </is>
      </c>
      <c r="E1024" s="11">
        <f t="array" ref="E1024">_xlfn.XLOOKUP(D1024,Insumos!B:B,Insumos!C:$C)</f>
        <v/>
      </c>
      <c r="F1024" s="2164" t="n">
        <v>1.5248</v>
      </c>
      <c r="G1024" s="92">
        <f t="array" ref="G1024">IF(B1024="insumo",_xlfn.XLOOKUP($D1024,Insumos!$B$1:$B$993,Insumos!$D$1:$D$993),"")</f>
        <v/>
      </c>
      <c r="H1024" s="92" t="n">
        <v>10.719344</v>
      </c>
      <c r="I1024" s="2165" t="e">
        <v>#REF!</v>
      </c>
      <c r="J1024" s="2165" t="e">
        <v>#REF!</v>
      </c>
      <c r="K1024" s="2165" t="n"/>
    </row>
    <row r="1025" outlineLevel="3" ht="18" customHeight="1">
      <c r="A1025" s="471" t="n">
        <v>26</v>
      </c>
      <c r="B1025" s="471" t="inlineStr">
        <is>
          <t>Insumo</t>
        </is>
      </c>
      <c r="C1025" s="1053" t="inlineStr">
        <is>
          <t>Parede Com Sistema Em Chapas De Gesso Para Drywall, Uso Interno, Montante 48mm  (48 / HU)</t>
        </is>
      </c>
      <c r="D1025" s="1053" t="inlineStr">
        <is>
          <t>PERFIL MONTANTE, FORMATO C, EM ACO ZINCADO, PARA ESTRUTURA PAREDE DRYWALL, E = 0,5 MM, 48 X 3000 MM (L X C)</t>
        </is>
      </c>
      <c r="E1025" s="11">
        <f t="array" ref="E1025">_xlfn.XLOOKUP(D1025,Insumos!B:B,Insumos!C:$C)</f>
        <v/>
      </c>
      <c r="F1025" s="2164" t="n">
        <v>2.0006</v>
      </c>
      <c r="G1025" s="92">
        <f t="array" ref="G1025">IF(B1025="insumo",_xlfn.XLOOKUP($D1025,Insumos!$B$1:$B$993,Insumos!$D$1:$D$993),"")</f>
        <v/>
      </c>
      <c r="H1025" s="92" t="n">
        <v>15.964788</v>
      </c>
      <c r="I1025" s="2165" t="e">
        <v>#REF!</v>
      </c>
      <c r="J1025" s="2165" t="e">
        <v>#REF!</v>
      </c>
      <c r="K1025" s="2165" t="n"/>
    </row>
    <row r="1026" outlineLevel="3" ht="18" customHeight="1">
      <c r="A1026" s="471" t="n">
        <v>95</v>
      </c>
      <c r="B1026" s="471" t="inlineStr">
        <is>
          <t>Insumo</t>
        </is>
      </c>
      <c r="C1026" s="1053" t="inlineStr">
        <is>
          <t>Parede Com Sistema Em Chapas De Gesso Para Drywall, Uso Interno, Montante 48mm  (48 / HU)</t>
        </is>
      </c>
      <c r="D1026" s="1053" t="inlineStr">
        <is>
          <t>MASSA DE REJUNTE EM PO PARA DRYWALL, A BASE DE GESSO, SECAGEM RAPIDA, PARA TRATAMENTO DE JUNTAS DE CHAPA DE GESSO (NECESSITA ADICAO DE AGUA)</t>
        </is>
      </c>
      <c r="E1026" s="11">
        <f t="array" ref="E1026">_xlfn.XLOOKUP(D1026,Insumos!B:B,Insumos!C:$C)</f>
        <v/>
      </c>
      <c r="F1026" s="2164" t="n">
        <v>0.5489000000000001</v>
      </c>
      <c r="G1026" s="92">
        <f t="array" ref="G1026">IF(B1026="insumo",_xlfn.XLOOKUP($D1026,Insumos!$B$1:$B$993,Insumos!$D$1:$D$993),"")</f>
        <v/>
      </c>
      <c r="H1026" s="92" t="n">
        <v>1.882727</v>
      </c>
      <c r="I1026" s="2165" t="e">
        <v>#REF!</v>
      </c>
      <c r="J1026" s="2165" t="e">
        <v>#REF!</v>
      </c>
      <c r="K1026" s="2165" t="n"/>
    </row>
    <row r="1027" outlineLevel="3" ht="18" customHeight="1">
      <c r="A1027" s="471" t="n">
        <v>94</v>
      </c>
      <c r="B1027" s="471" t="inlineStr">
        <is>
          <t>Insumo</t>
        </is>
      </c>
      <c r="C1027" s="1053" t="inlineStr">
        <is>
          <t>Parede Com Sistema Em Chapas De Gesso Para Drywall, Uso Interno, Montante 48mm  (48 / HU)</t>
        </is>
      </c>
      <c r="D1027" s="1053" t="inlineStr">
        <is>
          <t>FITA DE PAPEL MICROPERFURADO, 50 X 150 MM, PARA TRATAMENTO DE JUNTAS DE CHAPA DE GESSO PARA DRYWALL</t>
        </is>
      </c>
      <c r="E1027" s="11">
        <f t="array" ref="E1027">_xlfn.XLOOKUP(D1027,Insumos!B:B,Insumos!C:$C)</f>
        <v/>
      </c>
      <c r="F1027" s="2164" t="n">
        <v>1.2513</v>
      </c>
      <c r="G1027" s="92">
        <f t="array" ref="G1027">IF(B1027="insumo",_xlfn.XLOOKUP($D1027,Insumos!$B$1:$B$993,Insumos!$D$1:$D$993),"")</f>
        <v/>
      </c>
      <c r="H1027" s="92" t="n">
        <v>0.387903</v>
      </c>
      <c r="I1027" s="2165" t="e">
        <v>#REF!</v>
      </c>
      <c r="J1027" s="2165" t="e">
        <v>#REF!</v>
      </c>
      <c r="K1027" s="2165" t="n"/>
    </row>
    <row r="1028" outlineLevel="3" ht="18" customHeight="1">
      <c r="A1028" s="471" t="n">
        <v>94</v>
      </c>
      <c r="B1028" s="471" t="inlineStr">
        <is>
          <t>Insumo</t>
        </is>
      </c>
      <c r="C1028" s="1053" t="inlineStr">
        <is>
          <t>Parede Com Sistema Em Chapas De Gesso Para Drywall, Uso Interno, Montante 48mm  (48 / HU)</t>
        </is>
      </c>
      <c r="D1028" s="1053" t="inlineStr">
        <is>
          <t>FITA DE PAPEL REFORCADA COM LAMINA DE METAL PARA REFORCO DE CANTOS DE CHAPA DE GESSO PARA DRYWALL</t>
        </is>
      </c>
      <c r="E1028" s="11">
        <f t="array" ref="E1028">_xlfn.XLOOKUP(D1028,Insumos!B:B,Insumos!C:$C)</f>
        <v/>
      </c>
      <c r="F1028" s="2164" t="n">
        <v>0.7407</v>
      </c>
      <c r="G1028" s="92">
        <f t="array" ref="G1028">IF(B1028="insumo",_xlfn.XLOOKUP($D1028,Insumos!$B$1:$B$993,Insumos!$D$1:$D$993),"")</f>
        <v/>
      </c>
      <c r="H1028" s="92" t="n">
        <v>2.029518</v>
      </c>
      <c r="I1028" s="2165" t="e">
        <v>#REF!</v>
      </c>
      <c r="J1028" s="2165" t="e">
        <v>#REF!</v>
      </c>
      <c r="K1028" s="2165" t="n"/>
    </row>
    <row r="1029" outlineLevel="3" ht="18" customHeight="1">
      <c r="A1029" s="471" t="n">
        <v>11</v>
      </c>
      <c r="B1029" s="471" t="inlineStr">
        <is>
          <t>Insumo</t>
        </is>
      </c>
      <c r="C1029" s="1053" t="inlineStr">
        <is>
          <t>Parede Com Sistema Em Chapas De Gesso Para Drywall, Uso Interno, Montante 48mm  (48 / HU)</t>
        </is>
      </c>
      <c r="D1029" s="1053" t="inlineStr">
        <is>
          <t>BANDA ACUSTICA</t>
        </is>
      </c>
      <c r="E1029" s="11">
        <f t="array" ref="E1029">_xlfn.XLOOKUP(D1029,Insumos!B:B,Insumos!C:$C)</f>
        <v/>
      </c>
      <c r="F1029" s="2164" t="n">
        <v>0.8</v>
      </c>
      <c r="G1029" s="92">
        <f t="array" ref="G1029">IF(B1029="insumo",_xlfn.XLOOKUP($D1029,Insumos!$B$1:$B$993,Insumos!$D$1:$D$993),"")</f>
        <v/>
      </c>
      <c r="H1029" s="92" t="n">
        <v>2.4</v>
      </c>
      <c r="I1029" s="2165" t="e">
        <v>#REF!</v>
      </c>
      <c r="J1029" s="2165" t="e">
        <v>#REF!</v>
      </c>
      <c r="K1029" s="2165" t="n"/>
    </row>
    <row r="1030" outlineLevel="3" ht="18" customHeight="1">
      <c r="A1030" s="471" t="n">
        <v>11</v>
      </c>
      <c r="B1030" s="471" t="inlineStr">
        <is>
          <t>Insumo</t>
        </is>
      </c>
      <c r="C1030" s="1053" t="inlineStr">
        <is>
          <t>Parede Com Sistema Em Chapas De Gesso Para Drywall, Uso Interno, Montante 48mm  (48 / HU)</t>
        </is>
      </c>
      <c r="D1030" s="1053" t="inlineStr">
        <is>
          <t>Aplicação de zarcão nas guias inferiores</t>
        </is>
      </c>
      <c r="E1030" s="11">
        <f t="array" ref="E1030">_xlfn.XLOOKUP(D1030,Insumos!B:B,Insumos!C:$C)</f>
        <v/>
      </c>
      <c r="F1030" s="2164" t="n">
        <v>0.84</v>
      </c>
      <c r="G1030" s="92">
        <f t="array" ref="G1030">IF(B1030="insumo",_xlfn.XLOOKUP($D1030,Insumos!$B$1:$B$993,Insumos!$D$1:$D$993),"")</f>
        <v/>
      </c>
      <c r="H1030" s="92" t="n">
        <v>0.504</v>
      </c>
      <c r="I1030" s="2165" t="e">
        <v>#REF!</v>
      </c>
      <c r="J1030" s="2165" t="e">
        <v>#REF!</v>
      </c>
      <c r="K1030" s="2165" t="n"/>
    </row>
    <row r="1031" outlineLevel="3" ht="18" customHeight="1">
      <c r="A1031" s="471" t="n">
        <v>97</v>
      </c>
      <c r="B1031" s="471" t="inlineStr">
        <is>
          <t>Insumo</t>
        </is>
      </c>
      <c r="C1031" s="1053" t="inlineStr">
        <is>
          <t>Parede Com Sistema Em Chapas De Gesso Para Drywall, Uso Interno, Montante 48mm  (48 / HU)</t>
        </is>
      </c>
      <c r="D1031" s="1053" t="inlineStr">
        <is>
          <t>PARAFUSO DRY WALL, EM ACO FOSFATIZADO, CABECA TROMBETA E PONTA AGULHA (TA), COMPRIMENTO 25 MM</t>
        </is>
      </c>
      <c r="E1031" s="11">
        <f t="array" ref="E1031">_xlfn.XLOOKUP(D1031,Insumos!B:B,Insumos!C:$C)</f>
        <v/>
      </c>
      <c r="F1031" s="2164" t="n">
        <v>20.1868</v>
      </c>
      <c r="G1031" s="92">
        <f t="array" ref="G1031">IF(B1031="insumo",_xlfn.XLOOKUP($D1031,Insumos!$B$1:$B$993,Insumos!$D$1:$D$993),"")</f>
        <v/>
      </c>
      <c r="H1031" s="92" t="n">
        <v>1.816812</v>
      </c>
      <c r="I1031" s="2165" t="e">
        <v>#REF!</v>
      </c>
      <c r="J1031" s="2165" t="e">
        <v>#REF!</v>
      </c>
      <c r="K1031" s="2165" t="n"/>
    </row>
    <row r="1032" outlineLevel="3" ht="18" customHeight="1">
      <c r="A1032" s="471" t="n">
        <v>95</v>
      </c>
      <c r="B1032" s="471" t="inlineStr">
        <is>
          <t>Insumo</t>
        </is>
      </c>
      <c r="C1032" s="1053" t="inlineStr">
        <is>
          <t>Parede Com Sistema Em Chapas De Gesso Para Drywall, Uso Interno, Montante 48mm  (48 / HU)</t>
        </is>
      </c>
      <c r="D1032" s="1053" t="inlineStr">
        <is>
          <t>PARAFUSO DRY WALL, EM ACO ZINCADO, CABECA LENTILHA E PONTA BROCA (LB), LARGURA 4,2 MM, COMPRIMENTO 13 MM</t>
        </is>
      </c>
      <c r="E1032" s="11">
        <f t="array" ref="E1032">_xlfn.XLOOKUP(D1032,Insumos!B:B,Insumos!C:$C)</f>
        <v/>
      </c>
      <c r="F1032" s="2164" t="n">
        <v>0.4803</v>
      </c>
      <c r="G1032" s="92">
        <f t="array" ref="G1032">IF(B1032="insumo",_xlfn.XLOOKUP($D1032,Insumos!$B$1:$B$993,Insumos!$D$1:$D$993),"")</f>
        <v/>
      </c>
      <c r="H1032" s="92" t="n">
        <v>0.09606000000000001</v>
      </c>
      <c r="I1032" s="2165" t="e">
        <v>#REF!</v>
      </c>
      <c r="J1032" s="2165" t="e">
        <v>#REF!</v>
      </c>
      <c r="K1032" s="2165" t="n"/>
    </row>
    <row r="1033" outlineLevel="2" ht="18" customHeight="1">
      <c r="A1033" s="1076" t="n">
        <v>1</v>
      </c>
      <c r="B1033" s="1076" t="inlineStr">
        <is>
          <t>Serviço</t>
        </is>
      </c>
      <c r="C1033" s="1077" t="inlineStr">
        <is>
          <t>Parede Com Sistema Em Chapas De Gesso Para Drywall, Uso Interno, Montante 48mm  (48 / HS)</t>
        </is>
      </c>
      <c r="D1033" s="1077" t="inlineStr">
        <is>
          <t>Parede Com Sistema Em Chapas De Gesso Para Drywall, Uso Interno, Montante 48mm  (48 / HS)</t>
        </is>
      </c>
      <c r="E1033" s="1078" t="inlineStr">
        <is>
          <t>M2</t>
        </is>
      </c>
      <c r="F1033" s="1076" t="n"/>
      <c r="G1033" s="1069">
        <f t="array" ref="G1033">IF(B1033="insumo",_xlfn.XLOOKUP($D1033,Insumos!$B$1:$B$993,Insumos!$D$1:$D$993),"")</f>
        <v/>
      </c>
      <c r="H1033" s="1069" t="n">
        <v>95.86755700000001</v>
      </c>
      <c r="I1033" s="2167" t="e">
        <v>#REF!</v>
      </c>
      <c r="J1033" s="2167" t="e">
        <v>#REF!</v>
      </c>
      <c r="K1033" s="2167" t="n"/>
    </row>
    <row r="1034" outlineLevel="3" ht="18" customHeight="1">
      <c r="A1034" s="471" t="n">
        <v>47</v>
      </c>
      <c r="B1034" s="471" t="inlineStr">
        <is>
          <t>Insumo</t>
        </is>
      </c>
      <c r="C1034" s="1053" t="inlineStr">
        <is>
          <t>Parede Com Sistema Em Chapas De Gesso Para Drywall, Uso Interno, Montante 48mm  (48 / HS)</t>
        </is>
      </c>
      <c r="D1034" s="1053" t="inlineStr">
        <is>
          <t>PLACA / CHAPA DE GESSO ACARTONADO, STANDARD (ST), COR BRANCA, E = 12,5 MM, 1200 X 2400 MM (L X C)</t>
        </is>
      </c>
      <c r="E1034" s="11">
        <f t="array" ref="E1034">_xlfn.XLOOKUP(D1034,Insumos!B:B,Insumos!C:$C)</f>
        <v/>
      </c>
      <c r="F1034" s="2164">
        <f>1.053</f>
        <v/>
      </c>
      <c r="G1034" s="92">
        <f t="array" ref="G1034">IF(B1034="insumo",_xlfn.XLOOKUP($D1034,Insumos!$B$1:$B$993,Insumos!$D$1:$D$993),"")</f>
        <v/>
      </c>
      <c r="H1034" s="92" t="n">
        <v>21.22848</v>
      </c>
      <c r="I1034" s="2165" t="e">
        <v>#REF!</v>
      </c>
      <c r="J1034" s="2165" t="e">
        <v>#REF!</v>
      </c>
      <c r="K1034" s="2165" t="n"/>
    </row>
    <row r="1035" outlineLevel="3" ht="12.75" customHeight="1">
      <c r="A1035" s="471" t="n">
        <v>10</v>
      </c>
      <c r="B1035" s="471" t="inlineStr">
        <is>
          <t>Insumo</t>
        </is>
      </c>
      <c r="C1035" s="10" t="inlineStr">
        <is>
          <t>Parede Com Sistema Em Chapas De Gesso Para Drywall, Uso Interno, Montante 48mm  (48 / HS)</t>
        </is>
      </c>
      <c r="D1035" s="10" t="inlineStr">
        <is>
          <t>PLACA / CHAPA DE GESSO ACARTONADO HARDBOARD (HB) E = 12,5 MM, 1200 X 1800 MM (L X C)</t>
        </is>
      </c>
      <c r="E1035" s="11">
        <f t="array" ref="E1035">_xlfn.XLOOKUP(D1035,Insumos!B:B,Insumos!C:$C)</f>
        <v/>
      </c>
      <c r="F1035" s="2164">
        <f>1.053</f>
        <v/>
      </c>
      <c r="G1035" s="92">
        <f t="array" ref="G1035">IF(B1035="insumo",_xlfn.XLOOKUP($D1035,Insumos!$B$1:$B$993,Insumos!$D$1:$D$993),"")</f>
        <v/>
      </c>
      <c r="H1035" s="92" t="n">
        <v>36.343125</v>
      </c>
      <c r="I1035" s="2165" t="e">
        <v>#REF!</v>
      </c>
      <c r="J1035" s="2165" t="e">
        <v>#REF!</v>
      </c>
      <c r="K1035" s="2165" t="n"/>
    </row>
    <row r="1036" outlineLevel="3" ht="18" customHeight="1">
      <c r="A1036" s="471" t="n">
        <v>95</v>
      </c>
      <c r="B1036" s="471" t="inlineStr">
        <is>
          <t>Insumo</t>
        </is>
      </c>
      <c r="C1036" s="1053" t="inlineStr">
        <is>
          <t>Parede Com Sistema Em Chapas De Gesso Para Drywall, Uso Interno, Montante 48mm  (48 / HS)</t>
        </is>
      </c>
      <c r="D1036" s="1053" t="inlineStr">
        <is>
          <t>PINO DE ACO COM ARRUELA CONICA, DIAMETRO ARRUELA = *23* MM E COMP HASTE = *27* MM (ACAO INDIRETA)</t>
        </is>
      </c>
      <c r="E1036" s="11">
        <f t="array" ref="E1036">_xlfn.XLOOKUP(D1036,Insumos!B:B,Insumos!C:$C)</f>
        <v/>
      </c>
      <c r="F1036" s="2164" t="n">
        <v>4.95</v>
      </c>
      <c r="G1036" s="92">
        <f t="array" ref="G1036">IF(B1036="insumo",_xlfn.XLOOKUP($D1036,Insumos!$B$1:$B$993,Insumos!$D$1:$D$993),"")</f>
        <v/>
      </c>
      <c r="H1036" s="92" t="n">
        <v>2.4948</v>
      </c>
      <c r="I1036" s="2165" t="e">
        <v>#REF!</v>
      </c>
      <c r="J1036" s="2165" t="e">
        <v>#REF!</v>
      </c>
      <c r="K1036" s="2165" t="n"/>
    </row>
    <row r="1037" outlineLevel="3" ht="18" customHeight="1">
      <c r="A1037" s="471" t="n">
        <v>26</v>
      </c>
      <c r="B1037" s="471" t="inlineStr">
        <is>
          <t>Insumo</t>
        </is>
      </c>
      <c r="C1037" s="1053" t="inlineStr">
        <is>
          <t>Parede Com Sistema Em Chapas De Gesso Para Drywall, Uso Interno, Montante 48mm  (48 / HS)</t>
        </is>
      </c>
      <c r="D1037" s="1053" t="inlineStr">
        <is>
          <t>PERFIL GUIA, FORMATO U, EM ACO ZINCADO, PARA ESTRUTURA PAREDE DRYWALL, E = 0,5 MM, 48 X 3000 MM (L X C)</t>
        </is>
      </c>
      <c r="E1037" s="11">
        <f t="array" ref="E1037">_xlfn.XLOOKUP(D1037,Insumos!B:B,Insumos!C:$C)</f>
        <v/>
      </c>
      <c r="F1037" s="2164" t="n">
        <v>1.5248</v>
      </c>
      <c r="G1037" s="92">
        <f t="array" ref="G1037">IF(B1037="insumo",_xlfn.XLOOKUP($D1037,Insumos!$B$1:$B$993,Insumos!$D$1:$D$993),"")</f>
        <v/>
      </c>
      <c r="H1037" s="92" t="n">
        <v>10.719344</v>
      </c>
      <c r="I1037" s="2165" t="e">
        <v>#REF!</v>
      </c>
      <c r="J1037" s="2165" t="e">
        <v>#REF!</v>
      </c>
      <c r="K1037" s="2165" t="n"/>
    </row>
    <row r="1038" outlineLevel="3" ht="18" customHeight="1">
      <c r="A1038" s="471" t="n">
        <v>26</v>
      </c>
      <c r="B1038" s="471" t="inlineStr">
        <is>
          <t>Insumo</t>
        </is>
      </c>
      <c r="C1038" s="1053" t="inlineStr">
        <is>
          <t>Parede Com Sistema Em Chapas De Gesso Para Drywall, Uso Interno, Montante 48mm  (48 / HS)</t>
        </is>
      </c>
      <c r="D1038" s="1053" t="inlineStr">
        <is>
          <t>PERFIL MONTANTE, FORMATO C, EM ACO ZINCADO, PARA ESTRUTURA PAREDE DRYWALL, E = 0,5 MM, 48 X 3000 MM (L X C)</t>
        </is>
      </c>
      <c r="E1038" s="11">
        <f t="array" ref="E1038">_xlfn.XLOOKUP(D1038,Insumos!B:B,Insumos!C:$C)</f>
        <v/>
      </c>
      <c r="F1038" s="2164" t="n">
        <v>2.0006</v>
      </c>
      <c r="G1038" s="92">
        <f t="array" ref="G1038">IF(B1038="insumo",_xlfn.XLOOKUP($D1038,Insumos!$B$1:$B$993,Insumos!$D$1:$D$993),"")</f>
        <v/>
      </c>
      <c r="H1038" s="92" t="n">
        <v>15.964788</v>
      </c>
      <c r="I1038" s="2165" t="e">
        <v>#REF!</v>
      </c>
      <c r="J1038" s="2165" t="e">
        <v>#REF!</v>
      </c>
      <c r="K1038" s="2165" t="n"/>
    </row>
    <row r="1039" outlineLevel="3" ht="18" customHeight="1">
      <c r="A1039" s="471" t="n">
        <v>95</v>
      </c>
      <c r="B1039" s="471" t="inlineStr">
        <is>
          <t>Insumo</t>
        </is>
      </c>
      <c r="C1039" s="1053" t="inlineStr">
        <is>
          <t>Parede Com Sistema Em Chapas De Gesso Para Drywall, Uso Interno, Montante 48mm  (48 / HS)</t>
        </is>
      </c>
      <c r="D1039" s="1053" t="inlineStr">
        <is>
          <t>MASSA DE REJUNTE EM PO PARA DRYWALL, A BASE DE GESSO, SECAGEM RAPIDA, PARA TRATAMENTO DE JUNTAS DE CHAPA DE GESSO (NECESSITA ADICAO DE AGUA)</t>
        </is>
      </c>
      <c r="E1039" s="11">
        <f t="array" ref="E1039">_xlfn.XLOOKUP(D1039,Insumos!B:B,Insumos!C:$C)</f>
        <v/>
      </c>
      <c r="F1039" s="2164" t="n">
        <v>0.5489000000000001</v>
      </c>
      <c r="G1039" s="92">
        <f t="array" ref="G1039">IF(B1039="insumo",_xlfn.XLOOKUP($D1039,Insumos!$B$1:$B$993,Insumos!$D$1:$D$993),"")</f>
        <v/>
      </c>
      <c r="H1039" s="92" t="n">
        <v>1.882727</v>
      </c>
      <c r="I1039" s="2165" t="e">
        <v>#REF!</v>
      </c>
      <c r="J1039" s="2165" t="e">
        <v>#REF!</v>
      </c>
      <c r="K1039" s="2165" t="n"/>
    </row>
    <row r="1040" outlineLevel="3" ht="18" customHeight="1">
      <c r="A1040" s="471" t="n">
        <v>94</v>
      </c>
      <c r="B1040" s="471" t="inlineStr">
        <is>
          <t>Insumo</t>
        </is>
      </c>
      <c r="C1040" s="1053" t="inlineStr">
        <is>
          <t>Parede Com Sistema Em Chapas De Gesso Para Drywall, Uso Interno, Montante 48mm  (48 / HS)</t>
        </is>
      </c>
      <c r="D1040" s="1053" t="inlineStr">
        <is>
          <t>FITA DE PAPEL MICROPERFURADO, 50 X 150 MM, PARA TRATAMENTO DE JUNTAS DE CHAPA DE GESSO PARA DRYWALL</t>
        </is>
      </c>
      <c r="E1040" s="11">
        <f t="array" ref="E1040">_xlfn.XLOOKUP(D1040,Insumos!B:B,Insumos!C:$C)</f>
        <v/>
      </c>
      <c r="F1040" s="2164" t="n">
        <v>1.2513</v>
      </c>
      <c r="G1040" s="92">
        <f t="array" ref="G1040">IF(B1040="insumo",_xlfn.XLOOKUP($D1040,Insumos!$B$1:$B$993,Insumos!$D$1:$D$993),"")</f>
        <v/>
      </c>
      <c r="H1040" s="92" t="n">
        <v>0.387903</v>
      </c>
      <c r="I1040" s="2165" t="e">
        <v>#REF!</v>
      </c>
      <c r="J1040" s="2165" t="e">
        <v>#REF!</v>
      </c>
      <c r="K1040" s="2165" t="n"/>
    </row>
    <row r="1041" outlineLevel="3" ht="18" customHeight="1">
      <c r="A1041" s="471" t="n">
        <v>94</v>
      </c>
      <c r="B1041" s="471" t="inlineStr">
        <is>
          <t>Insumo</t>
        </is>
      </c>
      <c r="C1041" s="1053" t="inlineStr">
        <is>
          <t>Parede Com Sistema Em Chapas De Gesso Para Drywall, Uso Interno, Montante 48mm  (48 / HS)</t>
        </is>
      </c>
      <c r="D1041" s="1053" t="inlineStr">
        <is>
          <t>FITA DE PAPEL REFORCADA COM LAMINA DE METAL PARA REFORCO DE CANTOS DE CHAPA DE GESSO PARA DRYWALL</t>
        </is>
      </c>
      <c r="E1041" s="11">
        <f t="array" ref="E1041">_xlfn.XLOOKUP(D1041,Insumos!B:B,Insumos!C:$C)</f>
        <v/>
      </c>
      <c r="F1041" s="2164" t="n">
        <v>0.7407</v>
      </c>
      <c r="G1041" s="92">
        <f t="array" ref="G1041">IF(B1041="insumo",_xlfn.XLOOKUP($D1041,Insumos!$B$1:$B$993,Insumos!$D$1:$D$993),"")</f>
        <v/>
      </c>
      <c r="H1041" s="92" t="n">
        <v>2.029518</v>
      </c>
      <c r="I1041" s="2165" t="e">
        <v>#REF!</v>
      </c>
      <c r="J1041" s="2165" t="e">
        <v>#REF!</v>
      </c>
      <c r="K1041" s="2165" t="n"/>
    </row>
    <row r="1042" outlineLevel="3" ht="18" customHeight="1">
      <c r="A1042" s="471" t="n">
        <v>11</v>
      </c>
      <c r="B1042" s="471" t="inlineStr">
        <is>
          <t>Insumo</t>
        </is>
      </c>
      <c r="C1042" s="1053" t="inlineStr">
        <is>
          <t>Parede Com Sistema Em Chapas De Gesso Para Drywall, Uso Interno, Montante 48mm  (48 / HS)</t>
        </is>
      </c>
      <c r="D1042" s="1053" t="inlineStr">
        <is>
          <t>BANDA ACUSTICA</t>
        </is>
      </c>
      <c r="E1042" s="11">
        <f t="array" ref="E1042">_xlfn.XLOOKUP(D1042,Insumos!B:B,Insumos!C:$C)</f>
        <v/>
      </c>
      <c r="F1042" s="2164" t="n">
        <v>0.8</v>
      </c>
      <c r="G1042" s="92">
        <f t="array" ref="G1042">IF(B1042="insumo",_xlfn.XLOOKUP($D1042,Insumos!$B$1:$B$993,Insumos!$D$1:$D$993),"")</f>
        <v/>
      </c>
      <c r="H1042" s="92" t="n">
        <v>2.4</v>
      </c>
      <c r="I1042" s="2165" t="e">
        <v>#REF!</v>
      </c>
      <c r="J1042" s="2165" t="e">
        <v>#REF!</v>
      </c>
      <c r="K1042" s="2165" t="n"/>
    </row>
    <row r="1043" outlineLevel="3" ht="18" customHeight="1">
      <c r="A1043" s="471" t="n">
        <v>11</v>
      </c>
      <c r="B1043" s="471" t="inlineStr">
        <is>
          <t>Insumo</t>
        </is>
      </c>
      <c r="C1043" s="1053" t="inlineStr">
        <is>
          <t>Parede Com Sistema Em Chapas De Gesso Para Drywall, Uso Interno, Montante 48mm  (48 / HS)</t>
        </is>
      </c>
      <c r="D1043" s="1053" t="inlineStr">
        <is>
          <t>Aplicação de zarcão nas guias inferiores</t>
        </is>
      </c>
      <c r="E1043" s="11">
        <f t="array" ref="E1043">_xlfn.XLOOKUP(D1043,Insumos!B:B,Insumos!C:$C)</f>
        <v/>
      </c>
      <c r="F1043" s="2164" t="n">
        <v>0.84</v>
      </c>
      <c r="G1043" s="92">
        <f t="array" ref="G1043">IF(B1043="insumo",_xlfn.XLOOKUP($D1043,Insumos!$B$1:$B$993,Insumos!$D$1:$D$993),"")</f>
        <v/>
      </c>
      <c r="H1043" s="92" t="n">
        <v>0.504</v>
      </c>
      <c r="I1043" s="2165" t="e">
        <v>#REF!</v>
      </c>
      <c r="J1043" s="2165" t="e">
        <v>#REF!</v>
      </c>
      <c r="K1043" s="2165" t="n"/>
    </row>
    <row r="1044" outlineLevel="3" ht="18" customHeight="1">
      <c r="A1044" s="471" t="n">
        <v>97</v>
      </c>
      <c r="B1044" s="471" t="inlineStr">
        <is>
          <t>Insumo</t>
        </is>
      </c>
      <c r="C1044" s="1053" t="inlineStr">
        <is>
          <t>Parede Com Sistema Em Chapas De Gesso Para Drywall, Uso Interno, Montante 48mm  (48 / HS)</t>
        </is>
      </c>
      <c r="D1044" s="1053" t="inlineStr">
        <is>
          <t>PARAFUSO DRY WALL, EM ACO FOSFATIZADO, CABECA TROMBETA E PONTA AGULHA (TA), COMPRIMENTO 25 MM</t>
        </is>
      </c>
      <c r="E1044" s="11">
        <f t="array" ref="E1044">_xlfn.XLOOKUP(D1044,Insumos!B:B,Insumos!C:$C)</f>
        <v/>
      </c>
      <c r="F1044" s="2164" t="n">
        <v>20.1868</v>
      </c>
      <c r="G1044" s="92">
        <f t="array" ref="G1044">IF(B1044="insumo",_xlfn.XLOOKUP($D1044,Insumos!$B$1:$B$993,Insumos!$D$1:$D$993),"")</f>
        <v/>
      </c>
      <c r="H1044" s="92" t="n">
        <v>1.816812</v>
      </c>
      <c r="I1044" s="2165" t="e">
        <v>#REF!</v>
      </c>
      <c r="J1044" s="2165" t="e">
        <v>#REF!</v>
      </c>
      <c r="K1044" s="2165" t="n"/>
    </row>
    <row r="1045" outlineLevel="3" ht="18" customHeight="1">
      <c r="A1045" s="471" t="n">
        <v>95</v>
      </c>
      <c r="B1045" s="471" t="inlineStr">
        <is>
          <t>Insumo</t>
        </is>
      </c>
      <c r="C1045" s="1053" t="inlineStr">
        <is>
          <t>Parede Com Sistema Em Chapas De Gesso Para Drywall, Uso Interno, Montante 48mm  (48 / HS)</t>
        </is>
      </c>
      <c r="D1045" s="1053" t="inlineStr">
        <is>
          <t>PARAFUSO DRY WALL, EM ACO ZINCADO, CABECA LENTILHA E PONTA BROCA (LB), LARGURA 4,2 MM, COMPRIMENTO 13 MM</t>
        </is>
      </c>
      <c r="E1045" s="11">
        <f t="array" ref="E1045">_xlfn.XLOOKUP(D1045,Insumos!B:B,Insumos!C:$C)</f>
        <v/>
      </c>
      <c r="F1045" s="2164" t="n">
        <v>0.4803</v>
      </c>
      <c r="G1045" s="92">
        <f t="array" ref="G1045">IF(B1045="insumo",_xlfn.XLOOKUP($D1045,Insumos!$B$1:$B$993,Insumos!$D$1:$D$993),"")</f>
        <v/>
      </c>
      <c r="H1045" s="92" t="n">
        <v>0.09606000000000001</v>
      </c>
      <c r="I1045" s="2165" t="e">
        <v>#REF!</v>
      </c>
      <c r="J1045" s="2165" t="e">
        <v>#REF!</v>
      </c>
      <c r="K1045" s="2165" t="n"/>
    </row>
    <row r="1046" outlineLevel="2" ht="18" customHeight="1">
      <c r="A1046" s="1076" t="n">
        <v>1</v>
      </c>
      <c r="B1046" s="1076" t="inlineStr">
        <is>
          <t>Serviço</t>
        </is>
      </c>
      <c r="C1046" s="1077" t="inlineStr">
        <is>
          <t>Parede Com Sistema Em Chapas De Gesso Para Drywall, Uso Interno, Montante 70mm  (70 / HS)</t>
        </is>
      </c>
      <c r="D1046" s="1077" t="inlineStr">
        <is>
          <t>Parede Com Sistema Em Chapas De Gesso Para Drywall, Uso Interno, Montante 70mm  (70 / HS)</t>
        </is>
      </c>
      <c r="E1046" s="1078" t="inlineStr">
        <is>
          <t>M2</t>
        </is>
      </c>
      <c r="F1046" s="1076" t="n"/>
      <c r="G1046" s="1069">
        <f t="array" ref="G1046">IF(B1046="insumo",_xlfn.XLOOKUP($D1046,Insumos!$B$1:$B$993,Insumos!$D$1:$D$993),"")</f>
        <v/>
      </c>
      <c r="H1046" s="1069" t="n">
        <v>96.52322100000001</v>
      </c>
      <c r="I1046" s="2167" t="e">
        <v>#REF!</v>
      </c>
      <c r="J1046" s="2167" t="e">
        <v>#REF!</v>
      </c>
      <c r="K1046" s="2167" t="n"/>
    </row>
    <row r="1047" outlineLevel="3" ht="18" customHeight="1">
      <c r="A1047" s="471" t="n">
        <v>47</v>
      </c>
      <c r="B1047" s="471" t="inlineStr">
        <is>
          <t>Insumo</t>
        </is>
      </c>
      <c r="C1047" s="1053" t="inlineStr">
        <is>
          <t>Parede Com Sistema Em Chapas De Gesso Para Drywall, Uso Interno, Montante 70mm  (70 / HS)</t>
        </is>
      </c>
      <c r="D1047" s="1053" t="inlineStr">
        <is>
          <t>PLACA / CHAPA DE GESSO ACARTONADO, STANDARD (ST), COR BRANCA, E = 12,5 MM, 1200 X 2400 MM (L X C)</t>
        </is>
      </c>
      <c r="E1047" s="11">
        <f t="array" ref="E1047">_xlfn.XLOOKUP(D1047,Insumos!B:B,Insumos!C:$C)</f>
        <v/>
      </c>
      <c r="F1047" s="2164">
        <f>1.053</f>
        <v/>
      </c>
      <c r="G1047" s="92">
        <f t="array" ref="G1047">IF(B1047="insumo",_xlfn.XLOOKUP($D1047,Insumos!$B$1:$B$993,Insumos!$D$1:$D$993),"")</f>
        <v/>
      </c>
      <c r="H1047" s="92" t="n">
        <v>21.22848</v>
      </c>
      <c r="I1047" s="2165" t="e">
        <v>#REF!</v>
      </c>
      <c r="J1047" s="2165" t="e">
        <v>#REF!</v>
      </c>
      <c r="K1047" s="2165" t="n"/>
    </row>
    <row r="1048" outlineLevel="3" ht="12.75" customHeight="1">
      <c r="A1048" s="471" t="n">
        <v>10</v>
      </c>
      <c r="B1048" s="471" t="inlineStr">
        <is>
          <t>Insumo</t>
        </is>
      </c>
      <c r="C1048" s="10" t="inlineStr">
        <is>
          <t>Parede Com Sistema Em Chapas De Gesso Para Drywall, Uso Interno, Montante 70mm  (70 / HS)</t>
        </is>
      </c>
      <c r="D1048" s="10" t="inlineStr">
        <is>
          <t>PLACA / CHAPA DE GESSO ACARTONADO HARDBOARD (HB) E = 12,5 MM, 1200 X 1800 MM (L X C)</t>
        </is>
      </c>
      <c r="E1048" s="11">
        <f t="array" ref="E1048">_xlfn.XLOOKUP(D1048,Insumos!B:B,Insumos!C:$C)</f>
        <v/>
      </c>
      <c r="F1048" s="2164">
        <f>1.053</f>
        <v/>
      </c>
      <c r="G1048" s="92">
        <f t="array" ref="G1048">IF(B1048="insumo",_xlfn.XLOOKUP($D1048,Insumos!$B$1:$B$993,Insumos!$D$1:$D$993),"")</f>
        <v/>
      </c>
      <c r="H1048" s="92" t="n">
        <v>36.343125</v>
      </c>
      <c r="I1048" s="2165" t="e">
        <v>#REF!</v>
      </c>
      <c r="J1048" s="2165" t="e">
        <v>#REF!</v>
      </c>
      <c r="K1048" s="2165" t="n"/>
    </row>
    <row r="1049" outlineLevel="3" ht="18" customHeight="1">
      <c r="A1049" s="471" t="n">
        <v>95</v>
      </c>
      <c r="B1049" s="471" t="inlineStr">
        <is>
          <t>Insumo</t>
        </is>
      </c>
      <c r="C1049" s="1053" t="inlineStr">
        <is>
          <t>Parede Com Sistema Em Chapas De Gesso Para Drywall, Uso Interno, Montante 70mm  (70 / HS)</t>
        </is>
      </c>
      <c r="D1049" s="1053" t="inlineStr">
        <is>
          <t>PINO DE ACO COM ARRUELA CONICA, DIAMETRO ARRUELA = *23* MM E COMP HASTE = *27* MM (ACAO INDIRETA)</t>
        </is>
      </c>
      <c r="E1049" s="11">
        <f t="array" ref="E1049">_xlfn.XLOOKUP(D1049,Insumos!B:B,Insumos!C:$C)</f>
        <v/>
      </c>
      <c r="F1049" s="2164" t="n">
        <v>4.95</v>
      </c>
      <c r="G1049" s="92">
        <f t="array" ref="G1049">IF(B1049="insumo",_xlfn.XLOOKUP($D1049,Insumos!$B$1:$B$993,Insumos!$D$1:$D$993),"")</f>
        <v/>
      </c>
      <c r="H1049" s="92" t="n">
        <v>2.4948</v>
      </c>
      <c r="I1049" s="2165" t="e">
        <v>#REF!</v>
      </c>
      <c r="J1049" s="2165" t="e">
        <v>#REF!</v>
      </c>
      <c r="K1049" s="2165" t="n"/>
    </row>
    <row r="1050" outlineLevel="3" ht="18" customHeight="1">
      <c r="A1050" s="471" t="n">
        <v>43</v>
      </c>
      <c r="B1050" s="471" t="inlineStr">
        <is>
          <t>Insumo</t>
        </is>
      </c>
      <c r="C1050" s="1053" t="inlineStr">
        <is>
          <t>Parede Com Sistema Em Chapas De Gesso Para Drywall, Uso Interno, Montante 70mm  (70 / HS)</t>
        </is>
      </c>
      <c r="D1050" s="1053" t="inlineStr">
        <is>
          <t>PERFIL GUIA, FORMATO U, EM ACO ZINCADO, PARA ESTRUTURA PAREDE DRYWALL, E = 0,5 MM, 70 X 3000 MM (L X C)</t>
        </is>
      </c>
      <c r="E1050" s="11">
        <f t="array" ref="E1050">_xlfn.XLOOKUP(D1050,Insumos!B:B,Insumos!C:$C)</f>
        <v/>
      </c>
      <c r="F1050" s="2164" t="n">
        <v>1.5248</v>
      </c>
      <c r="G1050" s="92">
        <f t="array" ref="G1050">IF(B1050="insumo",_xlfn.XLOOKUP($D1050,Insumos!$B$1:$B$993,Insumos!$D$1:$D$993),"")</f>
        <v/>
      </c>
      <c r="H1050" s="92" t="n">
        <v>11.375008</v>
      </c>
      <c r="I1050" s="2165" t="e">
        <v>#REF!</v>
      </c>
      <c r="J1050" s="2165" t="e">
        <v>#REF!</v>
      </c>
      <c r="K1050" s="2165" t="n"/>
    </row>
    <row r="1051" outlineLevel="3" ht="18" customHeight="1">
      <c r="A1051" s="471" t="n">
        <v>43</v>
      </c>
      <c r="B1051" s="471" t="inlineStr">
        <is>
          <t>Insumo</t>
        </is>
      </c>
      <c r="C1051" s="1053" t="inlineStr">
        <is>
          <t>Parede Com Sistema Em Chapas De Gesso Para Drywall, Uso Interno, Montante 70mm  (70 / HS)</t>
        </is>
      </c>
      <c r="D1051" s="1053" t="inlineStr">
        <is>
          <t>PERFIL MONTANTE, FORMATO C, EM ACO ZINCADO, PARA ESTRUTURA PAREDE DRYWALL, E = 0,5 MM, 70 X 3000 MM (L X C)</t>
        </is>
      </c>
      <c r="E1051" s="11">
        <f t="array" ref="E1051">_xlfn.XLOOKUP(D1051,Insumos!B:B,Insumos!C:$C)</f>
        <v/>
      </c>
      <c r="F1051" s="2164" t="n">
        <v>2.0006</v>
      </c>
      <c r="G1051" s="92">
        <f t="array" ref="G1051">IF(B1051="insumo",_xlfn.XLOOKUP($D1051,Insumos!$B$1:$B$993,Insumos!$D$1:$D$993),"")</f>
        <v/>
      </c>
      <c r="H1051" s="92" t="n">
        <v>15.964788</v>
      </c>
      <c r="I1051" s="2165" t="e">
        <v>#REF!</v>
      </c>
      <c r="J1051" s="2165" t="e">
        <v>#REF!</v>
      </c>
      <c r="K1051" s="2165" t="n"/>
    </row>
    <row r="1052" outlineLevel="3" ht="18" customHeight="1">
      <c r="A1052" s="471" t="n">
        <v>95</v>
      </c>
      <c r="B1052" s="471" t="inlineStr">
        <is>
          <t>Insumo</t>
        </is>
      </c>
      <c r="C1052" s="1053" t="inlineStr">
        <is>
          <t>Parede Com Sistema Em Chapas De Gesso Para Drywall, Uso Interno, Montante 70mm  (70 / HS)</t>
        </is>
      </c>
      <c r="D1052" s="1053" t="inlineStr">
        <is>
          <t>MASSA DE REJUNTE EM PO PARA DRYWALL, A BASE DE GESSO, SECAGEM RAPIDA, PARA TRATAMENTO DE JUNTAS DE CHAPA DE GESSO (NECESSITA ADICAO DE AGUA)</t>
        </is>
      </c>
      <c r="E1052" s="11">
        <f t="array" ref="E1052">_xlfn.XLOOKUP(D1052,Insumos!B:B,Insumos!C:$C)</f>
        <v/>
      </c>
      <c r="F1052" s="2164" t="n">
        <v>0.5489000000000001</v>
      </c>
      <c r="G1052" s="92">
        <f t="array" ref="G1052">IF(B1052="insumo",_xlfn.XLOOKUP($D1052,Insumos!$B$1:$B$993,Insumos!$D$1:$D$993),"")</f>
        <v/>
      </c>
      <c r="H1052" s="92" t="n">
        <v>1.882727</v>
      </c>
      <c r="I1052" s="2165" t="e">
        <v>#REF!</v>
      </c>
      <c r="J1052" s="2165" t="e">
        <v>#REF!</v>
      </c>
      <c r="K1052" s="2165" t="n"/>
    </row>
    <row r="1053" outlineLevel="3" ht="18" customHeight="1">
      <c r="A1053" s="471" t="n">
        <v>94</v>
      </c>
      <c r="B1053" s="471" t="inlineStr">
        <is>
          <t>Insumo</t>
        </is>
      </c>
      <c r="C1053" s="1053" t="inlineStr">
        <is>
          <t>Parede Com Sistema Em Chapas De Gesso Para Drywall, Uso Interno, Montante 70mm  (70 / HS)</t>
        </is>
      </c>
      <c r="D1053" s="1053" t="inlineStr">
        <is>
          <t>FITA DE PAPEL MICROPERFURADO, 50 X 150 MM, PARA TRATAMENTO DE JUNTAS DE CHAPA DE GESSO PARA DRYWALL</t>
        </is>
      </c>
      <c r="E1053" s="11">
        <f t="array" ref="E1053">_xlfn.XLOOKUP(D1053,Insumos!B:B,Insumos!C:$C)</f>
        <v/>
      </c>
      <c r="F1053" s="2164" t="n">
        <v>1.2513</v>
      </c>
      <c r="G1053" s="92">
        <f t="array" ref="G1053">IF(B1053="insumo",_xlfn.XLOOKUP($D1053,Insumos!$B$1:$B$993,Insumos!$D$1:$D$993),"")</f>
        <v/>
      </c>
      <c r="H1053" s="92" t="n">
        <v>0.387903</v>
      </c>
      <c r="I1053" s="2165" t="e">
        <v>#REF!</v>
      </c>
      <c r="J1053" s="2165" t="e">
        <v>#REF!</v>
      </c>
      <c r="K1053" s="2165" t="n"/>
    </row>
    <row r="1054" outlineLevel="3" ht="18" customHeight="1">
      <c r="A1054" s="471" t="n">
        <v>94</v>
      </c>
      <c r="B1054" s="471" t="inlineStr">
        <is>
          <t>Insumo</t>
        </is>
      </c>
      <c r="C1054" s="1053" t="inlineStr">
        <is>
          <t>Parede Com Sistema Em Chapas De Gesso Para Drywall, Uso Interno, Montante 70mm  (70 / HS)</t>
        </is>
      </c>
      <c r="D1054" s="1053" t="inlineStr">
        <is>
          <t>FITA DE PAPEL REFORCADA COM LAMINA DE METAL PARA REFORCO DE CANTOS DE CHAPA DE GESSO PARA DRYWALL</t>
        </is>
      </c>
      <c r="E1054" s="11">
        <f t="array" ref="E1054">_xlfn.XLOOKUP(D1054,Insumos!B:B,Insumos!C:$C)</f>
        <v/>
      </c>
      <c r="F1054" s="2164" t="n">
        <v>0.7407</v>
      </c>
      <c r="G1054" s="92">
        <f t="array" ref="G1054">IF(B1054="insumo",_xlfn.XLOOKUP($D1054,Insumos!$B$1:$B$993,Insumos!$D$1:$D$993),"")</f>
        <v/>
      </c>
      <c r="H1054" s="92" t="n">
        <v>2.029518</v>
      </c>
      <c r="I1054" s="2165" t="e">
        <v>#REF!</v>
      </c>
      <c r="J1054" s="2165" t="e">
        <v>#REF!</v>
      </c>
      <c r="K1054" s="2165" t="n"/>
    </row>
    <row r="1055" outlineLevel="3" ht="18" customHeight="1">
      <c r="A1055" s="471" t="n">
        <v>11</v>
      </c>
      <c r="B1055" s="471" t="inlineStr">
        <is>
          <t>Insumo</t>
        </is>
      </c>
      <c r="C1055" s="1053" t="inlineStr">
        <is>
          <t>Parede Com Sistema Em Chapas De Gesso Para Drywall, Uso Interno, Montante 70mm  (70 / HS)</t>
        </is>
      </c>
      <c r="D1055" s="1053" t="inlineStr">
        <is>
          <t>BANDA ACUSTICA</t>
        </is>
      </c>
      <c r="E1055" s="11">
        <f t="array" ref="E1055">_xlfn.XLOOKUP(D1055,Insumos!B:B,Insumos!C:$C)</f>
        <v/>
      </c>
      <c r="F1055" s="2164" t="n">
        <v>0.8</v>
      </c>
      <c r="G1055" s="92">
        <f t="array" ref="G1055">IF(B1055="insumo",_xlfn.XLOOKUP($D1055,Insumos!$B$1:$B$993,Insumos!$D$1:$D$993),"")</f>
        <v/>
      </c>
      <c r="H1055" s="92" t="n">
        <v>2.4</v>
      </c>
      <c r="I1055" s="2165" t="e">
        <v>#REF!</v>
      </c>
      <c r="J1055" s="2165" t="e">
        <v>#REF!</v>
      </c>
      <c r="K1055" s="2165" t="n"/>
    </row>
    <row r="1056" outlineLevel="3" ht="18" customHeight="1">
      <c r="A1056" s="471" t="n">
        <v>11</v>
      </c>
      <c r="B1056" s="471" t="inlineStr">
        <is>
          <t>Insumo</t>
        </is>
      </c>
      <c r="C1056" s="1053" t="inlineStr">
        <is>
          <t>Parede Com Sistema Em Chapas De Gesso Para Drywall, Uso Interno, Montante 70mm  (70 / HS)</t>
        </is>
      </c>
      <c r="D1056" s="1053" t="inlineStr">
        <is>
          <t>Aplicação de zarcão nas guias inferiores</t>
        </is>
      </c>
      <c r="E1056" s="11">
        <f t="array" ref="E1056">_xlfn.XLOOKUP(D1056,Insumos!B:B,Insumos!C:$C)</f>
        <v/>
      </c>
      <c r="F1056" s="2164" t="n">
        <v>0.84</v>
      </c>
      <c r="G1056" s="92">
        <f t="array" ref="G1056">IF(B1056="insumo",_xlfn.XLOOKUP($D1056,Insumos!$B$1:$B$993,Insumos!$D$1:$D$993),"")</f>
        <v/>
      </c>
      <c r="H1056" s="92" t="n">
        <v>0.504</v>
      </c>
      <c r="I1056" s="2165" t="e">
        <v>#REF!</v>
      </c>
      <c r="J1056" s="2165" t="e">
        <v>#REF!</v>
      </c>
      <c r="K1056" s="2165" t="n"/>
    </row>
    <row r="1057" outlineLevel="3" ht="18" customHeight="1">
      <c r="A1057" s="471" t="n">
        <v>97</v>
      </c>
      <c r="B1057" s="471" t="inlineStr">
        <is>
          <t>Insumo</t>
        </is>
      </c>
      <c r="C1057" s="1053" t="inlineStr">
        <is>
          <t>Parede Com Sistema Em Chapas De Gesso Para Drywall, Uso Interno, Montante 70mm  (70 / HS)</t>
        </is>
      </c>
      <c r="D1057" s="1053" t="inlineStr">
        <is>
          <t>PARAFUSO DRY WALL, EM ACO FOSFATIZADO, CABECA TROMBETA E PONTA AGULHA (TA), COMPRIMENTO 25 MM</t>
        </is>
      </c>
      <c r="E1057" s="11">
        <f t="array" ref="E1057">_xlfn.XLOOKUP(D1057,Insumos!B:B,Insumos!C:$C)</f>
        <v/>
      </c>
      <c r="F1057" s="2164" t="n">
        <v>20.1868</v>
      </c>
      <c r="G1057" s="92">
        <f t="array" ref="G1057">IF(B1057="insumo",_xlfn.XLOOKUP($D1057,Insumos!$B$1:$B$993,Insumos!$D$1:$D$993),"")</f>
        <v/>
      </c>
      <c r="H1057" s="92" t="n">
        <v>1.816812</v>
      </c>
      <c r="I1057" s="2165" t="e">
        <v>#REF!</v>
      </c>
      <c r="J1057" s="2165" t="e">
        <v>#REF!</v>
      </c>
      <c r="K1057" s="2165" t="n"/>
    </row>
    <row r="1058" outlineLevel="3" ht="18" customHeight="1">
      <c r="A1058" s="471" t="n">
        <v>95</v>
      </c>
      <c r="B1058" s="471" t="inlineStr">
        <is>
          <t>Insumo</t>
        </is>
      </c>
      <c r="C1058" s="1053" t="inlineStr">
        <is>
          <t>Parede Com Sistema Em Chapas De Gesso Para Drywall, Uso Interno, Montante 70mm  (70 / HS)</t>
        </is>
      </c>
      <c r="D1058" s="1053" t="inlineStr">
        <is>
          <t>PARAFUSO DRY WALL, EM ACO ZINCADO, CABECA LENTILHA E PONTA BROCA (LB), LARGURA 4,2 MM, COMPRIMENTO 13 MM</t>
        </is>
      </c>
      <c r="E1058" s="11">
        <f t="array" ref="E1058">_xlfn.XLOOKUP(D1058,Insumos!B:B,Insumos!C:$C)</f>
        <v/>
      </c>
      <c r="F1058" s="2164" t="n">
        <v>0.4803</v>
      </c>
      <c r="G1058" s="92">
        <f t="array" ref="G1058">IF(B1058="insumo",_xlfn.XLOOKUP($D1058,Insumos!$B$1:$B$993,Insumos!$D$1:$D$993),"")</f>
        <v/>
      </c>
      <c r="H1058" s="92" t="n">
        <v>0.09606000000000001</v>
      </c>
      <c r="I1058" s="2165" t="e">
        <v>#REF!</v>
      </c>
      <c r="J1058" s="2165" t="e">
        <v>#REF!</v>
      </c>
      <c r="K1058" s="2165" t="n"/>
    </row>
    <row r="1059" outlineLevel="2" ht="18" customHeight="1">
      <c r="A1059" s="1076" t="n">
        <v>1</v>
      </c>
      <c r="B1059" s="1076" t="inlineStr">
        <is>
          <t>Serviço</t>
        </is>
      </c>
      <c r="C1059" s="1077" t="inlineStr">
        <is>
          <t>Parede Com Sistema Em Chapas De Gesso Para Drywall, Uso Interno, Montante 70mm  (70 / HU)</t>
        </is>
      </c>
      <c r="D1059" s="1077" t="inlineStr">
        <is>
          <t>Parede Com Sistema Em Chapas De Gesso Para Drywall, Uso Interno, Montante 70mm  (70 / HU)</t>
        </is>
      </c>
      <c r="E1059" s="1078" t="inlineStr">
        <is>
          <t>M2</t>
        </is>
      </c>
      <c r="F1059" s="1076" t="n"/>
      <c r="G1059" s="1069">
        <f t="array" ref="G1059">IF(B1059="insumo",_xlfn.XLOOKUP($D1059,Insumos!$B$1:$B$993,Insumos!$D$1:$D$993),"")</f>
        <v/>
      </c>
      <c r="H1059" s="1069" t="n">
        <v>103.831041</v>
      </c>
      <c r="I1059" s="2167" t="n">
        <v>0</v>
      </c>
      <c r="J1059" s="2167" t="n">
        <v>0</v>
      </c>
      <c r="K1059" s="2167" t="n"/>
    </row>
    <row r="1060" outlineLevel="3" ht="18" customHeight="1">
      <c r="A1060" s="471" t="n">
        <v>49</v>
      </c>
      <c r="B1060" s="471" t="inlineStr">
        <is>
          <t>Insumo</t>
        </is>
      </c>
      <c r="C1060" s="1053" t="inlineStr">
        <is>
          <t>Parede Com Sistema Em Chapas De Gesso Para Drywall, Uso Interno, Montante 70mm  (70 / HU)</t>
        </is>
      </c>
      <c r="D1060" s="1053" t="inlineStr">
        <is>
          <t>PLACA / CHAPA DE GESSO ACARTONADO, RESISTENTE A UMIDADE (RU), COR VERDE, E = 12,5 MM, 1200 X 2400 MM (L X C)</t>
        </is>
      </c>
      <c r="E1060" s="11">
        <f t="array" ref="E1060">_xlfn.XLOOKUP(D1060,Insumos!B:B,Insumos!C:$C)</f>
        <v/>
      </c>
      <c r="F1060" s="2164">
        <f>1.053</f>
        <v/>
      </c>
      <c r="G1060" s="92">
        <f t="array" ref="G1060">IF(B1060="insumo",_xlfn.XLOOKUP($D1060,Insumos!$B$1:$B$993,Insumos!$D$1:$D$993),"")</f>
        <v/>
      </c>
      <c r="H1060" s="92" t="n">
        <v>28.5363</v>
      </c>
      <c r="I1060" s="2165" t="n">
        <v>0</v>
      </c>
      <c r="J1060" s="2165" t="n">
        <v>0</v>
      </c>
      <c r="K1060" s="2165" t="n"/>
    </row>
    <row r="1061" outlineLevel="3" ht="12.75" customHeight="1">
      <c r="A1061" s="471" t="n">
        <v>10</v>
      </c>
      <c r="B1061" s="471" t="inlineStr">
        <is>
          <t>Insumo</t>
        </is>
      </c>
      <c r="C1061" s="10" t="inlineStr">
        <is>
          <t>Parede Com Sistema Em Chapas De Gesso Para Drywall, Uso Interno, Montante 70mm  (70 / HU)</t>
        </is>
      </c>
      <c r="D1061" s="10" t="inlineStr">
        <is>
          <t>PLACA / CHAPA DE GESSO ACARTONADO HARDBOARD (HB) E = 12,5 MM, 1200 X 1800 MM (L X C)</t>
        </is>
      </c>
      <c r="E1061" s="11">
        <f t="array" ref="E1061">_xlfn.XLOOKUP(D1061,Insumos!B:B,Insumos!C:$C)</f>
        <v/>
      </c>
      <c r="F1061" s="2164">
        <f>1.053</f>
        <v/>
      </c>
      <c r="G1061" s="92">
        <f t="array" ref="G1061">IF(B1061="insumo",_xlfn.XLOOKUP($D1061,Insumos!$B$1:$B$993,Insumos!$D$1:$D$993),"")</f>
        <v/>
      </c>
      <c r="H1061" s="92" t="n">
        <v>36.343125</v>
      </c>
      <c r="I1061" s="2165" t="n">
        <v>0</v>
      </c>
      <c r="J1061" s="2165" t="n">
        <v>0</v>
      </c>
      <c r="K1061" s="2165" t="n"/>
    </row>
    <row r="1062" outlineLevel="3" ht="18" customHeight="1">
      <c r="A1062" s="471" t="n">
        <v>95</v>
      </c>
      <c r="B1062" s="471" t="inlineStr">
        <is>
          <t>Insumo</t>
        </is>
      </c>
      <c r="C1062" s="1053" t="inlineStr">
        <is>
          <t>Parede Com Sistema Em Chapas De Gesso Para Drywall, Uso Interno, Montante 70mm  (70 / HU)</t>
        </is>
      </c>
      <c r="D1062" s="1053" t="inlineStr">
        <is>
          <t>PINO DE ACO COM ARRUELA CONICA, DIAMETRO ARRUELA = *23* MM E COMP HASTE = *27* MM (ACAO INDIRETA)</t>
        </is>
      </c>
      <c r="E1062" s="11">
        <f t="array" ref="E1062">_xlfn.XLOOKUP(D1062,Insumos!B:B,Insumos!C:$C)</f>
        <v/>
      </c>
      <c r="F1062" s="2164" t="n">
        <v>4.95</v>
      </c>
      <c r="G1062" s="92">
        <f t="array" ref="G1062">IF(B1062="insumo",_xlfn.XLOOKUP($D1062,Insumos!$B$1:$B$993,Insumos!$D$1:$D$993),"")</f>
        <v/>
      </c>
      <c r="H1062" s="92" t="n">
        <v>2.4948</v>
      </c>
      <c r="I1062" s="2165" t="n">
        <v>0</v>
      </c>
      <c r="J1062" s="2165" t="n">
        <v>0</v>
      </c>
      <c r="K1062" s="2165" t="n"/>
    </row>
    <row r="1063" outlineLevel="3" ht="18" customHeight="1">
      <c r="A1063" s="471" t="n">
        <v>43</v>
      </c>
      <c r="B1063" s="471" t="inlineStr">
        <is>
          <t>Insumo</t>
        </is>
      </c>
      <c r="C1063" s="1053" t="inlineStr">
        <is>
          <t>Parede Com Sistema Em Chapas De Gesso Para Drywall, Uso Interno, Montante 70mm  (70 / HU)</t>
        </is>
      </c>
      <c r="D1063" s="1053" t="inlineStr">
        <is>
          <t>PERFIL GUIA, FORMATO U, EM ACO ZINCADO, PARA ESTRUTURA PAREDE DRYWALL, E = 0,5 MM, 70 X 3000 MM (L X C)</t>
        </is>
      </c>
      <c r="E1063" s="11">
        <f t="array" ref="E1063">_xlfn.XLOOKUP(D1063,Insumos!B:B,Insumos!C:$C)</f>
        <v/>
      </c>
      <c r="F1063" s="2164" t="n">
        <v>1.5248</v>
      </c>
      <c r="G1063" s="92">
        <f t="array" ref="G1063">IF(B1063="insumo",_xlfn.XLOOKUP($D1063,Insumos!$B$1:$B$993,Insumos!$D$1:$D$993),"")</f>
        <v/>
      </c>
      <c r="H1063" s="92" t="n">
        <v>11.375008</v>
      </c>
      <c r="I1063" s="2165" t="n">
        <v>0</v>
      </c>
      <c r="J1063" s="2165" t="n">
        <v>0</v>
      </c>
      <c r="K1063" s="2165" t="n"/>
    </row>
    <row r="1064" outlineLevel="3" ht="18" customHeight="1">
      <c r="A1064" s="471" t="n">
        <v>43</v>
      </c>
      <c r="B1064" s="471" t="inlineStr">
        <is>
          <t>Insumo</t>
        </is>
      </c>
      <c r="C1064" s="1053" t="inlineStr">
        <is>
          <t>Parede Com Sistema Em Chapas De Gesso Para Drywall, Uso Interno, Montante 70mm  (70 / HU)</t>
        </is>
      </c>
      <c r="D1064" s="1053" t="inlineStr">
        <is>
          <t>PERFIL MONTANTE, FORMATO C, EM ACO ZINCADO, PARA ESTRUTURA PAREDE DRYWALL, E = 0,5 MM, 70 X 3000 MM (L X C)</t>
        </is>
      </c>
      <c r="E1064" s="11">
        <f t="array" ref="E1064">_xlfn.XLOOKUP(D1064,Insumos!B:B,Insumos!C:$C)</f>
        <v/>
      </c>
      <c r="F1064" s="2164" t="n">
        <v>2.0006</v>
      </c>
      <c r="G1064" s="92">
        <f t="array" ref="G1064">IF(B1064="insumo",_xlfn.XLOOKUP($D1064,Insumos!$B$1:$B$993,Insumos!$D$1:$D$993),"")</f>
        <v/>
      </c>
      <c r="H1064" s="92" t="n">
        <v>15.964788</v>
      </c>
      <c r="I1064" s="2165" t="n">
        <v>0</v>
      </c>
      <c r="J1064" s="2165" t="n">
        <v>0</v>
      </c>
      <c r="K1064" s="2165" t="n"/>
    </row>
    <row r="1065" outlineLevel="3" ht="18" customHeight="1">
      <c r="A1065" s="471" t="n">
        <v>95</v>
      </c>
      <c r="B1065" s="471" t="inlineStr">
        <is>
          <t>Insumo</t>
        </is>
      </c>
      <c r="C1065" s="1053" t="inlineStr">
        <is>
          <t>Parede Com Sistema Em Chapas De Gesso Para Drywall, Uso Interno, Montante 70mm  (70 / HU)</t>
        </is>
      </c>
      <c r="D1065" s="1053" t="inlineStr">
        <is>
          <t>MASSA DE REJUNTE EM PO PARA DRYWALL, A BASE DE GESSO, SECAGEM RAPIDA, PARA TRATAMENTO DE JUNTAS DE CHAPA DE GESSO (NECESSITA ADICAO DE AGUA)</t>
        </is>
      </c>
      <c r="E1065" s="11">
        <f t="array" ref="E1065">_xlfn.XLOOKUP(D1065,Insumos!B:B,Insumos!C:$C)</f>
        <v/>
      </c>
      <c r="F1065" s="2164" t="n">
        <v>0.5489000000000001</v>
      </c>
      <c r="G1065" s="92">
        <f t="array" ref="G1065">IF(B1065="insumo",_xlfn.XLOOKUP($D1065,Insumos!$B$1:$B$993,Insumos!$D$1:$D$993),"")</f>
        <v/>
      </c>
      <c r="H1065" s="92" t="n">
        <v>1.882727</v>
      </c>
      <c r="I1065" s="2165" t="n">
        <v>0</v>
      </c>
      <c r="J1065" s="2165" t="n">
        <v>0</v>
      </c>
      <c r="K1065" s="2165" t="n"/>
    </row>
    <row r="1066" outlineLevel="3" ht="18" customHeight="1">
      <c r="A1066" s="471" t="n">
        <v>94</v>
      </c>
      <c r="B1066" s="471" t="inlineStr">
        <is>
          <t>Insumo</t>
        </is>
      </c>
      <c r="C1066" s="1053" t="inlineStr">
        <is>
          <t>Parede Com Sistema Em Chapas De Gesso Para Drywall, Uso Interno, Montante 70mm  (70 / HU)</t>
        </is>
      </c>
      <c r="D1066" s="1053" t="inlineStr">
        <is>
          <t>FITA DE PAPEL MICROPERFURADO, 50 X 150 MM, PARA TRATAMENTO DE JUNTAS DE CHAPA DE GESSO PARA DRYWALL</t>
        </is>
      </c>
      <c r="E1066" s="11">
        <f t="array" ref="E1066">_xlfn.XLOOKUP(D1066,Insumos!B:B,Insumos!C:$C)</f>
        <v/>
      </c>
      <c r="F1066" s="2164" t="n">
        <v>1.2513</v>
      </c>
      <c r="G1066" s="92">
        <f t="array" ref="G1066">IF(B1066="insumo",_xlfn.XLOOKUP($D1066,Insumos!$B$1:$B$993,Insumos!$D$1:$D$993),"")</f>
        <v/>
      </c>
      <c r="H1066" s="92" t="n">
        <v>0.387903</v>
      </c>
      <c r="I1066" s="2165" t="n">
        <v>0</v>
      </c>
      <c r="J1066" s="2165" t="n">
        <v>0</v>
      </c>
      <c r="K1066" s="2165" t="n"/>
    </row>
    <row r="1067" outlineLevel="3" ht="18" customHeight="1">
      <c r="A1067" s="471" t="n">
        <v>94</v>
      </c>
      <c r="B1067" s="471" t="inlineStr">
        <is>
          <t>Insumo</t>
        </is>
      </c>
      <c r="C1067" s="1053" t="inlineStr">
        <is>
          <t>Parede Com Sistema Em Chapas De Gesso Para Drywall, Uso Interno, Montante 70mm  (70 / HU)</t>
        </is>
      </c>
      <c r="D1067" s="1053" t="inlineStr">
        <is>
          <t>FITA DE PAPEL REFORCADA COM LAMINA DE METAL PARA REFORCO DE CANTOS DE CHAPA DE GESSO PARA DRYWALL</t>
        </is>
      </c>
      <c r="E1067" s="11">
        <f t="array" ref="E1067">_xlfn.XLOOKUP(D1067,Insumos!B:B,Insumos!C:$C)</f>
        <v/>
      </c>
      <c r="F1067" s="2164" t="n">
        <v>0.7407</v>
      </c>
      <c r="G1067" s="92">
        <f t="array" ref="G1067">IF(B1067="insumo",_xlfn.XLOOKUP($D1067,Insumos!$B$1:$B$993,Insumos!$D$1:$D$993),"")</f>
        <v/>
      </c>
      <c r="H1067" s="92" t="n">
        <v>2.029518</v>
      </c>
      <c r="I1067" s="2165" t="n">
        <v>0</v>
      </c>
      <c r="J1067" s="2165" t="n">
        <v>0</v>
      </c>
      <c r="K1067" s="2165" t="n"/>
    </row>
    <row r="1068" outlineLevel="3" ht="18" customHeight="1">
      <c r="A1068" s="471" t="n">
        <v>11</v>
      </c>
      <c r="B1068" s="471" t="inlineStr">
        <is>
          <t>Insumo</t>
        </is>
      </c>
      <c r="C1068" s="1053" t="inlineStr">
        <is>
          <t>Parede Com Sistema Em Chapas De Gesso Para Drywall, Uso Interno, Montante 70mm  (70 / HU)</t>
        </is>
      </c>
      <c r="D1068" s="1053" t="inlineStr">
        <is>
          <t>BANDA ACUSTICA</t>
        </is>
      </c>
      <c r="E1068" s="11">
        <f t="array" ref="E1068">_xlfn.XLOOKUP(D1068,Insumos!B:B,Insumos!C:$C)</f>
        <v/>
      </c>
      <c r="F1068" s="2164" t="n">
        <v>0.8</v>
      </c>
      <c r="G1068" s="92">
        <f t="array" ref="G1068">IF(B1068="insumo",_xlfn.XLOOKUP($D1068,Insumos!$B$1:$B$993,Insumos!$D$1:$D$993),"")</f>
        <v/>
      </c>
      <c r="H1068" s="92" t="n">
        <v>2.4</v>
      </c>
      <c r="I1068" s="2165" t="n">
        <v>0</v>
      </c>
      <c r="J1068" s="2165" t="n">
        <v>0</v>
      </c>
      <c r="K1068" s="2165" t="n"/>
    </row>
    <row r="1069" outlineLevel="3" ht="18" customHeight="1">
      <c r="A1069" s="471" t="n">
        <v>11</v>
      </c>
      <c r="B1069" s="471" t="inlineStr">
        <is>
          <t>Insumo</t>
        </is>
      </c>
      <c r="C1069" s="1053" t="inlineStr">
        <is>
          <t>Parede Com Sistema Em Chapas De Gesso Para Drywall, Uso Interno, Montante 70mm  (70 / HU)</t>
        </is>
      </c>
      <c r="D1069" s="1053" t="inlineStr">
        <is>
          <t>Aplicação de zarcão nas guias inferiores</t>
        </is>
      </c>
      <c r="E1069" s="11">
        <f t="array" ref="E1069">_xlfn.XLOOKUP(D1069,Insumos!B:B,Insumos!C:$C)</f>
        <v/>
      </c>
      <c r="F1069" s="2164" t="n">
        <v>0.84</v>
      </c>
      <c r="G1069" s="92">
        <f t="array" ref="G1069">IF(B1069="insumo",_xlfn.XLOOKUP($D1069,Insumos!$B$1:$B$993,Insumos!$D$1:$D$993),"")</f>
        <v/>
      </c>
      <c r="H1069" s="92" t="n">
        <v>0.504</v>
      </c>
      <c r="I1069" s="2165" t="n">
        <v>0</v>
      </c>
      <c r="J1069" s="2165" t="n">
        <v>0</v>
      </c>
      <c r="K1069" s="2165" t="n"/>
    </row>
    <row r="1070" outlineLevel="3" ht="18" customHeight="1">
      <c r="A1070" s="471" t="n">
        <v>97</v>
      </c>
      <c r="B1070" s="471" t="inlineStr">
        <is>
          <t>Insumo</t>
        </is>
      </c>
      <c r="C1070" s="1053" t="inlineStr">
        <is>
          <t>Parede Com Sistema Em Chapas De Gesso Para Drywall, Uso Interno, Montante 70mm  (70 / HU)</t>
        </is>
      </c>
      <c r="D1070" s="1053" t="inlineStr">
        <is>
          <t>PARAFUSO DRY WALL, EM ACO FOSFATIZADO, CABECA TROMBETA E PONTA AGULHA (TA), COMPRIMENTO 25 MM</t>
        </is>
      </c>
      <c r="E1070" s="11">
        <f t="array" ref="E1070">_xlfn.XLOOKUP(D1070,Insumos!B:B,Insumos!C:$C)</f>
        <v/>
      </c>
      <c r="F1070" s="2164" t="n">
        <v>20.1868</v>
      </c>
      <c r="G1070" s="92">
        <f t="array" ref="G1070">IF(B1070="insumo",_xlfn.XLOOKUP($D1070,Insumos!$B$1:$B$993,Insumos!$D$1:$D$993),"")</f>
        <v/>
      </c>
      <c r="H1070" s="92" t="n">
        <v>1.816812</v>
      </c>
      <c r="I1070" s="2165" t="n">
        <v>0</v>
      </c>
      <c r="J1070" s="2165" t="n">
        <v>0</v>
      </c>
      <c r="K1070" s="2165" t="n"/>
    </row>
    <row r="1071" outlineLevel="3" ht="18" customHeight="1">
      <c r="A1071" s="471" t="n">
        <v>95</v>
      </c>
      <c r="B1071" s="471" t="inlineStr">
        <is>
          <t>Insumo</t>
        </is>
      </c>
      <c r="C1071" s="1053" t="inlineStr">
        <is>
          <t>Parede Com Sistema Em Chapas De Gesso Para Drywall, Uso Interno, Montante 70mm  (70 / HU)</t>
        </is>
      </c>
      <c r="D1071" s="1053" t="inlineStr">
        <is>
          <t>PARAFUSO DRY WALL, EM ACO ZINCADO, CABECA LENTILHA E PONTA BROCA (LB), LARGURA 4,2 MM, COMPRIMENTO 13 MM</t>
        </is>
      </c>
      <c r="E1071" s="11">
        <f t="array" ref="E1071">_xlfn.XLOOKUP(D1071,Insumos!B:B,Insumos!C:$C)</f>
        <v/>
      </c>
      <c r="F1071" s="2164" t="n">
        <v>0.4803</v>
      </c>
      <c r="G1071" s="92">
        <f t="array" ref="G1071">IF(B1071="insumo",_xlfn.XLOOKUP($D1071,Insumos!$B$1:$B$993,Insumos!$D$1:$D$993),"")</f>
        <v/>
      </c>
      <c r="H1071" s="92" t="n">
        <v>0.09606000000000001</v>
      </c>
      <c r="I1071" s="2165" t="n">
        <v>0</v>
      </c>
      <c r="J1071" s="2165" t="n">
        <v>0</v>
      </c>
      <c r="K1071" s="2165" t="n"/>
    </row>
    <row r="1072" outlineLevel="2" ht="27" customHeight="1">
      <c r="A1072" s="1076" t="n">
        <v>1</v>
      </c>
      <c r="B1072" s="1076" t="inlineStr">
        <is>
          <t>Serviço</t>
        </is>
      </c>
      <c r="C1072" s="1077" t="inlineStr">
        <is>
          <t>Parede Com Sistema Em Chapas De Gesso Para Drywall, Uso Interno, Montante 70mm  (HS / 70 / HS)</t>
        </is>
      </c>
      <c r="D1072" s="1077" t="inlineStr">
        <is>
          <t>Parede Com Sistema Em Chapas De Gesso Para Drywall, Uso Interno, Montante 70mm  (HS / 70 / HS)</t>
        </is>
      </c>
      <c r="E1072" s="1078" t="inlineStr">
        <is>
          <t>M2</t>
        </is>
      </c>
      <c r="F1072" s="1076" t="n"/>
      <c r="G1072" s="1069">
        <f t="array" ref="G1072">IF(B1072="insumo",_xlfn.XLOOKUP($D1072,Insumos!$B$1:$B$993,Insumos!$D$1:$D$993),"")</f>
        <v/>
      </c>
      <c r="H1072" s="1069" t="n">
        <v>158.395279</v>
      </c>
      <c r="I1072" s="2167" t="n">
        <v>0</v>
      </c>
      <c r="J1072" s="2167" t="n">
        <v>0</v>
      </c>
      <c r="K1072" s="2167" t="n"/>
    </row>
    <row r="1073" outlineLevel="3" ht="27" customHeight="1">
      <c r="A1073" s="471" t="n">
        <v>47</v>
      </c>
      <c r="B1073" s="471" t="inlineStr">
        <is>
          <t>Insumo</t>
        </is>
      </c>
      <c r="C1073" s="1053" t="inlineStr">
        <is>
          <t>Parede Com Sistema Em Chapas De Gesso Para Drywall, Uso Interno, Montante 70mm  (HS / 70 / HS)</t>
        </is>
      </c>
      <c r="D1073" s="1053" t="inlineStr">
        <is>
          <t>PLACA / CHAPA DE GESSO ACARTONADO, STANDARD (ST), COR BRANCA, E = 12,5 MM, 1200 X 2400 MM (L X C)</t>
        </is>
      </c>
      <c r="E1073" s="11">
        <f t="array" ref="E1073">_xlfn.XLOOKUP(D1073,Insumos!B:B,Insumos!C:$C)</f>
        <v/>
      </c>
      <c r="F1073" s="2164">
        <f>1.053*2</f>
        <v/>
      </c>
      <c r="G1073" s="92">
        <f t="array" ref="G1073">IF(B1073="insumo",_xlfn.XLOOKUP($D1073,Insumos!$B$1:$B$993,Insumos!$D$1:$D$993),"")</f>
        <v/>
      </c>
      <c r="H1073" s="92" t="n">
        <v>42.45696</v>
      </c>
      <c r="I1073" s="2165" t="n">
        <v>0</v>
      </c>
      <c r="J1073" s="2165" t="n">
        <v>0</v>
      </c>
      <c r="K1073" s="2165" t="n"/>
    </row>
    <row r="1074" outlineLevel="3" ht="12.75" customHeight="1">
      <c r="A1074" s="471" t="n">
        <v>10</v>
      </c>
      <c r="B1074" s="471" t="inlineStr">
        <is>
          <t>Insumo</t>
        </is>
      </c>
      <c r="C1074" s="10" t="inlineStr">
        <is>
          <t>Parede Com Sistema Em Chapas De Gesso Para Drywall, Uso Interno, Montante 70mm  (HS / 70 / HS)</t>
        </is>
      </c>
      <c r="D1074" s="10" t="inlineStr">
        <is>
          <t>PLACA / CHAPA DE GESSO ACARTONADO HARDBOARD (HB) E = 12,5 MM, 1200 X 1800 MM (L X C)</t>
        </is>
      </c>
      <c r="E1074" s="11">
        <f t="array" ref="E1074">_xlfn.XLOOKUP(D1074,Insumos!B:B,Insumos!C:$C)</f>
        <v/>
      </c>
      <c r="F1074" s="2164">
        <f>1.053*2</f>
        <v/>
      </c>
      <c r="G1074" s="92">
        <f t="array" ref="G1074">IF(B1074="insumo",_xlfn.XLOOKUP($D1074,Insumos!$B$1:$B$993,Insumos!$D$1:$D$993),"")</f>
        <v/>
      </c>
      <c r="H1074" s="92" t="n">
        <v>72.68625</v>
      </c>
      <c r="I1074" s="2165" t="n">
        <v>0</v>
      </c>
      <c r="J1074" s="2165" t="n">
        <v>0</v>
      </c>
      <c r="K1074" s="2165" t="n"/>
    </row>
    <row r="1075" outlineLevel="3" ht="27" customHeight="1">
      <c r="A1075" s="471" t="n">
        <v>95</v>
      </c>
      <c r="B1075" s="471" t="inlineStr">
        <is>
          <t>Insumo</t>
        </is>
      </c>
      <c r="C1075" s="1053" t="inlineStr">
        <is>
          <t>Parede Com Sistema Em Chapas De Gesso Para Drywall, Uso Interno, Montante 70mm  (HS / 70 / HS)</t>
        </is>
      </c>
      <c r="D1075" s="1053" t="inlineStr">
        <is>
          <t>PINO DE ACO COM ARRUELA CONICA, DIAMETRO ARRUELA = *23* MM E COMP HASTE = *27* MM (ACAO INDIRETA)</t>
        </is>
      </c>
      <c r="E1075" s="11">
        <f t="array" ref="E1075">_xlfn.XLOOKUP(D1075,Insumos!B:B,Insumos!C:$C)</f>
        <v/>
      </c>
      <c r="F1075" s="2164" t="n">
        <v>4.95</v>
      </c>
      <c r="G1075" s="92">
        <f t="array" ref="G1075">IF(B1075="insumo",_xlfn.XLOOKUP($D1075,Insumos!$B$1:$B$993,Insumos!$D$1:$D$993),"")</f>
        <v/>
      </c>
      <c r="H1075" s="92" t="n">
        <v>2.4948</v>
      </c>
      <c r="I1075" s="2165" t="n">
        <v>0</v>
      </c>
      <c r="J1075" s="2165" t="n">
        <v>0</v>
      </c>
      <c r="K1075" s="2165" t="n"/>
    </row>
    <row r="1076" outlineLevel="3" ht="27" customHeight="1">
      <c r="A1076" s="471" t="n">
        <v>43</v>
      </c>
      <c r="B1076" s="471" t="inlineStr">
        <is>
          <t>Insumo</t>
        </is>
      </c>
      <c r="C1076" s="1053" t="inlineStr">
        <is>
          <t>Parede Com Sistema Em Chapas De Gesso Para Drywall, Uso Interno, Montante 70mm  (HS / 70 / HS)</t>
        </is>
      </c>
      <c r="D1076" s="1053" t="inlineStr">
        <is>
          <t>PERFIL GUIA, FORMATO U, EM ACO ZINCADO, PARA ESTRUTURA PAREDE DRYWALL, E = 0,5 MM, 70 X 3000 MM (L X C)</t>
        </is>
      </c>
      <c r="E1076" s="11">
        <f t="array" ref="E1076">_xlfn.XLOOKUP(D1076,Insumos!B:B,Insumos!C:$C)</f>
        <v/>
      </c>
      <c r="F1076" s="2164" t="n">
        <v>1.5248</v>
      </c>
      <c r="G1076" s="92">
        <f t="array" ref="G1076">IF(B1076="insumo",_xlfn.XLOOKUP($D1076,Insumos!$B$1:$B$993,Insumos!$D$1:$D$993),"")</f>
        <v/>
      </c>
      <c r="H1076" s="92" t="n">
        <v>11.375008</v>
      </c>
      <c r="I1076" s="2165" t="n">
        <v>0</v>
      </c>
      <c r="J1076" s="2165" t="n">
        <v>0</v>
      </c>
      <c r="K1076" s="2165" t="n"/>
    </row>
    <row r="1077" outlineLevel="3" ht="27" customHeight="1">
      <c r="A1077" s="471" t="n">
        <v>43</v>
      </c>
      <c r="B1077" s="471" t="inlineStr">
        <is>
          <t>Insumo</t>
        </is>
      </c>
      <c r="C1077" s="1053" t="inlineStr">
        <is>
          <t>Parede Com Sistema Em Chapas De Gesso Para Drywall, Uso Interno, Montante 70mm  (HS / 70 / HS)</t>
        </is>
      </c>
      <c r="D1077" s="1053" t="inlineStr">
        <is>
          <t>PERFIL MONTANTE, FORMATO C, EM ACO ZINCADO, PARA ESTRUTURA PAREDE DRYWALL, E = 0,5 MM, 70 X 3000 MM (L X C)</t>
        </is>
      </c>
      <c r="E1077" s="11">
        <f t="array" ref="E1077">_xlfn.XLOOKUP(D1077,Insumos!B:B,Insumos!C:$C)</f>
        <v/>
      </c>
      <c r="F1077" s="2164" t="n">
        <v>2.0006</v>
      </c>
      <c r="G1077" s="92">
        <f t="array" ref="G1077">IF(B1077="insumo",_xlfn.XLOOKUP($D1077,Insumos!$B$1:$B$993,Insumos!$D$1:$D$993),"")</f>
        <v/>
      </c>
      <c r="H1077" s="92" t="n">
        <v>15.964788</v>
      </c>
      <c r="I1077" s="2165" t="n">
        <v>0</v>
      </c>
      <c r="J1077" s="2165" t="n">
        <v>0</v>
      </c>
      <c r="K1077" s="2165" t="n"/>
    </row>
    <row r="1078" outlineLevel="3" ht="27" customHeight="1">
      <c r="A1078" s="471" t="n">
        <v>95</v>
      </c>
      <c r="B1078" s="471" t="inlineStr">
        <is>
          <t>Insumo</t>
        </is>
      </c>
      <c r="C1078" s="1053" t="inlineStr">
        <is>
          <t>Parede Com Sistema Em Chapas De Gesso Para Drywall, Uso Interno, Montante 70mm  (HS / 70 / HS)</t>
        </is>
      </c>
      <c r="D1078" s="1053" t="inlineStr">
        <is>
          <t>MASSA DE REJUNTE EM PO PARA DRYWALL, A BASE DE GESSO, SECAGEM RAPIDA, PARA TRATAMENTO DE JUNTAS DE CHAPA DE GESSO (NECESSITA ADICAO DE AGUA)</t>
        </is>
      </c>
      <c r="E1078" s="11">
        <f t="array" ref="E1078">_xlfn.XLOOKUP(D1078,Insumos!B:B,Insumos!C:$C)</f>
        <v/>
      </c>
      <c r="F1078" s="2164" t="n">
        <v>1.0978</v>
      </c>
      <c r="G1078" s="92">
        <f t="array" ref="G1078">IF(B1078="insumo",_xlfn.XLOOKUP($D1078,Insumos!$B$1:$B$993,Insumos!$D$1:$D$993),"")</f>
        <v/>
      </c>
      <c r="H1078" s="92" t="n">
        <v>3.765454</v>
      </c>
      <c r="I1078" s="2165" t="n">
        <v>0</v>
      </c>
      <c r="J1078" s="2165" t="n">
        <v>0</v>
      </c>
      <c r="K1078" s="2165" t="n"/>
    </row>
    <row r="1079" outlineLevel="3" ht="27" customHeight="1">
      <c r="A1079" s="471" t="n">
        <v>94</v>
      </c>
      <c r="B1079" s="471" t="inlineStr">
        <is>
          <t>Insumo</t>
        </is>
      </c>
      <c r="C1079" s="1053" t="inlineStr">
        <is>
          <t>Parede Com Sistema Em Chapas De Gesso Para Drywall, Uso Interno, Montante 70mm  (HS / 70 / HS)</t>
        </is>
      </c>
      <c r="D1079" s="1053" t="inlineStr">
        <is>
          <t>FITA DE PAPEL MICROPERFURADO, 50 X 150 MM, PARA TRATAMENTO DE JUNTAS DE CHAPA DE GESSO PARA DRYWALL</t>
        </is>
      </c>
      <c r="E1079" s="11">
        <f t="array" ref="E1079">_xlfn.XLOOKUP(D1079,Insumos!B:B,Insumos!C:$C)</f>
        <v/>
      </c>
      <c r="F1079" s="2164" t="n">
        <v>2.5027</v>
      </c>
      <c r="G1079" s="92">
        <f t="array" ref="G1079">IF(B1079="insumo",_xlfn.XLOOKUP($D1079,Insumos!$B$1:$B$993,Insumos!$D$1:$D$993),"")</f>
        <v/>
      </c>
      <c r="H1079" s="92" t="n">
        <v>0.775837</v>
      </c>
      <c r="I1079" s="2165" t="n">
        <v>0</v>
      </c>
      <c r="J1079" s="2165" t="n">
        <v>0</v>
      </c>
      <c r="K1079" s="2165" t="n"/>
    </row>
    <row r="1080" outlineLevel="3" ht="27" customHeight="1">
      <c r="A1080" s="471" t="n">
        <v>94</v>
      </c>
      <c r="B1080" s="471" t="inlineStr">
        <is>
          <t>Insumo</t>
        </is>
      </c>
      <c r="C1080" s="1053" t="inlineStr">
        <is>
          <t>Parede Com Sistema Em Chapas De Gesso Para Drywall, Uso Interno, Montante 70mm  (HS / 70 / HS)</t>
        </is>
      </c>
      <c r="D1080" s="1053" t="inlineStr">
        <is>
          <t>FITA DE PAPEL REFORCADA COM LAMINA DE METAL PARA REFORCO DE CANTOS DE CHAPA DE GESSO PARA DRYWALL</t>
        </is>
      </c>
      <c r="E1080" s="11">
        <f t="array" ref="E1080">_xlfn.XLOOKUP(D1080,Insumos!B:B,Insumos!C:$C)</f>
        <v/>
      </c>
      <c r="F1080" s="2164" t="n">
        <v>1.4815</v>
      </c>
      <c r="G1080" s="92">
        <f t="array" ref="G1080">IF(B1080="insumo",_xlfn.XLOOKUP($D1080,Insumos!$B$1:$B$993,Insumos!$D$1:$D$993),"")</f>
        <v/>
      </c>
      <c r="H1080" s="92" t="n">
        <v>4.05931</v>
      </c>
      <c r="I1080" s="2165" t="n">
        <v>0</v>
      </c>
      <c r="J1080" s="2165" t="n">
        <v>0</v>
      </c>
      <c r="K1080" s="2165" t="n"/>
    </row>
    <row r="1081" outlineLevel="3" ht="27" customHeight="1">
      <c r="A1081" s="471" t="n">
        <v>11</v>
      </c>
      <c r="B1081" s="471" t="inlineStr">
        <is>
          <t>Insumo</t>
        </is>
      </c>
      <c r="C1081" s="1053" t="inlineStr">
        <is>
          <t>Parede Com Sistema Em Chapas De Gesso Para Drywall, Uso Interno, Montante 70mm  (HS / 70 / HS)</t>
        </is>
      </c>
      <c r="D1081" s="1053" t="inlineStr">
        <is>
          <t>BANDA ACUSTICA</t>
        </is>
      </c>
      <c r="E1081" s="11">
        <f t="array" ref="E1081">_xlfn.XLOOKUP(D1081,Insumos!B:B,Insumos!C:$C)</f>
        <v/>
      </c>
      <c r="F1081" s="2164" t="n">
        <v>0.8</v>
      </c>
      <c r="G1081" s="92">
        <f t="array" ref="G1081">IF(B1081="insumo",_xlfn.XLOOKUP($D1081,Insumos!$B$1:$B$993,Insumos!$D$1:$D$993),"")</f>
        <v/>
      </c>
      <c r="H1081" s="92" t="n">
        <v>2.4</v>
      </c>
      <c r="I1081" s="2165" t="n">
        <v>0</v>
      </c>
      <c r="J1081" s="2165" t="n">
        <v>0</v>
      </c>
      <c r="K1081" s="2165" t="n"/>
    </row>
    <row r="1082" outlineLevel="3" ht="27" customHeight="1">
      <c r="A1082" s="471" t="n">
        <v>11</v>
      </c>
      <c r="B1082" s="471" t="inlineStr">
        <is>
          <t>Insumo</t>
        </is>
      </c>
      <c r="C1082" s="1053" t="inlineStr">
        <is>
          <t>Parede Com Sistema Em Chapas De Gesso Para Drywall, Uso Interno, Montante 70mm  (HS / 70 / HS)</t>
        </is>
      </c>
      <c r="D1082" s="1053" t="inlineStr">
        <is>
          <t>Aplicação de zarcão nas guias inferiores</t>
        </is>
      </c>
      <c r="E1082" s="11">
        <f t="array" ref="E1082">_xlfn.XLOOKUP(D1082,Insumos!B:B,Insumos!C:$C)</f>
        <v/>
      </c>
      <c r="F1082" s="2164" t="n">
        <v>0.84</v>
      </c>
      <c r="G1082" s="92">
        <f t="array" ref="G1082">IF(B1082="insumo",_xlfn.XLOOKUP($D1082,Insumos!$B$1:$B$993,Insumos!$D$1:$D$993),"")</f>
        <v/>
      </c>
      <c r="H1082" s="92" t="n">
        <v>0.504</v>
      </c>
      <c r="I1082" s="2165" t="n">
        <v>0</v>
      </c>
      <c r="J1082" s="2165" t="n">
        <v>0</v>
      </c>
      <c r="K1082" s="2165" t="n"/>
    </row>
    <row r="1083" outlineLevel="3" ht="27" customHeight="1">
      <c r="A1083" s="471" t="n">
        <v>97</v>
      </c>
      <c r="B1083" s="471" t="inlineStr">
        <is>
          <t>Insumo</t>
        </is>
      </c>
      <c r="C1083" s="1053" t="inlineStr">
        <is>
          <t>Parede Com Sistema Em Chapas De Gesso Para Drywall, Uso Interno, Montante 70mm  (HS / 70 / HS)</t>
        </is>
      </c>
      <c r="D1083" s="1053" t="inlineStr">
        <is>
          <t>PARAFUSO DRY WALL, EM ACO FOSFATIZADO, CABECA TROMBETA E PONTA AGULHA (TA), COMPRIMENTO 25 MM</t>
        </is>
      </c>
      <c r="E1083" s="11">
        <f t="array" ref="E1083">_xlfn.XLOOKUP(D1083,Insumos!B:B,Insumos!C:$C)</f>
        <v/>
      </c>
      <c r="F1083" s="2164" t="n">
        <v>20.1868</v>
      </c>
      <c r="G1083" s="92">
        <f t="array" ref="G1083">IF(B1083="insumo",_xlfn.XLOOKUP($D1083,Insumos!$B$1:$B$993,Insumos!$D$1:$D$993),"")</f>
        <v/>
      </c>
      <c r="H1083" s="92" t="n">
        <v>1.816812</v>
      </c>
      <c r="I1083" s="2165" t="n">
        <v>0</v>
      </c>
      <c r="J1083" s="2165" t="n">
        <v>0</v>
      </c>
      <c r="K1083" s="2165" t="n"/>
    </row>
    <row r="1084" outlineLevel="3" ht="27" customHeight="1">
      <c r="A1084" s="471" t="n">
        <v>95</v>
      </c>
      <c r="B1084" s="471" t="inlineStr">
        <is>
          <t>Insumo</t>
        </is>
      </c>
      <c r="C1084" s="1053" t="inlineStr">
        <is>
          <t>Parede Com Sistema Em Chapas De Gesso Para Drywall, Uso Interno, Montante 70mm  (HS / 70 / HS)</t>
        </is>
      </c>
      <c r="D1084" s="1053" t="inlineStr">
        <is>
          <t>PARAFUSO DRY WALL, EM ACO ZINCADO, CABECA LENTILHA E PONTA BROCA (LB), LARGURA 4,2 MM, COMPRIMENTO 13 MM</t>
        </is>
      </c>
      <c r="E1084" s="11">
        <f t="array" ref="E1084">_xlfn.XLOOKUP(D1084,Insumos!B:B,Insumos!C:$C)</f>
        <v/>
      </c>
      <c r="F1084" s="2164" t="n">
        <v>0.4803</v>
      </c>
      <c r="G1084" s="92">
        <f t="array" ref="G1084">IF(B1084="insumo",_xlfn.XLOOKUP($D1084,Insumos!$B$1:$B$993,Insumos!$D$1:$D$993),"")</f>
        <v/>
      </c>
      <c r="H1084" s="92" t="n">
        <v>0.09606000000000001</v>
      </c>
      <c r="I1084" s="2165" t="n">
        <v>0</v>
      </c>
      <c r="J1084" s="2165" t="n">
        <v>0</v>
      </c>
      <c r="K1084" s="2165" t="n"/>
    </row>
    <row r="1085" outlineLevel="2" ht="27" customHeight="1">
      <c r="A1085" s="1076" t="n">
        <v>1</v>
      </c>
      <c r="B1085" s="1076" t="inlineStr">
        <is>
          <t>Serviço</t>
        </is>
      </c>
      <c r="C1085" s="1077" t="inlineStr">
        <is>
          <t>Parede Com Sistema Em Chapas De Gesso Para Drywall, Uso Interno, Montante 70mm  (HU / 70 / HU)</t>
        </is>
      </c>
      <c r="D1085" s="1077" t="inlineStr">
        <is>
          <t>Parede Com Sistema Em Chapas De Gesso Para Drywall, Uso Interno, Montante 70mm  (HU / 70 / HU)</t>
        </is>
      </c>
      <c r="E1085" s="1078" t="inlineStr">
        <is>
          <t>M2</t>
        </is>
      </c>
      <c r="F1085" s="1076" t="n"/>
      <c r="G1085" s="1069">
        <f t="array" ref="G1085">IF(B1085="insumo",_xlfn.XLOOKUP($D1085,Insumos!$B$1:$B$993,Insumos!$D$1:$D$993),"")</f>
        <v/>
      </c>
      <c r="H1085" s="1069" t="n">
        <v>173.010919</v>
      </c>
      <c r="I1085" s="2167" t="n">
        <v>0</v>
      </c>
      <c r="J1085" s="2167" t="n">
        <v>0</v>
      </c>
      <c r="K1085" s="2167" t="n"/>
    </row>
    <row r="1086" outlineLevel="3" ht="27" customHeight="1">
      <c r="A1086" s="471" t="n">
        <v>49</v>
      </c>
      <c r="B1086" s="471" t="inlineStr">
        <is>
          <t>Insumo</t>
        </is>
      </c>
      <c r="C1086" s="1053" t="inlineStr">
        <is>
          <t>Parede Com Sistema Em Chapas De Gesso Para Drywall, Uso Interno, Montante 70mm  (HU / 70 / HU)</t>
        </is>
      </c>
      <c r="D1086" s="1053" t="inlineStr">
        <is>
          <t>PLACA / CHAPA DE GESSO ACARTONADO, RESISTENTE A UMIDADE (RU), COR VERDE, E = 12,5 MM, 1200 X 2400 MM (L X C)</t>
        </is>
      </c>
      <c r="E1086" s="11">
        <f t="array" ref="E1086">_xlfn.XLOOKUP(D1086,Insumos!B:B,Insumos!C:$C)</f>
        <v/>
      </c>
      <c r="F1086" s="2164">
        <f>1.053*2</f>
        <v/>
      </c>
      <c r="G1086" s="92">
        <f t="array" ref="G1086">IF(B1086="insumo",_xlfn.XLOOKUP($D1086,Insumos!$B$1:$B$993,Insumos!$D$1:$D$993),"")</f>
        <v/>
      </c>
      <c r="H1086" s="92" t="n">
        <v>57.0726</v>
      </c>
      <c r="I1086" s="2165" t="n">
        <v>0</v>
      </c>
      <c r="J1086" s="2165" t="n">
        <v>0</v>
      </c>
      <c r="K1086" s="2165" t="n"/>
    </row>
    <row r="1087" outlineLevel="3" ht="12.75" customHeight="1">
      <c r="A1087" s="471" t="n">
        <v>10</v>
      </c>
      <c r="B1087" s="471" t="inlineStr">
        <is>
          <t>Insumo</t>
        </is>
      </c>
      <c r="C1087" s="10" t="inlineStr">
        <is>
          <t>Parede Com Sistema Em Chapas De Gesso Para Drywall, Uso Interno, Montante 70mm  (HU / 70 / HU)</t>
        </is>
      </c>
      <c r="D1087" s="10" t="inlineStr">
        <is>
          <t>PLACA / CHAPA DE GESSO ACARTONADO HARDBOARD (HB) E = 12,5 MM, 1200 X 1800 MM (L X C)</t>
        </is>
      </c>
      <c r="E1087" s="11">
        <f t="array" ref="E1087">_xlfn.XLOOKUP(D1087,Insumos!B:B,Insumos!C:$C)</f>
        <v/>
      </c>
      <c r="F1087" s="2164">
        <f>1.053*2</f>
        <v/>
      </c>
      <c r="G1087" s="92">
        <f t="array" ref="G1087">IF(B1087="insumo",_xlfn.XLOOKUP($D1087,Insumos!$B$1:$B$993,Insumos!$D$1:$D$993),"")</f>
        <v/>
      </c>
      <c r="H1087" s="92" t="n">
        <v>72.68625</v>
      </c>
      <c r="I1087" s="2165" t="n">
        <v>0</v>
      </c>
      <c r="J1087" s="2165" t="n">
        <v>0</v>
      </c>
      <c r="K1087" s="2165" t="n"/>
    </row>
    <row r="1088" outlineLevel="3" ht="27" customHeight="1">
      <c r="A1088" s="471" t="n">
        <v>95</v>
      </c>
      <c r="B1088" s="471" t="inlineStr">
        <is>
          <t>Insumo</t>
        </is>
      </c>
      <c r="C1088" s="1053" t="inlineStr">
        <is>
          <t>Parede Com Sistema Em Chapas De Gesso Para Drywall, Uso Interno, Montante 70mm  (HU / 70 / HU)</t>
        </is>
      </c>
      <c r="D1088" s="1053" t="inlineStr">
        <is>
          <t>PINO DE ACO COM ARRUELA CONICA, DIAMETRO ARRUELA = *23* MM E COMP HASTE = *27* MM (ACAO INDIRETA)</t>
        </is>
      </c>
      <c r="E1088" s="11">
        <f t="array" ref="E1088">_xlfn.XLOOKUP(D1088,Insumos!B:B,Insumos!C:$C)</f>
        <v/>
      </c>
      <c r="F1088" s="2164" t="n">
        <v>4.95</v>
      </c>
      <c r="G1088" s="92">
        <f t="array" ref="G1088">IF(B1088="insumo",_xlfn.XLOOKUP($D1088,Insumos!$B$1:$B$993,Insumos!$D$1:$D$993),"")</f>
        <v/>
      </c>
      <c r="H1088" s="92" t="n">
        <v>2.4948</v>
      </c>
      <c r="I1088" s="2165" t="n">
        <v>0</v>
      </c>
      <c r="J1088" s="2165" t="n">
        <v>0</v>
      </c>
      <c r="K1088" s="2165" t="n"/>
    </row>
    <row r="1089" outlineLevel="3" ht="27" customHeight="1">
      <c r="A1089" s="471" t="n">
        <v>43</v>
      </c>
      <c r="B1089" s="471" t="inlineStr">
        <is>
          <t>Insumo</t>
        </is>
      </c>
      <c r="C1089" s="1053" t="inlineStr">
        <is>
          <t>Parede Com Sistema Em Chapas De Gesso Para Drywall, Uso Interno, Montante 70mm  (HU / 70 / HU)</t>
        </is>
      </c>
      <c r="D1089" s="1053" t="inlineStr">
        <is>
          <t>PERFIL GUIA, FORMATO U, EM ACO ZINCADO, PARA ESTRUTURA PAREDE DRYWALL, E = 0,5 MM, 70 X 3000 MM (L X C)</t>
        </is>
      </c>
      <c r="E1089" s="11">
        <f t="array" ref="E1089">_xlfn.XLOOKUP(D1089,Insumos!B:B,Insumos!C:$C)</f>
        <v/>
      </c>
      <c r="F1089" s="2164" t="n">
        <v>1.5248</v>
      </c>
      <c r="G1089" s="92">
        <f t="array" ref="G1089">IF(B1089="insumo",_xlfn.XLOOKUP($D1089,Insumos!$B$1:$B$993,Insumos!$D$1:$D$993),"")</f>
        <v/>
      </c>
      <c r="H1089" s="92" t="n">
        <v>11.375008</v>
      </c>
      <c r="I1089" s="2165" t="n">
        <v>0</v>
      </c>
      <c r="J1089" s="2165" t="n">
        <v>0</v>
      </c>
      <c r="K1089" s="2165" t="n"/>
    </row>
    <row r="1090" outlineLevel="3" ht="27" customHeight="1">
      <c r="A1090" s="471" t="n">
        <v>43</v>
      </c>
      <c r="B1090" s="471" t="inlineStr">
        <is>
          <t>Insumo</t>
        </is>
      </c>
      <c r="C1090" s="1053" t="inlineStr">
        <is>
          <t>Parede Com Sistema Em Chapas De Gesso Para Drywall, Uso Interno, Montante 70mm  (HU / 70 / HU)</t>
        </is>
      </c>
      <c r="D1090" s="1053" t="inlineStr">
        <is>
          <t>PERFIL MONTANTE, FORMATO C, EM ACO ZINCADO, PARA ESTRUTURA PAREDE DRYWALL, E = 0,5 MM, 70 X 3000 MM (L X C)</t>
        </is>
      </c>
      <c r="E1090" s="11">
        <f t="array" ref="E1090">_xlfn.XLOOKUP(D1090,Insumos!B:B,Insumos!C:$C)</f>
        <v/>
      </c>
      <c r="F1090" s="2164" t="n">
        <v>2.0006</v>
      </c>
      <c r="G1090" s="92">
        <f t="array" ref="G1090">IF(B1090="insumo",_xlfn.XLOOKUP($D1090,Insumos!$B$1:$B$993,Insumos!$D$1:$D$993),"")</f>
        <v/>
      </c>
      <c r="H1090" s="92" t="n">
        <v>15.964788</v>
      </c>
      <c r="I1090" s="2165" t="n">
        <v>0</v>
      </c>
      <c r="J1090" s="2165" t="n">
        <v>0</v>
      </c>
      <c r="K1090" s="2165" t="n"/>
    </row>
    <row r="1091" outlineLevel="3" ht="27" customHeight="1">
      <c r="A1091" s="471" t="n">
        <v>95</v>
      </c>
      <c r="B1091" s="471" t="inlineStr">
        <is>
          <t>Insumo</t>
        </is>
      </c>
      <c r="C1091" s="1053" t="inlineStr">
        <is>
          <t>Parede Com Sistema Em Chapas De Gesso Para Drywall, Uso Interno, Montante 70mm  (HU / 70 / HU)</t>
        </is>
      </c>
      <c r="D1091" s="1053" t="inlineStr">
        <is>
          <t>MASSA DE REJUNTE EM PO PARA DRYWALL, A BASE DE GESSO, SECAGEM RAPIDA, PARA TRATAMENTO DE JUNTAS DE CHAPA DE GESSO (NECESSITA ADICAO DE AGUA)</t>
        </is>
      </c>
      <c r="E1091" s="11">
        <f t="array" ref="E1091">_xlfn.XLOOKUP(D1091,Insumos!B:B,Insumos!C:$C)</f>
        <v/>
      </c>
      <c r="F1091" s="2164" t="n">
        <v>1.0978</v>
      </c>
      <c r="G1091" s="92">
        <f t="array" ref="G1091">IF(B1091="insumo",_xlfn.XLOOKUP($D1091,Insumos!$B$1:$B$993,Insumos!$D$1:$D$993),"")</f>
        <v/>
      </c>
      <c r="H1091" s="92" t="n">
        <v>3.765454</v>
      </c>
      <c r="I1091" s="2165" t="n">
        <v>0</v>
      </c>
      <c r="J1091" s="2165" t="n">
        <v>0</v>
      </c>
      <c r="K1091" s="2165" t="n"/>
    </row>
    <row r="1092" outlineLevel="3" ht="27" customHeight="1">
      <c r="A1092" s="471" t="n">
        <v>94</v>
      </c>
      <c r="B1092" s="471" t="inlineStr">
        <is>
          <t>Insumo</t>
        </is>
      </c>
      <c r="C1092" s="1053" t="inlineStr">
        <is>
          <t>Parede Com Sistema Em Chapas De Gesso Para Drywall, Uso Interno, Montante 70mm  (HU / 70 / HU)</t>
        </is>
      </c>
      <c r="D1092" s="1053" t="inlineStr">
        <is>
          <t>FITA DE PAPEL MICROPERFURADO, 50 X 150 MM, PARA TRATAMENTO DE JUNTAS DE CHAPA DE GESSO PARA DRYWALL</t>
        </is>
      </c>
      <c r="E1092" s="11">
        <f t="array" ref="E1092">_xlfn.XLOOKUP(D1092,Insumos!B:B,Insumos!C:$C)</f>
        <v/>
      </c>
      <c r="F1092" s="2164" t="n">
        <v>2.5027</v>
      </c>
      <c r="G1092" s="92">
        <f t="array" ref="G1092">IF(B1092="insumo",_xlfn.XLOOKUP($D1092,Insumos!$B$1:$B$993,Insumos!$D$1:$D$993),"")</f>
        <v/>
      </c>
      <c r="H1092" s="92" t="n">
        <v>0.775837</v>
      </c>
      <c r="I1092" s="2165" t="n">
        <v>0</v>
      </c>
      <c r="J1092" s="2165" t="n">
        <v>0</v>
      </c>
      <c r="K1092" s="2165" t="n"/>
    </row>
    <row r="1093" outlineLevel="3" ht="27" customHeight="1">
      <c r="A1093" s="471" t="n">
        <v>94</v>
      </c>
      <c r="B1093" s="471" t="inlineStr">
        <is>
          <t>Insumo</t>
        </is>
      </c>
      <c r="C1093" s="1053" t="inlineStr">
        <is>
          <t>Parede Com Sistema Em Chapas De Gesso Para Drywall, Uso Interno, Montante 70mm  (HU / 70 / HU)</t>
        </is>
      </c>
      <c r="D1093" s="1053" t="inlineStr">
        <is>
          <t>FITA DE PAPEL REFORCADA COM LAMINA DE METAL PARA REFORCO DE CANTOS DE CHAPA DE GESSO PARA DRYWALL</t>
        </is>
      </c>
      <c r="E1093" s="11">
        <f t="array" ref="E1093">_xlfn.XLOOKUP(D1093,Insumos!B:B,Insumos!C:$C)</f>
        <v/>
      </c>
      <c r="F1093" s="2164" t="n">
        <v>1.4815</v>
      </c>
      <c r="G1093" s="92">
        <f t="array" ref="G1093">IF(B1093="insumo",_xlfn.XLOOKUP($D1093,Insumos!$B$1:$B$993,Insumos!$D$1:$D$993),"")</f>
        <v/>
      </c>
      <c r="H1093" s="92" t="n">
        <v>4.05931</v>
      </c>
      <c r="I1093" s="2165" t="n">
        <v>0</v>
      </c>
      <c r="J1093" s="2165" t="n">
        <v>0</v>
      </c>
      <c r="K1093" s="2165" t="n"/>
    </row>
    <row r="1094" outlineLevel="3" ht="27" customHeight="1">
      <c r="A1094" s="471" t="n">
        <v>11</v>
      </c>
      <c r="B1094" s="471" t="inlineStr">
        <is>
          <t>Insumo</t>
        </is>
      </c>
      <c r="C1094" s="1053" t="inlineStr">
        <is>
          <t>Parede Com Sistema Em Chapas De Gesso Para Drywall, Uso Interno, Montante 70mm  (HU / 70 / HU)</t>
        </is>
      </c>
      <c r="D1094" s="1053" t="inlineStr">
        <is>
          <t>BANDA ACUSTICA</t>
        </is>
      </c>
      <c r="E1094" s="11">
        <f t="array" ref="E1094">_xlfn.XLOOKUP(D1094,Insumos!B:B,Insumos!C:$C)</f>
        <v/>
      </c>
      <c r="F1094" s="2164" t="n">
        <v>0.8</v>
      </c>
      <c r="G1094" s="92">
        <f t="array" ref="G1094">IF(B1094="insumo",_xlfn.XLOOKUP($D1094,Insumos!$B$1:$B$993,Insumos!$D$1:$D$993),"")</f>
        <v/>
      </c>
      <c r="H1094" s="92" t="n">
        <v>2.4</v>
      </c>
      <c r="I1094" s="2165" t="n">
        <v>0</v>
      </c>
      <c r="J1094" s="2165" t="n">
        <v>0</v>
      </c>
      <c r="K1094" s="2165" t="n"/>
    </row>
    <row r="1095" outlineLevel="3" ht="27" customHeight="1">
      <c r="A1095" s="471" t="n">
        <v>11</v>
      </c>
      <c r="B1095" s="471" t="inlineStr">
        <is>
          <t>Insumo</t>
        </is>
      </c>
      <c r="C1095" s="1053" t="inlineStr">
        <is>
          <t>Parede Com Sistema Em Chapas De Gesso Para Drywall, Uso Interno, Montante 70mm  (HU / 70 / HU)</t>
        </is>
      </c>
      <c r="D1095" s="1053" t="inlineStr">
        <is>
          <t>Aplicação de zarcão nas guias inferiores</t>
        </is>
      </c>
      <c r="E1095" s="11">
        <f t="array" ref="E1095">_xlfn.XLOOKUP(D1095,Insumos!B:B,Insumos!C:$C)</f>
        <v/>
      </c>
      <c r="F1095" s="2164" t="n">
        <v>0.84</v>
      </c>
      <c r="G1095" s="92">
        <f t="array" ref="G1095">IF(B1095="insumo",_xlfn.XLOOKUP($D1095,Insumos!$B$1:$B$993,Insumos!$D$1:$D$993),"")</f>
        <v/>
      </c>
      <c r="H1095" s="92" t="n">
        <v>0.504</v>
      </c>
      <c r="I1095" s="2165" t="n">
        <v>0</v>
      </c>
      <c r="J1095" s="2165" t="n">
        <v>0</v>
      </c>
      <c r="K1095" s="2165" t="n"/>
    </row>
    <row r="1096" outlineLevel="3" ht="27" customHeight="1">
      <c r="A1096" s="471" t="n">
        <v>97</v>
      </c>
      <c r="B1096" s="471" t="inlineStr">
        <is>
          <t>Insumo</t>
        </is>
      </c>
      <c r="C1096" s="1053" t="inlineStr">
        <is>
          <t>Parede Com Sistema Em Chapas De Gesso Para Drywall, Uso Interno, Montante 70mm  (HU / 70 / HU)</t>
        </is>
      </c>
      <c r="D1096" s="1053" t="inlineStr">
        <is>
          <t>PARAFUSO DRY WALL, EM ACO FOSFATIZADO, CABECA TROMBETA E PONTA AGULHA (TA), COMPRIMENTO 25 MM</t>
        </is>
      </c>
      <c r="E1096" s="11">
        <f t="array" ref="E1096">_xlfn.XLOOKUP(D1096,Insumos!B:B,Insumos!C:$C)</f>
        <v/>
      </c>
      <c r="F1096" s="2164" t="n">
        <v>20.1868</v>
      </c>
      <c r="G1096" s="92">
        <f t="array" ref="G1096">IF(B1096="insumo",_xlfn.XLOOKUP($D1096,Insumos!$B$1:$B$993,Insumos!$D$1:$D$993),"")</f>
        <v/>
      </c>
      <c r="H1096" s="92" t="n">
        <v>1.816812</v>
      </c>
      <c r="I1096" s="2165" t="n">
        <v>0</v>
      </c>
      <c r="J1096" s="2165" t="n">
        <v>0</v>
      </c>
      <c r="K1096" s="2165" t="n"/>
    </row>
    <row r="1097" outlineLevel="3" ht="27" customHeight="1">
      <c r="A1097" s="471" t="n">
        <v>95</v>
      </c>
      <c r="B1097" s="471" t="inlineStr">
        <is>
          <t>Insumo</t>
        </is>
      </c>
      <c r="C1097" s="1053" t="inlineStr">
        <is>
          <t>Parede Com Sistema Em Chapas De Gesso Para Drywall, Uso Interno, Montante 70mm  (HU / 70 / HU)</t>
        </is>
      </c>
      <c r="D1097" s="1053" t="inlineStr">
        <is>
          <t>PARAFUSO DRY WALL, EM ACO ZINCADO, CABECA LENTILHA E PONTA BROCA (LB), LARGURA 4,2 MM, COMPRIMENTO 13 MM</t>
        </is>
      </c>
      <c r="E1097" s="11">
        <f t="array" ref="E1097">_xlfn.XLOOKUP(D1097,Insumos!B:B,Insumos!C:$C)</f>
        <v/>
      </c>
      <c r="F1097" s="2164" t="n">
        <v>0.4803</v>
      </c>
      <c r="G1097" s="92">
        <f t="array" ref="G1097">IF(B1097="insumo",_xlfn.XLOOKUP($D1097,Insumos!$B$1:$B$993,Insumos!$D$1:$D$993),"")</f>
        <v/>
      </c>
      <c r="H1097" s="92" t="n">
        <v>0.09606000000000001</v>
      </c>
      <c r="I1097" s="2165" t="n">
        <v>0</v>
      </c>
      <c r="J1097" s="2165" t="n">
        <v>0</v>
      </c>
      <c r="K1097" s="2165" t="n"/>
    </row>
    <row r="1098" outlineLevel="2" ht="27" customHeight="1">
      <c r="A1098" s="1076" t="n">
        <v>1</v>
      </c>
      <c r="B1098" s="1076" t="inlineStr">
        <is>
          <t>Serviço</t>
        </is>
      </c>
      <c r="C1098" s="1077" t="inlineStr">
        <is>
          <t>Parede Com Sistema Em Chapas De Gesso Para Drywall, Uso Interno, Montante 70mm  (HU / 70 / HS)</t>
        </is>
      </c>
      <c r="D1098" s="1077" t="inlineStr">
        <is>
          <t>Parede Com Sistema Em Chapas De Gesso Para Drywall, Uso Interno, Montante 70mm  (HU / 70 / HS)</t>
        </is>
      </c>
      <c r="E1098" s="1078" t="inlineStr">
        <is>
          <t>M2</t>
        </is>
      </c>
      <c r="F1098" s="1076" t="n"/>
      <c r="G1098" s="1069">
        <f t="array" ref="G1098">IF(B1098="insumo",_xlfn.XLOOKUP($D1098,Insumos!$B$1:$B$993,Insumos!$D$1:$D$993),"")</f>
        <v/>
      </c>
      <c r="H1098" s="1069" t="n">
        <v>165.703099</v>
      </c>
      <c r="I1098" s="2167" t="e">
        <v>#REF!</v>
      </c>
      <c r="J1098" s="2167" t="e">
        <v>#REF!</v>
      </c>
      <c r="K1098" s="2167" t="n"/>
    </row>
    <row r="1099" outlineLevel="3" ht="27" customHeight="1">
      <c r="A1099" s="471" t="n">
        <v>49</v>
      </c>
      <c r="B1099" s="471" t="inlineStr">
        <is>
          <t>Insumo</t>
        </is>
      </c>
      <c r="C1099" s="1053" t="inlineStr">
        <is>
          <t>Parede Com Sistema Em Chapas De Gesso Para Drywall, Uso Interno, Montante 70mm  (HU / 70 / HS)</t>
        </is>
      </c>
      <c r="D1099" s="1053" t="inlineStr">
        <is>
          <t>PLACA / CHAPA DE GESSO ACARTONADO, RESISTENTE A UMIDADE (RU), COR VERDE, E = 12,5 MM, 1200 X 2400 MM (L X C)</t>
        </is>
      </c>
      <c r="E1099" s="11">
        <f t="array" ref="E1099">_xlfn.XLOOKUP(D1099,Insumos!B:B,Insumos!C:$C)</f>
        <v/>
      </c>
      <c r="F1099" s="2164">
        <f>1.053</f>
        <v/>
      </c>
      <c r="G1099" s="92">
        <f t="array" ref="G1099">IF(B1099="insumo",_xlfn.XLOOKUP($D1099,Insumos!$B$1:$B$993,Insumos!$D$1:$D$993),"")</f>
        <v/>
      </c>
      <c r="H1099" s="92" t="n">
        <v>28.5363</v>
      </c>
      <c r="I1099" s="2165" t="e">
        <v>#REF!</v>
      </c>
      <c r="J1099" s="2165" t="e">
        <v>#REF!</v>
      </c>
      <c r="K1099" s="2165" t="n"/>
    </row>
    <row r="1100" outlineLevel="3" ht="27" customHeight="1">
      <c r="A1100" s="471" t="n">
        <v>47</v>
      </c>
      <c r="B1100" s="471" t="inlineStr">
        <is>
          <t>Insumo</t>
        </is>
      </c>
      <c r="C1100" s="1053" t="inlineStr">
        <is>
          <t>Parede Com Sistema Em Chapas De Gesso Para Drywall, Uso Interno, Montante 70mm  (HU / 70 / HS)</t>
        </is>
      </c>
      <c r="D1100" s="1053" t="inlineStr">
        <is>
          <t>PLACA / CHAPA DE GESSO ACARTONADO, STANDARD (ST), COR BRANCA, E = 12,5 MM, 1200 X 2400 MM (L X C)</t>
        </is>
      </c>
      <c r="E1100" s="11">
        <f t="array" ref="E1100">_xlfn.XLOOKUP(D1100,Insumos!B:B,Insumos!C:$C)</f>
        <v/>
      </c>
      <c r="F1100" s="2164">
        <f>1.053</f>
        <v/>
      </c>
      <c r="G1100" s="92">
        <f t="array" ref="G1100">IF(B1100="insumo",_xlfn.XLOOKUP($D1100,Insumos!$B$1:$B$993,Insumos!$D$1:$D$993),"")</f>
        <v/>
      </c>
      <c r="H1100" s="92" t="n">
        <v>21.22848</v>
      </c>
      <c r="I1100" s="2165" t="e">
        <v>#REF!</v>
      </c>
      <c r="J1100" s="2165" t="e">
        <v>#REF!</v>
      </c>
      <c r="K1100" s="2165" t="n"/>
    </row>
    <row r="1101" outlineLevel="3" ht="12.75" customHeight="1">
      <c r="A1101" s="471" t="n">
        <v>10</v>
      </c>
      <c r="B1101" s="471" t="inlineStr">
        <is>
          <t>Insumo</t>
        </is>
      </c>
      <c r="C1101" s="10" t="inlineStr">
        <is>
          <t>Parede Com Sistema Em Chapas De Gesso Para Drywall, Uso Interno, Montante 70mm  (HU / 70 / HS)</t>
        </is>
      </c>
      <c r="D1101" s="10" t="inlineStr">
        <is>
          <t>PLACA / CHAPA DE GESSO ACARTONADO HARDBOARD (HB) E = 12,5 MM, 1200 X 1800 MM (L X C)</t>
        </is>
      </c>
      <c r="E1101" s="11">
        <f t="array" ref="E1101">_xlfn.XLOOKUP(D1101,Insumos!B:B,Insumos!C:$C)</f>
        <v/>
      </c>
      <c r="F1101" s="2164">
        <f>1.053*2</f>
        <v/>
      </c>
      <c r="G1101" s="92">
        <f t="array" ref="G1101">IF(B1101="insumo",_xlfn.XLOOKUP($D1101,Insumos!$B$1:$B$993,Insumos!$D$1:$D$993),"")</f>
        <v/>
      </c>
      <c r="H1101" s="92" t="n">
        <v>72.68625</v>
      </c>
      <c r="I1101" s="2165" t="e">
        <v>#REF!</v>
      </c>
      <c r="J1101" s="2165" t="e">
        <v>#REF!</v>
      </c>
      <c r="K1101" s="2165" t="n"/>
    </row>
    <row r="1102" outlineLevel="3" ht="27" customHeight="1">
      <c r="A1102" s="471" t="n">
        <v>95</v>
      </c>
      <c r="B1102" s="471" t="inlineStr">
        <is>
          <t>Insumo</t>
        </is>
      </c>
      <c r="C1102" s="1053" t="inlineStr">
        <is>
          <t>Parede Com Sistema Em Chapas De Gesso Para Drywall, Uso Interno, Montante 70mm  (HU / 70 / HS)</t>
        </is>
      </c>
      <c r="D1102" s="1053" t="inlineStr">
        <is>
          <t>PINO DE ACO COM ARRUELA CONICA, DIAMETRO ARRUELA = *23* MM E COMP HASTE = *27* MM (ACAO INDIRETA)</t>
        </is>
      </c>
      <c r="E1102" s="11">
        <f t="array" ref="E1102">_xlfn.XLOOKUP(D1102,Insumos!B:B,Insumos!C:$C)</f>
        <v/>
      </c>
      <c r="F1102" s="2164" t="n">
        <v>4.95</v>
      </c>
      <c r="G1102" s="92">
        <f t="array" ref="G1102">IF(B1102="insumo",_xlfn.XLOOKUP($D1102,Insumos!$B$1:$B$993,Insumos!$D$1:$D$993),"")</f>
        <v/>
      </c>
      <c r="H1102" s="92" t="n">
        <v>2.4948</v>
      </c>
      <c r="I1102" s="2165" t="e">
        <v>#REF!</v>
      </c>
      <c r="J1102" s="2165" t="e">
        <v>#REF!</v>
      </c>
      <c r="K1102" s="2165" t="n"/>
    </row>
    <row r="1103" outlineLevel="3" ht="27" customHeight="1">
      <c r="A1103" s="471" t="n">
        <v>43</v>
      </c>
      <c r="B1103" s="471" t="inlineStr">
        <is>
          <t>Insumo</t>
        </is>
      </c>
      <c r="C1103" s="1053" t="inlineStr">
        <is>
          <t>Parede Com Sistema Em Chapas De Gesso Para Drywall, Uso Interno, Montante 70mm  (HU / 70 / HS)</t>
        </is>
      </c>
      <c r="D1103" s="1053" t="inlineStr">
        <is>
          <t>PERFIL GUIA, FORMATO U, EM ACO ZINCADO, PARA ESTRUTURA PAREDE DRYWALL, E = 0,5 MM, 70 X 3000 MM (L X C)</t>
        </is>
      </c>
      <c r="E1103" s="11">
        <f t="array" ref="E1103">_xlfn.XLOOKUP(D1103,Insumos!B:B,Insumos!C:$C)</f>
        <v/>
      </c>
      <c r="F1103" s="2164" t="n">
        <v>1.5248</v>
      </c>
      <c r="G1103" s="92">
        <f t="array" ref="G1103">IF(B1103="insumo",_xlfn.XLOOKUP($D1103,Insumos!$B$1:$B$993,Insumos!$D$1:$D$993),"")</f>
        <v/>
      </c>
      <c r="H1103" s="92" t="n">
        <v>11.375008</v>
      </c>
      <c r="I1103" s="2165" t="e">
        <v>#REF!</v>
      </c>
      <c r="J1103" s="2165" t="e">
        <v>#REF!</v>
      </c>
      <c r="K1103" s="2165" t="n"/>
    </row>
    <row r="1104" outlineLevel="3" ht="27" customHeight="1">
      <c r="A1104" s="471" t="n">
        <v>43</v>
      </c>
      <c r="B1104" s="471" t="inlineStr">
        <is>
          <t>Insumo</t>
        </is>
      </c>
      <c r="C1104" s="1053" t="inlineStr">
        <is>
          <t>Parede Com Sistema Em Chapas De Gesso Para Drywall, Uso Interno, Montante 70mm  (HU / 70 / HS)</t>
        </is>
      </c>
      <c r="D1104" s="1053" t="inlineStr">
        <is>
          <t>PERFIL MONTANTE, FORMATO C, EM ACO ZINCADO, PARA ESTRUTURA PAREDE DRYWALL, E = 0,5 MM, 70 X 3000 MM (L X C)</t>
        </is>
      </c>
      <c r="E1104" s="11">
        <f t="array" ref="E1104">_xlfn.XLOOKUP(D1104,Insumos!B:B,Insumos!C:$C)</f>
        <v/>
      </c>
      <c r="F1104" s="2164" t="n">
        <v>2.0006</v>
      </c>
      <c r="G1104" s="92">
        <f t="array" ref="G1104">IF(B1104="insumo",_xlfn.XLOOKUP($D1104,Insumos!$B$1:$B$993,Insumos!$D$1:$D$993),"")</f>
        <v/>
      </c>
      <c r="H1104" s="92" t="n">
        <v>15.964788</v>
      </c>
      <c r="I1104" s="2165" t="e">
        <v>#REF!</v>
      </c>
      <c r="J1104" s="2165" t="e">
        <v>#REF!</v>
      </c>
      <c r="K1104" s="2165" t="n"/>
    </row>
    <row r="1105" outlineLevel="3" ht="27" customHeight="1">
      <c r="A1105" s="471" t="n">
        <v>95</v>
      </c>
      <c r="B1105" s="471" t="inlineStr">
        <is>
          <t>Insumo</t>
        </is>
      </c>
      <c r="C1105" s="1053" t="inlineStr">
        <is>
          <t>Parede Com Sistema Em Chapas De Gesso Para Drywall, Uso Interno, Montante 70mm  (HU / 70 / HS)</t>
        </is>
      </c>
      <c r="D1105" s="1053" t="inlineStr">
        <is>
          <t>MASSA DE REJUNTE EM PO PARA DRYWALL, A BASE DE GESSO, SECAGEM RAPIDA, PARA TRATAMENTO DE JUNTAS DE CHAPA DE GESSO (NECESSITA ADICAO DE AGUA)</t>
        </is>
      </c>
      <c r="E1105" s="11">
        <f t="array" ref="E1105">_xlfn.XLOOKUP(D1105,Insumos!B:B,Insumos!C:$C)</f>
        <v/>
      </c>
      <c r="F1105" s="2164" t="n">
        <v>1.0978</v>
      </c>
      <c r="G1105" s="92">
        <f t="array" ref="G1105">IF(B1105="insumo",_xlfn.XLOOKUP($D1105,Insumos!$B$1:$B$993,Insumos!$D$1:$D$993),"")</f>
        <v/>
      </c>
      <c r="H1105" s="92" t="n">
        <v>3.765454</v>
      </c>
      <c r="I1105" s="2165" t="e">
        <v>#REF!</v>
      </c>
      <c r="J1105" s="2165" t="e">
        <v>#REF!</v>
      </c>
      <c r="K1105" s="2165" t="n"/>
    </row>
    <row r="1106" outlineLevel="3" ht="27" customHeight="1">
      <c r="A1106" s="471" t="n">
        <v>94</v>
      </c>
      <c r="B1106" s="471" t="inlineStr">
        <is>
          <t>Insumo</t>
        </is>
      </c>
      <c r="C1106" s="1053" t="inlineStr">
        <is>
          <t>Parede Com Sistema Em Chapas De Gesso Para Drywall, Uso Interno, Montante 70mm  (HU / 70 / HS)</t>
        </is>
      </c>
      <c r="D1106" s="1053" t="inlineStr">
        <is>
          <t>FITA DE PAPEL MICROPERFURADO, 50 X 150 MM, PARA TRATAMENTO DE JUNTAS DE CHAPA DE GESSO PARA DRYWALL</t>
        </is>
      </c>
      <c r="E1106" s="11">
        <f t="array" ref="E1106">_xlfn.XLOOKUP(D1106,Insumos!B:B,Insumos!C:$C)</f>
        <v/>
      </c>
      <c r="F1106" s="2164" t="n">
        <v>2.5027</v>
      </c>
      <c r="G1106" s="92">
        <f t="array" ref="G1106">IF(B1106="insumo",_xlfn.XLOOKUP($D1106,Insumos!$B$1:$B$993,Insumos!$D$1:$D$993),"")</f>
        <v/>
      </c>
      <c r="H1106" s="92" t="n">
        <v>0.775837</v>
      </c>
      <c r="I1106" s="2165" t="e">
        <v>#REF!</v>
      </c>
      <c r="J1106" s="2165" t="e">
        <v>#REF!</v>
      </c>
      <c r="K1106" s="2165" t="n"/>
    </row>
    <row r="1107" outlineLevel="3" ht="27" customHeight="1">
      <c r="A1107" s="471" t="n">
        <v>94</v>
      </c>
      <c r="B1107" s="471" t="inlineStr">
        <is>
          <t>Insumo</t>
        </is>
      </c>
      <c r="C1107" s="1053" t="inlineStr">
        <is>
          <t>Parede Com Sistema Em Chapas De Gesso Para Drywall, Uso Interno, Montante 70mm  (HU / 70 / HS)</t>
        </is>
      </c>
      <c r="D1107" s="1053" t="inlineStr">
        <is>
          <t>FITA DE PAPEL REFORCADA COM LAMINA DE METAL PARA REFORCO DE CANTOS DE CHAPA DE GESSO PARA DRYWALL</t>
        </is>
      </c>
      <c r="E1107" s="11">
        <f t="array" ref="E1107">_xlfn.XLOOKUP(D1107,Insumos!B:B,Insumos!C:$C)</f>
        <v/>
      </c>
      <c r="F1107" s="2164" t="n">
        <v>1.4815</v>
      </c>
      <c r="G1107" s="92">
        <f t="array" ref="G1107">IF(B1107="insumo",_xlfn.XLOOKUP($D1107,Insumos!$B$1:$B$993,Insumos!$D$1:$D$993),"")</f>
        <v/>
      </c>
      <c r="H1107" s="92" t="n">
        <v>4.05931</v>
      </c>
      <c r="I1107" s="2165" t="e">
        <v>#REF!</v>
      </c>
      <c r="J1107" s="2165" t="e">
        <v>#REF!</v>
      </c>
      <c r="K1107" s="2165" t="n"/>
    </row>
    <row r="1108" outlineLevel="3" ht="27" customHeight="1">
      <c r="A1108" s="471" t="n">
        <v>11</v>
      </c>
      <c r="B1108" s="471" t="inlineStr">
        <is>
          <t>Insumo</t>
        </is>
      </c>
      <c r="C1108" s="1053" t="inlineStr">
        <is>
          <t>Parede Com Sistema Em Chapas De Gesso Para Drywall, Uso Interno, Montante 70mm  (HU / 70 / HS)</t>
        </is>
      </c>
      <c r="D1108" s="1053" t="inlineStr">
        <is>
          <t>BANDA ACUSTICA</t>
        </is>
      </c>
      <c r="E1108" s="11">
        <f t="array" ref="E1108">_xlfn.XLOOKUP(D1108,Insumos!B:B,Insumos!C:$C)</f>
        <v/>
      </c>
      <c r="F1108" s="2164" t="n">
        <v>0.8</v>
      </c>
      <c r="G1108" s="92">
        <f t="array" ref="G1108">IF(B1108="insumo",_xlfn.XLOOKUP($D1108,Insumos!$B$1:$B$993,Insumos!$D$1:$D$993),"")</f>
        <v/>
      </c>
      <c r="H1108" s="92" t="n">
        <v>2.4</v>
      </c>
      <c r="I1108" s="2165" t="e">
        <v>#REF!</v>
      </c>
      <c r="J1108" s="2165" t="e">
        <v>#REF!</v>
      </c>
      <c r="K1108" s="2165" t="n"/>
    </row>
    <row r="1109" outlineLevel="3" ht="27" customHeight="1">
      <c r="A1109" s="471" t="n">
        <v>11</v>
      </c>
      <c r="B1109" s="471" t="inlineStr">
        <is>
          <t>Insumo</t>
        </is>
      </c>
      <c r="C1109" s="1053" t="inlineStr">
        <is>
          <t>Parede Com Sistema Em Chapas De Gesso Para Drywall, Uso Interno, Montante 70mm  (HU / 70 / HS)</t>
        </is>
      </c>
      <c r="D1109" s="1053" t="inlineStr">
        <is>
          <t>Aplicação de zarcão nas guias inferiores</t>
        </is>
      </c>
      <c r="E1109" s="11">
        <f t="array" ref="E1109">_xlfn.XLOOKUP(D1109,Insumos!B:B,Insumos!C:$C)</f>
        <v/>
      </c>
      <c r="F1109" s="2164" t="n">
        <v>0.84</v>
      </c>
      <c r="G1109" s="92">
        <f t="array" ref="G1109">IF(B1109="insumo",_xlfn.XLOOKUP($D1109,Insumos!$B$1:$B$993,Insumos!$D$1:$D$993),"")</f>
        <v/>
      </c>
      <c r="H1109" s="92" t="n">
        <v>0.504</v>
      </c>
      <c r="I1109" s="2165" t="e">
        <v>#REF!</v>
      </c>
      <c r="J1109" s="2165" t="e">
        <v>#REF!</v>
      </c>
      <c r="K1109" s="2165" t="n"/>
    </row>
    <row r="1110" outlineLevel="3" ht="27" customHeight="1">
      <c r="A1110" s="471" t="n">
        <v>97</v>
      </c>
      <c r="B1110" s="471" t="inlineStr">
        <is>
          <t>Insumo</t>
        </is>
      </c>
      <c r="C1110" s="1053" t="inlineStr">
        <is>
          <t>Parede Com Sistema Em Chapas De Gesso Para Drywall, Uso Interno, Montante 70mm  (HU / 70 / HS)</t>
        </is>
      </c>
      <c r="D1110" s="1053" t="inlineStr">
        <is>
          <t>PARAFUSO DRY WALL, EM ACO FOSFATIZADO, CABECA TROMBETA E PONTA AGULHA (TA), COMPRIMENTO 25 MM</t>
        </is>
      </c>
      <c r="E1110" s="11">
        <f t="array" ref="E1110">_xlfn.XLOOKUP(D1110,Insumos!B:B,Insumos!C:$C)</f>
        <v/>
      </c>
      <c r="F1110" s="2164" t="n">
        <v>20.1868</v>
      </c>
      <c r="G1110" s="92">
        <f t="array" ref="G1110">IF(B1110="insumo",_xlfn.XLOOKUP($D1110,Insumos!$B$1:$B$993,Insumos!$D$1:$D$993),"")</f>
        <v/>
      </c>
      <c r="H1110" s="92" t="n">
        <v>1.816812</v>
      </c>
      <c r="I1110" s="2165" t="e">
        <v>#REF!</v>
      </c>
      <c r="J1110" s="2165" t="e">
        <v>#REF!</v>
      </c>
      <c r="K1110" s="2165" t="n"/>
    </row>
    <row r="1111" outlineLevel="3" ht="27" customHeight="1">
      <c r="A1111" s="471" t="n">
        <v>95</v>
      </c>
      <c r="B1111" s="471" t="inlineStr">
        <is>
          <t>Insumo</t>
        </is>
      </c>
      <c r="C1111" s="1053" t="inlineStr">
        <is>
          <t>Parede Com Sistema Em Chapas De Gesso Para Drywall, Uso Interno, Montante 70mm  (HU / 70 / HS)</t>
        </is>
      </c>
      <c r="D1111" s="1053" t="inlineStr">
        <is>
          <t>PARAFUSO DRY WALL, EM ACO ZINCADO, CABECA LENTILHA E PONTA BROCA (LB), LARGURA 4,2 MM, COMPRIMENTO 13 MM</t>
        </is>
      </c>
      <c r="E1111" s="11">
        <f t="array" ref="E1111">_xlfn.XLOOKUP(D1111,Insumos!B:B,Insumos!C:$C)</f>
        <v/>
      </c>
      <c r="F1111" s="2164" t="n">
        <v>0.4803</v>
      </c>
      <c r="G1111" s="92">
        <f t="array" ref="G1111">IF(B1111="insumo",_xlfn.XLOOKUP($D1111,Insumos!$B$1:$B$993,Insumos!$D$1:$D$993),"")</f>
        <v/>
      </c>
      <c r="H1111" s="92" t="n">
        <v>0.09606000000000001</v>
      </c>
      <c r="I1111" s="2165" t="e">
        <v>#REF!</v>
      </c>
      <c r="J1111" s="2165" t="e">
        <v>#REF!</v>
      </c>
      <c r="K1111" s="2165" t="n"/>
    </row>
    <row r="1112" outlineLevel="2" ht="27" customHeight="1">
      <c r="A1112" s="1076" t="n">
        <v>1</v>
      </c>
      <c r="B1112" s="1076" t="inlineStr">
        <is>
          <t>Serviço</t>
        </is>
      </c>
      <c r="C1112" s="1077" t="inlineStr">
        <is>
          <t>Parede Com Sistema Em Chapas De Gesso Para Drywall, Uso Interno, Montante 70mm  (CIM/70/CIM/70/CIM)</t>
        </is>
      </c>
      <c r="D1112" s="1077" t="inlineStr">
        <is>
          <t>Parede Com Sistema Em Chapas De Gesso Para Drywall, Uso Interno, Montante 70mm  (CIM/70/CIM/70/CIM)</t>
        </is>
      </c>
      <c r="E1112" s="1078" t="inlineStr">
        <is>
          <t>M2</t>
        </is>
      </c>
      <c r="F1112" s="1076" t="n"/>
      <c r="G1112" s="1069">
        <f t="array" ref="G1112">IF(B1112="insumo",_xlfn.XLOOKUP($D1112,Insumos!$B$1:$B$993,Insumos!$D$1:$D$993),"")</f>
        <v/>
      </c>
      <c r="H1112" s="1069" t="n">
        <v>172.95653075</v>
      </c>
      <c r="I1112" s="2167" t="n">
        <v>0</v>
      </c>
      <c r="J1112" s="2167" t="n">
        <v>0</v>
      </c>
      <c r="K1112" s="2167" t="n"/>
    </row>
    <row r="1113" outlineLevel="3" ht="12.75" customHeight="1">
      <c r="A1113" s="471" t="n">
        <v>11</v>
      </c>
      <c r="B1113" s="471" t="inlineStr">
        <is>
          <t>Insumo</t>
        </is>
      </c>
      <c r="C1113" s="10" t="inlineStr">
        <is>
          <t>Parede Com Sistema Em Chapas De Gesso Para Drywall, Uso Interno, Montante 70mm  (CIM/70/CIM/70/CIM)</t>
        </is>
      </c>
      <c r="D1113" s="10" t="inlineStr">
        <is>
          <t>PLACA CIMENTÍCIA(CT) PARA STEEL FRAME BRASILIT-ETERNIT 8MM X 1,20M X 2,40M</t>
        </is>
      </c>
      <c r="E1113" s="11">
        <f t="array" ref="E1113">_xlfn.XLOOKUP(D1113,Insumos!B:B,Insumos!C:$C)</f>
        <v/>
      </c>
      <c r="F1113" s="2164">
        <f>1.053*3</f>
        <v/>
      </c>
      <c r="G1113" s="92">
        <f t="array" ref="G1113">IF(B1113="insumo",_xlfn.XLOOKUP($D1113,Insumos!$B$1:$B$993,Insumos!$D$1:$D$993),"")</f>
        <v/>
      </c>
      <c r="H1113" s="92" t="n">
        <v>95.05299375</v>
      </c>
      <c r="I1113" s="2165" t="n">
        <v>0</v>
      </c>
      <c r="J1113" s="2165" t="n">
        <v>0</v>
      </c>
      <c r="K1113" s="2165" t="n"/>
    </row>
    <row r="1114" outlineLevel="3" ht="27" customHeight="1">
      <c r="A1114" s="471" t="n">
        <v>95</v>
      </c>
      <c r="B1114" s="471" t="inlineStr">
        <is>
          <t>Insumo</t>
        </is>
      </c>
      <c r="C1114" s="1053" t="inlineStr">
        <is>
          <t>Parede Com Sistema Em Chapas De Gesso Para Drywall, Uso Interno, Montante 70mm  (CIM/70/CIM/70/CIM)</t>
        </is>
      </c>
      <c r="D1114" s="1053" t="inlineStr">
        <is>
          <t>PINO DE ACO COM ARRUELA CONICA, DIAMETRO ARRUELA = *23* MM E COMP HASTE = *27* MM (ACAO INDIRETA)</t>
        </is>
      </c>
      <c r="E1114" s="11">
        <f t="array" ref="E1114">_xlfn.XLOOKUP(D1114,Insumos!B:B,Insumos!C:$C)</f>
        <v/>
      </c>
      <c r="F1114" s="2164">
        <f>4.95*2</f>
        <v/>
      </c>
      <c r="G1114" s="92">
        <f t="array" ref="G1114">IF(B1114="insumo",_xlfn.XLOOKUP($D1114,Insumos!$B$1:$B$993,Insumos!$D$1:$D$993),"")</f>
        <v/>
      </c>
      <c r="H1114" s="92" t="n">
        <v>4.9896</v>
      </c>
      <c r="I1114" s="2165" t="n">
        <v>0</v>
      </c>
      <c r="J1114" s="2165" t="n">
        <v>0</v>
      </c>
      <c r="K1114" s="2165" t="n"/>
    </row>
    <row r="1115" outlineLevel="3" ht="27" customHeight="1">
      <c r="A1115" s="471" t="n">
        <v>43</v>
      </c>
      <c r="B1115" s="471" t="inlineStr">
        <is>
          <t>Insumo</t>
        </is>
      </c>
      <c r="C1115" s="1053" t="inlineStr">
        <is>
          <t>Parede Com Sistema Em Chapas De Gesso Para Drywall, Uso Interno, Montante 70mm  (CIM/70/CIM/70/CIM)</t>
        </is>
      </c>
      <c r="D1115" s="1053" t="inlineStr">
        <is>
          <t>PERFIL GUIA, FORMATO U, EM ACO ZINCADO, PARA ESTRUTURA PAREDE DRYWALL, E = 0,5 MM, 70 X 3000 MM (L X C)</t>
        </is>
      </c>
      <c r="E1115" s="11">
        <f t="array" ref="E1115">_xlfn.XLOOKUP(D1115,Insumos!B:B,Insumos!C:$C)</f>
        <v/>
      </c>
      <c r="F1115" s="2164">
        <f>1.5248*2</f>
        <v/>
      </c>
      <c r="G1115" s="92">
        <f t="array" ref="G1115">IF(B1115="insumo",_xlfn.XLOOKUP($D1115,Insumos!$B$1:$B$993,Insumos!$D$1:$D$993),"")</f>
        <v/>
      </c>
      <c r="H1115" s="92" t="n">
        <v>22.750016</v>
      </c>
      <c r="I1115" s="2165" t="n">
        <v>0</v>
      </c>
      <c r="J1115" s="2165" t="n">
        <v>0</v>
      </c>
      <c r="K1115" s="2165" t="n"/>
    </row>
    <row r="1116" outlineLevel="3" ht="27" customHeight="1">
      <c r="A1116" s="471" t="n">
        <v>43</v>
      </c>
      <c r="B1116" s="471" t="inlineStr">
        <is>
          <t>Insumo</t>
        </is>
      </c>
      <c r="C1116" s="1053" t="inlineStr">
        <is>
          <t>Parede Com Sistema Em Chapas De Gesso Para Drywall, Uso Interno, Montante 70mm  (CIM/70/CIM/70/CIM)</t>
        </is>
      </c>
      <c r="D1116" s="1053" t="inlineStr">
        <is>
          <t>PERFIL MONTANTE, FORMATO C, EM ACO ZINCADO, PARA ESTRUTURA PAREDE DRYWALL, E = 0,5 MM, 70 X 3000 MM (L X C)</t>
        </is>
      </c>
      <c r="E1116" s="11">
        <f t="array" ref="E1116">_xlfn.XLOOKUP(D1116,Insumos!B:B,Insumos!C:$C)</f>
        <v/>
      </c>
      <c r="F1116" s="2164">
        <f>2.0006*2</f>
        <v/>
      </c>
      <c r="G1116" s="92">
        <f t="array" ref="G1116">IF(B1116="insumo",_xlfn.XLOOKUP($D1116,Insumos!$B$1:$B$993,Insumos!$D$1:$D$993),"")</f>
        <v/>
      </c>
      <c r="H1116" s="92" t="n">
        <v>31.929576</v>
      </c>
      <c r="I1116" s="2165" t="n">
        <v>0</v>
      </c>
      <c r="J1116" s="2165" t="n">
        <v>0</v>
      </c>
      <c r="K1116" s="2165" t="n"/>
    </row>
    <row r="1117" outlineLevel="3" ht="27" customHeight="1">
      <c r="A1117" s="471" t="n">
        <v>95</v>
      </c>
      <c r="B1117" s="471" t="inlineStr">
        <is>
          <t>Insumo</t>
        </is>
      </c>
      <c r="C1117" s="1053" t="inlineStr">
        <is>
          <t>Parede Com Sistema Em Chapas De Gesso Para Drywall, Uso Interno, Montante 70mm  (CIM/70/CIM/70/CIM)</t>
        </is>
      </c>
      <c r="D1117" s="1053" t="inlineStr">
        <is>
          <t>MASSA DE REJUNTE EM PO PARA DRYWALL, A BASE DE GESSO, SECAGEM RAPIDA, PARA TRATAMENTO DE JUNTAS DE CHAPA DE GESSO (NECESSITA ADICAO DE AGUA)</t>
        </is>
      </c>
      <c r="E1117" s="11">
        <f t="array" ref="E1117">_xlfn.XLOOKUP(D1117,Insumos!B:B,Insumos!C:$C)</f>
        <v/>
      </c>
      <c r="F1117" s="2164" t="n">
        <v>1.0978</v>
      </c>
      <c r="G1117" s="92">
        <f t="array" ref="G1117">IF(B1117="insumo",_xlfn.XLOOKUP($D1117,Insumos!$B$1:$B$993,Insumos!$D$1:$D$993),"")</f>
        <v/>
      </c>
      <c r="H1117" s="92" t="n">
        <v>3.765454</v>
      </c>
      <c r="I1117" s="2165" t="n">
        <v>0</v>
      </c>
      <c r="J1117" s="2165" t="n">
        <v>0</v>
      </c>
      <c r="K1117" s="2165" t="n"/>
    </row>
    <row r="1118" outlineLevel="3" ht="27" customHeight="1">
      <c r="A1118" s="471" t="n">
        <v>94</v>
      </c>
      <c r="B1118" s="471" t="inlineStr">
        <is>
          <t>Insumo</t>
        </is>
      </c>
      <c r="C1118" s="1053" t="inlineStr">
        <is>
          <t>Parede Com Sistema Em Chapas De Gesso Para Drywall, Uso Interno, Montante 70mm  (CIM/70/CIM/70/CIM)</t>
        </is>
      </c>
      <c r="D1118" s="1053" t="inlineStr">
        <is>
          <t>FITA DE PAPEL MICROPERFURADO, 50 X 150 MM, PARA TRATAMENTO DE JUNTAS DE CHAPA DE GESSO PARA DRYWALL</t>
        </is>
      </c>
      <c r="E1118" s="11">
        <f t="array" ref="E1118">_xlfn.XLOOKUP(D1118,Insumos!B:B,Insumos!C:$C)</f>
        <v/>
      </c>
      <c r="F1118" s="2164" t="n">
        <v>2.5027</v>
      </c>
      <c r="G1118" s="92">
        <f t="array" ref="G1118">IF(B1118="insumo",_xlfn.XLOOKUP($D1118,Insumos!$B$1:$B$993,Insumos!$D$1:$D$993),"")</f>
        <v/>
      </c>
      <c r="H1118" s="92" t="n">
        <v>0.775837</v>
      </c>
      <c r="I1118" s="2165" t="n">
        <v>0</v>
      </c>
      <c r="J1118" s="2165" t="n">
        <v>0</v>
      </c>
      <c r="K1118" s="2165" t="n"/>
    </row>
    <row r="1119" outlineLevel="3" ht="27" customHeight="1">
      <c r="A1119" s="471" t="n">
        <v>94</v>
      </c>
      <c r="B1119" s="471" t="inlineStr">
        <is>
          <t>Insumo</t>
        </is>
      </c>
      <c r="C1119" s="1053" t="inlineStr">
        <is>
          <t>Parede Com Sistema Em Chapas De Gesso Para Drywall, Uso Interno, Montante 70mm  (CIM/70/CIM/70/CIM)</t>
        </is>
      </c>
      <c r="D1119" s="1053" t="inlineStr">
        <is>
          <t>FITA DE PAPEL REFORCADA COM LAMINA DE METAL PARA REFORCO DE CANTOS DE CHAPA DE GESSO PARA DRYWALL</t>
        </is>
      </c>
      <c r="E1119" s="11">
        <f t="array" ref="E1119">_xlfn.XLOOKUP(D1119,Insumos!B:B,Insumos!C:$C)</f>
        <v/>
      </c>
      <c r="F1119" s="2164" t="n">
        <v>1.4815</v>
      </c>
      <c r="G1119" s="92">
        <f t="array" ref="G1119">IF(B1119="insumo",_xlfn.XLOOKUP($D1119,Insumos!$B$1:$B$993,Insumos!$D$1:$D$993),"")</f>
        <v/>
      </c>
      <c r="H1119" s="92" t="n">
        <v>4.05931</v>
      </c>
      <c r="I1119" s="2165" t="n">
        <v>0</v>
      </c>
      <c r="J1119" s="2165" t="n">
        <v>0</v>
      </c>
      <c r="K1119" s="2165" t="n"/>
    </row>
    <row r="1120" outlineLevel="3" ht="27" customHeight="1">
      <c r="A1120" s="471" t="n">
        <v>11</v>
      </c>
      <c r="B1120" s="471" t="inlineStr">
        <is>
          <t>Insumo</t>
        </is>
      </c>
      <c r="C1120" s="1053" t="inlineStr">
        <is>
          <t>Parede Com Sistema Em Chapas De Gesso Para Drywall, Uso Interno, Montante 70mm  (CIM/70/CIM/70/CIM)</t>
        </is>
      </c>
      <c r="D1120" s="1053" t="inlineStr">
        <is>
          <t>BANDA ACUSTICA</t>
        </is>
      </c>
      <c r="E1120" s="11">
        <f t="array" ref="E1120">_xlfn.XLOOKUP(D1120,Insumos!B:B,Insumos!C:$C)</f>
        <v/>
      </c>
      <c r="F1120" s="2164">
        <f>0.8*2</f>
        <v/>
      </c>
      <c r="G1120" s="92">
        <f t="array" ref="G1120">IF(B1120="insumo",_xlfn.XLOOKUP($D1120,Insumos!$B$1:$B$993,Insumos!$D$1:$D$993),"")</f>
        <v/>
      </c>
      <c r="H1120" s="92" t="n">
        <v>4.8</v>
      </c>
      <c r="I1120" s="2165" t="n">
        <v>0</v>
      </c>
      <c r="J1120" s="2165" t="n">
        <v>0</v>
      </c>
      <c r="K1120" s="2165" t="n"/>
    </row>
    <row r="1121" outlineLevel="3" ht="27" customHeight="1">
      <c r="A1121" s="471" t="n">
        <v>11</v>
      </c>
      <c r="B1121" s="471" t="inlineStr">
        <is>
          <t>Insumo</t>
        </is>
      </c>
      <c r="C1121" s="1053" t="inlineStr">
        <is>
          <t>Parede Com Sistema Em Chapas De Gesso Para Drywall, Uso Interno, Montante 70mm  (CIM/70/CIM/70/CIM)</t>
        </is>
      </c>
      <c r="D1121" s="1053" t="inlineStr">
        <is>
          <t>Aplicação de zarcão nas guias inferiores</t>
        </is>
      </c>
      <c r="E1121" s="11">
        <f t="array" ref="E1121">_xlfn.XLOOKUP(D1121,Insumos!B:B,Insumos!C:$C)</f>
        <v/>
      </c>
      <c r="F1121" s="2164">
        <f>0.84*2</f>
        <v/>
      </c>
      <c r="G1121" s="92">
        <f t="array" ref="G1121">IF(B1121="insumo",_xlfn.XLOOKUP($D1121,Insumos!$B$1:$B$993,Insumos!$D$1:$D$993),"")</f>
        <v/>
      </c>
      <c r="H1121" s="92" t="n">
        <v>1.008</v>
      </c>
      <c r="I1121" s="2165" t="n">
        <v>0</v>
      </c>
      <c r="J1121" s="2165" t="n">
        <v>0</v>
      </c>
      <c r="K1121" s="2165" t="n"/>
    </row>
    <row r="1122" outlineLevel="3" ht="27" customHeight="1">
      <c r="A1122" s="471" t="n">
        <v>97</v>
      </c>
      <c r="B1122" s="471" t="inlineStr">
        <is>
          <t>Insumo</t>
        </is>
      </c>
      <c r="C1122" s="1053" t="inlineStr">
        <is>
          <t>Parede Com Sistema Em Chapas De Gesso Para Drywall, Uso Interno, Montante 70mm  (CIM/70/CIM/70/CIM)</t>
        </is>
      </c>
      <c r="D1122" s="1053" t="inlineStr">
        <is>
          <t>PARAFUSO DRY WALL, EM ACO FOSFATIZADO, CABECA TROMBETA E PONTA AGULHA (TA), COMPRIMENTO 25 MM</t>
        </is>
      </c>
      <c r="E1122" s="11">
        <f t="array" ref="E1122">_xlfn.XLOOKUP(D1122,Insumos!B:B,Insumos!C:$C)</f>
        <v/>
      </c>
      <c r="F1122" s="2164">
        <f>20.1868*2</f>
        <v/>
      </c>
      <c r="G1122" s="92">
        <f t="array" ref="G1122">IF(B1122="insumo",_xlfn.XLOOKUP($D1122,Insumos!$B$1:$B$993,Insumos!$D$1:$D$993),"")</f>
        <v/>
      </c>
      <c r="H1122" s="92" t="n">
        <v>3.633624</v>
      </c>
      <c r="I1122" s="2165" t="n">
        <v>0</v>
      </c>
      <c r="J1122" s="2165" t="n">
        <v>0</v>
      </c>
      <c r="K1122" s="2165" t="n"/>
    </row>
    <row r="1123" outlineLevel="3" ht="27" customHeight="1">
      <c r="A1123" s="471" t="n">
        <v>95</v>
      </c>
      <c r="B1123" s="471" t="inlineStr">
        <is>
          <t>Insumo</t>
        </is>
      </c>
      <c r="C1123" s="1053" t="inlineStr">
        <is>
          <t>Parede Com Sistema Em Chapas De Gesso Para Drywall, Uso Interno, Montante 70mm  (CIM/70/CIM/70/CIM)</t>
        </is>
      </c>
      <c r="D1123" s="1053" t="inlineStr">
        <is>
          <t>PARAFUSO DRY WALL, EM ACO ZINCADO, CABECA LENTILHA E PONTA BROCA (LB), LARGURA 4,2 MM, COMPRIMENTO 13 MM</t>
        </is>
      </c>
      <c r="E1123" s="11">
        <f t="array" ref="E1123">_xlfn.XLOOKUP(D1123,Insumos!B:B,Insumos!C:$C)</f>
        <v/>
      </c>
      <c r="F1123" s="2164">
        <f>0.4803*2</f>
        <v/>
      </c>
      <c r="G1123" s="92">
        <f t="array" ref="G1123">IF(B1123="insumo",_xlfn.XLOOKUP($D1123,Insumos!$B$1:$B$993,Insumos!$D$1:$D$993),"")</f>
        <v/>
      </c>
      <c r="H1123" s="92" t="n">
        <v>0.19212</v>
      </c>
      <c r="I1123" s="2165" t="n">
        <v>0</v>
      </c>
      <c r="J1123" s="2165" t="n">
        <v>0</v>
      </c>
      <c r="K1123" s="2165" t="n"/>
    </row>
    <row r="1124" outlineLevel="2" ht="27" customHeight="1">
      <c r="A1124" s="1076" t="n">
        <v>1</v>
      </c>
      <c r="B1124" s="1076" t="inlineStr">
        <is>
          <t>Serviço</t>
        </is>
      </c>
      <c r="C1124" s="1077" t="inlineStr">
        <is>
          <t>Parede Com Sistema Em Chapas De Gesso Para Drywall, Uso Interno, Montante 70mm  (HD/70/CIM/70/HU)</t>
        </is>
      </c>
      <c r="D1124" s="1077" t="inlineStr">
        <is>
          <t>Parede Com Sistema Em Chapas De Gesso Para Drywall, Uso Interno, Montante 70mm  (HD/70/CIM/70/HU)</t>
        </is>
      </c>
      <c r="E1124" s="1078" t="inlineStr">
        <is>
          <t>M2</t>
        </is>
      </c>
      <c r="F1124" s="1076" t="n"/>
      <c r="G1124" s="1069">
        <f t="array" ref="G1124">IF(B1124="insumo",_xlfn.XLOOKUP($D1124,Insumos!$B$1:$B$993,Insumos!$D$1:$D$993),"")</f>
        <v/>
      </c>
      <c r="H1124" s="1069" t="n">
        <v>232.03889825</v>
      </c>
      <c r="I1124" s="2167" t="n">
        <v>0</v>
      </c>
      <c r="J1124" s="2167" t="n">
        <v>0</v>
      </c>
      <c r="K1124" s="2167" t="n"/>
    </row>
    <row r="1125" outlineLevel="3" ht="12.75" customHeight="1">
      <c r="A1125" s="471" t="n">
        <v>11</v>
      </c>
      <c r="B1125" s="471" t="inlineStr">
        <is>
          <t>Insumo</t>
        </is>
      </c>
      <c r="C1125" s="10" t="inlineStr">
        <is>
          <t>Parede Com Sistema Em Chapas De Gesso Para Drywall, Uso Interno, Montante 70mm  (HD/70/CIM/70/HU)</t>
        </is>
      </c>
      <c r="D1125" s="10" t="inlineStr">
        <is>
          <t>PLACA CIMENTÍCIA(CT) PARA STEEL FRAME BRASILIT-ETERNIT 8MM X 1,20M X 2,40M</t>
        </is>
      </c>
      <c r="E1125" s="11">
        <f t="array" ref="E1125">_xlfn.XLOOKUP(D1125,Insumos!B:B,Insumos!C:$C)</f>
        <v/>
      </c>
      <c r="F1125" s="2164">
        <f>1.053</f>
        <v/>
      </c>
      <c r="G1125" s="92">
        <f t="array" ref="G1125">IF(B1125="insumo",_xlfn.XLOOKUP($D1125,Insumos!$B$1:$B$993,Insumos!$D$1:$D$993),"")</f>
        <v/>
      </c>
      <c r="H1125" s="92" t="n">
        <v>31.68433125</v>
      </c>
      <c r="I1125" s="2165" t="n">
        <v>0</v>
      </c>
      <c r="J1125" s="2165" t="n">
        <v>0</v>
      </c>
      <c r="K1125" s="2165" t="n"/>
    </row>
    <row r="1126" outlineLevel="3" ht="27" customHeight="1">
      <c r="A1126" s="471" t="n">
        <v>47</v>
      </c>
      <c r="B1126" s="471" t="inlineStr">
        <is>
          <t>Insumo</t>
        </is>
      </c>
      <c r="C1126" s="1053" t="inlineStr">
        <is>
          <t>Parede Com Sistema Em Chapas De Gesso Para Drywall, Uso Interno, Montante 70mm  (HD/70/CIM/70/HU)</t>
        </is>
      </c>
      <c r="D1126" s="1053" t="inlineStr">
        <is>
          <t>PLACA / CHAPA DE GESSO ACARTONADO, STANDARD (ST), COR BRANCA, E = 12,5 MM, 1200 X 2400 MM (L X C)</t>
        </is>
      </c>
      <c r="E1126" s="11">
        <f t="array" ref="E1126">_xlfn.XLOOKUP(D1126,Insumos!B:B,Insumos!C:$C)</f>
        <v/>
      </c>
      <c r="F1126" s="2164">
        <f>1.053</f>
        <v/>
      </c>
      <c r="G1126" s="92">
        <f t="array" ref="G1126">IF(B1126="insumo",_xlfn.XLOOKUP($D1126,Insumos!$B$1:$B$993,Insumos!$D$1:$D$993),"")</f>
        <v/>
      </c>
      <c r="H1126" s="92" t="n">
        <v>21.22848</v>
      </c>
      <c r="I1126" s="2165" t="n">
        <v>0</v>
      </c>
      <c r="J1126" s="2165" t="n">
        <v>0</v>
      </c>
      <c r="K1126" s="2165" t="n"/>
    </row>
    <row r="1127" outlineLevel="3" ht="27" customHeight="1">
      <c r="A1127" s="471" t="n">
        <v>49</v>
      </c>
      <c r="B1127" s="471" t="inlineStr">
        <is>
          <t>Insumo</t>
        </is>
      </c>
      <c r="C1127" s="1053" t="inlineStr">
        <is>
          <t>Parede Com Sistema Em Chapas De Gesso Para Drywall, Uso Interno, Montante 70mm  (HD/70/CIM/70/HU)</t>
        </is>
      </c>
      <c r="D1127" s="1053" t="inlineStr">
        <is>
          <t>PLACA / CHAPA DE GESSO ACARTONADO, RESISTENTE A UMIDADE (RU), COR VERDE, E = 12,5 MM, 1200 X 2400 MM (L X C)</t>
        </is>
      </c>
      <c r="E1127" s="11">
        <f t="array" ref="E1127">_xlfn.XLOOKUP(D1127,Insumos!B:B,Insumos!C:$C)</f>
        <v/>
      </c>
      <c r="F1127" s="2164">
        <f>1.053</f>
        <v/>
      </c>
      <c r="G1127" s="92">
        <f t="array" ref="G1127">IF(B1127="insumo",_xlfn.XLOOKUP($D1127,Insumos!$B$1:$B$993,Insumos!$D$1:$D$993),"")</f>
        <v/>
      </c>
      <c r="H1127" s="92" t="n">
        <v>28.5363</v>
      </c>
      <c r="I1127" s="2165" t="n">
        <v>0</v>
      </c>
      <c r="J1127" s="2165" t="n">
        <v>0</v>
      </c>
      <c r="K1127" s="2165" t="n"/>
    </row>
    <row r="1128" outlineLevel="3" ht="12.75" customHeight="1">
      <c r="A1128" s="471" t="n">
        <v>10</v>
      </c>
      <c r="B1128" s="471" t="inlineStr">
        <is>
          <t>Insumo</t>
        </is>
      </c>
      <c r="C1128" s="10" t="inlineStr">
        <is>
          <t>Parede Com Sistema Em Chapas De Gesso Para Drywall, Uso Interno, Montante 70mm  (HD/70/CIM/70/HU)</t>
        </is>
      </c>
      <c r="D1128" s="10" t="inlineStr">
        <is>
          <t>PLACA / CHAPA DE GESSO ACARTONADO HARDBOARD (HB) E = 12,5 MM, 1200 X 1800 MM (L X C)</t>
        </is>
      </c>
      <c r="E1128" s="11">
        <f t="array" ref="E1128">_xlfn.XLOOKUP(D1128,Insumos!B:B,Insumos!C:$C)</f>
        <v/>
      </c>
      <c r="F1128" s="2164">
        <f>1.053*2</f>
        <v/>
      </c>
      <c r="G1128" s="92">
        <f t="array" ref="G1128">IF(B1128="insumo",_xlfn.XLOOKUP($D1128,Insumos!$B$1:$B$993,Insumos!$D$1:$D$993),"")</f>
        <v/>
      </c>
      <c r="H1128" s="92" t="n">
        <v>72.68625</v>
      </c>
      <c r="I1128" s="2165" t="n">
        <v>0</v>
      </c>
      <c r="J1128" s="2165" t="n">
        <v>0</v>
      </c>
      <c r="K1128" s="2165" t="n"/>
    </row>
    <row r="1129" outlineLevel="3" ht="27" customHeight="1">
      <c r="A1129" s="471" t="n">
        <v>95</v>
      </c>
      <c r="B1129" s="471" t="inlineStr">
        <is>
          <t>Insumo</t>
        </is>
      </c>
      <c r="C1129" s="1053" t="inlineStr">
        <is>
          <t>Parede Com Sistema Em Chapas De Gesso Para Drywall, Uso Interno, Montante 70mm  (HD/70/CIM/70/HU)</t>
        </is>
      </c>
      <c r="D1129" s="1053" t="inlineStr">
        <is>
          <t>PINO DE ACO COM ARRUELA CONICA, DIAMETRO ARRUELA = *23* MM E COMP HASTE = *27* MM (ACAO INDIRETA)</t>
        </is>
      </c>
      <c r="E1129" s="11">
        <f t="array" ref="E1129">_xlfn.XLOOKUP(D1129,Insumos!B:B,Insumos!C:$C)</f>
        <v/>
      </c>
      <c r="F1129" s="2164">
        <f>4.95*2</f>
        <v/>
      </c>
      <c r="G1129" s="92">
        <f t="array" ref="G1129">IF(B1129="insumo",_xlfn.XLOOKUP($D1129,Insumos!$B$1:$B$993,Insumos!$D$1:$D$993),"")</f>
        <v/>
      </c>
      <c r="H1129" s="92" t="n">
        <v>4.9896</v>
      </c>
      <c r="I1129" s="2165" t="n">
        <v>0</v>
      </c>
      <c r="J1129" s="2165" t="n">
        <v>0</v>
      </c>
      <c r="K1129" s="2165" t="n"/>
    </row>
    <row r="1130" outlineLevel="3" ht="27" customHeight="1">
      <c r="A1130" s="471" t="n">
        <v>43</v>
      </c>
      <c r="B1130" s="471" t="inlineStr">
        <is>
          <t>Insumo</t>
        </is>
      </c>
      <c r="C1130" s="1053" t="inlineStr">
        <is>
          <t>Parede Com Sistema Em Chapas De Gesso Para Drywall, Uso Interno, Montante 70mm  (HD/70/CIM/70/HU)</t>
        </is>
      </c>
      <c r="D1130" s="1053" t="inlineStr">
        <is>
          <t>PERFIL GUIA, FORMATO U, EM ACO ZINCADO, PARA ESTRUTURA PAREDE DRYWALL, E = 0,5 MM, 70 X 3000 MM (L X C)</t>
        </is>
      </c>
      <c r="E1130" s="11">
        <f t="array" ref="E1130">_xlfn.XLOOKUP(D1130,Insumos!B:B,Insumos!C:$C)</f>
        <v/>
      </c>
      <c r="F1130" s="2164">
        <f>1.5248*2</f>
        <v/>
      </c>
      <c r="G1130" s="92">
        <f t="array" ref="G1130">IF(B1130="insumo",_xlfn.XLOOKUP($D1130,Insumos!$B$1:$B$993,Insumos!$D$1:$D$993),"")</f>
        <v/>
      </c>
      <c r="H1130" s="92" t="n">
        <v>22.750016</v>
      </c>
      <c r="I1130" s="2165" t="n">
        <v>0</v>
      </c>
      <c r="J1130" s="2165" t="n">
        <v>0</v>
      </c>
      <c r="K1130" s="2165" t="n"/>
    </row>
    <row r="1131" outlineLevel="3" ht="27" customHeight="1">
      <c r="A1131" s="471" t="n">
        <v>43</v>
      </c>
      <c r="B1131" s="471" t="inlineStr">
        <is>
          <t>Insumo</t>
        </is>
      </c>
      <c r="C1131" s="1053" t="inlineStr">
        <is>
          <t>Parede Com Sistema Em Chapas De Gesso Para Drywall, Uso Interno, Montante 70mm  (HD/70/CIM/70/HU)</t>
        </is>
      </c>
      <c r="D1131" s="1053" t="inlineStr">
        <is>
          <t>PERFIL MONTANTE, FORMATO C, EM ACO ZINCADO, PARA ESTRUTURA PAREDE DRYWALL, E = 0,5 MM, 70 X 3000 MM (L X C)</t>
        </is>
      </c>
      <c r="E1131" s="11">
        <f t="array" ref="E1131">_xlfn.XLOOKUP(D1131,Insumos!B:B,Insumos!C:$C)</f>
        <v/>
      </c>
      <c r="F1131" s="2164">
        <f>2.0006*2</f>
        <v/>
      </c>
      <c r="G1131" s="92">
        <f t="array" ref="G1131">IF(B1131="insumo",_xlfn.XLOOKUP($D1131,Insumos!$B$1:$B$993,Insumos!$D$1:$D$993),"")</f>
        <v/>
      </c>
      <c r="H1131" s="92" t="n">
        <v>31.929576</v>
      </c>
      <c r="I1131" s="2165" t="n">
        <v>0</v>
      </c>
      <c r="J1131" s="2165" t="n">
        <v>0</v>
      </c>
      <c r="K1131" s="2165" t="n"/>
    </row>
    <row r="1132" outlineLevel="3" ht="27" customHeight="1">
      <c r="A1132" s="471" t="n">
        <v>95</v>
      </c>
      <c r="B1132" s="471" t="inlineStr">
        <is>
          <t>Insumo</t>
        </is>
      </c>
      <c r="C1132" s="1053" t="inlineStr">
        <is>
          <t>Parede Com Sistema Em Chapas De Gesso Para Drywall, Uso Interno, Montante 70mm  (HD/70/CIM/70/HU)</t>
        </is>
      </c>
      <c r="D1132" s="1053" t="inlineStr">
        <is>
          <t>MASSA DE REJUNTE EM PO PARA DRYWALL, A BASE DE GESSO, SECAGEM RAPIDA, PARA TRATAMENTO DE JUNTAS DE CHAPA DE GESSO (NECESSITA ADICAO DE AGUA)</t>
        </is>
      </c>
      <c r="E1132" s="11">
        <f t="array" ref="E1132">_xlfn.XLOOKUP(D1132,Insumos!B:B,Insumos!C:$C)</f>
        <v/>
      </c>
      <c r="F1132" s="2164" t="n">
        <v>1.0978</v>
      </c>
      <c r="G1132" s="92">
        <f t="array" ref="G1132">IF(B1132="insumo",_xlfn.XLOOKUP($D1132,Insumos!$B$1:$B$993,Insumos!$D$1:$D$993),"")</f>
        <v/>
      </c>
      <c r="H1132" s="92" t="n">
        <v>3.765454</v>
      </c>
      <c r="I1132" s="2165" t="n">
        <v>0</v>
      </c>
      <c r="J1132" s="2165" t="n">
        <v>0</v>
      </c>
      <c r="K1132" s="2165" t="n"/>
    </row>
    <row r="1133" outlineLevel="3" ht="27" customHeight="1">
      <c r="A1133" s="471" t="n">
        <v>94</v>
      </c>
      <c r="B1133" s="471" t="inlineStr">
        <is>
          <t>Insumo</t>
        </is>
      </c>
      <c r="C1133" s="1053" t="inlineStr">
        <is>
          <t>Parede Com Sistema Em Chapas De Gesso Para Drywall, Uso Interno, Montante 70mm  (HD/70/CIM/70/HU)</t>
        </is>
      </c>
      <c r="D1133" s="1053" t="inlineStr">
        <is>
          <t>FITA DE PAPEL MICROPERFURADO, 50 X 150 MM, PARA TRATAMENTO DE JUNTAS DE CHAPA DE GESSO PARA DRYWALL</t>
        </is>
      </c>
      <c r="E1133" s="11">
        <f t="array" ref="E1133">_xlfn.XLOOKUP(D1133,Insumos!B:B,Insumos!C:$C)</f>
        <v/>
      </c>
      <c r="F1133" s="2164" t="n">
        <v>2.5027</v>
      </c>
      <c r="G1133" s="92">
        <f t="array" ref="G1133">IF(B1133="insumo",_xlfn.XLOOKUP($D1133,Insumos!$B$1:$B$993,Insumos!$D$1:$D$993),"")</f>
        <v/>
      </c>
      <c r="H1133" s="92" t="n">
        <v>0.775837</v>
      </c>
      <c r="I1133" s="2165" t="n">
        <v>0</v>
      </c>
      <c r="J1133" s="2165" t="n">
        <v>0</v>
      </c>
      <c r="K1133" s="2165" t="n"/>
    </row>
    <row r="1134" outlineLevel="3" ht="27" customHeight="1">
      <c r="A1134" s="471" t="n">
        <v>94</v>
      </c>
      <c r="B1134" s="471" t="inlineStr">
        <is>
          <t>Insumo</t>
        </is>
      </c>
      <c r="C1134" s="1053" t="inlineStr">
        <is>
          <t>Parede Com Sistema Em Chapas De Gesso Para Drywall, Uso Interno, Montante 70mm  (HD/70/CIM/70/HU)</t>
        </is>
      </c>
      <c r="D1134" s="1053" t="inlineStr">
        <is>
          <t>FITA DE PAPEL REFORCADA COM LAMINA DE METAL PARA REFORCO DE CANTOS DE CHAPA DE GESSO PARA DRYWALL</t>
        </is>
      </c>
      <c r="E1134" s="11">
        <f t="array" ref="E1134">_xlfn.XLOOKUP(D1134,Insumos!B:B,Insumos!C:$C)</f>
        <v/>
      </c>
      <c r="F1134" s="2164" t="n">
        <v>1.4815</v>
      </c>
      <c r="G1134" s="92">
        <f t="array" ref="G1134">IF(B1134="insumo",_xlfn.XLOOKUP($D1134,Insumos!$B$1:$B$993,Insumos!$D$1:$D$993),"")</f>
        <v/>
      </c>
      <c r="H1134" s="92" t="n">
        <v>4.05931</v>
      </c>
      <c r="I1134" s="2165" t="n">
        <v>0</v>
      </c>
      <c r="J1134" s="2165" t="n">
        <v>0</v>
      </c>
      <c r="K1134" s="2165" t="n"/>
    </row>
    <row r="1135" outlineLevel="3" ht="27" customHeight="1">
      <c r="A1135" s="471" t="n">
        <v>11</v>
      </c>
      <c r="B1135" s="471" t="inlineStr">
        <is>
          <t>Insumo</t>
        </is>
      </c>
      <c r="C1135" s="1053" t="inlineStr">
        <is>
          <t>Parede Com Sistema Em Chapas De Gesso Para Drywall, Uso Interno, Montante 70mm  (HD/70/CIM/70/HU)</t>
        </is>
      </c>
      <c r="D1135" s="1053" t="inlineStr">
        <is>
          <t>BANDA ACUSTICA</t>
        </is>
      </c>
      <c r="E1135" s="11">
        <f t="array" ref="E1135">_xlfn.XLOOKUP(D1135,Insumos!B:B,Insumos!C:$C)</f>
        <v/>
      </c>
      <c r="F1135" s="2164">
        <f>0.8*2</f>
        <v/>
      </c>
      <c r="G1135" s="92">
        <f t="array" ref="G1135">IF(B1135="insumo",_xlfn.XLOOKUP($D1135,Insumos!$B$1:$B$993,Insumos!$D$1:$D$993),"")</f>
        <v/>
      </c>
      <c r="H1135" s="92" t="n">
        <v>4.8</v>
      </c>
      <c r="I1135" s="2165" t="n">
        <v>0</v>
      </c>
      <c r="J1135" s="2165" t="n">
        <v>0</v>
      </c>
      <c r="K1135" s="2165" t="n"/>
    </row>
    <row r="1136" outlineLevel="3" ht="27" customHeight="1">
      <c r="A1136" s="471" t="n">
        <v>11</v>
      </c>
      <c r="B1136" s="471" t="inlineStr">
        <is>
          <t>Insumo</t>
        </is>
      </c>
      <c r="C1136" s="1053" t="inlineStr">
        <is>
          <t>Parede Com Sistema Em Chapas De Gesso Para Drywall, Uso Interno, Montante 70mm  (HD/70/CIM/70/HU)</t>
        </is>
      </c>
      <c r="D1136" s="1053" t="inlineStr">
        <is>
          <t>Aplicação de zarcão nas guias inferiores</t>
        </is>
      </c>
      <c r="E1136" s="11">
        <f t="array" ref="E1136">_xlfn.XLOOKUP(D1136,Insumos!B:B,Insumos!C:$C)</f>
        <v/>
      </c>
      <c r="F1136" s="2164">
        <f>0.84*2</f>
        <v/>
      </c>
      <c r="G1136" s="92">
        <f t="array" ref="G1136">IF(B1136="insumo",_xlfn.XLOOKUP($D1136,Insumos!$B$1:$B$993,Insumos!$D$1:$D$993),"")</f>
        <v/>
      </c>
      <c r="H1136" s="92" t="n">
        <v>1.008</v>
      </c>
      <c r="I1136" s="2165" t="n">
        <v>0</v>
      </c>
      <c r="J1136" s="2165" t="n">
        <v>0</v>
      </c>
      <c r="K1136" s="2165" t="n"/>
    </row>
    <row r="1137" outlineLevel="3" ht="27" customHeight="1">
      <c r="A1137" s="471" t="n">
        <v>97</v>
      </c>
      <c r="B1137" s="471" t="inlineStr">
        <is>
          <t>Insumo</t>
        </is>
      </c>
      <c r="C1137" s="1053" t="inlineStr">
        <is>
          <t>Parede Com Sistema Em Chapas De Gesso Para Drywall, Uso Interno, Montante 70mm  (HD/70/CIM/70/HU)</t>
        </is>
      </c>
      <c r="D1137" s="1053" t="inlineStr">
        <is>
          <t>PARAFUSO DRY WALL, EM ACO FOSFATIZADO, CABECA TROMBETA E PONTA AGULHA (TA), COMPRIMENTO 25 MM</t>
        </is>
      </c>
      <c r="E1137" s="11">
        <f t="array" ref="E1137">_xlfn.XLOOKUP(D1137,Insumos!B:B,Insumos!C:$C)</f>
        <v/>
      </c>
      <c r="F1137" s="2164">
        <f>20.1868*2</f>
        <v/>
      </c>
      <c r="G1137" s="92">
        <f t="array" ref="G1137">IF(B1137="insumo",_xlfn.XLOOKUP($D1137,Insumos!$B$1:$B$993,Insumos!$D$1:$D$993),"")</f>
        <v/>
      </c>
      <c r="H1137" s="92" t="n">
        <v>3.633624</v>
      </c>
      <c r="I1137" s="2165" t="n">
        <v>0</v>
      </c>
      <c r="J1137" s="2165" t="n">
        <v>0</v>
      </c>
      <c r="K1137" s="2165" t="n"/>
    </row>
    <row r="1138" outlineLevel="3" ht="27" customHeight="1">
      <c r="A1138" s="471" t="n">
        <v>95</v>
      </c>
      <c r="B1138" s="471" t="inlineStr">
        <is>
          <t>Insumo</t>
        </is>
      </c>
      <c r="C1138" s="1053" t="inlineStr">
        <is>
          <t>Parede Com Sistema Em Chapas De Gesso Para Drywall, Uso Interno, Montante 70mm  (HD/70/CIM/70/HU)</t>
        </is>
      </c>
      <c r="D1138" s="1053" t="inlineStr">
        <is>
          <t>PARAFUSO DRY WALL, EM ACO ZINCADO, CABECA LENTILHA E PONTA BROCA (LB), LARGURA 4,2 MM, COMPRIMENTO 13 MM</t>
        </is>
      </c>
      <c r="E1138" s="11">
        <f t="array" ref="E1138">_xlfn.XLOOKUP(D1138,Insumos!B:B,Insumos!C:$C)</f>
        <v/>
      </c>
      <c r="F1138" s="2164">
        <f>0.4803*2</f>
        <v/>
      </c>
      <c r="G1138" s="92">
        <f t="array" ref="G1138">IF(B1138="insumo",_xlfn.XLOOKUP($D1138,Insumos!$B$1:$B$993,Insumos!$D$1:$D$993),"")</f>
        <v/>
      </c>
      <c r="H1138" s="92" t="n">
        <v>0.19212</v>
      </c>
      <c r="I1138" s="2165" t="n">
        <v>0</v>
      </c>
      <c r="J1138" s="2165" t="n">
        <v>0</v>
      </c>
      <c r="K1138" s="2165" t="n"/>
    </row>
    <row r="1139" outlineLevel="2" ht="27" customHeight="1">
      <c r="A1139" s="1076" t="n">
        <v>1</v>
      </c>
      <c r="B1139" s="1076" t="inlineStr">
        <is>
          <t>Serviço</t>
        </is>
      </c>
      <c r="C1139" s="1077" t="inlineStr">
        <is>
          <t>Parede Com Sistema Em Chapas De Gesso Para Drywall, Uso Interno, Montante 70mm  (70/CIM/70/HU)</t>
        </is>
      </c>
      <c r="D1139" s="1077" t="inlineStr">
        <is>
          <t>Parede Com Sistema Em Chapas De Gesso Para Drywall, Uso Interno, Montante 70mm  (70/CIM/70/HU)</t>
        </is>
      </c>
      <c r="E1139" s="1078" t="inlineStr">
        <is>
          <t>M2</t>
        </is>
      </c>
      <c r="F1139" s="1076" t="n"/>
      <c r="G1139" s="1069">
        <f t="array" ref="G1139">IF(B1139="insumo",_xlfn.XLOOKUP($D1139,Insumos!$B$1:$B$993,Insumos!$D$1:$D$993),"")</f>
        <v/>
      </c>
      <c r="H1139" s="1069" t="n">
        <v>138.482509</v>
      </c>
      <c r="I1139" s="2167" t="n">
        <v>0</v>
      </c>
      <c r="J1139" s="2167" t="n">
        <v>0</v>
      </c>
      <c r="K1139" s="2167" t="n"/>
    </row>
    <row r="1140" outlineLevel="3" ht="12.75" customHeight="1">
      <c r="A1140" s="471" t="n">
        <v>11</v>
      </c>
      <c r="B1140" s="471" t="inlineStr">
        <is>
          <t>Insumo</t>
        </is>
      </c>
      <c r="C1140" s="10" t="inlineStr">
        <is>
          <t>Parede Com Sistema Em Chapas De Gesso Para Drywall, Uso Interno, Montante 70mm  (70/CIM/70/HU)</t>
        </is>
      </c>
      <c r="D1140" s="10" t="inlineStr">
        <is>
          <t>PLACA CIMENTÍCIA(CT) PARA STEEL FRAME BRASILIT-ETERNIT 8MM X 1,20M X 2,40M</t>
        </is>
      </c>
      <c r="E1140" s="11">
        <f t="array" ref="E1140">_xlfn.XLOOKUP(D1140,Insumos!B:B,Insumos!C:$C)</f>
        <v/>
      </c>
      <c r="F1140" s="2164">
        <f>1.053*1</f>
        <v/>
      </c>
      <c r="G1140" s="92">
        <f t="array" ref="G1140">IF(B1140="insumo",_xlfn.XLOOKUP($D1140,Insumos!$B$1:$B$993,Insumos!$D$1:$D$993),"")</f>
        <v/>
      </c>
      <c r="H1140" s="92" t="n">
        <v>31.68433125</v>
      </c>
      <c r="I1140" s="2165" t="n">
        <v>0</v>
      </c>
      <c r="J1140" s="2165" t="n">
        <v>0</v>
      </c>
      <c r="K1140" s="2165" t="n"/>
    </row>
    <row r="1141" outlineLevel="3" ht="27" customHeight="1">
      <c r="A1141" s="471" t="n">
        <v>49</v>
      </c>
      <c r="B1141" s="471" t="inlineStr">
        <is>
          <t>Insumo</t>
        </is>
      </c>
      <c r="C1141" s="1053" t="inlineStr">
        <is>
          <t>Parede Com Sistema Em Chapas De Gesso Para Drywall, Uso Interno, Montante 70mm  (70/CIM/70/HU)</t>
        </is>
      </c>
      <c r="D1141" s="1053" t="inlineStr">
        <is>
          <t>PLACA / CHAPA DE GESSO ACARTONADO, RESISTENTE A UMIDADE (RU), COR VERDE, E = 12,5 MM, 1200 X 2400 MM (L X C)</t>
        </is>
      </c>
      <c r="E1141" s="11">
        <f t="array" ref="E1141">_xlfn.XLOOKUP(D1141,Insumos!B:B,Insumos!C:$C)</f>
        <v/>
      </c>
      <c r="F1141" s="2164">
        <f>1.053</f>
        <v/>
      </c>
      <c r="G1141" s="92">
        <f t="array" ref="G1141">IF(B1141="insumo",_xlfn.XLOOKUP($D1141,Insumos!$B$1:$B$993,Insumos!$D$1:$D$993),"")</f>
        <v/>
      </c>
      <c r="H1141" s="92" t="n">
        <v>28.5363</v>
      </c>
      <c r="I1141" s="2165" t="n">
        <v>0</v>
      </c>
      <c r="J1141" s="2165" t="n">
        <v>0</v>
      </c>
      <c r="K1141" s="2165" t="n"/>
    </row>
    <row r="1142" outlineLevel="3" ht="12.75" customHeight="1">
      <c r="A1142" s="471" t="n">
        <v>10</v>
      </c>
      <c r="B1142" s="471" t="inlineStr">
        <is>
          <t>Insumo</t>
        </is>
      </c>
      <c r="C1142" s="10" t="inlineStr">
        <is>
          <t>Parede Com Sistema Em Chapas De Gesso Para Drywall, Uso Interno, Montante 70mm  (70/CIM/70/HU)</t>
        </is>
      </c>
      <c r="D1142" s="10" t="inlineStr">
        <is>
          <t>PLACA / CHAPA DE GESSO ACARTONADO HARDBOARD (HB) E = 12,5 MM, 1200 X 1800 MM (L X C)</t>
        </is>
      </c>
      <c r="E1142" s="11">
        <f t="array" ref="E1142">_xlfn.XLOOKUP(D1142,Insumos!B:B,Insumos!C:$C)</f>
        <v/>
      </c>
      <c r="F1142" s="2164">
        <f>1.053</f>
        <v/>
      </c>
      <c r="G1142" s="92">
        <f t="array" ref="G1142">IF(B1142="insumo",_xlfn.XLOOKUP($D1142,Insumos!$B$1:$B$993,Insumos!$D$1:$D$993),"")</f>
        <v/>
      </c>
      <c r="H1142" s="92" t="n">
        <v>36.343125</v>
      </c>
      <c r="I1142" s="2165" t="n">
        <v>0</v>
      </c>
      <c r="J1142" s="2165" t="n">
        <v>0</v>
      </c>
      <c r="K1142" s="2165" t="n"/>
    </row>
    <row r="1143" outlineLevel="3" ht="27" customHeight="1">
      <c r="A1143" s="471" t="n">
        <v>95</v>
      </c>
      <c r="B1143" s="471" t="inlineStr">
        <is>
          <t>Insumo</t>
        </is>
      </c>
      <c r="C1143" s="1053" t="inlineStr">
        <is>
          <t>Parede Com Sistema Em Chapas De Gesso Para Drywall, Uso Interno, Montante 70mm  (70/CIM/70/HU)</t>
        </is>
      </c>
      <c r="D1143" s="1053" t="inlineStr">
        <is>
          <t>PINO DE ACO COM ARRUELA CONICA, DIAMETRO ARRUELA = *23* MM E COMP HASTE = *27* MM (ACAO INDIRETA)</t>
        </is>
      </c>
      <c r="E1143" s="11">
        <f t="array" ref="E1143">_xlfn.XLOOKUP(D1143,Insumos!B:B,Insumos!C:$C)</f>
        <v/>
      </c>
      <c r="F1143" s="2164">
        <f>4.95*2</f>
        <v/>
      </c>
      <c r="G1143" s="92">
        <f t="array" ref="G1143">IF(B1143="insumo",_xlfn.XLOOKUP($D1143,Insumos!$B$1:$B$993,Insumos!$D$1:$D$993),"")</f>
        <v/>
      </c>
      <c r="H1143" s="92" t="n">
        <v>4.9896</v>
      </c>
      <c r="I1143" s="2165" t="n">
        <v>0</v>
      </c>
      <c r="J1143" s="2165" t="n">
        <v>0</v>
      </c>
      <c r="K1143" s="2165" t="n"/>
    </row>
    <row r="1144" outlineLevel="3" ht="27" customHeight="1">
      <c r="A1144" s="471" t="n">
        <v>43</v>
      </c>
      <c r="B1144" s="471" t="inlineStr">
        <is>
          <t>Insumo</t>
        </is>
      </c>
      <c r="C1144" s="1053" t="inlineStr">
        <is>
          <t>Parede Com Sistema Em Chapas De Gesso Para Drywall, Uso Interno, Montante 70mm  (70/CIM/70/HU)</t>
        </is>
      </c>
      <c r="D1144" s="1053" t="inlineStr">
        <is>
          <t>PERFIL GUIA, FORMATO U, EM ACO ZINCADO, PARA ESTRUTURA PAREDE DRYWALL, E = 0,5 MM, 70 X 3000 MM (L X C)</t>
        </is>
      </c>
      <c r="E1144" s="11">
        <f t="array" ref="E1144">_xlfn.XLOOKUP(D1144,Insumos!B:B,Insumos!C:$C)</f>
        <v/>
      </c>
      <c r="F1144" s="2164">
        <f>1.5248*2</f>
        <v/>
      </c>
      <c r="G1144" s="92">
        <f t="array" ref="G1144">IF(B1144="insumo",_xlfn.XLOOKUP($D1144,Insumos!$B$1:$B$993,Insumos!$D$1:$D$993),"")</f>
        <v/>
      </c>
      <c r="H1144" s="92" t="n">
        <v>22.750016</v>
      </c>
      <c r="I1144" s="2165" t="n">
        <v>0</v>
      </c>
      <c r="J1144" s="2165" t="n">
        <v>0</v>
      </c>
      <c r="K1144" s="2165" t="n"/>
    </row>
    <row r="1145" outlineLevel="3" ht="27" customHeight="1">
      <c r="A1145" s="471" t="n">
        <v>43</v>
      </c>
      <c r="B1145" s="471" t="inlineStr">
        <is>
          <t>Insumo</t>
        </is>
      </c>
      <c r="C1145" s="1053" t="inlineStr">
        <is>
          <t>Parede Com Sistema Em Chapas De Gesso Para Drywall, Uso Interno, Montante 70mm  (70/CIM/70/HU)</t>
        </is>
      </c>
      <c r="D1145" s="1053" t="inlineStr">
        <is>
          <t>PERFIL MONTANTE, FORMATO C, EM ACO ZINCADO, PARA ESTRUTURA PAREDE DRYWALL, E = 0,5 MM, 70 X 3000 MM (L X C)</t>
        </is>
      </c>
      <c r="E1145" s="11">
        <f t="array" ref="E1145">_xlfn.XLOOKUP(D1145,Insumos!B:B,Insumos!C:$C)</f>
        <v/>
      </c>
      <c r="F1145" s="2164">
        <f>2.0006*2</f>
        <v/>
      </c>
      <c r="G1145" s="92">
        <f t="array" ref="G1145">IF(B1145="insumo",_xlfn.XLOOKUP($D1145,Insumos!$B$1:$B$993,Insumos!$D$1:$D$993),"")</f>
        <v/>
      </c>
      <c r="H1145" s="92" t="n">
        <v>31.929576</v>
      </c>
      <c r="I1145" s="2165" t="n">
        <v>0</v>
      </c>
      <c r="J1145" s="2165" t="n">
        <v>0</v>
      </c>
      <c r="K1145" s="2165" t="n"/>
    </row>
    <row r="1146" outlineLevel="3" ht="27" customHeight="1">
      <c r="A1146" s="471" t="n">
        <v>95</v>
      </c>
      <c r="B1146" s="471" t="inlineStr">
        <is>
          <t>Insumo</t>
        </is>
      </c>
      <c r="C1146" s="1053" t="inlineStr">
        <is>
          <t>Parede Com Sistema Em Chapas De Gesso Para Drywall, Uso Interno, Montante 70mm  (70/CIM/70/HU)</t>
        </is>
      </c>
      <c r="D1146" s="1053" t="inlineStr">
        <is>
          <t>MASSA DE REJUNTE EM PO PARA DRYWALL, A BASE DE GESSO, SECAGEM RAPIDA, PARA TRATAMENTO DE JUNTAS DE CHAPA DE GESSO (NECESSITA ADICAO DE AGUA)</t>
        </is>
      </c>
      <c r="E1146" s="11">
        <f t="array" ref="E1146">_xlfn.XLOOKUP(D1146,Insumos!B:B,Insumos!C:$C)</f>
        <v/>
      </c>
      <c r="F1146" s="2164" t="n">
        <v>0.5489000000000001</v>
      </c>
      <c r="G1146" s="92">
        <f t="array" ref="G1146">IF(B1146="insumo",_xlfn.XLOOKUP($D1146,Insumos!$B$1:$B$993,Insumos!$D$1:$D$993),"")</f>
        <v/>
      </c>
      <c r="H1146" s="92" t="n">
        <v>1.882727</v>
      </c>
      <c r="I1146" s="2165" t="n">
        <v>0</v>
      </c>
      <c r="J1146" s="2165" t="n">
        <v>0</v>
      </c>
      <c r="K1146" s="2165" t="n"/>
    </row>
    <row r="1147" outlineLevel="3" ht="27" customHeight="1">
      <c r="A1147" s="471" t="n">
        <v>94</v>
      </c>
      <c r="B1147" s="471" t="inlineStr">
        <is>
          <t>Insumo</t>
        </is>
      </c>
      <c r="C1147" s="1053" t="inlineStr">
        <is>
          <t>Parede Com Sistema Em Chapas De Gesso Para Drywall, Uso Interno, Montante 70mm  (70/CIM/70/HU)</t>
        </is>
      </c>
      <c r="D1147" s="1053" t="inlineStr">
        <is>
          <t>FITA DE PAPEL MICROPERFURADO, 50 X 150 MM, PARA TRATAMENTO DE JUNTAS DE CHAPA DE GESSO PARA DRYWALL</t>
        </is>
      </c>
      <c r="E1147" s="11">
        <f t="array" ref="E1147">_xlfn.XLOOKUP(D1147,Insumos!B:B,Insumos!C:$C)</f>
        <v/>
      </c>
      <c r="F1147" s="2164" t="n">
        <v>1.2513</v>
      </c>
      <c r="G1147" s="92">
        <f t="array" ref="G1147">IF(B1147="insumo",_xlfn.XLOOKUP($D1147,Insumos!$B$1:$B$993,Insumos!$D$1:$D$993),"")</f>
        <v/>
      </c>
      <c r="H1147" s="92" t="n">
        <v>0.387903</v>
      </c>
      <c r="I1147" s="2165" t="n">
        <v>0</v>
      </c>
      <c r="J1147" s="2165" t="n">
        <v>0</v>
      </c>
      <c r="K1147" s="2165" t="n"/>
    </row>
    <row r="1148" outlineLevel="3" ht="27" customHeight="1">
      <c r="A1148" s="471" t="n">
        <v>94</v>
      </c>
      <c r="B1148" s="471" t="inlineStr">
        <is>
          <t>Insumo</t>
        </is>
      </c>
      <c r="C1148" s="1053" t="inlineStr">
        <is>
          <t>Parede Com Sistema Em Chapas De Gesso Para Drywall, Uso Interno, Montante 70mm  (70/CIM/70/HU)</t>
        </is>
      </c>
      <c r="D1148" s="1053" t="inlineStr">
        <is>
          <t>FITA DE PAPEL REFORCADA COM LAMINA DE METAL PARA REFORCO DE CANTOS DE CHAPA DE GESSO PARA DRYWALL</t>
        </is>
      </c>
      <c r="E1148" s="11">
        <f t="array" ref="E1148">_xlfn.XLOOKUP(D1148,Insumos!B:B,Insumos!C:$C)</f>
        <v/>
      </c>
      <c r="F1148" s="2164" t="n">
        <v>0.7407</v>
      </c>
      <c r="G1148" s="92">
        <f t="array" ref="G1148">IF(B1148="insumo",_xlfn.XLOOKUP($D1148,Insumos!$B$1:$B$993,Insumos!$D$1:$D$993),"")</f>
        <v/>
      </c>
      <c r="H1148" s="92" t="n">
        <v>2.029518</v>
      </c>
      <c r="I1148" s="2165" t="n">
        <v>0</v>
      </c>
      <c r="J1148" s="2165" t="n">
        <v>0</v>
      </c>
      <c r="K1148" s="2165" t="n"/>
    </row>
    <row r="1149" outlineLevel="3" ht="27" customHeight="1">
      <c r="A1149" s="471" t="n">
        <v>11</v>
      </c>
      <c r="B1149" s="471" t="inlineStr">
        <is>
          <t>Insumo</t>
        </is>
      </c>
      <c r="C1149" s="1053" t="inlineStr">
        <is>
          <t>Parede Com Sistema Em Chapas De Gesso Para Drywall, Uso Interno, Montante 70mm  (70/CIM/70/HU)</t>
        </is>
      </c>
      <c r="D1149" s="1053" t="inlineStr">
        <is>
          <t>BANDA ACUSTICA</t>
        </is>
      </c>
      <c r="E1149" s="11">
        <f t="array" ref="E1149">_xlfn.XLOOKUP(D1149,Insumos!B:B,Insumos!C:$C)</f>
        <v/>
      </c>
      <c r="F1149" s="2164">
        <f>0.8*2</f>
        <v/>
      </c>
      <c r="G1149" s="92">
        <f t="array" ref="G1149">IF(B1149="insumo",_xlfn.XLOOKUP($D1149,Insumos!$B$1:$B$993,Insumos!$D$1:$D$993),"")</f>
        <v/>
      </c>
      <c r="H1149" s="92" t="n">
        <v>4.8</v>
      </c>
      <c r="I1149" s="2165" t="n">
        <v>0</v>
      </c>
      <c r="J1149" s="2165" t="n">
        <v>0</v>
      </c>
      <c r="K1149" s="2165" t="n"/>
    </row>
    <row r="1150" outlineLevel="3" ht="27" customHeight="1">
      <c r="A1150" s="471" t="n">
        <v>11</v>
      </c>
      <c r="B1150" s="471" t="inlineStr">
        <is>
          <t>Insumo</t>
        </is>
      </c>
      <c r="C1150" s="1053" t="inlineStr">
        <is>
          <t>Parede Com Sistema Em Chapas De Gesso Para Drywall, Uso Interno, Montante 70mm  (70/CIM/70/HU)</t>
        </is>
      </c>
      <c r="D1150" s="1053" t="inlineStr">
        <is>
          <t>Aplicação de zarcão nas guias inferiores</t>
        </is>
      </c>
      <c r="E1150" s="11">
        <f t="array" ref="E1150">_xlfn.XLOOKUP(D1150,Insumos!B:B,Insumos!C:$C)</f>
        <v/>
      </c>
      <c r="F1150" s="2164">
        <f>0.84*2</f>
        <v/>
      </c>
      <c r="G1150" s="92">
        <f t="array" ref="G1150">IF(B1150="insumo",_xlfn.XLOOKUP($D1150,Insumos!$B$1:$B$993,Insumos!$D$1:$D$993),"")</f>
        <v/>
      </c>
      <c r="H1150" s="92" t="n">
        <v>1.008</v>
      </c>
      <c r="I1150" s="2165" t="n">
        <v>0</v>
      </c>
      <c r="J1150" s="2165" t="n">
        <v>0</v>
      </c>
      <c r="K1150" s="2165" t="n"/>
    </row>
    <row r="1151" outlineLevel="3" ht="27" customHeight="1">
      <c r="A1151" s="471" t="n">
        <v>97</v>
      </c>
      <c r="B1151" s="471" t="inlineStr">
        <is>
          <t>Insumo</t>
        </is>
      </c>
      <c r="C1151" s="1053" t="inlineStr">
        <is>
          <t>Parede Com Sistema Em Chapas De Gesso Para Drywall, Uso Interno, Montante 70mm  (70/CIM/70/HU)</t>
        </is>
      </c>
      <c r="D1151" s="1053" t="inlineStr">
        <is>
          <t>PARAFUSO DRY WALL, EM ACO FOSFATIZADO, CABECA TROMBETA E PONTA AGULHA (TA), COMPRIMENTO 25 MM</t>
        </is>
      </c>
      <c r="E1151" s="11">
        <f t="array" ref="E1151">_xlfn.XLOOKUP(D1151,Insumos!B:B,Insumos!C:$C)</f>
        <v/>
      </c>
      <c r="F1151" s="2164">
        <f>20.1868*2</f>
        <v/>
      </c>
      <c r="G1151" s="92">
        <f t="array" ref="G1151">IF(B1151="insumo",_xlfn.XLOOKUP($D1151,Insumos!$B$1:$B$993,Insumos!$D$1:$D$993),"")</f>
        <v/>
      </c>
      <c r="H1151" s="92" t="n">
        <v>3.633624</v>
      </c>
      <c r="I1151" s="2165" t="n">
        <v>0</v>
      </c>
      <c r="J1151" s="2165" t="n">
        <v>0</v>
      </c>
      <c r="K1151" s="2165" t="n"/>
    </row>
    <row r="1152" outlineLevel="3" ht="27" customHeight="1">
      <c r="A1152" s="471" t="n">
        <v>95</v>
      </c>
      <c r="B1152" s="471" t="inlineStr">
        <is>
          <t>Insumo</t>
        </is>
      </c>
      <c r="C1152" s="1053" t="inlineStr">
        <is>
          <t>Parede Com Sistema Em Chapas De Gesso Para Drywall, Uso Interno, Montante 70mm  (70/CIM/70/HU)</t>
        </is>
      </c>
      <c r="D1152" s="1053" t="inlineStr">
        <is>
          <t>PARAFUSO DRY WALL, EM ACO ZINCADO, CABECA LENTILHA E PONTA BROCA (LB), LARGURA 4,2 MM, COMPRIMENTO 13 MM</t>
        </is>
      </c>
      <c r="E1152" s="11">
        <f t="array" ref="E1152">_xlfn.XLOOKUP(D1152,Insumos!B:B,Insumos!C:$C)</f>
        <v/>
      </c>
      <c r="F1152" s="2164">
        <f>0.4803*2</f>
        <v/>
      </c>
      <c r="G1152" s="92">
        <f t="array" ref="G1152">IF(B1152="insumo",_xlfn.XLOOKUP($D1152,Insumos!$B$1:$B$993,Insumos!$D$1:$D$993),"")</f>
        <v/>
      </c>
      <c r="H1152" s="92" t="n">
        <v>0.19212</v>
      </c>
      <c r="I1152" s="2165" t="n">
        <v>0</v>
      </c>
      <c r="J1152" s="2165" t="n">
        <v>0</v>
      </c>
      <c r="K1152" s="2165" t="n"/>
    </row>
    <row r="1153" outlineLevel="2" ht="27" customHeight="1">
      <c r="A1153" s="1076" t="n">
        <v>1</v>
      </c>
      <c r="B1153" s="1076" t="inlineStr">
        <is>
          <t>Serviço</t>
        </is>
      </c>
      <c r="C1153" s="1077" t="inlineStr">
        <is>
          <t>Parede Com Sistema Em Chapas De Gesso Para Drywall, Uso Interno, Montante 70mm  (70/HD+HU+CIM)</t>
        </is>
      </c>
      <c r="D1153" s="1077" t="inlineStr">
        <is>
          <t>Parede Com Sistema Em Chapas De Gesso Para Drywall, Uso Interno, Montante 70mm  (70/HD+HU+CIM)</t>
        </is>
      </c>
      <c r="E1153" s="1078" t="inlineStr">
        <is>
          <t>M2</t>
        </is>
      </c>
      <c r="F1153" s="1076" t="n"/>
      <c r="G1153" s="1069">
        <f t="array" ref="G1153">IF(B1153="insumo",_xlfn.XLOOKUP($D1153,Insumos!$B$1:$B$993,Insumos!$D$1:$D$993),"")</f>
        <v/>
      </c>
      <c r="H1153" s="1069" t="n">
        <v>159.23865225</v>
      </c>
      <c r="I1153" s="2167" t="n">
        <v>0</v>
      </c>
      <c r="J1153" s="2167" t="n">
        <v>0</v>
      </c>
      <c r="K1153" s="2167" t="n"/>
    </row>
    <row r="1154" outlineLevel="3" ht="12.75" customHeight="1">
      <c r="A1154" s="471" t="n">
        <v>11</v>
      </c>
      <c r="B1154" s="471" t="inlineStr">
        <is>
          <t>Insumo</t>
        </is>
      </c>
      <c r="C1154" s="10" t="inlineStr">
        <is>
          <t>Parede Com Sistema Em Chapas De Gesso Para Drywall, Uso Interno, Montante 70mm  (70/HD+HU+CIM)</t>
        </is>
      </c>
      <c r="D1154" s="10" t="inlineStr">
        <is>
          <t>PLACA CIMENTÍCIA(CT) PARA STEEL FRAME BRASILIT-ETERNIT 8MM X 1,20M X 2,40M</t>
        </is>
      </c>
      <c r="E1154" s="11">
        <f t="array" ref="E1154">_xlfn.XLOOKUP(D1154,Insumos!B:B,Insumos!C:$C)</f>
        <v/>
      </c>
      <c r="F1154" s="2164">
        <f>1.053*1</f>
        <v/>
      </c>
      <c r="G1154" s="92">
        <f t="array" ref="G1154">IF(B1154="insumo",_xlfn.XLOOKUP($D1154,Insumos!$B$1:$B$993,Insumos!$D$1:$D$993),"")</f>
        <v/>
      </c>
      <c r="H1154" s="92" t="n">
        <v>31.68433125</v>
      </c>
      <c r="I1154" s="2165" t="n">
        <v>0</v>
      </c>
      <c r="J1154" s="2165" t="n">
        <v>0</v>
      </c>
      <c r="K1154" s="2165" t="n"/>
    </row>
    <row r="1155" outlineLevel="3" ht="27" customHeight="1">
      <c r="A1155" s="471" t="n">
        <v>47</v>
      </c>
      <c r="B1155" s="471" t="inlineStr">
        <is>
          <t>Insumo</t>
        </is>
      </c>
      <c r="C1155" s="1053" t="inlineStr">
        <is>
          <t>Parede Com Sistema Em Chapas De Gesso Para Drywall, Uso Interno, Montante 70mm  (70/HD+HU+CIM)</t>
        </is>
      </c>
      <c r="D1155" s="1053" t="inlineStr">
        <is>
          <t>PLACA / CHAPA DE GESSO ACARTONADO, STANDARD (ST), COR BRANCA, E = 12,5 MM, 1200 X 2400 MM (L X C)</t>
        </is>
      </c>
      <c r="E1155" s="11">
        <f t="array" ref="E1155">_xlfn.XLOOKUP(D1155,Insumos!B:B,Insumos!C:$C)</f>
        <v/>
      </c>
      <c r="F1155" s="2164">
        <f>1.053</f>
        <v/>
      </c>
      <c r="G1155" s="92">
        <f t="array" ref="G1155">IF(B1155="insumo",_xlfn.XLOOKUP($D1155,Insumos!$B$1:$B$993,Insumos!$D$1:$D$993),"")</f>
        <v/>
      </c>
      <c r="H1155" s="92" t="n">
        <v>21.22848</v>
      </c>
      <c r="I1155" s="2165" t="n">
        <v>0</v>
      </c>
      <c r="J1155" s="2165" t="n">
        <v>0</v>
      </c>
      <c r="K1155" s="2165" t="n"/>
    </row>
    <row r="1156" outlineLevel="3" ht="27" customHeight="1">
      <c r="A1156" s="471" t="n">
        <v>49</v>
      </c>
      <c r="B1156" s="471" t="inlineStr">
        <is>
          <t>Insumo</t>
        </is>
      </c>
      <c r="C1156" s="1053" t="inlineStr">
        <is>
          <t>Parede Com Sistema Em Chapas De Gesso Para Drywall, Uso Interno, Montante 70mm  (70/HD+HU+CIM)</t>
        </is>
      </c>
      <c r="D1156" s="1053" t="inlineStr">
        <is>
          <t>PLACA / CHAPA DE GESSO ACARTONADO, RESISTENTE A UMIDADE (RU), COR VERDE, E = 12,5 MM, 1200 X 2400 MM (L X C)</t>
        </is>
      </c>
      <c r="E1156" s="11">
        <f t="array" ref="E1156">_xlfn.XLOOKUP(D1156,Insumos!B:B,Insumos!C:$C)</f>
        <v/>
      </c>
      <c r="F1156" s="2164">
        <f>1.053</f>
        <v/>
      </c>
      <c r="G1156" s="92">
        <f t="array" ref="G1156">IF(B1156="insumo",_xlfn.XLOOKUP($D1156,Insumos!$B$1:$B$993,Insumos!$D$1:$D$993),"")</f>
        <v/>
      </c>
      <c r="H1156" s="92" t="n">
        <v>28.5363</v>
      </c>
      <c r="I1156" s="2165" t="n">
        <v>0</v>
      </c>
      <c r="J1156" s="2165" t="n">
        <v>0</v>
      </c>
      <c r="K1156" s="2165" t="n"/>
    </row>
    <row r="1157" outlineLevel="3" ht="12.75" customHeight="1">
      <c r="A1157" s="471" t="n">
        <v>10</v>
      </c>
      <c r="B1157" s="471" t="inlineStr">
        <is>
          <t>Insumo</t>
        </is>
      </c>
      <c r="C1157" s="10" t="inlineStr">
        <is>
          <t>Parede Com Sistema Em Chapas De Gesso Para Drywall, Uso Interno, Montante 70mm  (70/HD+HU+CIM)</t>
        </is>
      </c>
      <c r="D1157" s="10" t="inlineStr">
        <is>
          <t>PLACA / CHAPA DE GESSO ACARTONADO HARDBOARD (HB) E = 12,5 MM, 1200 X 1800 MM (L X C)</t>
        </is>
      </c>
      <c r="E1157" s="11">
        <f t="array" ref="E1157">_xlfn.XLOOKUP(D1157,Insumos!B:B,Insumos!C:$C)</f>
        <v/>
      </c>
      <c r="F1157" s="2164">
        <f>1.053</f>
        <v/>
      </c>
      <c r="G1157" s="92">
        <f t="array" ref="G1157">IF(B1157="insumo",_xlfn.XLOOKUP($D1157,Insumos!$B$1:$B$993,Insumos!$D$1:$D$993),"")</f>
        <v/>
      </c>
      <c r="H1157" s="92" t="n">
        <v>36.343125</v>
      </c>
      <c r="I1157" s="2165" t="n">
        <v>0</v>
      </c>
      <c r="J1157" s="2165" t="n">
        <v>0</v>
      </c>
      <c r="K1157" s="2165" t="n"/>
    </row>
    <row r="1158" outlineLevel="3" ht="27" customHeight="1">
      <c r="A1158" s="471" t="n">
        <v>95</v>
      </c>
      <c r="B1158" s="471" t="inlineStr">
        <is>
          <t>Insumo</t>
        </is>
      </c>
      <c r="C1158" s="1053" t="inlineStr">
        <is>
          <t>Parede Com Sistema Em Chapas De Gesso Para Drywall, Uso Interno, Montante 70mm  (70/HD+HU+CIM)</t>
        </is>
      </c>
      <c r="D1158" s="1053" t="inlineStr">
        <is>
          <t>PINO DE ACO COM ARRUELA CONICA, DIAMETRO ARRUELA = *23* MM E COMP HASTE = *27* MM (ACAO INDIRETA)</t>
        </is>
      </c>
      <c r="E1158" s="11">
        <f t="array" ref="E1158">_xlfn.XLOOKUP(D1158,Insumos!B:B,Insumos!C:$C)</f>
        <v/>
      </c>
      <c r="F1158" s="2164">
        <f>4.95*2</f>
        <v/>
      </c>
      <c r="G1158" s="92">
        <f t="array" ref="G1158">IF(B1158="insumo",_xlfn.XLOOKUP($D1158,Insumos!$B$1:$B$993,Insumos!$D$1:$D$993),"")</f>
        <v/>
      </c>
      <c r="H1158" s="92" t="n">
        <v>4.9896</v>
      </c>
      <c r="I1158" s="2165" t="n">
        <v>0</v>
      </c>
      <c r="J1158" s="2165" t="n">
        <v>0</v>
      </c>
      <c r="K1158" s="2165" t="n"/>
    </row>
    <row r="1159" outlineLevel="3" ht="27" customHeight="1">
      <c r="A1159" s="471" t="n">
        <v>43</v>
      </c>
      <c r="B1159" s="471" t="inlineStr">
        <is>
          <t>Insumo</t>
        </is>
      </c>
      <c r="C1159" s="1053" t="inlineStr">
        <is>
          <t>Parede Com Sistema Em Chapas De Gesso Para Drywall, Uso Interno, Montante 70mm  (70/HD+HU+CIM)</t>
        </is>
      </c>
      <c r="D1159" s="1053" t="inlineStr">
        <is>
          <t>PERFIL GUIA, FORMATO U, EM ACO ZINCADO, PARA ESTRUTURA PAREDE DRYWALL, E = 0,5 MM, 70 X 3000 MM (L X C)</t>
        </is>
      </c>
      <c r="E1159" s="11">
        <f t="array" ref="E1159">_xlfn.XLOOKUP(D1159,Insumos!B:B,Insumos!C:$C)</f>
        <v/>
      </c>
      <c r="F1159" s="2164">
        <f>1.5248</f>
        <v/>
      </c>
      <c r="G1159" s="92">
        <f t="array" ref="G1159">IF(B1159="insumo",_xlfn.XLOOKUP($D1159,Insumos!$B$1:$B$993,Insumos!$D$1:$D$993),"")</f>
        <v/>
      </c>
      <c r="H1159" s="92" t="n">
        <v>11.375008</v>
      </c>
      <c r="I1159" s="2165" t="n">
        <v>0</v>
      </c>
      <c r="J1159" s="2165" t="n">
        <v>0</v>
      </c>
      <c r="K1159" s="2165" t="n"/>
    </row>
    <row r="1160" outlineLevel="3" ht="27" customHeight="1">
      <c r="A1160" s="471" t="n">
        <v>43</v>
      </c>
      <c r="B1160" s="471" t="inlineStr">
        <is>
          <t>Insumo</t>
        </is>
      </c>
      <c r="C1160" s="1053" t="inlineStr">
        <is>
          <t>Parede Com Sistema Em Chapas De Gesso Para Drywall, Uso Interno, Montante 70mm  (70/HD+HU+CIM)</t>
        </is>
      </c>
      <c r="D1160" s="1053" t="inlineStr">
        <is>
          <t>PERFIL MONTANTE, FORMATO C, EM ACO ZINCADO, PARA ESTRUTURA PAREDE DRYWALL, E = 0,5 MM, 70 X 3000 MM (L X C)</t>
        </is>
      </c>
      <c r="E1160" s="11">
        <f t="array" ref="E1160">_xlfn.XLOOKUP(D1160,Insumos!B:B,Insumos!C:$C)</f>
        <v/>
      </c>
      <c r="F1160" s="2164">
        <f>2.0006</f>
        <v/>
      </c>
      <c r="G1160" s="92">
        <f t="array" ref="G1160">IF(B1160="insumo",_xlfn.XLOOKUP($D1160,Insumos!$B$1:$B$993,Insumos!$D$1:$D$993),"")</f>
        <v/>
      </c>
      <c r="H1160" s="92" t="n">
        <v>15.964788</v>
      </c>
      <c r="I1160" s="2165" t="n">
        <v>0</v>
      </c>
      <c r="J1160" s="2165" t="n">
        <v>0</v>
      </c>
      <c r="K1160" s="2165" t="n"/>
    </row>
    <row r="1161" outlineLevel="3" ht="27" customHeight="1">
      <c r="A1161" s="471" t="n">
        <v>95</v>
      </c>
      <c r="B1161" s="471" t="inlineStr">
        <is>
          <t>Insumo</t>
        </is>
      </c>
      <c r="C1161" s="1053" t="inlineStr">
        <is>
          <t>Parede Com Sistema Em Chapas De Gesso Para Drywall, Uso Interno, Montante 70mm  (70/HD+HU+CIM)</t>
        </is>
      </c>
      <c r="D1161" s="1053" t="inlineStr">
        <is>
          <t>MASSA DE REJUNTE EM PO PARA DRYWALL, A BASE DE GESSO, SECAGEM RAPIDA, PARA TRATAMENTO DE JUNTAS DE CHAPA DE GESSO (NECESSITA ADICAO DE AGUA)</t>
        </is>
      </c>
      <c r="E1161" s="11">
        <f t="array" ref="E1161">_xlfn.XLOOKUP(D1161,Insumos!B:B,Insumos!C:$C)</f>
        <v/>
      </c>
      <c r="F1161" s="2164" t="n">
        <v>0.5489000000000001</v>
      </c>
      <c r="G1161" s="92">
        <f t="array" ref="G1161">IF(B1161="insumo",_xlfn.XLOOKUP($D1161,Insumos!$B$1:$B$993,Insumos!$D$1:$D$993),"")</f>
        <v/>
      </c>
      <c r="H1161" s="92" t="n">
        <v>1.882727</v>
      </c>
      <c r="I1161" s="2165" t="n">
        <v>0</v>
      </c>
      <c r="J1161" s="2165" t="n">
        <v>0</v>
      </c>
      <c r="K1161" s="2165" t="n"/>
    </row>
    <row r="1162" outlineLevel="3" ht="27" customHeight="1">
      <c r="A1162" s="471" t="n">
        <v>94</v>
      </c>
      <c r="B1162" s="471" t="inlineStr">
        <is>
          <t>Insumo</t>
        </is>
      </c>
      <c r="C1162" s="1053" t="inlineStr">
        <is>
          <t>Parede Com Sistema Em Chapas De Gesso Para Drywall, Uso Interno, Montante 70mm  (70/HD+HU+CIM)</t>
        </is>
      </c>
      <c r="D1162" s="1053" t="inlineStr">
        <is>
          <t>FITA DE PAPEL MICROPERFURADO, 50 X 150 MM, PARA TRATAMENTO DE JUNTAS DE CHAPA DE GESSO PARA DRYWALL</t>
        </is>
      </c>
      <c r="E1162" s="11">
        <f t="array" ref="E1162">_xlfn.XLOOKUP(D1162,Insumos!B:B,Insumos!C:$C)</f>
        <v/>
      </c>
      <c r="F1162" s="2164" t="n">
        <v>1.2513</v>
      </c>
      <c r="G1162" s="92">
        <f t="array" ref="G1162">IF(B1162="insumo",_xlfn.XLOOKUP($D1162,Insumos!$B$1:$B$993,Insumos!$D$1:$D$993),"")</f>
        <v/>
      </c>
      <c r="H1162" s="92" t="n">
        <v>0.387903</v>
      </c>
      <c r="I1162" s="2165" t="n">
        <v>0</v>
      </c>
      <c r="J1162" s="2165" t="n">
        <v>0</v>
      </c>
      <c r="K1162" s="2165" t="n"/>
    </row>
    <row r="1163" outlineLevel="3" ht="27" customHeight="1">
      <c r="A1163" s="471" t="n">
        <v>94</v>
      </c>
      <c r="B1163" s="471" t="inlineStr">
        <is>
          <t>Insumo</t>
        </is>
      </c>
      <c r="C1163" s="1053" t="inlineStr">
        <is>
          <t>Parede Com Sistema Em Chapas De Gesso Para Drywall, Uso Interno, Montante 70mm  (70/HD+HU+CIM)</t>
        </is>
      </c>
      <c r="D1163" s="1053" t="inlineStr">
        <is>
          <t>FITA DE PAPEL REFORCADA COM LAMINA DE METAL PARA REFORCO DE CANTOS DE CHAPA DE GESSO PARA DRYWALL</t>
        </is>
      </c>
      <c r="E1163" s="11">
        <f t="array" ref="E1163">_xlfn.XLOOKUP(D1163,Insumos!B:B,Insumos!C:$C)</f>
        <v/>
      </c>
      <c r="F1163" s="2164" t="n">
        <v>0.7407</v>
      </c>
      <c r="G1163" s="92">
        <f t="array" ref="G1163">IF(B1163="insumo",_xlfn.XLOOKUP($D1163,Insumos!$B$1:$B$993,Insumos!$D$1:$D$993),"")</f>
        <v/>
      </c>
      <c r="H1163" s="92" t="n">
        <v>2.029518</v>
      </c>
      <c r="I1163" s="2165" t="n">
        <v>0</v>
      </c>
      <c r="J1163" s="2165" t="n">
        <v>0</v>
      </c>
      <c r="K1163" s="2165" t="n"/>
    </row>
    <row r="1164" outlineLevel="3" ht="27" customHeight="1">
      <c r="A1164" s="471" t="n">
        <v>11</v>
      </c>
      <c r="B1164" s="471" t="inlineStr">
        <is>
          <t>Insumo</t>
        </is>
      </c>
      <c r="C1164" s="1053" t="inlineStr">
        <is>
          <t>Parede Com Sistema Em Chapas De Gesso Para Drywall, Uso Interno, Montante 70mm  (70/HD+HU+CIM)</t>
        </is>
      </c>
      <c r="D1164" s="1053" t="inlineStr">
        <is>
          <t>BANDA ACUSTICA</t>
        </is>
      </c>
      <c r="E1164" s="11">
        <f t="array" ref="E1164">_xlfn.XLOOKUP(D1164,Insumos!B:B,Insumos!C:$C)</f>
        <v/>
      </c>
      <c r="F1164" s="2164">
        <f>0.8</f>
        <v/>
      </c>
      <c r="G1164" s="92">
        <f t="array" ref="G1164">IF(B1164="insumo",_xlfn.XLOOKUP($D1164,Insumos!$B$1:$B$993,Insumos!$D$1:$D$993),"")</f>
        <v/>
      </c>
      <c r="H1164" s="92" t="n">
        <v>2.4</v>
      </c>
      <c r="I1164" s="2165" t="n">
        <v>0</v>
      </c>
      <c r="J1164" s="2165" t="n">
        <v>0</v>
      </c>
      <c r="K1164" s="2165" t="n"/>
    </row>
    <row r="1165" outlineLevel="3" ht="27" customHeight="1">
      <c r="A1165" s="471" t="n">
        <v>11</v>
      </c>
      <c r="B1165" s="471" t="inlineStr">
        <is>
          <t>Insumo</t>
        </is>
      </c>
      <c r="C1165" s="1053" t="inlineStr">
        <is>
          <t>Parede Com Sistema Em Chapas De Gesso Para Drywall, Uso Interno, Montante 70mm  (70/HD+HU+CIM)</t>
        </is>
      </c>
      <c r="D1165" s="1053" t="inlineStr">
        <is>
          <t>Aplicação de zarcão nas guias inferiores</t>
        </is>
      </c>
      <c r="E1165" s="11">
        <f t="array" ref="E1165">_xlfn.XLOOKUP(D1165,Insumos!B:B,Insumos!C:$C)</f>
        <v/>
      </c>
      <c r="F1165" s="2164">
        <f>0.84</f>
        <v/>
      </c>
      <c r="G1165" s="92">
        <f t="array" ref="G1165">IF(B1165="insumo",_xlfn.XLOOKUP($D1165,Insumos!$B$1:$B$993,Insumos!$D$1:$D$993),"")</f>
        <v/>
      </c>
      <c r="H1165" s="92" t="n">
        <v>0.504</v>
      </c>
      <c r="I1165" s="2165" t="n">
        <v>0</v>
      </c>
      <c r="J1165" s="2165" t="n">
        <v>0</v>
      </c>
      <c r="K1165" s="2165" t="n"/>
    </row>
    <row r="1166" outlineLevel="3" ht="27" customHeight="1">
      <c r="A1166" s="471" t="n">
        <v>97</v>
      </c>
      <c r="B1166" s="471" t="inlineStr">
        <is>
          <t>Insumo</t>
        </is>
      </c>
      <c r="C1166" s="1053" t="inlineStr">
        <is>
          <t>Parede Com Sistema Em Chapas De Gesso Para Drywall, Uso Interno, Montante 70mm  (70/HD+HU+CIM)</t>
        </is>
      </c>
      <c r="D1166" s="1053" t="inlineStr">
        <is>
          <t>PARAFUSO DRY WALL, EM ACO FOSFATIZADO, CABECA TROMBETA E PONTA AGULHA (TA), COMPRIMENTO 25 MM</t>
        </is>
      </c>
      <c r="E1166" s="11">
        <f t="array" ref="E1166">_xlfn.XLOOKUP(D1166,Insumos!B:B,Insumos!C:$C)</f>
        <v/>
      </c>
      <c r="F1166" s="2164">
        <f>20.1868</f>
        <v/>
      </c>
      <c r="G1166" s="92">
        <f t="array" ref="G1166">IF(B1166="insumo",_xlfn.XLOOKUP($D1166,Insumos!$B$1:$B$993,Insumos!$D$1:$D$993),"")</f>
        <v/>
      </c>
      <c r="H1166" s="92" t="n">
        <v>1.816812</v>
      </c>
      <c r="I1166" s="2165" t="n">
        <v>0</v>
      </c>
      <c r="J1166" s="2165" t="n">
        <v>0</v>
      </c>
      <c r="K1166" s="2165" t="n"/>
    </row>
    <row r="1167" outlineLevel="3" ht="27" customHeight="1">
      <c r="A1167" s="471" t="n">
        <v>95</v>
      </c>
      <c r="B1167" s="471" t="inlineStr">
        <is>
          <t>Insumo</t>
        </is>
      </c>
      <c r="C1167" s="1053" t="inlineStr">
        <is>
          <t>Parede Com Sistema Em Chapas De Gesso Para Drywall, Uso Interno, Montante 70mm  (70/HD+HU+CIM)</t>
        </is>
      </c>
      <c r="D1167" s="1053" t="inlineStr">
        <is>
          <t>PARAFUSO DRY WALL, EM ACO ZINCADO, CABECA LENTILHA E PONTA BROCA (LB), LARGURA 4,2 MM, COMPRIMENTO 13 MM</t>
        </is>
      </c>
      <c r="E1167" s="11">
        <f t="array" ref="E1167">_xlfn.XLOOKUP(D1167,Insumos!B:B,Insumos!C:$C)</f>
        <v/>
      </c>
      <c r="F1167" s="2164">
        <f>0.4803</f>
        <v/>
      </c>
      <c r="G1167" s="92">
        <f t="array" ref="G1167">IF(B1167="insumo",_xlfn.XLOOKUP($D1167,Insumos!$B$1:$B$993,Insumos!$D$1:$D$993),"")</f>
        <v/>
      </c>
      <c r="H1167" s="92" t="n">
        <v>0.09606000000000001</v>
      </c>
      <c r="I1167" s="2165" t="n">
        <v>0</v>
      </c>
      <c r="J1167" s="2165" t="n">
        <v>0</v>
      </c>
      <c r="K1167" s="2165" t="n"/>
    </row>
    <row r="1168" outlineLevel="1" ht="15.75" customHeight="1">
      <c r="A1168" s="1090" t="n">
        <v>1</v>
      </c>
      <c r="B1168" s="1090" t="inlineStr">
        <is>
          <t>Subetapa</t>
        </is>
      </c>
      <c r="C1168" s="1090" t="inlineStr">
        <is>
          <t>Parede Com Sistema Em Chapas De Gesso Para Drywall, Uso Interno, Montante 70mm  (70/HD+HU+CIM)</t>
        </is>
      </c>
      <c r="D1168" s="1090" t="inlineStr">
        <is>
          <t>DRYWALL</t>
        </is>
      </c>
      <c r="E1168" s="1091" t="n"/>
      <c r="F1168" s="2160" t="n"/>
      <c r="G1168" s="1091" t="n"/>
      <c r="H1168" s="1091" t="n">
        <v>0</v>
      </c>
      <c r="I1168" s="2160" t="n">
        <v>0</v>
      </c>
      <c r="J1168" s="2160" t="n">
        <v>0</v>
      </c>
      <c r="K1168" s="2160" t="n"/>
    </row>
    <row r="1169" outlineLevel="2" ht="15.75" customHeight="1">
      <c r="A1169" s="1067" t="n">
        <v>1</v>
      </c>
      <c r="B1169" s="1067" t="inlineStr">
        <is>
          <t>Serviço</t>
        </is>
      </c>
      <c r="C1169" s="1067" t="inlineStr">
        <is>
          <t>Estrutura e fechamento em drywall Parede Drywall montande 48</t>
        </is>
      </c>
      <c r="D1169" s="1067" t="inlineStr">
        <is>
          <t>Estrutura e fechamento em drywall Parede Drywall montande 48</t>
        </is>
      </c>
      <c r="E1169" s="1068" t="inlineStr">
        <is>
          <t>M2</t>
        </is>
      </c>
      <c r="F1169" s="1067" t="n"/>
      <c r="G1169" s="1069">
        <f t="array" ref="G1169">IF(B1169="insumo",_xlfn.XLOOKUP($D1169,Insumos!$B$1:$B$996,Insumos!$D$1:$D$996),"")</f>
        <v/>
      </c>
      <c r="H1169" s="1069" t="n">
        <v>377.836390081516</v>
      </c>
      <c r="I1169" s="2161" t="n">
        <v>0</v>
      </c>
      <c r="J1169" s="2161" t="n">
        <v>0</v>
      </c>
      <c r="K1169" s="2161" t="n"/>
    </row>
    <row r="1170" outlineLevel="3" ht="15.75" customHeight="1">
      <c r="A1170" s="10" t="n">
        <v>2</v>
      </c>
      <c r="B1170" s="10" t="inlineStr">
        <is>
          <t>Insumo</t>
        </is>
      </c>
      <c r="C1170" s="10" t="inlineStr">
        <is>
          <t>Estrutura e fechamento em drywall Parede Drywall montande 48</t>
        </is>
      </c>
      <c r="D1170" s="10" t="inlineStr">
        <is>
          <t xml:space="preserve">Estrutura e fechamento em drywall Parede Drywall </t>
        </is>
      </c>
      <c r="E1170" s="11">
        <f t="array" ref="E1170">_xlfn.XLOOKUP(D1170,Insumos!B:B,Insumos!C:$C)</f>
        <v/>
      </c>
      <c r="F1170" s="14" t="n">
        <v>1</v>
      </c>
      <c r="G1170" s="92">
        <f t="array" ref="G1170">IF(B1170="insumo",_xlfn.XLOOKUP($D1170,Insumos!$B$1:$B$996,Insumos!$D$1:$D$996),"")</f>
        <v/>
      </c>
      <c r="H1170" s="92" t="n">
        <v>377.836390081516</v>
      </c>
      <c r="I1170" s="2162" t="n">
        <v>0</v>
      </c>
      <c r="J1170" s="2162" t="n">
        <v>0</v>
      </c>
      <c r="K1170" s="2162" t="n"/>
    </row>
    <row r="1171" outlineLevel="2" ht="15.75" customHeight="1">
      <c r="A1171" s="1067" t="n">
        <v>1</v>
      </c>
      <c r="B1171" s="1067" t="inlineStr">
        <is>
          <t>Serviço</t>
        </is>
      </c>
      <c r="C1171" s="1067" t="inlineStr">
        <is>
          <t>Estrutura e fechamento em drywall Parede Drywall montande 90</t>
        </is>
      </c>
      <c r="D1171" s="1067" t="inlineStr">
        <is>
          <t>Estrutura e fechamento em drywall Parede Drywall montande 90</t>
        </is>
      </c>
      <c r="E1171" s="1068" t="inlineStr">
        <is>
          <t>M2</t>
        </is>
      </c>
      <c r="F1171" s="1067" t="n"/>
      <c r="G1171" s="1069">
        <f t="array" ref="G1171">IF(B1171="insumo",_xlfn.XLOOKUP($D1171,Insumos!$B$1:$B$996,Insumos!$D$1:$D$996),"")</f>
        <v/>
      </c>
      <c r="H1171" s="1069" t="n">
        <v>377.836390081516</v>
      </c>
      <c r="I1171" s="2161" t="n">
        <v>0</v>
      </c>
      <c r="J1171" s="2161" t="n">
        <v>0</v>
      </c>
      <c r="K1171" s="2161" t="n"/>
    </row>
    <row r="1172" outlineLevel="3" ht="15.75" customHeight="1">
      <c r="A1172" s="10" t="n">
        <v>2</v>
      </c>
      <c r="B1172" s="10" t="inlineStr">
        <is>
          <t>Insumo</t>
        </is>
      </c>
      <c r="C1172" s="10" t="inlineStr">
        <is>
          <t>Estrutura e fechamento em drywall Parede Drywall montande 90</t>
        </is>
      </c>
      <c r="D1172" s="10" t="inlineStr">
        <is>
          <t xml:space="preserve">Estrutura e fechamento em drywall Parede Drywall </t>
        </is>
      </c>
      <c r="E1172" s="11">
        <f t="array" ref="E1172">_xlfn.XLOOKUP(D1172,Insumos!B:B,Insumos!C:$C)</f>
        <v/>
      </c>
      <c r="F1172" s="14" t="n">
        <v>1</v>
      </c>
      <c r="G1172" s="92">
        <f t="array" ref="G1172">IF(B1172="insumo",_xlfn.XLOOKUP($D1172,Insumos!$B$1:$B$996,Insumos!$D$1:$D$996),"")</f>
        <v/>
      </c>
      <c r="H1172" s="92" t="n">
        <v>377.836390081516</v>
      </c>
      <c r="I1172" s="2162" t="n">
        <v>0</v>
      </c>
      <c r="J1172" s="2162" t="n">
        <v>0</v>
      </c>
      <c r="K1172" s="2162" t="n"/>
    </row>
    <row r="1173" outlineLevel="2" ht="15.75" customHeight="1">
      <c r="A1173" s="1067" t="n">
        <v>1</v>
      </c>
      <c r="B1173" s="1067" t="inlineStr">
        <is>
          <t>Serviço</t>
        </is>
      </c>
      <c r="C1173" s="1067" t="inlineStr">
        <is>
          <t>Reforços Para Paredes em Drywall</t>
        </is>
      </c>
      <c r="D1173" s="1067" t="inlineStr">
        <is>
          <t>Reforços Para Paredes em Drywall</t>
        </is>
      </c>
      <c r="E1173" s="1068" t="inlineStr">
        <is>
          <t>M2</t>
        </is>
      </c>
      <c r="F1173" s="1067" t="n"/>
      <c r="G1173" s="1069">
        <f t="array" ref="G1173">IF(B1173="insumo",_xlfn.XLOOKUP($D1173,Insumos!$B$1:$B$996,Insumos!$D$1:$D$996),"")</f>
        <v/>
      </c>
      <c r="H1173" s="1069" t="n">
        <v>58.9887349237087</v>
      </c>
      <c r="I1173" s="2161" t="n">
        <v>0</v>
      </c>
      <c r="J1173" s="2161" t="n">
        <v>0</v>
      </c>
      <c r="K1173" s="2161" t="n"/>
    </row>
    <row r="1174" outlineLevel="3" ht="15.75" customHeight="1">
      <c r="A1174" s="10" t="n">
        <v>1</v>
      </c>
      <c r="B1174" s="10" t="inlineStr">
        <is>
          <t>Insumo</t>
        </is>
      </c>
      <c r="C1174" s="10" t="inlineStr">
        <is>
          <t>Reforços Para Paredes em Drywall</t>
        </is>
      </c>
      <c r="D1174" s="10" t="inlineStr">
        <is>
          <t>Reforços Para Paredes em Drywall</t>
        </is>
      </c>
      <c r="E1174" s="11">
        <f t="array" ref="E1174">_xlfn.XLOOKUP(D1174,Insumos!B:B,Insumos!C:$C)</f>
        <v/>
      </c>
      <c r="F1174" s="14" t="n">
        <v>1</v>
      </c>
      <c r="G1174" s="92">
        <f t="array" ref="G1174">IF(B1174="insumo",_xlfn.XLOOKUP($D1174,Insumos!$B$1:$B$996,Insumos!$D$1:$D$996),"")</f>
        <v/>
      </c>
      <c r="H1174" s="92" t="n">
        <v>58.9887349237087</v>
      </c>
      <c r="I1174" s="2162" t="n">
        <v>0</v>
      </c>
      <c r="J1174" s="2162" t="n">
        <v>0</v>
      </c>
      <c r="K1174" s="2162" t="n"/>
    </row>
    <row r="1175" outlineLevel="2" ht="12.75" customHeight="1">
      <c r="A1175" s="1071" t="n">
        <v>2</v>
      </c>
      <c r="B1175" s="1071" t="inlineStr">
        <is>
          <t>Serviço</t>
        </is>
      </c>
      <c r="C1175" s="1071" t="inlineStr">
        <is>
          <t>Parede Com Sistema Em Chapas De Gesso Para Drywall, Uso Interno, Montante 48mm, Com Uma Face Simples Standart (ST/48)</t>
        </is>
      </c>
      <c r="D1175" s="1071" t="inlineStr">
        <is>
          <t>Parede Com Sistema Em Chapas De Gesso Para Drywall, Uso Interno, Montante 48mm, Com Uma Face Simples Standart (ST/48)</t>
        </is>
      </c>
      <c r="E1175" s="1072" t="inlineStr">
        <is>
          <t>M2</t>
        </is>
      </c>
      <c r="F1175" s="1071" t="n"/>
      <c r="G1175" s="1073">
        <f t="array" ref="G1175">IF(B1175="insumo",_xlfn.XLOOKUP($D1175,Insumos!$B$1:$B$996,Insumos!$D$1:$D$996),"")</f>
        <v/>
      </c>
      <c r="H1175" s="1073" t="n">
        <v>357.322422</v>
      </c>
      <c r="I1175" s="2163" t="n">
        <v>0</v>
      </c>
      <c r="J1175" s="2163" t="n">
        <v>0</v>
      </c>
      <c r="K1175" s="2163" t="n"/>
    </row>
    <row r="1176" outlineLevel="3" ht="12.75" customHeight="1">
      <c r="A1176" s="82" t="n">
        <v>86</v>
      </c>
      <c r="B1176" s="82" t="inlineStr">
        <is>
          <t>Insumo</t>
        </is>
      </c>
      <c r="C1176" s="82" t="inlineStr">
        <is>
          <t>Parede Com Sistema Em Chapas De Gesso Para Drywall, Uso Interno, Montante 48mm, Com Uma Face Simples Standart (ST/48)</t>
        </is>
      </c>
      <c r="D1176" s="82" t="inlineStr">
        <is>
          <t>SERVICO - CONFECCAO SHAFT GESSO</t>
        </is>
      </c>
      <c r="E1176" s="11">
        <f t="array" ref="E1176">_xlfn.XLOOKUP(D1176,Insumos!B:B,Insumos!C:$C)</f>
        <v/>
      </c>
      <c r="F1176" s="2164" t="n">
        <v>1</v>
      </c>
      <c r="G1176" s="92">
        <f t="array" ref="G1176">IF(B1176="insumo",_xlfn.XLOOKUP($D1176,Insumos!$B$1:$B$996,Insumos!$D$1:$D$996),"")</f>
        <v/>
      </c>
      <c r="H1176" s="92" t="n">
        <v>70</v>
      </c>
      <c r="I1176" s="2165" t="n">
        <v>0</v>
      </c>
      <c r="J1176" s="2165" t="n">
        <v>0</v>
      </c>
      <c r="K1176" s="2165" t="n"/>
    </row>
    <row r="1177" outlineLevel="3" ht="12.75" customHeight="1">
      <c r="A1177" s="82" t="n">
        <v>47</v>
      </c>
      <c r="B1177" s="82" t="inlineStr">
        <is>
          <t>Insumo</t>
        </is>
      </c>
      <c r="C1177" s="82" t="inlineStr">
        <is>
          <t>Parede Com Sistema Em Chapas De Gesso Para Drywall, Uso Interno, Montante 48mm, Com Uma Face Simples Standart (ST/48)</t>
        </is>
      </c>
      <c r="D1177" s="82" t="inlineStr">
        <is>
          <t>PLACA / CHAPA DE GESSO ACARTONADO, STANDARD (ST), COR BRANCA, E = 12,5 MM, 1200 X 2400 MM (L X C)</t>
        </is>
      </c>
      <c r="E1177" s="11">
        <f t="array" ref="E1177">_xlfn.XLOOKUP(D1177,Insumos!B:B,Insumos!C:$C)</f>
        <v/>
      </c>
      <c r="F1177" s="2164" t="n">
        <v>1.053</v>
      </c>
      <c r="G1177" s="92">
        <f t="array" ref="G1177">IF(B1177="insumo",_xlfn.XLOOKUP($D1177,Insumos!$B$1:$B$996,Insumos!$D$1:$D$996),"")</f>
        <v/>
      </c>
      <c r="H1177" s="92" t="n">
        <v>21.22848</v>
      </c>
      <c r="I1177" s="2165" t="n">
        <v>0</v>
      </c>
      <c r="J1177" s="2165" t="n">
        <v>0</v>
      </c>
      <c r="K1177" s="2165" t="n"/>
    </row>
    <row r="1178" outlineLevel="3" ht="12.75" customHeight="1">
      <c r="A1178" s="82" t="n">
        <v>95</v>
      </c>
      <c r="B1178" s="82" t="inlineStr">
        <is>
          <t>Insumo</t>
        </is>
      </c>
      <c r="C1178" s="82" t="inlineStr">
        <is>
          <t>Parede Com Sistema Em Chapas De Gesso Para Drywall, Uso Interno, Montante 48mm, Com Uma Face Simples Standart (ST/48)</t>
        </is>
      </c>
      <c r="D1178" s="82" t="inlineStr">
        <is>
          <t>PINO DE ACO COM ARRUELA CONICA, DIAMETRO ARRUELA = *23* MM E COMP HASTE = *27* MM (ACAO INDIRETA)</t>
        </is>
      </c>
      <c r="E1178" s="11">
        <f t="array" ref="E1178">_xlfn.XLOOKUP(D1178,Insumos!B:B,Insumos!C:$C)</f>
        <v/>
      </c>
      <c r="F1178" s="2164" t="n">
        <v>2.48</v>
      </c>
      <c r="G1178" s="92">
        <f t="array" ref="G1178">IF(B1178="insumo",_xlfn.XLOOKUP($D1178,Insumos!$B$1:$B$996,Insumos!$D$1:$D$996),"")</f>
        <v/>
      </c>
      <c r="H1178" s="92" t="n">
        <v>1.24992</v>
      </c>
      <c r="I1178" s="2165" t="n">
        <v>0</v>
      </c>
      <c r="J1178" s="2165" t="n">
        <v>0</v>
      </c>
      <c r="K1178" s="2165" t="n"/>
    </row>
    <row r="1179" outlineLevel="3" ht="12.75" customHeight="1">
      <c r="A1179" s="82" t="n">
        <v>26</v>
      </c>
      <c r="B1179" s="82" t="inlineStr">
        <is>
          <t>Insumo</t>
        </is>
      </c>
      <c r="C1179" s="82" t="inlineStr">
        <is>
          <t>Parede Com Sistema Em Chapas De Gesso Para Drywall, Uso Interno, Montante 48mm, Com Uma Face Simples Standart (ST/48)</t>
        </is>
      </c>
      <c r="D1179" s="82" t="inlineStr">
        <is>
          <t>PERFIL GUIA, FORMATO U, EM ACO ZINCADO, PARA ESTRUTURA PAREDE DRYWALL, E = 0,5 MM, 48 X 3000 MM (L X C)</t>
        </is>
      </c>
      <c r="E1179" s="11">
        <f t="array" ref="E1179">_xlfn.XLOOKUP(D1179,Insumos!B:B,Insumos!C:$C)</f>
        <v/>
      </c>
      <c r="F1179" s="2164" t="n">
        <v>0.7624</v>
      </c>
      <c r="G1179" s="92">
        <f t="array" ref="G1179">IF(B1179="insumo",_xlfn.XLOOKUP($D1179,Insumos!$B$1:$B$996,Insumos!$D$1:$D$996),"")</f>
        <v/>
      </c>
      <c r="H1179" s="92" t="n">
        <v>5.359672</v>
      </c>
      <c r="I1179" s="2165" t="n">
        <v>0</v>
      </c>
      <c r="J1179" s="2165" t="n">
        <v>0</v>
      </c>
      <c r="K1179" s="2165" t="n"/>
    </row>
    <row r="1180" outlineLevel="3" ht="12.75" customHeight="1">
      <c r="A1180" s="82" t="n">
        <v>26</v>
      </c>
      <c r="B1180" s="82" t="inlineStr">
        <is>
          <t>Insumo</t>
        </is>
      </c>
      <c r="C1180" s="82" t="inlineStr">
        <is>
          <t>Parede Com Sistema Em Chapas De Gesso Para Drywall, Uso Interno, Montante 48mm, Com Uma Face Simples Standart (ST/48)</t>
        </is>
      </c>
      <c r="D1180" s="82" t="inlineStr">
        <is>
          <t>PERFIL MONTANTE, FORMATO C, EM ACO ZINCADO, PARA ESTRUTURA PAREDE DRYWALL, E = 0,5 MM, 48 X 3000 MM (L X C)</t>
        </is>
      </c>
      <c r="E1180" s="11">
        <f t="array" ref="E1180">_xlfn.XLOOKUP(D1180,Insumos!B:B,Insumos!C:$C)</f>
        <v/>
      </c>
      <c r="F1180" s="2164" t="n">
        <v>2.0006</v>
      </c>
      <c r="G1180" s="92">
        <f t="array" ref="G1180">IF(B1180="insumo",_xlfn.XLOOKUP($D1180,Insumos!$B$1:$B$996,Insumos!$D$1:$D$996),"")</f>
        <v/>
      </c>
      <c r="H1180" s="92" t="n">
        <v>15.964788</v>
      </c>
      <c r="I1180" s="2165" t="n">
        <v>0</v>
      </c>
      <c r="J1180" s="2165" t="n">
        <v>0</v>
      </c>
      <c r="K1180" s="2165" t="n"/>
    </row>
    <row r="1181" outlineLevel="3" ht="12.75" customHeight="1">
      <c r="A1181" s="82" t="n">
        <v>95</v>
      </c>
      <c r="B1181" s="82" t="inlineStr">
        <is>
          <t>Insumo</t>
        </is>
      </c>
      <c r="C1181" s="82" t="inlineStr">
        <is>
          <t>Parede Com Sistema Em Chapas De Gesso Para Drywall, Uso Interno, Montante 48mm, Com Uma Face Simples Standart (ST/48)</t>
        </is>
      </c>
      <c r="D1181" s="82" t="inlineStr">
        <is>
          <t>MASSA DE REJUNTE EM PO PARA DRYWALL, A BASE DE GESSO, SECAGEM RAPIDA, PARA TRATAMENTO DE JUNTAS DE CHAPA DE GESSO (NECESSITA ADICAO DE AGUA)</t>
        </is>
      </c>
      <c r="E1181" s="11">
        <f t="array" ref="E1181">_xlfn.XLOOKUP(D1181,Insumos!B:B,Insumos!C:$C)</f>
        <v/>
      </c>
      <c r="F1181" s="2164" t="n">
        <v>0.5489000000000001</v>
      </c>
      <c r="G1181" s="92">
        <f t="array" ref="G1181">IF(B1181="insumo",_xlfn.XLOOKUP($D1181,Insumos!$B$1:$B$996,Insumos!$D$1:$D$996),"")</f>
        <v/>
      </c>
      <c r="H1181" s="92" t="n">
        <v>1.882727</v>
      </c>
      <c r="I1181" s="2165" t="n">
        <v>0</v>
      </c>
      <c r="J1181" s="2165" t="n">
        <v>0</v>
      </c>
      <c r="K1181" s="2165" t="n"/>
    </row>
    <row r="1182" outlineLevel="3" ht="12.75" customHeight="1">
      <c r="A1182" s="82" t="n">
        <v>94</v>
      </c>
      <c r="B1182" s="82" t="inlineStr">
        <is>
          <t>Insumo</t>
        </is>
      </c>
      <c r="C1182" s="82" t="inlineStr">
        <is>
          <t>Parede Com Sistema Em Chapas De Gesso Para Drywall, Uso Interno, Montante 48mm, Com Uma Face Simples Standart (ST/48)</t>
        </is>
      </c>
      <c r="D1182" s="82" t="inlineStr">
        <is>
          <t>FITA DE PAPEL MICROPERFURADO, 50 X 150 MM, PARA TRATAMENTO DE JUNTAS DE CHAPA DE GESSO PARA DRYWALL</t>
        </is>
      </c>
      <c r="E1182" s="11">
        <f t="array" ref="E1182">_xlfn.XLOOKUP(D1182,Insumos!B:B,Insumos!C:$C)</f>
        <v/>
      </c>
      <c r="F1182" s="2164" t="n">
        <v>1.2513</v>
      </c>
      <c r="G1182" s="92">
        <f t="array" ref="G1182">IF(B1182="insumo",_xlfn.XLOOKUP($D1182,Insumos!$B$1:$B$996,Insumos!$D$1:$D$996),"")</f>
        <v/>
      </c>
      <c r="H1182" s="92" t="n">
        <v>0.387903</v>
      </c>
      <c r="I1182" s="2165" t="n">
        <v>0</v>
      </c>
      <c r="J1182" s="2165" t="n">
        <v>0</v>
      </c>
      <c r="K1182" s="2165" t="n"/>
    </row>
    <row r="1183" outlineLevel="3" ht="12.75" customHeight="1">
      <c r="A1183" s="82" t="n">
        <v>94</v>
      </c>
      <c r="B1183" s="82" t="inlineStr">
        <is>
          <t>Insumo</t>
        </is>
      </c>
      <c r="C1183" s="82" t="inlineStr">
        <is>
          <t>Parede Com Sistema Em Chapas De Gesso Para Drywall, Uso Interno, Montante 48mm, Com Uma Face Simples Standart (ST/48)</t>
        </is>
      </c>
      <c r="D1183" s="82" t="inlineStr">
        <is>
          <t>FITA DE PAPEL REFORCADA COM LAMINA DE METAL PARA REFORCO DE CANTOS DE CHAPA DE GESSO PARA DRYWALL</t>
        </is>
      </c>
      <c r="E1183" s="11">
        <f t="array" ref="E1183">_xlfn.XLOOKUP(D1183,Insumos!B:B,Insumos!C:$C)</f>
        <v/>
      </c>
      <c r="F1183" s="2164" t="n">
        <v>0.7407</v>
      </c>
      <c r="G1183" s="92">
        <f t="array" ref="G1183">IF(B1183="insumo",_xlfn.XLOOKUP($D1183,Insumos!$B$1:$B$996,Insumos!$D$1:$D$996),"")</f>
        <v/>
      </c>
      <c r="H1183" s="92" t="n">
        <v>2.029518</v>
      </c>
      <c r="I1183" s="2165" t="n">
        <v>0</v>
      </c>
      <c r="J1183" s="2165" t="n">
        <v>0</v>
      </c>
      <c r="K1183" s="2165" t="n"/>
    </row>
    <row r="1184" outlineLevel="3" ht="12.75" customHeight="1">
      <c r="A1184" s="82" t="n">
        <v>97</v>
      </c>
      <c r="B1184" s="82" t="inlineStr">
        <is>
          <t>Insumo</t>
        </is>
      </c>
      <c r="C1184" s="82" t="inlineStr">
        <is>
          <t>Parede Com Sistema Em Chapas De Gesso Para Drywall, Uso Interno, Montante 48mm, Com Uma Face Simples Standart (ST/48)</t>
        </is>
      </c>
      <c r="D1184" s="82" t="inlineStr">
        <is>
          <t>PARAFUSO DRY WALL, EM ACO FOSFATIZADO, CABECA TROMBETA E PONTA AGULHA (TA), COMPRIMENTO 25 MM</t>
        </is>
      </c>
      <c r="E1184" s="11">
        <f t="array" ref="E1184">_xlfn.XLOOKUP(D1184,Insumos!B:B,Insumos!C:$C)</f>
        <v/>
      </c>
      <c r="F1184" s="2164" t="n">
        <v>10.0934</v>
      </c>
      <c r="G1184" s="92">
        <f t="array" ref="G1184">IF(B1184="insumo",_xlfn.XLOOKUP($D1184,Insumos!$B$1:$B$996,Insumos!$D$1:$D$996),"")</f>
        <v/>
      </c>
      <c r="H1184" s="92" t="n">
        <v>0.908406</v>
      </c>
      <c r="I1184" s="2165" t="n">
        <v>0</v>
      </c>
      <c r="J1184" s="2165" t="n">
        <v>0</v>
      </c>
      <c r="K1184" s="2165" t="n"/>
    </row>
    <row r="1185" outlineLevel="3" ht="12.75" customHeight="1">
      <c r="A1185" s="82" t="n">
        <v>95</v>
      </c>
      <c r="B1185" s="82" t="inlineStr">
        <is>
          <t>Insumo</t>
        </is>
      </c>
      <c r="C1185" s="82" t="inlineStr">
        <is>
          <t>Parede Com Sistema Em Chapas De Gesso Para Drywall, Uso Interno, Montante 48mm, Com Uma Face Simples Standart (ST/48)</t>
        </is>
      </c>
      <c r="D1185" s="82" t="inlineStr">
        <is>
          <t>PARAFUSO DRY WALL, EM ACO ZINCADO, CABECA LENTILHA E PONTA BROCA (LB), LARGURA 4,2 MM, COMPRIMENTO 13 MM</t>
        </is>
      </c>
      <c r="E1185" s="11">
        <f t="array" ref="E1185">_xlfn.XLOOKUP(D1185,Insumos!B:B,Insumos!C:$C)</f>
        <v/>
      </c>
      <c r="F1185" s="2164" t="n">
        <v>0.4803</v>
      </c>
      <c r="G1185" s="92">
        <f t="array" ref="G1185">IF(B1185="insumo",_xlfn.XLOOKUP($D1185,Insumos!$B$1:$B$996,Insumos!$D$1:$D$996),"")</f>
        <v/>
      </c>
      <c r="H1185" s="92" t="n">
        <v>0.09606000000000001</v>
      </c>
      <c r="I1185" s="2165" t="n">
        <v>0</v>
      </c>
      <c r="J1185" s="2165" t="n">
        <v>0</v>
      </c>
      <c r="K1185" s="2165" t="n"/>
    </row>
    <row r="1186" outlineLevel="2" ht="15.75" customHeight="1">
      <c r="A1186" s="1067" t="n">
        <v>1</v>
      </c>
      <c r="B1186" s="1067" t="inlineStr">
        <is>
          <t>Serviço</t>
        </is>
      </c>
      <c r="C1186" s="1067" t="inlineStr">
        <is>
          <t>Parede Com Sistema Em Chapas De Gesso Para Drywall, Uso Interno, Montante 48mm, Com Duas Face Simples Standart e isolamento com Lâ de Vidro (ST/48/ST)</t>
        </is>
      </c>
      <c r="D1186" s="1067" t="inlineStr">
        <is>
          <t>Parede Com Sistema Em Chapas De Gesso Para Drywall, Uso Interno, Montante 48mm, Com Duas Face Simples Standart e isolamento com Lâ de Vidro (ST/48/ST)</t>
        </is>
      </c>
      <c r="E1186" s="1068" t="inlineStr">
        <is>
          <t>M2</t>
        </is>
      </c>
      <c r="F1186" s="1067" t="n"/>
      <c r="G1186" s="1069">
        <f t="array" ref="G1186">IF(B1186="insumo",_xlfn.XLOOKUP($D1186,Insumos!$B$1:$B$996,Insumos!$D$1:$D$996),"")</f>
        <v/>
      </c>
      <c r="H1186" s="1069" t="n">
        <v>199.686616333333</v>
      </c>
      <c r="I1186" s="2161" t="n">
        <v>0</v>
      </c>
      <c r="J1186" s="2161" t="n">
        <v>0</v>
      </c>
      <c r="K1186" s="2161" t="n"/>
    </row>
    <row r="1187" outlineLevel="3" ht="15.75" customHeight="1">
      <c r="A1187" s="10" t="n">
        <v>86</v>
      </c>
      <c r="B1187" s="10" t="inlineStr">
        <is>
          <t>Insumo</t>
        </is>
      </c>
      <c r="C1187" s="10" t="inlineStr">
        <is>
          <t>Parede Com Sistema Em Chapas De Gesso Para Drywall, Uso Interno, Montante 48mm, Com Duas Face Simples Standart e isolamento com Lâ de Vidro (ST/48/ST)</t>
        </is>
      </c>
      <c r="D1187" s="10" t="inlineStr">
        <is>
          <t>SERVICO - CONFECCAO SHAFT GESSO</t>
        </is>
      </c>
      <c r="E1187" s="11">
        <f t="array" ref="E1187">_xlfn.XLOOKUP(D1187,Insumos!B:B,Insumos!C:$C)</f>
        <v/>
      </c>
      <c r="F1187" s="14" t="n">
        <v>1</v>
      </c>
      <c r="G1187" s="92">
        <f t="array" ref="G1187">IF(B1187="insumo",_xlfn.XLOOKUP($D1187,Insumos!$B$1:$B$996,Insumos!$D$1:$D$996),"")</f>
        <v/>
      </c>
      <c r="H1187" s="92" t="n">
        <v>70</v>
      </c>
      <c r="I1187" s="2162" t="n">
        <v>0</v>
      </c>
      <c r="J1187" s="2162" t="n">
        <v>0</v>
      </c>
      <c r="K1187" s="2162" t="n"/>
    </row>
    <row r="1188" outlineLevel="3" ht="15.75" customHeight="1">
      <c r="A1188" s="10" t="n">
        <v>47</v>
      </c>
      <c r="B1188" s="10" t="inlineStr">
        <is>
          <t>Insumo</t>
        </is>
      </c>
      <c r="C1188" s="10" t="inlineStr">
        <is>
          <t>Parede Com Sistema Em Chapas De Gesso Para Drywall, Uso Interno, Montante 48mm, Com Duas Face Simples Standart e isolamento com Lâ de Vidro (ST/48/ST)</t>
        </is>
      </c>
      <c r="D1188" s="10" t="inlineStr">
        <is>
          <t>PLACA / CHAPA DE GESSO ACARTONADO, STANDARD (ST), COR BRANCA, E = 12,5 MM, 1200 X 2400 MM (L X C)</t>
        </is>
      </c>
      <c r="E1188" s="11">
        <f t="array" ref="E1188">_xlfn.XLOOKUP(D1188,Insumos!B:B,Insumos!C:$C)</f>
        <v/>
      </c>
      <c r="F1188" s="14" t="n">
        <v>2.106</v>
      </c>
      <c r="G1188" s="92">
        <f t="array" ref="G1188">IF(B1188="insumo",_xlfn.XLOOKUP($D1188,Insumos!$B$1:$B$996,Insumos!$D$1:$D$996),"")</f>
        <v/>
      </c>
      <c r="H1188" s="92" t="n">
        <v>42.45696</v>
      </c>
      <c r="I1188" s="2162" t="n">
        <v>0</v>
      </c>
      <c r="J1188" s="2162" t="n">
        <v>0</v>
      </c>
      <c r="K1188" s="2162" t="n"/>
    </row>
    <row r="1189" outlineLevel="3" ht="15.75" customHeight="1">
      <c r="A1189" s="10" t="n">
        <v>95</v>
      </c>
      <c r="B1189" s="10" t="inlineStr">
        <is>
          <t>Insumo</t>
        </is>
      </c>
      <c r="C1189" s="10" t="inlineStr">
        <is>
          <t>Parede Com Sistema Em Chapas De Gesso Para Drywall, Uso Interno, Montante 48mm, Com Duas Face Simples Standart e isolamento com Lâ de Vidro (ST/48/ST)</t>
        </is>
      </c>
      <c r="D1189" s="10" t="inlineStr">
        <is>
          <t>PINO DE ACO COM ARRUELA CONICA, DIAMETRO ARRUELA = *23* MM E COMP HASTE = *27* MM (ACAO INDIRETA)</t>
        </is>
      </c>
      <c r="E1189" s="11">
        <f t="array" ref="E1189">_xlfn.XLOOKUP(D1189,Insumos!B:B,Insumos!C:$C)</f>
        <v/>
      </c>
      <c r="F1189" s="14" t="n">
        <v>5.92</v>
      </c>
      <c r="G1189" s="92">
        <f t="array" ref="G1189">IF(B1189="insumo",_xlfn.XLOOKUP($D1189,Insumos!$B$1:$B$996,Insumos!$D$1:$D$996),"")</f>
        <v/>
      </c>
      <c r="H1189" s="92" t="n">
        <v>2.98368</v>
      </c>
      <c r="I1189" s="2162" t="n">
        <v>0</v>
      </c>
      <c r="J1189" s="2162" t="n">
        <v>0</v>
      </c>
      <c r="K1189" s="2162" t="n"/>
    </row>
    <row r="1190" outlineLevel="3" ht="15.75" customHeight="1">
      <c r="A1190" s="10" t="n">
        <v>26</v>
      </c>
      <c r="B1190" s="10" t="inlineStr">
        <is>
          <t>Insumo</t>
        </is>
      </c>
      <c r="C1190" s="10" t="inlineStr">
        <is>
          <t>Parede Com Sistema Em Chapas De Gesso Para Drywall, Uso Interno, Montante 48mm, Com Duas Face Simples Standart e isolamento com Lâ de Vidro (ST/48/ST)</t>
        </is>
      </c>
      <c r="D1190" s="10" t="inlineStr">
        <is>
          <t>PERFIL GUIA, FORMATO U, EM ACO ZINCADO, PARA ESTRUTURA PAREDE DRYWALL, E = 0,5 MM, 48 X 3000 MM (L X C)</t>
        </is>
      </c>
      <c r="E1190" s="11">
        <f t="array" ref="E1190">_xlfn.XLOOKUP(D1190,Insumos!B:B,Insumos!C:$C)</f>
        <v/>
      </c>
      <c r="F1190" s="14" t="n">
        <v>1.8234</v>
      </c>
      <c r="G1190" s="92">
        <f t="array" ref="G1190">IF(B1190="insumo",_xlfn.XLOOKUP($D1190,Insumos!$B$1:$B$996,Insumos!$D$1:$D$996),"")</f>
        <v/>
      </c>
      <c r="H1190" s="92" t="n">
        <v>12.818502</v>
      </c>
      <c r="I1190" s="2162" t="n">
        <v>0</v>
      </c>
      <c r="J1190" s="2162" t="n">
        <v>0</v>
      </c>
      <c r="K1190" s="2162" t="n"/>
    </row>
    <row r="1191" outlineLevel="3" ht="15.75" customHeight="1">
      <c r="A1191" s="10" t="n">
        <v>26</v>
      </c>
      <c r="B1191" s="10" t="inlineStr">
        <is>
          <t>Insumo</t>
        </is>
      </c>
      <c r="C1191" s="10" t="inlineStr">
        <is>
          <t>Parede Com Sistema Em Chapas De Gesso Para Drywall, Uso Interno, Montante 48mm, Com Duas Face Simples Standart e isolamento com Lâ de Vidro (ST/48/ST)</t>
        </is>
      </c>
      <c r="D1191" s="10" t="inlineStr">
        <is>
          <t>PERFIL MONTANTE, FORMATO C, EM ACO ZINCADO, PARA ESTRUTURA PAREDE DRYWALL, E = 0,5 MM, 48 X 3000 MM (L X C)</t>
        </is>
      </c>
      <c r="E1191" s="11">
        <f t="array" ref="E1191">_xlfn.XLOOKUP(D1191,Insumos!B:B,Insumos!C:$C)</f>
        <v/>
      </c>
      <c r="F1191" s="14" t="n">
        <v>5.8278</v>
      </c>
      <c r="G1191" s="92">
        <f t="array" ref="G1191">IF(B1191="insumo",_xlfn.XLOOKUP($D1191,Insumos!$B$1:$B$996,Insumos!$D$1:$D$996),"")</f>
        <v/>
      </c>
      <c r="H1191" s="92" t="n">
        <v>46.505844</v>
      </c>
      <c r="I1191" s="2162" t="n">
        <v>0</v>
      </c>
      <c r="J1191" s="2162" t="n">
        <v>0</v>
      </c>
      <c r="K1191" s="2162" t="n"/>
    </row>
    <row r="1192" outlineLevel="3" ht="15.75" customHeight="1">
      <c r="A1192" s="10" t="n">
        <v>95</v>
      </c>
      <c r="B1192" s="10" t="inlineStr">
        <is>
          <t>Insumo</t>
        </is>
      </c>
      <c r="C1192" s="10" t="inlineStr">
        <is>
          <t>Parede Com Sistema Em Chapas De Gesso Para Drywall, Uso Interno, Montante 48mm, Com Duas Face Simples Standart e isolamento com Lâ de Vidro (ST/48/ST)</t>
        </is>
      </c>
      <c r="D1192" s="10" t="inlineStr">
        <is>
          <t>MASSA DE REJUNTE EM PO PARA DRYWALL, A BASE DE GESSO, SECAGEM RAPIDA, PARA TRATAMENTO DE JUNTAS DE CHAPA DE GESSO (NECESSITA ADICAO DE AGUA)</t>
        </is>
      </c>
      <c r="E1192" s="11">
        <f t="array" ref="E1192">_xlfn.XLOOKUP(D1192,Insumos!B:B,Insumos!C:$C)</f>
        <v/>
      </c>
      <c r="F1192" s="14" t="n">
        <v>1.0978</v>
      </c>
      <c r="G1192" s="92">
        <f t="array" ref="G1192">IF(B1192="insumo",_xlfn.XLOOKUP($D1192,Insumos!$B$1:$B$996,Insumos!$D$1:$D$996),"")</f>
        <v/>
      </c>
      <c r="H1192" s="92" t="n">
        <v>3.765454</v>
      </c>
      <c r="I1192" s="2162" t="n">
        <v>0</v>
      </c>
      <c r="J1192" s="2162" t="n">
        <v>0</v>
      </c>
      <c r="K1192" s="2162" t="n"/>
    </row>
    <row r="1193" outlineLevel="3" ht="15.75" customHeight="1">
      <c r="A1193" s="10" t="n">
        <v>94</v>
      </c>
      <c r="B1193" s="10" t="inlineStr">
        <is>
          <t>Insumo</t>
        </is>
      </c>
      <c r="C1193" s="10" t="inlineStr">
        <is>
          <t>Parede Com Sistema Em Chapas De Gesso Para Drywall, Uso Interno, Montante 48mm, Com Duas Face Simples Standart e isolamento com Lâ de Vidro (ST/48/ST)</t>
        </is>
      </c>
      <c r="D1193" s="10" t="inlineStr">
        <is>
          <t>FITA DE PAPEL MICROPERFURADO, 50 X 150 MM, PARA TRATAMENTO DE JUNTAS DE CHAPA DE GESSO PARA DRYWALL</t>
        </is>
      </c>
      <c r="E1193" s="11">
        <f t="array" ref="E1193">_xlfn.XLOOKUP(D1193,Insumos!B:B,Insumos!C:$C)</f>
        <v/>
      </c>
      <c r="F1193" s="14" t="n">
        <v>2.5027</v>
      </c>
      <c r="G1193" s="92">
        <f t="array" ref="G1193">IF(B1193="insumo",_xlfn.XLOOKUP($D1193,Insumos!$B$1:$B$996,Insumos!$D$1:$D$996),"")</f>
        <v/>
      </c>
      <c r="H1193" s="92" t="n">
        <v>0.775837</v>
      </c>
      <c r="I1193" s="2162" t="n">
        <v>0</v>
      </c>
      <c r="J1193" s="2162" t="n">
        <v>0</v>
      </c>
      <c r="K1193" s="2162" t="n"/>
    </row>
    <row r="1194" outlineLevel="3" ht="15.75" customHeight="1">
      <c r="A1194" s="10" t="n">
        <v>94</v>
      </c>
      <c r="B1194" s="10" t="inlineStr">
        <is>
          <t>Insumo</t>
        </is>
      </c>
      <c r="C1194" s="10" t="inlineStr">
        <is>
          <t>Parede Com Sistema Em Chapas De Gesso Para Drywall, Uso Interno, Montante 48mm, Com Duas Face Simples Standart e isolamento com Lâ de Vidro (ST/48/ST)</t>
        </is>
      </c>
      <c r="D1194" s="10" t="inlineStr">
        <is>
          <t>FITA DE PAPEL REFORCADA COM LAMINA DE METAL PARA REFORCO DE CANTOS DE CHAPA DE GESSO PARA DRYWALL</t>
        </is>
      </c>
      <c r="E1194" s="11">
        <f t="array" ref="E1194">_xlfn.XLOOKUP(D1194,Insumos!B:B,Insumos!C:$C)</f>
        <v/>
      </c>
      <c r="F1194" s="14" t="n">
        <v>1.5851</v>
      </c>
      <c r="G1194" s="92">
        <f t="array" ref="G1194">IF(B1194="insumo",_xlfn.XLOOKUP($D1194,Insumos!$B$1:$B$996,Insumos!$D$1:$D$996),"")</f>
        <v/>
      </c>
      <c r="H1194" s="92" t="n">
        <v>4.343174</v>
      </c>
      <c r="I1194" s="2162" t="n">
        <v>0</v>
      </c>
      <c r="J1194" s="2162" t="n">
        <v>0</v>
      </c>
      <c r="K1194" s="2162" t="n"/>
    </row>
    <row r="1195" outlineLevel="3" ht="15.75" customHeight="1">
      <c r="A1195" s="10" t="n">
        <v>97</v>
      </c>
      <c r="B1195" s="10" t="inlineStr">
        <is>
          <t>Insumo</t>
        </is>
      </c>
      <c r="C1195" s="10" t="inlineStr">
        <is>
          <t>Parede Com Sistema Em Chapas De Gesso Para Drywall, Uso Interno, Montante 48mm, Com Duas Face Simples Standart e isolamento com Lâ de Vidro (ST/48/ST)</t>
        </is>
      </c>
      <c r="D1195" s="10" t="inlineStr">
        <is>
          <t>PARAFUSO DRY WALL, EM ACO FOSFATIZADO, CABECA TROMBETA E PONTA AGULHA (TA), COMPRIMENTO 25 MM</t>
        </is>
      </c>
      <c r="E1195" s="11">
        <f t="array" ref="E1195">_xlfn.XLOOKUP(D1195,Insumos!B:B,Insumos!C:$C)</f>
        <v/>
      </c>
      <c r="F1195" s="14" t="n">
        <v>20.1868</v>
      </c>
      <c r="G1195" s="92">
        <f t="array" ref="G1195">IF(B1195="insumo",_xlfn.XLOOKUP($D1195,Insumos!$B$1:$B$996,Insumos!$D$1:$D$996),"")</f>
        <v/>
      </c>
      <c r="H1195" s="92" t="n">
        <v>1.816812</v>
      </c>
      <c r="I1195" s="2162" t="n">
        <v>0</v>
      </c>
      <c r="J1195" s="2162" t="n">
        <v>0</v>
      </c>
      <c r="K1195" s="2162" t="n"/>
    </row>
    <row r="1196" outlineLevel="3" ht="15.75" customHeight="1">
      <c r="A1196" s="10" t="n">
        <v>95</v>
      </c>
      <c r="B1196" s="10" t="inlineStr">
        <is>
          <t>Insumo</t>
        </is>
      </c>
      <c r="C1196" s="10" t="inlineStr">
        <is>
          <t>Parede Com Sistema Em Chapas De Gesso Para Drywall, Uso Interno, Montante 48mm, Com Duas Face Simples Standart e isolamento com Lâ de Vidro (ST/48/ST)</t>
        </is>
      </c>
      <c r="D1196" s="10" t="inlineStr">
        <is>
          <t>PARAFUSO DRY WALL, EM ACO ZINCADO, CABECA LENTILHA E PONTA BROCA (LB), LARGURA 4,2 MM, COMPRIMENTO 13 MM</t>
        </is>
      </c>
      <c r="E1196" s="11">
        <f t="array" ref="E1196">_xlfn.XLOOKUP(D1196,Insumos!B:B,Insumos!C:$C)</f>
        <v/>
      </c>
      <c r="F1196" s="14" t="n">
        <v>0.5441</v>
      </c>
      <c r="G1196" s="92">
        <f t="array" ref="G1196">IF(B1196="insumo",_xlfn.XLOOKUP($D1196,Insumos!$B$1:$B$996,Insumos!$D$1:$D$996),"")</f>
        <v/>
      </c>
      <c r="H1196" s="92" t="n">
        <v>0.10882</v>
      </c>
      <c r="I1196" s="2162" t="n">
        <v>0</v>
      </c>
      <c r="J1196" s="2162" t="n">
        <v>0</v>
      </c>
      <c r="K1196" s="2162" t="n"/>
    </row>
    <row r="1197" outlineLevel="3" ht="15.75" customHeight="1">
      <c r="A1197" s="10" t="n">
        <v>5</v>
      </c>
      <c r="B1197" s="10" t="inlineStr">
        <is>
          <t>Insumo</t>
        </is>
      </c>
      <c r="C1197" s="10" t="inlineStr">
        <is>
          <t>Parede Com Sistema Em Chapas De Gesso Para Drywall, Uso Interno, Montante 48mm, Com Duas Face Simples Standart e isolamento com Lâ de Vidro (ST/48/ST)</t>
        </is>
      </c>
      <c r="D1197" s="10" t="inlineStr">
        <is>
          <t>LÂ DE VIDRO PARA ISOLAMENTO 50mm</t>
        </is>
      </c>
      <c r="E1197" s="11">
        <f t="array" ref="E1197">_xlfn.XLOOKUP(D1197,Insumos!B:B,Insumos!C:$C)</f>
        <v/>
      </c>
      <c r="F1197" s="14" t="n">
        <v>1.1</v>
      </c>
      <c r="G1197" s="92">
        <f t="array" ref="G1197">IF(B1197="insumo",_xlfn.XLOOKUP($D1197,Insumos!$B$1:$B$996,Insumos!$D$1:$D$996),"")</f>
        <v/>
      </c>
      <c r="H1197" s="92" t="n">
        <v>14.1115333333333</v>
      </c>
      <c r="I1197" s="2162" t="n">
        <v>0</v>
      </c>
      <c r="J1197" s="2162" t="n">
        <v>0</v>
      </c>
      <c r="K1197" s="2162" t="n"/>
    </row>
    <row r="1198" outlineLevel="2" ht="12.75" customHeight="1">
      <c r="A1198" s="1071" t="n">
        <v>2</v>
      </c>
      <c r="B1198" s="1071" t="inlineStr">
        <is>
          <t>Serviço</t>
        </is>
      </c>
      <c r="C1198" s="1071" t="inlineStr">
        <is>
          <t>Parede Com Sistema Em Chapas De Gesso Para Drywall, Uso Interno, Montante 48mm, Com Uma Face Simples Standart (ST/48)</t>
        </is>
      </c>
      <c r="D1198" s="1071" t="inlineStr">
        <is>
          <t>Parede Com Sistema Em Chapas De Gesso Para Drywall, Uso Interno, Montante 48mm, Com Uma Face Simples Standart (ST/48)</t>
        </is>
      </c>
      <c r="E1198" s="1072" t="inlineStr">
        <is>
          <t>M2</t>
        </is>
      </c>
      <c r="F1198" s="1071" t="n"/>
      <c r="G1198" s="1073">
        <f t="array" ref="G1198">IF(B1198="insumo",_xlfn.XLOOKUP($D1198,Insumos!$B$1:$B$996,Insumos!$D$1:$D$996),"")</f>
        <v/>
      </c>
      <c r="H1198" s="1073" t="n">
        <v>119.107474</v>
      </c>
      <c r="I1198" s="2163" t="n">
        <v>0</v>
      </c>
      <c r="J1198" s="2163" t="n">
        <v>0</v>
      </c>
      <c r="K1198" s="2163" t="n"/>
    </row>
    <row r="1199" outlineLevel="3" ht="12.75" customHeight="1">
      <c r="A1199" s="82" t="n">
        <v>86</v>
      </c>
      <c r="B1199" s="82" t="inlineStr">
        <is>
          <t>Insumo</t>
        </is>
      </c>
      <c r="C1199" s="82" t="inlineStr">
        <is>
          <t>Parede Com Sistema Em Chapas De Gesso Para Drywall, Uso Interno, Montante 48mm, Com Uma Face Simples Standart (ST/48)</t>
        </is>
      </c>
      <c r="D1199" s="82" t="inlineStr">
        <is>
          <t>SERVICO - CONFECCAO SHAFT GESSO</t>
        </is>
      </c>
      <c r="E1199" s="11">
        <f t="array" ref="E1199">_xlfn.XLOOKUP(D1199,Insumos!B:B,Insumos!C:$C)</f>
        <v/>
      </c>
      <c r="F1199" s="2164" t="n">
        <v>1</v>
      </c>
      <c r="G1199" s="92">
        <f t="array" ref="G1199">IF(B1199="insumo",_xlfn.XLOOKUP($D1199,Insumos!$B$1:$B$996,Insumos!$D$1:$D$996),"")</f>
        <v/>
      </c>
      <c r="H1199" s="92" t="n">
        <v>70</v>
      </c>
      <c r="I1199" s="2165" t="n">
        <v>0</v>
      </c>
      <c r="J1199" s="2165" t="n">
        <v>0</v>
      </c>
      <c r="K1199" s="2165" t="n"/>
    </row>
    <row r="1200" outlineLevel="3" ht="12.75" customHeight="1">
      <c r="A1200" s="82" t="n">
        <v>47</v>
      </c>
      <c r="B1200" s="82" t="inlineStr">
        <is>
          <t>Insumo</t>
        </is>
      </c>
      <c r="C1200" s="82" t="inlineStr">
        <is>
          <t>Parede Com Sistema Em Chapas De Gesso Para Drywall, Uso Interno, Montante 48mm, Com Uma Face Simples Standart (ST/48)</t>
        </is>
      </c>
      <c r="D1200" s="82" t="inlineStr">
        <is>
          <t>PLACA / CHAPA DE GESSO ACARTONADO, STANDARD (ST), COR BRANCA, E = 12,5 MM, 1200 X 2400 MM (L X C)</t>
        </is>
      </c>
      <c r="E1200" s="11">
        <f t="array" ref="E1200">_xlfn.XLOOKUP(D1200,Insumos!B:B,Insumos!C:$C)</f>
        <v/>
      </c>
      <c r="F1200" s="2164" t="n">
        <v>1.053</v>
      </c>
      <c r="G1200" s="92">
        <f t="array" ref="G1200">IF(B1200="insumo",_xlfn.XLOOKUP($D1200,Insumos!$B$1:$B$996,Insumos!$D$1:$D$996),"")</f>
        <v/>
      </c>
      <c r="H1200" s="92" t="n">
        <v>21.22848</v>
      </c>
      <c r="I1200" s="2165" t="n">
        <v>0</v>
      </c>
      <c r="J1200" s="2165" t="n">
        <v>0</v>
      </c>
      <c r="K1200" s="2165" t="n"/>
    </row>
    <row r="1201" outlineLevel="3" ht="12.75" customHeight="1">
      <c r="A1201" s="82" t="n">
        <v>95</v>
      </c>
      <c r="B1201" s="82" t="inlineStr">
        <is>
          <t>Insumo</t>
        </is>
      </c>
      <c r="C1201" s="82" t="inlineStr">
        <is>
          <t>Parede Com Sistema Em Chapas De Gesso Para Drywall, Uso Interno, Montante 48mm, Com Uma Face Simples Standart (ST/48)</t>
        </is>
      </c>
      <c r="D1201" s="82" t="inlineStr">
        <is>
          <t>PINO DE ACO COM ARRUELA CONICA, DIAMETRO ARRUELA = *23* MM E COMP HASTE = *27* MM (ACAO INDIRETA)</t>
        </is>
      </c>
      <c r="E1201" s="11">
        <f t="array" ref="E1201">_xlfn.XLOOKUP(D1201,Insumos!B:B,Insumos!C:$C)</f>
        <v/>
      </c>
      <c r="F1201" s="2164" t="n">
        <v>2.48</v>
      </c>
      <c r="G1201" s="92">
        <f t="array" ref="G1201">IF(B1201="insumo",_xlfn.XLOOKUP($D1201,Insumos!$B$1:$B$996,Insumos!$D$1:$D$996),"")</f>
        <v/>
      </c>
      <c r="H1201" s="92" t="n">
        <v>1.24992</v>
      </c>
      <c r="I1201" s="2165" t="n">
        <v>0</v>
      </c>
      <c r="J1201" s="2165" t="n">
        <v>0</v>
      </c>
      <c r="K1201" s="2165" t="n"/>
    </row>
    <row r="1202" outlineLevel="3" ht="12.75" customHeight="1">
      <c r="A1202" s="82" t="n">
        <v>26</v>
      </c>
      <c r="B1202" s="82" t="inlineStr">
        <is>
          <t>Insumo</t>
        </is>
      </c>
      <c r="C1202" s="82" t="inlineStr">
        <is>
          <t>Parede Com Sistema Em Chapas De Gesso Para Drywall, Uso Interno, Montante 48mm, Com Uma Face Simples Standart (ST/48)</t>
        </is>
      </c>
      <c r="D1202" s="82" t="inlineStr">
        <is>
          <t>PERFIL GUIA, FORMATO U, EM ACO ZINCADO, PARA ESTRUTURA PAREDE DRYWALL, E = 0,5 MM, 48 X 3000 MM (L X C)</t>
        </is>
      </c>
      <c r="E1202" s="11">
        <f t="array" ref="E1202">_xlfn.XLOOKUP(D1202,Insumos!B:B,Insumos!C:$C)</f>
        <v/>
      </c>
      <c r="F1202" s="2164" t="n">
        <v>0.7624</v>
      </c>
      <c r="G1202" s="92">
        <f t="array" ref="G1202">IF(B1202="insumo",_xlfn.XLOOKUP($D1202,Insumos!$B$1:$B$996,Insumos!$D$1:$D$996),"")</f>
        <v/>
      </c>
      <c r="H1202" s="92" t="n">
        <v>5.359672</v>
      </c>
      <c r="I1202" s="2165" t="n">
        <v>0</v>
      </c>
      <c r="J1202" s="2165" t="n">
        <v>0</v>
      </c>
      <c r="K1202" s="2165" t="n"/>
    </row>
    <row r="1203" outlineLevel="3" ht="12.75" customHeight="1">
      <c r="A1203" s="82" t="n">
        <v>26</v>
      </c>
      <c r="B1203" s="82" t="inlineStr">
        <is>
          <t>Insumo</t>
        </is>
      </c>
      <c r="C1203" s="82" t="inlineStr">
        <is>
          <t>Parede Com Sistema Em Chapas De Gesso Para Drywall, Uso Interno, Montante 48mm, Com Uma Face Simples Standart (ST/48)</t>
        </is>
      </c>
      <c r="D1203" s="82" t="inlineStr">
        <is>
          <t>PERFIL MONTANTE, FORMATO C, EM ACO ZINCADO, PARA ESTRUTURA PAREDE DRYWALL, E = 0,5 MM, 48 X 3000 MM (L X C)</t>
        </is>
      </c>
      <c r="E1203" s="11">
        <f t="array" ref="E1203">_xlfn.XLOOKUP(D1203,Insumos!B:B,Insumos!C:$C)</f>
        <v/>
      </c>
      <c r="F1203" s="2164" t="n">
        <v>2.0006</v>
      </c>
      <c r="G1203" s="92">
        <f t="array" ref="G1203">IF(B1203="insumo",_xlfn.XLOOKUP($D1203,Insumos!$B$1:$B$996,Insumos!$D$1:$D$996),"")</f>
        <v/>
      </c>
      <c r="H1203" s="92" t="n">
        <v>15.964788</v>
      </c>
      <c r="I1203" s="2165" t="n">
        <v>0</v>
      </c>
      <c r="J1203" s="2165" t="n">
        <v>0</v>
      </c>
      <c r="K1203" s="2165" t="n"/>
    </row>
    <row r="1204" outlineLevel="3" ht="12.75" customHeight="1">
      <c r="A1204" s="82" t="n">
        <v>95</v>
      </c>
      <c r="B1204" s="82" t="inlineStr">
        <is>
          <t>Insumo</t>
        </is>
      </c>
      <c r="C1204" s="82" t="inlineStr">
        <is>
          <t>Parede Com Sistema Em Chapas De Gesso Para Drywall, Uso Interno, Montante 48mm, Com Uma Face Simples Standart (ST/48)</t>
        </is>
      </c>
      <c r="D1204" s="82" t="inlineStr">
        <is>
          <t>MASSA DE REJUNTE EM PO PARA DRYWALL, A BASE DE GESSO, SECAGEM RAPIDA, PARA TRATAMENTO DE JUNTAS DE CHAPA DE GESSO (NECESSITA ADICAO DE AGUA)</t>
        </is>
      </c>
      <c r="E1204" s="11">
        <f t="array" ref="E1204">_xlfn.XLOOKUP(D1204,Insumos!B:B,Insumos!C:$C)</f>
        <v/>
      </c>
      <c r="F1204" s="2164" t="n">
        <v>0.5489000000000001</v>
      </c>
      <c r="G1204" s="92">
        <f t="array" ref="G1204">IF(B1204="insumo",_xlfn.XLOOKUP($D1204,Insumos!$B$1:$B$996,Insumos!$D$1:$D$996),"")</f>
        <v/>
      </c>
      <c r="H1204" s="92" t="n">
        <v>1.882727</v>
      </c>
      <c r="I1204" s="2165" t="n">
        <v>0</v>
      </c>
      <c r="J1204" s="2165" t="n">
        <v>0</v>
      </c>
      <c r="K1204" s="2165" t="n"/>
    </row>
    <row r="1205" outlineLevel="3" ht="12.75" customHeight="1">
      <c r="A1205" s="82" t="n">
        <v>94</v>
      </c>
      <c r="B1205" s="82" t="inlineStr">
        <is>
          <t>Insumo</t>
        </is>
      </c>
      <c r="C1205" s="82" t="inlineStr">
        <is>
          <t>Parede Com Sistema Em Chapas De Gesso Para Drywall, Uso Interno, Montante 48mm, Com Uma Face Simples Standart (ST/48)</t>
        </is>
      </c>
      <c r="D1205" s="82" t="inlineStr">
        <is>
          <t>FITA DE PAPEL MICROPERFURADO, 50 X 150 MM, PARA TRATAMENTO DE JUNTAS DE CHAPA DE GESSO PARA DRYWALL</t>
        </is>
      </c>
      <c r="E1205" s="11">
        <f t="array" ref="E1205">_xlfn.XLOOKUP(D1205,Insumos!B:B,Insumos!C:$C)</f>
        <v/>
      </c>
      <c r="F1205" s="2164" t="n">
        <v>1.2513</v>
      </c>
      <c r="G1205" s="92">
        <f t="array" ref="G1205">IF(B1205="insumo",_xlfn.XLOOKUP($D1205,Insumos!$B$1:$B$996,Insumos!$D$1:$D$996),"")</f>
        <v/>
      </c>
      <c r="H1205" s="92" t="n">
        <v>0.387903</v>
      </c>
      <c r="I1205" s="2165" t="n">
        <v>0</v>
      </c>
      <c r="J1205" s="2165" t="n">
        <v>0</v>
      </c>
      <c r="K1205" s="2165" t="n"/>
    </row>
    <row r="1206" outlineLevel="3" ht="12.75" customHeight="1">
      <c r="A1206" s="82" t="n">
        <v>94</v>
      </c>
      <c r="B1206" s="82" t="inlineStr">
        <is>
          <t>Insumo</t>
        </is>
      </c>
      <c r="C1206" s="82" t="inlineStr">
        <is>
          <t>Parede Com Sistema Em Chapas De Gesso Para Drywall, Uso Interno, Montante 48mm, Com Uma Face Simples Standart (ST/48)</t>
        </is>
      </c>
      <c r="D1206" s="82" t="inlineStr">
        <is>
          <t>FITA DE PAPEL REFORCADA COM LAMINA DE METAL PARA REFORCO DE CANTOS DE CHAPA DE GESSO PARA DRYWALL</t>
        </is>
      </c>
      <c r="E1206" s="11">
        <f t="array" ref="E1206">_xlfn.XLOOKUP(D1206,Insumos!B:B,Insumos!C:$C)</f>
        <v/>
      </c>
      <c r="F1206" s="2164" t="n">
        <v>0.7407</v>
      </c>
      <c r="G1206" s="92">
        <f t="array" ref="G1206">IF(B1206="insumo",_xlfn.XLOOKUP($D1206,Insumos!$B$1:$B$996,Insumos!$D$1:$D$996),"")</f>
        <v/>
      </c>
      <c r="H1206" s="92" t="n">
        <v>2.029518</v>
      </c>
      <c r="I1206" s="2165" t="n">
        <v>0</v>
      </c>
      <c r="J1206" s="2165" t="n">
        <v>0</v>
      </c>
      <c r="K1206" s="2165" t="n"/>
    </row>
    <row r="1207" outlineLevel="3" ht="12.75" customHeight="1">
      <c r="A1207" s="82" t="n">
        <v>97</v>
      </c>
      <c r="B1207" s="82" t="inlineStr">
        <is>
          <t>Insumo</t>
        </is>
      </c>
      <c r="C1207" s="82" t="inlineStr">
        <is>
          <t>Parede Com Sistema Em Chapas De Gesso Para Drywall, Uso Interno, Montante 48mm, Com Uma Face Simples Standart (ST/48)</t>
        </is>
      </c>
      <c r="D1207" s="82" t="inlineStr">
        <is>
          <t>PARAFUSO DRY WALL, EM ACO FOSFATIZADO, CABECA TROMBETA E PONTA AGULHA (TA), COMPRIMENTO 25 MM</t>
        </is>
      </c>
      <c r="E1207" s="11">
        <f t="array" ref="E1207">_xlfn.XLOOKUP(D1207,Insumos!B:B,Insumos!C:$C)</f>
        <v/>
      </c>
      <c r="F1207" s="2164" t="n">
        <v>10.0934</v>
      </c>
      <c r="G1207" s="92">
        <f t="array" ref="G1207">IF(B1207="insumo",_xlfn.XLOOKUP($D1207,Insumos!$B$1:$B$996,Insumos!$D$1:$D$996),"")</f>
        <v/>
      </c>
      <c r="H1207" s="92" t="n">
        <v>0.908406</v>
      </c>
      <c r="I1207" s="2165" t="n">
        <v>0</v>
      </c>
      <c r="J1207" s="2165" t="n">
        <v>0</v>
      </c>
      <c r="K1207" s="2165" t="n"/>
    </row>
    <row r="1208" outlineLevel="3" ht="12.75" customHeight="1">
      <c r="A1208" s="82" t="n">
        <v>95</v>
      </c>
      <c r="B1208" s="82" t="inlineStr">
        <is>
          <t>Insumo</t>
        </is>
      </c>
      <c r="C1208" s="82" t="inlineStr">
        <is>
          <t>Parede Com Sistema Em Chapas De Gesso Para Drywall, Uso Interno, Montante 48mm, Com Uma Face Simples Standart (ST/48)</t>
        </is>
      </c>
      <c r="D1208" s="82" t="inlineStr">
        <is>
          <t>PARAFUSO DRY WALL, EM ACO ZINCADO, CABECA LENTILHA E PONTA BROCA (LB), LARGURA 4,2 MM, COMPRIMENTO 13 MM</t>
        </is>
      </c>
      <c r="E1208" s="11">
        <f t="array" ref="E1208">_xlfn.XLOOKUP(D1208,Insumos!B:B,Insumos!C:$C)</f>
        <v/>
      </c>
      <c r="F1208" s="2164" t="n">
        <v>0.4803</v>
      </c>
      <c r="G1208" s="92">
        <f t="array" ref="G1208">IF(B1208="insumo",_xlfn.XLOOKUP($D1208,Insumos!$B$1:$B$996,Insumos!$D$1:$D$996),"")</f>
        <v/>
      </c>
      <c r="H1208" s="92" t="n">
        <v>0.09606000000000001</v>
      </c>
      <c r="I1208" s="2165" t="n">
        <v>0</v>
      </c>
      <c r="J1208" s="2165" t="n">
        <v>0</v>
      </c>
      <c r="K1208" s="2165" t="n"/>
    </row>
    <row r="1209" outlineLevel="2" ht="12.75" customHeight="1">
      <c r="A1209" s="1071" t="n">
        <v>1</v>
      </c>
      <c r="B1209" s="1071" t="inlineStr">
        <is>
          <t>Serviço</t>
        </is>
      </c>
      <c r="C1209" s="1071" t="inlineStr">
        <is>
          <t>Parede Com Sistema Em Chapas De Gesso Para Drywall, Uso Interno, Montante 48mm, Com Uma Face Resistente a Umidade (RU/48)</t>
        </is>
      </c>
      <c r="D1209" s="1071" t="inlineStr">
        <is>
          <t>Parede Com Sistema Em Chapas De Gesso Para Drywall, Uso Interno, Montante 48mm, Com Uma Face Resistente a Umidade (RU/48)</t>
        </is>
      </c>
      <c r="E1209" s="1072" t="inlineStr">
        <is>
          <t>M2</t>
        </is>
      </c>
      <c r="F1209" s="1071" t="n"/>
      <c r="G1209" s="1073">
        <f t="array" ref="G1209">IF(B1209="insumo",_xlfn.XLOOKUP($D1209,Insumos!$B$1:$B$996,Insumos!$D$1:$D$996),"")</f>
        <v/>
      </c>
      <c r="H1209" s="1073" t="n">
        <v>126.415294</v>
      </c>
      <c r="I1209" s="2163" t="n">
        <v>0</v>
      </c>
      <c r="J1209" s="2163" t="n">
        <v>0</v>
      </c>
      <c r="K1209" s="2163" t="n"/>
    </row>
    <row r="1210" outlineLevel="3" ht="12.75" customHeight="1">
      <c r="A1210" s="82" t="n">
        <v>86</v>
      </c>
      <c r="B1210" s="82" t="inlineStr">
        <is>
          <t>Insumo</t>
        </is>
      </c>
      <c r="C1210" s="82" t="inlineStr">
        <is>
          <t>Parede Com Sistema Em Chapas De Gesso Para Drywall, Uso Interno, Montante 48mm, Com Uma Face Resistente a Umidade (RU/48)</t>
        </is>
      </c>
      <c r="D1210" s="82" t="inlineStr">
        <is>
          <t>SERVICO - CONFECCAO SHAFT GESSO</t>
        </is>
      </c>
      <c r="E1210" s="11">
        <f t="array" ref="E1210">_xlfn.XLOOKUP(D1210,Insumos!B:B,Insumos!C:$C)</f>
        <v/>
      </c>
      <c r="F1210" s="2164" t="n">
        <v>1</v>
      </c>
      <c r="G1210" s="92">
        <f t="array" ref="G1210">IF(B1210="insumo",_xlfn.XLOOKUP($D1210,Insumos!$B$1:$B$996,Insumos!$D$1:$D$996),"")</f>
        <v/>
      </c>
      <c r="H1210" s="92" t="n">
        <v>70</v>
      </c>
      <c r="I1210" s="2165" t="n">
        <v>0</v>
      </c>
      <c r="J1210" s="2165" t="n">
        <v>0</v>
      </c>
      <c r="K1210" s="2165" t="n"/>
    </row>
    <row r="1211" outlineLevel="3" ht="12.75" customHeight="1">
      <c r="A1211" s="82" t="n">
        <v>49</v>
      </c>
      <c r="B1211" s="82" t="inlineStr">
        <is>
          <t>Insumo</t>
        </is>
      </c>
      <c r="C1211" s="82" t="inlineStr">
        <is>
          <t>Parede Com Sistema Em Chapas De Gesso Para Drywall, Uso Interno, Montante 48mm, Com Uma Face Resistente a Umidade (RU/48)</t>
        </is>
      </c>
      <c r="D1211" s="82" t="inlineStr">
        <is>
          <t>PLACA / CHAPA DE GESSO ACARTONADO, RESISTENTE A UMIDADE (RU), COR VERDE, E = 12,5 MM, 1200 X 2400 MM (L X C)</t>
        </is>
      </c>
      <c r="E1211" s="11">
        <f t="array" ref="E1211">_xlfn.XLOOKUP(D1211,Insumos!B:B,Insumos!C:$C)</f>
        <v/>
      </c>
      <c r="F1211" s="2164" t="n">
        <v>1.053</v>
      </c>
      <c r="G1211" s="92">
        <f t="array" ref="G1211">IF(B1211="insumo",_xlfn.XLOOKUP($D1211,Insumos!$B$1:$B$996,Insumos!$D$1:$D$996),"")</f>
        <v/>
      </c>
      <c r="H1211" s="92" t="n">
        <v>28.5363</v>
      </c>
      <c r="I1211" s="2165" t="n">
        <v>0</v>
      </c>
      <c r="J1211" s="2165" t="n">
        <v>0</v>
      </c>
      <c r="K1211" s="2165" t="n"/>
    </row>
    <row r="1212" outlineLevel="3" ht="12.75" customHeight="1">
      <c r="A1212" s="82" t="n">
        <v>95</v>
      </c>
      <c r="B1212" s="82" t="inlineStr">
        <is>
          <t>Insumo</t>
        </is>
      </c>
      <c r="C1212" s="82" t="inlineStr">
        <is>
          <t>Parede Com Sistema Em Chapas De Gesso Para Drywall, Uso Interno, Montante 48mm, Com Uma Face Resistente a Umidade (RU/48)</t>
        </is>
      </c>
      <c r="D1212" s="82" t="inlineStr">
        <is>
          <t>PINO DE ACO COM ARRUELA CONICA, DIAMETRO ARRUELA = *23* MM E COMP HASTE = *27* MM (ACAO INDIRETA)</t>
        </is>
      </c>
      <c r="E1212" s="11">
        <f t="array" ref="E1212">_xlfn.XLOOKUP(D1212,Insumos!B:B,Insumos!C:$C)</f>
        <v/>
      </c>
      <c r="F1212" s="2164" t="n">
        <v>2.48</v>
      </c>
      <c r="G1212" s="92">
        <f t="array" ref="G1212">IF(B1212="insumo",_xlfn.XLOOKUP($D1212,Insumos!$B$1:$B$996,Insumos!$D$1:$D$996),"")</f>
        <v/>
      </c>
      <c r="H1212" s="92" t="n">
        <v>1.24992</v>
      </c>
      <c r="I1212" s="2165" t="n">
        <v>0</v>
      </c>
      <c r="J1212" s="2165" t="n">
        <v>0</v>
      </c>
      <c r="K1212" s="2165" t="n"/>
    </row>
    <row r="1213" outlineLevel="3" ht="12.75" customHeight="1">
      <c r="A1213" s="82" t="n">
        <v>26</v>
      </c>
      <c r="B1213" s="82" t="inlineStr">
        <is>
          <t>Insumo</t>
        </is>
      </c>
      <c r="C1213" s="82" t="inlineStr">
        <is>
          <t>Parede Com Sistema Em Chapas De Gesso Para Drywall, Uso Interno, Montante 48mm, Com Uma Face Resistente a Umidade (RU/48)</t>
        </is>
      </c>
      <c r="D1213" s="82" t="inlineStr">
        <is>
          <t>PERFIL GUIA, FORMATO U, EM ACO ZINCADO, PARA ESTRUTURA PAREDE DRYWALL, E = 0,5 MM, 48 X 3000 MM (L X C)</t>
        </is>
      </c>
      <c r="E1213" s="11">
        <f t="array" ref="E1213">_xlfn.XLOOKUP(D1213,Insumos!B:B,Insumos!C:$C)</f>
        <v/>
      </c>
      <c r="F1213" s="2164" t="n">
        <v>0.7624</v>
      </c>
      <c r="G1213" s="92">
        <f t="array" ref="G1213">IF(B1213="insumo",_xlfn.XLOOKUP($D1213,Insumos!$B$1:$B$996,Insumos!$D$1:$D$996),"")</f>
        <v/>
      </c>
      <c r="H1213" s="92" t="n">
        <v>5.359672</v>
      </c>
      <c r="I1213" s="2165" t="n">
        <v>0</v>
      </c>
      <c r="J1213" s="2165" t="n">
        <v>0</v>
      </c>
      <c r="K1213" s="2165" t="n"/>
    </row>
    <row r="1214" outlineLevel="3" ht="12.75" customHeight="1">
      <c r="A1214" s="82" t="n">
        <v>26</v>
      </c>
      <c r="B1214" s="82" t="inlineStr">
        <is>
          <t>Insumo</t>
        </is>
      </c>
      <c r="C1214" s="82" t="inlineStr">
        <is>
          <t>Parede Com Sistema Em Chapas De Gesso Para Drywall, Uso Interno, Montante 48mm, Com Uma Face Resistente a Umidade (RU/48)</t>
        </is>
      </c>
      <c r="D1214" s="82" t="inlineStr">
        <is>
          <t>PERFIL MONTANTE, FORMATO C, EM ACO ZINCADO, PARA ESTRUTURA PAREDE DRYWALL, E = 0,5 MM, 48 X 3000 MM (L X C)</t>
        </is>
      </c>
      <c r="E1214" s="11">
        <f t="array" ref="E1214">_xlfn.XLOOKUP(D1214,Insumos!B:B,Insumos!C:$C)</f>
        <v/>
      </c>
      <c r="F1214" s="2164" t="n">
        <v>2.0006</v>
      </c>
      <c r="G1214" s="92">
        <f t="array" ref="G1214">IF(B1214="insumo",_xlfn.XLOOKUP($D1214,Insumos!$B$1:$B$996,Insumos!$D$1:$D$996),"")</f>
        <v/>
      </c>
      <c r="H1214" s="92" t="n">
        <v>15.964788</v>
      </c>
      <c r="I1214" s="2165" t="n">
        <v>0</v>
      </c>
      <c r="J1214" s="2165" t="n">
        <v>0</v>
      </c>
      <c r="K1214" s="2165" t="n"/>
    </row>
    <row r="1215" outlineLevel="3" ht="12.75" customHeight="1">
      <c r="A1215" s="82" t="n">
        <v>95</v>
      </c>
      <c r="B1215" s="82" t="inlineStr">
        <is>
          <t>Insumo</t>
        </is>
      </c>
      <c r="C1215" s="82" t="inlineStr">
        <is>
          <t>Parede Com Sistema Em Chapas De Gesso Para Drywall, Uso Interno, Montante 48mm, Com Uma Face Resistente a Umidade (RU/48)</t>
        </is>
      </c>
      <c r="D1215" s="82" t="inlineStr">
        <is>
          <t>MASSA DE REJUNTE EM PO PARA DRYWALL, A BASE DE GESSO, SECAGEM RAPIDA, PARA TRATAMENTO DE JUNTAS DE CHAPA DE GESSO (NECESSITA ADICAO DE AGUA)</t>
        </is>
      </c>
      <c r="E1215" s="11">
        <f t="array" ref="E1215">_xlfn.XLOOKUP(D1215,Insumos!B:B,Insumos!C:$C)</f>
        <v/>
      </c>
      <c r="F1215" s="2164" t="n">
        <v>0.5489000000000001</v>
      </c>
      <c r="G1215" s="92">
        <f t="array" ref="G1215">IF(B1215="insumo",_xlfn.XLOOKUP($D1215,Insumos!$B$1:$B$996,Insumos!$D$1:$D$996),"")</f>
        <v/>
      </c>
      <c r="H1215" s="92" t="n">
        <v>1.882727</v>
      </c>
      <c r="I1215" s="2165" t="n">
        <v>0</v>
      </c>
      <c r="J1215" s="2165" t="n">
        <v>0</v>
      </c>
      <c r="K1215" s="2165" t="n"/>
    </row>
    <row r="1216" outlineLevel="3" ht="12.75" customHeight="1">
      <c r="A1216" s="82" t="n">
        <v>94</v>
      </c>
      <c r="B1216" s="82" t="inlineStr">
        <is>
          <t>Insumo</t>
        </is>
      </c>
      <c r="C1216" s="82" t="inlineStr">
        <is>
          <t>Parede Com Sistema Em Chapas De Gesso Para Drywall, Uso Interno, Montante 48mm, Com Uma Face Resistente a Umidade (RU/48)</t>
        </is>
      </c>
      <c r="D1216" s="82" t="inlineStr">
        <is>
          <t>FITA DE PAPEL MICROPERFURADO, 50 X 150 MM, PARA TRATAMENTO DE JUNTAS DE CHAPA DE GESSO PARA DRYWALL</t>
        </is>
      </c>
      <c r="E1216" s="11">
        <f t="array" ref="E1216">_xlfn.XLOOKUP(D1216,Insumos!B:B,Insumos!C:$C)</f>
        <v/>
      </c>
      <c r="F1216" s="2164" t="n">
        <v>1.2513</v>
      </c>
      <c r="G1216" s="92">
        <f t="array" ref="G1216">IF(B1216="insumo",_xlfn.XLOOKUP($D1216,Insumos!$B$1:$B$996,Insumos!$D$1:$D$996),"")</f>
        <v/>
      </c>
      <c r="H1216" s="92" t="n">
        <v>0.387903</v>
      </c>
      <c r="I1216" s="2165" t="n">
        <v>0</v>
      </c>
      <c r="J1216" s="2165" t="n">
        <v>0</v>
      </c>
      <c r="K1216" s="2165" t="n"/>
    </row>
    <row r="1217" outlineLevel="3" ht="12.75" customHeight="1">
      <c r="A1217" s="82" t="n">
        <v>94</v>
      </c>
      <c r="B1217" s="82" t="inlineStr">
        <is>
          <t>Insumo</t>
        </is>
      </c>
      <c r="C1217" s="82" t="inlineStr">
        <is>
          <t>Parede Com Sistema Em Chapas De Gesso Para Drywall, Uso Interno, Montante 48mm, Com Uma Face Resistente a Umidade (RU/48)</t>
        </is>
      </c>
      <c r="D1217" s="82" t="inlineStr">
        <is>
          <t>FITA DE PAPEL REFORCADA COM LAMINA DE METAL PARA REFORCO DE CANTOS DE CHAPA DE GESSO PARA DRYWALL</t>
        </is>
      </c>
      <c r="E1217" s="11">
        <f t="array" ref="E1217">_xlfn.XLOOKUP(D1217,Insumos!B:B,Insumos!C:$C)</f>
        <v/>
      </c>
      <c r="F1217" s="2164" t="n">
        <v>0.7407</v>
      </c>
      <c r="G1217" s="92">
        <f t="array" ref="G1217">IF(B1217="insumo",_xlfn.XLOOKUP($D1217,Insumos!$B$1:$B$996,Insumos!$D$1:$D$996),"")</f>
        <v/>
      </c>
      <c r="H1217" s="92" t="n">
        <v>2.029518</v>
      </c>
      <c r="I1217" s="2165" t="n">
        <v>0</v>
      </c>
      <c r="J1217" s="2165" t="n">
        <v>0</v>
      </c>
      <c r="K1217" s="2165" t="n"/>
    </row>
    <row r="1218" outlineLevel="3" ht="12.75" customHeight="1">
      <c r="A1218" s="82" t="n">
        <v>97</v>
      </c>
      <c r="B1218" s="82" t="inlineStr">
        <is>
          <t>Insumo</t>
        </is>
      </c>
      <c r="C1218" s="82" t="inlineStr">
        <is>
          <t>Parede Com Sistema Em Chapas De Gesso Para Drywall, Uso Interno, Montante 48mm, Com Uma Face Resistente a Umidade (RU/48)</t>
        </is>
      </c>
      <c r="D1218" s="82" t="inlineStr">
        <is>
          <t>PARAFUSO DRY WALL, EM ACO FOSFATIZADO, CABECA TROMBETA E PONTA AGULHA (TA), COMPRIMENTO 25 MM</t>
        </is>
      </c>
      <c r="E1218" s="11">
        <f t="array" ref="E1218">_xlfn.XLOOKUP(D1218,Insumos!B:B,Insumos!C:$C)</f>
        <v/>
      </c>
      <c r="F1218" s="2164" t="n">
        <v>10.0934</v>
      </c>
      <c r="G1218" s="92">
        <f t="array" ref="G1218">IF(B1218="insumo",_xlfn.XLOOKUP($D1218,Insumos!$B$1:$B$996,Insumos!$D$1:$D$996),"")</f>
        <v/>
      </c>
      <c r="H1218" s="92" t="n">
        <v>0.908406</v>
      </c>
      <c r="I1218" s="2165" t="n">
        <v>0</v>
      </c>
      <c r="J1218" s="2165" t="n">
        <v>0</v>
      </c>
      <c r="K1218" s="2165" t="n"/>
    </row>
    <row r="1219" outlineLevel="3" ht="12.75" customHeight="1">
      <c r="A1219" s="82" t="n">
        <v>95</v>
      </c>
      <c r="B1219" s="82" t="inlineStr">
        <is>
          <t>Insumo</t>
        </is>
      </c>
      <c r="C1219" s="82" t="inlineStr">
        <is>
          <t>Parede Com Sistema Em Chapas De Gesso Para Drywall, Uso Interno, Montante 48mm, Com Uma Face Resistente a Umidade (RU/48)</t>
        </is>
      </c>
      <c r="D1219" s="82" t="inlineStr">
        <is>
          <t>PARAFUSO DRY WALL, EM ACO ZINCADO, CABECA LENTILHA E PONTA BROCA (LB), LARGURA 4,2 MM, COMPRIMENTO 13 MM</t>
        </is>
      </c>
      <c r="E1219" s="11">
        <f t="array" ref="E1219">_xlfn.XLOOKUP(D1219,Insumos!B:B,Insumos!C:$C)</f>
        <v/>
      </c>
      <c r="F1219" s="2164" t="n">
        <v>0.4803</v>
      </c>
      <c r="G1219" s="92">
        <f t="array" ref="G1219">IF(B1219="insumo",_xlfn.XLOOKUP($D1219,Insumos!$B$1:$B$996,Insumos!$D$1:$D$996),"")</f>
        <v/>
      </c>
      <c r="H1219" s="92" t="n">
        <v>0.09606000000000001</v>
      </c>
      <c r="I1219" s="2165" t="n">
        <v>0</v>
      </c>
      <c r="J1219" s="2165" t="n">
        <v>0</v>
      </c>
      <c r="K1219" s="2165" t="n"/>
    </row>
    <row r="1220" outlineLevel="2" ht="12.75" customHeight="1">
      <c r="A1220" s="1071" t="n">
        <v>1</v>
      </c>
      <c r="B1220" s="1071" t="inlineStr">
        <is>
          <t>Serviço</t>
        </is>
      </c>
      <c r="C1220" s="1071" t="inlineStr">
        <is>
          <t>Parede Com Sistema Em Chapas De Gesso Para Drywall, Uso Interno, Montante 48mm, Com Duas Face Simples Standart(ST/48/ST)</t>
        </is>
      </c>
      <c r="D1220" s="1071" t="inlineStr">
        <is>
          <t>Parede Com Sistema Em Chapas De Gesso Para Drywall, Uso Interno, Montante 48mm, Com Duas Face Simples Standart(ST/48/ST)</t>
        </is>
      </c>
      <c r="E1220" s="1072" t="inlineStr">
        <is>
          <t>M2</t>
        </is>
      </c>
      <c r="F1220" s="1071" t="n"/>
      <c r="G1220" s="1073">
        <f t="array" ref="G1220">IF(B1220="insumo",_xlfn.XLOOKUP($D1220,Insumos!$B$1:$B$996,Insumos!$D$1:$D$996),"")</f>
        <v/>
      </c>
      <c r="H1220" s="1073" t="n">
        <v>168.113355</v>
      </c>
      <c r="I1220" s="2163" t="n">
        <v>0</v>
      </c>
      <c r="J1220" s="2163" t="n">
        <v>0</v>
      </c>
      <c r="K1220" s="2163" t="n"/>
    </row>
    <row r="1221" outlineLevel="3" ht="12.75" customHeight="1">
      <c r="A1221" s="82" t="n">
        <v>86</v>
      </c>
      <c r="B1221" s="82" t="inlineStr">
        <is>
          <t>Insumo</t>
        </is>
      </c>
      <c r="C1221" s="82" t="inlineStr">
        <is>
          <t>Parede Com Sistema Em Chapas De Gesso Para Drywall, Uso Interno, Montante 48mm, Com Duas Face Simples Standart(ST/48/ST)</t>
        </is>
      </c>
      <c r="D1221" s="82" t="inlineStr">
        <is>
          <t>SERVICO - CONFECCAO SHAFT GESSO</t>
        </is>
      </c>
      <c r="E1221" s="11">
        <f t="array" ref="E1221">_xlfn.XLOOKUP(D1221,Insumos!B:B,Insumos!C:$C)</f>
        <v/>
      </c>
      <c r="F1221" s="2164" t="n">
        <v>1</v>
      </c>
      <c r="G1221" s="92">
        <f t="array" ref="G1221">IF(B1221="insumo",_xlfn.XLOOKUP($D1221,Insumos!$B$1:$B$996,Insumos!$D$1:$D$996),"")</f>
        <v/>
      </c>
      <c r="H1221" s="92" t="n">
        <v>70</v>
      </c>
      <c r="I1221" s="2165" t="n">
        <v>0</v>
      </c>
      <c r="J1221" s="2165" t="n">
        <v>0</v>
      </c>
      <c r="K1221" s="2165" t="n"/>
    </row>
    <row r="1222" outlineLevel="3" ht="12.75" customHeight="1">
      <c r="A1222" s="82" t="n">
        <v>47</v>
      </c>
      <c r="B1222" s="82" t="inlineStr">
        <is>
          <t>Insumo</t>
        </is>
      </c>
      <c r="C1222" s="82" t="inlineStr">
        <is>
          <t>Parede Com Sistema Em Chapas De Gesso Para Drywall, Uso Interno, Montante 48mm, Com Duas Face Simples Standart(ST/48/ST)</t>
        </is>
      </c>
      <c r="D1222" s="82" t="inlineStr">
        <is>
          <t>PLACA / CHAPA DE GESSO ACARTONADO, STANDARD (ST), COR BRANCA, E = 12,5 MM, 1200 X 2400 MM (L X C)</t>
        </is>
      </c>
      <c r="E1222" s="11">
        <f t="array" ref="E1222">_xlfn.XLOOKUP(D1222,Insumos!B:B,Insumos!C:$C)</f>
        <v/>
      </c>
      <c r="F1222" s="2164" t="n">
        <v>2.106</v>
      </c>
      <c r="G1222" s="92">
        <f t="array" ref="G1222">IF(B1222="insumo",_xlfn.XLOOKUP($D1222,Insumos!$B$1:$B$996,Insumos!$D$1:$D$996),"")</f>
        <v/>
      </c>
      <c r="H1222" s="92" t="n">
        <v>42.45696</v>
      </c>
      <c r="I1222" s="2165" t="n">
        <v>0</v>
      </c>
      <c r="J1222" s="2165" t="n">
        <v>0</v>
      </c>
      <c r="K1222" s="2165" t="n"/>
    </row>
    <row r="1223" outlineLevel="3" ht="12.75" customHeight="1">
      <c r="A1223" s="82" t="n">
        <v>95</v>
      </c>
      <c r="B1223" s="82" t="inlineStr">
        <is>
          <t>Insumo</t>
        </is>
      </c>
      <c r="C1223" s="82" t="inlineStr">
        <is>
          <t>Parede Com Sistema Em Chapas De Gesso Para Drywall, Uso Interno, Montante 48mm, Com Duas Face Simples Standart(ST/48/ST)</t>
        </is>
      </c>
      <c r="D1223" s="82" t="inlineStr">
        <is>
          <t>PINO DE ACO COM ARRUELA CONICA, DIAMETRO ARRUELA = *23* MM E COMP HASTE = *27* MM (ACAO INDIRETA)</t>
        </is>
      </c>
      <c r="E1223" s="11">
        <f t="array" ref="E1223">_xlfn.XLOOKUP(D1223,Insumos!B:B,Insumos!C:$C)</f>
        <v/>
      </c>
      <c r="F1223" s="2164" t="n">
        <v>4.95</v>
      </c>
      <c r="G1223" s="92">
        <f t="array" ref="G1223">IF(B1223="insumo",_xlfn.XLOOKUP($D1223,Insumos!$B$1:$B$996,Insumos!$D$1:$D$996),"")</f>
        <v/>
      </c>
      <c r="H1223" s="92" t="n">
        <v>2.4948</v>
      </c>
      <c r="I1223" s="2165" t="n">
        <v>0</v>
      </c>
      <c r="J1223" s="2165" t="n">
        <v>0</v>
      </c>
      <c r="K1223" s="2165" t="n"/>
    </row>
    <row r="1224" outlineLevel="3" ht="12.75" customHeight="1">
      <c r="A1224" s="82" t="n">
        <v>26</v>
      </c>
      <c r="B1224" s="82" t="inlineStr">
        <is>
          <t>Insumo</t>
        </is>
      </c>
      <c r="C1224" s="82" t="inlineStr">
        <is>
          <t>Parede Com Sistema Em Chapas De Gesso Para Drywall, Uso Interno, Montante 48mm, Com Duas Face Simples Standart(ST/48/ST)</t>
        </is>
      </c>
      <c r="D1224" s="82" t="inlineStr">
        <is>
          <t>PERFIL GUIA, FORMATO U, EM ACO ZINCADO, PARA ESTRUTURA PAREDE DRYWALL, E = 0,5 MM, 48 X 3000 MM (L X C)</t>
        </is>
      </c>
      <c r="E1224" s="11">
        <f t="array" ref="E1224">_xlfn.XLOOKUP(D1224,Insumos!B:B,Insumos!C:$C)</f>
        <v/>
      </c>
      <c r="F1224" s="2164" t="n">
        <v>1.5248</v>
      </c>
      <c r="G1224" s="92">
        <f t="array" ref="G1224">IF(B1224="insumo",_xlfn.XLOOKUP($D1224,Insumos!$B$1:$B$996,Insumos!$D$1:$D$996),"")</f>
        <v/>
      </c>
      <c r="H1224" s="92" t="n">
        <v>10.719344</v>
      </c>
      <c r="I1224" s="2165" t="n">
        <v>0</v>
      </c>
      <c r="J1224" s="2165" t="n">
        <v>0</v>
      </c>
      <c r="K1224" s="2165" t="n"/>
    </row>
    <row r="1225" outlineLevel="3" ht="12.75" customHeight="1">
      <c r="A1225" s="82" t="n">
        <v>26</v>
      </c>
      <c r="B1225" s="82" t="inlineStr">
        <is>
          <t>Insumo</t>
        </is>
      </c>
      <c r="C1225" s="82" t="inlineStr">
        <is>
          <t>Parede Com Sistema Em Chapas De Gesso Para Drywall, Uso Interno, Montante 48mm, Com Duas Face Simples Standart(ST/48/ST)</t>
        </is>
      </c>
      <c r="D1225" s="82" t="inlineStr">
        <is>
          <t>PERFIL MONTANTE, FORMATO C, EM ACO ZINCADO, PARA ESTRUTURA PAREDE DRYWALL, E = 0,5 MM, 48 X 3000 MM (L X C)</t>
        </is>
      </c>
      <c r="E1225" s="11">
        <f t="array" ref="E1225">_xlfn.XLOOKUP(D1225,Insumos!B:B,Insumos!C:$C)</f>
        <v/>
      </c>
      <c r="F1225" s="2164" t="n">
        <v>4.0011</v>
      </c>
      <c r="G1225" s="92">
        <f t="array" ref="G1225">IF(B1225="insumo",_xlfn.XLOOKUP($D1225,Insumos!$B$1:$B$996,Insumos!$D$1:$D$996),"")</f>
        <v/>
      </c>
      <c r="H1225" s="92" t="n">
        <v>31.928778</v>
      </c>
      <c r="I1225" s="2165" t="n">
        <v>0</v>
      </c>
      <c r="J1225" s="2165" t="n">
        <v>0</v>
      </c>
      <c r="K1225" s="2165" t="n"/>
    </row>
    <row r="1226" outlineLevel="3" ht="12.75" customHeight="1">
      <c r="A1226" s="82" t="n">
        <v>95</v>
      </c>
      <c r="B1226" s="82" t="inlineStr">
        <is>
          <t>Insumo</t>
        </is>
      </c>
      <c r="C1226" s="82" t="inlineStr">
        <is>
          <t>Parede Com Sistema Em Chapas De Gesso Para Drywall, Uso Interno, Montante 48mm, Com Duas Face Simples Standart(ST/48/ST)</t>
        </is>
      </c>
      <c r="D1226" s="82" t="inlineStr">
        <is>
          <t>MASSA DE REJUNTE EM PO PARA DRYWALL, A BASE DE GESSO, SECAGEM RAPIDA, PARA TRATAMENTO DE JUNTAS DE CHAPA DE GESSO (NECESSITA ADICAO DE AGUA)</t>
        </is>
      </c>
      <c r="E1226" s="11">
        <f t="array" ref="E1226">_xlfn.XLOOKUP(D1226,Insumos!B:B,Insumos!C:$C)</f>
        <v/>
      </c>
      <c r="F1226" s="2164" t="n">
        <v>1.0978</v>
      </c>
      <c r="G1226" s="92">
        <f t="array" ref="G1226">IF(B1226="insumo",_xlfn.XLOOKUP($D1226,Insumos!$B$1:$B$996,Insumos!$D$1:$D$996),"")</f>
        <v/>
      </c>
      <c r="H1226" s="92" t="n">
        <v>3.765454</v>
      </c>
      <c r="I1226" s="2165" t="n">
        <v>0</v>
      </c>
      <c r="J1226" s="2165" t="n">
        <v>0</v>
      </c>
      <c r="K1226" s="2165" t="n"/>
    </row>
    <row r="1227" outlineLevel="3" ht="12.75" customHeight="1">
      <c r="A1227" s="82" t="n">
        <v>94</v>
      </c>
      <c r="B1227" s="82" t="inlineStr">
        <is>
          <t>Insumo</t>
        </is>
      </c>
      <c r="C1227" s="82" t="inlineStr">
        <is>
          <t>Parede Com Sistema Em Chapas De Gesso Para Drywall, Uso Interno, Montante 48mm, Com Duas Face Simples Standart(ST/48/ST)</t>
        </is>
      </c>
      <c r="D1227" s="82" t="inlineStr">
        <is>
          <t>FITA DE PAPEL MICROPERFURADO, 50 X 150 MM, PARA TRATAMENTO DE JUNTAS DE CHAPA DE GESSO PARA DRYWALL</t>
        </is>
      </c>
      <c r="E1227" s="11">
        <f t="array" ref="E1227">_xlfn.XLOOKUP(D1227,Insumos!B:B,Insumos!C:$C)</f>
        <v/>
      </c>
      <c r="F1227" s="2164" t="n">
        <v>2.5027</v>
      </c>
      <c r="G1227" s="92">
        <f t="array" ref="G1227">IF(B1227="insumo",_xlfn.XLOOKUP($D1227,Insumos!$B$1:$B$996,Insumos!$D$1:$D$996),"")</f>
        <v/>
      </c>
      <c r="H1227" s="92" t="n">
        <v>0.775837</v>
      </c>
      <c r="I1227" s="2165" t="n">
        <v>0</v>
      </c>
      <c r="J1227" s="2165" t="n">
        <v>0</v>
      </c>
      <c r="K1227" s="2165" t="n"/>
    </row>
    <row r="1228" outlineLevel="3" ht="12.75" customHeight="1">
      <c r="A1228" s="82" t="n">
        <v>94</v>
      </c>
      <c r="B1228" s="82" t="inlineStr">
        <is>
          <t>Insumo</t>
        </is>
      </c>
      <c r="C1228" s="82" t="inlineStr">
        <is>
          <t>Parede Com Sistema Em Chapas De Gesso Para Drywall, Uso Interno, Montante 48mm, Com Duas Face Simples Standart(ST/48/ST)</t>
        </is>
      </c>
      <c r="D1228" s="82" t="inlineStr">
        <is>
          <t>FITA DE PAPEL REFORCADA COM LAMINA DE METAL PARA REFORCO DE CANTOS DE CHAPA DE GESSO PARA DRYWALL</t>
        </is>
      </c>
      <c r="E1228" s="11">
        <f t="array" ref="E1228">_xlfn.XLOOKUP(D1228,Insumos!B:B,Insumos!C:$C)</f>
        <v/>
      </c>
      <c r="F1228" s="2164" t="n">
        <v>1.4815</v>
      </c>
      <c r="G1228" s="92">
        <f t="array" ref="G1228">IF(B1228="insumo",_xlfn.XLOOKUP($D1228,Insumos!$B$1:$B$996,Insumos!$D$1:$D$996),"")</f>
        <v/>
      </c>
      <c r="H1228" s="92" t="n">
        <v>4.05931</v>
      </c>
      <c r="I1228" s="2165" t="n">
        <v>0</v>
      </c>
      <c r="J1228" s="2165" t="n">
        <v>0</v>
      </c>
      <c r="K1228" s="2165" t="n"/>
    </row>
    <row r="1229" outlineLevel="3" ht="12.75" customHeight="1">
      <c r="A1229" s="82" t="n">
        <v>97</v>
      </c>
      <c r="B1229" s="82" t="inlineStr">
        <is>
          <t>Insumo</t>
        </is>
      </c>
      <c r="C1229" s="82" t="inlineStr">
        <is>
          <t>Parede Com Sistema Em Chapas De Gesso Para Drywall, Uso Interno, Montante 48mm, Com Duas Face Simples Standart(ST/48/ST)</t>
        </is>
      </c>
      <c r="D1229" s="82" t="inlineStr">
        <is>
          <t>PARAFUSO DRY WALL, EM ACO FOSFATIZADO, CABECA TROMBETA E PONTA AGULHA (TA), COMPRIMENTO 25 MM</t>
        </is>
      </c>
      <c r="E1229" s="11">
        <f t="array" ref="E1229">_xlfn.XLOOKUP(D1229,Insumos!B:B,Insumos!C:$C)</f>
        <v/>
      </c>
      <c r="F1229" s="2164" t="n">
        <v>20.1868</v>
      </c>
      <c r="G1229" s="92">
        <f t="array" ref="G1229">IF(B1229="insumo",_xlfn.XLOOKUP($D1229,Insumos!$B$1:$B$996,Insumos!$D$1:$D$996),"")</f>
        <v/>
      </c>
      <c r="H1229" s="92" t="n">
        <v>1.816812</v>
      </c>
      <c r="I1229" s="2165" t="n">
        <v>0</v>
      </c>
      <c r="J1229" s="2165" t="n">
        <v>0</v>
      </c>
      <c r="K1229" s="2165" t="n"/>
    </row>
    <row r="1230" outlineLevel="3" ht="12.75" customHeight="1">
      <c r="A1230" s="82" t="n">
        <v>95</v>
      </c>
      <c r="B1230" s="82" t="inlineStr">
        <is>
          <t>Insumo</t>
        </is>
      </c>
      <c r="C1230" s="82" t="inlineStr">
        <is>
          <t>Parede Com Sistema Em Chapas De Gesso Para Drywall, Uso Interno, Montante 48mm, Com Duas Face Simples Standart(ST/48/ST)</t>
        </is>
      </c>
      <c r="D1230" s="82" t="inlineStr">
        <is>
          <t>PARAFUSO DRY WALL, EM ACO ZINCADO, CABECA LENTILHA E PONTA BROCA (LB), LARGURA 4,2 MM, COMPRIMENTO 13 MM</t>
        </is>
      </c>
      <c r="E1230" s="11">
        <f t="array" ref="E1230">_xlfn.XLOOKUP(D1230,Insumos!B:B,Insumos!C:$C)</f>
        <v/>
      </c>
      <c r="F1230" s="2164" t="n">
        <v>0.4803</v>
      </c>
      <c r="G1230" s="92">
        <f t="array" ref="G1230">IF(B1230="insumo",_xlfn.XLOOKUP($D1230,Insumos!$B$1:$B$996,Insumos!$D$1:$D$996),"")</f>
        <v/>
      </c>
      <c r="H1230" s="92" t="n">
        <v>0.09606000000000001</v>
      </c>
      <c r="I1230" s="2165" t="n">
        <v>0</v>
      </c>
      <c r="J1230" s="2165" t="n">
        <v>0</v>
      </c>
      <c r="K1230" s="2165" t="n"/>
    </row>
    <row r="1231" outlineLevel="2" ht="12.75" customHeight="1">
      <c r="A1231" s="1071" t="n">
        <v>1</v>
      </c>
      <c r="B1231" s="1071" t="inlineStr">
        <is>
          <t>Serviço</t>
        </is>
      </c>
      <c r="C1231" s="1071" t="inlineStr">
        <is>
          <t>Parede Com Sistema Em Chapas De Gesso Para Drywall, Uso Interno, Montante 48mm, Com Duas Face Resistente a Umidade(RU/48/RU)</t>
        </is>
      </c>
      <c r="D1231" s="1071" t="inlineStr">
        <is>
          <t>Parede Com Sistema Em Chapas De Gesso Para Drywall, Uso Interno, Montante 48mm, Com Duas Face Resistente a Umidade(RU/48/RU)</t>
        </is>
      </c>
      <c r="E1231" s="1072" t="inlineStr">
        <is>
          <t>M2</t>
        </is>
      </c>
      <c r="F1231" s="1071" t="n"/>
      <c r="G1231" s="1073">
        <f t="array" ref="G1231">IF(B1231="insumo",_xlfn.XLOOKUP($D1231,Insumos!$B$1:$B$996,Insumos!$D$1:$D$996),"")</f>
        <v/>
      </c>
      <c r="H1231" s="1073" t="n">
        <v>182.728995</v>
      </c>
      <c r="I1231" s="2163" t="n">
        <v>0</v>
      </c>
      <c r="J1231" s="2163" t="n">
        <v>0</v>
      </c>
      <c r="K1231" s="2163" t="n"/>
    </row>
    <row r="1232" outlineLevel="3" ht="12.75" customHeight="1">
      <c r="A1232" s="82" t="n">
        <v>86</v>
      </c>
      <c r="B1232" s="82" t="inlineStr">
        <is>
          <t>Insumo</t>
        </is>
      </c>
      <c r="C1232" s="82" t="inlineStr">
        <is>
          <t>Parede Com Sistema Em Chapas De Gesso Para Drywall, Uso Interno, Montante 48mm, Com Duas Face Resistente a Umidade(RU/48/RU)</t>
        </is>
      </c>
      <c r="D1232" s="82" t="inlineStr">
        <is>
          <t>SERVICO - CONFECCAO SHAFT GESSO</t>
        </is>
      </c>
      <c r="E1232" s="11">
        <f t="array" ref="E1232">_xlfn.XLOOKUP(D1232,Insumos!B:B,Insumos!C:$C)</f>
        <v/>
      </c>
      <c r="F1232" s="2164" t="n">
        <v>1</v>
      </c>
      <c r="G1232" s="92">
        <f t="array" ref="G1232">IF(B1232="insumo",_xlfn.XLOOKUP($D1232,Insumos!$B$1:$B$996,Insumos!$D$1:$D$996),"")</f>
        <v/>
      </c>
      <c r="H1232" s="92" t="n">
        <v>70</v>
      </c>
      <c r="I1232" s="2165" t="n">
        <v>0</v>
      </c>
      <c r="J1232" s="2165" t="n">
        <v>0</v>
      </c>
      <c r="K1232" s="2165" t="n"/>
    </row>
    <row r="1233" outlineLevel="3" ht="12.75" customHeight="1">
      <c r="A1233" s="82" t="n">
        <v>49</v>
      </c>
      <c r="B1233" s="82" t="inlineStr">
        <is>
          <t>Insumo</t>
        </is>
      </c>
      <c r="C1233" s="82" t="inlineStr">
        <is>
          <t>Parede Com Sistema Em Chapas De Gesso Para Drywall, Uso Interno, Montante 48mm, Com Duas Face Resistente a Umidade(RU/48/RU)</t>
        </is>
      </c>
      <c r="D1233" s="82" t="inlineStr">
        <is>
          <t>PLACA / CHAPA DE GESSO ACARTONADO, RESISTENTE A UMIDADE (RU), COR VERDE, E = 12,5 MM, 1200 X 2400 MM (L X C)</t>
        </is>
      </c>
      <c r="E1233" s="11">
        <f t="array" ref="E1233">_xlfn.XLOOKUP(D1233,Insumos!B:B,Insumos!C:$C)</f>
        <v/>
      </c>
      <c r="F1233" s="2164" t="n">
        <v>2.106</v>
      </c>
      <c r="G1233" s="92">
        <f t="array" ref="G1233">IF(B1233="insumo",_xlfn.XLOOKUP($D1233,Insumos!$B$1:$B$996,Insumos!$D$1:$D$996),"")</f>
        <v/>
      </c>
      <c r="H1233" s="92" t="n">
        <v>57.0726</v>
      </c>
      <c r="I1233" s="2165" t="n">
        <v>0</v>
      </c>
      <c r="J1233" s="2165" t="n">
        <v>0</v>
      </c>
      <c r="K1233" s="2165" t="n"/>
    </row>
    <row r="1234" outlineLevel="3" ht="12.75" customHeight="1">
      <c r="A1234" s="82" t="n">
        <v>95</v>
      </c>
      <c r="B1234" s="82" t="inlineStr">
        <is>
          <t>Insumo</t>
        </is>
      </c>
      <c r="C1234" s="82" t="inlineStr">
        <is>
          <t>Parede Com Sistema Em Chapas De Gesso Para Drywall, Uso Interno, Montante 48mm, Com Duas Face Resistente a Umidade(RU/48/RU)</t>
        </is>
      </c>
      <c r="D1234" s="82" t="inlineStr">
        <is>
          <t>PINO DE ACO COM ARRUELA CONICA, DIAMETRO ARRUELA = *23* MM E COMP HASTE = *27* MM (ACAO INDIRETA)</t>
        </is>
      </c>
      <c r="E1234" s="11">
        <f t="array" ref="E1234">_xlfn.XLOOKUP(D1234,Insumos!B:B,Insumos!C:$C)</f>
        <v/>
      </c>
      <c r="F1234" s="2164" t="n">
        <v>4.95</v>
      </c>
      <c r="G1234" s="92">
        <f t="array" ref="G1234">IF(B1234="insumo",_xlfn.XLOOKUP($D1234,Insumos!$B$1:$B$996,Insumos!$D$1:$D$996),"")</f>
        <v/>
      </c>
      <c r="H1234" s="92" t="n">
        <v>2.4948</v>
      </c>
      <c r="I1234" s="2165" t="n">
        <v>0</v>
      </c>
      <c r="J1234" s="2165" t="n">
        <v>0</v>
      </c>
      <c r="K1234" s="2165" t="n"/>
    </row>
    <row r="1235" outlineLevel="3" ht="12.75" customHeight="1">
      <c r="A1235" s="82" t="n">
        <v>26</v>
      </c>
      <c r="B1235" s="82" t="inlineStr">
        <is>
          <t>Insumo</t>
        </is>
      </c>
      <c r="C1235" s="82" t="inlineStr">
        <is>
          <t>Parede Com Sistema Em Chapas De Gesso Para Drywall, Uso Interno, Montante 48mm, Com Duas Face Resistente a Umidade(RU/48/RU)</t>
        </is>
      </c>
      <c r="D1235" s="82" t="inlineStr">
        <is>
          <t>PERFIL GUIA, FORMATO U, EM ACO ZINCADO, PARA ESTRUTURA PAREDE DRYWALL, E = 0,5 MM, 48 X 3000 MM (L X C)</t>
        </is>
      </c>
      <c r="E1235" s="11">
        <f t="array" ref="E1235">_xlfn.XLOOKUP(D1235,Insumos!B:B,Insumos!C:$C)</f>
        <v/>
      </c>
      <c r="F1235" s="2164" t="n">
        <v>1.5248</v>
      </c>
      <c r="G1235" s="92">
        <f t="array" ref="G1235">IF(B1235="insumo",_xlfn.XLOOKUP($D1235,Insumos!$B$1:$B$996,Insumos!$D$1:$D$996),"")</f>
        <v/>
      </c>
      <c r="H1235" s="92" t="n">
        <v>10.719344</v>
      </c>
      <c r="I1235" s="2165" t="n">
        <v>0</v>
      </c>
      <c r="J1235" s="2165" t="n">
        <v>0</v>
      </c>
      <c r="K1235" s="2165" t="n"/>
    </row>
    <row r="1236" outlineLevel="3" ht="12.75" customHeight="1">
      <c r="A1236" s="82" t="n">
        <v>26</v>
      </c>
      <c r="B1236" s="82" t="inlineStr">
        <is>
          <t>Insumo</t>
        </is>
      </c>
      <c r="C1236" s="82" t="inlineStr">
        <is>
          <t>Parede Com Sistema Em Chapas De Gesso Para Drywall, Uso Interno, Montante 48mm, Com Duas Face Resistente a Umidade(RU/48/RU)</t>
        </is>
      </c>
      <c r="D1236" s="82" t="inlineStr">
        <is>
          <t>PERFIL MONTANTE, FORMATO C, EM ACO ZINCADO, PARA ESTRUTURA PAREDE DRYWALL, E = 0,5 MM, 48 X 3000 MM (L X C)</t>
        </is>
      </c>
      <c r="E1236" s="11">
        <f t="array" ref="E1236">_xlfn.XLOOKUP(D1236,Insumos!B:B,Insumos!C:$C)</f>
        <v/>
      </c>
      <c r="F1236" s="2164" t="n">
        <v>4.0011</v>
      </c>
      <c r="G1236" s="92">
        <f t="array" ref="G1236">IF(B1236="insumo",_xlfn.XLOOKUP($D1236,Insumos!$B$1:$B$996,Insumos!$D$1:$D$996),"")</f>
        <v/>
      </c>
      <c r="H1236" s="92" t="n">
        <v>31.928778</v>
      </c>
      <c r="I1236" s="2165" t="n">
        <v>0</v>
      </c>
      <c r="J1236" s="2165" t="n">
        <v>0</v>
      </c>
      <c r="K1236" s="2165" t="n"/>
    </row>
    <row r="1237" outlineLevel="3" ht="12.75" customHeight="1">
      <c r="A1237" s="82" t="n">
        <v>95</v>
      </c>
      <c r="B1237" s="82" t="inlineStr">
        <is>
          <t>Insumo</t>
        </is>
      </c>
      <c r="C1237" s="82" t="inlineStr">
        <is>
          <t>Parede Com Sistema Em Chapas De Gesso Para Drywall, Uso Interno, Montante 48mm, Com Duas Face Resistente a Umidade(RU/48/RU)</t>
        </is>
      </c>
      <c r="D1237" s="82" t="inlineStr">
        <is>
          <t>MASSA DE REJUNTE EM PO PARA DRYWALL, A BASE DE GESSO, SECAGEM RAPIDA, PARA TRATAMENTO DE JUNTAS DE CHAPA DE GESSO (NECESSITA ADICAO DE AGUA)</t>
        </is>
      </c>
      <c r="E1237" s="11">
        <f t="array" ref="E1237">_xlfn.XLOOKUP(D1237,Insumos!B:B,Insumos!C:$C)</f>
        <v/>
      </c>
      <c r="F1237" s="2164" t="n">
        <v>1.0978</v>
      </c>
      <c r="G1237" s="92">
        <f t="array" ref="G1237">IF(B1237="insumo",_xlfn.XLOOKUP($D1237,Insumos!$B$1:$B$996,Insumos!$D$1:$D$996),"")</f>
        <v/>
      </c>
      <c r="H1237" s="92" t="n">
        <v>3.765454</v>
      </c>
      <c r="I1237" s="2165" t="n">
        <v>0</v>
      </c>
      <c r="J1237" s="2165" t="n">
        <v>0</v>
      </c>
      <c r="K1237" s="2165" t="n"/>
    </row>
    <row r="1238" outlineLevel="3" ht="12.75" customHeight="1">
      <c r="A1238" s="82" t="n">
        <v>94</v>
      </c>
      <c r="B1238" s="82" t="inlineStr">
        <is>
          <t>Insumo</t>
        </is>
      </c>
      <c r="C1238" s="82" t="inlineStr">
        <is>
          <t>Parede Com Sistema Em Chapas De Gesso Para Drywall, Uso Interno, Montante 48mm, Com Duas Face Resistente a Umidade(RU/48/RU)</t>
        </is>
      </c>
      <c r="D1238" s="82" t="inlineStr">
        <is>
          <t>FITA DE PAPEL MICROPERFURADO, 50 X 150 MM, PARA TRATAMENTO DE JUNTAS DE CHAPA DE GESSO PARA DRYWALL</t>
        </is>
      </c>
      <c r="E1238" s="11">
        <f t="array" ref="E1238">_xlfn.XLOOKUP(D1238,Insumos!B:B,Insumos!C:$C)</f>
        <v/>
      </c>
      <c r="F1238" s="2164" t="n">
        <v>2.5027</v>
      </c>
      <c r="G1238" s="92">
        <f t="array" ref="G1238">IF(B1238="insumo",_xlfn.XLOOKUP($D1238,Insumos!$B$1:$B$996,Insumos!$D$1:$D$996),"")</f>
        <v/>
      </c>
      <c r="H1238" s="92" t="n">
        <v>0.775837</v>
      </c>
      <c r="I1238" s="2165" t="n">
        <v>0</v>
      </c>
      <c r="J1238" s="2165" t="n">
        <v>0</v>
      </c>
      <c r="K1238" s="2165" t="n"/>
    </row>
    <row r="1239" outlineLevel="3" ht="12.75" customHeight="1">
      <c r="A1239" s="82" t="n">
        <v>94</v>
      </c>
      <c r="B1239" s="82" t="inlineStr">
        <is>
          <t>Insumo</t>
        </is>
      </c>
      <c r="C1239" s="82" t="inlineStr">
        <is>
          <t>Parede Com Sistema Em Chapas De Gesso Para Drywall, Uso Interno, Montante 48mm, Com Duas Face Resistente a Umidade(RU/48/RU)</t>
        </is>
      </c>
      <c r="D1239" s="82" t="inlineStr">
        <is>
          <t>FITA DE PAPEL REFORCADA COM LAMINA DE METAL PARA REFORCO DE CANTOS DE CHAPA DE GESSO PARA DRYWALL</t>
        </is>
      </c>
      <c r="E1239" s="11">
        <f t="array" ref="E1239">_xlfn.XLOOKUP(D1239,Insumos!B:B,Insumos!C:$C)</f>
        <v/>
      </c>
      <c r="F1239" s="2164" t="n">
        <v>1.4815</v>
      </c>
      <c r="G1239" s="92">
        <f t="array" ref="G1239">IF(B1239="insumo",_xlfn.XLOOKUP($D1239,Insumos!$B$1:$B$996,Insumos!$D$1:$D$996),"")</f>
        <v/>
      </c>
      <c r="H1239" s="92" t="n">
        <v>4.05931</v>
      </c>
      <c r="I1239" s="2165" t="n">
        <v>0</v>
      </c>
      <c r="J1239" s="2165" t="n">
        <v>0</v>
      </c>
      <c r="K1239" s="2165" t="n"/>
    </row>
    <row r="1240" outlineLevel="3" ht="12.75" customHeight="1">
      <c r="A1240" s="82" t="n">
        <v>97</v>
      </c>
      <c r="B1240" s="82" t="inlineStr">
        <is>
          <t>Insumo</t>
        </is>
      </c>
      <c r="C1240" s="82" t="inlineStr">
        <is>
          <t>Parede Com Sistema Em Chapas De Gesso Para Drywall, Uso Interno, Montante 48mm, Com Duas Face Resistente a Umidade(RU/48/RU)</t>
        </is>
      </c>
      <c r="D1240" s="82" t="inlineStr">
        <is>
          <t>PARAFUSO DRY WALL, EM ACO FOSFATIZADO, CABECA TROMBETA E PONTA AGULHA (TA), COMPRIMENTO 25 MM</t>
        </is>
      </c>
      <c r="E1240" s="11">
        <f t="array" ref="E1240">_xlfn.XLOOKUP(D1240,Insumos!B:B,Insumos!C:$C)</f>
        <v/>
      </c>
      <c r="F1240" s="2164" t="n">
        <v>20.1868</v>
      </c>
      <c r="G1240" s="92">
        <f t="array" ref="G1240">IF(B1240="insumo",_xlfn.XLOOKUP($D1240,Insumos!$B$1:$B$996,Insumos!$D$1:$D$996),"")</f>
        <v/>
      </c>
      <c r="H1240" s="92" t="n">
        <v>1.816812</v>
      </c>
      <c r="I1240" s="2165" t="n">
        <v>0</v>
      </c>
      <c r="J1240" s="2165" t="n">
        <v>0</v>
      </c>
      <c r="K1240" s="2165" t="n"/>
    </row>
    <row r="1241" outlineLevel="3" ht="12.75" customHeight="1">
      <c r="A1241" s="82" t="n">
        <v>95</v>
      </c>
      <c r="B1241" s="82" t="inlineStr">
        <is>
          <t>Insumo</t>
        </is>
      </c>
      <c r="C1241" s="82" t="inlineStr">
        <is>
          <t>Parede Com Sistema Em Chapas De Gesso Para Drywall, Uso Interno, Montante 48mm, Com Duas Face Resistente a Umidade(RU/48/RU)</t>
        </is>
      </c>
      <c r="D1241" s="82" t="inlineStr">
        <is>
          <t>PARAFUSO DRY WALL, EM ACO ZINCADO, CABECA LENTILHA E PONTA BROCA (LB), LARGURA 4,2 MM, COMPRIMENTO 13 MM</t>
        </is>
      </c>
      <c r="E1241" s="11">
        <f t="array" ref="E1241">_xlfn.XLOOKUP(D1241,Insumos!B:B,Insumos!C:$C)</f>
        <v/>
      </c>
      <c r="F1241" s="2164" t="n">
        <v>0.4803</v>
      </c>
      <c r="G1241" s="92">
        <f t="array" ref="G1241">IF(B1241="insumo",_xlfn.XLOOKUP($D1241,Insumos!$B$1:$B$996,Insumos!$D$1:$D$996),"")</f>
        <v/>
      </c>
      <c r="H1241" s="92" t="n">
        <v>0.09606000000000001</v>
      </c>
      <c r="I1241" s="2165" t="n">
        <v>0</v>
      </c>
      <c r="J1241" s="2165" t="n">
        <v>0</v>
      </c>
      <c r="K1241" s="2165" t="n"/>
    </row>
    <row r="1242" outlineLevel="2" ht="12.75" customHeight="1">
      <c r="A1242" s="1071" t="n">
        <v>1</v>
      </c>
      <c r="B1242" s="1071" t="inlineStr">
        <is>
          <t>Serviço</t>
        </is>
      </c>
      <c r="C1242" s="1071" t="inlineStr">
        <is>
          <t>Parede Com Sistema Em Chapas De Gesso Para Drywall, Uso Interno, Montante 48mm, Com Uma Face Simples Standart e Uma Face Resistente a Umidade (ST/48/RU)</t>
        </is>
      </c>
      <c r="D1242" s="1071" t="inlineStr">
        <is>
          <t>Parede Com Sistema Em Chapas De Gesso Para Drywall, Uso Interno, Montante 48mm, Com Uma Face Simples Standart e Uma Face Resistente a Umidade (ST/48/RU)</t>
        </is>
      </c>
      <c r="E1242" s="1072" t="inlineStr">
        <is>
          <t>M2</t>
        </is>
      </c>
      <c r="F1242" s="1071" t="n"/>
      <c r="G1242" s="1073">
        <f t="array" ref="G1242">IF(B1242="insumo",_xlfn.XLOOKUP($D1242,Insumos!$B$1:$B$996,Insumos!$D$1:$D$996),"")</f>
        <v/>
      </c>
      <c r="H1242" s="1073" t="n">
        <v>189.532708333333</v>
      </c>
      <c r="I1242" s="2163" t="n">
        <v>0</v>
      </c>
      <c r="J1242" s="2163" t="n">
        <v>0</v>
      </c>
      <c r="K1242" s="2163" t="n"/>
    </row>
    <row r="1243" outlineLevel="3" ht="12.75" customHeight="1">
      <c r="A1243" s="82" t="n">
        <v>86</v>
      </c>
      <c r="B1243" s="82" t="inlineStr">
        <is>
          <t>Insumo</t>
        </is>
      </c>
      <c r="C1243" s="82" t="inlineStr">
        <is>
          <t>Parede Com Sistema Em Chapas De Gesso Para Drywall, Uso Interno, Montante 48mm, Com Uma Face Simples Standart e Uma Face Resistente a Umidade (ST/48/RU)</t>
        </is>
      </c>
      <c r="D1243" s="82" t="inlineStr">
        <is>
          <t>SERVICO - CONFECCAO SHAFT GESSO</t>
        </is>
      </c>
      <c r="E1243" s="11">
        <f t="array" ref="E1243">_xlfn.XLOOKUP(D1243,Insumos!B:B,Insumos!C:$C)</f>
        <v/>
      </c>
      <c r="F1243" s="2164" t="n">
        <v>1</v>
      </c>
      <c r="G1243" s="92">
        <f t="array" ref="G1243">IF(B1243="insumo",_xlfn.XLOOKUP($D1243,Insumos!$B$1:$B$996,Insumos!$D$1:$D$996),"")</f>
        <v/>
      </c>
      <c r="H1243" s="92" t="n">
        <v>70</v>
      </c>
      <c r="I1243" s="2165" t="n">
        <v>0</v>
      </c>
      <c r="J1243" s="2165" t="n">
        <v>0</v>
      </c>
      <c r="K1243" s="2165" t="n"/>
    </row>
    <row r="1244" outlineLevel="3" ht="12.75" customHeight="1">
      <c r="A1244" s="82" t="n">
        <v>47</v>
      </c>
      <c r="B1244" s="82" t="inlineStr">
        <is>
          <t>Insumo</t>
        </is>
      </c>
      <c r="C1244" s="82" t="inlineStr">
        <is>
          <t>Parede Com Sistema Em Chapas De Gesso Para Drywall, Uso Interno, Montante 48mm, Com Uma Face Simples Standart e Uma Face Resistente a Umidade (ST/48/RU)</t>
        </is>
      </c>
      <c r="D1244" s="82" t="inlineStr">
        <is>
          <t>PLACA / CHAPA DE GESSO ACARTONADO, STANDARD (ST), COR BRANCA, E = 12,5 MM, 1200 X 2400 MM (L X C)</t>
        </is>
      </c>
      <c r="E1244" s="11">
        <f t="array" ref="E1244">_xlfn.XLOOKUP(D1244,Insumos!B:B,Insumos!C:$C)</f>
        <v/>
      </c>
      <c r="F1244" s="2164" t="n">
        <v>1.053</v>
      </c>
      <c r="G1244" s="92">
        <f t="array" ref="G1244">IF(B1244="insumo",_xlfn.XLOOKUP($D1244,Insumos!$B$1:$B$996,Insumos!$D$1:$D$996),"")</f>
        <v/>
      </c>
      <c r="H1244" s="92" t="n">
        <v>21.22848</v>
      </c>
      <c r="I1244" s="2165" t="n">
        <v>0</v>
      </c>
      <c r="J1244" s="2165" t="n">
        <v>0</v>
      </c>
      <c r="K1244" s="2165" t="n"/>
    </row>
    <row r="1245" outlineLevel="3" ht="12.75" customHeight="1">
      <c r="A1245" s="82" t="n">
        <v>49</v>
      </c>
      <c r="B1245" s="82" t="inlineStr">
        <is>
          <t>Insumo</t>
        </is>
      </c>
      <c r="C1245" s="82" t="inlineStr">
        <is>
          <t>Parede Com Sistema Em Chapas De Gesso Para Drywall, Uso Interno, Montante 48mm, Com Uma Face Simples Standart e Uma Face Resistente a Umidade (ST/48/RU)</t>
        </is>
      </c>
      <c r="D1245" s="82" t="inlineStr">
        <is>
          <t>PLACA / CHAPA DE GESSO ACARTONADO, RESISTENTE A UMIDADE (RU), COR VERDE, E = 12,5 MM, 1200 X 2400 MM (L X C)</t>
        </is>
      </c>
      <c r="E1245" s="11">
        <f t="array" ref="E1245">_xlfn.XLOOKUP(D1245,Insumos!B:B,Insumos!C:$C)</f>
        <v/>
      </c>
      <c r="F1245" s="2164" t="n">
        <v>1.053</v>
      </c>
      <c r="G1245" s="92">
        <f t="array" ref="G1245">IF(B1245="insumo",_xlfn.XLOOKUP($D1245,Insumos!$B$1:$B$996,Insumos!$D$1:$D$996),"")</f>
        <v/>
      </c>
      <c r="H1245" s="92" t="n">
        <v>28.5363</v>
      </c>
      <c r="I1245" s="2165" t="n">
        <v>0</v>
      </c>
      <c r="J1245" s="2165" t="n">
        <v>0</v>
      </c>
      <c r="K1245" s="2165" t="n"/>
    </row>
    <row r="1246" outlineLevel="3" ht="12.75" customHeight="1">
      <c r="A1246" s="82" t="n">
        <v>95</v>
      </c>
      <c r="B1246" s="82" t="inlineStr">
        <is>
          <t>Insumo</t>
        </is>
      </c>
      <c r="C1246" s="82" t="inlineStr">
        <is>
          <t>Parede Com Sistema Em Chapas De Gesso Para Drywall, Uso Interno, Montante 48mm, Com Uma Face Simples Standart e Uma Face Resistente a Umidade (ST/48/RU)</t>
        </is>
      </c>
      <c r="D1246" s="82" t="inlineStr">
        <is>
          <t>PINO DE ACO COM ARRUELA CONICA, DIAMETRO ARRUELA = *23* MM E COMP HASTE = *27* MM (ACAO INDIRETA)</t>
        </is>
      </c>
      <c r="E1246" s="11">
        <f t="array" ref="E1246">_xlfn.XLOOKUP(D1246,Insumos!B:B,Insumos!C:$C)</f>
        <v/>
      </c>
      <c r="F1246" s="2164" t="n">
        <v>4.95</v>
      </c>
      <c r="G1246" s="92">
        <f t="array" ref="G1246">IF(B1246="insumo",_xlfn.XLOOKUP($D1246,Insumos!$B$1:$B$996,Insumos!$D$1:$D$996),"")</f>
        <v/>
      </c>
      <c r="H1246" s="92" t="n">
        <v>2.4948</v>
      </c>
      <c r="I1246" s="2165" t="n">
        <v>0</v>
      </c>
      <c r="J1246" s="2165" t="n">
        <v>0</v>
      </c>
      <c r="K1246" s="2165" t="n"/>
    </row>
    <row r="1247" outlineLevel="3" ht="12.75" customHeight="1">
      <c r="A1247" s="82" t="n">
        <v>26</v>
      </c>
      <c r="B1247" s="82" t="inlineStr">
        <is>
          <t>Insumo</t>
        </is>
      </c>
      <c r="C1247" s="82" t="inlineStr">
        <is>
          <t>Parede Com Sistema Em Chapas De Gesso Para Drywall, Uso Interno, Montante 48mm, Com Uma Face Simples Standart e Uma Face Resistente a Umidade (ST/48/RU)</t>
        </is>
      </c>
      <c r="D1247" s="82" t="inlineStr">
        <is>
          <t>PERFIL GUIA, FORMATO U, EM ACO ZINCADO, PARA ESTRUTURA PAREDE DRYWALL, E = 0,5 MM, 48 X 3000 MM (L X C)</t>
        </is>
      </c>
      <c r="E1247" s="11">
        <f t="array" ref="E1247">_xlfn.XLOOKUP(D1247,Insumos!B:B,Insumos!C:$C)</f>
        <v/>
      </c>
      <c r="F1247" s="2164" t="n">
        <v>1.5248</v>
      </c>
      <c r="G1247" s="92">
        <f t="array" ref="G1247">IF(B1247="insumo",_xlfn.XLOOKUP($D1247,Insumos!$B$1:$B$996,Insumos!$D$1:$D$996),"")</f>
        <v/>
      </c>
      <c r="H1247" s="92" t="n">
        <v>10.719344</v>
      </c>
      <c r="I1247" s="2165" t="n">
        <v>0</v>
      </c>
      <c r="J1247" s="2165" t="n">
        <v>0</v>
      </c>
      <c r="K1247" s="2165" t="n"/>
    </row>
    <row r="1248" outlineLevel="3" ht="12.75" customHeight="1">
      <c r="A1248" s="82" t="n">
        <v>26</v>
      </c>
      <c r="B1248" s="82" t="inlineStr">
        <is>
          <t>Insumo</t>
        </is>
      </c>
      <c r="C1248" s="82" t="inlineStr">
        <is>
          <t>Parede Com Sistema Em Chapas De Gesso Para Drywall, Uso Interno, Montante 48mm, Com Uma Face Simples Standart e Uma Face Resistente a Umidade (ST/48/RU)</t>
        </is>
      </c>
      <c r="D1248" s="82" t="inlineStr">
        <is>
          <t>PERFIL MONTANTE, FORMATO C, EM ACO ZINCADO, PARA ESTRUTURA PAREDE DRYWALL, E = 0,5 MM, 48 X 3000 MM (L X C)</t>
        </is>
      </c>
      <c r="E1248" s="11">
        <f t="array" ref="E1248">_xlfn.XLOOKUP(D1248,Insumos!B:B,Insumos!C:$C)</f>
        <v/>
      </c>
      <c r="F1248" s="2164" t="n">
        <v>4.0011</v>
      </c>
      <c r="G1248" s="92">
        <f t="array" ref="G1248">IF(B1248="insumo",_xlfn.XLOOKUP($D1248,Insumos!$B$1:$B$996,Insumos!$D$1:$D$996),"")</f>
        <v/>
      </c>
      <c r="H1248" s="92" t="n">
        <v>31.928778</v>
      </c>
      <c r="I1248" s="2165" t="n">
        <v>0</v>
      </c>
      <c r="J1248" s="2165" t="n">
        <v>0</v>
      </c>
      <c r="K1248" s="2165" t="n"/>
    </row>
    <row r="1249" outlineLevel="3" ht="12.75" customHeight="1">
      <c r="A1249" s="82" t="n">
        <v>95</v>
      </c>
      <c r="B1249" s="82" t="inlineStr">
        <is>
          <t>Insumo</t>
        </is>
      </c>
      <c r="C1249" s="82" t="inlineStr">
        <is>
          <t>Parede Com Sistema Em Chapas De Gesso Para Drywall, Uso Interno, Montante 48mm, Com Uma Face Simples Standart e Uma Face Resistente a Umidade (ST/48/RU)</t>
        </is>
      </c>
      <c r="D1249" s="82" t="inlineStr">
        <is>
          <t>MASSA DE REJUNTE EM PO PARA DRYWALL, A BASE DE GESSO, SECAGEM RAPIDA, PARA TRATAMENTO DE JUNTAS DE CHAPA DE GESSO (NECESSITA ADICAO DE AGUA)</t>
        </is>
      </c>
      <c r="E1249" s="11">
        <f t="array" ref="E1249">_xlfn.XLOOKUP(D1249,Insumos!B:B,Insumos!C:$C)</f>
        <v/>
      </c>
      <c r="F1249" s="2164" t="n">
        <v>1.0978</v>
      </c>
      <c r="G1249" s="92">
        <f t="array" ref="G1249">IF(B1249="insumo",_xlfn.XLOOKUP($D1249,Insumos!$B$1:$B$996,Insumos!$D$1:$D$996),"")</f>
        <v/>
      </c>
      <c r="H1249" s="92" t="n">
        <v>3.765454</v>
      </c>
      <c r="I1249" s="2165" t="n">
        <v>0</v>
      </c>
      <c r="J1249" s="2165" t="n">
        <v>0</v>
      </c>
      <c r="K1249" s="2165" t="n"/>
    </row>
    <row r="1250" outlineLevel="3" ht="12.75" customHeight="1">
      <c r="A1250" s="82" t="n">
        <v>94</v>
      </c>
      <c r="B1250" s="82" t="inlineStr">
        <is>
          <t>Insumo</t>
        </is>
      </c>
      <c r="C1250" s="82" t="inlineStr">
        <is>
          <t>Parede Com Sistema Em Chapas De Gesso Para Drywall, Uso Interno, Montante 48mm, Com Uma Face Simples Standart e Uma Face Resistente a Umidade (ST/48/RU)</t>
        </is>
      </c>
      <c r="D1250" s="82" t="inlineStr">
        <is>
          <t>FITA DE PAPEL MICROPERFURADO, 50 X 150 MM, PARA TRATAMENTO DE JUNTAS DE CHAPA DE GESSO PARA DRYWALL</t>
        </is>
      </c>
      <c r="E1250" s="11">
        <f t="array" ref="E1250">_xlfn.XLOOKUP(D1250,Insumos!B:B,Insumos!C:$C)</f>
        <v/>
      </c>
      <c r="F1250" s="2164" t="n">
        <v>2.5027</v>
      </c>
      <c r="G1250" s="92">
        <f t="array" ref="G1250">IF(B1250="insumo",_xlfn.XLOOKUP($D1250,Insumos!$B$1:$B$996,Insumos!$D$1:$D$996),"")</f>
        <v/>
      </c>
      <c r="H1250" s="92" t="n">
        <v>0.775837</v>
      </c>
      <c r="I1250" s="2165" t="n">
        <v>0</v>
      </c>
      <c r="J1250" s="2165" t="n">
        <v>0</v>
      </c>
      <c r="K1250" s="2165" t="n"/>
    </row>
    <row r="1251" outlineLevel="3" ht="12.75" customHeight="1">
      <c r="A1251" s="82" t="n">
        <v>94</v>
      </c>
      <c r="B1251" s="82" t="inlineStr">
        <is>
          <t>Insumo</t>
        </is>
      </c>
      <c r="C1251" s="82" t="inlineStr">
        <is>
          <t>Parede Com Sistema Em Chapas De Gesso Para Drywall, Uso Interno, Montante 48mm, Com Uma Face Simples Standart e Uma Face Resistente a Umidade (ST/48/RU)</t>
        </is>
      </c>
      <c r="D1251" s="82" t="inlineStr">
        <is>
          <t>FITA DE PAPEL REFORCADA COM LAMINA DE METAL PARA REFORCO DE CANTOS DE CHAPA DE GESSO PARA DRYWALL</t>
        </is>
      </c>
      <c r="E1251" s="11">
        <f t="array" ref="E1251">_xlfn.XLOOKUP(D1251,Insumos!B:B,Insumos!C:$C)</f>
        <v/>
      </c>
      <c r="F1251" s="2164" t="n">
        <v>1.4815</v>
      </c>
      <c r="G1251" s="92">
        <f t="array" ref="G1251">IF(B1251="insumo",_xlfn.XLOOKUP($D1251,Insumos!$B$1:$B$996,Insumos!$D$1:$D$996),"")</f>
        <v/>
      </c>
      <c r="H1251" s="92" t="n">
        <v>4.05931</v>
      </c>
      <c r="I1251" s="2165" t="n">
        <v>0</v>
      </c>
      <c r="J1251" s="2165" t="n">
        <v>0</v>
      </c>
      <c r="K1251" s="2165" t="n"/>
    </row>
    <row r="1252" outlineLevel="3" ht="12.75" customHeight="1">
      <c r="A1252" s="82" t="n">
        <v>97</v>
      </c>
      <c r="B1252" s="82" t="inlineStr">
        <is>
          <t>Insumo</t>
        </is>
      </c>
      <c r="C1252" s="82" t="inlineStr">
        <is>
          <t>Parede Com Sistema Em Chapas De Gesso Para Drywall, Uso Interno, Montante 48mm, Com Uma Face Simples Standart e Uma Face Resistente a Umidade (ST/48/RU)</t>
        </is>
      </c>
      <c r="D1252" s="82" t="inlineStr">
        <is>
          <t>PARAFUSO DRY WALL, EM ACO FOSFATIZADO, CABECA TROMBETA E PONTA AGULHA (TA), COMPRIMENTO 25 MM</t>
        </is>
      </c>
      <c r="E1252" s="11">
        <f t="array" ref="E1252">_xlfn.XLOOKUP(D1252,Insumos!B:B,Insumos!C:$C)</f>
        <v/>
      </c>
      <c r="F1252" s="2164" t="n">
        <v>20.1868</v>
      </c>
      <c r="G1252" s="92">
        <f t="array" ref="G1252">IF(B1252="insumo",_xlfn.XLOOKUP($D1252,Insumos!$B$1:$B$996,Insumos!$D$1:$D$996),"")</f>
        <v/>
      </c>
      <c r="H1252" s="92" t="n">
        <v>1.816812</v>
      </c>
      <c r="I1252" s="2165" t="n">
        <v>0</v>
      </c>
      <c r="J1252" s="2165" t="n">
        <v>0</v>
      </c>
      <c r="K1252" s="2165" t="n"/>
    </row>
    <row r="1253" outlineLevel="3" ht="12.75" customHeight="1">
      <c r="A1253" s="82" t="n">
        <v>95</v>
      </c>
      <c r="B1253" s="82" t="inlineStr">
        <is>
          <t>Insumo</t>
        </is>
      </c>
      <c r="C1253" s="82" t="inlineStr">
        <is>
          <t>Parede Com Sistema Em Chapas De Gesso Para Drywall, Uso Interno, Montante 48mm, Com Uma Face Simples Standart e Uma Face Resistente a Umidade (ST/48/RU)</t>
        </is>
      </c>
      <c r="D1253" s="82" t="inlineStr">
        <is>
          <t>PARAFUSO DRY WALL, EM ACO ZINCADO, CABECA LENTILHA E PONTA BROCA (LB), LARGURA 4,2 MM, COMPRIMENTO 13 MM</t>
        </is>
      </c>
      <c r="E1253" s="11">
        <f t="array" ref="E1253">_xlfn.XLOOKUP(D1253,Insumos!B:B,Insumos!C:$C)</f>
        <v/>
      </c>
      <c r="F1253" s="2164" t="n">
        <v>0.4803</v>
      </c>
      <c r="G1253" s="92">
        <f t="array" ref="G1253">IF(B1253="insumo",_xlfn.XLOOKUP($D1253,Insumos!$B$1:$B$996,Insumos!$D$1:$D$996),"")</f>
        <v/>
      </c>
      <c r="H1253" s="92" t="n">
        <v>0.09606000000000001</v>
      </c>
      <c r="I1253" s="2165" t="n">
        <v>0</v>
      </c>
      <c r="J1253" s="2165" t="n">
        <v>0</v>
      </c>
      <c r="K1253" s="2165" t="n"/>
    </row>
    <row r="1254" outlineLevel="3" ht="12.75" customHeight="1">
      <c r="A1254" s="82" t="n">
        <v>5</v>
      </c>
      <c r="B1254" s="82" t="inlineStr">
        <is>
          <t>Insumo</t>
        </is>
      </c>
      <c r="C1254" s="82" t="inlineStr">
        <is>
          <t>Parede Com Sistema Em Chapas De Gesso Para Drywall, Uso Interno, Montante 48mm, Com Uma Face Simples Standart e Uma Face Resistente a Umidade (ST/48/RU)</t>
        </is>
      </c>
      <c r="D1254" s="82" t="inlineStr">
        <is>
          <t>LÂ DE VIDRO PARA ISOLAMENTO 50mm</t>
        </is>
      </c>
      <c r="E1254" s="11">
        <f t="array" ref="E1254">_xlfn.XLOOKUP(D1254,Insumos!B:B,Insumos!C:$C)</f>
        <v/>
      </c>
      <c r="F1254" s="2164" t="n">
        <v>1.1</v>
      </c>
      <c r="G1254" s="92">
        <f t="array" ref="G1254">IF(B1254="insumo",_xlfn.XLOOKUP($D1254,Insumos!$B$1:$B$996,Insumos!$D$1:$D$996),"")</f>
        <v/>
      </c>
      <c r="H1254" s="92" t="n">
        <v>14.1115333333333</v>
      </c>
      <c r="I1254" s="2165" t="n">
        <v>0</v>
      </c>
      <c r="J1254" s="2165" t="n">
        <v>0</v>
      </c>
      <c r="K1254" s="2165" t="n"/>
    </row>
    <row r="1255" outlineLevel="2" ht="12.75" customHeight="1">
      <c r="A1255" s="1071" t="n">
        <v>1</v>
      </c>
      <c r="B1255" s="1071" t="inlineStr">
        <is>
          <t>Serviço</t>
        </is>
      </c>
      <c r="C1255" s="1071" t="inlineStr">
        <is>
          <t>Parede Com Sistema Em Chapas De Gesso Para Drywall, Uso Interno, Montante 70mm, Com Uma Face Resistente a Umidade(RU/70)</t>
        </is>
      </c>
      <c r="D1255" s="1071" t="inlineStr">
        <is>
          <t>Parede Com Sistema Em Chapas De Gesso Para Drywall, Uso Interno, Montante 70mm, Com Uma Face Resistente a Umidade(RU/70)</t>
        </is>
      </c>
      <c r="E1255" s="1072" t="inlineStr">
        <is>
          <t>M2</t>
        </is>
      </c>
      <c r="F1255" s="1071" t="n"/>
      <c r="G1255" s="1073">
        <f t="array" ref="G1255">IF(B1255="insumo",_xlfn.XLOOKUP($D1255,Insumos!$B$1:$B$996,Insumos!$D$1:$D$996),"")</f>
        <v/>
      </c>
      <c r="H1255" s="1073" t="n">
        <v>126.743126</v>
      </c>
      <c r="I1255" s="2163" t="n">
        <v>0</v>
      </c>
      <c r="J1255" s="2163" t="n">
        <v>0</v>
      </c>
      <c r="K1255" s="2163" t="n"/>
    </row>
    <row r="1256" outlineLevel="3" ht="12.75" customHeight="1">
      <c r="A1256" s="82" t="n">
        <v>86</v>
      </c>
      <c r="B1256" s="82" t="inlineStr">
        <is>
          <t>Insumo</t>
        </is>
      </c>
      <c r="C1256" s="82" t="inlineStr">
        <is>
          <t>Parede Com Sistema Em Chapas De Gesso Para Drywall, Uso Interno, Montante 70mm, Com Uma Face Resistente a Umidade(RU/70)</t>
        </is>
      </c>
      <c r="D1256" s="82" t="inlineStr">
        <is>
          <t>SERVICO - CONFECCAO SHAFT GESSO</t>
        </is>
      </c>
      <c r="E1256" s="11">
        <f t="array" ref="E1256">_xlfn.XLOOKUP(D1256,Insumos!B:B,Insumos!C:$C)</f>
        <v/>
      </c>
      <c r="F1256" s="2164" t="n">
        <v>1</v>
      </c>
      <c r="G1256" s="92">
        <f t="array" ref="G1256">IF(B1256="insumo",_xlfn.XLOOKUP($D1256,Insumos!$B$1:$B$996,Insumos!$D$1:$D$996),"")</f>
        <v/>
      </c>
      <c r="H1256" s="92" t="n">
        <v>70</v>
      </c>
      <c r="I1256" s="2165" t="n">
        <v>0</v>
      </c>
      <c r="J1256" s="2165" t="n">
        <v>0</v>
      </c>
      <c r="K1256" s="2165" t="n"/>
    </row>
    <row r="1257" outlineLevel="3" ht="12.75" customHeight="1">
      <c r="A1257" s="82" t="n">
        <v>49</v>
      </c>
      <c r="B1257" s="82" t="inlineStr">
        <is>
          <t>Insumo</t>
        </is>
      </c>
      <c r="C1257" s="82" t="inlineStr">
        <is>
          <t>Parede Com Sistema Em Chapas De Gesso Para Drywall, Uso Interno, Montante 70mm, Com Uma Face Resistente a Umidade(RU/70)</t>
        </is>
      </c>
      <c r="D1257" s="82" t="inlineStr">
        <is>
          <t>PLACA / CHAPA DE GESSO ACARTONADO, RESISTENTE A UMIDADE (RU), COR VERDE, E = 12,5 MM, 1200 X 2400 MM (L X C)</t>
        </is>
      </c>
      <c r="E1257" s="11">
        <f t="array" ref="E1257">_xlfn.XLOOKUP(D1257,Insumos!B:B,Insumos!C:$C)</f>
        <v/>
      </c>
      <c r="F1257" s="2164" t="n">
        <v>1.053</v>
      </c>
      <c r="G1257" s="92">
        <f t="array" ref="G1257">IF(B1257="insumo",_xlfn.XLOOKUP($D1257,Insumos!$B$1:$B$996,Insumos!$D$1:$D$996),"")</f>
        <v/>
      </c>
      <c r="H1257" s="92" t="n">
        <v>28.5363</v>
      </c>
      <c r="I1257" s="2165" t="n">
        <v>0</v>
      </c>
      <c r="J1257" s="2165" t="n">
        <v>0</v>
      </c>
      <c r="K1257" s="2165" t="n"/>
    </row>
    <row r="1258" outlineLevel="3" ht="12.75" customHeight="1">
      <c r="A1258" s="82" t="n">
        <v>95</v>
      </c>
      <c r="B1258" s="82" t="inlineStr">
        <is>
          <t>Insumo</t>
        </is>
      </c>
      <c r="C1258" s="82" t="inlineStr">
        <is>
          <t>Parede Com Sistema Em Chapas De Gesso Para Drywall, Uso Interno, Montante 70mm, Com Uma Face Resistente a Umidade(RU/70)</t>
        </is>
      </c>
      <c r="D1258" s="82" t="inlineStr">
        <is>
          <t>PINO DE ACO COM ARRUELA CONICA, DIAMETRO ARRUELA = *23* MM E COMP HASTE = *27* MM (ACAO INDIRETA)</t>
        </is>
      </c>
      <c r="E1258" s="11">
        <f t="array" ref="E1258">_xlfn.XLOOKUP(D1258,Insumos!B:B,Insumos!C:$C)</f>
        <v/>
      </c>
      <c r="F1258" s="2164" t="n">
        <v>2.48</v>
      </c>
      <c r="G1258" s="92">
        <f t="array" ref="G1258">IF(B1258="insumo",_xlfn.XLOOKUP($D1258,Insumos!$B$1:$B$996,Insumos!$D$1:$D$996),"")</f>
        <v/>
      </c>
      <c r="H1258" s="92" t="n">
        <v>1.24992</v>
      </c>
      <c r="I1258" s="2165" t="n">
        <v>0</v>
      </c>
      <c r="J1258" s="2165" t="n">
        <v>0</v>
      </c>
      <c r="K1258" s="2165" t="n"/>
    </row>
    <row r="1259" outlineLevel="3" ht="12.75" customHeight="1">
      <c r="A1259" s="82" t="n">
        <v>43</v>
      </c>
      <c r="B1259" s="82" t="inlineStr">
        <is>
          <t>Insumo</t>
        </is>
      </c>
      <c r="C1259" s="82" t="inlineStr">
        <is>
          <t>Parede Com Sistema Em Chapas De Gesso Para Drywall, Uso Interno, Montante 70mm, Com Uma Face Resistente a Umidade(RU/70)</t>
        </is>
      </c>
      <c r="D1259" s="82" t="inlineStr">
        <is>
          <t>PERFIL GUIA, FORMATO U, EM ACO ZINCADO, PARA ESTRUTURA PAREDE DRYWALL, E = 0,5 MM, 70 X 3000 MM (L X C)</t>
        </is>
      </c>
      <c r="E1259" s="11">
        <f t="array" ref="E1259">_xlfn.XLOOKUP(D1259,Insumos!B:B,Insumos!C:$C)</f>
        <v/>
      </c>
      <c r="F1259" s="2164" t="n">
        <v>0.7624</v>
      </c>
      <c r="G1259" s="92">
        <f t="array" ref="G1259">IF(B1259="insumo",_xlfn.XLOOKUP($D1259,Insumos!$B$1:$B$996,Insumos!$D$1:$D$996),"")</f>
        <v/>
      </c>
      <c r="H1259" s="92" t="n">
        <v>5.687504</v>
      </c>
      <c r="I1259" s="2165" t="n">
        <v>0</v>
      </c>
      <c r="J1259" s="2165" t="n">
        <v>0</v>
      </c>
      <c r="K1259" s="2165" t="n"/>
    </row>
    <row r="1260" outlineLevel="3" ht="12.75" customHeight="1">
      <c r="A1260" s="82" t="n">
        <v>43</v>
      </c>
      <c r="B1260" s="82" t="inlineStr">
        <is>
          <t>Insumo</t>
        </is>
      </c>
      <c r="C1260" s="82" t="inlineStr">
        <is>
          <t>Parede Com Sistema Em Chapas De Gesso Para Drywall, Uso Interno, Montante 70mm, Com Uma Face Resistente a Umidade(RU/70)</t>
        </is>
      </c>
      <c r="D1260" s="82" t="inlineStr">
        <is>
          <t>PERFIL MONTANTE, FORMATO C, EM ACO ZINCADO, PARA ESTRUTURA PAREDE DRYWALL, E = 0,5 MM, 70 X 3000 MM (L X C)</t>
        </is>
      </c>
      <c r="E1260" s="11">
        <f t="array" ref="E1260">_xlfn.XLOOKUP(D1260,Insumos!B:B,Insumos!C:$C)</f>
        <v/>
      </c>
      <c r="F1260" s="2164" t="n">
        <v>2.0006</v>
      </c>
      <c r="G1260" s="92">
        <f t="array" ref="G1260">IF(B1260="insumo",_xlfn.XLOOKUP($D1260,Insumos!$B$1:$B$996,Insumos!$D$1:$D$996),"")</f>
        <v/>
      </c>
      <c r="H1260" s="92" t="n">
        <v>15.964788</v>
      </c>
      <c r="I1260" s="2165" t="n">
        <v>0</v>
      </c>
      <c r="J1260" s="2165" t="n">
        <v>0</v>
      </c>
      <c r="K1260" s="2165" t="n"/>
    </row>
    <row r="1261" outlineLevel="3" ht="12.75" customHeight="1">
      <c r="A1261" s="82" t="n">
        <v>95</v>
      </c>
      <c r="B1261" s="82" t="inlineStr">
        <is>
          <t>Insumo</t>
        </is>
      </c>
      <c r="C1261" s="82" t="inlineStr">
        <is>
          <t>Parede Com Sistema Em Chapas De Gesso Para Drywall, Uso Interno, Montante 70mm, Com Uma Face Resistente a Umidade(RU/70)</t>
        </is>
      </c>
      <c r="D1261" s="82" t="inlineStr">
        <is>
          <t>MASSA DE REJUNTE EM PO PARA DRYWALL, A BASE DE GESSO, SECAGEM RAPIDA, PARA TRATAMENTO DE JUNTAS DE CHAPA DE GESSO (NECESSITA ADICAO DE AGUA)</t>
        </is>
      </c>
      <c r="E1261" s="11">
        <f t="array" ref="E1261">_xlfn.XLOOKUP(D1261,Insumos!B:B,Insumos!C:$C)</f>
        <v/>
      </c>
      <c r="F1261" s="2164" t="n">
        <v>0.5489000000000001</v>
      </c>
      <c r="G1261" s="92">
        <f t="array" ref="G1261">IF(B1261="insumo",_xlfn.XLOOKUP($D1261,Insumos!$B$1:$B$996,Insumos!$D$1:$D$996),"")</f>
        <v/>
      </c>
      <c r="H1261" s="92" t="n">
        <v>1.882727</v>
      </c>
      <c r="I1261" s="2165" t="n">
        <v>0</v>
      </c>
      <c r="J1261" s="2165" t="n">
        <v>0</v>
      </c>
      <c r="K1261" s="2165" t="n"/>
    </row>
    <row r="1262" outlineLevel="3" ht="12.75" customHeight="1">
      <c r="A1262" s="82" t="n">
        <v>94</v>
      </c>
      <c r="B1262" s="82" t="inlineStr">
        <is>
          <t>Insumo</t>
        </is>
      </c>
      <c r="C1262" s="82" t="inlineStr">
        <is>
          <t>Parede Com Sistema Em Chapas De Gesso Para Drywall, Uso Interno, Montante 70mm, Com Uma Face Resistente a Umidade(RU/70)</t>
        </is>
      </c>
      <c r="D1262" s="82" t="inlineStr">
        <is>
          <t>FITA DE PAPEL MICROPERFURADO, 50 X 150 MM, PARA TRATAMENTO DE JUNTAS DE CHAPA DE GESSO PARA DRYWALL</t>
        </is>
      </c>
      <c r="E1262" s="11">
        <f t="array" ref="E1262">_xlfn.XLOOKUP(D1262,Insumos!B:B,Insumos!C:$C)</f>
        <v/>
      </c>
      <c r="F1262" s="2164" t="n">
        <v>1.2513</v>
      </c>
      <c r="G1262" s="92">
        <f t="array" ref="G1262">IF(B1262="insumo",_xlfn.XLOOKUP($D1262,Insumos!$B$1:$B$996,Insumos!$D$1:$D$996),"")</f>
        <v/>
      </c>
      <c r="H1262" s="92" t="n">
        <v>0.387903</v>
      </c>
      <c r="I1262" s="2165" t="n">
        <v>0</v>
      </c>
      <c r="J1262" s="2165" t="n">
        <v>0</v>
      </c>
      <c r="K1262" s="2165" t="n"/>
    </row>
    <row r="1263" outlineLevel="3" ht="12.75" customHeight="1">
      <c r="A1263" s="82" t="n">
        <v>94</v>
      </c>
      <c r="B1263" s="82" t="inlineStr">
        <is>
          <t>Insumo</t>
        </is>
      </c>
      <c r="C1263" s="82" t="inlineStr">
        <is>
          <t>Parede Com Sistema Em Chapas De Gesso Para Drywall, Uso Interno, Montante 70mm, Com Uma Face Resistente a Umidade(RU/70)</t>
        </is>
      </c>
      <c r="D1263" s="82" t="inlineStr">
        <is>
          <t>FITA DE PAPEL REFORCADA COM LAMINA DE METAL PARA REFORCO DE CANTOS DE CHAPA DE GESSO PARA DRYWALL</t>
        </is>
      </c>
      <c r="E1263" s="11">
        <f t="array" ref="E1263">_xlfn.XLOOKUP(D1263,Insumos!B:B,Insumos!C:$C)</f>
        <v/>
      </c>
      <c r="F1263" s="2164" t="n">
        <v>0.7407</v>
      </c>
      <c r="G1263" s="92">
        <f t="array" ref="G1263">IF(B1263="insumo",_xlfn.XLOOKUP($D1263,Insumos!$B$1:$B$996,Insumos!$D$1:$D$996),"")</f>
        <v/>
      </c>
      <c r="H1263" s="92" t="n">
        <v>2.029518</v>
      </c>
      <c r="I1263" s="2165" t="n">
        <v>0</v>
      </c>
      <c r="J1263" s="2165" t="n">
        <v>0</v>
      </c>
      <c r="K1263" s="2165" t="n"/>
    </row>
    <row r="1264" outlineLevel="3" ht="12.75" customHeight="1">
      <c r="A1264" s="82" t="n">
        <v>97</v>
      </c>
      <c r="B1264" s="82" t="inlineStr">
        <is>
          <t>Insumo</t>
        </is>
      </c>
      <c r="C1264" s="82" t="inlineStr">
        <is>
          <t>Parede Com Sistema Em Chapas De Gesso Para Drywall, Uso Interno, Montante 70mm, Com Uma Face Resistente a Umidade(RU/70)</t>
        </is>
      </c>
      <c r="D1264" s="82" t="inlineStr">
        <is>
          <t>PARAFUSO DRY WALL, EM ACO FOSFATIZADO, CABECA TROMBETA E PONTA AGULHA (TA), COMPRIMENTO 25 MM</t>
        </is>
      </c>
      <c r="E1264" s="11">
        <f t="array" ref="E1264">_xlfn.XLOOKUP(D1264,Insumos!B:B,Insumos!C:$C)</f>
        <v/>
      </c>
      <c r="F1264" s="2164" t="n">
        <v>10.0934</v>
      </c>
      <c r="G1264" s="92">
        <f t="array" ref="G1264">IF(B1264="insumo",_xlfn.XLOOKUP($D1264,Insumos!$B$1:$B$996,Insumos!$D$1:$D$996),"")</f>
        <v/>
      </c>
      <c r="H1264" s="92" t="n">
        <v>0.908406</v>
      </c>
      <c r="I1264" s="2165" t="n">
        <v>0</v>
      </c>
      <c r="J1264" s="2165" t="n">
        <v>0</v>
      </c>
      <c r="K1264" s="2165" t="n"/>
    </row>
    <row r="1265" outlineLevel="3" ht="12.75" customHeight="1">
      <c r="A1265" s="82" t="n">
        <v>95</v>
      </c>
      <c r="B1265" s="82" t="inlineStr">
        <is>
          <t>Insumo</t>
        </is>
      </c>
      <c r="C1265" s="82" t="inlineStr">
        <is>
          <t>Parede Com Sistema Em Chapas De Gesso Para Drywall, Uso Interno, Montante 70mm, Com Uma Face Resistente a Umidade(RU/70)</t>
        </is>
      </c>
      <c r="D1265" s="82" t="inlineStr">
        <is>
          <t>PARAFUSO DRY WALL, EM ACO ZINCADO, CABECA LENTILHA E PONTA BROCA (LB), LARGURA 4,2 MM, COMPRIMENTO 13 MM</t>
        </is>
      </c>
      <c r="E1265" s="11">
        <f t="array" ref="E1265">_xlfn.XLOOKUP(D1265,Insumos!B:B,Insumos!C:$C)</f>
        <v/>
      </c>
      <c r="F1265" s="2164" t="n">
        <v>0.4803</v>
      </c>
      <c r="G1265" s="92">
        <f t="array" ref="G1265">IF(B1265="insumo",_xlfn.XLOOKUP($D1265,Insumos!$B$1:$B$996,Insumos!$D$1:$D$996),"")</f>
        <v/>
      </c>
      <c r="H1265" s="92" t="n">
        <v>0.09606000000000001</v>
      </c>
      <c r="I1265" s="2165" t="n">
        <v>0</v>
      </c>
      <c r="J1265" s="2165" t="n">
        <v>0</v>
      </c>
      <c r="K1265" s="2165" t="n"/>
    </row>
    <row r="1266" outlineLevel="2" ht="12.75" customHeight="1">
      <c r="A1266" s="1071" t="n">
        <v>1</v>
      </c>
      <c r="B1266" s="1071" t="inlineStr">
        <is>
          <t>Serviço</t>
        </is>
      </c>
      <c r="C1266" s="1071" t="inlineStr">
        <is>
          <t>Parede Com Sistema Em Chapas De Gesso Para Drywall, Uso Interno, Montante 70mm, Com Duas Face Simples Standart (ST/70/ST)</t>
        </is>
      </c>
      <c r="D1266" s="1071" t="inlineStr">
        <is>
          <t>Parede Com Sistema Em Chapas De Gesso Para Drywall, Uso Interno, Montante 70mm, Com Duas Face Simples Standart (ST/70/ST)</t>
        </is>
      </c>
      <c r="E1266" s="1072" t="inlineStr">
        <is>
          <t>M2</t>
        </is>
      </c>
      <c r="F1266" s="1071" t="n"/>
      <c r="G1266" s="1073">
        <f t="array" ref="G1266">IF(B1266="insumo",_xlfn.XLOOKUP($D1266,Insumos!$B$1:$B$996,Insumos!$D$1:$D$996),"")</f>
        <v/>
      </c>
      <c r="H1266" s="1073" t="n">
        <v>168.769019</v>
      </c>
      <c r="I1266" s="2163" t="n">
        <v>0</v>
      </c>
      <c r="J1266" s="2163" t="n">
        <v>0</v>
      </c>
      <c r="K1266" s="2163" t="n"/>
    </row>
    <row r="1267" outlineLevel="3" ht="12.75" customHeight="1">
      <c r="A1267" s="82" t="n">
        <v>86</v>
      </c>
      <c r="B1267" s="82" t="inlineStr">
        <is>
          <t>Insumo</t>
        </is>
      </c>
      <c r="C1267" s="82" t="inlineStr">
        <is>
          <t>Parede Com Sistema Em Chapas De Gesso Para Drywall, Uso Interno, Montante 70mm, Com Duas Face Simples Standart (ST/70/ST)</t>
        </is>
      </c>
      <c r="D1267" s="82" t="inlineStr">
        <is>
          <t>SERVICO - CONFECCAO SHAFT GESSO</t>
        </is>
      </c>
      <c r="E1267" s="11">
        <f t="array" ref="E1267">_xlfn.XLOOKUP(D1267,Insumos!B:B,Insumos!C:$C)</f>
        <v/>
      </c>
      <c r="F1267" s="2164" t="n">
        <v>1</v>
      </c>
      <c r="G1267" s="92">
        <f t="array" ref="G1267">IF(B1267="insumo",_xlfn.XLOOKUP($D1267,Insumos!$B$1:$B$996,Insumos!$D$1:$D$996),"")</f>
        <v/>
      </c>
      <c r="H1267" s="92" t="n">
        <v>70</v>
      </c>
      <c r="I1267" s="2165" t="n">
        <v>0</v>
      </c>
      <c r="J1267" s="2165" t="n">
        <v>0</v>
      </c>
      <c r="K1267" s="2165" t="n"/>
    </row>
    <row r="1268" outlineLevel="3" ht="12.75" customHeight="1">
      <c r="A1268" s="82" t="n">
        <v>47</v>
      </c>
      <c r="B1268" s="82" t="inlineStr">
        <is>
          <t>Insumo</t>
        </is>
      </c>
      <c r="C1268" s="82" t="inlineStr">
        <is>
          <t>Parede Com Sistema Em Chapas De Gesso Para Drywall, Uso Interno, Montante 70mm, Com Duas Face Simples Standart (ST/70/ST)</t>
        </is>
      </c>
      <c r="D1268" s="82" t="inlineStr">
        <is>
          <t>PLACA / CHAPA DE GESSO ACARTONADO, STANDARD (ST), COR BRANCA, E = 12,5 MM, 1200 X 2400 MM (L X C)</t>
        </is>
      </c>
      <c r="E1268" s="11">
        <f t="array" ref="E1268">_xlfn.XLOOKUP(D1268,Insumos!B:B,Insumos!C:$C)</f>
        <v/>
      </c>
      <c r="F1268" s="2164" t="n">
        <v>2.106</v>
      </c>
      <c r="G1268" s="92">
        <f t="array" ref="G1268">IF(B1268="insumo",_xlfn.XLOOKUP($D1268,Insumos!$B$1:$B$996,Insumos!$D$1:$D$996),"")</f>
        <v/>
      </c>
      <c r="H1268" s="92" t="n">
        <v>42.45696</v>
      </c>
      <c r="I1268" s="2165" t="n">
        <v>0</v>
      </c>
      <c r="J1268" s="2165" t="n">
        <v>0</v>
      </c>
      <c r="K1268" s="2165" t="n"/>
    </row>
    <row r="1269" outlineLevel="3" ht="12.75" customHeight="1">
      <c r="A1269" s="82" t="n">
        <v>95</v>
      </c>
      <c r="B1269" s="82" t="inlineStr">
        <is>
          <t>Insumo</t>
        </is>
      </c>
      <c r="C1269" s="82" t="inlineStr">
        <is>
          <t>Parede Com Sistema Em Chapas De Gesso Para Drywall, Uso Interno, Montante 70mm, Com Duas Face Simples Standart (ST/70/ST)</t>
        </is>
      </c>
      <c r="D1269" s="82" t="inlineStr">
        <is>
          <t>PINO DE ACO COM ARRUELA CONICA, DIAMETRO ARRUELA = *23* MM E COMP HASTE = *27* MM (ACAO INDIRETA)</t>
        </is>
      </c>
      <c r="E1269" s="11">
        <f t="array" ref="E1269">_xlfn.XLOOKUP(D1269,Insumos!B:B,Insumos!C:$C)</f>
        <v/>
      </c>
      <c r="F1269" s="2164" t="n">
        <v>4.95</v>
      </c>
      <c r="G1269" s="92">
        <f t="array" ref="G1269">IF(B1269="insumo",_xlfn.XLOOKUP($D1269,Insumos!$B$1:$B$996,Insumos!$D$1:$D$996),"")</f>
        <v/>
      </c>
      <c r="H1269" s="92" t="n">
        <v>2.4948</v>
      </c>
      <c r="I1269" s="2165" t="n">
        <v>0</v>
      </c>
      <c r="J1269" s="2165" t="n">
        <v>0</v>
      </c>
      <c r="K1269" s="2165" t="n"/>
    </row>
    <row r="1270" outlineLevel="3" ht="12.75" customHeight="1">
      <c r="A1270" s="82" t="n">
        <v>43</v>
      </c>
      <c r="B1270" s="82" t="inlineStr">
        <is>
          <t>Insumo</t>
        </is>
      </c>
      <c r="C1270" s="82" t="inlineStr">
        <is>
          <t>Parede Com Sistema Em Chapas De Gesso Para Drywall, Uso Interno, Montante 70mm, Com Duas Face Simples Standart (ST/70/ST)</t>
        </is>
      </c>
      <c r="D1270" s="82" t="inlineStr">
        <is>
          <t>PERFIL GUIA, FORMATO U, EM ACO ZINCADO, PARA ESTRUTURA PAREDE DRYWALL, E = 0,5 MM, 70 X 3000 MM (L X C)</t>
        </is>
      </c>
      <c r="E1270" s="11">
        <f t="array" ref="E1270">_xlfn.XLOOKUP(D1270,Insumos!B:B,Insumos!C:$C)</f>
        <v/>
      </c>
      <c r="F1270" s="2164" t="n">
        <v>1.5248</v>
      </c>
      <c r="G1270" s="92">
        <f t="array" ref="G1270">IF(B1270="insumo",_xlfn.XLOOKUP($D1270,Insumos!$B$1:$B$996,Insumos!$D$1:$D$996),"")</f>
        <v/>
      </c>
      <c r="H1270" s="92" t="n">
        <v>11.375008</v>
      </c>
      <c r="I1270" s="2165" t="n">
        <v>0</v>
      </c>
      <c r="J1270" s="2165" t="n">
        <v>0</v>
      </c>
      <c r="K1270" s="2165" t="n"/>
    </row>
    <row r="1271" outlineLevel="3" ht="12.75" customHeight="1">
      <c r="A1271" s="82" t="n">
        <v>43</v>
      </c>
      <c r="B1271" s="82" t="inlineStr">
        <is>
          <t>Insumo</t>
        </is>
      </c>
      <c r="C1271" s="82" t="inlineStr">
        <is>
          <t>Parede Com Sistema Em Chapas De Gesso Para Drywall, Uso Interno, Montante 70mm, Com Duas Face Simples Standart (ST/70/ST)</t>
        </is>
      </c>
      <c r="D1271" s="82" t="inlineStr">
        <is>
          <t>PERFIL MONTANTE, FORMATO C, EM ACO ZINCADO, PARA ESTRUTURA PAREDE DRYWALL, E = 0,5 MM, 70 X 3000 MM (L X C)</t>
        </is>
      </c>
      <c r="E1271" s="11">
        <f t="array" ref="E1271">_xlfn.XLOOKUP(D1271,Insumos!B:B,Insumos!C:$C)</f>
        <v/>
      </c>
      <c r="F1271" s="2164" t="n">
        <v>4.0011</v>
      </c>
      <c r="G1271" s="92">
        <f t="array" ref="G1271">IF(B1271="insumo",_xlfn.XLOOKUP($D1271,Insumos!$B$1:$B$996,Insumos!$D$1:$D$996),"")</f>
        <v/>
      </c>
      <c r="H1271" s="92" t="n">
        <v>31.928778</v>
      </c>
      <c r="I1271" s="2165" t="n">
        <v>0</v>
      </c>
      <c r="J1271" s="2165" t="n">
        <v>0</v>
      </c>
      <c r="K1271" s="2165" t="n"/>
    </row>
    <row r="1272" outlineLevel="3" ht="12.75" customHeight="1">
      <c r="A1272" s="82" t="n">
        <v>95</v>
      </c>
      <c r="B1272" s="82" t="inlineStr">
        <is>
          <t>Insumo</t>
        </is>
      </c>
      <c r="C1272" s="82" t="inlineStr">
        <is>
          <t>Parede Com Sistema Em Chapas De Gesso Para Drywall, Uso Interno, Montante 70mm, Com Duas Face Simples Standart (ST/70/ST)</t>
        </is>
      </c>
      <c r="D1272" s="82" t="inlineStr">
        <is>
          <t>MASSA DE REJUNTE EM PO PARA DRYWALL, A BASE DE GESSO, SECAGEM RAPIDA, PARA TRATAMENTO DE JUNTAS DE CHAPA DE GESSO (NECESSITA ADICAO DE AGUA)</t>
        </is>
      </c>
      <c r="E1272" s="11">
        <f t="array" ref="E1272">_xlfn.XLOOKUP(D1272,Insumos!B:B,Insumos!C:$C)</f>
        <v/>
      </c>
      <c r="F1272" s="2164" t="n">
        <v>1.0978</v>
      </c>
      <c r="G1272" s="92">
        <f t="array" ref="G1272">IF(B1272="insumo",_xlfn.XLOOKUP($D1272,Insumos!$B$1:$B$996,Insumos!$D$1:$D$996),"")</f>
        <v/>
      </c>
      <c r="H1272" s="92" t="n">
        <v>3.765454</v>
      </c>
      <c r="I1272" s="2165" t="n">
        <v>0</v>
      </c>
      <c r="J1272" s="2165" t="n">
        <v>0</v>
      </c>
      <c r="K1272" s="2165" t="n"/>
    </row>
    <row r="1273" outlineLevel="3" ht="12.75" customHeight="1">
      <c r="A1273" s="82" t="n">
        <v>94</v>
      </c>
      <c r="B1273" s="82" t="inlineStr">
        <is>
          <t>Insumo</t>
        </is>
      </c>
      <c r="C1273" s="82" t="inlineStr">
        <is>
          <t>Parede Com Sistema Em Chapas De Gesso Para Drywall, Uso Interno, Montante 70mm, Com Duas Face Simples Standart (ST/70/ST)</t>
        </is>
      </c>
      <c r="D1273" s="82" t="inlineStr">
        <is>
          <t>FITA DE PAPEL MICROPERFURADO, 50 X 150 MM, PARA TRATAMENTO DE JUNTAS DE CHAPA DE GESSO PARA DRYWALL</t>
        </is>
      </c>
      <c r="E1273" s="11">
        <f t="array" ref="E1273">_xlfn.XLOOKUP(D1273,Insumos!B:B,Insumos!C:$C)</f>
        <v/>
      </c>
      <c r="F1273" s="2164" t="n">
        <v>2.5027</v>
      </c>
      <c r="G1273" s="92">
        <f t="array" ref="G1273">IF(B1273="insumo",_xlfn.XLOOKUP($D1273,Insumos!$B$1:$B$996,Insumos!$D$1:$D$996),"")</f>
        <v/>
      </c>
      <c r="H1273" s="92" t="n">
        <v>0.775837</v>
      </c>
      <c r="I1273" s="2165" t="n">
        <v>0</v>
      </c>
      <c r="J1273" s="2165" t="n">
        <v>0</v>
      </c>
      <c r="K1273" s="2165" t="n"/>
    </row>
    <row r="1274" outlineLevel="3" ht="12.75" customHeight="1">
      <c r="A1274" s="82" t="n">
        <v>94</v>
      </c>
      <c r="B1274" s="82" t="inlineStr">
        <is>
          <t>Insumo</t>
        </is>
      </c>
      <c r="C1274" s="82" t="inlineStr">
        <is>
          <t>Parede Com Sistema Em Chapas De Gesso Para Drywall, Uso Interno, Montante 70mm, Com Duas Face Simples Standart (ST/70/ST)</t>
        </is>
      </c>
      <c r="D1274" s="82" t="inlineStr">
        <is>
          <t>FITA DE PAPEL REFORCADA COM LAMINA DE METAL PARA REFORCO DE CANTOS DE CHAPA DE GESSO PARA DRYWALL</t>
        </is>
      </c>
      <c r="E1274" s="11">
        <f t="array" ref="E1274">_xlfn.XLOOKUP(D1274,Insumos!B:B,Insumos!C:$C)</f>
        <v/>
      </c>
      <c r="F1274" s="2164" t="n">
        <v>1.4815</v>
      </c>
      <c r="G1274" s="92">
        <f t="array" ref="G1274">IF(B1274="insumo",_xlfn.XLOOKUP($D1274,Insumos!$B$1:$B$996,Insumos!$D$1:$D$996),"")</f>
        <v/>
      </c>
      <c r="H1274" s="92" t="n">
        <v>4.05931</v>
      </c>
      <c r="I1274" s="2165" t="n">
        <v>0</v>
      </c>
      <c r="J1274" s="2165" t="n">
        <v>0</v>
      </c>
      <c r="K1274" s="2165" t="n"/>
    </row>
    <row r="1275" outlineLevel="3" ht="12.75" customHeight="1">
      <c r="A1275" s="82" t="n">
        <v>97</v>
      </c>
      <c r="B1275" s="82" t="inlineStr">
        <is>
          <t>Insumo</t>
        </is>
      </c>
      <c r="C1275" s="82" t="inlineStr">
        <is>
          <t>Parede Com Sistema Em Chapas De Gesso Para Drywall, Uso Interno, Montante 70mm, Com Duas Face Simples Standart (ST/70/ST)</t>
        </is>
      </c>
      <c r="D1275" s="82" t="inlineStr">
        <is>
          <t>PARAFUSO DRY WALL, EM ACO FOSFATIZADO, CABECA TROMBETA E PONTA AGULHA (TA), COMPRIMENTO 25 MM</t>
        </is>
      </c>
      <c r="E1275" s="11">
        <f t="array" ref="E1275">_xlfn.XLOOKUP(D1275,Insumos!B:B,Insumos!C:$C)</f>
        <v/>
      </c>
      <c r="F1275" s="2164" t="n">
        <v>20.1868</v>
      </c>
      <c r="G1275" s="92">
        <f t="array" ref="G1275">IF(B1275="insumo",_xlfn.XLOOKUP($D1275,Insumos!$B$1:$B$996,Insumos!$D$1:$D$996),"")</f>
        <v/>
      </c>
      <c r="H1275" s="92" t="n">
        <v>1.816812</v>
      </c>
      <c r="I1275" s="2165" t="n">
        <v>0</v>
      </c>
      <c r="J1275" s="2165" t="n">
        <v>0</v>
      </c>
      <c r="K1275" s="2165" t="n"/>
    </row>
    <row r="1276" outlineLevel="3" ht="12.75" customHeight="1">
      <c r="A1276" s="82" t="n">
        <v>95</v>
      </c>
      <c r="B1276" s="82" t="inlineStr">
        <is>
          <t>Insumo</t>
        </is>
      </c>
      <c r="C1276" s="82" t="inlineStr">
        <is>
          <t>Parede Com Sistema Em Chapas De Gesso Para Drywall, Uso Interno, Montante 70mm, Com Duas Face Simples Standart (ST/70/ST)</t>
        </is>
      </c>
      <c r="D1276" s="82" t="inlineStr">
        <is>
          <t>PARAFUSO DRY WALL, EM ACO ZINCADO, CABECA LENTILHA E PONTA BROCA (LB), LARGURA 4,2 MM, COMPRIMENTO 13 MM</t>
        </is>
      </c>
      <c r="E1276" s="11">
        <f t="array" ref="E1276">_xlfn.XLOOKUP(D1276,Insumos!B:B,Insumos!C:$C)</f>
        <v/>
      </c>
      <c r="F1276" s="2164" t="n">
        <v>0.4803</v>
      </c>
      <c r="G1276" s="92">
        <f t="array" ref="G1276">IF(B1276="insumo",_xlfn.XLOOKUP($D1276,Insumos!$B$1:$B$996,Insumos!$D$1:$D$996),"")</f>
        <v/>
      </c>
      <c r="H1276" s="92" t="n">
        <v>0.09606000000000001</v>
      </c>
      <c r="I1276" s="2165" t="n">
        <v>0</v>
      </c>
      <c r="J1276" s="2165" t="n">
        <v>0</v>
      </c>
      <c r="K1276" s="2165" t="n"/>
    </row>
    <row r="1277" outlineLevel="2" ht="12.75" customHeight="1">
      <c r="A1277" s="1071" t="n">
        <v>1</v>
      </c>
      <c r="B1277" s="1071" t="inlineStr">
        <is>
          <t>Serviço</t>
        </is>
      </c>
      <c r="C1277" s="1071" t="inlineStr">
        <is>
          <t>Parede Com Sistema Em Chapas De Gesso Para Drywall, Uso Interno, Montante 70mm, Com Duas Face Resistente a Umidade(RU/70/RU)</t>
        </is>
      </c>
      <c r="D1277" s="1071" t="inlineStr">
        <is>
          <t>Parede Com Sistema Em Chapas De Gesso Para Drywall, Uso Interno, Montante 70mm, Com Duas Face Resistente a Umidade(RU/70/RU)</t>
        </is>
      </c>
      <c r="E1277" s="1072" t="inlineStr">
        <is>
          <t>M2</t>
        </is>
      </c>
      <c r="F1277" s="1071" t="n"/>
      <c r="G1277" s="1073">
        <f t="array" ref="G1277">IF(B1277="insumo",_xlfn.XLOOKUP($D1277,Insumos!$B$1:$B$996,Insumos!$D$1:$D$996),"")</f>
        <v/>
      </c>
      <c r="H1277" s="1073" t="n">
        <v>183.384659</v>
      </c>
      <c r="I1277" s="2163" t="n">
        <v>0</v>
      </c>
      <c r="J1277" s="2163" t="n">
        <v>0</v>
      </c>
      <c r="K1277" s="2163" t="n"/>
    </row>
    <row r="1278" outlineLevel="3" ht="12.75" customHeight="1">
      <c r="A1278" s="82" t="n">
        <v>86</v>
      </c>
      <c r="B1278" s="82" t="inlineStr">
        <is>
          <t>Insumo</t>
        </is>
      </c>
      <c r="C1278" s="82" t="inlineStr">
        <is>
          <t>Parede Com Sistema Em Chapas De Gesso Para Drywall, Uso Interno, Montante 70mm, Com Duas Face Resistente a Umidade(RU/70/RU)</t>
        </is>
      </c>
      <c r="D1278" s="82" t="inlineStr">
        <is>
          <t>SERVICO - CONFECCAO SHAFT GESSO</t>
        </is>
      </c>
      <c r="E1278" s="11">
        <f t="array" ref="E1278">_xlfn.XLOOKUP(D1278,Insumos!B:B,Insumos!C:$C)</f>
        <v/>
      </c>
      <c r="F1278" s="2164" t="n">
        <v>1</v>
      </c>
      <c r="G1278" s="92">
        <f t="array" ref="G1278">IF(B1278="insumo",_xlfn.XLOOKUP($D1278,Insumos!$B$1:$B$996,Insumos!$D$1:$D$996),"")</f>
        <v/>
      </c>
      <c r="H1278" s="92" t="n">
        <v>70</v>
      </c>
      <c r="I1278" s="2165" t="n">
        <v>0</v>
      </c>
      <c r="J1278" s="2165" t="n">
        <v>0</v>
      </c>
      <c r="K1278" s="2165" t="n"/>
    </row>
    <row r="1279" outlineLevel="3" ht="12.75" customHeight="1">
      <c r="A1279" s="82" t="n">
        <v>49</v>
      </c>
      <c r="B1279" s="82" t="inlineStr">
        <is>
          <t>Insumo</t>
        </is>
      </c>
      <c r="C1279" s="82" t="inlineStr">
        <is>
          <t>Parede Com Sistema Em Chapas De Gesso Para Drywall, Uso Interno, Montante 70mm, Com Duas Face Resistente a Umidade(RU/70/RU)</t>
        </is>
      </c>
      <c r="D1279" s="82" t="inlineStr">
        <is>
          <t>PLACA / CHAPA DE GESSO ACARTONADO, RESISTENTE A UMIDADE (RU), COR VERDE, E = 12,5 MM, 1200 X 2400 MM (L X C)</t>
        </is>
      </c>
      <c r="E1279" s="11">
        <f t="array" ref="E1279">_xlfn.XLOOKUP(D1279,Insumos!B:B,Insumos!C:$C)</f>
        <v/>
      </c>
      <c r="F1279" s="2164" t="n">
        <v>2.106</v>
      </c>
      <c r="G1279" s="92">
        <f t="array" ref="G1279">IF(B1279="insumo",_xlfn.XLOOKUP($D1279,Insumos!$B$1:$B$996,Insumos!$D$1:$D$996),"")</f>
        <v/>
      </c>
      <c r="H1279" s="92" t="n">
        <v>57.0726</v>
      </c>
      <c r="I1279" s="2165" t="n">
        <v>0</v>
      </c>
      <c r="J1279" s="2165" t="n">
        <v>0</v>
      </c>
      <c r="K1279" s="2165" t="n"/>
    </row>
    <row r="1280" outlineLevel="3" ht="12.75" customHeight="1">
      <c r="A1280" s="82" t="n">
        <v>95</v>
      </c>
      <c r="B1280" s="82" t="inlineStr">
        <is>
          <t>Insumo</t>
        </is>
      </c>
      <c r="C1280" s="82" t="inlineStr">
        <is>
          <t>Parede Com Sistema Em Chapas De Gesso Para Drywall, Uso Interno, Montante 70mm, Com Duas Face Resistente a Umidade(RU/70/RU)</t>
        </is>
      </c>
      <c r="D1280" s="82" t="inlineStr">
        <is>
          <t>PINO DE ACO COM ARRUELA CONICA, DIAMETRO ARRUELA = *23* MM E COMP HASTE = *27* MM (ACAO INDIRETA)</t>
        </is>
      </c>
      <c r="E1280" s="11">
        <f t="array" ref="E1280">_xlfn.XLOOKUP(D1280,Insumos!B:B,Insumos!C:$C)</f>
        <v/>
      </c>
      <c r="F1280" s="2164" t="n">
        <v>4.95</v>
      </c>
      <c r="G1280" s="92">
        <f t="array" ref="G1280">IF(B1280="insumo",_xlfn.XLOOKUP($D1280,Insumos!$B$1:$B$996,Insumos!$D$1:$D$996),"")</f>
        <v/>
      </c>
      <c r="H1280" s="92" t="n">
        <v>2.4948</v>
      </c>
      <c r="I1280" s="2165" t="n">
        <v>0</v>
      </c>
      <c r="J1280" s="2165" t="n">
        <v>0</v>
      </c>
      <c r="K1280" s="2165" t="n"/>
    </row>
    <row r="1281" outlineLevel="3" ht="12.75" customHeight="1">
      <c r="A1281" s="82" t="n">
        <v>43</v>
      </c>
      <c r="B1281" s="82" t="inlineStr">
        <is>
          <t>Insumo</t>
        </is>
      </c>
      <c r="C1281" s="82" t="inlineStr">
        <is>
          <t>Parede Com Sistema Em Chapas De Gesso Para Drywall, Uso Interno, Montante 70mm, Com Duas Face Resistente a Umidade(RU/70/RU)</t>
        </is>
      </c>
      <c r="D1281" s="82" t="inlineStr">
        <is>
          <t>PERFIL GUIA, FORMATO U, EM ACO ZINCADO, PARA ESTRUTURA PAREDE DRYWALL, E = 0,5 MM, 70 X 3000 MM (L X C)</t>
        </is>
      </c>
      <c r="E1281" s="11">
        <f t="array" ref="E1281">_xlfn.XLOOKUP(D1281,Insumos!B:B,Insumos!C:$C)</f>
        <v/>
      </c>
      <c r="F1281" s="2164" t="n">
        <v>1.5248</v>
      </c>
      <c r="G1281" s="92">
        <f t="array" ref="G1281">IF(B1281="insumo",_xlfn.XLOOKUP($D1281,Insumos!$B$1:$B$996,Insumos!$D$1:$D$996),"")</f>
        <v/>
      </c>
      <c r="H1281" s="92" t="n">
        <v>11.375008</v>
      </c>
      <c r="I1281" s="2165" t="n">
        <v>0</v>
      </c>
      <c r="J1281" s="2165" t="n">
        <v>0</v>
      </c>
      <c r="K1281" s="2165" t="n"/>
    </row>
    <row r="1282" outlineLevel="3" ht="12.75" customHeight="1">
      <c r="A1282" s="82" t="n">
        <v>43</v>
      </c>
      <c r="B1282" s="82" t="inlineStr">
        <is>
          <t>Insumo</t>
        </is>
      </c>
      <c r="C1282" s="82" t="inlineStr">
        <is>
          <t>Parede Com Sistema Em Chapas De Gesso Para Drywall, Uso Interno, Montante 70mm, Com Duas Face Resistente a Umidade(RU/70/RU)</t>
        </is>
      </c>
      <c r="D1282" s="82" t="inlineStr">
        <is>
          <t>PERFIL MONTANTE, FORMATO C, EM ACO ZINCADO, PARA ESTRUTURA PAREDE DRYWALL, E = 0,5 MM, 70 X 3000 MM (L X C)</t>
        </is>
      </c>
      <c r="E1282" s="11">
        <f t="array" ref="E1282">_xlfn.XLOOKUP(D1282,Insumos!B:B,Insumos!C:$C)</f>
        <v/>
      </c>
      <c r="F1282" s="2164" t="n">
        <v>4.0011</v>
      </c>
      <c r="G1282" s="92">
        <f t="array" ref="G1282">IF(B1282="insumo",_xlfn.XLOOKUP($D1282,Insumos!$B$1:$B$996,Insumos!$D$1:$D$996),"")</f>
        <v/>
      </c>
      <c r="H1282" s="92" t="n">
        <v>31.928778</v>
      </c>
      <c r="I1282" s="2165" t="n">
        <v>0</v>
      </c>
      <c r="J1282" s="2165" t="n">
        <v>0</v>
      </c>
      <c r="K1282" s="2165" t="n"/>
    </row>
    <row r="1283" outlineLevel="3" ht="12.75" customHeight="1">
      <c r="A1283" s="82" t="n">
        <v>95</v>
      </c>
      <c r="B1283" s="82" t="inlineStr">
        <is>
          <t>Insumo</t>
        </is>
      </c>
      <c r="C1283" s="82" t="inlineStr">
        <is>
          <t>Parede Com Sistema Em Chapas De Gesso Para Drywall, Uso Interno, Montante 70mm, Com Duas Face Resistente a Umidade(RU/70/RU)</t>
        </is>
      </c>
      <c r="D1283" s="82" t="inlineStr">
        <is>
          <t>MASSA DE REJUNTE EM PO PARA DRYWALL, A BASE DE GESSO, SECAGEM RAPIDA, PARA TRATAMENTO DE JUNTAS DE CHAPA DE GESSO (NECESSITA ADICAO DE AGUA)</t>
        </is>
      </c>
      <c r="E1283" s="11">
        <f t="array" ref="E1283">_xlfn.XLOOKUP(D1283,Insumos!B:B,Insumos!C:$C)</f>
        <v/>
      </c>
      <c r="F1283" s="2164" t="n">
        <v>1.0978</v>
      </c>
      <c r="G1283" s="92">
        <f t="array" ref="G1283">IF(B1283="insumo",_xlfn.XLOOKUP($D1283,Insumos!$B$1:$B$996,Insumos!$D$1:$D$996),"")</f>
        <v/>
      </c>
      <c r="H1283" s="92" t="n">
        <v>3.765454</v>
      </c>
      <c r="I1283" s="2165" t="n">
        <v>0</v>
      </c>
      <c r="J1283" s="2165" t="n">
        <v>0</v>
      </c>
      <c r="K1283" s="2165" t="n"/>
    </row>
    <row r="1284" outlineLevel="3" ht="12.75" customHeight="1">
      <c r="A1284" s="82" t="n">
        <v>94</v>
      </c>
      <c r="B1284" s="82" t="inlineStr">
        <is>
          <t>Insumo</t>
        </is>
      </c>
      <c r="C1284" s="82" t="inlineStr">
        <is>
          <t>Parede Com Sistema Em Chapas De Gesso Para Drywall, Uso Interno, Montante 70mm, Com Duas Face Resistente a Umidade(RU/70/RU)</t>
        </is>
      </c>
      <c r="D1284" s="82" t="inlineStr">
        <is>
          <t>FITA DE PAPEL MICROPERFURADO, 50 X 150 MM, PARA TRATAMENTO DE JUNTAS DE CHAPA DE GESSO PARA DRYWALL</t>
        </is>
      </c>
      <c r="E1284" s="11">
        <f t="array" ref="E1284">_xlfn.XLOOKUP(D1284,Insumos!B:B,Insumos!C:$C)</f>
        <v/>
      </c>
      <c r="F1284" s="2164" t="n">
        <v>2.5027</v>
      </c>
      <c r="G1284" s="92">
        <f t="array" ref="G1284">IF(B1284="insumo",_xlfn.XLOOKUP($D1284,Insumos!$B$1:$B$996,Insumos!$D$1:$D$996),"")</f>
        <v/>
      </c>
      <c r="H1284" s="92" t="n">
        <v>0.775837</v>
      </c>
      <c r="I1284" s="2165" t="n">
        <v>0</v>
      </c>
      <c r="J1284" s="2165" t="n">
        <v>0</v>
      </c>
      <c r="K1284" s="2165" t="n"/>
    </row>
    <row r="1285" outlineLevel="3" ht="12.75" customHeight="1">
      <c r="A1285" s="82" t="n">
        <v>94</v>
      </c>
      <c r="B1285" s="82" t="inlineStr">
        <is>
          <t>Insumo</t>
        </is>
      </c>
      <c r="C1285" s="82" t="inlineStr">
        <is>
          <t>Parede Com Sistema Em Chapas De Gesso Para Drywall, Uso Interno, Montante 70mm, Com Duas Face Resistente a Umidade(RU/70/RU)</t>
        </is>
      </c>
      <c r="D1285" s="82" t="inlineStr">
        <is>
          <t>FITA DE PAPEL REFORCADA COM LAMINA DE METAL PARA REFORCO DE CANTOS DE CHAPA DE GESSO PARA DRYWALL</t>
        </is>
      </c>
      <c r="E1285" s="11">
        <f t="array" ref="E1285">_xlfn.XLOOKUP(D1285,Insumos!B:B,Insumos!C:$C)</f>
        <v/>
      </c>
      <c r="F1285" s="2164" t="n">
        <v>1.4815</v>
      </c>
      <c r="G1285" s="92">
        <f t="array" ref="G1285">IF(B1285="insumo",_xlfn.XLOOKUP($D1285,Insumos!$B$1:$B$996,Insumos!$D$1:$D$996),"")</f>
        <v/>
      </c>
      <c r="H1285" s="92" t="n">
        <v>4.05931</v>
      </c>
      <c r="I1285" s="2165" t="n">
        <v>0</v>
      </c>
      <c r="J1285" s="2165" t="n">
        <v>0</v>
      </c>
      <c r="K1285" s="2165" t="n"/>
    </row>
    <row r="1286" outlineLevel="3" ht="12.75" customHeight="1">
      <c r="A1286" s="82" t="n">
        <v>97</v>
      </c>
      <c r="B1286" s="82" t="inlineStr">
        <is>
          <t>Insumo</t>
        </is>
      </c>
      <c r="C1286" s="82" t="inlineStr">
        <is>
          <t>Parede Com Sistema Em Chapas De Gesso Para Drywall, Uso Interno, Montante 70mm, Com Duas Face Resistente a Umidade(RU/70/RU)</t>
        </is>
      </c>
      <c r="D1286" s="82" t="inlineStr">
        <is>
          <t>PARAFUSO DRY WALL, EM ACO FOSFATIZADO, CABECA TROMBETA E PONTA AGULHA (TA), COMPRIMENTO 25 MM</t>
        </is>
      </c>
      <c r="E1286" s="11">
        <f t="array" ref="E1286">_xlfn.XLOOKUP(D1286,Insumos!B:B,Insumos!C:$C)</f>
        <v/>
      </c>
      <c r="F1286" s="2164" t="n">
        <v>20.1868</v>
      </c>
      <c r="G1286" s="92">
        <f t="array" ref="G1286">IF(B1286="insumo",_xlfn.XLOOKUP($D1286,Insumos!$B$1:$B$996,Insumos!$D$1:$D$996),"")</f>
        <v/>
      </c>
      <c r="H1286" s="92" t="n">
        <v>1.816812</v>
      </c>
      <c r="I1286" s="2165" t="n">
        <v>0</v>
      </c>
      <c r="J1286" s="2165" t="n">
        <v>0</v>
      </c>
      <c r="K1286" s="2165" t="n"/>
    </row>
    <row r="1287" outlineLevel="3" ht="12.75" customHeight="1">
      <c r="A1287" s="82" t="n">
        <v>95</v>
      </c>
      <c r="B1287" s="82" t="inlineStr">
        <is>
          <t>Insumo</t>
        </is>
      </c>
      <c r="C1287" s="82" t="inlineStr">
        <is>
          <t>Parede Com Sistema Em Chapas De Gesso Para Drywall, Uso Interno, Montante 70mm, Com Duas Face Resistente a Umidade(RU/70/RU)</t>
        </is>
      </c>
      <c r="D1287" s="82" t="inlineStr">
        <is>
          <t>PARAFUSO DRY WALL, EM ACO ZINCADO, CABECA LENTILHA E PONTA BROCA (LB), LARGURA 4,2 MM, COMPRIMENTO 13 MM</t>
        </is>
      </c>
      <c r="E1287" s="11">
        <f t="array" ref="E1287">_xlfn.XLOOKUP(D1287,Insumos!B:B,Insumos!C:$C)</f>
        <v/>
      </c>
      <c r="F1287" s="2164" t="n">
        <v>0.4803</v>
      </c>
      <c r="G1287" s="92">
        <f t="array" ref="G1287">IF(B1287="insumo",_xlfn.XLOOKUP($D1287,Insumos!$B$1:$B$996,Insumos!$D$1:$D$996),"")</f>
        <v/>
      </c>
      <c r="H1287" s="92" t="n">
        <v>0.09606000000000001</v>
      </c>
      <c r="I1287" s="2165" t="n">
        <v>0</v>
      </c>
      <c r="J1287" s="2165" t="n">
        <v>0</v>
      </c>
      <c r="K1287" s="2165" t="n"/>
    </row>
    <row r="1288" outlineLevel="2" ht="12.75" customHeight="1">
      <c r="A1288" s="1071" t="n">
        <v>1</v>
      </c>
      <c r="B1288" s="1071" t="inlineStr">
        <is>
          <t>Serviço</t>
        </is>
      </c>
      <c r="C1288" s="1071" t="inlineStr">
        <is>
          <t>Parede Com Sistema Em Chapas De Gesso Para Drywall, Uso Interno, Montante 70mm, Com Uma Face Standart e Uma Face Resistente a Umidade(RU/70/ST)</t>
        </is>
      </c>
      <c r="D1288" s="1071" t="inlineStr">
        <is>
          <t>Parede Com Sistema Em Chapas De Gesso Para Drywall, Uso Interno, Montante 70mm, Com Uma Face Standart e Uma Face Resistente a Umidade(RU/70/ST)</t>
        </is>
      </c>
      <c r="E1288" s="1072" t="inlineStr">
        <is>
          <t>M2</t>
        </is>
      </c>
      <c r="F1288" s="1071" t="n"/>
      <c r="G1288" s="1073">
        <f t="array" ref="G1288">IF(B1288="insumo",_xlfn.XLOOKUP($D1288,Insumos!$B$1:$B$996,Insumos!$D$1:$D$996),"")</f>
        <v/>
      </c>
      <c r="H1288" s="1073" t="n">
        <v>176.076839</v>
      </c>
      <c r="I1288" s="2163" t="n">
        <v>0</v>
      </c>
      <c r="J1288" s="2163" t="n">
        <v>0</v>
      </c>
      <c r="K1288" s="2163" t="n"/>
    </row>
    <row r="1289" outlineLevel="3" ht="12.75" customHeight="1">
      <c r="A1289" s="82" t="n">
        <v>86</v>
      </c>
      <c r="B1289" s="82" t="inlineStr">
        <is>
          <t>Insumo</t>
        </is>
      </c>
      <c r="C1289" s="82" t="inlineStr">
        <is>
          <t>Parede Com Sistema Em Chapas De Gesso Para Drywall, Uso Interno, Montante 70mm, Com Uma Face Standart e Uma Face Resistente a Umidade(RU/70/ST)</t>
        </is>
      </c>
      <c r="D1289" s="82" t="inlineStr">
        <is>
          <t>SERVICO - CONFECCAO SHAFT GESSO</t>
        </is>
      </c>
      <c r="E1289" s="11">
        <f t="array" ref="E1289">_xlfn.XLOOKUP(D1289,Insumos!B:B,Insumos!C:$C)</f>
        <v/>
      </c>
      <c r="F1289" s="2164" t="n">
        <v>1</v>
      </c>
      <c r="G1289" s="92">
        <f t="array" ref="G1289">IF(B1289="insumo",_xlfn.XLOOKUP($D1289,Insumos!$B$1:$B$996,Insumos!$D$1:$D$996),"")</f>
        <v/>
      </c>
      <c r="H1289" s="92" t="n">
        <v>70</v>
      </c>
      <c r="I1289" s="2165" t="n">
        <v>0</v>
      </c>
      <c r="J1289" s="2165" t="n">
        <v>0</v>
      </c>
      <c r="K1289" s="2165" t="n"/>
    </row>
    <row r="1290" outlineLevel="3" ht="12.75" customHeight="1">
      <c r="A1290" s="82" t="n">
        <v>47</v>
      </c>
      <c r="B1290" s="82" t="inlineStr">
        <is>
          <t>Insumo</t>
        </is>
      </c>
      <c r="C1290" s="82" t="inlineStr">
        <is>
          <t>Parede Com Sistema Em Chapas De Gesso Para Drywall, Uso Interno, Montante 70mm, Com Uma Face Standart e Uma Face Resistente a Umidade(RU/70/ST)</t>
        </is>
      </c>
      <c r="D1290" s="82" t="inlineStr">
        <is>
          <t>PLACA / CHAPA DE GESSO ACARTONADO, STANDARD (ST), COR BRANCA, E = 12,5 MM, 1200 X 2400 MM (L X C)</t>
        </is>
      </c>
      <c r="E1290" s="11">
        <f t="array" ref="E1290">_xlfn.XLOOKUP(D1290,Insumos!B:B,Insumos!C:$C)</f>
        <v/>
      </c>
      <c r="F1290" s="2164" t="n">
        <v>1.053</v>
      </c>
      <c r="G1290" s="92">
        <f t="array" ref="G1290">IF(B1290="insumo",_xlfn.XLOOKUP($D1290,Insumos!$B$1:$B$996,Insumos!$D$1:$D$996),"")</f>
        <v/>
      </c>
      <c r="H1290" s="92" t="n">
        <v>21.22848</v>
      </c>
      <c r="I1290" s="2165" t="n">
        <v>0</v>
      </c>
      <c r="J1290" s="2165" t="n">
        <v>0</v>
      </c>
      <c r="K1290" s="2165" t="n"/>
    </row>
    <row r="1291" outlineLevel="3" ht="12.75" customHeight="1">
      <c r="A1291" s="82" t="n">
        <v>49</v>
      </c>
      <c r="B1291" s="82" t="inlineStr">
        <is>
          <t>Insumo</t>
        </is>
      </c>
      <c r="C1291" s="82" t="inlineStr">
        <is>
          <t>Parede Com Sistema Em Chapas De Gesso Para Drywall, Uso Interno, Montante 70mm, Com Uma Face Standart e Uma Face Resistente a Umidade(RU/70/ST)</t>
        </is>
      </c>
      <c r="D1291" s="82" t="inlineStr">
        <is>
          <t>PLACA / CHAPA DE GESSO ACARTONADO, RESISTENTE A UMIDADE (RU), COR VERDE, E = 12,5 MM, 1200 X 2400 MM (L X C)</t>
        </is>
      </c>
      <c r="E1291" s="11">
        <f t="array" ref="E1291">_xlfn.XLOOKUP(D1291,Insumos!B:B,Insumos!C:$C)</f>
        <v/>
      </c>
      <c r="F1291" s="2164" t="n">
        <v>1.053</v>
      </c>
      <c r="G1291" s="92">
        <f t="array" ref="G1291">IF(B1291="insumo",_xlfn.XLOOKUP($D1291,Insumos!$B$1:$B$996,Insumos!$D$1:$D$996),"")</f>
        <v/>
      </c>
      <c r="H1291" s="92" t="n">
        <v>28.5363</v>
      </c>
      <c r="I1291" s="2165" t="n">
        <v>0</v>
      </c>
      <c r="J1291" s="2165" t="n">
        <v>0</v>
      </c>
      <c r="K1291" s="2165" t="n"/>
    </row>
    <row r="1292" outlineLevel="3" ht="12.75" customHeight="1">
      <c r="A1292" s="82" t="n">
        <v>95</v>
      </c>
      <c r="B1292" s="82" t="inlineStr">
        <is>
          <t>Insumo</t>
        </is>
      </c>
      <c r="C1292" s="82" t="inlineStr">
        <is>
          <t>Parede Com Sistema Em Chapas De Gesso Para Drywall, Uso Interno, Montante 70mm, Com Uma Face Standart e Uma Face Resistente a Umidade(RU/70/ST)</t>
        </is>
      </c>
      <c r="D1292" s="82" t="inlineStr">
        <is>
          <t>PINO DE ACO COM ARRUELA CONICA, DIAMETRO ARRUELA = *23* MM E COMP HASTE = *27* MM (ACAO INDIRETA)</t>
        </is>
      </c>
      <c r="E1292" s="11">
        <f t="array" ref="E1292">_xlfn.XLOOKUP(D1292,Insumos!B:B,Insumos!C:$C)</f>
        <v/>
      </c>
      <c r="F1292" s="2164" t="n">
        <v>4.95</v>
      </c>
      <c r="G1292" s="92">
        <f t="array" ref="G1292">IF(B1292="insumo",_xlfn.XLOOKUP($D1292,Insumos!$B$1:$B$996,Insumos!$D$1:$D$996),"")</f>
        <v/>
      </c>
      <c r="H1292" s="92" t="n">
        <v>2.4948</v>
      </c>
      <c r="I1292" s="2165" t="n">
        <v>0</v>
      </c>
      <c r="J1292" s="2165" t="n">
        <v>0</v>
      </c>
      <c r="K1292" s="2165" t="n"/>
    </row>
    <row r="1293" outlineLevel="3" ht="12.75" customHeight="1">
      <c r="A1293" s="82" t="n">
        <v>43</v>
      </c>
      <c r="B1293" s="82" t="inlineStr">
        <is>
          <t>Insumo</t>
        </is>
      </c>
      <c r="C1293" s="82" t="inlineStr">
        <is>
          <t>Parede Com Sistema Em Chapas De Gesso Para Drywall, Uso Interno, Montante 70mm, Com Uma Face Standart e Uma Face Resistente a Umidade(RU/70/ST)</t>
        </is>
      </c>
      <c r="D1293" s="82" t="inlineStr">
        <is>
          <t>PERFIL GUIA, FORMATO U, EM ACO ZINCADO, PARA ESTRUTURA PAREDE DRYWALL, E = 0,5 MM, 70 X 3000 MM (L X C)</t>
        </is>
      </c>
      <c r="E1293" s="11">
        <f t="array" ref="E1293">_xlfn.XLOOKUP(D1293,Insumos!B:B,Insumos!C:$C)</f>
        <v/>
      </c>
      <c r="F1293" s="2164" t="n">
        <v>1.5248</v>
      </c>
      <c r="G1293" s="92">
        <f t="array" ref="G1293">IF(B1293="insumo",_xlfn.XLOOKUP($D1293,Insumos!$B$1:$B$996,Insumos!$D$1:$D$996),"")</f>
        <v/>
      </c>
      <c r="H1293" s="92" t="n">
        <v>11.375008</v>
      </c>
      <c r="I1293" s="2165" t="n">
        <v>0</v>
      </c>
      <c r="J1293" s="2165" t="n">
        <v>0</v>
      </c>
      <c r="K1293" s="2165" t="n"/>
    </row>
    <row r="1294" outlineLevel="3" ht="12.75" customHeight="1">
      <c r="A1294" s="82" t="n">
        <v>43</v>
      </c>
      <c r="B1294" s="82" t="inlineStr">
        <is>
          <t>Insumo</t>
        </is>
      </c>
      <c r="C1294" s="82" t="inlineStr">
        <is>
          <t>Parede Com Sistema Em Chapas De Gesso Para Drywall, Uso Interno, Montante 70mm, Com Uma Face Standart e Uma Face Resistente a Umidade(RU/70/ST)</t>
        </is>
      </c>
      <c r="D1294" s="82" t="inlineStr">
        <is>
          <t>PERFIL MONTANTE, FORMATO C, EM ACO ZINCADO, PARA ESTRUTURA PAREDE DRYWALL, E = 0,5 MM, 70 X 3000 MM (L X C)</t>
        </is>
      </c>
      <c r="E1294" s="11">
        <f t="array" ref="E1294">_xlfn.XLOOKUP(D1294,Insumos!B:B,Insumos!C:$C)</f>
        <v/>
      </c>
      <c r="F1294" s="2164" t="n">
        <v>4.0011</v>
      </c>
      <c r="G1294" s="92">
        <f t="array" ref="G1294">IF(B1294="insumo",_xlfn.XLOOKUP($D1294,Insumos!$B$1:$B$996,Insumos!$D$1:$D$996),"")</f>
        <v/>
      </c>
      <c r="H1294" s="92" t="n">
        <v>31.928778</v>
      </c>
      <c r="I1294" s="2165" t="n">
        <v>0</v>
      </c>
      <c r="J1294" s="2165" t="n">
        <v>0</v>
      </c>
      <c r="K1294" s="2165" t="n"/>
    </row>
    <row r="1295" outlineLevel="3" ht="12.75" customHeight="1">
      <c r="A1295" s="82" t="n">
        <v>95</v>
      </c>
      <c r="B1295" s="82" t="inlineStr">
        <is>
          <t>Insumo</t>
        </is>
      </c>
      <c r="C1295" s="82" t="inlineStr">
        <is>
          <t>Parede Com Sistema Em Chapas De Gesso Para Drywall, Uso Interno, Montante 70mm, Com Uma Face Standart e Uma Face Resistente a Umidade(RU/70/ST)</t>
        </is>
      </c>
      <c r="D1295" s="82" t="inlineStr">
        <is>
          <t>MASSA DE REJUNTE EM PO PARA DRYWALL, A BASE DE GESSO, SECAGEM RAPIDA, PARA TRATAMENTO DE JUNTAS DE CHAPA DE GESSO (NECESSITA ADICAO DE AGUA)</t>
        </is>
      </c>
      <c r="E1295" s="11">
        <f t="array" ref="E1295">_xlfn.XLOOKUP(D1295,Insumos!B:B,Insumos!C:$C)</f>
        <v/>
      </c>
      <c r="F1295" s="2164" t="n">
        <v>1.0978</v>
      </c>
      <c r="G1295" s="92">
        <f t="array" ref="G1295">IF(B1295="insumo",_xlfn.XLOOKUP($D1295,Insumos!$B$1:$B$996,Insumos!$D$1:$D$996),"")</f>
        <v/>
      </c>
      <c r="H1295" s="92" t="n">
        <v>3.765454</v>
      </c>
      <c r="I1295" s="2165" t="n">
        <v>0</v>
      </c>
      <c r="J1295" s="2165" t="n">
        <v>0</v>
      </c>
      <c r="K1295" s="2165" t="n"/>
    </row>
    <row r="1296" outlineLevel="3" ht="12.75" customHeight="1">
      <c r="A1296" s="82" t="n">
        <v>94</v>
      </c>
      <c r="B1296" s="82" t="inlineStr">
        <is>
          <t>Insumo</t>
        </is>
      </c>
      <c r="C1296" s="82" t="inlineStr">
        <is>
          <t>Parede Com Sistema Em Chapas De Gesso Para Drywall, Uso Interno, Montante 70mm, Com Uma Face Standart e Uma Face Resistente a Umidade(RU/70/ST)</t>
        </is>
      </c>
      <c r="D1296" s="82" t="inlineStr">
        <is>
          <t>FITA DE PAPEL MICROPERFURADO, 50 X 150 MM, PARA TRATAMENTO DE JUNTAS DE CHAPA DE GESSO PARA DRYWALL</t>
        </is>
      </c>
      <c r="E1296" s="11">
        <f t="array" ref="E1296">_xlfn.XLOOKUP(D1296,Insumos!B:B,Insumos!C:$C)</f>
        <v/>
      </c>
      <c r="F1296" s="2164" t="n">
        <v>2.5027</v>
      </c>
      <c r="G1296" s="92">
        <f t="array" ref="G1296">IF(B1296="insumo",_xlfn.XLOOKUP($D1296,Insumos!$B$1:$B$996,Insumos!$D$1:$D$996),"")</f>
        <v/>
      </c>
      <c r="H1296" s="92" t="n">
        <v>0.775837</v>
      </c>
      <c r="I1296" s="2165" t="n">
        <v>0</v>
      </c>
      <c r="J1296" s="2165" t="n">
        <v>0</v>
      </c>
      <c r="K1296" s="2165" t="n"/>
    </row>
    <row r="1297" outlineLevel="3" ht="12.75" customHeight="1">
      <c r="A1297" s="82" t="n">
        <v>94</v>
      </c>
      <c r="B1297" s="82" t="inlineStr">
        <is>
          <t>Insumo</t>
        </is>
      </c>
      <c r="C1297" s="82" t="inlineStr">
        <is>
          <t>Parede Com Sistema Em Chapas De Gesso Para Drywall, Uso Interno, Montante 70mm, Com Uma Face Standart e Uma Face Resistente a Umidade(RU/70/ST)</t>
        </is>
      </c>
      <c r="D1297" s="82" t="inlineStr">
        <is>
          <t>FITA DE PAPEL REFORCADA COM LAMINA DE METAL PARA REFORCO DE CANTOS DE CHAPA DE GESSO PARA DRYWALL</t>
        </is>
      </c>
      <c r="E1297" s="11">
        <f t="array" ref="E1297">_xlfn.XLOOKUP(D1297,Insumos!B:B,Insumos!C:$C)</f>
        <v/>
      </c>
      <c r="F1297" s="2164" t="n">
        <v>1.4815</v>
      </c>
      <c r="G1297" s="92">
        <f t="array" ref="G1297">IF(B1297="insumo",_xlfn.XLOOKUP($D1297,Insumos!$B$1:$B$996,Insumos!$D$1:$D$996),"")</f>
        <v/>
      </c>
      <c r="H1297" s="92" t="n">
        <v>4.05931</v>
      </c>
      <c r="I1297" s="2165" t="n">
        <v>0</v>
      </c>
      <c r="J1297" s="2165" t="n">
        <v>0</v>
      </c>
      <c r="K1297" s="2165" t="n"/>
    </row>
    <row r="1298" outlineLevel="3" ht="12.75" customHeight="1">
      <c r="A1298" s="82" t="n">
        <v>97</v>
      </c>
      <c r="B1298" s="82" t="inlineStr">
        <is>
          <t>Insumo</t>
        </is>
      </c>
      <c r="C1298" s="82" t="inlineStr">
        <is>
          <t>Parede Com Sistema Em Chapas De Gesso Para Drywall, Uso Interno, Montante 70mm, Com Uma Face Standart e Uma Face Resistente a Umidade(RU/70/ST)</t>
        </is>
      </c>
      <c r="D1298" s="82" t="inlineStr">
        <is>
          <t>PARAFUSO DRY WALL, EM ACO FOSFATIZADO, CABECA TROMBETA E PONTA AGULHA (TA), COMPRIMENTO 25 MM</t>
        </is>
      </c>
      <c r="E1298" s="11">
        <f t="array" ref="E1298">_xlfn.XLOOKUP(D1298,Insumos!B:B,Insumos!C:$C)</f>
        <v/>
      </c>
      <c r="F1298" s="2164" t="n">
        <v>20.1868</v>
      </c>
      <c r="G1298" s="92">
        <f t="array" ref="G1298">IF(B1298="insumo",_xlfn.XLOOKUP($D1298,Insumos!$B$1:$B$996,Insumos!$D$1:$D$996),"")</f>
        <v/>
      </c>
      <c r="H1298" s="92" t="n">
        <v>1.816812</v>
      </c>
      <c r="I1298" s="2165" t="n">
        <v>0</v>
      </c>
      <c r="J1298" s="2165" t="n">
        <v>0</v>
      </c>
      <c r="K1298" s="2165" t="n"/>
    </row>
    <row r="1299" outlineLevel="3" ht="12.75" customHeight="1">
      <c r="A1299" s="82" t="n">
        <v>95</v>
      </c>
      <c r="B1299" s="82" t="inlineStr">
        <is>
          <t>Insumo</t>
        </is>
      </c>
      <c r="C1299" s="82" t="inlineStr">
        <is>
          <t>Parede Com Sistema Em Chapas De Gesso Para Drywall, Uso Interno, Montante 70mm, Com Uma Face Standart e Uma Face Resistente a Umidade(RU/70/ST)</t>
        </is>
      </c>
      <c r="D1299" s="82" t="inlineStr">
        <is>
          <t>PARAFUSO DRY WALL, EM ACO ZINCADO, CABECA LENTILHA E PONTA BROCA (LB), LARGURA 4,2 MM, COMPRIMENTO 13 MM</t>
        </is>
      </c>
      <c r="E1299" s="11">
        <f t="array" ref="E1299">_xlfn.XLOOKUP(D1299,Insumos!B:B,Insumos!C:$C)</f>
        <v/>
      </c>
      <c r="F1299" s="2164" t="n">
        <v>0.4803</v>
      </c>
      <c r="G1299" s="92">
        <f t="array" ref="G1299">IF(B1299="insumo",_xlfn.XLOOKUP($D1299,Insumos!$B$1:$B$996,Insumos!$D$1:$D$996),"")</f>
        <v/>
      </c>
      <c r="H1299" s="92" t="n">
        <v>0.09606000000000001</v>
      </c>
      <c r="I1299" s="2165" t="n">
        <v>0</v>
      </c>
      <c r="J1299" s="2165" t="n">
        <v>0</v>
      </c>
      <c r="K1299" s="2165" t="n"/>
    </row>
    <row r="1300" outlineLevel="2" ht="12.75" customHeight="1">
      <c r="A1300" s="1071" t="n">
        <v>1</v>
      </c>
      <c r="B1300" s="1071" t="inlineStr">
        <is>
          <t>Serviço</t>
        </is>
      </c>
      <c r="C1300" s="1071" t="inlineStr">
        <is>
          <t>Parede Com Sistema Em Chapas De Gesso Para Drywall, Uso Interno, Montante 90mm, Com Uma Face Simples Standart (ST/90)</t>
        </is>
      </c>
      <c r="D1300" s="1071" t="inlineStr">
        <is>
          <t>Parede Com Sistema Em Chapas De Gesso Para Drywall, Uso Interno, Montante 90mm, Com Uma Face Simples Standart (ST/90)</t>
        </is>
      </c>
      <c r="E1300" s="1072" t="inlineStr">
        <is>
          <t>M2</t>
        </is>
      </c>
      <c r="F1300" s="1071" t="n"/>
      <c r="G1300" s="1073">
        <f t="array" ref="G1300">IF(B1300="insumo",_xlfn.XLOOKUP($D1300,Insumos!$B$1:$B$996,Insumos!$D$1:$D$996),"")</f>
        <v/>
      </c>
      <c r="H1300" s="1073" t="n">
        <v>140.561004</v>
      </c>
      <c r="I1300" s="2163" t="n">
        <v>0</v>
      </c>
      <c r="J1300" s="2163" t="n">
        <v>0</v>
      </c>
      <c r="K1300" s="2163" t="n"/>
    </row>
    <row r="1301" outlineLevel="3" ht="12.75" customHeight="1">
      <c r="A1301" s="82" t="n">
        <v>86</v>
      </c>
      <c r="B1301" s="82" t="inlineStr">
        <is>
          <t>Insumo</t>
        </is>
      </c>
      <c r="C1301" s="82" t="inlineStr">
        <is>
          <t>Parede Com Sistema Em Chapas De Gesso Para Drywall, Uso Interno, Montante 90mm, Com Uma Face Simples Standart (ST/90)</t>
        </is>
      </c>
      <c r="D1301" s="82" t="inlineStr">
        <is>
          <t>SERVICO - CONFECCAO SHAFT GESSO</t>
        </is>
      </c>
      <c r="E1301" s="11">
        <f t="array" ref="E1301">_xlfn.XLOOKUP(D1301,Insumos!B:B,Insumos!C:$C)</f>
        <v/>
      </c>
      <c r="F1301" s="2164" t="n">
        <v>1</v>
      </c>
      <c r="G1301" s="92">
        <f t="array" ref="G1301">IF(B1301="insumo",_xlfn.XLOOKUP($D1301,Insumos!$B$1:$B$996,Insumos!$D$1:$D$996),"")</f>
        <v/>
      </c>
      <c r="H1301" s="92" t="n">
        <v>70</v>
      </c>
      <c r="I1301" s="2165" t="n">
        <v>0</v>
      </c>
      <c r="J1301" s="2165" t="n">
        <v>0</v>
      </c>
      <c r="K1301" s="2165" t="n"/>
    </row>
    <row r="1302" outlineLevel="3" ht="12.75" customHeight="1">
      <c r="A1302" s="82" t="n">
        <v>47</v>
      </c>
      <c r="B1302" s="82" t="inlineStr">
        <is>
          <t>Insumo</t>
        </is>
      </c>
      <c r="C1302" s="82" t="inlineStr">
        <is>
          <t>Parede Com Sistema Em Chapas De Gesso Para Drywall, Uso Interno, Montante 90mm, Com Uma Face Simples Standart (ST/90)</t>
        </is>
      </c>
      <c r="D1302" s="82" t="inlineStr">
        <is>
          <t>PLACA / CHAPA DE GESSO ACARTONADO, STANDARD (ST), COR BRANCA, E = 12,5 MM, 1200 X 2400 MM (L X C)</t>
        </is>
      </c>
      <c r="E1302" s="11">
        <f t="array" ref="E1302">_xlfn.XLOOKUP(D1302,Insumos!B:B,Insumos!C:$C)</f>
        <v/>
      </c>
      <c r="F1302" s="2164" t="n">
        <v>1.053</v>
      </c>
      <c r="G1302" s="92">
        <f t="array" ref="G1302">IF(B1302="insumo",_xlfn.XLOOKUP($D1302,Insumos!$B$1:$B$996,Insumos!$D$1:$D$996),"")</f>
        <v/>
      </c>
      <c r="H1302" s="92" t="n">
        <v>21.22848</v>
      </c>
      <c r="I1302" s="2165" t="n">
        <v>0</v>
      </c>
      <c r="J1302" s="2165" t="n">
        <v>0</v>
      </c>
      <c r="K1302" s="2165" t="n"/>
    </row>
    <row r="1303" outlineLevel="3" ht="12.75" customHeight="1">
      <c r="A1303" s="82" t="n">
        <v>95</v>
      </c>
      <c r="B1303" s="82" t="inlineStr">
        <is>
          <t>Insumo</t>
        </is>
      </c>
      <c r="C1303" s="82" t="inlineStr">
        <is>
          <t>Parede Com Sistema Em Chapas De Gesso Para Drywall, Uso Interno, Montante 90mm, Com Uma Face Simples Standart (ST/90)</t>
        </is>
      </c>
      <c r="D1303" s="82" t="inlineStr">
        <is>
          <t>PINO DE ACO COM ARRUELA CONICA, DIAMETRO ARRUELA = *23* MM E COMP HASTE = *27* MM (ACAO INDIRETA)</t>
        </is>
      </c>
      <c r="E1303" s="11">
        <f t="array" ref="E1303">_xlfn.XLOOKUP(D1303,Insumos!B:B,Insumos!C:$C)</f>
        <v/>
      </c>
      <c r="F1303" s="2164" t="n">
        <v>2.48</v>
      </c>
      <c r="G1303" s="92">
        <f t="array" ref="G1303">IF(B1303="insumo",_xlfn.XLOOKUP($D1303,Insumos!$B$1:$B$996,Insumos!$D$1:$D$996),"")</f>
        <v/>
      </c>
      <c r="H1303" s="92" t="n">
        <v>1.24992</v>
      </c>
      <c r="I1303" s="2165" t="n">
        <v>0</v>
      </c>
      <c r="J1303" s="2165" t="n">
        <v>0</v>
      </c>
      <c r="K1303" s="2165" t="n"/>
    </row>
    <row r="1304" outlineLevel="3" ht="12.75" customHeight="1">
      <c r="A1304" s="82" t="n">
        <v>26</v>
      </c>
      <c r="B1304" s="82" t="inlineStr">
        <is>
          <t>Insumo</t>
        </is>
      </c>
      <c r="C1304" s="82" t="inlineStr">
        <is>
          <t>Parede Com Sistema Em Chapas De Gesso Para Drywall, Uso Interno, Montante 90mm, Com Uma Face Simples Standart (ST/90)</t>
        </is>
      </c>
      <c r="D1304" s="82" t="inlineStr">
        <is>
          <t>PERFIL GUIA, FORMATO U, EM ACO ZINCADO, PARA ESTRUTURA PAREDE DRYWALL, E = 0,5 MM, 90 X 3000 MM (L X C)</t>
        </is>
      </c>
      <c r="E1304" s="11">
        <f t="array" ref="E1304">_xlfn.XLOOKUP(D1304,Insumos!B:B,Insumos!C:$C)</f>
        <v/>
      </c>
      <c r="F1304" s="2164" t="n">
        <v>0.7624</v>
      </c>
      <c r="G1304" s="92">
        <f t="array" ref="G1304">IF(B1304="insumo",_xlfn.XLOOKUP($D1304,Insumos!$B$1:$B$996,Insumos!$D$1:$D$996),"")</f>
        <v/>
      </c>
      <c r="H1304" s="92" t="n">
        <v>6.587136</v>
      </c>
      <c r="I1304" s="2165" t="n">
        <v>0</v>
      </c>
      <c r="J1304" s="2165" t="n">
        <v>0</v>
      </c>
      <c r="K1304" s="2165" t="n"/>
    </row>
    <row r="1305" outlineLevel="3" ht="12.75" customHeight="1">
      <c r="A1305" s="82" t="n">
        <v>26</v>
      </c>
      <c r="B1305" s="82" t="inlineStr">
        <is>
          <t>Insumo</t>
        </is>
      </c>
      <c r="C1305" s="82" t="inlineStr">
        <is>
          <t>Parede Com Sistema Em Chapas De Gesso Para Drywall, Uso Interno, Montante 90mm, Com Uma Face Simples Standart (ST/90)</t>
        </is>
      </c>
      <c r="D1305" s="82" t="inlineStr">
        <is>
          <t>PERFIL MONTANTE, FORMATO C, EM ACO ZINCADO, PARA ESTRUTURA PAREDE DRYWALL, E = 0,5 MM, 90 X 3000 MM (L X C)</t>
        </is>
      </c>
      <c r="E1305" s="11">
        <f t="array" ref="E1305">_xlfn.XLOOKUP(D1305,Insumos!B:B,Insumos!C:$C)</f>
        <v/>
      </c>
      <c r="F1305" s="2164" t="n">
        <v>2.0006</v>
      </c>
      <c r="G1305" s="92">
        <f t="array" ref="G1305">IF(B1305="insumo",_xlfn.XLOOKUP($D1305,Insumos!$B$1:$B$996,Insumos!$D$1:$D$996),"")</f>
        <v/>
      </c>
      <c r="H1305" s="92" t="n">
        <v>36.190854</v>
      </c>
      <c r="I1305" s="2165" t="n">
        <v>0</v>
      </c>
      <c r="J1305" s="2165" t="n">
        <v>0</v>
      </c>
      <c r="K1305" s="2165" t="n"/>
    </row>
    <row r="1306" outlineLevel="3" ht="12.75" customHeight="1">
      <c r="A1306" s="82" t="n">
        <v>95</v>
      </c>
      <c r="B1306" s="82" t="inlineStr">
        <is>
          <t>Insumo</t>
        </is>
      </c>
      <c r="C1306" s="82" t="inlineStr">
        <is>
          <t>Parede Com Sistema Em Chapas De Gesso Para Drywall, Uso Interno, Montante 90mm, Com Uma Face Simples Standart (ST/90)</t>
        </is>
      </c>
      <c r="D1306" s="82" t="inlineStr">
        <is>
          <t>MASSA DE REJUNTE EM PO PARA DRYWALL, A BASE DE GESSO, SECAGEM RAPIDA, PARA TRATAMENTO DE JUNTAS DE CHAPA DE GESSO (NECESSITA ADICAO DE AGUA)</t>
        </is>
      </c>
      <c r="E1306" s="11">
        <f t="array" ref="E1306">_xlfn.XLOOKUP(D1306,Insumos!B:B,Insumos!C:$C)</f>
        <v/>
      </c>
      <c r="F1306" s="2164" t="n">
        <v>0.5489000000000001</v>
      </c>
      <c r="G1306" s="92">
        <f t="array" ref="G1306">IF(B1306="insumo",_xlfn.XLOOKUP($D1306,Insumos!$B$1:$B$996,Insumos!$D$1:$D$996),"")</f>
        <v/>
      </c>
      <c r="H1306" s="92" t="n">
        <v>1.882727</v>
      </c>
      <c r="I1306" s="2165" t="n">
        <v>0</v>
      </c>
      <c r="J1306" s="2165" t="n">
        <v>0</v>
      </c>
      <c r="K1306" s="2165" t="n"/>
    </row>
    <row r="1307" outlineLevel="3" ht="12.75" customHeight="1">
      <c r="A1307" s="82" t="n">
        <v>94</v>
      </c>
      <c r="B1307" s="82" t="inlineStr">
        <is>
          <t>Insumo</t>
        </is>
      </c>
      <c r="C1307" s="82" t="inlineStr">
        <is>
          <t>Parede Com Sistema Em Chapas De Gesso Para Drywall, Uso Interno, Montante 90mm, Com Uma Face Simples Standart (ST/90)</t>
        </is>
      </c>
      <c r="D1307" s="82" t="inlineStr">
        <is>
          <t>FITA DE PAPEL MICROPERFURADO, 50 X 150 MM, PARA TRATAMENTO DE JUNTAS DE CHAPA DE GESSO PARA DRYWALL</t>
        </is>
      </c>
      <c r="E1307" s="11">
        <f t="array" ref="E1307">_xlfn.XLOOKUP(D1307,Insumos!B:B,Insumos!C:$C)</f>
        <v/>
      </c>
      <c r="F1307" s="2164" t="n">
        <v>1.2513</v>
      </c>
      <c r="G1307" s="92">
        <f t="array" ref="G1307">IF(B1307="insumo",_xlfn.XLOOKUP($D1307,Insumos!$B$1:$B$996,Insumos!$D$1:$D$996),"")</f>
        <v/>
      </c>
      <c r="H1307" s="92" t="n">
        <v>0.387903</v>
      </c>
      <c r="I1307" s="2165" t="n">
        <v>0</v>
      </c>
      <c r="J1307" s="2165" t="n">
        <v>0</v>
      </c>
      <c r="K1307" s="2165" t="n"/>
    </row>
    <row r="1308" outlineLevel="3" ht="12.75" customHeight="1">
      <c r="A1308" s="82" t="n">
        <v>94</v>
      </c>
      <c r="B1308" s="82" t="inlineStr">
        <is>
          <t>Insumo</t>
        </is>
      </c>
      <c r="C1308" s="82" t="inlineStr">
        <is>
          <t>Parede Com Sistema Em Chapas De Gesso Para Drywall, Uso Interno, Montante 90mm, Com Uma Face Simples Standart (ST/90)</t>
        </is>
      </c>
      <c r="D1308" s="82" t="inlineStr">
        <is>
          <t>FITA DE PAPEL REFORCADA COM LAMINA DE METAL PARA REFORCO DE CANTOS DE CHAPA DE GESSO PARA DRYWALL</t>
        </is>
      </c>
      <c r="E1308" s="11">
        <f t="array" ref="E1308">_xlfn.XLOOKUP(D1308,Insumos!B:B,Insumos!C:$C)</f>
        <v/>
      </c>
      <c r="F1308" s="2164" t="n">
        <v>0.7407</v>
      </c>
      <c r="G1308" s="92">
        <f t="array" ref="G1308">IF(B1308="insumo",_xlfn.XLOOKUP($D1308,Insumos!$B$1:$B$996,Insumos!$D$1:$D$996),"")</f>
        <v/>
      </c>
      <c r="H1308" s="92" t="n">
        <v>2.029518</v>
      </c>
      <c r="I1308" s="2165" t="n">
        <v>0</v>
      </c>
      <c r="J1308" s="2165" t="n">
        <v>0</v>
      </c>
      <c r="K1308" s="2165" t="n"/>
    </row>
    <row r="1309" outlineLevel="3" ht="12.75" customHeight="1">
      <c r="A1309" s="82" t="n">
        <v>97</v>
      </c>
      <c r="B1309" s="82" t="inlineStr">
        <is>
          <t>Insumo</t>
        </is>
      </c>
      <c r="C1309" s="82" t="inlineStr">
        <is>
          <t>Parede Com Sistema Em Chapas De Gesso Para Drywall, Uso Interno, Montante 90mm, Com Uma Face Simples Standart (ST/90)</t>
        </is>
      </c>
      <c r="D1309" s="82" t="inlineStr">
        <is>
          <t>PARAFUSO DRY WALL, EM ACO FOSFATIZADO, CABECA TROMBETA E PONTA AGULHA (TA), COMPRIMENTO 25 MM</t>
        </is>
      </c>
      <c r="E1309" s="11">
        <f t="array" ref="E1309">_xlfn.XLOOKUP(D1309,Insumos!B:B,Insumos!C:$C)</f>
        <v/>
      </c>
      <c r="F1309" s="2164" t="n">
        <v>10.0934</v>
      </c>
      <c r="G1309" s="92">
        <f t="array" ref="G1309">IF(B1309="insumo",_xlfn.XLOOKUP($D1309,Insumos!$B$1:$B$996,Insumos!$D$1:$D$996),"")</f>
        <v/>
      </c>
      <c r="H1309" s="92" t="n">
        <v>0.908406</v>
      </c>
      <c r="I1309" s="2165" t="n">
        <v>0</v>
      </c>
      <c r="J1309" s="2165" t="n">
        <v>0</v>
      </c>
      <c r="K1309" s="2165" t="n"/>
    </row>
    <row r="1310" outlineLevel="3" ht="12.75" customHeight="1">
      <c r="A1310" s="82" t="n">
        <v>95</v>
      </c>
      <c r="B1310" s="82" t="inlineStr">
        <is>
          <t>Insumo</t>
        </is>
      </c>
      <c r="C1310" s="82" t="inlineStr">
        <is>
          <t>Parede Com Sistema Em Chapas De Gesso Para Drywall, Uso Interno, Montante 90mm, Com Uma Face Simples Standart (ST/90)</t>
        </is>
      </c>
      <c r="D1310" s="82" t="inlineStr">
        <is>
          <t>PARAFUSO DRY WALL, EM ACO ZINCADO, CABECA LENTILHA E PONTA BROCA (LB), LARGURA 4,2 MM, COMPRIMENTO 13 MM</t>
        </is>
      </c>
      <c r="E1310" s="11">
        <f t="array" ref="E1310">_xlfn.XLOOKUP(D1310,Insumos!B:B,Insumos!C:$C)</f>
        <v/>
      </c>
      <c r="F1310" s="2164" t="n">
        <v>0.4803</v>
      </c>
      <c r="G1310" s="92">
        <f t="array" ref="G1310">IF(B1310="insumo",_xlfn.XLOOKUP($D1310,Insumos!$B$1:$B$996,Insumos!$D$1:$D$996),"")</f>
        <v/>
      </c>
      <c r="H1310" s="92" t="n">
        <v>0.09606000000000001</v>
      </c>
      <c r="I1310" s="2165" t="n">
        <v>0</v>
      </c>
      <c r="J1310" s="2165" t="n">
        <v>0</v>
      </c>
      <c r="K1310" s="2165" t="n"/>
    </row>
    <row r="1311" outlineLevel="2" ht="12.75" customHeight="1">
      <c r="A1311" s="1071" t="n">
        <v>1</v>
      </c>
      <c r="B1311" s="1071" t="inlineStr">
        <is>
          <t>Serviço</t>
        </is>
      </c>
      <c r="C1311" s="1071" t="inlineStr">
        <is>
          <t>Parede Com Sistema Em Chapas De Gesso Para Drywall, Uso Interno, Montante 90mm, Com Uma Face Simples Resistente à Umidade (RU/90)</t>
        </is>
      </c>
      <c r="D1311" s="1071" t="inlineStr">
        <is>
          <t>Parede Com Sistema Em Chapas De Gesso Para Drywall, Uso Interno, Montante 90mm, Com Uma Face Simples Resistente à Umidade (RU/90)</t>
        </is>
      </c>
      <c r="E1311" s="1072" t="inlineStr">
        <is>
          <t>M2</t>
        </is>
      </c>
      <c r="F1311" s="1071" t="n"/>
      <c r="G1311" s="1073">
        <f t="array" ref="G1311">IF(B1311="insumo",_xlfn.XLOOKUP($D1311,Insumos!$B$1:$B$996,Insumos!$D$1:$D$996),"")</f>
        <v/>
      </c>
      <c r="H1311" s="1073" t="n">
        <v>147.868824</v>
      </c>
      <c r="I1311" s="2163" t="n">
        <v>0</v>
      </c>
      <c r="J1311" s="2163" t="n">
        <v>0</v>
      </c>
      <c r="K1311" s="2163" t="n"/>
    </row>
    <row r="1312" outlineLevel="3" ht="12.75" customHeight="1">
      <c r="A1312" s="82" t="n">
        <v>86</v>
      </c>
      <c r="B1312" s="82" t="inlineStr">
        <is>
          <t>Insumo</t>
        </is>
      </c>
      <c r="C1312" s="82" t="inlineStr">
        <is>
          <t>Parede Com Sistema Em Chapas De Gesso Para Drywall, Uso Interno, Montante 90mm, Com Uma Face Simples Resistente à Umidade (RU/90)</t>
        </is>
      </c>
      <c r="D1312" s="82" t="inlineStr">
        <is>
          <t>SERVICO - CONFECCAO SHAFT GESSO</t>
        </is>
      </c>
      <c r="E1312" s="11">
        <f t="array" ref="E1312">_xlfn.XLOOKUP(D1312,Insumos!B:B,Insumos!C:$C)</f>
        <v/>
      </c>
      <c r="F1312" s="2164" t="n">
        <v>1</v>
      </c>
      <c r="G1312" s="92">
        <f t="array" ref="G1312">IF(B1312="insumo",_xlfn.XLOOKUP($D1312,Insumos!$B$1:$B$996,Insumos!$D$1:$D$996),"")</f>
        <v/>
      </c>
      <c r="H1312" s="92" t="n">
        <v>70</v>
      </c>
      <c r="I1312" s="2165" t="n">
        <v>0</v>
      </c>
      <c r="J1312" s="2165" t="n">
        <v>0</v>
      </c>
      <c r="K1312" s="2165" t="n"/>
    </row>
    <row r="1313" outlineLevel="3" ht="12.75" customHeight="1">
      <c r="A1313" s="82" t="n">
        <v>49</v>
      </c>
      <c r="B1313" s="82" t="inlineStr">
        <is>
          <t>Insumo</t>
        </is>
      </c>
      <c r="C1313" s="82" t="inlineStr">
        <is>
          <t>Parede Com Sistema Em Chapas De Gesso Para Drywall, Uso Interno, Montante 90mm, Com Uma Face Simples Resistente à Umidade (RU/90)</t>
        </is>
      </c>
      <c r="D1313" s="82" t="inlineStr">
        <is>
          <t>PLACA / CHAPA DE GESSO ACARTONADO, RESISTENTE A UMIDADE (RU), COR VERDE, E = 12,5 MM, 1200 X 2400 MM (L X C)</t>
        </is>
      </c>
      <c r="E1313" s="11">
        <f t="array" ref="E1313">_xlfn.XLOOKUP(D1313,Insumos!B:B,Insumos!C:$C)</f>
        <v/>
      </c>
      <c r="F1313" s="2164" t="n">
        <v>1.053</v>
      </c>
      <c r="G1313" s="92">
        <f t="array" ref="G1313">IF(B1313="insumo",_xlfn.XLOOKUP($D1313,Insumos!$B$1:$B$996,Insumos!$D$1:$D$996),"")</f>
        <v/>
      </c>
      <c r="H1313" s="92" t="n">
        <v>28.5363</v>
      </c>
      <c r="I1313" s="2165" t="n">
        <v>0</v>
      </c>
      <c r="J1313" s="2165" t="n">
        <v>0</v>
      </c>
      <c r="K1313" s="2165" t="n"/>
    </row>
    <row r="1314" outlineLevel="3" ht="12.75" customHeight="1">
      <c r="A1314" s="82" t="n">
        <v>95</v>
      </c>
      <c r="B1314" s="82" t="inlineStr">
        <is>
          <t>Insumo</t>
        </is>
      </c>
      <c r="C1314" s="82" t="inlineStr">
        <is>
          <t>Parede Com Sistema Em Chapas De Gesso Para Drywall, Uso Interno, Montante 90mm, Com Uma Face Simples Resistente à Umidade (RU/90)</t>
        </is>
      </c>
      <c r="D1314" s="82" t="inlineStr">
        <is>
          <t>PINO DE ACO COM ARRUELA CONICA, DIAMETRO ARRUELA = *23* MM E COMP HASTE = *27* MM (ACAO INDIRETA)</t>
        </is>
      </c>
      <c r="E1314" s="11">
        <f t="array" ref="E1314">_xlfn.XLOOKUP(D1314,Insumos!B:B,Insumos!C:$C)</f>
        <v/>
      </c>
      <c r="F1314" s="2164" t="n">
        <v>2.48</v>
      </c>
      <c r="G1314" s="92">
        <f t="array" ref="G1314">IF(B1314="insumo",_xlfn.XLOOKUP($D1314,Insumos!$B$1:$B$996,Insumos!$D$1:$D$996),"")</f>
        <v/>
      </c>
      <c r="H1314" s="92" t="n">
        <v>1.24992</v>
      </c>
      <c r="I1314" s="2165" t="n">
        <v>0</v>
      </c>
      <c r="J1314" s="2165" t="n">
        <v>0</v>
      </c>
      <c r="K1314" s="2165" t="n"/>
    </row>
    <row r="1315" outlineLevel="3" ht="12.75" customHeight="1">
      <c r="A1315" s="82" t="n">
        <v>26</v>
      </c>
      <c r="B1315" s="82" t="inlineStr">
        <is>
          <t>Insumo</t>
        </is>
      </c>
      <c r="C1315" s="82" t="inlineStr">
        <is>
          <t>Parede Com Sistema Em Chapas De Gesso Para Drywall, Uso Interno, Montante 90mm, Com Uma Face Simples Resistente à Umidade (RU/90)</t>
        </is>
      </c>
      <c r="D1315" s="82" t="inlineStr">
        <is>
          <t>PERFIL GUIA, FORMATO U, EM ACO ZINCADO, PARA ESTRUTURA PAREDE DRYWALL, E = 0,5 MM, 90 X 3000 MM (L X C)</t>
        </is>
      </c>
      <c r="E1315" s="11">
        <f t="array" ref="E1315">_xlfn.XLOOKUP(D1315,Insumos!B:B,Insumos!C:$C)</f>
        <v/>
      </c>
      <c r="F1315" s="2164" t="n">
        <v>0.7624</v>
      </c>
      <c r="G1315" s="92">
        <f t="array" ref="G1315">IF(B1315="insumo",_xlfn.XLOOKUP($D1315,Insumos!$B$1:$B$996,Insumos!$D$1:$D$996),"")</f>
        <v/>
      </c>
      <c r="H1315" s="92" t="n">
        <v>6.587136</v>
      </c>
      <c r="I1315" s="2165" t="n">
        <v>0</v>
      </c>
      <c r="J1315" s="2165" t="n">
        <v>0</v>
      </c>
      <c r="K1315" s="2165" t="n"/>
    </row>
    <row r="1316" outlineLevel="3" ht="12.75" customHeight="1">
      <c r="A1316" s="82" t="n">
        <v>26</v>
      </c>
      <c r="B1316" s="82" t="inlineStr">
        <is>
          <t>Insumo</t>
        </is>
      </c>
      <c r="C1316" s="82" t="inlineStr">
        <is>
          <t>Parede Com Sistema Em Chapas De Gesso Para Drywall, Uso Interno, Montante 90mm, Com Uma Face Simples Resistente à Umidade (RU/90)</t>
        </is>
      </c>
      <c r="D1316" s="82" t="inlineStr">
        <is>
          <t>PERFIL MONTANTE, FORMATO C, EM ACO ZINCADO, PARA ESTRUTURA PAREDE DRYWALL, E = 0,5 MM, 90 X 3000 MM (L X C)</t>
        </is>
      </c>
      <c r="E1316" s="11">
        <f t="array" ref="E1316">_xlfn.XLOOKUP(D1316,Insumos!B:B,Insumos!C:$C)</f>
        <v/>
      </c>
      <c r="F1316" s="2164" t="n">
        <v>2.0006</v>
      </c>
      <c r="G1316" s="92">
        <f t="array" ref="G1316">IF(B1316="insumo",_xlfn.XLOOKUP($D1316,Insumos!$B$1:$B$996,Insumos!$D$1:$D$996),"")</f>
        <v/>
      </c>
      <c r="H1316" s="92" t="n">
        <v>36.190854</v>
      </c>
      <c r="I1316" s="2165" t="n">
        <v>0</v>
      </c>
      <c r="J1316" s="2165" t="n">
        <v>0</v>
      </c>
      <c r="K1316" s="2165" t="n"/>
    </row>
    <row r="1317" outlineLevel="3" ht="12.75" customHeight="1">
      <c r="A1317" s="82" t="n">
        <v>95</v>
      </c>
      <c r="B1317" s="82" t="inlineStr">
        <is>
          <t>Insumo</t>
        </is>
      </c>
      <c r="C1317" s="82" t="inlineStr">
        <is>
          <t>Parede Com Sistema Em Chapas De Gesso Para Drywall, Uso Interno, Montante 90mm, Com Uma Face Simples Resistente à Umidade (RU/90)</t>
        </is>
      </c>
      <c r="D1317" s="82" t="inlineStr">
        <is>
          <t>MASSA DE REJUNTE EM PO PARA DRYWALL, A BASE DE GESSO, SECAGEM RAPIDA, PARA TRATAMENTO DE JUNTAS DE CHAPA DE GESSO (NECESSITA ADICAO DE AGUA)</t>
        </is>
      </c>
      <c r="E1317" s="11">
        <f t="array" ref="E1317">_xlfn.XLOOKUP(D1317,Insumos!B:B,Insumos!C:$C)</f>
        <v/>
      </c>
      <c r="F1317" s="2164" t="n">
        <v>0.5489000000000001</v>
      </c>
      <c r="G1317" s="92">
        <f t="array" ref="G1317">IF(B1317="insumo",_xlfn.XLOOKUP($D1317,Insumos!$B$1:$B$996,Insumos!$D$1:$D$996),"")</f>
        <v/>
      </c>
      <c r="H1317" s="92" t="n">
        <v>1.882727</v>
      </c>
      <c r="I1317" s="2165" t="n">
        <v>0</v>
      </c>
      <c r="J1317" s="2165" t="n">
        <v>0</v>
      </c>
      <c r="K1317" s="2165" t="n"/>
    </row>
    <row r="1318" outlineLevel="3" ht="12.75" customHeight="1">
      <c r="A1318" s="82" t="n">
        <v>94</v>
      </c>
      <c r="B1318" s="82" t="inlineStr">
        <is>
          <t>Insumo</t>
        </is>
      </c>
      <c r="C1318" s="82" t="inlineStr">
        <is>
          <t>Parede Com Sistema Em Chapas De Gesso Para Drywall, Uso Interno, Montante 90mm, Com Uma Face Simples Resistente à Umidade (RU/90)</t>
        </is>
      </c>
      <c r="D1318" s="82" t="inlineStr">
        <is>
          <t>FITA DE PAPEL MICROPERFURADO, 50 X 150 MM, PARA TRATAMENTO DE JUNTAS DE CHAPA DE GESSO PARA DRYWALL</t>
        </is>
      </c>
      <c r="E1318" s="11">
        <f t="array" ref="E1318">_xlfn.XLOOKUP(D1318,Insumos!B:B,Insumos!C:$C)</f>
        <v/>
      </c>
      <c r="F1318" s="2164" t="n">
        <v>1.2513</v>
      </c>
      <c r="G1318" s="92">
        <f t="array" ref="G1318">IF(B1318="insumo",_xlfn.XLOOKUP($D1318,Insumos!$B$1:$B$996,Insumos!$D$1:$D$996),"")</f>
        <v/>
      </c>
      <c r="H1318" s="92" t="n">
        <v>0.387903</v>
      </c>
      <c r="I1318" s="2165" t="n">
        <v>0</v>
      </c>
      <c r="J1318" s="2165" t="n">
        <v>0</v>
      </c>
      <c r="K1318" s="2165" t="n"/>
    </row>
    <row r="1319" outlineLevel="3" ht="12.75" customHeight="1">
      <c r="A1319" s="82" t="n">
        <v>94</v>
      </c>
      <c r="B1319" s="82" t="inlineStr">
        <is>
          <t>Insumo</t>
        </is>
      </c>
      <c r="C1319" s="82" t="inlineStr">
        <is>
          <t>Parede Com Sistema Em Chapas De Gesso Para Drywall, Uso Interno, Montante 90mm, Com Uma Face Simples Resistente à Umidade (RU/90)</t>
        </is>
      </c>
      <c r="D1319" s="82" t="inlineStr">
        <is>
          <t>FITA DE PAPEL REFORCADA COM LAMINA DE METAL PARA REFORCO DE CANTOS DE CHAPA DE GESSO PARA DRYWALL</t>
        </is>
      </c>
      <c r="E1319" s="11">
        <f t="array" ref="E1319">_xlfn.XLOOKUP(D1319,Insumos!B:B,Insumos!C:$C)</f>
        <v/>
      </c>
      <c r="F1319" s="2164" t="n">
        <v>0.7407</v>
      </c>
      <c r="G1319" s="92">
        <f t="array" ref="G1319">IF(B1319="insumo",_xlfn.XLOOKUP($D1319,Insumos!$B$1:$B$996,Insumos!$D$1:$D$996),"")</f>
        <v/>
      </c>
      <c r="H1319" s="92" t="n">
        <v>2.029518</v>
      </c>
      <c r="I1319" s="2165" t="n">
        <v>0</v>
      </c>
      <c r="J1319" s="2165" t="n">
        <v>0</v>
      </c>
      <c r="K1319" s="2165" t="n"/>
    </row>
    <row r="1320" outlineLevel="3" ht="12.75" customHeight="1">
      <c r="A1320" s="82" t="n">
        <v>97</v>
      </c>
      <c r="B1320" s="82" t="inlineStr">
        <is>
          <t>Insumo</t>
        </is>
      </c>
      <c r="C1320" s="82" t="inlineStr">
        <is>
          <t>Parede Com Sistema Em Chapas De Gesso Para Drywall, Uso Interno, Montante 90mm, Com Uma Face Simples Resistente à Umidade (RU/90)</t>
        </is>
      </c>
      <c r="D1320" s="82" t="inlineStr">
        <is>
          <t>PARAFUSO DRY WALL, EM ACO FOSFATIZADO, CABECA TROMBETA E PONTA AGULHA (TA), COMPRIMENTO 25 MM</t>
        </is>
      </c>
      <c r="E1320" s="11">
        <f t="array" ref="E1320">_xlfn.XLOOKUP(D1320,Insumos!B:B,Insumos!C:$C)</f>
        <v/>
      </c>
      <c r="F1320" s="2164" t="n">
        <v>10.0934</v>
      </c>
      <c r="G1320" s="92">
        <f t="array" ref="G1320">IF(B1320="insumo",_xlfn.XLOOKUP($D1320,Insumos!$B$1:$B$996,Insumos!$D$1:$D$996),"")</f>
        <v/>
      </c>
      <c r="H1320" s="92" t="n">
        <v>0.908406</v>
      </c>
      <c r="I1320" s="2165" t="n">
        <v>0</v>
      </c>
      <c r="J1320" s="2165" t="n">
        <v>0</v>
      </c>
      <c r="K1320" s="2165" t="n"/>
    </row>
    <row r="1321" outlineLevel="3" ht="12.75" customHeight="1">
      <c r="A1321" s="82" t="n">
        <v>95</v>
      </c>
      <c r="B1321" s="82" t="inlineStr">
        <is>
          <t>Insumo</t>
        </is>
      </c>
      <c r="C1321" s="82" t="inlineStr">
        <is>
          <t>Parede Com Sistema Em Chapas De Gesso Para Drywall, Uso Interno, Montante 90mm, Com Uma Face Simples Resistente à Umidade (RU/90)</t>
        </is>
      </c>
      <c r="D1321" s="82" t="inlineStr">
        <is>
          <t>PARAFUSO DRY WALL, EM ACO ZINCADO, CABECA LENTILHA E PONTA BROCA (LB), LARGURA 4,2 MM, COMPRIMENTO 13 MM</t>
        </is>
      </c>
      <c r="E1321" s="11">
        <f t="array" ref="E1321">_xlfn.XLOOKUP(D1321,Insumos!B:B,Insumos!C:$C)</f>
        <v/>
      </c>
      <c r="F1321" s="2164" t="n">
        <v>0.4803</v>
      </c>
      <c r="G1321" s="92">
        <f t="array" ref="G1321">IF(B1321="insumo",_xlfn.XLOOKUP($D1321,Insumos!$B$1:$B$996,Insumos!$D$1:$D$996),"")</f>
        <v/>
      </c>
      <c r="H1321" s="92" t="n">
        <v>0.09606000000000001</v>
      </c>
      <c r="I1321" s="2165" t="n">
        <v>0</v>
      </c>
      <c r="J1321" s="2165" t="n">
        <v>0</v>
      </c>
      <c r="K1321" s="2165" t="n"/>
    </row>
    <row r="1322" outlineLevel="2" ht="12.75" customHeight="1">
      <c r="A1322" s="1071" t="n">
        <v>1</v>
      </c>
      <c r="B1322" s="1071" t="inlineStr">
        <is>
          <t>Serviço</t>
        </is>
      </c>
      <c r="C1322" s="1071" t="inlineStr">
        <is>
          <t>Parede Com Sistema Em Chapas De Gesso Para Drywall, Uso Interno, Montante 90mm, Com Duas Face Simples Standart (ST/90/ST)</t>
        </is>
      </c>
      <c r="D1322" s="1071" t="inlineStr">
        <is>
          <t>Parede Com Sistema Em Chapas De Gesso Para Drywall, Uso Interno, Montante 90mm, Com Duas Face Simples Standart (ST/90/ST)</t>
        </is>
      </c>
      <c r="E1322" s="1072" t="inlineStr">
        <is>
          <t>M2</t>
        </is>
      </c>
      <c r="F1322" s="1071" t="n"/>
      <c r="G1322" s="1073">
        <f t="array" ref="G1322">IF(B1322="insumo",_xlfn.XLOOKUP($D1322,Insumos!$B$1:$B$996,Insumos!$D$1:$D$996),"")</f>
        <v/>
      </c>
      <c r="H1322" s="1073" t="n">
        <v>211.019404</v>
      </c>
      <c r="I1322" s="2163" t="n">
        <v>0</v>
      </c>
      <c r="J1322" s="2163" t="n">
        <v>0</v>
      </c>
      <c r="K1322" s="2163" t="n"/>
    </row>
    <row r="1323" outlineLevel="3" ht="12.75" customHeight="1">
      <c r="A1323" s="82" t="n">
        <v>86</v>
      </c>
      <c r="B1323" s="82" t="inlineStr">
        <is>
          <t>Insumo</t>
        </is>
      </c>
      <c r="C1323" s="82" t="inlineStr">
        <is>
          <t>Parede Com Sistema Em Chapas De Gesso Para Drywall, Uso Interno, Montante 90mm, Com Duas Face Simples Standart (ST/90/ST)</t>
        </is>
      </c>
      <c r="D1323" s="82" t="inlineStr">
        <is>
          <t>SERVICO - CONFECCAO SHAFT GESSO</t>
        </is>
      </c>
      <c r="E1323" s="11">
        <f t="array" ref="E1323">_xlfn.XLOOKUP(D1323,Insumos!B:B,Insumos!C:$C)</f>
        <v/>
      </c>
      <c r="F1323" s="2164" t="n">
        <v>1</v>
      </c>
      <c r="G1323" s="92">
        <f t="array" ref="G1323">IF(B1323="insumo",_xlfn.XLOOKUP($D1323,Insumos!$B$1:$B$996,Insumos!$D$1:$D$996),"")</f>
        <v/>
      </c>
      <c r="H1323" s="92" t="n">
        <v>70</v>
      </c>
      <c r="I1323" s="2165" t="n">
        <v>0</v>
      </c>
      <c r="J1323" s="2165" t="n">
        <v>0</v>
      </c>
      <c r="K1323" s="2165" t="n"/>
    </row>
    <row r="1324" outlineLevel="3" ht="12.75" customHeight="1">
      <c r="A1324" s="82" t="n">
        <v>47</v>
      </c>
      <c r="B1324" s="82" t="inlineStr">
        <is>
          <t>Insumo</t>
        </is>
      </c>
      <c r="C1324" s="82" t="inlineStr">
        <is>
          <t>Parede Com Sistema Em Chapas De Gesso Para Drywall, Uso Interno, Montante 90mm, Com Duas Face Simples Standart (ST/90/ST)</t>
        </is>
      </c>
      <c r="D1324" s="82" t="inlineStr">
        <is>
          <t>PLACA / CHAPA DE GESSO ACARTONADO, STANDARD (ST), COR BRANCA, E = 12,5 MM, 1200 X 2400 MM (L X C)</t>
        </is>
      </c>
      <c r="E1324" s="11">
        <f t="array" ref="E1324">_xlfn.XLOOKUP(D1324,Insumos!B:B,Insumos!C:$C)</f>
        <v/>
      </c>
      <c r="F1324" s="2164" t="n">
        <v>2.106</v>
      </c>
      <c r="G1324" s="92">
        <f t="array" ref="G1324">IF(B1324="insumo",_xlfn.XLOOKUP($D1324,Insumos!$B$1:$B$996,Insumos!$D$1:$D$996),"")</f>
        <v/>
      </c>
      <c r="H1324" s="92" t="n">
        <v>42.45696</v>
      </c>
      <c r="I1324" s="2165" t="n">
        <v>0</v>
      </c>
      <c r="J1324" s="2165" t="n">
        <v>0</v>
      </c>
      <c r="K1324" s="2165" t="n"/>
    </row>
    <row r="1325" outlineLevel="3" ht="12.75" customHeight="1">
      <c r="A1325" s="82" t="n">
        <v>95</v>
      </c>
      <c r="B1325" s="82" t="inlineStr">
        <is>
          <t>Insumo</t>
        </is>
      </c>
      <c r="C1325" s="82" t="inlineStr">
        <is>
          <t>Parede Com Sistema Em Chapas De Gesso Para Drywall, Uso Interno, Montante 90mm, Com Duas Face Simples Standart (ST/90/ST)</t>
        </is>
      </c>
      <c r="D1325" s="82" t="inlineStr">
        <is>
          <t>PINO DE ACO COM ARRUELA CONICA, DIAMETRO ARRUELA = *23* MM E COMP HASTE = *27* MM (ACAO INDIRETA)</t>
        </is>
      </c>
      <c r="E1325" s="11">
        <f t="array" ref="E1325">_xlfn.XLOOKUP(D1325,Insumos!B:B,Insumos!C:$C)</f>
        <v/>
      </c>
      <c r="F1325" s="2164" t="n">
        <v>4.95</v>
      </c>
      <c r="G1325" s="92">
        <f t="array" ref="G1325">IF(B1325="insumo",_xlfn.XLOOKUP($D1325,Insumos!$B$1:$B$996,Insumos!$D$1:$D$996),"")</f>
        <v/>
      </c>
      <c r="H1325" s="92" t="n">
        <v>2.4948</v>
      </c>
      <c r="I1325" s="2165" t="n">
        <v>0</v>
      </c>
      <c r="J1325" s="2165" t="n">
        <v>0</v>
      </c>
      <c r="K1325" s="2165" t="n"/>
    </row>
    <row r="1326" outlineLevel="3" ht="12.75" customHeight="1">
      <c r="A1326" s="82" t="n">
        <v>26</v>
      </c>
      <c r="B1326" s="82" t="inlineStr">
        <is>
          <t>Insumo</t>
        </is>
      </c>
      <c r="C1326" s="82" t="inlineStr">
        <is>
          <t>Parede Com Sistema Em Chapas De Gesso Para Drywall, Uso Interno, Montante 90mm, Com Duas Face Simples Standart (ST/90/ST)</t>
        </is>
      </c>
      <c r="D1326" s="82" t="inlineStr">
        <is>
          <t>PERFIL GUIA, FORMATO U, EM ACO ZINCADO, PARA ESTRUTURA PAREDE DRYWALL, E = 0,5 MM, 90 X 3000 MM (L X C)</t>
        </is>
      </c>
      <c r="E1326" s="11">
        <f t="array" ref="E1326">_xlfn.XLOOKUP(D1326,Insumos!B:B,Insumos!C:$C)</f>
        <v/>
      </c>
      <c r="F1326" s="2164" t="n">
        <v>1.5248</v>
      </c>
      <c r="G1326" s="92">
        <f t="array" ref="G1326">IF(B1326="insumo",_xlfn.XLOOKUP($D1326,Insumos!$B$1:$B$996,Insumos!$D$1:$D$996),"")</f>
        <v/>
      </c>
      <c r="H1326" s="92" t="n">
        <v>13.174272</v>
      </c>
      <c r="I1326" s="2165" t="n">
        <v>0</v>
      </c>
      <c r="J1326" s="2165" t="n">
        <v>0</v>
      </c>
      <c r="K1326" s="2165" t="n"/>
    </row>
    <row r="1327" outlineLevel="3" ht="12.75" customHeight="1">
      <c r="A1327" s="82" t="n">
        <v>26</v>
      </c>
      <c r="B1327" s="82" t="inlineStr">
        <is>
          <t>Insumo</t>
        </is>
      </c>
      <c r="C1327" s="82" t="inlineStr">
        <is>
          <t>Parede Com Sistema Em Chapas De Gesso Para Drywall, Uso Interno, Montante 90mm, Com Duas Face Simples Standart (ST/90/ST)</t>
        </is>
      </c>
      <c r="D1327" s="82" t="inlineStr">
        <is>
          <t>PERFIL MONTANTE, FORMATO C, EM ACO ZINCADO, PARA ESTRUTURA PAREDE DRYWALL, E = 0,5 MM, 90 X 3000 MM (L X C)</t>
        </is>
      </c>
      <c r="E1327" s="11">
        <f t="array" ref="E1327">_xlfn.XLOOKUP(D1327,Insumos!B:B,Insumos!C:$C)</f>
        <v/>
      </c>
      <c r="F1327" s="2164" t="n">
        <v>4.0011</v>
      </c>
      <c r="G1327" s="92">
        <f t="array" ref="G1327">IF(B1327="insumo",_xlfn.XLOOKUP($D1327,Insumos!$B$1:$B$996,Insumos!$D$1:$D$996),"")</f>
        <v/>
      </c>
      <c r="H1327" s="92" t="n">
        <v>72.37989899999999</v>
      </c>
      <c r="I1327" s="2165" t="n">
        <v>0</v>
      </c>
      <c r="J1327" s="2165" t="n">
        <v>0</v>
      </c>
      <c r="K1327" s="2165" t="n"/>
    </row>
    <row r="1328" outlineLevel="3" ht="12.75" customHeight="1">
      <c r="A1328" s="82" t="n">
        <v>95</v>
      </c>
      <c r="B1328" s="82" t="inlineStr">
        <is>
          <t>Insumo</t>
        </is>
      </c>
      <c r="C1328" s="82" t="inlineStr">
        <is>
          <t>Parede Com Sistema Em Chapas De Gesso Para Drywall, Uso Interno, Montante 90mm, Com Duas Face Simples Standart (ST/90/ST)</t>
        </is>
      </c>
      <c r="D1328" s="82" t="inlineStr">
        <is>
          <t>MASSA DE REJUNTE EM PO PARA DRYWALL, A BASE DE GESSO, SECAGEM RAPIDA, PARA TRATAMENTO DE JUNTAS DE CHAPA DE GESSO (NECESSITA ADICAO DE AGUA)</t>
        </is>
      </c>
      <c r="E1328" s="11">
        <f t="array" ref="E1328">_xlfn.XLOOKUP(D1328,Insumos!B:B,Insumos!C:$C)</f>
        <v/>
      </c>
      <c r="F1328" s="2164" t="n">
        <v>1.0978</v>
      </c>
      <c r="G1328" s="92">
        <f t="array" ref="G1328">IF(B1328="insumo",_xlfn.XLOOKUP($D1328,Insumos!$B$1:$B$996,Insumos!$D$1:$D$996),"")</f>
        <v/>
      </c>
      <c r="H1328" s="92" t="n">
        <v>3.765454</v>
      </c>
      <c r="I1328" s="2165" t="n">
        <v>0</v>
      </c>
      <c r="J1328" s="2165" t="n">
        <v>0</v>
      </c>
      <c r="K1328" s="2165" t="n"/>
    </row>
    <row r="1329" outlineLevel="3" ht="12.75" customHeight="1">
      <c r="A1329" s="82" t="n">
        <v>94</v>
      </c>
      <c r="B1329" s="82" t="inlineStr">
        <is>
          <t>Insumo</t>
        </is>
      </c>
      <c r="C1329" s="82" t="inlineStr">
        <is>
          <t>Parede Com Sistema Em Chapas De Gesso Para Drywall, Uso Interno, Montante 90mm, Com Duas Face Simples Standart (ST/90/ST)</t>
        </is>
      </c>
      <c r="D1329" s="82" t="inlineStr">
        <is>
          <t>FITA DE PAPEL MICROPERFURADO, 50 X 150 MM, PARA TRATAMENTO DE JUNTAS DE CHAPA DE GESSO PARA DRYWALL</t>
        </is>
      </c>
      <c r="E1329" s="11">
        <f t="array" ref="E1329">_xlfn.XLOOKUP(D1329,Insumos!B:B,Insumos!C:$C)</f>
        <v/>
      </c>
      <c r="F1329" s="2164" t="n">
        <v>2.5027</v>
      </c>
      <c r="G1329" s="92">
        <f t="array" ref="G1329">IF(B1329="insumo",_xlfn.XLOOKUP($D1329,Insumos!$B$1:$B$996,Insumos!$D$1:$D$996),"")</f>
        <v/>
      </c>
      <c r="H1329" s="92" t="n">
        <v>0.775837</v>
      </c>
      <c r="I1329" s="2165" t="n">
        <v>0</v>
      </c>
      <c r="J1329" s="2165" t="n">
        <v>0</v>
      </c>
      <c r="K1329" s="2165" t="n"/>
    </row>
    <row r="1330" outlineLevel="3" ht="12.75" customHeight="1">
      <c r="A1330" s="82" t="n">
        <v>94</v>
      </c>
      <c r="B1330" s="82" t="inlineStr">
        <is>
          <t>Insumo</t>
        </is>
      </c>
      <c r="C1330" s="82" t="inlineStr">
        <is>
          <t>Parede Com Sistema Em Chapas De Gesso Para Drywall, Uso Interno, Montante 90mm, Com Duas Face Simples Standart (ST/90/ST)</t>
        </is>
      </c>
      <c r="D1330" s="82" t="inlineStr">
        <is>
          <t>FITA DE PAPEL REFORCADA COM LAMINA DE METAL PARA REFORCO DE CANTOS DE CHAPA DE GESSO PARA DRYWALL</t>
        </is>
      </c>
      <c r="E1330" s="11">
        <f t="array" ref="E1330">_xlfn.XLOOKUP(D1330,Insumos!B:B,Insumos!C:$C)</f>
        <v/>
      </c>
      <c r="F1330" s="2164" t="n">
        <v>1.4815</v>
      </c>
      <c r="G1330" s="92">
        <f t="array" ref="G1330">IF(B1330="insumo",_xlfn.XLOOKUP($D1330,Insumos!$B$1:$B$996,Insumos!$D$1:$D$996),"")</f>
        <v/>
      </c>
      <c r="H1330" s="92" t="n">
        <v>4.05931</v>
      </c>
      <c r="I1330" s="2165" t="n">
        <v>0</v>
      </c>
      <c r="J1330" s="2165" t="n">
        <v>0</v>
      </c>
      <c r="K1330" s="2165" t="n"/>
    </row>
    <row r="1331" outlineLevel="3" ht="12.75" customHeight="1">
      <c r="A1331" s="82" t="n">
        <v>97</v>
      </c>
      <c r="B1331" s="82" t="inlineStr">
        <is>
          <t>Insumo</t>
        </is>
      </c>
      <c r="C1331" s="82" t="inlineStr">
        <is>
          <t>Parede Com Sistema Em Chapas De Gesso Para Drywall, Uso Interno, Montante 90mm, Com Duas Face Simples Standart (ST/90/ST)</t>
        </is>
      </c>
      <c r="D1331" s="82" t="inlineStr">
        <is>
          <t>PARAFUSO DRY WALL, EM ACO FOSFATIZADO, CABECA TROMBETA E PONTA AGULHA (TA), COMPRIMENTO 25 MM</t>
        </is>
      </c>
      <c r="E1331" s="11">
        <f t="array" ref="E1331">_xlfn.XLOOKUP(D1331,Insumos!B:B,Insumos!C:$C)</f>
        <v/>
      </c>
      <c r="F1331" s="2164" t="n">
        <v>20.1868</v>
      </c>
      <c r="G1331" s="92">
        <f t="array" ref="G1331">IF(B1331="insumo",_xlfn.XLOOKUP($D1331,Insumos!$B$1:$B$996,Insumos!$D$1:$D$996),"")</f>
        <v/>
      </c>
      <c r="H1331" s="92" t="n">
        <v>1.816812</v>
      </c>
      <c r="I1331" s="2165" t="n">
        <v>0</v>
      </c>
      <c r="J1331" s="2165" t="n">
        <v>0</v>
      </c>
      <c r="K1331" s="2165" t="n"/>
    </row>
    <row r="1332" outlineLevel="3" ht="12.75" customHeight="1">
      <c r="A1332" s="82" t="n">
        <v>95</v>
      </c>
      <c r="B1332" s="82" t="inlineStr">
        <is>
          <t>Insumo</t>
        </is>
      </c>
      <c r="C1332" s="82" t="inlineStr">
        <is>
          <t>Parede Com Sistema Em Chapas De Gesso Para Drywall, Uso Interno, Montante 90mm, Com Duas Face Simples Standart (ST/90/ST)</t>
        </is>
      </c>
      <c r="D1332" s="82" t="inlineStr">
        <is>
          <t>PARAFUSO DRY WALL, EM ACO ZINCADO, CABECA LENTILHA E PONTA BROCA (LB), LARGURA 4,2 MM, COMPRIMENTO 13 MM</t>
        </is>
      </c>
      <c r="E1332" s="11">
        <f t="array" ref="E1332">_xlfn.XLOOKUP(D1332,Insumos!B:B,Insumos!C:$C)</f>
        <v/>
      </c>
      <c r="F1332" s="2164" t="n">
        <v>0.4803</v>
      </c>
      <c r="G1332" s="92">
        <f t="array" ref="G1332">IF(B1332="insumo",_xlfn.XLOOKUP($D1332,Insumos!$B$1:$B$996,Insumos!$D$1:$D$996),"")</f>
        <v/>
      </c>
      <c r="H1332" s="92" t="n">
        <v>0.09606000000000001</v>
      </c>
      <c r="I1332" s="2165" t="n">
        <v>0</v>
      </c>
      <c r="J1332" s="2165" t="n">
        <v>0</v>
      </c>
      <c r="K1332" s="2165" t="n"/>
    </row>
    <row r="1333" outlineLevel="2" ht="12.75" customHeight="1">
      <c r="A1333" s="1071" t="n">
        <v>1</v>
      </c>
      <c r="B1333" s="1071" t="inlineStr">
        <is>
          <t>Serviço</t>
        </is>
      </c>
      <c r="C1333" s="1071" t="inlineStr">
        <is>
          <t>Parede Com Sistema Em Chapas De Gesso Para Drywall, Uso Interno, Montante 90mm, Com Duas Face Simples Resistente à Umidade (RU/90/RU)</t>
        </is>
      </c>
      <c r="D1333" s="1071" t="inlineStr">
        <is>
          <t>Parede Com Sistema Em Chapas De Gesso Para Drywall, Uso Interno, Montante 90mm, Com Duas Face Simples Resistente à Umidade (RU/90/RU)</t>
        </is>
      </c>
      <c r="E1333" s="1072" t="inlineStr">
        <is>
          <t>M2</t>
        </is>
      </c>
      <c r="F1333" s="1071" t="n"/>
      <c r="G1333" s="1073">
        <f t="array" ref="G1333">IF(B1333="insumo",_xlfn.XLOOKUP($D1333,Insumos!$B$1:$B$996,Insumos!$D$1:$D$996),"")</f>
        <v/>
      </c>
      <c r="H1333" s="1073" t="n">
        <v>225.635044</v>
      </c>
      <c r="I1333" s="2163" t="n">
        <v>0</v>
      </c>
      <c r="J1333" s="2163" t="n">
        <v>0</v>
      </c>
      <c r="K1333" s="2163" t="n"/>
    </row>
    <row r="1334" outlineLevel="3" ht="12.75" customHeight="1">
      <c r="A1334" s="82" t="n">
        <v>86</v>
      </c>
      <c r="B1334" s="82" t="inlineStr">
        <is>
          <t>Insumo</t>
        </is>
      </c>
      <c r="C1334" s="82" t="inlineStr">
        <is>
          <t>Parede Com Sistema Em Chapas De Gesso Para Drywall, Uso Interno, Montante 90mm, Com Duas Face Simples Resistente à Umidade (RU/90/RU)</t>
        </is>
      </c>
      <c r="D1334" s="82" t="inlineStr">
        <is>
          <t>SERVICO - CONFECCAO SHAFT GESSO</t>
        </is>
      </c>
      <c r="E1334" s="11">
        <f t="array" ref="E1334">_xlfn.XLOOKUP(D1334,Insumos!B:B,Insumos!C:$C)</f>
        <v/>
      </c>
      <c r="F1334" s="2164" t="n">
        <v>1</v>
      </c>
      <c r="G1334" s="92">
        <f t="array" ref="G1334">IF(B1334="insumo",_xlfn.XLOOKUP($D1334,Insumos!$B$1:$B$996,Insumos!$D$1:$D$996),"")</f>
        <v/>
      </c>
      <c r="H1334" s="92" t="n">
        <v>70</v>
      </c>
      <c r="I1334" s="2165" t="n">
        <v>0</v>
      </c>
      <c r="J1334" s="2165" t="n">
        <v>0</v>
      </c>
      <c r="K1334" s="2165" t="n"/>
    </row>
    <row r="1335" outlineLevel="3" ht="12.75" customHeight="1">
      <c r="A1335" s="82" t="n">
        <v>49</v>
      </c>
      <c r="B1335" s="82" t="inlineStr">
        <is>
          <t>Insumo</t>
        </is>
      </c>
      <c r="C1335" s="82" t="inlineStr">
        <is>
          <t>Parede Com Sistema Em Chapas De Gesso Para Drywall, Uso Interno, Montante 90mm, Com Duas Face Simples Resistente à Umidade (RU/90/RU)</t>
        </is>
      </c>
      <c r="D1335" s="82" t="inlineStr">
        <is>
          <t>PLACA / CHAPA DE GESSO ACARTONADO, RESISTENTE A UMIDADE (RU), COR VERDE, E = 12,5 MM, 1200 X 2400 MM (L X C)</t>
        </is>
      </c>
      <c r="E1335" s="11">
        <f t="array" ref="E1335">_xlfn.XLOOKUP(D1335,Insumos!B:B,Insumos!C:$C)</f>
        <v/>
      </c>
      <c r="F1335" s="2164" t="n">
        <v>2.106</v>
      </c>
      <c r="G1335" s="92">
        <f t="array" ref="G1335">IF(B1335="insumo",_xlfn.XLOOKUP($D1335,Insumos!$B$1:$B$996,Insumos!$D$1:$D$996),"")</f>
        <v/>
      </c>
      <c r="H1335" s="92" t="n">
        <v>57.0726</v>
      </c>
      <c r="I1335" s="2165" t="n">
        <v>0</v>
      </c>
      <c r="J1335" s="2165" t="n">
        <v>0</v>
      </c>
      <c r="K1335" s="2165" t="n"/>
    </row>
    <row r="1336" outlineLevel="3" ht="12.75" customHeight="1">
      <c r="A1336" s="82" t="n">
        <v>95</v>
      </c>
      <c r="B1336" s="82" t="inlineStr">
        <is>
          <t>Insumo</t>
        </is>
      </c>
      <c r="C1336" s="82" t="inlineStr">
        <is>
          <t>Parede Com Sistema Em Chapas De Gesso Para Drywall, Uso Interno, Montante 90mm, Com Duas Face Simples Resistente à Umidade (RU/90/RU)</t>
        </is>
      </c>
      <c r="D1336" s="82" t="inlineStr">
        <is>
          <t>PINO DE ACO COM ARRUELA CONICA, DIAMETRO ARRUELA = *23* MM E COMP HASTE = *27* MM (ACAO INDIRETA)</t>
        </is>
      </c>
      <c r="E1336" s="11">
        <f t="array" ref="E1336">_xlfn.XLOOKUP(D1336,Insumos!B:B,Insumos!C:$C)</f>
        <v/>
      </c>
      <c r="F1336" s="2164" t="n">
        <v>4.95</v>
      </c>
      <c r="G1336" s="92">
        <f t="array" ref="G1336">IF(B1336="insumo",_xlfn.XLOOKUP($D1336,Insumos!$B$1:$B$996,Insumos!$D$1:$D$996),"")</f>
        <v/>
      </c>
      <c r="H1336" s="92" t="n">
        <v>2.4948</v>
      </c>
      <c r="I1336" s="2165" t="n">
        <v>0</v>
      </c>
      <c r="J1336" s="2165" t="n">
        <v>0</v>
      </c>
      <c r="K1336" s="2165" t="n"/>
    </row>
    <row r="1337" outlineLevel="3" ht="12.75" customHeight="1">
      <c r="A1337" s="82" t="n">
        <v>26</v>
      </c>
      <c r="B1337" s="82" t="inlineStr">
        <is>
          <t>Insumo</t>
        </is>
      </c>
      <c r="C1337" s="82" t="inlineStr">
        <is>
          <t>Parede Com Sistema Em Chapas De Gesso Para Drywall, Uso Interno, Montante 90mm, Com Duas Face Simples Resistente à Umidade (RU/90/RU)</t>
        </is>
      </c>
      <c r="D1337" s="82" t="inlineStr">
        <is>
          <t>PERFIL GUIA, FORMATO U, EM ACO ZINCADO, PARA ESTRUTURA PAREDE DRYWALL, E = 0,5 MM, 90 X 3000 MM (L X C)</t>
        </is>
      </c>
      <c r="E1337" s="11">
        <f t="array" ref="E1337">_xlfn.XLOOKUP(D1337,Insumos!B:B,Insumos!C:$C)</f>
        <v/>
      </c>
      <c r="F1337" s="2164" t="n">
        <v>1.5248</v>
      </c>
      <c r="G1337" s="92">
        <f t="array" ref="G1337">IF(B1337="insumo",_xlfn.XLOOKUP($D1337,Insumos!$B$1:$B$996,Insumos!$D$1:$D$996),"")</f>
        <v/>
      </c>
      <c r="H1337" s="92" t="n">
        <v>13.174272</v>
      </c>
      <c r="I1337" s="2165" t="n">
        <v>0</v>
      </c>
      <c r="J1337" s="2165" t="n">
        <v>0</v>
      </c>
      <c r="K1337" s="2165" t="n"/>
    </row>
    <row r="1338" outlineLevel="3" ht="12.75" customHeight="1">
      <c r="A1338" s="82" t="n">
        <v>26</v>
      </c>
      <c r="B1338" s="82" t="inlineStr">
        <is>
          <t>Insumo</t>
        </is>
      </c>
      <c r="C1338" s="82" t="inlineStr">
        <is>
          <t>Parede Com Sistema Em Chapas De Gesso Para Drywall, Uso Interno, Montante 90mm, Com Duas Face Simples Resistente à Umidade (RU/90/RU)</t>
        </is>
      </c>
      <c r="D1338" s="82" t="inlineStr">
        <is>
          <t>PERFIL MONTANTE, FORMATO C, EM ACO ZINCADO, PARA ESTRUTURA PAREDE DRYWALL, E = 0,5 MM, 90 X 3000 MM (L X C)</t>
        </is>
      </c>
      <c r="E1338" s="11">
        <f t="array" ref="E1338">_xlfn.XLOOKUP(D1338,Insumos!B:B,Insumos!C:$C)</f>
        <v/>
      </c>
      <c r="F1338" s="2164" t="n">
        <v>4.0011</v>
      </c>
      <c r="G1338" s="92">
        <f t="array" ref="G1338">IF(B1338="insumo",_xlfn.XLOOKUP($D1338,Insumos!$B$1:$B$996,Insumos!$D$1:$D$996),"")</f>
        <v/>
      </c>
      <c r="H1338" s="92" t="n">
        <v>72.37989899999999</v>
      </c>
      <c r="I1338" s="2165" t="n">
        <v>0</v>
      </c>
      <c r="J1338" s="2165" t="n">
        <v>0</v>
      </c>
      <c r="K1338" s="2165" t="n"/>
    </row>
    <row r="1339" outlineLevel="3" ht="12.75" customHeight="1">
      <c r="A1339" s="82" t="n">
        <v>95</v>
      </c>
      <c r="B1339" s="82" t="inlineStr">
        <is>
          <t>Insumo</t>
        </is>
      </c>
      <c r="C1339" s="82" t="inlineStr">
        <is>
          <t>Parede Com Sistema Em Chapas De Gesso Para Drywall, Uso Interno, Montante 90mm, Com Duas Face Simples Resistente à Umidade (RU/90/RU)</t>
        </is>
      </c>
      <c r="D1339" s="82" t="inlineStr">
        <is>
          <t>MASSA DE REJUNTE EM PO PARA DRYWALL, A BASE DE GESSO, SECAGEM RAPIDA, PARA TRATAMENTO DE JUNTAS DE CHAPA DE GESSO (NECESSITA ADICAO DE AGUA)</t>
        </is>
      </c>
      <c r="E1339" s="11">
        <f t="array" ref="E1339">_xlfn.XLOOKUP(D1339,Insumos!B:B,Insumos!C:$C)</f>
        <v/>
      </c>
      <c r="F1339" s="2164" t="n">
        <v>1.0978</v>
      </c>
      <c r="G1339" s="92">
        <f t="array" ref="G1339">IF(B1339="insumo",_xlfn.XLOOKUP($D1339,Insumos!$B$1:$B$996,Insumos!$D$1:$D$996),"")</f>
        <v/>
      </c>
      <c r="H1339" s="92" t="n">
        <v>3.765454</v>
      </c>
      <c r="I1339" s="2165" t="n">
        <v>0</v>
      </c>
      <c r="J1339" s="2165" t="n">
        <v>0</v>
      </c>
      <c r="K1339" s="2165" t="n"/>
    </row>
    <row r="1340" outlineLevel="3" ht="12.75" customHeight="1">
      <c r="A1340" s="82" t="n">
        <v>94</v>
      </c>
      <c r="B1340" s="82" t="inlineStr">
        <is>
          <t>Insumo</t>
        </is>
      </c>
      <c r="C1340" s="82" t="inlineStr">
        <is>
          <t>Parede Com Sistema Em Chapas De Gesso Para Drywall, Uso Interno, Montante 90mm, Com Duas Face Simples Resistente à Umidade (RU/90/RU)</t>
        </is>
      </c>
      <c r="D1340" s="82" t="inlineStr">
        <is>
          <t>FITA DE PAPEL MICROPERFURADO, 50 X 150 MM, PARA TRATAMENTO DE JUNTAS DE CHAPA DE GESSO PARA DRYWALL</t>
        </is>
      </c>
      <c r="E1340" s="11">
        <f t="array" ref="E1340">_xlfn.XLOOKUP(D1340,Insumos!B:B,Insumos!C:$C)</f>
        <v/>
      </c>
      <c r="F1340" s="2164" t="n">
        <v>2.5027</v>
      </c>
      <c r="G1340" s="92">
        <f t="array" ref="G1340">IF(B1340="insumo",_xlfn.XLOOKUP($D1340,Insumos!$B$1:$B$996,Insumos!$D$1:$D$996),"")</f>
        <v/>
      </c>
      <c r="H1340" s="92" t="n">
        <v>0.775837</v>
      </c>
      <c r="I1340" s="2165" t="n">
        <v>0</v>
      </c>
      <c r="J1340" s="2165" t="n">
        <v>0</v>
      </c>
      <c r="K1340" s="2165" t="n"/>
    </row>
    <row r="1341" outlineLevel="3" ht="12.75" customHeight="1">
      <c r="A1341" s="82" t="n">
        <v>94</v>
      </c>
      <c r="B1341" s="82" t="inlineStr">
        <is>
          <t>Insumo</t>
        </is>
      </c>
      <c r="C1341" s="82" t="inlineStr">
        <is>
          <t>Parede Com Sistema Em Chapas De Gesso Para Drywall, Uso Interno, Montante 90mm, Com Duas Face Simples Resistente à Umidade (RU/90/RU)</t>
        </is>
      </c>
      <c r="D1341" s="82" t="inlineStr">
        <is>
          <t>FITA DE PAPEL REFORCADA COM LAMINA DE METAL PARA REFORCO DE CANTOS DE CHAPA DE GESSO PARA DRYWALL</t>
        </is>
      </c>
      <c r="E1341" s="11">
        <f t="array" ref="E1341">_xlfn.XLOOKUP(D1341,Insumos!B:B,Insumos!C:$C)</f>
        <v/>
      </c>
      <c r="F1341" s="2164" t="n">
        <v>1.4815</v>
      </c>
      <c r="G1341" s="92">
        <f t="array" ref="G1341">IF(B1341="insumo",_xlfn.XLOOKUP($D1341,Insumos!$B$1:$B$996,Insumos!$D$1:$D$996),"")</f>
        <v/>
      </c>
      <c r="H1341" s="92" t="n">
        <v>4.05931</v>
      </c>
      <c r="I1341" s="2165" t="n">
        <v>0</v>
      </c>
      <c r="J1341" s="2165" t="n">
        <v>0</v>
      </c>
      <c r="K1341" s="2165" t="n"/>
    </row>
    <row r="1342" outlineLevel="3" ht="12.75" customHeight="1">
      <c r="A1342" s="82" t="n">
        <v>97</v>
      </c>
      <c r="B1342" s="82" t="inlineStr">
        <is>
          <t>Insumo</t>
        </is>
      </c>
      <c r="C1342" s="82" t="inlineStr">
        <is>
          <t>Parede Com Sistema Em Chapas De Gesso Para Drywall, Uso Interno, Montante 90mm, Com Duas Face Simples Resistente à Umidade (RU/90/RU)</t>
        </is>
      </c>
      <c r="D1342" s="82" t="inlineStr">
        <is>
          <t>PARAFUSO DRY WALL, EM ACO FOSFATIZADO, CABECA TROMBETA E PONTA AGULHA (TA), COMPRIMENTO 25 MM</t>
        </is>
      </c>
      <c r="E1342" s="11">
        <f t="array" ref="E1342">_xlfn.XLOOKUP(D1342,Insumos!B:B,Insumos!C:$C)</f>
        <v/>
      </c>
      <c r="F1342" s="2164" t="n">
        <v>20.1868</v>
      </c>
      <c r="G1342" s="92">
        <f t="array" ref="G1342">IF(B1342="insumo",_xlfn.XLOOKUP($D1342,Insumos!$B$1:$B$996,Insumos!$D$1:$D$996),"")</f>
        <v/>
      </c>
      <c r="H1342" s="92" t="n">
        <v>1.816812</v>
      </c>
      <c r="I1342" s="2165" t="n">
        <v>0</v>
      </c>
      <c r="J1342" s="2165" t="n">
        <v>0</v>
      </c>
      <c r="K1342" s="2165" t="n"/>
    </row>
    <row r="1343" outlineLevel="3" ht="12.75" customHeight="1">
      <c r="A1343" s="82" t="n">
        <v>95</v>
      </c>
      <c r="B1343" s="82" t="inlineStr">
        <is>
          <t>Insumo</t>
        </is>
      </c>
      <c r="C1343" s="82" t="inlineStr">
        <is>
          <t>Parede Com Sistema Em Chapas De Gesso Para Drywall, Uso Interno, Montante 90mm, Com Duas Face Simples Resistente à Umidade (RU/90/RU)</t>
        </is>
      </c>
      <c r="D1343" s="82" t="inlineStr">
        <is>
          <t>PARAFUSO DRY WALL, EM ACO ZINCADO, CABECA LENTILHA E PONTA BROCA (LB), LARGURA 4,2 MM, COMPRIMENTO 13 MM</t>
        </is>
      </c>
      <c r="E1343" s="11">
        <f t="array" ref="E1343">_xlfn.XLOOKUP(D1343,Insumos!B:B,Insumos!C:$C)</f>
        <v/>
      </c>
      <c r="F1343" s="2164" t="n">
        <v>0.4803</v>
      </c>
      <c r="G1343" s="92">
        <f t="array" ref="G1343">IF(B1343="insumo",_xlfn.XLOOKUP($D1343,Insumos!$B$1:$B$996,Insumos!$D$1:$D$996),"")</f>
        <v/>
      </c>
      <c r="H1343" s="92" t="n">
        <v>0.09606000000000001</v>
      </c>
      <c r="I1343" s="2165" t="n">
        <v>0</v>
      </c>
      <c r="J1343" s="2165" t="n">
        <v>0</v>
      </c>
      <c r="K1343" s="2165" t="n"/>
    </row>
    <row r="1344" outlineLevel="2" ht="12.75" customHeight="1">
      <c r="A1344" s="1071" t="n">
        <v>1</v>
      </c>
      <c r="B1344" s="1071" t="inlineStr">
        <is>
          <t>Serviço</t>
        </is>
      </c>
      <c r="C1344" s="1071" t="inlineStr">
        <is>
          <t>Parede Com Sistema Em Chapas De Gesso Para Drywall, Uso Interno, Montante 90mm, Com Uma Face Standart e Uma Face Resistente a Umidade (ST/90/RU)</t>
        </is>
      </c>
      <c r="D1344" s="1071" t="inlineStr">
        <is>
          <t>Parede Com Sistema Em Chapas De Gesso Para Drywall, Uso Interno, Montante 90mm, Com Uma Face Standart e Uma Face Resistente a Umidade (ST/90/RU)</t>
        </is>
      </c>
      <c r="E1344" s="1072" t="inlineStr">
        <is>
          <t>M2</t>
        </is>
      </c>
      <c r="F1344" s="1071" t="n"/>
      <c r="G1344" s="1073">
        <f t="array" ref="G1344">IF(B1344="insumo",_xlfn.XLOOKUP($D1344,Insumos!$B$1:$B$996,Insumos!$D$1:$D$996),"")</f>
        <v/>
      </c>
      <c r="H1344" s="1073" t="n">
        <v>218.327224</v>
      </c>
      <c r="I1344" s="2163" t="n">
        <v>0</v>
      </c>
      <c r="J1344" s="2163" t="n">
        <v>0</v>
      </c>
      <c r="K1344" s="2163" t="n"/>
    </row>
    <row r="1345" outlineLevel="3" ht="12.75" customHeight="1">
      <c r="A1345" s="82" t="n">
        <v>86</v>
      </c>
      <c r="B1345" s="82" t="inlineStr">
        <is>
          <t>Insumo</t>
        </is>
      </c>
      <c r="C1345" s="82" t="inlineStr">
        <is>
          <t>Parede Com Sistema Em Chapas De Gesso Para Drywall, Uso Interno, Montante 90mm, Com Uma Face Standart e Uma Face Resistente a Umidade (ST/90/RU)</t>
        </is>
      </c>
      <c r="D1345" s="82" t="inlineStr">
        <is>
          <t>SERVICO - CONFECCAO SHAFT GESSO</t>
        </is>
      </c>
      <c r="E1345" s="11">
        <f t="array" ref="E1345">_xlfn.XLOOKUP(D1345,Insumos!B:B,Insumos!C:$C)</f>
        <v/>
      </c>
      <c r="F1345" s="2164" t="n">
        <v>1</v>
      </c>
      <c r="G1345" s="92">
        <f t="array" ref="G1345">IF(B1345="insumo",_xlfn.XLOOKUP($D1345,Insumos!$B$1:$B$996,Insumos!$D$1:$D$996),"")</f>
        <v/>
      </c>
      <c r="H1345" s="92" t="n">
        <v>70</v>
      </c>
      <c r="I1345" s="2165" t="n">
        <v>0</v>
      </c>
      <c r="J1345" s="2165" t="n">
        <v>0</v>
      </c>
      <c r="K1345" s="2165" t="n"/>
    </row>
    <row r="1346" outlineLevel="3" ht="12.75" customHeight="1">
      <c r="A1346" s="82" t="n">
        <v>49</v>
      </c>
      <c r="B1346" s="82" t="inlineStr">
        <is>
          <t>Insumo</t>
        </is>
      </c>
      <c r="C1346" s="82" t="inlineStr">
        <is>
          <t>Parede Com Sistema Em Chapas De Gesso Para Drywall, Uso Interno, Montante 90mm, Com Uma Face Standart e Uma Face Resistente a Umidade (ST/90/RU)</t>
        </is>
      </c>
      <c r="D1346" s="82" t="inlineStr">
        <is>
          <t>PLACA / CHAPA DE GESSO ACARTONADO, RESISTENTE A UMIDADE (RU), COR VERDE, E = 12,5 MM, 1200 X 2400 MM (L X C)</t>
        </is>
      </c>
      <c r="E1346" s="11">
        <f t="array" ref="E1346">_xlfn.XLOOKUP(D1346,Insumos!B:B,Insumos!C:$C)</f>
        <v/>
      </c>
      <c r="F1346" s="2164" t="n">
        <v>1.053</v>
      </c>
      <c r="G1346" s="92">
        <f t="array" ref="G1346">IF(B1346="insumo",_xlfn.XLOOKUP($D1346,Insumos!$B$1:$B$996,Insumos!$D$1:$D$996),"")</f>
        <v/>
      </c>
      <c r="H1346" s="92" t="n">
        <v>28.5363</v>
      </c>
      <c r="I1346" s="2165" t="n">
        <v>0</v>
      </c>
      <c r="J1346" s="2165" t="n">
        <v>0</v>
      </c>
      <c r="K1346" s="2165" t="n"/>
    </row>
    <row r="1347" outlineLevel="3" ht="12.75" customHeight="1">
      <c r="A1347" s="82" t="n">
        <v>47</v>
      </c>
      <c r="B1347" s="82" t="inlineStr">
        <is>
          <t>Insumo</t>
        </is>
      </c>
      <c r="C1347" s="82" t="inlineStr">
        <is>
          <t>Parede Com Sistema Em Chapas De Gesso Para Drywall, Uso Interno, Montante 90mm, Com Uma Face Standart e Uma Face Resistente a Umidade (ST/90/RU)</t>
        </is>
      </c>
      <c r="D1347" s="82" t="inlineStr">
        <is>
          <t>PLACA / CHAPA DE GESSO ACARTONADO, STANDARD (ST), COR BRANCA, E = 12,5 MM, 1200 X 2400 MM (L X C)</t>
        </is>
      </c>
      <c r="E1347" s="11">
        <f t="array" ref="E1347">_xlfn.XLOOKUP(D1347,Insumos!B:B,Insumos!C:$C)</f>
        <v/>
      </c>
      <c r="F1347" s="2164" t="n">
        <v>1.053</v>
      </c>
      <c r="G1347" s="92">
        <f t="array" ref="G1347">IF(B1347="insumo",_xlfn.XLOOKUP($D1347,Insumos!$B$1:$B$996,Insumos!$D$1:$D$996),"")</f>
        <v/>
      </c>
      <c r="H1347" s="92" t="n">
        <v>21.22848</v>
      </c>
      <c r="I1347" s="2165" t="n">
        <v>0</v>
      </c>
      <c r="J1347" s="2165" t="n">
        <v>0</v>
      </c>
      <c r="K1347" s="2165" t="n"/>
    </row>
    <row r="1348" outlineLevel="3" ht="12.75" customHeight="1">
      <c r="A1348" s="82" t="n">
        <v>95</v>
      </c>
      <c r="B1348" s="82" t="inlineStr">
        <is>
          <t>Insumo</t>
        </is>
      </c>
      <c r="C1348" s="82" t="inlineStr">
        <is>
          <t>Parede Com Sistema Em Chapas De Gesso Para Drywall, Uso Interno, Montante 90mm, Com Uma Face Standart e Uma Face Resistente a Umidade (ST/90/RU)</t>
        </is>
      </c>
      <c r="D1348" s="82" t="inlineStr">
        <is>
          <t>PINO DE ACO COM ARRUELA CONICA, DIAMETRO ARRUELA = *23* MM E COMP HASTE = *27* MM (ACAO INDIRETA)</t>
        </is>
      </c>
      <c r="E1348" s="11">
        <f t="array" ref="E1348">_xlfn.XLOOKUP(D1348,Insumos!B:B,Insumos!C:$C)</f>
        <v/>
      </c>
      <c r="F1348" s="2164" t="n">
        <v>4.95</v>
      </c>
      <c r="G1348" s="92">
        <f t="array" ref="G1348">IF(B1348="insumo",_xlfn.XLOOKUP($D1348,Insumos!$B$1:$B$996,Insumos!$D$1:$D$996),"")</f>
        <v/>
      </c>
      <c r="H1348" s="92" t="n">
        <v>2.4948</v>
      </c>
      <c r="I1348" s="2165" t="n">
        <v>0</v>
      </c>
      <c r="J1348" s="2165" t="n">
        <v>0</v>
      </c>
      <c r="K1348" s="2165" t="n"/>
    </row>
    <row r="1349" outlineLevel="3" ht="12.75" customHeight="1">
      <c r="A1349" s="82" t="n">
        <v>26</v>
      </c>
      <c r="B1349" s="82" t="inlineStr">
        <is>
          <t>Insumo</t>
        </is>
      </c>
      <c r="C1349" s="82" t="inlineStr">
        <is>
          <t>Parede Com Sistema Em Chapas De Gesso Para Drywall, Uso Interno, Montante 90mm, Com Uma Face Standart e Uma Face Resistente a Umidade (ST/90/RU)</t>
        </is>
      </c>
      <c r="D1349" s="82" t="inlineStr">
        <is>
          <t>PERFIL GUIA, FORMATO U, EM ACO ZINCADO, PARA ESTRUTURA PAREDE DRYWALL, E = 0,5 MM, 90 X 3000 MM (L X C)</t>
        </is>
      </c>
      <c r="E1349" s="11">
        <f t="array" ref="E1349">_xlfn.XLOOKUP(D1349,Insumos!B:B,Insumos!C:$C)</f>
        <v/>
      </c>
      <c r="F1349" s="2164" t="n">
        <v>1.5248</v>
      </c>
      <c r="G1349" s="92">
        <f t="array" ref="G1349">IF(B1349="insumo",_xlfn.XLOOKUP($D1349,Insumos!$B$1:$B$996,Insumos!$D$1:$D$996),"")</f>
        <v/>
      </c>
      <c r="H1349" s="92" t="n">
        <v>13.174272</v>
      </c>
      <c r="I1349" s="2165" t="n">
        <v>0</v>
      </c>
      <c r="J1349" s="2165" t="n">
        <v>0</v>
      </c>
      <c r="K1349" s="2165" t="n"/>
    </row>
    <row r="1350" outlineLevel="3" ht="12.75" customHeight="1">
      <c r="A1350" s="82" t="n">
        <v>26</v>
      </c>
      <c r="B1350" s="82" t="inlineStr">
        <is>
          <t>Insumo</t>
        </is>
      </c>
      <c r="C1350" s="82" t="inlineStr">
        <is>
          <t>Parede Com Sistema Em Chapas De Gesso Para Drywall, Uso Interno, Montante 90mm, Com Uma Face Standart e Uma Face Resistente a Umidade (ST/90/RU)</t>
        </is>
      </c>
      <c r="D1350" s="82" t="inlineStr">
        <is>
          <t>PERFIL MONTANTE, FORMATO C, EM ACO ZINCADO, PARA ESTRUTURA PAREDE DRYWALL, E = 0,5 MM, 90 X 3000 MM (L X C)</t>
        </is>
      </c>
      <c r="E1350" s="11">
        <f t="array" ref="E1350">_xlfn.XLOOKUP(D1350,Insumos!B:B,Insumos!C:$C)</f>
        <v/>
      </c>
      <c r="F1350" s="2164" t="n">
        <v>4.0011</v>
      </c>
      <c r="G1350" s="92">
        <f t="array" ref="G1350">IF(B1350="insumo",_xlfn.XLOOKUP($D1350,Insumos!$B$1:$B$996,Insumos!$D$1:$D$996),"")</f>
        <v/>
      </c>
      <c r="H1350" s="92" t="n">
        <v>72.37989899999999</v>
      </c>
      <c r="I1350" s="2165" t="n">
        <v>0</v>
      </c>
      <c r="J1350" s="2165" t="n">
        <v>0</v>
      </c>
      <c r="K1350" s="2165" t="n"/>
    </row>
    <row r="1351" outlineLevel="3" ht="12.75" customHeight="1">
      <c r="A1351" s="82" t="n">
        <v>95</v>
      </c>
      <c r="B1351" s="82" t="inlineStr">
        <is>
          <t>Insumo</t>
        </is>
      </c>
      <c r="C1351" s="82" t="inlineStr">
        <is>
          <t>Parede Com Sistema Em Chapas De Gesso Para Drywall, Uso Interno, Montante 90mm, Com Uma Face Standart e Uma Face Resistente a Umidade (ST/90/RU)</t>
        </is>
      </c>
      <c r="D1351" s="82" t="inlineStr">
        <is>
          <t>MASSA DE REJUNTE EM PO PARA DRYWALL, A BASE DE GESSO, SECAGEM RAPIDA, PARA TRATAMENTO DE JUNTAS DE CHAPA DE GESSO (NECESSITA ADICAO DE AGUA)</t>
        </is>
      </c>
      <c r="E1351" s="11">
        <f t="array" ref="E1351">_xlfn.XLOOKUP(D1351,Insumos!B:B,Insumos!C:$C)</f>
        <v/>
      </c>
      <c r="F1351" s="2164" t="n">
        <v>1.0978</v>
      </c>
      <c r="G1351" s="92">
        <f t="array" ref="G1351">IF(B1351="insumo",_xlfn.XLOOKUP($D1351,Insumos!$B$1:$B$996,Insumos!$D$1:$D$996),"")</f>
        <v/>
      </c>
      <c r="H1351" s="92" t="n">
        <v>3.765454</v>
      </c>
      <c r="I1351" s="2165" t="n">
        <v>0</v>
      </c>
      <c r="J1351" s="2165" t="n">
        <v>0</v>
      </c>
      <c r="K1351" s="2165" t="n"/>
    </row>
    <row r="1352" outlineLevel="3" ht="12.75" customHeight="1">
      <c r="A1352" s="82" t="n">
        <v>94</v>
      </c>
      <c r="B1352" s="82" t="inlineStr">
        <is>
          <t>Insumo</t>
        </is>
      </c>
      <c r="C1352" s="82" t="inlineStr">
        <is>
          <t>Parede Com Sistema Em Chapas De Gesso Para Drywall, Uso Interno, Montante 90mm, Com Uma Face Standart e Uma Face Resistente a Umidade (ST/90/RU)</t>
        </is>
      </c>
      <c r="D1352" s="82" t="inlineStr">
        <is>
          <t>FITA DE PAPEL MICROPERFURADO, 50 X 150 MM, PARA TRATAMENTO DE JUNTAS DE CHAPA DE GESSO PARA DRYWALL</t>
        </is>
      </c>
      <c r="E1352" s="11">
        <f t="array" ref="E1352">_xlfn.XLOOKUP(D1352,Insumos!B:B,Insumos!C:$C)</f>
        <v/>
      </c>
      <c r="F1352" s="2164" t="n">
        <v>2.5027</v>
      </c>
      <c r="G1352" s="92">
        <f t="array" ref="G1352">IF(B1352="insumo",_xlfn.XLOOKUP($D1352,Insumos!$B$1:$B$996,Insumos!$D$1:$D$996),"")</f>
        <v/>
      </c>
      <c r="H1352" s="92" t="n">
        <v>0.775837</v>
      </c>
      <c r="I1352" s="2165" t="n">
        <v>0</v>
      </c>
      <c r="J1352" s="2165" t="n">
        <v>0</v>
      </c>
      <c r="K1352" s="2165" t="n"/>
    </row>
    <row r="1353" outlineLevel="3" ht="12.75" customHeight="1">
      <c r="A1353" s="82" t="n">
        <v>94</v>
      </c>
      <c r="B1353" s="82" t="inlineStr">
        <is>
          <t>Insumo</t>
        </is>
      </c>
      <c r="C1353" s="82" t="inlineStr">
        <is>
          <t>Parede Com Sistema Em Chapas De Gesso Para Drywall, Uso Interno, Montante 90mm, Com Uma Face Standart e Uma Face Resistente a Umidade (ST/90/RU)</t>
        </is>
      </c>
      <c r="D1353" s="82" t="inlineStr">
        <is>
          <t>FITA DE PAPEL REFORCADA COM LAMINA DE METAL PARA REFORCO DE CANTOS DE CHAPA DE GESSO PARA DRYWALL</t>
        </is>
      </c>
      <c r="E1353" s="11">
        <f t="array" ref="E1353">_xlfn.XLOOKUP(D1353,Insumos!B:B,Insumos!C:$C)</f>
        <v/>
      </c>
      <c r="F1353" s="2164" t="n">
        <v>1.4815</v>
      </c>
      <c r="G1353" s="92">
        <f t="array" ref="G1353">IF(B1353="insumo",_xlfn.XLOOKUP($D1353,Insumos!$B$1:$B$996,Insumos!$D$1:$D$996),"")</f>
        <v/>
      </c>
      <c r="H1353" s="92" t="n">
        <v>4.05931</v>
      </c>
      <c r="I1353" s="2165" t="n">
        <v>0</v>
      </c>
      <c r="J1353" s="2165" t="n">
        <v>0</v>
      </c>
      <c r="K1353" s="2165" t="n"/>
    </row>
    <row r="1354" outlineLevel="3" ht="12.75" customHeight="1">
      <c r="A1354" s="82" t="n">
        <v>97</v>
      </c>
      <c r="B1354" s="82" t="inlineStr">
        <is>
          <t>Insumo</t>
        </is>
      </c>
      <c r="C1354" s="82" t="inlineStr">
        <is>
          <t>Parede Com Sistema Em Chapas De Gesso Para Drywall, Uso Interno, Montante 90mm, Com Uma Face Standart e Uma Face Resistente a Umidade (ST/90/RU)</t>
        </is>
      </c>
      <c r="D1354" s="82" t="inlineStr">
        <is>
          <t>PARAFUSO DRY WALL, EM ACO FOSFATIZADO, CABECA TROMBETA E PONTA AGULHA (TA), COMPRIMENTO 25 MM</t>
        </is>
      </c>
      <c r="E1354" s="11">
        <f t="array" ref="E1354">_xlfn.XLOOKUP(D1354,Insumos!B:B,Insumos!C:$C)</f>
        <v/>
      </c>
      <c r="F1354" s="2164" t="n">
        <v>20.1868</v>
      </c>
      <c r="G1354" s="92">
        <f t="array" ref="G1354">IF(B1354="insumo",_xlfn.XLOOKUP($D1354,Insumos!$B$1:$B$996,Insumos!$D$1:$D$996),"")</f>
        <v/>
      </c>
      <c r="H1354" s="92" t="n">
        <v>1.816812</v>
      </c>
      <c r="I1354" s="2165" t="n">
        <v>0</v>
      </c>
      <c r="J1354" s="2165" t="n">
        <v>0</v>
      </c>
      <c r="K1354" s="2165" t="n"/>
    </row>
    <row r="1355" outlineLevel="3" ht="12.75" customHeight="1">
      <c r="A1355" s="82" t="n">
        <v>95</v>
      </c>
      <c r="B1355" s="82" t="inlineStr">
        <is>
          <t>Insumo</t>
        </is>
      </c>
      <c r="C1355" s="82" t="inlineStr">
        <is>
          <t>Parede Com Sistema Em Chapas De Gesso Para Drywall, Uso Interno, Montante 90mm, Com Uma Face Standart e Uma Face Resistente a Umidade (ST/90/RU)</t>
        </is>
      </c>
      <c r="D1355" s="82" t="inlineStr">
        <is>
          <t>PARAFUSO DRY WALL, EM ACO ZINCADO, CABECA LENTILHA E PONTA BROCA (LB), LARGURA 4,2 MM, COMPRIMENTO 13 MM</t>
        </is>
      </c>
      <c r="E1355" s="11">
        <f t="array" ref="E1355">_xlfn.XLOOKUP(D1355,Insumos!B:B,Insumos!C:$C)</f>
        <v/>
      </c>
      <c r="F1355" s="2164" t="n">
        <v>0.4803</v>
      </c>
      <c r="G1355" s="92">
        <f t="array" ref="G1355">IF(B1355="insumo",_xlfn.XLOOKUP($D1355,Insumos!$B$1:$B$996,Insumos!$D$1:$D$996),"")</f>
        <v/>
      </c>
      <c r="H1355" s="92" t="n">
        <v>0.09606000000000001</v>
      </c>
      <c r="I1355" s="2165" t="n">
        <v>0</v>
      </c>
      <c r="J1355" s="2165" t="n">
        <v>0</v>
      </c>
      <c r="K1355" s="2165" t="n"/>
    </row>
    <row r="1356" outlineLevel="2" ht="12.75" customHeight="1">
      <c r="A1356" s="1071" t="n">
        <v>1</v>
      </c>
      <c r="B1356" s="1071" t="inlineStr">
        <is>
          <t>Serviço</t>
        </is>
      </c>
      <c r="C1356" s="1071" t="inlineStr">
        <is>
          <t>Perfil Steelframe, Montante 50mm - Um lado</t>
        </is>
      </c>
      <c r="D1356" s="1071" t="inlineStr">
        <is>
          <t>Perfil Steelframe, Montante 50mm - Um lado</t>
        </is>
      </c>
      <c r="E1356" s="1072" t="inlineStr">
        <is>
          <t>M2</t>
        </is>
      </c>
      <c r="F1356" s="1071" t="n"/>
      <c r="G1356" s="1073">
        <f t="array" ref="G1356">IF(B1356="insumo",_xlfn.XLOOKUP($D1356,Insumos!$B$1:$B$996,Insumos!$D$1:$D$996),"")</f>
        <v/>
      </c>
      <c r="H1356" s="1073" t="n">
        <v>23.578846</v>
      </c>
      <c r="I1356" s="2163" t="n">
        <v>0</v>
      </c>
      <c r="J1356" s="2163" t="n">
        <v>0</v>
      </c>
      <c r="K1356" s="2163" t="n"/>
    </row>
    <row r="1357" outlineLevel="3" ht="12.75" customHeight="1">
      <c r="A1357" s="82" t="n">
        <v>95</v>
      </c>
      <c r="B1357" s="82" t="inlineStr">
        <is>
          <t>Insumo</t>
        </is>
      </c>
      <c r="C1357" s="82" t="inlineStr">
        <is>
          <t>Perfil Steelframe, Montante 50mm - Um lado</t>
        </is>
      </c>
      <c r="D1357" s="82" t="inlineStr">
        <is>
          <t>PINO DE ACO COM ARRUELA CONICA, DIAMETRO ARRUELA = *23* MM E COMP HASTE = *27* MM (ACAO INDIRETA)</t>
        </is>
      </c>
      <c r="E1357" s="11">
        <f t="array" ref="E1357">_xlfn.XLOOKUP(D1357,Insumos!B:B,Insumos!C:$C)</f>
        <v/>
      </c>
      <c r="F1357" s="2164" t="n">
        <v>2.48</v>
      </c>
      <c r="G1357" s="92">
        <f t="array" ref="G1357">IF(B1357="insumo",_xlfn.XLOOKUP($D1357,Insumos!$B$1:$B$996,Insumos!$D$1:$D$996),"")</f>
        <v/>
      </c>
      <c r="H1357" s="92" t="n">
        <v>1.24992</v>
      </c>
      <c r="I1357" s="2165" t="n">
        <v>0</v>
      </c>
      <c r="J1357" s="2165" t="n">
        <v>0</v>
      </c>
      <c r="K1357" s="2165" t="n"/>
    </row>
    <row r="1358" outlineLevel="3" ht="12.75" customHeight="1">
      <c r="A1358" s="82" t="n">
        <v>26</v>
      </c>
      <c r="B1358" s="82" t="inlineStr">
        <is>
          <t>Insumo</t>
        </is>
      </c>
      <c r="C1358" s="82" t="inlineStr">
        <is>
          <t>Perfil Steelframe, Montante 50mm - Um lado</t>
        </is>
      </c>
      <c r="D1358" s="82" t="inlineStr">
        <is>
          <t>PERFIL GUIA, FORMATO U, EM ACO ZINCADO, PARA ESTRUTURA PAREDE DRYWALL, E = 0,5 MM, 48 X 3000 MM (L X C)</t>
        </is>
      </c>
      <c r="E1358" s="11">
        <f t="array" ref="E1358">_xlfn.XLOOKUP(D1358,Insumos!B:B,Insumos!C:$C)</f>
        <v/>
      </c>
      <c r="F1358" s="2164" t="n">
        <v>0.7624</v>
      </c>
      <c r="G1358" s="92">
        <f t="array" ref="G1358">IF(B1358="insumo",_xlfn.XLOOKUP($D1358,Insumos!$B$1:$B$996,Insumos!$D$1:$D$996),"")</f>
        <v/>
      </c>
      <c r="H1358" s="92" t="n">
        <v>5.359672</v>
      </c>
      <c r="I1358" s="2165" t="n">
        <v>0</v>
      </c>
      <c r="J1358" s="2165" t="n">
        <v>0</v>
      </c>
      <c r="K1358" s="2165" t="n"/>
    </row>
    <row r="1359" outlineLevel="3" ht="12.75" customHeight="1">
      <c r="A1359" s="82" t="n">
        <v>26</v>
      </c>
      <c r="B1359" s="82" t="inlineStr">
        <is>
          <t>Insumo</t>
        </is>
      </c>
      <c r="C1359" s="82" t="inlineStr">
        <is>
          <t>Perfil Steelframe, Montante 50mm - Um lado</t>
        </is>
      </c>
      <c r="D1359" s="82" t="inlineStr">
        <is>
          <t>PERFIL MONTANTE, FORMATO C, EM ACO ZINCADO, PARA ESTRUTURA PAREDE DRYWALL, E = 0,5 MM, 48 X 3000 MM (L X C)</t>
        </is>
      </c>
      <c r="E1359" s="11">
        <f t="array" ref="E1359">_xlfn.XLOOKUP(D1359,Insumos!B:B,Insumos!C:$C)</f>
        <v/>
      </c>
      <c r="F1359" s="2164" t="n">
        <v>2.0006</v>
      </c>
      <c r="G1359" s="92">
        <f t="array" ref="G1359">IF(B1359="insumo",_xlfn.XLOOKUP($D1359,Insumos!$B$1:$B$996,Insumos!$D$1:$D$996),"")</f>
        <v/>
      </c>
      <c r="H1359" s="92" t="n">
        <v>15.964788</v>
      </c>
      <c r="I1359" s="2165" t="n">
        <v>0</v>
      </c>
      <c r="J1359" s="2165" t="n">
        <v>0</v>
      </c>
      <c r="K1359" s="2165" t="n"/>
    </row>
    <row r="1360" outlineLevel="3" ht="12.75" customHeight="1">
      <c r="A1360" s="82" t="n">
        <v>97</v>
      </c>
      <c r="B1360" s="82" t="inlineStr">
        <is>
          <t>Insumo</t>
        </is>
      </c>
      <c r="C1360" s="82" t="inlineStr">
        <is>
          <t>Perfil Steelframe, Montante 50mm - Um lado</t>
        </is>
      </c>
      <c r="D1360" s="82" t="inlineStr">
        <is>
          <t>PARAFUSO DRY WALL, EM ACO FOSFATIZADO, CABECA TROMBETA E PONTA AGULHA (TA), COMPRIMENTO 25 MM</t>
        </is>
      </c>
      <c r="E1360" s="11">
        <f t="array" ref="E1360">_xlfn.XLOOKUP(D1360,Insumos!B:B,Insumos!C:$C)</f>
        <v/>
      </c>
      <c r="F1360" s="2164" t="n">
        <v>10.0934</v>
      </c>
      <c r="G1360" s="92">
        <f t="array" ref="G1360">IF(B1360="insumo",_xlfn.XLOOKUP($D1360,Insumos!$B$1:$B$996,Insumos!$D$1:$D$996),"")</f>
        <v/>
      </c>
      <c r="H1360" s="92" t="n">
        <v>0.908406</v>
      </c>
      <c r="I1360" s="2165" t="n">
        <v>0</v>
      </c>
      <c r="J1360" s="2165" t="n">
        <v>0</v>
      </c>
      <c r="K1360" s="2165" t="n"/>
    </row>
    <row r="1361" outlineLevel="3" ht="12.75" customHeight="1">
      <c r="A1361" s="82" t="n">
        <v>95</v>
      </c>
      <c r="B1361" s="82" t="inlineStr">
        <is>
          <t>Insumo</t>
        </is>
      </c>
      <c r="C1361" s="82" t="inlineStr">
        <is>
          <t>Perfil Steelframe, Montante 50mm - Um lado</t>
        </is>
      </c>
      <c r="D1361" s="82" t="inlineStr">
        <is>
          <t>PARAFUSO DRY WALL, EM ACO ZINCADO, CABECA LENTILHA E PONTA BROCA (LB), LARGURA 4,2 MM, COMPRIMENTO 13 MM</t>
        </is>
      </c>
      <c r="E1361" s="11">
        <f t="array" ref="E1361">_xlfn.XLOOKUP(D1361,Insumos!B:B,Insumos!C:$C)</f>
        <v/>
      </c>
      <c r="F1361" s="2164" t="n">
        <v>0.4803</v>
      </c>
      <c r="G1361" s="92">
        <f t="array" ref="G1361">IF(B1361="insumo",_xlfn.XLOOKUP($D1361,Insumos!$B$1:$B$996,Insumos!$D$1:$D$996),"")</f>
        <v/>
      </c>
      <c r="H1361" s="92" t="n">
        <v>0.09606000000000001</v>
      </c>
      <c r="I1361" s="2165" t="n">
        <v>0</v>
      </c>
      <c r="J1361" s="2165" t="n">
        <v>0</v>
      </c>
      <c r="K1361" s="2165" t="n"/>
    </row>
    <row r="1362" outlineLevel="2" ht="12.75" customHeight="1">
      <c r="A1362" s="1071" t="n">
        <v>1</v>
      </c>
      <c r="B1362" s="1071" t="inlineStr">
        <is>
          <t>Serviço</t>
        </is>
      </c>
      <c r="C1362" s="1071" t="inlineStr">
        <is>
          <t>Perfil Steelframe, Montante 70mm - Um lado</t>
        </is>
      </c>
      <c r="D1362" s="1071" t="inlineStr">
        <is>
          <t>Perfil Steelframe, Montante 70mm - Um lado</t>
        </is>
      </c>
      <c r="E1362" s="1072" t="inlineStr">
        <is>
          <t>M2</t>
        </is>
      </c>
      <c r="F1362" s="1071" t="n"/>
      <c r="G1362" s="1073">
        <f t="array" ref="G1362">IF(B1362="insumo",_xlfn.XLOOKUP($D1362,Insumos!$B$1:$B$996,Insumos!$D$1:$D$996),"")</f>
        <v/>
      </c>
      <c r="H1362" s="1073" t="n">
        <v>23.906678</v>
      </c>
      <c r="I1362" s="2163" t="n">
        <v>0</v>
      </c>
      <c r="J1362" s="2163" t="n">
        <v>0</v>
      </c>
      <c r="K1362" s="2163" t="n"/>
    </row>
    <row r="1363" outlineLevel="3" ht="12.75" customHeight="1">
      <c r="A1363" s="82" t="n">
        <v>95</v>
      </c>
      <c r="B1363" s="82" t="inlineStr">
        <is>
          <t>Insumo</t>
        </is>
      </c>
      <c r="C1363" s="82" t="inlineStr">
        <is>
          <t>Perfil Steelframe, Montante 70mm - Um lado</t>
        </is>
      </c>
      <c r="D1363" s="82" t="inlineStr">
        <is>
          <t>PINO DE ACO COM ARRUELA CONICA, DIAMETRO ARRUELA = *23* MM E COMP HASTE = *27* MM (ACAO INDIRETA)</t>
        </is>
      </c>
      <c r="E1363" s="11">
        <f t="array" ref="E1363">_xlfn.XLOOKUP(D1363,Insumos!B:B,Insumos!C:$C)</f>
        <v/>
      </c>
      <c r="F1363" s="2164" t="n">
        <v>2.48</v>
      </c>
      <c r="G1363" s="92">
        <f t="array" ref="G1363">IF(B1363="insumo",_xlfn.XLOOKUP($D1363,Insumos!$B$1:$B$996,Insumos!$D$1:$D$996),"")</f>
        <v/>
      </c>
      <c r="H1363" s="92" t="n">
        <v>1.24992</v>
      </c>
      <c r="I1363" s="2165" t="n">
        <v>0</v>
      </c>
      <c r="J1363" s="2165" t="n">
        <v>0</v>
      </c>
      <c r="K1363" s="2165" t="n"/>
    </row>
    <row r="1364" outlineLevel="3" ht="12.75" customHeight="1">
      <c r="A1364" s="82" t="n">
        <v>43</v>
      </c>
      <c r="B1364" s="82" t="inlineStr">
        <is>
          <t>Insumo</t>
        </is>
      </c>
      <c r="C1364" s="82" t="inlineStr">
        <is>
          <t>Perfil Steelframe, Montante 70mm - Um lado</t>
        </is>
      </c>
      <c r="D1364" s="82" t="inlineStr">
        <is>
          <t>PERFIL GUIA, FORMATO U, EM ACO ZINCADO, PARA ESTRUTURA PAREDE DRYWALL, E = 0,5 MM, 70 X 3000 MM (L X C)</t>
        </is>
      </c>
      <c r="E1364" s="11">
        <f t="array" ref="E1364">_xlfn.XLOOKUP(D1364,Insumos!B:B,Insumos!C:$C)</f>
        <v/>
      </c>
      <c r="F1364" s="2164" t="n">
        <v>0.7624</v>
      </c>
      <c r="G1364" s="92">
        <f t="array" ref="G1364">IF(B1364="insumo",_xlfn.XLOOKUP($D1364,Insumos!$B$1:$B$996,Insumos!$D$1:$D$996),"")</f>
        <v/>
      </c>
      <c r="H1364" s="92" t="n">
        <v>5.687504</v>
      </c>
      <c r="I1364" s="2165" t="n">
        <v>0</v>
      </c>
      <c r="J1364" s="2165" t="n">
        <v>0</v>
      </c>
      <c r="K1364" s="2165" t="n"/>
    </row>
    <row r="1365" outlineLevel="3" ht="12.75" customHeight="1">
      <c r="A1365" s="82" t="n">
        <v>43</v>
      </c>
      <c r="B1365" s="82" t="inlineStr">
        <is>
          <t>Insumo</t>
        </is>
      </c>
      <c r="C1365" s="82" t="inlineStr">
        <is>
          <t>Perfil Steelframe, Montante 70mm - Um lado</t>
        </is>
      </c>
      <c r="D1365" s="82" t="inlineStr">
        <is>
          <t>PERFIL MONTANTE, FORMATO C, EM ACO ZINCADO, PARA ESTRUTURA PAREDE DRYWALL, E = 0,5 MM, 70 X 3000 MM (L X C)</t>
        </is>
      </c>
      <c r="E1365" s="11">
        <f t="array" ref="E1365">_xlfn.XLOOKUP(D1365,Insumos!B:B,Insumos!C:$C)</f>
        <v/>
      </c>
      <c r="F1365" s="2164" t="n">
        <v>2.0006</v>
      </c>
      <c r="G1365" s="92">
        <f t="array" ref="G1365">IF(B1365="insumo",_xlfn.XLOOKUP($D1365,Insumos!$B$1:$B$996,Insumos!$D$1:$D$996),"")</f>
        <v/>
      </c>
      <c r="H1365" s="92" t="n">
        <v>15.964788</v>
      </c>
      <c r="I1365" s="2165" t="n">
        <v>0</v>
      </c>
      <c r="J1365" s="2165" t="n">
        <v>0</v>
      </c>
      <c r="K1365" s="2165" t="n"/>
    </row>
    <row r="1366" outlineLevel="3" ht="12.75" customHeight="1">
      <c r="A1366" s="82" t="n">
        <v>97</v>
      </c>
      <c r="B1366" s="82" t="inlineStr">
        <is>
          <t>Insumo</t>
        </is>
      </c>
      <c r="C1366" s="82" t="inlineStr">
        <is>
          <t>Perfil Steelframe, Montante 70mm - Um lado</t>
        </is>
      </c>
      <c r="D1366" s="82" t="inlineStr">
        <is>
          <t>PARAFUSO DRY WALL, EM ACO FOSFATIZADO, CABECA TROMBETA E PONTA AGULHA (TA), COMPRIMENTO 25 MM</t>
        </is>
      </c>
      <c r="E1366" s="11">
        <f t="array" ref="E1366">_xlfn.XLOOKUP(D1366,Insumos!B:B,Insumos!C:$C)</f>
        <v/>
      </c>
      <c r="F1366" s="2164" t="n">
        <v>10.0934</v>
      </c>
      <c r="G1366" s="92">
        <f t="array" ref="G1366">IF(B1366="insumo",_xlfn.XLOOKUP($D1366,Insumos!$B$1:$B$996,Insumos!$D$1:$D$996),"")</f>
        <v/>
      </c>
      <c r="H1366" s="92" t="n">
        <v>0.908406</v>
      </c>
      <c r="I1366" s="2165" t="n">
        <v>0</v>
      </c>
      <c r="J1366" s="2165" t="n">
        <v>0</v>
      </c>
      <c r="K1366" s="2165" t="n"/>
    </row>
    <row r="1367" outlineLevel="3" ht="12.75" customHeight="1">
      <c r="A1367" s="82" t="n">
        <v>95</v>
      </c>
      <c r="B1367" s="82" t="inlineStr">
        <is>
          <t>Insumo</t>
        </is>
      </c>
      <c r="C1367" s="82" t="inlineStr">
        <is>
          <t>Perfil Steelframe, Montante 70mm - Um lado</t>
        </is>
      </c>
      <c r="D1367" s="82" t="inlineStr">
        <is>
          <t>PARAFUSO DRY WALL, EM ACO ZINCADO, CABECA LENTILHA E PONTA BROCA (LB), LARGURA 4,2 MM, COMPRIMENTO 13 MM</t>
        </is>
      </c>
      <c r="E1367" s="11">
        <f t="array" ref="E1367">_xlfn.XLOOKUP(D1367,Insumos!B:B,Insumos!C:$C)</f>
        <v/>
      </c>
      <c r="F1367" s="2164" t="n">
        <v>0.4803</v>
      </c>
      <c r="G1367" s="92">
        <f t="array" ref="G1367">IF(B1367="insumo",_xlfn.XLOOKUP($D1367,Insumos!$B$1:$B$996,Insumos!$D$1:$D$996),"")</f>
        <v/>
      </c>
      <c r="H1367" s="92" t="n">
        <v>0.09606000000000001</v>
      </c>
      <c r="I1367" s="2165" t="n">
        <v>0</v>
      </c>
      <c r="J1367" s="2165" t="n">
        <v>0</v>
      </c>
      <c r="K1367" s="2165" t="n"/>
    </row>
    <row r="1368" outlineLevel="2" ht="12.75" customHeight="1">
      <c r="A1368" s="1071" t="n">
        <v>1</v>
      </c>
      <c r="B1368" s="1071" t="inlineStr">
        <is>
          <t>Serviço</t>
        </is>
      </c>
      <c r="C1368" s="1071" t="inlineStr">
        <is>
          <t>Perfil Steelframe, Montante 90mm - Um lado</t>
        </is>
      </c>
      <c r="D1368" s="1071" t="inlineStr">
        <is>
          <t>Perfil Steelframe, Montante 90mm - Um lado</t>
        </is>
      </c>
      <c r="E1368" s="1072" t="inlineStr">
        <is>
          <t>M2</t>
        </is>
      </c>
      <c r="F1368" s="1071" t="n"/>
      <c r="G1368" s="1073">
        <f t="array" ref="G1368">IF(B1368="insumo",_xlfn.XLOOKUP($D1368,Insumos!$B$1:$B$996,Insumos!$D$1:$D$996),"")</f>
        <v/>
      </c>
      <c r="H1368" s="1073" t="n">
        <v>45.032376</v>
      </c>
      <c r="I1368" s="2163" t="n">
        <v>0</v>
      </c>
      <c r="J1368" s="2163" t="n">
        <v>0</v>
      </c>
      <c r="K1368" s="2163" t="n"/>
    </row>
    <row r="1369" outlineLevel="3" ht="12.75" customHeight="1">
      <c r="A1369" s="82" t="n">
        <v>95</v>
      </c>
      <c r="B1369" s="82" t="inlineStr">
        <is>
          <t>Insumo</t>
        </is>
      </c>
      <c r="C1369" s="82" t="inlineStr">
        <is>
          <t>Perfil Steelframe, Montante 90mm - Um lado</t>
        </is>
      </c>
      <c r="D1369" s="82" t="inlineStr">
        <is>
          <t>PINO DE ACO COM ARRUELA CONICA, DIAMETRO ARRUELA = *23* MM E COMP HASTE = *27* MM (ACAO INDIRETA)</t>
        </is>
      </c>
      <c r="E1369" s="11">
        <f t="array" ref="E1369">_xlfn.XLOOKUP(D1369,Insumos!B:B,Insumos!C:$C)</f>
        <v/>
      </c>
      <c r="F1369" s="2164" t="n">
        <v>2.48</v>
      </c>
      <c r="G1369" s="92">
        <f t="array" ref="G1369">IF(B1369="insumo",_xlfn.XLOOKUP($D1369,Insumos!$B$1:$B$996,Insumos!$D$1:$D$996),"")</f>
        <v/>
      </c>
      <c r="H1369" s="92" t="n">
        <v>1.24992</v>
      </c>
      <c r="I1369" s="2165" t="n">
        <v>0</v>
      </c>
      <c r="J1369" s="2165" t="n">
        <v>0</v>
      </c>
      <c r="K1369" s="2165" t="n"/>
    </row>
    <row r="1370" outlineLevel="3" ht="12.75" customHeight="1">
      <c r="A1370" s="82" t="n">
        <v>26</v>
      </c>
      <c r="B1370" s="82" t="inlineStr">
        <is>
          <t>Insumo</t>
        </is>
      </c>
      <c r="C1370" s="82" t="inlineStr">
        <is>
          <t>Perfil Steelframe, Montante 90mm - Um lado</t>
        </is>
      </c>
      <c r="D1370" s="82" t="inlineStr">
        <is>
          <t>PERFIL GUIA, FORMATO U, EM ACO ZINCADO, PARA ESTRUTURA PAREDE DRYWALL, E = 0,5 MM, 90 X 3000 MM (L X C)</t>
        </is>
      </c>
      <c r="E1370" s="11">
        <f t="array" ref="E1370">_xlfn.XLOOKUP(D1370,Insumos!B:B,Insumos!C:$C)</f>
        <v/>
      </c>
      <c r="F1370" s="2164" t="n">
        <v>0.7624</v>
      </c>
      <c r="G1370" s="92">
        <f t="array" ref="G1370">IF(B1370="insumo",_xlfn.XLOOKUP($D1370,Insumos!$B$1:$B$996,Insumos!$D$1:$D$996),"")</f>
        <v/>
      </c>
      <c r="H1370" s="92" t="n">
        <v>6.587136</v>
      </c>
      <c r="I1370" s="2165" t="n">
        <v>0</v>
      </c>
      <c r="J1370" s="2165" t="n">
        <v>0</v>
      </c>
      <c r="K1370" s="2165" t="n"/>
    </row>
    <row r="1371" outlineLevel="3" ht="12.75" customHeight="1">
      <c r="A1371" s="82" t="n">
        <v>26</v>
      </c>
      <c r="B1371" s="82" t="inlineStr">
        <is>
          <t>Insumo</t>
        </is>
      </c>
      <c r="C1371" s="82" t="inlineStr">
        <is>
          <t>Perfil Steelframe, Montante 90mm - Um lado</t>
        </is>
      </c>
      <c r="D1371" s="82" t="inlineStr">
        <is>
          <t>PERFIL MONTANTE, FORMATO C, EM ACO ZINCADO, PARA ESTRUTURA PAREDE DRYWALL, E = 0,5 MM, 90 X 3000 MM (L X C)</t>
        </is>
      </c>
      <c r="E1371" s="11">
        <f t="array" ref="E1371">_xlfn.XLOOKUP(D1371,Insumos!B:B,Insumos!C:$C)</f>
        <v/>
      </c>
      <c r="F1371" s="2164" t="n">
        <v>2.0006</v>
      </c>
      <c r="G1371" s="92">
        <f t="array" ref="G1371">IF(B1371="insumo",_xlfn.XLOOKUP($D1371,Insumos!$B$1:$B$996,Insumos!$D$1:$D$996),"")</f>
        <v/>
      </c>
      <c r="H1371" s="92" t="n">
        <v>36.190854</v>
      </c>
      <c r="I1371" s="2165" t="n">
        <v>0</v>
      </c>
      <c r="J1371" s="2165" t="n">
        <v>0</v>
      </c>
      <c r="K1371" s="2165" t="n"/>
    </row>
    <row r="1372" outlineLevel="3" ht="12.75" customHeight="1">
      <c r="A1372" s="82" t="n">
        <v>97</v>
      </c>
      <c r="B1372" s="82" t="inlineStr">
        <is>
          <t>Insumo</t>
        </is>
      </c>
      <c r="C1372" s="82" t="inlineStr">
        <is>
          <t>Perfil Steelframe, Montante 90mm - Um lado</t>
        </is>
      </c>
      <c r="D1372" s="82" t="inlineStr">
        <is>
          <t>PARAFUSO DRY WALL, EM ACO FOSFATIZADO, CABECA TROMBETA E PONTA AGULHA (TA), COMPRIMENTO 25 MM</t>
        </is>
      </c>
      <c r="E1372" s="11">
        <f t="array" ref="E1372">_xlfn.XLOOKUP(D1372,Insumos!B:B,Insumos!C:$C)</f>
        <v/>
      </c>
      <c r="F1372" s="2164" t="n">
        <v>10.0934</v>
      </c>
      <c r="G1372" s="92">
        <f t="array" ref="G1372">IF(B1372="insumo",_xlfn.XLOOKUP($D1372,Insumos!$B$1:$B$996,Insumos!$D$1:$D$996),"")</f>
        <v/>
      </c>
      <c r="H1372" s="92" t="n">
        <v>0.908406</v>
      </c>
      <c r="I1372" s="2165" t="n">
        <v>0</v>
      </c>
      <c r="J1372" s="2165" t="n">
        <v>0</v>
      </c>
      <c r="K1372" s="2165" t="n"/>
    </row>
    <row r="1373" outlineLevel="3" ht="12.75" customHeight="1">
      <c r="A1373" s="82" t="n">
        <v>95</v>
      </c>
      <c r="B1373" s="82" t="inlineStr">
        <is>
          <t>Insumo</t>
        </is>
      </c>
      <c r="C1373" s="82" t="inlineStr">
        <is>
          <t>Perfil Steelframe, Montante 90mm - Um lado</t>
        </is>
      </c>
      <c r="D1373" s="82" t="inlineStr">
        <is>
          <t>PARAFUSO DRY WALL, EM ACO ZINCADO, CABECA LENTILHA E PONTA BROCA (LB), LARGURA 4,2 MM, COMPRIMENTO 13 MM</t>
        </is>
      </c>
      <c r="E1373" s="11">
        <f t="array" ref="E1373">_xlfn.XLOOKUP(D1373,Insumos!B:B,Insumos!C:$C)</f>
        <v/>
      </c>
      <c r="F1373" s="2164" t="n">
        <v>0.4803</v>
      </c>
      <c r="G1373" s="92">
        <f t="array" ref="G1373">IF(B1373="insumo",_xlfn.XLOOKUP($D1373,Insumos!$B$1:$B$996,Insumos!$D$1:$D$996),"")</f>
        <v/>
      </c>
      <c r="H1373" s="92" t="n">
        <v>0.09606000000000001</v>
      </c>
      <c r="I1373" s="2165" t="n">
        <v>0</v>
      </c>
      <c r="J1373" s="2165" t="n">
        <v>0</v>
      </c>
      <c r="K1373" s="2165" t="n"/>
    </row>
    <row r="1374" outlineLevel="2" ht="12.75" customHeight="1">
      <c r="A1374" s="1071" t="n">
        <v>1</v>
      </c>
      <c r="B1374" s="1071" t="inlineStr">
        <is>
          <t>Serviço</t>
        </is>
      </c>
      <c r="C1374" s="1071" t="inlineStr">
        <is>
          <t>Enchimento de parede em Chapas De Gesso Para Drywall, Uso Interno, Montante 70mm, Com Uma Face Simples Standart e isolamento com Lâ de Vidro (ST/70)</t>
        </is>
      </c>
      <c r="D1374" s="1071" t="inlineStr">
        <is>
          <t>Enchimento de parede em Chapas De Gesso Para Drywall, Uso Interno, Montante 70mm, Com Uma Face Simples Standart e isolamento com Lâ de Vidro (ST/70)</t>
        </is>
      </c>
      <c r="E1374" s="1072" t="inlineStr">
        <is>
          <t>M2</t>
        </is>
      </c>
      <c r="F1374" s="1071" t="n"/>
      <c r="G1374" s="1073">
        <f t="array" ref="G1374">IF(B1374="insumo",_xlfn.XLOOKUP($D1374,Insumos!$B$1:$B$996,Insumos!$D$1:$D$996),"")</f>
        <v/>
      </c>
      <c r="H1374" s="1073" t="n">
        <v>133.546839333333</v>
      </c>
      <c r="I1374" s="2163" t="n">
        <v>0</v>
      </c>
      <c r="J1374" s="2163" t="n">
        <v>0</v>
      </c>
      <c r="K1374" s="2163" t="n"/>
    </row>
    <row r="1375" outlineLevel="3" ht="12.75" customHeight="1">
      <c r="A1375" s="82" t="n">
        <v>86</v>
      </c>
      <c r="B1375" s="82" t="inlineStr">
        <is>
          <t>Insumo</t>
        </is>
      </c>
      <c r="C1375" s="82" t="inlineStr">
        <is>
          <t>Enchimento de parede em Chapas De Gesso Para Drywall, Uso Interno, Montante 70mm, Com Uma Face Simples Standart e isolamento com Lâ de Vidro (ST/70)</t>
        </is>
      </c>
      <c r="D1375" s="82" t="inlineStr">
        <is>
          <t>SERVICO - CONFECCAO SHAFT GESSO</t>
        </is>
      </c>
      <c r="E1375" s="11">
        <f t="array" ref="E1375">_xlfn.XLOOKUP(D1375,Insumos!B:B,Insumos!C:$C)</f>
        <v/>
      </c>
      <c r="F1375" s="2164" t="n">
        <v>1</v>
      </c>
      <c r="G1375" s="92">
        <f t="array" ref="G1375">IF(B1375="insumo",_xlfn.XLOOKUP($D1375,Insumos!$B$1:$B$996,Insumos!$D$1:$D$996),"")</f>
        <v/>
      </c>
      <c r="H1375" s="92" t="n">
        <v>70</v>
      </c>
      <c r="I1375" s="2165" t="n">
        <v>0</v>
      </c>
      <c r="J1375" s="2165" t="n">
        <v>0</v>
      </c>
      <c r="K1375" s="2165" t="n"/>
    </row>
    <row r="1376" outlineLevel="3" ht="12.75" customHeight="1">
      <c r="A1376" s="82" t="n">
        <v>47</v>
      </c>
      <c r="B1376" s="82" t="inlineStr">
        <is>
          <t>Insumo</t>
        </is>
      </c>
      <c r="C1376" s="82" t="inlineStr">
        <is>
          <t>Enchimento de parede em Chapas De Gesso Para Drywall, Uso Interno, Montante 70mm, Com Uma Face Simples Standart e isolamento com Lâ de Vidro (ST/70)</t>
        </is>
      </c>
      <c r="D1376" s="82" t="inlineStr">
        <is>
          <t>PLACA / CHAPA DE GESSO ACARTONADO, STANDARD (ST), COR BRANCA, E = 12,5 MM, 1200 X 2400 MM (L X C)</t>
        </is>
      </c>
      <c r="E1376" s="11">
        <f t="array" ref="E1376">_xlfn.XLOOKUP(D1376,Insumos!B:B,Insumos!C:$C)</f>
        <v/>
      </c>
      <c r="F1376" s="2164" t="n">
        <v>1.053</v>
      </c>
      <c r="G1376" s="92">
        <f t="array" ref="G1376">IF(B1376="insumo",_xlfn.XLOOKUP($D1376,Insumos!$B$1:$B$996,Insumos!$D$1:$D$996),"")</f>
        <v/>
      </c>
      <c r="H1376" s="92" t="n">
        <v>21.22848</v>
      </c>
      <c r="I1376" s="2165" t="n">
        <v>0</v>
      </c>
      <c r="J1376" s="2165" t="n">
        <v>0</v>
      </c>
      <c r="K1376" s="2165" t="n"/>
    </row>
    <row r="1377" outlineLevel="3" ht="12.75" customHeight="1">
      <c r="A1377" s="82" t="n">
        <v>95</v>
      </c>
      <c r="B1377" s="82" t="inlineStr">
        <is>
          <t>Insumo</t>
        </is>
      </c>
      <c r="C1377" s="82" t="inlineStr">
        <is>
          <t>Enchimento de parede em Chapas De Gesso Para Drywall, Uso Interno, Montante 70mm, Com Uma Face Simples Standart e isolamento com Lâ de Vidro (ST/70)</t>
        </is>
      </c>
      <c r="D1377" s="82" t="inlineStr">
        <is>
          <t>PINO DE ACO COM ARRUELA CONICA, DIAMETRO ARRUELA = *23* MM E COMP HASTE = *27* MM (ACAO INDIRETA)</t>
        </is>
      </c>
      <c r="E1377" s="11">
        <f t="array" ref="E1377">_xlfn.XLOOKUP(D1377,Insumos!B:B,Insumos!C:$C)</f>
        <v/>
      </c>
      <c r="F1377" s="2164" t="n">
        <v>2.48</v>
      </c>
      <c r="G1377" s="92">
        <f t="array" ref="G1377">IF(B1377="insumo",_xlfn.XLOOKUP($D1377,Insumos!$B$1:$B$996,Insumos!$D$1:$D$996),"")</f>
        <v/>
      </c>
      <c r="H1377" s="92" t="n">
        <v>1.24992</v>
      </c>
      <c r="I1377" s="2165" t="n">
        <v>0</v>
      </c>
      <c r="J1377" s="2165" t="n">
        <v>0</v>
      </c>
      <c r="K1377" s="2165" t="n"/>
    </row>
    <row r="1378" outlineLevel="3" ht="12.75" customHeight="1">
      <c r="A1378" s="82" t="n">
        <v>43</v>
      </c>
      <c r="B1378" s="82" t="inlineStr">
        <is>
          <t>Insumo</t>
        </is>
      </c>
      <c r="C1378" s="82" t="inlineStr">
        <is>
          <t>Enchimento de parede em Chapas De Gesso Para Drywall, Uso Interno, Montante 70mm, Com Uma Face Simples Standart e isolamento com Lâ de Vidro (ST/70)</t>
        </is>
      </c>
      <c r="D1378" s="82" t="inlineStr">
        <is>
          <t>PERFIL GUIA, FORMATO U, EM ACO ZINCADO, PARA ESTRUTURA PAREDE DRYWALL, E = 0,5 MM, 70 X 3000 MM (L X C)</t>
        </is>
      </c>
      <c r="E1378" s="11">
        <f t="array" ref="E1378">_xlfn.XLOOKUP(D1378,Insumos!B:B,Insumos!C:$C)</f>
        <v/>
      </c>
      <c r="F1378" s="2164" t="n">
        <v>0.7624</v>
      </c>
      <c r="G1378" s="92">
        <f t="array" ref="G1378">IF(B1378="insumo",_xlfn.XLOOKUP($D1378,Insumos!$B$1:$B$996,Insumos!$D$1:$D$996),"")</f>
        <v/>
      </c>
      <c r="H1378" s="92" t="n">
        <v>5.687504</v>
      </c>
      <c r="I1378" s="2165" t="n">
        <v>0</v>
      </c>
      <c r="J1378" s="2165" t="n">
        <v>0</v>
      </c>
      <c r="K1378" s="2165" t="n"/>
    </row>
    <row r="1379" outlineLevel="3" ht="12.75" customHeight="1">
      <c r="A1379" s="82" t="n">
        <v>43</v>
      </c>
      <c r="B1379" s="82" t="inlineStr">
        <is>
          <t>Insumo</t>
        </is>
      </c>
      <c r="C1379" s="82" t="inlineStr">
        <is>
          <t>Enchimento de parede em Chapas De Gesso Para Drywall, Uso Interno, Montante 70mm, Com Uma Face Simples Standart e isolamento com Lâ de Vidro (ST/70)</t>
        </is>
      </c>
      <c r="D1379" s="82" t="inlineStr">
        <is>
          <t>PERFIL MONTANTE, FORMATO C, EM ACO ZINCADO, PARA ESTRUTURA PAREDE DRYWALL, E = 0,5 MM, 70 X 3000 MM (L X C)</t>
        </is>
      </c>
      <c r="E1379" s="11">
        <f t="array" ref="E1379">_xlfn.XLOOKUP(D1379,Insumos!B:B,Insumos!C:$C)</f>
        <v/>
      </c>
      <c r="F1379" s="2164" t="n">
        <v>2.0006</v>
      </c>
      <c r="G1379" s="92">
        <f t="array" ref="G1379">IF(B1379="insumo",_xlfn.XLOOKUP($D1379,Insumos!$B$1:$B$996,Insumos!$D$1:$D$996),"")</f>
        <v/>
      </c>
      <c r="H1379" s="92" t="n">
        <v>15.964788</v>
      </c>
      <c r="I1379" s="2165" t="n">
        <v>0</v>
      </c>
      <c r="J1379" s="2165" t="n">
        <v>0</v>
      </c>
      <c r="K1379" s="2165" t="n"/>
    </row>
    <row r="1380" outlineLevel="3" ht="12.75" customHeight="1">
      <c r="A1380" s="82" t="n">
        <v>95</v>
      </c>
      <c r="B1380" s="82" t="inlineStr">
        <is>
          <t>Insumo</t>
        </is>
      </c>
      <c r="C1380" s="82" t="inlineStr">
        <is>
          <t>Enchimento de parede em Chapas De Gesso Para Drywall, Uso Interno, Montante 70mm, Com Uma Face Simples Standart e isolamento com Lâ de Vidro (ST/70)</t>
        </is>
      </c>
      <c r="D1380" s="82" t="inlineStr">
        <is>
          <t>MASSA DE REJUNTE EM PO PARA DRYWALL, A BASE DE GESSO, SECAGEM RAPIDA, PARA TRATAMENTO DE JUNTAS DE CHAPA DE GESSO (NECESSITA ADICAO DE AGUA)</t>
        </is>
      </c>
      <c r="E1380" s="11">
        <f t="array" ref="E1380">_xlfn.XLOOKUP(D1380,Insumos!B:B,Insumos!C:$C)</f>
        <v/>
      </c>
      <c r="F1380" s="2164" t="n">
        <v>0.5489000000000001</v>
      </c>
      <c r="G1380" s="92">
        <f t="array" ref="G1380">IF(B1380="insumo",_xlfn.XLOOKUP($D1380,Insumos!$B$1:$B$996,Insumos!$D$1:$D$996),"")</f>
        <v/>
      </c>
      <c r="H1380" s="92" t="n">
        <v>1.882727</v>
      </c>
      <c r="I1380" s="2165" t="n">
        <v>0</v>
      </c>
      <c r="J1380" s="2165" t="n">
        <v>0</v>
      </c>
      <c r="K1380" s="2165" t="n"/>
    </row>
    <row r="1381" outlineLevel="3" ht="12.75" customHeight="1">
      <c r="A1381" s="82" t="n">
        <v>94</v>
      </c>
      <c r="B1381" s="82" t="inlineStr">
        <is>
          <t>Insumo</t>
        </is>
      </c>
      <c r="C1381" s="82" t="inlineStr">
        <is>
          <t>Enchimento de parede em Chapas De Gesso Para Drywall, Uso Interno, Montante 70mm, Com Uma Face Simples Standart e isolamento com Lâ de Vidro (ST/70)</t>
        </is>
      </c>
      <c r="D1381" s="82" t="inlineStr">
        <is>
          <t>FITA DE PAPEL MICROPERFURADO, 50 X 150 MM, PARA TRATAMENTO DE JUNTAS DE CHAPA DE GESSO PARA DRYWALL</t>
        </is>
      </c>
      <c r="E1381" s="11">
        <f t="array" ref="E1381">_xlfn.XLOOKUP(D1381,Insumos!B:B,Insumos!C:$C)</f>
        <v/>
      </c>
      <c r="F1381" s="2164" t="n">
        <v>1.2513</v>
      </c>
      <c r="G1381" s="92">
        <f t="array" ref="G1381">IF(B1381="insumo",_xlfn.XLOOKUP($D1381,Insumos!$B$1:$B$996,Insumos!$D$1:$D$996),"")</f>
        <v/>
      </c>
      <c r="H1381" s="92" t="n">
        <v>0.387903</v>
      </c>
      <c r="I1381" s="2165" t="n">
        <v>0</v>
      </c>
      <c r="J1381" s="2165" t="n">
        <v>0</v>
      </c>
      <c r="K1381" s="2165" t="n"/>
    </row>
    <row r="1382" outlineLevel="3" ht="12.75" customHeight="1">
      <c r="A1382" s="82" t="n">
        <v>94</v>
      </c>
      <c r="B1382" s="82" t="inlineStr">
        <is>
          <t>Insumo</t>
        </is>
      </c>
      <c r="C1382" s="82" t="inlineStr">
        <is>
          <t>Enchimento de parede em Chapas De Gesso Para Drywall, Uso Interno, Montante 70mm, Com Uma Face Simples Standart e isolamento com Lâ de Vidro (ST/70)</t>
        </is>
      </c>
      <c r="D1382" s="82" t="inlineStr">
        <is>
          <t>FITA DE PAPEL REFORCADA COM LAMINA DE METAL PARA REFORCO DE CANTOS DE CHAPA DE GESSO PARA DRYWALL</t>
        </is>
      </c>
      <c r="E1382" s="11">
        <f t="array" ref="E1382">_xlfn.XLOOKUP(D1382,Insumos!B:B,Insumos!C:$C)</f>
        <v/>
      </c>
      <c r="F1382" s="2164" t="n">
        <v>0.7407</v>
      </c>
      <c r="G1382" s="92">
        <f t="array" ref="G1382">IF(B1382="insumo",_xlfn.XLOOKUP($D1382,Insumos!$B$1:$B$996,Insumos!$D$1:$D$996),"")</f>
        <v/>
      </c>
      <c r="H1382" s="92" t="n">
        <v>2.029518</v>
      </c>
      <c r="I1382" s="2165" t="n">
        <v>0</v>
      </c>
      <c r="J1382" s="2165" t="n">
        <v>0</v>
      </c>
      <c r="K1382" s="2165" t="n"/>
    </row>
    <row r="1383" outlineLevel="3" ht="12.75" customHeight="1">
      <c r="A1383" s="82" t="n">
        <v>97</v>
      </c>
      <c r="B1383" s="82" t="inlineStr">
        <is>
          <t>Insumo</t>
        </is>
      </c>
      <c r="C1383" s="82" t="inlineStr">
        <is>
          <t>Enchimento de parede em Chapas De Gesso Para Drywall, Uso Interno, Montante 70mm, Com Uma Face Simples Standart e isolamento com Lâ de Vidro (ST/70)</t>
        </is>
      </c>
      <c r="D1383" s="82" t="inlineStr">
        <is>
          <t>PARAFUSO DRY WALL, EM ACO FOSFATIZADO, CABECA TROMBETA E PONTA AGULHA (TA), COMPRIMENTO 25 MM</t>
        </is>
      </c>
      <c r="E1383" s="11">
        <f t="array" ref="E1383">_xlfn.XLOOKUP(D1383,Insumos!B:B,Insumos!C:$C)</f>
        <v/>
      </c>
      <c r="F1383" s="2164" t="n">
        <v>10.0934</v>
      </c>
      <c r="G1383" s="92">
        <f t="array" ref="G1383">IF(B1383="insumo",_xlfn.XLOOKUP($D1383,Insumos!$B$1:$B$996,Insumos!$D$1:$D$996),"")</f>
        <v/>
      </c>
      <c r="H1383" s="92" t="n">
        <v>0.908406</v>
      </c>
      <c r="I1383" s="2165" t="n">
        <v>0</v>
      </c>
      <c r="J1383" s="2165" t="n">
        <v>0</v>
      </c>
      <c r="K1383" s="2165" t="n"/>
    </row>
    <row r="1384" outlineLevel="3" ht="12.75" customHeight="1">
      <c r="A1384" s="82" t="n">
        <v>95</v>
      </c>
      <c r="B1384" s="82" t="inlineStr">
        <is>
          <t>Insumo</t>
        </is>
      </c>
      <c r="C1384" s="82" t="inlineStr">
        <is>
          <t>Enchimento de parede em Chapas De Gesso Para Drywall, Uso Interno, Montante 70mm, Com Uma Face Simples Standart e isolamento com Lâ de Vidro (ST/70)</t>
        </is>
      </c>
      <c r="D1384" s="82" t="inlineStr">
        <is>
          <t>PARAFUSO DRY WALL, EM ACO ZINCADO, CABECA LENTILHA E PONTA BROCA (LB), LARGURA 4,2 MM, COMPRIMENTO 13 MM</t>
        </is>
      </c>
      <c r="E1384" s="11">
        <f t="array" ref="E1384">_xlfn.XLOOKUP(D1384,Insumos!B:B,Insumos!C:$C)</f>
        <v/>
      </c>
      <c r="F1384" s="2164" t="n">
        <v>0.4803</v>
      </c>
      <c r="G1384" s="92">
        <f t="array" ref="G1384">IF(B1384="insumo",_xlfn.XLOOKUP($D1384,Insumos!$B$1:$B$996,Insumos!$D$1:$D$996),"")</f>
        <v/>
      </c>
      <c r="H1384" s="92" t="n">
        <v>0.09606000000000001</v>
      </c>
      <c r="I1384" s="2165" t="n">
        <v>0</v>
      </c>
      <c r="J1384" s="2165" t="n">
        <v>0</v>
      </c>
      <c r="K1384" s="2165" t="n"/>
    </row>
    <row r="1385" outlineLevel="3" ht="12.75" customHeight="1">
      <c r="A1385" s="82" t="n">
        <v>5</v>
      </c>
      <c r="B1385" s="82" t="inlineStr">
        <is>
          <t>Insumo</t>
        </is>
      </c>
      <c r="C1385" s="82" t="inlineStr">
        <is>
          <t>Enchimento de parede em Chapas De Gesso Para Drywall, Uso Interno, Montante 70mm, Com Uma Face Simples Standart e isolamento com Lâ de Vidro (ST/70)</t>
        </is>
      </c>
      <c r="D1385" s="82" t="inlineStr">
        <is>
          <t>LÂ DE VIDRO PARA ISOLAMENTO 50mm</t>
        </is>
      </c>
      <c r="E1385" s="11">
        <f t="array" ref="E1385">_xlfn.XLOOKUP(D1385,Insumos!B:B,Insumos!C:$C)</f>
        <v/>
      </c>
      <c r="F1385" s="2164" t="n">
        <v>1.1</v>
      </c>
      <c r="G1385" s="92">
        <f t="array" ref="G1385">IF(B1385="insumo",_xlfn.XLOOKUP($D1385,Insumos!$B$1:$B$996,Insumos!$D$1:$D$996),"")</f>
        <v/>
      </c>
      <c r="H1385" s="92" t="n">
        <v>14.1115333333333</v>
      </c>
      <c r="I1385" s="2165" t="n">
        <v>0</v>
      </c>
      <c r="J1385" s="2165" t="n">
        <v>0</v>
      </c>
      <c r="K1385" s="2165" t="n"/>
    </row>
    <row r="1386" outlineLevel="2" ht="15.75" customHeight="1">
      <c r="A1386" s="1067" t="n">
        <v>1</v>
      </c>
      <c r="B1386" s="1067" t="inlineStr">
        <is>
          <t>Serviço</t>
        </is>
      </c>
      <c r="C1386" s="1067" t="inlineStr">
        <is>
          <t>Fechamento de Shaft em Chapas De Gesso Para Drywall, Uso Interno, Montante 48mm, Com Duas Face Resistente a Umidade(RU/48/RU)</t>
        </is>
      </c>
      <c r="D1386" s="1067" t="inlineStr">
        <is>
          <t>Fechamento de Shaft em Chapas De Gesso Para Drywall, Uso Interno, Montante 48mm, Com Duas Face Resistente a Umidade(RU/48/RU)</t>
        </is>
      </c>
      <c r="E1386" s="1068" t="inlineStr">
        <is>
          <t>M2</t>
        </is>
      </c>
      <c r="F1386" s="1067" t="n"/>
      <c r="G1386" s="1069">
        <f t="array" ref="G1386">IF(B1386="insumo",_xlfn.XLOOKUP($D1386,Insumos!$B$1:$B$996,Insumos!$D$1:$D$996),"")</f>
        <v/>
      </c>
      <c r="H1386" s="1069" t="n">
        <v>200.190723</v>
      </c>
      <c r="I1386" s="2161" t="n">
        <v>0</v>
      </c>
      <c r="J1386" s="2161" t="n">
        <v>0</v>
      </c>
      <c r="K1386" s="2161" t="n"/>
    </row>
    <row r="1387" outlineLevel="3" ht="15.75" customHeight="1">
      <c r="A1387" s="10" t="n">
        <v>86</v>
      </c>
      <c r="B1387" s="10" t="inlineStr">
        <is>
          <t>Insumo</t>
        </is>
      </c>
      <c r="C1387" s="10" t="inlineStr">
        <is>
          <t>Fechamento de Shaft em Chapas De Gesso Para Drywall, Uso Interno, Montante 48mm, Com Duas Face Resistente a Umidade(RU/48/RU)</t>
        </is>
      </c>
      <c r="D1387" s="10" t="inlineStr">
        <is>
          <t>SERVICO - CONFECCAO SHAFT GESSO</t>
        </is>
      </c>
      <c r="E1387" s="11">
        <f t="array" ref="E1387">_xlfn.XLOOKUP(D1387,Insumos!B:B,Insumos!C:$C)</f>
        <v/>
      </c>
      <c r="F1387" s="14" t="n">
        <v>1</v>
      </c>
      <c r="G1387" s="92">
        <f t="array" ref="G1387">IF(B1387="insumo",_xlfn.XLOOKUP($D1387,Insumos!$B$1:$B$996,Insumos!$D$1:$D$996),"")</f>
        <v/>
      </c>
      <c r="H1387" s="92" t="n">
        <v>70</v>
      </c>
      <c r="I1387" s="2162" t="n">
        <v>0</v>
      </c>
      <c r="J1387" s="2162" t="n">
        <v>0</v>
      </c>
      <c r="K1387" s="2162" t="n"/>
    </row>
    <row r="1388" outlineLevel="3" ht="15.75" customHeight="1">
      <c r="A1388" s="10" t="n">
        <v>49</v>
      </c>
      <c r="B1388" s="10" t="inlineStr">
        <is>
          <t>Insumo</t>
        </is>
      </c>
      <c r="C1388" s="10" t="inlineStr">
        <is>
          <t>Fechamento de Shaft em Chapas De Gesso Para Drywall, Uso Interno, Montante 48mm, Com Duas Face Resistente a Umidade(RU/48/RU)</t>
        </is>
      </c>
      <c r="D1388" s="10" t="inlineStr">
        <is>
          <t>PLACA / CHAPA DE GESSO ACARTONADO, RESISTENTE A UMIDADE (RU), COR VERDE, E = 12,5 MM, 1200 X 2400 MM (L X C)</t>
        </is>
      </c>
      <c r="E1388" s="11">
        <f t="array" ref="E1388">_xlfn.XLOOKUP(D1388,Insumos!B:B,Insumos!C:$C)</f>
        <v/>
      </c>
      <c r="F1388" s="14" t="n">
        <v>2.106</v>
      </c>
      <c r="G1388" s="92">
        <f t="array" ref="G1388">IF(B1388="insumo",_xlfn.XLOOKUP($D1388,Insumos!$B$1:$B$996,Insumos!$D$1:$D$996),"")</f>
        <v/>
      </c>
      <c r="H1388" s="92" t="n">
        <v>57.0726</v>
      </c>
      <c r="I1388" s="2162" t="n">
        <v>0</v>
      </c>
      <c r="J1388" s="2162" t="n">
        <v>0</v>
      </c>
      <c r="K1388" s="2162" t="n"/>
    </row>
    <row r="1389" outlineLevel="3" ht="15.75" customHeight="1">
      <c r="A1389" s="10" t="n">
        <v>95</v>
      </c>
      <c r="B1389" s="10" t="inlineStr">
        <is>
          <t>Insumo</t>
        </is>
      </c>
      <c r="C1389" s="10" t="inlineStr">
        <is>
          <t>Fechamento de Shaft em Chapas De Gesso Para Drywall, Uso Interno, Montante 48mm, Com Duas Face Resistente a Umidade(RU/48/RU)</t>
        </is>
      </c>
      <c r="D1389" s="10" t="inlineStr">
        <is>
          <t>PINO DE ACO COM ARRUELA CONICA, DIAMETRO ARRUELA = *23* MM E COMP HASTE = *27* MM (ACAO INDIRETA)</t>
        </is>
      </c>
      <c r="E1389" s="11">
        <f t="array" ref="E1389">_xlfn.XLOOKUP(D1389,Insumos!B:B,Insumos!C:$C)</f>
        <v/>
      </c>
      <c r="F1389" s="14" t="n">
        <v>5.92</v>
      </c>
      <c r="G1389" s="92">
        <f t="array" ref="G1389">IF(B1389="insumo",_xlfn.XLOOKUP($D1389,Insumos!$B$1:$B$996,Insumos!$D$1:$D$996),"")</f>
        <v/>
      </c>
      <c r="H1389" s="92" t="n">
        <v>2.98368</v>
      </c>
      <c r="I1389" s="2162" t="n">
        <v>0</v>
      </c>
      <c r="J1389" s="2162" t="n">
        <v>0</v>
      </c>
      <c r="K1389" s="2162" t="n"/>
    </row>
    <row r="1390" outlineLevel="3" ht="15.75" customHeight="1">
      <c r="A1390" s="10" t="n">
        <v>26</v>
      </c>
      <c r="B1390" s="10" t="inlineStr">
        <is>
          <t>Insumo</t>
        </is>
      </c>
      <c r="C1390" s="10" t="inlineStr">
        <is>
          <t>Fechamento de Shaft em Chapas De Gesso Para Drywall, Uso Interno, Montante 48mm, Com Duas Face Resistente a Umidade(RU/48/RU)</t>
        </is>
      </c>
      <c r="D1390" s="10" t="inlineStr">
        <is>
          <t>PERFIL GUIA, FORMATO U, EM ACO ZINCADO, PARA ESTRUTURA PAREDE DRYWALL, E = 0,5 MM, 48 X 3000 MM (L X C)</t>
        </is>
      </c>
      <c r="E1390" s="11">
        <f t="array" ref="E1390">_xlfn.XLOOKUP(D1390,Insumos!B:B,Insumos!C:$C)</f>
        <v/>
      </c>
      <c r="F1390" s="14" t="n">
        <v>1.8234</v>
      </c>
      <c r="G1390" s="92">
        <f t="array" ref="G1390">IF(B1390="insumo",_xlfn.XLOOKUP($D1390,Insumos!$B$1:$B$996,Insumos!$D$1:$D$996),"")</f>
        <v/>
      </c>
      <c r="H1390" s="92" t="n">
        <v>12.818502</v>
      </c>
      <c r="I1390" s="2162" t="n">
        <v>0</v>
      </c>
      <c r="J1390" s="2162" t="n">
        <v>0</v>
      </c>
      <c r="K1390" s="2162" t="n"/>
    </row>
    <row r="1391" outlineLevel="3" ht="15.75" customHeight="1">
      <c r="A1391" s="10" t="n">
        <v>26</v>
      </c>
      <c r="B1391" s="10" t="inlineStr">
        <is>
          <t>Insumo</t>
        </is>
      </c>
      <c r="C1391" s="10" t="inlineStr">
        <is>
          <t>Fechamento de Shaft em Chapas De Gesso Para Drywall, Uso Interno, Montante 48mm, Com Duas Face Resistente a Umidade(RU/48/RU)</t>
        </is>
      </c>
      <c r="D1391" s="10" t="inlineStr">
        <is>
          <t>PERFIL MONTANTE, FORMATO C, EM ACO ZINCADO, PARA ESTRUTURA PAREDE DRYWALL, E = 0,5 MM, 48 X 3000 MM (L X C)</t>
        </is>
      </c>
      <c r="E1391" s="11">
        <f t="array" ref="E1391">_xlfn.XLOOKUP(D1391,Insumos!B:B,Insumos!C:$C)</f>
        <v/>
      </c>
      <c r="F1391" s="14" t="n">
        <v>5.8278</v>
      </c>
      <c r="G1391" s="92">
        <f t="array" ref="G1391">IF(B1391="insumo",_xlfn.XLOOKUP($D1391,Insumos!$B$1:$B$996,Insumos!$D$1:$D$996),"")</f>
        <v/>
      </c>
      <c r="H1391" s="92" t="n">
        <v>46.505844</v>
      </c>
      <c r="I1391" s="2162" t="n">
        <v>0</v>
      </c>
      <c r="J1391" s="2162" t="n">
        <v>0</v>
      </c>
      <c r="K1391" s="2162" t="n"/>
    </row>
    <row r="1392" outlineLevel="3" ht="15.75" customHeight="1">
      <c r="A1392" s="10" t="n">
        <v>95</v>
      </c>
      <c r="B1392" s="10" t="inlineStr">
        <is>
          <t>Insumo</t>
        </is>
      </c>
      <c r="C1392" s="10" t="inlineStr">
        <is>
          <t>Fechamento de Shaft em Chapas De Gesso Para Drywall, Uso Interno, Montante 48mm, Com Duas Face Resistente a Umidade(RU/48/RU)</t>
        </is>
      </c>
      <c r="D1392" s="10" t="inlineStr">
        <is>
          <t>MASSA DE REJUNTE EM PO PARA DRYWALL, A BASE DE GESSO, SECAGEM RAPIDA, PARA TRATAMENTO DE JUNTAS DE CHAPA DE GESSO (NECESSITA ADICAO DE AGUA)</t>
        </is>
      </c>
      <c r="E1392" s="11">
        <f t="array" ref="E1392">_xlfn.XLOOKUP(D1392,Insumos!B:B,Insumos!C:$C)</f>
        <v/>
      </c>
      <c r="F1392" s="14" t="n">
        <v>1.0978</v>
      </c>
      <c r="G1392" s="92">
        <f t="array" ref="G1392">IF(B1392="insumo",_xlfn.XLOOKUP($D1392,Insumos!$B$1:$B$996,Insumos!$D$1:$D$996),"")</f>
        <v/>
      </c>
      <c r="H1392" s="92" t="n">
        <v>3.765454</v>
      </c>
      <c r="I1392" s="2162" t="n">
        <v>0</v>
      </c>
      <c r="J1392" s="2162" t="n">
        <v>0</v>
      </c>
      <c r="K1392" s="2162" t="n"/>
    </row>
    <row r="1393" outlineLevel="3" ht="15.75" customHeight="1">
      <c r="A1393" s="10" t="n">
        <v>94</v>
      </c>
      <c r="B1393" s="10" t="inlineStr">
        <is>
          <t>Insumo</t>
        </is>
      </c>
      <c r="C1393" s="10" t="inlineStr">
        <is>
          <t>Fechamento de Shaft em Chapas De Gesso Para Drywall, Uso Interno, Montante 48mm, Com Duas Face Resistente a Umidade(RU/48/RU)</t>
        </is>
      </c>
      <c r="D1393" s="10" t="inlineStr">
        <is>
          <t>FITA DE PAPEL MICROPERFURADO, 50 X 150 MM, PARA TRATAMENTO DE JUNTAS DE CHAPA DE GESSO PARA DRYWALL</t>
        </is>
      </c>
      <c r="E1393" s="11">
        <f t="array" ref="E1393">_xlfn.XLOOKUP(D1393,Insumos!B:B,Insumos!C:$C)</f>
        <v/>
      </c>
      <c r="F1393" s="14" t="n">
        <v>2.5027</v>
      </c>
      <c r="G1393" s="92">
        <f t="array" ref="G1393">IF(B1393="insumo",_xlfn.XLOOKUP($D1393,Insumos!$B$1:$B$996,Insumos!$D$1:$D$996),"")</f>
        <v/>
      </c>
      <c r="H1393" s="92" t="n">
        <v>0.775837</v>
      </c>
      <c r="I1393" s="2162" t="n">
        <v>0</v>
      </c>
      <c r="J1393" s="2162" t="n">
        <v>0</v>
      </c>
      <c r="K1393" s="2162" t="n"/>
    </row>
    <row r="1394" outlineLevel="3" ht="15.75" customHeight="1">
      <c r="A1394" s="10" t="n">
        <v>94</v>
      </c>
      <c r="B1394" s="10" t="inlineStr">
        <is>
          <t>Insumo</t>
        </is>
      </c>
      <c r="C1394" s="10" t="inlineStr">
        <is>
          <t>Fechamento de Shaft em Chapas De Gesso Para Drywall, Uso Interno, Montante 48mm, Com Duas Face Resistente a Umidade(RU/48/RU)</t>
        </is>
      </c>
      <c r="D1394" s="10" t="inlineStr">
        <is>
          <t>FITA DE PAPEL REFORCADA COM LAMINA DE METAL PARA REFORCO DE CANTOS DE CHAPA DE GESSO PARA DRYWALL</t>
        </is>
      </c>
      <c r="E1394" s="11">
        <f t="array" ref="E1394">_xlfn.XLOOKUP(D1394,Insumos!B:B,Insumos!C:$C)</f>
        <v/>
      </c>
      <c r="F1394" s="14" t="n">
        <v>1.5851</v>
      </c>
      <c r="G1394" s="92">
        <f t="array" ref="G1394">IF(B1394="insumo",_xlfn.XLOOKUP($D1394,Insumos!$B$1:$B$996,Insumos!$D$1:$D$996),"")</f>
        <v/>
      </c>
      <c r="H1394" s="92" t="n">
        <v>4.343174</v>
      </c>
      <c r="I1394" s="2162" t="n">
        <v>0</v>
      </c>
      <c r="J1394" s="2162" t="n">
        <v>0</v>
      </c>
      <c r="K1394" s="2162" t="n"/>
    </row>
    <row r="1395" outlineLevel="3" ht="15.75" customHeight="1">
      <c r="A1395" s="10" t="n">
        <v>97</v>
      </c>
      <c r="B1395" s="10" t="inlineStr">
        <is>
          <t>Insumo</t>
        </is>
      </c>
      <c r="C1395" s="10" t="inlineStr">
        <is>
          <t>Fechamento de Shaft em Chapas De Gesso Para Drywall, Uso Interno, Montante 48mm, Com Duas Face Resistente a Umidade(RU/48/RU)</t>
        </is>
      </c>
      <c r="D1395" s="10" t="inlineStr">
        <is>
          <t>PARAFUSO DRY WALL, EM ACO FOSFATIZADO, CABECA TROMBETA E PONTA AGULHA (TA), COMPRIMENTO 25 MM</t>
        </is>
      </c>
      <c r="E1395" s="11">
        <f t="array" ref="E1395">_xlfn.XLOOKUP(D1395,Insumos!B:B,Insumos!C:$C)</f>
        <v/>
      </c>
      <c r="F1395" s="14" t="n">
        <v>20.1868</v>
      </c>
      <c r="G1395" s="92">
        <f t="array" ref="G1395">IF(B1395="insumo",_xlfn.XLOOKUP($D1395,Insumos!$B$1:$B$996,Insumos!$D$1:$D$996),"")</f>
        <v/>
      </c>
      <c r="H1395" s="92" t="n">
        <v>1.816812</v>
      </c>
      <c r="I1395" s="2162" t="n">
        <v>0</v>
      </c>
      <c r="J1395" s="2162" t="n">
        <v>0</v>
      </c>
      <c r="K1395" s="2162" t="n"/>
    </row>
    <row r="1396" outlineLevel="3" ht="15.75" customHeight="1">
      <c r="A1396" s="10" t="n">
        <v>95</v>
      </c>
      <c r="B1396" s="10" t="inlineStr">
        <is>
          <t>Insumo</t>
        </is>
      </c>
      <c r="C1396" s="10" t="inlineStr">
        <is>
          <t>Fechamento de Shaft em Chapas De Gesso Para Drywall, Uso Interno, Montante 48mm, Com Duas Face Resistente a Umidade(RU/48/RU)</t>
        </is>
      </c>
      <c r="D1396" s="10" t="inlineStr">
        <is>
          <t>PARAFUSO DRY WALL, EM ACO ZINCADO, CABECA LENTILHA E PONTA BROCA (LB), LARGURA 4,2 MM, COMPRIMENTO 13 MM</t>
        </is>
      </c>
      <c r="E1396" s="11">
        <f t="array" ref="E1396">_xlfn.XLOOKUP(D1396,Insumos!B:B,Insumos!C:$C)</f>
        <v/>
      </c>
      <c r="F1396" s="14" t="n">
        <v>0.5441</v>
      </c>
      <c r="G1396" s="92">
        <f t="array" ref="G1396">IF(B1396="insumo",_xlfn.XLOOKUP($D1396,Insumos!$B$1:$B$996,Insumos!$D$1:$D$996),"")</f>
        <v/>
      </c>
      <c r="H1396" s="92" t="n">
        <v>0.10882</v>
      </c>
      <c r="I1396" s="2162" t="n">
        <v>0</v>
      </c>
      <c r="J1396" s="2162" t="n">
        <v>0</v>
      </c>
      <c r="K1396" s="2162" t="n"/>
    </row>
    <row r="1397" outlineLevel="2" ht="15.75" customHeight="1">
      <c r="A1397" s="1067" t="n">
        <v>1</v>
      </c>
      <c r="B1397" s="1067" t="inlineStr">
        <is>
          <t>Serviço</t>
        </is>
      </c>
      <c r="C1397" s="1067" t="inlineStr">
        <is>
          <t>RU 48 mm - 1 PLACA - 6,05cm</t>
        </is>
      </c>
      <c r="D1397" s="1067" t="inlineStr">
        <is>
          <t>RU 48 mm - 1 PLACA - 6,05cm</t>
        </is>
      </c>
      <c r="E1397" s="1068" t="inlineStr">
        <is>
          <t>M2</t>
        </is>
      </c>
      <c r="F1397" s="1067" t="n"/>
      <c r="G1397" s="1069">
        <f t="array" ref="G1397">IF(B1397="insumo",_xlfn.XLOOKUP($D1397,Insumos!$B$1:$B$996,Insumos!$D$1:$D$996),"")</f>
        <v/>
      </c>
      <c r="H1397" s="1069" t="n">
        <v>167.7400845</v>
      </c>
      <c r="I1397" s="2161" t="n">
        <v>0</v>
      </c>
      <c r="J1397" s="2161" t="n">
        <v>0</v>
      </c>
      <c r="K1397" s="2161" t="n"/>
    </row>
    <row r="1398" outlineLevel="3" ht="15.75" customHeight="1">
      <c r="A1398" s="10" t="n">
        <v>86</v>
      </c>
      <c r="B1398" s="10" t="inlineStr">
        <is>
          <t>Insumo</t>
        </is>
      </c>
      <c r="C1398" s="10" t="inlineStr">
        <is>
          <t>RU 48 mm - 1 PLACA - 6,05cm</t>
        </is>
      </c>
      <c r="D1398" s="10" t="inlineStr">
        <is>
          <t>SERVICO - CONFECCAO SHAFT GESSO</t>
        </is>
      </c>
      <c r="E1398" s="11">
        <f t="array" ref="E1398">_xlfn.XLOOKUP(D1398,Insumos!B:B,Insumos!C:$C)</f>
        <v/>
      </c>
      <c r="F1398" s="14" t="n">
        <v>1</v>
      </c>
      <c r="G1398" s="92">
        <f t="array" ref="G1398">IF(B1398="insumo",_xlfn.XLOOKUP($D1398,Insumos!$B$1:$B$996,Insumos!$D$1:$D$996),"")</f>
        <v/>
      </c>
      <c r="H1398" s="92" t="n">
        <v>70</v>
      </c>
      <c r="I1398" s="2162" t="n">
        <v>0</v>
      </c>
      <c r="J1398" s="2162" t="n">
        <v>0</v>
      </c>
      <c r="K1398" s="2162" t="n"/>
    </row>
    <row r="1399" outlineLevel="3" ht="15.75" customHeight="1">
      <c r="A1399" s="10" t="n">
        <v>49</v>
      </c>
      <c r="B1399" s="10" t="inlineStr">
        <is>
          <t>Insumo</t>
        </is>
      </c>
      <c r="C1399" s="10" t="inlineStr">
        <is>
          <t>RU 48 mm - 1 PLACA - 6,05cm</t>
        </is>
      </c>
      <c r="D1399" s="10" t="inlineStr">
        <is>
          <t>PLACA / CHAPA DE GESSO ACARTONADO, RESISTENTE A UMIDADE (RU), COR VERDE, E = 12,5 MM, 1200 X 2400 MM (L X C)</t>
        </is>
      </c>
      <c r="E1399" s="11">
        <f t="array" ref="E1399">_xlfn.XLOOKUP(D1399,Insumos!B:B,Insumos!C:$C)</f>
        <v/>
      </c>
      <c r="F1399" s="14" t="n">
        <v>1.106</v>
      </c>
      <c r="G1399" s="92">
        <f t="array" ref="G1399">IF(B1399="insumo",_xlfn.XLOOKUP($D1399,Insumos!$B$1:$B$996,Insumos!$D$1:$D$996),"")</f>
        <v/>
      </c>
      <c r="H1399" s="92" t="n">
        <v>29.9726</v>
      </c>
      <c r="I1399" s="2162" t="n">
        <v>0</v>
      </c>
      <c r="J1399" s="2162" t="n">
        <v>0</v>
      </c>
      <c r="K1399" s="2162" t="n"/>
    </row>
    <row r="1400" outlineLevel="3" ht="15.75" customHeight="1">
      <c r="A1400" s="10" t="n">
        <v>95</v>
      </c>
      <c r="B1400" s="10" t="inlineStr">
        <is>
          <t>Insumo</t>
        </is>
      </c>
      <c r="C1400" s="10" t="inlineStr">
        <is>
          <t>RU 48 mm - 1 PLACA - 6,05cm</t>
        </is>
      </c>
      <c r="D1400" s="10" t="inlineStr">
        <is>
          <t>PINO DE ACO COM ARRUELA CONICA, DIAMETRO ARRUELA = *23* MM E COMP HASTE = *27* MM (ACAO INDIRETA)</t>
        </is>
      </c>
      <c r="E1400" s="11">
        <f t="array" ref="E1400">_xlfn.XLOOKUP(D1400,Insumos!B:B,Insumos!C:$C)</f>
        <v/>
      </c>
      <c r="F1400" s="14" t="n">
        <v>5.92</v>
      </c>
      <c r="G1400" s="92">
        <f t="array" ref="G1400">IF(B1400="insumo",_xlfn.XLOOKUP($D1400,Insumos!$B$1:$B$996,Insumos!$D$1:$D$996),"")</f>
        <v/>
      </c>
      <c r="H1400" s="92" t="n">
        <v>2.98368</v>
      </c>
      <c r="I1400" s="2162" t="n">
        <v>0</v>
      </c>
      <c r="J1400" s="2162" t="n">
        <v>0</v>
      </c>
      <c r="K1400" s="2162" t="n"/>
    </row>
    <row r="1401" outlineLevel="3" ht="15.75" customHeight="1">
      <c r="A1401" s="10" t="n">
        <v>26</v>
      </c>
      <c r="B1401" s="10" t="inlineStr">
        <is>
          <t>Insumo</t>
        </is>
      </c>
      <c r="C1401" s="10" t="inlineStr">
        <is>
          <t>RU 48 mm - 1 PLACA - 6,05cm</t>
        </is>
      </c>
      <c r="D1401" s="10" t="inlineStr">
        <is>
          <t>PERFIL GUIA, FORMATO U, EM ACO ZINCADO, PARA ESTRUTURA PAREDE DRYWALL, E = 0,5 MM, 48 X 3000 MM (L X C)</t>
        </is>
      </c>
      <c r="E1401" s="11">
        <f t="array" ref="E1401">_xlfn.XLOOKUP(D1401,Insumos!B:B,Insumos!C:$C)</f>
        <v/>
      </c>
      <c r="F1401" s="14" t="n">
        <v>1.8234</v>
      </c>
      <c r="G1401" s="92">
        <f t="array" ref="G1401">IF(B1401="insumo",_xlfn.XLOOKUP($D1401,Insumos!$B$1:$B$996,Insumos!$D$1:$D$996),"")</f>
        <v/>
      </c>
      <c r="H1401" s="92" t="n">
        <v>12.818502</v>
      </c>
      <c r="I1401" s="2162" t="n">
        <v>0</v>
      </c>
      <c r="J1401" s="2162" t="n">
        <v>0</v>
      </c>
      <c r="K1401" s="2162" t="n"/>
    </row>
    <row r="1402" outlineLevel="3" ht="15.75" customHeight="1">
      <c r="A1402" s="10" t="n">
        <v>26</v>
      </c>
      <c r="B1402" s="10" t="inlineStr">
        <is>
          <t>Insumo</t>
        </is>
      </c>
      <c r="C1402" s="10" t="inlineStr">
        <is>
          <t>RU 48 mm - 1 PLACA - 6,05cm</t>
        </is>
      </c>
      <c r="D1402" s="10" t="inlineStr">
        <is>
          <t>PERFIL MONTANTE, FORMATO C, EM ACO ZINCADO, PARA ESTRUTURA PAREDE DRYWALL, E = 0,5 MM, 48 X 3000 MM (L X C)</t>
        </is>
      </c>
      <c r="E1402" s="11">
        <f t="array" ref="E1402">_xlfn.XLOOKUP(D1402,Insumos!B:B,Insumos!C:$C)</f>
        <v/>
      </c>
      <c r="F1402" s="14" t="n">
        <v>5.8278</v>
      </c>
      <c r="G1402" s="92">
        <f t="array" ref="G1402">IF(B1402="insumo",_xlfn.XLOOKUP($D1402,Insumos!$B$1:$B$996,Insumos!$D$1:$D$996),"")</f>
        <v/>
      </c>
      <c r="H1402" s="92" t="n">
        <v>46.505844</v>
      </c>
      <c r="I1402" s="2162" t="n">
        <v>0</v>
      </c>
      <c r="J1402" s="2162" t="n">
        <v>0</v>
      </c>
      <c r="K1402" s="2162" t="n"/>
    </row>
    <row r="1403" outlineLevel="3" ht="15.75" customHeight="1">
      <c r="A1403" s="10" t="n">
        <v>95</v>
      </c>
      <c r="B1403" s="10" t="inlineStr">
        <is>
          <t>Insumo</t>
        </is>
      </c>
      <c r="C1403" s="10" t="inlineStr">
        <is>
          <t>RU 48 mm - 1 PLACA - 6,05cm</t>
        </is>
      </c>
      <c r="D1403" s="10" t="inlineStr">
        <is>
          <t>MASSA DE REJUNTE EM PO PARA DRYWALL, A BASE DE GESSO, SECAGEM RAPIDA, PARA TRATAMENTO DE JUNTAS DE CHAPA DE GESSO (NECESSITA ADICAO DE AGUA)</t>
        </is>
      </c>
      <c r="E1403" s="11">
        <f t="array" ref="E1403">_xlfn.XLOOKUP(D1403,Insumos!B:B,Insumos!C:$C)</f>
        <v/>
      </c>
      <c r="F1403" s="14">
        <f>1.0978/2</f>
        <v/>
      </c>
      <c r="G1403" s="92">
        <f t="array" ref="G1403">IF(B1403="insumo",_xlfn.XLOOKUP($D1403,Insumos!$B$1:$B$996,Insumos!$D$1:$D$996),"")</f>
        <v/>
      </c>
      <c r="H1403" s="92" t="n">
        <v>1.882727</v>
      </c>
      <c r="I1403" s="2162" t="n">
        <v>0</v>
      </c>
      <c r="J1403" s="2162" t="n">
        <v>0</v>
      </c>
      <c r="K1403" s="2162" t="n"/>
    </row>
    <row r="1404" outlineLevel="3" ht="15.75" customHeight="1">
      <c r="A1404" s="10" t="n">
        <v>94</v>
      </c>
      <c r="B1404" s="10" t="inlineStr">
        <is>
          <t>Insumo</t>
        </is>
      </c>
      <c r="C1404" s="10" t="inlineStr">
        <is>
          <t>RU 48 mm - 1 PLACA - 6,05cm</t>
        </is>
      </c>
      <c r="D1404" s="10" t="inlineStr">
        <is>
          <t>FITA DE PAPEL MICROPERFURADO, 50 X 150 MM, PARA TRATAMENTO DE JUNTAS DE CHAPA DE GESSO PARA DRYWALL</t>
        </is>
      </c>
      <c r="E1404" s="11">
        <f t="array" ref="E1404">_xlfn.XLOOKUP(D1404,Insumos!B:B,Insumos!C:$C)</f>
        <v/>
      </c>
      <c r="F1404" s="14">
        <f>2.5027/2</f>
        <v/>
      </c>
      <c r="G1404" s="92">
        <f t="array" ref="G1404">IF(B1404="insumo",_xlfn.XLOOKUP($D1404,Insumos!$B$1:$B$996,Insumos!$D$1:$D$996),"")</f>
        <v/>
      </c>
      <c r="H1404" s="92" t="n">
        <v>0.3879185</v>
      </c>
      <c r="I1404" s="2162" t="n">
        <v>0</v>
      </c>
      <c r="J1404" s="2162" t="n">
        <v>0</v>
      </c>
      <c r="K1404" s="2162" t="n"/>
    </row>
    <row r="1405" outlineLevel="3" ht="15.75" customHeight="1">
      <c r="A1405" s="10" t="n">
        <v>94</v>
      </c>
      <c r="B1405" s="10" t="inlineStr">
        <is>
          <t>Insumo</t>
        </is>
      </c>
      <c r="C1405" s="10" t="inlineStr">
        <is>
          <t>RU 48 mm - 1 PLACA - 6,05cm</t>
        </is>
      </c>
      <c r="D1405" s="10" t="inlineStr">
        <is>
          <t>FITA DE PAPEL REFORCADA COM LAMINA DE METAL PARA REFORCO DE CANTOS DE CHAPA DE GESSO PARA DRYWALL</t>
        </is>
      </c>
      <c r="E1405" s="11">
        <f t="array" ref="E1405">_xlfn.XLOOKUP(D1405,Insumos!B:B,Insumos!C:$C)</f>
        <v/>
      </c>
      <c r="F1405" s="14">
        <f>1.5851/2</f>
        <v/>
      </c>
      <c r="G1405" s="92">
        <f t="array" ref="G1405">IF(B1405="insumo",_xlfn.XLOOKUP($D1405,Insumos!$B$1:$B$996,Insumos!$D$1:$D$996),"")</f>
        <v/>
      </c>
      <c r="H1405" s="92" t="n">
        <v>2.171587</v>
      </c>
      <c r="I1405" s="2162" t="n">
        <v>0</v>
      </c>
      <c r="J1405" s="2162" t="n">
        <v>0</v>
      </c>
      <c r="K1405" s="2162" t="n"/>
    </row>
    <row r="1406" outlineLevel="3" ht="15.75" customHeight="1">
      <c r="A1406" s="10" t="n">
        <v>97</v>
      </c>
      <c r="B1406" s="10" t="inlineStr">
        <is>
          <t>Insumo</t>
        </is>
      </c>
      <c r="C1406" s="10" t="inlineStr">
        <is>
          <t>RU 48 mm - 1 PLACA - 6,05cm</t>
        </is>
      </c>
      <c r="D1406" s="10" t="inlineStr">
        <is>
          <t>PARAFUSO DRY WALL, EM ACO FOSFATIZADO, CABECA TROMBETA E PONTA AGULHA (TA), COMPRIMENTO 25 MM</t>
        </is>
      </c>
      <c r="E1406" s="11">
        <f t="array" ref="E1406">_xlfn.XLOOKUP(D1406,Insumos!B:B,Insumos!C:$C)</f>
        <v/>
      </c>
      <c r="F1406" s="14">
        <f>20.1868/2</f>
        <v/>
      </c>
      <c r="G1406" s="92">
        <f t="array" ref="G1406">IF(B1406="insumo",_xlfn.XLOOKUP($D1406,Insumos!$B$1:$B$996,Insumos!$D$1:$D$996),"")</f>
        <v/>
      </c>
      <c r="H1406" s="92" t="n">
        <v>0.908406</v>
      </c>
      <c r="I1406" s="2162" t="n">
        <v>0</v>
      </c>
      <c r="J1406" s="2162" t="n">
        <v>0</v>
      </c>
      <c r="K1406" s="2162" t="n"/>
    </row>
    <row r="1407" outlineLevel="3" ht="15.75" customHeight="1">
      <c r="A1407" s="10" t="n">
        <v>95</v>
      </c>
      <c r="B1407" s="10" t="inlineStr">
        <is>
          <t>Insumo</t>
        </is>
      </c>
      <c r="C1407" s="10" t="inlineStr">
        <is>
          <t>RU 48 mm - 1 PLACA - 6,05cm</t>
        </is>
      </c>
      <c r="D1407" s="10" t="inlineStr">
        <is>
          <t>PARAFUSO DRY WALL, EM ACO ZINCADO, CABECA LENTILHA E PONTA BROCA (LB), LARGURA 4,2 MM, COMPRIMENTO 13 MM</t>
        </is>
      </c>
      <c r="E1407" s="11">
        <f t="array" ref="E1407">_xlfn.XLOOKUP(D1407,Insumos!B:B,Insumos!C:$C)</f>
        <v/>
      </c>
      <c r="F1407" s="14" t="n">
        <v>0.5441</v>
      </c>
      <c r="G1407" s="92">
        <f t="array" ref="G1407">IF(B1407="insumo",_xlfn.XLOOKUP($D1407,Insumos!$B$1:$B$996,Insumos!$D$1:$D$996),"")</f>
        <v/>
      </c>
      <c r="H1407" s="92" t="n">
        <v>0.10882</v>
      </c>
      <c r="I1407" s="2162" t="n">
        <v>0</v>
      </c>
      <c r="J1407" s="2162" t="n">
        <v>0</v>
      </c>
      <c r="K1407" s="2162" t="n"/>
    </row>
    <row r="1408" outlineLevel="2" ht="15.75" customHeight="1">
      <c r="A1408" s="1067" t="n">
        <v>1</v>
      </c>
      <c r="B1408" s="1067" t="inlineStr">
        <is>
          <t>Serviço</t>
        </is>
      </c>
      <c r="C1408" s="1067" t="inlineStr">
        <is>
          <t>ST 48 mm - 1 PLACA - 6,05cm</t>
        </is>
      </c>
      <c r="D1408" s="1067" t="inlineStr">
        <is>
          <t>ST 48 mm - 1 PLACA - 6,05cm</t>
        </is>
      </c>
      <c r="E1408" s="1068" t="inlineStr">
        <is>
          <t>M2</t>
        </is>
      </c>
      <c r="F1408" s="1067" t="n"/>
      <c r="G1408" s="1069">
        <f t="array" ref="G1408">IF(B1408="insumo",_xlfn.XLOOKUP($D1408,Insumos!$B$1:$B$996,Insumos!$D$1:$D$996),"")</f>
        <v/>
      </c>
      <c r="H1408" s="1069" t="n">
        <v>160.0644445</v>
      </c>
      <c r="I1408" s="2161" t="n">
        <v>0</v>
      </c>
      <c r="J1408" s="2161" t="n">
        <v>0</v>
      </c>
      <c r="K1408" s="2161" t="n"/>
    </row>
    <row r="1409" outlineLevel="3" ht="15.75" customHeight="1">
      <c r="A1409" s="10" t="n">
        <v>86</v>
      </c>
      <c r="B1409" s="10" t="inlineStr">
        <is>
          <t>Insumo</t>
        </is>
      </c>
      <c r="C1409" s="10" t="inlineStr">
        <is>
          <t>ST 48 mm - 1 PLACA - 6,05cm</t>
        </is>
      </c>
      <c r="D1409" s="10" t="inlineStr">
        <is>
          <t>SERVICO - CONFECCAO SHAFT GESSO</t>
        </is>
      </c>
      <c r="E1409" s="11">
        <f t="array" ref="E1409">_xlfn.XLOOKUP(D1409,Insumos!B:B,Insumos!C:$C)</f>
        <v/>
      </c>
      <c r="F1409" s="14" t="n">
        <v>1</v>
      </c>
      <c r="G1409" s="92">
        <f t="array" ref="G1409">IF(B1409="insumo",_xlfn.XLOOKUP($D1409,Insumos!$B$1:$B$996,Insumos!$D$1:$D$996),"")</f>
        <v/>
      </c>
      <c r="H1409" s="92" t="n">
        <v>70</v>
      </c>
      <c r="I1409" s="2162" t="n">
        <v>0</v>
      </c>
      <c r="J1409" s="2162" t="n">
        <v>0</v>
      </c>
      <c r="K1409" s="2162" t="n"/>
    </row>
    <row r="1410" outlineLevel="3" ht="15.75" customHeight="1">
      <c r="A1410" s="10" t="n">
        <v>47</v>
      </c>
      <c r="B1410" s="10" t="inlineStr">
        <is>
          <t>Insumo</t>
        </is>
      </c>
      <c r="C1410" s="10" t="inlineStr">
        <is>
          <t>ST 48 mm - 1 PLACA - 6,05cm</t>
        </is>
      </c>
      <c r="D1410" s="10" t="inlineStr">
        <is>
          <t>PLACA / CHAPA DE GESSO ACARTONADO, STANDARD (ST), COR BRANCA, E = 12,5 MM, 1200 X 2400 MM (L X C)</t>
        </is>
      </c>
      <c r="E1410" s="11">
        <f t="array" ref="E1410">_xlfn.XLOOKUP(D1410,Insumos!B:B,Insumos!C:$C)</f>
        <v/>
      </c>
      <c r="F1410" s="14" t="n">
        <v>1.106</v>
      </c>
      <c r="G1410" s="92">
        <f t="array" ref="G1410">IF(B1410="insumo",_xlfn.XLOOKUP($D1410,Insumos!$B$1:$B$996,Insumos!$D$1:$D$996),"")</f>
        <v/>
      </c>
      <c r="H1410" s="92" t="n">
        <v>22.29696</v>
      </c>
      <c r="I1410" s="2162" t="n">
        <v>0</v>
      </c>
      <c r="J1410" s="2162" t="n">
        <v>0</v>
      </c>
      <c r="K1410" s="2162" t="n"/>
    </row>
    <row r="1411" outlineLevel="3" ht="15.75" customHeight="1">
      <c r="A1411" s="10" t="n">
        <v>95</v>
      </c>
      <c r="B1411" s="10" t="inlineStr">
        <is>
          <t>Insumo</t>
        </is>
      </c>
      <c r="C1411" s="10" t="inlineStr">
        <is>
          <t>ST 48 mm - 1 PLACA - 6,05cm</t>
        </is>
      </c>
      <c r="D1411" s="10" t="inlineStr">
        <is>
          <t>PINO DE ACO COM ARRUELA CONICA, DIAMETRO ARRUELA = *23* MM E COMP HASTE = *27* MM (ACAO INDIRETA)</t>
        </is>
      </c>
      <c r="E1411" s="11">
        <f t="array" ref="E1411">_xlfn.XLOOKUP(D1411,Insumos!B:B,Insumos!C:$C)</f>
        <v/>
      </c>
      <c r="F1411" s="14" t="n">
        <v>5.92</v>
      </c>
      <c r="G1411" s="92">
        <f t="array" ref="G1411">IF(B1411="insumo",_xlfn.XLOOKUP($D1411,Insumos!$B$1:$B$996,Insumos!$D$1:$D$996),"")</f>
        <v/>
      </c>
      <c r="H1411" s="92" t="n">
        <v>2.98368</v>
      </c>
      <c r="I1411" s="2162" t="n">
        <v>0</v>
      </c>
      <c r="J1411" s="2162" t="n">
        <v>0</v>
      </c>
      <c r="K1411" s="2162" t="n"/>
    </row>
    <row r="1412" outlineLevel="3" ht="15.75" customHeight="1">
      <c r="A1412" s="10" t="n">
        <v>26</v>
      </c>
      <c r="B1412" s="10" t="inlineStr">
        <is>
          <t>Insumo</t>
        </is>
      </c>
      <c r="C1412" s="10" t="inlineStr">
        <is>
          <t>ST 48 mm - 1 PLACA - 6,05cm</t>
        </is>
      </c>
      <c r="D1412" s="10" t="inlineStr">
        <is>
          <t>PERFIL GUIA, FORMATO U, EM ACO ZINCADO, PARA ESTRUTURA PAREDE DRYWALL, E = 0,5 MM, 48 X 3000 MM (L X C)</t>
        </is>
      </c>
      <c r="E1412" s="11">
        <f t="array" ref="E1412">_xlfn.XLOOKUP(D1412,Insumos!B:B,Insumos!C:$C)</f>
        <v/>
      </c>
      <c r="F1412" s="14" t="n">
        <v>1.8234</v>
      </c>
      <c r="G1412" s="92">
        <f t="array" ref="G1412">IF(B1412="insumo",_xlfn.XLOOKUP($D1412,Insumos!$B$1:$B$996,Insumos!$D$1:$D$996),"")</f>
        <v/>
      </c>
      <c r="H1412" s="92" t="n">
        <v>12.818502</v>
      </c>
      <c r="I1412" s="2162" t="n">
        <v>0</v>
      </c>
      <c r="J1412" s="2162" t="n">
        <v>0</v>
      </c>
      <c r="K1412" s="2162" t="n"/>
    </row>
    <row r="1413" outlineLevel="3" ht="15.75" customHeight="1">
      <c r="A1413" s="10" t="n">
        <v>26</v>
      </c>
      <c r="B1413" s="10" t="inlineStr">
        <is>
          <t>Insumo</t>
        </is>
      </c>
      <c r="C1413" s="10" t="inlineStr">
        <is>
          <t>ST 48 mm - 1 PLACA - 6,05cm</t>
        </is>
      </c>
      <c r="D1413" s="10" t="inlineStr">
        <is>
          <t>PERFIL MONTANTE, FORMATO C, EM ACO ZINCADO, PARA ESTRUTURA PAREDE DRYWALL, E = 0,5 MM, 48 X 3000 MM (L X C)</t>
        </is>
      </c>
      <c r="E1413" s="11">
        <f t="array" ref="E1413">_xlfn.XLOOKUP(D1413,Insumos!B:B,Insumos!C:$C)</f>
        <v/>
      </c>
      <c r="F1413" s="14" t="n">
        <v>5.8278</v>
      </c>
      <c r="G1413" s="92">
        <f t="array" ref="G1413">IF(B1413="insumo",_xlfn.XLOOKUP($D1413,Insumos!$B$1:$B$996,Insumos!$D$1:$D$996),"")</f>
        <v/>
      </c>
      <c r="H1413" s="92" t="n">
        <v>46.505844</v>
      </c>
      <c r="I1413" s="2162" t="n">
        <v>0</v>
      </c>
      <c r="J1413" s="2162" t="n">
        <v>0</v>
      </c>
      <c r="K1413" s="2162" t="n"/>
    </row>
    <row r="1414" outlineLevel="3" ht="15.75" customHeight="1">
      <c r="A1414" s="10" t="n">
        <v>95</v>
      </c>
      <c r="B1414" s="10" t="inlineStr">
        <is>
          <t>Insumo</t>
        </is>
      </c>
      <c r="C1414" s="10" t="inlineStr">
        <is>
          <t>ST 48 mm - 1 PLACA - 6,05cm</t>
        </is>
      </c>
      <c r="D1414" s="10" t="inlineStr">
        <is>
          <t>MASSA DE REJUNTE EM PO PARA DRYWALL, A BASE DE GESSO, SECAGEM RAPIDA, PARA TRATAMENTO DE JUNTAS DE CHAPA DE GESSO (NECESSITA ADICAO DE AGUA)</t>
        </is>
      </c>
      <c r="E1414" s="11">
        <f t="array" ref="E1414">_xlfn.XLOOKUP(D1414,Insumos!B:B,Insumos!C:$C)</f>
        <v/>
      </c>
      <c r="F1414" s="14">
        <f>1.0978/2</f>
        <v/>
      </c>
      <c r="G1414" s="92">
        <f t="array" ref="G1414">IF(B1414="insumo",_xlfn.XLOOKUP($D1414,Insumos!$B$1:$B$996,Insumos!$D$1:$D$996),"")</f>
        <v/>
      </c>
      <c r="H1414" s="92" t="n">
        <v>1.882727</v>
      </c>
      <c r="I1414" s="2162" t="n">
        <v>0</v>
      </c>
      <c r="J1414" s="2162" t="n">
        <v>0</v>
      </c>
      <c r="K1414" s="2162" t="n"/>
    </row>
    <row r="1415" outlineLevel="3" ht="15.75" customHeight="1">
      <c r="A1415" s="10" t="n">
        <v>94</v>
      </c>
      <c r="B1415" s="10" t="inlineStr">
        <is>
          <t>Insumo</t>
        </is>
      </c>
      <c r="C1415" s="10" t="inlineStr">
        <is>
          <t>ST 48 mm - 1 PLACA - 6,05cm</t>
        </is>
      </c>
      <c r="D1415" s="10" t="inlineStr">
        <is>
          <t>FITA DE PAPEL MICROPERFURADO, 50 X 150 MM, PARA TRATAMENTO DE JUNTAS DE CHAPA DE GESSO PARA DRYWALL</t>
        </is>
      </c>
      <c r="E1415" s="11">
        <f t="array" ref="E1415">_xlfn.XLOOKUP(D1415,Insumos!B:B,Insumos!C:$C)</f>
        <v/>
      </c>
      <c r="F1415" s="14">
        <f>2.5027/2</f>
        <v/>
      </c>
      <c r="G1415" s="92">
        <f t="array" ref="G1415">IF(B1415="insumo",_xlfn.XLOOKUP($D1415,Insumos!$B$1:$B$996,Insumos!$D$1:$D$996),"")</f>
        <v/>
      </c>
      <c r="H1415" s="92" t="n">
        <v>0.3879185</v>
      </c>
      <c r="I1415" s="2162" t="n">
        <v>0</v>
      </c>
      <c r="J1415" s="2162" t="n">
        <v>0</v>
      </c>
      <c r="K1415" s="2162" t="n"/>
    </row>
    <row r="1416" outlineLevel="3" ht="15.75" customHeight="1">
      <c r="A1416" s="10" t="n">
        <v>94</v>
      </c>
      <c r="B1416" s="10" t="inlineStr">
        <is>
          <t>Insumo</t>
        </is>
      </c>
      <c r="C1416" s="10" t="inlineStr">
        <is>
          <t>ST 48 mm - 1 PLACA - 6,05cm</t>
        </is>
      </c>
      <c r="D1416" s="10" t="inlineStr">
        <is>
          <t>FITA DE PAPEL REFORCADA COM LAMINA DE METAL PARA REFORCO DE CANTOS DE CHAPA DE GESSO PARA DRYWALL</t>
        </is>
      </c>
      <c r="E1416" s="11">
        <f t="array" ref="E1416">_xlfn.XLOOKUP(D1416,Insumos!B:B,Insumos!C:$C)</f>
        <v/>
      </c>
      <c r="F1416" s="14">
        <f>1.5851/2</f>
        <v/>
      </c>
      <c r="G1416" s="92">
        <f t="array" ref="G1416">IF(B1416="insumo",_xlfn.XLOOKUP($D1416,Insumos!$B$1:$B$996,Insumos!$D$1:$D$996),"")</f>
        <v/>
      </c>
      <c r="H1416" s="92" t="n">
        <v>2.171587</v>
      </c>
      <c r="I1416" s="2162" t="n">
        <v>0</v>
      </c>
      <c r="J1416" s="2162" t="n">
        <v>0</v>
      </c>
      <c r="K1416" s="2162" t="n"/>
    </row>
    <row r="1417" outlineLevel="3" ht="15.75" customHeight="1">
      <c r="A1417" s="10" t="n">
        <v>97</v>
      </c>
      <c r="B1417" s="10" t="inlineStr">
        <is>
          <t>Insumo</t>
        </is>
      </c>
      <c r="C1417" s="10" t="inlineStr">
        <is>
          <t>ST 48 mm - 1 PLACA - 6,05cm</t>
        </is>
      </c>
      <c r="D1417" s="10" t="inlineStr">
        <is>
          <t>PARAFUSO DRY WALL, EM ACO FOSFATIZADO, CABECA TROMBETA E PONTA AGULHA (TA), COMPRIMENTO 25 MM</t>
        </is>
      </c>
      <c r="E1417" s="11">
        <f t="array" ref="E1417">_xlfn.XLOOKUP(D1417,Insumos!B:B,Insumos!C:$C)</f>
        <v/>
      </c>
      <c r="F1417" s="14">
        <f>20.1868/2</f>
        <v/>
      </c>
      <c r="G1417" s="92">
        <f t="array" ref="G1417">IF(B1417="insumo",_xlfn.XLOOKUP($D1417,Insumos!$B$1:$B$996,Insumos!$D$1:$D$996),"")</f>
        <v/>
      </c>
      <c r="H1417" s="92" t="n">
        <v>0.908406</v>
      </c>
      <c r="I1417" s="2162" t="n">
        <v>0</v>
      </c>
      <c r="J1417" s="2162" t="n">
        <v>0</v>
      </c>
      <c r="K1417" s="2162" t="n"/>
    </row>
    <row r="1418" outlineLevel="3" ht="15.75" customHeight="1">
      <c r="A1418" s="10" t="n">
        <v>95</v>
      </c>
      <c r="B1418" s="10" t="inlineStr">
        <is>
          <t>Insumo</t>
        </is>
      </c>
      <c r="C1418" s="10" t="inlineStr">
        <is>
          <t>ST 48 mm - 1 PLACA - 6,05cm</t>
        </is>
      </c>
      <c r="D1418" s="10" t="inlineStr">
        <is>
          <t>PARAFUSO DRY WALL, EM ACO ZINCADO, CABECA LENTILHA E PONTA BROCA (LB), LARGURA 4,2 MM, COMPRIMENTO 13 MM</t>
        </is>
      </c>
      <c r="E1418" s="11">
        <f t="array" ref="E1418">_xlfn.XLOOKUP(D1418,Insumos!B:B,Insumos!C:$C)</f>
        <v/>
      </c>
      <c r="F1418" s="14" t="n">
        <v>0.5441</v>
      </c>
      <c r="G1418" s="92">
        <f t="array" ref="G1418">IF(B1418="insumo",_xlfn.XLOOKUP($D1418,Insumos!$B$1:$B$996,Insumos!$D$1:$D$996),"")</f>
        <v/>
      </c>
      <c r="H1418" s="92" t="n">
        <v>0.10882</v>
      </c>
      <c r="I1418" s="2162" t="n">
        <v>0</v>
      </c>
      <c r="J1418" s="2162" t="n">
        <v>0</v>
      </c>
      <c r="K1418" s="2162" t="n"/>
    </row>
    <row r="1419" outlineLevel="2" ht="15.75" customHeight="1">
      <c r="A1419" s="1067" t="n">
        <v>1</v>
      </c>
      <c r="B1419" s="1067" t="inlineStr">
        <is>
          <t>Serviço</t>
        </is>
      </c>
      <c r="C1419" s="1067" t="inlineStr">
        <is>
          <t>ST 70 mm - 1 PLACA - 8,25cm</t>
        </is>
      </c>
      <c r="D1419" s="1067" t="inlineStr">
        <is>
          <t>ST 70 mm - 1 PLACA - 8,25cm</t>
        </is>
      </c>
      <c r="E1419" s="1068" t="inlineStr">
        <is>
          <t>M2</t>
        </is>
      </c>
      <c r="F1419" s="1067" t="n"/>
      <c r="G1419" s="1069">
        <f t="array" ref="G1419">IF(B1419="insumo",_xlfn.XLOOKUP($D1419,Insumos!$B$1:$B$996,Insumos!$D$1:$D$996),"")</f>
        <v/>
      </c>
      <c r="H1419" s="1069" t="n">
        <v>159.7256165</v>
      </c>
      <c r="I1419" s="2161" t="n">
        <v>0</v>
      </c>
      <c r="J1419" s="2161" t="n">
        <v>0</v>
      </c>
      <c r="K1419" s="2161" t="n"/>
    </row>
    <row r="1420" outlineLevel="3" ht="15.75" customHeight="1">
      <c r="A1420" s="10" t="n">
        <v>86</v>
      </c>
      <c r="B1420" s="10" t="inlineStr">
        <is>
          <t>Insumo</t>
        </is>
      </c>
      <c r="C1420" s="10" t="inlineStr">
        <is>
          <t>ST 70 mm - 1 PLACA - 8,25cm</t>
        </is>
      </c>
      <c r="D1420" s="10" t="inlineStr">
        <is>
          <t>SERVICO - CONFECCAO SHAFT GESSO</t>
        </is>
      </c>
      <c r="E1420" s="11">
        <f t="array" ref="E1420">_xlfn.XLOOKUP(D1420,Insumos!B:B,Insumos!C:$C)</f>
        <v/>
      </c>
      <c r="F1420" s="14" t="n">
        <v>1</v>
      </c>
      <c r="G1420" s="92">
        <f t="array" ref="G1420">IF(B1420="insumo",_xlfn.XLOOKUP($D1420,Insumos!$B$1:$B$996,Insumos!$D$1:$D$996),"")</f>
        <v/>
      </c>
      <c r="H1420" s="92" t="n">
        <v>70</v>
      </c>
      <c r="I1420" s="2162" t="n">
        <v>0</v>
      </c>
      <c r="J1420" s="2162" t="n">
        <v>0</v>
      </c>
      <c r="K1420" s="2162" t="n"/>
    </row>
    <row r="1421" outlineLevel="3" ht="15.75" customHeight="1">
      <c r="A1421" s="10" t="n">
        <v>47</v>
      </c>
      <c r="B1421" s="10" t="inlineStr">
        <is>
          <t>Insumo</t>
        </is>
      </c>
      <c r="C1421" s="10" t="inlineStr">
        <is>
          <t>ST 70 mm - 1 PLACA - 8,25cm</t>
        </is>
      </c>
      <c r="D1421" s="10" t="inlineStr">
        <is>
          <t>PLACA / CHAPA DE GESSO ACARTONADO, STANDARD (ST), COR BRANCA, E = 12,5 MM, 1200 X 2400 MM (L X C)</t>
        </is>
      </c>
      <c r="E1421" s="11">
        <f t="array" ref="E1421">_xlfn.XLOOKUP(D1421,Insumos!B:B,Insumos!C:$C)</f>
        <v/>
      </c>
      <c r="F1421" s="14" t="n">
        <v>1.053</v>
      </c>
      <c r="G1421" s="92">
        <f t="array" ref="G1421">IF(B1421="insumo",_xlfn.XLOOKUP($D1421,Insumos!$B$1:$B$996,Insumos!$D$1:$D$996),"")</f>
        <v/>
      </c>
      <c r="H1421" s="92" t="n">
        <v>21.22848</v>
      </c>
      <c r="I1421" s="2162" t="n">
        <v>0</v>
      </c>
      <c r="J1421" s="2162" t="n">
        <v>0</v>
      </c>
      <c r="K1421" s="2162" t="n"/>
    </row>
    <row r="1422" outlineLevel="3" ht="15.75" customHeight="1">
      <c r="A1422" s="10" t="n">
        <v>95</v>
      </c>
      <c r="B1422" s="10" t="inlineStr">
        <is>
          <t>Insumo</t>
        </is>
      </c>
      <c r="C1422" s="10" t="inlineStr">
        <is>
          <t>ST 70 mm - 1 PLACA - 8,25cm</t>
        </is>
      </c>
      <c r="D1422" s="10" t="inlineStr">
        <is>
          <t>PINO DE ACO COM ARRUELA CONICA, DIAMETRO ARRUELA = *23* MM E COMP HASTE = *27* MM (ACAO INDIRETA)</t>
        </is>
      </c>
      <c r="E1422" s="11">
        <f t="array" ref="E1422">_xlfn.XLOOKUP(D1422,Insumos!B:B,Insumos!C:$C)</f>
        <v/>
      </c>
      <c r="F1422" s="14" t="n">
        <v>5.92</v>
      </c>
      <c r="G1422" s="92">
        <f t="array" ref="G1422">IF(B1422="insumo",_xlfn.XLOOKUP($D1422,Insumos!$B$1:$B$996,Insumos!$D$1:$D$996),"")</f>
        <v/>
      </c>
      <c r="H1422" s="92" t="n">
        <v>2.98368</v>
      </c>
      <c r="I1422" s="2162" t="n">
        <v>0</v>
      </c>
      <c r="J1422" s="2162" t="n">
        <v>0</v>
      </c>
      <c r="K1422" s="2162" t="n"/>
    </row>
    <row r="1423" outlineLevel="3" ht="15.75" customHeight="1">
      <c r="A1423" s="10" t="n">
        <v>43</v>
      </c>
      <c r="B1423" s="10" t="inlineStr">
        <is>
          <t>Insumo</t>
        </is>
      </c>
      <c r="C1423" s="10" t="inlineStr">
        <is>
          <t>ST 70 mm - 1 PLACA - 8,25cm</t>
        </is>
      </c>
      <c r="D1423" s="10" t="inlineStr">
        <is>
          <t>PERFIL GUIA, FORMATO U, EM ACO ZINCADO, PARA ESTRUTURA PAREDE DRYWALL, E = 0,5 MM, 70 X 3000 MM (L X C)</t>
        </is>
      </c>
      <c r="E1423" s="11">
        <f t="array" ref="E1423">_xlfn.XLOOKUP(D1423,Insumos!B:B,Insumos!C:$C)</f>
        <v/>
      </c>
      <c r="F1423" s="14" t="n">
        <v>1.8234</v>
      </c>
      <c r="G1423" s="92">
        <f t="array" ref="G1423">IF(B1423="insumo",_xlfn.XLOOKUP($D1423,Insumos!$B$1:$B$996,Insumos!$D$1:$D$996),"")</f>
        <v/>
      </c>
      <c r="H1423" s="92" t="n">
        <v>13.602564</v>
      </c>
      <c r="I1423" s="2162" t="n">
        <v>0</v>
      </c>
      <c r="J1423" s="2162" t="n">
        <v>0</v>
      </c>
      <c r="K1423" s="2162" t="n"/>
    </row>
    <row r="1424" outlineLevel="3" ht="15.75" customHeight="1">
      <c r="A1424" s="10" t="n">
        <v>43</v>
      </c>
      <c r="B1424" s="10" t="inlineStr">
        <is>
          <t>Insumo</t>
        </is>
      </c>
      <c r="C1424" s="10" t="inlineStr">
        <is>
          <t>ST 70 mm - 1 PLACA - 8,25cm</t>
        </is>
      </c>
      <c r="D1424" s="10" t="inlineStr">
        <is>
          <t>PERFIL MONTANTE, FORMATO C, EM ACO ZINCADO, PARA ESTRUTURA PAREDE DRYWALL, E = 0,5 MM, 70 X 3000 MM (L X C)</t>
        </is>
      </c>
      <c r="E1424" s="11">
        <f t="array" ref="E1424">_xlfn.XLOOKUP(D1424,Insumos!B:B,Insumos!C:$C)</f>
        <v/>
      </c>
      <c r="F1424" s="14" t="n">
        <v>5.8278</v>
      </c>
      <c r="G1424" s="92">
        <f t="array" ref="G1424">IF(B1424="insumo",_xlfn.XLOOKUP($D1424,Insumos!$B$1:$B$996,Insumos!$D$1:$D$996),"")</f>
        <v/>
      </c>
      <c r="H1424" s="92" t="n">
        <v>46.505844</v>
      </c>
      <c r="I1424" s="2162" t="n">
        <v>0</v>
      </c>
      <c r="J1424" s="2162" t="n">
        <v>0</v>
      </c>
      <c r="K1424" s="2162" t="n"/>
    </row>
    <row r="1425" outlineLevel="3" ht="15.75" customHeight="1">
      <c r="A1425" s="10" t="n">
        <v>95</v>
      </c>
      <c r="B1425" s="10" t="inlineStr">
        <is>
          <t>Insumo</t>
        </is>
      </c>
      <c r="C1425" s="10" t="inlineStr">
        <is>
          <t>ST 70 mm - 1 PLACA - 8,25cm</t>
        </is>
      </c>
      <c r="D1425" s="10" t="inlineStr">
        <is>
          <t>MASSA DE REJUNTE EM PO PARA DRYWALL, A BASE DE GESSO, SECAGEM RAPIDA, PARA TRATAMENTO DE JUNTAS DE CHAPA DE GESSO (NECESSITA ADICAO DE AGUA)</t>
        </is>
      </c>
      <c r="E1425" s="11">
        <f t="array" ref="E1425">_xlfn.XLOOKUP(D1425,Insumos!B:B,Insumos!C:$C)</f>
        <v/>
      </c>
      <c r="F1425" s="14" t="n">
        <v>0.5489000000000001</v>
      </c>
      <c r="G1425" s="92">
        <f t="array" ref="G1425">IF(B1425="insumo",_xlfn.XLOOKUP($D1425,Insumos!$B$1:$B$996,Insumos!$D$1:$D$996),"")</f>
        <v/>
      </c>
      <c r="H1425" s="92" t="n">
        <v>1.882727</v>
      </c>
      <c r="I1425" s="2162" t="n">
        <v>0</v>
      </c>
      <c r="J1425" s="2162" t="n">
        <v>0</v>
      </c>
      <c r="K1425" s="2162" t="n"/>
    </row>
    <row r="1426" outlineLevel="3" ht="15.75" customHeight="1">
      <c r="A1426" s="10" t="n">
        <v>94</v>
      </c>
      <c r="B1426" s="10" t="inlineStr">
        <is>
          <t>Insumo</t>
        </is>
      </c>
      <c r="C1426" s="10" t="inlineStr">
        <is>
          <t>ST 70 mm - 1 PLACA - 8,25cm</t>
        </is>
      </c>
      <c r="D1426" s="10" t="inlineStr">
        <is>
          <t>FITA DE PAPEL MICROPERFURADO, 50 X 150 MM, PARA TRATAMENTO DE JUNTAS DE CHAPA DE GESSO PARA DRYWALL</t>
        </is>
      </c>
      <c r="E1426" s="11">
        <f t="array" ref="E1426">_xlfn.XLOOKUP(D1426,Insumos!B:B,Insumos!C:$C)</f>
        <v/>
      </c>
      <c r="F1426" s="14" t="n">
        <v>1.25135</v>
      </c>
      <c r="G1426" s="92">
        <f t="array" ref="G1426">IF(B1426="insumo",_xlfn.XLOOKUP($D1426,Insumos!$B$1:$B$996,Insumos!$D$1:$D$996),"")</f>
        <v/>
      </c>
      <c r="H1426" s="92" t="n">
        <v>0.3879185</v>
      </c>
      <c r="I1426" s="2162" t="n">
        <v>0</v>
      </c>
      <c r="J1426" s="2162" t="n">
        <v>0</v>
      </c>
      <c r="K1426" s="2162" t="n"/>
    </row>
    <row r="1427" outlineLevel="3" ht="15.75" customHeight="1">
      <c r="A1427" s="10" t="n">
        <v>94</v>
      </c>
      <c r="B1427" s="10" t="inlineStr">
        <is>
          <t>Insumo</t>
        </is>
      </c>
      <c r="C1427" s="10" t="inlineStr">
        <is>
          <t>ST 70 mm - 1 PLACA - 8,25cm</t>
        </is>
      </c>
      <c r="D1427" s="10" t="inlineStr">
        <is>
          <t>FITA DE PAPEL REFORCADA COM LAMINA DE METAL PARA REFORCO DE CANTOS DE CHAPA DE GESSO PARA DRYWALL</t>
        </is>
      </c>
      <c r="E1427" s="11">
        <f t="array" ref="E1427">_xlfn.XLOOKUP(D1427,Insumos!B:B,Insumos!C:$C)</f>
        <v/>
      </c>
      <c r="F1427" s="14" t="n">
        <v>0.79255</v>
      </c>
      <c r="G1427" s="92">
        <f t="array" ref="G1427">IF(B1427="insumo",_xlfn.XLOOKUP($D1427,Insumos!$B$1:$B$996,Insumos!$D$1:$D$996),"")</f>
        <v/>
      </c>
      <c r="H1427" s="92" t="n">
        <v>2.171587</v>
      </c>
      <c r="I1427" s="2162" t="n">
        <v>0</v>
      </c>
      <c r="J1427" s="2162" t="n">
        <v>0</v>
      </c>
      <c r="K1427" s="2162" t="n"/>
    </row>
    <row r="1428" outlineLevel="3" ht="15.75" customHeight="1">
      <c r="A1428" s="10" t="n">
        <v>97</v>
      </c>
      <c r="B1428" s="10" t="inlineStr">
        <is>
          <t>Insumo</t>
        </is>
      </c>
      <c r="C1428" s="10" t="inlineStr">
        <is>
          <t>ST 70 mm - 1 PLACA - 8,25cm</t>
        </is>
      </c>
      <c r="D1428" s="10" t="inlineStr">
        <is>
          <t>PARAFUSO DRY WALL, EM ACO FOSFATIZADO, CABECA TROMBETA E PONTA AGULHA (TA), COMPRIMENTO 25 MM</t>
        </is>
      </c>
      <c r="E1428" s="11">
        <f t="array" ref="E1428">_xlfn.XLOOKUP(D1428,Insumos!B:B,Insumos!C:$C)</f>
        <v/>
      </c>
      <c r="F1428" s="14" t="n">
        <v>10.0934</v>
      </c>
      <c r="G1428" s="92">
        <f t="array" ref="G1428">IF(B1428="insumo",_xlfn.XLOOKUP($D1428,Insumos!$B$1:$B$996,Insumos!$D$1:$D$996),"")</f>
        <v/>
      </c>
      <c r="H1428" s="92" t="n">
        <v>0.908406</v>
      </c>
      <c r="I1428" s="2162" t="n">
        <v>0</v>
      </c>
      <c r="J1428" s="2162" t="n">
        <v>0</v>
      </c>
      <c r="K1428" s="2162" t="n"/>
    </row>
    <row r="1429" outlineLevel="3" ht="15.75" customHeight="1">
      <c r="A1429" s="10" t="n">
        <v>95</v>
      </c>
      <c r="B1429" s="10" t="inlineStr">
        <is>
          <t>Insumo</t>
        </is>
      </c>
      <c r="C1429" s="10" t="inlineStr">
        <is>
          <t>ST 70 mm - 1 PLACA - 8,25cm</t>
        </is>
      </c>
      <c r="D1429" s="10" t="inlineStr">
        <is>
          <t>PARAFUSO DRY WALL, EM ACO ZINCADO, CABECA LENTILHA E PONTA BROCA (LB), LARGURA 4,2 MM, COMPRIMENTO 13 MM</t>
        </is>
      </c>
      <c r="E1429" s="11">
        <f t="array" ref="E1429">_xlfn.XLOOKUP(D1429,Insumos!B:B,Insumos!C:$C)</f>
        <v/>
      </c>
      <c r="F1429" s="14" t="n">
        <v>0.27205</v>
      </c>
      <c r="G1429" s="92">
        <f t="array" ref="G1429">IF(B1429="insumo",_xlfn.XLOOKUP($D1429,Insumos!$B$1:$B$996,Insumos!$D$1:$D$996),"")</f>
        <v/>
      </c>
      <c r="H1429" s="92" t="n">
        <v>0.05441</v>
      </c>
      <c r="I1429" s="2162" t="n">
        <v>0</v>
      </c>
      <c r="J1429" s="2162" t="n">
        <v>0</v>
      </c>
      <c r="K1429" s="2162" t="n"/>
    </row>
    <row r="1430" outlineLevel="2" ht="15.75" customHeight="1">
      <c r="A1430" s="1067" t="n">
        <v>1</v>
      </c>
      <c r="B1430" s="1067" t="inlineStr">
        <is>
          <t>Serviço</t>
        </is>
      </c>
      <c r="C1430" s="1067" t="inlineStr">
        <is>
          <t>RU 70 mm - 1 PLACA - 8,25cm</t>
        </is>
      </c>
      <c r="D1430" s="1067" t="inlineStr">
        <is>
          <t>RU 70 mm - 1 PLACA - 8,25cm</t>
        </is>
      </c>
      <c r="E1430" s="1068" t="inlineStr">
        <is>
          <t>M2</t>
        </is>
      </c>
      <c r="F1430" s="1067" t="n"/>
      <c r="G1430" s="1069">
        <f t="array" ref="G1430">IF(B1430="insumo",_xlfn.XLOOKUP($D1430,Insumos!$B$1:$B$996,Insumos!$D$1:$D$996),"")</f>
        <v/>
      </c>
      <c r="H1430" s="1069" t="n">
        <v>167.0334365</v>
      </c>
      <c r="I1430" s="2161" t="n">
        <v>0</v>
      </c>
      <c r="J1430" s="2161" t="n">
        <v>0</v>
      </c>
      <c r="K1430" s="2161" t="n"/>
    </row>
    <row r="1431" outlineLevel="3" ht="15.75" customHeight="1">
      <c r="A1431" s="10" t="n">
        <v>86</v>
      </c>
      <c r="B1431" s="10" t="inlineStr">
        <is>
          <t>Insumo</t>
        </is>
      </c>
      <c r="C1431" s="10" t="inlineStr">
        <is>
          <t>RU 70 mm - 1 PLACA - 8,25cm</t>
        </is>
      </c>
      <c r="D1431" s="10" t="inlineStr">
        <is>
          <t>SERVICO - CONFECCAO SHAFT GESSO</t>
        </is>
      </c>
      <c r="E1431" s="11">
        <f t="array" ref="E1431">_xlfn.XLOOKUP(D1431,Insumos!B:B,Insumos!C:$C)</f>
        <v/>
      </c>
      <c r="F1431" s="14" t="n">
        <v>1</v>
      </c>
      <c r="G1431" s="92">
        <f t="array" ref="G1431">IF(B1431="insumo",_xlfn.XLOOKUP($D1431,Insumos!$B$1:$B$996,Insumos!$D$1:$D$996),"")</f>
        <v/>
      </c>
      <c r="H1431" s="92" t="n">
        <v>70</v>
      </c>
      <c r="I1431" s="2162" t="n">
        <v>0</v>
      </c>
      <c r="J1431" s="2162" t="n">
        <v>0</v>
      </c>
      <c r="K1431" s="2162" t="n"/>
    </row>
    <row r="1432" outlineLevel="3" ht="15.75" customHeight="1">
      <c r="A1432" s="10" t="n">
        <v>49</v>
      </c>
      <c r="B1432" s="10" t="inlineStr">
        <is>
          <t>Insumo</t>
        </is>
      </c>
      <c r="C1432" s="10" t="inlineStr">
        <is>
          <t>RU 70 mm - 1 PLACA - 8,25cm</t>
        </is>
      </c>
      <c r="D1432" s="10" t="inlineStr">
        <is>
          <t>PLACA / CHAPA DE GESSO ACARTONADO, RESISTENTE A UMIDADE (RU), COR VERDE, E = 12,5 MM, 1200 X 2400 MM (L X C)</t>
        </is>
      </c>
      <c r="E1432" s="11">
        <f t="array" ref="E1432">_xlfn.XLOOKUP(D1432,Insumos!B:B,Insumos!C:$C)</f>
        <v/>
      </c>
      <c r="F1432" s="14" t="n">
        <v>1.053</v>
      </c>
      <c r="G1432" s="92">
        <f t="array" ref="G1432">IF(B1432="insumo",_xlfn.XLOOKUP($D1432,Insumos!$B$1:$B$996,Insumos!$D$1:$D$996),"")</f>
        <v/>
      </c>
      <c r="H1432" s="92" t="n">
        <v>28.5363</v>
      </c>
      <c r="I1432" s="2162" t="n">
        <v>0</v>
      </c>
      <c r="J1432" s="2162" t="n">
        <v>0</v>
      </c>
      <c r="K1432" s="2162" t="n"/>
    </row>
    <row r="1433" outlineLevel="3" ht="15.75" customHeight="1">
      <c r="A1433" s="10" t="n">
        <v>95</v>
      </c>
      <c r="B1433" s="10" t="inlineStr">
        <is>
          <t>Insumo</t>
        </is>
      </c>
      <c r="C1433" s="10" t="inlineStr">
        <is>
          <t>RU 70 mm - 1 PLACA - 8,25cm</t>
        </is>
      </c>
      <c r="D1433" s="10" t="inlineStr">
        <is>
          <t>PINO DE ACO COM ARRUELA CONICA, DIAMETRO ARRUELA = *23* MM E COMP HASTE = *27* MM (ACAO INDIRETA)</t>
        </is>
      </c>
      <c r="E1433" s="11">
        <f t="array" ref="E1433">_xlfn.XLOOKUP(D1433,Insumos!B:B,Insumos!C:$C)</f>
        <v/>
      </c>
      <c r="F1433" s="14" t="n">
        <v>5.92</v>
      </c>
      <c r="G1433" s="92">
        <f t="array" ref="G1433">IF(B1433="insumo",_xlfn.XLOOKUP($D1433,Insumos!$B$1:$B$996,Insumos!$D$1:$D$996),"")</f>
        <v/>
      </c>
      <c r="H1433" s="92" t="n">
        <v>2.98368</v>
      </c>
      <c r="I1433" s="2162" t="n">
        <v>0</v>
      </c>
      <c r="J1433" s="2162" t="n">
        <v>0</v>
      </c>
      <c r="K1433" s="2162" t="n"/>
    </row>
    <row r="1434" outlineLevel="3" ht="15.75" customHeight="1">
      <c r="A1434" s="10" t="n">
        <v>43</v>
      </c>
      <c r="B1434" s="10" t="inlineStr">
        <is>
          <t>Insumo</t>
        </is>
      </c>
      <c r="C1434" s="10" t="inlineStr">
        <is>
          <t>RU 70 mm - 1 PLACA - 8,25cm</t>
        </is>
      </c>
      <c r="D1434" s="10" t="inlineStr">
        <is>
          <t>PERFIL GUIA, FORMATO U, EM ACO ZINCADO, PARA ESTRUTURA PAREDE DRYWALL, E = 0,5 MM, 70 X 3000 MM (L X C)</t>
        </is>
      </c>
      <c r="E1434" s="11">
        <f t="array" ref="E1434">_xlfn.XLOOKUP(D1434,Insumos!B:B,Insumos!C:$C)</f>
        <v/>
      </c>
      <c r="F1434" s="14" t="n">
        <v>1.8234</v>
      </c>
      <c r="G1434" s="92">
        <f t="array" ref="G1434">IF(B1434="insumo",_xlfn.XLOOKUP($D1434,Insumos!$B$1:$B$996,Insumos!$D$1:$D$996),"")</f>
        <v/>
      </c>
      <c r="H1434" s="92" t="n">
        <v>13.602564</v>
      </c>
      <c r="I1434" s="2162" t="n">
        <v>0</v>
      </c>
      <c r="J1434" s="2162" t="n">
        <v>0</v>
      </c>
      <c r="K1434" s="2162" t="n"/>
    </row>
    <row r="1435" outlineLevel="3" ht="15.75" customHeight="1">
      <c r="A1435" s="10" t="n">
        <v>43</v>
      </c>
      <c r="B1435" s="10" t="inlineStr">
        <is>
          <t>Insumo</t>
        </is>
      </c>
      <c r="C1435" s="10" t="inlineStr">
        <is>
          <t>RU 70 mm - 1 PLACA - 8,25cm</t>
        </is>
      </c>
      <c r="D1435" s="10" t="inlineStr">
        <is>
          <t>PERFIL MONTANTE, FORMATO C, EM ACO ZINCADO, PARA ESTRUTURA PAREDE DRYWALL, E = 0,5 MM, 70 X 3000 MM (L X C)</t>
        </is>
      </c>
      <c r="E1435" s="11">
        <f t="array" ref="E1435">_xlfn.XLOOKUP(D1435,Insumos!B:B,Insumos!C:$C)</f>
        <v/>
      </c>
      <c r="F1435" s="14" t="n">
        <v>5.8278</v>
      </c>
      <c r="G1435" s="92">
        <f t="array" ref="G1435">IF(B1435="insumo",_xlfn.XLOOKUP($D1435,Insumos!$B$1:$B$996,Insumos!$D$1:$D$996),"")</f>
        <v/>
      </c>
      <c r="H1435" s="92" t="n">
        <v>46.505844</v>
      </c>
      <c r="I1435" s="2162" t="n">
        <v>0</v>
      </c>
      <c r="J1435" s="2162" t="n">
        <v>0</v>
      </c>
      <c r="K1435" s="2162" t="n"/>
    </row>
    <row r="1436" outlineLevel="3" ht="15.75" customHeight="1">
      <c r="A1436" s="10" t="n">
        <v>95</v>
      </c>
      <c r="B1436" s="10" t="inlineStr">
        <is>
          <t>Insumo</t>
        </is>
      </c>
      <c r="C1436" s="10" t="inlineStr">
        <is>
          <t>RU 70 mm - 1 PLACA - 8,25cm</t>
        </is>
      </c>
      <c r="D1436" s="10" t="inlineStr">
        <is>
          <t>MASSA DE REJUNTE EM PO PARA DRYWALL, A BASE DE GESSO, SECAGEM RAPIDA, PARA TRATAMENTO DE JUNTAS DE CHAPA DE GESSO (NECESSITA ADICAO DE AGUA)</t>
        </is>
      </c>
      <c r="E1436" s="11">
        <f t="array" ref="E1436">_xlfn.XLOOKUP(D1436,Insumos!B:B,Insumos!C:$C)</f>
        <v/>
      </c>
      <c r="F1436" s="14" t="n">
        <v>0.5489000000000001</v>
      </c>
      <c r="G1436" s="92">
        <f t="array" ref="G1436">IF(B1436="insumo",_xlfn.XLOOKUP($D1436,Insumos!$B$1:$B$996,Insumos!$D$1:$D$996),"")</f>
        <v/>
      </c>
      <c r="H1436" s="92" t="n">
        <v>1.882727</v>
      </c>
      <c r="I1436" s="2162" t="n">
        <v>0</v>
      </c>
      <c r="J1436" s="2162" t="n">
        <v>0</v>
      </c>
      <c r="K1436" s="2162" t="n"/>
    </row>
    <row r="1437" outlineLevel="3" ht="15.75" customHeight="1">
      <c r="A1437" s="10" t="n">
        <v>94</v>
      </c>
      <c r="B1437" s="10" t="inlineStr">
        <is>
          <t>Insumo</t>
        </is>
      </c>
      <c r="C1437" s="10" t="inlineStr">
        <is>
          <t>RU 70 mm - 1 PLACA - 8,25cm</t>
        </is>
      </c>
      <c r="D1437" s="10" t="inlineStr">
        <is>
          <t>FITA DE PAPEL MICROPERFURADO, 50 X 150 MM, PARA TRATAMENTO DE JUNTAS DE CHAPA DE GESSO PARA DRYWALL</t>
        </is>
      </c>
      <c r="E1437" s="11">
        <f t="array" ref="E1437">_xlfn.XLOOKUP(D1437,Insumos!B:B,Insumos!C:$C)</f>
        <v/>
      </c>
      <c r="F1437" s="14" t="n">
        <v>1.25135</v>
      </c>
      <c r="G1437" s="92">
        <f t="array" ref="G1437">IF(B1437="insumo",_xlfn.XLOOKUP($D1437,Insumos!$B$1:$B$996,Insumos!$D$1:$D$996),"")</f>
        <v/>
      </c>
      <c r="H1437" s="92" t="n">
        <v>0.3879185</v>
      </c>
      <c r="I1437" s="2162" t="n">
        <v>0</v>
      </c>
      <c r="J1437" s="2162" t="n">
        <v>0</v>
      </c>
      <c r="K1437" s="2162" t="n"/>
    </row>
    <row r="1438" outlineLevel="3" ht="15.75" customHeight="1">
      <c r="A1438" s="10" t="n">
        <v>94</v>
      </c>
      <c r="B1438" s="10" t="inlineStr">
        <is>
          <t>Insumo</t>
        </is>
      </c>
      <c r="C1438" s="10" t="inlineStr">
        <is>
          <t>RU 70 mm - 1 PLACA - 8,25cm</t>
        </is>
      </c>
      <c r="D1438" s="10" t="inlineStr">
        <is>
          <t>FITA DE PAPEL REFORCADA COM LAMINA DE METAL PARA REFORCO DE CANTOS DE CHAPA DE GESSO PARA DRYWALL</t>
        </is>
      </c>
      <c r="E1438" s="11">
        <f t="array" ref="E1438">_xlfn.XLOOKUP(D1438,Insumos!B:B,Insumos!C:$C)</f>
        <v/>
      </c>
      <c r="F1438" s="14" t="n">
        <v>0.79255</v>
      </c>
      <c r="G1438" s="92">
        <f t="array" ref="G1438">IF(B1438="insumo",_xlfn.XLOOKUP($D1438,Insumos!$B$1:$B$996,Insumos!$D$1:$D$996),"")</f>
        <v/>
      </c>
      <c r="H1438" s="92" t="n">
        <v>2.171587</v>
      </c>
      <c r="I1438" s="2162" t="n">
        <v>0</v>
      </c>
      <c r="J1438" s="2162" t="n">
        <v>0</v>
      </c>
      <c r="K1438" s="2162" t="n"/>
    </row>
    <row r="1439" outlineLevel="3" ht="15.75" customHeight="1">
      <c r="A1439" s="10" t="n">
        <v>97</v>
      </c>
      <c r="B1439" s="10" t="inlineStr">
        <is>
          <t>Insumo</t>
        </is>
      </c>
      <c r="C1439" s="10" t="inlineStr">
        <is>
          <t>RU 70 mm - 1 PLACA - 8,25cm</t>
        </is>
      </c>
      <c r="D1439" s="10" t="inlineStr">
        <is>
          <t>PARAFUSO DRY WALL, EM ACO FOSFATIZADO, CABECA TROMBETA E PONTA AGULHA (TA), COMPRIMENTO 25 MM</t>
        </is>
      </c>
      <c r="E1439" s="11">
        <f t="array" ref="E1439">_xlfn.XLOOKUP(D1439,Insumos!B:B,Insumos!C:$C)</f>
        <v/>
      </c>
      <c r="F1439" s="14" t="n">
        <v>10.0934</v>
      </c>
      <c r="G1439" s="92">
        <f t="array" ref="G1439">IF(B1439="insumo",_xlfn.XLOOKUP($D1439,Insumos!$B$1:$B$996,Insumos!$D$1:$D$996),"")</f>
        <v/>
      </c>
      <c r="H1439" s="92" t="n">
        <v>0.908406</v>
      </c>
      <c r="I1439" s="2162" t="n">
        <v>0</v>
      </c>
      <c r="J1439" s="2162" t="n">
        <v>0</v>
      </c>
      <c r="K1439" s="2162" t="n"/>
    </row>
    <row r="1440" outlineLevel="3" ht="15.75" customHeight="1">
      <c r="A1440" s="10" t="n">
        <v>95</v>
      </c>
      <c r="B1440" s="10" t="inlineStr">
        <is>
          <t>Insumo</t>
        </is>
      </c>
      <c r="C1440" s="10" t="inlineStr">
        <is>
          <t>RU 70 mm - 1 PLACA - 8,25cm</t>
        </is>
      </c>
      <c r="D1440" s="10" t="inlineStr">
        <is>
          <t>PARAFUSO DRY WALL, EM ACO ZINCADO, CABECA LENTILHA E PONTA BROCA (LB), LARGURA 4,2 MM, COMPRIMENTO 13 MM</t>
        </is>
      </c>
      <c r="E1440" s="11">
        <f t="array" ref="E1440">_xlfn.XLOOKUP(D1440,Insumos!B:B,Insumos!C:$C)</f>
        <v/>
      </c>
      <c r="F1440" s="14" t="n">
        <v>0.27205</v>
      </c>
      <c r="G1440" s="92">
        <f t="array" ref="G1440">IF(B1440="insumo",_xlfn.XLOOKUP($D1440,Insumos!$B$1:$B$996,Insumos!$D$1:$D$996),"")</f>
        <v/>
      </c>
      <c r="H1440" s="92" t="n">
        <v>0.05441</v>
      </c>
      <c r="I1440" s="2162" t="n">
        <v>0</v>
      </c>
      <c r="J1440" s="2162" t="n">
        <v>0</v>
      </c>
      <c r="K1440" s="2162" t="n"/>
    </row>
    <row r="1441" outlineLevel="2" ht="15.75" customHeight="1">
      <c r="A1441" s="1067" t="n">
        <v>1</v>
      </c>
      <c r="B1441" s="1067" t="inlineStr">
        <is>
          <t>Serviço</t>
        </is>
      </c>
      <c r="C1441" s="1067" t="inlineStr">
        <is>
          <t>ST 70 mm - 2 PLACAS - 9,50cm</t>
        </is>
      </c>
      <c r="D1441" s="1067" t="inlineStr">
        <is>
          <t>ST 70 mm - 2 PLACAS - 9,50cm</t>
        </is>
      </c>
      <c r="E1441" s="1068" t="inlineStr">
        <is>
          <t>M2</t>
        </is>
      </c>
      <c r="F1441" s="1067" t="n"/>
      <c r="G1441" s="1069">
        <f t="array" ref="G1441">IF(B1441="insumo",_xlfn.XLOOKUP($D1441,Insumos!$B$1:$B$996,Insumos!$D$1:$D$996),"")</f>
        <v/>
      </c>
      <c r="H1441" s="1069" t="n">
        <v>180.9540965</v>
      </c>
      <c r="I1441" s="2161" t="n">
        <v>0</v>
      </c>
      <c r="J1441" s="2161" t="n">
        <v>0</v>
      </c>
      <c r="K1441" s="2161" t="n"/>
    </row>
    <row r="1442" outlineLevel="3" ht="15.75" customHeight="1">
      <c r="A1442" s="10" t="n">
        <v>86</v>
      </c>
      <c r="B1442" s="10" t="inlineStr">
        <is>
          <t>Insumo</t>
        </is>
      </c>
      <c r="C1442" s="10" t="inlineStr">
        <is>
          <t>ST 70 mm - 2 PLACAS - 9,50cm</t>
        </is>
      </c>
      <c r="D1442" s="10" t="inlineStr">
        <is>
          <t>SERVICO - CONFECCAO SHAFT GESSO</t>
        </is>
      </c>
      <c r="E1442" s="11">
        <f t="array" ref="E1442">_xlfn.XLOOKUP(D1442,Insumos!B:B,Insumos!C:$C)</f>
        <v/>
      </c>
      <c r="F1442" s="14" t="n">
        <v>1</v>
      </c>
      <c r="G1442" s="92">
        <f t="array" ref="G1442">IF(B1442="insumo",_xlfn.XLOOKUP($D1442,Insumos!$B$1:$B$996,Insumos!$D$1:$D$996),"")</f>
        <v/>
      </c>
      <c r="H1442" s="92" t="n">
        <v>70</v>
      </c>
      <c r="I1442" s="2162" t="n">
        <v>0</v>
      </c>
      <c r="J1442" s="2162" t="n">
        <v>0</v>
      </c>
      <c r="K1442" s="2162" t="n"/>
    </row>
    <row r="1443" outlineLevel="3" ht="15.75" customHeight="1">
      <c r="A1443" s="10" t="n">
        <v>47</v>
      </c>
      <c r="B1443" s="10" t="inlineStr">
        <is>
          <t>Insumo</t>
        </is>
      </c>
      <c r="C1443" s="10" t="inlineStr">
        <is>
          <t>ST 70 mm - 2 PLACAS - 9,50cm</t>
        </is>
      </c>
      <c r="D1443" s="10" t="inlineStr">
        <is>
          <t>PLACA / CHAPA DE GESSO ACARTONADO, STANDARD (ST), COR BRANCA, E = 12,5 MM, 1200 X 2400 MM (L X C)</t>
        </is>
      </c>
      <c r="E1443" s="11">
        <f t="array" ref="E1443">_xlfn.XLOOKUP(D1443,Insumos!B:B,Insumos!C:$C)</f>
        <v/>
      </c>
      <c r="F1443" s="14">
        <f>1.053*2</f>
        <v/>
      </c>
      <c r="G1443" s="92">
        <f t="array" ref="G1443">IF(B1443="insumo",_xlfn.XLOOKUP($D1443,Insumos!$B$1:$B$996,Insumos!$D$1:$D$996),"")</f>
        <v/>
      </c>
      <c r="H1443" s="92" t="n">
        <v>42.45696</v>
      </c>
      <c r="I1443" s="2162" t="n">
        <v>0</v>
      </c>
      <c r="J1443" s="2162" t="n">
        <v>0</v>
      </c>
      <c r="K1443" s="2162" t="n"/>
    </row>
    <row r="1444" outlineLevel="3" ht="15.75" customHeight="1">
      <c r="A1444" s="10" t="n">
        <v>95</v>
      </c>
      <c r="B1444" s="10" t="inlineStr">
        <is>
          <t>Insumo</t>
        </is>
      </c>
      <c r="C1444" s="10" t="inlineStr">
        <is>
          <t>ST 70 mm - 2 PLACAS - 9,50cm</t>
        </is>
      </c>
      <c r="D1444" s="10" t="inlineStr">
        <is>
          <t>PINO DE ACO COM ARRUELA CONICA, DIAMETRO ARRUELA = *23* MM E COMP HASTE = *27* MM (ACAO INDIRETA)</t>
        </is>
      </c>
      <c r="E1444" s="11">
        <f t="array" ref="E1444">_xlfn.XLOOKUP(D1444,Insumos!B:B,Insumos!C:$C)</f>
        <v/>
      </c>
      <c r="F1444" s="14" t="n">
        <v>5.92</v>
      </c>
      <c r="G1444" s="92">
        <f t="array" ref="G1444">IF(B1444="insumo",_xlfn.XLOOKUP($D1444,Insumos!$B$1:$B$996,Insumos!$D$1:$D$996),"")</f>
        <v/>
      </c>
      <c r="H1444" s="92" t="n">
        <v>2.98368</v>
      </c>
      <c r="I1444" s="2162" t="n">
        <v>0</v>
      </c>
      <c r="J1444" s="2162" t="n">
        <v>0</v>
      </c>
      <c r="K1444" s="2162" t="n"/>
    </row>
    <row r="1445" outlineLevel="3" ht="15.75" customHeight="1">
      <c r="A1445" s="10" t="n">
        <v>43</v>
      </c>
      <c r="B1445" s="10" t="inlineStr">
        <is>
          <t>Insumo</t>
        </is>
      </c>
      <c r="C1445" s="10" t="inlineStr">
        <is>
          <t>ST 70 mm - 2 PLACAS - 9,50cm</t>
        </is>
      </c>
      <c r="D1445" s="10" t="inlineStr">
        <is>
          <t>PERFIL GUIA, FORMATO U, EM ACO ZINCADO, PARA ESTRUTURA PAREDE DRYWALL, E = 0,5 MM, 70 X 3000 MM (L X C)</t>
        </is>
      </c>
      <c r="E1445" s="11">
        <f t="array" ref="E1445">_xlfn.XLOOKUP(D1445,Insumos!B:B,Insumos!C:$C)</f>
        <v/>
      </c>
      <c r="F1445" s="14" t="n">
        <v>1.8234</v>
      </c>
      <c r="G1445" s="92">
        <f t="array" ref="G1445">IF(B1445="insumo",_xlfn.XLOOKUP($D1445,Insumos!$B$1:$B$996,Insumos!$D$1:$D$996),"")</f>
        <v/>
      </c>
      <c r="H1445" s="92" t="n">
        <v>13.602564</v>
      </c>
      <c r="I1445" s="2162" t="n">
        <v>0</v>
      </c>
      <c r="J1445" s="2162" t="n">
        <v>0</v>
      </c>
      <c r="K1445" s="2162" t="n"/>
    </row>
    <row r="1446" outlineLevel="3" ht="15.75" customHeight="1">
      <c r="A1446" s="10" t="n">
        <v>43</v>
      </c>
      <c r="B1446" s="10" t="inlineStr">
        <is>
          <t>Insumo</t>
        </is>
      </c>
      <c r="C1446" s="10" t="inlineStr">
        <is>
          <t>ST 70 mm - 2 PLACAS - 9,50cm</t>
        </is>
      </c>
      <c r="D1446" s="10" t="inlineStr">
        <is>
          <t>PERFIL MONTANTE, FORMATO C, EM ACO ZINCADO, PARA ESTRUTURA PAREDE DRYWALL, E = 0,5 MM, 70 X 3000 MM (L X C)</t>
        </is>
      </c>
      <c r="E1446" s="11">
        <f t="array" ref="E1446">_xlfn.XLOOKUP(D1446,Insumos!B:B,Insumos!C:$C)</f>
        <v/>
      </c>
      <c r="F1446" s="14" t="n">
        <v>5.8278</v>
      </c>
      <c r="G1446" s="92">
        <f t="array" ref="G1446">IF(B1446="insumo",_xlfn.XLOOKUP($D1446,Insumos!$B$1:$B$996,Insumos!$D$1:$D$996),"")</f>
        <v/>
      </c>
      <c r="H1446" s="92" t="n">
        <v>46.505844</v>
      </c>
      <c r="I1446" s="2162" t="n">
        <v>0</v>
      </c>
      <c r="J1446" s="2162" t="n">
        <v>0</v>
      </c>
      <c r="K1446" s="2162" t="n"/>
    </row>
    <row r="1447" outlineLevel="3" ht="15.75" customHeight="1">
      <c r="A1447" s="10" t="n">
        <v>95</v>
      </c>
      <c r="B1447" s="10" t="inlineStr">
        <is>
          <t>Insumo</t>
        </is>
      </c>
      <c r="C1447" s="10" t="inlineStr">
        <is>
          <t>ST 70 mm - 2 PLACAS - 9,50cm</t>
        </is>
      </c>
      <c r="D1447" s="10" t="inlineStr">
        <is>
          <t>MASSA DE REJUNTE EM PO PARA DRYWALL, A BASE DE GESSO, SECAGEM RAPIDA, PARA TRATAMENTO DE JUNTAS DE CHAPA DE GESSO (NECESSITA ADICAO DE AGUA)</t>
        </is>
      </c>
      <c r="E1447" s="11">
        <f t="array" ref="E1447">_xlfn.XLOOKUP(D1447,Insumos!B:B,Insumos!C:$C)</f>
        <v/>
      </c>
      <c r="F1447" s="14" t="n">
        <v>0.5489000000000001</v>
      </c>
      <c r="G1447" s="92">
        <f t="array" ref="G1447">IF(B1447="insumo",_xlfn.XLOOKUP($D1447,Insumos!$B$1:$B$996,Insumos!$D$1:$D$996),"")</f>
        <v/>
      </c>
      <c r="H1447" s="92" t="n">
        <v>1.882727</v>
      </c>
      <c r="I1447" s="2162" t="n">
        <v>0</v>
      </c>
      <c r="J1447" s="2162" t="n">
        <v>0</v>
      </c>
      <c r="K1447" s="2162" t="n"/>
    </row>
    <row r="1448" outlineLevel="3" ht="15.75" customHeight="1">
      <c r="A1448" s="10" t="n">
        <v>94</v>
      </c>
      <c r="B1448" s="10" t="inlineStr">
        <is>
          <t>Insumo</t>
        </is>
      </c>
      <c r="C1448" s="10" t="inlineStr">
        <is>
          <t>ST 70 mm - 2 PLACAS - 9,50cm</t>
        </is>
      </c>
      <c r="D1448" s="10" t="inlineStr">
        <is>
          <t>FITA DE PAPEL MICROPERFURADO, 50 X 150 MM, PARA TRATAMENTO DE JUNTAS DE CHAPA DE GESSO PARA DRYWALL</t>
        </is>
      </c>
      <c r="E1448" s="11">
        <f t="array" ref="E1448">_xlfn.XLOOKUP(D1448,Insumos!B:B,Insumos!C:$C)</f>
        <v/>
      </c>
      <c r="F1448" s="14" t="n">
        <v>1.25135</v>
      </c>
      <c r="G1448" s="92">
        <f t="array" ref="G1448">IF(B1448="insumo",_xlfn.XLOOKUP($D1448,Insumos!$B$1:$B$996,Insumos!$D$1:$D$996),"")</f>
        <v/>
      </c>
      <c r="H1448" s="92" t="n">
        <v>0.3879185</v>
      </c>
      <c r="I1448" s="2162" t="n">
        <v>0</v>
      </c>
      <c r="J1448" s="2162" t="n">
        <v>0</v>
      </c>
      <c r="K1448" s="2162" t="n"/>
    </row>
    <row r="1449" outlineLevel="3" ht="15.75" customHeight="1">
      <c r="A1449" s="10" t="n">
        <v>94</v>
      </c>
      <c r="B1449" s="10" t="inlineStr">
        <is>
          <t>Insumo</t>
        </is>
      </c>
      <c r="C1449" s="10" t="inlineStr">
        <is>
          <t>ST 70 mm - 2 PLACAS - 9,50cm</t>
        </is>
      </c>
      <c r="D1449" s="10" t="inlineStr">
        <is>
          <t>FITA DE PAPEL REFORCADA COM LAMINA DE METAL PARA REFORCO DE CANTOS DE CHAPA DE GESSO PARA DRYWALL</t>
        </is>
      </c>
      <c r="E1449" s="11">
        <f t="array" ref="E1449">_xlfn.XLOOKUP(D1449,Insumos!B:B,Insumos!C:$C)</f>
        <v/>
      </c>
      <c r="F1449" s="14" t="n">
        <v>0.79255</v>
      </c>
      <c r="G1449" s="92">
        <f t="array" ref="G1449">IF(B1449="insumo",_xlfn.XLOOKUP($D1449,Insumos!$B$1:$B$996,Insumos!$D$1:$D$996),"")</f>
        <v/>
      </c>
      <c r="H1449" s="92" t="n">
        <v>2.171587</v>
      </c>
      <c r="I1449" s="2162" t="n">
        <v>0</v>
      </c>
      <c r="J1449" s="2162" t="n">
        <v>0</v>
      </c>
      <c r="K1449" s="2162" t="n"/>
    </row>
    <row r="1450" outlineLevel="3" ht="15.75" customHeight="1">
      <c r="A1450" s="10" t="n">
        <v>97</v>
      </c>
      <c r="B1450" s="10" t="inlineStr">
        <is>
          <t>Insumo</t>
        </is>
      </c>
      <c r="C1450" s="10" t="inlineStr">
        <is>
          <t>ST 70 mm - 2 PLACAS - 9,50cm</t>
        </is>
      </c>
      <c r="D1450" s="10" t="inlineStr">
        <is>
          <t>PARAFUSO DRY WALL, EM ACO FOSFATIZADO, CABECA TROMBETA E PONTA AGULHA (TA), COMPRIMENTO 25 MM</t>
        </is>
      </c>
      <c r="E1450" s="11">
        <f t="array" ref="E1450">_xlfn.XLOOKUP(D1450,Insumos!B:B,Insumos!C:$C)</f>
        <v/>
      </c>
      <c r="F1450" s="14" t="n">
        <v>10.0934</v>
      </c>
      <c r="G1450" s="92">
        <f t="array" ref="G1450">IF(B1450="insumo",_xlfn.XLOOKUP($D1450,Insumos!$B$1:$B$996,Insumos!$D$1:$D$996),"")</f>
        <v/>
      </c>
      <c r="H1450" s="92" t="n">
        <v>0.908406</v>
      </c>
      <c r="I1450" s="2162" t="n">
        <v>0</v>
      </c>
      <c r="J1450" s="2162" t="n">
        <v>0</v>
      </c>
      <c r="K1450" s="2162" t="n"/>
    </row>
    <row r="1451" outlineLevel="3" ht="15.75" customHeight="1">
      <c r="A1451" s="10" t="n">
        <v>95</v>
      </c>
      <c r="B1451" s="10" t="inlineStr">
        <is>
          <t>Insumo</t>
        </is>
      </c>
      <c r="C1451" s="10" t="inlineStr">
        <is>
          <t>ST 70 mm - 2 PLACAS - 9,50cm</t>
        </is>
      </c>
      <c r="D1451" s="10" t="inlineStr">
        <is>
          <t>PARAFUSO DRY WALL, EM ACO ZINCADO, CABECA LENTILHA E PONTA BROCA (LB), LARGURA 4,2 MM, COMPRIMENTO 13 MM</t>
        </is>
      </c>
      <c r="E1451" s="11">
        <f t="array" ref="E1451">_xlfn.XLOOKUP(D1451,Insumos!B:B,Insumos!C:$C)</f>
        <v/>
      </c>
      <c r="F1451" s="14" t="n">
        <v>0.27205</v>
      </c>
      <c r="G1451" s="92">
        <f t="array" ref="G1451">IF(B1451="insumo",_xlfn.XLOOKUP($D1451,Insumos!$B$1:$B$996,Insumos!$D$1:$D$996),"")</f>
        <v/>
      </c>
      <c r="H1451" s="92" t="n">
        <v>0.05441</v>
      </c>
      <c r="I1451" s="2162" t="n">
        <v>0</v>
      </c>
      <c r="J1451" s="2162" t="n">
        <v>0</v>
      </c>
      <c r="K1451" s="2162" t="n"/>
    </row>
    <row r="1452" outlineLevel="2" ht="15.75" customHeight="1">
      <c r="A1452" s="1067" t="n">
        <v>1</v>
      </c>
      <c r="B1452" s="1067" t="inlineStr">
        <is>
          <t>Serviço</t>
        </is>
      </c>
      <c r="C1452" s="1067" t="inlineStr">
        <is>
          <t>RU 70 mm - 2 PLACAS - 9,50cm</t>
        </is>
      </c>
      <c r="D1452" s="1067" t="inlineStr">
        <is>
          <t>RU 70 mm - 2 PLACAS - 9,50cm</t>
        </is>
      </c>
      <c r="E1452" s="1068" t="inlineStr">
        <is>
          <t>M2</t>
        </is>
      </c>
      <c r="F1452" s="1067" t="n"/>
      <c r="G1452" s="1069">
        <f t="array" ref="G1452">IF(B1452="insumo",_xlfn.XLOOKUP($D1452,Insumos!$B$1:$B$996,Insumos!$D$1:$D$996),"")</f>
        <v/>
      </c>
      <c r="H1452" s="1069" t="n">
        <v>195.5697365</v>
      </c>
      <c r="I1452" s="2161" t="n">
        <v>0</v>
      </c>
      <c r="J1452" s="2161" t="n">
        <v>0</v>
      </c>
      <c r="K1452" s="2161" t="n"/>
    </row>
    <row r="1453" outlineLevel="3" ht="15.75" customHeight="1">
      <c r="A1453" s="10" t="n">
        <v>86</v>
      </c>
      <c r="B1453" s="10" t="inlineStr">
        <is>
          <t>Insumo</t>
        </is>
      </c>
      <c r="C1453" s="10" t="inlineStr">
        <is>
          <t>RU 70 mm - 2 PLACAS - 9,50cm</t>
        </is>
      </c>
      <c r="D1453" s="10" t="inlineStr">
        <is>
          <t>SERVICO - CONFECCAO SHAFT GESSO</t>
        </is>
      </c>
      <c r="E1453" s="11">
        <f t="array" ref="E1453">_xlfn.XLOOKUP(D1453,Insumos!B:B,Insumos!C:$C)</f>
        <v/>
      </c>
      <c r="F1453" s="14" t="n">
        <v>1</v>
      </c>
      <c r="G1453" s="92">
        <f t="array" ref="G1453">IF(B1453="insumo",_xlfn.XLOOKUP($D1453,Insumos!$B$1:$B$996,Insumos!$D$1:$D$996),"")</f>
        <v/>
      </c>
      <c r="H1453" s="92" t="n">
        <v>70</v>
      </c>
      <c r="I1453" s="2162" t="n">
        <v>0</v>
      </c>
      <c r="J1453" s="2162" t="n">
        <v>0</v>
      </c>
      <c r="K1453" s="2162" t="n"/>
    </row>
    <row r="1454" outlineLevel="3" ht="15.75" customHeight="1">
      <c r="A1454" s="10" t="n">
        <v>49</v>
      </c>
      <c r="B1454" s="10" t="inlineStr">
        <is>
          <t>Insumo</t>
        </is>
      </c>
      <c r="C1454" s="10" t="inlineStr">
        <is>
          <t>RU 70 mm - 2 PLACAS - 9,50cm</t>
        </is>
      </c>
      <c r="D1454" s="10" t="inlineStr">
        <is>
          <t>PLACA / CHAPA DE GESSO ACARTONADO, RESISTENTE A UMIDADE (RU), COR VERDE, E = 12,5 MM, 1200 X 2400 MM (L X C)</t>
        </is>
      </c>
      <c r="E1454" s="11">
        <f t="array" ref="E1454">_xlfn.XLOOKUP(D1454,Insumos!B:B,Insumos!C:$C)</f>
        <v/>
      </c>
      <c r="F1454" s="14">
        <f>1.053*2</f>
        <v/>
      </c>
      <c r="G1454" s="92">
        <f t="array" ref="G1454">IF(B1454="insumo",_xlfn.XLOOKUP($D1454,Insumos!$B$1:$B$996,Insumos!$D$1:$D$996),"")</f>
        <v/>
      </c>
      <c r="H1454" s="92" t="n">
        <v>57.0726</v>
      </c>
      <c r="I1454" s="2162" t="n">
        <v>0</v>
      </c>
      <c r="J1454" s="2162" t="n">
        <v>0</v>
      </c>
      <c r="K1454" s="2162" t="n"/>
    </row>
    <row r="1455" outlineLevel="3" ht="15.75" customHeight="1">
      <c r="A1455" s="10" t="n">
        <v>95</v>
      </c>
      <c r="B1455" s="10" t="inlineStr">
        <is>
          <t>Insumo</t>
        </is>
      </c>
      <c r="C1455" s="10" t="inlineStr">
        <is>
          <t>RU 70 mm - 2 PLACAS - 9,50cm</t>
        </is>
      </c>
      <c r="D1455" s="10" t="inlineStr">
        <is>
          <t>PINO DE ACO COM ARRUELA CONICA, DIAMETRO ARRUELA = *23* MM E COMP HASTE = *27* MM (ACAO INDIRETA)</t>
        </is>
      </c>
      <c r="E1455" s="11">
        <f t="array" ref="E1455">_xlfn.XLOOKUP(D1455,Insumos!B:B,Insumos!C:$C)</f>
        <v/>
      </c>
      <c r="F1455" s="14" t="n">
        <v>5.92</v>
      </c>
      <c r="G1455" s="92">
        <f t="array" ref="G1455">IF(B1455="insumo",_xlfn.XLOOKUP($D1455,Insumos!$B$1:$B$996,Insumos!$D$1:$D$996),"")</f>
        <v/>
      </c>
      <c r="H1455" s="92" t="n">
        <v>2.98368</v>
      </c>
      <c r="I1455" s="2162" t="n">
        <v>0</v>
      </c>
      <c r="J1455" s="2162" t="n">
        <v>0</v>
      </c>
      <c r="K1455" s="2162" t="n"/>
    </row>
    <row r="1456" outlineLevel="3" ht="15.75" customHeight="1">
      <c r="A1456" s="10" t="n">
        <v>43</v>
      </c>
      <c r="B1456" s="10" t="inlineStr">
        <is>
          <t>Insumo</t>
        </is>
      </c>
      <c r="C1456" s="10" t="inlineStr">
        <is>
          <t>RU 70 mm - 2 PLACAS - 9,50cm</t>
        </is>
      </c>
      <c r="D1456" s="10" t="inlineStr">
        <is>
          <t>PERFIL GUIA, FORMATO U, EM ACO ZINCADO, PARA ESTRUTURA PAREDE DRYWALL, E = 0,5 MM, 70 X 3000 MM (L X C)</t>
        </is>
      </c>
      <c r="E1456" s="11">
        <f t="array" ref="E1456">_xlfn.XLOOKUP(D1456,Insumos!B:B,Insumos!C:$C)</f>
        <v/>
      </c>
      <c r="F1456" s="14" t="n">
        <v>1.8234</v>
      </c>
      <c r="G1456" s="92">
        <f t="array" ref="G1456">IF(B1456="insumo",_xlfn.XLOOKUP($D1456,Insumos!$B$1:$B$996,Insumos!$D$1:$D$996),"")</f>
        <v/>
      </c>
      <c r="H1456" s="92" t="n">
        <v>13.602564</v>
      </c>
      <c r="I1456" s="2162" t="n">
        <v>0</v>
      </c>
      <c r="J1456" s="2162" t="n">
        <v>0</v>
      </c>
      <c r="K1456" s="2162" t="n"/>
    </row>
    <row r="1457" outlineLevel="3" ht="15.75" customHeight="1">
      <c r="A1457" s="10" t="n">
        <v>43</v>
      </c>
      <c r="B1457" s="10" t="inlineStr">
        <is>
          <t>Insumo</t>
        </is>
      </c>
      <c r="C1457" s="10" t="inlineStr">
        <is>
          <t>RU 70 mm - 2 PLACAS - 9,50cm</t>
        </is>
      </c>
      <c r="D1457" s="10" t="inlineStr">
        <is>
          <t>PERFIL MONTANTE, FORMATO C, EM ACO ZINCADO, PARA ESTRUTURA PAREDE DRYWALL, E = 0,5 MM, 70 X 3000 MM (L X C)</t>
        </is>
      </c>
      <c r="E1457" s="11">
        <f t="array" ref="E1457">_xlfn.XLOOKUP(D1457,Insumos!B:B,Insumos!C:$C)</f>
        <v/>
      </c>
      <c r="F1457" s="14" t="n">
        <v>5.8278</v>
      </c>
      <c r="G1457" s="92">
        <f t="array" ref="G1457">IF(B1457="insumo",_xlfn.XLOOKUP($D1457,Insumos!$B$1:$B$996,Insumos!$D$1:$D$996),"")</f>
        <v/>
      </c>
      <c r="H1457" s="92" t="n">
        <v>46.505844</v>
      </c>
      <c r="I1457" s="2162" t="n">
        <v>0</v>
      </c>
      <c r="J1457" s="2162" t="n">
        <v>0</v>
      </c>
      <c r="K1457" s="2162" t="n"/>
    </row>
    <row r="1458" outlineLevel="3" ht="15.75" customHeight="1">
      <c r="A1458" s="10" t="n">
        <v>95</v>
      </c>
      <c r="B1458" s="10" t="inlineStr">
        <is>
          <t>Insumo</t>
        </is>
      </c>
      <c r="C1458" s="10" t="inlineStr">
        <is>
          <t>RU 70 mm - 2 PLACAS - 9,50cm</t>
        </is>
      </c>
      <c r="D1458" s="10" t="inlineStr">
        <is>
          <t>MASSA DE REJUNTE EM PO PARA DRYWALL, A BASE DE GESSO, SECAGEM RAPIDA, PARA TRATAMENTO DE JUNTAS DE CHAPA DE GESSO (NECESSITA ADICAO DE AGUA)</t>
        </is>
      </c>
      <c r="E1458" s="11">
        <f t="array" ref="E1458">_xlfn.XLOOKUP(D1458,Insumos!B:B,Insumos!C:$C)</f>
        <v/>
      </c>
      <c r="F1458" s="14" t="n">
        <v>0.5489000000000001</v>
      </c>
      <c r="G1458" s="92">
        <f t="array" ref="G1458">IF(B1458="insumo",_xlfn.XLOOKUP($D1458,Insumos!$B$1:$B$996,Insumos!$D$1:$D$996),"")</f>
        <v/>
      </c>
      <c r="H1458" s="92" t="n">
        <v>1.882727</v>
      </c>
      <c r="I1458" s="2162" t="n">
        <v>0</v>
      </c>
      <c r="J1458" s="2162" t="n">
        <v>0</v>
      </c>
      <c r="K1458" s="2162" t="n"/>
    </row>
    <row r="1459" outlineLevel="3" ht="15.75" customHeight="1">
      <c r="A1459" s="10" t="n">
        <v>94</v>
      </c>
      <c r="B1459" s="10" t="inlineStr">
        <is>
          <t>Insumo</t>
        </is>
      </c>
      <c r="C1459" s="10" t="inlineStr">
        <is>
          <t>RU 70 mm - 2 PLACAS - 9,50cm</t>
        </is>
      </c>
      <c r="D1459" s="10" t="inlineStr">
        <is>
          <t>FITA DE PAPEL MICROPERFURADO, 50 X 150 MM, PARA TRATAMENTO DE JUNTAS DE CHAPA DE GESSO PARA DRYWALL</t>
        </is>
      </c>
      <c r="E1459" s="11">
        <f t="array" ref="E1459">_xlfn.XLOOKUP(D1459,Insumos!B:B,Insumos!C:$C)</f>
        <v/>
      </c>
      <c r="F1459" s="14" t="n">
        <v>1.25135</v>
      </c>
      <c r="G1459" s="92">
        <f t="array" ref="G1459">IF(B1459="insumo",_xlfn.XLOOKUP($D1459,Insumos!$B$1:$B$996,Insumos!$D$1:$D$996),"")</f>
        <v/>
      </c>
      <c r="H1459" s="92" t="n">
        <v>0.3879185</v>
      </c>
      <c r="I1459" s="2162" t="n">
        <v>0</v>
      </c>
      <c r="J1459" s="2162" t="n">
        <v>0</v>
      </c>
      <c r="K1459" s="2162" t="n"/>
    </row>
    <row r="1460" outlineLevel="3" ht="15.75" customHeight="1">
      <c r="A1460" s="10" t="n">
        <v>94</v>
      </c>
      <c r="B1460" s="10" t="inlineStr">
        <is>
          <t>Insumo</t>
        </is>
      </c>
      <c r="C1460" s="10" t="inlineStr">
        <is>
          <t>RU 70 mm - 2 PLACAS - 9,50cm</t>
        </is>
      </c>
      <c r="D1460" s="10" t="inlineStr">
        <is>
          <t>FITA DE PAPEL REFORCADA COM LAMINA DE METAL PARA REFORCO DE CANTOS DE CHAPA DE GESSO PARA DRYWALL</t>
        </is>
      </c>
      <c r="E1460" s="11">
        <f t="array" ref="E1460">_xlfn.XLOOKUP(D1460,Insumos!B:B,Insumos!C:$C)</f>
        <v/>
      </c>
      <c r="F1460" s="14" t="n">
        <v>0.79255</v>
      </c>
      <c r="G1460" s="92">
        <f t="array" ref="G1460">IF(B1460="insumo",_xlfn.XLOOKUP($D1460,Insumos!$B$1:$B$996,Insumos!$D$1:$D$996),"")</f>
        <v/>
      </c>
      <c r="H1460" s="92" t="n">
        <v>2.171587</v>
      </c>
      <c r="I1460" s="2162" t="n">
        <v>0</v>
      </c>
      <c r="J1460" s="2162" t="n">
        <v>0</v>
      </c>
      <c r="K1460" s="2162" t="n"/>
    </row>
    <row r="1461" outlineLevel="3" ht="15.75" customHeight="1">
      <c r="A1461" s="10" t="n">
        <v>97</v>
      </c>
      <c r="B1461" s="10" t="inlineStr">
        <is>
          <t>Insumo</t>
        </is>
      </c>
      <c r="C1461" s="10" t="inlineStr">
        <is>
          <t>RU 70 mm - 2 PLACAS - 9,50cm</t>
        </is>
      </c>
      <c r="D1461" s="10" t="inlineStr">
        <is>
          <t>PARAFUSO DRY WALL, EM ACO FOSFATIZADO, CABECA TROMBETA E PONTA AGULHA (TA), COMPRIMENTO 25 MM</t>
        </is>
      </c>
      <c r="E1461" s="11">
        <f t="array" ref="E1461">_xlfn.XLOOKUP(D1461,Insumos!B:B,Insumos!C:$C)</f>
        <v/>
      </c>
      <c r="F1461" s="14" t="n">
        <v>10.0934</v>
      </c>
      <c r="G1461" s="92">
        <f t="array" ref="G1461">IF(B1461="insumo",_xlfn.XLOOKUP($D1461,Insumos!$B$1:$B$996,Insumos!$D$1:$D$996),"")</f>
        <v/>
      </c>
      <c r="H1461" s="92" t="n">
        <v>0.908406</v>
      </c>
      <c r="I1461" s="2162" t="n">
        <v>0</v>
      </c>
      <c r="J1461" s="2162" t="n">
        <v>0</v>
      </c>
      <c r="K1461" s="2162" t="n"/>
    </row>
    <row r="1462" outlineLevel="3" ht="15.75" customHeight="1">
      <c r="A1462" s="10" t="n">
        <v>95</v>
      </c>
      <c r="B1462" s="10" t="inlineStr">
        <is>
          <t>Insumo</t>
        </is>
      </c>
      <c r="C1462" s="10" t="inlineStr">
        <is>
          <t>RU 70 mm - 2 PLACAS - 9,50cm</t>
        </is>
      </c>
      <c r="D1462" s="10" t="inlineStr">
        <is>
          <t>PARAFUSO DRY WALL, EM ACO ZINCADO, CABECA LENTILHA E PONTA BROCA (LB), LARGURA 4,2 MM, COMPRIMENTO 13 MM</t>
        </is>
      </c>
      <c r="E1462" s="11">
        <f t="array" ref="E1462">_xlfn.XLOOKUP(D1462,Insumos!B:B,Insumos!C:$C)</f>
        <v/>
      </c>
      <c r="F1462" s="14" t="n">
        <v>0.27205</v>
      </c>
      <c r="G1462" s="92">
        <f t="array" ref="G1462">IF(B1462="insumo",_xlfn.XLOOKUP($D1462,Insumos!$B$1:$B$996,Insumos!$D$1:$D$996),"")</f>
        <v/>
      </c>
      <c r="H1462" s="92" t="n">
        <v>0.05441</v>
      </c>
      <c r="I1462" s="2162" t="n">
        <v>0</v>
      </c>
      <c r="J1462" s="2162" t="n">
        <v>0</v>
      </c>
      <c r="K1462" s="2162" t="n"/>
    </row>
    <row r="1463" outlineLevel="2" ht="15.75" customHeight="1">
      <c r="A1463" s="1067" t="n">
        <v>1</v>
      </c>
      <c r="B1463" s="1067" t="inlineStr">
        <is>
          <t>Serviço</t>
        </is>
      </c>
      <c r="C1463" s="1067" t="inlineStr">
        <is>
          <t>ST 70 mm - 4 PLACAS - 12,00cm</t>
        </is>
      </c>
      <c r="D1463" s="1067" t="inlineStr">
        <is>
          <t>ST 70 mm - 4 PLACAS - 12,00cm</t>
        </is>
      </c>
      <c r="E1463" s="1068" t="inlineStr">
        <is>
          <t>M2</t>
        </is>
      </c>
      <c r="F1463" s="1067" t="n"/>
      <c r="G1463" s="1069">
        <f t="array" ref="G1463">IF(B1463="insumo",_xlfn.XLOOKUP($D1463,Insumos!$B$1:$B$996,Insumos!$D$1:$D$996),"")</f>
        <v/>
      </c>
      <c r="H1463" s="1069" t="n">
        <v>223.4110565</v>
      </c>
      <c r="I1463" s="2161" t="n">
        <v>0</v>
      </c>
      <c r="J1463" s="2161" t="n">
        <v>0</v>
      </c>
      <c r="K1463" s="2161" t="n"/>
    </row>
    <row r="1464" outlineLevel="3" ht="15.75" customHeight="1">
      <c r="A1464" s="10" t="n">
        <v>86</v>
      </c>
      <c r="B1464" s="10" t="inlineStr">
        <is>
          <t>Insumo</t>
        </is>
      </c>
      <c r="C1464" s="10" t="inlineStr">
        <is>
          <t>ST 70 mm - 4 PLACAS - 12,00cm</t>
        </is>
      </c>
      <c r="D1464" s="10" t="inlineStr">
        <is>
          <t>SERVICO - CONFECCAO SHAFT GESSO</t>
        </is>
      </c>
      <c r="E1464" s="11">
        <f t="array" ref="E1464">_xlfn.XLOOKUP(D1464,Insumos!B:B,Insumos!C:$C)</f>
        <v/>
      </c>
      <c r="F1464" s="14" t="n">
        <v>1</v>
      </c>
      <c r="G1464" s="92">
        <f t="array" ref="G1464">IF(B1464="insumo",_xlfn.XLOOKUP($D1464,Insumos!$B$1:$B$996,Insumos!$D$1:$D$996),"")</f>
        <v/>
      </c>
      <c r="H1464" s="92" t="n">
        <v>70</v>
      </c>
      <c r="I1464" s="2162" t="n">
        <v>0</v>
      </c>
      <c r="J1464" s="2162" t="n">
        <v>0</v>
      </c>
      <c r="K1464" s="2162" t="n"/>
    </row>
    <row r="1465" outlineLevel="3" ht="15.75" customHeight="1">
      <c r="A1465" s="10" t="n">
        <v>47</v>
      </c>
      <c r="B1465" s="10" t="inlineStr">
        <is>
          <t>Insumo</t>
        </is>
      </c>
      <c r="C1465" s="10" t="inlineStr">
        <is>
          <t>ST 70 mm - 4 PLACAS - 12,00cm</t>
        </is>
      </c>
      <c r="D1465" s="10" t="inlineStr">
        <is>
          <t>PLACA / CHAPA DE GESSO ACARTONADO, STANDARD (ST), COR BRANCA, E = 12,5 MM, 1200 X 2400 MM (L X C)</t>
        </is>
      </c>
      <c r="E1465" s="11">
        <f t="array" ref="E1465">_xlfn.XLOOKUP(D1465,Insumos!B:B,Insumos!C:$C)</f>
        <v/>
      </c>
      <c r="F1465" s="14">
        <f>1.053*4</f>
        <v/>
      </c>
      <c r="G1465" s="92">
        <f t="array" ref="G1465">IF(B1465="insumo",_xlfn.XLOOKUP($D1465,Insumos!$B$1:$B$996,Insumos!$D$1:$D$996),"")</f>
        <v/>
      </c>
      <c r="H1465" s="92" t="n">
        <v>84.91392</v>
      </c>
      <c r="I1465" s="2162" t="n">
        <v>0</v>
      </c>
      <c r="J1465" s="2162" t="n">
        <v>0</v>
      </c>
      <c r="K1465" s="2162" t="n"/>
    </row>
    <row r="1466" outlineLevel="3" ht="15.75" customHeight="1">
      <c r="A1466" s="10" t="n">
        <v>95</v>
      </c>
      <c r="B1466" s="10" t="inlineStr">
        <is>
          <t>Insumo</t>
        </is>
      </c>
      <c r="C1466" s="10" t="inlineStr">
        <is>
          <t>ST 70 mm - 4 PLACAS - 12,00cm</t>
        </is>
      </c>
      <c r="D1466" s="10" t="inlineStr">
        <is>
          <t>PINO DE ACO COM ARRUELA CONICA, DIAMETRO ARRUELA = *23* MM E COMP HASTE = *27* MM (ACAO INDIRETA)</t>
        </is>
      </c>
      <c r="E1466" s="11">
        <f t="array" ref="E1466">_xlfn.XLOOKUP(D1466,Insumos!B:B,Insumos!C:$C)</f>
        <v/>
      </c>
      <c r="F1466" s="14" t="n">
        <v>5.92</v>
      </c>
      <c r="G1466" s="92">
        <f t="array" ref="G1466">IF(B1466="insumo",_xlfn.XLOOKUP($D1466,Insumos!$B$1:$B$996,Insumos!$D$1:$D$996),"")</f>
        <v/>
      </c>
      <c r="H1466" s="92" t="n">
        <v>2.98368</v>
      </c>
      <c r="I1466" s="2162" t="n">
        <v>0</v>
      </c>
      <c r="J1466" s="2162" t="n">
        <v>0</v>
      </c>
      <c r="K1466" s="2162" t="n"/>
    </row>
    <row r="1467" outlineLevel="3" ht="15.75" customHeight="1">
      <c r="A1467" s="10" t="n">
        <v>43</v>
      </c>
      <c r="B1467" s="10" t="inlineStr">
        <is>
          <t>Insumo</t>
        </is>
      </c>
      <c r="C1467" s="10" t="inlineStr">
        <is>
          <t>ST 70 mm - 4 PLACAS - 12,00cm</t>
        </is>
      </c>
      <c r="D1467" s="10" t="inlineStr">
        <is>
          <t>PERFIL GUIA, FORMATO U, EM ACO ZINCADO, PARA ESTRUTURA PAREDE DRYWALL, E = 0,5 MM, 70 X 3000 MM (L X C)</t>
        </is>
      </c>
      <c r="E1467" s="11">
        <f t="array" ref="E1467">_xlfn.XLOOKUP(D1467,Insumos!B:B,Insumos!C:$C)</f>
        <v/>
      </c>
      <c r="F1467" s="14" t="n">
        <v>1.8234</v>
      </c>
      <c r="G1467" s="92">
        <f t="array" ref="G1467">IF(B1467="insumo",_xlfn.XLOOKUP($D1467,Insumos!$B$1:$B$996,Insumos!$D$1:$D$996),"")</f>
        <v/>
      </c>
      <c r="H1467" s="92" t="n">
        <v>13.602564</v>
      </c>
      <c r="I1467" s="2162" t="n">
        <v>0</v>
      </c>
      <c r="J1467" s="2162" t="n">
        <v>0</v>
      </c>
      <c r="K1467" s="2162" t="n"/>
    </row>
    <row r="1468" outlineLevel="3" ht="15.75" customHeight="1">
      <c r="A1468" s="10" t="n">
        <v>43</v>
      </c>
      <c r="B1468" s="10" t="inlineStr">
        <is>
          <t>Insumo</t>
        </is>
      </c>
      <c r="C1468" s="10" t="inlineStr">
        <is>
          <t>ST 70 mm - 4 PLACAS - 12,00cm</t>
        </is>
      </c>
      <c r="D1468" s="10" t="inlineStr">
        <is>
          <t>PERFIL MONTANTE, FORMATO C, EM ACO ZINCADO, PARA ESTRUTURA PAREDE DRYWALL, E = 0,5 MM, 70 X 3000 MM (L X C)</t>
        </is>
      </c>
      <c r="E1468" s="11">
        <f t="array" ref="E1468">_xlfn.XLOOKUP(D1468,Insumos!B:B,Insumos!C:$C)</f>
        <v/>
      </c>
      <c r="F1468" s="14" t="n">
        <v>5.8278</v>
      </c>
      <c r="G1468" s="92">
        <f t="array" ref="G1468">IF(B1468="insumo",_xlfn.XLOOKUP($D1468,Insumos!$B$1:$B$996,Insumos!$D$1:$D$996),"")</f>
        <v/>
      </c>
      <c r="H1468" s="92" t="n">
        <v>46.505844</v>
      </c>
      <c r="I1468" s="2162" t="n">
        <v>0</v>
      </c>
      <c r="J1468" s="2162" t="n">
        <v>0</v>
      </c>
      <c r="K1468" s="2162" t="n"/>
    </row>
    <row r="1469" outlineLevel="3" ht="15.75" customHeight="1">
      <c r="A1469" s="10" t="n">
        <v>95</v>
      </c>
      <c r="B1469" s="10" t="inlineStr">
        <is>
          <t>Insumo</t>
        </is>
      </c>
      <c r="C1469" s="10" t="inlineStr">
        <is>
          <t>ST 70 mm - 4 PLACAS - 12,00cm</t>
        </is>
      </c>
      <c r="D1469" s="10" t="inlineStr">
        <is>
          <t>MASSA DE REJUNTE EM PO PARA DRYWALL, A BASE DE GESSO, SECAGEM RAPIDA, PARA TRATAMENTO DE JUNTAS DE CHAPA DE GESSO (NECESSITA ADICAO DE AGUA)</t>
        </is>
      </c>
      <c r="E1469" s="11">
        <f t="array" ref="E1469">_xlfn.XLOOKUP(D1469,Insumos!B:B,Insumos!C:$C)</f>
        <v/>
      </c>
      <c r="F1469" s="14" t="n">
        <v>0.5489000000000001</v>
      </c>
      <c r="G1469" s="92">
        <f t="array" ref="G1469">IF(B1469="insumo",_xlfn.XLOOKUP($D1469,Insumos!$B$1:$B$996,Insumos!$D$1:$D$996),"")</f>
        <v/>
      </c>
      <c r="H1469" s="92" t="n">
        <v>1.882727</v>
      </c>
      <c r="I1469" s="2162" t="n">
        <v>0</v>
      </c>
      <c r="J1469" s="2162" t="n">
        <v>0</v>
      </c>
      <c r="K1469" s="2162" t="n"/>
    </row>
    <row r="1470" outlineLevel="3" ht="15.75" customHeight="1">
      <c r="A1470" s="10" t="n">
        <v>94</v>
      </c>
      <c r="B1470" s="10" t="inlineStr">
        <is>
          <t>Insumo</t>
        </is>
      </c>
      <c r="C1470" s="10" t="inlineStr">
        <is>
          <t>ST 70 mm - 4 PLACAS - 12,00cm</t>
        </is>
      </c>
      <c r="D1470" s="10" t="inlineStr">
        <is>
          <t>FITA DE PAPEL MICROPERFURADO, 50 X 150 MM, PARA TRATAMENTO DE JUNTAS DE CHAPA DE GESSO PARA DRYWALL</t>
        </is>
      </c>
      <c r="E1470" s="11">
        <f t="array" ref="E1470">_xlfn.XLOOKUP(D1470,Insumos!B:B,Insumos!C:$C)</f>
        <v/>
      </c>
      <c r="F1470" s="14" t="n">
        <v>1.25135</v>
      </c>
      <c r="G1470" s="92">
        <f t="array" ref="G1470">IF(B1470="insumo",_xlfn.XLOOKUP($D1470,Insumos!$B$1:$B$996,Insumos!$D$1:$D$996),"")</f>
        <v/>
      </c>
      <c r="H1470" s="92" t="n">
        <v>0.3879185</v>
      </c>
      <c r="I1470" s="2162" t="n">
        <v>0</v>
      </c>
      <c r="J1470" s="2162" t="n">
        <v>0</v>
      </c>
      <c r="K1470" s="2162" t="n"/>
    </row>
    <row r="1471" outlineLevel="3" ht="15.75" customHeight="1">
      <c r="A1471" s="10" t="n">
        <v>94</v>
      </c>
      <c r="B1471" s="10" t="inlineStr">
        <is>
          <t>Insumo</t>
        </is>
      </c>
      <c r="C1471" s="10" t="inlineStr">
        <is>
          <t>ST 70 mm - 4 PLACAS - 12,00cm</t>
        </is>
      </c>
      <c r="D1471" s="10" t="inlineStr">
        <is>
          <t>FITA DE PAPEL REFORCADA COM LAMINA DE METAL PARA REFORCO DE CANTOS DE CHAPA DE GESSO PARA DRYWALL</t>
        </is>
      </c>
      <c r="E1471" s="11">
        <f t="array" ref="E1471">_xlfn.XLOOKUP(D1471,Insumos!B:B,Insumos!C:$C)</f>
        <v/>
      </c>
      <c r="F1471" s="14" t="n">
        <v>0.79255</v>
      </c>
      <c r="G1471" s="92">
        <f t="array" ref="G1471">IF(B1471="insumo",_xlfn.XLOOKUP($D1471,Insumos!$B$1:$B$996,Insumos!$D$1:$D$996),"")</f>
        <v/>
      </c>
      <c r="H1471" s="92" t="n">
        <v>2.171587</v>
      </c>
      <c r="I1471" s="2162" t="n">
        <v>0</v>
      </c>
      <c r="J1471" s="2162" t="n">
        <v>0</v>
      </c>
      <c r="K1471" s="2162" t="n"/>
    </row>
    <row r="1472" outlineLevel="3" ht="15.75" customHeight="1">
      <c r="A1472" s="10" t="n">
        <v>97</v>
      </c>
      <c r="B1472" s="10" t="inlineStr">
        <is>
          <t>Insumo</t>
        </is>
      </c>
      <c r="C1472" s="10" t="inlineStr">
        <is>
          <t>ST 70 mm - 4 PLACAS - 12,00cm</t>
        </is>
      </c>
      <c r="D1472" s="10" t="inlineStr">
        <is>
          <t>PARAFUSO DRY WALL, EM ACO FOSFATIZADO, CABECA TROMBETA E PONTA AGULHA (TA), COMPRIMENTO 25 MM</t>
        </is>
      </c>
      <c r="E1472" s="11">
        <f t="array" ref="E1472">_xlfn.XLOOKUP(D1472,Insumos!B:B,Insumos!C:$C)</f>
        <v/>
      </c>
      <c r="F1472" s="14" t="n">
        <v>10.0934</v>
      </c>
      <c r="G1472" s="92">
        <f t="array" ref="G1472">IF(B1472="insumo",_xlfn.XLOOKUP($D1472,Insumos!$B$1:$B$996,Insumos!$D$1:$D$996),"")</f>
        <v/>
      </c>
      <c r="H1472" s="92" t="n">
        <v>0.908406</v>
      </c>
      <c r="I1472" s="2162" t="n">
        <v>0</v>
      </c>
      <c r="J1472" s="2162" t="n">
        <v>0</v>
      </c>
      <c r="K1472" s="2162" t="n"/>
    </row>
    <row r="1473" outlineLevel="3" ht="15.75" customHeight="1">
      <c r="A1473" s="10" t="n">
        <v>95</v>
      </c>
      <c r="B1473" s="10" t="inlineStr">
        <is>
          <t>Insumo</t>
        </is>
      </c>
      <c r="C1473" s="10" t="inlineStr">
        <is>
          <t>ST 70 mm - 4 PLACAS - 12,00cm</t>
        </is>
      </c>
      <c r="D1473" s="10" t="inlineStr">
        <is>
          <t>PARAFUSO DRY WALL, EM ACO ZINCADO, CABECA LENTILHA E PONTA BROCA (LB), LARGURA 4,2 MM, COMPRIMENTO 13 MM</t>
        </is>
      </c>
      <c r="E1473" s="11">
        <f t="array" ref="E1473">_xlfn.XLOOKUP(D1473,Insumos!B:B,Insumos!C:$C)</f>
        <v/>
      </c>
      <c r="F1473" s="14" t="n">
        <v>0.27205</v>
      </c>
      <c r="G1473" s="92">
        <f t="array" ref="G1473">IF(B1473="insumo",_xlfn.XLOOKUP($D1473,Insumos!$B$1:$B$996,Insumos!$D$1:$D$996),"")</f>
        <v/>
      </c>
      <c r="H1473" s="92" t="n">
        <v>0.05441</v>
      </c>
      <c r="I1473" s="2162" t="n">
        <v>0</v>
      </c>
      <c r="J1473" s="2162" t="n">
        <v>0</v>
      </c>
      <c r="K1473" s="2162" t="n"/>
    </row>
    <row r="1474" outlineLevel="2" ht="15.75" customHeight="1">
      <c r="A1474" s="1067" t="n">
        <v>1</v>
      </c>
      <c r="B1474" s="1067" t="inlineStr">
        <is>
          <t>Serviço</t>
        </is>
      </c>
      <c r="C1474" s="1067" t="inlineStr">
        <is>
          <t>TP732-E 150 mm - 3 PLACAS (Cim10 entre) - 15,00cm</t>
        </is>
      </c>
      <c r="D1474" s="1067" t="inlineStr">
        <is>
          <t>TP732-E 150 mm - 3 PLACAS (Cim10 entre) - 15,00cm</t>
        </is>
      </c>
      <c r="E1474" s="1068" t="inlineStr">
        <is>
          <t>M2</t>
        </is>
      </c>
      <c r="F1474" s="1067" t="n"/>
      <c r="G1474" s="1069">
        <f t="array" ref="G1474">IF(B1474="insumo",_xlfn.XLOOKUP($D1474,Insumos!$B$1:$B$996,Insumos!$D$1:$D$996),"")</f>
        <v/>
      </c>
      <c r="H1474" s="1069" t="n">
        <v>274.341583666667</v>
      </c>
      <c r="I1474" s="2161" t="n">
        <v>0</v>
      </c>
      <c r="J1474" s="2161" t="n">
        <v>0</v>
      </c>
      <c r="K1474" s="2161" t="n"/>
    </row>
    <row r="1475" outlineLevel="3" ht="15.75" customHeight="1">
      <c r="A1475" s="10" t="n">
        <v>86</v>
      </c>
      <c r="B1475" s="10" t="inlineStr">
        <is>
          <t>Insumo</t>
        </is>
      </c>
      <c r="C1475" s="10" t="inlineStr">
        <is>
          <t>TP732-E 150 mm - 3 PLACAS (Cim10 entre) - 15,00cm</t>
        </is>
      </c>
      <c r="D1475" s="10" t="inlineStr">
        <is>
          <t>SERVICO - CONFECCAO SHAFT GESSO</t>
        </is>
      </c>
      <c r="E1475" s="11">
        <f t="array" ref="E1475">_xlfn.XLOOKUP(D1475,Insumos!B:B,Insumos!C:$C)</f>
        <v/>
      </c>
      <c r="F1475" s="14" t="n">
        <v>1</v>
      </c>
      <c r="G1475" s="92">
        <f t="array" ref="G1475">IF(B1475="insumo",_xlfn.XLOOKUP($D1475,Insumos!$B$1:$B$996,Insumos!$D$1:$D$996),"")</f>
        <v/>
      </c>
      <c r="H1475" s="92" t="n">
        <v>70</v>
      </c>
      <c r="I1475" s="2162" t="n">
        <v>0</v>
      </c>
      <c r="J1475" s="2162" t="n">
        <v>0</v>
      </c>
      <c r="K1475" s="2162" t="n"/>
    </row>
    <row r="1476" outlineLevel="3" ht="15.75" customHeight="1">
      <c r="A1476" s="10" t="n">
        <v>47</v>
      </c>
      <c r="B1476" s="10" t="inlineStr">
        <is>
          <t>Insumo</t>
        </is>
      </c>
      <c r="C1476" s="10" t="inlineStr">
        <is>
          <t>TP732-E 150 mm - 3 PLACAS (Cim10 entre) - 15,00cm</t>
        </is>
      </c>
      <c r="D1476" s="10" t="inlineStr">
        <is>
          <t>PLACA / CHAPA DE GESSO ACARTONADO, STANDARD (ST), COR BRANCA, E = 12,5 MM, 1200 X 2400 MM (L X C)</t>
        </is>
      </c>
      <c r="E1476" s="11">
        <f t="array" ref="E1476">_xlfn.XLOOKUP(D1476,Insumos!B:B,Insumos!C:$C)</f>
        <v/>
      </c>
      <c r="F1476" s="14">
        <f>1.053*2</f>
        <v/>
      </c>
      <c r="G1476" s="92">
        <f t="array" ref="G1476">IF(B1476="insumo",_xlfn.XLOOKUP($D1476,Insumos!$B$1:$B$996,Insumos!$D$1:$D$996),"")</f>
        <v/>
      </c>
      <c r="H1476" s="92" t="n">
        <v>42.45696</v>
      </c>
      <c r="I1476" s="2162" t="n">
        <v>0</v>
      </c>
      <c r="J1476" s="2162" t="n">
        <v>0</v>
      </c>
      <c r="K1476" s="2162" t="n"/>
    </row>
    <row r="1477" outlineLevel="3" ht="15.75" customHeight="1">
      <c r="A1477" s="10" t="n">
        <v>11</v>
      </c>
      <c r="B1477" s="10" t="inlineStr">
        <is>
          <t>Insumo</t>
        </is>
      </c>
      <c r="C1477" s="10" t="inlineStr">
        <is>
          <t>TP732-E 150 mm - 3 PLACAS (Cim10 entre) - 15,00cm</t>
        </is>
      </c>
      <c r="D1477" s="10" t="inlineStr">
        <is>
          <t>PLACA CIMENTÍCIA(CT) PARA STEEL FRAME BRASILIT-ETERNIT 8MM X 1,20M X 2,40M</t>
        </is>
      </c>
      <c r="E1477" s="11">
        <f t="array" ref="E1477">_xlfn.XLOOKUP(D1477,Insumos!B:B,Insumos!C:$C)</f>
        <v/>
      </c>
      <c r="F1477" s="14" t="n">
        <v>1.106</v>
      </c>
      <c r="G1477" s="92">
        <f t="array" ref="G1477">IF(B1477="insumo",_xlfn.XLOOKUP($D1477,Insumos!$B$1:$B$996,Insumos!$D$1:$D$996),"")</f>
        <v/>
      </c>
      <c r="H1477" s="92" t="n">
        <v>33.2790791666667</v>
      </c>
      <c r="I1477" s="2162" t="n">
        <v>0</v>
      </c>
      <c r="J1477" s="2162" t="n">
        <v>0</v>
      </c>
      <c r="K1477" s="2162" t="n"/>
    </row>
    <row r="1478" outlineLevel="3" ht="15.75" customHeight="1">
      <c r="A1478" s="10" t="n">
        <v>95</v>
      </c>
      <c r="B1478" s="10" t="inlineStr">
        <is>
          <t>Insumo</t>
        </is>
      </c>
      <c r="C1478" s="10" t="inlineStr">
        <is>
          <t>TP732-E 150 mm - 3 PLACAS (Cim10 entre) - 15,00cm</t>
        </is>
      </c>
      <c r="D1478" s="10" t="inlineStr">
        <is>
          <t>PINO DE ACO COM ARRUELA CONICA, DIAMETRO ARRUELA = *23* MM E COMP HASTE = *27* MM (ACAO INDIRETA)</t>
        </is>
      </c>
      <c r="E1478" s="11">
        <f t="array" ref="E1478">_xlfn.XLOOKUP(D1478,Insumos!B:B,Insumos!C:$C)</f>
        <v/>
      </c>
      <c r="F1478" s="14" t="n">
        <v>5.92</v>
      </c>
      <c r="G1478" s="92">
        <f t="array" ref="G1478">IF(B1478="insumo",_xlfn.XLOOKUP($D1478,Insumos!$B$1:$B$996,Insumos!$D$1:$D$996),"")</f>
        <v/>
      </c>
      <c r="H1478" s="92" t="n">
        <v>2.98368</v>
      </c>
      <c r="I1478" s="2162" t="n">
        <v>0</v>
      </c>
      <c r="J1478" s="2162" t="n">
        <v>0</v>
      </c>
      <c r="K1478" s="2162" t="n"/>
    </row>
    <row r="1479" outlineLevel="3" ht="15.75" customHeight="1">
      <c r="A1479" s="10" t="n">
        <v>43</v>
      </c>
      <c r="B1479" s="10" t="inlineStr">
        <is>
          <t>Insumo</t>
        </is>
      </c>
      <c r="C1479" s="10" t="inlineStr">
        <is>
          <t>TP732-E 150 mm - 3 PLACAS (Cim10 entre) - 15,00cm</t>
        </is>
      </c>
      <c r="D1479" s="10" t="inlineStr">
        <is>
          <t>PERFIL GUIA, FORMATO U, EM ACO ZINCADO, PARA ESTRUTURA PAREDE DRYWALL, E = 0,5 MM, 70 X 3000 MM (L X C)</t>
        </is>
      </c>
      <c r="E1479" s="11">
        <f t="array" ref="E1479">_xlfn.XLOOKUP(D1479,Insumos!B:B,Insumos!C:$C)</f>
        <v/>
      </c>
      <c r="F1479" s="14">
        <f>1.8234*2</f>
        <v/>
      </c>
      <c r="G1479" s="92">
        <f t="array" ref="G1479">IF(B1479="insumo",_xlfn.XLOOKUP($D1479,Insumos!$B$1:$B$996,Insumos!$D$1:$D$996),"")</f>
        <v/>
      </c>
      <c r="H1479" s="92" t="n">
        <v>27.205128</v>
      </c>
      <c r="I1479" s="2162" t="n">
        <v>0</v>
      </c>
      <c r="J1479" s="2162" t="n">
        <v>0</v>
      </c>
      <c r="K1479" s="2162" t="n"/>
    </row>
    <row r="1480" outlineLevel="3" ht="15.75" customHeight="1">
      <c r="A1480" s="10" t="n">
        <v>43</v>
      </c>
      <c r="B1480" s="10" t="inlineStr">
        <is>
          <t>Insumo</t>
        </is>
      </c>
      <c r="C1480" s="10" t="inlineStr">
        <is>
          <t>TP732-E 150 mm - 3 PLACAS (Cim10 entre) - 15,00cm</t>
        </is>
      </c>
      <c r="D1480" s="10" t="inlineStr">
        <is>
          <t>PERFIL MONTANTE, FORMATO C, EM ACO ZINCADO, PARA ESTRUTURA PAREDE DRYWALL, E = 0,5 MM, 70 X 3000 MM (L X C)</t>
        </is>
      </c>
      <c r="E1480" s="11">
        <f t="array" ref="E1480">_xlfn.XLOOKUP(D1480,Insumos!B:B,Insumos!C:$C)</f>
        <v/>
      </c>
      <c r="F1480" s="14">
        <f>5.8278*2</f>
        <v/>
      </c>
      <c r="G1480" s="92">
        <f t="array" ref="G1480">IF(B1480="insumo",_xlfn.XLOOKUP($D1480,Insumos!$B$1:$B$996,Insumos!$D$1:$D$996),"")</f>
        <v/>
      </c>
      <c r="H1480" s="92" t="n">
        <v>93.01168800000001</v>
      </c>
      <c r="I1480" s="2162" t="n">
        <v>0</v>
      </c>
      <c r="J1480" s="2162" t="n">
        <v>0</v>
      </c>
      <c r="K1480" s="2162" t="n"/>
    </row>
    <row r="1481" outlineLevel="3" ht="15.75" customHeight="1">
      <c r="A1481" s="10" t="n">
        <v>95</v>
      </c>
      <c r="B1481" s="10" t="inlineStr">
        <is>
          <t>Insumo</t>
        </is>
      </c>
      <c r="C1481" s="10" t="inlineStr">
        <is>
          <t>TP732-E 150 mm - 3 PLACAS (Cim10 entre) - 15,00cm</t>
        </is>
      </c>
      <c r="D1481" s="10" t="inlineStr">
        <is>
          <t>MASSA DE REJUNTE EM PO PARA DRYWALL, A BASE DE GESSO, SECAGEM RAPIDA, PARA TRATAMENTO DE JUNTAS DE CHAPA DE GESSO (NECESSITA ADICAO DE AGUA)</t>
        </is>
      </c>
      <c r="E1481" s="11">
        <f t="array" ref="E1481">_xlfn.XLOOKUP(D1481,Insumos!B:B,Insumos!C:$C)</f>
        <v/>
      </c>
      <c r="F1481" s="14" t="n">
        <v>0.5489000000000001</v>
      </c>
      <c r="G1481" s="92">
        <f t="array" ref="G1481">IF(B1481="insumo",_xlfn.XLOOKUP($D1481,Insumos!$B$1:$B$996,Insumos!$D$1:$D$996),"")</f>
        <v/>
      </c>
      <c r="H1481" s="92" t="n">
        <v>1.882727</v>
      </c>
      <c r="I1481" s="2162" t="n">
        <v>0</v>
      </c>
      <c r="J1481" s="2162" t="n">
        <v>0</v>
      </c>
      <c r="K1481" s="2162" t="n"/>
    </row>
    <row r="1482" outlineLevel="3" ht="15.75" customHeight="1">
      <c r="A1482" s="10" t="n">
        <v>94</v>
      </c>
      <c r="B1482" s="10" t="inlineStr">
        <is>
          <t>Insumo</t>
        </is>
      </c>
      <c r="C1482" s="10" t="inlineStr">
        <is>
          <t>TP732-E 150 mm - 3 PLACAS (Cim10 entre) - 15,00cm</t>
        </is>
      </c>
      <c r="D1482" s="10" t="inlineStr">
        <is>
          <t>FITA DE PAPEL MICROPERFURADO, 50 X 150 MM, PARA TRATAMENTO DE JUNTAS DE CHAPA DE GESSO PARA DRYWALL</t>
        </is>
      </c>
      <c r="E1482" s="11">
        <f t="array" ref="E1482">_xlfn.XLOOKUP(D1482,Insumos!B:B,Insumos!C:$C)</f>
        <v/>
      </c>
      <c r="F1482" s="14" t="n">
        <v>1.25135</v>
      </c>
      <c r="G1482" s="92">
        <f t="array" ref="G1482">IF(B1482="insumo",_xlfn.XLOOKUP($D1482,Insumos!$B$1:$B$996,Insumos!$D$1:$D$996),"")</f>
        <v/>
      </c>
      <c r="H1482" s="92" t="n">
        <v>0.3879185</v>
      </c>
      <c r="I1482" s="2162" t="n">
        <v>0</v>
      </c>
      <c r="J1482" s="2162" t="n">
        <v>0</v>
      </c>
      <c r="K1482" s="2162" t="n"/>
    </row>
    <row r="1483" outlineLevel="3" ht="15.75" customHeight="1">
      <c r="A1483" s="10" t="n">
        <v>94</v>
      </c>
      <c r="B1483" s="10" t="inlineStr">
        <is>
          <t>Insumo</t>
        </is>
      </c>
      <c r="C1483" s="10" t="inlineStr">
        <is>
          <t>TP732-E 150 mm - 3 PLACAS (Cim10 entre) - 15,00cm</t>
        </is>
      </c>
      <c r="D1483" s="10" t="inlineStr">
        <is>
          <t>FITA DE PAPEL REFORCADA COM LAMINA DE METAL PARA REFORCO DE CANTOS DE CHAPA DE GESSO PARA DRYWALL</t>
        </is>
      </c>
      <c r="E1483" s="11">
        <f t="array" ref="E1483">_xlfn.XLOOKUP(D1483,Insumos!B:B,Insumos!C:$C)</f>
        <v/>
      </c>
      <c r="F1483" s="14" t="n">
        <v>0.79255</v>
      </c>
      <c r="G1483" s="92">
        <f t="array" ref="G1483">IF(B1483="insumo",_xlfn.XLOOKUP($D1483,Insumos!$B$1:$B$996,Insumos!$D$1:$D$996),"")</f>
        <v/>
      </c>
      <c r="H1483" s="92" t="n">
        <v>2.171587</v>
      </c>
      <c r="I1483" s="2162" t="n">
        <v>0</v>
      </c>
      <c r="J1483" s="2162" t="n">
        <v>0</v>
      </c>
      <c r="K1483" s="2162" t="n"/>
    </row>
    <row r="1484" outlineLevel="3" ht="15.75" customHeight="1">
      <c r="A1484" s="10" t="n">
        <v>97</v>
      </c>
      <c r="B1484" s="10" t="inlineStr">
        <is>
          <t>Insumo</t>
        </is>
      </c>
      <c r="C1484" s="10" t="inlineStr">
        <is>
          <t>TP732-E 150 mm - 3 PLACAS (Cim10 entre) - 15,00cm</t>
        </is>
      </c>
      <c r="D1484" s="10" t="inlineStr">
        <is>
          <t>PARAFUSO DRY WALL, EM ACO FOSFATIZADO, CABECA TROMBETA E PONTA AGULHA (TA), COMPRIMENTO 25 MM</t>
        </is>
      </c>
      <c r="E1484" s="11">
        <f t="array" ref="E1484">_xlfn.XLOOKUP(D1484,Insumos!B:B,Insumos!C:$C)</f>
        <v/>
      </c>
      <c r="F1484" s="14" t="n">
        <v>10.0934</v>
      </c>
      <c r="G1484" s="92">
        <f t="array" ref="G1484">IF(B1484="insumo",_xlfn.XLOOKUP($D1484,Insumos!$B$1:$B$996,Insumos!$D$1:$D$996),"")</f>
        <v/>
      </c>
      <c r="H1484" s="92" t="n">
        <v>0.908406</v>
      </c>
      <c r="I1484" s="2162" t="n">
        <v>0</v>
      </c>
      <c r="J1484" s="2162" t="n">
        <v>0</v>
      </c>
      <c r="K1484" s="2162" t="n"/>
    </row>
    <row r="1485" outlineLevel="3" ht="15.75" customHeight="1">
      <c r="A1485" s="10" t="n">
        <v>95</v>
      </c>
      <c r="B1485" s="10" t="inlineStr">
        <is>
          <t>Insumo</t>
        </is>
      </c>
      <c r="C1485" s="10" t="inlineStr">
        <is>
          <t>TP732-E 150 mm - 3 PLACAS (Cim10 entre) - 15,00cm</t>
        </is>
      </c>
      <c r="D1485" s="10" t="inlineStr">
        <is>
          <t>PARAFUSO DRY WALL, EM ACO ZINCADO, CABECA LENTILHA E PONTA BROCA (LB), LARGURA 4,2 MM, COMPRIMENTO 13 MM</t>
        </is>
      </c>
      <c r="E1485" s="11">
        <f t="array" ref="E1485">_xlfn.XLOOKUP(D1485,Insumos!B:B,Insumos!C:$C)</f>
        <v/>
      </c>
      <c r="F1485" s="14" t="n">
        <v>0.27205</v>
      </c>
      <c r="G1485" s="92">
        <f t="array" ref="G1485">IF(B1485="insumo",_xlfn.XLOOKUP($D1485,Insumos!$B$1:$B$996,Insumos!$D$1:$D$996),"")</f>
        <v/>
      </c>
      <c r="H1485" s="92" t="n">
        <v>0.05441</v>
      </c>
      <c r="I1485" s="2162" t="n">
        <v>0</v>
      </c>
      <c r="J1485" s="2162" t="n">
        <v>0</v>
      </c>
      <c r="K1485" s="2162" t="n"/>
    </row>
    <row r="1486" outlineLevel="2" ht="15.75" customHeight="1">
      <c r="A1486" s="1067" t="n">
        <v>1</v>
      </c>
      <c r="B1486" s="1067" t="inlineStr">
        <is>
          <t>Serviço</t>
        </is>
      </c>
      <c r="C1486" s="1067" t="inlineStr">
        <is>
          <t>TP734-E  162,5 mm - 2 PLACAS (Hu + Cim10) - 16,25cm</t>
        </is>
      </c>
      <c r="D1486" s="1067" t="inlineStr">
        <is>
          <t>TP734-E  162,5 mm - 2 PLACAS (Hu + Cim10) - 16,25cm</t>
        </is>
      </c>
      <c r="E1486" s="1068" t="inlineStr">
        <is>
          <t>M2</t>
        </is>
      </c>
      <c r="F1486" s="1067" t="n"/>
      <c r="G1486" s="1069">
        <f t="array" ref="G1486">IF(B1486="insumo",_xlfn.XLOOKUP($D1486,Insumos!$B$1:$B$996,Insumos!$D$1:$D$996),"")</f>
        <v/>
      </c>
      <c r="H1486" s="1069" t="n">
        <v>264.172236166667</v>
      </c>
      <c r="I1486" s="2161" t="n">
        <v>0</v>
      </c>
      <c r="J1486" s="2161" t="n">
        <v>0</v>
      </c>
      <c r="K1486" s="2161" t="n"/>
    </row>
    <row r="1487" outlineLevel="3" ht="15.75" customHeight="1">
      <c r="A1487" s="10" t="n">
        <v>86</v>
      </c>
      <c r="B1487" s="10" t="inlineStr">
        <is>
          <t>Insumo</t>
        </is>
      </c>
      <c r="C1487" s="10" t="inlineStr">
        <is>
          <t>TP734-E  162,5 mm - 2 PLACAS (Hu + Cim10) - 16,25cm</t>
        </is>
      </c>
      <c r="D1487" s="10" t="inlineStr">
        <is>
          <t>SERVICO - CONFECCAO SHAFT GESSO</t>
        </is>
      </c>
      <c r="E1487" s="11">
        <f t="array" ref="E1487">_xlfn.XLOOKUP(D1487,Insumos!B:B,Insumos!C:$C)</f>
        <v/>
      </c>
      <c r="F1487" s="14" t="n">
        <v>1</v>
      </c>
      <c r="G1487" s="92">
        <f t="array" ref="G1487">IF(B1487="insumo",_xlfn.XLOOKUP($D1487,Insumos!$B$1:$B$996,Insumos!$D$1:$D$996),"")</f>
        <v/>
      </c>
      <c r="H1487" s="92" t="n">
        <v>70</v>
      </c>
      <c r="I1487" s="2162" t="n">
        <v>0</v>
      </c>
      <c r="J1487" s="2162" t="n">
        <v>0</v>
      </c>
      <c r="K1487" s="2162" t="n"/>
    </row>
    <row r="1488" outlineLevel="3" ht="15.75" customHeight="1">
      <c r="A1488" s="10" t="n">
        <v>3</v>
      </c>
      <c r="B1488" s="10" t="inlineStr">
        <is>
          <t>Insumo</t>
        </is>
      </c>
      <c r="C1488" s="10" t="inlineStr">
        <is>
          <t>TP734-E  162,5 mm - 2 PLACAS (Hu + Cim10) - 16,25cm</t>
        </is>
      </c>
      <c r="D1488" s="10" t="inlineStr">
        <is>
          <t>CHAPA DE GESSO PARA DRYWALL PLACO - KNAUF (RU) VERDE 12,5MM X 1,20M X 1,80M</t>
        </is>
      </c>
      <c r="E1488" s="11">
        <f t="array" ref="E1488">_xlfn.XLOOKUP(D1488,Insumos!B:B,Insumos!C:$C)</f>
        <v/>
      </c>
      <c r="F1488" s="14">
        <f>1.053*1</f>
        <v/>
      </c>
      <c r="G1488" s="92">
        <f t="array" ref="G1488">IF(B1488="insumo",_xlfn.XLOOKUP($D1488,Insumos!$B$1:$B$996,Insumos!$D$1:$D$996),"")</f>
        <v/>
      </c>
      <c r="H1488" s="92" t="n">
        <v>32.2876125</v>
      </c>
      <c r="I1488" s="2162" t="n">
        <v>0</v>
      </c>
      <c r="J1488" s="2162" t="n">
        <v>0</v>
      </c>
      <c r="K1488" s="2162" t="n"/>
    </row>
    <row r="1489" outlineLevel="3" ht="15.75" customHeight="1">
      <c r="A1489" s="10" t="n">
        <v>11</v>
      </c>
      <c r="B1489" s="10" t="inlineStr">
        <is>
          <t>Insumo</t>
        </is>
      </c>
      <c r="C1489" s="10" t="inlineStr">
        <is>
          <t>TP734-E  162,5 mm - 2 PLACAS (Hu + Cim10) - 16,25cm</t>
        </is>
      </c>
      <c r="D1489" s="10" t="inlineStr">
        <is>
          <t>PLACA CIMENTÍCIA(CT) PARA STEEL FRAME BRASILIT-ETERNIT 8MM X 1,20M X 2,40M</t>
        </is>
      </c>
      <c r="E1489" s="11">
        <f t="array" ref="E1489">_xlfn.XLOOKUP(D1489,Insumos!B:B,Insumos!C:$C)</f>
        <v/>
      </c>
      <c r="F1489" s="14" t="n">
        <v>1.106</v>
      </c>
      <c r="G1489" s="92">
        <f t="array" ref="G1489">IF(B1489="insumo",_xlfn.XLOOKUP($D1489,Insumos!$B$1:$B$996,Insumos!$D$1:$D$996),"")</f>
        <v/>
      </c>
      <c r="H1489" s="92" t="n">
        <v>33.2790791666667</v>
      </c>
      <c r="I1489" s="2162" t="n">
        <v>0</v>
      </c>
      <c r="J1489" s="2162" t="n">
        <v>0</v>
      </c>
      <c r="K1489" s="2162" t="n"/>
    </row>
    <row r="1490" outlineLevel="3" ht="15.75" customHeight="1">
      <c r="A1490" s="10" t="n">
        <v>95</v>
      </c>
      <c r="B1490" s="10" t="inlineStr">
        <is>
          <t>Insumo</t>
        </is>
      </c>
      <c r="C1490" s="10" t="inlineStr">
        <is>
          <t>TP734-E  162,5 mm - 2 PLACAS (Hu + Cim10) - 16,25cm</t>
        </is>
      </c>
      <c r="D1490" s="10" t="inlineStr">
        <is>
          <t>PINO DE ACO COM ARRUELA CONICA, DIAMETRO ARRUELA = *23* MM E COMP HASTE = *27* MM (ACAO INDIRETA)</t>
        </is>
      </c>
      <c r="E1490" s="11">
        <f t="array" ref="E1490">_xlfn.XLOOKUP(D1490,Insumos!B:B,Insumos!C:$C)</f>
        <v/>
      </c>
      <c r="F1490" s="14" t="n">
        <v>5.92</v>
      </c>
      <c r="G1490" s="92">
        <f t="array" ref="G1490">IF(B1490="insumo",_xlfn.XLOOKUP($D1490,Insumos!$B$1:$B$996,Insumos!$D$1:$D$996),"")</f>
        <v/>
      </c>
      <c r="H1490" s="92" t="n">
        <v>2.98368</v>
      </c>
      <c r="I1490" s="2162" t="n">
        <v>0</v>
      </c>
      <c r="J1490" s="2162" t="n">
        <v>0</v>
      </c>
      <c r="K1490" s="2162" t="n"/>
    </row>
    <row r="1491" outlineLevel="3" ht="15.75" customHeight="1">
      <c r="A1491" s="10" t="n">
        <v>43</v>
      </c>
      <c r="B1491" s="10" t="inlineStr">
        <is>
          <t>Insumo</t>
        </is>
      </c>
      <c r="C1491" s="10" t="inlineStr">
        <is>
          <t>TP734-E  162,5 mm - 2 PLACAS (Hu + Cim10) - 16,25cm</t>
        </is>
      </c>
      <c r="D1491" s="10" t="inlineStr">
        <is>
          <t>PERFIL GUIA, FORMATO U, EM ACO ZINCADO, PARA ESTRUTURA PAREDE DRYWALL, E = 0,5 MM, 70 X 3000 MM (L X C)</t>
        </is>
      </c>
      <c r="E1491" s="11">
        <f t="array" ref="E1491">_xlfn.XLOOKUP(D1491,Insumos!B:B,Insumos!C:$C)</f>
        <v/>
      </c>
      <c r="F1491" s="14">
        <f>1.8234*2</f>
        <v/>
      </c>
      <c r="G1491" s="92">
        <f t="array" ref="G1491">IF(B1491="insumo",_xlfn.XLOOKUP($D1491,Insumos!$B$1:$B$996,Insumos!$D$1:$D$996),"")</f>
        <v/>
      </c>
      <c r="H1491" s="92" t="n">
        <v>27.205128</v>
      </c>
      <c r="I1491" s="2162" t="n">
        <v>0</v>
      </c>
      <c r="J1491" s="2162" t="n">
        <v>0</v>
      </c>
      <c r="K1491" s="2162" t="n"/>
    </row>
    <row r="1492" outlineLevel="3" ht="15.75" customHeight="1">
      <c r="A1492" s="10" t="n">
        <v>43</v>
      </c>
      <c r="B1492" s="10" t="inlineStr">
        <is>
          <t>Insumo</t>
        </is>
      </c>
      <c r="C1492" s="10" t="inlineStr">
        <is>
          <t>TP734-E  162,5 mm - 2 PLACAS (Hu + Cim10) - 16,25cm</t>
        </is>
      </c>
      <c r="D1492" s="10" t="inlineStr">
        <is>
          <t>PERFIL MONTANTE, FORMATO C, EM ACO ZINCADO, PARA ESTRUTURA PAREDE DRYWALL, E = 0,5 MM, 70 X 3000 MM (L X C)</t>
        </is>
      </c>
      <c r="E1492" s="11">
        <f t="array" ref="E1492">_xlfn.XLOOKUP(D1492,Insumos!B:B,Insumos!C:$C)</f>
        <v/>
      </c>
      <c r="F1492" s="14">
        <f>5.8278*2</f>
        <v/>
      </c>
      <c r="G1492" s="92">
        <f t="array" ref="G1492">IF(B1492="insumo",_xlfn.XLOOKUP($D1492,Insumos!$B$1:$B$996,Insumos!$D$1:$D$996),"")</f>
        <v/>
      </c>
      <c r="H1492" s="92" t="n">
        <v>93.01168800000001</v>
      </c>
      <c r="I1492" s="2162" t="n">
        <v>0</v>
      </c>
      <c r="J1492" s="2162" t="n">
        <v>0</v>
      </c>
      <c r="K1492" s="2162" t="n"/>
    </row>
    <row r="1493" outlineLevel="3" ht="15.75" customHeight="1">
      <c r="A1493" s="10" t="n">
        <v>95</v>
      </c>
      <c r="B1493" s="10" t="inlineStr">
        <is>
          <t>Insumo</t>
        </is>
      </c>
      <c r="C1493" s="10" t="inlineStr">
        <is>
          <t>TP734-E  162,5 mm - 2 PLACAS (Hu + Cim10) - 16,25cm</t>
        </is>
      </c>
      <c r="D1493" s="10" t="inlineStr">
        <is>
          <t>MASSA DE REJUNTE EM PO PARA DRYWALL, A BASE DE GESSO, SECAGEM RAPIDA, PARA TRATAMENTO DE JUNTAS DE CHAPA DE GESSO (NECESSITA ADICAO DE AGUA)</t>
        </is>
      </c>
      <c r="E1493" s="11">
        <f t="array" ref="E1493">_xlfn.XLOOKUP(D1493,Insumos!B:B,Insumos!C:$C)</f>
        <v/>
      </c>
      <c r="F1493" s="14" t="n">
        <v>0.5489000000000001</v>
      </c>
      <c r="G1493" s="92">
        <f t="array" ref="G1493">IF(B1493="insumo",_xlfn.XLOOKUP($D1493,Insumos!$B$1:$B$996,Insumos!$D$1:$D$996),"")</f>
        <v/>
      </c>
      <c r="H1493" s="92" t="n">
        <v>1.882727</v>
      </c>
      <c r="I1493" s="2162" t="n">
        <v>0</v>
      </c>
      <c r="J1493" s="2162" t="n">
        <v>0</v>
      </c>
      <c r="K1493" s="2162" t="n"/>
    </row>
    <row r="1494" outlineLevel="3" ht="15.75" customHeight="1">
      <c r="A1494" s="10" t="n">
        <v>94</v>
      </c>
      <c r="B1494" s="10" t="inlineStr">
        <is>
          <t>Insumo</t>
        </is>
      </c>
      <c r="C1494" s="10" t="inlineStr">
        <is>
          <t>TP734-E  162,5 mm - 2 PLACAS (Hu + Cim10) - 16,25cm</t>
        </is>
      </c>
      <c r="D1494" s="10" t="inlineStr">
        <is>
          <t>FITA DE PAPEL MICROPERFURADO, 50 X 150 MM, PARA TRATAMENTO DE JUNTAS DE CHAPA DE GESSO PARA DRYWALL</t>
        </is>
      </c>
      <c r="E1494" s="11">
        <f t="array" ref="E1494">_xlfn.XLOOKUP(D1494,Insumos!B:B,Insumos!C:$C)</f>
        <v/>
      </c>
      <c r="F1494" s="14" t="n">
        <v>1.25135</v>
      </c>
      <c r="G1494" s="92">
        <f t="array" ref="G1494">IF(B1494="insumo",_xlfn.XLOOKUP($D1494,Insumos!$B$1:$B$996,Insumos!$D$1:$D$996),"")</f>
        <v/>
      </c>
      <c r="H1494" s="92" t="n">
        <v>0.3879185</v>
      </c>
      <c r="I1494" s="2162" t="n">
        <v>0</v>
      </c>
      <c r="J1494" s="2162" t="n">
        <v>0</v>
      </c>
      <c r="K1494" s="2162" t="n"/>
    </row>
    <row r="1495" outlineLevel="3" ht="15.75" customHeight="1">
      <c r="A1495" s="10" t="n">
        <v>94</v>
      </c>
      <c r="B1495" s="10" t="inlineStr">
        <is>
          <t>Insumo</t>
        </is>
      </c>
      <c r="C1495" s="10" t="inlineStr">
        <is>
          <t>TP734-E  162,5 mm - 2 PLACAS (Hu + Cim10) - 16,25cm</t>
        </is>
      </c>
      <c r="D1495" s="10" t="inlineStr">
        <is>
          <t>FITA DE PAPEL REFORCADA COM LAMINA DE METAL PARA REFORCO DE CANTOS DE CHAPA DE GESSO PARA DRYWALL</t>
        </is>
      </c>
      <c r="E1495" s="11">
        <f t="array" ref="E1495">_xlfn.XLOOKUP(D1495,Insumos!B:B,Insumos!C:$C)</f>
        <v/>
      </c>
      <c r="F1495" s="14" t="n">
        <v>0.79255</v>
      </c>
      <c r="G1495" s="92">
        <f t="array" ref="G1495">IF(B1495="insumo",_xlfn.XLOOKUP($D1495,Insumos!$B$1:$B$996,Insumos!$D$1:$D$996),"")</f>
        <v/>
      </c>
      <c r="H1495" s="92" t="n">
        <v>2.171587</v>
      </c>
      <c r="I1495" s="2162" t="n">
        <v>0</v>
      </c>
      <c r="J1495" s="2162" t="n">
        <v>0</v>
      </c>
      <c r="K1495" s="2162" t="n"/>
    </row>
    <row r="1496" outlineLevel="3" ht="15.75" customHeight="1">
      <c r="A1496" s="10" t="n">
        <v>97</v>
      </c>
      <c r="B1496" s="10" t="inlineStr">
        <is>
          <t>Insumo</t>
        </is>
      </c>
      <c r="C1496" s="10" t="inlineStr">
        <is>
          <t>TP734-E  162,5 mm - 2 PLACAS (Hu + Cim10) - 16,25cm</t>
        </is>
      </c>
      <c r="D1496" s="10" t="inlineStr">
        <is>
          <t>PARAFUSO DRY WALL, EM ACO FOSFATIZADO, CABECA TROMBETA E PONTA AGULHA (TA), COMPRIMENTO 25 MM</t>
        </is>
      </c>
      <c r="E1496" s="11">
        <f t="array" ref="E1496">_xlfn.XLOOKUP(D1496,Insumos!B:B,Insumos!C:$C)</f>
        <v/>
      </c>
      <c r="F1496" s="14" t="n">
        <v>10.0934</v>
      </c>
      <c r="G1496" s="92">
        <f t="array" ref="G1496">IF(B1496="insumo",_xlfn.XLOOKUP($D1496,Insumos!$B$1:$B$996,Insumos!$D$1:$D$996),"")</f>
        <v/>
      </c>
      <c r="H1496" s="92" t="n">
        <v>0.908406</v>
      </c>
      <c r="I1496" s="2162" t="n">
        <v>0</v>
      </c>
      <c r="J1496" s="2162" t="n">
        <v>0</v>
      </c>
      <c r="K1496" s="2162" t="n"/>
    </row>
    <row r="1497" outlineLevel="3" ht="15.75" customHeight="1">
      <c r="A1497" s="10" t="n">
        <v>95</v>
      </c>
      <c r="B1497" s="10" t="inlineStr">
        <is>
          <t>Insumo</t>
        </is>
      </c>
      <c r="C1497" s="10" t="inlineStr">
        <is>
          <t>TP734-E  162,5 mm - 2 PLACAS (Hu + Cim10) - 16,25cm</t>
        </is>
      </c>
      <c r="D1497" s="10" t="inlineStr">
        <is>
          <t>PARAFUSO DRY WALL, EM ACO ZINCADO, CABECA LENTILHA E PONTA BROCA (LB), LARGURA 4,2 MM, COMPRIMENTO 13 MM</t>
        </is>
      </c>
      <c r="E1497" s="11">
        <f t="array" ref="E1497">_xlfn.XLOOKUP(D1497,Insumos!B:B,Insumos!C:$C)</f>
        <v/>
      </c>
      <c r="F1497" s="14" t="n">
        <v>0.27205</v>
      </c>
      <c r="G1497" s="92">
        <f t="array" ref="G1497">IF(B1497="insumo",_xlfn.XLOOKUP($D1497,Insumos!$B$1:$B$996,Insumos!$D$1:$D$996),"")</f>
        <v/>
      </c>
      <c r="H1497" s="92" t="n">
        <v>0.05441</v>
      </c>
      <c r="I1497" s="2162" t="n">
        <v>0</v>
      </c>
      <c r="J1497" s="2162" t="n">
        <v>0</v>
      </c>
      <c r="K1497" s="2162" t="n"/>
    </row>
    <row r="1498" outlineLevel="2" ht="14.25" customHeight="1">
      <c r="A1498" s="1067" t="n">
        <v>1</v>
      </c>
      <c r="B1498" s="1067" t="inlineStr">
        <is>
          <t>Serviço</t>
        </is>
      </c>
      <c r="C1498" s="1067" t="inlineStr">
        <is>
          <t>TP673 175 mm - 3 PLACAS (Hd/Hu + Cim10) - 17,50cm</t>
        </is>
      </c>
      <c r="D1498" s="1067" t="inlineStr">
        <is>
          <t>TP673 175 mm - 3 PLACAS (Hd/Hu + Cim10) - 17,50cm</t>
        </is>
      </c>
      <c r="E1498" s="1068" t="inlineStr">
        <is>
          <t>M2</t>
        </is>
      </c>
      <c r="F1498" s="1067" t="n"/>
      <c r="G1498" s="1069">
        <f t="array" ref="G1498">IF(B1498="insumo",_xlfn.XLOOKUP($D1498,Insumos!$B$1:$B$996,Insumos!$D$1:$D$996),"")</f>
        <v/>
      </c>
      <c r="H1498" s="1069" t="n">
        <v>452.492188666667</v>
      </c>
      <c r="I1498" s="2161" t="n">
        <v>0</v>
      </c>
      <c r="J1498" s="2161" t="n">
        <v>0</v>
      </c>
      <c r="K1498" s="2161" t="n"/>
    </row>
    <row r="1499" outlineLevel="3" ht="15.75" customHeight="1">
      <c r="A1499" s="10" t="n">
        <v>86</v>
      </c>
      <c r="B1499" s="10" t="inlineStr">
        <is>
          <t>Insumo</t>
        </is>
      </c>
      <c r="C1499" s="10" t="inlineStr">
        <is>
          <t>TP673 175 mm - 3 PLACAS (Hd/Hu + Cim10) - 17,50cm</t>
        </is>
      </c>
      <c r="D1499" s="10" t="inlineStr">
        <is>
          <t>SERVICO - CONFECCAO SHAFT GESSO</t>
        </is>
      </c>
      <c r="E1499" s="11">
        <f t="array" ref="E1499">_xlfn.XLOOKUP(D1499,Insumos!B:B,Insumos!C:$C)</f>
        <v/>
      </c>
      <c r="F1499" s="14" t="n">
        <v>1</v>
      </c>
      <c r="G1499" s="92">
        <f t="array" ref="G1499">IF(B1499="insumo",_xlfn.XLOOKUP($D1499,Insumos!$B$1:$B$996,Insumos!$D$1:$D$996),"")</f>
        <v/>
      </c>
      <c r="H1499" s="92" t="n">
        <v>70</v>
      </c>
      <c r="I1499" s="2162" t="n">
        <v>0</v>
      </c>
      <c r="J1499" s="2162" t="n">
        <v>0</v>
      </c>
      <c r="K1499" s="2162" t="n"/>
    </row>
    <row r="1500" outlineLevel="3" ht="15.75" customHeight="1">
      <c r="A1500" s="10" t="n">
        <v>3</v>
      </c>
      <c r="B1500" s="10" t="inlineStr">
        <is>
          <t>Insumo</t>
        </is>
      </c>
      <c r="C1500" s="10" t="inlineStr">
        <is>
          <t>TP673 175 mm - 3 PLACAS (Hd/Hu + Cim10) - 17,50cm</t>
        </is>
      </c>
      <c r="D1500" s="10" t="inlineStr">
        <is>
          <t>CHAPA DE GESSO PARA DRYWALL PLACO - KNAUF (RU) VERDE 12,5MM X 1,20M X 1,80M</t>
        </is>
      </c>
      <c r="E1500" s="11">
        <f t="array" ref="E1500">_xlfn.XLOOKUP(D1500,Insumos!B:B,Insumos!C:$C)</f>
        <v/>
      </c>
      <c r="F1500" s="14">
        <f>1.053*1</f>
        <v/>
      </c>
      <c r="G1500" s="92">
        <f t="array" ref="G1500">IF(B1500="insumo",_xlfn.XLOOKUP($D1500,Insumos!$B$1:$B$996,Insumos!$D$1:$D$996),"")</f>
        <v/>
      </c>
      <c r="H1500" s="92" t="n">
        <v>32.2876125</v>
      </c>
      <c r="I1500" s="2162" t="n">
        <v>0</v>
      </c>
      <c r="J1500" s="2162" t="n">
        <v>0</v>
      </c>
      <c r="K1500" s="2162" t="n"/>
    </row>
    <row r="1501" outlineLevel="3" ht="15.75" customHeight="1">
      <c r="A1501" s="10" t="n">
        <v>2</v>
      </c>
      <c r="B1501" s="10" t="inlineStr">
        <is>
          <t>Insumo</t>
        </is>
      </c>
      <c r="C1501" s="10" t="inlineStr">
        <is>
          <t>TP673 175 mm - 3 PLACAS (Hd/Hu + Cim10) - 17,50cm</t>
        </is>
      </c>
      <c r="D1501" s="10" t="inlineStr">
        <is>
          <t>CHAPA DE GESSO PARA DRYWALL PLACO - KNAUF (HD) HARDBOARD 12,5MM X 1,20M X 1,80M</t>
        </is>
      </c>
      <c r="E1501" s="11">
        <f t="array" ref="E1501">_xlfn.XLOOKUP(D1501,Insumos!B:B,Insumos!C:$C)</f>
        <v/>
      </c>
      <c r="F1501" s="14">
        <f>1.053*1</f>
        <v/>
      </c>
      <c r="G1501" s="92">
        <f t="array" ref="G1501">IF(B1501="insumo",_xlfn.XLOOKUP($D1501,Insumos!$B$1:$B$996,Insumos!$D$1:$D$996),"")</f>
        <v/>
      </c>
      <c r="H1501" s="92" t="n">
        <v>66.1786125</v>
      </c>
      <c r="I1501" s="2162" t="n">
        <v>0</v>
      </c>
      <c r="J1501" s="2162" t="n">
        <v>0</v>
      </c>
      <c r="K1501" s="2162" t="n"/>
    </row>
    <row r="1502" outlineLevel="3" ht="15.75" customHeight="1">
      <c r="A1502" s="10" t="n">
        <v>11</v>
      </c>
      <c r="B1502" s="10" t="inlineStr">
        <is>
          <t>Insumo</t>
        </is>
      </c>
      <c r="C1502" s="10" t="inlineStr">
        <is>
          <t>TP673 175 mm - 3 PLACAS (Hd/Hu + Cim10) - 17,50cm</t>
        </is>
      </c>
      <c r="D1502" s="10" t="inlineStr">
        <is>
          <t>PLACA CIMENTÍCIA(CT) PARA STEEL FRAME BRASILIT-ETERNIT 8MM X 1,20M X 2,40M</t>
        </is>
      </c>
      <c r="E1502" s="11">
        <f t="array" ref="E1502">_xlfn.XLOOKUP(D1502,Insumos!B:B,Insumos!C:$C)</f>
        <v/>
      </c>
      <c r="F1502" s="14" t="n">
        <v>1.106</v>
      </c>
      <c r="G1502" s="92">
        <f t="array" ref="G1502">IF(B1502="insumo",_xlfn.XLOOKUP($D1502,Insumos!$B$1:$B$996,Insumos!$D$1:$D$996),"")</f>
        <v/>
      </c>
      <c r="H1502" s="92" t="n">
        <v>33.2790791666667</v>
      </c>
      <c r="I1502" s="2162" t="n">
        <v>0</v>
      </c>
      <c r="J1502" s="2162" t="n">
        <v>0</v>
      </c>
      <c r="K1502" s="2162" t="n"/>
    </row>
    <row r="1503" outlineLevel="3" ht="15.75" customHeight="1">
      <c r="A1503" s="10" t="n">
        <v>95</v>
      </c>
      <c r="B1503" s="10" t="inlineStr">
        <is>
          <t>Insumo</t>
        </is>
      </c>
      <c r="C1503" s="10" t="inlineStr">
        <is>
          <t>TP673 175 mm - 3 PLACAS (Hd/Hu + Cim10) - 17,50cm</t>
        </is>
      </c>
      <c r="D1503" s="10" t="inlineStr">
        <is>
          <t>PINO DE ACO COM ARRUELA CONICA, DIAMETRO ARRUELA = *23* MM E COMP HASTE = *27* MM (ACAO INDIRETA)</t>
        </is>
      </c>
      <c r="E1503" s="11">
        <f t="array" ref="E1503">_xlfn.XLOOKUP(D1503,Insumos!B:B,Insumos!C:$C)</f>
        <v/>
      </c>
      <c r="F1503" s="14" t="n">
        <v>5.92</v>
      </c>
      <c r="G1503" s="92">
        <f t="array" ref="G1503">IF(B1503="insumo",_xlfn.XLOOKUP($D1503,Insumos!$B$1:$B$996,Insumos!$D$1:$D$996),"")</f>
        <v/>
      </c>
      <c r="H1503" s="92" t="n">
        <v>2.98368</v>
      </c>
      <c r="I1503" s="2162" t="n">
        <v>0</v>
      </c>
      <c r="J1503" s="2162" t="n">
        <v>0</v>
      </c>
      <c r="K1503" s="2162" t="n"/>
    </row>
    <row r="1504" outlineLevel="3" ht="15.75" customHeight="1">
      <c r="A1504" s="10" t="n">
        <v>26</v>
      </c>
      <c r="B1504" s="10" t="inlineStr">
        <is>
          <t>Insumo</t>
        </is>
      </c>
      <c r="C1504" s="10" t="inlineStr">
        <is>
          <t>TP673 175 mm - 3 PLACAS (Hd/Hu + Cim10) - 17,50cm</t>
        </is>
      </c>
      <c r="D1504" s="10" t="inlineStr">
        <is>
          <t>PERFIL GUIA, FORMATO U, EM ACO ZINCADO, PARA ESTRUTURA PAREDE DRYWALL, E = 0,5 MM, 90 X 3000 MM (L X C)</t>
        </is>
      </c>
      <c r="E1504" s="11">
        <f t="array" ref="E1504">_xlfn.XLOOKUP(D1504,Insumos!B:B,Insumos!C:$C)</f>
        <v/>
      </c>
      <c r="F1504" s="14">
        <f>1.8234*2</f>
        <v/>
      </c>
      <c r="G1504" s="92">
        <f t="array" ref="G1504">IF(B1504="insumo",_xlfn.XLOOKUP($D1504,Insumos!$B$1:$B$996,Insumos!$D$1:$D$996),"")</f>
        <v/>
      </c>
      <c r="H1504" s="92" t="n">
        <v>31.508352</v>
      </c>
      <c r="I1504" s="2162" t="n">
        <v>0</v>
      </c>
      <c r="J1504" s="2162" t="n">
        <v>0</v>
      </c>
      <c r="K1504" s="2162" t="n"/>
    </row>
    <row r="1505" outlineLevel="3" ht="15.75" customHeight="1">
      <c r="A1505" s="10" t="n">
        <v>26</v>
      </c>
      <c r="B1505" s="10" t="inlineStr">
        <is>
          <t>Insumo</t>
        </is>
      </c>
      <c r="C1505" s="10" t="inlineStr">
        <is>
          <t>TP673 175 mm - 3 PLACAS (Hd/Hu + Cim10) - 17,50cm</t>
        </is>
      </c>
      <c r="D1505" s="10" t="inlineStr">
        <is>
          <t>PERFIL MONTANTE, FORMATO C, EM ACO ZINCADO, PARA ESTRUTURA PAREDE DRYWALL, E = 0,5 MM, 90 X 3000 MM (L X C)</t>
        </is>
      </c>
      <c r="E1505" s="11">
        <f t="array" ref="E1505">_xlfn.XLOOKUP(D1505,Insumos!B:B,Insumos!C:$C)</f>
        <v/>
      </c>
      <c r="F1505" s="14">
        <f>5.8278*2</f>
        <v/>
      </c>
      <c r="G1505" s="92">
        <f t="array" ref="G1505">IF(B1505="insumo",_xlfn.XLOOKUP($D1505,Insumos!$B$1:$B$996,Insumos!$D$1:$D$996),"")</f>
        <v/>
      </c>
      <c r="H1505" s="92" t="n">
        <v>210.849804</v>
      </c>
      <c r="I1505" s="2162" t="n">
        <v>0</v>
      </c>
      <c r="J1505" s="2162" t="n">
        <v>0</v>
      </c>
      <c r="K1505" s="2162" t="n"/>
    </row>
    <row r="1506" outlineLevel="3" ht="15.75" customHeight="1">
      <c r="A1506" s="10" t="n">
        <v>95</v>
      </c>
      <c r="B1506" s="10" t="inlineStr">
        <is>
          <t>Insumo</t>
        </is>
      </c>
      <c r="C1506" s="10" t="inlineStr">
        <is>
          <t>TP673 175 mm - 3 PLACAS (Hd/Hu + Cim10) - 17,50cm</t>
        </is>
      </c>
      <c r="D1506" s="10" t="inlineStr">
        <is>
          <t>MASSA DE REJUNTE EM PO PARA DRYWALL, A BASE DE GESSO, SECAGEM RAPIDA, PARA TRATAMENTO DE JUNTAS DE CHAPA DE GESSO (NECESSITA ADICAO DE AGUA)</t>
        </is>
      </c>
      <c r="E1506" s="11">
        <f t="array" ref="E1506">_xlfn.XLOOKUP(D1506,Insumos!B:B,Insumos!C:$C)</f>
        <v/>
      </c>
      <c r="F1506" s="14" t="n">
        <v>0.5489000000000001</v>
      </c>
      <c r="G1506" s="92">
        <f t="array" ref="G1506">IF(B1506="insumo",_xlfn.XLOOKUP($D1506,Insumos!$B$1:$B$996,Insumos!$D$1:$D$996),"")</f>
        <v/>
      </c>
      <c r="H1506" s="92" t="n">
        <v>1.882727</v>
      </c>
      <c r="I1506" s="2162" t="n">
        <v>0</v>
      </c>
      <c r="J1506" s="2162" t="n">
        <v>0</v>
      </c>
      <c r="K1506" s="2162" t="n"/>
    </row>
    <row r="1507" outlineLevel="3" ht="15.75" customHeight="1">
      <c r="A1507" s="10" t="n">
        <v>94</v>
      </c>
      <c r="B1507" s="10" t="inlineStr">
        <is>
          <t>Insumo</t>
        </is>
      </c>
      <c r="C1507" s="10" t="inlineStr">
        <is>
          <t>TP673 175 mm - 3 PLACAS (Hd/Hu + Cim10) - 17,50cm</t>
        </is>
      </c>
      <c r="D1507" s="10" t="inlineStr">
        <is>
          <t>FITA DE PAPEL MICROPERFURADO, 50 X 150 MM, PARA TRATAMENTO DE JUNTAS DE CHAPA DE GESSO PARA DRYWALL</t>
        </is>
      </c>
      <c r="E1507" s="11">
        <f t="array" ref="E1507">_xlfn.XLOOKUP(D1507,Insumos!B:B,Insumos!C:$C)</f>
        <v/>
      </c>
      <c r="F1507" s="14" t="n">
        <v>1.25135</v>
      </c>
      <c r="G1507" s="92">
        <f t="array" ref="G1507">IF(B1507="insumo",_xlfn.XLOOKUP($D1507,Insumos!$B$1:$B$996,Insumos!$D$1:$D$996),"")</f>
        <v/>
      </c>
      <c r="H1507" s="92" t="n">
        <v>0.3879185</v>
      </c>
      <c r="I1507" s="2162" t="n">
        <v>0</v>
      </c>
      <c r="J1507" s="2162" t="n">
        <v>0</v>
      </c>
      <c r="K1507" s="2162" t="n"/>
    </row>
    <row r="1508" outlineLevel="3" ht="15.75" customHeight="1">
      <c r="A1508" s="10" t="n">
        <v>94</v>
      </c>
      <c r="B1508" s="10" t="inlineStr">
        <is>
          <t>Insumo</t>
        </is>
      </c>
      <c r="C1508" s="10" t="inlineStr">
        <is>
          <t>TP673 175 mm - 3 PLACAS (Hd/Hu + Cim10) - 17,50cm</t>
        </is>
      </c>
      <c r="D1508" s="10" t="inlineStr">
        <is>
          <t>FITA DE PAPEL REFORCADA COM LAMINA DE METAL PARA REFORCO DE CANTOS DE CHAPA DE GESSO PARA DRYWALL</t>
        </is>
      </c>
      <c r="E1508" s="11">
        <f t="array" ref="E1508">_xlfn.XLOOKUP(D1508,Insumos!B:B,Insumos!C:$C)</f>
        <v/>
      </c>
      <c r="F1508" s="14" t="n">
        <v>0.79255</v>
      </c>
      <c r="G1508" s="92">
        <f t="array" ref="G1508">IF(B1508="insumo",_xlfn.XLOOKUP($D1508,Insumos!$B$1:$B$996,Insumos!$D$1:$D$996),"")</f>
        <v/>
      </c>
      <c r="H1508" s="92" t="n">
        <v>2.171587</v>
      </c>
      <c r="I1508" s="2162" t="n">
        <v>0</v>
      </c>
      <c r="J1508" s="2162" t="n">
        <v>0</v>
      </c>
      <c r="K1508" s="2162" t="n"/>
    </row>
    <row r="1509" outlineLevel="3" ht="15.75" customHeight="1">
      <c r="A1509" s="10" t="n">
        <v>97</v>
      </c>
      <c r="B1509" s="10" t="inlineStr">
        <is>
          <t>Insumo</t>
        </is>
      </c>
      <c r="C1509" s="10" t="inlineStr">
        <is>
          <t>TP673 175 mm - 3 PLACAS (Hd/Hu + Cim10) - 17,50cm</t>
        </is>
      </c>
      <c r="D1509" s="10" t="inlineStr">
        <is>
          <t>PARAFUSO DRY WALL, EM ACO FOSFATIZADO, CABECA TROMBETA E PONTA AGULHA (TA), COMPRIMENTO 25 MM</t>
        </is>
      </c>
      <c r="E1509" s="11">
        <f t="array" ref="E1509">_xlfn.XLOOKUP(D1509,Insumos!B:B,Insumos!C:$C)</f>
        <v/>
      </c>
      <c r="F1509" s="14" t="n">
        <v>10.0934</v>
      </c>
      <c r="G1509" s="92">
        <f t="array" ref="G1509">IF(B1509="insumo",_xlfn.XLOOKUP($D1509,Insumos!$B$1:$B$996,Insumos!$D$1:$D$996),"")</f>
        <v/>
      </c>
      <c r="H1509" s="92" t="n">
        <v>0.908406</v>
      </c>
      <c r="I1509" s="2162" t="n">
        <v>0</v>
      </c>
      <c r="J1509" s="2162" t="n">
        <v>0</v>
      </c>
      <c r="K1509" s="2162" t="n"/>
    </row>
    <row r="1510" outlineLevel="3" ht="15.75" customHeight="1">
      <c r="A1510" s="10" t="n">
        <v>95</v>
      </c>
      <c r="B1510" s="10" t="inlineStr">
        <is>
          <t>Insumo</t>
        </is>
      </c>
      <c r="C1510" s="10" t="inlineStr">
        <is>
          <t>TP673 175 mm - 3 PLACAS (Hd/Hu + Cim10) - 17,50cm</t>
        </is>
      </c>
      <c r="D1510" s="10" t="inlineStr">
        <is>
          <t>PARAFUSO DRY WALL, EM ACO ZINCADO, CABECA LENTILHA E PONTA BROCA (LB), LARGURA 4,2 MM, COMPRIMENTO 13 MM</t>
        </is>
      </c>
      <c r="E1510" s="11">
        <f t="array" ref="E1510">_xlfn.XLOOKUP(D1510,Insumos!B:B,Insumos!C:$C)</f>
        <v/>
      </c>
      <c r="F1510" s="14" t="n">
        <v>0.27205</v>
      </c>
      <c r="G1510" s="92">
        <f t="array" ref="G1510">IF(B1510="insumo",_xlfn.XLOOKUP($D1510,Insumos!$B$1:$B$996,Insumos!$D$1:$D$996),"")</f>
        <v/>
      </c>
      <c r="H1510" s="92" t="n">
        <v>0.05441</v>
      </c>
      <c r="I1510" s="2162" t="n">
        <v>0</v>
      </c>
      <c r="J1510" s="2162" t="n">
        <v>0</v>
      </c>
      <c r="K1510" s="2162" t="n"/>
    </row>
    <row r="1511" outlineLevel="2" ht="14.25" customHeight="1">
      <c r="A1511" s="1067" t="n">
        <v>1</v>
      </c>
      <c r="B1511" s="1067" t="inlineStr">
        <is>
          <t>Serviço</t>
        </is>
      </c>
      <c r="C1511" s="1067" t="inlineStr">
        <is>
          <t>TP732-E  175 mm - 3 PLACAS (Hd/Hu + Cim10) - 17,50cm</t>
        </is>
      </c>
      <c r="D1511" s="1067" t="inlineStr">
        <is>
          <t>TP732-E  175 mm - 3 PLACAS (Hd/Hu + Cim10) - 17,50cm</t>
        </is>
      </c>
      <c r="E1511" s="1068" t="inlineStr">
        <is>
          <t>M2</t>
        </is>
      </c>
      <c r="F1511" s="1067" t="n"/>
      <c r="G1511" s="1069">
        <f t="array" ref="G1511">IF(B1511="insumo",_xlfn.XLOOKUP($D1511,Insumos!$B$1:$B$996,Insumos!$D$1:$D$996),"")</f>
        <v/>
      </c>
      <c r="H1511" s="1069" t="n">
        <v>452.492188666667</v>
      </c>
      <c r="I1511" s="2161" t="n">
        <v>0</v>
      </c>
      <c r="J1511" s="2161" t="n">
        <v>0</v>
      </c>
      <c r="K1511" s="2161" t="n"/>
    </row>
    <row r="1512" outlineLevel="3" ht="15.75" customHeight="1">
      <c r="A1512" s="10" t="n">
        <v>86</v>
      </c>
      <c r="B1512" s="10" t="inlineStr">
        <is>
          <t>Insumo</t>
        </is>
      </c>
      <c r="C1512" s="10" t="inlineStr">
        <is>
          <t>TP732-E  175 mm - 3 PLACAS (Hd/Hu + Cim10) - 17,50cm</t>
        </is>
      </c>
      <c r="D1512" s="10" t="inlineStr">
        <is>
          <t>SERVICO - CONFECCAO SHAFT GESSO</t>
        </is>
      </c>
      <c r="E1512" s="11">
        <f t="array" ref="E1512">_xlfn.XLOOKUP(D1512,Insumos!B:B,Insumos!C:$C)</f>
        <v/>
      </c>
      <c r="F1512" s="14" t="n">
        <v>1</v>
      </c>
      <c r="G1512" s="92">
        <f t="array" ref="G1512">IF(B1512="insumo",_xlfn.XLOOKUP($D1512,Insumos!$B$1:$B$996,Insumos!$D$1:$D$996),"")</f>
        <v/>
      </c>
      <c r="H1512" s="92" t="n">
        <v>70</v>
      </c>
      <c r="I1512" s="2162" t="n">
        <v>0</v>
      </c>
      <c r="J1512" s="2162" t="n">
        <v>0</v>
      </c>
      <c r="K1512" s="2162" t="n"/>
    </row>
    <row r="1513" outlineLevel="3" ht="15.75" customHeight="1">
      <c r="A1513" s="10" t="n">
        <v>3</v>
      </c>
      <c r="B1513" s="10" t="inlineStr">
        <is>
          <t>Insumo</t>
        </is>
      </c>
      <c r="C1513" s="10" t="inlineStr">
        <is>
          <t>TP732-E  175 mm - 3 PLACAS (Hd/Hu + Cim10) - 17,50cm</t>
        </is>
      </c>
      <c r="D1513" s="10" t="inlineStr">
        <is>
          <t>CHAPA DE GESSO PARA DRYWALL PLACO - KNAUF (RU) VERDE 12,5MM X 1,20M X 1,80M</t>
        </is>
      </c>
      <c r="E1513" s="11">
        <f t="array" ref="E1513">_xlfn.XLOOKUP(D1513,Insumos!B:B,Insumos!C:$C)</f>
        <v/>
      </c>
      <c r="F1513" s="14">
        <f>1.053*1</f>
        <v/>
      </c>
      <c r="G1513" s="92">
        <f t="array" ref="G1513">IF(B1513="insumo",_xlfn.XLOOKUP($D1513,Insumos!$B$1:$B$996,Insumos!$D$1:$D$996),"")</f>
        <v/>
      </c>
      <c r="H1513" s="92" t="n">
        <v>32.2876125</v>
      </c>
      <c r="I1513" s="2162" t="n">
        <v>0</v>
      </c>
      <c r="J1513" s="2162" t="n">
        <v>0</v>
      </c>
      <c r="K1513" s="2162" t="n"/>
    </row>
    <row r="1514" outlineLevel="3" ht="15.75" customHeight="1">
      <c r="A1514" s="10" t="n">
        <v>2</v>
      </c>
      <c r="B1514" s="10" t="inlineStr">
        <is>
          <t>Insumo</t>
        </is>
      </c>
      <c r="C1514" s="10" t="inlineStr">
        <is>
          <t>TP732-E  175 mm - 3 PLACAS (Hd/Hu + Cim10) - 17,50cm</t>
        </is>
      </c>
      <c r="D1514" s="10" t="inlineStr">
        <is>
          <t>CHAPA DE GESSO PARA DRYWALL PLACO - KNAUF (HD) HARDBOARD 12,5MM X 1,20M X 1,80M</t>
        </is>
      </c>
      <c r="E1514" s="11">
        <f t="array" ref="E1514">_xlfn.XLOOKUP(D1514,Insumos!B:B,Insumos!C:$C)</f>
        <v/>
      </c>
      <c r="F1514" s="14">
        <f>1.053*1</f>
        <v/>
      </c>
      <c r="G1514" s="92">
        <f t="array" ref="G1514">IF(B1514="insumo",_xlfn.XLOOKUP($D1514,Insumos!$B$1:$B$996,Insumos!$D$1:$D$996),"")</f>
        <v/>
      </c>
      <c r="H1514" s="92" t="n">
        <v>66.1786125</v>
      </c>
      <c r="I1514" s="2162" t="n">
        <v>0</v>
      </c>
      <c r="J1514" s="2162" t="n">
        <v>0</v>
      </c>
      <c r="K1514" s="2162" t="n"/>
    </row>
    <row r="1515" outlineLevel="3" ht="15.75" customHeight="1">
      <c r="A1515" s="10" t="n">
        <v>11</v>
      </c>
      <c r="B1515" s="10" t="inlineStr">
        <is>
          <t>Insumo</t>
        </is>
      </c>
      <c r="C1515" s="10" t="inlineStr">
        <is>
          <t>TP732-E  175 mm - 3 PLACAS (Hd/Hu + Cim10) - 17,50cm</t>
        </is>
      </c>
      <c r="D1515" s="10" t="inlineStr">
        <is>
          <t>PLACA CIMENTÍCIA(CT) PARA STEEL FRAME BRASILIT-ETERNIT 8MM X 1,20M X 2,40M</t>
        </is>
      </c>
      <c r="E1515" s="11">
        <f t="array" ref="E1515">_xlfn.XLOOKUP(D1515,Insumos!B:B,Insumos!C:$C)</f>
        <v/>
      </c>
      <c r="F1515" s="14" t="n">
        <v>1.106</v>
      </c>
      <c r="G1515" s="92">
        <f t="array" ref="G1515">IF(B1515="insumo",_xlfn.XLOOKUP($D1515,Insumos!$B$1:$B$996,Insumos!$D$1:$D$996),"")</f>
        <v/>
      </c>
      <c r="H1515" s="92" t="n">
        <v>33.2790791666667</v>
      </c>
      <c r="I1515" s="2162" t="n">
        <v>0</v>
      </c>
      <c r="J1515" s="2162" t="n">
        <v>0</v>
      </c>
      <c r="K1515" s="2162" t="n"/>
    </row>
    <row r="1516" outlineLevel="3" ht="15.75" customHeight="1">
      <c r="A1516" s="10" t="n">
        <v>95</v>
      </c>
      <c r="B1516" s="10" t="inlineStr">
        <is>
          <t>Insumo</t>
        </is>
      </c>
      <c r="C1516" s="10" t="inlineStr">
        <is>
          <t>TP732-E  175 mm - 3 PLACAS (Hd/Hu + Cim10) - 17,50cm</t>
        </is>
      </c>
      <c r="D1516" s="10" t="inlineStr">
        <is>
          <t>PINO DE ACO COM ARRUELA CONICA, DIAMETRO ARRUELA = *23* MM E COMP HASTE = *27* MM (ACAO INDIRETA)</t>
        </is>
      </c>
      <c r="E1516" s="11">
        <f t="array" ref="E1516">_xlfn.XLOOKUP(D1516,Insumos!B:B,Insumos!C:$C)</f>
        <v/>
      </c>
      <c r="F1516" s="14" t="n">
        <v>5.92</v>
      </c>
      <c r="G1516" s="92">
        <f t="array" ref="G1516">IF(B1516="insumo",_xlfn.XLOOKUP($D1516,Insumos!$B$1:$B$996,Insumos!$D$1:$D$996),"")</f>
        <v/>
      </c>
      <c r="H1516" s="92" t="n">
        <v>2.98368</v>
      </c>
      <c r="I1516" s="2162" t="n">
        <v>0</v>
      </c>
      <c r="J1516" s="2162" t="n">
        <v>0</v>
      </c>
      <c r="K1516" s="2162" t="n"/>
    </row>
    <row r="1517" outlineLevel="3" ht="15.75" customHeight="1">
      <c r="A1517" s="10" t="n">
        <v>26</v>
      </c>
      <c r="B1517" s="10" t="inlineStr">
        <is>
          <t>Insumo</t>
        </is>
      </c>
      <c r="C1517" s="10" t="inlineStr">
        <is>
          <t>TP732-E  175 mm - 3 PLACAS (Hd/Hu + Cim10) - 17,50cm</t>
        </is>
      </c>
      <c r="D1517" s="10" t="inlineStr">
        <is>
          <t>PERFIL GUIA, FORMATO U, EM ACO ZINCADO, PARA ESTRUTURA PAREDE DRYWALL, E = 0,5 MM, 90 X 3000 MM (L X C)</t>
        </is>
      </c>
      <c r="E1517" s="11">
        <f t="array" ref="E1517">_xlfn.XLOOKUP(D1517,Insumos!B:B,Insumos!C:$C)</f>
        <v/>
      </c>
      <c r="F1517" s="14">
        <f>1.8234*2</f>
        <v/>
      </c>
      <c r="G1517" s="92">
        <f t="array" ref="G1517">IF(B1517="insumo",_xlfn.XLOOKUP($D1517,Insumos!$B$1:$B$996,Insumos!$D$1:$D$996),"")</f>
        <v/>
      </c>
      <c r="H1517" s="92" t="n">
        <v>31.508352</v>
      </c>
      <c r="I1517" s="2162" t="n">
        <v>0</v>
      </c>
      <c r="J1517" s="2162" t="n">
        <v>0</v>
      </c>
      <c r="K1517" s="2162" t="n"/>
    </row>
    <row r="1518" outlineLevel="3" ht="15.75" customHeight="1">
      <c r="A1518" s="10" t="n">
        <v>26</v>
      </c>
      <c r="B1518" s="10" t="inlineStr">
        <is>
          <t>Insumo</t>
        </is>
      </c>
      <c r="C1518" s="10" t="inlineStr">
        <is>
          <t>TP732-E  175 mm - 3 PLACAS (Hd/Hu + Cim10) - 17,50cm</t>
        </is>
      </c>
      <c r="D1518" s="10" t="inlineStr">
        <is>
          <t>PERFIL MONTANTE, FORMATO C, EM ACO ZINCADO, PARA ESTRUTURA PAREDE DRYWALL, E = 0,5 MM, 90 X 3000 MM (L X C)</t>
        </is>
      </c>
      <c r="E1518" s="11">
        <f t="array" ref="E1518">_xlfn.XLOOKUP(D1518,Insumos!B:B,Insumos!C:$C)</f>
        <v/>
      </c>
      <c r="F1518" s="14">
        <f>5.8278*2</f>
        <v/>
      </c>
      <c r="G1518" s="92">
        <f t="array" ref="G1518">IF(B1518="insumo",_xlfn.XLOOKUP($D1518,Insumos!$B$1:$B$996,Insumos!$D$1:$D$996),"")</f>
        <v/>
      </c>
      <c r="H1518" s="92" t="n">
        <v>210.849804</v>
      </c>
      <c r="I1518" s="2162" t="n">
        <v>0</v>
      </c>
      <c r="J1518" s="2162" t="n">
        <v>0</v>
      </c>
      <c r="K1518" s="2162" t="n"/>
    </row>
    <row r="1519" outlineLevel="3" ht="15.75" customHeight="1">
      <c r="A1519" s="10" t="n">
        <v>95</v>
      </c>
      <c r="B1519" s="10" t="inlineStr">
        <is>
          <t>Insumo</t>
        </is>
      </c>
      <c r="C1519" s="10" t="inlineStr">
        <is>
          <t>TP732-E  175 mm - 3 PLACAS (Hd/Hu + Cim10) - 17,50cm</t>
        </is>
      </c>
      <c r="D1519" s="10" t="inlineStr">
        <is>
          <t>MASSA DE REJUNTE EM PO PARA DRYWALL, A BASE DE GESSO, SECAGEM RAPIDA, PARA TRATAMENTO DE JUNTAS DE CHAPA DE GESSO (NECESSITA ADICAO DE AGUA)</t>
        </is>
      </c>
      <c r="E1519" s="11">
        <f t="array" ref="E1519">_xlfn.XLOOKUP(D1519,Insumos!B:B,Insumos!C:$C)</f>
        <v/>
      </c>
      <c r="F1519" s="14" t="n">
        <v>0.5489000000000001</v>
      </c>
      <c r="G1519" s="92">
        <f t="array" ref="G1519">IF(B1519="insumo",_xlfn.XLOOKUP($D1519,Insumos!$B$1:$B$996,Insumos!$D$1:$D$996),"")</f>
        <v/>
      </c>
      <c r="H1519" s="92" t="n">
        <v>1.882727</v>
      </c>
      <c r="I1519" s="2162" t="n">
        <v>0</v>
      </c>
      <c r="J1519" s="2162" t="n">
        <v>0</v>
      </c>
      <c r="K1519" s="2162" t="n"/>
    </row>
    <row r="1520" outlineLevel="3" ht="15.75" customHeight="1">
      <c r="A1520" s="10" t="n">
        <v>94</v>
      </c>
      <c r="B1520" s="10" t="inlineStr">
        <is>
          <t>Insumo</t>
        </is>
      </c>
      <c r="C1520" s="10" t="inlineStr">
        <is>
          <t>TP732-E  175 mm - 3 PLACAS (Hd/Hu + Cim10) - 17,50cm</t>
        </is>
      </c>
      <c r="D1520" s="10" t="inlineStr">
        <is>
          <t>FITA DE PAPEL MICROPERFURADO, 50 X 150 MM, PARA TRATAMENTO DE JUNTAS DE CHAPA DE GESSO PARA DRYWALL</t>
        </is>
      </c>
      <c r="E1520" s="11">
        <f t="array" ref="E1520">_xlfn.XLOOKUP(D1520,Insumos!B:B,Insumos!C:$C)</f>
        <v/>
      </c>
      <c r="F1520" s="14" t="n">
        <v>1.25135</v>
      </c>
      <c r="G1520" s="92">
        <f t="array" ref="G1520">IF(B1520="insumo",_xlfn.XLOOKUP($D1520,Insumos!$B$1:$B$996,Insumos!$D$1:$D$996),"")</f>
        <v/>
      </c>
      <c r="H1520" s="92" t="n">
        <v>0.3879185</v>
      </c>
      <c r="I1520" s="2162" t="n">
        <v>0</v>
      </c>
      <c r="J1520" s="2162" t="n">
        <v>0</v>
      </c>
      <c r="K1520" s="2162" t="n"/>
    </row>
    <row r="1521" outlineLevel="3" ht="15.75" customHeight="1">
      <c r="A1521" s="10" t="n">
        <v>94</v>
      </c>
      <c r="B1521" s="10" t="inlineStr">
        <is>
          <t>Insumo</t>
        </is>
      </c>
      <c r="C1521" s="10" t="inlineStr">
        <is>
          <t>TP732-E  175 mm - 3 PLACAS (Hd/Hu + Cim10) - 17,50cm</t>
        </is>
      </c>
      <c r="D1521" s="10" t="inlineStr">
        <is>
          <t>FITA DE PAPEL REFORCADA COM LAMINA DE METAL PARA REFORCO DE CANTOS DE CHAPA DE GESSO PARA DRYWALL</t>
        </is>
      </c>
      <c r="E1521" s="11">
        <f t="array" ref="E1521">_xlfn.XLOOKUP(D1521,Insumos!B:B,Insumos!C:$C)</f>
        <v/>
      </c>
      <c r="F1521" s="14" t="n">
        <v>0.79255</v>
      </c>
      <c r="G1521" s="92">
        <f t="array" ref="G1521">IF(B1521="insumo",_xlfn.XLOOKUP($D1521,Insumos!$B$1:$B$996,Insumos!$D$1:$D$996),"")</f>
        <v/>
      </c>
      <c r="H1521" s="92" t="n">
        <v>2.171587</v>
      </c>
      <c r="I1521" s="2162" t="n">
        <v>0</v>
      </c>
      <c r="J1521" s="2162" t="n">
        <v>0</v>
      </c>
      <c r="K1521" s="2162" t="n"/>
    </row>
    <row r="1522" outlineLevel="3" ht="15.75" customHeight="1">
      <c r="A1522" s="10" t="n">
        <v>97</v>
      </c>
      <c r="B1522" s="10" t="inlineStr">
        <is>
          <t>Insumo</t>
        </is>
      </c>
      <c r="C1522" s="10" t="inlineStr">
        <is>
          <t>TP732-E  175 mm - 3 PLACAS (Hd/Hu + Cim10) - 17,50cm</t>
        </is>
      </c>
      <c r="D1522" s="10" t="inlineStr">
        <is>
          <t>PARAFUSO DRY WALL, EM ACO FOSFATIZADO, CABECA TROMBETA E PONTA AGULHA (TA), COMPRIMENTO 25 MM</t>
        </is>
      </c>
      <c r="E1522" s="11">
        <f t="array" ref="E1522">_xlfn.XLOOKUP(D1522,Insumos!B:B,Insumos!C:$C)</f>
        <v/>
      </c>
      <c r="F1522" s="14" t="n">
        <v>10.0934</v>
      </c>
      <c r="G1522" s="92">
        <f t="array" ref="G1522">IF(B1522="insumo",_xlfn.XLOOKUP($D1522,Insumos!$B$1:$B$996,Insumos!$D$1:$D$996),"")</f>
        <v/>
      </c>
      <c r="H1522" s="92" t="n">
        <v>0.908406</v>
      </c>
      <c r="I1522" s="2162" t="n">
        <v>0</v>
      </c>
      <c r="J1522" s="2162" t="n">
        <v>0</v>
      </c>
      <c r="K1522" s="2162" t="n"/>
    </row>
    <row r="1523" outlineLevel="3" ht="15.75" customHeight="1">
      <c r="A1523" s="10" t="n">
        <v>95</v>
      </c>
      <c r="B1523" s="10" t="inlineStr">
        <is>
          <t>Insumo</t>
        </is>
      </c>
      <c r="C1523" s="10" t="inlineStr">
        <is>
          <t>TP732-E  175 mm - 3 PLACAS (Hd/Hu + Cim10) - 17,50cm</t>
        </is>
      </c>
      <c r="D1523" s="10" t="inlineStr">
        <is>
          <t>PARAFUSO DRY WALL, EM ACO ZINCADO, CABECA LENTILHA E PONTA BROCA (LB), LARGURA 4,2 MM, COMPRIMENTO 13 MM</t>
        </is>
      </c>
      <c r="E1523" s="11">
        <f t="array" ref="E1523">_xlfn.XLOOKUP(D1523,Insumos!B:B,Insumos!C:$C)</f>
        <v/>
      </c>
      <c r="F1523" s="14" t="n">
        <v>0.27205</v>
      </c>
      <c r="G1523" s="92">
        <f t="array" ref="G1523">IF(B1523="insumo",_xlfn.XLOOKUP($D1523,Insumos!$B$1:$B$996,Insumos!$D$1:$D$996),"")</f>
        <v/>
      </c>
      <c r="H1523" s="92" t="n">
        <v>0.05441</v>
      </c>
      <c r="I1523" s="2162" t="n">
        <v>0</v>
      </c>
      <c r="J1523" s="2162" t="n">
        <v>0</v>
      </c>
      <c r="K1523" s="2162" t="n"/>
    </row>
    <row r="1524" outlineLevel="2" ht="15.75" customHeight="1">
      <c r="A1524" s="1067" t="n">
        <v>1</v>
      </c>
      <c r="B1524" s="1067" t="inlineStr">
        <is>
          <t>Serviço</t>
        </is>
      </c>
      <c r="C1524" s="1067" t="inlineStr">
        <is>
          <t>TP673 70 mm - 2 PLACAS - 9,50cm</t>
        </is>
      </c>
      <c r="D1524" s="1067" t="inlineStr">
        <is>
          <t>TP673 70 mm - 2 PLACAS - 9,50cm</t>
        </is>
      </c>
      <c r="E1524" s="1068" t="inlineStr">
        <is>
          <t>M2</t>
        </is>
      </c>
      <c r="F1524" s="1067" t="n"/>
      <c r="G1524" s="1069">
        <f t="array" ref="G1524">IF(B1524="insumo",_xlfn.XLOOKUP($D1524,Insumos!$B$1:$B$996,Insumos!$D$1:$D$996),"")</f>
        <v/>
      </c>
      <c r="H1524" s="1069" t="n">
        <v>180.9540965</v>
      </c>
      <c r="I1524" s="2161" t="n">
        <v>0</v>
      </c>
      <c r="J1524" s="2161" t="n">
        <v>0</v>
      </c>
      <c r="K1524" s="2161" t="n"/>
    </row>
    <row r="1525" outlineLevel="3" ht="15.75" customHeight="1">
      <c r="A1525" s="10" t="n">
        <v>86</v>
      </c>
      <c r="B1525" s="10" t="inlineStr">
        <is>
          <t>Insumo</t>
        </is>
      </c>
      <c r="C1525" s="10" t="inlineStr">
        <is>
          <t>TP673 70 mm - 2 PLACAS - 9,50cm</t>
        </is>
      </c>
      <c r="D1525" s="10" t="inlineStr">
        <is>
          <t>SERVICO - CONFECCAO SHAFT GESSO</t>
        </is>
      </c>
      <c r="E1525" s="11">
        <f t="array" ref="E1525">_xlfn.XLOOKUP(D1525,Insumos!B:B,Insumos!C:$C)</f>
        <v/>
      </c>
      <c r="F1525" s="14" t="n">
        <v>1</v>
      </c>
      <c r="G1525" s="92">
        <f t="array" ref="G1525">IF(B1525="insumo",_xlfn.XLOOKUP($D1525,Insumos!$B$1:$B$996,Insumos!$D$1:$D$996),"")</f>
        <v/>
      </c>
      <c r="H1525" s="92" t="n">
        <v>70</v>
      </c>
      <c r="I1525" s="2162" t="n">
        <v>0</v>
      </c>
      <c r="J1525" s="2162" t="n">
        <v>0</v>
      </c>
      <c r="K1525" s="2162" t="n"/>
    </row>
    <row r="1526" outlineLevel="3" ht="15.75" customHeight="1">
      <c r="A1526" s="10" t="n">
        <v>47</v>
      </c>
      <c r="B1526" s="10" t="inlineStr">
        <is>
          <t>Insumo</t>
        </is>
      </c>
      <c r="C1526" s="10" t="inlineStr">
        <is>
          <t>TP673 70 mm - 2 PLACAS - 9,50cm</t>
        </is>
      </c>
      <c r="D1526" s="10" t="inlineStr">
        <is>
          <t>PLACA / CHAPA DE GESSO ACARTONADO, STANDARD (ST), COR BRANCA, E = 12,5 MM, 1200 X 2400 MM (L X C)</t>
        </is>
      </c>
      <c r="E1526" s="11">
        <f t="array" ref="E1526">_xlfn.XLOOKUP(D1526,Insumos!B:B,Insumos!C:$C)</f>
        <v/>
      </c>
      <c r="F1526" s="14">
        <f>1.053*2</f>
        <v/>
      </c>
      <c r="G1526" s="92">
        <f t="array" ref="G1526">IF(B1526="insumo",_xlfn.XLOOKUP($D1526,Insumos!$B$1:$B$996,Insumos!$D$1:$D$996),"")</f>
        <v/>
      </c>
      <c r="H1526" s="92" t="n">
        <v>42.45696</v>
      </c>
      <c r="I1526" s="2162" t="n">
        <v>0</v>
      </c>
      <c r="J1526" s="2162" t="n">
        <v>0</v>
      </c>
      <c r="K1526" s="2162" t="n"/>
    </row>
    <row r="1527" outlineLevel="3" ht="15.75" customHeight="1">
      <c r="A1527" s="10" t="n">
        <v>95</v>
      </c>
      <c r="B1527" s="10" t="inlineStr">
        <is>
          <t>Insumo</t>
        </is>
      </c>
      <c r="C1527" s="10" t="inlineStr">
        <is>
          <t>TP673 70 mm - 2 PLACAS - 9,50cm</t>
        </is>
      </c>
      <c r="D1527" s="10" t="inlineStr">
        <is>
          <t>PINO DE ACO COM ARRUELA CONICA, DIAMETRO ARRUELA = *23* MM E COMP HASTE = *27* MM (ACAO INDIRETA)</t>
        </is>
      </c>
      <c r="E1527" s="11">
        <f t="array" ref="E1527">_xlfn.XLOOKUP(D1527,Insumos!B:B,Insumos!C:$C)</f>
        <v/>
      </c>
      <c r="F1527" s="14" t="n">
        <v>5.92</v>
      </c>
      <c r="G1527" s="92">
        <f t="array" ref="G1527">IF(B1527="insumo",_xlfn.XLOOKUP($D1527,Insumos!$B$1:$B$996,Insumos!$D$1:$D$996),"")</f>
        <v/>
      </c>
      <c r="H1527" s="92" t="n">
        <v>2.98368</v>
      </c>
      <c r="I1527" s="2162" t="n">
        <v>0</v>
      </c>
      <c r="J1527" s="2162" t="n">
        <v>0</v>
      </c>
      <c r="K1527" s="2162" t="n"/>
    </row>
    <row r="1528" outlineLevel="3" ht="15.75" customHeight="1">
      <c r="A1528" s="10" t="n">
        <v>43</v>
      </c>
      <c r="B1528" s="10" t="inlineStr">
        <is>
          <t>Insumo</t>
        </is>
      </c>
      <c r="C1528" s="10" t="inlineStr">
        <is>
          <t>TP673 70 mm - 2 PLACAS - 9,50cm</t>
        </is>
      </c>
      <c r="D1528" s="10" t="inlineStr">
        <is>
          <t>PERFIL GUIA, FORMATO U, EM ACO ZINCADO, PARA ESTRUTURA PAREDE DRYWALL, E = 0,5 MM, 70 X 3000 MM (L X C)</t>
        </is>
      </c>
      <c r="E1528" s="11">
        <f t="array" ref="E1528">_xlfn.XLOOKUP(D1528,Insumos!B:B,Insumos!C:$C)</f>
        <v/>
      </c>
      <c r="F1528" s="14" t="n">
        <v>1.8234</v>
      </c>
      <c r="G1528" s="92">
        <f t="array" ref="G1528">IF(B1528="insumo",_xlfn.XLOOKUP($D1528,Insumos!$B$1:$B$996,Insumos!$D$1:$D$996),"")</f>
        <v/>
      </c>
      <c r="H1528" s="92" t="n">
        <v>13.602564</v>
      </c>
      <c r="I1528" s="2162" t="n">
        <v>0</v>
      </c>
      <c r="J1528" s="2162" t="n">
        <v>0</v>
      </c>
      <c r="K1528" s="2162" t="n"/>
    </row>
    <row r="1529" outlineLevel="3" ht="15.75" customHeight="1">
      <c r="A1529" s="10" t="n">
        <v>43</v>
      </c>
      <c r="B1529" s="10" t="inlineStr">
        <is>
          <t>Insumo</t>
        </is>
      </c>
      <c r="C1529" s="10" t="inlineStr">
        <is>
          <t>TP673 70 mm - 2 PLACAS - 9,50cm</t>
        </is>
      </c>
      <c r="D1529" s="10" t="inlineStr">
        <is>
          <t>PERFIL MONTANTE, FORMATO C, EM ACO ZINCADO, PARA ESTRUTURA PAREDE DRYWALL, E = 0,5 MM, 70 X 3000 MM (L X C)</t>
        </is>
      </c>
      <c r="E1529" s="11">
        <f t="array" ref="E1529">_xlfn.XLOOKUP(D1529,Insumos!B:B,Insumos!C:$C)</f>
        <v/>
      </c>
      <c r="F1529" s="14" t="n">
        <v>5.8278</v>
      </c>
      <c r="G1529" s="92">
        <f t="array" ref="G1529">IF(B1529="insumo",_xlfn.XLOOKUP($D1529,Insumos!$B$1:$B$996,Insumos!$D$1:$D$996),"")</f>
        <v/>
      </c>
      <c r="H1529" s="92" t="n">
        <v>46.505844</v>
      </c>
      <c r="I1529" s="2162" t="n">
        <v>0</v>
      </c>
      <c r="J1529" s="2162" t="n">
        <v>0</v>
      </c>
      <c r="K1529" s="2162" t="n"/>
    </row>
    <row r="1530" outlineLevel="3" ht="15.75" customHeight="1">
      <c r="A1530" s="10" t="n">
        <v>95</v>
      </c>
      <c r="B1530" s="10" t="inlineStr">
        <is>
          <t>Insumo</t>
        </is>
      </c>
      <c r="C1530" s="10" t="inlineStr">
        <is>
          <t>TP673 70 mm - 2 PLACAS - 9,50cm</t>
        </is>
      </c>
      <c r="D1530" s="10" t="inlineStr">
        <is>
          <t>MASSA DE REJUNTE EM PO PARA DRYWALL, A BASE DE GESSO, SECAGEM RAPIDA, PARA TRATAMENTO DE JUNTAS DE CHAPA DE GESSO (NECESSITA ADICAO DE AGUA)</t>
        </is>
      </c>
      <c r="E1530" s="11">
        <f t="array" ref="E1530">_xlfn.XLOOKUP(D1530,Insumos!B:B,Insumos!C:$C)</f>
        <v/>
      </c>
      <c r="F1530" s="14" t="n">
        <v>0.5489000000000001</v>
      </c>
      <c r="G1530" s="92">
        <f t="array" ref="G1530">IF(B1530="insumo",_xlfn.XLOOKUP($D1530,Insumos!$B$1:$B$996,Insumos!$D$1:$D$996),"")</f>
        <v/>
      </c>
      <c r="H1530" s="92" t="n">
        <v>1.882727</v>
      </c>
      <c r="I1530" s="2162" t="n">
        <v>0</v>
      </c>
      <c r="J1530" s="2162" t="n">
        <v>0</v>
      </c>
      <c r="K1530" s="2162" t="n"/>
    </row>
    <row r="1531" outlineLevel="3" ht="15.75" customHeight="1">
      <c r="A1531" s="10" t="n">
        <v>94</v>
      </c>
      <c r="B1531" s="10" t="inlineStr">
        <is>
          <t>Insumo</t>
        </is>
      </c>
      <c r="C1531" s="10" t="inlineStr">
        <is>
          <t>TP673 70 mm - 2 PLACAS - 9,50cm</t>
        </is>
      </c>
      <c r="D1531" s="10" t="inlineStr">
        <is>
          <t>FITA DE PAPEL MICROPERFURADO, 50 X 150 MM, PARA TRATAMENTO DE JUNTAS DE CHAPA DE GESSO PARA DRYWALL</t>
        </is>
      </c>
      <c r="E1531" s="11">
        <f t="array" ref="E1531">_xlfn.XLOOKUP(D1531,Insumos!B:B,Insumos!C:$C)</f>
        <v/>
      </c>
      <c r="F1531" s="14" t="n">
        <v>1.25135</v>
      </c>
      <c r="G1531" s="92">
        <f t="array" ref="G1531">IF(B1531="insumo",_xlfn.XLOOKUP($D1531,Insumos!$B$1:$B$996,Insumos!$D$1:$D$996),"")</f>
        <v/>
      </c>
      <c r="H1531" s="92" t="n">
        <v>0.3879185</v>
      </c>
      <c r="I1531" s="2162" t="n">
        <v>0</v>
      </c>
      <c r="J1531" s="2162" t="n">
        <v>0</v>
      </c>
      <c r="K1531" s="2162" t="n"/>
    </row>
    <row r="1532" outlineLevel="3" ht="15.75" customHeight="1">
      <c r="A1532" s="10" t="n">
        <v>94</v>
      </c>
      <c r="B1532" s="10" t="inlineStr">
        <is>
          <t>Insumo</t>
        </is>
      </c>
      <c r="C1532" s="10" t="inlineStr">
        <is>
          <t>TP673 70 mm - 2 PLACAS - 9,50cm</t>
        </is>
      </c>
      <c r="D1532" s="10" t="inlineStr">
        <is>
          <t>FITA DE PAPEL REFORCADA COM LAMINA DE METAL PARA REFORCO DE CANTOS DE CHAPA DE GESSO PARA DRYWALL</t>
        </is>
      </c>
      <c r="E1532" s="11">
        <f t="array" ref="E1532">_xlfn.XLOOKUP(D1532,Insumos!B:B,Insumos!C:$C)</f>
        <v/>
      </c>
      <c r="F1532" s="14" t="n">
        <v>0.79255</v>
      </c>
      <c r="G1532" s="92">
        <f t="array" ref="G1532">IF(B1532="insumo",_xlfn.XLOOKUP($D1532,Insumos!$B$1:$B$996,Insumos!$D$1:$D$996),"")</f>
        <v/>
      </c>
      <c r="H1532" s="92" t="n">
        <v>2.171587</v>
      </c>
      <c r="I1532" s="2162" t="n">
        <v>0</v>
      </c>
      <c r="J1532" s="2162" t="n">
        <v>0</v>
      </c>
      <c r="K1532" s="2162" t="n"/>
    </row>
    <row r="1533" outlineLevel="3" ht="15.75" customHeight="1">
      <c r="A1533" s="10" t="n">
        <v>97</v>
      </c>
      <c r="B1533" s="10" t="inlineStr">
        <is>
          <t>Insumo</t>
        </is>
      </c>
      <c r="C1533" s="10" t="inlineStr">
        <is>
          <t>TP673 70 mm - 2 PLACAS - 9,50cm</t>
        </is>
      </c>
      <c r="D1533" s="10" t="inlineStr">
        <is>
          <t>PARAFUSO DRY WALL, EM ACO FOSFATIZADO, CABECA TROMBETA E PONTA AGULHA (TA), COMPRIMENTO 25 MM</t>
        </is>
      </c>
      <c r="E1533" s="11">
        <f t="array" ref="E1533">_xlfn.XLOOKUP(D1533,Insumos!B:B,Insumos!C:$C)</f>
        <v/>
      </c>
      <c r="F1533" s="14" t="n">
        <v>10.0934</v>
      </c>
      <c r="G1533" s="92">
        <f t="array" ref="G1533">IF(B1533="insumo",_xlfn.XLOOKUP($D1533,Insumos!$B$1:$B$996,Insumos!$D$1:$D$996),"")</f>
        <v/>
      </c>
      <c r="H1533" s="92" t="n">
        <v>0.908406</v>
      </c>
      <c r="I1533" s="2162" t="n">
        <v>0</v>
      </c>
      <c r="J1533" s="2162" t="n">
        <v>0</v>
      </c>
      <c r="K1533" s="2162" t="n"/>
    </row>
    <row r="1534" outlineLevel="3" ht="15.75" customHeight="1">
      <c r="A1534" s="10" t="n">
        <v>95</v>
      </c>
      <c r="B1534" s="10" t="inlineStr">
        <is>
          <t>Insumo</t>
        </is>
      </c>
      <c r="C1534" s="10" t="inlineStr">
        <is>
          <t>TP673 70 mm - 2 PLACAS - 9,50cm</t>
        </is>
      </c>
      <c r="D1534" s="10" t="inlineStr">
        <is>
          <t>PARAFUSO DRY WALL, EM ACO ZINCADO, CABECA LENTILHA E PONTA BROCA (LB), LARGURA 4,2 MM, COMPRIMENTO 13 MM</t>
        </is>
      </c>
      <c r="E1534" s="11">
        <f t="array" ref="E1534">_xlfn.XLOOKUP(D1534,Insumos!B:B,Insumos!C:$C)</f>
        <v/>
      </c>
      <c r="F1534" s="14" t="n">
        <v>0.27205</v>
      </c>
      <c r="G1534" s="92">
        <f t="array" ref="G1534">IF(B1534="insumo",_xlfn.XLOOKUP($D1534,Insumos!$B$1:$B$996,Insumos!$D$1:$D$996),"")</f>
        <v/>
      </c>
      <c r="H1534" s="92" t="n">
        <v>0.05441</v>
      </c>
      <c r="I1534" s="2162" t="n">
        <v>0</v>
      </c>
      <c r="J1534" s="2162" t="n">
        <v>0</v>
      </c>
      <c r="K1534" s="2162" t="n"/>
    </row>
    <row r="1535" outlineLevel="2" ht="15.75" customHeight="1">
      <c r="A1535" s="1067" t="n">
        <v>1</v>
      </c>
      <c r="B1535" s="1067" t="inlineStr">
        <is>
          <t>Serviço</t>
        </is>
      </c>
      <c r="C1535" s="1067" t="inlineStr">
        <is>
          <t>30_DRY 48 mm - SEM PLACAS - 4,80cm  -</t>
        </is>
      </c>
      <c r="D1535" s="1067" t="inlineStr">
        <is>
          <t>30_DRY 48 mm - SEM PLACAS - 4,80cm  -</t>
        </is>
      </c>
      <c r="E1535" s="1068" t="inlineStr">
        <is>
          <t>M2</t>
        </is>
      </c>
      <c r="F1535" s="1067" t="n"/>
      <c r="G1535" s="1069">
        <f t="array" ref="G1535">IF(B1535="insumo",_xlfn.XLOOKUP($D1535,Insumos!$B$1:$B$996,Insumos!$D$1:$D$996),"")</f>
        <v/>
      </c>
      <c r="H1535" s="1069" t="n">
        <v>132.416846</v>
      </c>
      <c r="I1535" s="2161" t="n">
        <v>0</v>
      </c>
      <c r="J1535" s="2161" t="n">
        <v>0</v>
      </c>
      <c r="K1535" s="2161" t="n"/>
    </row>
    <row r="1536" outlineLevel="3" ht="15.75" customHeight="1">
      <c r="A1536" s="10" t="n">
        <v>86</v>
      </c>
      <c r="B1536" s="10" t="inlineStr">
        <is>
          <t>Insumo</t>
        </is>
      </c>
      <c r="C1536" s="10" t="inlineStr">
        <is>
          <t>30_DRY 48 mm - SEM PLACAS - 4,80cm  -</t>
        </is>
      </c>
      <c r="D1536" s="10" t="inlineStr">
        <is>
          <t>SERVICO - CONFECCAO SHAFT GESSO</t>
        </is>
      </c>
      <c r="E1536" s="11">
        <f t="array" ref="E1536">_xlfn.XLOOKUP(D1536,Insumos!B:B,Insumos!C:$C)</f>
        <v/>
      </c>
      <c r="F1536" s="14" t="n">
        <v>1</v>
      </c>
      <c r="G1536" s="92">
        <f t="array" ref="G1536">IF(B1536="insumo",_xlfn.XLOOKUP($D1536,Insumos!$B$1:$B$996,Insumos!$D$1:$D$996),"")</f>
        <v/>
      </c>
      <c r="H1536" s="92" t="n">
        <v>70</v>
      </c>
      <c r="I1536" s="2162" t="n">
        <v>0</v>
      </c>
      <c r="J1536" s="2162" t="n">
        <v>0</v>
      </c>
      <c r="K1536" s="2162" t="n"/>
    </row>
    <row r="1537" outlineLevel="3" ht="15.75" customHeight="1">
      <c r="A1537" s="10" t="n">
        <v>95</v>
      </c>
      <c r="B1537" s="10" t="inlineStr">
        <is>
          <t>Insumo</t>
        </is>
      </c>
      <c r="C1537" s="10" t="inlineStr">
        <is>
          <t>30_DRY 48 mm - SEM PLACAS - 4,80cm  -</t>
        </is>
      </c>
      <c r="D1537" s="10" t="inlineStr">
        <is>
          <t>PINO DE ACO COM ARRUELA CONICA, DIAMETRO ARRUELA = *23* MM E COMP HASTE = *27* MM (ACAO INDIRETA)</t>
        </is>
      </c>
      <c r="E1537" s="11">
        <f t="array" ref="E1537">_xlfn.XLOOKUP(D1537,Insumos!B:B,Insumos!C:$C)</f>
        <v/>
      </c>
      <c r="F1537" s="14" t="n">
        <v>5.92</v>
      </c>
      <c r="G1537" s="92">
        <f t="array" ref="G1537">IF(B1537="insumo",_xlfn.XLOOKUP($D1537,Insumos!$B$1:$B$996,Insumos!$D$1:$D$996),"")</f>
        <v/>
      </c>
      <c r="H1537" s="92" t="n">
        <v>2.98368</v>
      </c>
      <c r="I1537" s="2162" t="n">
        <v>0</v>
      </c>
      <c r="J1537" s="2162" t="n">
        <v>0</v>
      </c>
      <c r="K1537" s="2162" t="n"/>
    </row>
    <row r="1538" outlineLevel="3" ht="15.75" customHeight="1">
      <c r="A1538" s="10" t="n">
        <v>26</v>
      </c>
      <c r="B1538" s="10" t="inlineStr">
        <is>
          <t>Insumo</t>
        </is>
      </c>
      <c r="C1538" s="10" t="inlineStr">
        <is>
          <t>30_DRY 48 mm - SEM PLACAS - 4,80cm  -</t>
        </is>
      </c>
      <c r="D1538" s="10" t="inlineStr">
        <is>
          <t>PERFIL GUIA, FORMATO U, EM ACO ZINCADO, PARA ESTRUTURA PAREDE DRYWALL, E = 0,5 MM, 48 X 3000 MM (L X C)</t>
        </is>
      </c>
      <c r="E1538" s="11">
        <f t="array" ref="E1538">_xlfn.XLOOKUP(D1538,Insumos!B:B,Insumos!C:$C)</f>
        <v/>
      </c>
      <c r="F1538" s="14" t="n">
        <v>1.8234</v>
      </c>
      <c r="G1538" s="92">
        <f t="array" ref="G1538">IF(B1538="insumo",_xlfn.XLOOKUP($D1538,Insumos!$B$1:$B$996,Insumos!$D$1:$D$996),"")</f>
        <v/>
      </c>
      <c r="H1538" s="92" t="n">
        <v>12.818502</v>
      </c>
      <c r="I1538" s="2162" t="n">
        <v>0</v>
      </c>
      <c r="J1538" s="2162" t="n">
        <v>0</v>
      </c>
      <c r="K1538" s="2162" t="n"/>
    </row>
    <row r="1539" outlineLevel="3" ht="15.75" customHeight="1">
      <c r="A1539" s="10" t="n">
        <v>26</v>
      </c>
      <c r="B1539" s="10" t="inlineStr">
        <is>
          <t>Insumo</t>
        </is>
      </c>
      <c r="C1539" s="10" t="inlineStr">
        <is>
          <t>30_DRY 48 mm - SEM PLACAS - 4,80cm  -</t>
        </is>
      </c>
      <c r="D1539" s="10" t="inlineStr">
        <is>
          <t>PERFIL MONTANTE, FORMATO C, EM ACO ZINCADO, PARA ESTRUTURA PAREDE DRYWALL, E = 0,5 MM, 48 X 3000 MM (L X C)</t>
        </is>
      </c>
      <c r="E1539" s="11">
        <f t="array" ref="E1539">_xlfn.XLOOKUP(D1539,Insumos!B:B,Insumos!C:$C)</f>
        <v/>
      </c>
      <c r="F1539" s="14" t="n">
        <v>5.8278</v>
      </c>
      <c r="G1539" s="92">
        <f t="array" ref="G1539">IF(B1539="insumo",_xlfn.XLOOKUP($D1539,Insumos!$B$1:$B$996,Insumos!$D$1:$D$996),"")</f>
        <v/>
      </c>
      <c r="H1539" s="92" t="n">
        <v>46.505844</v>
      </c>
      <c r="I1539" s="2162" t="n">
        <v>0</v>
      </c>
      <c r="J1539" s="2162" t="n">
        <v>0</v>
      </c>
      <c r="K1539" s="2162" t="n"/>
    </row>
    <row r="1540" outlineLevel="3" ht="15.75" customHeight="1">
      <c r="A1540" s="10" t="n">
        <v>95</v>
      </c>
      <c r="B1540" s="10" t="inlineStr">
        <is>
          <t>Insumo</t>
        </is>
      </c>
      <c r="C1540" s="10" t="inlineStr">
        <is>
          <t>30_DRY 48 mm - SEM PLACAS - 4,80cm  -</t>
        </is>
      </c>
      <c r="D1540" s="10" t="inlineStr">
        <is>
          <t>PARAFUSO DRY WALL, EM ACO ZINCADO, CABECA LENTILHA E PONTA BROCA (LB), LARGURA 4,2 MM, COMPRIMENTO 13 MM</t>
        </is>
      </c>
      <c r="E1540" s="11">
        <f t="array" ref="E1540">_xlfn.XLOOKUP(D1540,Insumos!B:B,Insumos!C:$C)</f>
        <v/>
      </c>
      <c r="F1540" s="14" t="n">
        <v>0.5441</v>
      </c>
      <c r="G1540" s="92">
        <f t="array" ref="G1540">IF(B1540="insumo",_xlfn.XLOOKUP($D1540,Insumos!$B$1:$B$996,Insumos!$D$1:$D$996),"")</f>
        <v/>
      </c>
      <c r="H1540" s="92" t="n">
        <v>0.10882</v>
      </c>
      <c r="I1540" s="2162" t="n">
        <v>0</v>
      </c>
      <c r="J1540" s="2162" t="n">
        <v>0</v>
      </c>
      <c r="K1540" s="2162" t="n"/>
    </row>
    <row r="1541" outlineLevel="2" ht="15.75" customHeight="1">
      <c r="A1541" s="1067" t="n">
        <v>1</v>
      </c>
      <c r="B1541" s="1067" t="inlineStr">
        <is>
          <t>Serviço</t>
        </is>
      </c>
      <c r="C1541" s="1067" t="inlineStr">
        <is>
          <t>34_DRY 48 mm LV - SEM PLACAS - 4,80cm  -</t>
        </is>
      </c>
      <c r="D1541" s="1067" t="inlineStr">
        <is>
          <t>34_DRY 48 mm LV - SEM PLACAS - 4,80cm  -</t>
        </is>
      </c>
      <c r="E1541" s="1068" t="inlineStr">
        <is>
          <t>M2</t>
        </is>
      </c>
      <c r="F1541" s="1067" t="n"/>
      <c r="G1541" s="1069">
        <f t="array" ref="G1541">IF(B1541="insumo",_xlfn.XLOOKUP($D1541,Insumos!$B$1:$B$996,Insumos!$D$1:$D$996),"")</f>
        <v/>
      </c>
      <c r="H1541" s="1069" t="n">
        <v>146.738112666667</v>
      </c>
      <c r="I1541" s="2161" t="n">
        <v>0</v>
      </c>
      <c r="J1541" s="2161" t="n">
        <v>0</v>
      </c>
      <c r="K1541" s="2161" t="n"/>
    </row>
    <row r="1542" outlineLevel="3" ht="15.75" customHeight="1">
      <c r="A1542" s="10" t="n">
        <v>86</v>
      </c>
      <c r="B1542" s="10" t="inlineStr">
        <is>
          <t>Insumo</t>
        </is>
      </c>
      <c r="C1542" s="10" t="inlineStr">
        <is>
          <t>34_DRY 48 mm LV - SEM PLACAS - 4,80cm  -</t>
        </is>
      </c>
      <c r="D1542" s="10" t="inlineStr">
        <is>
          <t>SERVICO - CONFECCAO SHAFT GESSO</t>
        </is>
      </c>
      <c r="E1542" s="11">
        <f t="array" ref="E1542">_xlfn.XLOOKUP(D1542,Insumos!B:B,Insumos!C:$C)</f>
        <v/>
      </c>
      <c r="F1542" s="14" t="n">
        <v>1</v>
      </c>
      <c r="G1542" s="92">
        <f t="array" ref="G1542">IF(B1542="insumo",_xlfn.XLOOKUP($D1542,Insumos!$B$1:$B$996,Insumos!$D$1:$D$996),"")</f>
        <v/>
      </c>
      <c r="H1542" s="92" t="n">
        <v>70</v>
      </c>
      <c r="I1542" s="2162" t="n">
        <v>0</v>
      </c>
      <c r="J1542" s="2162" t="n">
        <v>0</v>
      </c>
      <c r="K1542" s="2162" t="n"/>
    </row>
    <row r="1543" outlineLevel="3" ht="15.75" customHeight="1">
      <c r="A1543" s="10" t="n">
        <v>95</v>
      </c>
      <c r="B1543" s="10" t="inlineStr">
        <is>
          <t>Insumo</t>
        </is>
      </c>
      <c r="C1543" s="10" t="inlineStr">
        <is>
          <t>34_DRY 48 mm LV - SEM PLACAS - 4,80cm  -</t>
        </is>
      </c>
      <c r="D1543" s="10" t="inlineStr">
        <is>
          <t>PINO DE ACO COM ARRUELA CONICA, DIAMETRO ARRUELA = *23* MM E COMP HASTE = *27* MM (ACAO INDIRETA)</t>
        </is>
      </c>
      <c r="E1543" s="11">
        <f t="array" ref="E1543">_xlfn.XLOOKUP(D1543,Insumos!B:B,Insumos!C:$C)</f>
        <v/>
      </c>
      <c r="F1543" s="14" t="n">
        <v>5.92</v>
      </c>
      <c r="G1543" s="92">
        <f t="array" ref="G1543">IF(B1543="insumo",_xlfn.XLOOKUP($D1543,Insumos!$B$1:$B$996,Insumos!$D$1:$D$996),"")</f>
        <v/>
      </c>
      <c r="H1543" s="92" t="n">
        <v>2.98368</v>
      </c>
      <c r="I1543" s="2162" t="n">
        <v>0</v>
      </c>
      <c r="J1543" s="2162" t="n">
        <v>0</v>
      </c>
      <c r="K1543" s="2162" t="n"/>
    </row>
    <row r="1544" outlineLevel="3" ht="15.75" customHeight="1">
      <c r="A1544" s="10" t="n">
        <v>26</v>
      </c>
      <c r="B1544" s="10" t="inlineStr">
        <is>
          <t>Insumo</t>
        </is>
      </c>
      <c r="C1544" s="10" t="inlineStr">
        <is>
          <t>34_DRY 48 mm LV - SEM PLACAS - 4,80cm  -</t>
        </is>
      </c>
      <c r="D1544" s="10" t="inlineStr">
        <is>
          <t>PERFIL GUIA, FORMATO U, EM ACO ZINCADO, PARA ESTRUTURA PAREDE DRYWALL, E = 0,5 MM, 48 X 3000 MM (L X C)</t>
        </is>
      </c>
      <c r="E1544" s="11">
        <f t="array" ref="E1544">_xlfn.XLOOKUP(D1544,Insumos!B:B,Insumos!C:$C)</f>
        <v/>
      </c>
      <c r="F1544" s="14" t="n">
        <v>1.8234</v>
      </c>
      <c r="G1544" s="92">
        <f t="array" ref="G1544">IF(B1544="insumo",_xlfn.XLOOKUP($D1544,Insumos!$B$1:$B$996,Insumos!$D$1:$D$996),"")</f>
        <v/>
      </c>
      <c r="H1544" s="92" t="n">
        <v>12.818502</v>
      </c>
      <c r="I1544" s="2162" t="n">
        <v>0</v>
      </c>
      <c r="J1544" s="2162" t="n">
        <v>0</v>
      </c>
      <c r="K1544" s="2162" t="n"/>
    </row>
    <row r="1545" outlineLevel="3" ht="15.75" customHeight="1">
      <c r="A1545" s="10" t="n">
        <v>26</v>
      </c>
      <c r="B1545" s="10" t="inlineStr">
        <is>
          <t>Insumo</t>
        </is>
      </c>
      <c r="C1545" s="10" t="inlineStr">
        <is>
          <t>34_DRY 48 mm LV - SEM PLACAS - 4,80cm  -</t>
        </is>
      </c>
      <c r="D1545" s="10" t="inlineStr">
        <is>
          <t>PERFIL MONTANTE, FORMATO C, EM ACO ZINCADO, PARA ESTRUTURA PAREDE DRYWALL, E = 0,5 MM, 48 X 3000 MM (L X C)</t>
        </is>
      </c>
      <c r="E1545" s="11">
        <f t="array" ref="E1545">_xlfn.XLOOKUP(D1545,Insumos!B:B,Insumos!C:$C)</f>
        <v/>
      </c>
      <c r="F1545" s="14" t="n">
        <v>5.8278</v>
      </c>
      <c r="G1545" s="92">
        <f t="array" ref="G1545">IF(B1545="insumo",_xlfn.XLOOKUP($D1545,Insumos!$B$1:$B$996,Insumos!$D$1:$D$996),"")</f>
        <v/>
      </c>
      <c r="H1545" s="92" t="n">
        <v>46.505844</v>
      </c>
      <c r="I1545" s="2162" t="n">
        <v>0</v>
      </c>
      <c r="J1545" s="2162" t="n">
        <v>0</v>
      </c>
      <c r="K1545" s="2162" t="n"/>
    </row>
    <row r="1546" outlineLevel="3" ht="15.75" customHeight="1">
      <c r="A1546" s="10" t="n">
        <v>95</v>
      </c>
      <c r="B1546" s="10" t="inlineStr">
        <is>
          <t>Insumo</t>
        </is>
      </c>
      <c r="C1546" s="10" t="inlineStr">
        <is>
          <t>34_DRY 48 mm LV - SEM PLACAS - 4,80cm  -</t>
        </is>
      </c>
      <c r="D1546" s="10" t="inlineStr">
        <is>
          <t>PARAFUSO DRY WALL, EM ACO ZINCADO, CABECA LENTILHA E PONTA BROCA (LB), LARGURA 4,2 MM, COMPRIMENTO 13 MM</t>
        </is>
      </c>
      <c r="E1546" s="11">
        <f t="array" ref="E1546">_xlfn.XLOOKUP(D1546,Insumos!B:B,Insumos!C:$C)</f>
        <v/>
      </c>
      <c r="F1546" s="14" t="n">
        <v>0.5441</v>
      </c>
      <c r="G1546" s="92">
        <f t="array" ref="G1546">IF(B1546="insumo",_xlfn.XLOOKUP($D1546,Insumos!$B$1:$B$996,Insumos!$D$1:$D$996),"")</f>
        <v/>
      </c>
      <c r="H1546" s="92" t="n">
        <v>0.10882</v>
      </c>
      <c r="I1546" s="2162" t="n">
        <v>0</v>
      </c>
      <c r="J1546" s="2162" t="n">
        <v>0</v>
      </c>
      <c r="K1546" s="2162" t="n"/>
    </row>
    <row r="1547" outlineLevel="3" ht="15.75" customHeight="1">
      <c r="A1547" s="10" t="n">
        <v>35</v>
      </c>
      <c r="B1547" s="10" t="inlineStr">
        <is>
          <t>Insumo</t>
        </is>
      </c>
      <c r="C1547" s="10" t="inlineStr">
        <is>
          <t>34_DRY 48 mm LV - SEM PLACAS - 4,80cm  -</t>
        </is>
      </c>
      <c r="D1547" s="10" t="inlineStr">
        <is>
          <t>Lã de pet 50 X 1200 X 12500 MM</t>
        </is>
      </c>
      <c r="E1547" s="11">
        <f t="array" ref="E1547">_xlfn.XLOOKUP(D1547,Insumos!B:B,Insumos!C:$C)</f>
        <v/>
      </c>
      <c r="F1547" s="14" t="n">
        <v>1.1</v>
      </c>
      <c r="G1547" s="92">
        <f t="array" ref="G1547">IF(B1547="insumo",_xlfn.XLOOKUP($D1547,Insumos!$B$1:$B$996,Insumos!$D$1:$D$996),"")</f>
        <v/>
      </c>
      <c r="H1547" s="92" t="n">
        <v>14.3212666666667</v>
      </c>
      <c r="I1547" s="2162" t="n">
        <v>0</v>
      </c>
      <c r="J1547" s="2162" t="n">
        <v>0</v>
      </c>
      <c r="K1547" s="2162" t="n"/>
    </row>
    <row r="1548" outlineLevel="2" ht="15.75" customHeight="1">
      <c r="A1548" s="1067" t="n">
        <v>1</v>
      </c>
      <c r="B1548" s="1067" t="inlineStr">
        <is>
          <t>Serviço</t>
        </is>
      </c>
      <c r="C1548" s="1067" t="inlineStr">
        <is>
          <t>30_DRY 48 mm - 1 PLACA - 6,05cm  -  Lado A: PLACA PERFORMANCE RU - Lado B: N/A</t>
        </is>
      </c>
      <c r="D1548" s="1067" t="inlineStr">
        <is>
          <t>30_DRY 48 mm - 1 PLACA - 6,05cm  -  Lado A: PLACA PERFORMANCE RU - Lado B: N/A</t>
        </is>
      </c>
      <c r="E1548" s="1068" t="inlineStr">
        <is>
          <t>M2</t>
        </is>
      </c>
      <c r="F1548" s="1067" t="n"/>
      <c r="G1548" s="1069">
        <f t="array" ref="G1548">IF(B1548="insumo",_xlfn.XLOOKUP($D1548,Insumos!$B$1:$B$996,Insumos!$D$1:$D$996),"")</f>
        <v/>
      </c>
      <c r="H1548" s="1069" t="n">
        <v>167.7400845</v>
      </c>
      <c r="I1548" s="2161" t="n">
        <v>0</v>
      </c>
      <c r="J1548" s="2161" t="n">
        <v>0</v>
      </c>
      <c r="K1548" s="2161" t="n"/>
    </row>
    <row r="1549" outlineLevel="3" ht="15.75" customHeight="1">
      <c r="A1549" s="10" t="n">
        <v>86</v>
      </c>
      <c r="B1549" s="10" t="inlineStr">
        <is>
          <t>Insumo</t>
        </is>
      </c>
      <c r="C1549" s="10" t="inlineStr">
        <is>
          <t>30_DRY 48 mm - 1 PLACA - 6,05cm  -  Lado A: PLACA PERFORMANCE RU - Lado B: N/A</t>
        </is>
      </c>
      <c r="D1549" s="10" t="inlineStr">
        <is>
          <t>SERVICO - CONFECCAO SHAFT GESSO</t>
        </is>
      </c>
      <c r="E1549" s="11">
        <f t="array" ref="E1549">_xlfn.XLOOKUP(D1549,Insumos!B:B,Insumos!C:$C)</f>
        <v/>
      </c>
      <c r="F1549" s="14" t="n">
        <v>1</v>
      </c>
      <c r="G1549" s="92">
        <f t="array" ref="G1549">IF(B1549="insumo",_xlfn.XLOOKUP($D1549,Insumos!$B$1:$B$996,Insumos!$D$1:$D$996),"")</f>
        <v/>
      </c>
      <c r="H1549" s="92" t="n">
        <v>70</v>
      </c>
      <c r="I1549" s="2162" t="n">
        <v>0</v>
      </c>
      <c r="J1549" s="2162" t="n">
        <v>0</v>
      </c>
      <c r="K1549" s="2162" t="n"/>
    </row>
    <row r="1550" outlineLevel="3" ht="15.75" customHeight="1">
      <c r="A1550" s="10" t="n">
        <v>49</v>
      </c>
      <c r="B1550" s="10" t="inlineStr">
        <is>
          <t>Insumo</t>
        </is>
      </c>
      <c r="C1550" s="10" t="inlineStr">
        <is>
          <t>30_DRY 48 mm - 1 PLACA - 6,05cm  -  Lado A: PLACA PERFORMANCE RU - Lado B: N/A</t>
        </is>
      </c>
      <c r="D1550" s="10" t="inlineStr">
        <is>
          <t>PLACA / CHAPA DE GESSO ACARTONADO, RESISTENTE A UMIDADE (RU), COR VERDE, E = 12,5 MM, 1200 X 2400 MM (L X C)</t>
        </is>
      </c>
      <c r="E1550" s="11">
        <f t="array" ref="E1550">_xlfn.XLOOKUP(D1550,Insumos!B:B,Insumos!C:$C)</f>
        <v/>
      </c>
      <c r="F1550" s="14" t="n">
        <v>1.106</v>
      </c>
      <c r="G1550" s="92">
        <f t="array" ref="G1550">IF(B1550="insumo",_xlfn.XLOOKUP($D1550,Insumos!$B$1:$B$996,Insumos!$D$1:$D$996),"")</f>
        <v/>
      </c>
      <c r="H1550" s="92" t="n">
        <v>29.9726</v>
      </c>
      <c r="I1550" s="2162" t="n">
        <v>0</v>
      </c>
      <c r="J1550" s="2162" t="n">
        <v>0</v>
      </c>
      <c r="K1550" s="2162" t="n"/>
    </row>
    <row r="1551" outlineLevel="3" ht="15.75" customHeight="1">
      <c r="A1551" s="10" t="n">
        <v>95</v>
      </c>
      <c r="B1551" s="10" t="inlineStr">
        <is>
          <t>Insumo</t>
        </is>
      </c>
      <c r="C1551" s="10" t="inlineStr">
        <is>
          <t>30_DRY 48 mm - 1 PLACA - 6,05cm  -  Lado A: PLACA PERFORMANCE RU - Lado B: N/A</t>
        </is>
      </c>
      <c r="D1551" s="10" t="inlineStr">
        <is>
          <t>PINO DE ACO COM ARRUELA CONICA, DIAMETRO ARRUELA = *23* MM E COMP HASTE = *27* MM (ACAO INDIRETA)</t>
        </is>
      </c>
      <c r="E1551" s="11">
        <f t="array" ref="E1551">_xlfn.XLOOKUP(D1551,Insumos!B:B,Insumos!C:$C)</f>
        <v/>
      </c>
      <c r="F1551" s="14" t="n">
        <v>5.92</v>
      </c>
      <c r="G1551" s="92">
        <f t="array" ref="G1551">IF(B1551="insumo",_xlfn.XLOOKUP($D1551,Insumos!$B$1:$B$996,Insumos!$D$1:$D$996),"")</f>
        <v/>
      </c>
      <c r="H1551" s="92" t="n">
        <v>2.98368</v>
      </c>
      <c r="I1551" s="2162" t="n">
        <v>0</v>
      </c>
      <c r="J1551" s="2162" t="n">
        <v>0</v>
      </c>
      <c r="K1551" s="2162" t="n"/>
    </row>
    <row r="1552" outlineLevel="3" ht="15.75" customHeight="1">
      <c r="A1552" s="10" t="n">
        <v>26</v>
      </c>
      <c r="B1552" s="10" t="inlineStr">
        <is>
          <t>Insumo</t>
        </is>
      </c>
      <c r="C1552" s="10" t="inlineStr">
        <is>
          <t>30_DRY 48 mm - 1 PLACA - 6,05cm  -  Lado A: PLACA PERFORMANCE RU - Lado B: N/A</t>
        </is>
      </c>
      <c r="D1552" s="10" t="inlineStr">
        <is>
          <t>PERFIL GUIA, FORMATO U, EM ACO ZINCADO, PARA ESTRUTURA PAREDE DRYWALL, E = 0,5 MM, 48 X 3000 MM (L X C)</t>
        </is>
      </c>
      <c r="E1552" s="11">
        <f t="array" ref="E1552">_xlfn.XLOOKUP(D1552,Insumos!B:B,Insumos!C:$C)</f>
        <v/>
      </c>
      <c r="F1552" s="14" t="n">
        <v>1.8234</v>
      </c>
      <c r="G1552" s="92">
        <f t="array" ref="G1552">IF(B1552="insumo",_xlfn.XLOOKUP($D1552,Insumos!$B$1:$B$996,Insumos!$D$1:$D$996),"")</f>
        <v/>
      </c>
      <c r="H1552" s="92" t="n">
        <v>12.818502</v>
      </c>
      <c r="I1552" s="2162" t="n">
        <v>0</v>
      </c>
      <c r="J1552" s="2162" t="n">
        <v>0</v>
      </c>
      <c r="K1552" s="2162" t="n"/>
    </row>
    <row r="1553" outlineLevel="3" ht="15.75" customHeight="1">
      <c r="A1553" s="10" t="n">
        <v>26</v>
      </c>
      <c r="B1553" s="10" t="inlineStr">
        <is>
          <t>Insumo</t>
        </is>
      </c>
      <c r="C1553" s="10" t="inlineStr">
        <is>
          <t>30_DRY 48 mm - 1 PLACA - 6,05cm  -  Lado A: PLACA PERFORMANCE RU - Lado B: N/A</t>
        </is>
      </c>
      <c r="D1553" s="10" t="inlineStr">
        <is>
          <t>PERFIL MONTANTE, FORMATO C, EM ACO ZINCADO, PARA ESTRUTURA PAREDE DRYWALL, E = 0,5 MM, 48 X 3000 MM (L X C)</t>
        </is>
      </c>
      <c r="E1553" s="11">
        <f t="array" ref="E1553">_xlfn.XLOOKUP(D1553,Insumos!B:B,Insumos!C:$C)</f>
        <v/>
      </c>
      <c r="F1553" s="14" t="n">
        <v>5.8278</v>
      </c>
      <c r="G1553" s="92">
        <f t="array" ref="G1553">IF(B1553="insumo",_xlfn.XLOOKUP($D1553,Insumos!$B$1:$B$996,Insumos!$D$1:$D$996),"")</f>
        <v/>
      </c>
      <c r="H1553" s="92" t="n">
        <v>46.505844</v>
      </c>
      <c r="I1553" s="2162" t="n">
        <v>0</v>
      </c>
      <c r="J1553" s="2162" t="n">
        <v>0</v>
      </c>
      <c r="K1553" s="2162" t="n"/>
    </row>
    <row r="1554" outlineLevel="3" ht="15.75" customHeight="1">
      <c r="A1554" s="10" t="n">
        <v>95</v>
      </c>
      <c r="B1554" s="10" t="inlineStr">
        <is>
          <t>Insumo</t>
        </is>
      </c>
      <c r="C1554" s="10" t="inlineStr">
        <is>
          <t>30_DRY 48 mm - 1 PLACA - 6,05cm  -  Lado A: PLACA PERFORMANCE RU - Lado B: N/A</t>
        </is>
      </c>
      <c r="D1554" s="10" t="inlineStr">
        <is>
          <t>MASSA DE REJUNTE EM PO PARA DRYWALL, A BASE DE GESSO, SECAGEM RAPIDA, PARA TRATAMENTO DE JUNTAS DE CHAPA DE GESSO (NECESSITA ADICAO DE AGUA)</t>
        </is>
      </c>
      <c r="E1554" s="11">
        <f t="array" ref="E1554">_xlfn.XLOOKUP(D1554,Insumos!B:B,Insumos!C:$C)</f>
        <v/>
      </c>
      <c r="F1554" s="14">
        <f>1.0978/2</f>
        <v/>
      </c>
      <c r="G1554" s="92">
        <f t="array" ref="G1554">IF(B1554="insumo",_xlfn.XLOOKUP($D1554,Insumos!$B$1:$B$996,Insumos!$D$1:$D$996),"")</f>
        <v/>
      </c>
      <c r="H1554" s="92" t="n">
        <v>1.882727</v>
      </c>
      <c r="I1554" s="2162" t="n">
        <v>0</v>
      </c>
      <c r="J1554" s="2162" t="n">
        <v>0</v>
      </c>
      <c r="K1554" s="2162" t="n"/>
    </row>
    <row r="1555" outlineLevel="3" ht="15.75" customHeight="1">
      <c r="A1555" s="10" t="n">
        <v>94</v>
      </c>
      <c r="B1555" s="10" t="inlineStr">
        <is>
          <t>Insumo</t>
        </is>
      </c>
      <c r="C1555" s="10" t="inlineStr">
        <is>
          <t>30_DRY 48 mm - 1 PLACA - 6,05cm  -  Lado A: PLACA PERFORMANCE RU - Lado B: N/A</t>
        </is>
      </c>
      <c r="D1555" s="10" t="inlineStr">
        <is>
          <t>FITA DE PAPEL MICROPERFURADO, 50 X 150 MM, PARA TRATAMENTO DE JUNTAS DE CHAPA DE GESSO PARA DRYWALL</t>
        </is>
      </c>
      <c r="E1555" s="11">
        <f t="array" ref="E1555">_xlfn.XLOOKUP(D1555,Insumos!B:B,Insumos!C:$C)</f>
        <v/>
      </c>
      <c r="F1555" s="14">
        <f>2.5027/2</f>
        <v/>
      </c>
      <c r="G1555" s="92">
        <f t="array" ref="G1555">IF(B1555="insumo",_xlfn.XLOOKUP($D1555,Insumos!$B$1:$B$996,Insumos!$D$1:$D$996),"")</f>
        <v/>
      </c>
      <c r="H1555" s="92" t="n">
        <v>0.3879185</v>
      </c>
      <c r="I1555" s="2162" t="n">
        <v>0</v>
      </c>
      <c r="J1555" s="2162" t="n">
        <v>0</v>
      </c>
      <c r="K1555" s="2162" t="n"/>
    </row>
    <row r="1556" outlineLevel="3" ht="15.75" customHeight="1">
      <c r="A1556" s="10" t="n">
        <v>94</v>
      </c>
      <c r="B1556" s="10" t="inlineStr">
        <is>
          <t>Insumo</t>
        </is>
      </c>
      <c r="C1556" s="10" t="inlineStr">
        <is>
          <t>30_DRY 48 mm - 1 PLACA - 6,05cm  -  Lado A: PLACA PERFORMANCE RU - Lado B: N/A</t>
        </is>
      </c>
      <c r="D1556" s="10" t="inlineStr">
        <is>
          <t>FITA DE PAPEL REFORCADA COM LAMINA DE METAL PARA REFORCO DE CANTOS DE CHAPA DE GESSO PARA DRYWALL</t>
        </is>
      </c>
      <c r="E1556" s="11">
        <f t="array" ref="E1556">_xlfn.XLOOKUP(D1556,Insumos!B:B,Insumos!C:$C)</f>
        <v/>
      </c>
      <c r="F1556" s="14">
        <f>1.5851/2</f>
        <v/>
      </c>
      <c r="G1556" s="92">
        <f t="array" ref="G1556">IF(B1556="insumo",_xlfn.XLOOKUP($D1556,Insumos!$B$1:$B$996,Insumos!$D$1:$D$996),"")</f>
        <v/>
      </c>
      <c r="H1556" s="92" t="n">
        <v>2.171587</v>
      </c>
      <c r="I1556" s="2162" t="n">
        <v>0</v>
      </c>
      <c r="J1556" s="2162" t="n">
        <v>0</v>
      </c>
      <c r="K1556" s="2162" t="n"/>
    </row>
    <row r="1557" outlineLevel="3" ht="15.75" customHeight="1">
      <c r="A1557" s="10" t="n">
        <v>97</v>
      </c>
      <c r="B1557" s="10" t="inlineStr">
        <is>
          <t>Insumo</t>
        </is>
      </c>
      <c r="C1557" s="10" t="inlineStr">
        <is>
          <t>30_DRY 48 mm - 1 PLACA - 6,05cm  -  Lado A: PLACA PERFORMANCE RU - Lado B: N/A</t>
        </is>
      </c>
      <c r="D1557" s="10" t="inlineStr">
        <is>
          <t>PARAFUSO DRY WALL, EM ACO FOSFATIZADO, CABECA TROMBETA E PONTA AGULHA (TA), COMPRIMENTO 25 MM</t>
        </is>
      </c>
      <c r="E1557" s="11">
        <f t="array" ref="E1557">_xlfn.XLOOKUP(D1557,Insumos!B:B,Insumos!C:$C)</f>
        <v/>
      </c>
      <c r="F1557" s="14">
        <f>20.1868/2</f>
        <v/>
      </c>
      <c r="G1557" s="92">
        <f t="array" ref="G1557">IF(B1557="insumo",_xlfn.XLOOKUP($D1557,Insumos!$B$1:$B$996,Insumos!$D$1:$D$996),"")</f>
        <v/>
      </c>
      <c r="H1557" s="92" t="n">
        <v>0.908406</v>
      </c>
      <c r="I1557" s="2162" t="n">
        <v>0</v>
      </c>
      <c r="J1557" s="2162" t="n">
        <v>0</v>
      </c>
      <c r="K1557" s="2162" t="n"/>
    </row>
    <row r="1558" outlineLevel="3" ht="15.75" customHeight="1">
      <c r="A1558" s="10" t="n">
        <v>95</v>
      </c>
      <c r="B1558" s="10" t="inlineStr">
        <is>
          <t>Insumo</t>
        </is>
      </c>
      <c r="C1558" s="10" t="inlineStr">
        <is>
          <t>30_DRY 48 mm - 1 PLACA - 6,05cm  -  Lado A: PLACA PERFORMANCE RU - Lado B: N/A</t>
        </is>
      </c>
      <c r="D1558" s="10" t="inlineStr">
        <is>
          <t>PARAFUSO DRY WALL, EM ACO ZINCADO, CABECA LENTILHA E PONTA BROCA (LB), LARGURA 4,2 MM, COMPRIMENTO 13 MM</t>
        </is>
      </c>
      <c r="E1558" s="11">
        <f t="array" ref="E1558">_xlfn.XLOOKUP(D1558,Insumos!B:B,Insumos!C:$C)</f>
        <v/>
      </c>
      <c r="F1558" s="14" t="n">
        <v>0.5441</v>
      </c>
      <c r="G1558" s="92">
        <f t="array" ref="G1558">IF(B1558="insumo",_xlfn.XLOOKUP($D1558,Insumos!$B$1:$B$996,Insumos!$D$1:$D$996),"")</f>
        <v/>
      </c>
      <c r="H1558" s="92" t="n">
        <v>0.10882</v>
      </c>
      <c r="I1558" s="2162" t="n">
        <v>0</v>
      </c>
      <c r="J1558" s="2162" t="n">
        <v>0</v>
      </c>
      <c r="K1558" s="2162" t="n"/>
    </row>
    <row r="1559" outlineLevel="2" ht="15.75" customHeight="1">
      <c r="A1559" s="1067" t="n">
        <v>1</v>
      </c>
      <c r="B1559" s="1067" t="inlineStr">
        <is>
          <t>Serviço</t>
        </is>
      </c>
      <c r="C1559" s="1067" t="inlineStr">
        <is>
          <t>30_DRY 48 mm - 1 PLACA - 6,05cm  -  Lado A: PLACA RU - Lado B: N/A</t>
        </is>
      </c>
      <c r="D1559" s="1067" t="inlineStr">
        <is>
          <t>30_DRY 48 mm - 1 PLACA - 6,05cm  -  Lado A: PLACA RU - Lado B: N/A</t>
        </is>
      </c>
      <c r="E1559" s="1068" t="inlineStr">
        <is>
          <t>M2</t>
        </is>
      </c>
      <c r="F1559" s="1067" t="n"/>
      <c r="G1559" s="1069">
        <f t="array" ref="G1559">IF(B1559="insumo",_xlfn.XLOOKUP($D1559,Insumos!$B$1:$B$996,Insumos!$D$1:$D$996),"")</f>
        <v/>
      </c>
      <c r="H1559" s="1069" t="n">
        <v>167.7400845</v>
      </c>
      <c r="I1559" s="2161" t="n">
        <v>0</v>
      </c>
      <c r="J1559" s="2161" t="n">
        <v>0</v>
      </c>
      <c r="K1559" s="2161" t="n"/>
    </row>
    <row r="1560" outlineLevel="3" ht="15.75" customHeight="1">
      <c r="A1560" s="10" t="n">
        <v>86</v>
      </c>
      <c r="B1560" s="10" t="inlineStr">
        <is>
          <t>Insumo</t>
        </is>
      </c>
      <c r="C1560" s="10" t="inlineStr">
        <is>
          <t>30_DRY 48 mm - 1 PLACA - 6,05cm  -  Lado A: PLACA RU - Lado B: N/A</t>
        </is>
      </c>
      <c r="D1560" s="10" t="inlineStr">
        <is>
          <t>SERVICO - CONFECCAO SHAFT GESSO</t>
        </is>
      </c>
      <c r="E1560" s="11">
        <f t="array" ref="E1560">_xlfn.XLOOKUP(D1560,Insumos!B:B,Insumos!C:$C)</f>
        <v/>
      </c>
      <c r="F1560" s="14" t="n">
        <v>1</v>
      </c>
      <c r="G1560" s="92">
        <f t="array" ref="G1560">IF(B1560="insumo",_xlfn.XLOOKUP($D1560,Insumos!$B$1:$B$996,Insumos!$D$1:$D$996),"")</f>
        <v/>
      </c>
      <c r="H1560" s="92" t="n">
        <v>70</v>
      </c>
      <c r="I1560" s="2162" t="n">
        <v>0</v>
      </c>
      <c r="J1560" s="2162" t="n">
        <v>0</v>
      </c>
      <c r="K1560" s="2162" t="n"/>
    </row>
    <row r="1561" outlineLevel="3" ht="15.75" customHeight="1">
      <c r="A1561" s="10" t="n">
        <v>49</v>
      </c>
      <c r="B1561" s="10" t="inlineStr">
        <is>
          <t>Insumo</t>
        </is>
      </c>
      <c r="C1561" s="10" t="inlineStr">
        <is>
          <t>30_DRY 48 mm - 1 PLACA - 6,05cm  -  Lado A: PLACA RU - Lado B: N/A</t>
        </is>
      </c>
      <c r="D1561" s="10" t="inlineStr">
        <is>
          <t>PLACA / CHAPA DE GESSO ACARTONADO, RESISTENTE A UMIDADE (RU), COR VERDE, E = 12,5 MM, 1200 X 2400 MM (L X C)</t>
        </is>
      </c>
      <c r="E1561" s="11">
        <f t="array" ref="E1561">_xlfn.XLOOKUP(D1561,Insumos!B:B,Insumos!C:$C)</f>
        <v/>
      </c>
      <c r="F1561" s="14" t="n">
        <v>1.106</v>
      </c>
      <c r="G1561" s="92">
        <f t="array" ref="G1561">IF(B1561="insumo",_xlfn.XLOOKUP($D1561,Insumos!$B$1:$B$996,Insumos!$D$1:$D$996),"")</f>
        <v/>
      </c>
      <c r="H1561" s="92" t="n">
        <v>29.9726</v>
      </c>
      <c r="I1561" s="2162" t="n">
        <v>0</v>
      </c>
      <c r="J1561" s="2162" t="n">
        <v>0</v>
      </c>
      <c r="K1561" s="2162" t="n"/>
    </row>
    <row r="1562" outlineLevel="3" ht="15.75" customHeight="1">
      <c r="A1562" s="10" t="n">
        <v>95</v>
      </c>
      <c r="B1562" s="10" t="inlineStr">
        <is>
          <t>Insumo</t>
        </is>
      </c>
      <c r="C1562" s="10" t="inlineStr">
        <is>
          <t>30_DRY 48 mm - 1 PLACA - 6,05cm  -  Lado A: PLACA RU - Lado B: N/A</t>
        </is>
      </c>
      <c r="D1562" s="10" t="inlineStr">
        <is>
          <t>PINO DE ACO COM ARRUELA CONICA, DIAMETRO ARRUELA = *23* MM E COMP HASTE = *27* MM (ACAO INDIRETA)</t>
        </is>
      </c>
      <c r="E1562" s="11">
        <f t="array" ref="E1562">_xlfn.XLOOKUP(D1562,Insumos!B:B,Insumos!C:$C)</f>
        <v/>
      </c>
      <c r="F1562" s="14" t="n">
        <v>5.92</v>
      </c>
      <c r="G1562" s="92">
        <f t="array" ref="G1562">IF(B1562="insumo",_xlfn.XLOOKUP($D1562,Insumos!$B$1:$B$996,Insumos!$D$1:$D$996),"")</f>
        <v/>
      </c>
      <c r="H1562" s="92" t="n">
        <v>2.98368</v>
      </c>
      <c r="I1562" s="2162" t="n">
        <v>0</v>
      </c>
      <c r="J1562" s="2162" t="n">
        <v>0</v>
      </c>
      <c r="K1562" s="2162" t="n"/>
    </row>
    <row r="1563" outlineLevel="3" ht="15.75" customHeight="1">
      <c r="A1563" s="10" t="n">
        <v>26</v>
      </c>
      <c r="B1563" s="10" t="inlineStr">
        <is>
          <t>Insumo</t>
        </is>
      </c>
      <c r="C1563" s="10" t="inlineStr">
        <is>
          <t>30_DRY 48 mm - 1 PLACA - 6,05cm  -  Lado A: PLACA RU - Lado B: N/A</t>
        </is>
      </c>
      <c r="D1563" s="10" t="inlineStr">
        <is>
          <t>PERFIL GUIA, FORMATO U, EM ACO ZINCADO, PARA ESTRUTURA PAREDE DRYWALL, E = 0,5 MM, 48 X 3000 MM (L X C)</t>
        </is>
      </c>
      <c r="E1563" s="11">
        <f t="array" ref="E1563">_xlfn.XLOOKUP(D1563,Insumos!B:B,Insumos!C:$C)</f>
        <v/>
      </c>
      <c r="F1563" s="14" t="n">
        <v>1.8234</v>
      </c>
      <c r="G1563" s="92">
        <f t="array" ref="G1563">IF(B1563="insumo",_xlfn.XLOOKUP($D1563,Insumos!$B$1:$B$996,Insumos!$D$1:$D$996),"")</f>
        <v/>
      </c>
      <c r="H1563" s="92" t="n">
        <v>12.818502</v>
      </c>
      <c r="I1563" s="2162" t="n">
        <v>0</v>
      </c>
      <c r="J1563" s="2162" t="n">
        <v>0</v>
      </c>
      <c r="K1563" s="2162" t="n"/>
    </row>
    <row r="1564" outlineLevel="3" ht="15.75" customHeight="1">
      <c r="A1564" s="10" t="n">
        <v>26</v>
      </c>
      <c r="B1564" s="10" t="inlineStr">
        <is>
          <t>Insumo</t>
        </is>
      </c>
      <c r="C1564" s="10" t="inlineStr">
        <is>
          <t>30_DRY 48 mm - 1 PLACA - 6,05cm  -  Lado A: PLACA RU - Lado B: N/A</t>
        </is>
      </c>
      <c r="D1564" s="10" t="inlineStr">
        <is>
          <t>PERFIL MONTANTE, FORMATO C, EM ACO ZINCADO, PARA ESTRUTURA PAREDE DRYWALL, E = 0,5 MM, 48 X 3000 MM (L X C)</t>
        </is>
      </c>
      <c r="E1564" s="11">
        <f t="array" ref="E1564">_xlfn.XLOOKUP(D1564,Insumos!B:B,Insumos!C:$C)</f>
        <v/>
      </c>
      <c r="F1564" s="14" t="n">
        <v>5.8278</v>
      </c>
      <c r="G1564" s="92">
        <f t="array" ref="G1564">IF(B1564="insumo",_xlfn.XLOOKUP($D1564,Insumos!$B$1:$B$996,Insumos!$D$1:$D$996),"")</f>
        <v/>
      </c>
      <c r="H1564" s="92" t="n">
        <v>46.505844</v>
      </c>
      <c r="I1564" s="2162" t="n">
        <v>0</v>
      </c>
      <c r="J1564" s="2162" t="n">
        <v>0</v>
      </c>
      <c r="K1564" s="2162" t="n"/>
    </row>
    <row r="1565" outlineLevel="3" ht="15.75" customHeight="1">
      <c r="A1565" s="10" t="n">
        <v>95</v>
      </c>
      <c r="B1565" s="10" t="inlineStr">
        <is>
          <t>Insumo</t>
        </is>
      </c>
      <c r="C1565" s="10" t="inlineStr">
        <is>
          <t>30_DRY 48 mm - 1 PLACA - 6,05cm  -  Lado A: PLACA RU - Lado B: N/A</t>
        </is>
      </c>
      <c r="D1565" s="10" t="inlineStr">
        <is>
          <t>MASSA DE REJUNTE EM PO PARA DRYWALL, A BASE DE GESSO, SECAGEM RAPIDA, PARA TRATAMENTO DE JUNTAS DE CHAPA DE GESSO (NECESSITA ADICAO DE AGUA)</t>
        </is>
      </c>
      <c r="E1565" s="11">
        <f t="array" ref="E1565">_xlfn.XLOOKUP(D1565,Insumos!B:B,Insumos!C:$C)</f>
        <v/>
      </c>
      <c r="F1565" s="14">
        <f>1.0978/2</f>
        <v/>
      </c>
      <c r="G1565" s="92">
        <f t="array" ref="G1565">IF(B1565="insumo",_xlfn.XLOOKUP($D1565,Insumos!$B$1:$B$996,Insumos!$D$1:$D$996),"")</f>
        <v/>
      </c>
      <c r="H1565" s="92" t="n">
        <v>1.882727</v>
      </c>
      <c r="I1565" s="2162" t="n">
        <v>0</v>
      </c>
      <c r="J1565" s="2162" t="n">
        <v>0</v>
      </c>
      <c r="K1565" s="2162" t="n"/>
    </row>
    <row r="1566" outlineLevel="3" ht="15.75" customHeight="1">
      <c r="A1566" s="10" t="n">
        <v>94</v>
      </c>
      <c r="B1566" s="10" t="inlineStr">
        <is>
          <t>Insumo</t>
        </is>
      </c>
      <c r="C1566" s="10" t="inlineStr">
        <is>
          <t>30_DRY 48 mm - 1 PLACA - 6,05cm  -  Lado A: PLACA RU - Lado B: N/A</t>
        </is>
      </c>
      <c r="D1566" s="10" t="inlineStr">
        <is>
          <t>FITA DE PAPEL MICROPERFURADO, 50 X 150 MM, PARA TRATAMENTO DE JUNTAS DE CHAPA DE GESSO PARA DRYWALL</t>
        </is>
      </c>
      <c r="E1566" s="11">
        <f t="array" ref="E1566">_xlfn.XLOOKUP(D1566,Insumos!B:B,Insumos!C:$C)</f>
        <v/>
      </c>
      <c r="F1566" s="14">
        <f>2.5027/2</f>
        <v/>
      </c>
      <c r="G1566" s="92">
        <f t="array" ref="G1566">IF(B1566="insumo",_xlfn.XLOOKUP($D1566,Insumos!$B$1:$B$996,Insumos!$D$1:$D$996),"")</f>
        <v/>
      </c>
      <c r="H1566" s="92" t="n">
        <v>0.3879185</v>
      </c>
      <c r="I1566" s="2162" t="n">
        <v>0</v>
      </c>
      <c r="J1566" s="2162" t="n">
        <v>0</v>
      </c>
      <c r="K1566" s="2162" t="n"/>
    </row>
    <row r="1567" outlineLevel="3" ht="15.75" customHeight="1">
      <c r="A1567" s="10" t="n">
        <v>94</v>
      </c>
      <c r="B1567" s="10" t="inlineStr">
        <is>
          <t>Insumo</t>
        </is>
      </c>
      <c r="C1567" s="10" t="inlineStr">
        <is>
          <t>30_DRY 48 mm - 1 PLACA - 6,05cm  -  Lado A: PLACA RU - Lado B: N/A</t>
        </is>
      </c>
      <c r="D1567" s="10" t="inlineStr">
        <is>
          <t>FITA DE PAPEL REFORCADA COM LAMINA DE METAL PARA REFORCO DE CANTOS DE CHAPA DE GESSO PARA DRYWALL</t>
        </is>
      </c>
      <c r="E1567" s="11">
        <f t="array" ref="E1567">_xlfn.XLOOKUP(D1567,Insumos!B:B,Insumos!C:$C)</f>
        <v/>
      </c>
      <c r="F1567" s="14">
        <f>1.5851/2</f>
        <v/>
      </c>
      <c r="G1567" s="92">
        <f t="array" ref="G1567">IF(B1567="insumo",_xlfn.XLOOKUP($D1567,Insumos!$B$1:$B$996,Insumos!$D$1:$D$996),"")</f>
        <v/>
      </c>
      <c r="H1567" s="92" t="n">
        <v>2.171587</v>
      </c>
      <c r="I1567" s="2162" t="n">
        <v>0</v>
      </c>
      <c r="J1567" s="2162" t="n">
        <v>0</v>
      </c>
      <c r="K1567" s="2162" t="n"/>
    </row>
    <row r="1568" outlineLevel="3" ht="15.75" customHeight="1">
      <c r="A1568" s="10" t="n">
        <v>97</v>
      </c>
      <c r="B1568" s="10" t="inlineStr">
        <is>
          <t>Insumo</t>
        </is>
      </c>
      <c r="C1568" s="10" t="inlineStr">
        <is>
          <t>30_DRY 48 mm - 1 PLACA - 6,05cm  -  Lado A: PLACA RU - Lado B: N/A</t>
        </is>
      </c>
      <c r="D1568" s="10" t="inlineStr">
        <is>
          <t>PARAFUSO DRY WALL, EM ACO FOSFATIZADO, CABECA TROMBETA E PONTA AGULHA (TA), COMPRIMENTO 25 MM</t>
        </is>
      </c>
      <c r="E1568" s="11">
        <f t="array" ref="E1568">_xlfn.XLOOKUP(D1568,Insumos!B:B,Insumos!C:$C)</f>
        <v/>
      </c>
      <c r="F1568" s="14">
        <f>20.1868/2</f>
        <v/>
      </c>
      <c r="G1568" s="92">
        <f t="array" ref="G1568">IF(B1568="insumo",_xlfn.XLOOKUP($D1568,Insumos!$B$1:$B$996,Insumos!$D$1:$D$996),"")</f>
        <v/>
      </c>
      <c r="H1568" s="92" t="n">
        <v>0.908406</v>
      </c>
      <c r="I1568" s="2162" t="n">
        <v>0</v>
      </c>
      <c r="J1568" s="2162" t="n">
        <v>0</v>
      </c>
      <c r="K1568" s="2162" t="n"/>
    </row>
    <row r="1569" outlineLevel="3" ht="15.75" customHeight="1">
      <c r="A1569" s="10" t="n">
        <v>95</v>
      </c>
      <c r="B1569" s="10" t="inlineStr">
        <is>
          <t>Insumo</t>
        </is>
      </c>
      <c r="C1569" s="10" t="inlineStr">
        <is>
          <t>30_DRY 48 mm - 1 PLACA - 6,05cm  -  Lado A: PLACA RU - Lado B: N/A</t>
        </is>
      </c>
      <c r="D1569" s="10" t="inlineStr">
        <is>
          <t>PARAFUSO DRY WALL, EM ACO ZINCADO, CABECA LENTILHA E PONTA BROCA (LB), LARGURA 4,2 MM, COMPRIMENTO 13 MM</t>
        </is>
      </c>
      <c r="E1569" s="11">
        <f t="array" ref="E1569">_xlfn.XLOOKUP(D1569,Insumos!B:B,Insumos!C:$C)</f>
        <v/>
      </c>
      <c r="F1569" s="14" t="n">
        <v>0.5441</v>
      </c>
      <c r="G1569" s="92">
        <f t="array" ref="G1569">IF(B1569="insumo",_xlfn.XLOOKUP($D1569,Insumos!$B$1:$B$996,Insumos!$D$1:$D$996),"")</f>
        <v/>
      </c>
      <c r="H1569" s="92" t="n">
        <v>0.10882</v>
      </c>
      <c r="I1569" s="2162" t="n">
        <v>0</v>
      </c>
      <c r="J1569" s="2162" t="n">
        <v>0</v>
      </c>
      <c r="K1569" s="2162" t="n"/>
    </row>
    <row r="1570" outlineLevel="2" ht="15.75" customHeight="1">
      <c r="A1570" s="1067" t="n">
        <v>1</v>
      </c>
      <c r="B1570" s="1067" t="inlineStr">
        <is>
          <t>Serviço</t>
        </is>
      </c>
      <c r="C1570" s="1067" t="inlineStr">
        <is>
          <t>30_DRY 48 mm - 1 PLACA - 6,05cm  -  Lado A: PLACA ST - Lado B: N/A</t>
        </is>
      </c>
      <c r="D1570" s="1067" t="inlineStr">
        <is>
          <t>30_DRY 48 mm - 1 PLACA - 6,05cm  -  Lado A: PLACA ST - Lado B: N/A</t>
        </is>
      </c>
      <c r="E1570" s="1068" t="inlineStr">
        <is>
          <t>M2</t>
        </is>
      </c>
      <c r="F1570" s="1067" t="n"/>
      <c r="G1570" s="1069">
        <f t="array" ref="G1570">IF(B1570="insumo",_xlfn.XLOOKUP($D1570,Insumos!$B$1:$B$996,Insumos!$D$1:$D$996),"")</f>
        <v/>
      </c>
      <c r="H1570" s="1069" t="n">
        <v>160.0644445</v>
      </c>
      <c r="I1570" s="2161" t="n">
        <v>0</v>
      </c>
      <c r="J1570" s="2161" t="n">
        <v>0</v>
      </c>
      <c r="K1570" s="2161" t="n"/>
    </row>
    <row r="1571" outlineLevel="3" ht="15.75" customHeight="1">
      <c r="A1571" s="10" t="n">
        <v>86</v>
      </c>
      <c r="B1571" s="10" t="inlineStr">
        <is>
          <t>Insumo</t>
        </is>
      </c>
      <c r="C1571" s="10" t="inlineStr">
        <is>
          <t>30_DRY 48 mm - 1 PLACA - 6,05cm  -  Lado A: PLACA ST - Lado B: N/A</t>
        </is>
      </c>
      <c r="D1571" s="10" t="inlineStr">
        <is>
          <t>SERVICO - CONFECCAO SHAFT GESSO</t>
        </is>
      </c>
      <c r="E1571" s="11">
        <f t="array" ref="E1571">_xlfn.XLOOKUP(D1571,Insumos!B:B,Insumos!C:$C)</f>
        <v/>
      </c>
      <c r="F1571" s="14" t="n">
        <v>1</v>
      </c>
      <c r="G1571" s="92">
        <f t="array" ref="G1571">IF(B1571="insumo",_xlfn.XLOOKUP($D1571,Insumos!$B$1:$B$996,Insumos!$D$1:$D$996),"")</f>
        <v/>
      </c>
      <c r="H1571" s="92" t="n">
        <v>70</v>
      </c>
      <c r="I1571" s="2162" t="n">
        <v>0</v>
      </c>
      <c r="J1571" s="2162" t="n">
        <v>0</v>
      </c>
      <c r="K1571" s="2162" t="n"/>
    </row>
    <row r="1572" outlineLevel="3" ht="15.75" customHeight="1">
      <c r="A1572" s="10" t="n">
        <v>47</v>
      </c>
      <c r="B1572" s="10" t="inlineStr">
        <is>
          <t>Insumo</t>
        </is>
      </c>
      <c r="C1572" s="10" t="inlineStr">
        <is>
          <t>30_DRY 48 mm - 1 PLACA - 6,05cm  -  Lado A: PLACA ST - Lado B: N/A</t>
        </is>
      </c>
      <c r="D1572" s="10" t="inlineStr">
        <is>
          <t>PLACA / CHAPA DE GESSO ACARTONADO, STANDARD (ST), COR BRANCA, E = 12,5 MM, 1200 X 2400 MM (L X C)</t>
        </is>
      </c>
      <c r="E1572" s="11">
        <f t="array" ref="E1572">_xlfn.XLOOKUP(D1572,Insumos!B:B,Insumos!C:$C)</f>
        <v/>
      </c>
      <c r="F1572" s="14" t="n">
        <v>1.106</v>
      </c>
      <c r="G1572" s="92">
        <f t="array" ref="G1572">IF(B1572="insumo",_xlfn.XLOOKUP($D1572,Insumos!$B$1:$B$996,Insumos!$D$1:$D$996),"")</f>
        <v/>
      </c>
      <c r="H1572" s="92" t="n">
        <v>22.29696</v>
      </c>
      <c r="I1572" s="2162" t="n">
        <v>0</v>
      </c>
      <c r="J1572" s="2162" t="n">
        <v>0</v>
      </c>
      <c r="K1572" s="2162" t="n"/>
    </row>
    <row r="1573" outlineLevel="3" ht="15.75" customHeight="1">
      <c r="A1573" s="10" t="n">
        <v>95</v>
      </c>
      <c r="B1573" s="10" t="inlineStr">
        <is>
          <t>Insumo</t>
        </is>
      </c>
      <c r="C1573" s="10" t="inlineStr">
        <is>
          <t>30_DRY 48 mm - 1 PLACA - 6,05cm  -  Lado A: PLACA ST - Lado B: N/A</t>
        </is>
      </c>
      <c r="D1573" s="10" t="inlineStr">
        <is>
          <t>PINO DE ACO COM ARRUELA CONICA, DIAMETRO ARRUELA = *23* MM E COMP HASTE = *27* MM (ACAO INDIRETA)</t>
        </is>
      </c>
      <c r="E1573" s="11">
        <f t="array" ref="E1573">_xlfn.XLOOKUP(D1573,Insumos!B:B,Insumos!C:$C)</f>
        <v/>
      </c>
      <c r="F1573" s="14" t="n">
        <v>5.92</v>
      </c>
      <c r="G1573" s="92">
        <f t="array" ref="G1573">IF(B1573="insumo",_xlfn.XLOOKUP($D1573,Insumos!$B$1:$B$996,Insumos!$D$1:$D$996),"")</f>
        <v/>
      </c>
      <c r="H1573" s="92" t="n">
        <v>2.98368</v>
      </c>
      <c r="I1573" s="2162" t="n">
        <v>0</v>
      </c>
      <c r="J1573" s="2162" t="n">
        <v>0</v>
      </c>
      <c r="K1573" s="2162" t="n"/>
    </row>
    <row r="1574" outlineLevel="3" ht="15.75" customHeight="1">
      <c r="A1574" s="10" t="n">
        <v>26</v>
      </c>
      <c r="B1574" s="10" t="inlineStr">
        <is>
          <t>Insumo</t>
        </is>
      </c>
      <c r="C1574" s="10" t="inlineStr">
        <is>
          <t>30_DRY 48 mm - 1 PLACA - 6,05cm  -  Lado A: PLACA ST - Lado B: N/A</t>
        </is>
      </c>
      <c r="D1574" s="10" t="inlineStr">
        <is>
          <t>PERFIL GUIA, FORMATO U, EM ACO ZINCADO, PARA ESTRUTURA PAREDE DRYWALL, E = 0,5 MM, 48 X 3000 MM (L X C)</t>
        </is>
      </c>
      <c r="E1574" s="11">
        <f t="array" ref="E1574">_xlfn.XLOOKUP(D1574,Insumos!B:B,Insumos!C:$C)</f>
        <v/>
      </c>
      <c r="F1574" s="14" t="n">
        <v>1.8234</v>
      </c>
      <c r="G1574" s="92">
        <f t="array" ref="G1574">IF(B1574="insumo",_xlfn.XLOOKUP($D1574,Insumos!$B$1:$B$996,Insumos!$D$1:$D$996),"")</f>
        <v/>
      </c>
      <c r="H1574" s="92" t="n">
        <v>12.818502</v>
      </c>
      <c r="I1574" s="2162" t="n">
        <v>0</v>
      </c>
      <c r="J1574" s="2162" t="n">
        <v>0</v>
      </c>
      <c r="K1574" s="2162" t="n"/>
    </row>
    <row r="1575" outlineLevel="3" ht="15.75" customHeight="1">
      <c r="A1575" s="10" t="n">
        <v>26</v>
      </c>
      <c r="B1575" s="10" t="inlineStr">
        <is>
          <t>Insumo</t>
        </is>
      </c>
      <c r="C1575" s="10" t="inlineStr">
        <is>
          <t>30_DRY 48 mm - 1 PLACA - 6,05cm  -  Lado A: PLACA ST - Lado B: N/A</t>
        </is>
      </c>
      <c r="D1575" s="10" t="inlineStr">
        <is>
          <t>PERFIL MONTANTE, FORMATO C, EM ACO ZINCADO, PARA ESTRUTURA PAREDE DRYWALL, E = 0,5 MM, 48 X 3000 MM (L X C)</t>
        </is>
      </c>
      <c r="E1575" s="11">
        <f t="array" ref="E1575">_xlfn.XLOOKUP(D1575,Insumos!B:B,Insumos!C:$C)</f>
        <v/>
      </c>
      <c r="F1575" s="14" t="n">
        <v>5.8278</v>
      </c>
      <c r="G1575" s="92">
        <f t="array" ref="G1575">IF(B1575="insumo",_xlfn.XLOOKUP($D1575,Insumos!$B$1:$B$996,Insumos!$D$1:$D$996),"")</f>
        <v/>
      </c>
      <c r="H1575" s="92" t="n">
        <v>46.505844</v>
      </c>
      <c r="I1575" s="2162" t="n">
        <v>0</v>
      </c>
      <c r="J1575" s="2162" t="n">
        <v>0</v>
      </c>
      <c r="K1575" s="2162" t="n"/>
    </row>
    <row r="1576" outlineLevel="3" ht="15.75" customHeight="1">
      <c r="A1576" s="10" t="n">
        <v>95</v>
      </c>
      <c r="B1576" s="10" t="inlineStr">
        <is>
          <t>Insumo</t>
        </is>
      </c>
      <c r="C1576" s="10" t="inlineStr">
        <is>
          <t>30_DRY 48 mm - 1 PLACA - 6,05cm  -  Lado A: PLACA ST - Lado B: N/A</t>
        </is>
      </c>
      <c r="D1576" s="10" t="inlineStr">
        <is>
          <t>MASSA DE REJUNTE EM PO PARA DRYWALL, A BASE DE GESSO, SECAGEM RAPIDA, PARA TRATAMENTO DE JUNTAS DE CHAPA DE GESSO (NECESSITA ADICAO DE AGUA)</t>
        </is>
      </c>
      <c r="E1576" s="11">
        <f t="array" ref="E1576">_xlfn.XLOOKUP(D1576,Insumos!B:B,Insumos!C:$C)</f>
        <v/>
      </c>
      <c r="F1576" s="14">
        <f>1.0978/2</f>
        <v/>
      </c>
      <c r="G1576" s="92">
        <f t="array" ref="G1576">IF(B1576="insumo",_xlfn.XLOOKUP($D1576,Insumos!$B$1:$B$996,Insumos!$D$1:$D$996),"")</f>
        <v/>
      </c>
      <c r="H1576" s="92" t="n">
        <v>1.882727</v>
      </c>
      <c r="I1576" s="2162" t="n">
        <v>0</v>
      </c>
      <c r="J1576" s="2162" t="n">
        <v>0</v>
      </c>
      <c r="K1576" s="2162" t="n"/>
    </row>
    <row r="1577" outlineLevel="3" ht="15.75" customHeight="1">
      <c r="A1577" s="10" t="n">
        <v>94</v>
      </c>
      <c r="B1577" s="10" t="inlineStr">
        <is>
          <t>Insumo</t>
        </is>
      </c>
      <c r="C1577" s="10" t="inlineStr">
        <is>
          <t>30_DRY 48 mm - 1 PLACA - 6,05cm  -  Lado A: PLACA ST - Lado B: N/A</t>
        </is>
      </c>
      <c r="D1577" s="10" t="inlineStr">
        <is>
          <t>FITA DE PAPEL MICROPERFURADO, 50 X 150 MM, PARA TRATAMENTO DE JUNTAS DE CHAPA DE GESSO PARA DRYWALL</t>
        </is>
      </c>
      <c r="E1577" s="11">
        <f t="array" ref="E1577">_xlfn.XLOOKUP(D1577,Insumos!B:B,Insumos!C:$C)</f>
        <v/>
      </c>
      <c r="F1577" s="14">
        <f>2.5027/2</f>
        <v/>
      </c>
      <c r="G1577" s="92">
        <f t="array" ref="G1577">IF(B1577="insumo",_xlfn.XLOOKUP($D1577,Insumos!$B$1:$B$996,Insumos!$D$1:$D$996),"")</f>
        <v/>
      </c>
      <c r="H1577" s="92" t="n">
        <v>0.3879185</v>
      </c>
      <c r="I1577" s="2162" t="n">
        <v>0</v>
      </c>
      <c r="J1577" s="2162" t="n">
        <v>0</v>
      </c>
      <c r="K1577" s="2162" t="n"/>
    </row>
    <row r="1578" outlineLevel="3" ht="15.75" customHeight="1">
      <c r="A1578" s="10" t="n">
        <v>94</v>
      </c>
      <c r="B1578" s="10" t="inlineStr">
        <is>
          <t>Insumo</t>
        </is>
      </c>
      <c r="C1578" s="10" t="inlineStr">
        <is>
          <t>30_DRY 48 mm - 1 PLACA - 6,05cm  -  Lado A: PLACA ST - Lado B: N/A</t>
        </is>
      </c>
      <c r="D1578" s="10" t="inlineStr">
        <is>
          <t>FITA DE PAPEL REFORCADA COM LAMINA DE METAL PARA REFORCO DE CANTOS DE CHAPA DE GESSO PARA DRYWALL</t>
        </is>
      </c>
      <c r="E1578" s="11">
        <f t="array" ref="E1578">_xlfn.XLOOKUP(D1578,Insumos!B:B,Insumos!C:$C)</f>
        <v/>
      </c>
      <c r="F1578" s="14">
        <f>1.5851/2</f>
        <v/>
      </c>
      <c r="G1578" s="92">
        <f t="array" ref="G1578">IF(B1578="insumo",_xlfn.XLOOKUP($D1578,Insumos!$B$1:$B$996,Insumos!$D$1:$D$996),"")</f>
        <v/>
      </c>
      <c r="H1578" s="92" t="n">
        <v>2.171587</v>
      </c>
      <c r="I1578" s="2162" t="n">
        <v>0</v>
      </c>
      <c r="J1578" s="2162" t="n">
        <v>0</v>
      </c>
      <c r="K1578" s="2162" t="n"/>
    </row>
    <row r="1579" outlineLevel="3" ht="15.75" customHeight="1">
      <c r="A1579" s="10" t="n">
        <v>97</v>
      </c>
      <c r="B1579" s="10" t="inlineStr">
        <is>
          <t>Insumo</t>
        </is>
      </c>
      <c r="C1579" s="10" t="inlineStr">
        <is>
          <t>30_DRY 48 mm - 1 PLACA - 6,05cm  -  Lado A: PLACA ST - Lado B: N/A</t>
        </is>
      </c>
      <c r="D1579" s="10" t="inlineStr">
        <is>
          <t>PARAFUSO DRY WALL, EM ACO FOSFATIZADO, CABECA TROMBETA E PONTA AGULHA (TA), COMPRIMENTO 25 MM</t>
        </is>
      </c>
      <c r="E1579" s="11">
        <f t="array" ref="E1579">_xlfn.XLOOKUP(D1579,Insumos!B:B,Insumos!C:$C)</f>
        <v/>
      </c>
      <c r="F1579" s="14">
        <f>20.1868/2</f>
        <v/>
      </c>
      <c r="G1579" s="92">
        <f t="array" ref="G1579">IF(B1579="insumo",_xlfn.XLOOKUP($D1579,Insumos!$B$1:$B$996,Insumos!$D$1:$D$996),"")</f>
        <v/>
      </c>
      <c r="H1579" s="92" t="n">
        <v>0.908406</v>
      </c>
      <c r="I1579" s="2162" t="n">
        <v>0</v>
      </c>
      <c r="J1579" s="2162" t="n">
        <v>0</v>
      </c>
      <c r="K1579" s="2162" t="n"/>
    </row>
    <row r="1580" outlineLevel="3" ht="15.75" customHeight="1">
      <c r="A1580" s="10" t="n">
        <v>95</v>
      </c>
      <c r="B1580" s="10" t="inlineStr">
        <is>
          <t>Insumo</t>
        </is>
      </c>
      <c r="C1580" s="10" t="inlineStr">
        <is>
          <t>30_DRY 48 mm - 1 PLACA - 6,05cm  -  Lado A: PLACA ST - Lado B: N/A</t>
        </is>
      </c>
      <c r="D1580" s="10" t="inlineStr">
        <is>
          <t>PARAFUSO DRY WALL, EM ACO ZINCADO, CABECA LENTILHA E PONTA BROCA (LB), LARGURA 4,2 MM, COMPRIMENTO 13 MM</t>
        </is>
      </c>
      <c r="E1580" s="11">
        <f t="array" ref="E1580">_xlfn.XLOOKUP(D1580,Insumos!B:B,Insumos!C:$C)</f>
        <v/>
      </c>
      <c r="F1580" s="14" t="n">
        <v>0.5441</v>
      </c>
      <c r="G1580" s="92">
        <f t="array" ref="G1580">IF(B1580="insumo",_xlfn.XLOOKUP($D1580,Insumos!$B$1:$B$996,Insumos!$D$1:$D$996),"")</f>
        <v/>
      </c>
      <c r="H1580" s="92" t="n">
        <v>0.10882</v>
      </c>
      <c r="I1580" s="2162" t="n">
        <v>0</v>
      </c>
      <c r="J1580" s="2162" t="n">
        <v>0</v>
      </c>
      <c r="K1580" s="2162" t="n"/>
    </row>
    <row r="1581" outlineLevel="2" ht="15.75" customHeight="1">
      <c r="A1581" s="1067" t="n">
        <v>1</v>
      </c>
      <c r="B1581" s="1067" t="inlineStr">
        <is>
          <t>Serviço</t>
        </is>
      </c>
      <c r="C1581" s="1067" t="inlineStr">
        <is>
          <t>30_DRY 48/ST - 6.05 cm  -</t>
        </is>
      </c>
      <c r="D1581" s="1067" t="inlineStr">
        <is>
          <t>30_DRY 48/ST - 6.05 cm  -</t>
        </is>
      </c>
      <c r="E1581" s="1068" t="inlineStr">
        <is>
          <t>M2</t>
        </is>
      </c>
      <c r="F1581" s="1067" t="n"/>
      <c r="G1581" s="1069">
        <f t="array" ref="G1581">IF(B1581="insumo",_xlfn.XLOOKUP($D1581,Insumos!$B$1:$B$996,Insumos!$D$1:$D$996),"")</f>
        <v/>
      </c>
      <c r="H1581" s="1069" t="n">
        <v>160.0644445</v>
      </c>
      <c r="I1581" s="2161" t="n">
        <v>0</v>
      </c>
      <c r="J1581" s="2161" t="n">
        <v>0</v>
      </c>
      <c r="K1581" s="2161" t="n"/>
    </row>
    <row r="1582" outlineLevel="3" ht="15.75" customHeight="1">
      <c r="A1582" s="10" t="n">
        <v>86</v>
      </c>
      <c r="B1582" s="10" t="inlineStr">
        <is>
          <t>Insumo</t>
        </is>
      </c>
      <c r="C1582" s="10" t="inlineStr">
        <is>
          <t>30_DRY 48/ST - 6.05 cm  -</t>
        </is>
      </c>
      <c r="D1582" s="10" t="inlineStr">
        <is>
          <t>SERVICO - CONFECCAO SHAFT GESSO</t>
        </is>
      </c>
      <c r="E1582" s="11">
        <f t="array" ref="E1582">_xlfn.XLOOKUP(D1582,Insumos!B:B,Insumos!C:$C)</f>
        <v/>
      </c>
      <c r="F1582" s="14" t="n">
        <v>1</v>
      </c>
      <c r="G1582" s="92">
        <f t="array" ref="G1582">IF(B1582="insumo",_xlfn.XLOOKUP($D1582,Insumos!$B$1:$B$996,Insumos!$D$1:$D$996),"")</f>
        <v/>
      </c>
      <c r="H1582" s="92" t="n">
        <v>70</v>
      </c>
      <c r="I1582" s="2162" t="n">
        <v>0</v>
      </c>
      <c r="J1582" s="2162" t="n">
        <v>0</v>
      </c>
      <c r="K1582" s="2162" t="n"/>
    </row>
    <row r="1583" outlineLevel="3" ht="15.75" customHeight="1">
      <c r="A1583" s="10" t="n">
        <v>47</v>
      </c>
      <c r="B1583" s="10" t="inlineStr">
        <is>
          <t>Insumo</t>
        </is>
      </c>
      <c r="C1583" s="10" t="inlineStr">
        <is>
          <t>30_DRY 48/ST - 6.05 cm  -</t>
        </is>
      </c>
      <c r="D1583" s="10" t="inlineStr">
        <is>
          <t>PLACA / CHAPA DE GESSO ACARTONADO, STANDARD (ST), COR BRANCA, E = 12,5 MM, 1200 X 2400 MM (L X C)</t>
        </is>
      </c>
      <c r="E1583" s="11">
        <f t="array" ref="E1583">_xlfn.XLOOKUP(D1583,Insumos!B:B,Insumos!C:$C)</f>
        <v/>
      </c>
      <c r="F1583" s="14" t="n">
        <v>1.106</v>
      </c>
      <c r="G1583" s="92">
        <f t="array" ref="G1583">IF(B1583="insumo",_xlfn.XLOOKUP($D1583,Insumos!$B$1:$B$996,Insumos!$D$1:$D$996),"")</f>
        <v/>
      </c>
      <c r="H1583" s="92" t="n">
        <v>22.29696</v>
      </c>
      <c r="I1583" s="2162" t="n">
        <v>0</v>
      </c>
      <c r="J1583" s="2162" t="n">
        <v>0</v>
      </c>
      <c r="K1583" s="2162" t="n"/>
    </row>
    <row r="1584" outlineLevel="3" ht="15.75" customHeight="1">
      <c r="A1584" s="10" t="n">
        <v>95</v>
      </c>
      <c r="B1584" s="10" t="inlineStr">
        <is>
          <t>Insumo</t>
        </is>
      </c>
      <c r="C1584" s="10" t="inlineStr">
        <is>
          <t>30_DRY 48/ST - 6.05 cm  -</t>
        </is>
      </c>
      <c r="D1584" s="10" t="inlineStr">
        <is>
          <t>PINO DE ACO COM ARRUELA CONICA, DIAMETRO ARRUELA = *23* MM E COMP HASTE = *27* MM (ACAO INDIRETA)</t>
        </is>
      </c>
      <c r="E1584" s="11">
        <f t="array" ref="E1584">_xlfn.XLOOKUP(D1584,Insumos!B:B,Insumos!C:$C)</f>
        <v/>
      </c>
      <c r="F1584" s="14" t="n">
        <v>5.92</v>
      </c>
      <c r="G1584" s="92">
        <f t="array" ref="G1584">IF(B1584="insumo",_xlfn.XLOOKUP($D1584,Insumos!$B$1:$B$996,Insumos!$D$1:$D$996),"")</f>
        <v/>
      </c>
      <c r="H1584" s="92" t="n">
        <v>2.98368</v>
      </c>
      <c r="I1584" s="2162" t="n">
        <v>0</v>
      </c>
      <c r="J1584" s="2162" t="n">
        <v>0</v>
      </c>
      <c r="K1584" s="2162" t="n"/>
    </row>
    <row r="1585" outlineLevel="3" ht="15.75" customHeight="1">
      <c r="A1585" s="10" t="n">
        <v>26</v>
      </c>
      <c r="B1585" s="10" t="inlineStr">
        <is>
          <t>Insumo</t>
        </is>
      </c>
      <c r="C1585" s="10" t="inlineStr">
        <is>
          <t>30_DRY 48/ST - 6.05 cm  -</t>
        </is>
      </c>
      <c r="D1585" s="10" t="inlineStr">
        <is>
          <t>PERFIL GUIA, FORMATO U, EM ACO ZINCADO, PARA ESTRUTURA PAREDE DRYWALL, E = 0,5 MM, 48 X 3000 MM (L X C)</t>
        </is>
      </c>
      <c r="E1585" s="11">
        <f t="array" ref="E1585">_xlfn.XLOOKUP(D1585,Insumos!B:B,Insumos!C:$C)</f>
        <v/>
      </c>
      <c r="F1585" s="14" t="n">
        <v>1.8234</v>
      </c>
      <c r="G1585" s="92">
        <f t="array" ref="G1585">IF(B1585="insumo",_xlfn.XLOOKUP($D1585,Insumos!$B$1:$B$996,Insumos!$D$1:$D$996),"")</f>
        <v/>
      </c>
      <c r="H1585" s="92" t="n">
        <v>12.818502</v>
      </c>
      <c r="I1585" s="2162" t="n">
        <v>0</v>
      </c>
      <c r="J1585" s="2162" t="n">
        <v>0</v>
      </c>
      <c r="K1585" s="2162" t="n"/>
    </row>
    <row r="1586" outlineLevel="3" ht="15.75" customHeight="1">
      <c r="A1586" s="10" t="n">
        <v>26</v>
      </c>
      <c r="B1586" s="10" t="inlineStr">
        <is>
          <t>Insumo</t>
        </is>
      </c>
      <c r="C1586" s="10" t="inlineStr">
        <is>
          <t>30_DRY 48/ST - 6.05 cm  -</t>
        </is>
      </c>
      <c r="D1586" s="10" t="inlineStr">
        <is>
          <t>PERFIL MONTANTE, FORMATO C, EM ACO ZINCADO, PARA ESTRUTURA PAREDE DRYWALL, E = 0,5 MM, 48 X 3000 MM (L X C)</t>
        </is>
      </c>
      <c r="E1586" s="11">
        <f t="array" ref="E1586">_xlfn.XLOOKUP(D1586,Insumos!B:B,Insumos!C:$C)</f>
        <v/>
      </c>
      <c r="F1586" s="14" t="n">
        <v>5.8278</v>
      </c>
      <c r="G1586" s="92">
        <f t="array" ref="G1586">IF(B1586="insumo",_xlfn.XLOOKUP($D1586,Insumos!$B$1:$B$996,Insumos!$D$1:$D$996),"")</f>
        <v/>
      </c>
      <c r="H1586" s="92" t="n">
        <v>46.505844</v>
      </c>
      <c r="I1586" s="2162" t="n">
        <v>0</v>
      </c>
      <c r="J1586" s="2162" t="n">
        <v>0</v>
      </c>
      <c r="K1586" s="2162" t="n"/>
    </row>
    <row r="1587" outlineLevel="3" ht="15.75" customHeight="1">
      <c r="A1587" s="10" t="n">
        <v>95</v>
      </c>
      <c r="B1587" s="10" t="inlineStr">
        <is>
          <t>Insumo</t>
        </is>
      </c>
      <c r="C1587" s="10" t="inlineStr">
        <is>
          <t>30_DRY 48/ST - 6.05 cm  -</t>
        </is>
      </c>
      <c r="D1587" s="10" t="inlineStr">
        <is>
          <t>MASSA DE REJUNTE EM PO PARA DRYWALL, A BASE DE GESSO, SECAGEM RAPIDA, PARA TRATAMENTO DE JUNTAS DE CHAPA DE GESSO (NECESSITA ADICAO DE AGUA)</t>
        </is>
      </c>
      <c r="E1587" s="11">
        <f t="array" ref="E1587">_xlfn.XLOOKUP(D1587,Insumos!B:B,Insumos!C:$C)</f>
        <v/>
      </c>
      <c r="F1587" s="14">
        <f>1.0978/2</f>
        <v/>
      </c>
      <c r="G1587" s="92">
        <f t="array" ref="G1587">IF(B1587="insumo",_xlfn.XLOOKUP($D1587,Insumos!$B$1:$B$996,Insumos!$D$1:$D$996),"")</f>
        <v/>
      </c>
      <c r="H1587" s="92" t="n">
        <v>1.882727</v>
      </c>
      <c r="I1587" s="2162" t="n">
        <v>0</v>
      </c>
      <c r="J1587" s="2162" t="n">
        <v>0</v>
      </c>
      <c r="K1587" s="2162" t="n"/>
    </row>
    <row r="1588" outlineLevel="3" ht="15.75" customHeight="1">
      <c r="A1588" s="10" t="n">
        <v>94</v>
      </c>
      <c r="B1588" s="10" t="inlineStr">
        <is>
          <t>Insumo</t>
        </is>
      </c>
      <c r="C1588" s="10" t="inlineStr">
        <is>
          <t>30_DRY 48/ST - 6.05 cm  -</t>
        </is>
      </c>
      <c r="D1588" s="10" t="inlineStr">
        <is>
          <t>FITA DE PAPEL MICROPERFURADO, 50 X 150 MM, PARA TRATAMENTO DE JUNTAS DE CHAPA DE GESSO PARA DRYWALL</t>
        </is>
      </c>
      <c r="E1588" s="11">
        <f t="array" ref="E1588">_xlfn.XLOOKUP(D1588,Insumos!B:B,Insumos!C:$C)</f>
        <v/>
      </c>
      <c r="F1588" s="14">
        <f>2.5027/2</f>
        <v/>
      </c>
      <c r="G1588" s="92">
        <f t="array" ref="G1588">IF(B1588="insumo",_xlfn.XLOOKUP($D1588,Insumos!$B$1:$B$996,Insumos!$D$1:$D$996),"")</f>
        <v/>
      </c>
      <c r="H1588" s="92" t="n">
        <v>0.3879185</v>
      </c>
      <c r="I1588" s="2162" t="n">
        <v>0</v>
      </c>
      <c r="J1588" s="2162" t="n">
        <v>0</v>
      </c>
      <c r="K1588" s="2162" t="n"/>
    </row>
    <row r="1589" outlineLevel="3" ht="15.75" customHeight="1">
      <c r="A1589" s="10" t="n">
        <v>94</v>
      </c>
      <c r="B1589" s="10" t="inlineStr">
        <is>
          <t>Insumo</t>
        </is>
      </c>
      <c r="C1589" s="10" t="inlineStr">
        <is>
          <t>30_DRY 48/ST - 6.05 cm  -</t>
        </is>
      </c>
      <c r="D1589" s="10" t="inlineStr">
        <is>
          <t>FITA DE PAPEL REFORCADA COM LAMINA DE METAL PARA REFORCO DE CANTOS DE CHAPA DE GESSO PARA DRYWALL</t>
        </is>
      </c>
      <c r="E1589" s="11">
        <f t="array" ref="E1589">_xlfn.XLOOKUP(D1589,Insumos!B:B,Insumos!C:$C)</f>
        <v/>
      </c>
      <c r="F1589" s="14">
        <f>1.5851/2</f>
        <v/>
      </c>
      <c r="G1589" s="92">
        <f t="array" ref="G1589">IF(B1589="insumo",_xlfn.XLOOKUP($D1589,Insumos!$B$1:$B$996,Insumos!$D$1:$D$996),"")</f>
        <v/>
      </c>
      <c r="H1589" s="92" t="n">
        <v>2.171587</v>
      </c>
      <c r="I1589" s="2162" t="n">
        <v>0</v>
      </c>
      <c r="J1589" s="2162" t="n">
        <v>0</v>
      </c>
      <c r="K1589" s="2162" t="n"/>
    </row>
    <row r="1590" outlineLevel="3" ht="15.75" customHeight="1">
      <c r="A1590" s="10" t="n">
        <v>97</v>
      </c>
      <c r="B1590" s="10" t="inlineStr">
        <is>
          <t>Insumo</t>
        </is>
      </c>
      <c r="C1590" s="10" t="inlineStr">
        <is>
          <t>30_DRY 48/ST - 6.05 cm  -</t>
        </is>
      </c>
      <c r="D1590" s="10" t="inlineStr">
        <is>
          <t>PARAFUSO DRY WALL, EM ACO FOSFATIZADO, CABECA TROMBETA E PONTA AGULHA (TA), COMPRIMENTO 25 MM</t>
        </is>
      </c>
      <c r="E1590" s="11">
        <f t="array" ref="E1590">_xlfn.XLOOKUP(D1590,Insumos!B:B,Insumos!C:$C)</f>
        <v/>
      </c>
      <c r="F1590" s="14">
        <f>20.1868/2</f>
        <v/>
      </c>
      <c r="G1590" s="92">
        <f t="array" ref="G1590">IF(B1590="insumo",_xlfn.XLOOKUP($D1590,Insumos!$B$1:$B$996,Insumos!$D$1:$D$996),"")</f>
        <v/>
      </c>
      <c r="H1590" s="92" t="n">
        <v>0.908406</v>
      </c>
      <c r="I1590" s="2162" t="n">
        <v>0</v>
      </c>
      <c r="J1590" s="2162" t="n">
        <v>0</v>
      </c>
      <c r="K1590" s="2162" t="n"/>
    </row>
    <row r="1591" outlineLevel="3" ht="15.75" customHeight="1">
      <c r="A1591" s="10" t="n">
        <v>95</v>
      </c>
      <c r="B1591" s="10" t="inlineStr">
        <is>
          <t>Insumo</t>
        </is>
      </c>
      <c r="C1591" s="10" t="inlineStr">
        <is>
          <t>30_DRY 48/ST - 6.05 cm  -</t>
        </is>
      </c>
      <c r="D1591" s="10" t="inlineStr">
        <is>
          <t>PARAFUSO DRY WALL, EM ACO ZINCADO, CABECA LENTILHA E PONTA BROCA (LB), LARGURA 4,2 MM, COMPRIMENTO 13 MM</t>
        </is>
      </c>
      <c r="E1591" s="11">
        <f t="array" ref="E1591">_xlfn.XLOOKUP(D1591,Insumos!B:B,Insumos!C:$C)</f>
        <v/>
      </c>
      <c r="F1591" s="14" t="n">
        <v>0.5441</v>
      </c>
      <c r="G1591" s="92">
        <f t="array" ref="G1591">IF(B1591="insumo",_xlfn.XLOOKUP($D1591,Insumos!$B$1:$B$996,Insumos!$D$1:$D$996),"")</f>
        <v/>
      </c>
      <c r="H1591" s="92" t="n">
        <v>0.10882</v>
      </c>
      <c r="I1591" s="2162" t="n">
        <v>0</v>
      </c>
      <c r="J1591" s="2162" t="n">
        <v>0</v>
      </c>
      <c r="K1591" s="2162" t="n"/>
    </row>
    <row r="1592" outlineLevel="2" ht="15.75" customHeight="1">
      <c r="A1592" s="1067" t="n">
        <v>1</v>
      </c>
      <c r="B1592" s="1067" t="inlineStr">
        <is>
          <t>Serviço</t>
        </is>
      </c>
      <c r="C1592" s="1067" t="inlineStr">
        <is>
          <t>30_DRY 48 mm - 1 PLACA - 6,05cm  -  Lado A: PLACA PERFORMANCE ST - Lado B: N/A</t>
        </is>
      </c>
      <c r="D1592" s="1067" t="inlineStr">
        <is>
          <t>30_DRY 48 mm - 1 PLACA - 6,05cm  -  Lado A: PLACA PERFORMANCE ST - Lado B: N/A</t>
        </is>
      </c>
      <c r="E1592" s="1068" t="inlineStr">
        <is>
          <t>M2</t>
        </is>
      </c>
      <c r="F1592" s="1067" t="n"/>
      <c r="G1592" s="1069">
        <f t="array" ref="G1592">IF(B1592="insumo",_xlfn.XLOOKUP($D1592,Insumos!$B$1:$B$996,Insumos!$D$1:$D$996),"")</f>
        <v/>
      </c>
      <c r="H1592" s="1069" t="n">
        <v>160.0644445</v>
      </c>
      <c r="I1592" s="2161" t="n">
        <v>0</v>
      </c>
      <c r="J1592" s="2161" t="n">
        <v>0</v>
      </c>
      <c r="K1592" s="2161" t="n"/>
    </row>
    <row r="1593" outlineLevel="3" ht="15.75" customHeight="1">
      <c r="A1593" s="10" t="n">
        <v>86</v>
      </c>
      <c r="B1593" s="10" t="inlineStr">
        <is>
          <t>Insumo</t>
        </is>
      </c>
      <c r="C1593" s="10" t="inlineStr">
        <is>
          <t>30_DRY 48 mm - 1 PLACA - 6,05cm  -  Lado A: PLACA PERFORMANCE ST - Lado B: N/A</t>
        </is>
      </c>
      <c r="D1593" s="10" t="inlineStr">
        <is>
          <t>SERVICO - CONFECCAO SHAFT GESSO</t>
        </is>
      </c>
      <c r="E1593" s="11">
        <f t="array" ref="E1593">_xlfn.XLOOKUP(D1593,Insumos!B:B,Insumos!C:$C)</f>
        <v/>
      </c>
      <c r="F1593" s="14" t="n">
        <v>1</v>
      </c>
      <c r="G1593" s="92">
        <f t="array" ref="G1593">IF(B1593="insumo",_xlfn.XLOOKUP($D1593,Insumos!$B$1:$B$996,Insumos!$D$1:$D$996),"")</f>
        <v/>
      </c>
      <c r="H1593" s="92" t="n">
        <v>70</v>
      </c>
      <c r="I1593" s="2162" t="n">
        <v>0</v>
      </c>
      <c r="J1593" s="2162" t="n">
        <v>0</v>
      </c>
      <c r="K1593" s="2162" t="n"/>
    </row>
    <row r="1594" outlineLevel="3" ht="15.75" customHeight="1">
      <c r="A1594" s="10" t="n">
        <v>47</v>
      </c>
      <c r="B1594" s="10" t="inlineStr">
        <is>
          <t>Insumo</t>
        </is>
      </c>
      <c r="C1594" s="10" t="inlineStr">
        <is>
          <t>30_DRY 48 mm - 1 PLACA - 6,05cm  -  Lado A: PLACA PERFORMANCE ST - Lado B: N/A</t>
        </is>
      </c>
      <c r="D1594" s="10" t="inlineStr">
        <is>
          <t>PLACA / CHAPA DE GESSO ACARTONADO, STANDARD (ST), COR BRANCA, E = 12,5 MM, 1200 X 2400 MM (L X C)</t>
        </is>
      </c>
      <c r="E1594" s="11">
        <f t="array" ref="E1594">_xlfn.XLOOKUP(D1594,Insumos!B:B,Insumos!C:$C)</f>
        <v/>
      </c>
      <c r="F1594" s="14" t="n">
        <v>1.106</v>
      </c>
      <c r="G1594" s="92">
        <f t="array" ref="G1594">IF(B1594="insumo",_xlfn.XLOOKUP($D1594,Insumos!$B$1:$B$996,Insumos!$D$1:$D$996),"")</f>
        <v/>
      </c>
      <c r="H1594" s="92" t="n">
        <v>22.29696</v>
      </c>
      <c r="I1594" s="2162" t="n">
        <v>0</v>
      </c>
      <c r="J1594" s="2162" t="n">
        <v>0</v>
      </c>
      <c r="K1594" s="2162" t="n"/>
    </row>
    <row r="1595" outlineLevel="3" ht="15.75" customHeight="1">
      <c r="A1595" s="10" t="n">
        <v>95</v>
      </c>
      <c r="B1595" s="10" t="inlineStr">
        <is>
          <t>Insumo</t>
        </is>
      </c>
      <c r="C1595" s="10" t="inlineStr">
        <is>
          <t>30_DRY 48 mm - 1 PLACA - 6,05cm  -  Lado A: PLACA PERFORMANCE ST - Lado B: N/A</t>
        </is>
      </c>
      <c r="D1595" s="10" t="inlineStr">
        <is>
          <t>PINO DE ACO COM ARRUELA CONICA, DIAMETRO ARRUELA = *23* MM E COMP HASTE = *27* MM (ACAO INDIRETA)</t>
        </is>
      </c>
      <c r="E1595" s="11">
        <f t="array" ref="E1595">_xlfn.XLOOKUP(D1595,Insumos!B:B,Insumos!C:$C)</f>
        <v/>
      </c>
      <c r="F1595" s="14" t="n">
        <v>5.92</v>
      </c>
      <c r="G1595" s="92">
        <f t="array" ref="G1595">IF(B1595="insumo",_xlfn.XLOOKUP($D1595,Insumos!$B$1:$B$996,Insumos!$D$1:$D$996),"")</f>
        <v/>
      </c>
      <c r="H1595" s="92" t="n">
        <v>2.98368</v>
      </c>
      <c r="I1595" s="2162" t="n">
        <v>0</v>
      </c>
      <c r="J1595" s="2162" t="n">
        <v>0</v>
      </c>
      <c r="K1595" s="2162" t="n"/>
    </row>
    <row r="1596" outlineLevel="3" ht="15.75" customHeight="1">
      <c r="A1596" s="10" t="n">
        <v>26</v>
      </c>
      <c r="B1596" s="10" t="inlineStr">
        <is>
          <t>Insumo</t>
        </is>
      </c>
      <c r="C1596" s="10" t="inlineStr">
        <is>
          <t>30_DRY 48 mm - 1 PLACA - 6,05cm  -  Lado A: PLACA PERFORMANCE ST - Lado B: N/A</t>
        </is>
      </c>
      <c r="D1596" s="10" t="inlineStr">
        <is>
          <t>PERFIL GUIA, FORMATO U, EM ACO ZINCADO, PARA ESTRUTURA PAREDE DRYWALL, E = 0,5 MM, 48 X 3000 MM (L X C)</t>
        </is>
      </c>
      <c r="E1596" s="11">
        <f t="array" ref="E1596">_xlfn.XLOOKUP(D1596,Insumos!B:B,Insumos!C:$C)</f>
        <v/>
      </c>
      <c r="F1596" s="14" t="n">
        <v>1.8234</v>
      </c>
      <c r="G1596" s="92">
        <f t="array" ref="G1596">IF(B1596="insumo",_xlfn.XLOOKUP($D1596,Insumos!$B$1:$B$996,Insumos!$D$1:$D$996),"")</f>
        <v/>
      </c>
      <c r="H1596" s="92" t="n">
        <v>12.818502</v>
      </c>
      <c r="I1596" s="2162" t="n">
        <v>0</v>
      </c>
      <c r="J1596" s="2162" t="n">
        <v>0</v>
      </c>
      <c r="K1596" s="2162" t="n"/>
    </row>
    <row r="1597" outlineLevel="3" ht="15.75" customHeight="1">
      <c r="A1597" s="10" t="n">
        <v>26</v>
      </c>
      <c r="B1597" s="10" t="inlineStr">
        <is>
          <t>Insumo</t>
        </is>
      </c>
      <c r="C1597" s="10" t="inlineStr">
        <is>
          <t>30_DRY 48 mm - 1 PLACA - 6,05cm  -  Lado A: PLACA PERFORMANCE ST - Lado B: N/A</t>
        </is>
      </c>
      <c r="D1597" s="10" t="inlineStr">
        <is>
          <t>PERFIL MONTANTE, FORMATO C, EM ACO ZINCADO, PARA ESTRUTURA PAREDE DRYWALL, E = 0,5 MM, 48 X 3000 MM (L X C)</t>
        </is>
      </c>
      <c r="E1597" s="11">
        <f t="array" ref="E1597">_xlfn.XLOOKUP(D1597,Insumos!B:B,Insumos!C:$C)</f>
        <v/>
      </c>
      <c r="F1597" s="14" t="n">
        <v>5.8278</v>
      </c>
      <c r="G1597" s="92">
        <f t="array" ref="G1597">IF(B1597="insumo",_xlfn.XLOOKUP($D1597,Insumos!$B$1:$B$996,Insumos!$D$1:$D$996),"")</f>
        <v/>
      </c>
      <c r="H1597" s="92" t="n">
        <v>46.505844</v>
      </c>
      <c r="I1597" s="2162" t="n">
        <v>0</v>
      </c>
      <c r="J1597" s="2162" t="n">
        <v>0</v>
      </c>
      <c r="K1597" s="2162" t="n"/>
    </row>
    <row r="1598" outlineLevel="3" ht="15.75" customHeight="1">
      <c r="A1598" s="10" t="n">
        <v>95</v>
      </c>
      <c r="B1598" s="10" t="inlineStr">
        <is>
          <t>Insumo</t>
        </is>
      </c>
      <c r="C1598" s="10" t="inlineStr">
        <is>
          <t>30_DRY 48 mm - 1 PLACA - 6,05cm  -  Lado A: PLACA PERFORMANCE ST - Lado B: N/A</t>
        </is>
      </c>
      <c r="D1598" s="10" t="inlineStr">
        <is>
          <t>MASSA DE REJUNTE EM PO PARA DRYWALL, A BASE DE GESSO, SECAGEM RAPIDA, PARA TRATAMENTO DE JUNTAS DE CHAPA DE GESSO (NECESSITA ADICAO DE AGUA)</t>
        </is>
      </c>
      <c r="E1598" s="11">
        <f t="array" ref="E1598">_xlfn.XLOOKUP(D1598,Insumos!B:B,Insumos!C:$C)</f>
        <v/>
      </c>
      <c r="F1598" s="14">
        <f>1.0978/2</f>
        <v/>
      </c>
      <c r="G1598" s="92">
        <f t="array" ref="G1598">IF(B1598="insumo",_xlfn.XLOOKUP($D1598,Insumos!$B$1:$B$996,Insumos!$D$1:$D$996),"")</f>
        <v/>
      </c>
      <c r="H1598" s="92" t="n">
        <v>1.882727</v>
      </c>
      <c r="I1598" s="2162" t="n">
        <v>0</v>
      </c>
      <c r="J1598" s="2162" t="n">
        <v>0</v>
      </c>
      <c r="K1598" s="2162" t="n"/>
    </row>
    <row r="1599" outlineLevel="3" ht="15.75" customHeight="1">
      <c r="A1599" s="10" t="n">
        <v>94</v>
      </c>
      <c r="B1599" s="10" t="inlineStr">
        <is>
          <t>Insumo</t>
        </is>
      </c>
      <c r="C1599" s="10" t="inlineStr">
        <is>
          <t>30_DRY 48 mm - 1 PLACA - 6,05cm  -  Lado A: PLACA PERFORMANCE ST - Lado B: N/A</t>
        </is>
      </c>
      <c r="D1599" s="10" t="inlineStr">
        <is>
          <t>FITA DE PAPEL MICROPERFURADO, 50 X 150 MM, PARA TRATAMENTO DE JUNTAS DE CHAPA DE GESSO PARA DRYWALL</t>
        </is>
      </c>
      <c r="E1599" s="11">
        <f t="array" ref="E1599">_xlfn.XLOOKUP(D1599,Insumos!B:B,Insumos!C:$C)</f>
        <v/>
      </c>
      <c r="F1599" s="14">
        <f>2.5027/2</f>
        <v/>
      </c>
      <c r="G1599" s="92">
        <f t="array" ref="G1599">IF(B1599="insumo",_xlfn.XLOOKUP($D1599,Insumos!$B$1:$B$996,Insumos!$D$1:$D$996),"")</f>
        <v/>
      </c>
      <c r="H1599" s="92" t="n">
        <v>0.3879185</v>
      </c>
      <c r="I1599" s="2162" t="n">
        <v>0</v>
      </c>
      <c r="J1599" s="2162" t="n">
        <v>0</v>
      </c>
      <c r="K1599" s="2162" t="n"/>
    </row>
    <row r="1600" outlineLevel="3" ht="15.75" customHeight="1">
      <c r="A1600" s="10" t="n">
        <v>94</v>
      </c>
      <c r="B1600" s="10" t="inlineStr">
        <is>
          <t>Insumo</t>
        </is>
      </c>
      <c r="C1600" s="10" t="inlineStr">
        <is>
          <t>30_DRY 48 mm - 1 PLACA - 6,05cm  -  Lado A: PLACA PERFORMANCE ST - Lado B: N/A</t>
        </is>
      </c>
      <c r="D1600" s="10" t="inlineStr">
        <is>
          <t>FITA DE PAPEL REFORCADA COM LAMINA DE METAL PARA REFORCO DE CANTOS DE CHAPA DE GESSO PARA DRYWALL</t>
        </is>
      </c>
      <c r="E1600" s="11">
        <f t="array" ref="E1600">_xlfn.XLOOKUP(D1600,Insumos!B:B,Insumos!C:$C)</f>
        <v/>
      </c>
      <c r="F1600" s="14">
        <f>1.5851/2</f>
        <v/>
      </c>
      <c r="G1600" s="92">
        <f t="array" ref="G1600">IF(B1600="insumo",_xlfn.XLOOKUP($D1600,Insumos!$B$1:$B$996,Insumos!$D$1:$D$996),"")</f>
        <v/>
      </c>
      <c r="H1600" s="92" t="n">
        <v>2.171587</v>
      </c>
      <c r="I1600" s="2162" t="n">
        <v>0</v>
      </c>
      <c r="J1600" s="2162" t="n">
        <v>0</v>
      </c>
      <c r="K1600" s="2162" t="n"/>
    </row>
    <row r="1601" outlineLevel="3" ht="15.75" customHeight="1">
      <c r="A1601" s="10" t="n">
        <v>97</v>
      </c>
      <c r="B1601" s="10" t="inlineStr">
        <is>
          <t>Insumo</t>
        </is>
      </c>
      <c r="C1601" s="10" t="inlineStr">
        <is>
          <t>30_DRY 48 mm - 1 PLACA - 6,05cm  -  Lado A: PLACA PERFORMANCE ST - Lado B: N/A</t>
        </is>
      </c>
      <c r="D1601" s="10" t="inlineStr">
        <is>
          <t>PARAFUSO DRY WALL, EM ACO FOSFATIZADO, CABECA TROMBETA E PONTA AGULHA (TA), COMPRIMENTO 25 MM</t>
        </is>
      </c>
      <c r="E1601" s="11">
        <f t="array" ref="E1601">_xlfn.XLOOKUP(D1601,Insumos!B:B,Insumos!C:$C)</f>
        <v/>
      </c>
      <c r="F1601" s="14">
        <f>20.1868/2</f>
        <v/>
      </c>
      <c r="G1601" s="92">
        <f t="array" ref="G1601">IF(B1601="insumo",_xlfn.XLOOKUP($D1601,Insumos!$B$1:$B$996,Insumos!$D$1:$D$996),"")</f>
        <v/>
      </c>
      <c r="H1601" s="92" t="n">
        <v>0.908406</v>
      </c>
      <c r="I1601" s="2162" t="n">
        <v>0</v>
      </c>
      <c r="J1601" s="2162" t="n">
        <v>0</v>
      </c>
      <c r="K1601" s="2162" t="n"/>
    </row>
    <row r="1602" outlineLevel="3" ht="15.75" customHeight="1">
      <c r="A1602" s="10" t="n">
        <v>95</v>
      </c>
      <c r="B1602" s="10" t="inlineStr">
        <is>
          <t>Insumo</t>
        </is>
      </c>
      <c r="C1602" s="10" t="inlineStr">
        <is>
          <t>30_DRY 48 mm - 1 PLACA - 6,05cm  -  Lado A: PLACA PERFORMANCE ST - Lado B: N/A</t>
        </is>
      </c>
      <c r="D1602" s="10" t="inlineStr">
        <is>
          <t>PARAFUSO DRY WALL, EM ACO ZINCADO, CABECA LENTILHA E PONTA BROCA (LB), LARGURA 4,2 MM, COMPRIMENTO 13 MM</t>
        </is>
      </c>
      <c r="E1602" s="11">
        <f t="array" ref="E1602">_xlfn.XLOOKUP(D1602,Insumos!B:B,Insumos!C:$C)</f>
        <v/>
      </c>
      <c r="F1602" s="14" t="n">
        <v>0.5441</v>
      </c>
      <c r="G1602" s="92">
        <f t="array" ref="G1602">IF(B1602="insumo",_xlfn.XLOOKUP($D1602,Insumos!$B$1:$B$996,Insumos!$D$1:$D$996),"")</f>
        <v/>
      </c>
      <c r="H1602" s="92" t="n">
        <v>0.10882</v>
      </c>
      <c r="I1602" s="2162" t="n">
        <v>0</v>
      </c>
      <c r="J1602" s="2162" t="n">
        <v>0</v>
      </c>
      <c r="K1602" s="2162" t="n"/>
    </row>
    <row r="1603" outlineLevel="2" ht="15.75" customHeight="1">
      <c r="A1603" s="1067" t="n">
        <v>1</v>
      </c>
      <c r="B1603" s="1067" t="inlineStr">
        <is>
          <t>Serviço</t>
        </is>
      </c>
      <c r="C1603" s="1067" t="inlineStr">
        <is>
          <t>30_DRY 48 mm - 1 PLACA - 6,05cm  -</t>
        </is>
      </c>
      <c r="D1603" s="1067" t="inlineStr">
        <is>
          <t>30_DRY 48 mm - 1 PLACA - 6,05cm  -</t>
        </is>
      </c>
      <c r="E1603" s="1068" t="inlineStr">
        <is>
          <t>M2</t>
        </is>
      </c>
      <c r="F1603" s="1067" t="n"/>
      <c r="G1603" s="1069">
        <f t="array" ref="G1603">IF(B1603="insumo",_xlfn.XLOOKUP($D1603,Insumos!$B$1:$B$996,Insumos!$D$1:$D$996),"")</f>
        <v/>
      </c>
      <c r="H1603" s="1069" t="n">
        <v>160.0644445</v>
      </c>
      <c r="I1603" s="2161" t="n">
        <v>0</v>
      </c>
      <c r="J1603" s="2161" t="n">
        <v>0</v>
      </c>
      <c r="K1603" s="2161" t="n"/>
    </row>
    <row r="1604" outlineLevel="3" ht="15.75" customHeight="1">
      <c r="A1604" s="10" t="n">
        <v>86</v>
      </c>
      <c r="B1604" s="10" t="inlineStr">
        <is>
          <t>Insumo</t>
        </is>
      </c>
      <c r="C1604" s="10" t="inlineStr">
        <is>
          <t>30_DRY 48 mm - 1 PLACA - 6,05cm  -</t>
        </is>
      </c>
      <c r="D1604" s="10" t="inlineStr">
        <is>
          <t>SERVICO - CONFECCAO SHAFT GESSO</t>
        </is>
      </c>
      <c r="E1604" s="11">
        <f t="array" ref="E1604">_xlfn.XLOOKUP(D1604,Insumos!B:B,Insumos!C:$C)</f>
        <v/>
      </c>
      <c r="F1604" s="14" t="n">
        <v>1</v>
      </c>
      <c r="G1604" s="92">
        <f t="array" ref="G1604">IF(B1604="insumo",_xlfn.XLOOKUP($D1604,Insumos!$B$1:$B$996,Insumos!$D$1:$D$996),"")</f>
        <v/>
      </c>
      <c r="H1604" s="92" t="n">
        <v>70</v>
      </c>
      <c r="I1604" s="2162" t="n">
        <v>0</v>
      </c>
      <c r="J1604" s="2162" t="n">
        <v>0</v>
      </c>
      <c r="K1604" s="2162" t="n"/>
    </row>
    <row r="1605" outlineLevel="3" ht="15.75" customHeight="1">
      <c r="A1605" s="10" t="n">
        <v>47</v>
      </c>
      <c r="B1605" s="10" t="inlineStr">
        <is>
          <t>Insumo</t>
        </is>
      </c>
      <c r="C1605" s="10" t="inlineStr">
        <is>
          <t>30_DRY 48 mm - 1 PLACA - 6,05cm  -</t>
        </is>
      </c>
      <c r="D1605" s="10" t="inlineStr">
        <is>
          <t>PLACA / CHAPA DE GESSO ACARTONADO, STANDARD (ST), COR BRANCA, E = 12,5 MM, 1200 X 2400 MM (L X C)</t>
        </is>
      </c>
      <c r="E1605" s="11">
        <f t="array" ref="E1605">_xlfn.XLOOKUP(D1605,Insumos!B:B,Insumos!C:$C)</f>
        <v/>
      </c>
      <c r="F1605" s="14" t="n">
        <v>1.106</v>
      </c>
      <c r="G1605" s="92">
        <f t="array" ref="G1605">IF(B1605="insumo",_xlfn.XLOOKUP($D1605,Insumos!$B$1:$B$996,Insumos!$D$1:$D$996),"")</f>
        <v/>
      </c>
      <c r="H1605" s="92" t="n">
        <v>22.29696</v>
      </c>
      <c r="I1605" s="2162" t="n">
        <v>0</v>
      </c>
      <c r="J1605" s="2162" t="n">
        <v>0</v>
      </c>
      <c r="K1605" s="2162" t="n"/>
    </row>
    <row r="1606" outlineLevel="3" ht="15.75" customHeight="1">
      <c r="A1606" s="10" t="n">
        <v>95</v>
      </c>
      <c r="B1606" s="10" t="inlineStr">
        <is>
          <t>Insumo</t>
        </is>
      </c>
      <c r="C1606" s="10" t="inlineStr">
        <is>
          <t>30_DRY 48 mm - 1 PLACA - 6,05cm  -</t>
        </is>
      </c>
      <c r="D1606" s="10" t="inlineStr">
        <is>
          <t>PINO DE ACO COM ARRUELA CONICA, DIAMETRO ARRUELA = *23* MM E COMP HASTE = *27* MM (ACAO INDIRETA)</t>
        </is>
      </c>
      <c r="E1606" s="11">
        <f t="array" ref="E1606">_xlfn.XLOOKUP(D1606,Insumos!B:B,Insumos!C:$C)</f>
        <v/>
      </c>
      <c r="F1606" s="14" t="n">
        <v>5.92</v>
      </c>
      <c r="G1606" s="92">
        <f t="array" ref="G1606">IF(B1606="insumo",_xlfn.XLOOKUP($D1606,Insumos!$B$1:$B$996,Insumos!$D$1:$D$996),"")</f>
        <v/>
      </c>
      <c r="H1606" s="92" t="n">
        <v>2.98368</v>
      </c>
      <c r="I1606" s="2162" t="n">
        <v>0</v>
      </c>
      <c r="J1606" s="2162" t="n">
        <v>0</v>
      </c>
      <c r="K1606" s="2162" t="n"/>
    </row>
    <row r="1607" outlineLevel="3" ht="15.75" customHeight="1">
      <c r="A1607" s="10" t="n">
        <v>26</v>
      </c>
      <c r="B1607" s="10" t="inlineStr">
        <is>
          <t>Insumo</t>
        </is>
      </c>
      <c r="C1607" s="10" t="inlineStr">
        <is>
          <t>30_DRY 48 mm - 1 PLACA - 6,05cm  -</t>
        </is>
      </c>
      <c r="D1607" s="10" t="inlineStr">
        <is>
          <t>PERFIL GUIA, FORMATO U, EM ACO ZINCADO, PARA ESTRUTURA PAREDE DRYWALL, E = 0,5 MM, 48 X 3000 MM (L X C)</t>
        </is>
      </c>
      <c r="E1607" s="11">
        <f t="array" ref="E1607">_xlfn.XLOOKUP(D1607,Insumos!B:B,Insumos!C:$C)</f>
        <v/>
      </c>
      <c r="F1607" s="14" t="n">
        <v>1.8234</v>
      </c>
      <c r="G1607" s="92">
        <f t="array" ref="G1607">IF(B1607="insumo",_xlfn.XLOOKUP($D1607,Insumos!$B$1:$B$996,Insumos!$D$1:$D$996),"")</f>
        <v/>
      </c>
      <c r="H1607" s="92" t="n">
        <v>12.818502</v>
      </c>
      <c r="I1607" s="2162" t="n">
        <v>0</v>
      </c>
      <c r="J1607" s="2162" t="n">
        <v>0</v>
      </c>
      <c r="K1607" s="2162" t="n"/>
    </row>
    <row r="1608" outlineLevel="3" ht="15.75" customHeight="1">
      <c r="A1608" s="10" t="n">
        <v>26</v>
      </c>
      <c r="B1608" s="10" t="inlineStr">
        <is>
          <t>Insumo</t>
        </is>
      </c>
      <c r="C1608" s="10" t="inlineStr">
        <is>
          <t>30_DRY 48 mm - 1 PLACA - 6,05cm  -</t>
        </is>
      </c>
      <c r="D1608" s="10" t="inlineStr">
        <is>
          <t>PERFIL MONTANTE, FORMATO C, EM ACO ZINCADO, PARA ESTRUTURA PAREDE DRYWALL, E = 0,5 MM, 48 X 3000 MM (L X C)</t>
        </is>
      </c>
      <c r="E1608" s="11">
        <f t="array" ref="E1608">_xlfn.XLOOKUP(D1608,Insumos!B:B,Insumos!C:$C)</f>
        <v/>
      </c>
      <c r="F1608" s="14" t="n">
        <v>5.8278</v>
      </c>
      <c r="G1608" s="92">
        <f t="array" ref="G1608">IF(B1608="insumo",_xlfn.XLOOKUP($D1608,Insumos!$B$1:$B$996,Insumos!$D$1:$D$996),"")</f>
        <v/>
      </c>
      <c r="H1608" s="92" t="n">
        <v>46.505844</v>
      </c>
      <c r="I1608" s="2162" t="n">
        <v>0</v>
      </c>
      <c r="J1608" s="2162" t="n">
        <v>0</v>
      </c>
      <c r="K1608" s="2162" t="n"/>
    </row>
    <row r="1609" outlineLevel="3" ht="15.75" customHeight="1">
      <c r="A1609" s="10" t="n">
        <v>95</v>
      </c>
      <c r="B1609" s="10" t="inlineStr">
        <is>
          <t>Insumo</t>
        </is>
      </c>
      <c r="C1609" s="10" t="inlineStr">
        <is>
          <t>30_DRY 48 mm - 1 PLACA - 6,05cm  -</t>
        </is>
      </c>
      <c r="D1609" s="10" t="inlineStr">
        <is>
          <t>MASSA DE REJUNTE EM PO PARA DRYWALL, A BASE DE GESSO, SECAGEM RAPIDA, PARA TRATAMENTO DE JUNTAS DE CHAPA DE GESSO (NECESSITA ADICAO DE AGUA)</t>
        </is>
      </c>
      <c r="E1609" s="11">
        <f t="array" ref="E1609">_xlfn.XLOOKUP(D1609,Insumos!B:B,Insumos!C:$C)</f>
        <v/>
      </c>
      <c r="F1609" s="14">
        <f>1.0978/2</f>
        <v/>
      </c>
      <c r="G1609" s="92">
        <f t="array" ref="G1609">IF(B1609="insumo",_xlfn.XLOOKUP($D1609,Insumos!$B$1:$B$996,Insumos!$D$1:$D$996),"")</f>
        <v/>
      </c>
      <c r="H1609" s="92" t="n">
        <v>1.882727</v>
      </c>
      <c r="I1609" s="2162" t="n">
        <v>0</v>
      </c>
      <c r="J1609" s="2162" t="n">
        <v>0</v>
      </c>
      <c r="K1609" s="2162" t="n"/>
    </row>
    <row r="1610" outlineLevel="3" ht="15.75" customHeight="1">
      <c r="A1610" s="10" t="n">
        <v>94</v>
      </c>
      <c r="B1610" s="10" t="inlineStr">
        <is>
          <t>Insumo</t>
        </is>
      </c>
      <c r="C1610" s="10" t="inlineStr">
        <is>
          <t>30_DRY 48 mm - 1 PLACA - 6,05cm  -</t>
        </is>
      </c>
      <c r="D1610" s="10" t="inlineStr">
        <is>
          <t>FITA DE PAPEL MICROPERFURADO, 50 X 150 MM, PARA TRATAMENTO DE JUNTAS DE CHAPA DE GESSO PARA DRYWALL</t>
        </is>
      </c>
      <c r="E1610" s="11">
        <f t="array" ref="E1610">_xlfn.XLOOKUP(D1610,Insumos!B:B,Insumos!C:$C)</f>
        <v/>
      </c>
      <c r="F1610" s="14">
        <f>2.5027/2</f>
        <v/>
      </c>
      <c r="G1610" s="92">
        <f t="array" ref="G1610">IF(B1610="insumo",_xlfn.XLOOKUP($D1610,Insumos!$B$1:$B$996,Insumos!$D$1:$D$996),"")</f>
        <v/>
      </c>
      <c r="H1610" s="92" t="n">
        <v>0.3879185</v>
      </c>
      <c r="I1610" s="2162" t="n">
        <v>0</v>
      </c>
      <c r="J1610" s="2162" t="n">
        <v>0</v>
      </c>
      <c r="K1610" s="2162" t="n"/>
    </row>
    <row r="1611" outlineLevel="3" ht="15.75" customHeight="1">
      <c r="A1611" s="10" t="n">
        <v>94</v>
      </c>
      <c r="B1611" s="10" t="inlineStr">
        <is>
          <t>Insumo</t>
        </is>
      </c>
      <c r="C1611" s="10" t="inlineStr">
        <is>
          <t>30_DRY 48 mm - 1 PLACA - 6,05cm  -</t>
        </is>
      </c>
      <c r="D1611" s="10" t="inlineStr">
        <is>
          <t>FITA DE PAPEL REFORCADA COM LAMINA DE METAL PARA REFORCO DE CANTOS DE CHAPA DE GESSO PARA DRYWALL</t>
        </is>
      </c>
      <c r="E1611" s="11">
        <f t="array" ref="E1611">_xlfn.XLOOKUP(D1611,Insumos!B:B,Insumos!C:$C)</f>
        <v/>
      </c>
      <c r="F1611" s="14">
        <f>1.5851/2</f>
        <v/>
      </c>
      <c r="G1611" s="92">
        <f t="array" ref="G1611">IF(B1611="insumo",_xlfn.XLOOKUP($D1611,Insumos!$B$1:$B$996,Insumos!$D$1:$D$996),"")</f>
        <v/>
      </c>
      <c r="H1611" s="92" t="n">
        <v>2.171587</v>
      </c>
      <c r="I1611" s="2162" t="n">
        <v>0</v>
      </c>
      <c r="J1611" s="2162" t="n">
        <v>0</v>
      </c>
      <c r="K1611" s="2162" t="n"/>
    </row>
    <row r="1612" outlineLevel="3" ht="15.75" customHeight="1">
      <c r="A1612" s="10" t="n">
        <v>97</v>
      </c>
      <c r="B1612" s="10" t="inlineStr">
        <is>
          <t>Insumo</t>
        </is>
      </c>
      <c r="C1612" s="10" t="inlineStr">
        <is>
          <t>30_DRY 48 mm - 1 PLACA - 6,05cm  -</t>
        </is>
      </c>
      <c r="D1612" s="10" t="inlineStr">
        <is>
          <t>PARAFUSO DRY WALL, EM ACO FOSFATIZADO, CABECA TROMBETA E PONTA AGULHA (TA), COMPRIMENTO 25 MM</t>
        </is>
      </c>
      <c r="E1612" s="11">
        <f t="array" ref="E1612">_xlfn.XLOOKUP(D1612,Insumos!B:B,Insumos!C:$C)</f>
        <v/>
      </c>
      <c r="F1612" s="14">
        <f>20.1868/2</f>
        <v/>
      </c>
      <c r="G1612" s="92">
        <f t="array" ref="G1612">IF(B1612="insumo",_xlfn.XLOOKUP($D1612,Insumos!$B$1:$B$996,Insumos!$D$1:$D$996),"")</f>
        <v/>
      </c>
      <c r="H1612" s="92" t="n">
        <v>0.908406</v>
      </c>
      <c r="I1612" s="2162" t="n">
        <v>0</v>
      </c>
      <c r="J1612" s="2162" t="n">
        <v>0</v>
      </c>
      <c r="K1612" s="2162" t="n"/>
    </row>
    <row r="1613" outlineLevel="3" ht="15.75" customHeight="1">
      <c r="A1613" s="10" t="n">
        <v>95</v>
      </c>
      <c r="B1613" s="10" t="inlineStr">
        <is>
          <t>Insumo</t>
        </is>
      </c>
      <c r="C1613" s="10" t="inlineStr">
        <is>
          <t>30_DRY 48 mm - 1 PLACA - 6,05cm  -</t>
        </is>
      </c>
      <c r="D1613" s="10" t="inlineStr">
        <is>
          <t>PARAFUSO DRY WALL, EM ACO ZINCADO, CABECA LENTILHA E PONTA BROCA (LB), LARGURA 4,2 MM, COMPRIMENTO 13 MM</t>
        </is>
      </c>
      <c r="E1613" s="11">
        <f t="array" ref="E1613">_xlfn.XLOOKUP(D1613,Insumos!B:B,Insumos!C:$C)</f>
        <v/>
      </c>
      <c r="F1613" s="14" t="n">
        <v>0.5441</v>
      </c>
      <c r="G1613" s="92">
        <f t="array" ref="G1613">IF(B1613="insumo",_xlfn.XLOOKUP($D1613,Insumos!$B$1:$B$996,Insumos!$D$1:$D$996),"")</f>
        <v/>
      </c>
      <c r="H1613" s="92" t="n">
        <v>0.10882</v>
      </c>
      <c r="I1613" s="2162" t="n">
        <v>0</v>
      </c>
      <c r="J1613" s="2162" t="n">
        <v>0</v>
      </c>
      <c r="K1613" s="2162" t="n"/>
    </row>
    <row r="1614" outlineLevel="2" ht="15.75" customHeight="1">
      <c r="A1614" s="1067" t="n">
        <v>1</v>
      </c>
      <c r="B1614" s="1067" t="inlineStr">
        <is>
          <t>Serviço</t>
        </is>
      </c>
      <c r="C1614" s="1067" t="inlineStr">
        <is>
          <t>34_DRY 48 mm LV - 1 PLACA - 6,05cm  -  Lado A: PLACA PERFORMANCE RU - Lado B: N/A</t>
        </is>
      </c>
      <c r="D1614" s="1067" t="inlineStr">
        <is>
          <t>34_DRY 48 mm LV - 1 PLACA - 6,05cm  -  Lado A: PLACA PERFORMANCE RU - Lado B: N/A</t>
        </is>
      </c>
      <c r="E1614" s="1068" t="inlineStr">
        <is>
          <t>M2</t>
        </is>
      </c>
      <c r="F1614" s="1067" t="n"/>
      <c r="G1614" s="1069">
        <f t="array" ref="G1614">IF(B1614="insumo",_xlfn.XLOOKUP($D1614,Insumos!$B$1:$B$996,Insumos!$D$1:$D$996),"")</f>
        <v/>
      </c>
      <c r="H1614" s="1069" t="n">
        <v>174.385711166667</v>
      </c>
      <c r="I1614" s="2161" t="n">
        <v>0</v>
      </c>
      <c r="J1614" s="2161" t="n">
        <v>0</v>
      </c>
      <c r="K1614" s="2161" t="n"/>
    </row>
    <row r="1615" outlineLevel="3" ht="15.75" customHeight="1">
      <c r="A1615" s="10" t="n">
        <v>86</v>
      </c>
      <c r="B1615" s="10" t="inlineStr">
        <is>
          <t>Insumo</t>
        </is>
      </c>
      <c r="C1615" s="10" t="inlineStr">
        <is>
          <t>34_DRY 48 mm LV - 1 PLACA - 6,05cm  -  Lado A: PLACA PERFORMANCE RU - Lado B: N/A</t>
        </is>
      </c>
      <c r="D1615" s="10" t="inlineStr">
        <is>
          <t>SERVICO - CONFECCAO SHAFT GESSO</t>
        </is>
      </c>
      <c r="E1615" s="11">
        <f t="array" ref="E1615">_xlfn.XLOOKUP(D1615,Insumos!B:B,Insumos!C:$C)</f>
        <v/>
      </c>
      <c r="F1615" s="14" t="n">
        <v>1</v>
      </c>
      <c r="G1615" s="92">
        <f t="array" ref="G1615">IF(B1615="insumo",_xlfn.XLOOKUP($D1615,Insumos!$B$1:$B$996,Insumos!$D$1:$D$996),"")</f>
        <v/>
      </c>
      <c r="H1615" s="92" t="n">
        <v>70</v>
      </c>
      <c r="I1615" s="2162" t="n">
        <v>0</v>
      </c>
      <c r="J1615" s="2162" t="n">
        <v>0</v>
      </c>
      <c r="K1615" s="2162" t="n"/>
    </row>
    <row r="1616" outlineLevel="3" ht="15.75" customHeight="1">
      <c r="A1616" s="10" t="n">
        <v>47</v>
      </c>
      <c r="B1616" s="10" t="inlineStr">
        <is>
          <t>Insumo</t>
        </is>
      </c>
      <c r="C1616" s="10" t="inlineStr">
        <is>
          <t>34_DRY 48 mm LV - 1 PLACA - 6,05cm  -  Lado A: PLACA PERFORMANCE RU - Lado B: N/A</t>
        </is>
      </c>
      <c r="D1616" s="10" t="inlineStr">
        <is>
          <t>PLACA / CHAPA DE GESSO ACARTONADO, STANDARD (ST), COR BRANCA, E = 12,5 MM, 1200 X 2400 MM (L X C)</t>
        </is>
      </c>
      <c r="E1616" s="11">
        <f t="array" ref="E1616">_xlfn.XLOOKUP(D1616,Insumos!B:B,Insumos!C:$C)</f>
        <v/>
      </c>
      <c r="F1616" s="14" t="n">
        <v>1.106</v>
      </c>
      <c r="G1616" s="92">
        <f t="array" ref="G1616">IF(B1616="insumo",_xlfn.XLOOKUP($D1616,Insumos!$B$1:$B$996,Insumos!$D$1:$D$996),"")</f>
        <v/>
      </c>
      <c r="H1616" s="92" t="n">
        <v>22.29696</v>
      </c>
      <c r="I1616" s="2162" t="n">
        <v>0</v>
      </c>
      <c r="J1616" s="2162" t="n">
        <v>0</v>
      </c>
      <c r="K1616" s="2162" t="n"/>
    </row>
    <row r="1617" outlineLevel="3" ht="15.75" customHeight="1">
      <c r="A1617" s="10" t="n">
        <v>95</v>
      </c>
      <c r="B1617" s="10" t="inlineStr">
        <is>
          <t>Insumo</t>
        </is>
      </c>
      <c r="C1617" s="10" t="inlineStr">
        <is>
          <t>34_DRY 48 mm LV - 1 PLACA - 6,05cm  -  Lado A: PLACA PERFORMANCE RU - Lado B: N/A</t>
        </is>
      </c>
      <c r="D1617" s="10" t="inlineStr">
        <is>
          <t>PINO DE ACO COM ARRUELA CONICA, DIAMETRO ARRUELA = *23* MM E COMP HASTE = *27* MM (ACAO INDIRETA)</t>
        </is>
      </c>
      <c r="E1617" s="11">
        <f t="array" ref="E1617">_xlfn.XLOOKUP(D1617,Insumos!B:B,Insumos!C:$C)</f>
        <v/>
      </c>
      <c r="F1617" s="14" t="n">
        <v>5.92</v>
      </c>
      <c r="G1617" s="92">
        <f t="array" ref="G1617">IF(B1617="insumo",_xlfn.XLOOKUP($D1617,Insumos!$B$1:$B$996,Insumos!$D$1:$D$996),"")</f>
        <v/>
      </c>
      <c r="H1617" s="92" t="n">
        <v>2.98368</v>
      </c>
      <c r="I1617" s="2162" t="n">
        <v>0</v>
      </c>
      <c r="J1617" s="2162" t="n">
        <v>0</v>
      </c>
      <c r="K1617" s="2162" t="n"/>
    </row>
    <row r="1618" outlineLevel="3" ht="15.75" customHeight="1">
      <c r="A1618" s="10" t="n">
        <v>26</v>
      </c>
      <c r="B1618" s="10" t="inlineStr">
        <is>
          <t>Insumo</t>
        </is>
      </c>
      <c r="C1618" s="10" t="inlineStr">
        <is>
          <t>34_DRY 48 mm LV - 1 PLACA - 6,05cm  -  Lado A: PLACA PERFORMANCE RU - Lado B: N/A</t>
        </is>
      </c>
      <c r="D1618" s="10" t="inlineStr">
        <is>
          <t>PERFIL GUIA, FORMATO U, EM ACO ZINCADO, PARA ESTRUTURA PAREDE DRYWALL, E = 0,5 MM, 48 X 3000 MM (L X C)</t>
        </is>
      </c>
      <c r="E1618" s="11">
        <f t="array" ref="E1618">_xlfn.XLOOKUP(D1618,Insumos!B:B,Insumos!C:$C)</f>
        <v/>
      </c>
      <c r="F1618" s="14" t="n">
        <v>1.8234</v>
      </c>
      <c r="G1618" s="92">
        <f t="array" ref="G1618">IF(B1618="insumo",_xlfn.XLOOKUP($D1618,Insumos!$B$1:$B$996,Insumos!$D$1:$D$996),"")</f>
        <v/>
      </c>
      <c r="H1618" s="92" t="n">
        <v>12.818502</v>
      </c>
      <c r="I1618" s="2162" t="n">
        <v>0</v>
      </c>
      <c r="J1618" s="2162" t="n">
        <v>0</v>
      </c>
      <c r="K1618" s="2162" t="n"/>
    </row>
    <row r="1619" outlineLevel="3" ht="15.75" customHeight="1">
      <c r="A1619" s="10" t="n">
        <v>26</v>
      </c>
      <c r="B1619" s="10" t="inlineStr">
        <is>
          <t>Insumo</t>
        </is>
      </c>
      <c r="C1619" s="10" t="inlineStr">
        <is>
          <t>34_DRY 48 mm LV - 1 PLACA - 6,05cm  -  Lado A: PLACA PERFORMANCE RU - Lado B: N/A</t>
        </is>
      </c>
      <c r="D1619" s="10" t="inlineStr">
        <is>
          <t>PERFIL MONTANTE, FORMATO C, EM ACO ZINCADO, PARA ESTRUTURA PAREDE DRYWALL, E = 0,5 MM, 48 X 3000 MM (L X C)</t>
        </is>
      </c>
      <c r="E1619" s="11">
        <f t="array" ref="E1619">_xlfn.XLOOKUP(D1619,Insumos!B:B,Insumos!C:$C)</f>
        <v/>
      </c>
      <c r="F1619" s="14" t="n">
        <v>5.8278</v>
      </c>
      <c r="G1619" s="92">
        <f t="array" ref="G1619">IF(B1619="insumo",_xlfn.XLOOKUP($D1619,Insumos!$B$1:$B$996,Insumos!$D$1:$D$996),"")</f>
        <v/>
      </c>
      <c r="H1619" s="92" t="n">
        <v>46.505844</v>
      </c>
      <c r="I1619" s="2162" t="n">
        <v>0</v>
      </c>
      <c r="J1619" s="2162" t="n">
        <v>0</v>
      </c>
      <c r="K1619" s="2162" t="n"/>
    </row>
    <row r="1620" outlineLevel="3" ht="15.75" customHeight="1">
      <c r="A1620" s="10" t="n">
        <v>95</v>
      </c>
      <c r="B1620" s="10" t="inlineStr">
        <is>
          <t>Insumo</t>
        </is>
      </c>
      <c r="C1620" s="10" t="inlineStr">
        <is>
          <t>34_DRY 48 mm LV - 1 PLACA - 6,05cm  -  Lado A: PLACA PERFORMANCE RU - Lado B: N/A</t>
        </is>
      </c>
      <c r="D1620" s="10" t="inlineStr">
        <is>
          <t>MASSA DE REJUNTE EM PO PARA DRYWALL, A BASE DE GESSO, SECAGEM RAPIDA, PARA TRATAMENTO DE JUNTAS DE CHAPA DE GESSO (NECESSITA ADICAO DE AGUA)</t>
        </is>
      </c>
      <c r="E1620" s="11">
        <f t="array" ref="E1620">_xlfn.XLOOKUP(D1620,Insumos!B:B,Insumos!C:$C)</f>
        <v/>
      </c>
      <c r="F1620" s="14">
        <f>1.0978/2</f>
        <v/>
      </c>
      <c r="G1620" s="92">
        <f t="array" ref="G1620">IF(B1620="insumo",_xlfn.XLOOKUP($D1620,Insumos!$B$1:$B$996,Insumos!$D$1:$D$996),"")</f>
        <v/>
      </c>
      <c r="H1620" s="92" t="n">
        <v>1.882727</v>
      </c>
      <c r="I1620" s="2162" t="n">
        <v>0</v>
      </c>
      <c r="J1620" s="2162" t="n">
        <v>0</v>
      </c>
      <c r="K1620" s="2162" t="n"/>
    </row>
    <row r="1621" outlineLevel="3" ht="15.75" customHeight="1">
      <c r="A1621" s="10" t="n">
        <v>94</v>
      </c>
      <c r="B1621" s="10" t="inlineStr">
        <is>
          <t>Insumo</t>
        </is>
      </c>
      <c r="C1621" s="10" t="inlineStr">
        <is>
          <t>34_DRY 48 mm LV - 1 PLACA - 6,05cm  -  Lado A: PLACA PERFORMANCE RU - Lado B: N/A</t>
        </is>
      </c>
      <c r="D1621" s="10" t="inlineStr">
        <is>
          <t>FITA DE PAPEL MICROPERFURADO, 50 X 150 MM, PARA TRATAMENTO DE JUNTAS DE CHAPA DE GESSO PARA DRYWALL</t>
        </is>
      </c>
      <c r="E1621" s="11">
        <f t="array" ref="E1621">_xlfn.XLOOKUP(D1621,Insumos!B:B,Insumos!C:$C)</f>
        <v/>
      </c>
      <c r="F1621" s="14">
        <f>2.5027/2</f>
        <v/>
      </c>
      <c r="G1621" s="92">
        <f t="array" ref="G1621">IF(B1621="insumo",_xlfn.XLOOKUP($D1621,Insumos!$B$1:$B$996,Insumos!$D$1:$D$996),"")</f>
        <v/>
      </c>
      <c r="H1621" s="92" t="n">
        <v>0.3879185</v>
      </c>
      <c r="I1621" s="2162" t="n">
        <v>0</v>
      </c>
      <c r="J1621" s="2162" t="n">
        <v>0</v>
      </c>
      <c r="K1621" s="2162" t="n"/>
    </row>
    <row r="1622" outlineLevel="3" ht="15.75" customHeight="1">
      <c r="A1622" s="10" t="n">
        <v>94</v>
      </c>
      <c r="B1622" s="10" t="inlineStr">
        <is>
          <t>Insumo</t>
        </is>
      </c>
      <c r="C1622" s="10" t="inlineStr">
        <is>
          <t>34_DRY 48 mm LV - 1 PLACA - 6,05cm  -  Lado A: PLACA PERFORMANCE RU - Lado B: N/A</t>
        </is>
      </c>
      <c r="D1622" s="10" t="inlineStr">
        <is>
          <t>FITA DE PAPEL REFORCADA COM LAMINA DE METAL PARA REFORCO DE CANTOS DE CHAPA DE GESSO PARA DRYWALL</t>
        </is>
      </c>
      <c r="E1622" s="11">
        <f t="array" ref="E1622">_xlfn.XLOOKUP(D1622,Insumos!B:B,Insumos!C:$C)</f>
        <v/>
      </c>
      <c r="F1622" s="14">
        <f>1.5851/2</f>
        <v/>
      </c>
      <c r="G1622" s="92">
        <f t="array" ref="G1622">IF(B1622="insumo",_xlfn.XLOOKUP($D1622,Insumos!$B$1:$B$996,Insumos!$D$1:$D$996),"")</f>
        <v/>
      </c>
      <c r="H1622" s="92" t="n">
        <v>2.171587</v>
      </c>
      <c r="I1622" s="2162" t="n">
        <v>0</v>
      </c>
      <c r="J1622" s="2162" t="n">
        <v>0</v>
      </c>
      <c r="K1622" s="2162" t="n"/>
    </row>
    <row r="1623" outlineLevel="3" ht="15.75" customHeight="1">
      <c r="A1623" s="10" t="n">
        <v>97</v>
      </c>
      <c r="B1623" s="10" t="inlineStr">
        <is>
          <t>Insumo</t>
        </is>
      </c>
      <c r="C1623" s="10" t="inlineStr">
        <is>
          <t>34_DRY 48 mm LV - 1 PLACA - 6,05cm  -  Lado A: PLACA PERFORMANCE RU - Lado B: N/A</t>
        </is>
      </c>
      <c r="D1623" s="10" t="inlineStr">
        <is>
          <t>PARAFUSO DRY WALL, EM ACO FOSFATIZADO, CABECA TROMBETA E PONTA AGULHA (TA), COMPRIMENTO 25 MM</t>
        </is>
      </c>
      <c r="E1623" s="11">
        <f t="array" ref="E1623">_xlfn.XLOOKUP(D1623,Insumos!B:B,Insumos!C:$C)</f>
        <v/>
      </c>
      <c r="F1623" s="14">
        <f>20.1868/2</f>
        <v/>
      </c>
      <c r="G1623" s="92">
        <f t="array" ref="G1623">IF(B1623="insumo",_xlfn.XLOOKUP($D1623,Insumos!$B$1:$B$996,Insumos!$D$1:$D$996),"")</f>
        <v/>
      </c>
      <c r="H1623" s="92" t="n">
        <v>0.908406</v>
      </c>
      <c r="I1623" s="2162" t="n">
        <v>0</v>
      </c>
      <c r="J1623" s="2162" t="n">
        <v>0</v>
      </c>
      <c r="K1623" s="2162" t="n"/>
    </row>
    <row r="1624" outlineLevel="3" ht="15.75" customHeight="1">
      <c r="A1624" s="10" t="n">
        <v>95</v>
      </c>
      <c r="B1624" s="10" t="inlineStr">
        <is>
          <t>Insumo</t>
        </is>
      </c>
      <c r="C1624" s="10" t="inlineStr">
        <is>
          <t>34_DRY 48 mm LV - 1 PLACA - 6,05cm  -  Lado A: PLACA PERFORMANCE RU - Lado B: N/A</t>
        </is>
      </c>
      <c r="D1624" s="10" t="inlineStr">
        <is>
          <t>PARAFUSO DRY WALL, EM ACO ZINCADO, CABECA LENTILHA E PONTA BROCA (LB), LARGURA 4,2 MM, COMPRIMENTO 13 MM</t>
        </is>
      </c>
      <c r="E1624" s="11">
        <f t="array" ref="E1624">_xlfn.XLOOKUP(D1624,Insumos!B:B,Insumos!C:$C)</f>
        <v/>
      </c>
      <c r="F1624" s="14" t="n">
        <v>0.5441</v>
      </c>
      <c r="G1624" s="92">
        <f t="array" ref="G1624">IF(B1624="insumo",_xlfn.XLOOKUP($D1624,Insumos!$B$1:$B$996,Insumos!$D$1:$D$996),"")</f>
        <v/>
      </c>
      <c r="H1624" s="92" t="n">
        <v>0.10882</v>
      </c>
      <c r="I1624" s="2162" t="n">
        <v>0</v>
      </c>
      <c r="J1624" s="2162" t="n">
        <v>0</v>
      </c>
      <c r="K1624" s="2162" t="n"/>
    </row>
    <row r="1625" outlineLevel="3" ht="15.75" customHeight="1">
      <c r="A1625" s="10" t="n">
        <v>35</v>
      </c>
      <c r="B1625" s="10" t="inlineStr">
        <is>
          <t>Insumo</t>
        </is>
      </c>
      <c r="C1625" s="10" t="inlineStr">
        <is>
          <t>34_DRY 48 mm LV - 1 PLACA - 6,05cm  -  Lado A: PLACA PERFORMANCE RU - Lado B: N/A</t>
        </is>
      </c>
      <c r="D1625" s="10" t="inlineStr">
        <is>
          <t>Lã de pet 50 X 1200 X 12500 MM</t>
        </is>
      </c>
      <c r="E1625" s="11">
        <f t="array" ref="E1625">_xlfn.XLOOKUP(D1625,Insumos!B:B,Insumos!C:$C)</f>
        <v/>
      </c>
      <c r="F1625" s="14" t="n">
        <v>1.1</v>
      </c>
      <c r="G1625" s="92">
        <f t="array" ref="G1625">IF(B1625="insumo",_xlfn.XLOOKUP($D1625,Insumos!$B$1:$B$996,Insumos!$D$1:$D$996),"")</f>
        <v/>
      </c>
      <c r="H1625" s="92" t="n">
        <v>14.3212666666667</v>
      </c>
      <c r="I1625" s="2162" t="n">
        <v>0</v>
      </c>
      <c r="J1625" s="2162" t="n">
        <v>0</v>
      </c>
      <c r="K1625" s="2162" t="n"/>
    </row>
    <row r="1626" outlineLevel="2" ht="15.75" customHeight="1">
      <c r="A1626" s="1067" t="n">
        <v>1</v>
      </c>
      <c r="B1626" s="1067" t="inlineStr">
        <is>
          <t>Serviço</t>
        </is>
      </c>
      <c r="C1626" s="1067" t="inlineStr">
        <is>
          <t>34_DRY 48 mm LV - 1 PLACA - 6,05cm  -  Lado A: PLACA RU - Lado B: N/A</t>
        </is>
      </c>
      <c r="D1626" s="1067" t="inlineStr">
        <is>
          <t>34_DRY 48 mm LV - 1 PLACA - 6,05cm  -  Lado A: PLACA RU - Lado B: N/A</t>
        </is>
      </c>
      <c r="E1626" s="1068" t="inlineStr">
        <is>
          <t>M2</t>
        </is>
      </c>
      <c r="F1626" s="1067" t="n"/>
      <c r="G1626" s="1069">
        <f t="array" ref="G1626">IF(B1626="insumo",_xlfn.XLOOKUP($D1626,Insumos!$B$1:$B$996,Insumos!$D$1:$D$996),"")</f>
        <v/>
      </c>
      <c r="H1626" s="1069" t="n">
        <v>182.061351166667</v>
      </c>
      <c r="I1626" s="2161" t="n">
        <v>0</v>
      </c>
      <c r="J1626" s="2161" t="n">
        <v>0</v>
      </c>
      <c r="K1626" s="2161" t="n"/>
    </row>
    <row r="1627" outlineLevel="3" ht="15.75" customHeight="1">
      <c r="A1627" s="10" t="n">
        <v>86</v>
      </c>
      <c r="B1627" s="10" t="inlineStr">
        <is>
          <t>Insumo</t>
        </is>
      </c>
      <c r="C1627" s="10" t="inlineStr">
        <is>
          <t>34_DRY 48 mm LV - 1 PLACA - 6,05cm  -  Lado A: PLACA RU - Lado B: N/A</t>
        </is>
      </c>
      <c r="D1627" s="10" t="inlineStr">
        <is>
          <t>SERVICO - CONFECCAO SHAFT GESSO</t>
        </is>
      </c>
      <c r="E1627" s="11">
        <f t="array" ref="E1627">_xlfn.XLOOKUP(D1627,Insumos!B:B,Insumos!C:$C)</f>
        <v/>
      </c>
      <c r="F1627" s="14" t="n">
        <v>1</v>
      </c>
      <c r="G1627" s="92">
        <f t="array" ref="G1627">IF(B1627="insumo",_xlfn.XLOOKUP($D1627,Insumos!$B$1:$B$996,Insumos!$D$1:$D$996),"")</f>
        <v/>
      </c>
      <c r="H1627" s="92" t="n">
        <v>70</v>
      </c>
      <c r="I1627" s="2162" t="n">
        <v>0</v>
      </c>
      <c r="J1627" s="2162" t="n">
        <v>0</v>
      </c>
      <c r="K1627" s="2162" t="n"/>
    </row>
    <row r="1628" outlineLevel="3" ht="15.75" customHeight="1">
      <c r="A1628" s="10" t="n">
        <v>49</v>
      </c>
      <c r="B1628" s="10" t="inlineStr">
        <is>
          <t>Insumo</t>
        </is>
      </c>
      <c r="C1628" s="10" t="inlineStr">
        <is>
          <t>34_DRY 48 mm LV - 1 PLACA - 6,05cm  -  Lado A: PLACA RU - Lado B: N/A</t>
        </is>
      </c>
      <c r="D1628" s="10" t="inlineStr">
        <is>
          <t>PLACA / CHAPA DE GESSO ACARTONADO, RESISTENTE A UMIDADE (RU), COR VERDE, E = 12,5 MM, 1200 X 2400 MM (L X C)</t>
        </is>
      </c>
      <c r="E1628" s="11">
        <f t="array" ref="E1628">_xlfn.XLOOKUP(D1628,Insumos!B:B,Insumos!C:$C)</f>
        <v/>
      </c>
      <c r="F1628" s="14" t="n">
        <v>1.106</v>
      </c>
      <c r="G1628" s="92">
        <f t="array" ref="G1628">IF(B1628="insumo",_xlfn.XLOOKUP($D1628,Insumos!$B$1:$B$996,Insumos!$D$1:$D$996),"")</f>
        <v/>
      </c>
      <c r="H1628" s="92" t="n">
        <v>29.9726</v>
      </c>
      <c r="I1628" s="2162" t="n">
        <v>0</v>
      </c>
      <c r="J1628" s="2162" t="n">
        <v>0</v>
      </c>
      <c r="K1628" s="2162" t="n"/>
    </row>
    <row r="1629" outlineLevel="3" ht="15.75" customHeight="1">
      <c r="A1629" s="10" t="n">
        <v>95</v>
      </c>
      <c r="B1629" s="10" t="inlineStr">
        <is>
          <t>Insumo</t>
        </is>
      </c>
      <c r="C1629" s="10" t="inlineStr">
        <is>
          <t>34_DRY 48 mm LV - 1 PLACA - 6,05cm  -  Lado A: PLACA RU - Lado B: N/A</t>
        </is>
      </c>
      <c r="D1629" s="10" t="inlineStr">
        <is>
          <t>PINO DE ACO COM ARRUELA CONICA, DIAMETRO ARRUELA = *23* MM E COMP HASTE = *27* MM (ACAO INDIRETA)</t>
        </is>
      </c>
      <c r="E1629" s="11">
        <f t="array" ref="E1629">_xlfn.XLOOKUP(D1629,Insumos!B:B,Insumos!C:$C)</f>
        <v/>
      </c>
      <c r="F1629" s="14" t="n">
        <v>5.92</v>
      </c>
      <c r="G1629" s="92">
        <f t="array" ref="G1629">IF(B1629="insumo",_xlfn.XLOOKUP($D1629,Insumos!$B$1:$B$996,Insumos!$D$1:$D$996),"")</f>
        <v/>
      </c>
      <c r="H1629" s="92" t="n">
        <v>2.98368</v>
      </c>
      <c r="I1629" s="2162" t="n">
        <v>0</v>
      </c>
      <c r="J1629" s="2162" t="n">
        <v>0</v>
      </c>
      <c r="K1629" s="2162" t="n"/>
    </row>
    <row r="1630" outlineLevel="3" ht="15.75" customHeight="1">
      <c r="A1630" s="10" t="n">
        <v>26</v>
      </c>
      <c r="B1630" s="10" t="inlineStr">
        <is>
          <t>Insumo</t>
        </is>
      </c>
      <c r="C1630" s="10" t="inlineStr">
        <is>
          <t>34_DRY 48 mm LV - 1 PLACA - 6,05cm  -  Lado A: PLACA RU - Lado B: N/A</t>
        </is>
      </c>
      <c r="D1630" s="10" t="inlineStr">
        <is>
          <t>PERFIL GUIA, FORMATO U, EM ACO ZINCADO, PARA ESTRUTURA PAREDE DRYWALL, E = 0,5 MM, 48 X 3000 MM (L X C)</t>
        </is>
      </c>
      <c r="E1630" s="11">
        <f t="array" ref="E1630">_xlfn.XLOOKUP(D1630,Insumos!B:B,Insumos!C:$C)</f>
        <v/>
      </c>
      <c r="F1630" s="14" t="n">
        <v>1.8234</v>
      </c>
      <c r="G1630" s="92">
        <f t="array" ref="G1630">IF(B1630="insumo",_xlfn.XLOOKUP($D1630,Insumos!$B$1:$B$996,Insumos!$D$1:$D$996),"")</f>
        <v/>
      </c>
      <c r="H1630" s="92" t="n">
        <v>12.818502</v>
      </c>
      <c r="I1630" s="2162" t="n">
        <v>0</v>
      </c>
      <c r="J1630" s="2162" t="n">
        <v>0</v>
      </c>
      <c r="K1630" s="2162" t="n"/>
    </row>
    <row r="1631" outlineLevel="3" ht="15.75" customHeight="1">
      <c r="A1631" s="10" t="n">
        <v>26</v>
      </c>
      <c r="B1631" s="10" t="inlineStr">
        <is>
          <t>Insumo</t>
        </is>
      </c>
      <c r="C1631" s="10" t="inlineStr">
        <is>
          <t>34_DRY 48 mm LV - 1 PLACA - 6,05cm  -  Lado A: PLACA RU - Lado B: N/A</t>
        </is>
      </c>
      <c r="D1631" s="10" t="inlineStr">
        <is>
          <t>PERFIL MONTANTE, FORMATO C, EM ACO ZINCADO, PARA ESTRUTURA PAREDE DRYWALL, E = 0,5 MM, 48 X 3000 MM (L X C)</t>
        </is>
      </c>
      <c r="E1631" s="11">
        <f t="array" ref="E1631">_xlfn.XLOOKUP(D1631,Insumos!B:B,Insumos!C:$C)</f>
        <v/>
      </c>
      <c r="F1631" s="14" t="n">
        <v>5.8278</v>
      </c>
      <c r="G1631" s="92">
        <f t="array" ref="G1631">IF(B1631="insumo",_xlfn.XLOOKUP($D1631,Insumos!$B$1:$B$996,Insumos!$D$1:$D$996),"")</f>
        <v/>
      </c>
      <c r="H1631" s="92" t="n">
        <v>46.505844</v>
      </c>
      <c r="I1631" s="2162" t="n">
        <v>0</v>
      </c>
      <c r="J1631" s="2162" t="n">
        <v>0</v>
      </c>
      <c r="K1631" s="2162" t="n"/>
    </row>
    <row r="1632" outlineLevel="3" ht="15.75" customHeight="1">
      <c r="A1632" s="10" t="n">
        <v>95</v>
      </c>
      <c r="B1632" s="10" t="inlineStr">
        <is>
          <t>Insumo</t>
        </is>
      </c>
      <c r="C1632" s="10" t="inlineStr">
        <is>
          <t>34_DRY 48 mm LV - 1 PLACA - 6,05cm  -  Lado A: PLACA RU - Lado B: N/A</t>
        </is>
      </c>
      <c r="D1632" s="10" t="inlineStr">
        <is>
          <t>MASSA DE REJUNTE EM PO PARA DRYWALL, A BASE DE GESSO, SECAGEM RAPIDA, PARA TRATAMENTO DE JUNTAS DE CHAPA DE GESSO (NECESSITA ADICAO DE AGUA)</t>
        </is>
      </c>
      <c r="E1632" s="11">
        <f t="array" ref="E1632">_xlfn.XLOOKUP(D1632,Insumos!B:B,Insumos!C:$C)</f>
        <v/>
      </c>
      <c r="F1632" s="14">
        <f>1.0978/2</f>
        <v/>
      </c>
      <c r="G1632" s="92">
        <f t="array" ref="G1632">IF(B1632="insumo",_xlfn.XLOOKUP($D1632,Insumos!$B$1:$B$996,Insumos!$D$1:$D$996),"")</f>
        <v/>
      </c>
      <c r="H1632" s="92" t="n">
        <v>1.882727</v>
      </c>
      <c r="I1632" s="2162" t="n">
        <v>0</v>
      </c>
      <c r="J1632" s="2162" t="n">
        <v>0</v>
      </c>
      <c r="K1632" s="2162" t="n"/>
    </row>
    <row r="1633" outlineLevel="3" ht="15.75" customHeight="1">
      <c r="A1633" s="10" t="n">
        <v>94</v>
      </c>
      <c r="B1633" s="10" t="inlineStr">
        <is>
          <t>Insumo</t>
        </is>
      </c>
      <c r="C1633" s="10" t="inlineStr">
        <is>
          <t>34_DRY 48 mm LV - 1 PLACA - 6,05cm  -  Lado A: PLACA RU - Lado B: N/A</t>
        </is>
      </c>
      <c r="D1633" s="10" t="inlineStr">
        <is>
          <t>FITA DE PAPEL MICROPERFURADO, 50 X 150 MM, PARA TRATAMENTO DE JUNTAS DE CHAPA DE GESSO PARA DRYWALL</t>
        </is>
      </c>
      <c r="E1633" s="11">
        <f t="array" ref="E1633">_xlfn.XLOOKUP(D1633,Insumos!B:B,Insumos!C:$C)</f>
        <v/>
      </c>
      <c r="F1633" s="14">
        <f>2.5027/2</f>
        <v/>
      </c>
      <c r="G1633" s="92">
        <f t="array" ref="G1633">IF(B1633="insumo",_xlfn.XLOOKUP($D1633,Insumos!$B$1:$B$996,Insumos!$D$1:$D$996),"")</f>
        <v/>
      </c>
      <c r="H1633" s="92" t="n">
        <v>0.3879185</v>
      </c>
      <c r="I1633" s="2162" t="n">
        <v>0</v>
      </c>
      <c r="J1633" s="2162" t="n">
        <v>0</v>
      </c>
      <c r="K1633" s="2162" t="n"/>
    </row>
    <row r="1634" outlineLevel="3" ht="15.75" customHeight="1">
      <c r="A1634" s="10" t="n">
        <v>94</v>
      </c>
      <c r="B1634" s="10" t="inlineStr">
        <is>
          <t>Insumo</t>
        </is>
      </c>
      <c r="C1634" s="10" t="inlineStr">
        <is>
          <t>34_DRY 48 mm LV - 1 PLACA - 6,05cm  -  Lado A: PLACA RU - Lado B: N/A</t>
        </is>
      </c>
      <c r="D1634" s="10" t="inlineStr">
        <is>
          <t>FITA DE PAPEL REFORCADA COM LAMINA DE METAL PARA REFORCO DE CANTOS DE CHAPA DE GESSO PARA DRYWALL</t>
        </is>
      </c>
      <c r="E1634" s="11">
        <f t="array" ref="E1634">_xlfn.XLOOKUP(D1634,Insumos!B:B,Insumos!C:$C)</f>
        <v/>
      </c>
      <c r="F1634" s="14">
        <f>1.5851/2</f>
        <v/>
      </c>
      <c r="G1634" s="92">
        <f t="array" ref="G1634">IF(B1634="insumo",_xlfn.XLOOKUP($D1634,Insumos!$B$1:$B$996,Insumos!$D$1:$D$996),"")</f>
        <v/>
      </c>
      <c r="H1634" s="92" t="n">
        <v>2.171587</v>
      </c>
      <c r="I1634" s="2162" t="n">
        <v>0</v>
      </c>
      <c r="J1634" s="2162" t="n">
        <v>0</v>
      </c>
      <c r="K1634" s="2162" t="n"/>
    </row>
    <row r="1635" outlineLevel="3" ht="15.75" customHeight="1">
      <c r="A1635" s="10" t="n">
        <v>97</v>
      </c>
      <c r="B1635" s="10" t="inlineStr">
        <is>
          <t>Insumo</t>
        </is>
      </c>
      <c r="C1635" s="10" t="inlineStr">
        <is>
          <t>34_DRY 48 mm LV - 1 PLACA - 6,05cm  -  Lado A: PLACA RU - Lado B: N/A</t>
        </is>
      </c>
      <c r="D1635" s="10" t="inlineStr">
        <is>
          <t>PARAFUSO DRY WALL, EM ACO FOSFATIZADO, CABECA TROMBETA E PONTA AGULHA (TA), COMPRIMENTO 25 MM</t>
        </is>
      </c>
      <c r="E1635" s="11">
        <f t="array" ref="E1635">_xlfn.XLOOKUP(D1635,Insumos!B:B,Insumos!C:$C)</f>
        <v/>
      </c>
      <c r="F1635" s="14">
        <f>20.1868/2</f>
        <v/>
      </c>
      <c r="G1635" s="92">
        <f t="array" ref="G1635">IF(B1635="insumo",_xlfn.XLOOKUP($D1635,Insumos!$B$1:$B$996,Insumos!$D$1:$D$996),"")</f>
        <v/>
      </c>
      <c r="H1635" s="92" t="n">
        <v>0.908406</v>
      </c>
      <c r="I1635" s="2162" t="n">
        <v>0</v>
      </c>
      <c r="J1635" s="2162" t="n">
        <v>0</v>
      </c>
      <c r="K1635" s="2162" t="n"/>
    </row>
    <row r="1636" outlineLevel="3" ht="15.75" customHeight="1">
      <c r="A1636" s="10" t="n">
        <v>95</v>
      </c>
      <c r="B1636" s="10" t="inlineStr">
        <is>
          <t>Insumo</t>
        </is>
      </c>
      <c r="C1636" s="10" t="inlineStr">
        <is>
          <t>34_DRY 48 mm LV - 1 PLACA - 6,05cm  -  Lado A: PLACA RU - Lado B: N/A</t>
        </is>
      </c>
      <c r="D1636" s="10" t="inlineStr">
        <is>
          <t>PARAFUSO DRY WALL, EM ACO ZINCADO, CABECA LENTILHA E PONTA BROCA (LB), LARGURA 4,2 MM, COMPRIMENTO 13 MM</t>
        </is>
      </c>
      <c r="E1636" s="11">
        <f t="array" ref="E1636">_xlfn.XLOOKUP(D1636,Insumos!B:B,Insumos!C:$C)</f>
        <v/>
      </c>
      <c r="F1636" s="14" t="n">
        <v>0.5441</v>
      </c>
      <c r="G1636" s="92">
        <f t="array" ref="G1636">IF(B1636="insumo",_xlfn.XLOOKUP($D1636,Insumos!$B$1:$B$996,Insumos!$D$1:$D$996),"")</f>
        <v/>
      </c>
      <c r="H1636" s="92" t="n">
        <v>0.10882</v>
      </c>
      <c r="I1636" s="2162" t="n">
        <v>0</v>
      </c>
      <c r="J1636" s="2162" t="n">
        <v>0</v>
      </c>
      <c r="K1636" s="2162" t="n"/>
    </row>
    <row r="1637" outlineLevel="3" ht="15.75" customHeight="1">
      <c r="A1637" s="10" t="n">
        <v>35</v>
      </c>
      <c r="B1637" s="10" t="inlineStr">
        <is>
          <t>Insumo</t>
        </is>
      </c>
      <c r="C1637" s="10" t="inlineStr">
        <is>
          <t>34_DRY 48 mm LV - 1 PLACA - 6,05cm  -  Lado A: PLACA RU - Lado B: N/A</t>
        </is>
      </c>
      <c r="D1637" s="10" t="inlineStr">
        <is>
          <t>Lã de pet 50 X 1200 X 12500 MM</t>
        </is>
      </c>
      <c r="E1637" s="11">
        <f t="array" ref="E1637">_xlfn.XLOOKUP(D1637,Insumos!B:B,Insumos!C:$C)</f>
        <v/>
      </c>
      <c r="F1637" s="14" t="n">
        <v>1.1</v>
      </c>
      <c r="G1637" s="92">
        <f t="array" ref="G1637">IF(B1637="insumo",_xlfn.XLOOKUP($D1637,Insumos!$B$1:$B$996,Insumos!$D$1:$D$996),"")</f>
        <v/>
      </c>
      <c r="H1637" s="92" t="n">
        <v>14.3212666666667</v>
      </c>
      <c r="I1637" s="2162" t="n">
        <v>0</v>
      </c>
      <c r="J1637" s="2162" t="n">
        <v>0</v>
      </c>
      <c r="K1637" s="2162" t="n"/>
    </row>
    <row r="1638" outlineLevel="2" ht="15.75" customHeight="1">
      <c r="A1638" s="1067" t="n">
        <v>1</v>
      </c>
      <c r="B1638" s="1067" t="inlineStr">
        <is>
          <t>Serviço</t>
        </is>
      </c>
      <c r="C1638" s="1067" t="inlineStr">
        <is>
          <t>43_DRY PEU/48 - 6.05 cm  -</t>
        </is>
      </c>
      <c r="D1638" s="1067" t="inlineStr">
        <is>
          <t>43_DRY PEU/48 - 6.05 cm  -</t>
        </is>
      </c>
      <c r="E1638" s="1068" t="inlineStr">
        <is>
          <t>M2</t>
        </is>
      </c>
      <c r="F1638" s="1067" t="n"/>
      <c r="G1638" s="1069">
        <f t="array" ref="G1638">IF(B1638="insumo",_xlfn.XLOOKUP($D1638,Insumos!$B$1:$B$996,Insumos!$D$1:$D$996),"")</f>
        <v/>
      </c>
      <c r="H1638" s="1069" t="n">
        <v>174.385711166667</v>
      </c>
      <c r="I1638" s="2161" t="n">
        <v>0</v>
      </c>
      <c r="J1638" s="2161" t="n">
        <v>0</v>
      </c>
      <c r="K1638" s="2161" t="n"/>
    </row>
    <row r="1639" outlineLevel="3" ht="15.75" customHeight="1">
      <c r="A1639" s="10" t="n">
        <v>86</v>
      </c>
      <c r="B1639" s="10" t="inlineStr">
        <is>
          <t>Insumo</t>
        </is>
      </c>
      <c r="C1639" s="10" t="inlineStr">
        <is>
          <t>43_DRY PEU/48 - 6.05 cm  -</t>
        </is>
      </c>
      <c r="D1639" s="10" t="inlineStr">
        <is>
          <t>SERVICO - CONFECCAO SHAFT GESSO</t>
        </is>
      </c>
      <c r="E1639" s="11">
        <f t="array" ref="E1639">_xlfn.XLOOKUP(D1639,Insumos!B:B,Insumos!C:$C)</f>
        <v/>
      </c>
      <c r="F1639" s="14" t="n">
        <v>1</v>
      </c>
      <c r="G1639" s="92">
        <f t="array" ref="G1639">IF(B1639="insumo",_xlfn.XLOOKUP($D1639,Insumos!$B$1:$B$996,Insumos!$D$1:$D$996),"")</f>
        <v/>
      </c>
      <c r="H1639" s="92" t="n">
        <v>70</v>
      </c>
      <c r="I1639" s="2162" t="n">
        <v>0</v>
      </c>
      <c r="J1639" s="2162" t="n">
        <v>0</v>
      </c>
      <c r="K1639" s="2162" t="n"/>
    </row>
    <row r="1640" outlineLevel="3" ht="15.75" customHeight="1">
      <c r="A1640" s="10" t="n">
        <v>47</v>
      </c>
      <c r="B1640" s="10" t="inlineStr">
        <is>
          <t>Insumo</t>
        </is>
      </c>
      <c r="C1640" s="10" t="inlineStr">
        <is>
          <t>43_DRY PEU/48 - 6.05 cm  -</t>
        </is>
      </c>
      <c r="D1640" s="10" t="inlineStr">
        <is>
          <t>PLACA / CHAPA DE GESSO ACARTONADO, STANDARD (ST), COR BRANCA, E = 12,5 MM, 1200 X 2400 MM (L X C)</t>
        </is>
      </c>
      <c r="E1640" s="11">
        <f t="array" ref="E1640">_xlfn.XLOOKUP(D1640,Insumos!B:B,Insumos!C:$C)</f>
        <v/>
      </c>
      <c r="F1640" s="14" t="n">
        <v>1.106</v>
      </c>
      <c r="G1640" s="92">
        <f t="array" ref="G1640">IF(B1640="insumo",_xlfn.XLOOKUP($D1640,Insumos!$B$1:$B$996,Insumos!$D$1:$D$996),"")</f>
        <v/>
      </c>
      <c r="H1640" s="92" t="n">
        <v>22.29696</v>
      </c>
      <c r="I1640" s="2162" t="n">
        <v>0</v>
      </c>
      <c r="J1640" s="2162" t="n">
        <v>0</v>
      </c>
      <c r="K1640" s="2162" t="n"/>
    </row>
    <row r="1641" outlineLevel="3" ht="15.75" customHeight="1">
      <c r="A1641" s="10" t="n">
        <v>95</v>
      </c>
      <c r="B1641" s="10" t="inlineStr">
        <is>
          <t>Insumo</t>
        </is>
      </c>
      <c r="C1641" s="10" t="inlineStr">
        <is>
          <t>43_DRY PEU/48 - 6.05 cm  -</t>
        </is>
      </c>
      <c r="D1641" s="10" t="inlineStr">
        <is>
          <t>PINO DE ACO COM ARRUELA CONICA, DIAMETRO ARRUELA = *23* MM E COMP HASTE = *27* MM (ACAO INDIRETA)</t>
        </is>
      </c>
      <c r="E1641" s="11">
        <f t="array" ref="E1641">_xlfn.XLOOKUP(D1641,Insumos!B:B,Insumos!C:$C)</f>
        <v/>
      </c>
      <c r="F1641" s="14" t="n">
        <v>5.92</v>
      </c>
      <c r="G1641" s="92">
        <f t="array" ref="G1641">IF(B1641="insumo",_xlfn.XLOOKUP($D1641,Insumos!$B$1:$B$996,Insumos!$D$1:$D$996),"")</f>
        <v/>
      </c>
      <c r="H1641" s="92" t="n">
        <v>2.98368</v>
      </c>
      <c r="I1641" s="2162" t="n">
        <v>0</v>
      </c>
      <c r="J1641" s="2162" t="n">
        <v>0</v>
      </c>
      <c r="K1641" s="2162" t="n"/>
    </row>
    <row r="1642" outlineLevel="3" ht="15.75" customHeight="1">
      <c r="A1642" s="10" t="n">
        <v>26</v>
      </c>
      <c r="B1642" s="10" t="inlineStr">
        <is>
          <t>Insumo</t>
        </is>
      </c>
      <c r="C1642" s="10" t="inlineStr">
        <is>
          <t>43_DRY PEU/48 - 6.05 cm  -</t>
        </is>
      </c>
      <c r="D1642" s="10" t="inlineStr">
        <is>
          <t>PERFIL GUIA, FORMATO U, EM ACO ZINCADO, PARA ESTRUTURA PAREDE DRYWALL, E = 0,5 MM, 48 X 3000 MM (L X C)</t>
        </is>
      </c>
      <c r="E1642" s="11">
        <f t="array" ref="E1642">_xlfn.XLOOKUP(D1642,Insumos!B:B,Insumos!C:$C)</f>
        <v/>
      </c>
      <c r="F1642" s="14" t="n">
        <v>1.8234</v>
      </c>
      <c r="G1642" s="92">
        <f t="array" ref="G1642">IF(B1642="insumo",_xlfn.XLOOKUP($D1642,Insumos!$B$1:$B$996,Insumos!$D$1:$D$996),"")</f>
        <v/>
      </c>
      <c r="H1642" s="92" t="n">
        <v>12.818502</v>
      </c>
      <c r="I1642" s="2162" t="n">
        <v>0</v>
      </c>
      <c r="J1642" s="2162" t="n">
        <v>0</v>
      </c>
      <c r="K1642" s="2162" t="n"/>
    </row>
    <row r="1643" outlineLevel="3" ht="15.75" customHeight="1">
      <c r="A1643" s="10" t="n">
        <v>26</v>
      </c>
      <c r="B1643" s="10" t="inlineStr">
        <is>
          <t>Insumo</t>
        </is>
      </c>
      <c r="C1643" s="10" t="inlineStr">
        <is>
          <t>43_DRY PEU/48 - 6.05 cm  -</t>
        </is>
      </c>
      <c r="D1643" s="10" t="inlineStr">
        <is>
          <t>PERFIL MONTANTE, FORMATO C, EM ACO ZINCADO, PARA ESTRUTURA PAREDE DRYWALL, E = 0,5 MM, 48 X 3000 MM (L X C)</t>
        </is>
      </c>
      <c r="E1643" s="11">
        <f t="array" ref="E1643">_xlfn.XLOOKUP(D1643,Insumos!B:B,Insumos!C:$C)</f>
        <v/>
      </c>
      <c r="F1643" s="14" t="n">
        <v>5.8278</v>
      </c>
      <c r="G1643" s="92">
        <f t="array" ref="G1643">IF(B1643="insumo",_xlfn.XLOOKUP($D1643,Insumos!$B$1:$B$996,Insumos!$D$1:$D$996),"")</f>
        <v/>
      </c>
      <c r="H1643" s="92" t="n">
        <v>46.505844</v>
      </c>
      <c r="I1643" s="2162" t="n">
        <v>0</v>
      </c>
      <c r="J1643" s="2162" t="n">
        <v>0</v>
      </c>
      <c r="K1643" s="2162" t="n"/>
    </row>
    <row r="1644" outlineLevel="3" ht="15.75" customHeight="1">
      <c r="A1644" s="10" t="n">
        <v>95</v>
      </c>
      <c r="B1644" s="10" t="inlineStr">
        <is>
          <t>Insumo</t>
        </is>
      </c>
      <c r="C1644" s="10" t="inlineStr">
        <is>
          <t>43_DRY PEU/48 - 6.05 cm  -</t>
        </is>
      </c>
      <c r="D1644" s="10" t="inlineStr">
        <is>
          <t>MASSA DE REJUNTE EM PO PARA DRYWALL, A BASE DE GESSO, SECAGEM RAPIDA, PARA TRATAMENTO DE JUNTAS DE CHAPA DE GESSO (NECESSITA ADICAO DE AGUA)</t>
        </is>
      </c>
      <c r="E1644" s="11">
        <f t="array" ref="E1644">_xlfn.XLOOKUP(D1644,Insumos!B:B,Insumos!C:$C)</f>
        <v/>
      </c>
      <c r="F1644" s="14">
        <f>1.0978/2</f>
        <v/>
      </c>
      <c r="G1644" s="92">
        <f t="array" ref="G1644">IF(B1644="insumo",_xlfn.XLOOKUP($D1644,Insumos!$B$1:$B$996,Insumos!$D$1:$D$996),"")</f>
        <v/>
      </c>
      <c r="H1644" s="92" t="n">
        <v>1.882727</v>
      </c>
      <c r="I1644" s="2162" t="n">
        <v>0</v>
      </c>
      <c r="J1644" s="2162" t="n">
        <v>0</v>
      </c>
      <c r="K1644" s="2162" t="n"/>
    </row>
    <row r="1645" outlineLevel="3" ht="15.75" customHeight="1">
      <c r="A1645" s="10" t="n">
        <v>94</v>
      </c>
      <c r="B1645" s="10" t="inlineStr">
        <is>
          <t>Insumo</t>
        </is>
      </c>
      <c r="C1645" s="10" t="inlineStr">
        <is>
          <t>43_DRY PEU/48 - 6.05 cm  -</t>
        </is>
      </c>
      <c r="D1645" s="10" t="inlineStr">
        <is>
          <t>FITA DE PAPEL MICROPERFURADO, 50 X 150 MM, PARA TRATAMENTO DE JUNTAS DE CHAPA DE GESSO PARA DRYWALL</t>
        </is>
      </c>
      <c r="E1645" s="11">
        <f t="array" ref="E1645">_xlfn.XLOOKUP(D1645,Insumos!B:B,Insumos!C:$C)</f>
        <v/>
      </c>
      <c r="F1645" s="14">
        <f>2.5027/2</f>
        <v/>
      </c>
      <c r="G1645" s="92">
        <f t="array" ref="G1645">IF(B1645="insumo",_xlfn.XLOOKUP($D1645,Insumos!$B$1:$B$996,Insumos!$D$1:$D$996),"")</f>
        <v/>
      </c>
      <c r="H1645" s="92" t="n">
        <v>0.3879185</v>
      </c>
      <c r="I1645" s="2162" t="n">
        <v>0</v>
      </c>
      <c r="J1645" s="2162" t="n">
        <v>0</v>
      </c>
      <c r="K1645" s="2162" t="n"/>
    </row>
    <row r="1646" outlineLevel="3" ht="15.75" customHeight="1">
      <c r="A1646" s="10" t="n">
        <v>94</v>
      </c>
      <c r="B1646" s="10" t="inlineStr">
        <is>
          <t>Insumo</t>
        </is>
      </c>
      <c r="C1646" s="10" t="inlineStr">
        <is>
          <t>43_DRY PEU/48 - 6.05 cm  -</t>
        </is>
      </c>
      <c r="D1646" s="10" t="inlineStr">
        <is>
          <t>FITA DE PAPEL REFORCADA COM LAMINA DE METAL PARA REFORCO DE CANTOS DE CHAPA DE GESSO PARA DRYWALL</t>
        </is>
      </c>
      <c r="E1646" s="11">
        <f t="array" ref="E1646">_xlfn.XLOOKUP(D1646,Insumos!B:B,Insumos!C:$C)</f>
        <v/>
      </c>
      <c r="F1646" s="14">
        <f>1.5851/2</f>
        <v/>
      </c>
      <c r="G1646" s="92">
        <f t="array" ref="G1646">IF(B1646="insumo",_xlfn.XLOOKUP($D1646,Insumos!$B$1:$B$996,Insumos!$D$1:$D$996),"")</f>
        <v/>
      </c>
      <c r="H1646" s="92" t="n">
        <v>2.171587</v>
      </c>
      <c r="I1646" s="2162" t="n">
        <v>0</v>
      </c>
      <c r="J1646" s="2162" t="n">
        <v>0</v>
      </c>
      <c r="K1646" s="2162" t="n"/>
    </row>
    <row r="1647" outlineLevel="3" ht="15.75" customHeight="1">
      <c r="A1647" s="10" t="n">
        <v>97</v>
      </c>
      <c r="B1647" s="10" t="inlineStr">
        <is>
          <t>Insumo</t>
        </is>
      </c>
      <c r="C1647" s="10" t="inlineStr">
        <is>
          <t>43_DRY PEU/48 - 6.05 cm  -</t>
        </is>
      </c>
      <c r="D1647" s="10" t="inlineStr">
        <is>
          <t>PARAFUSO DRY WALL, EM ACO FOSFATIZADO, CABECA TROMBETA E PONTA AGULHA (TA), COMPRIMENTO 25 MM</t>
        </is>
      </c>
      <c r="E1647" s="11">
        <f t="array" ref="E1647">_xlfn.XLOOKUP(D1647,Insumos!B:B,Insumos!C:$C)</f>
        <v/>
      </c>
      <c r="F1647" s="14">
        <f>20.1868/2</f>
        <v/>
      </c>
      <c r="G1647" s="92">
        <f t="array" ref="G1647">IF(B1647="insumo",_xlfn.XLOOKUP($D1647,Insumos!$B$1:$B$996,Insumos!$D$1:$D$996),"")</f>
        <v/>
      </c>
      <c r="H1647" s="92" t="n">
        <v>0.908406</v>
      </c>
      <c r="I1647" s="2162" t="n">
        <v>0</v>
      </c>
      <c r="J1647" s="2162" t="n">
        <v>0</v>
      </c>
      <c r="K1647" s="2162" t="n"/>
    </row>
    <row r="1648" outlineLevel="3" ht="15.75" customHeight="1">
      <c r="A1648" s="10" t="n">
        <v>95</v>
      </c>
      <c r="B1648" s="10" t="inlineStr">
        <is>
          <t>Insumo</t>
        </is>
      </c>
      <c r="C1648" s="10" t="inlineStr">
        <is>
          <t>43_DRY PEU/48 - 6.05 cm  -</t>
        </is>
      </c>
      <c r="D1648" s="10" t="inlineStr">
        <is>
          <t>PARAFUSO DRY WALL, EM ACO ZINCADO, CABECA LENTILHA E PONTA BROCA (LB), LARGURA 4,2 MM, COMPRIMENTO 13 MM</t>
        </is>
      </c>
      <c r="E1648" s="11">
        <f t="array" ref="E1648">_xlfn.XLOOKUP(D1648,Insumos!B:B,Insumos!C:$C)</f>
        <v/>
      </c>
      <c r="F1648" s="14" t="n">
        <v>0.5441</v>
      </c>
      <c r="G1648" s="92">
        <f t="array" ref="G1648">IF(B1648="insumo",_xlfn.XLOOKUP($D1648,Insumos!$B$1:$B$996,Insumos!$D$1:$D$996),"")</f>
        <v/>
      </c>
      <c r="H1648" s="92" t="n">
        <v>0.10882</v>
      </c>
      <c r="I1648" s="2162" t="n">
        <v>0</v>
      </c>
      <c r="J1648" s="2162" t="n">
        <v>0</v>
      </c>
      <c r="K1648" s="2162" t="n"/>
    </row>
    <row r="1649" outlineLevel="3" ht="15.75" customHeight="1">
      <c r="A1649" s="10" t="n">
        <v>35</v>
      </c>
      <c r="B1649" s="10" t="inlineStr">
        <is>
          <t>Insumo</t>
        </is>
      </c>
      <c r="C1649" s="10" t="inlineStr">
        <is>
          <t>43_DRY PEU/48 - 6.05 cm  -</t>
        </is>
      </c>
      <c r="D1649" s="10" t="inlineStr">
        <is>
          <t>Lã de pet 50 X 1200 X 12500 MM</t>
        </is>
      </c>
      <c r="E1649" s="11">
        <f t="array" ref="E1649">_xlfn.XLOOKUP(D1649,Insumos!B:B,Insumos!C:$C)</f>
        <v/>
      </c>
      <c r="F1649" s="14" t="n">
        <v>1.1</v>
      </c>
      <c r="G1649" s="92">
        <f t="array" ref="G1649">IF(B1649="insumo",_xlfn.XLOOKUP($D1649,Insumos!$B$1:$B$996,Insumos!$D$1:$D$996),"")</f>
        <v/>
      </c>
      <c r="H1649" s="92" t="n">
        <v>14.3212666666667</v>
      </c>
      <c r="I1649" s="2162" t="n">
        <v>0</v>
      </c>
      <c r="J1649" s="2162" t="n">
        <v>0</v>
      </c>
      <c r="K1649" s="2162" t="n"/>
    </row>
    <row r="1650" outlineLevel="2" ht="15.75" customHeight="1">
      <c r="A1650" s="1067" t="n">
        <v>1</v>
      </c>
      <c r="B1650" s="1067" t="inlineStr">
        <is>
          <t>Serviço</t>
        </is>
      </c>
      <c r="C1650" s="1067" t="inlineStr">
        <is>
          <t>Parede Com Sistema Em Chapas De Gesso Para Drywall, Uso Interno, Montante 70mm, Com Duas Face Simples Standart e isolamento com Lâ de Vidro (ST/70/ST)</t>
        </is>
      </c>
      <c r="D1650" s="1067" t="inlineStr">
        <is>
          <t>Parede Com Sistema Em Chapas De Gesso Para Drywall, Uso Interno, Montante 70mm, Com Duas Face Simples Standart e isolamento com Lâ de Vidro (ST/70/ST)</t>
        </is>
      </c>
      <c r="E1650" s="1068" t="inlineStr">
        <is>
          <t>M2</t>
        </is>
      </c>
      <c r="F1650" s="1067" t="n"/>
      <c r="G1650" s="1069">
        <f t="array" ref="G1650">IF(B1650="insumo",_xlfn.XLOOKUP($D1650,Insumos!$B$1:$B$996,Insumos!$D$1:$D$996),"")</f>
        <v/>
      </c>
      <c r="H1650" s="1069" t="n">
        <v>200.680411666667</v>
      </c>
      <c r="I1650" s="2161" t="n">
        <v>0</v>
      </c>
      <c r="J1650" s="2161" t="n">
        <v>0</v>
      </c>
      <c r="K1650" s="2161" t="n"/>
    </row>
    <row r="1651" outlineLevel="3" ht="15.75" customHeight="1">
      <c r="A1651" s="10" t="n">
        <v>86</v>
      </c>
      <c r="B1651" s="10" t="inlineStr">
        <is>
          <t>Insumo</t>
        </is>
      </c>
      <c r="C1651" s="10" t="inlineStr">
        <is>
          <t>Parede Com Sistema Em Chapas De Gesso Para Drywall, Uso Interno, Montante 70mm, Com Duas Face Simples Standart e isolamento com Lâ de Vidro (ST/70/ST)</t>
        </is>
      </c>
      <c r="D1651" s="10" t="inlineStr">
        <is>
          <t>SERVICO - CONFECCAO SHAFT GESSO</t>
        </is>
      </c>
      <c r="E1651" s="11">
        <f t="array" ref="E1651">_xlfn.XLOOKUP(D1651,Insumos!B:B,Insumos!C:$C)</f>
        <v/>
      </c>
      <c r="F1651" s="14" t="n">
        <v>1</v>
      </c>
      <c r="G1651" s="92">
        <f t="array" ref="G1651">IF(B1651="insumo",_xlfn.XLOOKUP($D1651,Insumos!$B$1:$B$996,Insumos!$D$1:$D$996),"")</f>
        <v/>
      </c>
      <c r="H1651" s="92" t="n">
        <v>70</v>
      </c>
      <c r="I1651" s="2162" t="n">
        <v>0</v>
      </c>
      <c r="J1651" s="2162" t="n">
        <v>0</v>
      </c>
      <c r="K1651" s="2162" t="n"/>
    </row>
    <row r="1652" outlineLevel="3" ht="15.75" customHeight="1">
      <c r="A1652" s="10" t="n">
        <v>47</v>
      </c>
      <c r="B1652" s="10" t="inlineStr">
        <is>
          <t>Insumo</t>
        </is>
      </c>
      <c r="C1652" s="10" t="inlineStr">
        <is>
          <t>Parede Com Sistema Em Chapas De Gesso Para Drywall, Uso Interno, Montante 70mm, Com Duas Face Simples Standart e isolamento com Lâ de Vidro (ST/70/ST)</t>
        </is>
      </c>
      <c r="D1652" s="10" t="inlineStr">
        <is>
          <t>PLACA / CHAPA DE GESSO ACARTONADO, STANDARD (ST), COR BRANCA, E = 12,5 MM, 1200 X 2400 MM (L X C)</t>
        </is>
      </c>
      <c r="E1652" s="11">
        <f t="array" ref="E1652">_xlfn.XLOOKUP(D1652,Insumos!B:B,Insumos!C:$C)</f>
        <v/>
      </c>
      <c r="F1652" s="14" t="n">
        <v>2.106</v>
      </c>
      <c r="G1652" s="92">
        <f t="array" ref="G1652">IF(B1652="insumo",_xlfn.XLOOKUP($D1652,Insumos!$B$1:$B$996,Insumos!$D$1:$D$996),"")</f>
        <v/>
      </c>
      <c r="H1652" s="92" t="n">
        <v>42.45696</v>
      </c>
      <c r="I1652" s="2162" t="n">
        <v>0</v>
      </c>
      <c r="J1652" s="2162" t="n">
        <v>0</v>
      </c>
      <c r="K1652" s="2162" t="n"/>
    </row>
    <row r="1653" outlineLevel="3" ht="15.75" customHeight="1">
      <c r="A1653" s="10" t="n">
        <v>95</v>
      </c>
      <c r="B1653" s="10" t="inlineStr">
        <is>
          <t>Insumo</t>
        </is>
      </c>
      <c r="C1653" s="10" t="inlineStr">
        <is>
          <t>Parede Com Sistema Em Chapas De Gesso Para Drywall, Uso Interno, Montante 70mm, Com Duas Face Simples Standart e isolamento com Lâ de Vidro (ST/70/ST)</t>
        </is>
      </c>
      <c r="D1653" s="10" t="inlineStr">
        <is>
          <t>PINO DE ACO COM ARRUELA CONICA, DIAMETRO ARRUELA = *23* MM E COMP HASTE = *27* MM (ACAO INDIRETA)</t>
        </is>
      </c>
      <c r="E1653" s="11">
        <f t="array" ref="E1653">_xlfn.XLOOKUP(D1653,Insumos!B:B,Insumos!C:$C)</f>
        <v/>
      </c>
      <c r="F1653" s="14" t="n">
        <v>5.92</v>
      </c>
      <c r="G1653" s="92">
        <f t="array" ref="G1653">IF(B1653="insumo",_xlfn.XLOOKUP($D1653,Insumos!$B$1:$B$996,Insumos!$D$1:$D$996),"")</f>
        <v/>
      </c>
      <c r="H1653" s="92" t="n">
        <v>2.98368</v>
      </c>
      <c r="I1653" s="2162" t="n">
        <v>0</v>
      </c>
      <c r="J1653" s="2162" t="n">
        <v>0</v>
      </c>
      <c r="K1653" s="2162" t="n"/>
    </row>
    <row r="1654" outlineLevel="3" ht="15.75" customHeight="1">
      <c r="A1654" s="10" t="n">
        <v>43</v>
      </c>
      <c r="B1654" s="10" t="inlineStr">
        <is>
          <t>Insumo</t>
        </is>
      </c>
      <c r="C1654" s="10" t="inlineStr">
        <is>
          <t>Parede Com Sistema Em Chapas De Gesso Para Drywall, Uso Interno, Montante 70mm, Com Duas Face Simples Standart e isolamento com Lâ de Vidro (ST/70/ST)</t>
        </is>
      </c>
      <c r="D1654" s="10" t="inlineStr">
        <is>
          <t>PERFIL GUIA, FORMATO U, EM ACO ZINCADO, PARA ESTRUTURA PAREDE DRYWALL, E = 0,5 MM, 70 X 3000 MM (L X C)</t>
        </is>
      </c>
      <c r="E1654" s="11">
        <f t="array" ref="E1654">_xlfn.XLOOKUP(D1654,Insumos!B:B,Insumos!C:$C)</f>
        <v/>
      </c>
      <c r="F1654" s="14" t="n">
        <v>1.8234</v>
      </c>
      <c r="G1654" s="92">
        <f t="array" ref="G1654">IF(B1654="insumo",_xlfn.XLOOKUP($D1654,Insumos!$B$1:$B$996,Insumos!$D$1:$D$996),"")</f>
        <v/>
      </c>
      <c r="H1654" s="92" t="n">
        <v>13.602564</v>
      </c>
      <c r="I1654" s="2162" t="n">
        <v>0</v>
      </c>
      <c r="J1654" s="2162" t="n">
        <v>0</v>
      </c>
      <c r="K1654" s="2162" t="n"/>
    </row>
    <row r="1655" outlineLevel="3" ht="15.75" customHeight="1">
      <c r="A1655" s="10" t="n">
        <v>43</v>
      </c>
      <c r="B1655" s="10" t="inlineStr">
        <is>
          <t>Insumo</t>
        </is>
      </c>
      <c r="C1655" s="10" t="inlineStr">
        <is>
          <t>Parede Com Sistema Em Chapas De Gesso Para Drywall, Uso Interno, Montante 70mm, Com Duas Face Simples Standart e isolamento com Lâ de Vidro (ST/70/ST)</t>
        </is>
      </c>
      <c r="D1655" s="10" t="inlineStr">
        <is>
          <t>PERFIL MONTANTE, FORMATO C, EM ACO ZINCADO, PARA ESTRUTURA PAREDE DRYWALL, E = 0,5 MM, 70 X 3000 MM (L X C)</t>
        </is>
      </c>
      <c r="E1655" s="11">
        <f t="array" ref="E1655">_xlfn.XLOOKUP(D1655,Insumos!B:B,Insumos!C:$C)</f>
        <v/>
      </c>
      <c r="F1655" s="14" t="n">
        <v>5.8278</v>
      </c>
      <c r="G1655" s="92">
        <f t="array" ref="G1655">IF(B1655="insumo",_xlfn.XLOOKUP($D1655,Insumos!$B$1:$B$996,Insumos!$D$1:$D$996),"")</f>
        <v/>
      </c>
      <c r="H1655" s="92" t="n">
        <v>46.505844</v>
      </c>
      <c r="I1655" s="2162" t="n">
        <v>0</v>
      </c>
      <c r="J1655" s="2162" t="n">
        <v>0</v>
      </c>
      <c r="K1655" s="2162" t="n"/>
    </row>
    <row r="1656" outlineLevel="3" ht="15.75" customHeight="1">
      <c r="A1656" s="10" t="n">
        <v>95</v>
      </c>
      <c r="B1656" s="10" t="inlineStr">
        <is>
          <t>Insumo</t>
        </is>
      </c>
      <c r="C1656" s="10" t="inlineStr">
        <is>
          <t>Parede Com Sistema Em Chapas De Gesso Para Drywall, Uso Interno, Montante 70mm, Com Duas Face Simples Standart e isolamento com Lâ de Vidro (ST/70/ST)</t>
        </is>
      </c>
      <c r="D1656" s="10" t="inlineStr">
        <is>
          <t>MASSA DE REJUNTE EM PO PARA DRYWALL, A BASE DE GESSO, SECAGEM RAPIDA, PARA TRATAMENTO DE JUNTAS DE CHAPA DE GESSO (NECESSITA ADICAO DE AGUA)</t>
        </is>
      </c>
      <c r="E1656" s="11">
        <f t="array" ref="E1656">_xlfn.XLOOKUP(D1656,Insumos!B:B,Insumos!C:$C)</f>
        <v/>
      </c>
      <c r="F1656" s="14" t="n">
        <v>1.0978</v>
      </c>
      <c r="G1656" s="92">
        <f t="array" ref="G1656">IF(B1656="insumo",_xlfn.XLOOKUP($D1656,Insumos!$B$1:$B$996,Insumos!$D$1:$D$996),"")</f>
        <v/>
      </c>
      <c r="H1656" s="92" t="n">
        <v>3.765454</v>
      </c>
      <c r="I1656" s="2162" t="n">
        <v>0</v>
      </c>
      <c r="J1656" s="2162" t="n">
        <v>0</v>
      </c>
      <c r="K1656" s="2162" t="n"/>
    </row>
    <row r="1657" outlineLevel="3" ht="15.75" customHeight="1">
      <c r="A1657" s="10" t="n">
        <v>94</v>
      </c>
      <c r="B1657" s="10" t="inlineStr">
        <is>
          <t>Insumo</t>
        </is>
      </c>
      <c r="C1657" s="10" t="inlineStr">
        <is>
          <t>Parede Com Sistema Em Chapas De Gesso Para Drywall, Uso Interno, Montante 70mm, Com Duas Face Simples Standart e isolamento com Lâ de Vidro (ST/70/ST)</t>
        </is>
      </c>
      <c r="D1657" s="10" t="inlineStr">
        <is>
          <t>FITA DE PAPEL MICROPERFURADO, 50 X 150 MM, PARA TRATAMENTO DE JUNTAS DE CHAPA DE GESSO PARA DRYWALL</t>
        </is>
      </c>
      <c r="E1657" s="11">
        <f t="array" ref="E1657">_xlfn.XLOOKUP(D1657,Insumos!B:B,Insumos!C:$C)</f>
        <v/>
      </c>
      <c r="F1657" s="14" t="n">
        <v>2.5027</v>
      </c>
      <c r="G1657" s="92">
        <f t="array" ref="G1657">IF(B1657="insumo",_xlfn.XLOOKUP($D1657,Insumos!$B$1:$B$996,Insumos!$D$1:$D$996),"")</f>
        <v/>
      </c>
      <c r="H1657" s="92" t="n">
        <v>0.775837</v>
      </c>
      <c r="I1657" s="2162" t="n">
        <v>0</v>
      </c>
      <c r="J1657" s="2162" t="n">
        <v>0</v>
      </c>
      <c r="K1657" s="2162" t="n"/>
    </row>
    <row r="1658" outlineLevel="3" ht="15.75" customHeight="1">
      <c r="A1658" s="10" t="n">
        <v>94</v>
      </c>
      <c r="B1658" s="10" t="inlineStr">
        <is>
          <t>Insumo</t>
        </is>
      </c>
      <c r="C1658" s="10" t="inlineStr">
        <is>
          <t>Parede Com Sistema Em Chapas De Gesso Para Drywall, Uso Interno, Montante 70mm, Com Duas Face Simples Standart e isolamento com Lâ de Vidro (ST/70/ST)</t>
        </is>
      </c>
      <c r="D1658" s="10" t="inlineStr">
        <is>
          <t>FITA DE PAPEL REFORCADA COM LAMINA DE METAL PARA REFORCO DE CANTOS DE CHAPA DE GESSO PARA DRYWALL</t>
        </is>
      </c>
      <c r="E1658" s="11">
        <f t="array" ref="E1658">_xlfn.XLOOKUP(D1658,Insumos!B:B,Insumos!C:$C)</f>
        <v/>
      </c>
      <c r="F1658" s="14" t="n">
        <v>1.5851</v>
      </c>
      <c r="G1658" s="92">
        <f t="array" ref="G1658">IF(B1658="insumo",_xlfn.XLOOKUP($D1658,Insumos!$B$1:$B$996,Insumos!$D$1:$D$996),"")</f>
        <v/>
      </c>
      <c r="H1658" s="92" t="n">
        <v>4.343174</v>
      </c>
      <c r="I1658" s="2162" t="n">
        <v>0</v>
      </c>
      <c r="J1658" s="2162" t="n">
        <v>0</v>
      </c>
      <c r="K1658" s="2162" t="n"/>
    </row>
    <row r="1659" outlineLevel="3" ht="15.75" customHeight="1">
      <c r="A1659" s="10" t="n">
        <v>97</v>
      </c>
      <c r="B1659" s="10" t="inlineStr">
        <is>
          <t>Insumo</t>
        </is>
      </c>
      <c r="C1659" s="10" t="inlineStr">
        <is>
          <t>Parede Com Sistema Em Chapas De Gesso Para Drywall, Uso Interno, Montante 70mm, Com Duas Face Simples Standart e isolamento com Lâ de Vidro (ST/70/ST)</t>
        </is>
      </c>
      <c r="D1659" s="10" t="inlineStr">
        <is>
          <t>PARAFUSO DRY WALL, EM ACO FOSFATIZADO, CABECA TROMBETA E PONTA AGULHA (TA), COMPRIMENTO 25 MM</t>
        </is>
      </c>
      <c r="E1659" s="11">
        <f t="array" ref="E1659">_xlfn.XLOOKUP(D1659,Insumos!B:B,Insumos!C:$C)</f>
        <v/>
      </c>
      <c r="F1659" s="14" t="n">
        <v>20.1868</v>
      </c>
      <c r="G1659" s="92">
        <f t="array" ref="G1659">IF(B1659="insumo",_xlfn.XLOOKUP($D1659,Insumos!$B$1:$B$996,Insumos!$D$1:$D$996),"")</f>
        <v/>
      </c>
      <c r="H1659" s="92" t="n">
        <v>1.816812</v>
      </c>
      <c r="I1659" s="2162" t="n">
        <v>0</v>
      </c>
      <c r="J1659" s="2162" t="n">
        <v>0</v>
      </c>
      <c r="K1659" s="2162" t="n"/>
    </row>
    <row r="1660" outlineLevel="3" ht="15.75" customHeight="1">
      <c r="A1660" s="10" t="n">
        <v>95</v>
      </c>
      <c r="B1660" s="10" t="inlineStr">
        <is>
          <t>Insumo</t>
        </is>
      </c>
      <c r="C1660" s="10" t="inlineStr">
        <is>
          <t>Parede Com Sistema Em Chapas De Gesso Para Drywall, Uso Interno, Montante 70mm, Com Duas Face Simples Standart e isolamento com Lâ de Vidro (ST/70/ST)</t>
        </is>
      </c>
      <c r="D1660" s="10" t="inlineStr">
        <is>
          <t>PARAFUSO DRY WALL, EM ACO ZINCADO, CABECA LENTILHA E PONTA BROCA (LB), LARGURA 4,2 MM, COMPRIMENTO 13 MM</t>
        </is>
      </c>
      <c r="E1660" s="11">
        <f t="array" ref="E1660">_xlfn.XLOOKUP(D1660,Insumos!B:B,Insumos!C:$C)</f>
        <v/>
      </c>
      <c r="F1660" s="14" t="n">
        <v>0.5441</v>
      </c>
      <c r="G1660" s="92">
        <f t="array" ref="G1660">IF(B1660="insumo",_xlfn.XLOOKUP($D1660,Insumos!$B$1:$B$996,Insumos!$D$1:$D$996),"")</f>
        <v/>
      </c>
      <c r="H1660" s="92" t="n">
        <v>0.10882</v>
      </c>
      <c r="I1660" s="2162" t="n">
        <v>0</v>
      </c>
      <c r="J1660" s="2162" t="n">
        <v>0</v>
      </c>
      <c r="K1660" s="2162" t="n"/>
    </row>
    <row r="1661" outlineLevel="3" ht="15.75" customHeight="1">
      <c r="A1661" s="10" t="n">
        <v>35</v>
      </c>
      <c r="B1661" s="10" t="inlineStr">
        <is>
          <t>Insumo</t>
        </is>
      </c>
      <c r="C1661" s="10" t="inlineStr">
        <is>
          <t>Parede Com Sistema Em Chapas De Gesso Para Drywall, Uso Interno, Montante 70mm, Com Duas Face Simples Standart e isolamento com Lâ de Vidro (ST/70/ST)</t>
        </is>
      </c>
      <c r="D1661" s="10" t="inlineStr">
        <is>
          <t>Lã de pet 50 X 1200 X 12500 MM</t>
        </is>
      </c>
      <c r="E1661" s="11">
        <f t="array" ref="E1661">_xlfn.XLOOKUP(D1661,Insumos!B:B,Insumos!C:$C)</f>
        <v/>
      </c>
      <c r="F1661" s="14" t="n">
        <v>1.1</v>
      </c>
      <c r="G1661" s="92">
        <f t="array" ref="G1661">IF(B1661="insumo",_xlfn.XLOOKUP($D1661,Insumos!$B$1:$B$996,Insumos!$D$1:$D$996),"")</f>
        <v/>
      </c>
      <c r="H1661" s="92" t="n">
        <v>14.3212666666667</v>
      </c>
      <c r="I1661" s="2162" t="n">
        <v>0</v>
      </c>
      <c r="J1661" s="2162" t="n">
        <v>0</v>
      </c>
      <c r="K1661" s="2162" t="n"/>
    </row>
    <row r="1662" outlineLevel="2" ht="15.75" customHeight="1">
      <c r="A1662" s="1067" t="n">
        <v>1</v>
      </c>
      <c r="B1662" s="1067" t="inlineStr">
        <is>
          <t>Serviço</t>
        </is>
      </c>
      <c r="C1662" s="1067" t="inlineStr">
        <is>
          <t>Parede Com Sistema Em Chapas De Gesso Para Drywall, Uso Interno, Montante 70mm, Com Uma Face Simples Resistente à Umidade e isolamento com Lâ de Vidro (RU/70)</t>
        </is>
      </c>
      <c r="D1662" s="1067" t="inlineStr">
        <is>
          <t>Parede Com Sistema Em Chapas De Gesso Para Drywall, Uso Interno, Montante 70mm, Com Uma Face Simples Resistente à Umidade e isolamento com Lâ de Vidro (RU/70)</t>
        </is>
      </c>
      <c r="E1662" s="1068" t="inlineStr">
        <is>
          <t>M2</t>
        </is>
      </c>
      <c r="F1662" s="1067" t="n"/>
      <c r="G1662" s="1069">
        <f t="array" ref="G1662">IF(B1662="insumo",_xlfn.XLOOKUP($D1662,Insumos!$B$1:$B$996,Insumos!$D$1:$D$996),"")</f>
        <v/>
      </c>
      <c r="H1662" s="1069" t="n">
        <v>181.354703166667</v>
      </c>
      <c r="I1662" s="2161" t="n">
        <v>0</v>
      </c>
      <c r="J1662" s="2161" t="n">
        <v>0</v>
      </c>
      <c r="K1662" s="2161" t="n"/>
    </row>
    <row r="1663" outlineLevel="3" ht="15.75" customHeight="1">
      <c r="A1663" s="10" t="n">
        <v>86</v>
      </c>
      <c r="B1663" s="10" t="inlineStr">
        <is>
          <t>Insumo</t>
        </is>
      </c>
      <c r="C1663" s="10" t="inlineStr">
        <is>
          <t>Parede Com Sistema Em Chapas De Gesso Para Drywall, Uso Interno, Montante 70mm, Com Uma Face Simples Resistente à Umidade e isolamento com Lâ de Vidro (RU/70)</t>
        </is>
      </c>
      <c r="D1663" s="10" t="inlineStr">
        <is>
          <t>SERVICO - CONFECCAO SHAFT GESSO</t>
        </is>
      </c>
      <c r="E1663" s="11">
        <f t="array" ref="E1663">_xlfn.XLOOKUP(D1663,Insumos!B:B,Insumos!C:$C)</f>
        <v/>
      </c>
      <c r="F1663" s="14" t="n">
        <v>1</v>
      </c>
      <c r="G1663" s="92">
        <f t="array" ref="G1663">IF(B1663="insumo",_xlfn.XLOOKUP($D1663,Insumos!$B$1:$B$996,Insumos!$D$1:$D$996),"")</f>
        <v/>
      </c>
      <c r="H1663" s="92" t="n">
        <v>70</v>
      </c>
      <c r="I1663" s="2162" t="n">
        <v>0</v>
      </c>
      <c r="J1663" s="2162" t="n">
        <v>0</v>
      </c>
      <c r="K1663" s="2162" t="n"/>
    </row>
    <row r="1664" outlineLevel="3" ht="15.75" customHeight="1">
      <c r="A1664" s="10" t="n">
        <v>49</v>
      </c>
      <c r="B1664" s="10" t="inlineStr">
        <is>
          <t>Insumo</t>
        </is>
      </c>
      <c r="C1664" s="10" t="inlineStr">
        <is>
          <t>Parede Com Sistema Em Chapas De Gesso Para Drywall, Uso Interno, Montante 70mm, Com Uma Face Simples Resistente à Umidade e isolamento com Lâ de Vidro (RU/70)</t>
        </is>
      </c>
      <c r="D1664" s="10" t="inlineStr">
        <is>
          <t>PLACA / CHAPA DE GESSO ACARTONADO, RESISTENTE A UMIDADE (RU), COR VERDE, E = 12,5 MM, 1200 X 2400 MM (L X C)</t>
        </is>
      </c>
      <c r="E1664" s="11">
        <f t="array" ref="E1664">_xlfn.XLOOKUP(D1664,Insumos!B:B,Insumos!C:$C)</f>
        <v/>
      </c>
      <c r="F1664" s="14" t="n">
        <v>1.053</v>
      </c>
      <c r="G1664" s="92">
        <f t="array" ref="G1664">IF(B1664="insumo",_xlfn.XLOOKUP($D1664,Insumos!$B$1:$B$996,Insumos!$D$1:$D$996),"")</f>
        <v/>
      </c>
      <c r="H1664" s="92" t="n">
        <v>28.5363</v>
      </c>
      <c r="I1664" s="2162" t="n">
        <v>0</v>
      </c>
      <c r="J1664" s="2162" t="n">
        <v>0</v>
      </c>
      <c r="K1664" s="2162" t="n"/>
    </row>
    <row r="1665" outlineLevel="3" ht="15.75" customHeight="1">
      <c r="A1665" s="10" t="n">
        <v>95</v>
      </c>
      <c r="B1665" s="10" t="inlineStr">
        <is>
          <t>Insumo</t>
        </is>
      </c>
      <c r="C1665" s="10" t="inlineStr">
        <is>
          <t>Parede Com Sistema Em Chapas De Gesso Para Drywall, Uso Interno, Montante 70mm, Com Uma Face Simples Resistente à Umidade e isolamento com Lâ de Vidro (RU/70)</t>
        </is>
      </c>
      <c r="D1665" s="10" t="inlineStr">
        <is>
          <t>PINO DE ACO COM ARRUELA CONICA, DIAMETRO ARRUELA = *23* MM E COMP HASTE = *27* MM (ACAO INDIRETA)</t>
        </is>
      </c>
      <c r="E1665" s="11">
        <f t="array" ref="E1665">_xlfn.XLOOKUP(D1665,Insumos!B:B,Insumos!C:$C)</f>
        <v/>
      </c>
      <c r="F1665" s="14" t="n">
        <v>5.92</v>
      </c>
      <c r="G1665" s="92">
        <f t="array" ref="G1665">IF(B1665="insumo",_xlfn.XLOOKUP($D1665,Insumos!$B$1:$B$996,Insumos!$D$1:$D$996),"")</f>
        <v/>
      </c>
      <c r="H1665" s="92" t="n">
        <v>2.98368</v>
      </c>
      <c r="I1665" s="2162" t="n">
        <v>0</v>
      </c>
      <c r="J1665" s="2162" t="n">
        <v>0</v>
      </c>
      <c r="K1665" s="2162" t="n"/>
    </row>
    <row r="1666" outlineLevel="3" ht="15.75" customHeight="1">
      <c r="A1666" s="10" t="n">
        <v>43</v>
      </c>
      <c r="B1666" s="10" t="inlineStr">
        <is>
          <t>Insumo</t>
        </is>
      </c>
      <c r="C1666" s="10" t="inlineStr">
        <is>
          <t>Parede Com Sistema Em Chapas De Gesso Para Drywall, Uso Interno, Montante 70mm, Com Uma Face Simples Resistente à Umidade e isolamento com Lâ de Vidro (RU/70)</t>
        </is>
      </c>
      <c r="D1666" s="10" t="inlineStr">
        <is>
          <t>PERFIL GUIA, FORMATO U, EM ACO ZINCADO, PARA ESTRUTURA PAREDE DRYWALL, E = 0,5 MM, 70 X 3000 MM (L X C)</t>
        </is>
      </c>
      <c r="E1666" s="11">
        <f t="array" ref="E1666">_xlfn.XLOOKUP(D1666,Insumos!B:B,Insumos!C:$C)</f>
        <v/>
      </c>
      <c r="F1666" s="14" t="n">
        <v>1.8234</v>
      </c>
      <c r="G1666" s="92">
        <f t="array" ref="G1666">IF(B1666="insumo",_xlfn.XLOOKUP($D1666,Insumos!$B$1:$B$996,Insumos!$D$1:$D$996),"")</f>
        <v/>
      </c>
      <c r="H1666" s="92" t="n">
        <v>13.602564</v>
      </c>
      <c r="I1666" s="2162" t="n">
        <v>0</v>
      </c>
      <c r="J1666" s="2162" t="n">
        <v>0</v>
      </c>
      <c r="K1666" s="2162" t="n"/>
    </row>
    <row r="1667" outlineLevel="3" ht="15.75" customHeight="1">
      <c r="A1667" s="10" t="n">
        <v>43</v>
      </c>
      <c r="B1667" s="10" t="inlineStr">
        <is>
          <t>Insumo</t>
        </is>
      </c>
      <c r="C1667" s="10" t="inlineStr">
        <is>
          <t>Parede Com Sistema Em Chapas De Gesso Para Drywall, Uso Interno, Montante 70mm, Com Uma Face Simples Resistente à Umidade e isolamento com Lâ de Vidro (RU/70)</t>
        </is>
      </c>
      <c r="D1667" s="10" t="inlineStr">
        <is>
          <t>PERFIL MONTANTE, FORMATO C, EM ACO ZINCADO, PARA ESTRUTURA PAREDE DRYWALL, E = 0,5 MM, 70 X 3000 MM (L X C)</t>
        </is>
      </c>
      <c r="E1667" s="11">
        <f t="array" ref="E1667">_xlfn.XLOOKUP(D1667,Insumos!B:B,Insumos!C:$C)</f>
        <v/>
      </c>
      <c r="F1667" s="14" t="n">
        <v>5.8278</v>
      </c>
      <c r="G1667" s="92">
        <f t="array" ref="G1667">IF(B1667="insumo",_xlfn.XLOOKUP($D1667,Insumos!$B$1:$B$996,Insumos!$D$1:$D$996),"")</f>
        <v/>
      </c>
      <c r="H1667" s="92" t="n">
        <v>46.505844</v>
      </c>
      <c r="I1667" s="2162" t="n">
        <v>0</v>
      </c>
      <c r="J1667" s="2162" t="n">
        <v>0</v>
      </c>
      <c r="K1667" s="2162" t="n"/>
    </row>
    <row r="1668" outlineLevel="3" ht="15.75" customHeight="1">
      <c r="A1668" s="10" t="n">
        <v>95</v>
      </c>
      <c r="B1668" s="10" t="inlineStr">
        <is>
          <t>Insumo</t>
        </is>
      </c>
      <c r="C1668" s="10" t="inlineStr">
        <is>
          <t>Parede Com Sistema Em Chapas De Gesso Para Drywall, Uso Interno, Montante 70mm, Com Uma Face Simples Resistente à Umidade e isolamento com Lâ de Vidro (RU/70)</t>
        </is>
      </c>
      <c r="D1668" s="10" t="inlineStr">
        <is>
          <t>MASSA DE REJUNTE EM PO PARA DRYWALL, A BASE DE GESSO, SECAGEM RAPIDA, PARA TRATAMENTO DE JUNTAS DE CHAPA DE GESSO (NECESSITA ADICAO DE AGUA)</t>
        </is>
      </c>
      <c r="E1668" s="11">
        <f t="array" ref="E1668">_xlfn.XLOOKUP(D1668,Insumos!B:B,Insumos!C:$C)</f>
        <v/>
      </c>
      <c r="F1668" s="14" t="n">
        <v>0.5489000000000001</v>
      </c>
      <c r="G1668" s="92">
        <f t="array" ref="G1668">IF(B1668="insumo",_xlfn.XLOOKUP($D1668,Insumos!$B$1:$B$996,Insumos!$D$1:$D$996),"")</f>
        <v/>
      </c>
      <c r="H1668" s="92" t="n">
        <v>1.882727</v>
      </c>
      <c r="I1668" s="2162" t="n">
        <v>0</v>
      </c>
      <c r="J1668" s="2162" t="n">
        <v>0</v>
      </c>
      <c r="K1668" s="2162" t="n"/>
    </row>
    <row r="1669" outlineLevel="3" ht="15.75" customHeight="1">
      <c r="A1669" s="10" t="n">
        <v>94</v>
      </c>
      <c r="B1669" s="10" t="inlineStr">
        <is>
          <t>Insumo</t>
        </is>
      </c>
      <c r="C1669" s="10" t="inlineStr">
        <is>
          <t>Parede Com Sistema Em Chapas De Gesso Para Drywall, Uso Interno, Montante 70mm, Com Uma Face Simples Resistente à Umidade e isolamento com Lâ de Vidro (RU/70)</t>
        </is>
      </c>
      <c r="D1669" s="10" t="inlineStr">
        <is>
          <t>FITA DE PAPEL MICROPERFURADO, 50 X 150 MM, PARA TRATAMENTO DE JUNTAS DE CHAPA DE GESSO PARA DRYWALL</t>
        </is>
      </c>
      <c r="E1669" s="11">
        <f t="array" ref="E1669">_xlfn.XLOOKUP(D1669,Insumos!B:B,Insumos!C:$C)</f>
        <v/>
      </c>
      <c r="F1669" s="14" t="n">
        <v>1.25135</v>
      </c>
      <c r="G1669" s="92">
        <f t="array" ref="G1669">IF(B1669="insumo",_xlfn.XLOOKUP($D1669,Insumos!$B$1:$B$996,Insumos!$D$1:$D$996),"")</f>
        <v/>
      </c>
      <c r="H1669" s="92" t="n">
        <v>0.3879185</v>
      </c>
      <c r="I1669" s="2162" t="n">
        <v>0</v>
      </c>
      <c r="J1669" s="2162" t="n">
        <v>0</v>
      </c>
      <c r="K1669" s="2162" t="n"/>
    </row>
    <row r="1670" outlineLevel="3" ht="15.75" customHeight="1">
      <c r="A1670" s="10" t="n">
        <v>94</v>
      </c>
      <c r="B1670" s="10" t="inlineStr">
        <is>
          <t>Insumo</t>
        </is>
      </c>
      <c r="C1670" s="10" t="inlineStr">
        <is>
          <t>Parede Com Sistema Em Chapas De Gesso Para Drywall, Uso Interno, Montante 70mm, Com Uma Face Simples Resistente à Umidade e isolamento com Lâ de Vidro (RU/70)</t>
        </is>
      </c>
      <c r="D1670" s="10" t="inlineStr">
        <is>
          <t>FITA DE PAPEL REFORCADA COM LAMINA DE METAL PARA REFORCO DE CANTOS DE CHAPA DE GESSO PARA DRYWALL</t>
        </is>
      </c>
      <c r="E1670" s="11">
        <f t="array" ref="E1670">_xlfn.XLOOKUP(D1670,Insumos!B:B,Insumos!C:$C)</f>
        <v/>
      </c>
      <c r="F1670" s="14" t="n">
        <v>0.79255</v>
      </c>
      <c r="G1670" s="92">
        <f t="array" ref="G1670">IF(B1670="insumo",_xlfn.XLOOKUP($D1670,Insumos!$B$1:$B$996,Insumos!$D$1:$D$996),"")</f>
        <v/>
      </c>
      <c r="H1670" s="92" t="n">
        <v>2.171587</v>
      </c>
      <c r="I1670" s="2162" t="n">
        <v>0</v>
      </c>
      <c r="J1670" s="2162" t="n">
        <v>0</v>
      </c>
      <c r="K1670" s="2162" t="n"/>
    </row>
    <row r="1671" outlineLevel="3" ht="15.75" customHeight="1">
      <c r="A1671" s="10" t="n">
        <v>97</v>
      </c>
      <c r="B1671" s="10" t="inlineStr">
        <is>
          <t>Insumo</t>
        </is>
      </c>
      <c r="C1671" s="10" t="inlineStr">
        <is>
          <t>Parede Com Sistema Em Chapas De Gesso Para Drywall, Uso Interno, Montante 70mm, Com Uma Face Simples Resistente à Umidade e isolamento com Lâ de Vidro (RU/70)</t>
        </is>
      </c>
      <c r="D1671" s="10" t="inlineStr">
        <is>
          <t>PARAFUSO DRY WALL, EM ACO FOSFATIZADO, CABECA TROMBETA E PONTA AGULHA (TA), COMPRIMENTO 25 MM</t>
        </is>
      </c>
      <c r="E1671" s="11">
        <f t="array" ref="E1671">_xlfn.XLOOKUP(D1671,Insumos!B:B,Insumos!C:$C)</f>
        <v/>
      </c>
      <c r="F1671" s="14" t="n">
        <v>10.0934</v>
      </c>
      <c r="G1671" s="92">
        <f t="array" ref="G1671">IF(B1671="insumo",_xlfn.XLOOKUP($D1671,Insumos!$B$1:$B$996,Insumos!$D$1:$D$996),"")</f>
        <v/>
      </c>
      <c r="H1671" s="92" t="n">
        <v>0.908406</v>
      </c>
      <c r="I1671" s="2162" t="n">
        <v>0</v>
      </c>
      <c r="J1671" s="2162" t="n">
        <v>0</v>
      </c>
      <c r="K1671" s="2162" t="n"/>
    </row>
    <row r="1672" outlineLevel="3" ht="15.75" customHeight="1">
      <c r="A1672" s="10" t="n">
        <v>95</v>
      </c>
      <c r="B1672" s="10" t="inlineStr">
        <is>
          <t>Insumo</t>
        </is>
      </c>
      <c r="C1672" s="10" t="inlineStr">
        <is>
          <t>Parede Com Sistema Em Chapas De Gesso Para Drywall, Uso Interno, Montante 70mm, Com Uma Face Simples Resistente à Umidade e isolamento com Lâ de Vidro (RU/70)</t>
        </is>
      </c>
      <c r="D1672" s="10" t="inlineStr">
        <is>
          <t>PARAFUSO DRY WALL, EM ACO ZINCADO, CABECA LENTILHA E PONTA BROCA (LB), LARGURA 4,2 MM, COMPRIMENTO 13 MM</t>
        </is>
      </c>
      <c r="E1672" s="11">
        <f t="array" ref="E1672">_xlfn.XLOOKUP(D1672,Insumos!B:B,Insumos!C:$C)</f>
        <v/>
      </c>
      <c r="F1672" s="14" t="n">
        <v>0.27205</v>
      </c>
      <c r="G1672" s="92">
        <f t="array" ref="G1672">IF(B1672="insumo",_xlfn.XLOOKUP($D1672,Insumos!$B$1:$B$996,Insumos!$D$1:$D$996),"")</f>
        <v/>
      </c>
      <c r="H1672" s="92" t="n">
        <v>0.05441</v>
      </c>
      <c r="I1672" s="2162" t="n">
        <v>0</v>
      </c>
      <c r="J1672" s="2162" t="n">
        <v>0</v>
      </c>
      <c r="K1672" s="2162" t="n"/>
    </row>
    <row r="1673" outlineLevel="3" ht="15.75" customHeight="1">
      <c r="A1673" s="10" t="n">
        <v>35</v>
      </c>
      <c r="B1673" s="10" t="inlineStr">
        <is>
          <t>Insumo</t>
        </is>
      </c>
      <c r="C1673" s="10" t="inlineStr">
        <is>
          <t>Parede Com Sistema Em Chapas De Gesso Para Drywall, Uso Interno, Montante 70mm, Com Uma Face Simples Resistente à Umidade e isolamento com Lâ de Vidro (RU/70)</t>
        </is>
      </c>
      <c r="D1673" s="10" t="inlineStr">
        <is>
          <t>Lã de pet 50 X 1200 X 12500 MM</t>
        </is>
      </c>
      <c r="E1673" s="11">
        <f t="array" ref="E1673">_xlfn.XLOOKUP(D1673,Insumos!B:B,Insumos!C:$C)</f>
        <v/>
      </c>
      <c r="F1673" s="14" t="n">
        <v>1.1</v>
      </c>
      <c r="G1673" s="92">
        <f t="array" ref="G1673">IF(B1673="insumo",_xlfn.XLOOKUP($D1673,Insumos!$B$1:$B$996,Insumos!$D$1:$D$996),"")</f>
        <v/>
      </c>
      <c r="H1673" s="92" t="n">
        <v>14.3212666666667</v>
      </c>
      <c r="I1673" s="2162" t="n">
        <v>0</v>
      </c>
      <c r="J1673" s="2162" t="n">
        <v>0</v>
      </c>
      <c r="K1673" s="2162" t="n"/>
    </row>
    <row r="1674" outlineLevel="2" ht="15.75" customHeight="1">
      <c r="A1674" s="1067" t="n">
        <v>1</v>
      </c>
      <c r="B1674" s="1067" t="inlineStr">
        <is>
          <t>Serviço</t>
        </is>
      </c>
      <c r="C1674" s="1067" t="inlineStr">
        <is>
          <t>Enchimento de parede em Chapas De Gesso Para Drywall, Uso Interno, Montante 70mm, Com Uma Face Simples Resistente à Umidade e isolamento com Lâ de Vidro (RU/70)</t>
        </is>
      </c>
      <c r="D1674" s="1067" t="inlineStr">
        <is>
          <t>Enchimento de parede em Chapas De Gesso Para Drywall, Uso Interno, Montante 70mm, Com Uma Face Simples Resistente à Umidade e isolamento com Lâ de Vidro (RU/70)</t>
        </is>
      </c>
      <c r="E1674" s="1068" t="inlineStr">
        <is>
          <t>M2</t>
        </is>
      </c>
      <c r="F1674" s="1067" t="n"/>
      <c r="G1674" s="1069">
        <f t="array" ref="G1674">IF(B1674="insumo",_xlfn.XLOOKUP($D1674,Insumos!$B$1:$B$996,Insumos!$D$1:$D$996),"")</f>
        <v/>
      </c>
      <c r="H1674" s="1069" t="n">
        <v>181.354703166667</v>
      </c>
      <c r="I1674" s="2161" t="n">
        <v>0</v>
      </c>
      <c r="J1674" s="2161" t="n">
        <v>0</v>
      </c>
      <c r="K1674" s="2161" t="n"/>
    </row>
    <row r="1675" outlineLevel="3" ht="15.75" customHeight="1">
      <c r="A1675" s="10" t="n">
        <v>86</v>
      </c>
      <c r="B1675" s="10" t="inlineStr">
        <is>
          <t>Insumo</t>
        </is>
      </c>
      <c r="C1675" s="10" t="inlineStr">
        <is>
          <t>Enchimento de parede em Chapas De Gesso Para Drywall, Uso Interno, Montante 70mm, Com Uma Face Simples Resistente à Umidade e isolamento com Lâ de Vidro (RU/70)</t>
        </is>
      </c>
      <c r="D1675" s="10" t="inlineStr">
        <is>
          <t>SERVICO - CONFECCAO SHAFT GESSO</t>
        </is>
      </c>
      <c r="E1675" s="11">
        <f t="array" ref="E1675">_xlfn.XLOOKUP(D1675,Insumos!B:B,Insumos!C:$C)</f>
        <v/>
      </c>
      <c r="F1675" s="14" t="n">
        <v>1</v>
      </c>
      <c r="G1675" s="92">
        <f t="array" ref="G1675">IF(B1675="insumo",_xlfn.XLOOKUP($D1675,Insumos!$B$1:$B$996,Insumos!$D$1:$D$996),"")</f>
        <v/>
      </c>
      <c r="H1675" s="92" t="n">
        <v>70</v>
      </c>
      <c r="I1675" s="2162" t="n">
        <v>0</v>
      </c>
      <c r="J1675" s="2162" t="n">
        <v>0</v>
      </c>
      <c r="K1675" s="2162" t="n"/>
    </row>
    <row r="1676" outlineLevel="3" ht="15.75" customHeight="1">
      <c r="A1676" s="10" t="n">
        <v>49</v>
      </c>
      <c r="B1676" s="10" t="inlineStr">
        <is>
          <t>Insumo</t>
        </is>
      </c>
      <c r="C1676" s="10" t="inlineStr">
        <is>
          <t>Enchimento de parede em Chapas De Gesso Para Drywall, Uso Interno, Montante 70mm, Com Uma Face Simples Resistente à Umidade e isolamento com Lâ de Vidro (RU/70)</t>
        </is>
      </c>
      <c r="D1676" s="10" t="inlineStr">
        <is>
          <t>PLACA / CHAPA DE GESSO ACARTONADO, RESISTENTE A UMIDADE (RU), COR VERDE, E = 12,5 MM, 1200 X 2400 MM (L X C)</t>
        </is>
      </c>
      <c r="E1676" s="11">
        <f t="array" ref="E1676">_xlfn.XLOOKUP(D1676,Insumos!B:B,Insumos!C:$C)</f>
        <v/>
      </c>
      <c r="F1676" s="14" t="n">
        <v>1.053</v>
      </c>
      <c r="G1676" s="92">
        <f t="array" ref="G1676">IF(B1676="insumo",_xlfn.XLOOKUP($D1676,Insumos!$B$1:$B$996,Insumos!$D$1:$D$996),"")</f>
        <v/>
      </c>
      <c r="H1676" s="92" t="n">
        <v>28.5363</v>
      </c>
      <c r="I1676" s="2162" t="n">
        <v>0</v>
      </c>
      <c r="J1676" s="2162" t="n">
        <v>0</v>
      </c>
      <c r="K1676" s="2162" t="n"/>
    </row>
    <row r="1677" outlineLevel="3" ht="15.75" customHeight="1">
      <c r="A1677" s="10" t="n">
        <v>95</v>
      </c>
      <c r="B1677" s="10" t="inlineStr">
        <is>
          <t>Insumo</t>
        </is>
      </c>
      <c r="C1677" s="10" t="inlineStr">
        <is>
          <t>Enchimento de parede em Chapas De Gesso Para Drywall, Uso Interno, Montante 70mm, Com Uma Face Simples Resistente à Umidade e isolamento com Lâ de Vidro (RU/70)</t>
        </is>
      </c>
      <c r="D1677" s="10" t="inlineStr">
        <is>
          <t>PINO DE ACO COM ARRUELA CONICA, DIAMETRO ARRUELA = *23* MM E COMP HASTE = *27* MM (ACAO INDIRETA)</t>
        </is>
      </c>
      <c r="E1677" s="11">
        <f t="array" ref="E1677">_xlfn.XLOOKUP(D1677,Insumos!B:B,Insumos!C:$C)</f>
        <v/>
      </c>
      <c r="F1677" s="14" t="n">
        <v>5.92</v>
      </c>
      <c r="G1677" s="92">
        <f t="array" ref="G1677">IF(B1677="insumo",_xlfn.XLOOKUP($D1677,Insumos!$B$1:$B$996,Insumos!$D$1:$D$996),"")</f>
        <v/>
      </c>
      <c r="H1677" s="92" t="n">
        <v>2.98368</v>
      </c>
      <c r="I1677" s="2162" t="n">
        <v>0</v>
      </c>
      <c r="J1677" s="2162" t="n">
        <v>0</v>
      </c>
      <c r="K1677" s="2162" t="n"/>
    </row>
    <row r="1678" outlineLevel="3" ht="15.75" customHeight="1">
      <c r="A1678" s="10" t="n">
        <v>43</v>
      </c>
      <c r="B1678" s="10" t="inlineStr">
        <is>
          <t>Insumo</t>
        </is>
      </c>
      <c r="C1678" s="10" t="inlineStr">
        <is>
          <t>Enchimento de parede em Chapas De Gesso Para Drywall, Uso Interno, Montante 70mm, Com Uma Face Simples Resistente à Umidade e isolamento com Lâ de Vidro (RU/70)</t>
        </is>
      </c>
      <c r="D1678" s="10" t="inlineStr">
        <is>
          <t>PERFIL GUIA, FORMATO U, EM ACO ZINCADO, PARA ESTRUTURA PAREDE DRYWALL, E = 0,5 MM, 70 X 3000 MM (L X C)</t>
        </is>
      </c>
      <c r="E1678" s="11">
        <f t="array" ref="E1678">_xlfn.XLOOKUP(D1678,Insumos!B:B,Insumos!C:$C)</f>
        <v/>
      </c>
      <c r="F1678" s="14" t="n">
        <v>1.8234</v>
      </c>
      <c r="G1678" s="92">
        <f t="array" ref="G1678">IF(B1678="insumo",_xlfn.XLOOKUP($D1678,Insumos!$B$1:$B$996,Insumos!$D$1:$D$996),"")</f>
        <v/>
      </c>
      <c r="H1678" s="92" t="n">
        <v>13.602564</v>
      </c>
      <c r="I1678" s="2162" t="n">
        <v>0</v>
      </c>
      <c r="J1678" s="2162" t="n">
        <v>0</v>
      </c>
      <c r="K1678" s="2162" t="n"/>
    </row>
    <row r="1679" outlineLevel="3" ht="15.75" customHeight="1">
      <c r="A1679" s="10" t="n">
        <v>43</v>
      </c>
      <c r="B1679" s="10" t="inlineStr">
        <is>
          <t>Insumo</t>
        </is>
      </c>
      <c r="C1679" s="10" t="inlineStr">
        <is>
          <t>Enchimento de parede em Chapas De Gesso Para Drywall, Uso Interno, Montante 70mm, Com Uma Face Simples Resistente à Umidade e isolamento com Lâ de Vidro (RU/70)</t>
        </is>
      </c>
      <c r="D1679" s="10" t="inlineStr">
        <is>
          <t>PERFIL MONTANTE, FORMATO C, EM ACO ZINCADO, PARA ESTRUTURA PAREDE DRYWALL, E = 0,5 MM, 70 X 3000 MM (L X C)</t>
        </is>
      </c>
      <c r="E1679" s="11">
        <f t="array" ref="E1679">_xlfn.XLOOKUP(D1679,Insumos!B:B,Insumos!C:$C)</f>
        <v/>
      </c>
      <c r="F1679" s="14" t="n">
        <v>5.8278</v>
      </c>
      <c r="G1679" s="92">
        <f t="array" ref="G1679">IF(B1679="insumo",_xlfn.XLOOKUP($D1679,Insumos!$B$1:$B$996,Insumos!$D$1:$D$996),"")</f>
        <v/>
      </c>
      <c r="H1679" s="92" t="n">
        <v>46.505844</v>
      </c>
      <c r="I1679" s="2162" t="n">
        <v>0</v>
      </c>
      <c r="J1679" s="2162" t="n">
        <v>0</v>
      </c>
      <c r="K1679" s="2162" t="n"/>
    </row>
    <row r="1680" outlineLevel="3" ht="15.75" customHeight="1">
      <c r="A1680" s="10" t="n">
        <v>95</v>
      </c>
      <c r="B1680" s="10" t="inlineStr">
        <is>
          <t>Insumo</t>
        </is>
      </c>
      <c r="C1680" s="10" t="inlineStr">
        <is>
          <t>Enchimento de parede em Chapas De Gesso Para Drywall, Uso Interno, Montante 70mm, Com Uma Face Simples Resistente à Umidade e isolamento com Lâ de Vidro (RU/70)</t>
        </is>
      </c>
      <c r="D1680" s="10" t="inlineStr">
        <is>
          <t>MASSA DE REJUNTE EM PO PARA DRYWALL, A BASE DE GESSO, SECAGEM RAPIDA, PARA TRATAMENTO DE JUNTAS DE CHAPA DE GESSO (NECESSITA ADICAO DE AGUA)</t>
        </is>
      </c>
      <c r="E1680" s="11">
        <f t="array" ref="E1680">_xlfn.XLOOKUP(D1680,Insumos!B:B,Insumos!C:$C)</f>
        <v/>
      </c>
      <c r="F1680" s="14" t="n">
        <v>0.5489000000000001</v>
      </c>
      <c r="G1680" s="92">
        <f t="array" ref="G1680">IF(B1680="insumo",_xlfn.XLOOKUP($D1680,Insumos!$B$1:$B$996,Insumos!$D$1:$D$996),"")</f>
        <v/>
      </c>
      <c r="H1680" s="92" t="n">
        <v>1.882727</v>
      </c>
      <c r="I1680" s="2162" t="n">
        <v>0</v>
      </c>
      <c r="J1680" s="2162" t="n">
        <v>0</v>
      </c>
      <c r="K1680" s="2162" t="n"/>
    </row>
    <row r="1681" outlineLevel="3" ht="15.75" customHeight="1">
      <c r="A1681" s="10" t="n">
        <v>94</v>
      </c>
      <c r="B1681" s="10" t="inlineStr">
        <is>
          <t>Insumo</t>
        </is>
      </c>
      <c r="C1681" s="10" t="inlineStr">
        <is>
          <t>Enchimento de parede em Chapas De Gesso Para Drywall, Uso Interno, Montante 70mm, Com Uma Face Simples Resistente à Umidade e isolamento com Lâ de Vidro (RU/70)</t>
        </is>
      </c>
      <c r="D1681" s="10" t="inlineStr">
        <is>
          <t>FITA DE PAPEL MICROPERFURADO, 50 X 150 MM, PARA TRATAMENTO DE JUNTAS DE CHAPA DE GESSO PARA DRYWALL</t>
        </is>
      </c>
      <c r="E1681" s="11">
        <f t="array" ref="E1681">_xlfn.XLOOKUP(D1681,Insumos!B:B,Insumos!C:$C)</f>
        <v/>
      </c>
      <c r="F1681" s="14" t="n">
        <v>1.25135</v>
      </c>
      <c r="G1681" s="92">
        <f t="array" ref="G1681">IF(B1681="insumo",_xlfn.XLOOKUP($D1681,Insumos!$B$1:$B$996,Insumos!$D$1:$D$996),"")</f>
        <v/>
      </c>
      <c r="H1681" s="92" t="n">
        <v>0.3879185</v>
      </c>
      <c r="I1681" s="2162" t="n">
        <v>0</v>
      </c>
      <c r="J1681" s="2162" t="n">
        <v>0</v>
      </c>
      <c r="K1681" s="2162" t="n"/>
    </row>
    <row r="1682" outlineLevel="3" ht="15.75" customHeight="1">
      <c r="A1682" s="10" t="n">
        <v>94</v>
      </c>
      <c r="B1682" s="10" t="inlineStr">
        <is>
          <t>Insumo</t>
        </is>
      </c>
      <c r="C1682" s="10" t="inlineStr">
        <is>
          <t>Enchimento de parede em Chapas De Gesso Para Drywall, Uso Interno, Montante 70mm, Com Uma Face Simples Resistente à Umidade e isolamento com Lâ de Vidro (RU/70)</t>
        </is>
      </c>
      <c r="D1682" s="10" t="inlineStr">
        <is>
          <t>FITA DE PAPEL REFORCADA COM LAMINA DE METAL PARA REFORCO DE CANTOS DE CHAPA DE GESSO PARA DRYWALL</t>
        </is>
      </c>
      <c r="E1682" s="11">
        <f t="array" ref="E1682">_xlfn.XLOOKUP(D1682,Insumos!B:B,Insumos!C:$C)</f>
        <v/>
      </c>
      <c r="F1682" s="14" t="n">
        <v>0.79255</v>
      </c>
      <c r="G1682" s="92">
        <f t="array" ref="G1682">IF(B1682="insumo",_xlfn.XLOOKUP($D1682,Insumos!$B$1:$B$996,Insumos!$D$1:$D$996),"")</f>
        <v/>
      </c>
      <c r="H1682" s="92" t="n">
        <v>2.171587</v>
      </c>
      <c r="I1682" s="2162" t="n">
        <v>0</v>
      </c>
      <c r="J1682" s="2162" t="n">
        <v>0</v>
      </c>
      <c r="K1682" s="2162" t="n"/>
    </row>
    <row r="1683" outlineLevel="3" ht="15.75" customHeight="1">
      <c r="A1683" s="10" t="n">
        <v>97</v>
      </c>
      <c r="B1683" s="10" t="inlineStr">
        <is>
          <t>Insumo</t>
        </is>
      </c>
      <c r="C1683" s="10" t="inlineStr">
        <is>
          <t>Enchimento de parede em Chapas De Gesso Para Drywall, Uso Interno, Montante 70mm, Com Uma Face Simples Resistente à Umidade e isolamento com Lâ de Vidro (RU/70)</t>
        </is>
      </c>
      <c r="D1683" s="10" t="inlineStr">
        <is>
          <t>PARAFUSO DRY WALL, EM ACO FOSFATIZADO, CABECA TROMBETA E PONTA AGULHA (TA), COMPRIMENTO 25 MM</t>
        </is>
      </c>
      <c r="E1683" s="11">
        <f t="array" ref="E1683">_xlfn.XLOOKUP(D1683,Insumos!B:B,Insumos!C:$C)</f>
        <v/>
      </c>
      <c r="F1683" s="14" t="n">
        <v>10.0934</v>
      </c>
      <c r="G1683" s="92">
        <f t="array" ref="G1683">IF(B1683="insumo",_xlfn.XLOOKUP($D1683,Insumos!$B$1:$B$996,Insumos!$D$1:$D$996),"")</f>
        <v/>
      </c>
      <c r="H1683" s="92" t="n">
        <v>0.908406</v>
      </c>
      <c r="I1683" s="2162" t="n">
        <v>0</v>
      </c>
      <c r="J1683" s="2162" t="n">
        <v>0</v>
      </c>
      <c r="K1683" s="2162" t="n"/>
    </row>
    <row r="1684" outlineLevel="3" ht="15.75" customHeight="1">
      <c r="A1684" s="10" t="n">
        <v>95</v>
      </c>
      <c r="B1684" s="10" t="inlineStr">
        <is>
          <t>Insumo</t>
        </is>
      </c>
      <c r="C1684" s="10" t="inlineStr">
        <is>
          <t>Enchimento de parede em Chapas De Gesso Para Drywall, Uso Interno, Montante 70mm, Com Uma Face Simples Resistente à Umidade e isolamento com Lâ de Vidro (RU/70)</t>
        </is>
      </c>
      <c r="D1684" s="10" t="inlineStr">
        <is>
          <t>PARAFUSO DRY WALL, EM ACO ZINCADO, CABECA LENTILHA E PONTA BROCA (LB), LARGURA 4,2 MM, COMPRIMENTO 13 MM</t>
        </is>
      </c>
      <c r="E1684" s="11">
        <f t="array" ref="E1684">_xlfn.XLOOKUP(D1684,Insumos!B:B,Insumos!C:$C)</f>
        <v/>
      </c>
      <c r="F1684" s="14" t="n">
        <v>0.27205</v>
      </c>
      <c r="G1684" s="92">
        <f t="array" ref="G1684">IF(B1684="insumo",_xlfn.XLOOKUP($D1684,Insumos!$B$1:$B$996,Insumos!$D$1:$D$996),"")</f>
        <v/>
      </c>
      <c r="H1684" s="92" t="n">
        <v>0.05441</v>
      </c>
      <c r="I1684" s="2162" t="n">
        <v>0</v>
      </c>
      <c r="J1684" s="2162" t="n">
        <v>0</v>
      </c>
      <c r="K1684" s="2162" t="n"/>
    </row>
    <row r="1685" outlineLevel="3" ht="15.75" customHeight="1">
      <c r="A1685" s="10" t="n">
        <v>35</v>
      </c>
      <c r="B1685" s="10" t="inlineStr">
        <is>
          <t>Insumo</t>
        </is>
      </c>
      <c r="C1685" s="10" t="inlineStr">
        <is>
          <t>Enchimento de parede em Chapas De Gesso Para Drywall, Uso Interno, Montante 70mm, Com Uma Face Simples Resistente à Umidade e isolamento com Lâ de Vidro (RU/70)</t>
        </is>
      </c>
      <c r="D1685" s="10" t="inlineStr">
        <is>
          <t>Lã de pet 50 X 1200 X 12500 MM</t>
        </is>
      </c>
      <c r="E1685" s="11">
        <f t="array" ref="E1685">_xlfn.XLOOKUP(D1685,Insumos!B:B,Insumos!C:$C)</f>
        <v/>
      </c>
      <c r="F1685" s="14" t="n">
        <v>1.1</v>
      </c>
      <c r="G1685" s="92">
        <f t="array" ref="G1685">IF(B1685="insumo",_xlfn.XLOOKUP($D1685,Insumos!$B$1:$B$996,Insumos!$D$1:$D$996),"")</f>
        <v/>
      </c>
      <c r="H1685" s="92" t="n">
        <v>14.3212666666667</v>
      </c>
      <c r="I1685" s="2162" t="n">
        <v>0</v>
      </c>
      <c r="J1685" s="2162" t="n">
        <v>0</v>
      </c>
      <c r="K1685" s="2162" t="n"/>
    </row>
    <row r="1686" outlineLevel="2" ht="15.75" customHeight="1">
      <c r="A1686" s="1067" t="n">
        <v>1</v>
      </c>
      <c r="B1686" s="1067" t="inlineStr">
        <is>
          <t>Serviço</t>
        </is>
      </c>
      <c r="C1686" s="1067" t="inlineStr">
        <is>
          <t>Enchimento de parede em Chapas De Gesso Para Drywall, Uso Interno, Montante 70mm, Com Uma Face SimplesStandart e isolamento com Lâ de Vidro (ST/70/ST)</t>
        </is>
      </c>
      <c r="D1686" s="1067" t="inlineStr">
        <is>
          <t>Enchimento de parede em Chapas De Gesso Para Drywall, Uso Interno, Montante 70mm, Com Uma Face SimplesStandart e isolamento com Lâ de Vidro (ST/70/ST)</t>
        </is>
      </c>
      <c r="E1686" s="1068" t="inlineStr">
        <is>
          <t>M2</t>
        </is>
      </c>
      <c r="F1686" s="1067" t="n"/>
      <c r="G1686" s="1069">
        <f t="array" ref="G1686">IF(B1686="insumo",_xlfn.XLOOKUP($D1686,Insumos!$B$1:$B$996,Insumos!$D$1:$D$996),"")</f>
        <v/>
      </c>
      <c r="H1686" s="1069" t="n">
        <v>200.680411666667</v>
      </c>
      <c r="I1686" s="2161" t="n">
        <v>0</v>
      </c>
      <c r="J1686" s="2161" t="n">
        <v>0</v>
      </c>
      <c r="K1686" s="2161" t="n"/>
    </row>
    <row r="1687" outlineLevel="3" ht="15.75" customHeight="1">
      <c r="A1687" s="10" t="n">
        <v>86</v>
      </c>
      <c r="B1687" s="10" t="inlineStr">
        <is>
          <t>Insumo</t>
        </is>
      </c>
      <c r="C1687" s="10" t="inlineStr">
        <is>
          <t>Enchimento de parede em Chapas De Gesso Para Drywall, Uso Interno, Montante 70mm, Com Uma Face SimplesStandart e isolamento com Lâ de Vidro (ST/70/ST)</t>
        </is>
      </c>
      <c r="D1687" s="10" t="inlineStr">
        <is>
          <t>SERVICO - CONFECCAO SHAFT GESSO</t>
        </is>
      </c>
      <c r="E1687" s="11">
        <f t="array" ref="E1687">_xlfn.XLOOKUP(D1687,Insumos!B:B,Insumos!C:$C)</f>
        <v/>
      </c>
      <c r="F1687" s="14" t="n">
        <v>1</v>
      </c>
      <c r="G1687" s="92">
        <f t="array" ref="G1687">IF(B1687="insumo",_xlfn.XLOOKUP($D1687,Insumos!$B$1:$B$996,Insumos!$D$1:$D$996),"")</f>
        <v/>
      </c>
      <c r="H1687" s="92" t="n">
        <v>70</v>
      </c>
      <c r="I1687" s="2162" t="n">
        <v>0</v>
      </c>
      <c r="J1687" s="2162" t="n">
        <v>0</v>
      </c>
      <c r="K1687" s="2162" t="n"/>
    </row>
    <row r="1688" outlineLevel="3" ht="15.75" customHeight="1">
      <c r="A1688" s="10" t="n">
        <v>47</v>
      </c>
      <c r="B1688" s="10" t="inlineStr">
        <is>
          <t>Insumo</t>
        </is>
      </c>
      <c r="C1688" s="10" t="inlineStr">
        <is>
          <t>Enchimento de parede em Chapas De Gesso Para Drywall, Uso Interno, Montante 70mm, Com Uma Face SimplesStandart e isolamento com Lâ de Vidro (ST/70/ST)</t>
        </is>
      </c>
      <c r="D1688" s="10" t="inlineStr">
        <is>
          <t>PLACA / CHAPA DE GESSO ACARTONADO, STANDARD (ST), COR BRANCA, E = 12,5 MM, 1200 X 2400 MM (L X C)</t>
        </is>
      </c>
      <c r="E1688" s="11">
        <f t="array" ref="E1688">_xlfn.XLOOKUP(D1688,Insumos!B:B,Insumos!C:$C)</f>
        <v/>
      </c>
      <c r="F1688" s="14" t="n">
        <v>2.106</v>
      </c>
      <c r="G1688" s="92">
        <f t="array" ref="G1688">IF(B1688="insumo",_xlfn.XLOOKUP($D1688,Insumos!$B$1:$B$996,Insumos!$D$1:$D$996),"")</f>
        <v/>
      </c>
      <c r="H1688" s="92" t="n">
        <v>42.45696</v>
      </c>
      <c r="I1688" s="2162" t="n">
        <v>0</v>
      </c>
      <c r="J1688" s="2162" t="n">
        <v>0</v>
      </c>
      <c r="K1688" s="2162" t="n"/>
    </row>
    <row r="1689" outlineLevel="3" ht="15.75" customHeight="1">
      <c r="A1689" s="10" t="n">
        <v>95</v>
      </c>
      <c r="B1689" s="10" t="inlineStr">
        <is>
          <t>Insumo</t>
        </is>
      </c>
      <c r="C1689" s="10" t="inlineStr">
        <is>
          <t>Enchimento de parede em Chapas De Gesso Para Drywall, Uso Interno, Montante 70mm, Com Uma Face SimplesStandart e isolamento com Lâ de Vidro (ST/70/ST)</t>
        </is>
      </c>
      <c r="D1689" s="10" t="inlineStr">
        <is>
          <t>PINO DE ACO COM ARRUELA CONICA, DIAMETRO ARRUELA = *23* MM E COMP HASTE = *27* MM (ACAO INDIRETA)</t>
        </is>
      </c>
      <c r="E1689" s="11">
        <f t="array" ref="E1689">_xlfn.XLOOKUP(D1689,Insumos!B:B,Insumos!C:$C)</f>
        <v/>
      </c>
      <c r="F1689" s="14" t="n">
        <v>5.92</v>
      </c>
      <c r="G1689" s="92">
        <f t="array" ref="G1689">IF(B1689="insumo",_xlfn.XLOOKUP($D1689,Insumos!$B$1:$B$996,Insumos!$D$1:$D$996),"")</f>
        <v/>
      </c>
      <c r="H1689" s="92" t="n">
        <v>2.98368</v>
      </c>
      <c r="I1689" s="2162" t="n">
        <v>0</v>
      </c>
      <c r="J1689" s="2162" t="n">
        <v>0</v>
      </c>
      <c r="K1689" s="2162" t="n"/>
    </row>
    <row r="1690" outlineLevel="3" ht="15.75" customHeight="1">
      <c r="A1690" s="10" t="n">
        <v>43</v>
      </c>
      <c r="B1690" s="10" t="inlineStr">
        <is>
          <t>Insumo</t>
        </is>
      </c>
      <c r="C1690" s="10" t="inlineStr">
        <is>
          <t>Enchimento de parede em Chapas De Gesso Para Drywall, Uso Interno, Montante 70mm, Com Uma Face SimplesStandart e isolamento com Lâ de Vidro (ST/70/ST)</t>
        </is>
      </c>
      <c r="D1690" s="10" t="inlineStr">
        <is>
          <t>PERFIL GUIA, FORMATO U, EM ACO ZINCADO, PARA ESTRUTURA PAREDE DRYWALL, E = 0,5 MM, 70 X 3000 MM (L X C)</t>
        </is>
      </c>
      <c r="E1690" s="11">
        <f t="array" ref="E1690">_xlfn.XLOOKUP(D1690,Insumos!B:B,Insumos!C:$C)</f>
        <v/>
      </c>
      <c r="F1690" s="14" t="n">
        <v>1.8234</v>
      </c>
      <c r="G1690" s="92">
        <f t="array" ref="G1690">IF(B1690="insumo",_xlfn.XLOOKUP($D1690,Insumos!$B$1:$B$996,Insumos!$D$1:$D$996),"")</f>
        <v/>
      </c>
      <c r="H1690" s="92" t="n">
        <v>13.602564</v>
      </c>
      <c r="I1690" s="2162" t="n">
        <v>0</v>
      </c>
      <c r="J1690" s="2162" t="n">
        <v>0</v>
      </c>
      <c r="K1690" s="2162" t="n"/>
    </row>
    <row r="1691" outlineLevel="3" ht="15.75" customHeight="1">
      <c r="A1691" s="10" t="n">
        <v>43</v>
      </c>
      <c r="B1691" s="10" t="inlineStr">
        <is>
          <t>Insumo</t>
        </is>
      </c>
      <c r="C1691" s="10" t="inlineStr">
        <is>
          <t>Enchimento de parede em Chapas De Gesso Para Drywall, Uso Interno, Montante 70mm, Com Uma Face SimplesStandart e isolamento com Lâ de Vidro (ST/70/ST)</t>
        </is>
      </c>
      <c r="D1691" s="10" t="inlineStr">
        <is>
          <t>PERFIL MONTANTE, FORMATO C, EM ACO ZINCADO, PARA ESTRUTURA PAREDE DRYWALL, E = 0,5 MM, 70 X 3000 MM (L X C)</t>
        </is>
      </c>
      <c r="E1691" s="11">
        <f t="array" ref="E1691">_xlfn.XLOOKUP(D1691,Insumos!B:B,Insumos!C:$C)</f>
        <v/>
      </c>
      <c r="F1691" s="14" t="n">
        <v>5.8278</v>
      </c>
      <c r="G1691" s="92">
        <f t="array" ref="G1691">IF(B1691="insumo",_xlfn.XLOOKUP($D1691,Insumos!$B$1:$B$996,Insumos!$D$1:$D$996),"")</f>
        <v/>
      </c>
      <c r="H1691" s="92" t="n">
        <v>46.505844</v>
      </c>
      <c r="I1691" s="2162" t="n">
        <v>0</v>
      </c>
      <c r="J1691" s="2162" t="n">
        <v>0</v>
      </c>
      <c r="K1691" s="2162" t="n"/>
    </row>
    <row r="1692" outlineLevel="3" ht="15.75" customHeight="1">
      <c r="A1692" s="10" t="n">
        <v>95</v>
      </c>
      <c r="B1692" s="10" t="inlineStr">
        <is>
          <t>Insumo</t>
        </is>
      </c>
      <c r="C1692" s="10" t="inlineStr">
        <is>
          <t>Enchimento de parede em Chapas De Gesso Para Drywall, Uso Interno, Montante 70mm, Com Uma Face SimplesStandart e isolamento com Lâ de Vidro (ST/70/ST)</t>
        </is>
      </c>
      <c r="D1692" s="10" t="inlineStr">
        <is>
          <t>MASSA DE REJUNTE EM PO PARA DRYWALL, A BASE DE GESSO, SECAGEM RAPIDA, PARA TRATAMENTO DE JUNTAS DE CHAPA DE GESSO (NECESSITA ADICAO DE AGUA)</t>
        </is>
      </c>
      <c r="E1692" s="11">
        <f t="array" ref="E1692">_xlfn.XLOOKUP(D1692,Insumos!B:B,Insumos!C:$C)</f>
        <v/>
      </c>
      <c r="F1692" s="14" t="n">
        <v>1.0978</v>
      </c>
      <c r="G1692" s="92">
        <f t="array" ref="G1692">IF(B1692="insumo",_xlfn.XLOOKUP($D1692,Insumos!$B$1:$B$996,Insumos!$D$1:$D$996),"")</f>
        <v/>
      </c>
      <c r="H1692" s="92" t="n">
        <v>3.765454</v>
      </c>
      <c r="I1692" s="2162" t="n">
        <v>0</v>
      </c>
      <c r="J1692" s="2162" t="n">
        <v>0</v>
      </c>
      <c r="K1692" s="2162" t="n"/>
    </row>
    <row r="1693" outlineLevel="3" ht="15.75" customHeight="1">
      <c r="A1693" s="10" t="n">
        <v>94</v>
      </c>
      <c r="B1693" s="10" t="inlineStr">
        <is>
          <t>Insumo</t>
        </is>
      </c>
      <c r="C1693" s="10" t="inlineStr">
        <is>
          <t>Enchimento de parede em Chapas De Gesso Para Drywall, Uso Interno, Montante 70mm, Com Uma Face SimplesStandart e isolamento com Lâ de Vidro (ST/70/ST)</t>
        </is>
      </c>
      <c r="D1693" s="10" t="inlineStr">
        <is>
          <t>FITA DE PAPEL MICROPERFURADO, 50 X 150 MM, PARA TRATAMENTO DE JUNTAS DE CHAPA DE GESSO PARA DRYWALL</t>
        </is>
      </c>
      <c r="E1693" s="11">
        <f t="array" ref="E1693">_xlfn.XLOOKUP(D1693,Insumos!B:B,Insumos!C:$C)</f>
        <v/>
      </c>
      <c r="F1693" s="14" t="n">
        <v>2.5027</v>
      </c>
      <c r="G1693" s="92">
        <f t="array" ref="G1693">IF(B1693="insumo",_xlfn.XLOOKUP($D1693,Insumos!$B$1:$B$996,Insumos!$D$1:$D$996),"")</f>
        <v/>
      </c>
      <c r="H1693" s="92" t="n">
        <v>0.775837</v>
      </c>
      <c r="I1693" s="2162" t="n">
        <v>0</v>
      </c>
      <c r="J1693" s="2162" t="n">
        <v>0</v>
      </c>
      <c r="K1693" s="2162" t="n"/>
    </row>
    <row r="1694" outlineLevel="3" ht="15.75" customHeight="1">
      <c r="A1694" s="10" t="n">
        <v>94</v>
      </c>
      <c r="B1694" s="10" t="inlineStr">
        <is>
          <t>Insumo</t>
        </is>
      </c>
      <c r="C1694" s="10" t="inlineStr">
        <is>
          <t>Enchimento de parede em Chapas De Gesso Para Drywall, Uso Interno, Montante 70mm, Com Uma Face SimplesStandart e isolamento com Lâ de Vidro (ST/70/ST)</t>
        </is>
      </c>
      <c r="D1694" s="10" t="inlineStr">
        <is>
          <t>FITA DE PAPEL REFORCADA COM LAMINA DE METAL PARA REFORCO DE CANTOS DE CHAPA DE GESSO PARA DRYWALL</t>
        </is>
      </c>
      <c r="E1694" s="11">
        <f t="array" ref="E1694">_xlfn.XLOOKUP(D1694,Insumos!B:B,Insumos!C:$C)</f>
        <v/>
      </c>
      <c r="F1694" s="14" t="n">
        <v>1.5851</v>
      </c>
      <c r="G1694" s="92">
        <f t="array" ref="G1694">IF(B1694="insumo",_xlfn.XLOOKUP($D1694,Insumos!$B$1:$B$996,Insumos!$D$1:$D$996),"")</f>
        <v/>
      </c>
      <c r="H1694" s="92" t="n">
        <v>4.343174</v>
      </c>
      <c r="I1694" s="2162" t="n">
        <v>0</v>
      </c>
      <c r="J1694" s="2162" t="n">
        <v>0</v>
      </c>
      <c r="K1694" s="2162" t="n"/>
    </row>
    <row r="1695" outlineLevel="3" ht="15.75" customHeight="1">
      <c r="A1695" s="10" t="n">
        <v>97</v>
      </c>
      <c r="B1695" s="10" t="inlineStr">
        <is>
          <t>Insumo</t>
        </is>
      </c>
      <c r="C1695" s="10" t="inlineStr">
        <is>
          <t>Enchimento de parede em Chapas De Gesso Para Drywall, Uso Interno, Montante 70mm, Com Uma Face SimplesStandart e isolamento com Lâ de Vidro (ST/70/ST)</t>
        </is>
      </c>
      <c r="D1695" s="10" t="inlineStr">
        <is>
          <t>PARAFUSO DRY WALL, EM ACO FOSFATIZADO, CABECA TROMBETA E PONTA AGULHA (TA), COMPRIMENTO 25 MM</t>
        </is>
      </c>
      <c r="E1695" s="11">
        <f t="array" ref="E1695">_xlfn.XLOOKUP(D1695,Insumos!B:B,Insumos!C:$C)</f>
        <v/>
      </c>
      <c r="F1695" s="14" t="n">
        <v>20.1868</v>
      </c>
      <c r="G1695" s="92">
        <f t="array" ref="G1695">IF(B1695="insumo",_xlfn.XLOOKUP($D1695,Insumos!$B$1:$B$996,Insumos!$D$1:$D$996),"")</f>
        <v/>
      </c>
      <c r="H1695" s="92" t="n">
        <v>1.816812</v>
      </c>
      <c r="I1695" s="2162" t="n">
        <v>0</v>
      </c>
      <c r="J1695" s="2162" t="n">
        <v>0</v>
      </c>
      <c r="K1695" s="2162" t="n"/>
    </row>
    <row r="1696" outlineLevel="3" ht="15.75" customHeight="1">
      <c r="A1696" s="10" t="n">
        <v>95</v>
      </c>
      <c r="B1696" s="10" t="inlineStr">
        <is>
          <t>Insumo</t>
        </is>
      </c>
      <c r="C1696" s="10" t="inlineStr">
        <is>
          <t>Enchimento de parede em Chapas De Gesso Para Drywall, Uso Interno, Montante 70mm, Com Uma Face SimplesStandart e isolamento com Lâ de Vidro (ST/70/ST)</t>
        </is>
      </c>
      <c r="D1696" s="10" t="inlineStr">
        <is>
          <t>PARAFUSO DRY WALL, EM ACO ZINCADO, CABECA LENTILHA E PONTA BROCA (LB), LARGURA 4,2 MM, COMPRIMENTO 13 MM</t>
        </is>
      </c>
      <c r="E1696" s="11">
        <f t="array" ref="E1696">_xlfn.XLOOKUP(D1696,Insumos!B:B,Insumos!C:$C)</f>
        <v/>
      </c>
      <c r="F1696" s="14" t="n">
        <v>0.5441</v>
      </c>
      <c r="G1696" s="92">
        <f t="array" ref="G1696">IF(B1696="insumo",_xlfn.XLOOKUP($D1696,Insumos!$B$1:$B$996,Insumos!$D$1:$D$996),"")</f>
        <v/>
      </c>
      <c r="H1696" s="92" t="n">
        <v>0.10882</v>
      </c>
      <c r="I1696" s="2162" t="n">
        <v>0</v>
      </c>
      <c r="J1696" s="2162" t="n">
        <v>0</v>
      </c>
      <c r="K1696" s="2162" t="n"/>
    </row>
    <row r="1697" outlineLevel="3" ht="15.75" customHeight="1">
      <c r="A1697" s="10" t="n">
        <v>35</v>
      </c>
      <c r="B1697" s="10" t="inlineStr">
        <is>
          <t>Insumo</t>
        </is>
      </c>
      <c r="C1697" s="10" t="inlineStr">
        <is>
          <t>Enchimento de parede em Chapas De Gesso Para Drywall, Uso Interno, Montante 70mm, Com Uma Face SimplesStandart e isolamento com Lâ de Vidro (ST/70/ST)</t>
        </is>
      </c>
      <c r="D1697" s="10" t="inlineStr">
        <is>
          <t>Lã de pet 50 X 1200 X 12500 MM</t>
        </is>
      </c>
      <c r="E1697" s="11">
        <f t="array" ref="E1697">_xlfn.XLOOKUP(D1697,Insumos!B:B,Insumos!C:$C)</f>
        <v/>
      </c>
      <c r="F1697" s="14" t="n">
        <v>1.1</v>
      </c>
      <c r="G1697" s="92">
        <f t="array" ref="G1697">IF(B1697="insumo",_xlfn.XLOOKUP($D1697,Insumos!$B$1:$B$996,Insumos!$D$1:$D$996),"")</f>
        <v/>
      </c>
      <c r="H1697" s="92" t="n">
        <v>14.3212666666667</v>
      </c>
      <c r="I1697" s="2162" t="n">
        <v>0</v>
      </c>
      <c r="J1697" s="2162" t="n">
        <v>0</v>
      </c>
      <c r="K1697" s="2162" t="n"/>
    </row>
    <row r="1698" outlineLevel="2" ht="15.75" customHeight="1">
      <c r="A1698" s="1067" t="n">
        <v>1</v>
      </c>
      <c r="B1698" s="1067" t="inlineStr">
        <is>
          <t>Serviço</t>
        </is>
      </c>
      <c r="C1698" s="1067" t="inlineStr">
        <is>
          <t>31_DRY 70 mm - 1 PLACA - 8,25cm  -</t>
        </is>
      </c>
      <c r="D1698" s="1067" t="inlineStr">
        <is>
          <t>31_DRY 70 mm - 1 PLACA - 8,25cm  -</t>
        </is>
      </c>
      <c r="E1698" s="1068" t="inlineStr">
        <is>
          <t>M2</t>
        </is>
      </c>
      <c r="F1698" s="1067" t="n"/>
      <c r="G1698" s="1069">
        <f t="array" ref="G1698">IF(B1698="insumo",_xlfn.XLOOKUP($D1698,Insumos!$B$1:$B$996,Insumos!$D$1:$D$996),"")</f>
        <v/>
      </c>
      <c r="H1698" s="1069" t="n">
        <v>167.0334365</v>
      </c>
      <c r="I1698" s="2161" t="n">
        <v>0</v>
      </c>
      <c r="J1698" s="2161" t="n">
        <v>0</v>
      </c>
      <c r="K1698" s="2161" t="n"/>
    </row>
    <row r="1699" outlineLevel="3" ht="15.75" customHeight="1">
      <c r="A1699" s="10" t="n">
        <v>86</v>
      </c>
      <c r="B1699" s="10" t="inlineStr">
        <is>
          <t>Insumo</t>
        </is>
      </c>
      <c r="C1699" s="10" t="inlineStr">
        <is>
          <t>31_DRY 70 mm - 1 PLACA - 8,25cm  -</t>
        </is>
      </c>
      <c r="D1699" s="10" t="inlineStr">
        <is>
          <t>SERVICO - CONFECCAO SHAFT GESSO</t>
        </is>
      </c>
      <c r="E1699" s="11">
        <f t="array" ref="E1699">_xlfn.XLOOKUP(D1699,Insumos!B:B,Insumos!C:$C)</f>
        <v/>
      </c>
      <c r="F1699" s="14" t="n">
        <v>1</v>
      </c>
      <c r="G1699" s="92">
        <f t="array" ref="G1699">IF(B1699="insumo",_xlfn.XLOOKUP($D1699,Insumos!$B$1:$B$996,Insumos!$D$1:$D$996),"")</f>
        <v/>
      </c>
      <c r="H1699" s="92" t="n">
        <v>70</v>
      </c>
      <c r="I1699" s="2162" t="n">
        <v>0</v>
      </c>
      <c r="J1699" s="2162" t="n">
        <v>0</v>
      </c>
      <c r="K1699" s="2162" t="n"/>
    </row>
    <row r="1700" outlineLevel="3" ht="15.75" customHeight="1">
      <c r="A1700" s="10" t="n">
        <v>49</v>
      </c>
      <c r="B1700" s="10" t="inlineStr">
        <is>
          <t>Insumo</t>
        </is>
      </c>
      <c r="C1700" s="10" t="inlineStr">
        <is>
          <t>31_DRY 70 mm - 1 PLACA - 8,25cm  -</t>
        </is>
      </c>
      <c r="D1700" s="10" t="inlineStr">
        <is>
          <t>PLACA / CHAPA DE GESSO ACARTONADO, RESISTENTE A UMIDADE (RU), COR VERDE, E = 12,5 MM, 1200 X 2400 MM (L X C)</t>
        </is>
      </c>
      <c r="E1700" s="11">
        <f t="array" ref="E1700">_xlfn.XLOOKUP(D1700,Insumos!B:B,Insumos!C:$C)</f>
        <v/>
      </c>
      <c r="F1700" s="14" t="n">
        <v>1.053</v>
      </c>
      <c r="G1700" s="92">
        <f t="array" ref="G1700">IF(B1700="insumo",_xlfn.XLOOKUP($D1700,Insumos!$B$1:$B$996,Insumos!$D$1:$D$996),"")</f>
        <v/>
      </c>
      <c r="H1700" s="92" t="n">
        <v>28.5363</v>
      </c>
      <c r="I1700" s="2162" t="n">
        <v>0</v>
      </c>
      <c r="J1700" s="2162" t="n">
        <v>0</v>
      </c>
      <c r="K1700" s="2162" t="n"/>
    </row>
    <row r="1701" outlineLevel="3" ht="15.75" customHeight="1">
      <c r="A1701" s="10" t="n">
        <v>95</v>
      </c>
      <c r="B1701" s="10" t="inlineStr">
        <is>
          <t>Insumo</t>
        </is>
      </c>
      <c r="C1701" s="10" t="inlineStr">
        <is>
          <t>31_DRY 70 mm - 1 PLACA - 8,25cm  -</t>
        </is>
      </c>
      <c r="D1701" s="10" t="inlineStr">
        <is>
          <t>PINO DE ACO COM ARRUELA CONICA, DIAMETRO ARRUELA = *23* MM E COMP HASTE = *27* MM (ACAO INDIRETA)</t>
        </is>
      </c>
      <c r="E1701" s="11">
        <f t="array" ref="E1701">_xlfn.XLOOKUP(D1701,Insumos!B:B,Insumos!C:$C)</f>
        <v/>
      </c>
      <c r="F1701" s="14" t="n">
        <v>5.92</v>
      </c>
      <c r="G1701" s="92">
        <f t="array" ref="G1701">IF(B1701="insumo",_xlfn.XLOOKUP($D1701,Insumos!$B$1:$B$996,Insumos!$D$1:$D$996),"")</f>
        <v/>
      </c>
      <c r="H1701" s="92" t="n">
        <v>2.98368</v>
      </c>
      <c r="I1701" s="2162" t="n">
        <v>0</v>
      </c>
      <c r="J1701" s="2162" t="n">
        <v>0</v>
      </c>
      <c r="K1701" s="2162" t="n"/>
    </row>
    <row r="1702" outlineLevel="3" ht="15.75" customHeight="1">
      <c r="A1702" s="10" t="n">
        <v>43</v>
      </c>
      <c r="B1702" s="10" t="inlineStr">
        <is>
          <t>Insumo</t>
        </is>
      </c>
      <c r="C1702" s="10" t="inlineStr">
        <is>
          <t>31_DRY 70 mm - 1 PLACA - 8,25cm  -</t>
        </is>
      </c>
      <c r="D1702" s="10" t="inlineStr">
        <is>
          <t>PERFIL GUIA, FORMATO U, EM ACO ZINCADO, PARA ESTRUTURA PAREDE DRYWALL, E = 0,5 MM, 70 X 3000 MM (L X C)</t>
        </is>
      </c>
      <c r="E1702" s="11">
        <f t="array" ref="E1702">_xlfn.XLOOKUP(D1702,Insumos!B:B,Insumos!C:$C)</f>
        <v/>
      </c>
      <c r="F1702" s="14" t="n">
        <v>1.8234</v>
      </c>
      <c r="G1702" s="92">
        <f t="array" ref="G1702">IF(B1702="insumo",_xlfn.XLOOKUP($D1702,Insumos!$B$1:$B$996,Insumos!$D$1:$D$996),"")</f>
        <v/>
      </c>
      <c r="H1702" s="92" t="n">
        <v>13.602564</v>
      </c>
      <c r="I1702" s="2162" t="n">
        <v>0</v>
      </c>
      <c r="J1702" s="2162" t="n">
        <v>0</v>
      </c>
      <c r="K1702" s="2162" t="n"/>
    </row>
    <row r="1703" outlineLevel="3" ht="15.75" customHeight="1">
      <c r="A1703" s="10" t="n">
        <v>43</v>
      </c>
      <c r="B1703" s="10" t="inlineStr">
        <is>
          <t>Insumo</t>
        </is>
      </c>
      <c r="C1703" s="10" t="inlineStr">
        <is>
          <t>31_DRY 70 mm - 1 PLACA - 8,25cm  -</t>
        </is>
      </c>
      <c r="D1703" s="10" t="inlineStr">
        <is>
          <t>PERFIL MONTANTE, FORMATO C, EM ACO ZINCADO, PARA ESTRUTURA PAREDE DRYWALL, E = 0,5 MM, 70 X 3000 MM (L X C)</t>
        </is>
      </c>
      <c r="E1703" s="11">
        <f t="array" ref="E1703">_xlfn.XLOOKUP(D1703,Insumos!B:B,Insumos!C:$C)</f>
        <v/>
      </c>
      <c r="F1703" s="14" t="n">
        <v>5.8278</v>
      </c>
      <c r="G1703" s="92">
        <f t="array" ref="G1703">IF(B1703="insumo",_xlfn.XLOOKUP($D1703,Insumos!$B$1:$B$996,Insumos!$D$1:$D$996),"")</f>
        <v/>
      </c>
      <c r="H1703" s="92" t="n">
        <v>46.505844</v>
      </c>
      <c r="I1703" s="2162" t="n">
        <v>0</v>
      </c>
      <c r="J1703" s="2162" t="n">
        <v>0</v>
      </c>
      <c r="K1703" s="2162" t="n"/>
    </row>
    <row r="1704" outlineLevel="3" ht="15.75" customHeight="1">
      <c r="A1704" s="10" t="n">
        <v>95</v>
      </c>
      <c r="B1704" s="10" t="inlineStr">
        <is>
          <t>Insumo</t>
        </is>
      </c>
      <c r="C1704" s="10" t="inlineStr">
        <is>
          <t>31_DRY 70 mm - 1 PLACA - 8,25cm  -</t>
        </is>
      </c>
      <c r="D1704" s="10" t="inlineStr">
        <is>
          <t>MASSA DE REJUNTE EM PO PARA DRYWALL, A BASE DE GESSO, SECAGEM RAPIDA, PARA TRATAMENTO DE JUNTAS DE CHAPA DE GESSO (NECESSITA ADICAO DE AGUA)</t>
        </is>
      </c>
      <c r="E1704" s="11">
        <f t="array" ref="E1704">_xlfn.XLOOKUP(D1704,Insumos!B:B,Insumos!C:$C)</f>
        <v/>
      </c>
      <c r="F1704" s="14" t="n">
        <v>0.5489000000000001</v>
      </c>
      <c r="G1704" s="92">
        <f t="array" ref="G1704">IF(B1704="insumo",_xlfn.XLOOKUP($D1704,Insumos!$B$1:$B$996,Insumos!$D$1:$D$996),"")</f>
        <v/>
      </c>
      <c r="H1704" s="92" t="n">
        <v>1.882727</v>
      </c>
      <c r="I1704" s="2162" t="n">
        <v>0</v>
      </c>
      <c r="J1704" s="2162" t="n">
        <v>0</v>
      </c>
      <c r="K1704" s="2162" t="n"/>
    </row>
    <row r="1705" outlineLevel="3" ht="15.75" customHeight="1">
      <c r="A1705" s="10" t="n">
        <v>94</v>
      </c>
      <c r="B1705" s="10" t="inlineStr">
        <is>
          <t>Insumo</t>
        </is>
      </c>
      <c r="C1705" s="10" t="inlineStr">
        <is>
          <t>31_DRY 70 mm - 1 PLACA - 8,25cm  -</t>
        </is>
      </c>
      <c r="D1705" s="10" t="inlineStr">
        <is>
          <t>FITA DE PAPEL MICROPERFURADO, 50 X 150 MM, PARA TRATAMENTO DE JUNTAS DE CHAPA DE GESSO PARA DRYWALL</t>
        </is>
      </c>
      <c r="E1705" s="11">
        <f t="array" ref="E1705">_xlfn.XLOOKUP(D1705,Insumos!B:B,Insumos!C:$C)</f>
        <v/>
      </c>
      <c r="F1705" s="14" t="n">
        <v>1.25135</v>
      </c>
      <c r="G1705" s="92">
        <f t="array" ref="G1705">IF(B1705="insumo",_xlfn.XLOOKUP($D1705,Insumos!$B$1:$B$996,Insumos!$D$1:$D$996),"")</f>
        <v/>
      </c>
      <c r="H1705" s="92" t="n">
        <v>0.3879185</v>
      </c>
      <c r="I1705" s="2162" t="n">
        <v>0</v>
      </c>
      <c r="J1705" s="2162" t="n">
        <v>0</v>
      </c>
      <c r="K1705" s="2162" t="n"/>
    </row>
    <row r="1706" outlineLevel="3" ht="15.75" customHeight="1">
      <c r="A1706" s="10" t="n">
        <v>94</v>
      </c>
      <c r="B1706" s="10" t="inlineStr">
        <is>
          <t>Insumo</t>
        </is>
      </c>
      <c r="C1706" s="10" t="inlineStr">
        <is>
          <t>31_DRY 70 mm - 1 PLACA - 8,25cm  -</t>
        </is>
      </c>
      <c r="D1706" s="10" t="inlineStr">
        <is>
          <t>FITA DE PAPEL REFORCADA COM LAMINA DE METAL PARA REFORCO DE CANTOS DE CHAPA DE GESSO PARA DRYWALL</t>
        </is>
      </c>
      <c r="E1706" s="11">
        <f t="array" ref="E1706">_xlfn.XLOOKUP(D1706,Insumos!B:B,Insumos!C:$C)</f>
        <v/>
      </c>
      <c r="F1706" s="14" t="n">
        <v>0.79255</v>
      </c>
      <c r="G1706" s="92">
        <f t="array" ref="G1706">IF(B1706="insumo",_xlfn.XLOOKUP($D1706,Insumos!$B$1:$B$996,Insumos!$D$1:$D$996),"")</f>
        <v/>
      </c>
      <c r="H1706" s="92" t="n">
        <v>2.171587</v>
      </c>
      <c r="I1706" s="2162" t="n">
        <v>0</v>
      </c>
      <c r="J1706" s="2162" t="n">
        <v>0</v>
      </c>
      <c r="K1706" s="2162" t="n"/>
    </row>
    <row r="1707" outlineLevel="3" ht="15.75" customHeight="1">
      <c r="A1707" s="10" t="n">
        <v>97</v>
      </c>
      <c r="B1707" s="10" t="inlineStr">
        <is>
          <t>Insumo</t>
        </is>
      </c>
      <c r="C1707" s="10" t="inlineStr">
        <is>
          <t>31_DRY 70 mm - 1 PLACA - 8,25cm  -</t>
        </is>
      </c>
      <c r="D1707" s="10" t="inlineStr">
        <is>
          <t>PARAFUSO DRY WALL, EM ACO FOSFATIZADO, CABECA TROMBETA E PONTA AGULHA (TA), COMPRIMENTO 25 MM</t>
        </is>
      </c>
      <c r="E1707" s="11">
        <f t="array" ref="E1707">_xlfn.XLOOKUP(D1707,Insumos!B:B,Insumos!C:$C)</f>
        <v/>
      </c>
      <c r="F1707" s="14" t="n">
        <v>10.0934</v>
      </c>
      <c r="G1707" s="92">
        <f t="array" ref="G1707">IF(B1707="insumo",_xlfn.XLOOKUP($D1707,Insumos!$B$1:$B$996,Insumos!$D$1:$D$996),"")</f>
        <v/>
      </c>
      <c r="H1707" s="92" t="n">
        <v>0.908406</v>
      </c>
      <c r="I1707" s="2162" t="n">
        <v>0</v>
      </c>
      <c r="J1707" s="2162" t="n">
        <v>0</v>
      </c>
      <c r="K1707" s="2162" t="n"/>
    </row>
    <row r="1708" outlineLevel="3" ht="15.75" customHeight="1">
      <c r="A1708" s="10" t="n">
        <v>95</v>
      </c>
      <c r="B1708" s="10" t="inlineStr">
        <is>
          <t>Insumo</t>
        </is>
      </c>
      <c r="C1708" s="10" t="inlineStr">
        <is>
          <t>31_DRY 70 mm - 1 PLACA - 8,25cm  -</t>
        </is>
      </c>
      <c r="D1708" s="10" t="inlineStr">
        <is>
          <t>PARAFUSO DRY WALL, EM ACO ZINCADO, CABECA LENTILHA E PONTA BROCA (LB), LARGURA 4,2 MM, COMPRIMENTO 13 MM</t>
        </is>
      </c>
      <c r="E1708" s="11">
        <f t="array" ref="E1708">_xlfn.XLOOKUP(D1708,Insumos!B:B,Insumos!C:$C)</f>
        <v/>
      </c>
      <c r="F1708" s="14" t="n">
        <v>0.27205</v>
      </c>
      <c r="G1708" s="92">
        <f t="array" ref="G1708">IF(B1708="insumo",_xlfn.XLOOKUP($D1708,Insumos!$B$1:$B$996,Insumos!$D$1:$D$996),"")</f>
        <v/>
      </c>
      <c r="H1708" s="92" t="n">
        <v>0.05441</v>
      </c>
      <c r="I1708" s="2162" t="n">
        <v>0</v>
      </c>
      <c r="J1708" s="2162" t="n">
        <v>0</v>
      </c>
      <c r="K1708" s="2162" t="n"/>
    </row>
    <row r="1709" outlineLevel="2" ht="15.75" customHeight="1">
      <c r="A1709" s="1067" t="n">
        <v>1</v>
      </c>
      <c r="B1709" s="1067" t="inlineStr">
        <is>
          <t>Serviço</t>
        </is>
      </c>
      <c r="C1709" s="1067" t="inlineStr">
        <is>
          <t>31_DRY 70 mm - 1 PLACA - 8,25cm  -  Lado A: PLACA PERFORMANCE RU - Lado B: N/A</t>
        </is>
      </c>
      <c r="D1709" s="1067" t="inlineStr">
        <is>
          <t>31_DRY 70 mm - 1 PLACA - 8,25cm  -  Lado A: PLACA PERFORMANCE RU - Lado B: N/A</t>
        </is>
      </c>
      <c r="E1709" s="1068" t="inlineStr">
        <is>
          <t>M2</t>
        </is>
      </c>
      <c r="F1709" s="1067" t="n"/>
      <c r="G1709" s="1069">
        <f t="array" ref="G1709">IF(B1709="insumo",_xlfn.XLOOKUP($D1709,Insumos!$B$1:$B$996,Insumos!$D$1:$D$996),"")</f>
        <v/>
      </c>
      <c r="H1709" s="1069" t="n">
        <v>167.0334365</v>
      </c>
      <c r="I1709" s="2161" t="n">
        <v>0</v>
      </c>
      <c r="J1709" s="2161" t="n">
        <v>0</v>
      </c>
      <c r="K1709" s="2161" t="n"/>
    </row>
    <row r="1710" outlineLevel="3" ht="15.75" customHeight="1">
      <c r="A1710" s="10" t="n">
        <v>86</v>
      </c>
      <c r="B1710" s="10" t="inlineStr">
        <is>
          <t>Insumo</t>
        </is>
      </c>
      <c r="C1710" s="10" t="inlineStr">
        <is>
          <t>31_DRY 70 mm - 1 PLACA - 8,25cm  -  Lado A: PLACA PERFORMANCE RU - Lado B: N/A</t>
        </is>
      </c>
      <c r="D1710" s="10" t="inlineStr">
        <is>
          <t>SERVICO - CONFECCAO SHAFT GESSO</t>
        </is>
      </c>
      <c r="E1710" s="11">
        <f t="array" ref="E1710">_xlfn.XLOOKUP(D1710,Insumos!B:B,Insumos!C:$C)</f>
        <v/>
      </c>
      <c r="F1710" s="14" t="n">
        <v>1</v>
      </c>
      <c r="G1710" s="92">
        <f t="array" ref="G1710">IF(B1710="insumo",_xlfn.XLOOKUP($D1710,Insumos!$B$1:$B$996,Insumos!$D$1:$D$996),"")</f>
        <v/>
      </c>
      <c r="H1710" s="92" t="n">
        <v>70</v>
      </c>
      <c r="I1710" s="2162" t="n">
        <v>0</v>
      </c>
      <c r="J1710" s="2162" t="n">
        <v>0</v>
      </c>
      <c r="K1710" s="2162" t="n"/>
    </row>
    <row r="1711" outlineLevel="3" ht="15.75" customHeight="1">
      <c r="A1711" s="10" t="n">
        <v>49</v>
      </c>
      <c r="B1711" s="10" t="inlineStr">
        <is>
          <t>Insumo</t>
        </is>
      </c>
      <c r="C1711" s="10" t="inlineStr">
        <is>
          <t>31_DRY 70 mm - 1 PLACA - 8,25cm  -  Lado A: PLACA PERFORMANCE RU - Lado B: N/A</t>
        </is>
      </c>
      <c r="D1711" s="10" t="inlineStr">
        <is>
          <t>PLACA / CHAPA DE GESSO ACARTONADO, RESISTENTE A UMIDADE (RU), COR VERDE, E = 12,5 MM, 1200 X 2400 MM (L X C)</t>
        </is>
      </c>
      <c r="E1711" s="11">
        <f t="array" ref="E1711">_xlfn.XLOOKUP(D1711,Insumos!B:B,Insumos!C:$C)</f>
        <v/>
      </c>
      <c r="F1711" s="14" t="n">
        <v>1.053</v>
      </c>
      <c r="G1711" s="92">
        <f t="array" ref="G1711">IF(B1711="insumo",_xlfn.XLOOKUP($D1711,Insumos!$B$1:$B$996,Insumos!$D$1:$D$996),"")</f>
        <v/>
      </c>
      <c r="H1711" s="92" t="n">
        <v>28.5363</v>
      </c>
      <c r="I1711" s="2162" t="n">
        <v>0</v>
      </c>
      <c r="J1711" s="2162" t="n">
        <v>0</v>
      </c>
      <c r="K1711" s="2162" t="n"/>
    </row>
    <row r="1712" outlineLevel="3" ht="15.75" customHeight="1">
      <c r="A1712" s="10" t="n">
        <v>95</v>
      </c>
      <c r="B1712" s="10" t="inlineStr">
        <is>
          <t>Insumo</t>
        </is>
      </c>
      <c r="C1712" s="10" t="inlineStr">
        <is>
          <t>31_DRY 70 mm - 1 PLACA - 8,25cm  -  Lado A: PLACA PERFORMANCE RU - Lado B: N/A</t>
        </is>
      </c>
      <c r="D1712" s="10" t="inlineStr">
        <is>
          <t>PINO DE ACO COM ARRUELA CONICA, DIAMETRO ARRUELA = *23* MM E COMP HASTE = *27* MM (ACAO INDIRETA)</t>
        </is>
      </c>
      <c r="E1712" s="11">
        <f t="array" ref="E1712">_xlfn.XLOOKUP(D1712,Insumos!B:B,Insumos!C:$C)</f>
        <v/>
      </c>
      <c r="F1712" s="14" t="n">
        <v>5.92</v>
      </c>
      <c r="G1712" s="92">
        <f t="array" ref="G1712">IF(B1712="insumo",_xlfn.XLOOKUP($D1712,Insumos!$B$1:$B$996,Insumos!$D$1:$D$996),"")</f>
        <v/>
      </c>
      <c r="H1712" s="92" t="n">
        <v>2.98368</v>
      </c>
      <c r="I1712" s="2162" t="n">
        <v>0</v>
      </c>
      <c r="J1712" s="2162" t="n">
        <v>0</v>
      </c>
      <c r="K1712" s="2162" t="n"/>
    </row>
    <row r="1713" outlineLevel="3" ht="15.75" customHeight="1">
      <c r="A1713" s="10" t="n">
        <v>43</v>
      </c>
      <c r="B1713" s="10" t="inlineStr">
        <is>
          <t>Insumo</t>
        </is>
      </c>
      <c r="C1713" s="10" t="inlineStr">
        <is>
          <t>31_DRY 70 mm - 1 PLACA - 8,25cm  -  Lado A: PLACA PERFORMANCE RU - Lado B: N/A</t>
        </is>
      </c>
      <c r="D1713" s="10" t="inlineStr">
        <is>
          <t>PERFIL GUIA, FORMATO U, EM ACO ZINCADO, PARA ESTRUTURA PAREDE DRYWALL, E = 0,5 MM, 70 X 3000 MM (L X C)</t>
        </is>
      </c>
      <c r="E1713" s="11">
        <f t="array" ref="E1713">_xlfn.XLOOKUP(D1713,Insumos!B:B,Insumos!C:$C)</f>
        <v/>
      </c>
      <c r="F1713" s="14" t="n">
        <v>1.8234</v>
      </c>
      <c r="G1713" s="92">
        <f t="array" ref="G1713">IF(B1713="insumo",_xlfn.XLOOKUP($D1713,Insumos!$B$1:$B$996,Insumos!$D$1:$D$996),"")</f>
        <v/>
      </c>
      <c r="H1713" s="92" t="n">
        <v>13.602564</v>
      </c>
      <c r="I1713" s="2162" t="n">
        <v>0</v>
      </c>
      <c r="J1713" s="2162" t="n">
        <v>0</v>
      </c>
      <c r="K1713" s="2162" t="n"/>
    </row>
    <row r="1714" outlineLevel="3" ht="15.75" customHeight="1">
      <c r="A1714" s="10" t="n">
        <v>43</v>
      </c>
      <c r="B1714" s="10" t="inlineStr">
        <is>
          <t>Insumo</t>
        </is>
      </c>
      <c r="C1714" s="10" t="inlineStr">
        <is>
          <t>31_DRY 70 mm - 1 PLACA - 8,25cm  -  Lado A: PLACA PERFORMANCE RU - Lado B: N/A</t>
        </is>
      </c>
      <c r="D1714" s="10" t="inlineStr">
        <is>
          <t>PERFIL MONTANTE, FORMATO C, EM ACO ZINCADO, PARA ESTRUTURA PAREDE DRYWALL, E = 0,5 MM, 70 X 3000 MM (L X C)</t>
        </is>
      </c>
      <c r="E1714" s="11">
        <f t="array" ref="E1714">_xlfn.XLOOKUP(D1714,Insumos!B:B,Insumos!C:$C)</f>
        <v/>
      </c>
      <c r="F1714" s="14" t="n">
        <v>5.8278</v>
      </c>
      <c r="G1714" s="92">
        <f t="array" ref="G1714">IF(B1714="insumo",_xlfn.XLOOKUP($D1714,Insumos!$B$1:$B$996,Insumos!$D$1:$D$996),"")</f>
        <v/>
      </c>
      <c r="H1714" s="92" t="n">
        <v>46.505844</v>
      </c>
      <c r="I1714" s="2162" t="n">
        <v>0</v>
      </c>
      <c r="J1714" s="2162" t="n">
        <v>0</v>
      </c>
      <c r="K1714" s="2162" t="n"/>
    </row>
    <row r="1715" outlineLevel="3" ht="15.75" customHeight="1">
      <c r="A1715" s="10" t="n">
        <v>95</v>
      </c>
      <c r="B1715" s="10" t="inlineStr">
        <is>
          <t>Insumo</t>
        </is>
      </c>
      <c r="C1715" s="10" t="inlineStr">
        <is>
          <t>31_DRY 70 mm - 1 PLACA - 8,25cm  -  Lado A: PLACA PERFORMANCE RU - Lado B: N/A</t>
        </is>
      </c>
      <c r="D1715" s="10" t="inlineStr">
        <is>
          <t>MASSA DE REJUNTE EM PO PARA DRYWALL, A BASE DE GESSO, SECAGEM RAPIDA, PARA TRATAMENTO DE JUNTAS DE CHAPA DE GESSO (NECESSITA ADICAO DE AGUA)</t>
        </is>
      </c>
      <c r="E1715" s="11">
        <f t="array" ref="E1715">_xlfn.XLOOKUP(D1715,Insumos!B:B,Insumos!C:$C)</f>
        <v/>
      </c>
      <c r="F1715" s="14" t="n">
        <v>0.5489000000000001</v>
      </c>
      <c r="G1715" s="92">
        <f t="array" ref="G1715">IF(B1715="insumo",_xlfn.XLOOKUP($D1715,Insumos!$B$1:$B$996,Insumos!$D$1:$D$996),"")</f>
        <v/>
      </c>
      <c r="H1715" s="92" t="n">
        <v>1.882727</v>
      </c>
      <c r="I1715" s="2162" t="n">
        <v>0</v>
      </c>
      <c r="J1715" s="2162" t="n">
        <v>0</v>
      </c>
      <c r="K1715" s="2162" t="n"/>
    </row>
    <row r="1716" outlineLevel="3" ht="15.75" customHeight="1">
      <c r="A1716" s="10" t="n">
        <v>94</v>
      </c>
      <c r="B1716" s="10" t="inlineStr">
        <is>
          <t>Insumo</t>
        </is>
      </c>
      <c r="C1716" s="10" t="inlineStr">
        <is>
          <t>31_DRY 70 mm - 1 PLACA - 8,25cm  -  Lado A: PLACA PERFORMANCE RU - Lado B: N/A</t>
        </is>
      </c>
      <c r="D1716" s="10" t="inlineStr">
        <is>
          <t>FITA DE PAPEL MICROPERFURADO, 50 X 150 MM, PARA TRATAMENTO DE JUNTAS DE CHAPA DE GESSO PARA DRYWALL</t>
        </is>
      </c>
      <c r="E1716" s="11">
        <f t="array" ref="E1716">_xlfn.XLOOKUP(D1716,Insumos!B:B,Insumos!C:$C)</f>
        <v/>
      </c>
      <c r="F1716" s="14" t="n">
        <v>1.25135</v>
      </c>
      <c r="G1716" s="92">
        <f t="array" ref="G1716">IF(B1716="insumo",_xlfn.XLOOKUP($D1716,Insumos!$B$1:$B$996,Insumos!$D$1:$D$996),"")</f>
        <v/>
      </c>
      <c r="H1716" s="92" t="n">
        <v>0.3879185</v>
      </c>
      <c r="I1716" s="2162" t="n">
        <v>0</v>
      </c>
      <c r="J1716" s="2162" t="n">
        <v>0</v>
      </c>
      <c r="K1716" s="2162" t="n"/>
    </row>
    <row r="1717" outlineLevel="3" ht="15.75" customHeight="1">
      <c r="A1717" s="10" t="n">
        <v>94</v>
      </c>
      <c r="B1717" s="10" t="inlineStr">
        <is>
          <t>Insumo</t>
        </is>
      </c>
      <c r="C1717" s="10" t="inlineStr">
        <is>
          <t>31_DRY 70 mm - 1 PLACA - 8,25cm  -  Lado A: PLACA PERFORMANCE RU - Lado B: N/A</t>
        </is>
      </c>
      <c r="D1717" s="10" t="inlineStr">
        <is>
          <t>FITA DE PAPEL REFORCADA COM LAMINA DE METAL PARA REFORCO DE CANTOS DE CHAPA DE GESSO PARA DRYWALL</t>
        </is>
      </c>
      <c r="E1717" s="11">
        <f t="array" ref="E1717">_xlfn.XLOOKUP(D1717,Insumos!B:B,Insumos!C:$C)</f>
        <v/>
      </c>
      <c r="F1717" s="14" t="n">
        <v>0.79255</v>
      </c>
      <c r="G1717" s="92">
        <f t="array" ref="G1717">IF(B1717="insumo",_xlfn.XLOOKUP($D1717,Insumos!$B$1:$B$996,Insumos!$D$1:$D$996),"")</f>
        <v/>
      </c>
      <c r="H1717" s="92" t="n">
        <v>2.171587</v>
      </c>
      <c r="I1717" s="2162" t="n">
        <v>0</v>
      </c>
      <c r="J1717" s="2162" t="n">
        <v>0</v>
      </c>
      <c r="K1717" s="2162" t="n"/>
    </row>
    <row r="1718" outlineLevel="3" ht="15.75" customHeight="1">
      <c r="A1718" s="10" t="n">
        <v>97</v>
      </c>
      <c r="B1718" s="10" t="inlineStr">
        <is>
          <t>Insumo</t>
        </is>
      </c>
      <c r="C1718" s="10" t="inlineStr">
        <is>
          <t>31_DRY 70 mm - 1 PLACA - 8,25cm  -  Lado A: PLACA PERFORMANCE RU - Lado B: N/A</t>
        </is>
      </c>
      <c r="D1718" s="10" t="inlineStr">
        <is>
          <t>PARAFUSO DRY WALL, EM ACO FOSFATIZADO, CABECA TROMBETA E PONTA AGULHA (TA), COMPRIMENTO 25 MM</t>
        </is>
      </c>
      <c r="E1718" s="11">
        <f t="array" ref="E1718">_xlfn.XLOOKUP(D1718,Insumos!B:B,Insumos!C:$C)</f>
        <v/>
      </c>
      <c r="F1718" s="14" t="n">
        <v>10.0934</v>
      </c>
      <c r="G1718" s="92">
        <f t="array" ref="G1718">IF(B1718="insumo",_xlfn.XLOOKUP($D1718,Insumos!$B$1:$B$996,Insumos!$D$1:$D$996),"")</f>
        <v/>
      </c>
      <c r="H1718" s="92" t="n">
        <v>0.908406</v>
      </c>
      <c r="I1718" s="2162" t="n">
        <v>0</v>
      </c>
      <c r="J1718" s="2162" t="n">
        <v>0</v>
      </c>
      <c r="K1718" s="2162" t="n"/>
    </row>
    <row r="1719" outlineLevel="3" ht="15.75" customHeight="1">
      <c r="A1719" s="10" t="n">
        <v>95</v>
      </c>
      <c r="B1719" s="10" t="inlineStr">
        <is>
          <t>Insumo</t>
        </is>
      </c>
      <c r="C1719" s="10" t="inlineStr">
        <is>
          <t>31_DRY 70 mm - 1 PLACA - 8,25cm  -  Lado A: PLACA PERFORMANCE RU - Lado B: N/A</t>
        </is>
      </c>
      <c r="D1719" s="10" t="inlineStr">
        <is>
          <t>PARAFUSO DRY WALL, EM ACO ZINCADO, CABECA LENTILHA E PONTA BROCA (LB), LARGURA 4,2 MM, COMPRIMENTO 13 MM</t>
        </is>
      </c>
      <c r="E1719" s="11">
        <f t="array" ref="E1719">_xlfn.XLOOKUP(D1719,Insumos!B:B,Insumos!C:$C)</f>
        <v/>
      </c>
      <c r="F1719" s="14" t="n">
        <v>0.27205</v>
      </c>
      <c r="G1719" s="92">
        <f t="array" ref="G1719">IF(B1719="insumo",_xlfn.XLOOKUP($D1719,Insumos!$B$1:$B$996,Insumos!$D$1:$D$996),"")</f>
        <v/>
      </c>
      <c r="H1719" s="92" t="n">
        <v>0.05441</v>
      </c>
      <c r="I1719" s="2162" t="n">
        <v>0</v>
      </c>
      <c r="J1719" s="2162" t="n">
        <v>0</v>
      </c>
      <c r="K1719" s="2162" t="n"/>
    </row>
    <row r="1720" outlineLevel="2" ht="15.75" customHeight="1">
      <c r="A1720" s="1067" t="n">
        <v>1</v>
      </c>
      <c r="B1720" s="1067" t="inlineStr">
        <is>
          <t>Serviço</t>
        </is>
      </c>
      <c r="C1720" s="1067" t="inlineStr">
        <is>
          <t>31_DRY 70 mm - 1 PLACA - 8,25cm  -  Lado A: PLACA PERFORMANCE ST - Lado B: N/A</t>
        </is>
      </c>
      <c r="D1720" s="1067" t="inlineStr">
        <is>
          <t>31_DRY 70 mm - 1 PLACA - 8,25cm  -  Lado A: PLACA PERFORMANCE ST - Lado B: N/A</t>
        </is>
      </c>
      <c r="E1720" s="1068" t="inlineStr">
        <is>
          <t>M2</t>
        </is>
      </c>
      <c r="F1720" s="1067" t="n"/>
      <c r="G1720" s="1069">
        <f t="array" ref="G1720">IF(B1720="insumo",_xlfn.XLOOKUP($D1720,Insumos!$B$1:$B$996,Insumos!$D$1:$D$996),"")</f>
        <v/>
      </c>
      <c r="H1720" s="1069" t="n">
        <v>159.7256165</v>
      </c>
      <c r="I1720" s="2161" t="n">
        <v>0</v>
      </c>
      <c r="J1720" s="2161" t="n">
        <v>0</v>
      </c>
      <c r="K1720" s="2161" t="n"/>
    </row>
    <row r="1721" outlineLevel="3" ht="15.75" customHeight="1">
      <c r="A1721" s="10" t="n">
        <v>86</v>
      </c>
      <c r="B1721" s="10" t="inlineStr">
        <is>
          <t>Insumo</t>
        </is>
      </c>
      <c r="C1721" s="10" t="inlineStr">
        <is>
          <t>31_DRY 70 mm - 1 PLACA - 8,25cm  -  Lado A: PLACA PERFORMANCE ST - Lado B: N/A</t>
        </is>
      </c>
      <c r="D1721" s="10" t="inlineStr">
        <is>
          <t>SERVICO - CONFECCAO SHAFT GESSO</t>
        </is>
      </c>
      <c r="E1721" s="11">
        <f t="array" ref="E1721">_xlfn.XLOOKUP(D1721,Insumos!B:B,Insumos!C:$C)</f>
        <v/>
      </c>
      <c r="F1721" s="14" t="n">
        <v>1</v>
      </c>
      <c r="G1721" s="92">
        <f t="array" ref="G1721">IF(B1721="insumo",_xlfn.XLOOKUP($D1721,Insumos!$B$1:$B$996,Insumos!$D$1:$D$996),"")</f>
        <v/>
      </c>
      <c r="H1721" s="92" t="n">
        <v>70</v>
      </c>
      <c r="I1721" s="2162" t="n">
        <v>0</v>
      </c>
      <c r="J1721" s="2162" t="n">
        <v>0</v>
      </c>
      <c r="K1721" s="2162" t="n"/>
    </row>
    <row r="1722" outlineLevel="3" ht="15.75" customHeight="1">
      <c r="A1722" s="10" t="n">
        <v>47</v>
      </c>
      <c r="B1722" s="10" t="inlineStr">
        <is>
          <t>Insumo</t>
        </is>
      </c>
      <c r="C1722" s="10" t="inlineStr">
        <is>
          <t>31_DRY 70 mm - 1 PLACA - 8,25cm  -  Lado A: PLACA PERFORMANCE ST - Lado B: N/A</t>
        </is>
      </c>
      <c r="D1722" s="10" t="inlineStr">
        <is>
          <t>PLACA / CHAPA DE GESSO ACARTONADO, STANDARD (ST), COR BRANCA, E = 12,5 MM, 1200 X 2400 MM (L X C)</t>
        </is>
      </c>
      <c r="E1722" s="11">
        <f t="array" ref="E1722">_xlfn.XLOOKUP(D1722,Insumos!B:B,Insumos!C:$C)</f>
        <v/>
      </c>
      <c r="F1722" s="14" t="n">
        <v>1.053</v>
      </c>
      <c r="G1722" s="92">
        <f t="array" ref="G1722">IF(B1722="insumo",_xlfn.XLOOKUP($D1722,Insumos!$B$1:$B$996,Insumos!$D$1:$D$996),"")</f>
        <v/>
      </c>
      <c r="H1722" s="92" t="n">
        <v>21.22848</v>
      </c>
      <c r="I1722" s="2162" t="n">
        <v>0</v>
      </c>
      <c r="J1722" s="2162" t="n">
        <v>0</v>
      </c>
      <c r="K1722" s="2162" t="n"/>
    </row>
    <row r="1723" outlineLevel="3" ht="15.75" customHeight="1">
      <c r="A1723" s="10" t="n">
        <v>95</v>
      </c>
      <c r="B1723" s="10" t="inlineStr">
        <is>
          <t>Insumo</t>
        </is>
      </c>
      <c r="C1723" s="10" t="inlineStr">
        <is>
          <t>31_DRY 70 mm - 1 PLACA - 8,25cm  -  Lado A: PLACA PERFORMANCE ST - Lado B: N/A</t>
        </is>
      </c>
      <c r="D1723" s="10" t="inlineStr">
        <is>
          <t>PINO DE ACO COM ARRUELA CONICA, DIAMETRO ARRUELA = *23* MM E COMP HASTE = *27* MM (ACAO INDIRETA)</t>
        </is>
      </c>
      <c r="E1723" s="11">
        <f t="array" ref="E1723">_xlfn.XLOOKUP(D1723,Insumos!B:B,Insumos!C:$C)</f>
        <v/>
      </c>
      <c r="F1723" s="14" t="n">
        <v>5.92</v>
      </c>
      <c r="G1723" s="92">
        <f t="array" ref="G1723">IF(B1723="insumo",_xlfn.XLOOKUP($D1723,Insumos!$B$1:$B$996,Insumos!$D$1:$D$996),"")</f>
        <v/>
      </c>
      <c r="H1723" s="92" t="n">
        <v>2.98368</v>
      </c>
      <c r="I1723" s="2162" t="n">
        <v>0</v>
      </c>
      <c r="J1723" s="2162" t="n">
        <v>0</v>
      </c>
      <c r="K1723" s="2162" t="n"/>
    </row>
    <row r="1724" outlineLevel="3" ht="15.75" customHeight="1">
      <c r="A1724" s="10" t="n">
        <v>43</v>
      </c>
      <c r="B1724" s="10" t="inlineStr">
        <is>
          <t>Insumo</t>
        </is>
      </c>
      <c r="C1724" s="10" t="inlineStr">
        <is>
          <t>31_DRY 70 mm - 1 PLACA - 8,25cm  -  Lado A: PLACA PERFORMANCE ST - Lado B: N/A</t>
        </is>
      </c>
      <c r="D1724" s="10" t="inlineStr">
        <is>
          <t>PERFIL GUIA, FORMATO U, EM ACO ZINCADO, PARA ESTRUTURA PAREDE DRYWALL, E = 0,5 MM, 70 X 3000 MM (L X C)</t>
        </is>
      </c>
      <c r="E1724" s="11">
        <f t="array" ref="E1724">_xlfn.XLOOKUP(D1724,Insumos!B:B,Insumos!C:$C)</f>
        <v/>
      </c>
      <c r="F1724" s="14" t="n">
        <v>1.8234</v>
      </c>
      <c r="G1724" s="92">
        <f t="array" ref="G1724">IF(B1724="insumo",_xlfn.XLOOKUP($D1724,Insumos!$B$1:$B$996,Insumos!$D$1:$D$996),"")</f>
        <v/>
      </c>
      <c r="H1724" s="92" t="n">
        <v>13.602564</v>
      </c>
      <c r="I1724" s="2162" t="n">
        <v>0</v>
      </c>
      <c r="J1724" s="2162" t="n">
        <v>0</v>
      </c>
      <c r="K1724" s="2162" t="n"/>
    </row>
    <row r="1725" outlineLevel="3" ht="15.75" customHeight="1">
      <c r="A1725" s="10" t="n">
        <v>43</v>
      </c>
      <c r="B1725" s="10" t="inlineStr">
        <is>
          <t>Insumo</t>
        </is>
      </c>
      <c r="C1725" s="10" t="inlineStr">
        <is>
          <t>31_DRY 70 mm - 1 PLACA - 8,25cm  -  Lado A: PLACA PERFORMANCE ST - Lado B: N/A</t>
        </is>
      </c>
      <c r="D1725" s="10" t="inlineStr">
        <is>
          <t>PERFIL MONTANTE, FORMATO C, EM ACO ZINCADO, PARA ESTRUTURA PAREDE DRYWALL, E = 0,5 MM, 70 X 3000 MM (L X C)</t>
        </is>
      </c>
      <c r="E1725" s="11">
        <f t="array" ref="E1725">_xlfn.XLOOKUP(D1725,Insumos!B:B,Insumos!C:$C)</f>
        <v/>
      </c>
      <c r="F1725" s="14" t="n">
        <v>5.8278</v>
      </c>
      <c r="G1725" s="92">
        <f t="array" ref="G1725">IF(B1725="insumo",_xlfn.XLOOKUP($D1725,Insumos!$B$1:$B$996,Insumos!$D$1:$D$996),"")</f>
        <v/>
      </c>
      <c r="H1725" s="92" t="n">
        <v>46.505844</v>
      </c>
      <c r="I1725" s="2162" t="n">
        <v>0</v>
      </c>
      <c r="J1725" s="2162" t="n">
        <v>0</v>
      </c>
      <c r="K1725" s="2162" t="n"/>
    </row>
    <row r="1726" outlineLevel="3" ht="15.75" customHeight="1">
      <c r="A1726" s="10" t="n">
        <v>95</v>
      </c>
      <c r="B1726" s="10" t="inlineStr">
        <is>
          <t>Insumo</t>
        </is>
      </c>
      <c r="C1726" s="10" t="inlineStr">
        <is>
          <t>31_DRY 70 mm - 1 PLACA - 8,25cm  -  Lado A: PLACA PERFORMANCE ST - Lado B: N/A</t>
        </is>
      </c>
      <c r="D1726" s="10" t="inlineStr">
        <is>
          <t>MASSA DE REJUNTE EM PO PARA DRYWALL, A BASE DE GESSO, SECAGEM RAPIDA, PARA TRATAMENTO DE JUNTAS DE CHAPA DE GESSO (NECESSITA ADICAO DE AGUA)</t>
        </is>
      </c>
      <c r="E1726" s="11">
        <f t="array" ref="E1726">_xlfn.XLOOKUP(D1726,Insumos!B:B,Insumos!C:$C)</f>
        <v/>
      </c>
      <c r="F1726" s="14" t="n">
        <v>0.5489000000000001</v>
      </c>
      <c r="G1726" s="92">
        <f t="array" ref="G1726">IF(B1726="insumo",_xlfn.XLOOKUP($D1726,Insumos!$B$1:$B$996,Insumos!$D$1:$D$996),"")</f>
        <v/>
      </c>
      <c r="H1726" s="92" t="n">
        <v>1.882727</v>
      </c>
      <c r="I1726" s="2162" t="n">
        <v>0</v>
      </c>
      <c r="J1726" s="2162" t="n">
        <v>0</v>
      </c>
      <c r="K1726" s="2162" t="n"/>
    </row>
    <row r="1727" outlineLevel="3" ht="15.75" customHeight="1">
      <c r="A1727" s="10" t="n">
        <v>94</v>
      </c>
      <c r="B1727" s="10" t="inlineStr">
        <is>
          <t>Insumo</t>
        </is>
      </c>
      <c r="C1727" s="10" t="inlineStr">
        <is>
          <t>31_DRY 70 mm - 1 PLACA - 8,25cm  -  Lado A: PLACA PERFORMANCE ST - Lado B: N/A</t>
        </is>
      </c>
      <c r="D1727" s="10" t="inlineStr">
        <is>
          <t>FITA DE PAPEL MICROPERFURADO, 50 X 150 MM, PARA TRATAMENTO DE JUNTAS DE CHAPA DE GESSO PARA DRYWALL</t>
        </is>
      </c>
      <c r="E1727" s="11">
        <f t="array" ref="E1727">_xlfn.XLOOKUP(D1727,Insumos!B:B,Insumos!C:$C)</f>
        <v/>
      </c>
      <c r="F1727" s="14" t="n">
        <v>1.25135</v>
      </c>
      <c r="G1727" s="92">
        <f t="array" ref="G1727">IF(B1727="insumo",_xlfn.XLOOKUP($D1727,Insumos!$B$1:$B$996,Insumos!$D$1:$D$996),"")</f>
        <v/>
      </c>
      <c r="H1727" s="92" t="n">
        <v>0.3879185</v>
      </c>
      <c r="I1727" s="2162" t="n">
        <v>0</v>
      </c>
      <c r="J1727" s="2162" t="n">
        <v>0</v>
      </c>
      <c r="K1727" s="2162" t="n"/>
    </row>
    <row r="1728" outlineLevel="3" ht="15.75" customHeight="1">
      <c r="A1728" s="10" t="n">
        <v>94</v>
      </c>
      <c r="B1728" s="10" t="inlineStr">
        <is>
          <t>Insumo</t>
        </is>
      </c>
      <c r="C1728" s="10" t="inlineStr">
        <is>
          <t>31_DRY 70 mm - 1 PLACA - 8,25cm  -  Lado A: PLACA PERFORMANCE ST - Lado B: N/A</t>
        </is>
      </c>
      <c r="D1728" s="10" t="inlineStr">
        <is>
          <t>FITA DE PAPEL REFORCADA COM LAMINA DE METAL PARA REFORCO DE CANTOS DE CHAPA DE GESSO PARA DRYWALL</t>
        </is>
      </c>
      <c r="E1728" s="11">
        <f t="array" ref="E1728">_xlfn.XLOOKUP(D1728,Insumos!B:B,Insumos!C:$C)</f>
        <v/>
      </c>
      <c r="F1728" s="14" t="n">
        <v>0.79255</v>
      </c>
      <c r="G1728" s="92">
        <f t="array" ref="G1728">IF(B1728="insumo",_xlfn.XLOOKUP($D1728,Insumos!$B$1:$B$996,Insumos!$D$1:$D$996),"")</f>
        <v/>
      </c>
      <c r="H1728" s="92" t="n">
        <v>2.171587</v>
      </c>
      <c r="I1728" s="2162" t="n">
        <v>0</v>
      </c>
      <c r="J1728" s="2162" t="n">
        <v>0</v>
      </c>
      <c r="K1728" s="2162" t="n"/>
    </row>
    <row r="1729" outlineLevel="3" ht="15.75" customHeight="1">
      <c r="A1729" s="10" t="n">
        <v>97</v>
      </c>
      <c r="B1729" s="10" t="inlineStr">
        <is>
          <t>Insumo</t>
        </is>
      </c>
      <c r="C1729" s="10" t="inlineStr">
        <is>
          <t>31_DRY 70 mm - 1 PLACA - 8,25cm  -  Lado A: PLACA PERFORMANCE ST - Lado B: N/A</t>
        </is>
      </c>
      <c r="D1729" s="10" t="inlineStr">
        <is>
          <t>PARAFUSO DRY WALL, EM ACO FOSFATIZADO, CABECA TROMBETA E PONTA AGULHA (TA), COMPRIMENTO 25 MM</t>
        </is>
      </c>
      <c r="E1729" s="11">
        <f t="array" ref="E1729">_xlfn.XLOOKUP(D1729,Insumos!B:B,Insumos!C:$C)</f>
        <v/>
      </c>
      <c r="F1729" s="14" t="n">
        <v>10.0934</v>
      </c>
      <c r="G1729" s="92">
        <f t="array" ref="G1729">IF(B1729="insumo",_xlfn.XLOOKUP($D1729,Insumos!$B$1:$B$996,Insumos!$D$1:$D$996),"")</f>
        <v/>
      </c>
      <c r="H1729" s="92" t="n">
        <v>0.908406</v>
      </c>
      <c r="I1729" s="2162" t="n">
        <v>0</v>
      </c>
      <c r="J1729" s="2162" t="n">
        <v>0</v>
      </c>
      <c r="K1729" s="2162" t="n"/>
    </row>
    <row r="1730" outlineLevel="3" ht="15.75" customHeight="1">
      <c r="A1730" s="10" t="n">
        <v>95</v>
      </c>
      <c r="B1730" s="10" t="inlineStr">
        <is>
          <t>Insumo</t>
        </is>
      </c>
      <c r="C1730" s="10" t="inlineStr">
        <is>
          <t>31_DRY 70 mm - 1 PLACA - 8,25cm  -  Lado A: PLACA PERFORMANCE ST - Lado B: N/A</t>
        </is>
      </c>
      <c r="D1730" s="10" t="inlineStr">
        <is>
          <t>PARAFUSO DRY WALL, EM ACO ZINCADO, CABECA LENTILHA E PONTA BROCA (LB), LARGURA 4,2 MM, COMPRIMENTO 13 MM</t>
        </is>
      </c>
      <c r="E1730" s="11">
        <f t="array" ref="E1730">_xlfn.XLOOKUP(D1730,Insumos!B:B,Insumos!C:$C)</f>
        <v/>
      </c>
      <c r="F1730" s="14" t="n">
        <v>0.27205</v>
      </c>
      <c r="G1730" s="92">
        <f t="array" ref="G1730">IF(B1730="insumo",_xlfn.XLOOKUP($D1730,Insumos!$B$1:$B$996,Insumos!$D$1:$D$996),"")</f>
        <v/>
      </c>
      <c r="H1730" s="92" t="n">
        <v>0.05441</v>
      </c>
      <c r="I1730" s="2162" t="n">
        <v>0</v>
      </c>
      <c r="J1730" s="2162" t="n">
        <v>0</v>
      </c>
      <c r="K1730" s="2162" t="n"/>
    </row>
    <row r="1731" outlineLevel="2" ht="15.75" customHeight="1">
      <c r="A1731" s="1067" t="n">
        <v>1</v>
      </c>
      <c r="B1731" s="1067" t="inlineStr">
        <is>
          <t>Serviço</t>
        </is>
      </c>
      <c r="C1731" s="1067" t="inlineStr">
        <is>
          <t>31_DRY 70 mm - 1 PLACA - 8,25cm  -  Lado A: PLACA ST - Lado B: N/A</t>
        </is>
      </c>
      <c r="D1731" s="1067" t="inlineStr">
        <is>
          <t>31_DRY 70 mm - 1 PLACA - 8,25cm  -  Lado A: PLACA ST - Lado B: N/A</t>
        </is>
      </c>
      <c r="E1731" s="1068" t="inlineStr">
        <is>
          <t>M2</t>
        </is>
      </c>
      <c r="F1731" s="1067" t="n"/>
      <c r="G1731" s="1069">
        <f t="array" ref="G1731">IF(B1731="insumo",_xlfn.XLOOKUP($D1731,Insumos!$B$1:$B$996,Insumos!$D$1:$D$996),"")</f>
        <v/>
      </c>
      <c r="H1731" s="1069" t="n">
        <v>159.7256165</v>
      </c>
      <c r="I1731" s="2161" t="n">
        <v>0</v>
      </c>
      <c r="J1731" s="2161" t="n">
        <v>0</v>
      </c>
      <c r="K1731" s="2161" t="n"/>
    </row>
    <row r="1732" outlineLevel="3" ht="15.75" customHeight="1">
      <c r="A1732" s="10" t="n">
        <v>86</v>
      </c>
      <c r="B1732" s="10" t="inlineStr">
        <is>
          <t>Insumo</t>
        </is>
      </c>
      <c r="C1732" s="10" t="inlineStr">
        <is>
          <t>31_DRY 70 mm - 1 PLACA - 8,25cm  -  Lado A: PLACA ST - Lado B: N/A</t>
        </is>
      </c>
      <c r="D1732" s="10" t="inlineStr">
        <is>
          <t>SERVICO - CONFECCAO SHAFT GESSO</t>
        </is>
      </c>
      <c r="E1732" s="11">
        <f t="array" ref="E1732">_xlfn.XLOOKUP(D1732,Insumos!B:B,Insumos!C:$C)</f>
        <v/>
      </c>
      <c r="F1732" s="14" t="n">
        <v>1</v>
      </c>
      <c r="G1732" s="92">
        <f t="array" ref="G1732">IF(B1732="insumo",_xlfn.XLOOKUP($D1732,Insumos!$B$1:$B$996,Insumos!$D$1:$D$996),"")</f>
        <v/>
      </c>
      <c r="H1732" s="92" t="n">
        <v>70</v>
      </c>
      <c r="I1732" s="2162" t="n">
        <v>0</v>
      </c>
      <c r="J1732" s="2162" t="n">
        <v>0</v>
      </c>
      <c r="K1732" s="2162" t="n"/>
    </row>
    <row r="1733" outlineLevel="3" ht="15.75" customHeight="1">
      <c r="A1733" s="10" t="n">
        <v>47</v>
      </c>
      <c r="B1733" s="10" t="inlineStr">
        <is>
          <t>Insumo</t>
        </is>
      </c>
      <c r="C1733" s="10" t="inlineStr">
        <is>
          <t>31_DRY 70 mm - 1 PLACA - 8,25cm  -  Lado A: PLACA ST - Lado B: N/A</t>
        </is>
      </c>
      <c r="D1733" s="10" t="inlineStr">
        <is>
          <t>PLACA / CHAPA DE GESSO ACARTONADO, STANDARD (ST), COR BRANCA, E = 12,5 MM, 1200 X 2400 MM (L X C)</t>
        </is>
      </c>
      <c r="E1733" s="11">
        <f t="array" ref="E1733">_xlfn.XLOOKUP(D1733,Insumos!B:B,Insumos!C:$C)</f>
        <v/>
      </c>
      <c r="F1733" s="14" t="n">
        <v>1.053</v>
      </c>
      <c r="G1733" s="92">
        <f t="array" ref="G1733">IF(B1733="insumo",_xlfn.XLOOKUP($D1733,Insumos!$B$1:$B$996,Insumos!$D$1:$D$996),"")</f>
        <v/>
      </c>
      <c r="H1733" s="92" t="n">
        <v>21.22848</v>
      </c>
      <c r="I1733" s="2162" t="n">
        <v>0</v>
      </c>
      <c r="J1733" s="2162" t="n">
        <v>0</v>
      </c>
      <c r="K1733" s="2162" t="n"/>
    </row>
    <row r="1734" outlineLevel="3" ht="15.75" customHeight="1">
      <c r="A1734" s="10" t="n">
        <v>95</v>
      </c>
      <c r="B1734" s="10" t="inlineStr">
        <is>
          <t>Insumo</t>
        </is>
      </c>
      <c r="C1734" s="10" t="inlineStr">
        <is>
          <t>31_DRY 70 mm - 1 PLACA - 8,25cm  -  Lado A: PLACA ST - Lado B: N/A</t>
        </is>
      </c>
      <c r="D1734" s="10" t="inlineStr">
        <is>
          <t>PINO DE ACO COM ARRUELA CONICA, DIAMETRO ARRUELA = *23* MM E COMP HASTE = *27* MM (ACAO INDIRETA)</t>
        </is>
      </c>
      <c r="E1734" s="11">
        <f t="array" ref="E1734">_xlfn.XLOOKUP(D1734,Insumos!B:B,Insumos!C:$C)</f>
        <v/>
      </c>
      <c r="F1734" s="14" t="n">
        <v>5.92</v>
      </c>
      <c r="G1734" s="92">
        <f t="array" ref="G1734">IF(B1734="insumo",_xlfn.XLOOKUP($D1734,Insumos!$B$1:$B$996,Insumos!$D$1:$D$996),"")</f>
        <v/>
      </c>
      <c r="H1734" s="92" t="n">
        <v>2.98368</v>
      </c>
      <c r="I1734" s="2162" t="n">
        <v>0</v>
      </c>
      <c r="J1734" s="2162" t="n">
        <v>0</v>
      </c>
      <c r="K1734" s="2162" t="n"/>
    </row>
    <row r="1735" outlineLevel="3" ht="15.75" customHeight="1">
      <c r="A1735" s="10" t="n">
        <v>43</v>
      </c>
      <c r="B1735" s="10" t="inlineStr">
        <is>
          <t>Insumo</t>
        </is>
      </c>
      <c r="C1735" s="10" t="inlineStr">
        <is>
          <t>31_DRY 70 mm - 1 PLACA - 8,25cm  -  Lado A: PLACA ST - Lado B: N/A</t>
        </is>
      </c>
      <c r="D1735" s="10" t="inlineStr">
        <is>
          <t>PERFIL GUIA, FORMATO U, EM ACO ZINCADO, PARA ESTRUTURA PAREDE DRYWALL, E = 0,5 MM, 70 X 3000 MM (L X C)</t>
        </is>
      </c>
      <c r="E1735" s="11">
        <f t="array" ref="E1735">_xlfn.XLOOKUP(D1735,Insumos!B:B,Insumos!C:$C)</f>
        <v/>
      </c>
      <c r="F1735" s="14" t="n">
        <v>1.8234</v>
      </c>
      <c r="G1735" s="92">
        <f t="array" ref="G1735">IF(B1735="insumo",_xlfn.XLOOKUP($D1735,Insumos!$B$1:$B$996,Insumos!$D$1:$D$996),"")</f>
        <v/>
      </c>
      <c r="H1735" s="92" t="n">
        <v>13.602564</v>
      </c>
      <c r="I1735" s="2162" t="n">
        <v>0</v>
      </c>
      <c r="J1735" s="2162" t="n">
        <v>0</v>
      </c>
      <c r="K1735" s="2162" t="n"/>
    </row>
    <row r="1736" outlineLevel="3" ht="15.75" customHeight="1">
      <c r="A1736" s="10" t="n">
        <v>43</v>
      </c>
      <c r="B1736" s="10" t="inlineStr">
        <is>
          <t>Insumo</t>
        </is>
      </c>
      <c r="C1736" s="10" t="inlineStr">
        <is>
          <t>31_DRY 70 mm - 1 PLACA - 8,25cm  -  Lado A: PLACA ST - Lado B: N/A</t>
        </is>
      </c>
      <c r="D1736" s="10" t="inlineStr">
        <is>
          <t>PERFIL MONTANTE, FORMATO C, EM ACO ZINCADO, PARA ESTRUTURA PAREDE DRYWALL, E = 0,5 MM, 70 X 3000 MM (L X C)</t>
        </is>
      </c>
      <c r="E1736" s="11">
        <f t="array" ref="E1736">_xlfn.XLOOKUP(D1736,Insumos!B:B,Insumos!C:$C)</f>
        <v/>
      </c>
      <c r="F1736" s="14" t="n">
        <v>5.8278</v>
      </c>
      <c r="G1736" s="92">
        <f t="array" ref="G1736">IF(B1736="insumo",_xlfn.XLOOKUP($D1736,Insumos!$B$1:$B$996,Insumos!$D$1:$D$996),"")</f>
        <v/>
      </c>
      <c r="H1736" s="92" t="n">
        <v>46.505844</v>
      </c>
      <c r="I1736" s="2162" t="n">
        <v>0</v>
      </c>
      <c r="J1736" s="2162" t="n">
        <v>0</v>
      </c>
      <c r="K1736" s="2162" t="n"/>
    </row>
    <row r="1737" outlineLevel="3" ht="15.75" customHeight="1">
      <c r="A1737" s="10" t="n">
        <v>95</v>
      </c>
      <c r="B1737" s="10" t="inlineStr">
        <is>
          <t>Insumo</t>
        </is>
      </c>
      <c r="C1737" s="10" t="inlineStr">
        <is>
          <t>31_DRY 70 mm - 1 PLACA - 8,25cm  -  Lado A: PLACA ST - Lado B: N/A</t>
        </is>
      </c>
      <c r="D1737" s="10" t="inlineStr">
        <is>
          <t>MASSA DE REJUNTE EM PO PARA DRYWALL, A BASE DE GESSO, SECAGEM RAPIDA, PARA TRATAMENTO DE JUNTAS DE CHAPA DE GESSO (NECESSITA ADICAO DE AGUA)</t>
        </is>
      </c>
      <c r="E1737" s="11">
        <f t="array" ref="E1737">_xlfn.XLOOKUP(D1737,Insumos!B:B,Insumos!C:$C)</f>
        <v/>
      </c>
      <c r="F1737" s="14" t="n">
        <v>0.5489000000000001</v>
      </c>
      <c r="G1737" s="92">
        <f t="array" ref="G1737">IF(B1737="insumo",_xlfn.XLOOKUP($D1737,Insumos!$B$1:$B$996,Insumos!$D$1:$D$996),"")</f>
        <v/>
      </c>
      <c r="H1737" s="92" t="n">
        <v>1.882727</v>
      </c>
      <c r="I1737" s="2162" t="n">
        <v>0</v>
      </c>
      <c r="J1737" s="2162" t="n">
        <v>0</v>
      </c>
      <c r="K1737" s="2162" t="n"/>
    </row>
    <row r="1738" outlineLevel="3" ht="15.75" customHeight="1">
      <c r="A1738" s="10" t="n">
        <v>94</v>
      </c>
      <c r="B1738" s="10" t="inlineStr">
        <is>
          <t>Insumo</t>
        </is>
      </c>
      <c r="C1738" s="10" t="inlineStr">
        <is>
          <t>31_DRY 70 mm - 1 PLACA - 8,25cm  -  Lado A: PLACA ST - Lado B: N/A</t>
        </is>
      </c>
      <c r="D1738" s="10" t="inlineStr">
        <is>
          <t>FITA DE PAPEL MICROPERFURADO, 50 X 150 MM, PARA TRATAMENTO DE JUNTAS DE CHAPA DE GESSO PARA DRYWALL</t>
        </is>
      </c>
      <c r="E1738" s="11">
        <f t="array" ref="E1738">_xlfn.XLOOKUP(D1738,Insumos!B:B,Insumos!C:$C)</f>
        <v/>
      </c>
      <c r="F1738" s="14" t="n">
        <v>1.25135</v>
      </c>
      <c r="G1738" s="92">
        <f t="array" ref="G1738">IF(B1738="insumo",_xlfn.XLOOKUP($D1738,Insumos!$B$1:$B$996,Insumos!$D$1:$D$996),"")</f>
        <v/>
      </c>
      <c r="H1738" s="92" t="n">
        <v>0.3879185</v>
      </c>
      <c r="I1738" s="2162" t="n">
        <v>0</v>
      </c>
      <c r="J1738" s="2162" t="n">
        <v>0</v>
      </c>
      <c r="K1738" s="2162" t="n"/>
    </row>
    <row r="1739" outlineLevel="3" ht="15.75" customHeight="1">
      <c r="A1739" s="10" t="n">
        <v>94</v>
      </c>
      <c r="B1739" s="10" t="inlineStr">
        <is>
          <t>Insumo</t>
        </is>
      </c>
      <c r="C1739" s="10" t="inlineStr">
        <is>
          <t>31_DRY 70 mm - 1 PLACA - 8,25cm  -  Lado A: PLACA ST - Lado B: N/A</t>
        </is>
      </c>
      <c r="D1739" s="10" t="inlineStr">
        <is>
          <t>FITA DE PAPEL REFORCADA COM LAMINA DE METAL PARA REFORCO DE CANTOS DE CHAPA DE GESSO PARA DRYWALL</t>
        </is>
      </c>
      <c r="E1739" s="11">
        <f t="array" ref="E1739">_xlfn.XLOOKUP(D1739,Insumos!B:B,Insumos!C:$C)</f>
        <v/>
      </c>
      <c r="F1739" s="14" t="n">
        <v>0.79255</v>
      </c>
      <c r="G1739" s="92">
        <f t="array" ref="G1739">IF(B1739="insumo",_xlfn.XLOOKUP($D1739,Insumos!$B$1:$B$996,Insumos!$D$1:$D$996),"")</f>
        <v/>
      </c>
      <c r="H1739" s="92" t="n">
        <v>2.171587</v>
      </c>
      <c r="I1739" s="2162" t="n">
        <v>0</v>
      </c>
      <c r="J1739" s="2162" t="n">
        <v>0</v>
      </c>
      <c r="K1739" s="2162" t="n"/>
    </row>
    <row r="1740" outlineLevel="3" ht="15.75" customHeight="1">
      <c r="A1740" s="10" t="n">
        <v>97</v>
      </c>
      <c r="B1740" s="10" t="inlineStr">
        <is>
          <t>Insumo</t>
        </is>
      </c>
      <c r="C1740" s="10" t="inlineStr">
        <is>
          <t>31_DRY 70 mm - 1 PLACA - 8,25cm  -  Lado A: PLACA ST - Lado B: N/A</t>
        </is>
      </c>
      <c r="D1740" s="10" t="inlineStr">
        <is>
          <t>PARAFUSO DRY WALL, EM ACO FOSFATIZADO, CABECA TROMBETA E PONTA AGULHA (TA), COMPRIMENTO 25 MM</t>
        </is>
      </c>
      <c r="E1740" s="11">
        <f t="array" ref="E1740">_xlfn.XLOOKUP(D1740,Insumos!B:B,Insumos!C:$C)</f>
        <v/>
      </c>
      <c r="F1740" s="14" t="n">
        <v>10.0934</v>
      </c>
      <c r="G1740" s="92">
        <f t="array" ref="G1740">IF(B1740="insumo",_xlfn.XLOOKUP($D1740,Insumos!$B$1:$B$996,Insumos!$D$1:$D$996),"")</f>
        <v/>
      </c>
      <c r="H1740" s="92" t="n">
        <v>0.908406</v>
      </c>
      <c r="I1740" s="2162" t="n">
        <v>0</v>
      </c>
      <c r="J1740" s="2162" t="n">
        <v>0</v>
      </c>
      <c r="K1740" s="2162" t="n"/>
    </row>
    <row r="1741" outlineLevel="3" ht="15.75" customHeight="1">
      <c r="A1741" s="10" t="n">
        <v>95</v>
      </c>
      <c r="B1741" s="10" t="inlineStr">
        <is>
          <t>Insumo</t>
        </is>
      </c>
      <c r="C1741" s="10" t="inlineStr">
        <is>
          <t>31_DRY 70 mm - 1 PLACA - 8,25cm  -  Lado A: PLACA ST - Lado B: N/A</t>
        </is>
      </c>
      <c r="D1741" s="10" t="inlineStr">
        <is>
          <t>PARAFUSO DRY WALL, EM ACO ZINCADO, CABECA LENTILHA E PONTA BROCA (LB), LARGURA 4,2 MM, COMPRIMENTO 13 MM</t>
        </is>
      </c>
      <c r="E1741" s="11">
        <f t="array" ref="E1741">_xlfn.XLOOKUP(D1741,Insumos!B:B,Insumos!C:$C)</f>
        <v/>
      </c>
      <c r="F1741" s="14" t="n">
        <v>0.27205</v>
      </c>
      <c r="G1741" s="92">
        <f t="array" ref="G1741">IF(B1741="insumo",_xlfn.XLOOKUP($D1741,Insumos!$B$1:$B$996,Insumos!$D$1:$D$996),"")</f>
        <v/>
      </c>
      <c r="H1741" s="92" t="n">
        <v>0.05441</v>
      </c>
      <c r="I1741" s="2162" t="n">
        <v>0</v>
      </c>
      <c r="J1741" s="2162" t="n">
        <v>0</v>
      </c>
      <c r="K1741" s="2162" t="n"/>
    </row>
    <row r="1742" outlineLevel="2" ht="15.75" customHeight="1">
      <c r="A1742" s="1067" t="n">
        <v>1</v>
      </c>
      <c r="B1742" s="1067" t="inlineStr">
        <is>
          <t>Serviço</t>
        </is>
      </c>
      <c r="C1742" s="1067" t="inlineStr">
        <is>
          <t>35_DRY 70 mm LV - 1 PLACA - 8,25cm  -  Lado A: PLACA RU - Lado B: N/A</t>
        </is>
      </c>
      <c r="D1742" s="1067" t="inlineStr">
        <is>
          <t>35_DRY 70 mm LV - 1 PLACA - 8,25cm  -  Lado A: PLACA RU - Lado B: N/A</t>
        </is>
      </c>
      <c r="E1742" s="1068" t="inlineStr">
        <is>
          <t>M2</t>
        </is>
      </c>
      <c r="F1742" s="1067" t="n"/>
      <c r="G1742" s="1069">
        <f t="array" ref="G1742">IF(B1742="insumo",_xlfn.XLOOKUP($D1742,Insumos!$B$1:$B$996,Insumos!$D$1:$D$996),"")</f>
        <v/>
      </c>
      <c r="H1742" s="1069" t="n">
        <v>181.354703166667</v>
      </c>
      <c r="I1742" s="2161" t="n">
        <v>0</v>
      </c>
      <c r="J1742" s="2161" t="n">
        <v>0</v>
      </c>
      <c r="K1742" s="2161" t="n"/>
    </row>
    <row r="1743" outlineLevel="3" ht="15.75" customHeight="1">
      <c r="A1743" s="10" t="n">
        <v>86</v>
      </c>
      <c r="B1743" s="10" t="inlineStr">
        <is>
          <t>Insumo</t>
        </is>
      </c>
      <c r="C1743" s="10" t="inlineStr">
        <is>
          <t>35_DRY 70 mm LV - 1 PLACA - 8,25cm  -  Lado A: PLACA RU - Lado B: N/A</t>
        </is>
      </c>
      <c r="D1743" s="10" t="inlineStr">
        <is>
          <t>SERVICO - CONFECCAO SHAFT GESSO</t>
        </is>
      </c>
      <c r="E1743" s="11">
        <f t="array" ref="E1743">_xlfn.XLOOKUP(D1743,Insumos!B:B,Insumos!C:$C)</f>
        <v/>
      </c>
      <c r="F1743" s="14" t="n">
        <v>1</v>
      </c>
      <c r="G1743" s="92">
        <f t="array" ref="G1743">IF(B1743="insumo",_xlfn.XLOOKUP($D1743,Insumos!$B$1:$B$996,Insumos!$D$1:$D$996),"")</f>
        <v/>
      </c>
      <c r="H1743" s="92" t="n">
        <v>70</v>
      </c>
      <c r="I1743" s="2162" t="n">
        <v>0</v>
      </c>
      <c r="J1743" s="2162" t="n">
        <v>0</v>
      </c>
      <c r="K1743" s="2162" t="n"/>
    </row>
    <row r="1744" outlineLevel="3" ht="15.75" customHeight="1">
      <c r="A1744" s="10" t="n">
        <v>49</v>
      </c>
      <c r="B1744" s="10" t="inlineStr">
        <is>
          <t>Insumo</t>
        </is>
      </c>
      <c r="C1744" s="10" t="inlineStr">
        <is>
          <t>35_DRY 70 mm LV - 1 PLACA - 8,25cm  -  Lado A: PLACA RU - Lado B: N/A</t>
        </is>
      </c>
      <c r="D1744" s="10" t="inlineStr">
        <is>
          <t>PLACA / CHAPA DE GESSO ACARTONADO, RESISTENTE A UMIDADE (RU), COR VERDE, E = 12,5 MM, 1200 X 2400 MM (L X C)</t>
        </is>
      </c>
      <c r="E1744" s="11">
        <f t="array" ref="E1744">_xlfn.XLOOKUP(D1744,Insumos!B:B,Insumos!C:$C)</f>
        <v/>
      </c>
      <c r="F1744" s="14" t="n">
        <v>1.053</v>
      </c>
      <c r="G1744" s="92">
        <f t="array" ref="G1744">IF(B1744="insumo",_xlfn.XLOOKUP($D1744,Insumos!$B$1:$B$996,Insumos!$D$1:$D$996),"")</f>
        <v/>
      </c>
      <c r="H1744" s="92" t="n">
        <v>28.5363</v>
      </c>
      <c r="I1744" s="2162" t="n">
        <v>0</v>
      </c>
      <c r="J1744" s="2162" t="n">
        <v>0</v>
      </c>
      <c r="K1744" s="2162" t="n"/>
    </row>
    <row r="1745" outlineLevel="3" ht="15.75" customHeight="1">
      <c r="A1745" s="10" t="n">
        <v>95</v>
      </c>
      <c r="B1745" s="10" t="inlineStr">
        <is>
          <t>Insumo</t>
        </is>
      </c>
      <c r="C1745" s="10" t="inlineStr">
        <is>
          <t>35_DRY 70 mm LV - 1 PLACA - 8,25cm  -  Lado A: PLACA RU - Lado B: N/A</t>
        </is>
      </c>
      <c r="D1745" s="10" t="inlineStr">
        <is>
          <t>PINO DE ACO COM ARRUELA CONICA, DIAMETRO ARRUELA = *23* MM E COMP HASTE = *27* MM (ACAO INDIRETA)</t>
        </is>
      </c>
      <c r="E1745" s="11">
        <f t="array" ref="E1745">_xlfn.XLOOKUP(D1745,Insumos!B:B,Insumos!C:$C)</f>
        <v/>
      </c>
      <c r="F1745" s="14" t="n">
        <v>5.92</v>
      </c>
      <c r="G1745" s="92">
        <f t="array" ref="G1745">IF(B1745="insumo",_xlfn.XLOOKUP($D1745,Insumos!$B$1:$B$996,Insumos!$D$1:$D$996),"")</f>
        <v/>
      </c>
      <c r="H1745" s="92" t="n">
        <v>2.98368</v>
      </c>
      <c r="I1745" s="2162" t="n">
        <v>0</v>
      </c>
      <c r="J1745" s="2162" t="n">
        <v>0</v>
      </c>
      <c r="K1745" s="2162" t="n"/>
    </row>
    <row r="1746" outlineLevel="3" ht="15.75" customHeight="1">
      <c r="A1746" s="10" t="n">
        <v>43</v>
      </c>
      <c r="B1746" s="10" t="inlineStr">
        <is>
          <t>Insumo</t>
        </is>
      </c>
      <c r="C1746" s="10" t="inlineStr">
        <is>
          <t>35_DRY 70 mm LV - 1 PLACA - 8,25cm  -  Lado A: PLACA RU - Lado B: N/A</t>
        </is>
      </c>
      <c r="D1746" s="10" t="inlineStr">
        <is>
          <t>PERFIL GUIA, FORMATO U, EM ACO ZINCADO, PARA ESTRUTURA PAREDE DRYWALL, E = 0,5 MM, 70 X 3000 MM (L X C)</t>
        </is>
      </c>
      <c r="E1746" s="11">
        <f t="array" ref="E1746">_xlfn.XLOOKUP(D1746,Insumos!B:B,Insumos!C:$C)</f>
        <v/>
      </c>
      <c r="F1746" s="14" t="n">
        <v>1.8234</v>
      </c>
      <c r="G1746" s="92">
        <f t="array" ref="G1746">IF(B1746="insumo",_xlfn.XLOOKUP($D1746,Insumos!$B$1:$B$996,Insumos!$D$1:$D$996),"")</f>
        <v/>
      </c>
      <c r="H1746" s="92" t="n">
        <v>13.602564</v>
      </c>
      <c r="I1746" s="2162" t="n">
        <v>0</v>
      </c>
      <c r="J1746" s="2162" t="n">
        <v>0</v>
      </c>
      <c r="K1746" s="2162" t="n"/>
    </row>
    <row r="1747" outlineLevel="3" ht="15.75" customHeight="1">
      <c r="A1747" s="10" t="n">
        <v>43</v>
      </c>
      <c r="B1747" s="10" t="inlineStr">
        <is>
          <t>Insumo</t>
        </is>
      </c>
      <c r="C1747" s="10" t="inlineStr">
        <is>
          <t>35_DRY 70 mm LV - 1 PLACA - 8,25cm  -  Lado A: PLACA RU - Lado B: N/A</t>
        </is>
      </c>
      <c r="D1747" s="10" t="inlineStr">
        <is>
          <t>PERFIL MONTANTE, FORMATO C, EM ACO ZINCADO, PARA ESTRUTURA PAREDE DRYWALL, E = 0,5 MM, 70 X 3000 MM (L X C)</t>
        </is>
      </c>
      <c r="E1747" s="11">
        <f t="array" ref="E1747">_xlfn.XLOOKUP(D1747,Insumos!B:B,Insumos!C:$C)</f>
        <v/>
      </c>
      <c r="F1747" s="14" t="n">
        <v>5.8278</v>
      </c>
      <c r="G1747" s="92">
        <f t="array" ref="G1747">IF(B1747="insumo",_xlfn.XLOOKUP($D1747,Insumos!$B$1:$B$996,Insumos!$D$1:$D$996),"")</f>
        <v/>
      </c>
      <c r="H1747" s="92" t="n">
        <v>46.505844</v>
      </c>
      <c r="I1747" s="2162" t="n">
        <v>0</v>
      </c>
      <c r="J1747" s="2162" t="n">
        <v>0</v>
      </c>
      <c r="K1747" s="2162" t="n"/>
    </row>
    <row r="1748" outlineLevel="3" ht="15.75" customHeight="1">
      <c r="A1748" s="10" t="n">
        <v>95</v>
      </c>
      <c r="B1748" s="10" t="inlineStr">
        <is>
          <t>Insumo</t>
        </is>
      </c>
      <c r="C1748" s="10" t="inlineStr">
        <is>
          <t>35_DRY 70 mm LV - 1 PLACA - 8,25cm  -  Lado A: PLACA RU - Lado B: N/A</t>
        </is>
      </c>
      <c r="D1748" s="10" t="inlineStr">
        <is>
          <t>MASSA DE REJUNTE EM PO PARA DRYWALL, A BASE DE GESSO, SECAGEM RAPIDA, PARA TRATAMENTO DE JUNTAS DE CHAPA DE GESSO (NECESSITA ADICAO DE AGUA)</t>
        </is>
      </c>
      <c r="E1748" s="11">
        <f t="array" ref="E1748">_xlfn.XLOOKUP(D1748,Insumos!B:B,Insumos!C:$C)</f>
        <v/>
      </c>
      <c r="F1748" s="14" t="n">
        <v>0.5489000000000001</v>
      </c>
      <c r="G1748" s="92">
        <f t="array" ref="G1748">IF(B1748="insumo",_xlfn.XLOOKUP($D1748,Insumos!$B$1:$B$996,Insumos!$D$1:$D$996),"")</f>
        <v/>
      </c>
      <c r="H1748" s="92" t="n">
        <v>1.882727</v>
      </c>
      <c r="I1748" s="2162" t="n">
        <v>0</v>
      </c>
      <c r="J1748" s="2162" t="n">
        <v>0</v>
      </c>
      <c r="K1748" s="2162" t="n"/>
    </row>
    <row r="1749" outlineLevel="3" ht="15.75" customHeight="1">
      <c r="A1749" s="10" t="n">
        <v>94</v>
      </c>
      <c r="B1749" s="10" t="inlineStr">
        <is>
          <t>Insumo</t>
        </is>
      </c>
      <c r="C1749" s="10" t="inlineStr">
        <is>
          <t>35_DRY 70 mm LV - 1 PLACA - 8,25cm  -  Lado A: PLACA RU - Lado B: N/A</t>
        </is>
      </c>
      <c r="D1749" s="10" t="inlineStr">
        <is>
          <t>FITA DE PAPEL MICROPERFURADO, 50 X 150 MM, PARA TRATAMENTO DE JUNTAS DE CHAPA DE GESSO PARA DRYWALL</t>
        </is>
      </c>
      <c r="E1749" s="11">
        <f t="array" ref="E1749">_xlfn.XLOOKUP(D1749,Insumos!B:B,Insumos!C:$C)</f>
        <v/>
      </c>
      <c r="F1749" s="14" t="n">
        <v>1.25135</v>
      </c>
      <c r="G1749" s="92">
        <f t="array" ref="G1749">IF(B1749="insumo",_xlfn.XLOOKUP($D1749,Insumos!$B$1:$B$996,Insumos!$D$1:$D$996),"")</f>
        <v/>
      </c>
      <c r="H1749" s="92" t="n">
        <v>0.3879185</v>
      </c>
      <c r="I1749" s="2162" t="n">
        <v>0</v>
      </c>
      <c r="J1749" s="2162" t="n">
        <v>0</v>
      </c>
      <c r="K1749" s="2162" t="n"/>
    </row>
    <row r="1750" outlineLevel="3" ht="15.75" customHeight="1">
      <c r="A1750" s="10" t="n">
        <v>94</v>
      </c>
      <c r="B1750" s="10" t="inlineStr">
        <is>
          <t>Insumo</t>
        </is>
      </c>
      <c r="C1750" s="10" t="inlineStr">
        <is>
          <t>35_DRY 70 mm LV - 1 PLACA - 8,25cm  -  Lado A: PLACA RU - Lado B: N/A</t>
        </is>
      </c>
      <c r="D1750" s="10" t="inlineStr">
        <is>
          <t>FITA DE PAPEL REFORCADA COM LAMINA DE METAL PARA REFORCO DE CANTOS DE CHAPA DE GESSO PARA DRYWALL</t>
        </is>
      </c>
      <c r="E1750" s="11">
        <f t="array" ref="E1750">_xlfn.XLOOKUP(D1750,Insumos!B:B,Insumos!C:$C)</f>
        <v/>
      </c>
      <c r="F1750" s="14" t="n">
        <v>0.79255</v>
      </c>
      <c r="G1750" s="92">
        <f t="array" ref="G1750">IF(B1750="insumo",_xlfn.XLOOKUP($D1750,Insumos!$B$1:$B$996,Insumos!$D$1:$D$996),"")</f>
        <v/>
      </c>
      <c r="H1750" s="92" t="n">
        <v>2.171587</v>
      </c>
      <c r="I1750" s="2162" t="n">
        <v>0</v>
      </c>
      <c r="J1750" s="2162" t="n">
        <v>0</v>
      </c>
      <c r="K1750" s="2162" t="n"/>
    </row>
    <row r="1751" outlineLevel="3" ht="15.75" customHeight="1">
      <c r="A1751" s="10" t="n">
        <v>97</v>
      </c>
      <c r="B1751" s="10" t="inlineStr">
        <is>
          <t>Insumo</t>
        </is>
      </c>
      <c r="C1751" s="10" t="inlineStr">
        <is>
          <t>35_DRY 70 mm LV - 1 PLACA - 8,25cm  -  Lado A: PLACA RU - Lado B: N/A</t>
        </is>
      </c>
      <c r="D1751" s="10" t="inlineStr">
        <is>
          <t>PARAFUSO DRY WALL, EM ACO FOSFATIZADO, CABECA TROMBETA E PONTA AGULHA (TA), COMPRIMENTO 25 MM</t>
        </is>
      </c>
      <c r="E1751" s="11">
        <f t="array" ref="E1751">_xlfn.XLOOKUP(D1751,Insumos!B:B,Insumos!C:$C)</f>
        <v/>
      </c>
      <c r="F1751" s="14" t="n">
        <v>10.0934</v>
      </c>
      <c r="G1751" s="92">
        <f t="array" ref="G1751">IF(B1751="insumo",_xlfn.XLOOKUP($D1751,Insumos!$B$1:$B$996,Insumos!$D$1:$D$996),"")</f>
        <v/>
      </c>
      <c r="H1751" s="92" t="n">
        <v>0.908406</v>
      </c>
      <c r="I1751" s="2162" t="n">
        <v>0</v>
      </c>
      <c r="J1751" s="2162" t="n">
        <v>0</v>
      </c>
      <c r="K1751" s="2162" t="n"/>
    </row>
    <row r="1752" outlineLevel="3" ht="15.75" customHeight="1">
      <c r="A1752" s="10" t="n">
        <v>95</v>
      </c>
      <c r="B1752" s="10" t="inlineStr">
        <is>
          <t>Insumo</t>
        </is>
      </c>
      <c r="C1752" s="10" t="inlineStr">
        <is>
          <t>35_DRY 70 mm LV - 1 PLACA - 8,25cm  -  Lado A: PLACA RU - Lado B: N/A</t>
        </is>
      </c>
      <c r="D1752" s="10" t="inlineStr">
        <is>
          <t>PARAFUSO DRY WALL, EM ACO ZINCADO, CABECA LENTILHA E PONTA BROCA (LB), LARGURA 4,2 MM, COMPRIMENTO 13 MM</t>
        </is>
      </c>
      <c r="E1752" s="11">
        <f t="array" ref="E1752">_xlfn.XLOOKUP(D1752,Insumos!B:B,Insumos!C:$C)</f>
        <v/>
      </c>
      <c r="F1752" s="14" t="n">
        <v>0.27205</v>
      </c>
      <c r="G1752" s="92">
        <f t="array" ref="G1752">IF(B1752="insumo",_xlfn.XLOOKUP($D1752,Insumos!$B$1:$B$996,Insumos!$D$1:$D$996),"")</f>
        <v/>
      </c>
      <c r="H1752" s="92" t="n">
        <v>0.05441</v>
      </c>
      <c r="I1752" s="2162" t="n">
        <v>0</v>
      </c>
      <c r="J1752" s="2162" t="n">
        <v>0</v>
      </c>
      <c r="K1752" s="2162" t="n"/>
    </row>
    <row r="1753" outlineLevel="3" ht="15.75" customHeight="1">
      <c r="A1753" s="10" t="n">
        <v>35</v>
      </c>
      <c r="B1753" s="10" t="inlineStr">
        <is>
          <t>Insumo</t>
        </is>
      </c>
      <c r="C1753" s="10" t="inlineStr">
        <is>
          <t>35_DRY 70 mm LV - 1 PLACA - 8,25cm  -  Lado A: PLACA RU - Lado B: N/A</t>
        </is>
      </c>
      <c r="D1753" s="10" t="inlineStr">
        <is>
          <t>Lã de pet 50 X 1200 X 12500 MM</t>
        </is>
      </c>
      <c r="E1753" s="11">
        <f t="array" ref="E1753">_xlfn.XLOOKUP(D1753,Insumos!B:B,Insumos!C:$C)</f>
        <v/>
      </c>
      <c r="F1753" s="14" t="n">
        <v>1.1</v>
      </c>
      <c r="G1753" s="92">
        <f t="array" ref="G1753">IF(B1753="insumo",_xlfn.XLOOKUP($D1753,Insumos!$B$1:$B$996,Insumos!$D$1:$D$996),"")</f>
        <v/>
      </c>
      <c r="H1753" s="92" t="n">
        <v>14.3212666666667</v>
      </c>
      <c r="I1753" s="2162" t="n">
        <v>0</v>
      </c>
      <c r="J1753" s="2162" t="n">
        <v>0</v>
      </c>
      <c r="K1753" s="2162" t="n"/>
    </row>
    <row r="1754" outlineLevel="2" ht="15.75" customHeight="1">
      <c r="A1754" s="1067" t="n">
        <v>1</v>
      </c>
      <c r="B1754" s="1067" t="inlineStr">
        <is>
          <t>Serviço</t>
        </is>
      </c>
      <c r="C1754" s="1067" t="inlineStr">
        <is>
          <t>35_DRY 70 mm LV - 1 PLACA - 8,25cm  -  Lado A: PLACA ST - Lado B: N/A</t>
        </is>
      </c>
      <c r="D1754" s="1067" t="inlineStr">
        <is>
          <t>35_DRY 70 mm LV - 1 PLACA - 8,25cm  -  Lado A: PLACA ST - Lado B: N/A</t>
        </is>
      </c>
      <c r="E1754" s="1068" t="inlineStr">
        <is>
          <t>M2</t>
        </is>
      </c>
      <c r="F1754" s="1067" t="n"/>
      <c r="G1754" s="1069">
        <f t="array" ref="G1754">IF(B1754="insumo",_xlfn.XLOOKUP($D1754,Insumos!$B$1:$B$996,Insumos!$D$1:$D$996),"")</f>
        <v/>
      </c>
      <c r="H1754" s="1069" t="n">
        <v>174.046883166667</v>
      </c>
      <c r="I1754" s="2161" t="n">
        <v>0</v>
      </c>
      <c r="J1754" s="2161" t="n">
        <v>0</v>
      </c>
      <c r="K1754" s="2161" t="n"/>
    </row>
    <row r="1755" outlineLevel="3" ht="15.75" customHeight="1">
      <c r="A1755" s="10" t="n">
        <v>86</v>
      </c>
      <c r="B1755" s="10" t="inlineStr">
        <is>
          <t>Insumo</t>
        </is>
      </c>
      <c r="C1755" s="10" t="inlineStr">
        <is>
          <t>35_DRY 70 mm LV - 1 PLACA - 8,25cm  -  Lado A: PLACA ST - Lado B: N/A</t>
        </is>
      </c>
      <c r="D1755" s="10" t="inlineStr">
        <is>
          <t>SERVICO - CONFECCAO SHAFT GESSO</t>
        </is>
      </c>
      <c r="E1755" s="11">
        <f t="array" ref="E1755">_xlfn.XLOOKUP(D1755,Insumos!B:B,Insumos!C:$C)</f>
        <v/>
      </c>
      <c r="F1755" s="14" t="n">
        <v>1</v>
      </c>
      <c r="G1755" s="92">
        <f t="array" ref="G1755">IF(B1755="insumo",_xlfn.XLOOKUP($D1755,Insumos!$B$1:$B$996,Insumos!$D$1:$D$996),"")</f>
        <v/>
      </c>
      <c r="H1755" s="92" t="n">
        <v>70</v>
      </c>
      <c r="I1755" s="2162" t="n">
        <v>0</v>
      </c>
      <c r="J1755" s="2162" t="n">
        <v>0</v>
      </c>
      <c r="K1755" s="2162" t="n"/>
    </row>
    <row r="1756" outlineLevel="3" ht="15.75" customHeight="1">
      <c r="A1756" s="10" t="n">
        <v>47</v>
      </c>
      <c r="B1756" s="10" t="inlineStr">
        <is>
          <t>Insumo</t>
        </is>
      </c>
      <c r="C1756" s="10" t="inlineStr">
        <is>
          <t>35_DRY 70 mm LV - 1 PLACA - 8,25cm  -  Lado A: PLACA ST - Lado B: N/A</t>
        </is>
      </c>
      <c r="D1756" s="10" t="inlineStr">
        <is>
          <t>PLACA / CHAPA DE GESSO ACARTONADO, STANDARD (ST), COR BRANCA, E = 12,5 MM, 1200 X 2400 MM (L X C)</t>
        </is>
      </c>
      <c r="E1756" s="11">
        <f t="array" ref="E1756">_xlfn.XLOOKUP(D1756,Insumos!B:B,Insumos!C:$C)</f>
        <v/>
      </c>
      <c r="F1756" s="14" t="n">
        <v>1.053</v>
      </c>
      <c r="G1756" s="92">
        <f t="array" ref="G1756">IF(B1756="insumo",_xlfn.XLOOKUP($D1756,Insumos!$B$1:$B$996,Insumos!$D$1:$D$996),"")</f>
        <v/>
      </c>
      <c r="H1756" s="92" t="n">
        <v>21.22848</v>
      </c>
      <c r="I1756" s="2162" t="n">
        <v>0</v>
      </c>
      <c r="J1756" s="2162" t="n">
        <v>0</v>
      </c>
      <c r="K1756" s="2162" t="n"/>
    </row>
    <row r="1757" outlineLevel="3" ht="15.75" customHeight="1">
      <c r="A1757" s="10" t="n">
        <v>95</v>
      </c>
      <c r="B1757" s="10" t="inlineStr">
        <is>
          <t>Insumo</t>
        </is>
      </c>
      <c r="C1757" s="10" t="inlineStr">
        <is>
          <t>35_DRY 70 mm LV - 1 PLACA - 8,25cm  -  Lado A: PLACA ST - Lado B: N/A</t>
        </is>
      </c>
      <c r="D1757" s="10" t="inlineStr">
        <is>
          <t>PINO DE ACO COM ARRUELA CONICA, DIAMETRO ARRUELA = *23* MM E COMP HASTE = *27* MM (ACAO INDIRETA)</t>
        </is>
      </c>
      <c r="E1757" s="11">
        <f t="array" ref="E1757">_xlfn.XLOOKUP(D1757,Insumos!B:B,Insumos!C:$C)</f>
        <v/>
      </c>
      <c r="F1757" s="14" t="n">
        <v>5.92</v>
      </c>
      <c r="G1757" s="92">
        <f t="array" ref="G1757">IF(B1757="insumo",_xlfn.XLOOKUP($D1757,Insumos!$B$1:$B$996,Insumos!$D$1:$D$996),"")</f>
        <v/>
      </c>
      <c r="H1757" s="92" t="n">
        <v>2.98368</v>
      </c>
      <c r="I1757" s="2162" t="n">
        <v>0</v>
      </c>
      <c r="J1757" s="2162" t="n">
        <v>0</v>
      </c>
      <c r="K1757" s="2162" t="n"/>
    </row>
    <row r="1758" outlineLevel="3" ht="15.75" customHeight="1">
      <c r="A1758" s="10" t="n">
        <v>43</v>
      </c>
      <c r="B1758" s="10" t="inlineStr">
        <is>
          <t>Insumo</t>
        </is>
      </c>
      <c r="C1758" s="10" t="inlineStr">
        <is>
          <t>35_DRY 70 mm LV - 1 PLACA - 8,25cm  -  Lado A: PLACA ST - Lado B: N/A</t>
        </is>
      </c>
      <c r="D1758" s="10" t="inlineStr">
        <is>
          <t>PERFIL GUIA, FORMATO U, EM ACO ZINCADO, PARA ESTRUTURA PAREDE DRYWALL, E = 0,5 MM, 70 X 3000 MM (L X C)</t>
        </is>
      </c>
      <c r="E1758" s="11">
        <f t="array" ref="E1758">_xlfn.XLOOKUP(D1758,Insumos!B:B,Insumos!C:$C)</f>
        <v/>
      </c>
      <c r="F1758" s="14" t="n">
        <v>1.8234</v>
      </c>
      <c r="G1758" s="92">
        <f t="array" ref="G1758">IF(B1758="insumo",_xlfn.XLOOKUP($D1758,Insumos!$B$1:$B$996,Insumos!$D$1:$D$996),"")</f>
        <v/>
      </c>
      <c r="H1758" s="92" t="n">
        <v>13.602564</v>
      </c>
      <c r="I1758" s="2162" t="n">
        <v>0</v>
      </c>
      <c r="J1758" s="2162" t="n">
        <v>0</v>
      </c>
      <c r="K1758" s="2162" t="n"/>
    </row>
    <row r="1759" outlineLevel="3" ht="15.75" customHeight="1">
      <c r="A1759" s="10" t="n">
        <v>43</v>
      </c>
      <c r="B1759" s="10" t="inlineStr">
        <is>
          <t>Insumo</t>
        </is>
      </c>
      <c r="C1759" s="10" t="inlineStr">
        <is>
          <t>35_DRY 70 mm LV - 1 PLACA - 8,25cm  -  Lado A: PLACA ST - Lado B: N/A</t>
        </is>
      </c>
      <c r="D1759" s="10" t="inlineStr">
        <is>
          <t>PERFIL MONTANTE, FORMATO C, EM ACO ZINCADO, PARA ESTRUTURA PAREDE DRYWALL, E = 0,5 MM, 70 X 3000 MM (L X C)</t>
        </is>
      </c>
      <c r="E1759" s="11">
        <f t="array" ref="E1759">_xlfn.XLOOKUP(D1759,Insumos!B:B,Insumos!C:$C)</f>
        <v/>
      </c>
      <c r="F1759" s="14" t="n">
        <v>5.8278</v>
      </c>
      <c r="G1759" s="92">
        <f t="array" ref="G1759">IF(B1759="insumo",_xlfn.XLOOKUP($D1759,Insumos!$B$1:$B$996,Insumos!$D$1:$D$996),"")</f>
        <v/>
      </c>
      <c r="H1759" s="92" t="n">
        <v>46.505844</v>
      </c>
      <c r="I1759" s="2162" t="n">
        <v>0</v>
      </c>
      <c r="J1759" s="2162" t="n">
        <v>0</v>
      </c>
      <c r="K1759" s="2162" t="n"/>
    </row>
    <row r="1760" outlineLevel="3" ht="15.75" customHeight="1">
      <c r="A1760" s="10" t="n">
        <v>95</v>
      </c>
      <c r="B1760" s="10" t="inlineStr">
        <is>
          <t>Insumo</t>
        </is>
      </c>
      <c r="C1760" s="10" t="inlineStr">
        <is>
          <t>35_DRY 70 mm LV - 1 PLACA - 8,25cm  -  Lado A: PLACA ST - Lado B: N/A</t>
        </is>
      </c>
      <c r="D1760" s="10" t="inlineStr">
        <is>
          <t>MASSA DE REJUNTE EM PO PARA DRYWALL, A BASE DE GESSO, SECAGEM RAPIDA, PARA TRATAMENTO DE JUNTAS DE CHAPA DE GESSO (NECESSITA ADICAO DE AGUA)</t>
        </is>
      </c>
      <c r="E1760" s="11">
        <f t="array" ref="E1760">_xlfn.XLOOKUP(D1760,Insumos!B:B,Insumos!C:$C)</f>
        <v/>
      </c>
      <c r="F1760" s="14" t="n">
        <v>0.5489000000000001</v>
      </c>
      <c r="G1760" s="92">
        <f t="array" ref="G1760">IF(B1760="insumo",_xlfn.XLOOKUP($D1760,Insumos!$B$1:$B$996,Insumos!$D$1:$D$996),"")</f>
        <v/>
      </c>
      <c r="H1760" s="92" t="n">
        <v>1.882727</v>
      </c>
      <c r="I1760" s="2162" t="n">
        <v>0</v>
      </c>
      <c r="J1760" s="2162" t="n">
        <v>0</v>
      </c>
      <c r="K1760" s="2162" t="n"/>
    </row>
    <row r="1761" outlineLevel="3" ht="15.75" customHeight="1">
      <c r="A1761" s="10" t="n">
        <v>94</v>
      </c>
      <c r="B1761" s="10" t="inlineStr">
        <is>
          <t>Insumo</t>
        </is>
      </c>
      <c r="C1761" s="10" t="inlineStr">
        <is>
          <t>35_DRY 70 mm LV - 1 PLACA - 8,25cm  -  Lado A: PLACA ST - Lado B: N/A</t>
        </is>
      </c>
      <c r="D1761" s="10" t="inlineStr">
        <is>
          <t>FITA DE PAPEL MICROPERFURADO, 50 X 150 MM, PARA TRATAMENTO DE JUNTAS DE CHAPA DE GESSO PARA DRYWALL</t>
        </is>
      </c>
      <c r="E1761" s="11">
        <f t="array" ref="E1761">_xlfn.XLOOKUP(D1761,Insumos!B:B,Insumos!C:$C)</f>
        <v/>
      </c>
      <c r="F1761" s="14" t="n">
        <v>1.25135</v>
      </c>
      <c r="G1761" s="92">
        <f t="array" ref="G1761">IF(B1761="insumo",_xlfn.XLOOKUP($D1761,Insumos!$B$1:$B$996,Insumos!$D$1:$D$996),"")</f>
        <v/>
      </c>
      <c r="H1761" s="92" t="n">
        <v>0.3879185</v>
      </c>
      <c r="I1761" s="2162" t="n">
        <v>0</v>
      </c>
      <c r="J1761" s="2162" t="n">
        <v>0</v>
      </c>
      <c r="K1761" s="2162" t="n"/>
    </row>
    <row r="1762" outlineLevel="3" ht="15.75" customHeight="1">
      <c r="A1762" s="10" t="n">
        <v>94</v>
      </c>
      <c r="B1762" s="10" t="inlineStr">
        <is>
          <t>Insumo</t>
        </is>
      </c>
      <c r="C1762" s="10" t="inlineStr">
        <is>
          <t>35_DRY 70 mm LV - 1 PLACA - 8,25cm  -  Lado A: PLACA ST - Lado B: N/A</t>
        </is>
      </c>
      <c r="D1762" s="10" t="inlineStr">
        <is>
          <t>FITA DE PAPEL REFORCADA COM LAMINA DE METAL PARA REFORCO DE CANTOS DE CHAPA DE GESSO PARA DRYWALL</t>
        </is>
      </c>
      <c r="E1762" s="11">
        <f t="array" ref="E1762">_xlfn.XLOOKUP(D1762,Insumos!B:B,Insumos!C:$C)</f>
        <v/>
      </c>
      <c r="F1762" s="14" t="n">
        <v>0.79255</v>
      </c>
      <c r="G1762" s="92">
        <f t="array" ref="G1762">IF(B1762="insumo",_xlfn.XLOOKUP($D1762,Insumos!$B$1:$B$996,Insumos!$D$1:$D$996),"")</f>
        <v/>
      </c>
      <c r="H1762" s="92" t="n">
        <v>2.171587</v>
      </c>
      <c r="I1762" s="2162" t="n">
        <v>0</v>
      </c>
      <c r="J1762" s="2162" t="n">
        <v>0</v>
      </c>
      <c r="K1762" s="2162" t="n"/>
    </row>
    <row r="1763" outlineLevel="3" ht="15.75" customHeight="1">
      <c r="A1763" s="10" t="n">
        <v>97</v>
      </c>
      <c r="B1763" s="10" t="inlineStr">
        <is>
          <t>Insumo</t>
        </is>
      </c>
      <c r="C1763" s="10" t="inlineStr">
        <is>
          <t>35_DRY 70 mm LV - 1 PLACA - 8,25cm  -  Lado A: PLACA ST - Lado B: N/A</t>
        </is>
      </c>
      <c r="D1763" s="10" t="inlineStr">
        <is>
          <t>PARAFUSO DRY WALL, EM ACO FOSFATIZADO, CABECA TROMBETA E PONTA AGULHA (TA), COMPRIMENTO 25 MM</t>
        </is>
      </c>
      <c r="E1763" s="11">
        <f t="array" ref="E1763">_xlfn.XLOOKUP(D1763,Insumos!B:B,Insumos!C:$C)</f>
        <v/>
      </c>
      <c r="F1763" s="14" t="n">
        <v>10.0934</v>
      </c>
      <c r="G1763" s="92">
        <f t="array" ref="G1763">IF(B1763="insumo",_xlfn.XLOOKUP($D1763,Insumos!$B$1:$B$996,Insumos!$D$1:$D$996),"")</f>
        <v/>
      </c>
      <c r="H1763" s="92" t="n">
        <v>0.908406</v>
      </c>
      <c r="I1763" s="2162" t="n">
        <v>0</v>
      </c>
      <c r="J1763" s="2162" t="n">
        <v>0</v>
      </c>
      <c r="K1763" s="2162" t="n"/>
    </row>
    <row r="1764" outlineLevel="3" ht="15.75" customHeight="1">
      <c r="A1764" s="10" t="n">
        <v>95</v>
      </c>
      <c r="B1764" s="10" t="inlineStr">
        <is>
          <t>Insumo</t>
        </is>
      </c>
      <c r="C1764" s="10" t="inlineStr">
        <is>
          <t>35_DRY 70 mm LV - 1 PLACA - 8,25cm  -  Lado A: PLACA ST - Lado B: N/A</t>
        </is>
      </c>
      <c r="D1764" s="10" t="inlineStr">
        <is>
          <t>PARAFUSO DRY WALL, EM ACO ZINCADO, CABECA LENTILHA E PONTA BROCA (LB), LARGURA 4,2 MM, COMPRIMENTO 13 MM</t>
        </is>
      </c>
      <c r="E1764" s="11">
        <f t="array" ref="E1764">_xlfn.XLOOKUP(D1764,Insumos!B:B,Insumos!C:$C)</f>
        <v/>
      </c>
      <c r="F1764" s="14" t="n">
        <v>0.27205</v>
      </c>
      <c r="G1764" s="92">
        <f t="array" ref="G1764">IF(B1764="insumo",_xlfn.XLOOKUP($D1764,Insumos!$B$1:$B$996,Insumos!$D$1:$D$996),"")</f>
        <v/>
      </c>
      <c r="H1764" s="92" t="n">
        <v>0.05441</v>
      </c>
      <c r="I1764" s="2162" t="n">
        <v>0</v>
      </c>
      <c r="J1764" s="2162" t="n">
        <v>0</v>
      </c>
      <c r="K1764" s="2162" t="n"/>
    </row>
    <row r="1765" outlineLevel="3" ht="15.75" customHeight="1">
      <c r="A1765" s="10" t="n">
        <v>35</v>
      </c>
      <c r="B1765" s="10" t="inlineStr">
        <is>
          <t>Insumo</t>
        </is>
      </c>
      <c r="C1765" s="10" t="inlineStr">
        <is>
          <t>35_DRY 70 mm LV - 1 PLACA - 8,25cm  -  Lado A: PLACA ST - Lado B: N/A</t>
        </is>
      </c>
      <c r="D1765" s="10" t="inlineStr">
        <is>
          <t>Lã de pet 50 X 1200 X 12500 MM</t>
        </is>
      </c>
      <c r="E1765" s="11">
        <f t="array" ref="E1765">_xlfn.XLOOKUP(D1765,Insumos!B:B,Insumos!C:$C)</f>
        <v/>
      </c>
      <c r="F1765" s="14" t="n">
        <v>1.1</v>
      </c>
      <c r="G1765" s="92">
        <f t="array" ref="G1765">IF(B1765="insumo",_xlfn.XLOOKUP($D1765,Insumos!$B$1:$B$996,Insumos!$D$1:$D$996),"")</f>
        <v/>
      </c>
      <c r="H1765" s="92" t="n">
        <v>14.3212666666667</v>
      </c>
      <c r="I1765" s="2162" t="n">
        <v>0</v>
      </c>
      <c r="J1765" s="2162" t="n">
        <v>0</v>
      </c>
      <c r="K1765" s="2162" t="n"/>
    </row>
    <row r="1766" outlineLevel="2" ht="15.75" customHeight="1">
      <c r="A1766" s="1067" t="n">
        <v>1</v>
      </c>
      <c r="B1766" s="1067" t="inlineStr">
        <is>
          <t>Serviço</t>
        </is>
      </c>
      <c r="C1766" s="1067" t="inlineStr">
        <is>
          <t>35_DRY 70 mm LV - 1 PLACA - 8,25cm  -  Lado A: PLACA PERFORMANCE ST - Lado B: N/A</t>
        </is>
      </c>
      <c r="D1766" s="1067" t="inlineStr">
        <is>
          <t>35_DRY 70 mm LV - 1 PLACA - 8,25cm  -  Lado A: PLACA PERFORMANCE ST - Lado B: N/A</t>
        </is>
      </c>
      <c r="E1766" s="1068" t="inlineStr">
        <is>
          <t>M2</t>
        </is>
      </c>
      <c r="F1766" s="1067" t="n"/>
      <c r="G1766" s="1069">
        <f t="array" ref="G1766">IF(B1766="insumo",_xlfn.XLOOKUP($D1766,Insumos!$B$1:$B$996,Insumos!$D$1:$D$996),"")</f>
        <v/>
      </c>
      <c r="H1766" s="1069" t="n">
        <v>174.046883166667</v>
      </c>
      <c r="I1766" s="2161" t="n">
        <v>0</v>
      </c>
      <c r="J1766" s="2161" t="n">
        <v>0</v>
      </c>
      <c r="K1766" s="2161" t="n"/>
    </row>
    <row r="1767" outlineLevel="3" ht="15.75" customHeight="1">
      <c r="A1767" s="10" t="n">
        <v>86</v>
      </c>
      <c r="B1767" s="10" t="inlineStr">
        <is>
          <t>Insumo</t>
        </is>
      </c>
      <c r="C1767" s="10" t="inlineStr">
        <is>
          <t>35_DRY 70 mm LV - 1 PLACA - 8,25cm  -  Lado A: PLACA PERFORMANCE ST - Lado B: N/A</t>
        </is>
      </c>
      <c r="D1767" s="10" t="inlineStr">
        <is>
          <t>SERVICO - CONFECCAO SHAFT GESSO</t>
        </is>
      </c>
      <c r="E1767" s="11">
        <f t="array" ref="E1767">_xlfn.XLOOKUP(D1767,Insumos!B:B,Insumos!C:$C)</f>
        <v/>
      </c>
      <c r="F1767" s="14" t="n">
        <v>1</v>
      </c>
      <c r="G1767" s="92">
        <f t="array" ref="G1767">IF(B1767="insumo",_xlfn.XLOOKUP($D1767,Insumos!$B$1:$B$996,Insumos!$D$1:$D$996),"")</f>
        <v/>
      </c>
      <c r="H1767" s="92" t="n">
        <v>70</v>
      </c>
      <c r="I1767" s="2162" t="n">
        <v>0</v>
      </c>
      <c r="J1767" s="2162" t="n">
        <v>0</v>
      </c>
      <c r="K1767" s="2162" t="n"/>
    </row>
    <row r="1768" outlineLevel="3" ht="15.75" customHeight="1">
      <c r="A1768" s="10" t="n">
        <v>47</v>
      </c>
      <c r="B1768" s="10" t="inlineStr">
        <is>
          <t>Insumo</t>
        </is>
      </c>
      <c r="C1768" s="10" t="inlineStr">
        <is>
          <t>35_DRY 70 mm LV - 1 PLACA - 8,25cm  -  Lado A: PLACA PERFORMANCE ST - Lado B: N/A</t>
        </is>
      </c>
      <c r="D1768" s="10" t="inlineStr">
        <is>
          <t>PLACA / CHAPA DE GESSO ACARTONADO, STANDARD (ST), COR BRANCA, E = 12,5 MM, 1200 X 2400 MM (L X C)</t>
        </is>
      </c>
      <c r="E1768" s="11">
        <f t="array" ref="E1768">_xlfn.XLOOKUP(D1768,Insumos!B:B,Insumos!C:$C)</f>
        <v/>
      </c>
      <c r="F1768" s="14" t="n">
        <v>1.053</v>
      </c>
      <c r="G1768" s="92">
        <f t="array" ref="G1768">IF(B1768="insumo",_xlfn.XLOOKUP($D1768,Insumos!$B$1:$B$996,Insumos!$D$1:$D$996),"")</f>
        <v/>
      </c>
      <c r="H1768" s="92" t="n">
        <v>21.22848</v>
      </c>
      <c r="I1768" s="2162" t="n">
        <v>0</v>
      </c>
      <c r="J1768" s="2162" t="n">
        <v>0</v>
      </c>
      <c r="K1768" s="2162" t="n"/>
    </row>
    <row r="1769" outlineLevel="3" ht="15.75" customHeight="1">
      <c r="A1769" s="10" t="n">
        <v>95</v>
      </c>
      <c r="B1769" s="10" t="inlineStr">
        <is>
          <t>Insumo</t>
        </is>
      </c>
      <c r="C1769" s="10" t="inlineStr">
        <is>
          <t>35_DRY 70 mm LV - 1 PLACA - 8,25cm  -  Lado A: PLACA PERFORMANCE ST - Lado B: N/A</t>
        </is>
      </c>
      <c r="D1769" s="10" t="inlineStr">
        <is>
          <t>PINO DE ACO COM ARRUELA CONICA, DIAMETRO ARRUELA = *23* MM E COMP HASTE = *27* MM (ACAO INDIRETA)</t>
        </is>
      </c>
      <c r="E1769" s="11">
        <f t="array" ref="E1769">_xlfn.XLOOKUP(D1769,Insumos!B:B,Insumos!C:$C)</f>
        <v/>
      </c>
      <c r="F1769" s="14" t="n">
        <v>5.92</v>
      </c>
      <c r="G1769" s="92">
        <f t="array" ref="G1769">IF(B1769="insumo",_xlfn.XLOOKUP($D1769,Insumos!$B$1:$B$996,Insumos!$D$1:$D$996),"")</f>
        <v/>
      </c>
      <c r="H1769" s="92" t="n">
        <v>2.98368</v>
      </c>
      <c r="I1769" s="2162" t="n">
        <v>0</v>
      </c>
      <c r="J1769" s="2162" t="n">
        <v>0</v>
      </c>
      <c r="K1769" s="2162" t="n"/>
    </row>
    <row r="1770" outlineLevel="3" ht="15.75" customHeight="1">
      <c r="A1770" s="10" t="n">
        <v>43</v>
      </c>
      <c r="B1770" s="10" t="inlineStr">
        <is>
          <t>Insumo</t>
        </is>
      </c>
      <c r="C1770" s="10" t="inlineStr">
        <is>
          <t>35_DRY 70 mm LV - 1 PLACA - 8,25cm  -  Lado A: PLACA PERFORMANCE ST - Lado B: N/A</t>
        </is>
      </c>
      <c r="D1770" s="10" t="inlineStr">
        <is>
          <t>PERFIL GUIA, FORMATO U, EM ACO ZINCADO, PARA ESTRUTURA PAREDE DRYWALL, E = 0,5 MM, 70 X 3000 MM (L X C)</t>
        </is>
      </c>
      <c r="E1770" s="11">
        <f t="array" ref="E1770">_xlfn.XLOOKUP(D1770,Insumos!B:B,Insumos!C:$C)</f>
        <v/>
      </c>
      <c r="F1770" s="14" t="n">
        <v>1.8234</v>
      </c>
      <c r="G1770" s="92">
        <f t="array" ref="G1770">IF(B1770="insumo",_xlfn.XLOOKUP($D1770,Insumos!$B$1:$B$996,Insumos!$D$1:$D$996),"")</f>
        <v/>
      </c>
      <c r="H1770" s="92" t="n">
        <v>13.602564</v>
      </c>
      <c r="I1770" s="2162" t="n">
        <v>0</v>
      </c>
      <c r="J1770" s="2162" t="n">
        <v>0</v>
      </c>
      <c r="K1770" s="2162" t="n"/>
    </row>
    <row r="1771" outlineLevel="3" ht="15.75" customHeight="1">
      <c r="A1771" s="10" t="n">
        <v>43</v>
      </c>
      <c r="B1771" s="10" t="inlineStr">
        <is>
          <t>Insumo</t>
        </is>
      </c>
      <c r="C1771" s="10" t="inlineStr">
        <is>
          <t>35_DRY 70 mm LV - 1 PLACA - 8,25cm  -  Lado A: PLACA PERFORMANCE ST - Lado B: N/A</t>
        </is>
      </c>
      <c r="D1771" s="10" t="inlineStr">
        <is>
          <t>PERFIL MONTANTE, FORMATO C, EM ACO ZINCADO, PARA ESTRUTURA PAREDE DRYWALL, E = 0,5 MM, 70 X 3000 MM (L X C)</t>
        </is>
      </c>
      <c r="E1771" s="11">
        <f t="array" ref="E1771">_xlfn.XLOOKUP(D1771,Insumos!B:B,Insumos!C:$C)</f>
        <v/>
      </c>
      <c r="F1771" s="14" t="n">
        <v>5.8278</v>
      </c>
      <c r="G1771" s="92">
        <f t="array" ref="G1771">IF(B1771="insumo",_xlfn.XLOOKUP($D1771,Insumos!$B$1:$B$996,Insumos!$D$1:$D$996),"")</f>
        <v/>
      </c>
      <c r="H1771" s="92" t="n">
        <v>46.505844</v>
      </c>
      <c r="I1771" s="2162" t="n">
        <v>0</v>
      </c>
      <c r="J1771" s="2162" t="n">
        <v>0</v>
      </c>
      <c r="K1771" s="2162" t="n"/>
    </row>
    <row r="1772" outlineLevel="3" ht="15.75" customHeight="1">
      <c r="A1772" s="10" t="n">
        <v>95</v>
      </c>
      <c r="B1772" s="10" t="inlineStr">
        <is>
          <t>Insumo</t>
        </is>
      </c>
      <c r="C1772" s="10" t="inlineStr">
        <is>
          <t>35_DRY 70 mm LV - 1 PLACA - 8,25cm  -  Lado A: PLACA PERFORMANCE ST - Lado B: N/A</t>
        </is>
      </c>
      <c r="D1772" s="10" t="inlineStr">
        <is>
          <t>MASSA DE REJUNTE EM PO PARA DRYWALL, A BASE DE GESSO, SECAGEM RAPIDA, PARA TRATAMENTO DE JUNTAS DE CHAPA DE GESSO (NECESSITA ADICAO DE AGUA)</t>
        </is>
      </c>
      <c r="E1772" s="11">
        <f t="array" ref="E1772">_xlfn.XLOOKUP(D1772,Insumos!B:B,Insumos!C:$C)</f>
        <v/>
      </c>
      <c r="F1772" s="14" t="n">
        <v>0.5489000000000001</v>
      </c>
      <c r="G1772" s="92">
        <f t="array" ref="G1772">IF(B1772="insumo",_xlfn.XLOOKUP($D1772,Insumos!$B$1:$B$996,Insumos!$D$1:$D$996),"")</f>
        <v/>
      </c>
      <c r="H1772" s="92" t="n">
        <v>1.882727</v>
      </c>
      <c r="I1772" s="2162" t="n">
        <v>0</v>
      </c>
      <c r="J1772" s="2162" t="n">
        <v>0</v>
      </c>
      <c r="K1772" s="2162" t="n"/>
    </row>
    <row r="1773" outlineLevel="3" ht="15.75" customHeight="1">
      <c r="A1773" s="10" t="n">
        <v>94</v>
      </c>
      <c r="B1773" s="10" t="inlineStr">
        <is>
          <t>Insumo</t>
        </is>
      </c>
      <c r="C1773" s="10" t="inlineStr">
        <is>
          <t>35_DRY 70 mm LV - 1 PLACA - 8,25cm  -  Lado A: PLACA PERFORMANCE ST - Lado B: N/A</t>
        </is>
      </c>
      <c r="D1773" s="10" t="inlineStr">
        <is>
          <t>FITA DE PAPEL MICROPERFURADO, 50 X 150 MM, PARA TRATAMENTO DE JUNTAS DE CHAPA DE GESSO PARA DRYWALL</t>
        </is>
      </c>
      <c r="E1773" s="11">
        <f t="array" ref="E1773">_xlfn.XLOOKUP(D1773,Insumos!B:B,Insumos!C:$C)</f>
        <v/>
      </c>
      <c r="F1773" s="14" t="n">
        <v>1.25135</v>
      </c>
      <c r="G1773" s="92">
        <f t="array" ref="G1773">IF(B1773="insumo",_xlfn.XLOOKUP($D1773,Insumos!$B$1:$B$996,Insumos!$D$1:$D$996),"")</f>
        <v/>
      </c>
      <c r="H1773" s="92" t="n">
        <v>0.3879185</v>
      </c>
      <c r="I1773" s="2162" t="n">
        <v>0</v>
      </c>
      <c r="J1773" s="2162" t="n">
        <v>0</v>
      </c>
      <c r="K1773" s="2162" t="n"/>
    </row>
    <row r="1774" outlineLevel="3" ht="15.75" customHeight="1">
      <c r="A1774" s="10" t="n">
        <v>94</v>
      </c>
      <c r="B1774" s="10" t="inlineStr">
        <is>
          <t>Insumo</t>
        </is>
      </c>
      <c r="C1774" s="10" t="inlineStr">
        <is>
          <t>35_DRY 70 mm LV - 1 PLACA - 8,25cm  -  Lado A: PLACA PERFORMANCE ST - Lado B: N/A</t>
        </is>
      </c>
      <c r="D1774" s="10" t="inlineStr">
        <is>
          <t>FITA DE PAPEL REFORCADA COM LAMINA DE METAL PARA REFORCO DE CANTOS DE CHAPA DE GESSO PARA DRYWALL</t>
        </is>
      </c>
      <c r="E1774" s="11">
        <f t="array" ref="E1774">_xlfn.XLOOKUP(D1774,Insumos!B:B,Insumos!C:$C)</f>
        <v/>
      </c>
      <c r="F1774" s="14" t="n">
        <v>0.79255</v>
      </c>
      <c r="G1774" s="92">
        <f t="array" ref="G1774">IF(B1774="insumo",_xlfn.XLOOKUP($D1774,Insumos!$B$1:$B$996,Insumos!$D$1:$D$996),"")</f>
        <v/>
      </c>
      <c r="H1774" s="92" t="n">
        <v>2.171587</v>
      </c>
      <c r="I1774" s="2162" t="n">
        <v>0</v>
      </c>
      <c r="J1774" s="2162" t="n">
        <v>0</v>
      </c>
      <c r="K1774" s="2162" t="n"/>
    </row>
    <row r="1775" outlineLevel="3" ht="15.75" customHeight="1">
      <c r="A1775" s="10" t="n">
        <v>97</v>
      </c>
      <c r="B1775" s="10" t="inlineStr">
        <is>
          <t>Insumo</t>
        </is>
      </c>
      <c r="C1775" s="10" t="inlineStr">
        <is>
          <t>35_DRY 70 mm LV - 1 PLACA - 8,25cm  -  Lado A: PLACA PERFORMANCE ST - Lado B: N/A</t>
        </is>
      </c>
      <c r="D1775" s="10" t="inlineStr">
        <is>
          <t>PARAFUSO DRY WALL, EM ACO FOSFATIZADO, CABECA TROMBETA E PONTA AGULHA (TA), COMPRIMENTO 25 MM</t>
        </is>
      </c>
      <c r="E1775" s="11">
        <f t="array" ref="E1775">_xlfn.XLOOKUP(D1775,Insumos!B:B,Insumos!C:$C)</f>
        <v/>
      </c>
      <c r="F1775" s="14" t="n">
        <v>10.0934</v>
      </c>
      <c r="G1775" s="92">
        <f t="array" ref="G1775">IF(B1775="insumo",_xlfn.XLOOKUP($D1775,Insumos!$B$1:$B$996,Insumos!$D$1:$D$996),"")</f>
        <v/>
      </c>
      <c r="H1775" s="92" t="n">
        <v>0.908406</v>
      </c>
      <c r="I1775" s="2162" t="n">
        <v>0</v>
      </c>
      <c r="J1775" s="2162" t="n">
        <v>0</v>
      </c>
      <c r="K1775" s="2162" t="n"/>
    </row>
    <row r="1776" outlineLevel="3" ht="15.75" customHeight="1">
      <c r="A1776" s="10" t="n">
        <v>95</v>
      </c>
      <c r="B1776" s="10" t="inlineStr">
        <is>
          <t>Insumo</t>
        </is>
      </c>
      <c r="C1776" s="10" t="inlineStr">
        <is>
          <t>35_DRY 70 mm LV - 1 PLACA - 8,25cm  -  Lado A: PLACA PERFORMANCE ST - Lado B: N/A</t>
        </is>
      </c>
      <c r="D1776" s="10" t="inlineStr">
        <is>
          <t>PARAFUSO DRY WALL, EM ACO ZINCADO, CABECA LENTILHA E PONTA BROCA (LB), LARGURA 4,2 MM, COMPRIMENTO 13 MM</t>
        </is>
      </c>
      <c r="E1776" s="11">
        <f t="array" ref="E1776">_xlfn.XLOOKUP(D1776,Insumos!B:B,Insumos!C:$C)</f>
        <v/>
      </c>
      <c r="F1776" s="14" t="n">
        <v>0.27205</v>
      </c>
      <c r="G1776" s="92">
        <f t="array" ref="G1776">IF(B1776="insumo",_xlfn.XLOOKUP($D1776,Insumos!$B$1:$B$996,Insumos!$D$1:$D$996),"")</f>
        <v/>
      </c>
      <c r="H1776" s="92" t="n">
        <v>0.05441</v>
      </c>
      <c r="I1776" s="2162" t="n">
        <v>0</v>
      </c>
      <c r="J1776" s="2162" t="n">
        <v>0</v>
      </c>
      <c r="K1776" s="2162" t="n"/>
    </row>
    <row r="1777" outlineLevel="3" ht="15.75" customHeight="1">
      <c r="A1777" s="10" t="n">
        <v>35</v>
      </c>
      <c r="B1777" s="10" t="inlineStr">
        <is>
          <t>Insumo</t>
        </is>
      </c>
      <c r="C1777" s="10" t="inlineStr">
        <is>
          <t>35_DRY 70 mm LV - 1 PLACA - 8,25cm  -  Lado A: PLACA PERFORMANCE ST - Lado B: N/A</t>
        </is>
      </c>
      <c r="D1777" s="10" t="inlineStr">
        <is>
          <t>Lã de pet 50 X 1200 X 12500 MM</t>
        </is>
      </c>
      <c r="E1777" s="11">
        <f t="array" ref="E1777">_xlfn.XLOOKUP(D1777,Insumos!B:B,Insumos!C:$C)</f>
        <v/>
      </c>
      <c r="F1777" s="14" t="n">
        <v>1.1</v>
      </c>
      <c r="G1777" s="92">
        <f t="array" ref="G1777">IF(B1777="insumo",_xlfn.XLOOKUP($D1777,Insumos!$B$1:$B$996,Insumos!$D$1:$D$996),"")</f>
        <v/>
      </c>
      <c r="H1777" s="92" t="n">
        <v>14.3212666666667</v>
      </c>
      <c r="I1777" s="2162" t="n">
        <v>0</v>
      </c>
      <c r="J1777" s="2162" t="n">
        <v>0</v>
      </c>
      <c r="K1777" s="2162" t="n"/>
    </row>
    <row r="1778" outlineLevel="2" ht="15.75" customHeight="1">
      <c r="A1778" s="1067" t="n">
        <v>1</v>
      </c>
      <c r="B1778" s="1067" t="inlineStr">
        <is>
          <t>Serviço</t>
        </is>
      </c>
      <c r="C1778" s="1067" t="inlineStr">
        <is>
          <t>31_DRY 70 mm - 1 PLACA - 8,25cm  -  Lado A: PLACA RU - Lado B: N/A</t>
        </is>
      </c>
      <c r="D1778" s="1067" t="inlineStr">
        <is>
          <t>31_DRY 70 mm - 1 PLACA - 8,25cm  -  Lado A: PLACA RU - Lado B: N/A</t>
        </is>
      </c>
      <c r="E1778" s="1068" t="inlineStr">
        <is>
          <t>M2</t>
        </is>
      </c>
      <c r="F1778" s="1067" t="n"/>
      <c r="G1778" s="1069">
        <f t="array" ref="G1778">IF(B1778="insumo",_xlfn.XLOOKUP($D1778,Insumos!$B$1:$B$996,Insumos!$D$1:$D$996),"")</f>
        <v/>
      </c>
      <c r="H1778" s="1069" t="n">
        <v>167.0334365</v>
      </c>
      <c r="I1778" s="2161" t="n">
        <v>0</v>
      </c>
      <c r="J1778" s="2161" t="n">
        <v>0</v>
      </c>
      <c r="K1778" s="2161" t="n"/>
    </row>
    <row r="1779" outlineLevel="3" ht="15.75" customHeight="1">
      <c r="A1779" s="10" t="n">
        <v>86</v>
      </c>
      <c r="B1779" s="10" t="inlineStr">
        <is>
          <t>Insumo</t>
        </is>
      </c>
      <c r="C1779" s="10" t="inlineStr">
        <is>
          <t>31_DRY 70 mm - 1 PLACA - 8,25cm  -  Lado A: PLACA RU - Lado B: N/A</t>
        </is>
      </c>
      <c r="D1779" s="10" t="inlineStr">
        <is>
          <t>SERVICO - CONFECCAO SHAFT GESSO</t>
        </is>
      </c>
      <c r="E1779" s="11">
        <f t="array" ref="E1779">_xlfn.XLOOKUP(D1779,Insumos!B:B,Insumos!C:$C)</f>
        <v/>
      </c>
      <c r="F1779" s="14" t="n">
        <v>1</v>
      </c>
      <c r="G1779" s="92">
        <f t="array" ref="G1779">IF(B1779="insumo",_xlfn.XLOOKUP($D1779,Insumos!$B$1:$B$996,Insumos!$D$1:$D$996),"")</f>
        <v/>
      </c>
      <c r="H1779" s="92" t="n">
        <v>70</v>
      </c>
      <c r="I1779" s="2162" t="n">
        <v>0</v>
      </c>
      <c r="J1779" s="2162" t="n">
        <v>0</v>
      </c>
      <c r="K1779" s="2162" t="n"/>
    </row>
    <row r="1780" outlineLevel="3" ht="15.75" customHeight="1">
      <c r="A1780" s="10" t="n">
        <v>49</v>
      </c>
      <c r="B1780" s="10" t="inlineStr">
        <is>
          <t>Insumo</t>
        </is>
      </c>
      <c r="C1780" s="10" t="inlineStr">
        <is>
          <t>31_DRY 70 mm - 1 PLACA - 8,25cm  -  Lado A: PLACA RU - Lado B: N/A</t>
        </is>
      </c>
      <c r="D1780" s="10" t="inlineStr">
        <is>
          <t>PLACA / CHAPA DE GESSO ACARTONADO, RESISTENTE A UMIDADE (RU), COR VERDE, E = 12,5 MM, 1200 X 2400 MM (L X C)</t>
        </is>
      </c>
      <c r="E1780" s="11">
        <f t="array" ref="E1780">_xlfn.XLOOKUP(D1780,Insumos!B:B,Insumos!C:$C)</f>
        <v/>
      </c>
      <c r="F1780" s="14" t="n">
        <v>1.053</v>
      </c>
      <c r="G1780" s="92">
        <f t="array" ref="G1780">IF(B1780="insumo",_xlfn.XLOOKUP($D1780,Insumos!$B$1:$B$996,Insumos!$D$1:$D$996),"")</f>
        <v/>
      </c>
      <c r="H1780" s="92" t="n">
        <v>28.5363</v>
      </c>
      <c r="I1780" s="2162" t="n">
        <v>0</v>
      </c>
      <c r="J1780" s="2162" t="n">
        <v>0</v>
      </c>
      <c r="K1780" s="2162" t="n"/>
    </row>
    <row r="1781" outlineLevel="3" ht="15.75" customHeight="1">
      <c r="A1781" s="10" t="n">
        <v>95</v>
      </c>
      <c r="B1781" s="10" t="inlineStr">
        <is>
          <t>Insumo</t>
        </is>
      </c>
      <c r="C1781" s="10" t="inlineStr">
        <is>
          <t>31_DRY 70 mm - 1 PLACA - 8,25cm  -  Lado A: PLACA RU - Lado B: N/A</t>
        </is>
      </c>
      <c r="D1781" s="10" t="inlineStr">
        <is>
          <t>PINO DE ACO COM ARRUELA CONICA, DIAMETRO ARRUELA = *23* MM E COMP HASTE = *27* MM (ACAO INDIRETA)</t>
        </is>
      </c>
      <c r="E1781" s="11">
        <f t="array" ref="E1781">_xlfn.XLOOKUP(D1781,Insumos!B:B,Insumos!C:$C)</f>
        <v/>
      </c>
      <c r="F1781" s="14" t="n">
        <v>5.92</v>
      </c>
      <c r="G1781" s="92">
        <f t="array" ref="G1781">IF(B1781="insumo",_xlfn.XLOOKUP($D1781,Insumos!$B$1:$B$996,Insumos!$D$1:$D$996),"")</f>
        <v/>
      </c>
      <c r="H1781" s="92" t="n">
        <v>2.98368</v>
      </c>
      <c r="I1781" s="2162" t="n">
        <v>0</v>
      </c>
      <c r="J1781" s="2162" t="n">
        <v>0</v>
      </c>
      <c r="K1781" s="2162" t="n"/>
    </row>
    <row r="1782" outlineLevel="3" ht="15.75" customHeight="1">
      <c r="A1782" s="10" t="n">
        <v>43</v>
      </c>
      <c r="B1782" s="10" t="inlineStr">
        <is>
          <t>Insumo</t>
        </is>
      </c>
      <c r="C1782" s="10" t="inlineStr">
        <is>
          <t>31_DRY 70 mm - 1 PLACA - 8,25cm  -  Lado A: PLACA RU - Lado B: N/A</t>
        </is>
      </c>
      <c r="D1782" s="10" t="inlineStr">
        <is>
          <t>PERFIL GUIA, FORMATO U, EM ACO ZINCADO, PARA ESTRUTURA PAREDE DRYWALL, E = 0,5 MM, 70 X 3000 MM (L X C)</t>
        </is>
      </c>
      <c r="E1782" s="11">
        <f t="array" ref="E1782">_xlfn.XLOOKUP(D1782,Insumos!B:B,Insumos!C:$C)</f>
        <v/>
      </c>
      <c r="F1782" s="14" t="n">
        <v>1.8234</v>
      </c>
      <c r="G1782" s="92">
        <f t="array" ref="G1782">IF(B1782="insumo",_xlfn.XLOOKUP($D1782,Insumos!$B$1:$B$996,Insumos!$D$1:$D$996),"")</f>
        <v/>
      </c>
      <c r="H1782" s="92" t="n">
        <v>13.602564</v>
      </c>
      <c r="I1782" s="2162" t="n">
        <v>0</v>
      </c>
      <c r="J1782" s="2162" t="n">
        <v>0</v>
      </c>
      <c r="K1782" s="2162" t="n"/>
    </row>
    <row r="1783" outlineLevel="3" ht="15.75" customHeight="1">
      <c r="A1783" s="10" t="n">
        <v>43</v>
      </c>
      <c r="B1783" s="10" t="inlineStr">
        <is>
          <t>Insumo</t>
        </is>
      </c>
      <c r="C1783" s="10" t="inlineStr">
        <is>
          <t>31_DRY 70 mm - 1 PLACA - 8,25cm  -  Lado A: PLACA RU - Lado B: N/A</t>
        </is>
      </c>
      <c r="D1783" s="10" t="inlineStr">
        <is>
          <t>PERFIL MONTANTE, FORMATO C, EM ACO ZINCADO, PARA ESTRUTURA PAREDE DRYWALL, E = 0,5 MM, 70 X 3000 MM (L X C)</t>
        </is>
      </c>
      <c r="E1783" s="11">
        <f t="array" ref="E1783">_xlfn.XLOOKUP(D1783,Insumos!B:B,Insumos!C:$C)</f>
        <v/>
      </c>
      <c r="F1783" s="14" t="n">
        <v>5.8278</v>
      </c>
      <c r="G1783" s="92">
        <f t="array" ref="G1783">IF(B1783="insumo",_xlfn.XLOOKUP($D1783,Insumos!$B$1:$B$996,Insumos!$D$1:$D$996),"")</f>
        <v/>
      </c>
      <c r="H1783" s="92" t="n">
        <v>46.505844</v>
      </c>
      <c r="I1783" s="2162" t="n">
        <v>0</v>
      </c>
      <c r="J1783" s="2162" t="n">
        <v>0</v>
      </c>
      <c r="K1783" s="2162" t="n"/>
    </row>
    <row r="1784" outlineLevel="3" ht="15.75" customHeight="1">
      <c r="A1784" s="10" t="n">
        <v>95</v>
      </c>
      <c r="B1784" s="10" t="inlineStr">
        <is>
          <t>Insumo</t>
        </is>
      </c>
      <c r="C1784" s="10" t="inlineStr">
        <is>
          <t>31_DRY 70 mm - 1 PLACA - 8,25cm  -  Lado A: PLACA RU - Lado B: N/A</t>
        </is>
      </c>
      <c r="D1784" s="10" t="inlineStr">
        <is>
          <t>MASSA DE REJUNTE EM PO PARA DRYWALL, A BASE DE GESSO, SECAGEM RAPIDA, PARA TRATAMENTO DE JUNTAS DE CHAPA DE GESSO (NECESSITA ADICAO DE AGUA)</t>
        </is>
      </c>
      <c r="E1784" s="11">
        <f t="array" ref="E1784">_xlfn.XLOOKUP(D1784,Insumos!B:B,Insumos!C:$C)</f>
        <v/>
      </c>
      <c r="F1784" s="14" t="n">
        <v>0.5489000000000001</v>
      </c>
      <c r="G1784" s="92">
        <f t="array" ref="G1784">IF(B1784="insumo",_xlfn.XLOOKUP($D1784,Insumos!$B$1:$B$996,Insumos!$D$1:$D$996),"")</f>
        <v/>
      </c>
      <c r="H1784" s="92" t="n">
        <v>1.882727</v>
      </c>
      <c r="I1784" s="2162" t="n">
        <v>0</v>
      </c>
      <c r="J1784" s="2162" t="n">
        <v>0</v>
      </c>
      <c r="K1784" s="2162" t="n"/>
    </row>
    <row r="1785" outlineLevel="3" ht="15.75" customHeight="1">
      <c r="A1785" s="10" t="n">
        <v>94</v>
      </c>
      <c r="B1785" s="10" t="inlineStr">
        <is>
          <t>Insumo</t>
        </is>
      </c>
      <c r="C1785" s="10" t="inlineStr">
        <is>
          <t>31_DRY 70 mm - 1 PLACA - 8,25cm  -  Lado A: PLACA RU - Lado B: N/A</t>
        </is>
      </c>
      <c r="D1785" s="10" t="inlineStr">
        <is>
          <t>FITA DE PAPEL MICROPERFURADO, 50 X 150 MM, PARA TRATAMENTO DE JUNTAS DE CHAPA DE GESSO PARA DRYWALL</t>
        </is>
      </c>
      <c r="E1785" s="11">
        <f t="array" ref="E1785">_xlfn.XLOOKUP(D1785,Insumos!B:B,Insumos!C:$C)</f>
        <v/>
      </c>
      <c r="F1785" s="14" t="n">
        <v>1.25135</v>
      </c>
      <c r="G1785" s="92">
        <f t="array" ref="G1785">IF(B1785="insumo",_xlfn.XLOOKUP($D1785,Insumos!$B$1:$B$996,Insumos!$D$1:$D$996),"")</f>
        <v/>
      </c>
      <c r="H1785" s="92" t="n">
        <v>0.3879185</v>
      </c>
      <c r="I1785" s="2162" t="n">
        <v>0</v>
      </c>
      <c r="J1785" s="2162" t="n">
        <v>0</v>
      </c>
      <c r="K1785" s="2162" t="n"/>
    </row>
    <row r="1786" outlineLevel="3" ht="15.75" customHeight="1">
      <c r="A1786" s="10" t="n">
        <v>94</v>
      </c>
      <c r="B1786" s="10" t="inlineStr">
        <is>
          <t>Insumo</t>
        </is>
      </c>
      <c r="C1786" s="10" t="inlineStr">
        <is>
          <t>31_DRY 70 mm - 1 PLACA - 8,25cm  -  Lado A: PLACA RU - Lado B: N/A</t>
        </is>
      </c>
      <c r="D1786" s="10" t="inlineStr">
        <is>
          <t>FITA DE PAPEL REFORCADA COM LAMINA DE METAL PARA REFORCO DE CANTOS DE CHAPA DE GESSO PARA DRYWALL</t>
        </is>
      </c>
      <c r="E1786" s="11">
        <f t="array" ref="E1786">_xlfn.XLOOKUP(D1786,Insumos!B:B,Insumos!C:$C)</f>
        <v/>
      </c>
      <c r="F1786" s="14" t="n">
        <v>0.79255</v>
      </c>
      <c r="G1786" s="92">
        <f t="array" ref="G1786">IF(B1786="insumo",_xlfn.XLOOKUP($D1786,Insumos!$B$1:$B$996,Insumos!$D$1:$D$996),"")</f>
        <v/>
      </c>
      <c r="H1786" s="92" t="n">
        <v>2.171587</v>
      </c>
      <c r="I1786" s="2162" t="n">
        <v>0</v>
      </c>
      <c r="J1786" s="2162" t="n">
        <v>0</v>
      </c>
      <c r="K1786" s="2162" t="n"/>
    </row>
    <row r="1787" outlineLevel="3" ht="15.75" customHeight="1">
      <c r="A1787" s="10" t="n">
        <v>97</v>
      </c>
      <c r="B1787" s="10" t="inlineStr">
        <is>
          <t>Insumo</t>
        </is>
      </c>
      <c r="C1787" s="10" t="inlineStr">
        <is>
          <t>31_DRY 70 mm - 1 PLACA - 8,25cm  -  Lado A: PLACA RU - Lado B: N/A</t>
        </is>
      </c>
      <c r="D1787" s="10" t="inlineStr">
        <is>
          <t>PARAFUSO DRY WALL, EM ACO FOSFATIZADO, CABECA TROMBETA E PONTA AGULHA (TA), COMPRIMENTO 25 MM</t>
        </is>
      </c>
      <c r="E1787" s="11">
        <f t="array" ref="E1787">_xlfn.XLOOKUP(D1787,Insumos!B:B,Insumos!C:$C)</f>
        <v/>
      </c>
      <c r="F1787" s="14" t="n">
        <v>10.0934</v>
      </c>
      <c r="G1787" s="92">
        <f t="array" ref="G1787">IF(B1787="insumo",_xlfn.XLOOKUP($D1787,Insumos!$B$1:$B$996,Insumos!$D$1:$D$996),"")</f>
        <v/>
      </c>
      <c r="H1787" s="92" t="n">
        <v>0.908406</v>
      </c>
      <c r="I1787" s="2162" t="n">
        <v>0</v>
      </c>
      <c r="J1787" s="2162" t="n">
        <v>0</v>
      </c>
      <c r="K1787" s="2162" t="n"/>
    </row>
    <row r="1788" outlineLevel="3" ht="15.75" customHeight="1">
      <c r="A1788" s="10" t="n">
        <v>95</v>
      </c>
      <c r="B1788" s="10" t="inlineStr">
        <is>
          <t>Insumo</t>
        </is>
      </c>
      <c r="C1788" s="10" t="inlineStr">
        <is>
          <t>31_DRY 70 mm - 1 PLACA - 8,25cm  -  Lado A: PLACA RU - Lado B: N/A</t>
        </is>
      </c>
      <c r="D1788" s="10" t="inlineStr">
        <is>
          <t>PARAFUSO DRY WALL, EM ACO ZINCADO, CABECA LENTILHA E PONTA BROCA (LB), LARGURA 4,2 MM, COMPRIMENTO 13 MM</t>
        </is>
      </c>
      <c r="E1788" s="11">
        <f t="array" ref="E1788">_xlfn.XLOOKUP(D1788,Insumos!B:B,Insumos!C:$C)</f>
        <v/>
      </c>
      <c r="F1788" s="14" t="n">
        <v>0.27205</v>
      </c>
      <c r="G1788" s="92">
        <f t="array" ref="G1788">IF(B1788="insumo",_xlfn.XLOOKUP($D1788,Insumos!$B$1:$B$996,Insumos!$D$1:$D$996),"")</f>
        <v/>
      </c>
      <c r="H1788" s="92" t="n">
        <v>0.05441</v>
      </c>
      <c r="I1788" s="2162" t="n">
        <v>0</v>
      </c>
      <c r="J1788" s="2162" t="n">
        <v>0</v>
      </c>
      <c r="K1788" s="2162" t="n"/>
    </row>
    <row r="1789" outlineLevel="2" ht="15.75" customHeight="1">
      <c r="A1789" s="1067" t="n">
        <v>1</v>
      </c>
      <c r="B1789" s="1067" t="inlineStr">
        <is>
          <t>Serviço</t>
        </is>
      </c>
      <c r="C1789" s="1067" t="inlineStr">
        <is>
          <t>35_DRY 70 mm LV - 1 PLACA - 8,25cm  -  Lado A: PLACA PERFORMANCE RU - Lado B: N/A</t>
        </is>
      </c>
      <c r="D1789" s="1067" t="inlineStr">
        <is>
          <t>35_DRY 70 mm LV - 1 PLACA - 8,25cm  -  Lado A: PLACA PERFORMANCE RU - Lado B: N/A</t>
        </is>
      </c>
      <c r="E1789" s="1068" t="inlineStr">
        <is>
          <t>M2</t>
        </is>
      </c>
      <c r="F1789" s="1067" t="n"/>
      <c r="G1789" s="1069">
        <f t="array" ref="G1789">IF(B1789="insumo",_xlfn.XLOOKUP($D1789,Insumos!$B$1:$B$996,Insumos!$D$1:$D$996),"")</f>
        <v/>
      </c>
      <c r="H1789" s="1069" t="n">
        <v>181.354703166667</v>
      </c>
      <c r="I1789" s="2161" t="n">
        <v>0</v>
      </c>
      <c r="J1789" s="2161" t="n">
        <v>0</v>
      </c>
      <c r="K1789" s="2161" t="n"/>
    </row>
    <row r="1790" outlineLevel="3" ht="15.75" customHeight="1">
      <c r="A1790" s="10" t="n">
        <v>86</v>
      </c>
      <c r="B1790" s="10" t="inlineStr">
        <is>
          <t>Insumo</t>
        </is>
      </c>
      <c r="C1790" s="10" t="inlineStr">
        <is>
          <t>35_DRY 70 mm LV - 1 PLACA - 8,25cm  -  Lado A: PLACA PERFORMANCE RU - Lado B: N/A</t>
        </is>
      </c>
      <c r="D1790" s="10" t="inlineStr">
        <is>
          <t>SERVICO - CONFECCAO SHAFT GESSO</t>
        </is>
      </c>
      <c r="E1790" s="11">
        <f t="array" ref="E1790">_xlfn.XLOOKUP(D1790,Insumos!B:B,Insumos!C:$C)</f>
        <v/>
      </c>
      <c r="F1790" s="14" t="n">
        <v>1</v>
      </c>
      <c r="G1790" s="92">
        <f t="array" ref="G1790">IF(B1790="insumo",_xlfn.XLOOKUP($D1790,Insumos!$B$1:$B$996,Insumos!$D$1:$D$996),"")</f>
        <v/>
      </c>
      <c r="H1790" s="92" t="n">
        <v>70</v>
      </c>
      <c r="I1790" s="2162" t="n">
        <v>0</v>
      </c>
      <c r="J1790" s="2162" t="n">
        <v>0</v>
      </c>
      <c r="K1790" s="2162" t="n"/>
    </row>
    <row r="1791" outlineLevel="3" ht="15.75" customHeight="1">
      <c r="A1791" s="10" t="n">
        <v>49</v>
      </c>
      <c r="B1791" s="10" t="inlineStr">
        <is>
          <t>Insumo</t>
        </is>
      </c>
      <c r="C1791" s="10" t="inlineStr">
        <is>
          <t>35_DRY 70 mm LV - 1 PLACA - 8,25cm  -  Lado A: PLACA PERFORMANCE RU - Lado B: N/A</t>
        </is>
      </c>
      <c r="D1791" s="10" t="inlineStr">
        <is>
          <t>PLACA / CHAPA DE GESSO ACARTONADO, RESISTENTE A UMIDADE (RU), COR VERDE, E = 12,5 MM, 1200 X 2400 MM (L X C)</t>
        </is>
      </c>
      <c r="E1791" s="11">
        <f t="array" ref="E1791">_xlfn.XLOOKUP(D1791,Insumos!B:B,Insumos!C:$C)</f>
        <v/>
      </c>
      <c r="F1791" s="14" t="n">
        <v>1.053</v>
      </c>
      <c r="G1791" s="92">
        <f t="array" ref="G1791">IF(B1791="insumo",_xlfn.XLOOKUP($D1791,Insumos!$B$1:$B$996,Insumos!$D$1:$D$996),"")</f>
        <v/>
      </c>
      <c r="H1791" s="92" t="n">
        <v>28.5363</v>
      </c>
      <c r="I1791" s="2162" t="n">
        <v>0</v>
      </c>
      <c r="J1791" s="2162" t="n">
        <v>0</v>
      </c>
      <c r="K1791" s="2162" t="n"/>
    </row>
    <row r="1792" outlineLevel="3" ht="15.75" customHeight="1">
      <c r="A1792" s="10" t="n">
        <v>95</v>
      </c>
      <c r="B1792" s="10" t="inlineStr">
        <is>
          <t>Insumo</t>
        </is>
      </c>
      <c r="C1792" s="10" t="inlineStr">
        <is>
          <t>35_DRY 70 mm LV - 1 PLACA - 8,25cm  -  Lado A: PLACA PERFORMANCE RU - Lado B: N/A</t>
        </is>
      </c>
      <c r="D1792" s="10" t="inlineStr">
        <is>
          <t>PINO DE ACO COM ARRUELA CONICA, DIAMETRO ARRUELA = *23* MM E COMP HASTE = *27* MM (ACAO INDIRETA)</t>
        </is>
      </c>
      <c r="E1792" s="11">
        <f t="array" ref="E1792">_xlfn.XLOOKUP(D1792,Insumos!B:B,Insumos!C:$C)</f>
        <v/>
      </c>
      <c r="F1792" s="14" t="n">
        <v>5.92</v>
      </c>
      <c r="G1792" s="92">
        <f t="array" ref="G1792">IF(B1792="insumo",_xlfn.XLOOKUP($D1792,Insumos!$B$1:$B$996,Insumos!$D$1:$D$996),"")</f>
        <v/>
      </c>
      <c r="H1792" s="92" t="n">
        <v>2.98368</v>
      </c>
      <c r="I1792" s="2162" t="n">
        <v>0</v>
      </c>
      <c r="J1792" s="2162" t="n">
        <v>0</v>
      </c>
      <c r="K1792" s="2162" t="n"/>
    </row>
    <row r="1793" outlineLevel="3" ht="15.75" customHeight="1">
      <c r="A1793" s="10" t="n">
        <v>43</v>
      </c>
      <c r="B1793" s="10" t="inlineStr">
        <is>
          <t>Insumo</t>
        </is>
      </c>
      <c r="C1793" s="10" t="inlineStr">
        <is>
          <t>35_DRY 70 mm LV - 1 PLACA - 8,25cm  -  Lado A: PLACA PERFORMANCE RU - Lado B: N/A</t>
        </is>
      </c>
      <c r="D1793" s="10" t="inlineStr">
        <is>
          <t>PERFIL GUIA, FORMATO U, EM ACO ZINCADO, PARA ESTRUTURA PAREDE DRYWALL, E = 0,5 MM, 70 X 3000 MM (L X C)</t>
        </is>
      </c>
      <c r="E1793" s="11">
        <f t="array" ref="E1793">_xlfn.XLOOKUP(D1793,Insumos!B:B,Insumos!C:$C)</f>
        <v/>
      </c>
      <c r="F1793" s="14" t="n">
        <v>1.8234</v>
      </c>
      <c r="G1793" s="92">
        <f t="array" ref="G1793">IF(B1793="insumo",_xlfn.XLOOKUP($D1793,Insumos!$B$1:$B$996,Insumos!$D$1:$D$996),"")</f>
        <v/>
      </c>
      <c r="H1793" s="92" t="n">
        <v>13.602564</v>
      </c>
      <c r="I1793" s="2162" t="n">
        <v>0</v>
      </c>
      <c r="J1793" s="2162" t="n">
        <v>0</v>
      </c>
      <c r="K1793" s="2162" t="n"/>
    </row>
    <row r="1794" outlineLevel="3" ht="15.75" customHeight="1">
      <c r="A1794" s="10" t="n">
        <v>43</v>
      </c>
      <c r="B1794" s="10" t="inlineStr">
        <is>
          <t>Insumo</t>
        </is>
      </c>
      <c r="C1794" s="10" t="inlineStr">
        <is>
          <t>35_DRY 70 mm LV - 1 PLACA - 8,25cm  -  Lado A: PLACA PERFORMANCE RU - Lado B: N/A</t>
        </is>
      </c>
      <c r="D1794" s="10" t="inlineStr">
        <is>
          <t>PERFIL MONTANTE, FORMATO C, EM ACO ZINCADO, PARA ESTRUTURA PAREDE DRYWALL, E = 0,5 MM, 70 X 3000 MM (L X C)</t>
        </is>
      </c>
      <c r="E1794" s="11">
        <f t="array" ref="E1794">_xlfn.XLOOKUP(D1794,Insumos!B:B,Insumos!C:$C)</f>
        <v/>
      </c>
      <c r="F1794" s="14" t="n">
        <v>5.8278</v>
      </c>
      <c r="G1794" s="92">
        <f t="array" ref="G1794">IF(B1794="insumo",_xlfn.XLOOKUP($D1794,Insumos!$B$1:$B$996,Insumos!$D$1:$D$996),"")</f>
        <v/>
      </c>
      <c r="H1794" s="92" t="n">
        <v>46.505844</v>
      </c>
      <c r="I1794" s="2162" t="n">
        <v>0</v>
      </c>
      <c r="J1794" s="2162" t="n">
        <v>0</v>
      </c>
      <c r="K1794" s="2162" t="n"/>
    </row>
    <row r="1795" outlineLevel="3" ht="15.75" customHeight="1">
      <c r="A1795" s="10" t="n">
        <v>95</v>
      </c>
      <c r="B1795" s="10" t="inlineStr">
        <is>
          <t>Insumo</t>
        </is>
      </c>
      <c r="C1795" s="10" t="inlineStr">
        <is>
          <t>35_DRY 70 mm LV - 1 PLACA - 8,25cm  -  Lado A: PLACA PERFORMANCE RU - Lado B: N/A</t>
        </is>
      </c>
      <c r="D1795" s="10" t="inlineStr">
        <is>
          <t>MASSA DE REJUNTE EM PO PARA DRYWALL, A BASE DE GESSO, SECAGEM RAPIDA, PARA TRATAMENTO DE JUNTAS DE CHAPA DE GESSO (NECESSITA ADICAO DE AGUA)</t>
        </is>
      </c>
      <c r="E1795" s="11">
        <f t="array" ref="E1795">_xlfn.XLOOKUP(D1795,Insumos!B:B,Insumos!C:$C)</f>
        <v/>
      </c>
      <c r="F1795" s="14" t="n">
        <v>0.5489000000000001</v>
      </c>
      <c r="G1795" s="92">
        <f t="array" ref="G1795">IF(B1795="insumo",_xlfn.XLOOKUP($D1795,Insumos!$B$1:$B$996,Insumos!$D$1:$D$996),"")</f>
        <v/>
      </c>
      <c r="H1795" s="92" t="n">
        <v>1.882727</v>
      </c>
      <c r="I1795" s="2162" t="n">
        <v>0</v>
      </c>
      <c r="J1795" s="2162" t="n">
        <v>0</v>
      </c>
      <c r="K1795" s="2162" t="n"/>
    </row>
    <row r="1796" outlineLevel="3" ht="15.75" customHeight="1">
      <c r="A1796" s="10" t="n">
        <v>94</v>
      </c>
      <c r="B1796" s="10" t="inlineStr">
        <is>
          <t>Insumo</t>
        </is>
      </c>
      <c r="C1796" s="10" t="inlineStr">
        <is>
          <t>35_DRY 70 mm LV - 1 PLACA - 8,25cm  -  Lado A: PLACA PERFORMANCE RU - Lado B: N/A</t>
        </is>
      </c>
      <c r="D1796" s="10" t="inlineStr">
        <is>
          <t>FITA DE PAPEL MICROPERFURADO, 50 X 150 MM, PARA TRATAMENTO DE JUNTAS DE CHAPA DE GESSO PARA DRYWALL</t>
        </is>
      </c>
      <c r="E1796" s="11">
        <f t="array" ref="E1796">_xlfn.XLOOKUP(D1796,Insumos!B:B,Insumos!C:$C)</f>
        <v/>
      </c>
      <c r="F1796" s="14" t="n">
        <v>1.25135</v>
      </c>
      <c r="G1796" s="92">
        <f t="array" ref="G1796">IF(B1796="insumo",_xlfn.XLOOKUP($D1796,Insumos!$B$1:$B$996,Insumos!$D$1:$D$996),"")</f>
        <v/>
      </c>
      <c r="H1796" s="92" t="n">
        <v>0.3879185</v>
      </c>
      <c r="I1796" s="2162" t="n">
        <v>0</v>
      </c>
      <c r="J1796" s="2162" t="n">
        <v>0</v>
      </c>
      <c r="K1796" s="2162" t="n"/>
    </row>
    <row r="1797" outlineLevel="3" ht="15.75" customHeight="1">
      <c r="A1797" s="10" t="n">
        <v>94</v>
      </c>
      <c r="B1797" s="10" t="inlineStr">
        <is>
          <t>Insumo</t>
        </is>
      </c>
      <c r="C1797" s="10" t="inlineStr">
        <is>
          <t>35_DRY 70 mm LV - 1 PLACA - 8,25cm  -  Lado A: PLACA PERFORMANCE RU - Lado B: N/A</t>
        </is>
      </c>
      <c r="D1797" s="10" t="inlineStr">
        <is>
          <t>FITA DE PAPEL REFORCADA COM LAMINA DE METAL PARA REFORCO DE CANTOS DE CHAPA DE GESSO PARA DRYWALL</t>
        </is>
      </c>
      <c r="E1797" s="11">
        <f t="array" ref="E1797">_xlfn.XLOOKUP(D1797,Insumos!B:B,Insumos!C:$C)</f>
        <v/>
      </c>
      <c r="F1797" s="14" t="n">
        <v>0.79255</v>
      </c>
      <c r="G1797" s="92">
        <f t="array" ref="G1797">IF(B1797="insumo",_xlfn.XLOOKUP($D1797,Insumos!$B$1:$B$996,Insumos!$D$1:$D$996),"")</f>
        <v/>
      </c>
      <c r="H1797" s="92" t="n">
        <v>2.171587</v>
      </c>
      <c r="I1797" s="2162" t="n">
        <v>0</v>
      </c>
      <c r="J1797" s="2162" t="n">
        <v>0</v>
      </c>
      <c r="K1797" s="2162" t="n"/>
    </row>
    <row r="1798" outlineLevel="3" ht="15.75" customHeight="1">
      <c r="A1798" s="10" t="n">
        <v>97</v>
      </c>
      <c r="B1798" s="10" t="inlineStr">
        <is>
          <t>Insumo</t>
        </is>
      </c>
      <c r="C1798" s="10" t="inlineStr">
        <is>
          <t>35_DRY 70 mm LV - 1 PLACA - 8,25cm  -  Lado A: PLACA PERFORMANCE RU - Lado B: N/A</t>
        </is>
      </c>
      <c r="D1798" s="10" t="inlineStr">
        <is>
          <t>PARAFUSO DRY WALL, EM ACO FOSFATIZADO, CABECA TROMBETA E PONTA AGULHA (TA), COMPRIMENTO 25 MM</t>
        </is>
      </c>
      <c r="E1798" s="11">
        <f t="array" ref="E1798">_xlfn.XLOOKUP(D1798,Insumos!B:B,Insumos!C:$C)</f>
        <v/>
      </c>
      <c r="F1798" s="14" t="n">
        <v>10.0934</v>
      </c>
      <c r="G1798" s="92">
        <f t="array" ref="G1798">IF(B1798="insumo",_xlfn.XLOOKUP($D1798,Insumos!$B$1:$B$996,Insumos!$D$1:$D$996),"")</f>
        <v/>
      </c>
      <c r="H1798" s="92" t="n">
        <v>0.908406</v>
      </c>
      <c r="I1798" s="2162" t="n">
        <v>0</v>
      </c>
      <c r="J1798" s="2162" t="n">
        <v>0</v>
      </c>
      <c r="K1798" s="2162" t="n"/>
    </row>
    <row r="1799" outlineLevel="3" ht="15.75" customHeight="1">
      <c r="A1799" s="10" t="n">
        <v>95</v>
      </c>
      <c r="B1799" s="10" t="inlineStr">
        <is>
          <t>Insumo</t>
        </is>
      </c>
      <c r="C1799" s="10" t="inlineStr">
        <is>
          <t>35_DRY 70 mm LV - 1 PLACA - 8,25cm  -  Lado A: PLACA PERFORMANCE RU - Lado B: N/A</t>
        </is>
      </c>
      <c r="D1799" s="10" t="inlineStr">
        <is>
          <t>PARAFUSO DRY WALL, EM ACO ZINCADO, CABECA LENTILHA E PONTA BROCA (LB), LARGURA 4,2 MM, COMPRIMENTO 13 MM</t>
        </is>
      </c>
      <c r="E1799" s="11">
        <f t="array" ref="E1799">_xlfn.XLOOKUP(D1799,Insumos!B:B,Insumos!C:$C)</f>
        <v/>
      </c>
      <c r="F1799" s="14" t="n">
        <v>0.27205</v>
      </c>
      <c r="G1799" s="92">
        <f t="array" ref="G1799">IF(B1799="insumo",_xlfn.XLOOKUP($D1799,Insumos!$B$1:$B$996,Insumos!$D$1:$D$996),"")</f>
        <v/>
      </c>
      <c r="H1799" s="92" t="n">
        <v>0.05441</v>
      </c>
      <c r="I1799" s="2162" t="n">
        <v>0</v>
      </c>
      <c r="J1799" s="2162" t="n">
        <v>0</v>
      </c>
      <c r="K1799" s="2162" t="n"/>
    </row>
    <row r="1800" outlineLevel="3" ht="15.75" customHeight="1">
      <c r="A1800" s="10" t="n">
        <v>35</v>
      </c>
      <c r="B1800" s="10" t="inlineStr">
        <is>
          <t>Insumo</t>
        </is>
      </c>
      <c r="C1800" s="10" t="inlineStr">
        <is>
          <t>35_DRY 70 mm LV - 1 PLACA - 8,25cm  -  Lado A: PLACA PERFORMANCE RU - Lado B: N/A</t>
        </is>
      </c>
      <c r="D1800" s="10" t="inlineStr">
        <is>
          <t>Lã de pet 50 X 1200 X 12500 MM</t>
        </is>
      </c>
      <c r="E1800" s="11">
        <f t="array" ref="E1800">_xlfn.XLOOKUP(D1800,Insumos!B:B,Insumos!C:$C)</f>
        <v/>
      </c>
      <c r="F1800" s="14" t="n">
        <v>1.1</v>
      </c>
      <c r="G1800" s="92">
        <f t="array" ref="G1800">IF(B1800="insumo",_xlfn.XLOOKUP($D1800,Insumos!$B$1:$B$996,Insumos!$D$1:$D$996),"")</f>
        <v/>
      </c>
      <c r="H1800" s="92" t="n">
        <v>14.3212666666667</v>
      </c>
      <c r="I1800" s="2162" t="n">
        <v>0</v>
      </c>
      <c r="J1800" s="2162" t="n">
        <v>0</v>
      </c>
      <c r="K1800" s="2162" t="n"/>
    </row>
    <row r="1801" outlineLevel="2" ht="15.75" customHeight="1">
      <c r="A1801" s="1067" t="n">
        <v>1</v>
      </c>
      <c r="B1801" s="1067" t="inlineStr">
        <is>
          <t>Serviço</t>
        </is>
      </c>
      <c r="C1801" s="1067" t="inlineStr">
        <is>
          <t>40_DRY 70R/PEU - 8.25 cm  -</t>
        </is>
      </c>
      <c r="D1801" s="1067" t="inlineStr">
        <is>
          <t>40_DRY 70R/PEU - 8.25 cm  -</t>
        </is>
      </c>
      <c r="E1801" s="1068" t="inlineStr">
        <is>
          <t>M2</t>
        </is>
      </c>
      <c r="F1801" s="1067" t="n"/>
      <c r="G1801" s="1069">
        <f t="array" ref="G1801">IF(B1801="insumo",_xlfn.XLOOKUP($D1801,Insumos!$B$1:$B$996,Insumos!$D$1:$D$996),"")</f>
        <v/>
      </c>
      <c r="H1801" s="1069" t="n">
        <v>159.7256165</v>
      </c>
      <c r="I1801" s="2161" t="n">
        <v>0</v>
      </c>
      <c r="J1801" s="2161" t="n">
        <v>0</v>
      </c>
      <c r="K1801" s="2161" t="n"/>
    </row>
    <row r="1802" outlineLevel="3" ht="15.75" customHeight="1">
      <c r="A1802" s="10" t="n">
        <v>86</v>
      </c>
      <c r="B1802" s="10" t="inlineStr">
        <is>
          <t>Insumo</t>
        </is>
      </c>
      <c r="C1802" s="10" t="inlineStr">
        <is>
          <t>40_DRY 70R/PEU - 8.25 cm  -</t>
        </is>
      </c>
      <c r="D1802" s="10" t="inlineStr">
        <is>
          <t>SERVICO - CONFECCAO SHAFT GESSO</t>
        </is>
      </c>
      <c r="E1802" s="11">
        <f t="array" ref="E1802">_xlfn.XLOOKUP(D1802,Insumos!B:B,Insumos!C:$C)</f>
        <v/>
      </c>
      <c r="F1802" s="14" t="n">
        <v>1</v>
      </c>
      <c r="G1802" s="92">
        <f t="array" ref="G1802">IF(B1802="insumo",_xlfn.XLOOKUP($D1802,Insumos!$B$1:$B$996,Insumos!$D$1:$D$996),"")</f>
        <v/>
      </c>
      <c r="H1802" s="92" t="n">
        <v>70</v>
      </c>
      <c r="I1802" s="2162" t="n">
        <v>0</v>
      </c>
      <c r="J1802" s="2162" t="n">
        <v>0</v>
      </c>
      <c r="K1802" s="2162" t="n"/>
    </row>
    <row r="1803" outlineLevel="3" ht="15.75" customHeight="1">
      <c r="A1803" s="10" t="n">
        <v>47</v>
      </c>
      <c r="B1803" s="10" t="inlineStr">
        <is>
          <t>Insumo</t>
        </is>
      </c>
      <c r="C1803" s="10" t="inlineStr">
        <is>
          <t>40_DRY 70R/PEU - 8.25 cm  -</t>
        </is>
      </c>
      <c r="D1803" s="10" t="inlineStr">
        <is>
          <t>PLACA / CHAPA DE GESSO ACARTONADO, STANDARD (ST), COR BRANCA, E = 12,5 MM, 1200 X 2400 MM (L X C)</t>
        </is>
      </c>
      <c r="E1803" s="11">
        <f t="array" ref="E1803">_xlfn.XLOOKUP(D1803,Insumos!B:B,Insumos!C:$C)</f>
        <v/>
      </c>
      <c r="F1803" s="14" t="n">
        <v>1.053</v>
      </c>
      <c r="G1803" s="92">
        <f t="array" ref="G1803">IF(B1803="insumo",_xlfn.XLOOKUP($D1803,Insumos!$B$1:$B$996,Insumos!$D$1:$D$996),"")</f>
        <v/>
      </c>
      <c r="H1803" s="92" t="n">
        <v>21.22848</v>
      </c>
      <c r="I1803" s="2162" t="n">
        <v>0</v>
      </c>
      <c r="J1803" s="2162" t="n">
        <v>0</v>
      </c>
      <c r="K1803" s="2162" t="n"/>
    </row>
    <row r="1804" outlineLevel="3" ht="15.75" customHeight="1">
      <c r="A1804" s="10" t="n">
        <v>95</v>
      </c>
      <c r="B1804" s="10" t="inlineStr">
        <is>
          <t>Insumo</t>
        </is>
      </c>
      <c r="C1804" s="10" t="inlineStr">
        <is>
          <t>40_DRY 70R/PEU - 8.25 cm  -</t>
        </is>
      </c>
      <c r="D1804" s="10" t="inlineStr">
        <is>
          <t>PINO DE ACO COM ARRUELA CONICA, DIAMETRO ARRUELA = *23* MM E COMP HASTE = *27* MM (ACAO INDIRETA)</t>
        </is>
      </c>
      <c r="E1804" s="11">
        <f t="array" ref="E1804">_xlfn.XLOOKUP(D1804,Insumos!B:B,Insumos!C:$C)</f>
        <v/>
      </c>
      <c r="F1804" s="14" t="n">
        <v>5.92</v>
      </c>
      <c r="G1804" s="92">
        <f t="array" ref="G1804">IF(B1804="insumo",_xlfn.XLOOKUP($D1804,Insumos!$B$1:$B$996,Insumos!$D$1:$D$996),"")</f>
        <v/>
      </c>
      <c r="H1804" s="92" t="n">
        <v>2.98368</v>
      </c>
      <c r="I1804" s="2162" t="n">
        <v>0</v>
      </c>
      <c r="J1804" s="2162" t="n">
        <v>0</v>
      </c>
      <c r="K1804" s="2162" t="n"/>
    </row>
    <row r="1805" outlineLevel="3" ht="15.75" customHeight="1">
      <c r="A1805" s="10" t="n">
        <v>43</v>
      </c>
      <c r="B1805" s="10" t="inlineStr">
        <is>
          <t>Insumo</t>
        </is>
      </c>
      <c r="C1805" s="10" t="inlineStr">
        <is>
          <t>40_DRY 70R/PEU - 8.25 cm  -</t>
        </is>
      </c>
      <c r="D1805" s="10" t="inlineStr">
        <is>
          <t>PERFIL GUIA, FORMATO U, EM ACO ZINCADO, PARA ESTRUTURA PAREDE DRYWALL, E = 0,5 MM, 70 X 3000 MM (L X C)</t>
        </is>
      </c>
      <c r="E1805" s="11">
        <f t="array" ref="E1805">_xlfn.XLOOKUP(D1805,Insumos!B:B,Insumos!C:$C)</f>
        <v/>
      </c>
      <c r="F1805" s="14" t="n">
        <v>1.8234</v>
      </c>
      <c r="G1805" s="92">
        <f t="array" ref="G1805">IF(B1805="insumo",_xlfn.XLOOKUP($D1805,Insumos!$B$1:$B$996,Insumos!$D$1:$D$996),"")</f>
        <v/>
      </c>
      <c r="H1805" s="92" t="n">
        <v>13.602564</v>
      </c>
      <c r="I1805" s="2162" t="n">
        <v>0</v>
      </c>
      <c r="J1805" s="2162" t="n">
        <v>0</v>
      </c>
      <c r="K1805" s="2162" t="n"/>
    </row>
    <row r="1806" outlineLevel="3" ht="15.75" customHeight="1">
      <c r="A1806" s="10" t="n">
        <v>43</v>
      </c>
      <c r="B1806" s="10" t="inlineStr">
        <is>
          <t>Insumo</t>
        </is>
      </c>
      <c r="C1806" s="10" t="inlineStr">
        <is>
          <t>40_DRY 70R/PEU - 8.25 cm  -</t>
        </is>
      </c>
      <c r="D1806" s="10" t="inlineStr">
        <is>
          <t>PERFIL MONTANTE, FORMATO C, EM ACO ZINCADO, PARA ESTRUTURA PAREDE DRYWALL, E = 0,5 MM, 70 X 3000 MM (L X C)</t>
        </is>
      </c>
      <c r="E1806" s="11">
        <f t="array" ref="E1806">_xlfn.XLOOKUP(D1806,Insumos!B:B,Insumos!C:$C)</f>
        <v/>
      </c>
      <c r="F1806" s="14" t="n">
        <v>5.8278</v>
      </c>
      <c r="G1806" s="92">
        <f t="array" ref="G1806">IF(B1806="insumo",_xlfn.XLOOKUP($D1806,Insumos!$B$1:$B$996,Insumos!$D$1:$D$996),"")</f>
        <v/>
      </c>
      <c r="H1806" s="92" t="n">
        <v>46.505844</v>
      </c>
      <c r="I1806" s="2162" t="n">
        <v>0</v>
      </c>
      <c r="J1806" s="2162" t="n">
        <v>0</v>
      </c>
      <c r="K1806" s="2162" t="n"/>
    </row>
    <row r="1807" outlineLevel="3" ht="15.75" customHeight="1">
      <c r="A1807" s="10" t="n">
        <v>95</v>
      </c>
      <c r="B1807" s="10" t="inlineStr">
        <is>
          <t>Insumo</t>
        </is>
      </c>
      <c r="C1807" s="10" t="inlineStr">
        <is>
          <t>40_DRY 70R/PEU - 8.25 cm  -</t>
        </is>
      </c>
      <c r="D1807" s="10" t="inlineStr">
        <is>
          <t>MASSA DE REJUNTE EM PO PARA DRYWALL, A BASE DE GESSO, SECAGEM RAPIDA, PARA TRATAMENTO DE JUNTAS DE CHAPA DE GESSO (NECESSITA ADICAO DE AGUA)</t>
        </is>
      </c>
      <c r="E1807" s="11">
        <f t="array" ref="E1807">_xlfn.XLOOKUP(D1807,Insumos!B:B,Insumos!C:$C)</f>
        <v/>
      </c>
      <c r="F1807" s="14" t="n">
        <v>0.5489000000000001</v>
      </c>
      <c r="G1807" s="92">
        <f t="array" ref="G1807">IF(B1807="insumo",_xlfn.XLOOKUP($D1807,Insumos!$B$1:$B$996,Insumos!$D$1:$D$996),"")</f>
        <v/>
      </c>
      <c r="H1807" s="92" t="n">
        <v>1.882727</v>
      </c>
      <c r="I1807" s="2162" t="n">
        <v>0</v>
      </c>
      <c r="J1807" s="2162" t="n">
        <v>0</v>
      </c>
      <c r="K1807" s="2162" t="n"/>
    </row>
    <row r="1808" outlineLevel="3" ht="15.75" customHeight="1">
      <c r="A1808" s="10" t="n">
        <v>94</v>
      </c>
      <c r="B1808" s="10" t="inlineStr">
        <is>
          <t>Insumo</t>
        </is>
      </c>
      <c r="C1808" s="10" t="inlineStr">
        <is>
          <t>40_DRY 70R/PEU - 8.25 cm  -</t>
        </is>
      </c>
      <c r="D1808" s="10" t="inlineStr">
        <is>
          <t>FITA DE PAPEL MICROPERFURADO, 50 X 150 MM, PARA TRATAMENTO DE JUNTAS DE CHAPA DE GESSO PARA DRYWALL</t>
        </is>
      </c>
      <c r="E1808" s="11">
        <f t="array" ref="E1808">_xlfn.XLOOKUP(D1808,Insumos!B:B,Insumos!C:$C)</f>
        <v/>
      </c>
      <c r="F1808" s="14" t="n">
        <v>1.25135</v>
      </c>
      <c r="G1808" s="92">
        <f t="array" ref="G1808">IF(B1808="insumo",_xlfn.XLOOKUP($D1808,Insumos!$B$1:$B$996,Insumos!$D$1:$D$996),"")</f>
        <v/>
      </c>
      <c r="H1808" s="92" t="n">
        <v>0.3879185</v>
      </c>
      <c r="I1808" s="2162" t="n">
        <v>0</v>
      </c>
      <c r="J1808" s="2162" t="n">
        <v>0</v>
      </c>
      <c r="K1808" s="2162" t="n"/>
    </row>
    <row r="1809" outlineLevel="3" ht="15.75" customHeight="1">
      <c r="A1809" s="10" t="n">
        <v>94</v>
      </c>
      <c r="B1809" s="10" t="inlineStr">
        <is>
          <t>Insumo</t>
        </is>
      </c>
      <c r="C1809" s="10" t="inlineStr">
        <is>
          <t>40_DRY 70R/PEU - 8.25 cm  -</t>
        </is>
      </c>
      <c r="D1809" s="10" t="inlineStr">
        <is>
          <t>FITA DE PAPEL REFORCADA COM LAMINA DE METAL PARA REFORCO DE CANTOS DE CHAPA DE GESSO PARA DRYWALL</t>
        </is>
      </c>
      <c r="E1809" s="11">
        <f t="array" ref="E1809">_xlfn.XLOOKUP(D1809,Insumos!B:B,Insumos!C:$C)</f>
        <v/>
      </c>
      <c r="F1809" s="14" t="n">
        <v>0.79255</v>
      </c>
      <c r="G1809" s="92">
        <f t="array" ref="G1809">IF(B1809="insumo",_xlfn.XLOOKUP($D1809,Insumos!$B$1:$B$996,Insumos!$D$1:$D$996),"")</f>
        <v/>
      </c>
      <c r="H1809" s="92" t="n">
        <v>2.171587</v>
      </c>
      <c r="I1809" s="2162" t="n">
        <v>0</v>
      </c>
      <c r="J1809" s="2162" t="n">
        <v>0</v>
      </c>
      <c r="K1809" s="2162" t="n"/>
    </row>
    <row r="1810" outlineLevel="3" ht="15.75" customHeight="1">
      <c r="A1810" s="10" t="n">
        <v>97</v>
      </c>
      <c r="B1810" s="10" t="inlineStr">
        <is>
          <t>Insumo</t>
        </is>
      </c>
      <c r="C1810" s="10" t="inlineStr">
        <is>
          <t>40_DRY 70R/PEU - 8.25 cm  -</t>
        </is>
      </c>
      <c r="D1810" s="10" t="inlineStr">
        <is>
          <t>PARAFUSO DRY WALL, EM ACO FOSFATIZADO, CABECA TROMBETA E PONTA AGULHA (TA), COMPRIMENTO 25 MM</t>
        </is>
      </c>
      <c r="E1810" s="11">
        <f t="array" ref="E1810">_xlfn.XLOOKUP(D1810,Insumos!B:B,Insumos!C:$C)</f>
        <v/>
      </c>
      <c r="F1810" s="14" t="n">
        <v>10.0934</v>
      </c>
      <c r="G1810" s="92">
        <f t="array" ref="G1810">IF(B1810="insumo",_xlfn.XLOOKUP($D1810,Insumos!$B$1:$B$996,Insumos!$D$1:$D$996),"")</f>
        <v/>
      </c>
      <c r="H1810" s="92" t="n">
        <v>0.908406</v>
      </c>
      <c r="I1810" s="2162" t="n">
        <v>0</v>
      </c>
      <c r="J1810" s="2162" t="n">
        <v>0</v>
      </c>
      <c r="K1810" s="2162" t="n"/>
    </row>
    <row r="1811" outlineLevel="3" ht="15.75" customHeight="1">
      <c r="A1811" s="10" t="n">
        <v>95</v>
      </c>
      <c r="B1811" s="10" t="inlineStr">
        <is>
          <t>Insumo</t>
        </is>
      </c>
      <c r="C1811" s="10" t="inlineStr">
        <is>
          <t>40_DRY 70R/PEU - 8.25 cm  -</t>
        </is>
      </c>
      <c r="D1811" s="10" t="inlineStr">
        <is>
          <t>PARAFUSO DRY WALL, EM ACO ZINCADO, CABECA LENTILHA E PONTA BROCA (LB), LARGURA 4,2 MM, COMPRIMENTO 13 MM</t>
        </is>
      </c>
      <c r="E1811" s="11">
        <f t="array" ref="E1811">_xlfn.XLOOKUP(D1811,Insumos!B:B,Insumos!C:$C)</f>
        <v/>
      </c>
      <c r="F1811" s="14" t="n">
        <v>0.27205</v>
      </c>
      <c r="G1811" s="92">
        <f t="array" ref="G1811">IF(B1811="insumo",_xlfn.XLOOKUP($D1811,Insumos!$B$1:$B$996,Insumos!$D$1:$D$996),"")</f>
        <v/>
      </c>
      <c r="H1811" s="92" t="n">
        <v>0.05441</v>
      </c>
      <c r="I1811" s="2162" t="n">
        <v>0</v>
      </c>
      <c r="J1811" s="2162" t="n">
        <v>0</v>
      </c>
      <c r="K1811" s="2162" t="n"/>
    </row>
    <row r="1812" outlineLevel="2" ht="15.75" customHeight="1">
      <c r="A1812" s="1067" t="n">
        <v>1</v>
      </c>
      <c r="B1812" s="1067" t="inlineStr">
        <is>
          <t>Serviço</t>
        </is>
      </c>
      <c r="C1812" s="1067" t="inlineStr">
        <is>
          <t>Parede Com Sistema Em Chapas De Gesso Para Drywall, Uso Interno, Montante 90mm, Com Duas Face Simples Standart e isolamento com Lâ de Vidro (ST/90/ST)</t>
        </is>
      </c>
      <c r="D1812" s="1067" t="inlineStr">
        <is>
          <t>Parede Com Sistema Em Chapas De Gesso Para Drywall, Uso Interno, Montante 90mm, Com Duas Face Simples Standart e isolamento com Lâ de Vidro (ST/90/ST)</t>
        </is>
      </c>
      <c r="E1812" s="1068" t="inlineStr">
        <is>
          <t>M2</t>
        </is>
      </c>
      <c r="F1812" s="1067" t="n"/>
      <c r="G1812" s="1069">
        <f t="array" ref="G1812">IF(B1812="insumo",_xlfn.XLOOKUP($D1812,Insumos!$B$1:$B$996,Insumos!$D$1:$D$996),"")</f>
        <v/>
      </c>
      <c r="H1812" s="1069" t="n">
        <v>226.126174666667</v>
      </c>
      <c r="I1812" s="2161" t="n">
        <v>0</v>
      </c>
      <c r="J1812" s="2161" t="n">
        <v>0</v>
      </c>
      <c r="K1812" s="2161" t="n"/>
    </row>
    <row r="1813" outlineLevel="3" ht="15.75" customHeight="1">
      <c r="A1813" s="10" t="n">
        <v>86</v>
      </c>
      <c r="B1813" s="10" t="inlineStr">
        <is>
          <t>Insumo</t>
        </is>
      </c>
      <c r="C1813" s="10" t="inlineStr">
        <is>
          <t>Parede Com Sistema Em Chapas De Gesso Para Drywall, Uso Interno, Montante 90mm, Com Duas Face Simples Standart e isolamento com Lâ de Vidro (ST/90/ST)</t>
        </is>
      </c>
      <c r="D1813" s="10" t="inlineStr">
        <is>
          <t>SERVICO - CONFECCAO SHAFT GESSO</t>
        </is>
      </c>
      <c r="E1813" s="11">
        <f t="array" ref="E1813">_xlfn.XLOOKUP(D1813,Insumos!B:B,Insumos!C:$C)</f>
        <v/>
      </c>
      <c r="F1813" s="14" t="n">
        <v>1</v>
      </c>
      <c r="G1813" s="92">
        <f t="array" ref="G1813">IF(B1813="insumo",_xlfn.XLOOKUP($D1813,Insumos!$B$1:$B$996,Insumos!$D$1:$D$996),"")</f>
        <v/>
      </c>
      <c r="H1813" s="92" t="n">
        <v>70</v>
      </c>
      <c r="I1813" s="2162" t="n">
        <v>0</v>
      </c>
      <c r="J1813" s="2162" t="n">
        <v>0</v>
      </c>
      <c r="K1813" s="2162" t="n"/>
    </row>
    <row r="1814" outlineLevel="3" ht="15.75" customHeight="1">
      <c r="A1814" s="10" t="n">
        <v>47</v>
      </c>
      <c r="B1814" s="10" t="inlineStr">
        <is>
          <t>Insumo</t>
        </is>
      </c>
      <c r="C1814" s="10" t="inlineStr">
        <is>
          <t>Parede Com Sistema Em Chapas De Gesso Para Drywall, Uso Interno, Montante 90mm, Com Duas Face Simples Standart e isolamento com Lâ de Vidro (ST/90/ST)</t>
        </is>
      </c>
      <c r="D1814" s="10" t="inlineStr">
        <is>
          <t>PLACA / CHAPA DE GESSO ACARTONADO, STANDARD (ST), COR BRANCA, E = 12,5 MM, 1200 X 2400 MM (L X C)</t>
        </is>
      </c>
      <c r="E1814" s="11">
        <f t="array" ref="E1814">_xlfn.XLOOKUP(D1814,Insumos!B:B,Insumos!C:$C)</f>
        <v/>
      </c>
      <c r="F1814" s="14" t="n">
        <v>2.106</v>
      </c>
      <c r="G1814" s="92">
        <f t="array" ref="G1814">IF(B1814="insumo",_xlfn.XLOOKUP($D1814,Insumos!$B$1:$B$996,Insumos!$D$1:$D$996),"")</f>
        <v/>
      </c>
      <c r="H1814" s="92" t="n">
        <v>42.45696</v>
      </c>
      <c r="I1814" s="2162" t="n">
        <v>0</v>
      </c>
      <c r="J1814" s="2162" t="n">
        <v>0</v>
      </c>
      <c r="K1814" s="2162" t="n"/>
    </row>
    <row r="1815" outlineLevel="3" ht="15.75" customHeight="1">
      <c r="A1815" s="10" t="n">
        <v>95</v>
      </c>
      <c r="B1815" s="10" t="inlineStr">
        <is>
          <t>Insumo</t>
        </is>
      </c>
      <c r="C1815" s="10" t="inlineStr">
        <is>
          <t>Parede Com Sistema Em Chapas De Gesso Para Drywall, Uso Interno, Montante 90mm, Com Duas Face Simples Standart e isolamento com Lâ de Vidro (ST/90/ST)</t>
        </is>
      </c>
      <c r="D1815" s="10" t="inlineStr">
        <is>
          <t>PINO DE ACO COM ARRUELA CONICA, DIAMETRO ARRUELA = *23* MM E COMP HASTE = *27* MM (ACAO INDIRETA)</t>
        </is>
      </c>
      <c r="E1815" s="11">
        <f t="array" ref="E1815">_xlfn.XLOOKUP(D1815,Insumos!B:B,Insumos!C:$C)</f>
        <v/>
      </c>
      <c r="F1815" s="14" t="n">
        <v>5.92</v>
      </c>
      <c r="G1815" s="92">
        <f t="array" ref="G1815">IF(B1815="insumo",_xlfn.XLOOKUP($D1815,Insumos!$B$1:$B$996,Insumos!$D$1:$D$996),"")</f>
        <v/>
      </c>
      <c r="H1815" s="92" t="n">
        <v>2.98368</v>
      </c>
      <c r="I1815" s="2162" t="n">
        <v>0</v>
      </c>
      <c r="J1815" s="2162" t="n">
        <v>0</v>
      </c>
      <c r="K1815" s="2162" t="n"/>
    </row>
    <row r="1816" outlineLevel="3" ht="15.75" customHeight="1">
      <c r="A1816" s="10" t="n">
        <v>26</v>
      </c>
      <c r="B1816" s="10" t="inlineStr">
        <is>
          <t>Insumo</t>
        </is>
      </c>
      <c r="C1816" s="10" t="inlineStr">
        <is>
          <t>Parede Com Sistema Em Chapas De Gesso Para Drywall, Uso Interno, Montante 90mm, Com Duas Face Simples Standart e isolamento com Lâ de Vidro (ST/90/ST)</t>
        </is>
      </c>
      <c r="D1816" s="10" t="inlineStr">
        <is>
          <t>PERFIL GUIA, FORMATO U, EM ACO ZINCADO, PARA ESTRUTURA PAREDE DRYWALL, E = 0,5 MM, 90 X 3000 MM (L X C)</t>
        </is>
      </c>
      <c r="E1816" s="11">
        <f t="array" ref="E1816">_xlfn.XLOOKUP(D1816,Insumos!B:B,Insumos!C:$C)</f>
        <v/>
      </c>
      <c r="F1816" s="14" t="n">
        <v>1.5248</v>
      </c>
      <c r="G1816" s="92">
        <f t="array" ref="G1816">IF(B1816="insumo",_xlfn.XLOOKUP($D1816,Insumos!$B$1:$B$996,Insumos!$D$1:$D$996),"")</f>
        <v/>
      </c>
      <c r="H1816" s="92" t="n">
        <v>13.174272</v>
      </c>
      <c r="I1816" s="2162" t="n">
        <v>0</v>
      </c>
      <c r="J1816" s="2162" t="n">
        <v>0</v>
      </c>
      <c r="K1816" s="2162" t="n"/>
    </row>
    <row r="1817" outlineLevel="3" ht="15.75" customHeight="1">
      <c r="A1817" s="10" t="n">
        <v>26</v>
      </c>
      <c r="B1817" s="10" t="inlineStr">
        <is>
          <t>Insumo</t>
        </is>
      </c>
      <c r="C1817" s="10" t="inlineStr">
        <is>
          <t>Parede Com Sistema Em Chapas De Gesso Para Drywall, Uso Interno, Montante 90mm, Com Duas Face Simples Standart e isolamento com Lâ de Vidro (ST/90/ST)</t>
        </is>
      </c>
      <c r="D1817" s="10" t="inlineStr">
        <is>
          <t>PERFIL MONTANTE, FORMATO C, EM ACO ZINCADO, PARA ESTRUTURA PAREDE DRYWALL, E = 0,5 MM, 90 X 3000 MM (L X C)</t>
        </is>
      </c>
      <c r="E1817" s="11">
        <f t="array" ref="E1817">_xlfn.XLOOKUP(D1817,Insumos!B:B,Insumos!C:$C)</f>
        <v/>
      </c>
      <c r="F1817" s="14" t="n">
        <v>4.0011</v>
      </c>
      <c r="G1817" s="92">
        <f t="array" ref="G1817">IF(B1817="insumo",_xlfn.XLOOKUP($D1817,Insumos!$B$1:$B$996,Insumos!$D$1:$D$996),"")</f>
        <v/>
      </c>
      <c r="H1817" s="92" t="n">
        <v>72.37989899999999</v>
      </c>
      <c r="I1817" s="2162" t="n">
        <v>0</v>
      </c>
      <c r="J1817" s="2162" t="n">
        <v>0</v>
      </c>
      <c r="K1817" s="2162" t="n"/>
    </row>
    <row r="1818" outlineLevel="3" ht="15.75" customHeight="1">
      <c r="A1818" s="10" t="n">
        <v>95</v>
      </c>
      <c r="B1818" s="10" t="inlineStr">
        <is>
          <t>Insumo</t>
        </is>
      </c>
      <c r="C1818" s="10" t="inlineStr">
        <is>
          <t>Parede Com Sistema Em Chapas De Gesso Para Drywall, Uso Interno, Montante 90mm, Com Duas Face Simples Standart e isolamento com Lâ de Vidro (ST/90/ST)</t>
        </is>
      </c>
      <c r="D1818" s="10" t="inlineStr">
        <is>
          <t>MASSA DE REJUNTE EM PO PARA DRYWALL, A BASE DE GESSO, SECAGEM RAPIDA, PARA TRATAMENTO DE JUNTAS DE CHAPA DE GESSO (NECESSITA ADICAO DE AGUA)</t>
        </is>
      </c>
      <c r="E1818" s="11">
        <f t="array" ref="E1818">_xlfn.XLOOKUP(D1818,Insumos!B:B,Insumos!C:$C)</f>
        <v/>
      </c>
      <c r="F1818" s="14" t="n">
        <v>1.0978</v>
      </c>
      <c r="G1818" s="92">
        <f t="array" ref="G1818">IF(B1818="insumo",_xlfn.XLOOKUP($D1818,Insumos!$B$1:$B$996,Insumos!$D$1:$D$996),"")</f>
        <v/>
      </c>
      <c r="H1818" s="92" t="n">
        <v>3.765454</v>
      </c>
      <c r="I1818" s="2162" t="n">
        <v>0</v>
      </c>
      <c r="J1818" s="2162" t="n">
        <v>0</v>
      </c>
      <c r="K1818" s="2162" t="n"/>
    </row>
    <row r="1819" outlineLevel="3" ht="15.75" customHeight="1">
      <c r="A1819" s="10" t="n">
        <v>94</v>
      </c>
      <c r="B1819" s="10" t="inlineStr">
        <is>
          <t>Insumo</t>
        </is>
      </c>
      <c r="C1819" s="10" t="inlineStr">
        <is>
          <t>Parede Com Sistema Em Chapas De Gesso Para Drywall, Uso Interno, Montante 90mm, Com Duas Face Simples Standart e isolamento com Lâ de Vidro (ST/90/ST)</t>
        </is>
      </c>
      <c r="D1819" s="10" t="inlineStr">
        <is>
          <t>FITA DE PAPEL MICROPERFURADO, 50 X 150 MM, PARA TRATAMENTO DE JUNTAS DE CHAPA DE GESSO PARA DRYWALL</t>
        </is>
      </c>
      <c r="E1819" s="11">
        <f t="array" ref="E1819">_xlfn.XLOOKUP(D1819,Insumos!B:B,Insumos!C:$C)</f>
        <v/>
      </c>
      <c r="F1819" s="14" t="n">
        <v>2.5027</v>
      </c>
      <c r="G1819" s="92">
        <f t="array" ref="G1819">IF(B1819="insumo",_xlfn.XLOOKUP($D1819,Insumos!$B$1:$B$996,Insumos!$D$1:$D$996),"")</f>
        <v/>
      </c>
      <c r="H1819" s="92" t="n">
        <v>0.775837</v>
      </c>
      <c r="I1819" s="2162" t="n">
        <v>0</v>
      </c>
      <c r="J1819" s="2162" t="n">
        <v>0</v>
      </c>
      <c r="K1819" s="2162" t="n"/>
    </row>
    <row r="1820" outlineLevel="3" ht="15.75" customHeight="1">
      <c r="A1820" s="10" t="n">
        <v>94</v>
      </c>
      <c r="B1820" s="10" t="inlineStr">
        <is>
          <t>Insumo</t>
        </is>
      </c>
      <c r="C1820" s="10" t="inlineStr">
        <is>
          <t>Parede Com Sistema Em Chapas De Gesso Para Drywall, Uso Interno, Montante 90mm, Com Duas Face Simples Standart e isolamento com Lâ de Vidro (ST/90/ST)</t>
        </is>
      </c>
      <c r="D1820" s="10" t="inlineStr">
        <is>
          <t>FITA DE PAPEL REFORCADA COM LAMINA DE METAL PARA REFORCO DE CANTOS DE CHAPA DE GESSO PARA DRYWALL</t>
        </is>
      </c>
      <c r="E1820" s="11">
        <f t="array" ref="E1820">_xlfn.XLOOKUP(D1820,Insumos!B:B,Insumos!C:$C)</f>
        <v/>
      </c>
      <c r="F1820" s="14" t="n">
        <v>1.5851</v>
      </c>
      <c r="G1820" s="92">
        <f t="array" ref="G1820">IF(B1820="insumo",_xlfn.XLOOKUP($D1820,Insumos!$B$1:$B$996,Insumos!$D$1:$D$996),"")</f>
        <v/>
      </c>
      <c r="H1820" s="92" t="n">
        <v>4.343174</v>
      </c>
      <c r="I1820" s="2162" t="n">
        <v>0</v>
      </c>
      <c r="J1820" s="2162" t="n">
        <v>0</v>
      </c>
      <c r="K1820" s="2162" t="n"/>
    </row>
    <row r="1821" outlineLevel="3" ht="15.75" customHeight="1">
      <c r="A1821" s="10" t="n">
        <v>97</v>
      </c>
      <c r="B1821" s="10" t="inlineStr">
        <is>
          <t>Insumo</t>
        </is>
      </c>
      <c r="C1821" s="10" t="inlineStr">
        <is>
          <t>Parede Com Sistema Em Chapas De Gesso Para Drywall, Uso Interno, Montante 90mm, Com Duas Face Simples Standart e isolamento com Lâ de Vidro (ST/90/ST)</t>
        </is>
      </c>
      <c r="D1821" s="10" t="inlineStr">
        <is>
          <t>PARAFUSO DRY WALL, EM ACO FOSFATIZADO, CABECA TROMBETA E PONTA AGULHA (TA), COMPRIMENTO 25 MM</t>
        </is>
      </c>
      <c r="E1821" s="11">
        <f t="array" ref="E1821">_xlfn.XLOOKUP(D1821,Insumos!B:B,Insumos!C:$C)</f>
        <v/>
      </c>
      <c r="F1821" s="14" t="n">
        <v>20.1868</v>
      </c>
      <c r="G1821" s="92">
        <f t="array" ref="G1821">IF(B1821="insumo",_xlfn.XLOOKUP($D1821,Insumos!$B$1:$B$996,Insumos!$D$1:$D$996),"")</f>
        <v/>
      </c>
      <c r="H1821" s="92" t="n">
        <v>1.816812</v>
      </c>
      <c r="I1821" s="2162" t="n">
        <v>0</v>
      </c>
      <c r="J1821" s="2162" t="n">
        <v>0</v>
      </c>
      <c r="K1821" s="2162" t="n"/>
    </row>
    <row r="1822" outlineLevel="3" ht="15.75" customHeight="1">
      <c r="A1822" s="10" t="n">
        <v>95</v>
      </c>
      <c r="B1822" s="10" t="inlineStr">
        <is>
          <t>Insumo</t>
        </is>
      </c>
      <c r="C1822" s="10" t="inlineStr">
        <is>
          <t>Parede Com Sistema Em Chapas De Gesso Para Drywall, Uso Interno, Montante 90mm, Com Duas Face Simples Standart e isolamento com Lâ de Vidro (ST/90/ST)</t>
        </is>
      </c>
      <c r="D1822" s="10" t="inlineStr">
        <is>
          <t>PARAFUSO DRY WALL, EM ACO ZINCADO, CABECA LENTILHA E PONTA BROCA (LB), LARGURA 4,2 MM, COMPRIMENTO 13 MM</t>
        </is>
      </c>
      <c r="E1822" s="11">
        <f t="array" ref="E1822">_xlfn.XLOOKUP(D1822,Insumos!B:B,Insumos!C:$C)</f>
        <v/>
      </c>
      <c r="F1822" s="14" t="n">
        <v>0.5441</v>
      </c>
      <c r="G1822" s="92">
        <f t="array" ref="G1822">IF(B1822="insumo",_xlfn.XLOOKUP($D1822,Insumos!$B$1:$B$996,Insumos!$D$1:$D$996),"")</f>
        <v/>
      </c>
      <c r="H1822" s="92" t="n">
        <v>0.10882</v>
      </c>
      <c r="I1822" s="2162" t="n">
        <v>0</v>
      </c>
      <c r="J1822" s="2162" t="n">
        <v>0</v>
      </c>
      <c r="K1822" s="2162" t="n"/>
    </row>
    <row r="1823" outlineLevel="3" ht="15.75" customHeight="1">
      <c r="A1823" s="10" t="n">
        <v>35</v>
      </c>
      <c r="B1823" s="10" t="inlineStr">
        <is>
          <t>Insumo</t>
        </is>
      </c>
      <c r="C1823" s="10" t="inlineStr">
        <is>
          <t>Parede Com Sistema Em Chapas De Gesso Para Drywall, Uso Interno, Montante 90mm, Com Duas Face Simples Standart e isolamento com Lâ de Vidro (ST/90/ST)</t>
        </is>
      </c>
      <c r="D1823" s="10" t="inlineStr">
        <is>
          <t>Lã de pet 50 X 1200 X 12500 MM</t>
        </is>
      </c>
      <c r="E1823" s="11">
        <f t="array" ref="E1823">_xlfn.XLOOKUP(D1823,Insumos!B:B,Insumos!C:$C)</f>
        <v/>
      </c>
      <c r="F1823" s="14" t="n">
        <v>1.1</v>
      </c>
      <c r="G1823" s="92">
        <f t="array" ref="G1823">IF(B1823="insumo",_xlfn.XLOOKUP($D1823,Insumos!$B$1:$B$996,Insumos!$D$1:$D$996),"")</f>
        <v/>
      </c>
      <c r="H1823" s="92" t="n">
        <v>14.3212666666667</v>
      </c>
      <c r="I1823" s="2162" t="n">
        <v>0</v>
      </c>
      <c r="J1823" s="2162" t="n">
        <v>0</v>
      </c>
      <c r="K1823" s="2162" t="n"/>
    </row>
    <row r="1824" outlineLevel="2" ht="15.75" customHeight="1">
      <c r="A1824" s="1067" t="n">
        <v>1</v>
      </c>
      <c r="B1824" s="1067" t="inlineStr">
        <is>
          <t>Serviço</t>
        </is>
      </c>
      <c r="C1824" s="1067" t="inlineStr">
        <is>
          <t>Fechamento de Shaft em Chapas De Gesso Para Drywall, Uso Interno, Montante 90mm, Com Duas Face Simples Resistente à Umidade e isolamento com Lâ de Vidro (RU/90/RU)</t>
        </is>
      </c>
      <c r="D1824" s="1067" t="inlineStr">
        <is>
          <t>Fechamento de Shaft em Chapas De Gesso Para Drywall, Uso Interno, Montante 90mm, Com Duas Face Simples Resistente à Umidade e isolamento com Lâ de Vidro (RU/90/RU)</t>
        </is>
      </c>
      <c r="E1824" s="1068" t="inlineStr">
        <is>
          <t>M2</t>
        </is>
      </c>
      <c r="F1824" s="1067" t="n"/>
      <c r="G1824" s="1069">
        <f t="array" ref="G1824">IF(B1824="insumo",_xlfn.XLOOKUP($D1824,Insumos!$B$1:$B$996,Insumos!$D$1:$D$996),"")</f>
        <v/>
      </c>
      <c r="H1824" s="1069" t="n">
        <v>240.741814666667</v>
      </c>
      <c r="I1824" s="2161" t="n">
        <v>0</v>
      </c>
      <c r="J1824" s="2161" t="n">
        <v>0</v>
      </c>
      <c r="K1824" s="2161" t="n"/>
    </row>
    <row r="1825" outlineLevel="3" ht="15.75" customHeight="1">
      <c r="A1825" s="10" t="n">
        <v>86</v>
      </c>
      <c r="B1825" s="10" t="inlineStr">
        <is>
          <t>Insumo</t>
        </is>
      </c>
      <c r="C1825" s="10" t="inlineStr">
        <is>
          <t>Fechamento de Shaft em Chapas De Gesso Para Drywall, Uso Interno, Montante 90mm, Com Duas Face Simples Resistente à Umidade e isolamento com Lâ de Vidro (RU/90/RU)</t>
        </is>
      </c>
      <c r="D1825" s="10" t="inlineStr">
        <is>
          <t>SERVICO - CONFECCAO SHAFT GESSO</t>
        </is>
      </c>
      <c r="E1825" s="11">
        <f t="array" ref="E1825">_xlfn.XLOOKUP(D1825,Insumos!B:B,Insumos!C:$C)</f>
        <v/>
      </c>
      <c r="F1825" s="14" t="n">
        <v>1</v>
      </c>
      <c r="G1825" s="92">
        <f t="array" ref="G1825">IF(B1825="insumo",_xlfn.XLOOKUP($D1825,Insumos!$B$1:$B$996,Insumos!$D$1:$D$996),"")</f>
        <v/>
      </c>
      <c r="H1825" s="92" t="n">
        <v>70</v>
      </c>
      <c r="I1825" s="2162" t="n">
        <v>0</v>
      </c>
      <c r="J1825" s="2162" t="n">
        <v>0</v>
      </c>
      <c r="K1825" s="2162" t="n"/>
    </row>
    <row r="1826" outlineLevel="3" ht="15.75" customHeight="1">
      <c r="A1826" s="10" t="n">
        <v>49</v>
      </c>
      <c r="B1826" s="10" t="inlineStr">
        <is>
          <t>Insumo</t>
        </is>
      </c>
      <c r="C1826" s="10" t="inlineStr">
        <is>
          <t>Fechamento de Shaft em Chapas De Gesso Para Drywall, Uso Interno, Montante 90mm, Com Duas Face Simples Resistente à Umidade e isolamento com Lâ de Vidro (RU/90/RU)</t>
        </is>
      </c>
      <c r="D1826" s="10" t="inlineStr">
        <is>
          <t>PLACA / CHAPA DE GESSO ACARTONADO, RESISTENTE A UMIDADE (RU), COR VERDE, E = 12,5 MM, 1200 X 2400 MM (L X C)</t>
        </is>
      </c>
      <c r="E1826" s="11">
        <f t="array" ref="E1826">_xlfn.XLOOKUP(D1826,Insumos!B:B,Insumos!C:$C)</f>
        <v/>
      </c>
      <c r="F1826" s="14" t="n">
        <v>2.106</v>
      </c>
      <c r="G1826" s="92">
        <f t="array" ref="G1826">IF(B1826="insumo",_xlfn.XLOOKUP($D1826,Insumos!$B$1:$B$996,Insumos!$D$1:$D$996),"")</f>
        <v/>
      </c>
      <c r="H1826" s="92" t="n">
        <v>57.0726</v>
      </c>
      <c r="I1826" s="2162" t="n">
        <v>0</v>
      </c>
      <c r="J1826" s="2162" t="n">
        <v>0</v>
      </c>
      <c r="K1826" s="2162" t="n"/>
    </row>
    <row r="1827" outlineLevel="3" ht="15.75" customHeight="1">
      <c r="A1827" s="10" t="n">
        <v>95</v>
      </c>
      <c r="B1827" s="10" t="inlineStr">
        <is>
          <t>Insumo</t>
        </is>
      </c>
      <c r="C1827" s="10" t="inlineStr">
        <is>
          <t>Fechamento de Shaft em Chapas De Gesso Para Drywall, Uso Interno, Montante 90mm, Com Duas Face Simples Resistente à Umidade e isolamento com Lâ de Vidro (RU/90/RU)</t>
        </is>
      </c>
      <c r="D1827" s="10" t="inlineStr">
        <is>
          <t>PINO DE ACO COM ARRUELA CONICA, DIAMETRO ARRUELA = *23* MM E COMP HASTE = *27* MM (ACAO INDIRETA)</t>
        </is>
      </c>
      <c r="E1827" s="11">
        <f t="array" ref="E1827">_xlfn.XLOOKUP(D1827,Insumos!B:B,Insumos!C:$C)</f>
        <v/>
      </c>
      <c r="F1827" s="14" t="n">
        <v>5.92</v>
      </c>
      <c r="G1827" s="92">
        <f t="array" ref="G1827">IF(B1827="insumo",_xlfn.XLOOKUP($D1827,Insumos!$B$1:$B$996,Insumos!$D$1:$D$996),"")</f>
        <v/>
      </c>
      <c r="H1827" s="92" t="n">
        <v>2.98368</v>
      </c>
      <c r="I1827" s="2162" t="n">
        <v>0</v>
      </c>
      <c r="J1827" s="2162" t="n">
        <v>0</v>
      </c>
      <c r="K1827" s="2162" t="n"/>
    </row>
    <row r="1828" outlineLevel="3" ht="15.75" customHeight="1">
      <c r="A1828" s="10" t="n">
        <v>26</v>
      </c>
      <c r="B1828" s="10" t="inlineStr">
        <is>
          <t>Insumo</t>
        </is>
      </c>
      <c r="C1828" s="10" t="inlineStr">
        <is>
          <t>Fechamento de Shaft em Chapas De Gesso Para Drywall, Uso Interno, Montante 90mm, Com Duas Face Simples Resistente à Umidade e isolamento com Lâ de Vidro (RU/90/RU)</t>
        </is>
      </c>
      <c r="D1828" s="10" t="inlineStr">
        <is>
          <t>PERFIL GUIA, FORMATO U, EM ACO ZINCADO, PARA ESTRUTURA PAREDE DRYWALL, E = 0,5 MM, 90 X 3000 MM (L X C)</t>
        </is>
      </c>
      <c r="E1828" s="11">
        <f t="array" ref="E1828">_xlfn.XLOOKUP(D1828,Insumos!B:B,Insumos!C:$C)</f>
        <v/>
      </c>
      <c r="F1828" s="14" t="n">
        <v>1.5248</v>
      </c>
      <c r="G1828" s="92">
        <f t="array" ref="G1828">IF(B1828="insumo",_xlfn.XLOOKUP($D1828,Insumos!$B$1:$B$996,Insumos!$D$1:$D$996),"")</f>
        <v/>
      </c>
      <c r="H1828" s="92" t="n">
        <v>13.174272</v>
      </c>
      <c r="I1828" s="2162" t="n">
        <v>0</v>
      </c>
      <c r="J1828" s="2162" t="n">
        <v>0</v>
      </c>
      <c r="K1828" s="2162" t="n"/>
    </row>
    <row r="1829" outlineLevel="3" ht="15.75" customHeight="1">
      <c r="A1829" s="10" t="n">
        <v>26</v>
      </c>
      <c r="B1829" s="10" t="inlineStr">
        <is>
          <t>Insumo</t>
        </is>
      </c>
      <c r="C1829" s="10" t="inlineStr">
        <is>
          <t>Fechamento de Shaft em Chapas De Gesso Para Drywall, Uso Interno, Montante 90mm, Com Duas Face Simples Resistente à Umidade e isolamento com Lâ de Vidro (RU/90/RU)</t>
        </is>
      </c>
      <c r="D1829" s="10" t="inlineStr">
        <is>
          <t>PERFIL MONTANTE, FORMATO C, EM ACO ZINCADO, PARA ESTRUTURA PAREDE DRYWALL, E = 0,5 MM, 90 X 3000 MM (L X C)</t>
        </is>
      </c>
      <c r="E1829" s="11">
        <f t="array" ref="E1829">_xlfn.XLOOKUP(D1829,Insumos!B:B,Insumos!C:$C)</f>
        <v/>
      </c>
      <c r="F1829" s="14" t="n">
        <v>4.0011</v>
      </c>
      <c r="G1829" s="92">
        <f t="array" ref="G1829">IF(B1829="insumo",_xlfn.XLOOKUP($D1829,Insumos!$B$1:$B$996,Insumos!$D$1:$D$996),"")</f>
        <v/>
      </c>
      <c r="H1829" s="92" t="n">
        <v>72.37989899999999</v>
      </c>
      <c r="I1829" s="2162" t="n">
        <v>0</v>
      </c>
      <c r="J1829" s="2162" t="n">
        <v>0</v>
      </c>
      <c r="K1829" s="2162" t="n"/>
    </row>
    <row r="1830" outlineLevel="3" ht="15.75" customHeight="1">
      <c r="A1830" s="10" t="n">
        <v>95</v>
      </c>
      <c r="B1830" s="10" t="inlineStr">
        <is>
          <t>Insumo</t>
        </is>
      </c>
      <c r="C1830" s="10" t="inlineStr">
        <is>
          <t>Fechamento de Shaft em Chapas De Gesso Para Drywall, Uso Interno, Montante 90mm, Com Duas Face Simples Resistente à Umidade e isolamento com Lâ de Vidro (RU/90/RU)</t>
        </is>
      </c>
      <c r="D1830" s="10" t="inlineStr">
        <is>
          <t>MASSA DE REJUNTE EM PO PARA DRYWALL, A BASE DE GESSO, SECAGEM RAPIDA, PARA TRATAMENTO DE JUNTAS DE CHAPA DE GESSO (NECESSITA ADICAO DE AGUA)</t>
        </is>
      </c>
      <c r="E1830" s="11">
        <f t="array" ref="E1830">_xlfn.XLOOKUP(D1830,Insumos!B:B,Insumos!C:$C)</f>
        <v/>
      </c>
      <c r="F1830" s="14" t="n">
        <v>1.0978</v>
      </c>
      <c r="G1830" s="92">
        <f t="array" ref="G1830">IF(B1830="insumo",_xlfn.XLOOKUP($D1830,Insumos!$B$1:$B$996,Insumos!$D$1:$D$996),"")</f>
        <v/>
      </c>
      <c r="H1830" s="92" t="n">
        <v>3.765454</v>
      </c>
      <c r="I1830" s="2162" t="n">
        <v>0</v>
      </c>
      <c r="J1830" s="2162" t="n">
        <v>0</v>
      </c>
      <c r="K1830" s="2162" t="n"/>
    </row>
    <row r="1831" outlineLevel="3" ht="15.75" customHeight="1">
      <c r="A1831" s="10" t="n">
        <v>94</v>
      </c>
      <c r="B1831" s="10" t="inlineStr">
        <is>
          <t>Insumo</t>
        </is>
      </c>
      <c r="C1831" s="10" t="inlineStr">
        <is>
          <t>Fechamento de Shaft em Chapas De Gesso Para Drywall, Uso Interno, Montante 90mm, Com Duas Face Simples Resistente à Umidade e isolamento com Lâ de Vidro (RU/90/RU)</t>
        </is>
      </c>
      <c r="D1831" s="10" t="inlineStr">
        <is>
          <t>FITA DE PAPEL MICROPERFURADO, 50 X 150 MM, PARA TRATAMENTO DE JUNTAS DE CHAPA DE GESSO PARA DRYWALL</t>
        </is>
      </c>
      <c r="E1831" s="11">
        <f t="array" ref="E1831">_xlfn.XLOOKUP(D1831,Insumos!B:B,Insumos!C:$C)</f>
        <v/>
      </c>
      <c r="F1831" s="14" t="n">
        <v>2.5027</v>
      </c>
      <c r="G1831" s="92">
        <f t="array" ref="G1831">IF(B1831="insumo",_xlfn.XLOOKUP($D1831,Insumos!$B$1:$B$996,Insumos!$D$1:$D$996),"")</f>
        <v/>
      </c>
      <c r="H1831" s="92" t="n">
        <v>0.775837</v>
      </c>
      <c r="I1831" s="2162" t="n">
        <v>0</v>
      </c>
      <c r="J1831" s="2162" t="n">
        <v>0</v>
      </c>
      <c r="K1831" s="2162" t="n"/>
    </row>
    <row r="1832" outlineLevel="3" ht="15.75" customHeight="1">
      <c r="A1832" s="10" t="n">
        <v>94</v>
      </c>
      <c r="B1832" s="10" t="inlineStr">
        <is>
          <t>Insumo</t>
        </is>
      </c>
      <c r="C1832" s="10" t="inlineStr">
        <is>
          <t>Fechamento de Shaft em Chapas De Gesso Para Drywall, Uso Interno, Montante 90mm, Com Duas Face Simples Resistente à Umidade e isolamento com Lâ de Vidro (RU/90/RU)</t>
        </is>
      </c>
      <c r="D1832" s="10" t="inlineStr">
        <is>
          <t>FITA DE PAPEL REFORCADA COM LAMINA DE METAL PARA REFORCO DE CANTOS DE CHAPA DE GESSO PARA DRYWALL</t>
        </is>
      </c>
      <c r="E1832" s="11">
        <f t="array" ref="E1832">_xlfn.XLOOKUP(D1832,Insumos!B:B,Insumos!C:$C)</f>
        <v/>
      </c>
      <c r="F1832" s="14" t="n">
        <v>1.5851</v>
      </c>
      <c r="G1832" s="92">
        <f t="array" ref="G1832">IF(B1832="insumo",_xlfn.XLOOKUP($D1832,Insumos!$B$1:$B$996,Insumos!$D$1:$D$996),"")</f>
        <v/>
      </c>
      <c r="H1832" s="92" t="n">
        <v>4.343174</v>
      </c>
      <c r="I1832" s="2162" t="n">
        <v>0</v>
      </c>
      <c r="J1832" s="2162" t="n">
        <v>0</v>
      </c>
      <c r="K1832" s="2162" t="n"/>
    </row>
    <row r="1833" outlineLevel="3" ht="15.75" customHeight="1">
      <c r="A1833" s="10" t="n">
        <v>97</v>
      </c>
      <c r="B1833" s="10" t="inlineStr">
        <is>
          <t>Insumo</t>
        </is>
      </c>
      <c r="C1833" s="10" t="inlineStr">
        <is>
          <t>Fechamento de Shaft em Chapas De Gesso Para Drywall, Uso Interno, Montante 90mm, Com Duas Face Simples Resistente à Umidade e isolamento com Lâ de Vidro (RU/90/RU)</t>
        </is>
      </c>
      <c r="D1833" s="10" t="inlineStr">
        <is>
          <t>PARAFUSO DRY WALL, EM ACO FOSFATIZADO, CABECA TROMBETA E PONTA AGULHA (TA), COMPRIMENTO 25 MM</t>
        </is>
      </c>
      <c r="E1833" s="11">
        <f t="array" ref="E1833">_xlfn.XLOOKUP(D1833,Insumos!B:B,Insumos!C:$C)</f>
        <v/>
      </c>
      <c r="F1833" s="14" t="n">
        <v>20.1868</v>
      </c>
      <c r="G1833" s="92">
        <f t="array" ref="G1833">IF(B1833="insumo",_xlfn.XLOOKUP($D1833,Insumos!$B$1:$B$996,Insumos!$D$1:$D$996),"")</f>
        <v/>
      </c>
      <c r="H1833" s="92" t="n">
        <v>1.816812</v>
      </c>
      <c r="I1833" s="2162" t="n">
        <v>0</v>
      </c>
      <c r="J1833" s="2162" t="n">
        <v>0</v>
      </c>
      <c r="K1833" s="2162" t="n"/>
    </row>
    <row r="1834" outlineLevel="3" ht="15.75" customHeight="1">
      <c r="A1834" s="10" t="n">
        <v>95</v>
      </c>
      <c r="B1834" s="10" t="inlineStr">
        <is>
          <t>Insumo</t>
        </is>
      </c>
      <c r="C1834" s="10" t="inlineStr">
        <is>
          <t>Fechamento de Shaft em Chapas De Gesso Para Drywall, Uso Interno, Montante 90mm, Com Duas Face Simples Resistente à Umidade e isolamento com Lâ de Vidro (RU/90/RU)</t>
        </is>
      </c>
      <c r="D1834" s="10" t="inlineStr">
        <is>
          <t>PARAFUSO DRY WALL, EM ACO ZINCADO, CABECA LENTILHA E PONTA BROCA (LB), LARGURA 4,2 MM, COMPRIMENTO 13 MM</t>
        </is>
      </c>
      <c r="E1834" s="11">
        <f t="array" ref="E1834">_xlfn.XLOOKUP(D1834,Insumos!B:B,Insumos!C:$C)</f>
        <v/>
      </c>
      <c r="F1834" s="14" t="n">
        <v>0.5441</v>
      </c>
      <c r="G1834" s="92">
        <f t="array" ref="G1834">IF(B1834="insumo",_xlfn.XLOOKUP($D1834,Insumos!$B$1:$B$996,Insumos!$D$1:$D$996),"")</f>
        <v/>
      </c>
      <c r="H1834" s="92" t="n">
        <v>0.10882</v>
      </c>
      <c r="I1834" s="2162" t="n">
        <v>0</v>
      </c>
      <c r="J1834" s="2162" t="n">
        <v>0</v>
      </c>
      <c r="K1834" s="2162" t="n"/>
    </row>
    <row r="1835" outlineLevel="3" ht="15.75" customHeight="1">
      <c r="A1835" s="10" t="n">
        <v>35</v>
      </c>
      <c r="B1835" s="10" t="inlineStr">
        <is>
          <t>Insumo</t>
        </is>
      </c>
      <c r="C1835" s="10" t="inlineStr">
        <is>
          <t>Fechamento de Shaft em Chapas De Gesso Para Drywall, Uso Interno, Montante 90mm, Com Duas Face Simples Resistente à Umidade e isolamento com Lâ de Vidro (RU/90/RU)</t>
        </is>
      </c>
      <c r="D1835" s="10" t="inlineStr">
        <is>
          <t>Lã de pet 50 X 1200 X 12500 MM</t>
        </is>
      </c>
      <c r="E1835" s="11">
        <f t="array" ref="E1835">_xlfn.XLOOKUP(D1835,Insumos!B:B,Insumos!C:$C)</f>
        <v/>
      </c>
      <c r="F1835" s="14" t="n">
        <v>1.1</v>
      </c>
      <c r="G1835" s="92">
        <f t="array" ref="G1835">IF(B1835="insumo",_xlfn.XLOOKUP($D1835,Insumos!$B$1:$B$996,Insumos!$D$1:$D$996),"")</f>
        <v/>
      </c>
      <c r="H1835" s="92" t="n">
        <v>14.3212666666667</v>
      </c>
      <c r="I1835" s="2162" t="n">
        <v>0</v>
      </c>
      <c r="J1835" s="2162" t="n">
        <v>0</v>
      </c>
      <c r="K1835" s="2162" t="n"/>
    </row>
    <row r="1836" outlineLevel="2" ht="15.75" customHeight="1">
      <c r="A1836" s="1067" t="n">
        <v>1</v>
      </c>
      <c r="B1836" s="1067" t="inlineStr">
        <is>
          <t>Serviço</t>
        </is>
      </c>
      <c r="C1836" s="1067" t="inlineStr">
        <is>
          <t>35_DRY 90 mm LV, OSSO  -</t>
        </is>
      </c>
      <c r="D1836" s="1067" t="inlineStr">
        <is>
          <t>35_DRY 90 mm LV, OSSO  -</t>
        </is>
      </c>
      <c r="E1836" s="1068" t="inlineStr">
        <is>
          <t>M2</t>
        </is>
      </c>
      <c r="F1836" s="1067" t="n"/>
      <c r="G1836" s="1069">
        <f t="array" ref="G1836">IF(B1836="insumo",_xlfn.XLOOKUP($D1836,Insumos!$B$1:$B$996,Insumos!$D$1:$D$996),"")</f>
        <v/>
      </c>
      <c r="H1836" s="1069" t="n">
        <v>172.967937666667</v>
      </c>
      <c r="I1836" s="2161" t="n">
        <v>0</v>
      </c>
      <c r="J1836" s="2161" t="n">
        <v>0</v>
      </c>
      <c r="K1836" s="2161" t="n"/>
    </row>
    <row r="1837" outlineLevel="3" ht="15.75" customHeight="1">
      <c r="A1837" s="10" t="n">
        <v>86</v>
      </c>
      <c r="B1837" s="10" t="inlineStr">
        <is>
          <t>Insumo</t>
        </is>
      </c>
      <c r="C1837" s="10" t="inlineStr">
        <is>
          <t>35_DRY 90 mm LV, OSSO  -</t>
        </is>
      </c>
      <c r="D1837" s="10" t="inlineStr">
        <is>
          <t>SERVICO - CONFECCAO SHAFT GESSO</t>
        </is>
      </c>
      <c r="E1837" s="11">
        <f t="array" ref="E1837">_xlfn.XLOOKUP(D1837,Insumos!B:B,Insumos!C:$C)</f>
        <v/>
      </c>
      <c r="F1837" s="14" t="n">
        <v>1</v>
      </c>
      <c r="G1837" s="92">
        <f t="array" ref="G1837">IF(B1837="insumo",_xlfn.XLOOKUP($D1837,Insumos!$B$1:$B$996,Insumos!$D$1:$D$996),"")</f>
        <v/>
      </c>
      <c r="H1837" s="92" t="n">
        <v>70</v>
      </c>
      <c r="I1837" s="2162" t="n">
        <v>0</v>
      </c>
      <c r="J1837" s="2162" t="n">
        <v>0</v>
      </c>
      <c r="K1837" s="2162" t="n"/>
    </row>
    <row r="1838" outlineLevel="3" ht="15.75" customHeight="1">
      <c r="A1838" s="10" t="n">
        <v>95</v>
      </c>
      <c r="B1838" s="10" t="inlineStr">
        <is>
          <t>Insumo</t>
        </is>
      </c>
      <c r="C1838" s="10" t="inlineStr">
        <is>
          <t>35_DRY 90 mm LV, OSSO  -</t>
        </is>
      </c>
      <c r="D1838" s="10" t="inlineStr">
        <is>
          <t>PINO DE ACO COM ARRUELA CONICA, DIAMETRO ARRUELA = *23* MM E COMP HASTE = *27* MM (ACAO INDIRETA)</t>
        </is>
      </c>
      <c r="E1838" s="11">
        <f t="array" ref="E1838">_xlfn.XLOOKUP(D1838,Insumos!B:B,Insumos!C:$C)</f>
        <v/>
      </c>
      <c r="F1838" s="14" t="n">
        <v>5.92</v>
      </c>
      <c r="G1838" s="92">
        <f t="array" ref="G1838">IF(B1838="insumo",_xlfn.XLOOKUP($D1838,Insumos!$B$1:$B$996,Insumos!$D$1:$D$996),"")</f>
        <v/>
      </c>
      <c r="H1838" s="92" t="n">
        <v>2.98368</v>
      </c>
      <c r="I1838" s="2162" t="n">
        <v>0</v>
      </c>
      <c r="J1838" s="2162" t="n">
        <v>0</v>
      </c>
      <c r="K1838" s="2162" t="n"/>
    </row>
    <row r="1839" outlineLevel="3" ht="15.75" customHeight="1">
      <c r="A1839" s="10" t="n">
        <v>26</v>
      </c>
      <c r="B1839" s="10" t="inlineStr">
        <is>
          <t>Insumo</t>
        </is>
      </c>
      <c r="C1839" s="10" t="inlineStr">
        <is>
          <t>35_DRY 90 mm LV, OSSO  -</t>
        </is>
      </c>
      <c r="D1839" s="10" t="inlineStr">
        <is>
          <t>PERFIL GUIA, FORMATO U, EM ACO ZINCADO, PARA ESTRUTURA PAREDE DRYWALL, E = 0,5 MM, 90 X 3000 MM (L X C)</t>
        </is>
      </c>
      <c r="E1839" s="11">
        <f t="array" ref="E1839">_xlfn.XLOOKUP(D1839,Insumos!B:B,Insumos!C:$C)</f>
        <v/>
      </c>
      <c r="F1839" s="14" t="n">
        <v>1.5248</v>
      </c>
      <c r="G1839" s="92">
        <f t="array" ref="G1839">IF(B1839="insumo",_xlfn.XLOOKUP($D1839,Insumos!$B$1:$B$996,Insumos!$D$1:$D$996),"")</f>
        <v/>
      </c>
      <c r="H1839" s="92" t="n">
        <v>13.174272</v>
      </c>
      <c r="I1839" s="2162" t="n">
        <v>0</v>
      </c>
      <c r="J1839" s="2162" t="n">
        <v>0</v>
      </c>
      <c r="K1839" s="2162" t="n"/>
    </row>
    <row r="1840" outlineLevel="3" ht="15.75" customHeight="1">
      <c r="A1840" s="10" t="n">
        <v>26</v>
      </c>
      <c r="B1840" s="10" t="inlineStr">
        <is>
          <t>Insumo</t>
        </is>
      </c>
      <c r="C1840" s="10" t="inlineStr">
        <is>
          <t>35_DRY 90 mm LV, OSSO  -</t>
        </is>
      </c>
      <c r="D1840" s="10" t="inlineStr">
        <is>
          <t>PERFIL MONTANTE, FORMATO C, EM ACO ZINCADO, PARA ESTRUTURA PAREDE DRYWALL, E = 0,5 MM, 90 X 3000 MM (L X C)</t>
        </is>
      </c>
      <c r="E1840" s="11">
        <f t="array" ref="E1840">_xlfn.XLOOKUP(D1840,Insumos!B:B,Insumos!C:$C)</f>
        <v/>
      </c>
      <c r="F1840" s="14" t="n">
        <v>4.0011</v>
      </c>
      <c r="G1840" s="92">
        <f t="array" ref="G1840">IF(B1840="insumo",_xlfn.XLOOKUP($D1840,Insumos!$B$1:$B$996,Insumos!$D$1:$D$996),"")</f>
        <v/>
      </c>
      <c r="H1840" s="92" t="n">
        <v>72.37989899999999</v>
      </c>
      <c r="I1840" s="2162" t="n">
        <v>0</v>
      </c>
      <c r="J1840" s="2162" t="n">
        <v>0</v>
      </c>
      <c r="K1840" s="2162" t="n"/>
    </row>
    <row r="1841" outlineLevel="3" ht="15.75" customHeight="1">
      <c r="A1841" s="10" t="n">
        <v>95</v>
      </c>
      <c r="B1841" s="10" t="inlineStr">
        <is>
          <t>Insumo</t>
        </is>
      </c>
      <c r="C1841" s="10" t="inlineStr">
        <is>
          <t>35_DRY 90 mm LV, OSSO  -</t>
        </is>
      </c>
      <c r="D1841" s="10" t="inlineStr">
        <is>
          <t>PARAFUSO DRY WALL, EM ACO ZINCADO, CABECA LENTILHA E PONTA BROCA (LB), LARGURA 4,2 MM, COMPRIMENTO 13 MM</t>
        </is>
      </c>
      <c r="E1841" s="11">
        <f t="array" ref="E1841">_xlfn.XLOOKUP(D1841,Insumos!B:B,Insumos!C:$C)</f>
        <v/>
      </c>
      <c r="F1841" s="14" t="n">
        <v>0.5441</v>
      </c>
      <c r="G1841" s="92">
        <f t="array" ref="G1841">IF(B1841="insumo",_xlfn.XLOOKUP($D1841,Insumos!$B$1:$B$996,Insumos!$D$1:$D$996),"")</f>
        <v/>
      </c>
      <c r="H1841" s="92" t="n">
        <v>0.10882</v>
      </c>
      <c r="I1841" s="2162" t="n">
        <v>0</v>
      </c>
      <c r="J1841" s="2162" t="n">
        <v>0</v>
      </c>
      <c r="K1841" s="2162" t="n"/>
    </row>
    <row r="1842" outlineLevel="3" ht="15.75" customHeight="1">
      <c r="A1842" s="10" t="n">
        <v>35</v>
      </c>
      <c r="B1842" s="10" t="inlineStr">
        <is>
          <t>Insumo</t>
        </is>
      </c>
      <c r="C1842" s="10" t="inlineStr">
        <is>
          <t>35_DRY 90 mm LV, OSSO  -</t>
        </is>
      </c>
      <c r="D1842" s="10" t="inlineStr">
        <is>
          <t>Lã de pet 50 X 1200 X 12500 MM</t>
        </is>
      </c>
      <c r="E1842" s="11">
        <f t="array" ref="E1842">_xlfn.XLOOKUP(D1842,Insumos!B:B,Insumos!C:$C)</f>
        <v/>
      </c>
      <c r="F1842" s="14" t="n">
        <v>1.1</v>
      </c>
      <c r="G1842" s="92">
        <f t="array" ref="G1842">IF(B1842="insumo",_xlfn.XLOOKUP($D1842,Insumos!$B$1:$B$996,Insumos!$D$1:$D$996),"")</f>
        <v/>
      </c>
      <c r="H1842" s="92" t="n">
        <v>14.3212666666667</v>
      </c>
      <c r="I1842" s="2162" t="n">
        <v>0</v>
      </c>
      <c r="J1842" s="2162" t="n">
        <v>0</v>
      </c>
      <c r="K1842" s="2162" t="n"/>
    </row>
    <row r="1843" outlineLevel="2" ht="15.75" customHeight="1">
      <c r="A1843" s="1067" t="n">
        <v>1</v>
      </c>
      <c r="B1843" s="1067" t="inlineStr">
        <is>
          <t>Serviço</t>
        </is>
      </c>
      <c r="C1843" s="1067" t="inlineStr">
        <is>
          <t>36_DRY 90 mm LV - 2 PLACAS - 11,50cm  -  Lado A: PLACA PERFORMANCE RU - Lado B: PLACA PERFORMANCE RU</t>
        </is>
      </c>
      <c r="D1843" s="1067" t="inlineStr">
        <is>
          <t>36_DRY 90 mm LV - 2 PLACAS - 11,50cm  -  Lado A: PLACA PERFORMANCE RU - Lado B: PLACA PERFORMANCE RU</t>
        </is>
      </c>
      <c r="E1843" s="1068" t="inlineStr">
        <is>
          <t>M2</t>
        </is>
      </c>
      <c r="F1843" s="1067" t="n"/>
      <c r="G1843" s="1069">
        <f t="array" ref="G1843">IF(B1843="insumo",_xlfn.XLOOKUP($D1843,Insumos!$B$1:$B$996,Insumos!$D$1:$D$996),"")</f>
        <v/>
      </c>
      <c r="H1843" s="1069" t="n">
        <v>240.741814666667</v>
      </c>
      <c r="I1843" s="2161" t="n">
        <v>0</v>
      </c>
      <c r="J1843" s="2161" t="n">
        <v>0</v>
      </c>
      <c r="K1843" s="2161" t="n"/>
    </row>
    <row r="1844" outlineLevel="3" ht="15.75" customHeight="1">
      <c r="A1844" s="10" t="n">
        <v>86</v>
      </c>
      <c r="B1844" s="10" t="inlineStr">
        <is>
          <t>Insumo</t>
        </is>
      </c>
      <c r="C1844" s="10" t="inlineStr">
        <is>
          <t>36_DRY 90 mm LV - 2 PLACAS - 11,50cm  -  Lado A: PLACA PERFORMANCE RU - Lado B: PLACA PERFORMANCE RU</t>
        </is>
      </c>
      <c r="D1844" s="10" t="inlineStr">
        <is>
          <t>SERVICO - CONFECCAO SHAFT GESSO</t>
        </is>
      </c>
      <c r="E1844" s="11">
        <f t="array" ref="E1844">_xlfn.XLOOKUP(D1844,Insumos!B:B,Insumos!C:$C)</f>
        <v/>
      </c>
      <c r="F1844" s="14" t="n">
        <v>1</v>
      </c>
      <c r="G1844" s="92">
        <f t="array" ref="G1844">IF(B1844="insumo",_xlfn.XLOOKUP($D1844,Insumos!$B$1:$B$996,Insumos!$D$1:$D$996),"")</f>
        <v/>
      </c>
      <c r="H1844" s="92" t="n">
        <v>70</v>
      </c>
      <c r="I1844" s="2162" t="n">
        <v>0</v>
      </c>
      <c r="J1844" s="2162" t="n">
        <v>0</v>
      </c>
      <c r="K1844" s="2162" t="n"/>
    </row>
    <row r="1845" outlineLevel="3" ht="15.75" customHeight="1">
      <c r="A1845" s="10" t="n">
        <v>49</v>
      </c>
      <c r="B1845" s="10" t="inlineStr">
        <is>
          <t>Insumo</t>
        </is>
      </c>
      <c r="C1845" s="10" t="inlineStr">
        <is>
          <t>36_DRY 90 mm LV - 2 PLACAS - 11,50cm  -  Lado A: PLACA PERFORMANCE RU - Lado B: PLACA PERFORMANCE RU</t>
        </is>
      </c>
      <c r="D1845" s="10" t="inlineStr">
        <is>
          <t>PLACA / CHAPA DE GESSO ACARTONADO, RESISTENTE A UMIDADE (RU), COR VERDE, E = 12,5 MM, 1200 X 2400 MM (L X C)</t>
        </is>
      </c>
      <c r="E1845" s="11">
        <f t="array" ref="E1845">_xlfn.XLOOKUP(D1845,Insumos!B:B,Insumos!C:$C)</f>
        <v/>
      </c>
      <c r="F1845" s="14" t="n">
        <v>2.106</v>
      </c>
      <c r="G1845" s="92">
        <f t="array" ref="G1845">IF(B1845="insumo",_xlfn.XLOOKUP($D1845,Insumos!$B$1:$B$996,Insumos!$D$1:$D$996),"")</f>
        <v/>
      </c>
      <c r="H1845" s="92" t="n">
        <v>57.0726</v>
      </c>
      <c r="I1845" s="2162" t="n">
        <v>0</v>
      </c>
      <c r="J1845" s="2162" t="n">
        <v>0</v>
      </c>
      <c r="K1845" s="2162" t="n"/>
    </row>
    <row r="1846" outlineLevel="3" ht="15.75" customHeight="1">
      <c r="A1846" s="10" t="n">
        <v>95</v>
      </c>
      <c r="B1846" s="10" t="inlineStr">
        <is>
          <t>Insumo</t>
        </is>
      </c>
      <c r="C1846" s="10" t="inlineStr">
        <is>
          <t>36_DRY 90 mm LV - 2 PLACAS - 11,50cm  -  Lado A: PLACA PERFORMANCE RU - Lado B: PLACA PERFORMANCE RU</t>
        </is>
      </c>
      <c r="D1846" s="10" t="inlineStr">
        <is>
          <t>PINO DE ACO COM ARRUELA CONICA, DIAMETRO ARRUELA = *23* MM E COMP HASTE = *27* MM (ACAO INDIRETA)</t>
        </is>
      </c>
      <c r="E1846" s="11">
        <f t="array" ref="E1846">_xlfn.XLOOKUP(D1846,Insumos!B:B,Insumos!C:$C)</f>
        <v/>
      </c>
      <c r="F1846" s="14" t="n">
        <v>5.92</v>
      </c>
      <c r="G1846" s="92">
        <f t="array" ref="G1846">IF(B1846="insumo",_xlfn.XLOOKUP($D1846,Insumos!$B$1:$B$996,Insumos!$D$1:$D$996),"")</f>
        <v/>
      </c>
      <c r="H1846" s="92" t="n">
        <v>2.98368</v>
      </c>
      <c r="I1846" s="2162" t="n">
        <v>0</v>
      </c>
      <c r="J1846" s="2162" t="n">
        <v>0</v>
      </c>
      <c r="K1846" s="2162" t="n"/>
    </row>
    <row r="1847" outlineLevel="3" ht="15.75" customHeight="1">
      <c r="A1847" s="10" t="n">
        <v>26</v>
      </c>
      <c r="B1847" s="10" t="inlineStr">
        <is>
          <t>Insumo</t>
        </is>
      </c>
      <c r="C1847" s="10" t="inlineStr">
        <is>
          <t>36_DRY 90 mm LV - 2 PLACAS - 11,50cm  -  Lado A: PLACA PERFORMANCE RU - Lado B: PLACA PERFORMANCE RU</t>
        </is>
      </c>
      <c r="D1847" s="10" t="inlineStr">
        <is>
          <t>PERFIL GUIA, FORMATO U, EM ACO ZINCADO, PARA ESTRUTURA PAREDE DRYWALL, E = 0,5 MM, 90 X 3000 MM (L X C)</t>
        </is>
      </c>
      <c r="E1847" s="11">
        <f t="array" ref="E1847">_xlfn.XLOOKUP(D1847,Insumos!B:B,Insumos!C:$C)</f>
        <v/>
      </c>
      <c r="F1847" s="14" t="n">
        <v>1.5248</v>
      </c>
      <c r="G1847" s="92">
        <f t="array" ref="G1847">IF(B1847="insumo",_xlfn.XLOOKUP($D1847,Insumos!$B$1:$B$996,Insumos!$D$1:$D$996),"")</f>
        <v/>
      </c>
      <c r="H1847" s="92" t="n">
        <v>13.174272</v>
      </c>
      <c r="I1847" s="2162" t="n">
        <v>0</v>
      </c>
      <c r="J1847" s="2162" t="n">
        <v>0</v>
      </c>
      <c r="K1847" s="2162" t="n"/>
    </row>
    <row r="1848" outlineLevel="3" ht="15.75" customHeight="1">
      <c r="A1848" s="10" t="n">
        <v>26</v>
      </c>
      <c r="B1848" s="10" t="inlineStr">
        <is>
          <t>Insumo</t>
        </is>
      </c>
      <c r="C1848" s="10" t="inlineStr">
        <is>
          <t>36_DRY 90 mm LV - 2 PLACAS - 11,50cm  -  Lado A: PLACA PERFORMANCE RU - Lado B: PLACA PERFORMANCE RU</t>
        </is>
      </c>
      <c r="D1848" s="10" t="inlineStr">
        <is>
          <t>PERFIL MONTANTE, FORMATO C, EM ACO ZINCADO, PARA ESTRUTURA PAREDE DRYWALL, E = 0,5 MM, 90 X 3000 MM (L X C)</t>
        </is>
      </c>
      <c r="E1848" s="11">
        <f t="array" ref="E1848">_xlfn.XLOOKUP(D1848,Insumos!B:B,Insumos!C:$C)</f>
        <v/>
      </c>
      <c r="F1848" s="14" t="n">
        <v>4.0011</v>
      </c>
      <c r="G1848" s="92">
        <f t="array" ref="G1848">IF(B1848="insumo",_xlfn.XLOOKUP($D1848,Insumos!$B$1:$B$996,Insumos!$D$1:$D$996),"")</f>
        <v/>
      </c>
      <c r="H1848" s="92" t="n">
        <v>72.37989899999999</v>
      </c>
      <c r="I1848" s="2162" t="n">
        <v>0</v>
      </c>
      <c r="J1848" s="2162" t="n">
        <v>0</v>
      </c>
      <c r="K1848" s="2162" t="n"/>
    </row>
    <row r="1849" outlineLevel="3" ht="15.75" customHeight="1">
      <c r="A1849" s="10" t="n">
        <v>95</v>
      </c>
      <c r="B1849" s="10" t="inlineStr">
        <is>
          <t>Insumo</t>
        </is>
      </c>
      <c r="C1849" s="10" t="inlineStr">
        <is>
          <t>36_DRY 90 mm LV - 2 PLACAS - 11,50cm  -  Lado A: PLACA PERFORMANCE RU - Lado B: PLACA PERFORMANCE RU</t>
        </is>
      </c>
      <c r="D1849" s="10" t="inlineStr">
        <is>
          <t>MASSA DE REJUNTE EM PO PARA DRYWALL, A BASE DE GESSO, SECAGEM RAPIDA, PARA TRATAMENTO DE JUNTAS DE CHAPA DE GESSO (NECESSITA ADICAO DE AGUA)</t>
        </is>
      </c>
      <c r="E1849" s="11">
        <f t="array" ref="E1849">_xlfn.XLOOKUP(D1849,Insumos!B:B,Insumos!C:$C)</f>
        <v/>
      </c>
      <c r="F1849" s="14" t="n">
        <v>1.0978</v>
      </c>
      <c r="G1849" s="92">
        <f t="array" ref="G1849">IF(B1849="insumo",_xlfn.XLOOKUP($D1849,Insumos!$B$1:$B$996,Insumos!$D$1:$D$996),"")</f>
        <v/>
      </c>
      <c r="H1849" s="92" t="n">
        <v>3.765454</v>
      </c>
      <c r="I1849" s="2162" t="n">
        <v>0</v>
      </c>
      <c r="J1849" s="2162" t="n">
        <v>0</v>
      </c>
      <c r="K1849" s="2162" t="n"/>
    </row>
    <row r="1850" outlineLevel="3" ht="15.75" customHeight="1">
      <c r="A1850" s="10" t="n">
        <v>94</v>
      </c>
      <c r="B1850" s="10" t="inlineStr">
        <is>
          <t>Insumo</t>
        </is>
      </c>
      <c r="C1850" s="10" t="inlineStr">
        <is>
          <t>36_DRY 90 mm LV - 2 PLACAS - 11,50cm  -  Lado A: PLACA PERFORMANCE RU - Lado B: PLACA PERFORMANCE RU</t>
        </is>
      </c>
      <c r="D1850" s="10" t="inlineStr">
        <is>
          <t>FITA DE PAPEL MICROPERFURADO, 50 X 150 MM, PARA TRATAMENTO DE JUNTAS DE CHAPA DE GESSO PARA DRYWALL</t>
        </is>
      </c>
      <c r="E1850" s="11">
        <f t="array" ref="E1850">_xlfn.XLOOKUP(D1850,Insumos!B:B,Insumos!C:$C)</f>
        <v/>
      </c>
      <c r="F1850" s="14" t="n">
        <v>2.5027</v>
      </c>
      <c r="G1850" s="92">
        <f t="array" ref="G1850">IF(B1850="insumo",_xlfn.XLOOKUP($D1850,Insumos!$B$1:$B$996,Insumos!$D$1:$D$996),"")</f>
        <v/>
      </c>
      <c r="H1850" s="92" t="n">
        <v>0.775837</v>
      </c>
      <c r="I1850" s="2162" t="n">
        <v>0</v>
      </c>
      <c r="J1850" s="2162" t="n">
        <v>0</v>
      </c>
      <c r="K1850" s="2162" t="n"/>
    </row>
    <row r="1851" outlineLevel="3" ht="15.75" customHeight="1">
      <c r="A1851" s="10" t="n">
        <v>94</v>
      </c>
      <c r="B1851" s="10" t="inlineStr">
        <is>
          <t>Insumo</t>
        </is>
      </c>
      <c r="C1851" s="10" t="inlineStr">
        <is>
          <t>36_DRY 90 mm LV - 2 PLACAS - 11,50cm  -  Lado A: PLACA PERFORMANCE RU - Lado B: PLACA PERFORMANCE RU</t>
        </is>
      </c>
      <c r="D1851" s="10" t="inlineStr">
        <is>
          <t>FITA DE PAPEL REFORCADA COM LAMINA DE METAL PARA REFORCO DE CANTOS DE CHAPA DE GESSO PARA DRYWALL</t>
        </is>
      </c>
      <c r="E1851" s="11">
        <f t="array" ref="E1851">_xlfn.XLOOKUP(D1851,Insumos!B:B,Insumos!C:$C)</f>
        <v/>
      </c>
      <c r="F1851" s="14" t="n">
        <v>1.5851</v>
      </c>
      <c r="G1851" s="92">
        <f t="array" ref="G1851">IF(B1851="insumo",_xlfn.XLOOKUP($D1851,Insumos!$B$1:$B$996,Insumos!$D$1:$D$996),"")</f>
        <v/>
      </c>
      <c r="H1851" s="92" t="n">
        <v>4.343174</v>
      </c>
      <c r="I1851" s="2162" t="n">
        <v>0</v>
      </c>
      <c r="J1851" s="2162" t="n">
        <v>0</v>
      </c>
      <c r="K1851" s="2162" t="n"/>
    </row>
    <row r="1852" outlineLevel="3" ht="15.75" customHeight="1">
      <c r="A1852" s="10" t="n">
        <v>97</v>
      </c>
      <c r="B1852" s="10" t="inlineStr">
        <is>
          <t>Insumo</t>
        </is>
      </c>
      <c r="C1852" s="10" t="inlineStr">
        <is>
          <t>36_DRY 90 mm LV - 2 PLACAS - 11,50cm  -  Lado A: PLACA PERFORMANCE RU - Lado B: PLACA PERFORMANCE RU</t>
        </is>
      </c>
      <c r="D1852" s="10" t="inlineStr">
        <is>
          <t>PARAFUSO DRY WALL, EM ACO FOSFATIZADO, CABECA TROMBETA E PONTA AGULHA (TA), COMPRIMENTO 25 MM</t>
        </is>
      </c>
      <c r="E1852" s="11">
        <f t="array" ref="E1852">_xlfn.XLOOKUP(D1852,Insumos!B:B,Insumos!C:$C)</f>
        <v/>
      </c>
      <c r="F1852" s="14" t="n">
        <v>20.1868</v>
      </c>
      <c r="G1852" s="92">
        <f t="array" ref="G1852">IF(B1852="insumo",_xlfn.XLOOKUP($D1852,Insumos!$B$1:$B$996,Insumos!$D$1:$D$996),"")</f>
        <v/>
      </c>
      <c r="H1852" s="92" t="n">
        <v>1.816812</v>
      </c>
      <c r="I1852" s="2162" t="n">
        <v>0</v>
      </c>
      <c r="J1852" s="2162" t="n">
        <v>0</v>
      </c>
      <c r="K1852" s="2162" t="n"/>
    </row>
    <row r="1853" outlineLevel="3" ht="15.75" customHeight="1">
      <c r="A1853" s="10" t="n">
        <v>95</v>
      </c>
      <c r="B1853" s="10" t="inlineStr">
        <is>
          <t>Insumo</t>
        </is>
      </c>
      <c r="C1853" s="10" t="inlineStr">
        <is>
          <t>36_DRY 90 mm LV - 2 PLACAS - 11,50cm  -  Lado A: PLACA PERFORMANCE RU - Lado B: PLACA PERFORMANCE RU</t>
        </is>
      </c>
      <c r="D1853" s="10" t="inlineStr">
        <is>
          <t>PARAFUSO DRY WALL, EM ACO ZINCADO, CABECA LENTILHA E PONTA BROCA (LB), LARGURA 4,2 MM, COMPRIMENTO 13 MM</t>
        </is>
      </c>
      <c r="E1853" s="11">
        <f t="array" ref="E1853">_xlfn.XLOOKUP(D1853,Insumos!B:B,Insumos!C:$C)</f>
        <v/>
      </c>
      <c r="F1853" s="14" t="n">
        <v>0.5441</v>
      </c>
      <c r="G1853" s="92">
        <f t="array" ref="G1853">IF(B1853="insumo",_xlfn.XLOOKUP($D1853,Insumos!$B$1:$B$996,Insumos!$D$1:$D$996),"")</f>
        <v/>
      </c>
      <c r="H1853" s="92" t="n">
        <v>0.10882</v>
      </c>
      <c r="I1853" s="2162" t="n">
        <v>0</v>
      </c>
      <c r="J1853" s="2162" t="n">
        <v>0</v>
      </c>
      <c r="K1853" s="2162" t="n"/>
    </row>
    <row r="1854" outlineLevel="3" ht="15.75" customHeight="1">
      <c r="A1854" s="10" t="n">
        <v>35</v>
      </c>
      <c r="B1854" s="10" t="inlineStr">
        <is>
          <t>Insumo</t>
        </is>
      </c>
      <c r="C1854" s="10" t="inlineStr">
        <is>
          <t>36_DRY 90 mm LV - 2 PLACAS - 11,50cm  -  Lado A: PLACA PERFORMANCE RU - Lado B: PLACA PERFORMANCE RU</t>
        </is>
      </c>
      <c r="D1854" s="10" t="inlineStr">
        <is>
          <t>Lã de pet 50 X 1200 X 12500 MM</t>
        </is>
      </c>
      <c r="E1854" s="11">
        <f t="array" ref="E1854">_xlfn.XLOOKUP(D1854,Insumos!B:B,Insumos!C:$C)</f>
        <v/>
      </c>
      <c r="F1854" s="14" t="n">
        <v>1.1</v>
      </c>
      <c r="G1854" s="92">
        <f t="array" ref="G1854">IF(B1854="insumo",_xlfn.XLOOKUP($D1854,Insumos!$B$1:$B$996,Insumos!$D$1:$D$996),"")</f>
        <v/>
      </c>
      <c r="H1854" s="92" t="n">
        <v>14.3212666666667</v>
      </c>
      <c r="I1854" s="2162" t="n">
        <v>0</v>
      </c>
      <c r="J1854" s="2162" t="n">
        <v>0</v>
      </c>
      <c r="K1854" s="2162" t="n"/>
    </row>
    <row r="1855" outlineLevel="2" ht="15.75" customHeight="1">
      <c r="A1855" s="1067" t="n">
        <v>1</v>
      </c>
      <c r="B1855" s="1067" t="inlineStr">
        <is>
          <t>Serviço</t>
        </is>
      </c>
      <c r="C1855" s="1067" t="inlineStr">
        <is>
          <t>36_DRY 90 mm LV - 2 PLACAS - 11,50cm  -  Lado A: PLACA PERFORMANCE RU - Lado B: PLACA RU</t>
        </is>
      </c>
      <c r="D1855" s="1067" t="inlineStr">
        <is>
          <t>36_DRY 90 mm LV - 2 PLACAS - 11,50cm  -  Lado A: PLACA PERFORMANCE RU - Lado B: PLACA RU</t>
        </is>
      </c>
      <c r="E1855" s="1068" t="inlineStr">
        <is>
          <t>M2</t>
        </is>
      </c>
      <c r="F1855" s="1067" t="n"/>
      <c r="G1855" s="1069">
        <f t="array" ref="G1855">IF(B1855="insumo",_xlfn.XLOOKUP($D1855,Insumos!$B$1:$B$996,Insumos!$D$1:$D$996),"")</f>
        <v/>
      </c>
      <c r="H1855" s="1069" t="n">
        <v>240.741814666667</v>
      </c>
      <c r="I1855" s="2161" t="n">
        <v>0</v>
      </c>
      <c r="J1855" s="2161" t="n">
        <v>0</v>
      </c>
      <c r="K1855" s="2161" t="n"/>
    </row>
    <row r="1856" outlineLevel="3" ht="15.75" customHeight="1">
      <c r="A1856" s="10" t="n">
        <v>86</v>
      </c>
      <c r="B1856" s="10" t="inlineStr">
        <is>
          <t>Insumo</t>
        </is>
      </c>
      <c r="C1856" s="10" t="inlineStr">
        <is>
          <t>36_DRY 90 mm LV - 2 PLACAS - 11,50cm  -  Lado A: PLACA PERFORMANCE RU - Lado B: PLACA RU</t>
        </is>
      </c>
      <c r="D1856" s="10" t="inlineStr">
        <is>
          <t>SERVICO - CONFECCAO SHAFT GESSO</t>
        </is>
      </c>
      <c r="E1856" s="11">
        <f t="array" ref="E1856">_xlfn.XLOOKUP(D1856,Insumos!B:B,Insumos!C:$C)</f>
        <v/>
      </c>
      <c r="F1856" s="14" t="n">
        <v>1</v>
      </c>
      <c r="G1856" s="92">
        <f t="array" ref="G1856">IF(B1856="insumo",_xlfn.XLOOKUP($D1856,Insumos!$B$1:$B$996,Insumos!$D$1:$D$996),"")</f>
        <v/>
      </c>
      <c r="H1856" s="92" t="n">
        <v>70</v>
      </c>
      <c r="I1856" s="2162" t="n">
        <v>0</v>
      </c>
      <c r="J1856" s="2162" t="n">
        <v>0</v>
      </c>
      <c r="K1856" s="2162" t="n"/>
    </row>
    <row r="1857" outlineLevel="3" ht="15.75" customHeight="1">
      <c r="A1857" s="10" t="n">
        <v>49</v>
      </c>
      <c r="B1857" s="10" t="inlineStr">
        <is>
          <t>Insumo</t>
        </is>
      </c>
      <c r="C1857" s="10" t="inlineStr">
        <is>
          <t>36_DRY 90 mm LV - 2 PLACAS - 11,50cm  -  Lado A: PLACA PERFORMANCE RU - Lado B: PLACA RU</t>
        </is>
      </c>
      <c r="D1857" s="10" t="inlineStr">
        <is>
          <t>PLACA / CHAPA DE GESSO ACARTONADO, RESISTENTE A UMIDADE (RU), COR VERDE, E = 12,5 MM, 1200 X 2400 MM (L X C)</t>
        </is>
      </c>
      <c r="E1857" s="11">
        <f t="array" ref="E1857">_xlfn.XLOOKUP(D1857,Insumos!B:B,Insumos!C:$C)</f>
        <v/>
      </c>
      <c r="F1857" s="14" t="n">
        <v>2.106</v>
      </c>
      <c r="G1857" s="92">
        <f t="array" ref="G1857">IF(B1857="insumo",_xlfn.XLOOKUP($D1857,Insumos!$B$1:$B$996,Insumos!$D$1:$D$996),"")</f>
        <v/>
      </c>
      <c r="H1857" s="92" t="n">
        <v>57.0726</v>
      </c>
      <c r="I1857" s="2162" t="n">
        <v>0</v>
      </c>
      <c r="J1857" s="2162" t="n">
        <v>0</v>
      </c>
      <c r="K1857" s="2162" t="n"/>
    </row>
    <row r="1858" outlineLevel="3" ht="15.75" customHeight="1">
      <c r="A1858" s="10" t="n">
        <v>95</v>
      </c>
      <c r="B1858" s="10" t="inlineStr">
        <is>
          <t>Insumo</t>
        </is>
      </c>
      <c r="C1858" s="10" t="inlineStr">
        <is>
          <t>36_DRY 90 mm LV - 2 PLACAS - 11,50cm  -  Lado A: PLACA PERFORMANCE RU - Lado B: PLACA RU</t>
        </is>
      </c>
      <c r="D1858" s="10" t="inlineStr">
        <is>
          <t>PINO DE ACO COM ARRUELA CONICA, DIAMETRO ARRUELA = *23* MM E COMP HASTE = *27* MM (ACAO INDIRETA)</t>
        </is>
      </c>
      <c r="E1858" s="11">
        <f t="array" ref="E1858">_xlfn.XLOOKUP(D1858,Insumos!B:B,Insumos!C:$C)</f>
        <v/>
      </c>
      <c r="F1858" s="14" t="n">
        <v>5.92</v>
      </c>
      <c r="G1858" s="92">
        <f t="array" ref="G1858">IF(B1858="insumo",_xlfn.XLOOKUP($D1858,Insumos!$B$1:$B$996,Insumos!$D$1:$D$996),"")</f>
        <v/>
      </c>
      <c r="H1858" s="92" t="n">
        <v>2.98368</v>
      </c>
      <c r="I1858" s="2162" t="n">
        <v>0</v>
      </c>
      <c r="J1858" s="2162" t="n">
        <v>0</v>
      </c>
      <c r="K1858" s="2162" t="n"/>
    </row>
    <row r="1859" outlineLevel="3" ht="15.75" customHeight="1">
      <c r="A1859" s="10" t="n">
        <v>26</v>
      </c>
      <c r="B1859" s="10" t="inlineStr">
        <is>
          <t>Insumo</t>
        </is>
      </c>
      <c r="C1859" s="10" t="inlineStr">
        <is>
          <t>36_DRY 90 mm LV - 2 PLACAS - 11,50cm  -  Lado A: PLACA PERFORMANCE RU - Lado B: PLACA RU</t>
        </is>
      </c>
      <c r="D1859" s="10" t="inlineStr">
        <is>
          <t>PERFIL GUIA, FORMATO U, EM ACO ZINCADO, PARA ESTRUTURA PAREDE DRYWALL, E = 0,5 MM, 90 X 3000 MM (L X C)</t>
        </is>
      </c>
      <c r="E1859" s="11">
        <f t="array" ref="E1859">_xlfn.XLOOKUP(D1859,Insumos!B:B,Insumos!C:$C)</f>
        <v/>
      </c>
      <c r="F1859" s="14" t="n">
        <v>1.5248</v>
      </c>
      <c r="G1859" s="92">
        <f t="array" ref="G1859">IF(B1859="insumo",_xlfn.XLOOKUP($D1859,Insumos!$B$1:$B$996,Insumos!$D$1:$D$996),"")</f>
        <v/>
      </c>
      <c r="H1859" s="92" t="n">
        <v>13.174272</v>
      </c>
      <c r="I1859" s="2162" t="n">
        <v>0</v>
      </c>
      <c r="J1859" s="2162" t="n">
        <v>0</v>
      </c>
      <c r="K1859" s="2162" t="n"/>
    </row>
    <row r="1860" outlineLevel="3" ht="15.75" customHeight="1">
      <c r="A1860" s="10" t="n">
        <v>26</v>
      </c>
      <c r="B1860" s="10" t="inlineStr">
        <is>
          <t>Insumo</t>
        </is>
      </c>
      <c r="C1860" s="10" t="inlineStr">
        <is>
          <t>36_DRY 90 mm LV - 2 PLACAS - 11,50cm  -  Lado A: PLACA PERFORMANCE RU - Lado B: PLACA RU</t>
        </is>
      </c>
      <c r="D1860" s="10" t="inlineStr">
        <is>
          <t>PERFIL MONTANTE, FORMATO C, EM ACO ZINCADO, PARA ESTRUTURA PAREDE DRYWALL, E = 0,5 MM, 90 X 3000 MM (L X C)</t>
        </is>
      </c>
      <c r="E1860" s="11">
        <f t="array" ref="E1860">_xlfn.XLOOKUP(D1860,Insumos!B:B,Insumos!C:$C)</f>
        <v/>
      </c>
      <c r="F1860" s="14" t="n">
        <v>4.0011</v>
      </c>
      <c r="G1860" s="92">
        <f t="array" ref="G1860">IF(B1860="insumo",_xlfn.XLOOKUP($D1860,Insumos!$B$1:$B$996,Insumos!$D$1:$D$996),"")</f>
        <v/>
      </c>
      <c r="H1860" s="92" t="n">
        <v>72.37989899999999</v>
      </c>
      <c r="I1860" s="2162" t="n">
        <v>0</v>
      </c>
      <c r="J1860" s="2162" t="n">
        <v>0</v>
      </c>
      <c r="K1860" s="2162" t="n"/>
    </row>
    <row r="1861" outlineLevel="3" ht="15.75" customHeight="1">
      <c r="A1861" s="10" t="n">
        <v>95</v>
      </c>
      <c r="B1861" s="10" t="inlineStr">
        <is>
          <t>Insumo</t>
        </is>
      </c>
      <c r="C1861" s="10" t="inlineStr">
        <is>
          <t>36_DRY 90 mm LV - 2 PLACAS - 11,50cm  -  Lado A: PLACA PERFORMANCE RU - Lado B: PLACA RU</t>
        </is>
      </c>
      <c r="D1861" s="10" t="inlineStr">
        <is>
          <t>MASSA DE REJUNTE EM PO PARA DRYWALL, A BASE DE GESSO, SECAGEM RAPIDA, PARA TRATAMENTO DE JUNTAS DE CHAPA DE GESSO (NECESSITA ADICAO DE AGUA)</t>
        </is>
      </c>
      <c r="E1861" s="11">
        <f t="array" ref="E1861">_xlfn.XLOOKUP(D1861,Insumos!B:B,Insumos!C:$C)</f>
        <v/>
      </c>
      <c r="F1861" s="14" t="n">
        <v>1.0978</v>
      </c>
      <c r="G1861" s="92">
        <f t="array" ref="G1861">IF(B1861="insumo",_xlfn.XLOOKUP($D1861,Insumos!$B$1:$B$996,Insumos!$D$1:$D$996),"")</f>
        <v/>
      </c>
      <c r="H1861" s="92" t="n">
        <v>3.765454</v>
      </c>
      <c r="I1861" s="2162" t="n">
        <v>0</v>
      </c>
      <c r="J1861" s="2162" t="n">
        <v>0</v>
      </c>
      <c r="K1861" s="2162" t="n"/>
    </row>
    <row r="1862" outlineLevel="3" ht="15.75" customHeight="1">
      <c r="A1862" s="10" t="n">
        <v>94</v>
      </c>
      <c r="B1862" s="10" t="inlineStr">
        <is>
          <t>Insumo</t>
        </is>
      </c>
      <c r="C1862" s="10" t="inlineStr">
        <is>
          <t>36_DRY 90 mm LV - 2 PLACAS - 11,50cm  -  Lado A: PLACA PERFORMANCE RU - Lado B: PLACA RU</t>
        </is>
      </c>
      <c r="D1862" s="10" t="inlineStr">
        <is>
          <t>FITA DE PAPEL MICROPERFURADO, 50 X 150 MM, PARA TRATAMENTO DE JUNTAS DE CHAPA DE GESSO PARA DRYWALL</t>
        </is>
      </c>
      <c r="E1862" s="11">
        <f t="array" ref="E1862">_xlfn.XLOOKUP(D1862,Insumos!B:B,Insumos!C:$C)</f>
        <v/>
      </c>
      <c r="F1862" s="14" t="n">
        <v>2.5027</v>
      </c>
      <c r="G1862" s="92">
        <f t="array" ref="G1862">IF(B1862="insumo",_xlfn.XLOOKUP($D1862,Insumos!$B$1:$B$996,Insumos!$D$1:$D$996),"")</f>
        <v/>
      </c>
      <c r="H1862" s="92" t="n">
        <v>0.775837</v>
      </c>
      <c r="I1862" s="2162" t="n">
        <v>0</v>
      </c>
      <c r="J1862" s="2162" t="n">
        <v>0</v>
      </c>
      <c r="K1862" s="2162" t="n"/>
    </row>
    <row r="1863" outlineLevel="3" ht="15.75" customHeight="1">
      <c r="A1863" s="10" t="n">
        <v>94</v>
      </c>
      <c r="B1863" s="10" t="inlineStr">
        <is>
          <t>Insumo</t>
        </is>
      </c>
      <c r="C1863" s="10" t="inlineStr">
        <is>
          <t>36_DRY 90 mm LV - 2 PLACAS - 11,50cm  -  Lado A: PLACA PERFORMANCE RU - Lado B: PLACA RU</t>
        </is>
      </c>
      <c r="D1863" s="10" t="inlineStr">
        <is>
          <t>FITA DE PAPEL REFORCADA COM LAMINA DE METAL PARA REFORCO DE CANTOS DE CHAPA DE GESSO PARA DRYWALL</t>
        </is>
      </c>
      <c r="E1863" s="11">
        <f t="array" ref="E1863">_xlfn.XLOOKUP(D1863,Insumos!B:B,Insumos!C:$C)</f>
        <v/>
      </c>
      <c r="F1863" s="14" t="n">
        <v>1.5851</v>
      </c>
      <c r="G1863" s="92">
        <f t="array" ref="G1863">IF(B1863="insumo",_xlfn.XLOOKUP($D1863,Insumos!$B$1:$B$996,Insumos!$D$1:$D$996),"")</f>
        <v/>
      </c>
      <c r="H1863" s="92" t="n">
        <v>4.343174</v>
      </c>
      <c r="I1863" s="2162" t="n">
        <v>0</v>
      </c>
      <c r="J1863" s="2162" t="n">
        <v>0</v>
      </c>
      <c r="K1863" s="2162" t="n"/>
    </row>
    <row r="1864" outlineLevel="3" ht="15.75" customHeight="1">
      <c r="A1864" s="10" t="n">
        <v>97</v>
      </c>
      <c r="B1864" s="10" t="inlineStr">
        <is>
          <t>Insumo</t>
        </is>
      </c>
      <c r="C1864" s="10" t="inlineStr">
        <is>
          <t>36_DRY 90 mm LV - 2 PLACAS - 11,50cm  -  Lado A: PLACA PERFORMANCE RU - Lado B: PLACA RU</t>
        </is>
      </c>
      <c r="D1864" s="10" t="inlineStr">
        <is>
          <t>PARAFUSO DRY WALL, EM ACO FOSFATIZADO, CABECA TROMBETA E PONTA AGULHA (TA), COMPRIMENTO 25 MM</t>
        </is>
      </c>
      <c r="E1864" s="11">
        <f t="array" ref="E1864">_xlfn.XLOOKUP(D1864,Insumos!B:B,Insumos!C:$C)</f>
        <v/>
      </c>
      <c r="F1864" s="14" t="n">
        <v>20.1868</v>
      </c>
      <c r="G1864" s="92">
        <f t="array" ref="G1864">IF(B1864="insumo",_xlfn.XLOOKUP($D1864,Insumos!$B$1:$B$996,Insumos!$D$1:$D$996),"")</f>
        <v/>
      </c>
      <c r="H1864" s="92" t="n">
        <v>1.816812</v>
      </c>
      <c r="I1864" s="2162" t="n">
        <v>0</v>
      </c>
      <c r="J1864" s="2162" t="n">
        <v>0</v>
      </c>
      <c r="K1864" s="2162" t="n"/>
    </row>
    <row r="1865" outlineLevel="3" ht="15.75" customHeight="1">
      <c r="A1865" s="10" t="n">
        <v>95</v>
      </c>
      <c r="B1865" s="10" t="inlineStr">
        <is>
          <t>Insumo</t>
        </is>
      </c>
      <c r="C1865" s="10" t="inlineStr">
        <is>
          <t>36_DRY 90 mm LV - 2 PLACAS - 11,50cm  -  Lado A: PLACA PERFORMANCE RU - Lado B: PLACA RU</t>
        </is>
      </c>
      <c r="D1865" s="10" t="inlineStr">
        <is>
          <t>PARAFUSO DRY WALL, EM ACO ZINCADO, CABECA LENTILHA E PONTA BROCA (LB), LARGURA 4,2 MM, COMPRIMENTO 13 MM</t>
        </is>
      </c>
      <c r="E1865" s="11">
        <f t="array" ref="E1865">_xlfn.XLOOKUP(D1865,Insumos!B:B,Insumos!C:$C)</f>
        <v/>
      </c>
      <c r="F1865" s="14" t="n">
        <v>0.5441</v>
      </c>
      <c r="G1865" s="92">
        <f t="array" ref="G1865">IF(B1865="insumo",_xlfn.XLOOKUP($D1865,Insumos!$B$1:$B$996,Insumos!$D$1:$D$996),"")</f>
        <v/>
      </c>
      <c r="H1865" s="92" t="n">
        <v>0.10882</v>
      </c>
      <c r="I1865" s="2162" t="n">
        <v>0</v>
      </c>
      <c r="J1865" s="2162" t="n">
        <v>0</v>
      </c>
      <c r="K1865" s="2162" t="n"/>
    </row>
    <row r="1866" outlineLevel="3" ht="15.75" customHeight="1">
      <c r="A1866" s="10" t="n">
        <v>35</v>
      </c>
      <c r="B1866" s="10" t="inlineStr">
        <is>
          <t>Insumo</t>
        </is>
      </c>
      <c r="C1866" s="10" t="inlineStr">
        <is>
          <t>36_DRY 90 mm LV - 2 PLACAS - 11,50cm  -  Lado A: PLACA PERFORMANCE RU - Lado B: PLACA RU</t>
        </is>
      </c>
      <c r="D1866" s="10" t="inlineStr">
        <is>
          <t>Lã de pet 50 X 1200 X 12500 MM</t>
        </is>
      </c>
      <c r="E1866" s="11">
        <f t="array" ref="E1866">_xlfn.XLOOKUP(D1866,Insumos!B:B,Insumos!C:$C)</f>
        <v/>
      </c>
      <c r="F1866" s="14" t="n">
        <v>1.1</v>
      </c>
      <c r="G1866" s="92">
        <f t="array" ref="G1866">IF(B1866="insumo",_xlfn.XLOOKUP($D1866,Insumos!$B$1:$B$996,Insumos!$D$1:$D$996),"")</f>
        <v/>
      </c>
      <c r="H1866" s="92" t="n">
        <v>14.3212666666667</v>
      </c>
      <c r="I1866" s="2162" t="n">
        <v>0</v>
      </c>
      <c r="J1866" s="2162" t="n">
        <v>0</v>
      </c>
      <c r="K1866" s="2162" t="n"/>
    </row>
    <row r="1867" outlineLevel="2" ht="15.75" customHeight="1">
      <c r="A1867" s="1067" t="n">
        <v>1</v>
      </c>
      <c r="B1867" s="1067" t="inlineStr">
        <is>
          <t>Serviço</t>
        </is>
      </c>
      <c r="C1867" s="1067" t="inlineStr">
        <is>
          <t>36_DRY 90 mm LV - 2 PLACAS - 11,50cm  -  Lado A: PLACA PERFORMANCE RU - Lado B: PLACA ST</t>
        </is>
      </c>
      <c r="D1867" s="1067" t="inlineStr">
        <is>
          <t>36_DRY 90 mm LV - 2 PLACAS - 11,50cm  -  Lado A: PLACA PERFORMANCE RU - Lado B: PLACA ST</t>
        </is>
      </c>
      <c r="E1867" s="1068" t="inlineStr">
        <is>
          <t>M2</t>
        </is>
      </c>
      <c r="F1867" s="1067" t="n"/>
      <c r="G1867" s="1069">
        <f t="array" ref="G1867">IF(B1867="insumo",_xlfn.XLOOKUP($D1867,Insumos!$B$1:$B$996,Insumos!$D$1:$D$996),"")</f>
        <v/>
      </c>
      <c r="H1867" s="1069" t="n">
        <v>235.938774666667</v>
      </c>
      <c r="I1867" s="2161" t="n">
        <v>0</v>
      </c>
      <c r="J1867" s="2161" t="n">
        <v>0</v>
      </c>
      <c r="K1867" s="2161" t="n"/>
    </row>
    <row r="1868" outlineLevel="3" ht="15.75" customHeight="1">
      <c r="A1868" s="10" t="n">
        <v>86</v>
      </c>
      <c r="B1868" s="10" t="inlineStr">
        <is>
          <t>Insumo</t>
        </is>
      </c>
      <c r="C1868" s="10" t="inlineStr">
        <is>
          <t>36_DRY 90 mm LV - 2 PLACAS - 11,50cm  -  Lado A: PLACA PERFORMANCE RU - Lado B: PLACA ST</t>
        </is>
      </c>
      <c r="D1868" s="10" t="inlineStr">
        <is>
          <t>SERVICO - CONFECCAO SHAFT GESSO</t>
        </is>
      </c>
      <c r="E1868" s="11">
        <f t="array" ref="E1868">_xlfn.XLOOKUP(D1868,Insumos!B:B,Insumos!C:$C)</f>
        <v/>
      </c>
      <c r="F1868" s="14" t="n">
        <v>1</v>
      </c>
      <c r="G1868" s="92">
        <f t="array" ref="G1868">IF(B1868="insumo",_xlfn.XLOOKUP($D1868,Insumos!$B$1:$B$996,Insumos!$D$1:$D$996),"")</f>
        <v/>
      </c>
      <c r="H1868" s="92" t="n">
        <v>70</v>
      </c>
      <c r="I1868" s="2162" t="n">
        <v>0</v>
      </c>
      <c r="J1868" s="2162" t="n">
        <v>0</v>
      </c>
      <c r="K1868" s="2162" t="n"/>
    </row>
    <row r="1869" outlineLevel="3" ht="15.75" customHeight="1">
      <c r="A1869" s="10" t="n">
        <v>49</v>
      </c>
      <c r="B1869" s="10" t="inlineStr">
        <is>
          <t>Insumo</t>
        </is>
      </c>
      <c r="C1869" s="10" t="inlineStr">
        <is>
          <t>36_DRY 90 mm LV - 2 PLACAS - 11,50cm  -  Lado A: PLACA PERFORMANCE RU - Lado B: PLACA ST</t>
        </is>
      </c>
      <c r="D1869" s="10" t="inlineStr">
        <is>
          <t>PLACA / CHAPA DE GESSO ACARTONADO, RESISTENTE A UMIDADE (RU), COR VERDE, E = 12,5 MM, 1200 X 2400 MM (L X C)</t>
        </is>
      </c>
      <c r="E1869" s="11">
        <f t="array" ref="E1869">_xlfn.XLOOKUP(D1869,Insumos!B:B,Insumos!C:$C)</f>
        <v/>
      </c>
      <c r="F1869" s="14">
        <f>1.106</f>
        <v/>
      </c>
      <c r="G1869" s="92">
        <f t="array" ref="G1869">IF(B1869="insumo",_xlfn.XLOOKUP($D1869,Insumos!$B$1:$B$996,Insumos!$D$1:$D$996),"")</f>
        <v/>
      </c>
      <c r="H1869" s="92" t="n">
        <v>29.9726</v>
      </c>
      <c r="I1869" s="2162" t="n">
        <v>0</v>
      </c>
      <c r="J1869" s="2162" t="n">
        <v>0</v>
      </c>
      <c r="K1869" s="2162" t="n"/>
    </row>
    <row r="1870" outlineLevel="3" ht="15.75" customHeight="1">
      <c r="A1870" s="10" t="n">
        <v>47</v>
      </c>
      <c r="B1870" s="10" t="inlineStr">
        <is>
          <t>Insumo</t>
        </is>
      </c>
      <c r="C1870" s="10" t="inlineStr">
        <is>
          <t>36_DRY 90 mm LV - 2 PLACAS - 11,50cm  -  Lado A: PLACA PERFORMANCE RU - Lado B: PLACA ST</t>
        </is>
      </c>
      <c r="D1870" s="10" t="inlineStr">
        <is>
          <t>PLACA / CHAPA DE GESSO ACARTONADO, STANDARD (ST), COR BRANCA, E = 12,5 MM, 1200 X 2400 MM (L X C)</t>
        </is>
      </c>
      <c r="E1870" s="11">
        <f t="array" ref="E1870">_xlfn.XLOOKUP(D1870,Insumos!B:B,Insumos!C:$C)</f>
        <v/>
      </c>
      <c r="F1870" s="14" t="n">
        <v>1.106</v>
      </c>
      <c r="G1870" s="92">
        <f t="array" ref="G1870">IF(B1870="insumo",_xlfn.XLOOKUP($D1870,Insumos!$B$1:$B$996,Insumos!$D$1:$D$996),"")</f>
        <v/>
      </c>
      <c r="H1870" s="92" t="n">
        <v>22.29696</v>
      </c>
      <c r="I1870" s="2162" t="n">
        <v>0</v>
      </c>
      <c r="J1870" s="2162" t="n">
        <v>0</v>
      </c>
      <c r="K1870" s="2162" t="n"/>
    </row>
    <row r="1871" outlineLevel="3" ht="15.75" customHeight="1">
      <c r="A1871" s="10" t="n">
        <v>95</v>
      </c>
      <c r="B1871" s="10" t="inlineStr">
        <is>
          <t>Insumo</t>
        </is>
      </c>
      <c r="C1871" s="10" t="inlineStr">
        <is>
          <t>36_DRY 90 mm LV - 2 PLACAS - 11,50cm  -  Lado A: PLACA PERFORMANCE RU - Lado B: PLACA ST</t>
        </is>
      </c>
      <c r="D1871" s="10" t="inlineStr">
        <is>
          <t>PINO DE ACO COM ARRUELA CONICA, DIAMETRO ARRUELA = *23* MM E COMP HASTE = *27* MM (ACAO INDIRETA)</t>
        </is>
      </c>
      <c r="E1871" s="11">
        <f t="array" ref="E1871">_xlfn.XLOOKUP(D1871,Insumos!B:B,Insumos!C:$C)</f>
        <v/>
      </c>
      <c r="F1871" s="14" t="n">
        <v>5.92</v>
      </c>
      <c r="G1871" s="92">
        <f t="array" ref="G1871">IF(B1871="insumo",_xlfn.XLOOKUP($D1871,Insumos!$B$1:$B$996,Insumos!$D$1:$D$996),"")</f>
        <v/>
      </c>
      <c r="H1871" s="92" t="n">
        <v>2.98368</v>
      </c>
      <c r="I1871" s="2162" t="n">
        <v>0</v>
      </c>
      <c r="J1871" s="2162" t="n">
        <v>0</v>
      </c>
      <c r="K1871" s="2162" t="n"/>
    </row>
    <row r="1872" outlineLevel="3" ht="15.75" customHeight="1">
      <c r="A1872" s="10" t="n">
        <v>26</v>
      </c>
      <c r="B1872" s="10" t="inlineStr">
        <is>
          <t>Insumo</t>
        </is>
      </c>
      <c r="C1872" s="10" t="inlineStr">
        <is>
          <t>36_DRY 90 mm LV - 2 PLACAS - 11,50cm  -  Lado A: PLACA PERFORMANCE RU - Lado B: PLACA ST</t>
        </is>
      </c>
      <c r="D1872" s="10" t="inlineStr">
        <is>
          <t>PERFIL GUIA, FORMATO U, EM ACO ZINCADO, PARA ESTRUTURA PAREDE DRYWALL, E = 0,5 MM, 90 X 3000 MM (L X C)</t>
        </is>
      </c>
      <c r="E1872" s="11">
        <f t="array" ref="E1872">_xlfn.XLOOKUP(D1872,Insumos!B:B,Insumos!C:$C)</f>
        <v/>
      </c>
      <c r="F1872" s="14" t="n">
        <v>1.5248</v>
      </c>
      <c r="G1872" s="92">
        <f t="array" ref="G1872">IF(B1872="insumo",_xlfn.XLOOKUP($D1872,Insumos!$B$1:$B$996,Insumos!$D$1:$D$996),"")</f>
        <v/>
      </c>
      <c r="H1872" s="92" t="n">
        <v>13.174272</v>
      </c>
      <c r="I1872" s="2162" t="n">
        <v>0</v>
      </c>
      <c r="J1872" s="2162" t="n">
        <v>0</v>
      </c>
      <c r="K1872" s="2162" t="n"/>
    </row>
    <row r="1873" outlineLevel="3" ht="15.75" customHeight="1">
      <c r="A1873" s="10" t="n">
        <v>26</v>
      </c>
      <c r="B1873" s="10" t="inlineStr">
        <is>
          <t>Insumo</t>
        </is>
      </c>
      <c r="C1873" s="10" t="inlineStr">
        <is>
          <t>36_DRY 90 mm LV - 2 PLACAS - 11,50cm  -  Lado A: PLACA PERFORMANCE RU - Lado B: PLACA ST</t>
        </is>
      </c>
      <c r="D1873" s="10" t="inlineStr">
        <is>
          <t>PERFIL MONTANTE, FORMATO C, EM ACO ZINCADO, PARA ESTRUTURA PAREDE DRYWALL, E = 0,5 MM, 90 X 3000 MM (L X C)</t>
        </is>
      </c>
      <c r="E1873" s="11">
        <f t="array" ref="E1873">_xlfn.XLOOKUP(D1873,Insumos!B:B,Insumos!C:$C)</f>
        <v/>
      </c>
      <c r="F1873" s="14" t="n">
        <v>4.0011</v>
      </c>
      <c r="G1873" s="92">
        <f t="array" ref="G1873">IF(B1873="insumo",_xlfn.XLOOKUP($D1873,Insumos!$B$1:$B$996,Insumos!$D$1:$D$996),"")</f>
        <v/>
      </c>
      <c r="H1873" s="92" t="n">
        <v>72.37989899999999</v>
      </c>
      <c r="I1873" s="2162" t="n">
        <v>0</v>
      </c>
      <c r="J1873" s="2162" t="n">
        <v>0</v>
      </c>
      <c r="K1873" s="2162" t="n"/>
    </row>
    <row r="1874" outlineLevel="3" ht="15.75" customHeight="1">
      <c r="A1874" s="10" t="n">
        <v>95</v>
      </c>
      <c r="B1874" s="10" t="inlineStr">
        <is>
          <t>Insumo</t>
        </is>
      </c>
      <c r="C1874" s="10" t="inlineStr">
        <is>
          <t>36_DRY 90 mm LV - 2 PLACAS - 11,50cm  -  Lado A: PLACA PERFORMANCE RU - Lado B: PLACA ST</t>
        </is>
      </c>
      <c r="D1874" s="10" t="inlineStr">
        <is>
          <t>MASSA DE REJUNTE EM PO PARA DRYWALL, A BASE DE GESSO, SECAGEM RAPIDA, PARA TRATAMENTO DE JUNTAS DE CHAPA DE GESSO (NECESSITA ADICAO DE AGUA)</t>
        </is>
      </c>
      <c r="E1874" s="11">
        <f t="array" ref="E1874">_xlfn.XLOOKUP(D1874,Insumos!B:B,Insumos!C:$C)</f>
        <v/>
      </c>
      <c r="F1874" s="14" t="n">
        <v>1.0978</v>
      </c>
      <c r="G1874" s="92">
        <f t="array" ref="G1874">IF(B1874="insumo",_xlfn.XLOOKUP($D1874,Insumos!$B$1:$B$996,Insumos!$D$1:$D$996),"")</f>
        <v/>
      </c>
      <c r="H1874" s="92" t="n">
        <v>3.765454</v>
      </c>
      <c r="I1874" s="2162" t="n">
        <v>0</v>
      </c>
      <c r="J1874" s="2162" t="n">
        <v>0</v>
      </c>
      <c r="K1874" s="2162" t="n"/>
    </row>
    <row r="1875" outlineLevel="3" ht="15.75" customHeight="1">
      <c r="A1875" s="10" t="n">
        <v>94</v>
      </c>
      <c r="B1875" s="10" t="inlineStr">
        <is>
          <t>Insumo</t>
        </is>
      </c>
      <c r="C1875" s="10" t="inlineStr">
        <is>
          <t>36_DRY 90 mm LV - 2 PLACAS - 11,50cm  -  Lado A: PLACA PERFORMANCE RU - Lado B: PLACA ST</t>
        </is>
      </c>
      <c r="D1875" s="10" t="inlineStr">
        <is>
          <t>FITA DE PAPEL MICROPERFURADO, 50 X 150 MM, PARA TRATAMENTO DE JUNTAS DE CHAPA DE GESSO PARA DRYWALL</t>
        </is>
      </c>
      <c r="E1875" s="11">
        <f t="array" ref="E1875">_xlfn.XLOOKUP(D1875,Insumos!B:B,Insumos!C:$C)</f>
        <v/>
      </c>
      <c r="F1875" s="14" t="n">
        <v>2.5027</v>
      </c>
      <c r="G1875" s="92">
        <f t="array" ref="G1875">IF(B1875="insumo",_xlfn.XLOOKUP($D1875,Insumos!$B$1:$B$996,Insumos!$D$1:$D$996),"")</f>
        <v/>
      </c>
      <c r="H1875" s="92" t="n">
        <v>0.775837</v>
      </c>
      <c r="I1875" s="2162" t="n">
        <v>0</v>
      </c>
      <c r="J1875" s="2162" t="n">
        <v>0</v>
      </c>
      <c r="K1875" s="2162" t="n"/>
    </row>
    <row r="1876" outlineLevel="3" ht="15.75" customHeight="1">
      <c r="A1876" s="10" t="n">
        <v>94</v>
      </c>
      <c r="B1876" s="10" t="inlineStr">
        <is>
          <t>Insumo</t>
        </is>
      </c>
      <c r="C1876" s="10" t="inlineStr">
        <is>
          <t>36_DRY 90 mm LV - 2 PLACAS - 11,50cm  -  Lado A: PLACA PERFORMANCE RU - Lado B: PLACA ST</t>
        </is>
      </c>
      <c r="D1876" s="10" t="inlineStr">
        <is>
          <t>FITA DE PAPEL REFORCADA COM LAMINA DE METAL PARA REFORCO DE CANTOS DE CHAPA DE GESSO PARA DRYWALL</t>
        </is>
      </c>
      <c r="E1876" s="11">
        <f t="array" ref="E1876">_xlfn.XLOOKUP(D1876,Insumos!B:B,Insumos!C:$C)</f>
        <v/>
      </c>
      <c r="F1876" s="14" t="n">
        <v>1.5851</v>
      </c>
      <c r="G1876" s="92">
        <f t="array" ref="G1876">IF(B1876="insumo",_xlfn.XLOOKUP($D1876,Insumos!$B$1:$B$996,Insumos!$D$1:$D$996),"")</f>
        <v/>
      </c>
      <c r="H1876" s="92" t="n">
        <v>4.343174</v>
      </c>
      <c r="I1876" s="2162" t="n">
        <v>0</v>
      </c>
      <c r="J1876" s="2162" t="n">
        <v>0</v>
      </c>
      <c r="K1876" s="2162" t="n"/>
    </row>
    <row r="1877" outlineLevel="3" ht="15.75" customHeight="1">
      <c r="A1877" s="10" t="n">
        <v>97</v>
      </c>
      <c r="B1877" s="10" t="inlineStr">
        <is>
          <t>Insumo</t>
        </is>
      </c>
      <c r="C1877" s="10" t="inlineStr">
        <is>
          <t>36_DRY 90 mm LV - 2 PLACAS - 11,50cm  -  Lado A: PLACA PERFORMANCE RU - Lado B: PLACA ST</t>
        </is>
      </c>
      <c r="D1877" s="10" t="inlineStr">
        <is>
          <t>PARAFUSO DRY WALL, EM ACO FOSFATIZADO, CABECA TROMBETA E PONTA AGULHA (TA), COMPRIMENTO 25 MM</t>
        </is>
      </c>
      <c r="E1877" s="11">
        <f t="array" ref="E1877">_xlfn.XLOOKUP(D1877,Insumos!B:B,Insumos!C:$C)</f>
        <v/>
      </c>
      <c r="F1877" s="14" t="n">
        <v>20.1868</v>
      </c>
      <c r="G1877" s="92">
        <f t="array" ref="G1877">IF(B1877="insumo",_xlfn.XLOOKUP($D1877,Insumos!$B$1:$B$996,Insumos!$D$1:$D$996),"")</f>
        <v/>
      </c>
      <c r="H1877" s="92" t="n">
        <v>1.816812</v>
      </c>
      <c r="I1877" s="2162" t="n">
        <v>0</v>
      </c>
      <c r="J1877" s="2162" t="n">
        <v>0</v>
      </c>
      <c r="K1877" s="2162" t="n"/>
    </row>
    <row r="1878" outlineLevel="3" ht="15.75" customHeight="1">
      <c r="A1878" s="10" t="n">
        <v>95</v>
      </c>
      <c r="B1878" s="10" t="inlineStr">
        <is>
          <t>Insumo</t>
        </is>
      </c>
      <c r="C1878" s="10" t="inlineStr">
        <is>
          <t>36_DRY 90 mm LV - 2 PLACAS - 11,50cm  -  Lado A: PLACA PERFORMANCE RU - Lado B: PLACA ST</t>
        </is>
      </c>
      <c r="D1878" s="10" t="inlineStr">
        <is>
          <t>PARAFUSO DRY WALL, EM ACO ZINCADO, CABECA LENTILHA E PONTA BROCA (LB), LARGURA 4,2 MM, COMPRIMENTO 13 MM</t>
        </is>
      </c>
      <c r="E1878" s="11">
        <f t="array" ref="E1878">_xlfn.XLOOKUP(D1878,Insumos!B:B,Insumos!C:$C)</f>
        <v/>
      </c>
      <c r="F1878" s="14" t="n">
        <v>0.5441</v>
      </c>
      <c r="G1878" s="92">
        <f t="array" ref="G1878">IF(B1878="insumo",_xlfn.XLOOKUP($D1878,Insumos!$B$1:$B$996,Insumos!$D$1:$D$996),"")</f>
        <v/>
      </c>
      <c r="H1878" s="92" t="n">
        <v>0.10882</v>
      </c>
      <c r="I1878" s="2162" t="n">
        <v>0</v>
      </c>
      <c r="J1878" s="2162" t="n">
        <v>0</v>
      </c>
      <c r="K1878" s="2162" t="n"/>
    </row>
    <row r="1879" outlineLevel="3" ht="15.75" customHeight="1">
      <c r="A1879" s="10" t="n">
        <v>35</v>
      </c>
      <c r="B1879" s="10" t="inlineStr">
        <is>
          <t>Insumo</t>
        </is>
      </c>
      <c r="C1879" s="10" t="inlineStr">
        <is>
          <t>36_DRY 90 mm LV - 2 PLACAS - 11,50cm  -  Lado A: PLACA PERFORMANCE RU - Lado B: PLACA ST</t>
        </is>
      </c>
      <c r="D1879" s="10" t="inlineStr">
        <is>
          <t>Lã de pet 50 X 1200 X 12500 MM</t>
        </is>
      </c>
      <c r="E1879" s="11">
        <f t="array" ref="E1879">_xlfn.XLOOKUP(D1879,Insumos!B:B,Insumos!C:$C)</f>
        <v/>
      </c>
      <c r="F1879" s="14" t="n">
        <v>1.1</v>
      </c>
      <c r="G1879" s="92">
        <f t="array" ref="G1879">IF(B1879="insumo",_xlfn.XLOOKUP($D1879,Insumos!$B$1:$B$996,Insumos!$D$1:$D$996),"")</f>
        <v/>
      </c>
      <c r="H1879" s="92" t="n">
        <v>14.3212666666667</v>
      </c>
      <c r="I1879" s="2162" t="n">
        <v>0</v>
      </c>
      <c r="J1879" s="2162" t="n">
        <v>0</v>
      </c>
      <c r="K1879" s="2162" t="n"/>
    </row>
    <row r="1880" outlineLevel="2" ht="15.75" customHeight="1">
      <c r="A1880" s="1067" t="n">
        <v>1</v>
      </c>
      <c r="B1880" s="1067" t="inlineStr">
        <is>
          <t>Serviço</t>
        </is>
      </c>
      <c r="C1880" s="1067" t="inlineStr">
        <is>
          <t>36_DRY 90 mm LV - 2 PLACAS - 11,50cm  -  Lado A: PLACA RU - Lado B: PLACA RU</t>
        </is>
      </c>
      <c r="D1880" s="1067" t="inlineStr">
        <is>
          <t>36_DRY 90 mm LV - 2 PLACAS - 11,50cm  -  Lado A: PLACA RU - Lado B: PLACA RU</t>
        </is>
      </c>
      <c r="E1880" s="1068" t="inlineStr">
        <is>
          <t>M2</t>
        </is>
      </c>
      <c r="F1880" s="1067" t="n"/>
      <c r="G1880" s="1069">
        <f t="array" ref="G1880">IF(B1880="insumo",_xlfn.XLOOKUP($D1880,Insumos!$B$1:$B$996,Insumos!$D$1:$D$996),"")</f>
        <v/>
      </c>
      <c r="H1880" s="1069" t="n">
        <v>240.741814666667</v>
      </c>
      <c r="I1880" s="2161" t="n">
        <v>0</v>
      </c>
      <c r="J1880" s="2161" t="n">
        <v>0</v>
      </c>
      <c r="K1880" s="2161" t="n"/>
    </row>
    <row r="1881" outlineLevel="3" ht="15.75" customHeight="1">
      <c r="A1881" s="10" t="n">
        <v>86</v>
      </c>
      <c r="B1881" s="10" t="inlineStr">
        <is>
          <t>Insumo</t>
        </is>
      </c>
      <c r="C1881" s="10" t="inlineStr">
        <is>
          <t>36_DRY 90 mm LV - 2 PLACAS - 11,50cm  -  Lado A: PLACA RU - Lado B: PLACA RU</t>
        </is>
      </c>
      <c r="D1881" s="10" t="inlineStr">
        <is>
          <t>SERVICO - CONFECCAO SHAFT GESSO</t>
        </is>
      </c>
      <c r="E1881" s="11">
        <f t="array" ref="E1881">_xlfn.XLOOKUP(D1881,Insumos!B:B,Insumos!C:$C)</f>
        <v/>
      </c>
      <c r="F1881" s="14" t="n">
        <v>1</v>
      </c>
      <c r="G1881" s="92">
        <f t="array" ref="G1881">IF(B1881="insumo",_xlfn.XLOOKUP($D1881,Insumos!$B$1:$B$996,Insumos!$D$1:$D$996),"")</f>
        <v/>
      </c>
      <c r="H1881" s="92" t="n">
        <v>70</v>
      </c>
      <c r="I1881" s="2162" t="n">
        <v>0</v>
      </c>
      <c r="J1881" s="2162" t="n">
        <v>0</v>
      </c>
      <c r="K1881" s="2162" t="n"/>
    </row>
    <row r="1882" outlineLevel="3" ht="15.75" customHeight="1">
      <c r="A1882" s="10" t="n">
        <v>49</v>
      </c>
      <c r="B1882" s="10" t="inlineStr">
        <is>
          <t>Insumo</t>
        </is>
      </c>
      <c r="C1882" s="10" t="inlineStr">
        <is>
          <t>36_DRY 90 mm LV - 2 PLACAS - 11,50cm  -  Lado A: PLACA RU - Lado B: PLACA RU</t>
        </is>
      </c>
      <c r="D1882" s="10" t="inlineStr">
        <is>
          <t>PLACA / CHAPA DE GESSO ACARTONADO, RESISTENTE A UMIDADE (RU), COR VERDE, E = 12,5 MM, 1200 X 2400 MM (L X C)</t>
        </is>
      </c>
      <c r="E1882" s="11">
        <f t="array" ref="E1882">_xlfn.XLOOKUP(D1882,Insumos!B:B,Insumos!C:$C)</f>
        <v/>
      </c>
      <c r="F1882" s="14" t="n">
        <v>2.106</v>
      </c>
      <c r="G1882" s="92">
        <f t="array" ref="G1882">IF(B1882="insumo",_xlfn.XLOOKUP($D1882,Insumos!$B$1:$B$996,Insumos!$D$1:$D$996),"")</f>
        <v/>
      </c>
      <c r="H1882" s="92" t="n">
        <v>57.0726</v>
      </c>
      <c r="I1882" s="2162" t="n">
        <v>0</v>
      </c>
      <c r="J1882" s="2162" t="n">
        <v>0</v>
      </c>
      <c r="K1882" s="2162" t="n"/>
    </row>
    <row r="1883" outlineLevel="3" ht="15.75" customHeight="1">
      <c r="A1883" s="10" t="n">
        <v>95</v>
      </c>
      <c r="B1883" s="10" t="inlineStr">
        <is>
          <t>Insumo</t>
        </is>
      </c>
      <c r="C1883" s="10" t="inlineStr">
        <is>
          <t>36_DRY 90 mm LV - 2 PLACAS - 11,50cm  -  Lado A: PLACA RU - Lado B: PLACA RU</t>
        </is>
      </c>
      <c r="D1883" s="10" t="inlineStr">
        <is>
          <t>PINO DE ACO COM ARRUELA CONICA, DIAMETRO ARRUELA = *23* MM E COMP HASTE = *27* MM (ACAO INDIRETA)</t>
        </is>
      </c>
      <c r="E1883" s="11">
        <f t="array" ref="E1883">_xlfn.XLOOKUP(D1883,Insumos!B:B,Insumos!C:$C)</f>
        <v/>
      </c>
      <c r="F1883" s="14" t="n">
        <v>5.92</v>
      </c>
      <c r="G1883" s="92">
        <f t="array" ref="G1883">IF(B1883="insumo",_xlfn.XLOOKUP($D1883,Insumos!$B$1:$B$996,Insumos!$D$1:$D$996),"")</f>
        <v/>
      </c>
      <c r="H1883" s="92" t="n">
        <v>2.98368</v>
      </c>
      <c r="I1883" s="2162" t="n">
        <v>0</v>
      </c>
      <c r="J1883" s="2162" t="n">
        <v>0</v>
      </c>
      <c r="K1883" s="2162" t="n"/>
    </row>
    <row r="1884" outlineLevel="3" ht="15.75" customHeight="1">
      <c r="A1884" s="10" t="n">
        <v>26</v>
      </c>
      <c r="B1884" s="10" t="inlineStr">
        <is>
          <t>Insumo</t>
        </is>
      </c>
      <c r="C1884" s="10" t="inlineStr">
        <is>
          <t>36_DRY 90 mm LV - 2 PLACAS - 11,50cm  -  Lado A: PLACA RU - Lado B: PLACA RU</t>
        </is>
      </c>
      <c r="D1884" s="10" t="inlineStr">
        <is>
          <t>PERFIL GUIA, FORMATO U, EM ACO ZINCADO, PARA ESTRUTURA PAREDE DRYWALL, E = 0,5 MM, 90 X 3000 MM (L X C)</t>
        </is>
      </c>
      <c r="E1884" s="11">
        <f t="array" ref="E1884">_xlfn.XLOOKUP(D1884,Insumos!B:B,Insumos!C:$C)</f>
        <v/>
      </c>
      <c r="F1884" s="14" t="n">
        <v>1.5248</v>
      </c>
      <c r="G1884" s="92">
        <f t="array" ref="G1884">IF(B1884="insumo",_xlfn.XLOOKUP($D1884,Insumos!$B$1:$B$996,Insumos!$D$1:$D$996),"")</f>
        <v/>
      </c>
      <c r="H1884" s="92" t="n">
        <v>13.174272</v>
      </c>
      <c r="I1884" s="2162" t="n">
        <v>0</v>
      </c>
      <c r="J1884" s="2162" t="n">
        <v>0</v>
      </c>
      <c r="K1884" s="2162" t="n"/>
    </row>
    <row r="1885" outlineLevel="3" ht="15.75" customHeight="1">
      <c r="A1885" s="10" t="n">
        <v>26</v>
      </c>
      <c r="B1885" s="10" t="inlineStr">
        <is>
          <t>Insumo</t>
        </is>
      </c>
      <c r="C1885" s="10" t="inlineStr">
        <is>
          <t>36_DRY 90 mm LV - 2 PLACAS - 11,50cm  -  Lado A: PLACA RU - Lado B: PLACA RU</t>
        </is>
      </c>
      <c r="D1885" s="10" t="inlineStr">
        <is>
          <t>PERFIL MONTANTE, FORMATO C, EM ACO ZINCADO, PARA ESTRUTURA PAREDE DRYWALL, E = 0,5 MM, 90 X 3000 MM (L X C)</t>
        </is>
      </c>
      <c r="E1885" s="11">
        <f t="array" ref="E1885">_xlfn.XLOOKUP(D1885,Insumos!B:B,Insumos!C:$C)</f>
        <v/>
      </c>
      <c r="F1885" s="14" t="n">
        <v>4.0011</v>
      </c>
      <c r="G1885" s="92">
        <f t="array" ref="G1885">IF(B1885="insumo",_xlfn.XLOOKUP($D1885,Insumos!$B$1:$B$996,Insumos!$D$1:$D$996),"")</f>
        <v/>
      </c>
      <c r="H1885" s="92" t="n">
        <v>72.37989899999999</v>
      </c>
      <c r="I1885" s="2162" t="n">
        <v>0</v>
      </c>
      <c r="J1885" s="2162" t="n">
        <v>0</v>
      </c>
      <c r="K1885" s="2162" t="n"/>
    </row>
    <row r="1886" outlineLevel="3" ht="15.75" customHeight="1">
      <c r="A1886" s="10" t="n">
        <v>95</v>
      </c>
      <c r="B1886" s="10" t="inlineStr">
        <is>
          <t>Insumo</t>
        </is>
      </c>
      <c r="C1886" s="10" t="inlineStr">
        <is>
          <t>36_DRY 90 mm LV - 2 PLACAS - 11,50cm  -  Lado A: PLACA RU - Lado B: PLACA RU</t>
        </is>
      </c>
      <c r="D1886" s="10" t="inlineStr">
        <is>
          <t>MASSA DE REJUNTE EM PO PARA DRYWALL, A BASE DE GESSO, SECAGEM RAPIDA, PARA TRATAMENTO DE JUNTAS DE CHAPA DE GESSO (NECESSITA ADICAO DE AGUA)</t>
        </is>
      </c>
      <c r="E1886" s="11">
        <f t="array" ref="E1886">_xlfn.XLOOKUP(D1886,Insumos!B:B,Insumos!C:$C)</f>
        <v/>
      </c>
      <c r="F1886" s="14" t="n">
        <v>1.0978</v>
      </c>
      <c r="G1886" s="92">
        <f t="array" ref="G1886">IF(B1886="insumo",_xlfn.XLOOKUP($D1886,Insumos!$B$1:$B$996,Insumos!$D$1:$D$996),"")</f>
        <v/>
      </c>
      <c r="H1886" s="92" t="n">
        <v>3.765454</v>
      </c>
      <c r="I1886" s="2162" t="n">
        <v>0</v>
      </c>
      <c r="J1886" s="2162" t="n">
        <v>0</v>
      </c>
      <c r="K1886" s="2162" t="n"/>
    </row>
    <row r="1887" outlineLevel="3" ht="15.75" customHeight="1">
      <c r="A1887" s="10" t="n">
        <v>94</v>
      </c>
      <c r="B1887" s="10" t="inlineStr">
        <is>
          <t>Insumo</t>
        </is>
      </c>
      <c r="C1887" s="10" t="inlineStr">
        <is>
          <t>36_DRY 90 mm LV - 2 PLACAS - 11,50cm  -  Lado A: PLACA RU - Lado B: PLACA RU</t>
        </is>
      </c>
      <c r="D1887" s="10" t="inlineStr">
        <is>
          <t>FITA DE PAPEL MICROPERFURADO, 50 X 150 MM, PARA TRATAMENTO DE JUNTAS DE CHAPA DE GESSO PARA DRYWALL</t>
        </is>
      </c>
      <c r="E1887" s="11">
        <f t="array" ref="E1887">_xlfn.XLOOKUP(D1887,Insumos!B:B,Insumos!C:$C)</f>
        <v/>
      </c>
      <c r="F1887" s="14" t="n">
        <v>2.5027</v>
      </c>
      <c r="G1887" s="92">
        <f t="array" ref="G1887">IF(B1887="insumo",_xlfn.XLOOKUP($D1887,Insumos!$B$1:$B$996,Insumos!$D$1:$D$996),"")</f>
        <v/>
      </c>
      <c r="H1887" s="92" t="n">
        <v>0.775837</v>
      </c>
      <c r="I1887" s="2162" t="n">
        <v>0</v>
      </c>
      <c r="J1887" s="2162" t="n">
        <v>0</v>
      </c>
      <c r="K1887" s="2162" t="n"/>
    </row>
    <row r="1888" outlineLevel="3" ht="15.75" customHeight="1">
      <c r="A1888" s="10" t="n">
        <v>94</v>
      </c>
      <c r="B1888" s="10" t="inlineStr">
        <is>
          <t>Insumo</t>
        </is>
      </c>
      <c r="C1888" s="10" t="inlineStr">
        <is>
          <t>36_DRY 90 mm LV - 2 PLACAS - 11,50cm  -  Lado A: PLACA RU - Lado B: PLACA RU</t>
        </is>
      </c>
      <c r="D1888" s="10" t="inlineStr">
        <is>
          <t>FITA DE PAPEL REFORCADA COM LAMINA DE METAL PARA REFORCO DE CANTOS DE CHAPA DE GESSO PARA DRYWALL</t>
        </is>
      </c>
      <c r="E1888" s="11">
        <f t="array" ref="E1888">_xlfn.XLOOKUP(D1888,Insumos!B:B,Insumos!C:$C)</f>
        <v/>
      </c>
      <c r="F1888" s="14" t="n">
        <v>1.5851</v>
      </c>
      <c r="G1888" s="92">
        <f t="array" ref="G1888">IF(B1888="insumo",_xlfn.XLOOKUP($D1888,Insumos!$B$1:$B$996,Insumos!$D$1:$D$996),"")</f>
        <v/>
      </c>
      <c r="H1888" s="92" t="n">
        <v>4.343174</v>
      </c>
      <c r="I1888" s="2162" t="n">
        <v>0</v>
      </c>
      <c r="J1888" s="2162" t="n">
        <v>0</v>
      </c>
      <c r="K1888" s="2162" t="n"/>
    </row>
    <row r="1889" outlineLevel="3" ht="15.75" customHeight="1">
      <c r="A1889" s="10" t="n">
        <v>97</v>
      </c>
      <c r="B1889" s="10" t="inlineStr">
        <is>
          <t>Insumo</t>
        </is>
      </c>
      <c r="C1889" s="10" t="inlineStr">
        <is>
          <t>36_DRY 90 mm LV - 2 PLACAS - 11,50cm  -  Lado A: PLACA RU - Lado B: PLACA RU</t>
        </is>
      </c>
      <c r="D1889" s="10" t="inlineStr">
        <is>
          <t>PARAFUSO DRY WALL, EM ACO FOSFATIZADO, CABECA TROMBETA E PONTA AGULHA (TA), COMPRIMENTO 25 MM</t>
        </is>
      </c>
      <c r="E1889" s="11">
        <f t="array" ref="E1889">_xlfn.XLOOKUP(D1889,Insumos!B:B,Insumos!C:$C)</f>
        <v/>
      </c>
      <c r="F1889" s="14" t="n">
        <v>20.1868</v>
      </c>
      <c r="G1889" s="92">
        <f t="array" ref="G1889">IF(B1889="insumo",_xlfn.XLOOKUP($D1889,Insumos!$B$1:$B$996,Insumos!$D$1:$D$996),"")</f>
        <v/>
      </c>
      <c r="H1889" s="92" t="n">
        <v>1.816812</v>
      </c>
      <c r="I1889" s="2162" t="n">
        <v>0</v>
      </c>
      <c r="J1889" s="2162" t="n">
        <v>0</v>
      </c>
      <c r="K1889" s="2162" t="n"/>
    </row>
    <row r="1890" outlineLevel="3" ht="15.75" customHeight="1">
      <c r="A1890" s="10" t="n">
        <v>95</v>
      </c>
      <c r="B1890" s="10" t="inlineStr">
        <is>
          <t>Insumo</t>
        </is>
      </c>
      <c r="C1890" s="10" t="inlineStr">
        <is>
          <t>36_DRY 90 mm LV - 2 PLACAS - 11,50cm  -  Lado A: PLACA RU - Lado B: PLACA RU</t>
        </is>
      </c>
      <c r="D1890" s="10" t="inlineStr">
        <is>
          <t>PARAFUSO DRY WALL, EM ACO ZINCADO, CABECA LENTILHA E PONTA BROCA (LB), LARGURA 4,2 MM, COMPRIMENTO 13 MM</t>
        </is>
      </c>
      <c r="E1890" s="11">
        <f t="array" ref="E1890">_xlfn.XLOOKUP(D1890,Insumos!B:B,Insumos!C:$C)</f>
        <v/>
      </c>
      <c r="F1890" s="14" t="n">
        <v>0.5441</v>
      </c>
      <c r="G1890" s="92">
        <f t="array" ref="G1890">IF(B1890="insumo",_xlfn.XLOOKUP($D1890,Insumos!$B$1:$B$996,Insumos!$D$1:$D$996),"")</f>
        <v/>
      </c>
      <c r="H1890" s="92" t="n">
        <v>0.10882</v>
      </c>
      <c r="I1890" s="2162" t="n">
        <v>0</v>
      </c>
      <c r="J1890" s="2162" t="n">
        <v>0</v>
      </c>
      <c r="K1890" s="2162" t="n"/>
    </row>
    <row r="1891" outlineLevel="3" ht="15.75" customHeight="1">
      <c r="A1891" s="10" t="n">
        <v>35</v>
      </c>
      <c r="B1891" s="10" t="inlineStr">
        <is>
          <t>Insumo</t>
        </is>
      </c>
      <c r="C1891" s="10" t="inlineStr">
        <is>
          <t>36_DRY 90 mm LV - 2 PLACAS - 11,50cm  -  Lado A: PLACA RU - Lado B: PLACA RU</t>
        </is>
      </c>
      <c r="D1891" s="10" t="inlineStr">
        <is>
          <t>Lã de pet 50 X 1200 X 12500 MM</t>
        </is>
      </c>
      <c r="E1891" s="11">
        <f t="array" ref="E1891">_xlfn.XLOOKUP(D1891,Insumos!B:B,Insumos!C:$C)</f>
        <v/>
      </c>
      <c r="F1891" s="14" t="n">
        <v>1.1</v>
      </c>
      <c r="G1891" s="92">
        <f t="array" ref="G1891">IF(B1891="insumo",_xlfn.XLOOKUP($D1891,Insumos!$B$1:$B$996,Insumos!$D$1:$D$996),"")</f>
        <v/>
      </c>
      <c r="H1891" s="92" t="n">
        <v>14.3212666666667</v>
      </c>
      <c r="I1891" s="2162" t="n">
        <v>0</v>
      </c>
      <c r="J1891" s="2162" t="n">
        <v>0</v>
      </c>
      <c r="K1891" s="2162" t="n"/>
    </row>
    <row r="1892" outlineLevel="2" ht="15.75" customHeight="1">
      <c r="A1892" s="1067" t="n">
        <v>1</v>
      </c>
      <c r="B1892" s="1067" t="inlineStr">
        <is>
          <t>Serviço</t>
        </is>
      </c>
      <c r="C1892" s="1067" t="inlineStr">
        <is>
          <t>36_DRY 90 mm LV - 2 PLACAS - 11,50cm  -  Lado A: PLACA RU - Lado B: PLACA ST</t>
        </is>
      </c>
      <c r="D1892" s="1067" t="inlineStr">
        <is>
          <t>36_DRY 90 mm LV - 2 PLACAS - 11,50cm  -  Lado A: PLACA RU - Lado B: PLACA ST</t>
        </is>
      </c>
      <c r="E1892" s="1068" t="inlineStr">
        <is>
          <t>M2</t>
        </is>
      </c>
      <c r="F1892" s="1067" t="n"/>
      <c r="G1892" s="1069">
        <f t="array" ref="G1892">IF(B1892="insumo",_xlfn.XLOOKUP($D1892,Insumos!$B$1:$B$996,Insumos!$D$1:$D$996),"")</f>
        <v/>
      </c>
      <c r="H1892" s="1069" t="n">
        <v>235.938774666667</v>
      </c>
      <c r="I1892" s="2161" t="n">
        <v>0</v>
      </c>
      <c r="J1892" s="2161" t="n">
        <v>0</v>
      </c>
      <c r="K1892" s="2161" t="n"/>
    </row>
    <row r="1893" outlineLevel="3" ht="15.75" customHeight="1">
      <c r="A1893" s="10" t="n">
        <v>86</v>
      </c>
      <c r="B1893" s="10" t="inlineStr">
        <is>
          <t>Insumo</t>
        </is>
      </c>
      <c r="C1893" s="10" t="inlineStr">
        <is>
          <t>36_DRY 90 mm LV - 2 PLACAS - 11,50cm  -  Lado A: PLACA RU - Lado B: PLACA ST</t>
        </is>
      </c>
      <c r="D1893" s="10" t="inlineStr">
        <is>
          <t>SERVICO - CONFECCAO SHAFT GESSO</t>
        </is>
      </c>
      <c r="E1893" s="11">
        <f t="array" ref="E1893">_xlfn.XLOOKUP(D1893,Insumos!B:B,Insumos!C:$C)</f>
        <v/>
      </c>
      <c r="F1893" s="14" t="n">
        <v>1</v>
      </c>
      <c r="G1893" s="92">
        <f t="array" ref="G1893">IF(B1893="insumo",_xlfn.XLOOKUP($D1893,Insumos!$B$1:$B$996,Insumos!$D$1:$D$996),"")</f>
        <v/>
      </c>
      <c r="H1893" s="92" t="n">
        <v>70</v>
      </c>
      <c r="I1893" s="2162" t="n">
        <v>0</v>
      </c>
      <c r="J1893" s="2162" t="n">
        <v>0</v>
      </c>
      <c r="K1893" s="2162" t="n"/>
    </row>
    <row r="1894" outlineLevel="3" ht="15.75" customHeight="1">
      <c r="A1894" s="10" t="n">
        <v>49</v>
      </c>
      <c r="B1894" s="10" t="inlineStr">
        <is>
          <t>Insumo</t>
        </is>
      </c>
      <c r="C1894" s="10" t="inlineStr">
        <is>
          <t>36_DRY 90 mm LV - 2 PLACAS - 11,50cm  -  Lado A: PLACA RU - Lado B: PLACA ST</t>
        </is>
      </c>
      <c r="D1894" s="10" t="inlineStr">
        <is>
          <t>PLACA / CHAPA DE GESSO ACARTONADO, RESISTENTE A UMIDADE (RU), COR VERDE, E = 12,5 MM, 1200 X 2400 MM (L X C)</t>
        </is>
      </c>
      <c r="E1894" s="11">
        <f t="array" ref="E1894">_xlfn.XLOOKUP(D1894,Insumos!B:B,Insumos!C:$C)</f>
        <v/>
      </c>
      <c r="F1894" s="14">
        <f>1.106</f>
        <v/>
      </c>
      <c r="G1894" s="92">
        <f t="array" ref="G1894">IF(B1894="insumo",_xlfn.XLOOKUP($D1894,Insumos!$B$1:$B$996,Insumos!$D$1:$D$996),"")</f>
        <v/>
      </c>
      <c r="H1894" s="92" t="n">
        <v>29.9726</v>
      </c>
      <c r="I1894" s="2162" t="n">
        <v>0</v>
      </c>
      <c r="J1894" s="2162" t="n">
        <v>0</v>
      </c>
      <c r="K1894" s="2162" t="n"/>
    </row>
    <row r="1895" outlineLevel="3" ht="15.75" customHeight="1">
      <c r="A1895" s="10" t="n">
        <v>47</v>
      </c>
      <c r="B1895" s="10" t="inlineStr">
        <is>
          <t>Insumo</t>
        </is>
      </c>
      <c r="C1895" s="10" t="inlineStr">
        <is>
          <t>36_DRY 90 mm LV - 2 PLACAS - 11,50cm  -  Lado A: PLACA RU - Lado B: PLACA ST</t>
        </is>
      </c>
      <c r="D1895" s="10" t="inlineStr">
        <is>
          <t>PLACA / CHAPA DE GESSO ACARTONADO, STANDARD (ST), COR BRANCA, E = 12,5 MM, 1200 X 2400 MM (L X C)</t>
        </is>
      </c>
      <c r="E1895" s="11">
        <f t="array" ref="E1895">_xlfn.XLOOKUP(D1895,Insumos!B:B,Insumos!C:$C)</f>
        <v/>
      </c>
      <c r="F1895" s="14" t="n">
        <v>1.106</v>
      </c>
      <c r="G1895" s="92">
        <f t="array" ref="G1895">IF(B1895="insumo",_xlfn.XLOOKUP($D1895,Insumos!$B$1:$B$996,Insumos!$D$1:$D$996),"")</f>
        <v/>
      </c>
      <c r="H1895" s="92" t="n">
        <v>22.29696</v>
      </c>
      <c r="I1895" s="2162" t="n">
        <v>0</v>
      </c>
      <c r="J1895" s="2162" t="n">
        <v>0</v>
      </c>
      <c r="K1895" s="2162" t="n"/>
    </row>
    <row r="1896" outlineLevel="3" ht="15.75" customHeight="1">
      <c r="A1896" s="10" t="n">
        <v>95</v>
      </c>
      <c r="B1896" s="10" t="inlineStr">
        <is>
          <t>Insumo</t>
        </is>
      </c>
      <c r="C1896" s="10" t="inlineStr">
        <is>
          <t>36_DRY 90 mm LV - 2 PLACAS - 11,50cm  -  Lado A: PLACA RU - Lado B: PLACA ST</t>
        </is>
      </c>
      <c r="D1896" s="10" t="inlineStr">
        <is>
          <t>PINO DE ACO COM ARRUELA CONICA, DIAMETRO ARRUELA = *23* MM E COMP HASTE = *27* MM (ACAO INDIRETA)</t>
        </is>
      </c>
      <c r="E1896" s="11">
        <f t="array" ref="E1896">_xlfn.XLOOKUP(D1896,Insumos!B:B,Insumos!C:$C)</f>
        <v/>
      </c>
      <c r="F1896" s="14" t="n">
        <v>5.92</v>
      </c>
      <c r="G1896" s="92">
        <f t="array" ref="G1896">IF(B1896="insumo",_xlfn.XLOOKUP($D1896,Insumos!$B$1:$B$996,Insumos!$D$1:$D$996),"")</f>
        <v/>
      </c>
      <c r="H1896" s="92" t="n">
        <v>2.98368</v>
      </c>
      <c r="I1896" s="2162" t="n">
        <v>0</v>
      </c>
      <c r="J1896" s="2162" t="n">
        <v>0</v>
      </c>
      <c r="K1896" s="2162" t="n"/>
    </row>
    <row r="1897" outlineLevel="3" ht="15.75" customHeight="1">
      <c r="A1897" s="10" t="n">
        <v>26</v>
      </c>
      <c r="B1897" s="10" t="inlineStr">
        <is>
          <t>Insumo</t>
        </is>
      </c>
      <c r="C1897" s="10" t="inlineStr">
        <is>
          <t>36_DRY 90 mm LV - 2 PLACAS - 11,50cm  -  Lado A: PLACA RU - Lado B: PLACA ST</t>
        </is>
      </c>
      <c r="D1897" s="10" t="inlineStr">
        <is>
          <t>PERFIL GUIA, FORMATO U, EM ACO ZINCADO, PARA ESTRUTURA PAREDE DRYWALL, E = 0,5 MM, 90 X 3000 MM (L X C)</t>
        </is>
      </c>
      <c r="E1897" s="11">
        <f t="array" ref="E1897">_xlfn.XLOOKUP(D1897,Insumos!B:B,Insumos!C:$C)</f>
        <v/>
      </c>
      <c r="F1897" s="14" t="n">
        <v>1.5248</v>
      </c>
      <c r="G1897" s="92">
        <f t="array" ref="G1897">IF(B1897="insumo",_xlfn.XLOOKUP($D1897,Insumos!$B$1:$B$996,Insumos!$D$1:$D$996),"")</f>
        <v/>
      </c>
      <c r="H1897" s="92" t="n">
        <v>13.174272</v>
      </c>
      <c r="I1897" s="2162" t="n">
        <v>0</v>
      </c>
      <c r="J1897" s="2162" t="n">
        <v>0</v>
      </c>
      <c r="K1897" s="2162" t="n"/>
    </row>
    <row r="1898" outlineLevel="3" ht="15.75" customHeight="1">
      <c r="A1898" s="10" t="n">
        <v>26</v>
      </c>
      <c r="B1898" s="10" t="inlineStr">
        <is>
          <t>Insumo</t>
        </is>
      </c>
      <c r="C1898" s="10" t="inlineStr">
        <is>
          <t>36_DRY 90 mm LV - 2 PLACAS - 11,50cm  -  Lado A: PLACA RU - Lado B: PLACA ST</t>
        </is>
      </c>
      <c r="D1898" s="10" t="inlineStr">
        <is>
          <t>PERFIL MONTANTE, FORMATO C, EM ACO ZINCADO, PARA ESTRUTURA PAREDE DRYWALL, E = 0,5 MM, 90 X 3000 MM (L X C)</t>
        </is>
      </c>
      <c r="E1898" s="11">
        <f t="array" ref="E1898">_xlfn.XLOOKUP(D1898,Insumos!B:B,Insumos!C:$C)</f>
        <v/>
      </c>
      <c r="F1898" s="14" t="n">
        <v>4.0011</v>
      </c>
      <c r="G1898" s="92">
        <f t="array" ref="G1898">IF(B1898="insumo",_xlfn.XLOOKUP($D1898,Insumos!$B$1:$B$996,Insumos!$D$1:$D$996),"")</f>
        <v/>
      </c>
      <c r="H1898" s="92" t="n">
        <v>72.37989899999999</v>
      </c>
      <c r="I1898" s="2162" t="n">
        <v>0</v>
      </c>
      <c r="J1898" s="2162" t="n">
        <v>0</v>
      </c>
      <c r="K1898" s="2162" t="n"/>
    </row>
    <row r="1899" outlineLevel="3" ht="15.75" customHeight="1">
      <c r="A1899" s="10" t="n">
        <v>95</v>
      </c>
      <c r="B1899" s="10" t="inlineStr">
        <is>
          <t>Insumo</t>
        </is>
      </c>
      <c r="C1899" s="10" t="inlineStr">
        <is>
          <t>36_DRY 90 mm LV - 2 PLACAS - 11,50cm  -  Lado A: PLACA RU - Lado B: PLACA ST</t>
        </is>
      </c>
      <c r="D1899" s="10" t="inlineStr">
        <is>
          <t>MASSA DE REJUNTE EM PO PARA DRYWALL, A BASE DE GESSO, SECAGEM RAPIDA, PARA TRATAMENTO DE JUNTAS DE CHAPA DE GESSO (NECESSITA ADICAO DE AGUA)</t>
        </is>
      </c>
      <c r="E1899" s="11">
        <f t="array" ref="E1899">_xlfn.XLOOKUP(D1899,Insumos!B:B,Insumos!C:$C)</f>
        <v/>
      </c>
      <c r="F1899" s="14" t="n">
        <v>1.0978</v>
      </c>
      <c r="G1899" s="92">
        <f t="array" ref="G1899">IF(B1899="insumo",_xlfn.XLOOKUP($D1899,Insumos!$B$1:$B$996,Insumos!$D$1:$D$996),"")</f>
        <v/>
      </c>
      <c r="H1899" s="92" t="n">
        <v>3.765454</v>
      </c>
      <c r="I1899" s="2162" t="n">
        <v>0</v>
      </c>
      <c r="J1899" s="2162" t="n">
        <v>0</v>
      </c>
      <c r="K1899" s="2162" t="n"/>
    </row>
    <row r="1900" outlineLevel="3" ht="15.75" customHeight="1">
      <c r="A1900" s="10" t="n">
        <v>94</v>
      </c>
      <c r="B1900" s="10" t="inlineStr">
        <is>
          <t>Insumo</t>
        </is>
      </c>
      <c r="C1900" s="10" t="inlineStr">
        <is>
          <t>36_DRY 90 mm LV - 2 PLACAS - 11,50cm  -  Lado A: PLACA RU - Lado B: PLACA ST</t>
        </is>
      </c>
      <c r="D1900" s="10" t="inlineStr">
        <is>
          <t>FITA DE PAPEL MICROPERFURADO, 50 X 150 MM, PARA TRATAMENTO DE JUNTAS DE CHAPA DE GESSO PARA DRYWALL</t>
        </is>
      </c>
      <c r="E1900" s="11">
        <f t="array" ref="E1900">_xlfn.XLOOKUP(D1900,Insumos!B:B,Insumos!C:$C)</f>
        <v/>
      </c>
      <c r="F1900" s="14" t="n">
        <v>2.5027</v>
      </c>
      <c r="G1900" s="92">
        <f t="array" ref="G1900">IF(B1900="insumo",_xlfn.XLOOKUP($D1900,Insumos!$B$1:$B$996,Insumos!$D$1:$D$996),"")</f>
        <v/>
      </c>
      <c r="H1900" s="92" t="n">
        <v>0.775837</v>
      </c>
      <c r="I1900" s="2162" t="n">
        <v>0</v>
      </c>
      <c r="J1900" s="2162" t="n">
        <v>0</v>
      </c>
      <c r="K1900" s="2162" t="n"/>
    </row>
    <row r="1901" outlineLevel="3" ht="15.75" customHeight="1">
      <c r="A1901" s="10" t="n">
        <v>94</v>
      </c>
      <c r="B1901" s="10" t="inlineStr">
        <is>
          <t>Insumo</t>
        </is>
      </c>
      <c r="C1901" s="10" t="inlineStr">
        <is>
          <t>36_DRY 90 mm LV - 2 PLACAS - 11,50cm  -  Lado A: PLACA RU - Lado B: PLACA ST</t>
        </is>
      </c>
      <c r="D1901" s="10" t="inlineStr">
        <is>
          <t>FITA DE PAPEL REFORCADA COM LAMINA DE METAL PARA REFORCO DE CANTOS DE CHAPA DE GESSO PARA DRYWALL</t>
        </is>
      </c>
      <c r="E1901" s="11">
        <f t="array" ref="E1901">_xlfn.XLOOKUP(D1901,Insumos!B:B,Insumos!C:$C)</f>
        <v/>
      </c>
      <c r="F1901" s="14" t="n">
        <v>1.5851</v>
      </c>
      <c r="G1901" s="92">
        <f t="array" ref="G1901">IF(B1901="insumo",_xlfn.XLOOKUP($D1901,Insumos!$B$1:$B$996,Insumos!$D$1:$D$996),"")</f>
        <v/>
      </c>
      <c r="H1901" s="92" t="n">
        <v>4.343174</v>
      </c>
      <c r="I1901" s="2162" t="n">
        <v>0</v>
      </c>
      <c r="J1901" s="2162" t="n">
        <v>0</v>
      </c>
      <c r="K1901" s="2162" t="n"/>
    </row>
    <row r="1902" outlineLevel="3" ht="15.75" customHeight="1">
      <c r="A1902" s="10" t="n">
        <v>97</v>
      </c>
      <c r="B1902" s="10" t="inlineStr">
        <is>
          <t>Insumo</t>
        </is>
      </c>
      <c r="C1902" s="10" t="inlineStr">
        <is>
          <t>36_DRY 90 mm LV - 2 PLACAS - 11,50cm  -  Lado A: PLACA RU - Lado B: PLACA ST</t>
        </is>
      </c>
      <c r="D1902" s="10" t="inlineStr">
        <is>
          <t>PARAFUSO DRY WALL, EM ACO FOSFATIZADO, CABECA TROMBETA E PONTA AGULHA (TA), COMPRIMENTO 25 MM</t>
        </is>
      </c>
      <c r="E1902" s="11">
        <f t="array" ref="E1902">_xlfn.XLOOKUP(D1902,Insumos!B:B,Insumos!C:$C)</f>
        <v/>
      </c>
      <c r="F1902" s="14" t="n">
        <v>20.1868</v>
      </c>
      <c r="G1902" s="92">
        <f t="array" ref="G1902">IF(B1902="insumo",_xlfn.XLOOKUP($D1902,Insumos!$B$1:$B$996,Insumos!$D$1:$D$996),"")</f>
        <v/>
      </c>
      <c r="H1902" s="92" t="n">
        <v>1.816812</v>
      </c>
      <c r="I1902" s="2162" t="n">
        <v>0</v>
      </c>
      <c r="J1902" s="2162" t="n">
        <v>0</v>
      </c>
      <c r="K1902" s="2162" t="n"/>
    </row>
    <row r="1903" outlineLevel="3" ht="15.75" customHeight="1">
      <c r="A1903" s="10" t="n">
        <v>95</v>
      </c>
      <c r="B1903" s="10" t="inlineStr">
        <is>
          <t>Insumo</t>
        </is>
      </c>
      <c r="C1903" s="10" t="inlineStr">
        <is>
          <t>36_DRY 90 mm LV - 2 PLACAS - 11,50cm  -  Lado A: PLACA RU - Lado B: PLACA ST</t>
        </is>
      </c>
      <c r="D1903" s="10" t="inlineStr">
        <is>
          <t>PARAFUSO DRY WALL, EM ACO ZINCADO, CABECA LENTILHA E PONTA BROCA (LB), LARGURA 4,2 MM, COMPRIMENTO 13 MM</t>
        </is>
      </c>
      <c r="E1903" s="11">
        <f t="array" ref="E1903">_xlfn.XLOOKUP(D1903,Insumos!B:B,Insumos!C:$C)</f>
        <v/>
      </c>
      <c r="F1903" s="14" t="n">
        <v>0.5441</v>
      </c>
      <c r="G1903" s="92">
        <f t="array" ref="G1903">IF(B1903="insumo",_xlfn.XLOOKUP($D1903,Insumos!$B$1:$B$996,Insumos!$D$1:$D$996),"")</f>
        <v/>
      </c>
      <c r="H1903" s="92" t="n">
        <v>0.10882</v>
      </c>
      <c r="I1903" s="2162" t="n">
        <v>0</v>
      </c>
      <c r="J1903" s="2162" t="n">
        <v>0</v>
      </c>
      <c r="K1903" s="2162" t="n"/>
    </row>
    <row r="1904" outlineLevel="3" ht="15.75" customHeight="1">
      <c r="A1904" s="10" t="n">
        <v>35</v>
      </c>
      <c r="B1904" s="10" t="inlineStr">
        <is>
          <t>Insumo</t>
        </is>
      </c>
      <c r="C1904" s="10" t="inlineStr">
        <is>
          <t>36_DRY 90 mm LV - 2 PLACAS - 11,50cm  -  Lado A: PLACA RU - Lado B: PLACA ST</t>
        </is>
      </c>
      <c r="D1904" s="10" t="inlineStr">
        <is>
          <t>Lã de pet 50 X 1200 X 12500 MM</t>
        </is>
      </c>
      <c r="E1904" s="11">
        <f t="array" ref="E1904">_xlfn.XLOOKUP(D1904,Insumos!B:B,Insumos!C:$C)</f>
        <v/>
      </c>
      <c r="F1904" s="14" t="n">
        <v>1.1</v>
      </c>
      <c r="G1904" s="92">
        <f t="array" ref="G1904">IF(B1904="insumo",_xlfn.XLOOKUP($D1904,Insumos!$B$1:$B$996,Insumos!$D$1:$D$996),"")</f>
        <v/>
      </c>
      <c r="H1904" s="92" t="n">
        <v>14.3212666666667</v>
      </c>
      <c r="I1904" s="2162" t="n">
        <v>0</v>
      </c>
      <c r="J1904" s="2162" t="n">
        <v>0</v>
      </c>
      <c r="K1904" s="2162" t="n"/>
    </row>
    <row r="1905" outlineLevel="2" ht="15.75" customHeight="1">
      <c r="A1905" s="1067" t="n">
        <v>1</v>
      </c>
      <c r="B1905" s="1067" t="inlineStr">
        <is>
          <t>Serviço</t>
        </is>
      </c>
      <c r="C1905" s="1067" t="inlineStr">
        <is>
          <t>36_DRY 90 mm LV - 2 PLACAS - 11,50cm  -  Lado A: PLACA ST - Lado B: PLACA ST</t>
        </is>
      </c>
      <c r="D1905" s="1067" t="inlineStr">
        <is>
          <t>36_DRY 90 mm LV - 2 PLACAS - 11,50cm  -  Lado A: PLACA ST - Lado B: PLACA ST</t>
        </is>
      </c>
      <c r="E1905" s="1068" t="inlineStr">
        <is>
          <t>M2</t>
        </is>
      </c>
      <c r="F1905" s="1067" t="n"/>
      <c r="G1905" s="1069">
        <f t="array" ref="G1905">IF(B1905="insumo",_xlfn.XLOOKUP($D1905,Insumos!$B$1:$B$996,Insumos!$D$1:$D$996),"")</f>
        <v/>
      </c>
      <c r="H1905" s="1069" t="n">
        <v>226.126174666667</v>
      </c>
      <c r="I1905" s="2161" t="n">
        <v>0</v>
      </c>
      <c r="J1905" s="2161" t="n">
        <v>0</v>
      </c>
      <c r="K1905" s="2161" t="n"/>
    </row>
    <row r="1906" outlineLevel="3" ht="15.75" customHeight="1">
      <c r="A1906" s="10" t="n">
        <v>86</v>
      </c>
      <c r="B1906" s="10" t="inlineStr">
        <is>
          <t>Insumo</t>
        </is>
      </c>
      <c r="C1906" s="10" t="inlineStr">
        <is>
          <t>36_DRY 90 mm LV - 2 PLACAS - 11,50cm  -  Lado A: PLACA ST - Lado B: PLACA ST</t>
        </is>
      </c>
      <c r="D1906" s="10" t="inlineStr">
        <is>
          <t>SERVICO - CONFECCAO SHAFT GESSO</t>
        </is>
      </c>
      <c r="E1906" s="11">
        <f t="array" ref="E1906">_xlfn.XLOOKUP(D1906,Insumos!B:B,Insumos!C:$C)</f>
        <v/>
      </c>
      <c r="F1906" s="14" t="n">
        <v>1</v>
      </c>
      <c r="G1906" s="92">
        <f t="array" ref="G1906">IF(B1906="insumo",_xlfn.XLOOKUP($D1906,Insumos!$B$1:$B$996,Insumos!$D$1:$D$996),"")</f>
        <v/>
      </c>
      <c r="H1906" s="92" t="n">
        <v>70</v>
      </c>
      <c r="I1906" s="2162" t="n">
        <v>0</v>
      </c>
      <c r="J1906" s="2162" t="n">
        <v>0</v>
      </c>
      <c r="K1906" s="2162" t="n"/>
    </row>
    <row r="1907" outlineLevel="3" ht="15.75" customHeight="1">
      <c r="A1907" s="10" t="n">
        <v>47</v>
      </c>
      <c r="B1907" s="10" t="inlineStr">
        <is>
          <t>Insumo</t>
        </is>
      </c>
      <c r="C1907" s="10" t="inlineStr">
        <is>
          <t>36_DRY 90 mm LV - 2 PLACAS - 11,50cm  -  Lado A: PLACA ST - Lado B: PLACA ST</t>
        </is>
      </c>
      <c r="D1907" s="10" t="inlineStr">
        <is>
          <t>PLACA / CHAPA DE GESSO ACARTONADO, STANDARD (ST), COR BRANCA, E = 12,5 MM, 1200 X 2400 MM (L X C)</t>
        </is>
      </c>
      <c r="E1907" s="11">
        <f t="array" ref="E1907">_xlfn.XLOOKUP(D1907,Insumos!B:B,Insumos!C:$C)</f>
        <v/>
      </c>
      <c r="F1907" s="14" t="n">
        <v>2.106</v>
      </c>
      <c r="G1907" s="92">
        <f t="array" ref="G1907">IF(B1907="insumo",_xlfn.XLOOKUP($D1907,Insumos!$B$1:$B$996,Insumos!$D$1:$D$996),"")</f>
        <v/>
      </c>
      <c r="H1907" s="92" t="n">
        <v>42.45696</v>
      </c>
      <c r="I1907" s="2162" t="n">
        <v>0</v>
      </c>
      <c r="J1907" s="2162" t="n">
        <v>0</v>
      </c>
      <c r="K1907" s="2162" t="n"/>
    </row>
    <row r="1908" outlineLevel="3" ht="15.75" customHeight="1">
      <c r="A1908" s="10" t="n">
        <v>95</v>
      </c>
      <c r="B1908" s="10" t="inlineStr">
        <is>
          <t>Insumo</t>
        </is>
      </c>
      <c r="C1908" s="10" t="inlineStr">
        <is>
          <t>36_DRY 90 mm LV - 2 PLACAS - 11,50cm  -  Lado A: PLACA ST - Lado B: PLACA ST</t>
        </is>
      </c>
      <c r="D1908" s="10" t="inlineStr">
        <is>
          <t>PINO DE ACO COM ARRUELA CONICA, DIAMETRO ARRUELA = *23* MM E COMP HASTE = *27* MM (ACAO INDIRETA)</t>
        </is>
      </c>
      <c r="E1908" s="11">
        <f t="array" ref="E1908">_xlfn.XLOOKUP(D1908,Insumos!B:B,Insumos!C:$C)</f>
        <v/>
      </c>
      <c r="F1908" s="14" t="n">
        <v>5.92</v>
      </c>
      <c r="G1908" s="92">
        <f t="array" ref="G1908">IF(B1908="insumo",_xlfn.XLOOKUP($D1908,Insumos!$B$1:$B$996,Insumos!$D$1:$D$996),"")</f>
        <v/>
      </c>
      <c r="H1908" s="92" t="n">
        <v>2.98368</v>
      </c>
      <c r="I1908" s="2162" t="n">
        <v>0</v>
      </c>
      <c r="J1908" s="2162" t="n">
        <v>0</v>
      </c>
      <c r="K1908" s="2162" t="n"/>
    </row>
    <row r="1909" outlineLevel="3" ht="15.75" customHeight="1">
      <c r="A1909" s="10" t="n">
        <v>26</v>
      </c>
      <c r="B1909" s="10" t="inlineStr">
        <is>
          <t>Insumo</t>
        </is>
      </c>
      <c r="C1909" s="10" t="inlineStr">
        <is>
          <t>36_DRY 90 mm LV - 2 PLACAS - 11,50cm  -  Lado A: PLACA ST - Lado B: PLACA ST</t>
        </is>
      </c>
      <c r="D1909" s="10" t="inlineStr">
        <is>
          <t>PERFIL GUIA, FORMATO U, EM ACO ZINCADO, PARA ESTRUTURA PAREDE DRYWALL, E = 0,5 MM, 90 X 3000 MM (L X C)</t>
        </is>
      </c>
      <c r="E1909" s="11">
        <f t="array" ref="E1909">_xlfn.XLOOKUP(D1909,Insumos!B:B,Insumos!C:$C)</f>
        <v/>
      </c>
      <c r="F1909" s="14" t="n">
        <v>1.5248</v>
      </c>
      <c r="G1909" s="92">
        <f t="array" ref="G1909">IF(B1909="insumo",_xlfn.XLOOKUP($D1909,Insumos!$B$1:$B$996,Insumos!$D$1:$D$996),"")</f>
        <v/>
      </c>
      <c r="H1909" s="92" t="n">
        <v>13.174272</v>
      </c>
      <c r="I1909" s="2162" t="n">
        <v>0</v>
      </c>
      <c r="J1909" s="2162" t="n">
        <v>0</v>
      </c>
      <c r="K1909" s="2162" t="n"/>
    </row>
    <row r="1910" outlineLevel="3" ht="15.75" customHeight="1">
      <c r="A1910" s="10" t="n">
        <v>26</v>
      </c>
      <c r="B1910" s="10" t="inlineStr">
        <is>
          <t>Insumo</t>
        </is>
      </c>
      <c r="C1910" s="10" t="inlineStr">
        <is>
          <t>36_DRY 90 mm LV - 2 PLACAS - 11,50cm  -  Lado A: PLACA ST - Lado B: PLACA ST</t>
        </is>
      </c>
      <c r="D1910" s="10" t="inlineStr">
        <is>
          <t>PERFIL MONTANTE, FORMATO C, EM ACO ZINCADO, PARA ESTRUTURA PAREDE DRYWALL, E = 0,5 MM, 90 X 3000 MM (L X C)</t>
        </is>
      </c>
      <c r="E1910" s="11">
        <f t="array" ref="E1910">_xlfn.XLOOKUP(D1910,Insumos!B:B,Insumos!C:$C)</f>
        <v/>
      </c>
      <c r="F1910" s="14" t="n">
        <v>4.0011</v>
      </c>
      <c r="G1910" s="92">
        <f t="array" ref="G1910">IF(B1910="insumo",_xlfn.XLOOKUP($D1910,Insumos!$B$1:$B$996,Insumos!$D$1:$D$996),"")</f>
        <v/>
      </c>
      <c r="H1910" s="92" t="n">
        <v>72.37989899999999</v>
      </c>
      <c r="I1910" s="2162" t="n">
        <v>0</v>
      </c>
      <c r="J1910" s="2162" t="n">
        <v>0</v>
      </c>
      <c r="K1910" s="2162" t="n"/>
    </row>
    <row r="1911" outlineLevel="3" ht="15.75" customHeight="1">
      <c r="A1911" s="10" t="n">
        <v>95</v>
      </c>
      <c r="B1911" s="10" t="inlineStr">
        <is>
          <t>Insumo</t>
        </is>
      </c>
      <c r="C1911" s="10" t="inlineStr">
        <is>
          <t>36_DRY 90 mm LV - 2 PLACAS - 11,50cm  -  Lado A: PLACA ST - Lado B: PLACA ST</t>
        </is>
      </c>
      <c r="D1911" s="10" t="inlineStr">
        <is>
          <t>MASSA DE REJUNTE EM PO PARA DRYWALL, A BASE DE GESSO, SECAGEM RAPIDA, PARA TRATAMENTO DE JUNTAS DE CHAPA DE GESSO (NECESSITA ADICAO DE AGUA)</t>
        </is>
      </c>
      <c r="E1911" s="11">
        <f t="array" ref="E1911">_xlfn.XLOOKUP(D1911,Insumos!B:B,Insumos!C:$C)</f>
        <v/>
      </c>
      <c r="F1911" s="14" t="n">
        <v>1.0978</v>
      </c>
      <c r="G1911" s="92">
        <f t="array" ref="G1911">IF(B1911="insumo",_xlfn.XLOOKUP($D1911,Insumos!$B$1:$B$996,Insumos!$D$1:$D$996),"")</f>
        <v/>
      </c>
      <c r="H1911" s="92" t="n">
        <v>3.765454</v>
      </c>
      <c r="I1911" s="2162" t="n">
        <v>0</v>
      </c>
      <c r="J1911" s="2162" t="n">
        <v>0</v>
      </c>
      <c r="K1911" s="2162" t="n"/>
    </row>
    <row r="1912" outlineLevel="3" ht="15.75" customHeight="1">
      <c r="A1912" s="10" t="n">
        <v>94</v>
      </c>
      <c r="B1912" s="10" t="inlineStr">
        <is>
          <t>Insumo</t>
        </is>
      </c>
      <c r="C1912" s="10" t="inlineStr">
        <is>
          <t>36_DRY 90 mm LV - 2 PLACAS - 11,50cm  -  Lado A: PLACA ST - Lado B: PLACA ST</t>
        </is>
      </c>
      <c r="D1912" s="10" t="inlineStr">
        <is>
          <t>FITA DE PAPEL MICROPERFURADO, 50 X 150 MM, PARA TRATAMENTO DE JUNTAS DE CHAPA DE GESSO PARA DRYWALL</t>
        </is>
      </c>
      <c r="E1912" s="11">
        <f t="array" ref="E1912">_xlfn.XLOOKUP(D1912,Insumos!B:B,Insumos!C:$C)</f>
        <v/>
      </c>
      <c r="F1912" s="14" t="n">
        <v>2.5027</v>
      </c>
      <c r="G1912" s="92">
        <f t="array" ref="G1912">IF(B1912="insumo",_xlfn.XLOOKUP($D1912,Insumos!$B$1:$B$996,Insumos!$D$1:$D$996),"")</f>
        <v/>
      </c>
      <c r="H1912" s="92" t="n">
        <v>0.775837</v>
      </c>
      <c r="I1912" s="2162" t="n">
        <v>0</v>
      </c>
      <c r="J1912" s="2162" t="n">
        <v>0</v>
      </c>
      <c r="K1912" s="2162" t="n"/>
    </row>
    <row r="1913" outlineLevel="3" ht="15.75" customHeight="1">
      <c r="A1913" s="10" t="n">
        <v>94</v>
      </c>
      <c r="B1913" s="10" t="inlineStr">
        <is>
          <t>Insumo</t>
        </is>
      </c>
      <c r="C1913" s="10" t="inlineStr">
        <is>
          <t>36_DRY 90 mm LV - 2 PLACAS - 11,50cm  -  Lado A: PLACA ST - Lado B: PLACA ST</t>
        </is>
      </c>
      <c r="D1913" s="10" t="inlineStr">
        <is>
          <t>FITA DE PAPEL REFORCADA COM LAMINA DE METAL PARA REFORCO DE CANTOS DE CHAPA DE GESSO PARA DRYWALL</t>
        </is>
      </c>
      <c r="E1913" s="11">
        <f t="array" ref="E1913">_xlfn.XLOOKUP(D1913,Insumos!B:B,Insumos!C:$C)</f>
        <v/>
      </c>
      <c r="F1913" s="14" t="n">
        <v>1.5851</v>
      </c>
      <c r="G1913" s="92">
        <f t="array" ref="G1913">IF(B1913="insumo",_xlfn.XLOOKUP($D1913,Insumos!$B$1:$B$996,Insumos!$D$1:$D$996),"")</f>
        <v/>
      </c>
      <c r="H1913" s="92" t="n">
        <v>4.343174</v>
      </c>
      <c r="I1913" s="2162" t="n">
        <v>0</v>
      </c>
      <c r="J1913" s="2162" t="n">
        <v>0</v>
      </c>
      <c r="K1913" s="2162" t="n"/>
    </row>
    <row r="1914" outlineLevel="3" ht="15.75" customHeight="1">
      <c r="A1914" s="10" t="n">
        <v>97</v>
      </c>
      <c r="B1914" s="10" t="inlineStr">
        <is>
          <t>Insumo</t>
        </is>
      </c>
      <c r="C1914" s="10" t="inlineStr">
        <is>
          <t>36_DRY 90 mm LV - 2 PLACAS - 11,50cm  -  Lado A: PLACA ST - Lado B: PLACA ST</t>
        </is>
      </c>
      <c r="D1914" s="10" t="inlineStr">
        <is>
          <t>PARAFUSO DRY WALL, EM ACO FOSFATIZADO, CABECA TROMBETA E PONTA AGULHA (TA), COMPRIMENTO 25 MM</t>
        </is>
      </c>
      <c r="E1914" s="11">
        <f t="array" ref="E1914">_xlfn.XLOOKUP(D1914,Insumos!B:B,Insumos!C:$C)</f>
        <v/>
      </c>
      <c r="F1914" s="14" t="n">
        <v>20.1868</v>
      </c>
      <c r="G1914" s="92">
        <f t="array" ref="G1914">IF(B1914="insumo",_xlfn.XLOOKUP($D1914,Insumos!$B$1:$B$996,Insumos!$D$1:$D$996),"")</f>
        <v/>
      </c>
      <c r="H1914" s="92" t="n">
        <v>1.816812</v>
      </c>
      <c r="I1914" s="2162" t="n">
        <v>0</v>
      </c>
      <c r="J1914" s="2162" t="n">
        <v>0</v>
      </c>
      <c r="K1914" s="2162" t="n"/>
    </row>
    <row r="1915" outlineLevel="3" ht="15.75" customHeight="1">
      <c r="A1915" s="10" t="n">
        <v>95</v>
      </c>
      <c r="B1915" s="10" t="inlineStr">
        <is>
          <t>Insumo</t>
        </is>
      </c>
      <c r="C1915" s="10" t="inlineStr">
        <is>
          <t>36_DRY 90 mm LV - 2 PLACAS - 11,50cm  -  Lado A: PLACA ST - Lado B: PLACA ST</t>
        </is>
      </c>
      <c r="D1915" s="10" t="inlineStr">
        <is>
          <t>PARAFUSO DRY WALL, EM ACO ZINCADO, CABECA LENTILHA E PONTA BROCA (LB), LARGURA 4,2 MM, COMPRIMENTO 13 MM</t>
        </is>
      </c>
      <c r="E1915" s="11">
        <f t="array" ref="E1915">_xlfn.XLOOKUP(D1915,Insumos!B:B,Insumos!C:$C)</f>
        <v/>
      </c>
      <c r="F1915" s="14" t="n">
        <v>0.5441</v>
      </c>
      <c r="G1915" s="92">
        <f t="array" ref="G1915">IF(B1915="insumo",_xlfn.XLOOKUP($D1915,Insumos!$B$1:$B$996,Insumos!$D$1:$D$996),"")</f>
        <v/>
      </c>
      <c r="H1915" s="92" t="n">
        <v>0.10882</v>
      </c>
      <c r="I1915" s="2162" t="n">
        <v>0</v>
      </c>
      <c r="J1915" s="2162" t="n">
        <v>0</v>
      </c>
      <c r="K1915" s="2162" t="n"/>
    </row>
    <row r="1916" outlineLevel="3" ht="15.75" customHeight="1">
      <c r="A1916" s="10" t="n">
        <v>35</v>
      </c>
      <c r="B1916" s="10" t="inlineStr">
        <is>
          <t>Insumo</t>
        </is>
      </c>
      <c r="C1916" s="10" t="inlineStr">
        <is>
          <t>36_DRY 90 mm LV - 2 PLACAS - 11,50cm  -  Lado A: PLACA ST - Lado B: PLACA ST</t>
        </is>
      </c>
      <c r="D1916" s="10" t="inlineStr">
        <is>
          <t>Lã de pet 50 X 1200 X 12500 MM</t>
        </is>
      </c>
      <c r="E1916" s="11">
        <f t="array" ref="E1916">_xlfn.XLOOKUP(D1916,Insumos!B:B,Insumos!C:$C)</f>
        <v/>
      </c>
      <c r="F1916" s="14" t="n">
        <v>1.1</v>
      </c>
      <c r="G1916" s="92">
        <f t="array" ref="G1916">IF(B1916="insumo",_xlfn.XLOOKUP($D1916,Insumos!$B$1:$B$996,Insumos!$D$1:$D$996),"")</f>
        <v/>
      </c>
      <c r="H1916" s="92" t="n">
        <v>14.3212666666667</v>
      </c>
      <c r="I1916" s="2162" t="n">
        <v>0</v>
      </c>
      <c r="J1916" s="2162" t="n">
        <v>0</v>
      </c>
      <c r="K1916" s="2162" t="n"/>
    </row>
    <row r="1917" outlineLevel="2" ht="15.75" customHeight="1">
      <c r="A1917" s="1067" t="n">
        <v>1</v>
      </c>
      <c r="B1917" s="1067" t="inlineStr">
        <is>
          <t>Serviço</t>
        </is>
      </c>
      <c r="C1917" s="1067" t="inlineStr">
        <is>
          <t>36_DRY 90 mm LV - 1 PLACA - 10,25cm  -  Lado A: PLACA ST - Lado B: N/A</t>
        </is>
      </c>
      <c r="D1917" s="1067" t="inlineStr">
        <is>
          <t>36_DRY 90 mm LV - 1 PLACA - 10,25cm  -  Lado A: PLACA ST - Lado B: N/A</t>
        </is>
      </c>
      <c r="E1917" s="1068" t="inlineStr">
        <is>
          <t>M2</t>
        </is>
      </c>
      <c r="F1917" s="1067" t="n"/>
      <c r="G1917" s="1069">
        <f t="array" ref="G1917">IF(B1917="insumo",_xlfn.XLOOKUP($D1917,Insumos!$B$1:$B$996,Insumos!$D$1:$D$996),"")</f>
        <v/>
      </c>
      <c r="H1917" s="1069" t="n">
        <v>200.615536166667</v>
      </c>
      <c r="I1917" s="2161" t="n">
        <v>0</v>
      </c>
      <c r="J1917" s="2161" t="n">
        <v>0</v>
      </c>
      <c r="K1917" s="2161" t="n"/>
    </row>
    <row r="1918" outlineLevel="3" ht="15.75" customHeight="1">
      <c r="A1918" s="10" t="n">
        <v>86</v>
      </c>
      <c r="B1918" s="10" t="inlineStr">
        <is>
          <t>Insumo</t>
        </is>
      </c>
      <c r="C1918" s="10" t="inlineStr">
        <is>
          <t>36_DRY 90 mm LV - 1 PLACA - 10,25cm  -  Lado A: PLACA ST - Lado B: N/A</t>
        </is>
      </c>
      <c r="D1918" s="10" t="inlineStr">
        <is>
          <t>SERVICO - CONFECCAO SHAFT GESSO</t>
        </is>
      </c>
      <c r="E1918" s="11">
        <f t="array" ref="E1918">_xlfn.XLOOKUP(D1918,Insumos!B:B,Insumos!C:$C)</f>
        <v/>
      </c>
      <c r="F1918" s="14" t="n">
        <v>1</v>
      </c>
      <c r="G1918" s="92">
        <f t="array" ref="G1918">IF(B1918="insumo",_xlfn.XLOOKUP($D1918,Insumos!$B$1:$B$996,Insumos!$D$1:$D$996),"")</f>
        <v/>
      </c>
      <c r="H1918" s="92" t="n">
        <v>70</v>
      </c>
      <c r="I1918" s="2162" t="n">
        <v>0</v>
      </c>
      <c r="J1918" s="2162" t="n">
        <v>0</v>
      </c>
      <c r="K1918" s="2162" t="n"/>
    </row>
    <row r="1919" outlineLevel="3" ht="15.75" customHeight="1">
      <c r="A1919" s="10" t="n">
        <v>47</v>
      </c>
      <c r="B1919" s="10" t="inlineStr">
        <is>
          <t>Insumo</t>
        </is>
      </c>
      <c r="C1919" s="10" t="inlineStr">
        <is>
          <t>36_DRY 90 mm LV - 1 PLACA - 10,25cm  -  Lado A: PLACA ST - Lado B: N/A</t>
        </is>
      </c>
      <c r="D1919" s="10" t="inlineStr">
        <is>
          <t>PLACA / CHAPA DE GESSO ACARTONADO, STANDARD (ST), COR BRANCA, E = 12,5 MM, 1200 X 2400 MM (L X C)</t>
        </is>
      </c>
      <c r="E1919" s="11">
        <f t="array" ref="E1919">_xlfn.XLOOKUP(D1919,Insumos!B:B,Insumos!C:$C)</f>
        <v/>
      </c>
      <c r="F1919" s="14" t="n">
        <v>1.106</v>
      </c>
      <c r="G1919" s="92">
        <f t="array" ref="G1919">IF(B1919="insumo",_xlfn.XLOOKUP($D1919,Insumos!$B$1:$B$996,Insumos!$D$1:$D$996),"")</f>
        <v/>
      </c>
      <c r="H1919" s="92" t="n">
        <v>22.29696</v>
      </c>
      <c r="I1919" s="2162" t="n">
        <v>0</v>
      </c>
      <c r="J1919" s="2162" t="n">
        <v>0</v>
      </c>
      <c r="K1919" s="2162" t="n"/>
    </row>
    <row r="1920" outlineLevel="3" ht="15.75" customHeight="1">
      <c r="A1920" s="10" t="n">
        <v>95</v>
      </c>
      <c r="B1920" s="10" t="inlineStr">
        <is>
          <t>Insumo</t>
        </is>
      </c>
      <c r="C1920" s="10" t="inlineStr">
        <is>
          <t>36_DRY 90 mm LV - 1 PLACA - 10,25cm  -  Lado A: PLACA ST - Lado B: N/A</t>
        </is>
      </c>
      <c r="D1920" s="10" t="inlineStr">
        <is>
          <t>PINO DE ACO COM ARRUELA CONICA, DIAMETRO ARRUELA = *23* MM E COMP HASTE = *27* MM (ACAO INDIRETA)</t>
        </is>
      </c>
      <c r="E1920" s="11">
        <f t="array" ref="E1920">_xlfn.XLOOKUP(D1920,Insumos!B:B,Insumos!C:$C)</f>
        <v/>
      </c>
      <c r="F1920" s="14" t="n">
        <v>5.92</v>
      </c>
      <c r="G1920" s="92">
        <f t="array" ref="G1920">IF(B1920="insumo",_xlfn.XLOOKUP($D1920,Insumos!$B$1:$B$996,Insumos!$D$1:$D$996),"")</f>
        <v/>
      </c>
      <c r="H1920" s="92" t="n">
        <v>2.98368</v>
      </c>
      <c r="I1920" s="2162" t="n">
        <v>0</v>
      </c>
      <c r="J1920" s="2162" t="n">
        <v>0</v>
      </c>
      <c r="K1920" s="2162" t="n"/>
    </row>
    <row r="1921" outlineLevel="3" ht="15.75" customHeight="1">
      <c r="A1921" s="10" t="n">
        <v>26</v>
      </c>
      <c r="B1921" s="10" t="inlineStr">
        <is>
          <t>Insumo</t>
        </is>
      </c>
      <c r="C1921" s="10" t="inlineStr">
        <is>
          <t>36_DRY 90 mm LV - 1 PLACA - 10,25cm  -  Lado A: PLACA ST - Lado B: N/A</t>
        </is>
      </c>
      <c r="D1921" s="10" t="inlineStr">
        <is>
          <t>PERFIL GUIA, FORMATO U, EM ACO ZINCADO, PARA ESTRUTURA PAREDE DRYWALL, E = 0,5 MM, 90 X 3000 MM (L X C)</t>
        </is>
      </c>
      <c r="E1921" s="11">
        <f t="array" ref="E1921">_xlfn.XLOOKUP(D1921,Insumos!B:B,Insumos!C:$C)</f>
        <v/>
      </c>
      <c r="F1921" s="14" t="n">
        <v>1.5248</v>
      </c>
      <c r="G1921" s="92">
        <f t="array" ref="G1921">IF(B1921="insumo",_xlfn.XLOOKUP($D1921,Insumos!$B$1:$B$996,Insumos!$D$1:$D$996),"")</f>
        <v/>
      </c>
      <c r="H1921" s="92" t="n">
        <v>13.174272</v>
      </c>
      <c r="I1921" s="2162" t="n">
        <v>0</v>
      </c>
      <c r="J1921" s="2162" t="n">
        <v>0</v>
      </c>
      <c r="K1921" s="2162" t="n"/>
    </row>
    <row r="1922" outlineLevel="3" ht="15.75" customHeight="1">
      <c r="A1922" s="10" t="n">
        <v>26</v>
      </c>
      <c r="B1922" s="10" t="inlineStr">
        <is>
          <t>Insumo</t>
        </is>
      </c>
      <c r="C1922" s="10" t="inlineStr">
        <is>
          <t>36_DRY 90 mm LV - 1 PLACA - 10,25cm  -  Lado A: PLACA ST - Lado B: N/A</t>
        </is>
      </c>
      <c r="D1922" s="10" t="inlineStr">
        <is>
          <t>PERFIL MONTANTE, FORMATO C, EM ACO ZINCADO, PARA ESTRUTURA PAREDE DRYWALL, E = 0,5 MM, 90 X 3000 MM (L X C)</t>
        </is>
      </c>
      <c r="E1922" s="11">
        <f t="array" ref="E1922">_xlfn.XLOOKUP(D1922,Insumos!B:B,Insumos!C:$C)</f>
        <v/>
      </c>
      <c r="F1922" s="14" t="n">
        <v>4.0011</v>
      </c>
      <c r="G1922" s="92">
        <f t="array" ref="G1922">IF(B1922="insumo",_xlfn.XLOOKUP($D1922,Insumos!$B$1:$B$996,Insumos!$D$1:$D$996),"")</f>
        <v/>
      </c>
      <c r="H1922" s="92" t="n">
        <v>72.37989899999999</v>
      </c>
      <c r="I1922" s="2162" t="n">
        <v>0</v>
      </c>
      <c r="J1922" s="2162" t="n">
        <v>0</v>
      </c>
      <c r="K1922" s="2162" t="n"/>
    </row>
    <row r="1923" outlineLevel="3" ht="15.75" customHeight="1">
      <c r="A1923" s="10" t="n">
        <v>95</v>
      </c>
      <c r="B1923" s="10" t="inlineStr">
        <is>
          <t>Insumo</t>
        </is>
      </c>
      <c r="C1923" s="10" t="inlineStr">
        <is>
          <t>36_DRY 90 mm LV - 1 PLACA - 10,25cm  -  Lado A: PLACA ST - Lado B: N/A</t>
        </is>
      </c>
      <c r="D1923" s="10" t="inlineStr">
        <is>
          <t>MASSA DE REJUNTE EM PO PARA DRYWALL, A BASE DE GESSO, SECAGEM RAPIDA, PARA TRATAMENTO DE JUNTAS DE CHAPA DE GESSO (NECESSITA ADICAO DE AGUA)</t>
        </is>
      </c>
      <c r="E1923" s="11">
        <f t="array" ref="E1923">_xlfn.XLOOKUP(D1923,Insumos!B:B,Insumos!C:$C)</f>
        <v/>
      </c>
      <c r="F1923" s="14">
        <f>1.0978/2</f>
        <v/>
      </c>
      <c r="G1923" s="92">
        <f t="array" ref="G1923">IF(B1923="insumo",_xlfn.XLOOKUP($D1923,Insumos!$B$1:$B$996,Insumos!$D$1:$D$996),"")</f>
        <v/>
      </c>
      <c r="H1923" s="92" t="n">
        <v>1.882727</v>
      </c>
      <c r="I1923" s="2162" t="n">
        <v>0</v>
      </c>
      <c r="J1923" s="2162" t="n">
        <v>0</v>
      </c>
      <c r="K1923" s="2162" t="n"/>
    </row>
    <row r="1924" outlineLevel="3" ht="15.75" customHeight="1">
      <c r="A1924" s="10" t="n">
        <v>94</v>
      </c>
      <c r="B1924" s="10" t="inlineStr">
        <is>
          <t>Insumo</t>
        </is>
      </c>
      <c r="C1924" s="10" t="inlineStr">
        <is>
          <t>36_DRY 90 mm LV - 1 PLACA - 10,25cm  -  Lado A: PLACA ST - Lado B: N/A</t>
        </is>
      </c>
      <c r="D1924" s="10" t="inlineStr">
        <is>
          <t>FITA DE PAPEL MICROPERFURADO, 50 X 150 MM, PARA TRATAMENTO DE JUNTAS DE CHAPA DE GESSO PARA DRYWALL</t>
        </is>
      </c>
      <c r="E1924" s="11">
        <f t="array" ref="E1924">_xlfn.XLOOKUP(D1924,Insumos!B:B,Insumos!C:$C)</f>
        <v/>
      </c>
      <c r="F1924" s="14">
        <f>2.5027/2</f>
        <v/>
      </c>
      <c r="G1924" s="92">
        <f t="array" ref="G1924">IF(B1924="insumo",_xlfn.XLOOKUP($D1924,Insumos!$B$1:$B$996,Insumos!$D$1:$D$996),"")</f>
        <v/>
      </c>
      <c r="H1924" s="92" t="n">
        <v>0.3879185</v>
      </c>
      <c r="I1924" s="2162" t="n">
        <v>0</v>
      </c>
      <c r="J1924" s="2162" t="n">
        <v>0</v>
      </c>
      <c r="K1924" s="2162" t="n"/>
    </row>
    <row r="1925" outlineLevel="3" ht="15.75" customHeight="1">
      <c r="A1925" s="10" t="n">
        <v>94</v>
      </c>
      <c r="B1925" s="10" t="inlineStr">
        <is>
          <t>Insumo</t>
        </is>
      </c>
      <c r="C1925" s="10" t="inlineStr">
        <is>
          <t>36_DRY 90 mm LV - 1 PLACA - 10,25cm  -  Lado A: PLACA ST - Lado B: N/A</t>
        </is>
      </c>
      <c r="D1925" s="10" t="inlineStr">
        <is>
          <t>FITA DE PAPEL REFORCADA COM LAMINA DE METAL PARA REFORCO DE CANTOS DE CHAPA DE GESSO PARA DRYWALL</t>
        </is>
      </c>
      <c r="E1925" s="11">
        <f t="array" ref="E1925">_xlfn.XLOOKUP(D1925,Insumos!B:B,Insumos!C:$C)</f>
        <v/>
      </c>
      <c r="F1925" s="14">
        <f>1.5851/2</f>
        <v/>
      </c>
      <c r="G1925" s="92">
        <f t="array" ref="G1925">IF(B1925="insumo",_xlfn.XLOOKUP($D1925,Insumos!$B$1:$B$996,Insumos!$D$1:$D$996),"")</f>
        <v/>
      </c>
      <c r="H1925" s="92" t="n">
        <v>2.171587</v>
      </c>
      <c r="I1925" s="2162" t="n">
        <v>0</v>
      </c>
      <c r="J1925" s="2162" t="n">
        <v>0</v>
      </c>
      <c r="K1925" s="2162" t="n"/>
    </row>
    <row r="1926" outlineLevel="3" ht="15.75" customHeight="1">
      <c r="A1926" s="10" t="n">
        <v>97</v>
      </c>
      <c r="B1926" s="10" t="inlineStr">
        <is>
          <t>Insumo</t>
        </is>
      </c>
      <c r="C1926" s="10" t="inlineStr">
        <is>
          <t>36_DRY 90 mm LV - 1 PLACA - 10,25cm  -  Lado A: PLACA ST - Lado B: N/A</t>
        </is>
      </c>
      <c r="D1926" s="10" t="inlineStr">
        <is>
          <t>PARAFUSO DRY WALL, EM ACO FOSFATIZADO, CABECA TROMBETA E PONTA AGULHA (TA), COMPRIMENTO 25 MM</t>
        </is>
      </c>
      <c r="E1926" s="11">
        <f t="array" ref="E1926">_xlfn.XLOOKUP(D1926,Insumos!B:B,Insumos!C:$C)</f>
        <v/>
      </c>
      <c r="F1926" s="14">
        <f>20.1868/2</f>
        <v/>
      </c>
      <c r="G1926" s="92">
        <f t="array" ref="G1926">IF(B1926="insumo",_xlfn.XLOOKUP($D1926,Insumos!$B$1:$B$996,Insumos!$D$1:$D$996),"")</f>
        <v/>
      </c>
      <c r="H1926" s="92" t="n">
        <v>0.908406</v>
      </c>
      <c r="I1926" s="2162" t="n">
        <v>0</v>
      </c>
      <c r="J1926" s="2162" t="n">
        <v>0</v>
      </c>
      <c r="K1926" s="2162" t="n"/>
    </row>
    <row r="1927" outlineLevel="3" ht="15.75" customHeight="1">
      <c r="A1927" s="10" t="n">
        <v>95</v>
      </c>
      <c r="B1927" s="10" t="inlineStr">
        <is>
          <t>Insumo</t>
        </is>
      </c>
      <c r="C1927" s="10" t="inlineStr">
        <is>
          <t>36_DRY 90 mm LV - 1 PLACA - 10,25cm  -  Lado A: PLACA ST - Lado B: N/A</t>
        </is>
      </c>
      <c r="D1927" s="10" t="inlineStr">
        <is>
          <t>PARAFUSO DRY WALL, EM ACO ZINCADO, CABECA LENTILHA E PONTA BROCA (LB), LARGURA 4,2 MM, COMPRIMENTO 13 MM</t>
        </is>
      </c>
      <c r="E1927" s="11">
        <f t="array" ref="E1927">_xlfn.XLOOKUP(D1927,Insumos!B:B,Insumos!C:$C)</f>
        <v/>
      </c>
      <c r="F1927" s="14" t="n">
        <v>0.5441</v>
      </c>
      <c r="G1927" s="92">
        <f t="array" ref="G1927">IF(B1927="insumo",_xlfn.XLOOKUP($D1927,Insumos!$B$1:$B$996,Insumos!$D$1:$D$996),"")</f>
        <v/>
      </c>
      <c r="H1927" s="92" t="n">
        <v>0.10882</v>
      </c>
      <c r="I1927" s="2162" t="n">
        <v>0</v>
      </c>
      <c r="J1927" s="2162" t="n">
        <v>0</v>
      </c>
      <c r="K1927" s="2162" t="n"/>
    </row>
    <row r="1928" outlineLevel="3" ht="15.75" customHeight="1">
      <c r="A1928" s="10" t="n">
        <v>35</v>
      </c>
      <c r="B1928" s="10" t="inlineStr">
        <is>
          <t>Insumo</t>
        </is>
      </c>
      <c r="C1928" s="10" t="inlineStr">
        <is>
          <t>36_DRY 90 mm LV - 1 PLACA - 10,25cm  -  Lado A: PLACA ST - Lado B: N/A</t>
        </is>
      </c>
      <c r="D1928" s="10" t="inlineStr">
        <is>
          <t>Lã de pet 50 X 1200 X 12500 MM</t>
        </is>
      </c>
      <c r="E1928" s="11">
        <f t="array" ref="E1928">_xlfn.XLOOKUP(D1928,Insumos!B:B,Insumos!C:$C)</f>
        <v/>
      </c>
      <c r="F1928" s="14" t="n">
        <v>1.1</v>
      </c>
      <c r="G1928" s="92">
        <f t="array" ref="G1928">IF(B1928="insumo",_xlfn.XLOOKUP($D1928,Insumos!$B$1:$B$996,Insumos!$D$1:$D$996),"")</f>
        <v/>
      </c>
      <c r="H1928" s="92" t="n">
        <v>14.3212666666667</v>
      </c>
      <c r="I1928" s="2162" t="n">
        <v>0</v>
      </c>
      <c r="J1928" s="2162" t="n">
        <v>0</v>
      </c>
      <c r="K1928" s="2162" t="n"/>
    </row>
    <row r="1929" outlineLevel="2" ht="15.75" customHeight="1">
      <c r="A1929" s="1067" t="n">
        <v>1</v>
      </c>
      <c r="B1929" s="1067" t="inlineStr">
        <is>
          <t>Serviço</t>
        </is>
      </c>
      <c r="C1929" s="1067" t="inlineStr">
        <is>
          <t>36_DRY 90 mm LV - 2 PLACAS - 11,50cm  -  Lado A: PLACA PERFORMANCE RU - Lado B: PLACA CT</t>
        </is>
      </c>
      <c r="D1929" s="1067" t="inlineStr">
        <is>
          <t>36_DRY 90 mm LV - 2 PLACAS - 11,50cm  -  Lado A: PLACA PERFORMANCE RU - Lado B: PLACA CT</t>
        </is>
      </c>
      <c r="E1929" s="1068" t="inlineStr">
        <is>
          <t>M2</t>
        </is>
      </c>
      <c r="F1929" s="1067" t="n"/>
      <c r="G1929" s="1069">
        <f t="array" ref="G1929">IF(B1929="insumo",_xlfn.XLOOKUP($D1929,Insumos!$B$1:$B$996,Insumos!$D$1:$D$996),"")</f>
        <v/>
      </c>
      <c r="H1929" s="1069" t="n">
        <v>246.920893833333</v>
      </c>
      <c r="I1929" s="2161" t="n">
        <v>0</v>
      </c>
      <c r="J1929" s="2161" t="n">
        <v>0</v>
      </c>
      <c r="K1929" s="2161" t="n"/>
    </row>
    <row r="1930" outlineLevel="3" ht="15.75" customHeight="1">
      <c r="A1930" s="10" t="n">
        <v>86</v>
      </c>
      <c r="B1930" s="10" t="inlineStr">
        <is>
          <t>Insumo</t>
        </is>
      </c>
      <c r="C1930" s="10" t="inlineStr">
        <is>
          <t>36_DRY 90 mm LV - 2 PLACAS - 11,50cm  -  Lado A: PLACA PERFORMANCE RU - Lado B: PLACA CT</t>
        </is>
      </c>
      <c r="D1930" s="10" t="inlineStr">
        <is>
          <t>SERVICO - CONFECCAO SHAFT GESSO</t>
        </is>
      </c>
      <c r="E1930" s="11">
        <f t="array" ref="E1930">_xlfn.XLOOKUP(D1930,Insumos!B:B,Insumos!C:$C)</f>
        <v/>
      </c>
      <c r="F1930" s="14" t="n">
        <v>1</v>
      </c>
      <c r="G1930" s="92">
        <f t="array" ref="G1930">IF(B1930="insumo",_xlfn.XLOOKUP($D1930,Insumos!$B$1:$B$996,Insumos!$D$1:$D$996),"")</f>
        <v/>
      </c>
      <c r="H1930" s="92" t="n">
        <v>70</v>
      </c>
      <c r="I1930" s="2162" t="n">
        <v>0</v>
      </c>
      <c r="J1930" s="2162" t="n">
        <v>0</v>
      </c>
      <c r="K1930" s="2162" t="n"/>
    </row>
    <row r="1931" outlineLevel="3" ht="15.75" customHeight="1">
      <c r="A1931" s="10" t="n">
        <v>49</v>
      </c>
      <c r="B1931" s="10" t="inlineStr">
        <is>
          <t>Insumo</t>
        </is>
      </c>
      <c r="C1931" s="10" t="inlineStr">
        <is>
          <t>36_DRY 90 mm LV - 2 PLACAS - 11,50cm  -  Lado A: PLACA PERFORMANCE RU - Lado B: PLACA CT</t>
        </is>
      </c>
      <c r="D1931" s="10" t="inlineStr">
        <is>
          <t>PLACA / CHAPA DE GESSO ACARTONADO, RESISTENTE A UMIDADE (RU), COR VERDE, E = 12,5 MM, 1200 X 2400 MM (L X C)</t>
        </is>
      </c>
      <c r="E1931" s="11">
        <f t="array" ref="E1931">_xlfn.XLOOKUP(D1931,Insumos!B:B,Insumos!C:$C)</f>
        <v/>
      </c>
      <c r="F1931" s="14">
        <f>1.106</f>
        <v/>
      </c>
      <c r="G1931" s="92">
        <f t="array" ref="G1931">IF(B1931="insumo",_xlfn.XLOOKUP($D1931,Insumos!$B$1:$B$996,Insumos!$D$1:$D$996),"")</f>
        <v/>
      </c>
      <c r="H1931" s="92" t="n">
        <v>29.9726</v>
      </c>
      <c r="I1931" s="2162" t="n">
        <v>0</v>
      </c>
      <c r="J1931" s="2162" t="n">
        <v>0</v>
      </c>
      <c r="K1931" s="2162" t="n"/>
    </row>
    <row r="1932" outlineLevel="3" ht="15.75" customHeight="1">
      <c r="A1932" s="10" t="n">
        <v>11</v>
      </c>
      <c r="B1932" s="10" t="inlineStr">
        <is>
          <t>Insumo</t>
        </is>
      </c>
      <c r="C1932" s="10" t="inlineStr">
        <is>
          <t>36_DRY 90 mm LV - 2 PLACAS - 11,50cm  -  Lado A: PLACA PERFORMANCE RU - Lado B: PLACA CT</t>
        </is>
      </c>
      <c r="D1932" s="10" t="inlineStr">
        <is>
          <t>PLACA CIMENTÍCIA(CT) PARA STEEL FRAME BRASILIT-ETERNIT 8MM X 1,20M X 2,40M</t>
        </is>
      </c>
      <c r="E1932" s="11">
        <f t="array" ref="E1932">_xlfn.XLOOKUP(D1932,Insumos!B:B,Insumos!C:$C)</f>
        <v/>
      </c>
      <c r="F1932" s="14" t="n">
        <v>1.106</v>
      </c>
      <c r="G1932" s="92">
        <f t="array" ref="G1932">IF(B1932="insumo",_xlfn.XLOOKUP($D1932,Insumos!$B$1:$B$996,Insumos!$D$1:$D$996),"")</f>
        <v/>
      </c>
      <c r="H1932" s="92" t="n">
        <v>33.2790791666667</v>
      </c>
      <c r="I1932" s="2162" t="n">
        <v>0</v>
      </c>
      <c r="J1932" s="2162" t="n">
        <v>0</v>
      </c>
      <c r="K1932" s="2162" t="n"/>
    </row>
    <row r="1933" outlineLevel="3" ht="15.75" customHeight="1">
      <c r="A1933" s="10" t="n">
        <v>95</v>
      </c>
      <c r="B1933" s="10" t="inlineStr">
        <is>
          <t>Insumo</t>
        </is>
      </c>
      <c r="C1933" s="10" t="inlineStr">
        <is>
          <t>36_DRY 90 mm LV - 2 PLACAS - 11,50cm  -  Lado A: PLACA PERFORMANCE RU - Lado B: PLACA CT</t>
        </is>
      </c>
      <c r="D1933" s="10" t="inlineStr">
        <is>
          <t>PINO DE ACO COM ARRUELA CONICA, DIAMETRO ARRUELA = *23* MM E COMP HASTE = *27* MM (ACAO INDIRETA)</t>
        </is>
      </c>
      <c r="E1933" s="11">
        <f t="array" ref="E1933">_xlfn.XLOOKUP(D1933,Insumos!B:B,Insumos!C:$C)</f>
        <v/>
      </c>
      <c r="F1933" s="14" t="n">
        <v>5.92</v>
      </c>
      <c r="G1933" s="92">
        <f t="array" ref="G1933">IF(B1933="insumo",_xlfn.XLOOKUP($D1933,Insumos!$B$1:$B$996,Insumos!$D$1:$D$996),"")</f>
        <v/>
      </c>
      <c r="H1933" s="92" t="n">
        <v>2.98368</v>
      </c>
      <c r="I1933" s="2162" t="n">
        <v>0</v>
      </c>
      <c r="J1933" s="2162" t="n">
        <v>0</v>
      </c>
      <c r="K1933" s="2162" t="n"/>
    </row>
    <row r="1934" outlineLevel="3" ht="15.75" customHeight="1">
      <c r="A1934" s="10" t="n">
        <v>26</v>
      </c>
      <c r="B1934" s="10" t="inlineStr">
        <is>
          <t>Insumo</t>
        </is>
      </c>
      <c r="C1934" s="10" t="inlineStr">
        <is>
          <t>36_DRY 90 mm LV - 2 PLACAS - 11,50cm  -  Lado A: PLACA PERFORMANCE RU - Lado B: PLACA CT</t>
        </is>
      </c>
      <c r="D1934" s="10" t="inlineStr">
        <is>
          <t>PERFIL GUIA, FORMATO U, EM ACO ZINCADO, PARA ESTRUTURA PAREDE DRYWALL, E = 0,5 MM, 90 X 3000 MM (L X C)</t>
        </is>
      </c>
      <c r="E1934" s="11">
        <f t="array" ref="E1934">_xlfn.XLOOKUP(D1934,Insumos!B:B,Insumos!C:$C)</f>
        <v/>
      </c>
      <c r="F1934" s="14" t="n">
        <v>1.5248</v>
      </c>
      <c r="G1934" s="92">
        <f t="array" ref="G1934">IF(B1934="insumo",_xlfn.XLOOKUP($D1934,Insumos!$B$1:$B$996,Insumos!$D$1:$D$996),"")</f>
        <v/>
      </c>
      <c r="H1934" s="92" t="n">
        <v>13.174272</v>
      </c>
      <c r="I1934" s="2162" t="n">
        <v>0</v>
      </c>
      <c r="J1934" s="2162" t="n">
        <v>0</v>
      </c>
      <c r="K1934" s="2162" t="n"/>
    </row>
    <row r="1935" outlineLevel="3" ht="15.75" customHeight="1">
      <c r="A1935" s="10" t="n">
        <v>26</v>
      </c>
      <c r="B1935" s="10" t="inlineStr">
        <is>
          <t>Insumo</t>
        </is>
      </c>
      <c r="C1935" s="10" t="inlineStr">
        <is>
          <t>36_DRY 90 mm LV - 2 PLACAS - 11,50cm  -  Lado A: PLACA PERFORMANCE RU - Lado B: PLACA CT</t>
        </is>
      </c>
      <c r="D1935" s="10" t="inlineStr">
        <is>
          <t>PERFIL MONTANTE, FORMATO C, EM ACO ZINCADO, PARA ESTRUTURA PAREDE DRYWALL, E = 0,5 MM, 90 X 3000 MM (L X C)</t>
        </is>
      </c>
      <c r="E1935" s="11">
        <f t="array" ref="E1935">_xlfn.XLOOKUP(D1935,Insumos!B:B,Insumos!C:$C)</f>
        <v/>
      </c>
      <c r="F1935" s="14" t="n">
        <v>4.0011</v>
      </c>
      <c r="G1935" s="92">
        <f t="array" ref="G1935">IF(B1935="insumo",_xlfn.XLOOKUP($D1935,Insumos!$B$1:$B$996,Insumos!$D$1:$D$996),"")</f>
        <v/>
      </c>
      <c r="H1935" s="92" t="n">
        <v>72.37989899999999</v>
      </c>
      <c r="I1935" s="2162" t="n">
        <v>0</v>
      </c>
      <c r="J1935" s="2162" t="n">
        <v>0</v>
      </c>
      <c r="K1935" s="2162" t="n"/>
    </row>
    <row r="1936" outlineLevel="3" ht="15.75" customHeight="1">
      <c r="A1936" s="10" t="n">
        <v>95</v>
      </c>
      <c r="B1936" s="10" t="inlineStr">
        <is>
          <t>Insumo</t>
        </is>
      </c>
      <c r="C1936" s="10" t="inlineStr">
        <is>
          <t>36_DRY 90 mm LV - 2 PLACAS - 11,50cm  -  Lado A: PLACA PERFORMANCE RU - Lado B: PLACA CT</t>
        </is>
      </c>
      <c r="D1936" s="10" t="inlineStr">
        <is>
          <t>MASSA DE REJUNTE EM PO PARA DRYWALL, A BASE DE GESSO, SECAGEM RAPIDA, PARA TRATAMENTO DE JUNTAS DE CHAPA DE GESSO (NECESSITA ADICAO DE AGUA)</t>
        </is>
      </c>
      <c r="E1936" s="11">
        <f t="array" ref="E1936">_xlfn.XLOOKUP(D1936,Insumos!B:B,Insumos!C:$C)</f>
        <v/>
      </c>
      <c r="F1936" s="14" t="n">
        <v>1.0978</v>
      </c>
      <c r="G1936" s="92">
        <f t="array" ref="G1936">IF(B1936="insumo",_xlfn.XLOOKUP($D1936,Insumos!$B$1:$B$996,Insumos!$D$1:$D$996),"")</f>
        <v/>
      </c>
      <c r="H1936" s="92" t="n">
        <v>3.765454</v>
      </c>
      <c r="I1936" s="2162" t="n">
        <v>0</v>
      </c>
      <c r="J1936" s="2162" t="n">
        <v>0</v>
      </c>
      <c r="K1936" s="2162" t="n"/>
    </row>
    <row r="1937" outlineLevel="3" ht="15.75" customHeight="1">
      <c r="A1937" s="10" t="n">
        <v>94</v>
      </c>
      <c r="B1937" s="10" t="inlineStr">
        <is>
          <t>Insumo</t>
        </is>
      </c>
      <c r="C1937" s="10" t="inlineStr">
        <is>
          <t>36_DRY 90 mm LV - 2 PLACAS - 11,50cm  -  Lado A: PLACA PERFORMANCE RU - Lado B: PLACA CT</t>
        </is>
      </c>
      <c r="D1937" s="10" t="inlineStr">
        <is>
          <t>FITA DE PAPEL MICROPERFURADO, 50 X 150 MM, PARA TRATAMENTO DE JUNTAS DE CHAPA DE GESSO PARA DRYWALL</t>
        </is>
      </c>
      <c r="E1937" s="11">
        <f t="array" ref="E1937">_xlfn.XLOOKUP(D1937,Insumos!B:B,Insumos!C:$C)</f>
        <v/>
      </c>
      <c r="F1937" s="14" t="n">
        <v>2.5027</v>
      </c>
      <c r="G1937" s="92">
        <f t="array" ref="G1937">IF(B1937="insumo",_xlfn.XLOOKUP($D1937,Insumos!$B$1:$B$996,Insumos!$D$1:$D$996),"")</f>
        <v/>
      </c>
      <c r="H1937" s="92" t="n">
        <v>0.775837</v>
      </c>
      <c r="I1937" s="2162" t="n">
        <v>0</v>
      </c>
      <c r="J1937" s="2162" t="n">
        <v>0</v>
      </c>
      <c r="K1937" s="2162" t="n"/>
    </row>
    <row r="1938" outlineLevel="3" ht="15.75" customHeight="1">
      <c r="A1938" s="10" t="n">
        <v>94</v>
      </c>
      <c r="B1938" s="10" t="inlineStr">
        <is>
          <t>Insumo</t>
        </is>
      </c>
      <c r="C1938" s="10" t="inlineStr">
        <is>
          <t>36_DRY 90 mm LV - 2 PLACAS - 11,50cm  -  Lado A: PLACA PERFORMANCE RU - Lado B: PLACA CT</t>
        </is>
      </c>
      <c r="D1938" s="10" t="inlineStr">
        <is>
          <t>FITA DE PAPEL REFORCADA COM LAMINA DE METAL PARA REFORCO DE CANTOS DE CHAPA DE GESSO PARA DRYWALL</t>
        </is>
      </c>
      <c r="E1938" s="11">
        <f t="array" ref="E1938">_xlfn.XLOOKUP(D1938,Insumos!B:B,Insumos!C:$C)</f>
        <v/>
      </c>
      <c r="F1938" s="14" t="n">
        <v>1.5851</v>
      </c>
      <c r="G1938" s="92">
        <f t="array" ref="G1938">IF(B1938="insumo",_xlfn.XLOOKUP($D1938,Insumos!$B$1:$B$996,Insumos!$D$1:$D$996),"")</f>
        <v/>
      </c>
      <c r="H1938" s="92" t="n">
        <v>4.343174</v>
      </c>
      <c r="I1938" s="2162" t="n">
        <v>0</v>
      </c>
      <c r="J1938" s="2162" t="n">
        <v>0</v>
      </c>
      <c r="K1938" s="2162" t="n"/>
    </row>
    <row r="1939" outlineLevel="3" ht="15.75" customHeight="1">
      <c r="A1939" s="10" t="n">
        <v>97</v>
      </c>
      <c r="B1939" s="10" t="inlineStr">
        <is>
          <t>Insumo</t>
        </is>
      </c>
      <c r="C1939" s="10" t="inlineStr">
        <is>
          <t>36_DRY 90 mm LV - 2 PLACAS - 11,50cm  -  Lado A: PLACA PERFORMANCE RU - Lado B: PLACA CT</t>
        </is>
      </c>
      <c r="D1939" s="10" t="inlineStr">
        <is>
          <t>PARAFUSO DRY WALL, EM ACO FOSFATIZADO, CABECA TROMBETA E PONTA AGULHA (TA), COMPRIMENTO 25 MM</t>
        </is>
      </c>
      <c r="E1939" s="11">
        <f t="array" ref="E1939">_xlfn.XLOOKUP(D1939,Insumos!B:B,Insumos!C:$C)</f>
        <v/>
      </c>
      <c r="F1939" s="14" t="n">
        <v>20.1868</v>
      </c>
      <c r="G1939" s="92">
        <f t="array" ref="G1939">IF(B1939="insumo",_xlfn.XLOOKUP($D1939,Insumos!$B$1:$B$996,Insumos!$D$1:$D$996),"")</f>
        <v/>
      </c>
      <c r="H1939" s="92" t="n">
        <v>1.816812</v>
      </c>
      <c r="I1939" s="2162" t="n">
        <v>0</v>
      </c>
      <c r="J1939" s="2162" t="n">
        <v>0</v>
      </c>
      <c r="K1939" s="2162" t="n"/>
    </row>
    <row r="1940" outlineLevel="3" ht="15.75" customHeight="1">
      <c r="A1940" s="10" t="n">
        <v>95</v>
      </c>
      <c r="B1940" s="10" t="inlineStr">
        <is>
          <t>Insumo</t>
        </is>
      </c>
      <c r="C1940" s="10" t="inlineStr">
        <is>
          <t>36_DRY 90 mm LV - 2 PLACAS - 11,50cm  -  Lado A: PLACA PERFORMANCE RU - Lado B: PLACA CT</t>
        </is>
      </c>
      <c r="D1940" s="10" t="inlineStr">
        <is>
          <t>PARAFUSO DRY WALL, EM ACO ZINCADO, CABECA LENTILHA E PONTA BROCA (LB), LARGURA 4,2 MM, COMPRIMENTO 13 MM</t>
        </is>
      </c>
      <c r="E1940" s="11">
        <f t="array" ref="E1940">_xlfn.XLOOKUP(D1940,Insumos!B:B,Insumos!C:$C)</f>
        <v/>
      </c>
      <c r="F1940" s="14" t="n">
        <v>0.5441</v>
      </c>
      <c r="G1940" s="92">
        <f t="array" ref="G1940">IF(B1940="insumo",_xlfn.XLOOKUP($D1940,Insumos!$B$1:$B$996,Insumos!$D$1:$D$996),"")</f>
        <v/>
      </c>
      <c r="H1940" s="92" t="n">
        <v>0.10882</v>
      </c>
      <c r="I1940" s="2162" t="n">
        <v>0</v>
      </c>
      <c r="J1940" s="2162" t="n">
        <v>0</v>
      </c>
      <c r="K1940" s="2162" t="n"/>
    </row>
    <row r="1941" outlineLevel="3" ht="15.75" customHeight="1">
      <c r="A1941" s="10" t="n">
        <v>35</v>
      </c>
      <c r="B1941" s="10" t="inlineStr">
        <is>
          <t>Insumo</t>
        </is>
      </c>
      <c r="C1941" s="10" t="inlineStr">
        <is>
          <t>36_DRY 90 mm LV - 2 PLACAS - 11,50cm  -  Lado A: PLACA PERFORMANCE RU - Lado B: PLACA CT</t>
        </is>
      </c>
      <c r="D1941" s="10" t="inlineStr">
        <is>
          <t>Lã de pet 50 X 1200 X 12500 MM</t>
        </is>
      </c>
      <c r="E1941" s="11">
        <f t="array" ref="E1941">_xlfn.XLOOKUP(D1941,Insumos!B:B,Insumos!C:$C)</f>
        <v/>
      </c>
      <c r="F1941" s="14" t="n">
        <v>1.1</v>
      </c>
      <c r="G1941" s="92">
        <f t="array" ref="G1941">IF(B1941="insumo",_xlfn.XLOOKUP($D1941,Insumos!$B$1:$B$996,Insumos!$D$1:$D$996),"")</f>
        <v/>
      </c>
      <c r="H1941" s="92" t="n">
        <v>14.3212666666667</v>
      </c>
      <c r="I1941" s="2162" t="n">
        <v>0</v>
      </c>
      <c r="J1941" s="2162" t="n">
        <v>0</v>
      </c>
      <c r="K1941" s="2162" t="n"/>
    </row>
    <row r="1942" outlineLevel="2" ht="15.75" customHeight="1">
      <c r="A1942" s="1067" t="n">
        <v>1</v>
      </c>
      <c r="B1942" s="1067" t="inlineStr">
        <is>
          <t>Serviço</t>
        </is>
      </c>
      <c r="C1942" s="1067" t="inlineStr">
        <is>
          <t>36_DRY 90 mm LV - 2 PLACAS - 11,50cm  -  Lado A: PLACA RU - Lado B: PLACA CT</t>
        </is>
      </c>
      <c r="D1942" s="1067" t="inlineStr">
        <is>
          <t>36_DRY 90 mm LV - 2 PLACAS - 11,50cm  -  Lado A: PLACA RU - Lado B: PLACA CT</t>
        </is>
      </c>
      <c r="E1942" s="1068" t="inlineStr">
        <is>
          <t>M2</t>
        </is>
      </c>
      <c r="F1942" s="1067" t="n"/>
      <c r="G1942" s="1069">
        <f t="array" ref="G1942">IF(B1942="insumo",_xlfn.XLOOKUP($D1942,Insumos!$B$1:$B$996,Insumos!$D$1:$D$996),"")</f>
        <v/>
      </c>
      <c r="H1942" s="1069" t="n">
        <v>246.920893833333</v>
      </c>
      <c r="I1942" s="2161" t="n">
        <v>0</v>
      </c>
      <c r="J1942" s="2161" t="n">
        <v>0</v>
      </c>
      <c r="K1942" s="2161" t="n"/>
    </row>
    <row r="1943" outlineLevel="3" ht="15.75" customHeight="1">
      <c r="A1943" s="10" t="n">
        <v>86</v>
      </c>
      <c r="B1943" s="10" t="inlineStr">
        <is>
          <t>Insumo</t>
        </is>
      </c>
      <c r="C1943" s="10" t="inlineStr">
        <is>
          <t>36_DRY 90 mm LV - 2 PLACAS - 11,50cm  -  Lado A: PLACA RU - Lado B: PLACA CT</t>
        </is>
      </c>
      <c r="D1943" s="10" t="inlineStr">
        <is>
          <t>SERVICO - CONFECCAO SHAFT GESSO</t>
        </is>
      </c>
      <c r="E1943" s="11">
        <f t="array" ref="E1943">_xlfn.XLOOKUP(D1943,Insumos!B:B,Insumos!C:$C)</f>
        <v/>
      </c>
      <c r="F1943" s="14" t="n">
        <v>1</v>
      </c>
      <c r="G1943" s="92">
        <f t="array" ref="G1943">IF(B1943="insumo",_xlfn.XLOOKUP($D1943,Insumos!$B$1:$B$996,Insumos!$D$1:$D$996),"")</f>
        <v/>
      </c>
      <c r="H1943" s="92" t="n">
        <v>70</v>
      </c>
      <c r="I1943" s="2162" t="n">
        <v>0</v>
      </c>
      <c r="J1943" s="2162" t="n">
        <v>0</v>
      </c>
      <c r="K1943" s="2162" t="n"/>
    </row>
    <row r="1944" outlineLevel="3" ht="15.75" customHeight="1">
      <c r="A1944" s="10" t="n">
        <v>49</v>
      </c>
      <c r="B1944" s="10" t="inlineStr">
        <is>
          <t>Insumo</t>
        </is>
      </c>
      <c r="C1944" s="10" t="inlineStr">
        <is>
          <t>36_DRY 90 mm LV - 2 PLACAS - 11,50cm  -  Lado A: PLACA RU - Lado B: PLACA CT</t>
        </is>
      </c>
      <c r="D1944" s="10" t="inlineStr">
        <is>
          <t>PLACA / CHAPA DE GESSO ACARTONADO, RESISTENTE A UMIDADE (RU), COR VERDE, E = 12,5 MM, 1200 X 2400 MM (L X C)</t>
        </is>
      </c>
      <c r="E1944" s="11">
        <f t="array" ref="E1944">_xlfn.XLOOKUP(D1944,Insumos!B:B,Insumos!C:$C)</f>
        <v/>
      </c>
      <c r="F1944" s="14">
        <f>1.106</f>
        <v/>
      </c>
      <c r="G1944" s="92">
        <f t="array" ref="G1944">IF(B1944="insumo",_xlfn.XLOOKUP($D1944,Insumos!$B$1:$B$996,Insumos!$D$1:$D$996),"")</f>
        <v/>
      </c>
      <c r="H1944" s="92" t="n">
        <v>29.9726</v>
      </c>
      <c r="I1944" s="2162" t="n">
        <v>0</v>
      </c>
      <c r="J1944" s="2162" t="n">
        <v>0</v>
      </c>
      <c r="K1944" s="2162" t="n"/>
    </row>
    <row r="1945" outlineLevel="3" ht="15.75" customHeight="1">
      <c r="A1945" s="10" t="n">
        <v>11</v>
      </c>
      <c r="B1945" s="10" t="inlineStr">
        <is>
          <t>Insumo</t>
        </is>
      </c>
      <c r="C1945" s="10" t="inlineStr">
        <is>
          <t>36_DRY 90 mm LV - 2 PLACAS - 11,50cm  -  Lado A: PLACA RU - Lado B: PLACA CT</t>
        </is>
      </c>
      <c r="D1945" s="10" t="inlineStr">
        <is>
          <t>PLACA CIMENTÍCIA(CT) PARA STEEL FRAME BRASILIT-ETERNIT 8MM X 1,20M X 2,40M</t>
        </is>
      </c>
      <c r="E1945" s="11">
        <f t="array" ref="E1945">_xlfn.XLOOKUP(D1945,Insumos!B:B,Insumos!C:$C)</f>
        <v/>
      </c>
      <c r="F1945" s="14" t="n">
        <v>1.106</v>
      </c>
      <c r="G1945" s="92">
        <f t="array" ref="G1945">IF(B1945="insumo",_xlfn.XLOOKUP($D1945,Insumos!$B$1:$B$996,Insumos!$D$1:$D$996),"")</f>
        <v/>
      </c>
      <c r="H1945" s="92" t="n">
        <v>33.2790791666667</v>
      </c>
      <c r="I1945" s="2162" t="n">
        <v>0</v>
      </c>
      <c r="J1945" s="2162" t="n">
        <v>0</v>
      </c>
      <c r="K1945" s="2162" t="n"/>
    </row>
    <row r="1946" outlineLevel="3" ht="15.75" customHeight="1">
      <c r="A1946" s="10" t="n">
        <v>95</v>
      </c>
      <c r="B1946" s="10" t="inlineStr">
        <is>
          <t>Insumo</t>
        </is>
      </c>
      <c r="C1946" s="10" t="inlineStr">
        <is>
          <t>36_DRY 90 mm LV - 2 PLACAS - 11,50cm  -  Lado A: PLACA RU - Lado B: PLACA CT</t>
        </is>
      </c>
      <c r="D1946" s="10" t="inlineStr">
        <is>
          <t>PINO DE ACO COM ARRUELA CONICA, DIAMETRO ARRUELA = *23* MM E COMP HASTE = *27* MM (ACAO INDIRETA)</t>
        </is>
      </c>
      <c r="E1946" s="11">
        <f t="array" ref="E1946">_xlfn.XLOOKUP(D1946,Insumos!B:B,Insumos!C:$C)</f>
        <v/>
      </c>
      <c r="F1946" s="14" t="n">
        <v>5.92</v>
      </c>
      <c r="G1946" s="92">
        <f t="array" ref="G1946">IF(B1946="insumo",_xlfn.XLOOKUP($D1946,Insumos!$B$1:$B$996,Insumos!$D$1:$D$996),"")</f>
        <v/>
      </c>
      <c r="H1946" s="92" t="n">
        <v>2.98368</v>
      </c>
      <c r="I1946" s="2162" t="n">
        <v>0</v>
      </c>
      <c r="J1946" s="2162" t="n">
        <v>0</v>
      </c>
      <c r="K1946" s="2162" t="n"/>
    </row>
    <row r="1947" outlineLevel="3" ht="15.75" customHeight="1">
      <c r="A1947" s="10" t="n">
        <v>26</v>
      </c>
      <c r="B1947" s="10" t="inlineStr">
        <is>
          <t>Insumo</t>
        </is>
      </c>
      <c r="C1947" s="10" t="inlineStr">
        <is>
          <t>36_DRY 90 mm LV - 2 PLACAS - 11,50cm  -  Lado A: PLACA RU - Lado B: PLACA CT</t>
        </is>
      </c>
      <c r="D1947" s="10" t="inlineStr">
        <is>
          <t>PERFIL GUIA, FORMATO U, EM ACO ZINCADO, PARA ESTRUTURA PAREDE DRYWALL, E = 0,5 MM, 90 X 3000 MM (L X C)</t>
        </is>
      </c>
      <c r="E1947" s="11">
        <f t="array" ref="E1947">_xlfn.XLOOKUP(D1947,Insumos!B:B,Insumos!C:$C)</f>
        <v/>
      </c>
      <c r="F1947" s="14" t="n">
        <v>1.5248</v>
      </c>
      <c r="G1947" s="92">
        <f t="array" ref="G1947">IF(B1947="insumo",_xlfn.XLOOKUP($D1947,Insumos!$B$1:$B$996,Insumos!$D$1:$D$996),"")</f>
        <v/>
      </c>
      <c r="H1947" s="92" t="n">
        <v>13.174272</v>
      </c>
      <c r="I1947" s="2162" t="n">
        <v>0</v>
      </c>
      <c r="J1947" s="2162" t="n">
        <v>0</v>
      </c>
      <c r="K1947" s="2162" t="n"/>
    </row>
    <row r="1948" outlineLevel="3" ht="15.75" customHeight="1">
      <c r="A1948" s="10" t="n">
        <v>26</v>
      </c>
      <c r="B1948" s="10" t="inlineStr">
        <is>
          <t>Insumo</t>
        </is>
      </c>
      <c r="C1948" s="10" t="inlineStr">
        <is>
          <t>36_DRY 90 mm LV - 2 PLACAS - 11,50cm  -  Lado A: PLACA RU - Lado B: PLACA CT</t>
        </is>
      </c>
      <c r="D1948" s="10" t="inlineStr">
        <is>
          <t>PERFIL MONTANTE, FORMATO C, EM ACO ZINCADO, PARA ESTRUTURA PAREDE DRYWALL, E = 0,5 MM, 90 X 3000 MM (L X C)</t>
        </is>
      </c>
      <c r="E1948" s="11">
        <f t="array" ref="E1948">_xlfn.XLOOKUP(D1948,Insumos!B:B,Insumos!C:$C)</f>
        <v/>
      </c>
      <c r="F1948" s="14" t="n">
        <v>4.0011</v>
      </c>
      <c r="G1948" s="92">
        <f t="array" ref="G1948">IF(B1948="insumo",_xlfn.XLOOKUP($D1948,Insumos!$B$1:$B$996,Insumos!$D$1:$D$996),"")</f>
        <v/>
      </c>
      <c r="H1948" s="92" t="n">
        <v>72.37989899999999</v>
      </c>
      <c r="I1948" s="2162" t="n">
        <v>0</v>
      </c>
      <c r="J1948" s="2162" t="n">
        <v>0</v>
      </c>
      <c r="K1948" s="2162" t="n"/>
    </row>
    <row r="1949" outlineLevel="3" ht="15.75" customHeight="1">
      <c r="A1949" s="10" t="n">
        <v>95</v>
      </c>
      <c r="B1949" s="10" t="inlineStr">
        <is>
          <t>Insumo</t>
        </is>
      </c>
      <c r="C1949" s="10" t="inlineStr">
        <is>
          <t>36_DRY 90 mm LV - 2 PLACAS - 11,50cm  -  Lado A: PLACA RU - Lado B: PLACA CT</t>
        </is>
      </c>
      <c r="D1949" s="10" t="inlineStr">
        <is>
          <t>MASSA DE REJUNTE EM PO PARA DRYWALL, A BASE DE GESSO, SECAGEM RAPIDA, PARA TRATAMENTO DE JUNTAS DE CHAPA DE GESSO (NECESSITA ADICAO DE AGUA)</t>
        </is>
      </c>
      <c r="E1949" s="11">
        <f t="array" ref="E1949">_xlfn.XLOOKUP(D1949,Insumos!B:B,Insumos!C:$C)</f>
        <v/>
      </c>
      <c r="F1949" s="14" t="n">
        <v>1.0978</v>
      </c>
      <c r="G1949" s="92">
        <f t="array" ref="G1949">IF(B1949="insumo",_xlfn.XLOOKUP($D1949,Insumos!$B$1:$B$996,Insumos!$D$1:$D$996),"")</f>
        <v/>
      </c>
      <c r="H1949" s="92" t="n">
        <v>3.765454</v>
      </c>
      <c r="I1949" s="2162" t="n">
        <v>0</v>
      </c>
      <c r="J1949" s="2162" t="n">
        <v>0</v>
      </c>
      <c r="K1949" s="2162" t="n"/>
    </row>
    <row r="1950" outlineLevel="3" ht="15.75" customHeight="1">
      <c r="A1950" s="10" t="n">
        <v>94</v>
      </c>
      <c r="B1950" s="10" t="inlineStr">
        <is>
          <t>Insumo</t>
        </is>
      </c>
      <c r="C1950" s="10" t="inlineStr">
        <is>
          <t>36_DRY 90 mm LV - 2 PLACAS - 11,50cm  -  Lado A: PLACA RU - Lado B: PLACA CT</t>
        </is>
      </c>
      <c r="D1950" s="10" t="inlineStr">
        <is>
          <t>FITA DE PAPEL MICROPERFURADO, 50 X 150 MM, PARA TRATAMENTO DE JUNTAS DE CHAPA DE GESSO PARA DRYWALL</t>
        </is>
      </c>
      <c r="E1950" s="11">
        <f t="array" ref="E1950">_xlfn.XLOOKUP(D1950,Insumos!B:B,Insumos!C:$C)</f>
        <v/>
      </c>
      <c r="F1950" s="14" t="n">
        <v>2.5027</v>
      </c>
      <c r="G1950" s="92">
        <f t="array" ref="G1950">IF(B1950="insumo",_xlfn.XLOOKUP($D1950,Insumos!$B$1:$B$996,Insumos!$D$1:$D$996),"")</f>
        <v/>
      </c>
      <c r="H1950" s="92" t="n">
        <v>0.775837</v>
      </c>
      <c r="I1950" s="2162" t="n">
        <v>0</v>
      </c>
      <c r="J1950" s="2162" t="n">
        <v>0</v>
      </c>
      <c r="K1950" s="2162" t="n"/>
    </row>
    <row r="1951" outlineLevel="3" ht="15.75" customHeight="1">
      <c r="A1951" s="10" t="n">
        <v>94</v>
      </c>
      <c r="B1951" s="10" t="inlineStr">
        <is>
          <t>Insumo</t>
        </is>
      </c>
      <c r="C1951" s="10" t="inlineStr">
        <is>
          <t>36_DRY 90 mm LV - 2 PLACAS - 11,50cm  -  Lado A: PLACA RU - Lado B: PLACA CT</t>
        </is>
      </c>
      <c r="D1951" s="10" t="inlineStr">
        <is>
          <t>FITA DE PAPEL REFORCADA COM LAMINA DE METAL PARA REFORCO DE CANTOS DE CHAPA DE GESSO PARA DRYWALL</t>
        </is>
      </c>
      <c r="E1951" s="11">
        <f t="array" ref="E1951">_xlfn.XLOOKUP(D1951,Insumos!B:B,Insumos!C:$C)</f>
        <v/>
      </c>
      <c r="F1951" s="14" t="n">
        <v>1.5851</v>
      </c>
      <c r="G1951" s="92">
        <f t="array" ref="G1951">IF(B1951="insumo",_xlfn.XLOOKUP($D1951,Insumos!$B$1:$B$996,Insumos!$D$1:$D$996),"")</f>
        <v/>
      </c>
      <c r="H1951" s="92" t="n">
        <v>4.343174</v>
      </c>
      <c r="I1951" s="2162" t="n">
        <v>0</v>
      </c>
      <c r="J1951" s="2162" t="n">
        <v>0</v>
      </c>
      <c r="K1951" s="2162" t="n"/>
    </row>
    <row r="1952" outlineLevel="3" ht="15.75" customHeight="1">
      <c r="A1952" s="10" t="n">
        <v>97</v>
      </c>
      <c r="B1952" s="10" t="inlineStr">
        <is>
          <t>Insumo</t>
        </is>
      </c>
      <c r="C1952" s="10" t="inlineStr">
        <is>
          <t>36_DRY 90 mm LV - 2 PLACAS - 11,50cm  -  Lado A: PLACA RU - Lado B: PLACA CT</t>
        </is>
      </c>
      <c r="D1952" s="10" t="inlineStr">
        <is>
          <t>PARAFUSO DRY WALL, EM ACO FOSFATIZADO, CABECA TROMBETA E PONTA AGULHA (TA), COMPRIMENTO 25 MM</t>
        </is>
      </c>
      <c r="E1952" s="11">
        <f t="array" ref="E1952">_xlfn.XLOOKUP(D1952,Insumos!B:B,Insumos!C:$C)</f>
        <v/>
      </c>
      <c r="F1952" s="14" t="n">
        <v>20.1868</v>
      </c>
      <c r="G1952" s="92">
        <f t="array" ref="G1952">IF(B1952="insumo",_xlfn.XLOOKUP($D1952,Insumos!$B$1:$B$996,Insumos!$D$1:$D$996),"")</f>
        <v/>
      </c>
      <c r="H1952" s="92" t="n">
        <v>1.816812</v>
      </c>
      <c r="I1952" s="2162" t="n">
        <v>0</v>
      </c>
      <c r="J1952" s="2162" t="n">
        <v>0</v>
      </c>
      <c r="K1952" s="2162" t="n"/>
    </row>
    <row r="1953" outlineLevel="3" ht="15.75" customHeight="1">
      <c r="A1953" s="10" t="n">
        <v>95</v>
      </c>
      <c r="B1953" s="10" t="inlineStr">
        <is>
          <t>Insumo</t>
        </is>
      </c>
      <c r="C1953" s="10" t="inlineStr">
        <is>
          <t>36_DRY 90 mm LV - 2 PLACAS - 11,50cm  -  Lado A: PLACA RU - Lado B: PLACA CT</t>
        </is>
      </c>
      <c r="D1953" s="10" t="inlineStr">
        <is>
          <t>PARAFUSO DRY WALL, EM ACO ZINCADO, CABECA LENTILHA E PONTA BROCA (LB), LARGURA 4,2 MM, COMPRIMENTO 13 MM</t>
        </is>
      </c>
      <c r="E1953" s="11">
        <f t="array" ref="E1953">_xlfn.XLOOKUP(D1953,Insumos!B:B,Insumos!C:$C)</f>
        <v/>
      </c>
      <c r="F1953" s="14" t="n">
        <v>0.5441</v>
      </c>
      <c r="G1953" s="92">
        <f t="array" ref="G1953">IF(B1953="insumo",_xlfn.XLOOKUP($D1953,Insumos!$B$1:$B$996,Insumos!$D$1:$D$996),"")</f>
        <v/>
      </c>
      <c r="H1953" s="92" t="n">
        <v>0.10882</v>
      </c>
      <c r="I1953" s="2162" t="n">
        <v>0</v>
      </c>
      <c r="J1953" s="2162" t="n">
        <v>0</v>
      </c>
      <c r="K1953" s="2162" t="n"/>
    </row>
    <row r="1954" outlineLevel="3" ht="15.75" customHeight="1">
      <c r="A1954" s="10" t="n">
        <v>35</v>
      </c>
      <c r="B1954" s="10" t="inlineStr">
        <is>
          <t>Insumo</t>
        </is>
      </c>
      <c r="C1954" s="10" t="inlineStr">
        <is>
          <t>36_DRY 90 mm LV - 2 PLACAS - 11,50cm  -  Lado A: PLACA RU - Lado B: PLACA CT</t>
        </is>
      </c>
      <c r="D1954" s="10" t="inlineStr">
        <is>
          <t>Lã de pet 50 X 1200 X 12500 MM</t>
        </is>
      </c>
      <c r="E1954" s="11">
        <f t="array" ref="E1954">_xlfn.XLOOKUP(D1954,Insumos!B:B,Insumos!C:$C)</f>
        <v/>
      </c>
      <c r="F1954" s="14" t="n">
        <v>1.1</v>
      </c>
      <c r="G1954" s="92">
        <f t="array" ref="G1954">IF(B1954="insumo",_xlfn.XLOOKUP($D1954,Insumos!$B$1:$B$996,Insumos!$D$1:$D$996),"")</f>
        <v/>
      </c>
      <c r="H1954" s="92" t="n">
        <v>14.3212666666667</v>
      </c>
      <c r="I1954" s="2162" t="n">
        <v>0</v>
      </c>
      <c r="J1954" s="2162" t="n">
        <v>0</v>
      </c>
      <c r="K1954" s="2162" t="n"/>
    </row>
    <row r="1955" outlineLevel="2" ht="15.75" customHeight="1">
      <c r="A1955" s="1067" t="n">
        <v>1</v>
      </c>
      <c r="B1955" s="1067" t="inlineStr">
        <is>
          <t>Serviço</t>
        </is>
      </c>
      <c r="C1955" s="1067" t="inlineStr">
        <is>
          <t>36_DRY 90 mm LV - 2 PLACAS - 11,50cm  -  Lado A: PLACA ST - Lado B: PLACA RU</t>
        </is>
      </c>
      <c r="D1955" s="1067" t="inlineStr">
        <is>
          <t>36_DRY 90 mm LV - 2 PLACAS - 11,50cm  -  Lado A: PLACA ST - Lado B: PLACA RU</t>
        </is>
      </c>
      <c r="E1955" s="1068" t="inlineStr">
        <is>
          <t>M2</t>
        </is>
      </c>
      <c r="F1955" s="1067" t="n"/>
      <c r="G1955" s="1069">
        <f t="array" ref="G1955">IF(B1955="insumo",_xlfn.XLOOKUP($D1955,Insumos!$B$1:$B$996,Insumos!$D$1:$D$996),"")</f>
        <v/>
      </c>
      <c r="H1955" s="1069" t="n">
        <v>235.938774666667</v>
      </c>
      <c r="I1955" s="2161" t="n">
        <v>0</v>
      </c>
      <c r="J1955" s="2161" t="n">
        <v>0</v>
      </c>
      <c r="K1955" s="2161" t="n"/>
    </row>
    <row r="1956" outlineLevel="3" ht="15.75" customHeight="1">
      <c r="A1956" s="10" t="n">
        <v>86</v>
      </c>
      <c r="B1956" s="10" t="inlineStr">
        <is>
          <t>Insumo</t>
        </is>
      </c>
      <c r="C1956" s="10" t="inlineStr">
        <is>
          <t>36_DRY 90 mm LV - 2 PLACAS - 11,50cm  -  Lado A: PLACA ST - Lado B: PLACA RU</t>
        </is>
      </c>
      <c r="D1956" s="10" t="inlineStr">
        <is>
          <t>SERVICO - CONFECCAO SHAFT GESSO</t>
        </is>
      </c>
      <c r="E1956" s="11">
        <f t="array" ref="E1956">_xlfn.XLOOKUP(D1956,Insumos!B:B,Insumos!C:$C)</f>
        <v/>
      </c>
      <c r="F1956" s="14" t="n">
        <v>1</v>
      </c>
      <c r="G1956" s="92">
        <f t="array" ref="G1956">IF(B1956="insumo",_xlfn.XLOOKUP($D1956,Insumos!$B$1:$B$996,Insumos!$D$1:$D$996),"")</f>
        <v/>
      </c>
      <c r="H1956" s="92" t="n">
        <v>70</v>
      </c>
      <c r="I1956" s="2162" t="n">
        <v>0</v>
      </c>
      <c r="J1956" s="2162" t="n">
        <v>0</v>
      </c>
      <c r="K1956" s="2162" t="n"/>
    </row>
    <row r="1957" outlineLevel="3" ht="15.75" customHeight="1">
      <c r="A1957" s="10" t="n">
        <v>49</v>
      </c>
      <c r="B1957" s="10" t="inlineStr">
        <is>
          <t>Insumo</t>
        </is>
      </c>
      <c r="C1957" s="10" t="inlineStr">
        <is>
          <t>36_DRY 90 mm LV - 2 PLACAS - 11,50cm  -  Lado A: PLACA ST - Lado B: PLACA RU</t>
        </is>
      </c>
      <c r="D1957" s="10" t="inlineStr">
        <is>
          <t>PLACA / CHAPA DE GESSO ACARTONADO, RESISTENTE A UMIDADE (RU), COR VERDE, E = 12,5 MM, 1200 X 2400 MM (L X C)</t>
        </is>
      </c>
      <c r="E1957" s="11">
        <f t="array" ref="E1957">_xlfn.XLOOKUP(D1957,Insumos!B:B,Insumos!C:$C)</f>
        <v/>
      </c>
      <c r="F1957" s="14">
        <f>1.106</f>
        <v/>
      </c>
      <c r="G1957" s="92">
        <f t="array" ref="G1957">IF(B1957="insumo",_xlfn.XLOOKUP($D1957,Insumos!$B$1:$B$996,Insumos!$D$1:$D$996),"")</f>
        <v/>
      </c>
      <c r="H1957" s="92" t="n">
        <v>29.9726</v>
      </c>
      <c r="I1957" s="2162" t="n">
        <v>0</v>
      </c>
      <c r="J1957" s="2162" t="n">
        <v>0</v>
      </c>
      <c r="K1957" s="2162" t="n"/>
    </row>
    <row r="1958" outlineLevel="3" ht="15.75" customHeight="1">
      <c r="A1958" s="10" t="n">
        <v>47</v>
      </c>
      <c r="B1958" s="10" t="inlineStr">
        <is>
          <t>Insumo</t>
        </is>
      </c>
      <c r="C1958" s="10" t="inlineStr">
        <is>
          <t>36_DRY 90 mm LV - 2 PLACAS - 11,50cm  -  Lado A: PLACA ST - Lado B: PLACA RU</t>
        </is>
      </c>
      <c r="D1958" s="10" t="inlineStr">
        <is>
          <t>PLACA / CHAPA DE GESSO ACARTONADO, STANDARD (ST), COR BRANCA, E = 12,5 MM, 1200 X 2400 MM (L X C)</t>
        </is>
      </c>
      <c r="E1958" s="11">
        <f t="array" ref="E1958">_xlfn.XLOOKUP(D1958,Insumos!B:B,Insumos!C:$C)</f>
        <v/>
      </c>
      <c r="F1958" s="14" t="n">
        <v>1.106</v>
      </c>
      <c r="G1958" s="92">
        <f t="array" ref="G1958">IF(B1958="insumo",_xlfn.XLOOKUP($D1958,Insumos!$B$1:$B$996,Insumos!$D$1:$D$996),"")</f>
        <v/>
      </c>
      <c r="H1958" s="92" t="n">
        <v>22.29696</v>
      </c>
      <c r="I1958" s="2162" t="n">
        <v>0</v>
      </c>
      <c r="J1958" s="2162" t="n">
        <v>0</v>
      </c>
      <c r="K1958" s="2162" t="n"/>
    </row>
    <row r="1959" outlineLevel="3" ht="15.75" customHeight="1">
      <c r="A1959" s="10" t="n">
        <v>95</v>
      </c>
      <c r="B1959" s="10" t="inlineStr">
        <is>
          <t>Insumo</t>
        </is>
      </c>
      <c r="C1959" s="10" t="inlineStr">
        <is>
          <t>36_DRY 90 mm LV - 2 PLACAS - 11,50cm  -  Lado A: PLACA ST - Lado B: PLACA RU</t>
        </is>
      </c>
      <c r="D1959" s="10" t="inlineStr">
        <is>
          <t>PINO DE ACO COM ARRUELA CONICA, DIAMETRO ARRUELA = *23* MM E COMP HASTE = *27* MM (ACAO INDIRETA)</t>
        </is>
      </c>
      <c r="E1959" s="11">
        <f t="array" ref="E1959">_xlfn.XLOOKUP(D1959,Insumos!B:B,Insumos!C:$C)</f>
        <v/>
      </c>
      <c r="F1959" s="14" t="n">
        <v>5.92</v>
      </c>
      <c r="G1959" s="92">
        <f t="array" ref="G1959">IF(B1959="insumo",_xlfn.XLOOKUP($D1959,Insumos!$B$1:$B$996,Insumos!$D$1:$D$996),"")</f>
        <v/>
      </c>
      <c r="H1959" s="92" t="n">
        <v>2.98368</v>
      </c>
      <c r="I1959" s="2162" t="n">
        <v>0</v>
      </c>
      <c r="J1959" s="2162" t="n">
        <v>0</v>
      </c>
      <c r="K1959" s="2162" t="n"/>
    </row>
    <row r="1960" outlineLevel="3" ht="15.75" customHeight="1">
      <c r="A1960" s="10" t="n">
        <v>26</v>
      </c>
      <c r="B1960" s="10" t="inlineStr">
        <is>
          <t>Insumo</t>
        </is>
      </c>
      <c r="C1960" s="10" t="inlineStr">
        <is>
          <t>36_DRY 90 mm LV - 2 PLACAS - 11,50cm  -  Lado A: PLACA ST - Lado B: PLACA RU</t>
        </is>
      </c>
      <c r="D1960" s="10" t="inlineStr">
        <is>
          <t>PERFIL GUIA, FORMATO U, EM ACO ZINCADO, PARA ESTRUTURA PAREDE DRYWALL, E = 0,5 MM, 90 X 3000 MM (L X C)</t>
        </is>
      </c>
      <c r="E1960" s="11">
        <f t="array" ref="E1960">_xlfn.XLOOKUP(D1960,Insumos!B:B,Insumos!C:$C)</f>
        <v/>
      </c>
      <c r="F1960" s="14" t="n">
        <v>1.5248</v>
      </c>
      <c r="G1960" s="92">
        <f t="array" ref="G1960">IF(B1960="insumo",_xlfn.XLOOKUP($D1960,Insumos!$B$1:$B$996,Insumos!$D$1:$D$996),"")</f>
        <v/>
      </c>
      <c r="H1960" s="92" t="n">
        <v>13.174272</v>
      </c>
      <c r="I1960" s="2162" t="n">
        <v>0</v>
      </c>
      <c r="J1960" s="2162" t="n">
        <v>0</v>
      </c>
      <c r="K1960" s="2162" t="n"/>
    </row>
    <row r="1961" outlineLevel="3" ht="15.75" customHeight="1">
      <c r="A1961" s="10" t="n">
        <v>26</v>
      </c>
      <c r="B1961" s="10" t="inlineStr">
        <is>
          <t>Insumo</t>
        </is>
      </c>
      <c r="C1961" s="10" t="inlineStr">
        <is>
          <t>36_DRY 90 mm LV - 2 PLACAS - 11,50cm  -  Lado A: PLACA ST - Lado B: PLACA RU</t>
        </is>
      </c>
      <c r="D1961" s="10" t="inlineStr">
        <is>
          <t>PERFIL MONTANTE, FORMATO C, EM ACO ZINCADO, PARA ESTRUTURA PAREDE DRYWALL, E = 0,5 MM, 90 X 3000 MM (L X C)</t>
        </is>
      </c>
      <c r="E1961" s="11">
        <f t="array" ref="E1961">_xlfn.XLOOKUP(D1961,Insumos!B:B,Insumos!C:$C)</f>
        <v/>
      </c>
      <c r="F1961" s="14" t="n">
        <v>4.0011</v>
      </c>
      <c r="G1961" s="92">
        <f t="array" ref="G1961">IF(B1961="insumo",_xlfn.XLOOKUP($D1961,Insumos!$B$1:$B$996,Insumos!$D$1:$D$996),"")</f>
        <v/>
      </c>
      <c r="H1961" s="92" t="n">
        <v>72.37989899999999</v>
      </c>
      <c r="I1961" s="2162" t="n">
        <v>0</v>
      </c>
      <c r="J1961" s="2162" t="n">
        <v>0</v>
      </c>
      <c r="K1961" s="2162" t="n"/>
    </row>
    <row r="1962" outlineLevel="3" ht="15.75" customHeight="1">
      <c r="A1962" s="10" t="n">
        <v>95</v>
      </c>
      <c r="B1962" s="10" t="inlineStr">
        <is>
          <t>Insumo</t>
        </is>
      </c>
      <c r="C1962" s="10" t="inlineStr">
        <is>
          <t>36_DRY 90 mm LV - 2 PLACAS - 11,50cm  -  Lado A: PLACA ST - Lado B: PLACA RU</t>
        </is>
      </c>
      <c r="D1962" s="10" t="inlineStr">
        <is>
          <t>MASSA DE REJUNTE EM PO PARA DRYWALL, A BASE DE GESSO, SECAGEM RAPIDA, PARA TRATAMENTO DE JUNTAS DE CHAPA DE GESSO (NECESSITA ADICAO DE AGUA)</t>
        </is>
      </c>
      <c r="E1962" s="11">
        <f t="array" ref="E1962">_xlfn.XLOOKUP(D1962,Insumos!B:B,Insumos!C:$C)</f>
        <v/>
      </c>
      <c r="F1962" s="14" t="n">
        <v>1.0978</v>
      </c>
      <c r="G1962" s="92">
        <f t="array" ref="G1962">IF(B1962="insumo",_xlfn.XLOOKUP($D1962,Insumos!$B$1:$B$996,Insumos!$D$1:$D$996),"")</f>
        <v/>
      </c>
      <c r="H1962" s="92" t="n">
        <v>3.765454</v>
      </c>
      <c r="I1962" s="2162" t="n">
        <v>0</v>
      </c>
      <c r="J1962" s="2162" t="n">
        <v>0</v>
      </c>
      <c r="K1962" s="2162" t="n"/>
    </row>
    <row r="1963" outlineLevel="3" ht="15.75" customHeight="1">
      <c r="A1963" s="10" t="n">
        <v>94</v>
      </c>
      <c r="B1963" s="10" t="inlineStr">
        <is>
          <t>Insumo</t>
        </is>
      </c>
      <c r="C1963" s="10" t="inlineStr">
        <is>
          <t>36_DRY 90 mm LV - 2 PLACAS - 11,50cm  -  Lado A: PLACA ST - Lado B: PLACA RU</t>
        </is>
      </c>
      <c r="D1963" s="10" t="inlineStr">
        <is>
          <t>FITA DE PAPEL MICROPERFURADO, 50 X 150 MM, PARA TRATAMENTO DE JUNTAS DE CHAPA DE GESSO PARA DRYWALL</t>
        </is>
      </c>
      <c r="E1963" s="11">
        <f t="array" ref="E1963">_xlfn.XLOOKUP(D1963,Insumos!B:B,Insumos!C:$C)</f>
        <v/>
      </c>
      <c r="F1963" s="14" t="n">
        <v>2.5027</v>
      </c>
      <c r="G1963" s="92">
        <f t="array" ref="G1963">IF(B1963="insumo",_xlfn.XLOOKUP($D1963,Insumos!$B$1:$B$996,Insumos!$D$1:$D$996),"")</f>
        <v/>
      </c>
      <c r="H1963" s="92" t="n">
        <v>0.775837</v>
      </c>
      <c r="I1963" s="2162" t="n">
        <v>0</v>
      </c>
      <c r="J1963" s="2162" t="n">
        <v>0</v>
      </c>
      <c r="K1963" s="2162" t="n"/>
    </row>
    <row r="1964" outlineLevel="3" ht="15.75" customHeight="1">
      <c r="A1964" s="10" t="n">
        <v>94</v>
      </c>
      <c r="B1964" s="10" t="inlineStr">
        <is>
          <t>Insumo</t>
        </is>
      </c>
      <c r="C1964" s="10" t="inlineStr">
        <is>
          <t>36_DRY 90 mm LV - 2 PLACAS - 11,50cm  -  Lado A: PLACA ST - Lado B: PLACA RU</t>
        </is>
      </c>
      <c r="D1964" s="10" t="inlineStr">
        <is>
          <t>FITA DE PAPEL REFORCADA COM LAMINA DE METAL PARA REFORCO DE CANTOS DE CHAPA DE GESSO PARA DRYWALL</t>
        </is>
      </c>
      <c r="E1964" s="11">
        <f t="array" ref="E1964">_xlfn.XLOOKUP(D1964,Insumos!B:B,Insumos!C:$C)</f>
        <v/>
      </c>
      <c r="F1964" s="14" t="n">
        <v>1.5851</v>
      </c>
      <c r="G1964" s="92">
        <f t="array" ref="G1964">IF(B1964="insumo",_xlfn.XLOOKUP($D1964,Insumos!$B$1:$B$996,Insumos!$D$1:$D$996),"")</f>
        <v/>
      </c>
      <c r="H1964" s="92" t="n">
        <v>4.343174</v>
      </c>
      <c r="I1964" s="2162" t="n">
        <v>0</v>
      </c>
      <c r="J1964" s="2162" t="n">
        <v>0</v>
      </c>
      <c r="K1964" s="2162" t="n"/>
    </row>
    <row r="1965" outlineLevel="3" ht="15.75" customHeight="1">
      <c r="A1965" s="10" t="n">
        <v>97</v>
      </c>
      <c r="B1965" s="10" t="inlineStr">
        <is>
          <t>Insumo</t>
        </is>
      </c>
      <c r="C1965" s="10" t="inlineStr">
        <is>
          <t>36_DRY 90 mm LV - 2 PLACAS - 11,50cm  -  Lado A: PLACA ST - Lado B: PLACA RU</t>
        </is>
      </c>
      <c r="D1965" s="10" t="inlineStr">
        <is>
          <t>PARAFUSO DRY WALL, EM ACO FOSFATIZADO, CABECA TROMBETA E PONTA AGULHA (TA), COMPRIMENTO 25 MM</t>
        </is>
      </c>
      <c r="E1965" s="11">
        <f t="array" ref="E1965">_xlfn.XLOOKUP(D1965,Insumos!B:B,Insumos!C:$C)</f>
        <v/>
      </c>
      <c r="F1965" s="14" t="n">
        <v>20.1868</v>
      </c>
      <c r="G1965" s="92">
        <f t="array" ref="G1965">IF(B1965="insumo",_xlfn.XLOOKUP($D1965,Insumos!$B$1:$B$996,Insumos!$D$1:$D$996),"")</f>
        <v/>
      </c>
      <c r="H1965" s="92" t="n">
        <v>1.816812</v>
      </c>
      <c r="I1965" s="2162" t="n">
        <v>0</v>
      </c>
      <c r="J1965" s="2162" t="n">
        <v>0</v>
      </c>
      <c r="K1965" s="2162" t="n"/>
    </row>
    <row r="1966" outlineLevel="3" ht="15.75" customHeight="1">
      <c r="A1966" s="10" t="n">
        <v>95</v>
      </c>
      <c r="B1966" s="10" t="inlineStr">
        <is>
          <t>Insumo</t>
        </is>
      </c>
      <c r="C1966" s="10" t="inlineStr">
        <is>
          <t>36_DRY 90 mm LV - 2 PLACAS - 11,50cm  -  Lado A: PLACA ST - Lado B: PLACA RU</t>
        </is>
      </c>
      <c r="D1966" s="10" t="inlineStr">
        <is>
          <t>PARAFUSO DRY WALL, EM ACO ZINCADO, CABECA LENTILHA E PONTA BROCA (LB), LARGURA 4,2 MM, COMPRIMENTO 13 MM</t>
        </is>
      </c>
      <c r="E1966" s="11">
        <f t="array" ref="E1966">_xlfn.XLOOKUP(D1966,Insumos!B:B,Insumos!C:$C)</f>
        <v/>
      </c>
      <c r="F1966" s="14" t="n">
        <v>0.5441</v>
      </c>
      <c r="G1966" s="92">
        <f t="array" ref="G1966">IF(B1966="insumo",_xlfn.XLOOKUP($D1966,Insumos!$B$1:$B$996,Insumos!$D$1:$D$996),"")</f>
        <v/>
      </c>
      <c r="H1966" s="92" t="n">
        <v>0.10882</v>
      </c>
      <c r="I1966" s="2162" t="n">
        <v>0</v>
      </c>
      <c r="J1966" s="2162" t="n">
        <v>0</v>
      </c>
      <c r="K1966" s="2162" t="n"/>
    </row>
    <row r="1967" outlineLevel="3" ht="15.75" customHeight="1">
      <c r="A1967" s="10" t="n">
        <v>35</v>
      </c>
      <c r="B1967" s="10" t="inlineStr">
        <is>
          <t>Insumo</t>
        </is>
      </c>
      <c r="C1967" s="10" t="inlineStr">
        <is>
          <t>36_DRY 90 mm LV - 2 PLACAS - 11,50cm  -  Lado A: PLACA ST - Lado B: PLACA RU</t>
        </is>
      </c>
      <c r="D1967" s="10" t="inlineStr">
        <is>
          <t>Lã de pet 50 X 1200 X 12500 MM</t>
        </is>
      </c>
      <c r="E1967" s="11">
        <f t="array" ref="E1967">_xlfn.XLOOKUP(D1967,Insumos!B:B,Insumos!C:$C)</f>
        <v/>
      </c>
      <c r="F1967" s="14" t="n">
        <v>1.1</v>
      </c>
      <c r="G1967" s="92">
        <f t="array" ref="G1967">IF(B1967="insumo",_xlfn.XLOOKUP($D1967,Insumos!$B$1:$B$996,Insumos!$D$1:$D$996),"")</f>
        <v/>
      </c>
      <c r="H1967" s="92" t="n">
        <v>14.3212666666667</v>
      </c>
      <c r="I1967" s="2162" t="n">
        <v>0</v>
      </c>
      <c r="J1967" s="2162" t="n">
        <v>0</v>
      </c>
      <c r="K1967" s="2162" t="n"/>
    </row>
    <row r="1968" outlineLevel="2" ht="15.75" customHeight="1">
      <c r="A1968" s="1067" t="n">
        <v>1</v>
      </c>
      <c r="B1968" s="1067" t="inlineStr">
        <is>
          <t>Serviço</t>
        </is>
      </c>
      <c r="C1968" s="1067" t="inlineStr">
        <is>
          <t>36_DRY 90 mm LV - 4 PLACAS - 14,00cm  -  Lado A: PLACA PERFORMANCE RU + ST - Lado B: PLACA ST + ST</t>
        </is>
      </c>
      <c r="D1968" s="1067" t="inlineStr">
        <is>
          <t>36_DRY 90 mm LV - 4 PLACAS - 14,00cm  -  Lado A: PLACA PERFORMANCE RU + ST - Lado B: PLACA ST + ST</t>
        </is>
      </c>
      <c r="E1968" s="1068" t="inlineStr">
        <is>
          <t>M2</t>
        </is>
      </c>
      <c r="F1968" s="1067" t="n"/>
      <c r="G1968" s="1069">
        <f t="array" ref="G1968">IF(B1968="insumo",_xlfn.XLOOKUP($D1968,Insumos!$B$1:$B$996,Insumos!$D$1:$D$996),"")</f>
        <v/>
      </c>
      <c r="H1968" s="1069" t="n">
        <v>280.532694666667</v>
      </c>
      <c r="I1968" s="2161" t="n">
        <v>0</v>
      </c>
      <c r="J1968" s="2161" t="n">
        <v>0</v>
      </c>
      <c r="K1968" s="2161" t="n"/>
    </row>
    <row r="1969" outlineLevel="3" ht="15.75" customHeight="1">
      <c r="A1969" s="10" t="n">
        <v>86</v>
      </c>
      <c r="B1969" s="10" t="inlineStr">
        <is>
          <t>Insumo</t>
        </is>
      </c>
      <c r="C1969" s="10" t="inlineStr">
        <is>
          <t>36_DRY 90 mm LV - 4 PLACAS - 14,00cm  -  Lado A: PLACA PERFORMANCE RU + ST - Lado B: PLACA ST + ST</t>
        </is>
      </c>
      <c r="D1969" s="10" t="inlineStr">
        <is>
          <t>SERVICO - CONFECCAO SHAFT GESSO</t>
        </is>
      </c>
      <c r="E1969" s="11">
        <f t="array" ref="E1969">_xlfn.XLOOKUP(D1969,Insumos!B:B,Insumos!C:$C)</f>
        <v/>
      </c>
      <c r="F1969" s="14" t="n">
        <v>1</v>
      </c>
      <c r="G1969" s="92">
        <f t="array" ref="G1969">IF(B1969="insumo",_xlfn.XLOOKUP($D1969,Insumos!$B$1:$B$996,Insumos!$D$1:$D$996),"")</f>
        <v/>
      </c>
      <c r="H1969" s="92" t="n">
        <v>70</v>
      </c>
      <c r="I1969" s="2162" t="n">
        <v>0</v>
      </c>
      <c r="J1969" s="2162" t="n">
        <v>0</v>
      </c>
      <c r="K1969" s="2162" t="n"/>
    </row>
    <row r="1970" outlineLevel="3" ht="15.75" customHeight="1">
      <c r="A1970" s="10" t="n">
        <v>49</v>
      </c>
      <c r="B1970" s="10" t="inlineStr">
        <is>
          <t>Insumo</t>
        </is>
      </c>
      <c r="C1970" s="10" t="inlineStr">
        <is>
          <t>36_DRY 90 mm LV - 4 PLACAS - 14,00cm  -  Lado A: PLACA PERFORMANCE RU + ST - Lado B: PLACA ST + ST</t>
        </is>
      </c>
      <c r="D1970" s="10" t="inlineStr">
        <is>
          <t>PLACA / CHAPA DE GESSO ACARTONADO, RESISTENTE A UMIDADE (RU), COR VERDE, E = 12,5 MM, 1200 X 2400 MM (L X C)</t>
        </is>
      </c>
      <c r="E1970" s="11">
        <f t="array" ref="E1970">_xlfn.XLOOKUP(D1970,Insumos!B:B,Insumos!C:$C)</f>
        <v/>
      </c>
      <c r="F1970" s="14">
        <f>1.106</f>
        <v/>
      </c>
      <c r="G1970" s="92">
        <f t="array" ref="G1970">IF(B1970="insumo",_xlfn.XLOOKUP($D1970,Insumos!$B$1:$B$996,Insumos!$D$1:$D$996),"")</f>
        <v/>
      </c>
      <c r="H1970" s="92" t="n">
        <v>29.9726</v>
      </c>
      <c r="I1970" s="2162" t="n">
        <v>0</v>
      </c>
      <c r="J1970" s="2162" t="n">
        <v>0</v>
      </c>
      <c r="K1970" s="2162" t="n"/>
    </row>
    <row r="1971" outlineLevel="3" ht="15.75" customHeight="1">
      <c r="A1971" s="10" t="n">
        <v>47</v>
      </c>
      <c r="B1971" s="10" t="inlineStr">
        <is>
          <t>Insumo</t>
        </is>
      </c>
      <c r="C1971" s="10" t="inlineStr">
        <is>
          <t>36_DRY 90 mm LV - 4 PLACAS - 14,00cm  -  Lado A: PLACA PERFORMANCE RU + ST - Lado B: PLACA ST + ST</t>
        </is>
      </c>
      <c r="D1971" s="10" t="inlineStr">
        <is>
          <t>PLACA / CHAPA DE GESSO ACARTONADO, STANDARD (ST), COR BRANCA, E = 12,5 MM, 1200 X 2400 MM (L X C)</t>
        </is>
      </c>
      <c r="E1971" s="11">
        <f t="array" ref="E1971">_xlfn.XLOOKUP(D1971,Insumos!B:B,Insumos!C:$C)</f>
        <v/>
      </c>
      <c r="F1971" s="14">
        <f>1.106*3</f>
        <v/>
      </c>
      <c r="G1971" s="92">
        <f t="array" ref="G1971">IF(B1971="insumo",_xlfn.XLOOKUP($D1971,Insumos!$B$1:$B$996,Insumos!$D$1:$D$996),"")</f>
        <v/>
      </c>
      <c r="H1971" s="92" t="n">
        <v>66.89088</v>
      </c>
      <c r="I1971" s="2162" t="n">
        <v>0</v>
      </c>
      <c r="J1971" s="2162" t="n">
        <v>0</v>
      </c>
      <c r="K1971" s="2162" t="n"/>
    </row>
    <row r="1972" outlineLevel="3" ht="15.75" customHeight="1">
      <c r="A1972" s="10" t="n">
        <v>95</v>
      </c>
      <c r="B1972" s="10" t="inlineStr">
        <is>
          <t>Insumo</t>
        </is>
      </c>
      <c r="C1972" s="10" t="inlineStr">
        <is>
          <t>36_DRY 90 mm LV - 4 PLACAS - 14,00cm  -  Lado A: PLACA PERFORMANCE RU + ST - Lado B: PLACA ST + ST</t>
        </is>
      </c>
      <c r="D1972" s="10" t="inlineStr">
        <is>
          <t>PINO DE ACO COM ARRUELA CONICA, DIAMETRO ARRUELA = *23* MM E COMP HASTE = *27* MM (ACAO INDIRETA)</t>
        </is>
      </c>
      <c r="E1972" s="11">
        <f t="array" ref="E1972">_xlfn.XLOOKUP(D1972,Insumos!B:B,Insumos!C:$C)</f>
        <v/>
      </c>
      <c r="F1972" s="14" t="n">
        <v>5.92</v>
      </c>
      <c r="G1972" s="92">
        <f t="array" ref="G1972">IF(B1972="insumo",_xlfn.XLOOKUP($D1972,Insumos!$B$1:$B$996,Insumos!$D$1:$D$996),"")</f>
        <v/>
      </c>
      <c r="H1972" s="92" t="n">
        <v>2.98368</v>
      </c>
      <c r="I1972" s="2162" t="n">
        <v>0</v>
      </c>
      <c r="J1972" s="2162" t="n">
        <v>0</v>
      </c>
      <c r="K1972" s="2162" t="n"/>
    </row>
    <row r="1973" outlineLevel="3" ht="15.75" customHeight="1">
      <c r="A1973" s="10" t="n">
        <v>26</v>
      </c>
      <c r="B1973" s="10" t="inlineStr">
        <is>
          <t>Insumo</t>
        </is>
      </c>
      <c r="C1973" s="10" t="inlineStr">
        <is>
          <t>36_DRY 90 mm LV - 4 PLACAS - 14,00cm  -  Lado A: PLACA PERFORMANCE RU + ST - Lado B: PLACA ST + ST</t>
        </is>
      </c>
      <c r="D1973" s="10" t="inlineStr">
        <is>
          <t>PERFIL GUIA, FORMATO U, EM ACO ZINCADO, PARA ESTRUTURA PAREDE DRYWALL, E = 0,5 MM, 90 X 3000 MM (L X C)</t>
        </is>
      </c>
      <c r="E1973" s="11">
        <f t="array" ref="E1973">_xlfn.XLOOKUP(D1973,Insumos!B:B,Insumos!C:$C)</f>
        <v/>
      </c>
      <c r="F1973" s="14" t="n">
        <v>1.5248</v>
      </c>
      <c r="G1973" s="92">
        <f t="array" ref="G1973">IF(B1973="insumo",_xlfn.XLOOKUP($D1973,Insumos!$B$1:$B$996,Insumos!$D$1:$D$996),"")</f>
        <v/>
      </c>
      <c r="H1973" s="92" t="n">
        <v>13.174272</v>
      </c>
      <c r="I1973" s="2162" t="n">
        <v>0</v>
      </c>
      <c r="J1973" s="2162" t="n">
        <v>0</v>
      </c>
      <c r="K1973" s="2162" t="n"/>
    </row>
    <row r="1974" outlineLevel="3" ht="15.75" customHeight="1">
      <c r="A1974" s="10" t="n">
        <v>26</v>
      </c>
      <c r="B1974" s="10" t="inlineStr">
        <is>
          <t>Insumo</t>
        </is>
      </c>
      <c r="C1974" s="10" t="inlineStr">
        <is>
          <t>36_DRY 90 mm LV - 4 PLACAS - 14,00cm  -  Lado A: PLACA PERFORMANCE RU + ST - Lado B: PLACA ST + ST</t>
        </is>
      </c>
      <c r="D1974" s="10" t="inlineStr">
        <is>
          <t>PERFIL MONTANTE, FORMATO C, EM ACO ZINCADO, PARA ESTRUTURA PAREDE DRYWALL, E = 0,5 MM, 90 X 3000 MM (L X C)</t>
        </is>
      </c>
      <c r="E1974" s="11">
        <f t="array" ref="E1974">_xlfn.XLOOKUP(D1974,Insumos!B:B,Insumos!C:$C)</f>
        <v/>
      </c>
      <c r="F1974" s="14" t="n">
        <v>4.0011</v>
      </c>
      <c r="G1974" s="92">
        <f t="array" ref="G1974">IF(B1974="insumo",_xlfn.XLOOKUP($D1974,Insumos!$B$1:$B$996,Insumos!$D$1:$D$996),"")</f>
        <v/>
      </c>
      <c r="H1974" s="92" t="n">
        <v>72.37989899999999</v>
      </c>
      <c r="I1974" s="2162" t="n">
        <v>0</v>
      </c>
      <c r="J1974" s="2162" t="n">
        <v>0</v>
      </c>
      <c r="K1974" s="2162" t="n"/>
    </row>
    <row r="1975" outlineLevel="3" ht="15.75" customHeight="1">
      <c r="A1975" s="10" t="n">
        <v>95</v>
      </c>
      <c r="B1975" s="10" t="inlineStr">
        <is>
          <t>Insumo</t>
        </is>
      </c>
      <c r="C1975" s="10" t="inlineStr">
        <is>
          <t>36_DRY 90 mm LV - 4 PLACAS - 14,00cm  -  Lado A: PLACA PERFORMANCE RU + ST - Lado B: PLACA ST + ST</t>
        </is>
      </c>
      <c r="D1975" s="10" t="inlineStr">
        <is>
          <t>MASSA DE REJUNTE EM PO PARA DRYWALL, A BASE DE GESSO, SECAGEM RAPIDA, PARA TRATAMENTO DE JUNTAS DE CHAPA DE GESSO (NECESSITA ADICAO DE AGUA)</t>
        </is>
      </c>
      <c r="E1975" s="11">
        <f t="array" ref="E1975">_xlfn.XLOOKUP(D1975,Insumos!B:B,Insumos!C:$C)</f>
        <v/>
      </c>
      <c r="F1975" s="14" t="n">
        <v>1.0978</v>
      </c>
      <c r="G1975" s="92">
        <f t="array" ref="G1975">IF(B1975="insumo",_xlfn.XLOOKUP($D1975,Insumos!$B$1:$B$996,Insumos!$D$1:$D$996),"")</f>
        <v/>
      </c>
      <c r="H1975" s="92" t="n">
        <v>3.765454</v>
      </c>
      <c r="I1975" s="2162" t="n">
        <v>0</v>
      </c>
      <c r="J1975" s="2162" t="n">
        <v>0</v>
      </c>
      <c r="K1975" s="2162" t="n"/>
    </row>
    <row r="1976" outlineLevel="3" ht="15.75" customHeight="1">
      <c r="A1976" s="10" t="n">
        <v>94</v>
      </c>
      <c r="B1976" s="10" t="inlineStr">
        <is>
          <t>Insumo</t>
        </is>
      </c>
      <c r="C1976" s="10" t="inlineStr">
        <is>
          <t>36_DRY 90 mm LV - 4 PLACAS - 14,00cm  -  Lado A: PLACA PERFORMANCE RU + ST - Lado B: PLACA ST + ST</t>
        </is>
      </c>
      <c r="D1976" s="10" t="inlineStr">
        <is>
          <t>FITA DE PAPEL MICROPERFURADO, 50 X 150 MM, PARA TRATAMENTO DE JUNTAS DE CHAPA DE GESSO PARA DRYWALL</t>
        </is>
      </c>
      <c r="E1976" s="11">
        <f t="array" ref="E1976">_xlfn.XLOOKUP(D1976,Insumos!B:B,Insumos!C:$C)</f>
        <v/>
      </c>
      <c r="F1976" s="14" t="n">
        <v>2.5027</v>
      </c>
      <c r="G1976" s="92">
        <f t="array" ref="G1976">IF(B1976="insumo",_xlfn.XLOOKUP($D1976,Insumos!$B$1:$B$996,Insumos!$D$1:$D$996),"")</f>
        <v/>
      </c>
      <c r="H1976" s="92" t="n">
        <v>0.775837</v>
      </c>
      <c r="I1976" s="2162" t="n">
        <v>0</v>
      </c>
      <c r="J1976" s="2162" t="n">
        <v>0</v>
      </c>
      <c r="K1976" s="2162" t="n"/>
    </row>
    <row r="1977" outlineLevel="3" ht="15.75" customHeight="1">
      <c r="A1977" s="10" t="n">
        <v>94</v>
      </c>
      <c r="B1977" s="10" t="inlineStr">
        <is>
          <t>Insumo</t>
        </is>
      </c>
      <c r="C1977" s="10" t="inlineStr">
        <is>
          <t>36_DRY 90 mm LV - 4 PLACAS - 14,00cm  -  Lado A: PLACA PERFORMANCE RU + ST - Lado B: PLACA ST + ST</t>
        </is>
      </c>
      <c r="D1977" s="10" t="inlineStr">
        <is>
          <t>FITA DE PAPEL REFORCADA COM LAMINA DE METAL PARA REFORCO DE CANTOS DE CHAPA DE GESSO PARA DRYWALL</t>
        </is>
      </c>
      <c r="E1977" s="11">
        <f t="array" ref="E1977">_xlfn.XLOOKUP(D1977,Insumos!B:B,Insumos!C:$C)</f>
        <v/>
      </c>
      <c r="F1977" s="14" t="n">
        <v>1.5851</v>
      </c>
      <c r="G1977" s="92">
        <f t="array" ref="G1977">IF(B1977="insumo",_xlfn.XLOOKUP($D1977,Insumos!$B$1:$B$996,Insumos!$D$1:$D$996),"")</f>
        <v/>
      </c>
      <c r="H1977" s="92" t="n">
        <v>4.343174</v>
      </c>
      <c r="I1977" s="2162" t="n">
        <v>0</v>
      </c>
      <c r="J1977" s="2162" t="n">
        <v>0</v>
      </c>
      <c r="K1977" s="2162" t="n"/>
    </row>
    <row r="1978" outlineLevel="3" ht="15.75" customHeight="1">
      <c r="A1978" s="10" t="n">
        <v>97</v>
      </c>
      <c r="B1978" s="10" t="inlineStr">
        <is>
          <t>Insumo</t>
        </is>
      </c>
      <c r="C1978" s="10" t="inlineStr">
        <is>
          <t>36_DRY 90 mm LV - 4 PLACAS - 14,00cm  -  Lado A: PLACA PERFORMANCE RU + ST - Lado B: PLACA ST + ST</t>
        </is>
      </c>
      <c r="D1978" s="10" t="inlineStr">
        <is>
          <t>PARAFUSO DRY WALL, EM ACO FOSFATIZADO, CABECA TROMBETA E PONTA AGULHA (TA), COMPRIMENTO 25 MM</t>
        </is>
      </c>
      <c r="E1978" s="11">
        <f t="array" ref="E1978">_xlfn.XLOOKUP(D1978,Insumos!B:B,Insumos!C:$C)</f>
        <v/>
      </c>
      <c r="F1978" s="14" t="n">
        <v>20.1868</v>
      </c>
      <c r="G1978" s="92">
        <f t="array" ref="G1978">IF(B1978="insumo",_xlfn.XLOOKUP($D1978,Insumos!$B$1:$B$996,Insumos!$D$1:$D$996),"")</f>
        <v/>
      </c>
      <c r="H1978" s="92" t="n">
        <v>1.816812</v>
      </c>
      <c r="I1978" s="2162" t="n">
        <v>0</v>
      </c>
      <c r="J1978" s="2162" t="n">
        <v>0</v>
      </c>
      <c r="K1978" s="2162" t="n"/>
    </row>
    <row r="1979" outlineLevel="3" ht="15.75" customHeight="1">
      <c r="A1979" s="10" t="n">
        <v>95</v>
      </c>
      <c r="B1979" s="10" t="inlineStr">
        <is>
          <t>Insumo</t>
        </is>
      </c>
      <c r="C1979" s="10" t="inlineStr">
        <is>
          <t>36_DRY 90 mm LV - 4 PLACAS - 14,00cm  -  Lado A: PLACA PERFORMANCE RU + ST - Lado B: PLACA ST + ST</t>
        </is>
      </c>
      <c r="D1979" s="10" t="inlineStr">
        <is>
          <t>PARAFUSO DRY WALL, EM ACO ZINCADO, CABECA LENTILHA E PONTA BROCA (LB), LARGURA 4,2 MM, COMPRIMENTO 13 MM</t>
        </is>
      </c>
      <c r="E1979" s="11">
        <f t="array" ref="E1979">_xlfn.XLOOKUP(D1979,Insumos!B:B,Insumos!C:$C)</f>
        <v/>
      </c>
      <c r="F1979" s="14" t="n">
        <v>0.5441</v>
      </c>
      <c r="G1979" s="92">
        <f t="array" ref="G1979">IF(B1979="insumo",_xlfn.XLOOKUP($D1979,Insumos!$B$1:$B$996,Insumos!$D$1:$D$996),"")</f>
        <v/>
      </c>
      <c r="H1979" s="92" t="n">
        <v>0.10882</v>
      </c>
      <c r="I1979" s="2162" t="n">
        <v>0</v>
      </c>
      <c r="J1979" s="2162" t="n">
        <v>0</v>
      </c>
      <c r="K1979" s="2162" t="n"/>
    </row>
    <row r="1980" outlineLevel="3" ht="15.75" customHeight="1">
      <c r="A1980" s="10" t="n">
        <v>35</v>
      </c>
      <c r="B1980" s="10" t="inlineStr">
        <is>
          <t>Insumo</t>
        </is>
      </c>
      <c r="C1980" s="10" t="inlineStr">
        <is>
          <t>36_DRY 90 mm LV - 4 PLACAS - 14,00cm  -  Lado A: PLACA PERFORMANCE RU + ST - Lado B: PLACA ST + ST</t>
        </is>
      </c>
      <c r="D1980" s="10" t="inlineStr">
        <is>
          <t>Lã de pet 50 X 1200 X 12500 MM</t>
        </is>
      </c>
      <c r="E1980" s="11">
        <f t="array" ref="E1980">_xlfn.XLOOKUP(D1980,Insumos!B:B,Insumos!C:$C)</f>
        <v/>
      </c>
      <c r="F1980" s="14" t="n">
        <v>1.1</v>
      </c>
      <c r="G1980" s="92">
        <f t="array" ref="G1980">IF(B1980="insumo",_xlfn.XLOOKUP($D1980,Insumos!$B$1:$B$996,Insumos!$D$1:$D$996),"")</f>
        <v/>
      </c>
      <c r="H1980" s="92" t="n">
        <v>14.3212666666667</v>
      </c>
      <c r="I1980" s="2162" t="n">
        <v>0</v>
      </c>
      <c r="J1980" s="2162" t="n">
        <v>0</v>
      </c>
      <c r="K1980" s="2162" t="n"/>
    </row>
    <row r="1981" outlineLevel="2" ht="15.75" customHeight="1">
      <c r="A1981" s="1067" t="n">
        <v>1</v>
      </c>
      <c r="B1981" s="1067" t="inlineStr">
        <is>
          <t>Serviço</t>
        </is>
      </c>
      <c r="C1981" s="1067" t="inlineStr">
        <is>
          <t>36_DRY 90 mm LV - 1 PLACA - 10,25cm  -  Lado A: PLACA RU - Lado B: N/A</t>
        </is>
      </c>
      <c r="D1981" s="1067" t="inlineStr">
        <is>
          <t>36_DRY 90 mm LV - 1 PLACA - 10,25cm  -  Lado A: PLACA RU - Lado B: N/A</t>
        </is>
      </c>
      <c r="E1981" s="1068" t="inlineStr">
        <is>
          <t>M2</t>
        </is>
      </c>
      <c r="F1981" s="1067" t="n"/>
      <c r="G1981" s="1069">
        <f t="array" ref="G1981">IF(B1981="insumo",_xlfn.XLOOKUP($D1981,Insumos!$B$1:$B$996,Insumos!$D$1:$D$996),"")</f>
        <v/>
      </c>
      <c r="H1981" s="1069" t="n">
        <v>208.291176166667</v>
      </c>
      <c r="I1981" s="2161" t="n">
        <v>0</v>
      </c>
      <c r="J1981" s="2161" t="n">
        <v>0</v>
      </c>
      <c r="K1981" s="2161" t="n"/>
    </row>
    <row r="1982" outlineLevel="3" ht="15.75" customHeight="1">
      <c r="A1982" s="10" t="n">
        <v>86</v>
      </c>
      <c r="B1982" s="10" t="inlineStr">
        <is>
          <t>Insumo</t>
        </is>
      </c>
      <c r="C1982" s="10" t="inlineStr">
        <is>
          <t>36_DRY 90 mm LV - 1 PLACA - 10,25cm  -  Lado A: PLACA RU - Lado B: N/A</t>
        </is>
      </c>
      <c r="D1982" s="10" t="inlineStr">
        <is>
          <t>SERVICO - CONFECCAO SHAFT GESSO</t>
        </is>
      </c>
      <c r="E1982" s="11">
        <f t="array" ref="E1982">_xlfn.XLOOKUP(D1982,Insumos!B:B,Insumos!C:$C)</f>
        <v/>
      </c>
      <c r="F1982" s="14" t="n">
        <v>1</v>
      </c>
      <c r="G1982" s="92">
        <f t="array" ref="G1982">IF(B1982="insumo",_xlfn.XLOOKUP($D1982,Insumos!$B$1:$B$996,Insumos!$D$1:$D$996),"")</f>
        <v/>
      </c>
      <c r="H1982" s="92" t="n">
        <v>70</v>
      </c>
      <c r="I1982" s="2162" t="n">
        <v>0</v>
      </c>
      <c r="J1982" s="2162" t="n">
        <v>0</v>
      </c>
      <c r="K1982" s="2162" t="n"/>
    </row>
    <row r="1983" outlineLevel="3" ht="15.75" customHeight="1">
      <c r="A1983" s="10" t="n">
        <v>49</v>
      </c>
      <c r="B1983" s="10" t="inlineStr">
        <is>
          <t>Insumo</t>
        </is>
      </c>
      <c r="C1983" s="10" t="inlineStr">
        <is>
          <t>36_DRY 90 mm LV - 1 PLACA - 10,25cm  -  Lado A: PLACA RU - Lado B: N/A</t>
        </is>
      </c>
      <c r="D1983" s="10" t="inlineStr">
        <is>
          <t>PLACA / CHAPA DE GESSO ACARTONADO, RESISTENTE A UMIDADE (RU), COR VERDE, E = 12,5 MM, 1200 X 2400 MM (L X C)</t>
        </is>
      </c>
      <c r="E1983" s="11">
        <f t="array" ref="E1983">_xlfn.XLOOKUP(D1983,Insumos!B:B,Insumos!C:$C)</f>
        <v/>
      </c>
      <c r="F1983" s="14" t="n">
        <v>1.106</v>
      </c>
      <c r="G1983" s="92">
        <f t="array" ref="G1983">IF(B1983="insumo",_xlfn.XLOOKUP($D1983,Insumos!$B$1:$B$996,Insumos!$D$1:$D$996),"")</f>
        <v/>
      </c>
      <c r="H1983" s="92" t="n">
        <v>29.9726</v>
      </c>
      <c r="I1983" s="2162" t="n">
        <v>0</v>
      </c>
      <c r="J1983" s="2162" t="n">
        <v>0</v>
      </c>
      <c r="K1983" s="2162" t="n"/>
    </row>
    <row r="1984" outlineLevel="3" ht="15.75" customHeight="1">
      <c r="A1984" s="10" t="n">
        <v>95</v>
      </c>
      <c r="B1984" s="10" t="inlineStr">
        <is>
          <t>Insumo</t>
        </is>
      </c>
      <c r="C1984" s="10" t="inlineStr">
        <is>
          <t>36_DRY 90 mm LV - 1 PLACA - 10,25cm  -  Lado A: PLACA RU - Lado B: N/A</t>
        </is>
      </c>
      <c r="D1984" s="10" t="inlineStr">
        <is>
          <t>PINO DE ACO COM ARRUELA CONICA, DIAMETRO ARRUELA = *23* MM E COMP HASTE = *27* MM (ACAO INDIRETA)</t>
        </is>
      </c>
      <c r="E1984" s="11">
        <f t="array" ref="E1984">_xlfn.XLOOKUP(D1984,Insumos!B:B,Insumos!C:$C)</f>
        <v/>
      </c>
      <c r="F1984" s="14" t="n">
        <v>5.92</v>
      </c>
      <c r="G1984" s="92">
        <f t="array" ref="G1984">IF(B1984="insumo",_xlfn.XLOOKUP($D1984,Insumos!$B$1:$B$996,Insumos!$D$1:$D$996),"")</f>
        <v/>
      </c>
      <c r="H1984" s="92" t="n">
        <v>2.98368</v>
      </c>
      <c r="I1984" s="2162" t="n">
        <v>0</v>
      </c>
      <c r="J1984" s="2162" t="n">
        <v>0</v>
      </c>
      <c r="K1984" s="2162" t="n"/>
    </row>
    <row r="1985" outlineLevel="3" ht="15.75" customHeight="1">
      <c r="A1985" s="10" t="n">
        <v>26</v>
      </c>
      <c r="B1985" s="10" t="inlineStr">
        <is>
          <t>Insumo</t>
        </is>
      </c>
      <c r="C1985" s="10" t="inlineStr">
        <is>
          <t>36_DRY 90 mm LV - 1 PLACA - 10,25cm  -  Lado A: PLACA RU - Lado B: N/A</t>
        </is>
      </c>
      <c r="D1985" s="10" t="inlineStr">
        <is>
          <t>PERFIL GUIA, FORMATO U, EM ACO ZINCADO, PARA ESTRUTURA PAREDE DRYWALL, E = 0,5 MM, 90 X 3000 MM (L X C)</t>
        </is>
      </c>
      <c r="E1985" s="11">
        <f t="array" ref="E1985">_xlfn.XLOOKUP(D1985,Insumos!B:B,Insumos!C:$C)</f>
        <v/>
      </c>
      <c r="F1985" s="14" t="n">
        <v>1.5248</v>
      </c>
      <c r="G1985" s="92">
        <f t="array" ref="G1985">IF(B1985="insumo",_xlfn.XLOOKUP($D1985,Insumos!$B$1:$B$996,Insumos!$D$1:$D$996),"")</f>
        <v/>
      </c>
      <c r="H1985" s="92" t="n">
        <v>13.174272</v>
      </c>
      <c r="I1985" s="2162" t="n">
        <v>0</v>
      </c>
      <c r="J1985" s="2162" t="n">
        <v>0</v>
      </c>
      <c r="K1985" s="2162" t="n"/>
    </row>
    <row r="1986" outlineLevel="3" ht="15.75" customHeight="1">
      <c r="A1986" s="10" t="n">
        <v>26</v>
      </c>
      <c r="B1986" s="10" t="inlineStr">
        <is>
          <t>Insumo</t>
        </is>
      </c>
      <c r="C1986" s="10" t="inlineStr">
        <is>
          <t>36_DRY 90 mm LV - 1 PLACA - 10,25cm  -  Lado A: PLACA RU - Lado B: N/A</t>
        </is>
      </c>
      <c r="D1986" s="10" t="inlineStr">
        <is>
          <t>PERFIL MONTANTE, FORMATO C, EM ACO ZINCADO, PARA ESTRUTURA PAREDE DRYWALL, E = 0,5 MM, 90 X 3000 MM (L X C)</t>
        </is>
      </c>
      <c r="E1986" s="11">
        <f t="array" ref="E1986">_xlfn.XLOOKUP(D1986,Insumos!B:B,Insumos!C:$C)</f>
        <v/>
      </c>
      <c r="F1986" s="14" t="n">
        <v>4.0011</v>
      </c>
      <c r="G1986" s="92">
        <f t="array" ref="G1986">IF(B1986="insumo",_xlfn.XLOOKUP($D1986,Insumos!$B$1:$B$996,Insumos!$D$1:$D$996),"")</f>
        <v/>
      </c>
      <c r="H1986" s="92" t="n">
        <v>72.37989899999999</v>
      </c>
      <c r="I1986" s="2162" t="n">
        <v>0</v>
      </c>
      <c r="J1986" s="2162" t="n">
        <v>0</v>
      </c>
      <c r="K1986" s="2162" t="n"/>
    </row>
    <row r="1987" outlineLevel="3" ht="15.75" customHeight="1">
      <c r="A1987" s="10" t="n">
        <v>95</v>
      </c>
      <c r="B1987" s="10" t="inlineStr">
        <is>
          <t>Insumo</t>
        </is>
      </c>
      <c r="C1987" s="10" t="inlineStr">
        <is>
          <t>36_DRY 90 mm LV - 1 PLACA - 10,25cm  -  Lado A: PLACA RU - Lado B: N/A</t>
        </is>
      </c>
      <c r="D1987" s="10" t="inlineStr">
        <is>
          <t>MASSA DE REJUNTE EM PO PARA DRYWALL, A BASE DE GESSO, SECAGEM RAPIDA, PARA TRATAMENTO DE JUNTAS DE CHAPA DE GESSO (NECESSITA ADICAO DE AGUA)</t>
        </is>
      </c>
      <c r="E1987" s="11">
        <f t="array" ref="E1987">_xlfn.XLOOKUP(D1987,Insumos!B:B,Insumos!C:$C)</f>
        <v/>
      </c>
      <c r="F1987" s="14">
        <f>1.0978/2</f>
        <v/>
      </c>
      <c r="G1987" s="92">
        <f t="array" ref="G1987">IF(B1987="insumo",_xlfn.XLOOKUP($D1987,Insumos!$B$1:$B$996,Insumos!$D$1:$D$996),"")</f>
        <v/>
      </c>
      <c r="H1987" s="92" t="n">
        <v>1.882727</v>
      </c>
      <c r="I1987" s="2162" t="n">
        <v>0</v>
      </c>
      <c r="J1987" s="2162" t="n">
        <v>0</v>
      </c>
      <c r="K1987" s="2162" t="n"/>
    </row>
    <row r="1988" outlineLevel="3" ht="15.75" customHeight="1">
      <c r="A1988" s="10" t="n">
        <v>94</v>
      </c>
      <c r="B1988" s="10" t="inlineStr">
        <is>
          <t>Insumo</t>
        </is>
      </c>
      <c r="C1988" s="10" t="inlineStr">
        <is>
          <t>36_DRY 90 mm LV - 1 PLACA - 10,25cm  -  Lado A: PLACA RU - Lado B: N/A</t>
        </is>
      </c>
      <c r="D1988" s="10" t="inlineStr">
        <is>
          <t>FITA DE PAPEL MICROPERFURADO, 50 X 150 MM, PARA TRATAMENTO DE JUNTAS DE CHAPA DE GESSO PARA DRYWALL</t>
        </is>
      </c>
      <c r="E1988" s="11">
        <f t="array" ref="E1988">_xlfn.XLOOKUP(D1988,Insumos!B:B,Insumos!C:$C)</f>
        <v/>
      </c>
      <c r="F1988" s="14">
        <f>2.5027/2</f>
        <v/>
      </c>
      <c r="G1988" s="92">
        <f t="array" ref="G1988">IF(B1988="insumo",_xlfn.XLOOKUP($D1988,Insumos!$B$1:$B$996,Insumos!$D$1:$D$996),"")</f>
        <v/>
      </c>
      <c r="H1988" s="92" t="n">
        <v>0.3879185</v>
      </c>
      <c r="I1988" s="2162" t="n">
        <v>0</v>
      </c>
      <c r="J1988" s="2162" t="n">
        <v>0</v>
      </c>
      <c r="K1988" s="2162" t="n"/>
    </row>
    <row r="1989" outlineLevel="3" ht="15.75" customHeight="1">
      <c r="A1989" s="10" t="n">
        <v>94</v>
      </c>
      <c r="B1989" s="10" t="inlineStr">
        <is>
          <t>Insumo</t>
        </is>
      </c>
      <c r="C1989" s="10" t="inlineStr">
        <is>
          <t>36_DRY 90 mm LV - 1 PLACA - 10,25cm  -  Lado A: PLACA RU - Lado B: N/A</t>
        </is>
      </c>
      <c r="D1989" s="10" t="inlineStr">
        <is>
          <t>FITA DE PAPEL REFORCADA COM LAMINA DE METAL PARA REFORCO DE CANTOS DE CHAPA DE GESSO PARA DRYWALL</t>
        </is>
      </c>
      <c r="E1989" s="11">
        <f t="array" ref="E1989">_xlfn.XLOOKUP(D1989,Insumos!B:B,Insumos!C:$C)</f>
        <v/>
      </c>
      <c r="F1989" s="14">
        <f>1.5851/2</f>
        <v/>
      </c>
      <c r="G1989" s="92">
        <f t="array" ref="G1989">IF(B1989="insumo",_xlfn.XLOOKUP($D1989,Insumos!$B$1:$B$996,Insumos!$D$1:$D$996),"")</f>
        <v/>
      </c>
      <c r="H1989" s="92" t="n">
        <v>2.171587</v>
      </c>
      <c r="I1989" s="2162" t="n">
        <v>0</v>
      </c>
      <c r="J1989" s="2162" t="n">
        <v>0</v>
      </c>
      <c r="K1989" s="2162" t="n"/>
    </row>
    <row r="1990" outlineLevel="3" ht="15.75" customHeight="1">
      <c r="A1990" s="10" t="n">
        <v>97</v>
      </c>
      <c r="B1990" s="10" t="inlineStr">
        <is>
          <t>Insumo</t>
        </is>
      </c>
      <c r="C1990" s="10" t="inlineStr">
        <is>
          <t>36_DRY 90 mm LV - 1 PLACA - 10,25cm  -  Lado A: PLACA RU - Lado B: N/A</t>
        </is>
      </c>
      <c r="D1990" s="10" t="inlineStr">
        <is>
          <t>PARAFUSO DRY WALL, EM ACO FOSFATIZADO, CABECA TROMBETA E PONTA AGULHA (TA), COMPRIMENTO 25 MM</t>
        </is>
      </c>
      <c r="E1990" s="11">
        <f t="array" ref="E1990">_xlfn.XLOOKUP(D1990,Insumos!B:B,Insumos!C:$C)</f>
        <v/>
      </c>
      <c r="F1990" s="14">
        <f>20.1868/2</f>
        <v/>
      </c>
      <c r="G1990" s="92">
        <f t="array" ref="G1990">IF(B1990="insumo",_xlfn.XLOOKUP($D1990,Insumos!$B$1:$B$996,Insumos!$D$1:$D$996),"")</f>
        <v/>
      </c>
      <c r="H1990" s="92" t="n">
        <v>0.908406</v>
      </c>
      <c r="I1990" s="2162" t="n">
        <v>0</v>
      </c>
      <c r="J1990" s="2162" t="n">
        <v>0</v>
      </c>
      <c r="K1990" s="2162" t="n"/>
    </row>
    <row r="1991" outlineLevel="3" ht="15.75" customHeight="1">
      <c r="A1991" s="10" t="n">
        <v>95</v>
      </c>
      <c r="B1991" s="10" t="inlineStr">
        <is>
          <t>Insumo</t>
        </is>
      </c>
      <c r="C1991" s="10" t="inlineStr">
        <is>
          <t>36_DRY 90 mm LV - 1 PLACA - 10,25cm  -  Lado A: PLACA RU - Lado B: N/A</t>
        </is>
      </c>
      <c r="D1991" s="10" t="inlineStr">
        <is>
          <t>PARAFUSO DRY WALL, EM ACO ZINCADO, CABECA LENTILHA E PONTA BROCA (LB), LARGURA 4,2 MM, COMPRIMENTO 13 MM</t>
        </is>
      </c>
      <c r="E1991" s="11">
        <f t="array" ref="E1991">_xlfn.XLOOKUP(D1991,Insumos!B:B,Insumos!C:$C)</f>
        <v/>
      </c>
      <c r="F1991" s="14" t="n">
        <v>0.5441</v>
      </c>
      <c r="G1991" s="92">
        <f t="array" ref="G1991">IF(B1991="insumo",_xlfn.XLOOKUP($D1991,Insumos!$B$1:$B$996,Insumos!$D$1:$D$996),"")</f>
        <v/>
      </c>
      <c r="H1991" s="92" t="n">
        <v>0.10882</v>
      </c>
      <c r="I1991" s="2162" t="n">
        <v>0</v>
      </c>
      <c r="J1991" s="2162" t="n">
        <v>0</v>
      </c>
      <c r="K1991" s="2162" t="n"/>
    </row>
    <row r="1992" outlineLevel="3" ht="15.75" customHeight="1">
      <c r="A1992" s="10" t="n">
        <v>35</v>
      </c>
      <c r="B1992" s="10" t="inlineStr">
        <is>
          <t>Insumo</t>
        </is>
      </c>
      <c r="C1992" s="10" t="inlineStr">
        <is>
          <t>36_DRY 90 mm LV - 1 PLACA - 10,25cm  -  Lado A: PLACA RU - Lado B: N/A</t>
        </is>
      </c>
      <c r="D1992" s="10" t="inlineStr">
        <is>
          <t>Lã de pet 50 X 1200 X 12500 MM</t>
        </is>
      </c>
      <c r="E1992" s="11">
        <f t="array" ref="E1992">_xlfn.XLOOKUP(D1992,Insumos!B:B,Insumos!C:$C)</f>
        <v/>
      </c>
      <c r="F1992" s="14" t="n">
        <v>1.1</v>
      </c>
      <c r="G1992" s="92">
        <f t="array" ref="G1992">IF(B1992="insumo",_xlfn.XLOOKUP($D1992,Insumos!$B$1:$B$996,Insumos!$D$1:$D$996),"")</f>
        <v/>
      </c>
      <c r="H1992" s="92" t="n">
        <v>14.3212666666667</v>
      </c>
      <c r="I1992" s="2162" t="n">
        <v>0</v>
      </c>
      <c r="J1992" s="2162" t="n">
        <v>0</v>
      </c>
      <c r="K1992" s="2162" t="n"/>
    </row>
    <row r="1993" outlineLevel="2" ht="15.75" customHeight="1">
      <c r="A1993" s="1067" t="n">
        <v>1</v>
      </c>
      <c r="B1993" s="1067" t="inlineStr">
        <is>
          <t>Serviço</t>
        </is>
      </c>
      <c r="C1993" s="1067" t="inlineStr">
        <is>
          <t>36_DRY 90 mm LV - 1 PLACA - 10,25cm  -  Lado A: PLACA GLASROC X - Lado B: N/A</t>
        </is>
      </c>
      <c r="D1993" s="1067" t="inlineStr">
        <is>
          <t>36_DRY 90 mm LV - 1 PLACA - 10,25cm  -  Lado A: PLACA GLASROC X - Lado B: N/A</t>
        </is>
      </c>
      <c r="E1993" s="1068" t="inlineStr">
        <is>
          <t>M2</t>
        </is>
      </c>
      <c r="F1993" s="1067" t="n"/>
      <c r="G1993" s="1069">
        <f t="array" ref="G1993">IF(B1993="insumo",_xlfn.XLOOKUP($D1993,Insumos!$B$1:$B$996,Insumos!$D$1:$D$996),"")</f>
        <v/>
      </c>
      <c r="H1993" s="1069" t="n">
        <v>271.253298388889</v>
      </c>
      <c r="I1993" s="2161" t="n">
        <v>0</v>
      </c>
      <c r="J1993" s="2161" t="n">
        <v>0</v>
      </c>
      <c r="K1993" s="2161" t="n"/>
    </row>
    <row r="1994" outlineLevel="3" ht="15.75" customHeight="1">
      <c r="A1994" s="10" t="n">
        <v>86</v>
      </c>
      <c r="B1994" s="10" t="inlineStr">
        <is>
          <t>Insumo</t>
        </is>
      </c>
      <c r="C1994" s="10" t="inlineStr">
        <is>
          <t>36_DRY 90 mm LV - 1 PLACA - 10,25cm  -  Lado A: PLACA GLASROC X - Lado B: N/A</t>
        </is>
      </c>
      <c r="D1994" s="10" t="inlineStr">
        <is>
          <t>SERVICO - CONFECCAO SHAFT GESSO</t>
        </is>
      </c>
      <c r="E1994" s="11">
        <f t="array" ref="E1994">_xlfn.XLOOKUP(D1994,Insumos!B:B,Insumos!C:$C)</f>
        <v/>
      </c>
      <c r="F1994" s="14" t="n">
        <v>1</v>
      </c>
      <c r="G1994" s="92">
        <f t="array" ref="G1994">IF(B1994="insumo",_xlfn.XLOOKUP($D1994,Insumos!$B$1:$B$996,Insumos!$D$1:$D$996),"")</f>
        <v/>
      </c>
      <c r="H1994" s="92" t="n">
        <v>70</v>
      </c>
      <c r="I1994" s="2162" t="n">
        <v>0</v>
      </c>
      <c r="J1994" s="2162" t="n">
        <v>0</v>
      </c>
      <c r="K1994" s="2162" t="n"/>
    </row>
    <row r="1995" outlineLevel="3" ht="15.75" customHeight="1">
      <c r="A1995" s="10" t="n">
        <v>4</v>
      </c>
      <c r="B1995" s="10" t="inlineStr">
        <is>
          <t>Insumo</t>
        </is>
      </c>
      <c r="C1995" s="10" t="inlineStr">
        <is>
          <t>36_DRY 90 mm LV - 1 PLACA - 10,25cm  -  Lado A: PLACA GLASROC X - Lado B: N/A</t>
        </is>
      </c>
      <c r="D1995" s="10" t="inlineStr">
        <is>
          <t>Placa de Gesso Glasroc X 12,5 X 1200 X 2400mm</t>
        </is>
      </c>
      <c r="E1995" s="11">
        <f t="array" ref="E1995">_xlfn.XLOOKUP(D1995,Insumos!B:B,Insumos!C:$C)</f>
        <v/>
      </c>
      <c r="F1995" s="14" t="n">
        <v>1.106</v>
      </c>
      <c r="G1995" s="92">
        <f t="array" ref="G1995">IF(B1995="insumo",_xlfn.XLOOKUP($D1995,Insumos!$B$1:$B$996,Insumos!$D$1:$D$996),"")</f>
        <v/>
      </c>
      <c r="H1995" s="92" t="n">
        <v>92.93472222222221</v>
      </c>
      <c r="I1995" s="2162" t="n">
        <v>0</v>
      </c>
      <c r="J1995" s="2162" t="n">
        <v>0</v>
      </c>
      <c r="K1995" s="2162" t="n"/>
    </row>
    <row r="1996" outlineLevel="3" ht="15.75" customHeight="1">
      <c r="A1996" s="10" t="n">
        <v>95</v>
      </c>
      <c r="B1996" s="10" t="inlineStr">
        <is>
          <t>Insumo</t>
        </is>
      </c>
      <c r="C1996" s="10" t="inlineStr">
        <is>
          <t>36_DRY 90 mm LV - 1 PLACA - 10,25cm  -  Lado A: PLACA GLASROC X - Lado B: N/A</t>
        </is>
      </c>
      <c r="D1996" s="10" t="inlineStr">
        <is>
          <t>PINO DE ACO COM ARRUELA CONICA, DIAMETRO ARRUELA = *23* MM E COMP HASTE = *27* MM (ACAO INDIRETA)</t>
        </is>
      </c>
      <c r="E1996" s="11">
        <f t="array" ref="E1996">_xlfn.XLOOKUP(D1996,Insumos!B:B,Insumos!C:$C)</f>
        <v/>
      </c>
      <c r="F1996" s="14" t="n">
        <v>5.92</v>
      </c>
      <c r="G1996" s="92">
        <f t="array" ref="G1996">IF(B1996="insumo",_xlfn.XLOOKUP($D1996,Insumos!$B$1:$B$996,Insumos!$D$1:$D$996),"")</f>
        <v/>
      </c>
      <c r="H1996" s="92" t="n">
        <v>2.98368</v>
      </c>
      <c r="I1996" s="2162" t="n">
        <v>0</v>
      </c>
      <c r="J1996" s="2162" t="n">
        <v>0</v>
      </c>
      <c r="K1996" s="2162" t="n"/>
    </row>
    <row r="1997" outlineLevel="3" ht="15.75" customHeight="1">
      <c r="A1997" s="10" t="n">
        <v>26</v>
      </c>
      <c r="B1997" s="10" t="inlineStr">
        <is>
          <t>Insumo</t>
        </is>
      </c>
      <c r="C1997" s="10" t="inlineStr">
        <is>
          <t>36_DRY 90 mm LV - 1 PLACA - 10,25cm  -  Lado A: PLACA GLASROC X - Lado B: N/A</t>
        </is>
      </c>
      <c r="D1997" s="10" t="inlineStr">
        <is>
          <t>PERFIL GUIA, FORMATO U, EM ACO ZINCADO, PARA ESTRUTURA PAREDE DRYWALL, E = 0,5 MM, 90 X 3000 MM (L X C)</t>
        </is>
      </c>
      <c r="E1997" s="11">
        <f t="array" ref="E1997">_xlfn.XLOOKUP(D1997,Insumos!B:B,Insumos!C:$C)</f>
        <v/>
      </c>
      <c r="F1997" s="14" t="n">
        <v>1.5248</v>
      </c>
      <c r="G1997" s="92">
        <f t="array" ref="G1997">IF(B1997="insumo",_xlfn.XLOOKUP($D1997,Insumos!$B$1:$B$996,Insumos!$D$1:$D$996),"")</f>
        <v/>
      </c>
      <c r="H1997" s="92" t="n">
        <v>13.174272</v>
      </c>
      <c r="I1997" s="2162" t="n">
        <v>0</v>
      </c>
      <c r="J1997" s="2162" t="n">
        <v>0</v>
      </c>
      <c r="K1997" s="2162" t="n"/>
    </row>
    <row r="1998" outlineLevel="3" ht="15.75" customHeight="1">
      <c r="A1998" s="10" t="n">
        <v>26</v>
      </c>
      <c r="B1998" s="10" t="inlineStr">
        <is>
          <t>Insumo</t>
        </is>
      </c>
      <c r="C1998" s="10" t="inlineStr">
        <is>
          <t>36_DRY 90 mm LV - 1 PLACA - 10,25cm  -  Lado A: PLACA GLASROC X - Lado B: N/A</t>
        </is>
      </c>
      <c r="D1998" s="10" t="inlineStr">
        <is>
          <t>PERFIL MONTANTE, FORMATO C, EM ACO ZINCADO, PARA ESTRUTURA PAREDE DRYWALL, E = 0,5 MM, 90 X 3000 MM (L X C)</t>
        </is>
      </c>
      <c r="E1998" s="11">
        <f t="array" ref="E1998">_xlfn.XLOOKUP(D1998,Insumos!B:B,Insumos!C:$C)</f>
        <v/>
      </c>
      <c r="F1998" s="14" t="n">
        <v>4.0011</v>
      </c>
      <c r="G1998" s="92">
        <f t="array" ref="G1998">IF(B1998="insumo",_xlfn.XLOOKUP($D1998,Insumos!$B$1:$B$996,Insumos!$D$1:$D$996),"")</f>
        <v/>
      </c>
      <c r="H1998" s="92" t="n">
        <v>72.37989899999999</v>
      </c>
      <c r="I1998" s="2162" t="n">
        <v>0</v>
      </c>
      <c r="J1998" s="2162" t="n">
        <v>0</v>
      </c>
      <c r="K1998" s="2162" t="n"/>
    </row>
    <row r="1999" outlineLevel="3" ht="15.75" customHeight="1">
      <c r="A1999" s="10" t="n">
        <v>95</v>
      </c>
      <c r="B1999" s="10" t="inlineStr">
        <is>
          <t>Insumo</t>
        </is>
      </c>
      <c r="C1999" s="10" t="inlineStr">
        <is>
          <t>36_DRY 90 mm LV - 1 PLACA - 10,25cm  -  Lado A: PLACA GLASROC X - Lado B: N/A</t>
        </is>
      </c>
      <c r="D1999" s="10" t="inlineStr">
        <is>
          <t>MASSA DE REJUNTE EM PO PARA DRYWALL, A BASE DE GESSO, SECAGEM RAPIDA, PARA TRATAMENTO DE JUNTAS DE CHAPA DE GESSO (NECESSITA ADICAO DE AGUA)</t>
        </is>
      </c>
      <c r="E1999" s="11">
        <f t="array" ref="E1999">_xlfn.XLOOKUP(D1999,Insumos!B:B,Insumos!C:$C)</f>
        <v/>
      </c>
      <c r="F1999" s="14">
        <f>1.0978/2</f>
        <v/>
      </c>
      <c r="G1999" s="92">
        <f t="array" ref="G1999">IF(B1999="insumo",_xlfn.XLOOKUP($D1999,Insumos!$B$1:$B$996,Insumos!$D$1:$D$996),"")</f>
        <v/>
      </c>
      <c r="H1999" s="92" t="n">
        <v>1.882727</v>
      </c>
      <c r="I1999" s="2162" t="n">
        <v>0</v>
      </c>
      <c r="J1999" s="2162" t="n">
        <v>0</v>
      </c>
      <c r="K1999" s="2162" t="n"/>
    </row>
    <row r="2000" outlineLevel="3" ht="15.75" customHeight="1">
      <c r="A2000" s="10" t="n">
        <v>94</v>
      </c>
      <c r="B2000" s="10" t="inlineStr">
        <is>
          <t>Insumo</t>
        </is>
      </c>
      <c r="C2000" s="10" t="inlineStr">
        <is>
          <t>36_DRY 90 mm LV - 1 PLACA - 10,25cm  -  Lado A: PLACA GLASROC X - Lado B: N/A</t>
        </is>
      </c>
      <c r="D2000" s="10" t="inlineStr">
        <is>
          <t>FITA DE PAPEL MICROPERFURADO, 50 X 150 MM, PARA TRATAMENTO DE JUNTAS DE CHAPA DE GESSO PARA DRYWALL</t>
        </is>
      </c>
      <c r="E2000" s="11">
        <f t="array" ref="E2000">_xlfn.XLOOKUP(D2000,Insumos!B:B,Insumos!C:$C)</f>
        <v/>
      </c>
      <c r="F2000" s="14">
        <f>2.5027/2</f>
        <v/>
      </c>
      <c r="G2000" s="92">
        <f t="array" ref="G2000">IF(B2000="insumo",_xlfn.XLOOKUP($D2000,Insumos!$B$1:$B$996,Insumos!$D$1:$D$996),"")</f>
        <v/>
      </c>
      <c r="H2000" s="92" t="n">
        <v>0.3879185</v>
      </c>
      <c r="I2000" s="2162" t="n">
        <v>0</v>
      </c>
      <c r="J2000" s="2162" t="n">
        <v>0</v>
      </c>
      <c r="K2000" s="2162" t="n"/>
    </row>
    <row r="2001" outlineLevel="3" ht="15.75" customHeight="1">
      <c r="A2001" s="10" t="n">
        <v>94</v>
      </c>
      <c r="B2001" s="10" t="inlineStr">
        <is>
          <t>Insumo</t>
        </is>
      </c>
      <c r="C2001" s="10" t="inlineStr">
        <is>
          <t>36_DRY 90 mm LV - 1 PLACA - 10,25cm  -  Lado A: PLACA GLASROC X - Lado B: N/A</t>
        </is>
      </c>
      <c r="D2001" s="10" t="inlineStr">
        <is>
          <t>FITA DE PAPEL REFORCADA COM LAMINA DE METAL PARA REFORCO DE CANTOS DE CHAPA DE GESSO PARA DRYWALL</t>
        </is>
      </c>
      <c r="E2001" s="11">
        <f t="array" ref="E2001">_xlfn.XLOOKUP(D2001,Insumos!B:B,Insumos!C:$C)</f>
        <v/>
      </c>
      <c r="F2001" s="14">
        <f>1.5851/2</f>
        <v/>
      </c>
      <c r="G2001" s="92">
        <f t="array" ref="G2001">IF(B2001="insumo",_xlfn.XLOOKUP($D2001,Insumos!$B$1:$B$996,Insumos!$D$1:$D$996),"")</f>
        <v/>
      </c>
      <c r="H2001" s="92" t="n">
        <v>2.171587</v>
      </c>
      <c r="I2001" s="2162" t="n">
        <v>0</v>
      </c>
      <c r="J2001" s="2162" t="n">
        <v>0</v>
      </c>
      <c r="K2001" s="2162" t="n"/>
    </row>
    <row r="2002" outlineLevel="3" ht="15.75" customHeight="1">
      <c r="A2002" s="10" t="n">
        <v>97</v>
      </c>
      <c r="B2002" s="10" t="inlineStr">
        <is>
          <t>Insumo</t>
        </is>
      </c>
      <c r="C2002" s="10" t="inlineStr">
        <is>
          <t>36_DRY 90 mm LV - 1 PLACA - 10,25cm  -  Lado A: PLACA GLASROC X - Lado B: N/A</t>
        </is>
      </c>
      <c r="D2002" s="10" t="inlineStr">
        <is>
          <t>PARAFUSO DRY WALL, EM ACO FOSFATIZADO, CABECA TROMBETA E PONTA AGULHA (TA), COMPRIMENTO 25 MM</t>
        </is>
      </c>
      <c r="E2002" s="11">
        <f t="array" ref="E2002">_xlfn.XLOOKUP(D2002,Insumos!B:B,Insumos!C:$C)</f>
        <v/>
      </c>
      <c r="F2002" s="14">
        <f>20.1868/2</f>
        <v/>
      </c>
      <c r="G2002" s="92">
        <f t="array" ref="G2002">IF(B2002="insumo",_xlfn.XLOOKUP($D2002,Insumos!$B$1:$B$996,Insumos!$D$1:$D$996),"")</f>
        <v/>
      </c>
      <c r="H2002" s="92" t="n">
        <v>0.908406</v>
      </c>
      <c r="I2002" s="2162" t="n">
        <v>0</v>
      </c>
      <c r="J2002" s="2162" t="n">
        <v>0</v>
      </c>
      <c r="K2002" s="2162" t="n"/>
    </row>
    <row r="2003" outlineLevel="3" ht="15.75" customHeight="1">
      <c r="A2003" s="10" t="n">
        <v>95</v>
      </c>
      <c r="B2003" s="10" t="inlineStr">
        <is>
          <t>Insumo</t>
        </is>
      </c>
      <c r="C2003" s="10" t="inlineStr">
        <is>
          <t>36_DRY 90 mm LV - 1 PLACA - 10,25cm  -  Lado A: PLACA GLASROC X - Lado B: N/A</t>
        </is>
      </c>
      <c r="D2003" s="10" t="inlineStr">
        <is>
          <t>PARAFUSO DRY WALL, EM ACO ZINCADO, CABECA LENTILHA E PONTA BROCA (LB), LARGURA 4,2 MM, COMPRIMENTO 13 MM</t>
        </is>
      </c>
      <c r="E2003" s="11">
        <f t="array" ref="E2003">_xlfn.XLOOKUP(D2003,Insumos!B:B,Insumos!C:$C)</f>
        <v/>
      </c>
      <c r="F2003" s="14" t="n">
        <v>0.5441</v>
      </c>
      <c r="G2003" s="92">
        <f t="array" ref="G2003">IF(B2003="insumo",_xlfn.XLOOKUP($D2003,Insumos!$B$1:$B$996,Insumos!$D$1:$D$996),"")</f>
        <v/>
      </c>
      <c r="H2003" s="92" t="n">
        <v>0.10882</v>
      </c>
      <c r="I2003" s="2162" t="n">
        <v>0</v>
      </c>
      <c r="J2003" s="2162" t="n">
        <v>0</v>
      </c>
      <c r="K2003" s="2162" t="n"/>
    </row>
    <row r="2004" outlineLevel="3" ht="15.75" customHeight="1">
      <c r="A2004" s="10" t="n">
        <v>35</v>
      </c>
      <c r="B2004" s="10" t="inlineStr">
        <is>
          <t>Insumo</t>
        </is>
      </c>
      <c r="C2004" s="10" t="inlineStr">
        <is>
          <t>36_DRY 90 mm LV - 1 PLACA - 10,25cm  -  Lado A: PLACA GLASROC X - Lado B: N/A</t>
        </is>
      </c>
      <c r="D2004" s="10" t="inlineStr">
        <is>
          <t>Lã de pet 50 X 1200 X 12500 MM</t>
        </is>
      </c>
      <c r="E2004" s="11">
        <f t="array" ref="E2004">_xlfn.XLOOKUP(D2004,Insumos!B:B,Insumos!C:$C)</f>
        <v/>
      </c>
      <c r="F2004" s="14" t="n">
        <v>1.1</v>
      </c>
      <c r="G2004" s="92">
        <f t="array" ref="G2004">IF(B2004="insumo",_xlfn.XLOOKUP($D2004,Insumos!$B$1:$B$996,Insumos!$D$1:$D$996),"")</f>
        <v/>
      </c>
      <c r="H2004" s="92" t="n">
        <v>14.3212666666667</v>
      </c>
      <c r="I2004" s="2162" t="n">
        <v>0</v>
      </c>
      <c r="J2004" s="2162" t="n">
        <v>0</v>
      </c>
      <c r="K2004" s="2162" t="n"/>
    </row>
    <row r="2005" outlineLevel="2" ht="15.75" customHeight="1">
      <c r="A2005" s="1067" t="n">
        <v>1</v>
      </c>
      <c r="B2005" s="1067" t="inlineStr">
        <is>
          <t>Serviço</t>
        </is>
      </c>
      <c r="C2005" s="1067" t="inlineStr">
        <is>
          <t>36_DRY 90 mm LV - 4 PLACAS - 14,00cm  -  Lado A: PLACA ST + ST - Lado B: PLACA ST + ST</t>
        </is>
      </c>
      <c r="D2005" s="1067" t="inlineStr">
        <is>
          <t>36_DRY 90 mm LV - 4 PLACAS - 14,00cm  -  Lado A: PLACA ST + ST - Lado B: PLACA ST + ST</t>
        </is>
      </c>
      <c r="E2005" s="1068" t="inlineStr">
        <is>
          <t>M2</t>
        </is>
      </c>
      <c r="F2005" s="1067" t="n"/>
      <c r="G2005" s="1069">
        <f t="array" ref="G2005">IF(B2005="insumo",_xlfn.XLOOKUP($D2005,Insumos!$B$1:$B$996,Insumos!$D$1:$D$996),"")</f>
        <v/>
      </c>
      <c r="H2005" s="1069" t="n">
        <v>268.583134666667</v>
      </c>
      <c r="I2005" s="2161" t="n">
        <v>0</v>
      </c>
      <c r="J2005" s="2161" t="n">
        <v>0</v>
      </c>
      <c r="K2005" s="2161" t="n"/>
    </row>
    <row r="2006" outlineLevel="3" ht="15.75" customHeight="1">
      <c r="A2006" s="10" t="n">
        <v>86</v>
      </c>
      <c r="B2006" s="10" t="inlineStr">
        <is>
          <t>Insumo</t>
        </is>
      </c>
      <c r="C2006" s="10" t="inlineStr">
        <is>
          <t>36_DRY 90 mm LV - 4 PLACAS - 14,00cm  -  Lado A: PLACA ST + ST - Lado B: PLACA ST + ST</t>
        </is>
      </c>
      <c r="D2006" s="10" t="inlineStr">
        <is>
          <t>SERVICO - CONFECCAO SHAFT GESSO</t>
        </is>
      </c>
      <c r="E2006" s="11">
        <f t="array" ref="E2006">_xlfn.XLOOKUP(D2006,Insumos!B:B,Insumos!C:$C)</f>
        <v/>
      </c>
      <c r="F2006" s="14" t="n">
        <v>1</v>
      </c>
      <c r="G2006" s="92">
        <f t="array" ref="G2006">IF(B2006="insumo",_xlfn.XLOOKUP($D2006,Insumos!$B$1:$B$996,Insumos!$D$1:$D$996),"")</f>
        <v/>
      </c>
      <c r="H2006" s="92" t="n">
        <v>70</v>
      </c>
      <c r="I2006" s="2162" t="n">
        <v>0</v>
      </c>
      <c r="J2006" s="2162" t="n">
        <v>0</v>
      </c>
      <c r="K2006" s="2162" t="n"/>
    </row>
    <row r="2007" outlineLevel="3" ht="15.75" customHeight="1">
      <c r="A2007" s="10" t="n">
        <v>47</v>
      </c>
      <c r="B2007" s="10" t="inlineStr">
        <is>
          <t>Insumo</t>
        </is>
      </c>
      <c r="C2007" s="10" t="inlineStr">
        <is>
          <t>36_DRY 90 mm LV - 4 PLACAS - 14,00cm  -  Lado A: PLACA ST + ST - Lado B: PLACA ST + ST</t>
        </is>
      </c>
      <c r="D2007" s="10" t="inlineStr">
        <is>
          <t>PLACA / CHAPA DE GESSO ACARTONADO, STANDARD (ST), COR BRANCA, E = 12,5 MM, 1200 X 2400 MM (L X C)</t>
        </is>
      </c>
      <c r="E2007" s="11">
        <f t="array" ref="E2007">_xlfn.XLOOKUP(D2007,Insumos!B:B,Insumos!C:$C)</f>
        <v/>
      </c>
      <c r="F2007" s="14">
        <f>2.106*2</f>
        <v/>
      </c>
      <c r="G2007" s="92">
        <f t="array" ref="G2007">IF(B2007="insumo",_xlfn.XLOOKUP($D2007,Insumos!$B$1:$B$996,Insumos!$D$1:$D$996),"")</f>
        <v/>
      </c>
      <c r="H2007" s="92" t="n">
        <v>84.91392</v>
      </c>
      <c r="I2007" s="2162" t="n">
        <v>0</v>
      </c>
      <c r="J2007" s="2162" t="n">
        <v>0</v>
      </c>
      <c r="K2007" s="2162" t="n"/>
    </row>
    <row r="2008" outlineLevel="3" ht="15.75" customHeight="1">
      <c r="A2008" s="10" t="n">
        <v>95</v>
      </c>
      <c r="B2008" s="10" t="inlineStr">
        <is>
          <t>Insumo</t>
        </is>
      </c>
      <c r="C2008" s="10" t="inlineStr">
        <is>
          <t>36_DRY 90 mm LV - 4 PLACAS - 14,00cm  -  Lado A: PLACA ST + ST - Lado B: PLACA ST + ST</t>
        </is>
      </c>
      <c r="D2008" s="10" t="inlineStr">
        <is>
          <t>PINO DE ACO COM ARRUELA CONICA, DIAMETRO ARRUELA = *23* MM E COMP HASTE = *27* MM (ACAO INDIRETA)</t>
        </is>
      </c>
      <c r="E2008" s="11">
        <f t="array" ref="E2008">_xlfn.XLOOKUP(D2008,Insumos!B:B,Insumos!C:$C)</f>
        <v/>
      </c>
      <c r="F2008" s="14" t="n">
        <v>5.92</v>
      </c>
      <c r="G2008" s="92">
        <f t="array" ref="G2008">IF(B2008="insumo",_xlfn.XLOOKUP($D2008,Insumos!$B$1:$B$996,Insumos!$D$1:$D$996),"")</f>
        <v/>
      </c>
      <c r="H2008" s="92" t="n">
        <v>2.98368</v>
      </c>
      <c r="I2008" s="2162" t="n">
        <v>0</v>
      </c>
      <c r="J2008" s="2162" t="n">
        <v>0</v>
      </c>
      <c r="K2008" s="2162" t="n"/>
    </row>
    <row r="2009" outlineLevel="3" ht="15.75" customHeight="1">
      <c r="A2009" s="10" t="n">
        <v>26</v>
      </c>
      <c r="B2009" s="10" t="inlineStr">
        <is>
          <t>Insumo</t>
        </is>
      </c>
      <c r="C2009" s="10" t="inlineStr">
        <is>
          <t>36_DRY 90 mm LV - 4 PLACAS - 14,00cm  -  Lado A: PLACA ST + ST - Lado B: PLACA ST + ST</t>
        </is>
      </c>
      <c r="D2009" s="10" t="inlineStr">
        <is>
          <t>PERFIL GUIA, FORMATO U, EM ACO ZINCADO, PARA ESTRUTURA PAREDE DRYWALL, E = 0,5 MM, 90 X 3000 MM (L X C)</t>
        </is>
      </c>
      <c r="E2009" s="11">
        <f t="array" ref="E2009">_xlfn.XLOOKUP(D2009,Insumos!B:B,Insumos!C:$C)</f>
        <v/>
      </c>
      <c r="F2009" s="14" t="n">
        <v>1.5248</v>
      </c>
      <c r="G2009" s="92">
        <f t="array" ref="G2009">IF(B2009="insumo",_xlfn.XLOOKUP($D2009,Insumos!$B$1:$B$996,Insumos!$D$1:$D$996),"")</f>
        <v/>
      </c>
      <c r="H2009" s="92" t="n">
        <v>13.174272</v>
      </c>
      <c r="I2009" s="2162" t="n">
        <v>0</v>
      </c>
      <c r="J2009" s="2162" t="n">
        <v>0</v>
      </c>
      <c r="K2009" s="2162" t="n"/>
    </row>
    <row r="2010" outlineLevel="3" ht="15.75" customHeight="1">
      <c r="A2010" s="10" t="n">
        <v>26</v>
      </c>
      <c r="B2010" s="10" t="inlineStr">
        <is>
          <t>Insumo</t>
        </is>
      </c>
      <c r="C2010" s="10" t="inlineStr">
        <is>
          <t>36_DRY 90 mm LV - 4 PLACAS - 14,00cm  -  Lado A: PLACA ST + ST - Lado B: PLACA ST + ST</t>
        </is>
      </c>
      <c r="D2010" s="10" t="inlineStr">
        <is>
          <t>PERFIL MONTANTE, FORMATO C, EM ACO ZINCADO, PARA ESTRUTURA PAREDE DRYWALL, E = 0,5 MM, 90 X 3000 MM (L X C)</t>
        </is>
      </c>
      <c r="E2010" s="11">
        <f t="array" ref="E2010">_xlfn.XLOOKUP(D2010,Insumos!B:B,Insumos!C:$C)</f>
        <v/>
      </c>
      <c r="F2010" s="14" t="n">
        <v>4.0011</v>
      </c>
      <c r="G2010" s="92">
        <f t="array" ref="G2010">IF(B2010="insumo",_xlfn.XLOOKUP($D2010,Insumos!$B$1:$B$996,Insumos!$D$1:$D$996),"")</f>
        <v/>
      </c>
      <c r="H2010" s="92" t="n">
        <v>72.37989899999999</v>
      </c>
      <c r="I2010" s="2162" t="n">
        <v>0</v>
      </c>
      <c r="J2010" s="2162" t="n">
        <v>0</v>
      </c>
      <c r="K2010" s="2162" t="n"/>
    </row>
    <row r="2011" outlineLevel="3" ht="15.75" customHeight="1">
      <c r="A2011" s="10" t="n">
        <v>95</v>
      </c>
      <c r="B2011" s="10" t="inlineStr">
        <is>
          <t>Insumo</t>
        </is>
      </c>
      <c r="C2011" s="10" t="inlineStr">
        <is>
          <t>36_DRY 90 mm LV - 4 PLACAS - 14,00cm  -  Lado A: PLACA ST + ST - Lado B: PLACA ST + ST</t>
        </is>
      </c>
      <c r="D2011" s="10" t="inlineStr">
        <is>
          <t>MASSA DE REJUNTE EM PO PARA DRYWALL, A BASE DE GESSO, SECAGEM RAPIDA, PARA TRATAMENTO DE JUNTAS DE CHAPA DE GESSO (NECESSITA ADICAO DE AGUA)</t>
        </is>
      </c>
      <c r="E2011" s="11">
        <f t="array" ref="E2011">_xlfn.XLOOKUP(D2011,Insumos!B:B,Insumos!C:$C)</f>
        <v/>
      </c>
      <c r="F2011" s="14" t="n">
        <v>1.0978</v>
      </c>
      <c r="G2011" s="92">
        <f t="array" ref="G2011">IF(B2011="insumo",_xlfn.XLOOKUP($D2011,Insumos!$B$1:$B$996,Insumos!$D$1:$D$996),"")</f>
        <v/>
      </c>
      <c r="H2011" s="92" t="n">
        <v>3.765454</v>
      </c>
      <c r="I2011" s="2162" t="n">
        <v>0</v>
      </c>
      <c r="J2011" s="2162" t="n">
        <v>0</v>
      </c>
      <c r="K2011" s="2162" t="n"/>
    </row>
    <row r="2012" outlineLevel="3" ht="15.75" customHeight="1">
      <c r="A2012" s="10" t="n">
        <v>94</v>
      </c>
      <c r="B2012" s="10" t="inlineStr">
        <is>
          <t>Insumo</t>
        </is>
      </c>
      <c r="C2012" s="10" t="inlineStr">
        <is>
          <t>36_DRY 90 mm LV - 4 PLACAS - 14,00cm  -  Lado A: PLACA ST + ST - Lado B: PLACA ST + ST</t>
        </is>
      </c>
      <c r="D2012" s="10" t="inlineStr">
        <is>
          <t>FITA DE PAPEL MICROPERFURADO, 50 X 150 MM, PARA TRATAMENTO DE JUNTAS DE CHAPA DE GESSO PARA DRYWALL</t>
        </is>
      </c>
      <c r="E2012" s="11">
        <f t="array" ref="E2012">_xlfn.XLOOKUP(D2012,Insumos!B:B,Insumos!C:$C)</f>
        <v/>
      </c>
      <c r="F2012" s="14" t="n">
        <v>2.5027</v>
      </c>
      <c r="G2012" s="92">
        <f t="array" ref="G2012">IF(B2012="insumo",_xlfn.XLOOKUP($D2012,Insumos!$B$1:$B$996,Insumos!$D$1:$D$996),"")</f>
        <v/>
      </c>
      <c r="H2012" s="92" t="n">
        <v>0.775837</v>
      </c>
      <c r="I2012" s="2162" t="n">
        <v>0</v>
      </c>
      <c r="J2012" s="2162" t="n">
        <v>0</v>
      </c>
      <c r="K2012" s="2162" t="n"/>
    </row>
    <row r="2013" outlineLevel="3" ht="15.75" customHeight="1">
      <c r="A2013" s="10" t="n">
        <v>94</v>
      </c>
      <c r="B2013" s="10" t="inlineStr">
        <is>
          <t>Insumo</t>
        </is>
      </c>
      <c r="C2013" s="10" t="inlineStr">
        <is>
          <t>36_DRY 90 mm LV - 4 PLACAS - 14,00cm  -  Lado A: PLACA ST + ST - Lado B: PLACA ST + ST</t>
        </is>
      </c>
      <c r="D2013" s="10" t="inlineStr">
        <is>
          <t>FITA DE PAPEL REFORCADA COM LAMINA DE METAL PARA REFORCO DE CANTOS DE CHAPA DE GESSO PARA DRYWALL</t>
        </is>
      </c>
      <c r="E2013" s="11">
        <f t="array" ref="E2013">_xlfn.XLOOKUP(D2013,Insumos!B:B,Insumos!C:$C)</f>
        <v/>
      </c>
      <c r="F2013" s="14" t="n">
        <v>1.5851</v>
      </c>
      <c r="G2013" s="92">
        <f t="array" ref="G2013">IF(B2013="insumo",_xlfn.XLOOKUP($D2013,Insumos!$B$1:$B$996,Insumos!$D$1:$D$996),"")</f>
        <v/>
      </c>
      <c r="H2013" s="92" t="n">
        <v>4.343174</v>
      </c>
      <c r="I2013" s="2162" t="n">
        <v>0</v>
      </c>
      <c r="J2013" s="2162" t="n">
        <v>0</v>
      </c>
      <c r="K2013" s="2162" t="n"/>
    </row>
    <row r="2014" outlineLevel="3" ht="15.75" customHeight="1">
      <c r="A2014" s="10" t="n">
        <v>97</v>
      </c>
      <c r="B2014" s="10" t="inlineStr">
        <is>
          <t>Insumo</t>
        </is>
      </c>
      <c r="C2014" s="10" t="inlineStr">
        <is>
          <t>36_DRY 90 mm LV - 4 PLACAS - 14,00cm  -  Lado A: PLACA ST + ST - Lado B: PLACA ST + ST</t>
        </is>
      </c>
      <c r="D2014" s="10" t="inlineStr">
        <is>
          <t>PARAFUSO DRY WALL, EM ACO FOSFATIZADO, CABECA TROMBETA E PONTA AGULHA (TA), COMPRIMENTO 25 MM</t>
        </is>
      </c>
      <c r="E2014" s="11">
        <f t="array" ref="E2014">_xlfn.XLOOKUP(D2014,Insumos!B:B,Insumos!C:$C)</f>
        <v/>
      </c>
      <c r="F2014" s="14" t="n">
        <v>20.1868</v>
      </c>
      <c r="G2014" s="92">
        <f t="array" ref="G2014">IF(B2014="insumo",_xlfn.XLOOKUP($D2014,Insumos!$B$1:$B$996,Insumos!$D$1:$D$996),"")</f>
        <v/>
      </c>
      <c r="H2014" s="92" t="n">
        <v>1.816812</v>
      </c>
      <c r="I2014" s="2162" t="n">
        <v>0</v>
      </c>
      <c r="J2014" s="2162" t="n">
        <v>0</v>
      </c>
      <c r="K2014" s="2162" t="n"/>
    </row>
    <row r="2015" outlineLevel="3" ht="15.75" customHeight="1">
      <c r="A2015" s="10" t="n">
        <v>95</v>
      </c>
      <c r="B2015" s="10" t="inlineStr">
        <is>
          <t>Insumo</t>
        </is>
      </c>
      <c r="C2015" s="10" t="inlineStr">
        <is>
          <t>36_DRY 90 mm LV - 4 PLACAS - 14,00cm  -  Lado A: PLACA ST + ST - Lado B: PLACA ST + ST</t>
        </is>
      </c>
      <c r="D2015" s="10" t="inlineStr">
        <is>
          <t>PARAFUSO DRY WALL, EM ACO ZINCADO, CABECA LENTILHA E PONTA BROCA (LB), LARGURA 4,2 MM, COMPRIMENTO 13 MM</t>
        </is>
      </c>
      <c r="E2015" s="11">
        <f t="array" ref="E2015">_xlfn.XLOOKUP(D2015,Insumos!B:B,Insumos!C:$C)</f>
        <v/>
      </c>
      <c r="F2015" s="14" t="n">
        <v>0.5441</v>
      </c>
      <c r="G2015" s="92">
        <f t="array" ref="G2015">IF(B2015="insumo",_xlfn.XLOOKUP($D2015,Insumos!$B$1:$B$996,Insumos!$D$1:$D$996),"")</f>
        <v/>
      </c>
      <c r="H2015" s="92" t="n">
        <v>0.10882</v>
      </c>
      <c r="I2015" s="2162" t="n">
        <v>0</v>
      </c>
      <c r="J2015" s="2162" t="n">
        <v>0</v>
      </c>
      <c r="K2015" s="2162" t="n"/>
    </row>
    <row r="2016" outlineLevel="3" ht="15.75" customHeight="1">
      <c r="A2016" s="10" t="n">
        <v>35</v>
      </c>
      <c r="B2016" s="10" t="inlineStr">
        <is>
          <t>Insumo</t>
        </is>
      </c>
      <c r="C2016" s="10" t="inlineStr">
        <is>
          <t>36_DRY 90 mm LV - 4 PLACAS - 14,00cm  -  Lado A: PLACA ST + ST - Lado B: PLACA ST + ST</t>
        </is>
      </c>
      <c r="D2016" s="10" t="inlineStr">
        <is>
          <t>Lã de pet 50 X 1200 X 12500 MM</t>
        </is>
      </c>
      <c r="E2016" s="11">
        <f t="array" ref="E2016">_xlfn.XLOOKUP(D2016,Insumos!B:B,Insumos!C:$C)</f>
        <v/>
      </c>
      <c r="F2016" s="14" t="n">
        <v>1.1</v>
      </c>
      <c r="G2016" s="92">
        <f t="array" ref="G2016">IF(B2016="insumo",_xlfn.XLOOKUP($D2016,Insumos!$B$1:$B$996,Insumos!$D$1:$D$996),"")</f>
        <v/>
      </c>
      <c r="H2016" s="92" t="n">
        <v>14.3212666666667</v>
      </c>
      <c r="I2016" s="2162" t="n">
        <v>0</v>
      </c>
      <c r="J2016" s="2162" t="n">
        <v>0</v>
      </c>
      <c r="K2016" s="2162" t="n"/>
    </row>
    <row r="2017" outlineLevel="2" ht="15.75" customHeight="1">
      <c r="A2017" s="1067" t="n">
        <v>1</v>
      </c>
      <c r="B2017" s="1067" t="inlineStr">
        <is>
          <t>Serviço</t>
        </is>
      </c>
      <c r="C2017" s="1067" t="inlineStr">
        <is>
          <t>32_DRY 90 mm - 2 PLACAS - 11,50cm  -  Lado A: LÃ P/ CHURRASQUEIRA (CONFIRM. ESP) - Lado B: PLACA RF</t>
        </is>
      </c>
      <c r="D2017" s="1067" t="inlineStr">
        <is>
          <t>32_DRY 90 mm - 2 PLACAS - 11,50cm  -  Lado A: LÃ P/ CHURRASQUEIRA (CONFIRM. ESP) - Lado B: PLACA RF</t>
        </is>
      </c>
      <c r="E2017" s="1068" t="inlineStr">
        <is>
          <t>M2</t>
        </is>
      </c>
      <c r="F2017" s="1067" t="n"/>
      <c r="G2017" s="1069">
        <f t="array" ref="G2017">IF(B2017="insumo",_xlfn.XLOOKUP($D2017,Insumos!$B$1:$B$996,Insumos!$D$1:$D$996),"")</f>
        <v/>
      </c>
      <c r="H2017" s="1069" t="n">
        <v>334.945624618397</v>
      </c>
      <c r="I2017" s="2161" t="n">
        <v>0</v>
      </c>
      <c r="J2017" s="2161" t="n">
        <v>0</v>
      </c>
      <c r="K2017" s="2161" t="n"/>
    </row>
    <row r="2018" outlineLevel="3" ht="15.75" customHeight="1">
      <c r="A2018" s="10" t="n">
        <v>86</v>
      </c>
      <c r="B2018" s="10" t="inlineStr">
        <is>
          <t>Insumo</t>
        </is>
      </c>
      <c r="C2018" s="10" t="inlineStr">
        <is>
          <t>32_DRY 90 mm - 2 PLACAS - 11,50cm  -  Lado A: LÃ P/ CHURRASQUEIRA (CONFIRM. ESP) - Lado B: PLACA RF</t>
        </is>
      </c>
      <c r="D2018" s="10" t="inlineStr">
        <is>
          <t>SERVICO - CONFECCAO SHAFT GESSO</t>
        </is>
      </c>
      <c r="E2018" s="11">
        <f t="array" ref="E2018">_xlfn.XLOOKUP(D2018,Insumos!B:B,Insumos!C:$C)</f>
        <v/>
      </c>
      <c r="F2018" s="14" t="n">
        <v>1</v>
      </c>
      <c r="G2018" s="92">
        <f t="array" ref="G2018">IF(B2018="insumo",_xlfn.XLOOKUP($D2018,Insumos!$B$1:$B$996,Insumos!$D$1:$D$996),"")</f>
        <v/>
      </c>
      <c r="H2018" s="92" t="n">
        <v>70</v>
      </c>
      <c r="I2018" s="2162" t="n">
        <v>0</v>
      </c>
      <c r="J2018" s="2162" t="n">
        <v>0</v>
      </c>
      <c r="K2018" s="2162" t="n"/>
    </row>
    <row r="2019" outlineLevel="3" ht="15.75" customHeight="1">
      <c r="A2019" s="10" t="n">
        <v>3</v>
      </c>
      <c r="B2019" s="10" t="inlineStr">
        <is>
          <t>Insumo</t>
        </is>
      </c>
      <c r="C2019" s="10" t="inlineStr">
        <is>
          <t>32_DRY 90 mm - 2 PLACAS - 11,50cm  -  Lado A: LÃ P/ CHURRASQUEIRA (CONFIRM. ESP) - Lado B: PLACA RF</t>
        </is>
      </c>
      <c r="D2019" s="10" t="inlineStr">
        <is>
          <t>CHAPA DE GESSO PARA DRYWALL PLACO - KNAUF (RF) VERMELHA 12,5MM X 1,20M X 1,80M</t>
        </is>
      </c>
      <c r="E2019" s="11">
        <f t="array" ref="E2019">_xlfn.XLOOKUP(D2019,Insumos!B:B,Insumos!C:$C)</f>
        <v/>
      </c>
      <c r="F2019" s="14" t="n">
        <v>1.1</v>
      </c>
      <c r="G2019" s="92">
        <f t="array" ref="G2019">IF(B2019="insumo",_xlfn.XLOOKUP($D2019,Insumos!$B$1:$B$996,Insumos!$D$1:$D$996),"")</f>
        <v/>
      </c>
      <c r="H2019" s="92" t="n">
        <v>42.0138888888889</v>
      </c>
      <c r="I2019" s="2162" t="n">
        <v>0</v>
      </c>
      <c r="J2019" s="2162" t="n">
        <v>0</v>
      </c>
      <c r="K2019" s="2162" t="n"/>
    </row>
    <row r="2020" outlineLevel="3" ht="15.75" customHeight="1">
      <c r="A2020" s="10" t="n">
        <v>95</v>
      </c>
      <c r="B2020" s="10" t="inlineStr">
        <is>
          <t>Insumo</t>
        </is>
      </c>
      <c r="C2020" s="10" t="inlineStr">
        <is>
          <t>32_DRY 90 mm - 2 PLACAS - 11,50cm  -  Lado A: LÃ P/ CHURRASQUEIRA (CONFIRM. ESP) - Lado B: PLACA RF</t>
        </is>
      </c>
      <c r="D2020" s="10" t="inlineStr">
        <is>
          <t>PINO DE ACO COM ARRUELA CONICA, DIAMETRO ARRUELA = *23* MM E COMP HASTE = *27* MM (ACAO INDIRETA)</t>
        </is>
      </c>
      <c r="E2020" s="11">
        <f t="array" ref="E2020">_xlfn.XLOOKUP(D2020,Insumos!B:B,Insumos!C:$C)</f>
        <v/>
      </c>
      <c r="F2020" s="14" t="n">
        <v>5.92</v>
      </c>
      <c r="G2020" s="92">
        <f t="array" ref="G2020">IF(B2020="insumo",_xlfn.XLOOKUP($D2020,Insumos!$B$1:$B$996,Insumos!$D$1:$D$996),"")</f>
        <v/>
      </c>
      <c r="H2020" s="92" t="n">
        <v>2.98368</v>
      </c>
      <c r="I2020" s="2162" t="n">
        <v>0</v>
      </c>
      <c r="J2020" s="2162" t="n">
        <v>0</v>
      </c>
      <c r="K2020" s="2162" t="n"/>
    </row>
    <row r="2021" outlineLevel="3" ht="15.75" customHeight="1">
      <c r="A2021" s="10" t="n">
        <v>26</v>
      </c>
      <c r="B2021" s="10" t="inlineStr">
        <is>
          <t>Insumo</t>
        </is>
      </c>
      <c r="C2021" s="10" t="inlineStr">
        <is>
          <t>32_DRY 90 mm - 2 PLACAS - 11,50cm  -  Lado A: LÃ P/ CHURRASQUEIRA (CONFIRM. ESP) - Lado B: PLACA RF</t>
        </is>
      </c>
      <c r="D2021" s="10" t="inlineStr">
        <is>
          <t>PERFIL GUIA, FORMATO U, EM ACO ZINCADO, PARA ESTRUTURA PAREDE DRYWALL, E = 0,5 MM, 90 X 3000 MM (L X C)</t>
        </is>
      </c>
      <c r="E2021" s="11">
        <f t="array" ref="E2021">_xlfn.XLOOKUP(D2021,Insumos!B:B,Insumos!C:$C)</f>
        <v/>
      </c>
      <c r="F2021" s="14" t="n">
        <v>1.5248</v>
      </c>
      <c r="G2021" s="92">
        <f t="array" ref="G2021">IF(B2021="insumo",_xlfn.XLOOKUP($D2021,Insumos!$B$1:$B$996,Insumos!$D$1:$D$996),"")</f>
        <v/>
      </c>
      <c r="H2021" s="92" t="n">
        <v>13.174272</v>
      </c>
      <c r="I2021" s="2162" t="n">
        <v>0</v>
      </c>
      <c r="J2021" s="2162" t="n">
        <v>0</v>
      </c>
      <c r="K2021" s="2162" t="n"/>
    </row>
    <row r="2022" outlineLevel="3" ht="15.75" customHeight="1">
      <c r="A2022" s="10" t="n">
        <v>26</v>
      </c>
      <c r="B2022" s="10" t="inlineStr">
        <is>
          <t>Insumo</t>
        </is>
      </c>
      <c r="C2022" s="10" t="inlineStr">
        <is>
          <t>32_DRY 90 mm - 2 PLACAS - 11,50cm  -  Lado A: LÃ P/ CHURRASQUEIRA (CONFIRM. ESP) - Lado B: PLACA RF</t>
        </is>
      </c>
      <c r="D2022" s="10" t="inlineStr">
        <is>
          <t>PERFIL MONTANTE, FORMATO C, EM ACO ZINCADO, PARA ESTRUTURA PAREDE DRYWALL, E = 0,5 MM, 90 X 3000 MM (L X C)</t>
        </is>
      </c>
      <c r="E2022" s="11">
        <f t="array" ref="E2022">_xlfn.XLOOKUP(D2022,Insumos!B:B,Insumos!C:$C)</f>
        <v/>
      </c>
      <c r="F2022" s="14" t="n">
        <v>4.0011</v>
      </c>
      <c r="G2022" s="92">
        <f t="array" ref="G2022">IF(B2022="insumo",_xlfn.XLOOKUP($D2022,Insumos!$B$1:$B$996,Insumos!$D$1:$D$996),"")</f>
        <v/>
      </c>
      <c r="H2022" s="92" t="n">
        <v>72.37989899999999</v>
      </c>
      <c r="I2022" s="2162" t="n">
        <v>0</v>
      </c>
      <c r="J2022" s="2162" t="n">
        <v>0</v>
      </c>
      <c r="K2022" s="2162" t="n"/>
    </row>
    <row r="2023" outlineLevel="3" ht="15.75" customHeight="1">
      <c r="A2023" s="10" t="n">
        <v>95</v>
      </c>
      <c r="B2023" s="10" t="inlineStr">
        <is>
          <t>Insumo</t>
        </is>
      </c>
      <c r="C2023" s="10" t="inlineStr">
        <is>
          <t>32_DRY 90 mm - 2 PLACAS - 11,50cm  -  Lado A: LÃ P/ CHURRASQUEIRA (CONFIRM. ESP) - Lado B: PLACA RF</t>
        </is>
      </c>
      <c r="D2023" s="10" t="inlineStr">
        <is>
          <t>MASSA DE REJUNTE EM PO PARA DRYWALL, A BASE DE GESSO, SECAGEM RAPIDA, PARA TRATAMENTO DE JUNTAS DE CHAPA DE GESSO (NECESSITA ADICAO DE AGUA)</t>
        </is>
      </c>
      <c r="E2023" s="11">
        <f t="array" ref="E2023">_xlfn.XLOOKUP(D2023,Insumos!B:B,Insumos!C:$C)</f>
        <v/>
      </c>
      <c r="F2023" s="14">
        <f>1.0978/2</f>
        <v/>
      </c>
      <c r="G2023" s="92">
        <f t="array" ref="G2023">IF(B2023="insumo",_xlfn.XLOOKUP($D2023,Insumos!$B$1:$B$996,Insumos!$D$1:$D$996),"")</f>
        <v/>
      </c>
      <c r="H2023" s="92" t="n">
        <v>1.882727</v>
      </c>
      <c r="I2023" s="2162" t="n">
        <v>0</v>
      </c>
      <c r="J2023" s="2162" t="n">
        <v>0</v>
      </c>
      <c r="K2023" s="2162" t="n"/>
    </row>
    <row r="2024" outlineLevel="3" ht="15.75" customHeight="1">
      <c r="A2024" s="10" t="n">
        <v>94</v>
      </c>
      <c r="B2024" s="10" t="inlineStr">
        <is>
          <t>Insumo</t>
        </is>
      </c>
      <c r="C2024" s="10" t="inlineStr">
        <is>
          <t>32_DRY 90 mm - 2 PLACAS - 11,50cm  -  Lado A: LÃ P/ CHURRASQUEIRA (CONFIRM. ESP) - Lado B: PLACA RF</t>
        </is>
      </c>
      <c r="D2024" s="10" t="inlineStr">
        <is>
          <t>FITA DE PAPEL MICROPERFURADO, 50 X 150 MM, PARA TRATAMENTO DE JUNTAS DE CHAPA DE GESSO PARA DRYWALL</t>
        </is>
      </c>
      <c r="E2024" s="11">
        <f t="array" ref="E2024">_xlfn.XLOOKUP(D2024,Insumos!B:B,Insumos!C:$C)</f>
        <v/>
      </c>
      <c r="F2024" s="14">
        <f>2.5027/2</f>
        <v/>
      </c>
      <c r="G2024" s="92">
        <f t="array" ref="G2024">IF(B2024="insumo",_xlfn.XLOOKUP($D2024,Insumos!$B$1:$B$996,Insumos!$D$1:$D$996),"")</f>
        <v/>
      </c>
      <c r="H2024" s="92" t="n">
        <v>0.3879185</v>
      </c>
      <c r="I2024" s="2162" t="n">
        <v>0</v>
      </c>
      <c r="J2024" s="2162" t="n">
        <v>0</v>
      </c>
      <c r="K2024" s="2162" t="n"/>
    </row>
    <row r="2025" outlineLevel="3" ht="15.75" customHeight="1">
      <c r="A2025" s="10" t="n">
        <v>94</v>
      </c>
      <c r="B2025" s="10" t="inlineStr">
        <is>
          <t>Insumo</t>
        </is>
      </c>
      <c r="C2025" s="10" t="inlineStr">
        <is>
          <t>32_DRY 90 mm - 2 PLACAS - 11,50cm  -  Lado A: LÃ P/ CHURRASQUEIRA (CONFIRM. ESP) - Lado B: PLACA RF</t>
        </is>
      </c>
      <c r="D2025" s="10" t="inlineStr">
        <is>
          <t>FITA DE PAPEL REFORCADA COM LAMINA DE METAL PARA REFORCO DE CANTOS DE CHAPA DE GESSO PARA DRYWALL</t>
        </is>
      </c>
      <c r="E2025" s="11">
        <f t="array" ref="E2025">_xlfn.XLOOKUP(D2025,Insumos!B:B,Insumos!C:$C)</f>
        <v/>
      </c>
      <c r="F2025" s="14">
        <f>1.5851/2</f>
        <v/>
      </c>
      <c r="G2025" s="92">
        <f t="array" ref="G2025">IF(B2025="insumo",_xlfn.XLOOKUP($D2025,Insumos!$B$1:$B$996,Insumos!$D$1:$D$996),"")</f>
        <v/>
      </c>
      <c r="H2025" s="92" t="n">
        <v>2.171587</v>
      </c>
      <c r="I2025" s="2162" t="n">
        <v>0</v>
      </c>
      <c r="J2025" s="2162" t="n">
        <v>0</v>
      </c>
      <c r="K2025" s="2162" t="n"/>
    </row>
    <row r="2026" outlineLevel="3" ht="15.75" customHeight="1">
      <c r="A2026" s="10" t="n">
        <v>97</v>
      </c>
      <c r="B2026" s="10" t="inlineStr">
        <is>
          <t>Insumo</t>
        </is>
      </c>
      <c r="C2026" s="10" t="inlineStr">
        <is>
          <t>32_DRY 90 mm - 2 PLACAS - 11,50cm  -  Lado A: LÃ P/ CHURRASQUEIRA (CONFIRM. ESP) - Lado B: PLACA RF</t>
        </is>
      </c>
      <c r="D2026" s="10" t="inlineStr">
        <is>
          <t>PARAFUSO DRY WALL, EM ACO FOSFATIZADO, CABECA TROMBETA E PONTA AGULHA (TA), COMPRIMENTO 25 MM</t>
        </is>
      </c>
      <c r="E2026" s="11">
        <f t="array" ref="E2026">_xlfn.XLOOKUP(D2026,Insumos!B:B,Insumos!C:$C)</f>
        <v/>
      </c>
      <c r="F2026" s="14">
        <f>20.1868/2</f>
        <v/>
      </c>
      <c r="G2026" s="92">
        <f t="array" ref="G2026">IF(B2026="insumo",_xlfn.XLOOKUP($D2026,Insumos!$B$1:$B$996,Insumos!$D$1:$D$996),"")</f>
        <v/>
      </c>
      <c r="H2026" s="92" t="n">
        <v>0.908406</v>
      </c>
      <c r="I2026" s="2162" t="n">
        <v>0</v>
      </c>
      <c r="J2026" s="2162" t="n">
        <v>0</v>
      </c>
      <c r="K2026" s="2162" t="n"/>
    </row>
    <row r="2027" outlineLevel="3" ht="15.75" customHeight="1">
      <c r="A2027" s="10" t="n">
        <v>95</v>
      </c>
      <c r="B2027" s="10" t="inlineStr">
        <is>
          <t>Insumo</t>
        </is>
      </c>
      <c r="C2027" s="10" t="inlineStr">
        <is>
          <t>32_DRY 90 mm - 2 PLACAS - 11,50cm  -  Lado A: LÃ P/ CHURRASQUEIRA (CONFIRM. ESP) - Lado B: PLACA RF</t>
        </is>
      </c>
      <c r="D2027" s="10" t="inlineStr">
        <is>
          <t>PARAFUSO DRY WALL, EM ACO ZINCADO, CABECA LENTILHA E PONTA BROCA (LB), LARGURA 4,2 MM, COMPRIMENTO 13 MM</t>
        </is>
      </c>
      <c r="E2027" s="11">
        <f t="array" ref="E2027">_xlfn.XLOOKUP(D2027,Insumos!B:B,Insumos!C:$C)</f>
        <v/>
      </c>
      <c r="F2027" s="14" t="n">
        <v>0.5441</v>
      </c>
      <c r="G2027" s="92">
        <f t="array" ref="G2027">IF(B2027="insumo",_xlfn.XLOOKUP($D2027,Insumos!$B$1:$B$996,Insumos!$D$1:$D$996),"")</f>
        <v/>
      </c>
      <c r="H2027" s="92" t="n">
        <v>0.10882</v>
      </c>
      <c r="I2027" s="2162" t="n">
        <v>0</v>
      </c>
      <c r="J2027" s="2162" t="n">
        <v>0</v>
      </c>
      <c r="K2027" s="2162" t="n"/>
    </row>
    <row r="2028" outlineLevel="3" ht="15.75" customHeight="1">
      <c r="A2028" s="10" t="n">
        <v>1</v>
      </c>
      <c r="B2028" s="10" t="inlineStr">
        <is>
          <t>Insumo</t>
        </is>
      </c>
      <c r="C2028" s="10" t="inlineStr">
        <is>
          <t>32_DRY 90 mm - 2 PLACAS - 11,50cm  -  Lado A: LÃ P/ CHURRASQUEIRA (CONFIRM. ESP) - Lado B: PLACA RF</t>
        </is>
      </c>
      <c r="D2028" s="10" t="inlineStr">
        <is>
          <t>Manta Fibra Cerâmica Alta Temperatura Tapcamp 2000 X 610 X 25 Mm</t>
        </is>
      </c>
      <c r="E2028" s="11">
        <f t="array" ref="E2028">_xlfn.XLOOKUP(D2028,Insumos!B:B,Insumos!C:$C)</f>
        <v/>
      </c>
      <c r="F2028" s="14" t="n">
        <v>1.1</v>
      </c>
      <c r="G2028" s="92">
        <f t="array" ref="G2028">IF(B2028="insumo",_xlfn.XLOOKUP($D2028,Insumos!$B$1:$B$996,Insumos!$D$1:$D$996),"")</f>
        <v/>
      </c>
      <c r="H2028" s="92" t="n">
        <v>128.934426229508</v>
      </c>
      <c r="I2028" s="2162" t="n">
        <v>0</v>
      </c>
      <c r="J2028" s="2162" t="n">
        <v>0</v>
      </c>
      <c r="K2028" s="2162" t="n"/>
    </row>
    <row r="2029" outlineLevel="2" ht="15.75" customHeight="1">
      <c r="A2029" s="1067" t="n">
        <v>1</v>
      </c>
      <c r="B2029" s="1067" t="inlineStr">
        <is>
          <t>Serviço</t>
        </is>
      </c>
      <c r="C2029" s="1067" t="inlineStr">
        <is>
          <t>37_DRY 140 mm LV - 2 PLACAS - 16,50cm  -  Lado A: PLACA PERFORMANCE RU - Lado B: PLACA PERFORMANCE RU</t>
        </is>
      </c>
      <c r="D2029" s="1067" t="inlineStr">
        <is>
          <t>37_DRY 140 mm LV - 2 PLACAS - 16,50cm  -  Lado A: PLACA PERFORMANCE RU - Lado B: PLACA PERFORMANCE RU</t>
        </is>
      </c>
      <c r="E2029" s="1068" t="inlineStr">
        <is>
          <t>M2</t>
        </is>
      </c>
      <c r="F2029" s="1067" t="n"/>
      <c r="G2029" s="1069">
        <f t="array" ref="G2029">IF(B2029="insumo",_xlfn.XLOOKUP($D2029,Insumos!$B$1:$B$996,Insumos!$D$1:$D$996),"")</f>
        <v/>
      </c>
      <c r="H2029" s="1069" t="n">
        <v>241.795215666667</v>
      </c>
      <c r="I2029" s="2161" t="n">
        <v>0</v>
      </c>
      <c r="J2029" s="2161" t="n">
        <v>0</v>
      </c>
      <c r="K2029" s="2161" t="n"/>
    </row>
    <row r="2030" outlineLevel="3" ht="15.75" customHeight="1">
      <c r="A2030" s="10" t="n">
        <v>86</v>
      </c>
      <c r="B2030" s="10" t="inlineStr">
        <is>
          <t>Insumo</t>
        </is>
      </c>
      <c r="C2030" s="10" t="inlineStr">
        <is>
          <t>37_DRY 140 mm LV - 2 PLACAS - 16,50cm  -  Lado A: PLACA PERFORMANCE RU - Lado B: PLACA PERFORMANCE RU</t>
        </is>
      </c>
      <c r="D2030" s="10" t="inlineStr">
        <is>
          <t>SERVICO - CONFECCAO SHAFT GESSO</t>
        </is>
      </c>
      <c r="E2030" s="11">
        <f t="array" ref="E2030">_xlfn.XLOOKUP(D2030,Insumos!B:B,Insumos!C:$C)</f>
        <v/>
      </c>
      <c r="F2030" s="14" t="n">
        <v>1</v>
      </c>
      <c r="G2030" s="92">
        <f t="array" ref="G2030">IF(B2030="insumo",_xlfn.XLOOKUP($D2030,Insumos!$B$1:$B$996,Insumos!$D$1:$D$996),"")</f>
        <v/>
      </c>
      <c r="H2030" s="92" t="n">
        <v>70</v>
      </c>
      <c r="I2030" s="2162" t="n">
        <v>0</v>
      </c>
      <c r="J2030" s="2162" t="n">
        <v>0</v>
      </c>
      <c r="K2030" s="2162" t="n"/>
    </row>
    <row r="2031" outlineLevel="3" ht="15.75" customHeight="1">
      <c r="A2031" s="10" t="n">
        <v>49</v>
      </c>
      <c r="B2031" s="10" t="inlineStr">
        <is>
          <t>Insumo</t>
        </is>
      </c>
      <c r="C2031" s="10" t="inlineStr">
        <is>
          <t>37_DRY 140 mm LV - 2 PLACAS - 16,50cm  -  Lado A: PLACA PERFORMANCE RU - Lado B: PLACA PERFORMANCE RU</t>
        </is>
      </c>
      <c r="D2031" s="10" t="inlineStr">
        <is>
          <t>PLACA / CHAPA DE GESSO ACARTONADO, RESISTENTE A UMIDADE (RU), COR VERDE, E = 12,5 MM, 1200 X 2400 MM (L X C)</t>
        </is>
      </c>
      <c r="E2031" s="11">
        <f t="array" ref="E2031">_xlfn.XLOOKUP(D2031,Insumos!B:B,Insumos!C:$C)</f>
        <v/>
      </c>
      <c r="F2031" s="14" t="n">
        <v>2.106</v>
      </c>
      <c r="G2031" s="92">
        <f t="array" ref="G2031">IF(B2031="insumo",_xlfn.XLOOKUP($D2031,Insumos!$B$1:$B$996,Insumos!$D$1:$D$996),"")</f>
        <v/>
      </c>
      <c r="H2031" s="92" t="n">
        <v>57.0726</v>
      </c>
      <c r="I2031" s="2162" t="n">
        <v>0</v>
      </c>
      <c r="J2031" s="2162" t="n">
        <v>0</v>
      </c>
      <c r="K2031" s="2162" t="n"/>
    </row>
    <row r="2032" outlineLevel="3" ht="15.75" customHeight="1">
      <c r="A2032" s="10" t="n">
        <v>95</v>
      </c>
      <c r="B2032" s="10" t="inlineStr">
        <is>
          <t>Insumo</t>
        </is>
      </c>
      <c r="C2032" s="10" t="inlineStr">
        <is>
          <t>37_DRY 140 mm LV - 2 PLACAS - 16,50cm  -  Lado A: PLACA PERFORMANCE RU - Lado B: PLACA PERFORMANCE RU</t>
        </is>
      </c>
      <c r="D2032" s="10" t="inlineStr">
        <is>
          <t>PINO DE ACO COM ARRUELA CONICA, DIAMETRO ARRUELA = *23* MM E COMP HASTE = *27* MM (ACAO INDIRETA)</t>
        </is>
      </c>
      <c r="E2032" s="11">
        <f t="array" ref="E2032">_xlfn.XLOOKUP(D2032,Insumos!B:B,Insumos!C:$C)</f>
        <v/>
      </c>
      <c r="F2032" s="14" t="n">
        <v>5.92</v>
      </c>
      <c r="G2032" s="92">
        <f t="array" ref="G2032">IF(B2032="insumo",_xlfn.XLOOKUP($D2032,Insumos!$B$1:$B$996,Insumos!$D$1:$D$996),"")</f>
        <v/>
      </c>
      <c r="H2032" s="92" t="n">
        <v>2.98368</v>
      </c>
      <c r="I2032" s="2162" t="n">
        <v>0</v>
      </c>
      <c r="J2032" s="2162" t="n">
        <v>0</v>
      </c>
      <c r="K2032" s="2162" t="n"/>
    </row>
    <row r="2033" outlineLevel="3" ht="15.75" customHeight="1">
      <c r="A2033" s="10" t="n">
        <v>43</v>
      </c>
      <c r="B2033" s="10" t="inlineStr">
        <is>
          <t>Insumo</t>
        </is>
      </c>
      <c r="C2033" s="10" t="inlineStr">
        <is>
          <t>37_DRY 140 mm LV - 2 PLACAS - 16,50cm  -  Lado A: PLACA PERFORMANCE RU - Lado B: PLACA PERFORMANCE RU</t>
        </is>
      </c>
      <c r="D2033" s="10" t="inlineStr">
        <is>
          <t>PERFIL GUIA, FORMATO U, EM ACO ZINCADO, PARA ESTRUTURA PAREDE DRYWALL, E = 0,5 MM, 70 X 3000 MM (L X C)</t>
        </is>
      </c>
      <c r="E2033" s="11">
        <f t="array" ref="E2033">_xlfn.XLOOKUP(D2033,Insumos!B:B,Insumos!C:$C)</f>
        <v/>
      </c>
      <c r="F2033" s="14">
        <f>1.5248*2</f>
        <v/>
      </c>
      <c r="G2033" s="92">
        <f t="array" ref="G2033">IF(B2033="insumo",_xlfn.XLOOKUP($D2033,Insumos!$B$1:$B$996,Insumos!$D$1:$D$996),"")</f>
        <v/>
      </c>
      <c r="H2033" s="92" t="n">
        <v>22.750016</v>
      </c>
      <c r="I2033" s="2162" t="n">
        <v>0</v>
      </c>
      <c r="J2033" s="2162" t="n">
        <v>0</v>
      </c>
      <c r="K2033" s="2162" t="n"/>
    </row>
    <row r="2034" outlineLevel="3" ht="15.75" customHeight="1">
      <c r="A2034" s="10" t="n">
        <v>43</v>
      </c>
      <c r="B2034" s="10" t="inlineStr">
        <is>
          <t>Insumo</t>
        </is>
      </c>
      <c r="C2034" s="10" t="inlineStr">
        <is>
          <t>37_DRY 140 mm LV - 2 PLACAS - 16,50cm  -  Lado A: PLACA PERFORMANCE RU - Lado B: PLACA PERFORMANCE RU</t>
        </is>
      </c>
      <c r="D2034" s="10" t="inlineStr">
        <is>
          <t>PERFIL MONTANTE, FORMATO C, EM ACO ZINCADO, PARA ESTRUTURA PAREDE DRYWALL, E = 0,5 MM, 70 X 3000 MM (L X C)</t>
        </is>
      </c>
      <c r="E2034" s="11">
        <f t="array" ref="E2034">_xlfn.XLOOKUP(D2034,Insumos!B:B,Insumos!C:$C)</f>
        <v/>
      </c>
      <c r="F2034" s="14">
        <f>4.0011*2</f>
        <v/>
      </c>
      <c r="G2034" s="92">
        <f t="array" ref="G2034">IF(B2034="insumo",_xlfn.XLOOKUP($D2034,Insumos!$B$1:$B$996,Insumos!$D$1:$D$996),"")</f>
        <v/>
      </c>
      <c r="H2034" s="92" t="n">
        <v>63.857556</v>
      </c>
      <c r="I2034" s="2162" t="n">
        <v>0</v>
      </c>
      <c r="J2034" s="2162" t="n">
        <v>0</v>
      </c>
      <c r="K2034" s="2162" t="n"/>
    </row>
    <row r="2035" outlineLevel="3" ht="15.75" customHeight="1">
      <c r="A2035" s="10" t="n">
        <v>95</v>
      </c>
      <c r="B2035" s="10" t="inlineStr">
        <is>
          <t>Insumo</t>
        </is>
      </c>
      <c r="C2035" s="10" t="inlineStr">
        <is>
          <t>37_DRY 140 mm LV - 2 PLACAS - 16,50cm  -  Lado A: PLACA PERFORMANCE RU - Lado B: PLACA PERFORMANCE RU</t>
        </is>
      </c>
      <c r="D2035" s="10" t="inlineStr">
        <is>
          <t>MASSA DE REJUNTE EM PO PARA DRYWALL, A BASE DE GESSO, SECAGEM RAPIDA, PARA TRATAMENTO DE JUNTAS DE CHAPA DE GESSO (NECESSITA ADICAO DE AGUA)</t>
        </is>
      </c>
      <c r="E2035" s="11">
        <f t="array" ref="E2035">_xlfn.XLOOKUP(D2035,Insumos!B:B,Insumos!C:$C)</f>
        <v/>
      </c>
      <c r="F2035" s="14" t="n">
        <v>1.0978</v>
      </c>
      <c r="G2035" s="92">
        <f t="array" ref="G2035">IF(B2035="insumo",_xlfn.XLOOKUP($D2035,Insumos!$B$1:$B$996,Insumos!$D$1:$D$996),"")</f>
        <v/>
      </c>
      <c r="H2035" s="92" t="n">
        <v>3.765454</v>
      </c>
      <c r="I2035" s="2162" t="n">
        <v>0</v>
      </c>
      <c r="J2035" s="2162" t="n">
        <v>0</v>
      </c>
      <c r="K2035" s="2162" t="n"/>
    </row>
    <row r="2036" outlineLevel="3" ht="15.75" customHeight="1">
      <c r="A2036" s="10" t="n">
        <v>94</v>
      </c>
      <c r="B2036" s="10" t="inlineStr">
        <is>
          <t>Insumo</t>
        </is>
      </c>
      <c r="C2036" s="10" t="inlineStr">
        <is>
          <t>37_DRY 140 mm LV - 2 PLACAS - 16,50cm  -  Lado A: PLACA PERFORMANCE RU - Lado B: PLACA PERFORMANCE RU</t>
        </is>
      </c>
      <c r="D2036" s="10" t="inlineStr">
        <is>
          <t>FITA DE PAPEL MICROPERFURADO, 50 X 150 MM, PARA TRATAMENTO DE JUNTAS DE CHAPA DE GESSO PARA DRYWALL</t>
        </is>
      </c>
      <c r="E2036" s="11">
        <f t="array" ref="E2036">_xlfn.XLOOKUP(D2036,Insumos!B:B,Insumos!C:$C)</f>
        <v/>
      </c>
      <c r="F2036" s="14" t="n">
        <v>2.5027</v>
      </c>
      <c r="G2036" s="92">
        <f t="array" ref="G2036">IF(B2036="insumo",_xlfn.XLOOKUP($D2036,Insumos!$B$1:$B$996,Insumos!$D$1:$D$996),"")</f>
        <v/>
      </c>
      <c r="H2036" s="92" t="n">
        <v>0.775837</v>
      </c>
      <c r="I2036" s="2162" t="n">
        <v>0</v>
      </c>
      <c r="J2036" s="2162" t="n">
        <v>0</v>
      </c>
      <c r="K2036" s="2162" t="n"/>
    </row>
    <row r="2037" outlineLevel="3" ht="15.75" customHeight="1">
      <c r="A2037" s="10" t="n">
        <v>94</v>
      </c>
      <c r="B2037" s="10" t="inlineStr">
        <is>
          <t>Insumo</t>
        </is>
      </c>
      <c r="C2037" s="10" t="inlineStr">
        <is>
          <t>37_DRY 140 mm LV - 2 PLACAS - 16,50cm  -  Lado A: PLACA PERFORMANCE RU - Lado B: PLACA PERFORMANCE RU</t>
        </is>
      </c>
      <c r="D2037" s="10" t="inlineStr">
        <is>
          <t>FITA DE PAPEL REFORCADA COM LAMINA DE METAL PARA REFORCO DE CANTOS DE CHAPA DE GESSO PARA DRYWALL</t>
        </is>
      </c>
      <c r="E2037" s="11">
        <f t="array" ref="E2037">_xlfn.XLOOKUP(D2037,Insumos!B:B,Insumos!C:$C)</f>
        <v/>
      </c>
      <c r="F2037" s="14" t="n">
        <v>1.5851</v>
      </c>
      <c r="G2037" s="92">
        <f t="array" ref="G2037">IF(B2037="insumo",_xlfn.XLOOKUP($D2037,Insumos!$B$1:$B$996,Insumos!$D$1:$D$996),"")</f>
        <v/>
      </c>
      <c r="H2037" s="92" t="n">
        <v>4.343174</v>
      </c>
      <c r="I2037" s="2162" t="n">
        <v>0</v>
      </c>
      <c r="J2037" s="2162" t="n">
        <v>0</v>
      </c>
      <c r="K2037" s="2162" t="n"/>
    </row>
    <row r="2038" outlineLevel="3" ht="15.75" customHeight="1">
      <c r="A2038" s="10" t="n">
        <v>97</v>
      </c>
      <c r="B2038" s="10" t="inlineStr">
        <is>
          <t>Insumo</t>
        </is>
      </c>
      <c r="C2038" s="10" t="inlineStr">
        <is>
          <t>37_DRY 140 mm LV - 2 PLACAS - 16,50cm  -  Lado A: PLACA PERFORMANCE RU - Lado B: PLACA PERFORMANCE RU</t>
        </is>
      </c>
      <c r="D2038" s="10" t="inlineStr">
        <is>
          <t>PARAFUSO DRY WALL, EM ACO FOSFATIZADO, CABECA TROMBETA E PONTA AGULHA (TA), COMPRIMENTO 25 MM</t>
        </is>
      </c>
      <c r="E2038" s="11">
        <f t="array" ref="E2038">_xlfn.XLOOKUP(D2038,Insumos!B:B,Insumos!C:$C)</f>
        <v/>
      </c>
      <c r="F2038" s="14" t="n">
        <v>20.1868</v>
      </c>
      <c r="G2038" s="92">
        <f t="array" ref="G2038">IF(B2038="insumo",_xlfn.XLOOKUP($D2038,Insumos!$B$1:$B$996,Insumos!$D$1:$D$996),"")</f>
        <v/>
      </c>
      <c r="H2038" s="92" t="n">
        <v>1.816812</v>
      </c>
      <c r="I2038" s="2162" t="n">
        <v>0</v>
      </c>
      <c r="J2038" s="2162" t="n">
        <v>0</v>
      </c>
      <c r="K2038" s="2162" t="n"/>
    </row>
    <row r="2039" outlineLevel="3" ht="15.75" customHeight="1">
      <c r="A2039" s="10" t="n">
        <v>95</v>
      </c>
      <c r="B2039" s="10" t="inlineStr">
        <is>
          <t>Insumo</t>
        </is>
      </c>
      <c r="C2039" s="10" t="inlineStr">
        <is>
          <t>37_DRY 140 mm LV - 2 PLACAS - 16,50cm  -  Lado A: PLACA PERFORMANCE RU - Lado B: PLACA PERFORMANCE RU</t>
        </is>
      </c>
      <c r="D2039" s="10" t="inlineStr">
        <is>
          <t>PARAFUSO DRY WALL, EM ACO ZINCADO, CABECA LENTILHA E PONTA BROCA (LB), LARGURA 4,2 MM, COMPRIMENTO 13 MM</t>
        </is>
      </c>
      <c r="E2039" s="11">
        <f t="array" ref="E2039">_xlfn.XLOOKUP(D2039,Insumos!B:B,Insumos!C:$C)</f>
        <v/>
      </c>
      <c r="F2039" s="14" t="n">
        <v>0.5441</v>
      </c>
      <c r="G2039" s="92">
        <f t="array" ref="G2039">IF(B2039="insumo",_xlfn.XLOOKUP($D2039,Insumos!$B$1:$B$996,Insumos!$D$1:$D$996),"")</f>
        <v/>
      </c>
      <c r="H2039" s="92" t="n">
        <v>0.10882</v>
      </c>
      <c r="I2039" s="2162" t="n">
        <v>0</v>
      </c>
      <c r="J2039" s="2162" t="n">
        <v>0</v>
      </c>
      <c r="K2039" s="2162" t="n"/>
    </row>
    <row r="2040" outlineLevel="3" ht="15.75" customHeight="1">
      <c r="A2040" s="10" t="n">
        <v>35</v>
      </c>
      <c r="B2040" s="10" t="inlineStr">
        <is>
          <t>Insumo</t>
        </is>
      </c>
      <c r="C2040" s="10" t="inlineStr">
        <is>
          <t>37_DRY 140 mm LV - 2 PLACAS - 16,50cm  -  Lado A: PLACA PERFORMANCE RU - Lado B: PLACA PERFORMANCE RU</t>
        </is>
      </c>
      <c r="D2040" s="10" t="inlineStr">
        <is>
          <t>Lã de pet 50 X 1200 X 12500 MM</t>
        </is>
      </c>
      <c r="E2040" s="11">
        <f t="array" ref="E2040">_xlfn.XLOOKUP(D2040,Insumos!B:B,Insumos!C:$C)</f>
        <v/>
      </c>
      <c r="F2040" s="14" t="n">
        <v>1.1</v>
      </c>
      <c r="G2040" s="92">
        <f t="array" ref="G2040">IF(B2040="insumo",_xlfn.XLOOKUP($D2040,Insumos!$B$1:$B$996,Insumos!$D$1:$D$996),"")</f>
        <v/>
      </c>
      <c r="H2040" s="92" t="n">
        <v>14.3212666666667</v>
      </c>
      <c r="I2040" s="2162" t="n">
        <v>0</v>
      </c>
      <c r="J2040" s="2162" t="n">
        <v>0</v>
      </c>
      <c r="K2040" s="2162" t="n"/>
    </row>
    <row r="2041" outlineLevel="2" ht="15.75" customHeight="1">
      <c r="A2041" s="1067" t="n">
        <v>1</v>
      </c>
      <c r="B2041" s="1067" t="inlineStr">
        <is>
          <t>Serviço</t>
        </is>
      </c>
      <c r="C2041" s="1067" t="inlineStr">
        <is>
          <t>37_DRY 140 mm LV - 2 PLACAS - 16,50cm  -  Lado A: PLACA PERFORMANCE RU - Lado B: PLACA RU</t>
        </is>
      </c>
      <c r="D2041" s="1067" t="inlineStr">
        <is>
          <t>37_DRY 140 mm LV - 2 PLACAS - 16,50cm  -  Lado A: PLACA PERFORMANCE RU - Lado B: PLACA RU</t>
        </is>
      </c>
      <c r="E2041" s="1068" t="inlineStr">
        <is>
          <t>M2</t>
        </is>
      </c>
      <c r="F2041" s="1067" t="n"/>
      <c r="G2041" s="1069">
        <f t="array" ref="G2041">IF(B2041="insumo",_xlfn.XLOOKUP($D2041,Insumos!$B$1:$B$996,Insumos!$D$1:$D$996),"")</f>
        <v/>
      </c>
      <c r="H2041" s="1069" t="n">
        <v>241.795215666667</v>
      </c>
      <c r="I2041" s="2161" t="n">
        <v>0</v>
      </c>
      <c r="J2041" s="2161" t="n">
        <v>0</v>
      </c>
      <c r="K2041" s="2161" t="n"/>
    </row>
    <row r="2042" outlineLevel="3" ht="15.75" customHeight="1">
      <c r="A2042" s="10" t="n">
        <v>86</v>
      </c>
      <c r="B2042" s="10" t="inlineStr">
        <is>
          <t>Insumo</t>
        </is>
      </c>
      <c r="C2042" s="10" t="inlineStr">
        <is>
          <t>37_DRY 140 mm LV - 2 PLACAS - 16,50cm  -  Lado A: PLACA PERFORMANCE RU - Lado B: PLACA RU</t>
        </is>
      </c>
      <c r="D2042" s="10" t="inlineStr">
        <is>
          <t>SERVICO - CONFECCAO SHAFT GESSO</t>
        </is>
      </c>
      <c r="E2042" s="11">
        <f t="array" ref="E2042">_xlfn.XLOOKUP(D2042,Insumos!B:B,Insumos!C:$C)</f>
        <v/>
      </c>
      <c r="F2042" s="14" t="n">
        <v>1</v>
      </c>
      <c r="G2042" s="92">
        <f t="array" ref="G2042">IF(B2042="insumo",_xlfn.XLOOKUP($D2042,Insumos!$B$1:$B$996,Insumos!$D$1:$D$996),"")</f>
        <v/>
      </c>
      <c r="H2042" s="92" t="n">
        <v>70</v>
      </c>
      <c r="I2042" s="2162" t="n">
        <v>0</v>
      </c>
      <c r="J2042" s="2162" t="n">
        <v>0</v>
      </c>
      <c r="K2042" s="2162" t="n"/>
    </row>
    <row r="2043" outlineLevel="3" ht="15.75" customHeight="1">
      <c r="A2043" s="10" t="n">
        <v>49</v>
      </c>
      <c r="B2043" s="10" t="inlineStr">
        <is>
          <t>Insumo</t>
        </is>
      </c>
      <c r="C2043" s="10" t="inlineStr">
        <is>
          <t>37_DRY 140 mm LV - 2 PLACAS - 16,50cm  -  Lado A: PLACA PERFORMANCE RU - Lado B: PLACA RU</t>
        </is>
      </c>
      <c r="D2043" s="10" t="inlineStr">
        <is>
          <t>PLACA / CHAPA DE GESSO ACARTONADO, RESISTENTE A UMIDADE (RU), COR VERDE, E = 12,5 MM, 1200 X 2400 MM (L X C)</t>
        </is>
      </c>
      <c r="E2043" s="11">
        <f t="array" ref="E2043">_xlfn.XLOOKUP(D2043,Insumos!B:B,Insumos!C:$C)</f>
        <v/>
      </c>
      <c r="F2043" s="14" t="n">
        <v>2.106</v>
      </c>
      <c r="G2043" s="92">
        <f t="array" ref="G2043">IF(B2043="insumo",_xlfn.XLOOKUP($D2043,Insumos!$B$1:$B$996,Insumos!$D$1:$D$996),"")</f>
        <v/>
      </c>
      <c r="H2043" s="92" t="n">
        <v>57.0726</v>
      </c>
      <c r="I2043" s="2162" t="n">
        <v>0</v>
      </c>
      <c r="J2043" s="2162" t="n">
        <v>0</v>
      </c>
      <c r="K2043" s="2162" t="n"/>
    </row>
    <row r="2044" outlineLevel="3" ht="15.75" customHeight="1">
      <c r="A2044" s="10" t="n">
        <v>95</v>
      </c>
      <c r="B2044" s="10" t="inlineStr">
        <is>
          <t>Insumo</t>
        </is>
      </c>
      <c r="C2044" s="10" t="inlineStr">
        <is>
          <t>37_DRY 140 mm LV - 2 PLACAS - 16,50cm  -  Lado A: PLACA PERFORMANCE RU - Lado B: PLACA RU</t>
        </is>
      </c>
      <c r="D2044" s="10" t="inlineStr">
        <is>
          <t>PINO DE ACO COM ARRUELA CONICA, DIAMETRO ARRUELA = *23* MM E COMP HASTE = *27* MM (ACAO INDIRETA)</t>
        </is>
      </c>
      <c r="E2044" s="11">
        <f t="array" ref="E2044">_xlfn.XLOOKUP(D2044,Insumos!B:B,Insumos!C:$C)</f>
        <v/>
      </c>
      <c r="F2044" s="14" t="n">
        <v>5.92</v>
      </c>
      <c r="G2044" s="92">
        <f t="array" ref="G2044">IF(B2044="insumo",_xlfn.XLOOKUP($D2044,Insumos!$B$1:$B$996,Insumos!$D$1:$D$996),"")</f>
        <v/>
      </c>
      <c r="H2044" s="92" t="n">
        <v>2.98368</v>
      </c>
      <c r="I2044" s="2162" t="n">
        <v>0</v>
      </c>
      <c r="J2044" s="2162" t="n">
        <v>0</v>
      </c>
      <c r="K2044" s="2162" t="n"/>
    </row>
    <row r="2045" outlineLevel="3" ht="15.75" customHeight="1">
      <c r="A2045" s="10" t="n">
        <v>43</v>
      </c>
      <c r="B2045" s="10" t="inlineStr">
        <is>
          <t>Insumo</t>
        </is>
      </c>
      <c r="C2045" s="10" t="inlineStr">
        <is>
          <t>37_DRY 140 mm LV - 2 PLACAS - 16,50cm  -  Lado A: PLACA PERFORMANCE RU - Lado B: PLACA RU</t>
        </is>
      </c>
      <c r="D2045" s="10" t="inlineStr">
        <is>
          <t>PERFIL GUIA, FORMATO U, EM ACO ZINCADO, PARA ESTRUTURA PAREDE DRYWALL, E = 0,5 MM, 70 X 3000 MM (L X C)</t>
        </is>
      </c>
      <c r="E2045" s="11">
        <f t="array" ref="E2045">_xlfn.XLOOKUP(D2045,Insumos!B:B,Insumos!C:$C)</f>
        <v/>
      </c>
      <c r="F2045" s="14">
        <f>1.5248*2</f>
        <v/>
      </c>
      <c r="G2045" s="92">
        <f t="array" ref="G2045">IF(B2045="insumo",_xlfn.XLOOKUP($D2045,Insumos!$B$1:$B$996,Insumos!$D$1:$D$996),"")</f>
        <v/>
      </c>
      <c r="H2045" s="92" t="n">
        <v>22.750016</v>
      </c>
      <c r="I2045" s="2162" t="n">
        <v>0</v>
      </c>
      <c r="J2045" s="2162" t="n">
        <v>0</v>
      </c>
      <c r="K2045" s="2162" t="n"/>
    </row>
    <row r="2046" outlineLevel="3" ht="15.75" customHeight="1">
      <c r="A2046" s="10" t="n">
        <v>43</v>
      </c>
      <c r="B2046" s="10" t="inlineStr">
        <is>
          <t>Insumo</t>
        </is>
      </c>
      <c r="C2046" s="10" t="inlineStr">
        <is>
          <t>37_DRY 140 mm LV - 2 PLACAS - 16,50cm  -  Lado A: PLACA PERFORMANCE RU - Lado B: PLACA RU</t>
        </is>
      </c>
      <c r="D2046" s="10" t="inlineStr">
        <is>
          <t>PERFIL MONTANTE, FORMATO C, EM ACO ZINCADO, PARA ESTRUTURA PAREDE DRYWALL, E = 0,5 MM, 70 X 3000 MM (L X C)</t>
        </is>
      </c>
      <c r="E2046" s="11">
        <f t="array" ref="E2046">_xlfn.XLOOKUP(D2046,Insumos!B:B,Insumos!C:$C)</f>
        <v/>
      </c>
      <c r="F2046" s="14">
        <f>4.0011*2</f>
        <v/>
      </c>
      <c r="G2046" s="92">
        <f t="array" ref="G2046">IF(B2046="insumo",_xlfn.XLOOKUP($D2046,Insumos!$B$1:$B$996,Insumos!$D$1:$D$996),"")</f>
        <v/>
      </c>
      <c r="H2046" s="92" t="n">
        <v>63.857556</v>
      </c>
      <c r="I2046" s="2162" t="n">
        <v>0</v>
      </c>
      <c r="J2046" s="2162" t="n">
        <v>0</v>
      </c>
      <c r="K2046" s="2162" t="n"/>
    </row>
    <row r="2047" outlineLevel="3" ht="15.75" customHeight="1">
      <c r="A2047" s="10" t="n">
        <v>95</v>
      </c>
      <c r="B2047" s="10" t="inlineStr">
        <is>
          <t>Insumo</t>
        </is>
      </c>
      <c r="C2047" s="10" t="inlineStr">
        <is>
          <t>37_DRY 140 mm LV - 2 PLACAS - 16,50cm  -  Lado A: PLACA PERFORMANCE RU - Lado B: PLACA RU</t>
        </is>
      </c>
      <c r="D2047" s="10" t="inlineStr">
        <is>
          <t>MASSA DE REJUNTE EM PO PARA DRYWALL, A BASE DE GESSO, SECAGEM RAPIDA, PARA TRATAMENTO DE JUNTAS DE CHAPA DE GESSO (NECESSITA ADICAO DE AGUA)</t>
        </is>
      </c>
      <c r="E2047" s="11">
        <f t="array" ref="E2047">_xlfn.XLOOKUP(D2047,Insumos!B:B,Insumos!C:$C)</f>
        <v/>
      </c>
      <c r="F2047" s="14" t="n">
        <v>1.0978</v>
      </c>
      <c r="G2047" s="92">
        <f t="array" ref="G2047">IF(B2047="insumo",_xlfn.XLOOKUP($D2047,Insumos!$B$1:$B$996,Insumos!$D$1:$D$996),"")</f>
        <v/>
      </c>
      <c r="H2047" s="92" t="n">
        <v>3.765454</v>
      </c>
      <c r="I2047" s="2162" t="n">
        <v>0</v>
      </c>
      <c r="J2047" s="2162" t="n">
        <v>0</v>
      </c>
      <c r="K2047" s="2162" t="n"/>
    </row>
    <row r="2048" outlineLevel="3" ht="15.75" customHeight="1">
      <c r="A2048" s="10" t="n">
        <v>94</v>
      </c>
      <c r="B2048" s="10" t="inlineStr">
        <is>
          <t>Insumo</t>
        </is>
      </c>
      <c r="C2048" s="10" t="inlineStr">
        <is>
          <t>37_DRY 140 mm LV - 2 PLACAS - 16,50cm  -  Lado A: PLACA PERFORMANCE RU - Lado B: PLACA RU</t>
        </is>
      </c>
      <c r="D2048" s="10" t="inlineStr">
        <is>
          <t>FITA DE PAPEL MICROPERFURADO, 50 X 150 MM, PARA TRATAMENTO DE JUNTAS DE CHAPA DE GESSO PARA DRYWALL</t>
        </is>
      </c>
      <c r="E2048" s="11">
        <f t="array" ref="E2048">_xlfn.XLOOKUP(D2048,Insumos!B:B,Insumos!C:$C)</f>
        <v/>
      </c>
      <c r="F2048" s="14" t="n">
        <v>2.5027</v>
      </c>
      <c r="G2048" s="92">
        <f t="array" ref="G2048">IF(B2048="insumo",_xlfn.XLOOKUP($D2048,Insumos!$B$1:$B$996,Insumos!$D$1:$D$996),"")</f>
        <v/>
      </c>
      <c r="H2048" s="92" t="n">
        <v>0.775837</v>
      </c>
      <c r="I2048" s="2162" t="n">
        <v>0</v>
      </c>
      <c r="J2048" s="2162" t="n">
        <v>0</v>
      </c>
      <c r="K2048" s="2162" t="n"/>
    </row>
    <row r="2049" outlineLevel="3" ht="15.75" customHeight="1">
      <c r="A2049" s="10" t="n">
        <v>94</v>
      </c>
      <c r="B2049" s="10" t="inlineStr">
        <is>
          <t>Insumo</t>
        </is>
      </c>
      <c r="C2049" s="10" t="inlineStr">
        <is>
          <t>37_DRY 140 mm LV - 2 PLACAS - 16,50cm  -  Lado A: PLACA PERFORMANCE RU - Lado B: PLACA RU</t>
        </is>
      </c>
      <c r="D2049" s="10" t="inlineStr">
        <is>
          <t>FITA DE PAPEL REFORCADA COM LAMINA DE METAL PARA REFORCO DE CANTOS DE CHAPA DE GESSO PARA DRYWALL</t>
        </is>
      </c>
      <c r="E2049" s="11">
        <f t="array" ref="E2049">_xlfn.XLOOKUP(D2049,Insumos!B:B,Insumos!C:$C)</f>
        <v/>
      </c>
      <c r="F2049" s="14" t="n">
        <v>1.5851</v>
      </c>
      <c r="G2049" s="92">
        <f t="array" ref="G2049">IF(B2049="insumo",_xlfn.XLOOKUP($D2049,Insumos!$B$1:$B$996,Insumos!$D$1:$D$996),"")</f>
        <v/>
      </c>
      <c r="H2049" s="92" t="n">
        <v>4.343174</v>
      </c>
      <c r="I2049" s="2162" t="n">
        <v>0</v>
      </c>
      <c r="J2049" s="2162" t="n">
        <v>0</v>
      </c>
      <c r="K2049" s="2162" t="n"/>
    </row>
    <row r="2050" outlineLevel="3" ht="15.75" customHeight="1">
      <c r="A2050" s="10" t="n">
        <v>97</v>
      </c>
      <c r="B2050" s="10" t="inlineStr">
        <is>
          <t>Insumo</t>
        </is>
      </c>
      <c r="C2050" s="10" t="inlineStr">
        <is>
          <t>37_DRY 140 mm LV - 2 PLACAS - 16,50cm  -  Lado A: PLACA PERFORMANCE RU - Lado B: PLACA RU</t>
        </is>
      </c>
      <c r="D2050" s="10" t="inlineStr">
        <is>
          <t>PARAFUSO DRY WALL, EM ACO FOSFATIZADO, CABECA TROMBETA E PONTA AGULHA (TA), COMPRIMENTO 25 MM</t>
        </is>
      </c>
      <c r="E2050" s="11">
        <f t="array" ref="E2050">_xlfn.XLOOKUP(D2050,Insumos!B:B,Insumos!C:$C)</f>
        <v/>
      </c>
      <c r="F2050" s="14" t="n">
        <v>20.1868</v>
      </c>
      <c r="G2050" s="92">
        <f t="array" ref="G2050">IF(B2050="insumo",_xlfn.XLOOKUP($D2050,Insumos!$B$1:$B$996,Insumos!$D$1:$D$996),"")</f>
        <v/>
      </c>
      <c r="H2050" s="92" t="n">
        <v>1.816812</v>
      </c>
      <c r="I2050" s="2162" t="n">
        <v>0</v>
      </c>
      <c r="J2050" s="2162" t="n">
        <v>0</v>
      </c>
      <c r="K2050" s="2162" t="n"/>
    </row>
    <row r="2051" outlineLevel="3" ht="15.75" customHeight="1">
      <c r="A2051" s="10" t="n">
        <v>95</v>
      </c>
      <c r="B2051" s="10" t="inlineStr">
        <is>
          <t>Insumo</t>
        </is>
      </c>
      <c r="C2051" s="10" t="inlineStr">
        <is>
          <t>37_DRY 140 mm LV - 2 PLACAS - 16,50cm  -  Lado A: PLACA PERFORMANCE RU - Lado B: PLACA RU</t>
        </is>
      </c>
      <c r="D2051" s="10" t="inlineStr">
        <is>
          <t>PARAFUSO DRY WALL, EM ACO ZINCADO, CABECA LENTILHA E PONTA BROCA (LB), LARGURA 4,2 MM, COMPRIMENTO 13 MM</t>
        </is>
      </c>
      <c r="E2051" s="11">
        <f t="array" ref="E2051">_xlfn.XLOOKUP(D2051,Insumos!B:B,Insumos!C:$C)</f>
        <v/>
      </c>
      <c r="F2051" s="14" t="n">
        <v>0.5441</v>
      </c>
      <c r="G2051" s="92">
        <f t="array" ref="G2051">IF(B2051="insumo",_xlfn.XLOOKUP($D2051,Insumos!$B$1:$B$996,Insumos!$D$1:$D$996),"")</f>
        <v/>
      </c>
      <c r="H2051" s="92" t="n">
        <v>0.10882</v>
      </c>
      <c r="I2051" s="2162" t="n">
        <v>0</v>
      </c>
      <c r="J2051" s="2162" t="n">
        <v>0</v>
      </c>
      <c r="K2051" s="2162" t="n"/>
    </row>
    <row r="2052" outlineLevel="3" ht="15.75" customHeight="1">
      <c r="A2052" s="10" t="n">
        <v>35</v>
      </c>
      <c r="B2052" s="10" t="inlineStr">
        <is>
          <t>Insumo</t>
        </is>
      </c>
      <c r="C2052" s="10" t="inlineStr">
        <is>
          <t>37_DRY 140 mm LV - 2 PLACAS - 16,50cm  -  Lado A: PLACA PERFORMANCE RU - Lado B: PLACA RU</t>
        </is>
      </c>
      <c r="D2052" s="10" t="inlineStr">
        <is>
          <t>Lã de pet 50 X 1200 X 12500 MM</t>
        </is>
      </c>
      <c r="E2052" s="11">
        <f t="array" ref="E2052">_xlfn.XLOOKUP(D2052,Insumos!B:B,Insumos!C:$C)</f>
        <v/>
      </c>
      <c r="F2052" s="14" t="n">
        <v>1.1</v>
      </c>
      <c r="G2052" s="92">
        <f t="array" ref="G2052">IF(B2052="insumo",_xlfn.XLOOKUP($D2052,Insumos!$B$1:$B$996,Insumos!$D$1:$D$996),"")</f>
        <v/>
      </c>
      <c r="H2052" s="92" t="n">
        <v>14.3212666666667</v>
      </c>
      <c r="I2052" s="2162" t="n">
        <v>0</v>
      </c>
      <c r="J2052" s="2162" t="n">
        <v>0</v>
      </c>
      <c r="K2052" s="2162" t="n"/>
    </row>
    <row r="2053" outlineLevel="2" ht="15.75" customHeight="1">
      <c r="A2053" s="1067" t="n">
        <v>1</v>
      </c>
      <c r="B2053" s="1067" t="inlineStr">
        <is>
          <t>Serviço</t>
        </is>
      </c>
      <c r="C2053" s="1067" t="inlineStr">
        <is>
          <t>37_DRY 140 mm LV - 2 PLACAS - 16,50cm  -  Lado A: PLACA PERFORMANCE RU - Lado B: PLACA CT</t>
        </is>
      </c>
      <c r="D2053" s="1067" t="inlineStr">
        <is>
          <t>37_DRY 140 mm LV - 2 PLACAS - 16,50cm  -  Lado A: PLACA PERFORMANCE RU - Lado B: PLACA CT</t>
        </is>
      </c>
      <c r="E2053" s="1068" t="inlineStr">
        <is>
          <t>M2</t>
        </is>
      </c>
      <c r="F2053" s="1067" t="n"/>
      <c r="G2053" s="1069">
        <f t="array" ref="G2053">IF(B2053="insumo",_xlfn.XLOOKUP($D2053,Insumos!$B$1:$B$996,Insumos!$D$1:$D$996),"")</f>
        <v/>
      </c>
      <c r="H2053" s="1069" t="n">
        <v>247.974294833333</v>
      </c>
      <c r="I2053" s="2161" t="n">
        <v>0</v>
      </c>
      <c r="J2053" s="2161" t="n">
        <v>0</v>
      </c>
      <c r="K2053" s="2161" t="n"/>
    </row>
    <row r="2054" outlineLevel="3" ht="15.75" customHeight="1">
      <c r="A2054" s="10" t="n">
        <v>86</v>
      </c>
      <c r="B2054" s="10" t="inlineStr">
        <is>
          <t>Insumo</t>
        </is>
      </c>
      <c r="C2054" s="10" t="inlineStr">
        <is>
          <t>37_DRY 140 mm LV - 2 PLACAS - 16,50cm  -  Lado A: PLACA PERFORMANCE RU - Lado B: PLACA CT</t>
        </is>
      </c>
      <c r="D2054" s="10" t="inlineStr">
        <is>
          <t>SERVICO - CONFECCAO SHAFT GESSO</t>
        </is>
      </c>
      <c r="E2054" s="11">
        <f t="array" ref="E2054">_xlfn.XLOOKUP(D2054,Insumos!B:B,Insumos!C:$C)</f>
        <v/>
      </c>
      <c r="F2054" s="14" t="n">
        <v>1</v>
      </c>
      <c r="G2054" s="92">
        <f t="array" ref="G2054">IF(B2054="insumo",_xlfn.XLOOKUP($D2054,Insumos!$B$1:$B$996,Insumos!$D$1:$D$996),"")</f>
        <v/>
      </c>
      <c r="H2054" s="92" t="n">
        <v>70</v>
      </c>
      <c r="I2054" s="2162" t="n">
        <v>0</v>
      </c>
      <c r="J2054" s="2162" t="n">
        <v>0</v>
      </c>
      <c r="K2054" s="2162" t="n"/>
    </row>
    <row r="2055" outlineLevel="3" ht="15.75" customHeight="1">
      <c r="A2055" s="10" t="n">
        <v>49</v>
      </c>
      <c r="B2055" s="10" t="inlineStr">
        <is>
          <t>Insumo</t>
        </is>
      </c>
      <c r="C2055" s="10" t="inlineStr">
        <is>
          <t>37_DRY 140 mm LV - 2 PLACAS - 16,50cm  -  Lado A: PLACA PERFORMANCE RU - Lado B: PLACA CT</t>
        </is>
      </c>
      <c r="D2055" s="10" t="inlineStr">
        <is>
          <t>PLACA / CHAPA DE GESSO ACARTONADO, RESISTENTE A UMIDADE (RU), COR VERDE, E = 12,5 MM, 1200 X 2400 MM (L X C)</t>
        </is>
      </c>
      <c r="E2055" s="11">
        <f t="array" ref="E2055">_xlfn.XLOOKUP(D2055,Insumos!B:B,Insumos!C:$C)</f>
        <v/>
      </c>
      <c r="F2055" s="14" t="n">
        <v>1.106</v>
      </c>
      <c r="G2055" s="92">
        <f t="array" ref="G2055">IF(B2055="insumo",_xlfn.XLOOKUP($D2055,Insumos!$B$1:$B$996,Insumos!$D$1:$D$996),"")</f>
        <v/>
      </c>
      <c r="H2055" s="92" t="n">
        <v>29.9726</v>
      </c>
      <c r="I2055" s="2162" t="n">
        <v>0</v>
      </c>
      <c r="J2055" s="2162" t="n">
        <v>0</v>
      </c>
      <c r="K2055" s="2162" t="n"/>
    </row>
    <row r="2056" outlineLevel="3" ht="15.75" customHeight="1">
      <c r="A2056" s="10" t="n">
        <v>11</v>
      </c>
      <c r="B2056" s="10" t="inlineStr">
        <is>
          <t>Insumo</t>
        </is>
      </c>
      <c r="C2056" s="10" t="inlineStr">
        <is>
          <t>37_DRY 140 mm LV - 2 PLACAS - 16,50cm  -  Lado A: PLACA PERFORMANCE RU - Lado B: PLACA CT</t>
        </is>
      </c>
      <c r="D2056" s="10" t="inlineStr">
        <is>
          <t>PLACA CIMENTÍCIA(CT) PARA STEEL FRAME BRASILIT-ETERNIT 8MM X 1,20M X 2,40M</t>
        </is>
      </c>
      <c r="E2056" s="11">
        <f t="array" ref="E2056">_xlfn.XLOOKUP(D2056,Insumos!B:B,Insumos!C:$C)</f>
        <v/>
      </c>
      <c r="F2056" s="14" t="n">
        <v>1.106</v>
      </c>
      <c r="G2056" s="92">
        <f t="array" ref="G2056">IF(B2056="insumo",_xlfn.XLOOKUP($D2056,Insumos!$B$1:$B$996,Insumos!$D$1:$D$996),"")</f>
        <v/>
      </c>
      <c r="H2056" s="92" t="n">
        <v>33.2790791666667</v>
      </c>
      <c r="I2056" s="2162" t="n">
        <v>0</v>
      </c>
      <c r="J2056" s="2162" t="n">
        <v>0</v>
      </c>
      <c r="K2056" s="2162" t="n"/>
    </row>
    <row r="2057" outlineLevel="3" ht="15.75" customHeight="1">
      <c r="A2057" s="10" t="n">
        <v>95</v>
      </c>
      <c r="B2057" s="10" t="inlineStr">
        <is>
          <t>Insumo</t>
        </is>
      </c>
      <c r="C2057" s="10" t="inlineStr">
        <is>
          <t>37_DRY 140 mm LV - 2 PLACAS - 16,50cm  -  Lado A: PLACA PERFORMANCE RU - Lado B: PLACA CT</t>
        </is>
      </c>
      <c r="D2057" s="10" t="inlineStr">
        <is>
          <t>PINO DE ACO COM ARRUELA CONICA, DIAMETRO ARRUELA = *23* MM E COMP HASTE = *27* MM (ACAO INDIRETA)</t>
        </is>
      </c>
      <c r="E2057" s="11">
        <f t="array" ref="E2057">_xlfn.XLOOKUP(D2057,Insumos!B:B,Insumos!C:$C)</f>
        <v/>
      </c>
      <c r="F2057" s="14" t="n">
        <v>5.92</v>
      </c>
      <c r="G2057" s="92">
        <f t="array" ref="G2057">IF(B2057="insumo",_xlfn.XLOOKUP($D2057,Insumos!$B$1:$B$996,Insumos!$D$1:$D$996),"")</f>
        <v/>
      </c>
      <c r="H2057" s="92" t="n">
        <v>2.98368</v>
      </c>
      <c r="I2057" s="2162" t="n">
        <v>0</v>
      </c>
      <c r="J2057" s="2162" t="n">
        <v>0</v>
      </c>
      <c r="K2057" s="2162" t="n"/>
    </row>
    <row r="2058" outlineLevel="3" ht="15.75" customHeight="1">
      <c r="A2058" s="10" t="n">
        <v>43</v>
      </c>
      <c r="B2058" s="10" t="inlineStr">
        <is>
          <t>Insumo</t>
        </is>
      </c>
      <c r="C2058" s="10" t="inlineStr">
        <is>
          <t>37_DRY 140 mm LV - 2 PLACAS - 16,50cm  -  Lado A: PLACA PERFORMANCE RU - Lado B: PLACA CT</t>
        </is>
      </c>
      <c r="D2058" s="10" t="inlineStr">
        <is>
          <t>PERFIL GUIA, FORMATO U, EM ACO ZINCADO, PARA ESTRUTURA PAREDE DRYWALL, E = 0,5 MM, 70 X 3000 MM (L X C)</t>
        </is>
      </c>
      <c r="E2058" s="11">
        <f t="array" ref="E2058">_xlfn.XLOOKUP(D2058,Insumos!B:B,Insumos!C:$C)</f>
        <v/>
      </c>
      <c r="F2058" s="14">
        <f>1.5248*2</f>
        <v/>
      </c>
      <c r="G2058" s="92">
        <f t="array" ref="G2058">IF(B2058="insumo",_xlfn.XLOOKUP($D2058,Insumos!$B$1:$B$996,Insumos!$D$1:$D$996),"")</f>
        <v/>
      </c>
      <c r="H2058" s="92" t="n">
        <v>22.750016</v>
      </c>
      <c r="I2058" s="2162" t="n">
        <v>0</v>
      </c>
      <c r="J2058" s="2162" t="n">
        <v>0</v>
      </c>
      <c r="K2058" s="2162" t="n"/>
    </row>
    <row r="2059" outlineLevel="3" ht="15.75" customHeight="1">
      <c r="A2059" s="10" t="n">
        <v>43</v>
      </c>
      <c r="B2059" s="10" t="inlineStr">
        <is>
          <t>Insumo</t>
        </is>
      </c>
      <c r="C2059" s="10" t="inlineStr">
        <is>
          <t>37_DRY 140 mm LV - 2 PLACAS - 16,50cm  -  Lado A: PLACA PERFORMANCE RU - Lado B: PLACA CT</t>
        </is>
      </c>
      <c r="D2059" s="10" t="inlineStr">
        <is>
          <t>PERFIL MONTANTE, FORMATO C, EM ACO ZINCADO, PARA ESTRUTURA PAREDE DRYWALL, E = 0,5 MM, 70 X 3000 MM (L X C)</t>
        </is>
      </c>
      <c r="E2059" s="11">
        <f t="array" ref="E2059">_xlfn.XLOOKUP(D2059,Insumos!B:B,Insumos!C:$C)</f>
        <v/>
      </c>
      <c r="F2059" s="14">
        <f>4.0011*2</f>
        <v/>
      </c>
      <c r="G2059" s="92">
        <f t="array" ref="G2059">IF(B2059="insumo",_xlfn.XLOOKUP($D2059,Insumos!$B$1:$B$996,Insumos!$D$1:$D$996),"")</f>
        <v/>
      </c>
      <c r="H2059" s="92" t="n">
        <v>63.857556</v>
      </c>
      <c r="I2059" s="2162" t="n">
        <v>0</v>
      </c>
      <c r="J2059" s="2162" t="n">
        <v>0</v>
      </c>
      <c r="K2059" s="2162" t="n"/>
    </row>
    <row r="2060" outlineLevel="3" ht="15.75" customHeight="1">
      <c r="A2060" s="10" t="n">
        <v>95</v>
      </c>
      <c r="B2060" s="10" t="inlineStr">
        <is>
          <t>Insumo</t>
        </is>
      </c>
      <c r="C2060" s="10" t="inlineStr">
        <is>
          <t>37_DRY 140 mm LV - 2 PLACAS - 16,50cm  -  Lado A: PLACA PERFORMANCE RU - Lado B: PLACA CT</t>
        </is>
      </c>
      <c r="D2060" s="10" t="inlineStr">
        <is>
          <t>MASSA DE REJUNTE EM PO PARA DRYWALL, A BASE DE GESSO, SECAGEM RAPIDA, PARA TRATAMENTO DE JUNTAS DE CHAPA DE GESSO (NECESSITA ADICAO DE AGUA)</t>
        </is>
      </c>
      <c r="E2060" s="11">
        <f t="array" ref="E2060">_xlfn.XLOOKUP(D2060,Insumos!B:B,Insumos!C:$C)</f>
        <v/>
      </c>
      <c r="F2060" s="14" t="n">
        <v>1.0978</v>
      </c>
      <c r="G2060" s="92">
        <f t="array" ref="G2060">IF(B2060="insumo",_xlfn.XLOOKUP($D2060,Insumos!$B$1:$B$996,Insumos!$D$1:$D$996),"")</f>
        <v/>
      </c>
      <c r="H2060" s="92" t="n">
        <v>3.765454</v>
      </c>
      <c r="I2060" s="2162" t="n">
        <v>0</v>
      </c>
      <c r="J2060" s="2162" t="n">
        <v>0</v>
      </c>
      <c r="K2060" s="2162" t="n"/>
    </row>
    <row r="2061" outlineLevel="3" ht="15.75" customHeight="1">
      <c r="A2061" s="10" t="n">
        <v>94</v>
      </c>
      <c r="B2061" s="10" t="inlineStr">
        <is>
          <t>Insumo</t>
        </is>
      </c>
      <c r="C2061" s="10" t="inlineStr">
        <is>
          <t>37_DRY 140 mm LV - 2 PLACAS - 16,50cm  -  Lado A: PLACA PERFORMANCE RU - Lado B: PLACA CT</t>
        </is>
      </c>
      <c r="D2061" s="10" t="inlineStr">
        <is>
          <t>FITA DE PAPEL MICROPERFURADO, 50 X 150 MM, PARA TRATAMENTO DE JUNTAS DE CHAPA DE GESSO PARA DRYWALL</t>
        </is>
      </c>
      <c r="E2061" s="11">
        <f t="array" ref="E2061">_xlfn.XLOOKUP(D2061,Insumos!B:B,Insumos!C:$C)</f>
        <v/>
      </c>
      <c r="F2061" s="14" t="n">
        <v>2.5027</v>
      </c>
      <c r="G2061" s="92">
        <f t="array" ref="G2061">IF(B2061="insumo",_xlfn.XLOOKUP($D2061,Insumos!$B$1:$B$996,Insumos!$D$1:$D$996),"")</f>
        <v/>
      </c>
      <c r="H2061" s="92" t="n">
        <v>0.775837</v>
      </c>
      <c r="I2061" s="2162" t="n">
        <v>0</v>
      </c>
      <c r="J2061" s="2162" t="n">
        <v>0</v>
      </c>
      <c r="K2061" s="2162" t="n"/>
    </row>
    <row r="2062" outlineLevel="3" ht="15.75" customHeight="1">
      <c r="A2062" s="10" t="n">
        <v>94</v>
      </c>
      <c r="B2062" s="10" t="inlineStr">
        <is>
          <t>Insumo</t>
        </is>
      </c>
      <c r="C2062" s="10" t="inlineStr">
        <is>
          <t>37_DRY 140 mm LV - 2 PLACAS - 16,50cm  -  Lado A: PLACA PERFORMANCE RU - Lado B: PLACA CT</t>
        </is>
      </c>
      <c r="D2062" s="10" t="inlineStr">
        <is>
          <t>FITA DE PAPEL REFORCADA COM LAMINA DE METAL PARA REFORCO DE CANTOS DE CHAPA DE GESSO PARA DRYWALL</t>
        </is>
      </c>
      <c r="E2062" s="11">
        <f t="array" ref="E2062">_xlfn.XLOOKUP(D2062,Insumos!B:B,Insumos!C:$C)</f>
        <v/>
      </c>
      <c r="F2062" s="14" t="n">
        <v>1.5851</v>
      </c>
      <c r="G2062" s="92">
        <f t="array" ref="G2062">IF(B2062="insumo",_xlfn.XLOOKUP($D2062,Insumos!$B$1:$B$996,Insumos!$D$1:$D$996),"")</f>
        <v/>
      </c>
      <c r="H2062" s="92" t="n">
        <v>4.343174</v>
      </c>
      <c r="I2062" s="2162" t="n">
        <v>0</v>
      </c>
      <c r="J2062" s="2162" t="n">
        <v>0</v>
      </c>
      <c r="K2062" s="2162" t="n"/>
    </row>
    <row r="2063" outlineLevel="3" ht="15.75" customHeight="1">
      <c r="A2063" s="10" t="n">
        <v>97</v>
      </c>
      <c r="B2063" s="10" t="inlineStr">
        <is>
          <t>Insumo</t>
        </is>
      </c>
      <c r="C2063" s="10" t="inlineStr">
        <is>
          <t>37_DRY 140 mm LV - 2 PLACAS - 16,50cm  -  Lado A: PLACA PERFORMANCE RU - Lado B: PLACA CT</t>
        </is>
      </c>
      <c r="D2063" s="10" t="inlineStr">
        <is>
          <t>PARAFUSO DRY WALL, EM ACO FOSFATIZADO, CABECA TROMBETA E PONTA AGULHA (TA), COMPRIMENTO 25 MM</t>
        </is>
      </c>
      <c r="E2063" s="11">
        <f t="array" ref="E2063">_xlfn.XLOOKUP(D2063,Insumos!B:B,Insumos!C:$C)</f>
        <v/>
      </c>
      <c r="F2063" s="14" t="n">
        <v>20.1868</v>
      </c>
      <c r="G2063" s="92">
        <f t="array" ref="G2063">IF(B2063="insumo",_xlfn.XLOOKUP($D2063,Insumos!$B$1:$B$996,Insumos!$D$1:$D$996),"")</f>
        <v/>
      </c>
      <c r="H2063" s="92" t="n">
        <v>1.816812</v>
      </c>
      <c r="I2063" s="2162" t="n">
        <v>0</v>
      </c>
      <c r="J2063" s="2162" t="n">
        <v>0</v>
      </c>
      <c r="K2063" s="2162" t="n"/>
    </row>
    <row r="2064" outlineLevel="3" ht="15.75" customHeight="1">
      <c r="A2064" s="10" t="n">
        <v>95</v>
      </c>
      <c r="B2064" s="10" t="inlineStr">
        <is>
          <t>Insumo</t>
        </is>
      </c>
      <c r="C2064" s="10" t="inlineStr">
        <is>
          <t>37_DRY 140 mm LV - 2 PLACAS - 16,50cm  -  Lado A: PLACA PERFORMANCE RU - Lado B: PLACA CT</t>
        </is>
      </c>
      <c r="D2064" s="10" t="inlineStr">
        <is>
          <t>PARAFUSO DRY WALL, EM ACO ZINCADO, CABECA LENTILHA E PONTA BROCA (LB), LARGURA 4,2 MM, COMPRIMENTO 13 MM</t>
        </is>
      </c>
      <c r="E2064" s="11">
        <f t="array" ref="E2064">_xlfn.XLOOKUP(D2064,Insumos!B:B,Insumos!C:$C)</f>
        <v/>
      </c>
      <c r="F2064" s="14" t="n">
        <v>0.5441</v>
      </c>
      <c r="G2064" s="92">
        <f t="array" ref="G2064">IF(B2064="insumo",_xlfn.XLOOKUP($D2064,Insumos!$B$1:$B$996,Insumos!$D$1:$D$996),"")</f>
        <v/>
      </c>
      <c r="H2064" s="92" t="n">
        <v>0.10882</v>
      </c>
      <c r="I2064" s="2162" t="n">
        <v>0</v>
      </c>
      <c r="J2064" s="2162" t="n">
        <v>0</v>
      </c>
      <c r="K2064" s="2162" t="n"/>
    </row>
    <row r="2065" outlineLevel="3" ht="15.75" customHeight="1">
      <c r="A2065" s="10" t="n">
        <v>35</v>
      </c>
      <c r="B2065" s="10" t="inlineStr">
        <is>
          <t>Insumo</t>
        </is>
      </c>
      <c r="C2065" s="10" t="inlineStr">
        <is>
          <t>37_DRY 140 mm LV - 2 PLACAS - 16,50cm  -  Lado A: PLACA PERFORMANCE RU - Lado B: PLACA CT</t>
        </is>
      </c>
      <c r="D2065" s="10" t="inlineStr">
        <is>
          <t>Lã de pet 50 X 1200 X 12500 MM</t>
        </is>
      </c>
      <c r="E2065" s="11">
        <f t="array" ref="E2065">_xlfn.XLOOKUP(D2065,Insumos!B:B,Insumos!C:$C)</f>
        <v/>
      </c>
      <c r="F2065" s="14" t="n">
        <v>1.1</v>
      </c>
      <c r="G2065" s="92">
        <f t="array" ref="G2065">IF(B2065="insumo",_xlfn.XLOOKUP($D2065,Insumos!$B$1:$B$996,Insumos!$D$1:$D$996),"")</f>
        <v/>
      </c>
      <c r="H2065" s="92" t="n">
        <v>14.3212666666667</v>
      </c>
      <c r="I2065" s="2162" t="n">
        <v>0</v>
      </c>
      <c r="J2065" s="2162" t="n">
        <v>0</v>
      </c>
      <c r="K2065" s="2162" t="n"/>
    </row>
    <row r="2066" outlineLevel="2" ht="15.75" customHeight="1">
      <c r="A2066" s="1067" t="n">
        <v>1</v>
      </c>
      <c r="B2066" s="1067" t="inlineStr">
        <is>
          <t>Serviço</t>
        </is>
      </c>
      <c r="C2066" s="1067" t="inlineStr">
        <is>
          <t>37_DRY 140 mm LV - 2 PLACAS - 16,50cm  -  Lado A: PLACA GLASROC X - Lado B: PLACA GLASROC X</t>
        </is>
      </c>
      <c r="D2066" s="1067" t="inlineStr">
        <is>
          <t>37_DRY 140 mm LV - 2 PLACAS - 16,50cm  -  Lado A: PLACA GLASROC X - Lado B: PLACA GLASROC X</t>
        </is>
      </c>
      <c r="E2066" s="1068" t="inlineStr">
        <is>
          <t>M2</t>
        </is>
      </c>
      <c r="F2066" s="1067" t="n"/>
      <c r="G2066" s="1069">
        <f t="array" ref="G2066">IF(B2066="insumo",_xlfn.XLOOKUP($D2066,Insumos!$B$1:$B$996,Insumos!$D$1:$D$996),"")</f>
        <v/>
      </c>
      <c r="H2066" s="1069" t="n">
        <v>307.629937888889</v>
      </c>
      <c r="I2066" s="2161" t="n">
        <v>0</v>
      </c>
      <c r="J2066" s="2161" t="n">
        <v>0</v>
      </c>
      <c r="K2066" s="2161" t="n"/>
    </row>
    <row r="2067" outlineLevel="3" ht="15.75" customHeight="1">
      <c r="A2067" s="10" t="n">
        <v>86</v>
      </c>
      <c r="B2067" s="10" t="inlineStr">
        <is>
          <t>Insumo</t>
        </is>
      </c>
      <c r="C2067" s="10" t="inlineStr">
        <is>
          <t>37_DRY 140 mm LV - 2 PLACAS - 16,50cm  -  Lado A: PLACA GLASROC X - Lado B: PLACA GLASROC X</t>
        </is>
      </c>
      <c r="D2067" s="10" t="inlineStr">
        <is>
          <t>SERVICO - CONFECCAO SHAFT GESSO</t>
        </is>
      </c>
      <c r="E2067" s="11">
        <f t="array" ref="E2067">_xlfn.XLOOKUP(D2067,Insumos!B:B,Insumos!C:$C)</f>
        <v/>
      </c>
      <c r="F2067" s="14" t="n">
        <v>1</v>
      </c>
      <c r="G2067" s="92">
        <f t="array" ref="G2067">IF(B2067="insumo",_xlfn.XLOOKUP($D2067,Insumos!$B$1:$B$996,Insumos!$D$1:$D$996),"")</f>
        <v/>
      </c>
      <c r="H2067" s="92" t="n">
        <v>70</v>
      </c>
      <c r="I2067" s="2162" t="n">
        <v>0</v>
      </c>
      <c r="J2067" s="2162" t="n">
        <v>0</v>
      </c>
      <c r="K2067" s="2162" t="n"/>
    </row>
    <row r="2068" outlineLevel="3" ht="15.75" customHeight="1">
      <c r="A2068" s="10" t="n">
        <v>49</v>
      </c>
      <c r="B2068" s="10" t="inlineStr">
        <is>
          <t>Insumo</t>
        </is>
      </c>
      <c r="C2068" s="10" t="inlineStr">
        <is>
          <t>37_DRY 140 mm LV - 2 PLACAS - 16,50cm  -  Lado A: PLACA GLASROC X - Lado B: PLACA GLASROC X</t>
        </is>
      </c>
      <c r="D2068" s="10" t="inlineStr">
        <is>
          <t>PLACA / CHAPA DE GESSO ACARTONADO, RESISTENTE A UMIDADE (RU), COR VERDE, E = 12,5 MM, 1200 X 2400 MM (L X C)</t>
        </is>
      </c>
      <c r="E2068" s="11">
        <f t="array" ref="E2068">_xlfn.XLOOKUP(D2068,Insumos!B:B,Insumos!C:$C)</f>
        <v/>
      </c>
      <c r="F2068" s="14" t="n">
        <v>1.106</v>
      </c>
      <c r="G2068" s="92">
        <f t="array" ref="G2068">IF(B2068="insumo",_xlfn.XLOOKUP($D2068,Insumos!$B$1:$B$996,Insumos!$D$1:$D$996),"")</f>
        <v/>
      </c>
      <c r="H2068" s="92" t="n">
        <v>29.9726</v>
      </c>
      <c r="I2068" s="2162" t="n">
        <v>0</v>
      </c>
      <c r="J2068" s="2162" t="n">
        <v>0</v>
      </c>
      <c r="K2068" s="2162" t="n"/>
    </row>
    <row r="2069" outlineLevel="3" ht="15.75" customHeight="1">
      <c r="A2069" s="10" t="n">
        <v>4</v>
      </c>
      <c r="B2069" s="10" t="inlineStr">
        <is>
          <t>Insumo</t>
        </is>
      </c>
      <c r="C2069" s="10" t="inlineStr">
        <is>
          <t>37_DRY 140 mm LV - 2 PLACAS - 16,50cm  -  Lado A: PLACA GLASROC X - Lado B: PLACA GLASROC X</t>
        </is>
      </c>
      <c r="D2069" s="10" t="inlineStr">
        <is>
          <t>Placa de Gesso Glasroc X 12,5 X 1200 X 2400mm</t>
        </is>
      </c>
      <c r="E2069" s="11">
        <f t="array" ref="E2069">_xlfn.XLOOKUP(D2069,Insumos!B:B,Insumos!C:$C)</f>
        <v/>
      </c>
      <c r="F2069" s="14" t="n">
        <v>1.106</v>
      </c>
      <c r="G2069" s="92">
        <f t="array" ref="G2069">IF(B2069="insumo",_xlfn.XLOOKUP($D2069,Insumos!$B$1:$B$996,Insumos!$D$1:$D$996),"")</f>
        <v/>
      </c>
      <c r="H2069" s="92" t="n">
        <v>92.93472222222221</v>
      </c>
      <c r="I2069" s="2162" t="n">
        <v>0</v>
      </c>
      <c r="J2069" s="2162" t="n">
        <v>0</v>
      </c>
      <c r="K2069" s="2162" t="n"/>
    </row>
    <row r="2070" outlineLevel="3" ht="15.75" customHeight="1">
      <c r="A2070" s="10" t="n">
        <v>95</v>
      </c>
      <c r="B2070" s="10" t="inlineStr">
        <is>
          <t>Insumo</t>
        </is>
      </c>
      <c r="C2070" s="10" t="inlineStr">
        <is>
          <t>37_DRY 140 mm LV - 2 PLACAS - 16,50cm  -  Lado A: PLACA GLASROC X - Lado B: PLACA GLASROC X</t>
        </is>
      </c>
      <c r="D2070" s="10" t="inlineStr">
        <is>
          <t>PINO DE ACO COM ARRUELA CONICA, DIAMETRO ARRUELA = *23* MM E COMP HASTE = *27* MM (ACAO INDIRETA)</t>
        </is>
      </c>
      <c r="E2070" s="11">
        <f t="array" ref="E2070">_xlfn.XLOOKUP(D2070,Insumos!B:B,Insumos!C:$C)</f>
        <v/>
      </c>
      <c r="F2070" s="14" t="n">
        <v>5.92</v>
      </c>
      <c r="G2070" s="92">
        <f t="array" ref="G2070">IF(B2070="insumo",_xlfn.XLOOKUP($D2070,Insumos!$B$1:$B$996,Insumos!$D$1:$D$996),"")</f>
        <v/>
      </c>
      <c r="H2070" s="92" t="n">
        <v>2.98368</v>
      </c>
      <c r="I2070" s="2162" t="n">
        <v>0</v>
      </c>
      <c r="J2070" s="2162" t="n">
        <v>0</v>
      </c>
      <c r="K2070" s="2162" t="n"/>
    </row>
    <row r="2071" outlineLevel="3" ht="15.75" customHeight="1">
      <c r="A2071" s="10" t="n">
        <v>43</v>
      </c>
      <c r="B2071" s="10" t="inlineStr">
        <is>
          <t>Insumo</t>
        </is>
      </c>
      <c r="C2071" s="10" t="inlineStr">
        <is>
          <t>37_DRY 140 mm LV - 2 PLACAS - 16,50cm  -  Lado A: PLACA GLASROC X - Lado B: PLACA GLASROC X</t>
        </is>
      </c>
      <c r="D2071" s="10" t="inlineStr">
        <is>
          <t>PERFIL GUIA, FORMATO U, EM ACO ZINCADO, PARA ESTRUTURA PAREDE DRYWALL, E = 0,5 MM, 70 X 3000 MM (L X C)</t>
        </is>
      </c>
      <c r="E2071" s="11">
        <f t="array" ref="E2071">_xlfn.XLOOKUP(D2071,Insumos!B:B,Insumos!C:$C)</f>
        <v/>
      </c>
      <c r="F2071" s="14">
        <f>1.5248*2</f>
        <v/>
      </c>
      <c r="G2071" s="92">
        <f t="array" ref="G2071">IF(B2071="insumo",_xlfn.XLOOKUP($D2071,Insumos!$B$1:$B$996,Insumos!$D$1:$D$996),"")</f>
        <v/>
      </c>
      <c r="H2071" s="92" t="n">
        <v>22.750016</v>
      </c>
      <c r="I2071" s="2162" t="n">
        <v>0</v>
      </c>
      <c r="J2071" s="2162" t="n">
        <v>0</v>
      </c>
      <c r="K2071" s="2162" t="n"/>
    </row>
    <row r="2072" outlineLevel="3" ht="15.75" customHeight="1">
      <c r="A2072" s="10" t="n">
        <v>43</v>
      </c>
      <c r="B2072" s="10" t="inlineStr">
        <is>
          <t>Insumo</t>
        </is>
      </c>
      <c r="C2072" s="10" t="inlineStr">
        <is>
          <t>37_DRY 140 mm LV - 2 PLACAS - 16,50cm  -  Lado A: PLACA GLASROC X - Lado B: PLACA GLASROC X</t>
        </is>
      </c>
      <c r="D2072" s="10" t="inlineStr">
        <is>
          <t>PERFIL MONTANTE, FORMATO C, EM ACO ZINCADO, PARA ESTRUTURA PAREDE DRYWALL, E = 0,5 MM, 70 X 3000 MM (L X C)</t>
        </is>
      </c>
      <c r="E2072" s="11">
        <f t="array" ref="E2072">_xlfn.XLOOKUP(D2072,Insumos!B:B,Insumos!C:$C)</f>
        <v/>
      </c>
      <c r="F2072" s="14">
        <f>4.0011*2</f>
        <v/>
      </c>
      <c r="G2072" s="92">
        <f t="array" ref="G2072">IF(B2072="insumo",_xlfn.XLOOKUP($D2072,Insumos!$B$1:$B$996,Insumos!$D$1:$D$996),"")</f>
        <v/>
      </c>
      <c r="H2072" s="92" t="n">
        <v>63.857556</v>
      </c>
      <c r="I2072" s="2162" t="n">
        <v>0</v>
      </c>
      <c r="J2072" s="2162" t="n">
        <v>0</v>
      </c>
      <c r="K2072" s="2162" t="n"/>
    </row>
    <row r="2073" outlineLevel="3" ht="15.75" customHeight="1">
      <c r="A2073" s="10" t="n">
        <v>95</v>
      </c>
      <c r="B2073" s="10" t="inlineStr">
        <is>
          <t>Insumo</t>
        </is>
      </c>
      <c r="C2073" s="10" t="inlineStr">
        <is>
          <t>37_DRY 140 mm LV - 2 PLACAS - 16,50cm  -  Lado A: PLACA GLASROC X - Lado B: PLACA GLASROC X</t>
        </is>
      </c>
      <c r="D2073" s="10" t="inlineStr">
        <is>
          <t>MASSA DE REJUNTE EM PO PARA DRYWALL, A BASE DE GESSO, SECAGEM RAPIDA, PARA TRATAMENTO DE JUNTAS DE CHAPA DE GESSO (NECESSITA ADICAO DE AGUA)</t>
        </is>
      </c>
      <c r="E2073" s="11">
        <f t="array" ref="E2073">_xlfn.XLOOKUP(D2073,Insumos!B:B,Insumos!C:$C)</f>
        <v/>
      </c>
      <c r="F2073" s="14" t="n">
        <v>1.0978</v>
      </c>
      <c r="G2073" s="92">
        <f t="array" ref="G2073">IF(B2073="insumo",_xlfn.XLOOKUP($D2073,Insumos!$B$1:$B$996,Insumos!$D$1:$D$996),"")</f>
        <v/>
      </c>
      <c r="H2073" s="92" t="n">
        <v>3.765454</v>
      </c>
      <c r="I2073" s="2162" t="n">
        <v>0</v>
      </c>
      <c r="J2073" s="2162" t="n">
        <v>0</v>
      </c>
      <c r="K2073" s="2162" t="n"/>
    </row>
    <row r="2074" outlineLevel="3" ht="15.75" customHeight="1">
      <c r="A2074" s="10" t="n">
        <v>94</v>
      </c>
      <c r="B2074" s="10" t="inlineStr">
        <is>
          <t>Insumo</t>
        </is>
      </c>
      <c r="C2074" s="10" t="inlineStr">
        <is>
          <t>37_DRY 140 mm LV - 2 PLACAS - 16,50cm  -  Lado A: PLACA GLASROC X - Lado B: PLACA GLASROC X</t>
        </is>
      </c>
      <c r="D2074" s="10" t="inlineStr">
        <is>
          <t>FITA DE PAPEL MICROPERFURADO, 50 X 150 MM, PARA TRATAMENTO DE JUNTAS DE CHAPA DE GESSO PARA DRYWALL</t>
        </is>
      </c>
      <c r="E2074" s="11">
        <f t="array" ref="E2074">_xlfn.XLOOKUP(D2074,Insumos!B:B,Insumos!C:$C)</f>
        <v/>
      </c>
      <c r="F2074" s="14" t="n">
        <v>2.5027</v>
      </c>
      <c r="G2074" s="92">
        <f t="array" ref="G2074">IF(B2074="insumo",_xlfn.XLOOKUP($D2074,Insumos!$B$1:$B$996,Insumos!$D$1:$D$996),"")</f>
        <v/>
      </c>
      <c r="H2074" s="92" t="n">
        <v>0.775837</v>
      </c>
      <c r="I2074" s="2162" t="n">
        <v>0</v>
      </c>
      <c r="J2074" s="2162" t="n">
        <v>0</v>
      </c>
      <c r="K2074" s="2162" t="n"/>
    </row>
    <row r="2075" outlineLevel="3" ht="15.75" customHeight="1">
      <c r="A2075" s="10" t="n">
        <v>94</v>
      </c>
      <c r="B2075" s="10" t="inlineStr">
        <is>
          <t>Insumo</t>
        </is>
      </c>
      <c r="C2075" s="10" t="inlineStr">
        <is>
          <t>37_DRY 140 mm LV - 2 PLACAS - 16,50cm  -  Lado A: PLACA GLASROC X - Lado B: PLACA GLASROC X</t>
        </is>
      </c>
      <c r="D2075" s="10" t="inlineStr">
        <is>
          <t>FITA DE PAPEL REFORCADA COM LAMINA DE METAL PARA REFORCO DE CANTOS DE CHAPA DE GESSO PARA DRYWALL</t>
        </is>
      </c>
      <c r="E2075" s="11">
        <f t="array" ref="E2075">_xlfn.XLOOKUP(D2075,Insumos!B:B,Insumos!C:$C)</f>
        <v/>
      </c>
      <c r="F2075" s="14" t="n">
        <v>1.5851</v>
      </c>
      <c r="G2075" s="92">
        <f t="array" ref="G2075">IF(B2075="insumo",_xlfn.XLOOKUP($D2075,Insumos!$B$1:$B$996,Insumos!$D$1:$D$996),"")</f>
        <v/>
      </c>
      <c r="H2075" s="92" t="n">
        <v>4.343174</v>
      </c>
      <c r="I2075" s="2162" t="n">
        <v>0</v>
      </c>
      <c r="J2075" s="2162" t="n">
        <v>0</v>
      </c>
      <c r="K2075" s="2162" t="n"/>
    </row>
    <row r="2076" outlineLevel="3" ht="15.75" customHeight="1">
      <c r="A2076" s="10" t="n">
        <v>97</v>
      </c>
      <c r="B2076" s="10" t="inlineStr">
        <is>
          <t>Insumo</t>
        </is>
      </c>
      <c r="C2076" s="10" t="inlineStr">
        <is>
          <t>37_DRY 140 mm LV - 2 PLACAS - 16,50cm  -  Lado A: PLACA GLASROC X - Lado B: PLACA GLASROC X</t>
        </is>
      </c>
      <c r="D2076" s="10" t="inlineStr">
        <is>
          <t>PARAFUSO DRY WALL, EM ACO FOSFATIZADO, CABECA TROMBETA E PONTA AGULHA (TA), COMPRIMENTO 25 MM</t>
        </is>
      </c>
      <c r="E2076" s="11">
        <f t="array" ref="E2076">_xlfn.XLOOKUP(D2076,Insumos!B:B,Insumos!C:$C)</f>
        <v/>
      </c>
      <c r="F2076" s="14" t="n">
        <v>20.1868</v>
      </c>
      <c r="G2076" s="92">
        <f t="array" ref="G2076">IF(B2076="insumo",_xlfn.XLOOKUP($D2076,Insumos!$B$1:$B$996,Insumos!$D$1:$D$996),"")</f>
        <v/>
      </c>
      <c r="H2076" s="92" t="n">
        <v>1.816812</v>
      </c>
      <c r="I2076" s="2162" t="n">
        <v>0</v>
      </c>
      <c r="J2076" s="2162" t="n">
        <v>0</v>
      </c>
      <c r="K2076" s="2162" t="n"/>
    </row>
    <row r="2077" outlineLevel="3" ht="15.75" customHeight="1">
      <c r="A2077" s="10" t="n">
        <v>95</v>
      </c>
      <c r="B2077" s="10" t="inlineStr">
        <is>
          <t>Insumo</t>
        </is>
      </c>
      <c r="C2077" s="10" t="inlineStr">
        <is>
          <t>37_DRY 140 mm LV - 2 PLACAS - 16,50cm  -  Lado A: PLACA GLASROC X - Lado B: PLACA GLASROC X</t>
        </is>
      </c>
      <c r="D2077" s="10" t="inlineStr">
        <is>
          <t>PARAFUSO DRY WALL, EM ACO ZINCADO, CABECA LENTILHA E PONTA BROCA (LB), LARGURA 4,2 MM, COMPRIMENTO 13 MM</t>
        </is>
      </c>
      <c r="E2077" s="11">
        <f t="array" ref="E2077">_xlfn.XLOOKUP(D2077,Insumos!B:B,Insumos!C:$C)</f>
        <v/>
      </c>
      <c r="F2077" s="14" t="n">
        <v>0.5441</v>
      </c>
      <c r="G2077" s="92">
        <f t="array" ref="G2077">IF(B2077="insumo",_xlfn.XLOOKUP($D2077,Insumos!$B$1:$B$996,Insumos!$D$1:$D$996),"")</f>
        <v/>
      </c>
      <c r="H2077" s="92" t="n">
        <v>0.10882</v>
      </c>
      <c r="I2077" s="2162" t="n">
        <v>0</v>
      </c>
      <c r="J2077" s="2162" t="n">
        <v>0</v>
      </c>
      <c r="K2077" s="2162" t="n"/>
    </row>
    <row r="2078" outlineLevel="3" ht="15.75" customHeight="1">
      <c r="A2078" s="10" t="n">
        <v>35</v>
      </c>
      <c r="B2078" s="10" t="inlineStr">
        <is>
          <t>Insumo</t>
        </is>
      </c>
      <c r="C2078" s="10" t="inlineStr">
        <is>
          <t>37_DRY 140 mm LV - 2 PLACAS - 16,50cm  -  Lado A: PLACA GLASROC X - Lado B: PLACA GLASROC X</t>
        </is>
      </c>
      <c r="D2078" s="10" t="inlineStr">
        <is>
          <t>Lã de pet 50 X 1200 X 12500 MM</t>
        </is>
      </c>
      <c r="E2078" s="11">
        <f t="array" ref="E2078">_xlfn.XLOOKUP(D2078,Insumos!B:B,Insumos!C:$C)</f>
        <v/>
      </c>
      <c r="F2078" s="14" t="n">
        <v>1.1</v>
      </c>
      <c r="G2078" s="92">
        <f t="array" ref="G2078">IF(B2078="insumo",_xlfn.XLOOKUP($D2078,Insumos!$B$1:$B$996,Insumos!$D$1:$D$996),"")</f>
        <v/>
      </c>
      <c r="H2078" s="92" t="n">
        <v>14.3212666666667</v>
      </c>
      <c r="I2078" s="2162" t="n">
        <v>0</v>
      </c>
      <c r="J2078" s="2162" t="n">
        <v>0</v>
      </c>
      <c r="K2078" s="2162" t="n"/>
    </row>
    <row r="2079" outlineLevel="2" ht="15.75" customHeight="1">
      <c r="A2079" s="1067" t="n">
        <v>1</v>
      </c>
      <c r="B2079" s="1067" t="inlineStr">
        <is>
          <t>Serviço</t>
        </is>
      </c>
      <c r="C2079" s="1067" t="inlineStr">
        <is>
          <t>37_DRY 140 mm LV - 3 PLACAS - 18,25cm  -  Lado A: PLACA GLASROC X - Lado B: PLACA RF + RF</t>
        </is>
      </c>
      <c r="D2079" s="1067" t="inlineStr">
        <is>
          <t>37_DRY 140 mm LV - 3 PLACAS - 18,25cm  -  Lado A: PLACA GLASROC X - Lado B: PLACA RF + RF</t>
        </is>
      </c>
      <c r="E2079" s="1068" t="inlineStr">
        <is>
          <t>M2</t>
        </is>
      </c>
      <c r="F2079" s="1067" t="n"/>
      <c r="G2079" s="1069">
        <f t="array" ref="G2079">IF(B2079="insumo",_xlfn.XLOOKUP($D2079,Insumos!$B$1:$B$996,Insumos!$D$1:$D$996),"")</f>
        <v/>
      </c>
      <c r="H2079" s="1069" t="n">
        <v>358.094837888889</v>
      </c>
      <c r="I2079" s="2161" t="n">
        <v>0</v>
      </c>
      <c r="J2079" s="2161" t="n">
        <v>0</v>
      </c>
      <c r="K2079" s="2161" t="n"/>
    </row>
    <row r="2080" outlineLevel="3" ht="15.75" customHeight="1">
      <c r="A2080" s="10" t="n">
        <v>86</v>
      </c>
      <c r="B2080" s="10" t="inlineStr">
        <is>
          <t>Insumo</t>
        </is>
      </c>
      <c r="C2080" s="10" t="inlineStr">
        <is>
          <t>37_DRY 140 mm LV - 3 PLACAS - 18,25cm  -  Lado A: PLACA GLASROC X - Lado B: PLACA RF + RF</t>
        </is>
      </c>
      <c r="D2080" s="10" t="inlineStr">
        <is>
          <t>SERVICO - CONFECCAO SHAFT GESSO</t>
        </is>
      </c>
      <c r="E2080" s="11">
        <f t="array" ref="E2080">_xlfn.XLOOKUP(D2080,Insumos!B:B,Insumos!C:$C)</f>
        <v/>
      </c>
      <c r="F2080" s="14" t="n">
        <v>1</v>
      </c>
      <c r="G2080" s="92">
        <f t="array" ref="G2080">IF(B2080="insumo",_xlfn.XLOOKUP($D2080,Insumos!$B$1:$B$996,Insumos!$D$1:$D$996),"")</f>
        <v/>
      </c>
      <c r="H2080" s="92" t="n">
        <v>70</v>
      </c>
      <c r="I2080" s="2162" t="n">
        <v>0</v>
      </c>
      <c r="J2080" s="2162" t="n">
        <v>0</v>
      </c>
      <c r="K2080" s="2162" t="n"/>
    </row>
    <row r="2081" outlineLevel="3" ht="15.75" customHeight="1">
      <c r="A2081" s="10" t="n">
        <v>3</v>
      </c>
      <c r="B2081" s="10" t="inlineStr">
        <is>
          <t>Insumo</t>
        </is>
      </c>
      <c r="C2081" s="10" t="inlineStr">
        <is>
          <t>37_DRY 140 mm LV - 3 PLACAS - 18,25cm  -  Lado A: PLACA GLASROC X - Lado B: PLACA RF + RF</t>
        </is>
      </c>
      <c r="D2081" s="10" t="inlineStr">
        <is>
          <t>CHAPA DE GESSO PARA DRYWALL PLACO - KNAUF (RF) VERMELHA 12,5MM X 1,20M X 1,80M</t>
        </is>
      </c>
      <c r="E2081" s="11">
        <f t="array" ref="E2081">_xlfn.XLOOKUP(D2081,Insumos!B:B,Insumos!C:$C)</f>
        <v/>
      </c>
      <c r="F2081" s="14" t="n">
        <v>2.106</v>
      </c>
      <c r="G2081" s="92">
        <f t="array" ref="G2081">IF(B2081="insumo",_xlfn.XLOOKUP($D2081,Insumos!$B$1:$B$996,Insumos!$D$1:$D$996),"")</f>
        <v/>
      </c>
      <c r="H2081" s="92" t="n">
        <v>80.4375</v>
      </c>
      <c r="I2081" s="2162" t="n">
        <v>0</v>
      </c>
      <c r="J2081" s="2162" t="n">
        <v>0</v>
      </c>
      <c r="K2081" s="2162" t="n"/>
    </row>
    <row r="2082" outlineLevel="3" ht="15.75" customHeight="1">
      <c r="A2082" s="10" t="n">
        <v>4</v>
      </c>
      <c r="B2082" s="10" t="inlineStr">
        <is>
          <t>Insumo</t>
        </is>
      </c>
      <c r="C2082" s="10" t="inlineStr">
        <is>
          <t>37_DRY 140 mm LV - 3 PLACAS - 18,25cm  -  Lado A: PLACA GLASROC X - Lado B: PLACA RF + RF</t>
        </is>
      </c>
      <c r="D2082" s="10" t="inlineStr">
        <is>
          <t>Placa de Gesso Glasroc X 12,5 X 1200 X 2400mm</t>
        </is>
      </c>
      <c r="E2082" s="11">
        <f t="array" ref="E2082">_xlfn.XLOOKUP(D2082,Insumos!B:B,Insumos!C:$C)</f>
        <v/>
      </c>
      <c r="F2082" s="14" t="n">
        <v>1.106</v>
      </c>
      <c r="G2082" s="92">
        <f t="array" ref="G2082">IF(B2082="insumo",_xlfn.XLOOKUP($D2082,Insumos!$B$1:$B$996,Insumos!$D$1:$D$996),"")</f>
        <v/>
      </c>
      <c r="H2082" s="92" t="n">
        <v>92.93472222222221</v>
      </c>
      <c r="I2082" s="2162" t="n">
        <v>0</v>
      </c>
      <c r="J2082" s="2162" t="n">
        <v>0</v>
      </c>
      <c r="K2082" s="2162" t="n"/>
    </row>
    <row r="2083" outlineLevel="3" ht="15.75" customHeight="1">
      <c r="A2083" s="10" t="n">
        <v>95</v>
      </c>
      <c r="B2083" s="10" t="inlineStr">
        <is>
          <t>Insumo</t>
        </is>
      </c>
      <c r="C2083" s="10" t="inlineStr">
        <is>
          <t>37_DRY 140 mm LV - 3 PLACAS - 18,25cm  -  Lado A: PLACA GLASROC X - Lado B: PLACA RF + RF</t>
        </is>
      </c>
      <c r="D2083" s="10" t="inlineStr">
        <is>
          <t>PINO DE ACO COM ARRUELA CONICA, DIAMETRO ARRUELA = *23* MM E COMP HASTE = *27* MM (ACAO INDIRETA)</t>
        </is>
      </c>
      <c r="E2083" s="11">
        <f t="array" ref="E2083">_xlfn.XLOOKUP(D2083,Insumos!B:B,Insumos!C:$C)</f>
        <v/>
      </c>
      <c r="F2083" s="14" t="n">
        <v>5.92</v>
      </c>
      <c r="G2083" s="92">
        <f t="array" ref="G2083">IF(B2083="insumo",_xlfn.XLOOKUP($D2083,Insumos!$B$1:$B$996,Insumos!$D$1:$D$996),"")</f>
        <v/>
      </c>
      <c r="H2083" s="92" t="n">
        <v>2.98368</v>
      </c>
      <c r="I2083" s="2162" t="n">
        <v>0</v>
      </c>
      <c r="J2083" s="2162" t="n">
        <v>0</v>
      </c>
      <c r="K2083" s="2162" t="n"/>
    </row>
    <row r="2084" outlineLevel="3" ht="15.75" customHeight="1">
      <c r="A2084" s="10" t="n">
        <v>43</v>
      </c>
      <c r="B2084" s="10" t="inlineStr">
        <is>
          <t>Insumo</t>
        </is>
      </c>
      <c r="C2084" s="10" t="inlineStr">
        <is>
          <t>37_DRY 140 mm LV - 3 PLACAS - 18,25cm  -  Lado A: PLACA GLASROC X - Lado B: PLACA RF + RF</t>
        </is>
      </c>
      <c r="D2084" s="10" t="inlineStr">
        <is>
          <t>PERFIL GUIA, FORMATO U, EM ACO ZINCADO, PARA ESTRUTURA PAREDE DRYWALL, E = 0,5 MM, 70 X 3000 MM (L X C)</t>
        </is>
      </c>
      <c r="E2084" s="11">
        <f t="array" ref="E2084">_xlfn.XLOOKUP(D2084,Insumos!B:B,Insumos!C:$C)</f>
        <v/>
      </c>
      <c r="F2084" s="14">
        <f>1.5248*2</f>
        <v/>
      </c>
      <c r="G2084" s="92">
        <f t="array" ref="G2084">IF(B2084="insumo",_xlfn.XLOOKUP($D2084,Insumos!$B$1:$B$996,Insumos!$D$1:$D$996),"")</f>
        <v/>
      </c>
      <c r="H2084" s="92" t="n">
        <v>22.750016</v>
      </c>
      <c r="I2084" s="2162" t="n">
        <v>0</v>
      </c>
      <c r="J2084" s="2162" t="n">
        <v>0</v>
      </c>
      <c r="K2084" s="2162" t="n"/>
    </row>
    <row r="2085" outlineLevel="3" ht="15.75" customHeight="1">
      <c r="A2085" s="10" t="n">
        <v>43</v>
      </c>
      <c r="B2085" s="10" t="inlineStr">
        <is>
          <t>Insumo</t>
        </is>
      </c>
      <c r="C2085" s="10" t="inlineStr">
        <is>
          <t>37_DRY 140 mm LV - 3 PLACAS - 18,25cm  -  Lado A: PLACA GLASROC X - Lado B: PLACA RF + RF</t>
        </is>
      </c>
      <c r="D2085" s="10" t="inlineStr">
        <is>
          <t>PERFIL MONTANTE, FORMATO C, EM ACO ZINCADO, PARA ESTRUTURA PAREDE DRYWALL, E = 0,5 MM, 70 X 3000 MM (L X C)</t>
        </is>
      </c>
      <c r="E2085" s="11">
        <f t="array" ref="E2085">_xlfn.XLOOKUP(D2085,Insumos!B:B,Insumos!C:$C)</f>
        <v/>
      </c>
      <c r="F2085" s="14">
        <f>4.0011*2</f>
        <v/>
      </c>
      <c r="G2085" s="92">
        <f t="array" ref="G2085">IF(B2085="insumo",_xlfn.XLOOKUP($D2085,Insumos!$B$1:$B$996,Insumos!$D$1:$D$996),"")</f>
        <v/>
      </c>
      <c r="H2085" s="92" t="n">
        <v>63.857556</v>
      </c>
      <c r="I2085" s="2162" t="n">
        <v>0</v>
      </c>
      <c r="J2085" s="2162" t="n">
        <v>0</v>
      </c>
      <c r="K2085" s="2162" t="n"/>
    </row>
    <row r="2086" outlineLevel="3" ht="15.75" customHeight="1">
      <c r="A2086" s="10" t="n">
        <v>95</v>
      </c>
      <c r="B2086" s="10" t="inlineStr">
        <is>
          <t>Insumo</t>
        </is>
      </c>
      <c r="C2086" s="10" t="inlineStr">
        <is>
          <t>37_DRY 140 mm LV - 3 PLACAS - 18,25cm  -  Lado A: PLACA GLASROC X - Lado B: PLACA RF + RF</t>
        </is>
      </c>
      <c r="D2086" s="10" t="inlineStr">
        <is>
          <t>MASSA DE REJUNTE EM PO PARA DRYWALL, A BASE DE GESSO, SECAGEM RAPIDA, PARA TRATAMENTO DE JUNTAS DE CHAPA DE GESSO (NECESSITA ADICAO DE AGUA)</t>
        </is>
      </c>
      <c r="E2086" s="11">
        <f t="array" ref="E2086">_xlfn.XLOOKUP(D2086,Insumos!B:B,Insumos!C:$C)</f>
        <v/>
      </c>
      <c r="F2086" s="14" t="n">
        <v>1.0978</v>
      </c>
      <c r="G2086" s="92">
        <f t="array" ref="G2086">IF(B2086="insumo",_xlfn.XLOOKUP($D2086,Insumos!$B$1:$B$996,Insumos!$D$1:$D$996),"")</f>
        <v/>
      </c>
      <c r="H2086" s="92" t="n">
        <v>3.765454</v>
      </c>
      <c r="I2086" s="2162" t="n">
        <v>0</v>
      </c>
      <c r="J2086" s="2162" t="n">
        <v>0</v>
      </c>
      <c r="K2086" s="2162" t="n"/>
    </row>
    <row r="2087" outlineLevel="3" ht="15.75" customHeight="1">
      <c r="A2087" s="10" t="n">
        <v>94</v>
      </c>
      <c r="B2087" s="10" t="inlineStr">
        <is>
          <t>Insumo</t>
        </is>
      </c>
      <c r="C2087" s="10" t="inlineStr">
        <is>
          <t>37_DRY 140 mm LV - 3 PLACAS - 18,25cm  -  Lado A: PLACA GLASROC X - Lado B: PLACA RF + RF</t>
        </is>
      </c>
      <c r="D2087" s="10" t="inlineStr">
        <is>
          <t>FITA DE PAPEL MICROPERFURADO, 50 X 150 MM, PARA TRATAMENTO DE JUNTAS DE CHAPA DE GESSO PARA DRYWALL</t>
        </is>
      </c>
      <c r="E2087" s="11">
        <f t="array" ref="E2087">_xlfn.XLOOKUP(D2087,Insumos!B:B,Insumos!C:$C)</f>
        <v/>
      </c>
      <c r="F2087" s="14" t="n">
        <v>2.5027</v>
      </c>
      <c r="G2087" s="92">
        <f t="array" ref="G2087">IF(B2087="insumo",_xlfn.XLOOKUP($D2087,Insumos!$B$1:$B$996,Insumos!$D$1:$D$996),"")</f>
        <v/>
      </c>
      <c r="H2087" s="92" t="n">
        <v>0.775837</v>
      </c>
      <c r="I2087" s="2162" t="n">
        <v>0</v>
      </c>
      <c r="J2087" s="2162" t="n">
        <v>0</v>
      </c>
      <c r="K2087" s="2162" t="n"/>
    </row>
    <row r="2088" outlineLevel="3" ht="15.75" customHeight="1">
      <c r="A2088" s="10" t="n">
        <v>94</v>
      </c>
      <c r="B2088" s="10" t="inlineStr">
        <is>
          <t>Insumo</t>
        </is>
      </c>
      <c r="C2088" s="10" t="inlineStr">
        <is>
          <t>37_DRY 140 mm LV - 3 PLACAS - 18,25cm  -  Lado A: PLACA GLASROC X - Lado B: PLACA RF + RF</t>
        </is>
      </c>
      <c r="D2088" s="10" t="inlineStr">
        <is>
          <t>FITA DE PAPEL REFORCADA COM LAMINA DE METAL PARA REFORCO DE CANTOS DE CHAPA DE GESSO PARA DRYWALL</t>
        </is>
      </c>
      <c r="E2088" s="11">
        <f t="array" ref="E2088">_xlfn.XLOOKUP(D2088,Insumos!B:B,Insumos!C:$C)</f>
        <v/>
      </c>
      <c r="F2088" s="14" t="n">
        <v>1.5851</v>
      </c>
      <c r="G2088" s="92">
        <f t="array" ref="G2088">IF(B2088="insumo",_xlfn.XLOOKUP($D2088,Insumos!$B$1:$B$996,Insumos!$D$1:$D$996),"")</f>
        <v/>
      </c>
      <c r="H2088" s="92" t="n">
        <v>4.343174</v>
      </c>
      <c r="I2088" s="2162" t="n">
        <v>0</v>
      </c>
      <c r="J2088" s="2162" t="n">
        <v>0</v>
      </c>
      <c r="K2088" s="2162" t="n"/>
    </row>
    <row r="2089" outlineLevel="3" ht="15.75" customHeight="1">
      <c r="A2089" s="10" t="n">
        <v>97</v>
      </c>
      <c r="B2089" s="10" t="inlineStr">
        <is>
          <t>Insumo</t>
        </is>
      </c>
      <c r="C2089" s="10" t="inlineStr">
        <is>
          <t>37_DRY 140 mm LV - 3 PLACAS - 18,25cm  -  Lado A: PLACA GLASROC X - Lado B: PLACA RF + RF</t>
        </is>
      </c>
      <c r="D2089" s="10" t="inlineStr">
        <is>
          <t>PARAFUSO DRY WALL, EM ACO FOSFATIZADO, CABECA TROMBETA E PONTA AGULHA (TA), COMPRIMENTO 25 MM</t>
        </is>
      </c>
      <c r="E2089" s="11">
        <f t="array" ref="E2089">_xlfn.XLOOKUP(D2089,Insumos!B:B,Insumos!C:$C)</f>
        <v/>
      </c>
      <c r="F2089" s="14" t="n">
        <v>20.1868</v>
      </c>
      <c r="G2089" s="92">
        <f t="array" ref="G2089">IF(B2089="insumo",_xlfn.XLOOKUP($D2089,Insumos!$B$1:$B$996,Insumos!$D$1:$D$996),"")</f>
        <v/>
      </c>
      <c r="H2089" s="92" t="n">
        <v>1.816812</v>
      </c>
      <c r="I2089" s="2162" t="n">
        <v>0</v>
      </c>
      <c r="J2089" s="2162" t="n">
        <v>0</v>
      </c>
      <c r="K2089" s="2162" t="n"/>
    </row>
    <row r="2090" outlineLevel="3" ht="15.75" customHeight="1">
      <c r="A2090" s="10" t="n">
        <v>95</v>
      </c>
      <c r="B2090" s="10" t="inlineStr">
        <is>
          <t>Insumo</t>
        </is>
      </c>
      <c r="C2090" s="10" t="inlineStr">
        <is>
          <t>37_DRY 140 mm LV - 3 PLACAS - 18,25cm  -  Lado A: PLACA GLASROC X - Lado B: PLACA RF + RF</t>
        </is>
      </c>
      <c r="D2090" s="10" t="inlineStr">
        <is>
          <t>PARAFUSO DRY WALL, EM ACO ZINCADO, CABECA LENTILHA E PONTA BROCA (LB), LARGURA 4,2 MM, COMPRIMENTO 13 MM</t>
        </is>
      </c>
      <c r="E2090" s="11">
        <f t="array" ref="E2090">_xlfn.XLOOKUP(D2090,Insumos!B:B,Insumos!C:$C)</f>
        <v/>
      </c>
      <c r="F2090" s="14" t="n">
        <v>0.5441</v>
      </c>
      <c r="G2090" s="92">
        <f t="array" ref="G2090">IF(B2090="insumo",_xlfn.XLOOKUP($D2090,Insumos!$B$1:$B$996,Insumos!$D$1:$D$996),"")</f>
        <v/>
      </c>
      <c r="H2090" s="92" t="n">
        <v>0.10882</v>
      </c>
      <c r="I2090" s="2162" t="n">
        <v>0</v>
      </c>
      <c r="J2090" s="2162" t="n">
        <v>0</v>
      </c>
      <c r="K2090" s="2162" t="n"/>
    </row>
    <row r="2091" outlineLevel="3" ht="15.75" customHeight="1">
      <c r="A2091" s="10" t="n">
        <v>35</v>
      </c>
      <c r="B2091" s="10" t="inlineStr">
        <is>
          <t>Insumo</t>
        </is>
      </c>
      <c r="C2091" s="10" t="inlineStr">
        <is>
          <t>37_DRY 140 mm LV - 3 PLACAS - 18,25cm  -  Lado A: PLACA GLASROC X - Lado B: PLACA RF + RF</t>
        </is>
      </c>
      <c r="D2091" s="10" t="inlineStr">
        <is>
          <t>Lã de pet 50 X 1200 X 12500 MM</t>
        </is>
      </c>
      <c r="E2091" s="11">
        <f t="array" ref="E2091">_xlfn.XLOOKUP(D2091,Insumos!B:B,Insumos!C:$C)</f>
        <v/>
      </c>
      <c r="F2091" s="14" t="n">
        <v>1.1</v>
      </c>
      <c r="G2091" s="92">
        <f t="array" ref="G2091">IF(B2091="insumo",_xlfn.XLOOKUP($D2091,Insumos!$B$1:$B$996,Insumos!$D$1:$D$996),"")</f>
        <v/>
      </c>
      <c r="H2091" s="92" t="n">
        <v>14.3212666666667</v>
      </c>
      <c r="I2091" s="2162" t="n">
        <v>0</v>
      </c>
      <c r="J2091" s="2162" t="n">
        <v>0</v>
      </c>
      <c r="K2091" s="2162" t="n"/>
    </row>
    <row r="2092" outlineLevel="2" ht="15.75" customHeight="1">
      <c r="A2092" s="1067" t="n">
        <v>1</v>
      </c>
      <c r="B2092" s="1067" t="inlineStr">
        <is>
          <t>Serviço</t>
        </is>
      </c>
      <c r="C2092" s="1067" t="inlineStr">
        <is>
          <t>37_DRY 140 mm LV - 3 PLACAS - 18,25cm  -  Lado A: PLACA GLASROC X - Lado B: PLACA RF + RFU</t>
        </is>
      </c>
      <c r="D2092" s="1067" t="inlineStr">
        <is>
          <t>37_DRY 140 mm LV - 3 PLACAS - 18,25cm  -  Lado A: PLACA GLASROC X - Lado B: PLACA RF + RFU</t>
        </is>
      </c>
      <c r="E2092" s="1068" t="inlineStr">
        <is>
          <t>M2</t>
        </is>
      </c>
      <c r="F2092" s="1067" t="n"/>
      <c r="G2092" s="1069">
        <f t="array" ref="G2092">IF(B2092="insumo",_xlfn.XLOOKUP($D2092,Insumos!$B$1:$B$996,Insumos!$D$1:$D$996),"")</f>
        <v/>
      </c>
      <c r="H2092" s="1069" t="n">
        <v>358.094837888889</v>
      </c>
      <c r="I2092" s="2161" t="n">
        <v>0</v>
      </c>
      <c r="J2092" s="2161" t="n">
        <v>0</v>
      </c>
      <c r="K2092" s="2161" t="n"/>
    </row>
    <row r="2093" outlineLevel="3" ht="15.75" customHeight="1">
      <c r="A2093" s="10" t="n">
        <v>86</v>
      </c>
      <c r="B2093" s="10" t="inlineStr">
        <is>
          <t>Insumo</t>
        </is>
      </c>
      <c r="C2093" s="10" t="inlineStr">
        <is>
          <t>37_DRY 140 mm LV - 3 PLACAS - 18,25cm  -  Lado A: PLACA GLASROC X - Lado B: PLACA RF + RFU</t>
        </is>
      </c>
      <c r="D2093" s="10" t="inlineStr">
        <is>
          <t>SERVICO - CONFECCAO SHAFT GESSO</t>
        </is>
      </c>
      <c r="E2093" s="11">
        <f t="array" ref="E2093">_xlfn.XLOOKUP(D2093,Insumos!B:B,Insumos!C:$C)</f>
        <v/>
      </c>
      <c r="F2093" s="14" t="n">
        <v>1</v>
      </c>
      <c r="G2093" s="92">
        <f t="array" ref="G2093">IF(B2093="insumo",_xlfn.XLOOKUP($D2093,Insumos!$B$1:$B$996,Insumos!$D$1:$D$996),"")</f>
        <v/>
      </c>
      <c r="H2093" s="92" t="n">
        <v>70</v>
      </c>
      <c r="I2093" s="2162" t="n">
        <v>0</v>
      </c>
      <c r="J2093" s="2162" t="n">
        <v>0</v>
      </c>
      <c r="K2093" s="2162" t="n"/>
    </row>
    <row r="2094" outlineLevel="3" ht="15.75" customHeight="1">
      <c r="A2094" s="10" t="n">
        <v>3</v>
      </c>
      <c r="B2094" s="10" t="inlineStr">
        <is>
          <t>Insumo</t>
        </is>
      </c>
      <c r="C2094" s="10" t="inlineStr">
        <is>
          <t>37_DRY 140 mm LV - 3 PLACAS - 18,25cm  -  Lado A: PLACA GLASROC X - Lado B: PLACA RF + RFU</t>
        </is>
      </c>
      <c r="D2094" s="10" t="inlineStr">
        <is>
          <t>CHAPA DE GESSO PARA DRYWALL PLACO - KNAUF (RF) VERMELHA 12,5MM X 1,20M X 1,80M</t>
        </is>
      </c>
      <c r="E2094" s="11">
        <f t="array" ref="E2094">_xlfn.XLOOKUP(D2094,Insumos!B:B,Insumos!C:$C)</f>
        <v/>
      </c>
      <c r="F2094" s="14" t="n">
        <v>2.106</v>
      </c>
      <c r="G2094" s="92">
        <f t="array" ref="G2094">IF(B2094="insumo",_xlfn.XLOOKUP($D2094,Insumos!$B$1:$B$996,Insumos!$D$1:$D$996),"")</f>
        <v/>
      </c>
      <c r="H2094" s="92" t="n">
        <v>80.4375</v>
      </c>
      <c r="I2094" s="2162" t="n">
        <v>0</v>
      </c>
      <c r="J2094" s="2162" t="n">
        <v>0</v>
      </c>
      <c r="K2094" s="2162" t="n"/>
    </row>
    <row r="2095" outlineLevel="3" ht="15.75" customHeight="1">
      <c r="A2095" s="10" t="n">
        <v>4</v>
      </c>
      <c r="B2095" s="10" t="inlineStr">
        <is>
          <t>Insumo</t>
        </is>
      </c>
      <c r="C2095" s="10" t="inlineStr">
        <is>
          <t>37_DRY 140 mm LV - 3 PLACAS - 18,25cm  -  Lado A: PLACA GLASROC X - Lado B: PLACA RF + RFU</t>
        </is>
      </c>
      <c r="D2095" s="10" t="inlineStr">
        <is>
          <t>Placa de Gesso Glasroc X 12,5 X 1200 X 2400mm</t>
        </is>
      </c>
      <c r="E2095" s="11">
        <f t="array" ref="E2095">_xlfn.XLOOKUP(D2095,Insumos!B:B,Insumos!C:$C)</f>
        <v/>
      </c>
      <c r="F2095" s="14" t="n">
        <v>1.106</v>
      </c>
      <c r="G2095" s="92">
        <f t="array" ref="G2095">IF(B2095="insumo",_xlfn.XLOOKUP($D2095,Insumos!$B$1:$B$996,Insumos!$D$1:$D$996),"")</f>
        <v/>
      </c>
      <c r="H2095" s="92" t="n">
        <v>92.93472222222221</v>
      </c>
      <c r="I2095" s="2162" t="n">
        <v>0</v>
      </c>
      <c r="J2095" s="2162" t="n">
        <v>0</v>
      </c>
      <c r="K2095" s="2162" t="n"/>
    </row>
    <row r="2096" outlineLevel="3" ht="15.75" customHeight="1">
      <c r="A2096" s="10" t="n">
        <v>95</v>
      </c>
      <c r="B2096" s="10" t="inlineStr">
        <is>
          <t>Insumo</t>
        </is>
      </c>
      <c r="C2096" s="10" t="inlineStr">
        <is>
          <t>37_DRY 140 mm LV - 3 PLACAS - 18,25cm  -  Lado A: PLACA GLASROC X - Lado B: PLACA RF + RFU</t>
        </is>
      </c>
      <c r="D2096" s="10" t="inlineStr">
        <is>
          <t>PINO DE ACO COM ARRUELA CONICA, DIAMETRO ARRUELA = *23* MM E COMP HASTE = *27* MM (ACAO INDIRETA)</t>
        </is>
      </c>
      <c r="E2096" s="11">
        <f t="array" ref="E2096">_xlfn.XLOOKUP(D2096,Insumos!B:B,Insumos!C:$C)</f>
        <v/>
      </c>
      <c r="F2096" s="14" t="n">
        <v>5.92</v>
      </c>
      <c r="G2096" s="92">
        <f t="array" ref="G2096">IF(B2096="insumo",_xlfn.XLOOKUP($D2096,Insumos!$B$1:$B$996,Insumos!$D$1:$D$996),"")</f>
        <v/>
      </c>
      <c r="H2096" s="92" t="n">
        <v>2.98368</v>
      </c>
      <c r="I2096" s="2162" t="n">
        <v>0</v>
      </c>
      <c r="J2096" s="2162" t="n">
        <v>0</v>
      </c>
      <c r="K2096" s="2162" t="n"/>
    </row>
    <row r="2097" outlineLevel="3" ht="15.75" customHeight="1">
      <c r="A2097" s="10" t="n">
        <v>43</v>
      </c>
      <c r="B2097" s="10" t="inlineStr">
        <is>
          <t>Insumo</t>
        </is>
      </c>
      <c r="C2097" s="10" t="inlineStr">
        <is>
          <t>37_DRY 140 mm LV - 3 PLACAS - 18,25cm  -  Lado A: PLACA GLASROC X - Lado B: PLACA RF + RFU</t>
        </is>
      </c>
      <c r="D2097" s="10" t="inlineStr">
        <is>
          <t>PERFIL GUIA, FORMATO U, EM ACO ZINCADO, PARA ESTRUTURA PAREDE DRYWALL, E = 0,5 MM, 70 X 3000 MM (L X C)</t>
        </is>
      </c>
      <c r="E2097" s="11">
        <f t="array" ref="E2097">_xlfn.XLOOKUP(D2097,Insumos!B:B,Insumos!C:$C)</f>
        <v/>
      </c>
      <c r="F2097" s="14">
        <f>1.5248*2</f>
        <v/>
      </c>
      <c r="G2097" s="92">
        <f t="array" ref="G2097">IF(B2097="insumo",_xlfn.XLOOKUP($D2097,Insumos!$B$1:$B$996,Insumos!$D$1:$D$996),"")</f>
        <v/>
      </c>
      <c r="H2097" s="92" t="n">
        <v>22.750016</v>
      </c>
      <c r="I2097" s="2162" t="n">
        <v>0</v>
      </c>
      <c r="J2097" s="2162" t="n">
        <v>0</v>
      </c>
      <c r="K2097" s="2162" t="n"/>
    </row>
    <row r="2098" outlineLevel="3" ht="15.75" customHeight="1">
      <c r="A2098" s="10" t="n">
        <v>43</v>
      </c>
      <c r="B2098" s="10" t="inlineStr">
        <is>
          <t>Insumo</t>
        </is>
      </c>
      <c r="C2098" s="10" t="inlineStr">
        <is>
          <t>37_DRY 140 mm LV - 3 PLACAS - 18,25cm  -  Lado A: PLACA GLASROC X - Lado B: PLACA RF + RFU</t>
        </is>
      </c>
      <c r="D2098" s="10" t="inlineStr">
        <is>
          <t>PERFIL MONTANTE, FORMATO C, EM ACO ZINCADO, PARA ESTRUTURA PAREDE DRYWALL, E = 0,5 MM, 70 X 3000 MM (L X C)</t>
        </is>
      </c>
      <c r="E2098" s="11">
        <f t="array" ref="E2098">_xlfn.XLOOKUP(D2098,Insumos!B:B,Insumos!C:$C)</f>
        <v/>
      </c>
      <c r="F2098" s="14">
        <f>4.0011*2</f>
        <v/>
      </c>
      <c r="G2098" s="92">
        <f t="array" ref="G2098">IF(B2098="insumo",_xlfn.XLOOKUP($D2098,Insumos!$B$1:$B$996,Insumos!$D$1:$D$996),"")</f>
        <v/>
      </c>
      <c r="H2098" s="92" t="n">
        <v>63.857556</v>
      </c>
      <c r="I2098" s="2162" t="n">
        <v>0</v>
      </c>
      <c r="J2098" s="2162" t="n">
        <v>0</v>
      </c>
      <c r="K2098" s="2162" t="n"/>
    </row>
    <row r="2099" outlineLevel="3" ht="15.75" customHeight="1">
      <c r="A2099" s="10" t="n">
        <v>95</v>
      </c>
      <c r="B2099" s="10" t="inlineStr">
        <is>
          <t>Insumo</t>
        </is>
      </c>
      <c r="C2099" s="10" t="inlineStr">
        <is>
          <t>37_DRY 140 mm LV - 3 PLACAS - 18,25cm  -  Lado A: PLACA GLASROC X - Lado B: PLACA RF + RFU</t>
        </is>
      </c>
      <c r="D2099" s="10" t="inlineStr">
        <is>
          <t>MASSA DE REJUNTE EM PO PARA DRYWALL, A BASE DE GESSO, SECAGEM RAPIDA, PARA TRATAMENTO DE JUNTAS DE CHAPA DE GESSO (NECESSITA ADICAO DE AGUA)</t>
        </is>
      </c>
      <c r="E2099" s="11">
        <f t="array" ref="E2099">_xlfn.XLOOKUP(D2099,Insumos!B:B,Insumos!C:$C)</f>
        <v/>
      </c>
      <c r="F2099" s="14" t="n">
        <v>1.0978</v>
      </c>
      <c r="G2099" s="92">
        <f t="array" ref="G2099">IF(B2099="insumo",_xlfn.XLOOKUP($D2099,Insumos!$B$1:$B$996,Insumos!$D$1:$D$996),"")</f>
        <v/>
      </c>
      <c r="H2099" s="92" t="n">
        <v>3.765454</v>
      </c>
      <c r="I2099" s="2162" t="n">
        <v>0</v>
      </c>
      <c r="J2099" s="2162" t="n">
        <v>0</v>
      </c>
      <c r="K2099" s="2162" t="n"/>
    </row>
    <row r="2100" outlineLevel="3" ht="15.75" customHeight="1">
      <c r="A2100" s="10" t="n">
        <v>94</v>
      </c>
      <c r="B2100" s="10" t="inlineStr">
        <is>
          <t>Insumo</t>
        </is>
      </c>
      <c r="C2100" s="10" t="inlineStr">
        <is>
          <t>37_DRY 140 mm LV - 3 PLACAS - 18,25cm  -  Lado A: PLACA GLASROC X - Lado B: PLACA RF + RFU</t>
        </is>
      </c>
      <c r="D2100" s="10" t="inlineStr">
        <is>
          <t>FITA DE PAPEL MICROPERFURADO, 50 X 150 MM, PARA TRATAMENTO DE JUNTAS DE CHAPA DE GESSO PARA DRYWALL</t>
        </is>
      </c>
      <c r="E2100" s="11">
        <f t="array" ref="E2100">_xlfn.XLOOKUP(D2100,Insumos!B:B,Insumos!C:$C)</f>
        <v/>
      </c>
      <c r="F2100" s="14" t="n">
        <v>2.5027</v>
      </c>
      <c r="G2100" s="92">
        <f t="array" ref="G2100">IF(B2100="insumo",_xlfn.XLOOKUP($D2100,Insumos!$B$1:$B$996,Insumos!$D$1:$D$996),"")</f>
        <v/>
      </c>
      <c r="H2100" s="92" t="n">
        <v>0.775837</v>
      </c>
      <c r="I2100" s="2162" t="n">
        <v>0</v>
      </c>
      <c r="J2100" s="2162" t="n">
        <v>0</v>
      </c>
      <c r="K2100" s="2162" t="n"/>
    </row>
    <row r="2101" outlineLevel="3" ht="15.75" customHeight="1">
      <c r="A2101" s="10" t="n">
        <v>94</v>
      </c>
      <c r="B2101" s="10" t="inlineStr">
        <is>
          <t>Insumo</t>
        </is>
      </c>
      <c r="C2101" s="10" t="inlineStr">
        <is>
          <t>37_DRY 140 mm LV - 3 PLACAS - 18,25cm  -  Lado A: PLACA GLASROC X - Lado B: PLACA RF + RFU</t>
        </is>
      </c>
      <c r="D2101" s="10" t="inlineStr">
        <is>
          <t>FITA DE PAPEL REFORCADA COM LAMINA DE METAL PARA REFORCO DE CANTOS DE CHAPA DE GESSO PARA DRYWALL</t>
        </is>
      </c>
      <c r="E2101" s="11">
        <f t="array" ref="E2101">_xlfn.XLOOKUP(D2101,Insumos!B:B,Insumos!C:$C)</f>
        <v/>
      </c>
      <c r="F2101" s="14" t="n">
        <v>1.5851</v>
      </c>
      <c r="G2101" s="92">
        <f t="array" ref="G2101">IF(B2101="insumo",_xlfn.XLOOKUP($D2101,Insumos!$B$1:$B$996,Insumos!$D$1:$D$996),"")</f>
        <v/>
      </c>
      <c r="H2101" s="92" t="n">
        <v>4.343174</v>
      </c>
      <c r="I2101" s="2162" t="n">
        <v>0</v>
      </c>
      <c r="J2101" s="2162" t="n">
        <v>0</v>
      </c>
      <c r="K2101" s="2162" t="n"/>
    </row>
    <row r="2102" outlineLevel="3" ht="15.75" customHeight="1">
      <c r="A2102" s="10" t="n">
        <v>97</v>
      </c>
      <c r="B2102" s="10" t="inlineStr">
        <is>
          <t>Insumo</t>
        </is>
      </c>
      <c r="C2102" s="10" t="inlineStr">
        <is>
          <t>37_DRY 140 mm LV - 3 PLACAS - 18,25cm  -  Lado A: PLACA GLASROC X - Lado B: PLACA RF + RFU</t>
        </is>
      </c>
      <c r="D2102" s="10" t="inlineStr">
        <is>
          <t>PARAFUSO DRY WALL, EM ACO FOSFATIZADO, CABECA TROMBETA E PONTA AGULHA (TA), COMPRIMENTO 25 MM</t>
        </is>
      </c>
      <c r="E2102" s="11">
        <f t="array" ref="E2102">_xlfn.XLOOKUP(D2102,Insumos!B:B,Insumos!C:$C)</f>
        <v/>
      </c>
      <c r="F2102" s="14" t="n">
        <v>20.1868</v>
      </c>
      <c r="G2102" s="92">
        <f t="array" ref="G2102">IF(B2102="insumo",_xlfn.XLOOKUP($D2102,Insumos!$B$1:$B$996,Insumos!$D$1:$D$996),"")</f>
        <v/>
      </c>
      <c r="H2102" s="92" t="n">
        <v>1.816812</v>
      </c>
      <c r="I2102" s="2162" t="n">
        <v>0</v>
      </c>
      <c r="J2102" s="2162" t="n">
        <v>0</v>
      </c>
      <c r="K2102" s="2162" t="n"/>
    </row>
    <row r="2103" outlineLevel="3" ht="15.75" customHeight="1">
      <c r="A2103" s="10" t="n">
        <v>95</v>
      </c>
      <c r="B2103" s="10" t="inlineStr">
        <is>
          <t>Insumo</t>
        </is>
      </c>
      <c r="C2103" s="10" t="inlineStr">
        <is>
          <t>37_DRY 140 mm LV - 3 PLACAS - 18,25cm  -  Lado A: PLACA GLASROC X - Lado B: PLACA RF + RFU</t>
        </is>
      </c>
      <c r="D2103" s="10" t="inlineStr">
        <is>
          <t>PARAFUSO DRY WALL, EM ACO ZINCADO, CABECA LENTILHA E PONTA BROCA (LB), LARGURA 4,2 MM, COMPRIMENTO 13 MM</t>
        </is>
      </c>
      <c r="E2103" s="11">
        <f t="array" ref="E2103">_xlfn.XLOOKUP(D2103,Insumos!B:B,Insumos!C:$C)</f>
        <v/>
      </c>
      <c r="F2103" s="14" t="n">
        <v>0.5441</v>
      </c>
      <c r="G2103" s="92">
        <f t="array" ref="G2103">IF(B2103="insumo",_xlfn.XLOOKUP($D2103,Insumos!$B$1:$B$996,Insumos!$D$1:$D$996),"")</f>
        <v/>
      </c>
      <c r="H2103" s="92" t="n">
        <v>0.10882</v>
      </c>
      <c r="I2103" s="2162" t="n">
        <v>0</v>
      </c>
      <c r="J2103" s="2162" t="n">
        <v>0</v>
      </c>
      <c r="K2103" s="2162" t="n"/>
    </row>
    <row r="2104" outlineLevel="3" ht="15.75" customHeight="1">
      <c r="A2104" s="10" t="n">
        <v>35</v>
      </c>
      <c r="B2104" s="10" t="inlineStr">
        <is>
          <t>Insumo</t>
        </is>
      </c>
      <c r="C2104" s="10" t="inlineStr">
        <is>
          <t>37_DRY 140 mm LV - 3 PLACAS - 18,25cm  -  Lado A: PLACA GLASROC X - Lado B: PLACA RF + RFU</t>
        </is>
      </c>
      <c r="D2104" s="10" t="inlineStr">
        <is>
          <t>Lã de pet 50 X 1200 X 12500 MM</t>
        </is>
      </c>
      <c r="E2104" s="11">
        <f t="array" ref="E2104">_xlfn.XLOOKUP(D2104,Insumos!B:B,Insumos!C:$C)</f>
        <v/>
      </c>
      <c r="F2104" s="14" t="n">
        <v>1.1</v>
      </c>
      <c r="G2104" s="92">
        <f t="array" ref="G2104">IF(B2104="insumo",_xlfn.XLOOKUP($D2104,Insumos!$B$1:$B$996,Insumos!$D$1:$D$996),"")</f>
        <v/>
      </c>
      <c r="H2104" s="92" t="n">
        <v>14.3212666666667</v>
      </c>
      <c r="I2104" s="2162" t="n">
        <v>0</v>
      </c>
      <c r="J2104" s="2162" t="n">
        <v>0</v>
      </c>
      <c r="K2104" s="2162" t="n"/>
    </row>
    <row r="2105" outlineLevel="2" ht="15.75" customHeight="1">
      <c r="A2105" s="1067" t="n">
        <v>1</v>
      </c>
      <c r="B2105" s="1067" t="inlineStr">
        <is>
          <t>Serviço</t>
        </is>
      </c>
      <c r="C2105" s="1067" t="inlineStr">
        <is>
          <t>38_DRY 0 mm - 1 PLACA - 1,25cm  -  Lado A: PLACA PERFORMANCE RU - Lado B: N/A</t>
        </is>
      </c>
      <c r="D2105" s="1067" t="inlineStr">
        <is>
          <t>38_DRY 0 mm - 1 PLACA - 1,25cm  -  Lado A: PLACA PERFORMANCE RU - Lado B: N/A</t>
        </is>
      </c>
      <c r="E2105" s="1068" t="inlineStr">
        <is>
          <t>M2</t>
        </is>
      </c>
      <c r="F2105" s="1067" t="n"/>
      <c r="G2105" s="1069">
        <f t="array" ref="G2105">IF(B2105="insumo",_xlfn.XLOOKUP($D2105,Insumos!$B$1:$B$996,Insumos!$D$1:$D$996),"")</f>
        <v/>
      </c>
      <c r="H2105" s="1069" t="n">
        <v>105.3232385</v>
      </c>
      <c r="I2105" s="2161" t="n">
        <v>0</v>
      </c>
      <c r="J2105" s="2161" t="n">
        <v>0</v>
      </c>
      <c r="K2105" s="2161" t="n"/>
    </row>
    <row r="2106" outlineLevel="3" ht="15.75" customHeight="1">
      <c r="A2106" s="10" t="n">
        <v>86</v>
      </c>
      <c r="B2106" s="10" t="inlineStr">
        <is>
          <t>Insumo</t>
        </is>
      </c>
      <c r="C2106" s="10" t="inlineStr">
        <is>
          <t>38_DRY 0 mm - 1 PLACA - 1,25cm  -  Lado A: PLACA PERFORMANCE RU - Lado B: N/A</t>
        </is>
      </c>
      <c r="D2106" s="10" t="inlineStr">
        <is>
          <t>SERVICO - CONFECCAO SHAFT GESSO</t>
        </is>
      </c>
      <c r="E2106" s="11">
        <f t="array" ref="E2106">_xlfn.XLOOKUP(D2106,Insumos!B:B,Insumos!C:$C)</f>
        <v/>
      </c>
      <c r="F2106" s="14" t="n">
        <v>1</v>
      </c>
      <c r="G2106" s="92">
        <f t="array" ref="G2106">IF(B2106="insumo",_xlfn.XLOOKUP($D2106,Insumos!$B$1:$B$996,Insumos!$D$1:$D$996),"")</f>
        <v/>
      </c>
      <c r="H2106" s="92" t="n">
        <v>70</v>
      </c>
      <c r="I2106" s="2162" t="n">
        <v>0</v>
      </c>
      <c r="J2106" s="2162" t="n">
        <v>0</v>
      </c>
      <c r="K2106" s="2162" t="n"/>
    </row>
    <row r="2107" outlineLevel="3" ht="15.75" customHeight="1">
      <c r="A2107" s="10" t="n">
        <v>49</v>
      </c>
      <c r="B2107" s="10" t="inlineStr">
        <is>
          <t>Insumo</t>
        </is>
      </c>
      <c r="C2107" s="10" t="inlineStr">
        <is>
          <t>38_DRY 0 mm - 1 PLACA - 1,25cm  -  Lado A: PLACA PERFORMANCE RU - Lado B: N/A</t>
        </is>
      </c>
      <c r="D2107" s="10" t="inlineStr">
        <is>
          <t>PLACA / CHAPA DE GESSO ACARTONADO, RESISTENTE A UMIDADE (RU), COR VERDE, E = 12,5 MM, 1200 X 2400 MM (L X C)</t>
        </is>
      </c>
      <c r="E2107" s="11">
        <f t="array" ref="E2107">_xlfn.XLOOKUP(D2107,Insumos!B:B,Insumos!C:$C)</f>
        <v/>
      </c>
      <c r="F2107" s="14" t="n">
        <v>1.106</v>
      </c>
      <c r="G2107" s="92">
        <f t="array" ref="G2107">IF(B2107="insumo",_xlfn.XLOOKUP($D2107,Insumos!$B$1:$B$996,Insumos!$D$1:$D$996),"")</f>
        <v/>
      </c>
      <c r="H2107" s="92" t="n">
        <v>29.9726</v>
      </c>
      <c r="I2107" s="2162" t="n">
        <v>0</v>
      </c>
      <c r="J2107" s="2162" t="n">
        <v>0</v>
      </c>
      <c r="K2107" s="2162" t="n"/>
    </row>
    <row r="2108" outlineLevel="3" ht="15.75" customHeight="1">
      <c r="A2108" s="10" t="n">
        <v>95</v>
      </c>
      <c r="B2108" s="10" t="inlineStr">
        <is>
          <t>Insumo</t>
        </is>
      </c>
      <c r="C2108" s="10" t="inlineStr">
        <is>
          <t>38_DRY 0 mm - 1 PLACA - 1,25cm  -  Lado A: PLACA PERFORMANCE RU - Lado B: N/A</t>
        </is>
      </c>
      <c r="D2108" s="10" t="inlineStr">
        <is>
          <t>MASSA DE REJUNTE EM PO PARA DRYWALL, A BASE DE GESSO, SECAGEM RAPIDA, PARA TRATAMENTO DE JUNTAS DE CHAPA DE GESSO (NECESSITA ADICAO DE AGUA)</t>
        </is>
      </c>
      <c r="E2108" s="11">
        <f t="array" ref="E2108">_xlfn.XLOOKUP(D2108,Insumos!B:B,Insumos!C:$C)</f>
        <v/>
      </c>
      <c r="F2108" s="14">
        <f>1.0978/2</f>
        <v/>
      </c>
      <c r="G2108" s="92">
        <f t="array" ref="G2108">IF(B2108="insumo",_xlfn.XLOOKUP($D2108,Insumos!$B$1:$B$996,Insumos!$D$1:$D$996),"")</f>
        <v/>
      </c>
      <c r="H2108" s="92" t="n">
        <v>1.882727</v>
      </c>
      <c r="I2108" s="2162" t="n">
        <v>0</v>
      </c>
      <c r="J2108" s="2162" t="n">
        <v>0</v>
      </c>
      <c r="K2108" s="2162" t="n"/>
    </row>
    <row r="2109" outlineLevel="3" ht="15.75" customHeight="1">
      <c r="A2109" s="10" t="n">
        <v>94</v>
      </c>
      <c r="B2109" s="10" t="inlineStr">
        <is>
          <t>Insumo</t>
        </is>
      </c>
      <c r="C2109" s="10" t="inlineStr">
        <is>
          <t>38_DRY 0 mm - 1 PLACA - 1,25cm  -  Lado A: PLACA PERFORMANCE RU - Lado B: N/A</t>
        </is>
      </c>
      <c r="D2109" s="10" t="inlineStr">
        <is>
          <t>FITA DE PAPEL MICROPERFURADO, 50 X 150 MM, PARA TRATAMENTO DE JUNTAS DE CHAPA DE GESSO PARA DRYWALL</t>
        </is>
      </c>
      <c r="E2109" s="11">
        <f t="array" ref="E2109">_xlfn.XLOOKUP(D2109,Insumos!B:B,Insumos!C:$C)</f>
        <v/>
      </c>
      <c r="F2109" s="14">
        <f>2.5027/2</f>
        <v/>
      </c>
      <c r="G2109" s="92">
        <f t="array" ref="G2109">IF(B2109="insumo",_xlfn.XLOOKUP($D2109,Insumos!$B$1:$B$996,Insumos!$D$1:$D$996),"")</f>
        <v/>
      </c>
      <c r="H2109" s="92" t="n">
        <v>0.3879185</v>
      </c>
      <c r="I2109" s="2162" t="n">
        <v>0</v>
      </c>
      <c r="J2109" s="2162" t="n">
        <v>0</v>
      </c>
      <c r="K2109" s="2162" t="n"/>
    </row>
    <row r="2110" outlineLevel="3" ht="15.75" customHeight="1">
      <c r="A2110" s="10" t="n">
        <v>94</v>
      </c>
      <c r="B2110" s="10" t="inlineStr">
        <is>
          <t>Insumo</t>
        </is>
      </c>
      <c r="C2110" s="10" t="inlineStr">
        <is>
          <t>38_DRY 0 mm - 1 PLACA - 1,25cm  -  Lado A: PLACA PERFORMANCE RU - Lado B: N/A</t>
        </is>
      </c>
      <c r="D2110" s="10" t="inlineStr">
        <is>
          <t>FITA DE PAPEL REFORCADA COM LAMINA DE METAL PARA REFORCO DE CANTOS DE CHAPA DE GESSO PARA DRYWALL</t>
        </is>
      </c>
      <c r="E2110" s="11">
        <f t="array" ref="E2110">_xlfn.XLOOKUP(D2110,Insumos!B:B,Insumos!C:$C)</f>
        <v/>
      </c>
      <c r="F2110" s="14">
        <f>1.5851/2</f>
        <v/>
      </c>
      <c r="G2110" s="92">
        <f t="array" ref="G2110">IF(B2110="insumo",_xlfn.XLOOKUP($D2110,Insumos!$B$1:$B$996,Insumos!$D$1:$D$996),"")</f>
        <v/>
      </c>
      <c r="H2110" s="92" t="n">
        <v>2.171587</v>
      </c>
      <c r="I2110" s="2162" t="n">
        <v>0</v>
      </c>
      <c r="J2110" s="2162" t="n">
        <v>0</v>
      </c>
      <c r="K2110" s="2162" t="n"/>
    </row>
    <row r="2111" outlineLevel="3" ht="15.75" customHeight="1">
      <c r="A2111" s="10" t="n">
        <v>97</v>
      </c>
      <c r="B2111" s="10" t="inlineStr">
        <is>
          <t>Insumo</t>
        </is>
      </c>
      <c r="C2111" s="10" t="inlineStr">
        <is>
          <t>38_DRY 0 mm - 1 PLACA - 1,25cm  -  Lado A: PLACA PERFORMANCE RU - Lado B: N/A</t>
        </is>
      </c>
      <c r="D2111" s="10" t="inlineStr">
        <is>
          <t>PARAFUSO DRY WALL, EM ACO FOSFATIZADO, CABECA TROMBETA E PONTA AGULHA (TA), COMPRIMENTO 25 MM</t>
        </is>
      </c>
      <c r="E2111" s="11">
        <f t="array" ref="E2111">_xlfn.XLOOKUP(D2111,Insumos!B:B,Insumos!C:$C)</f>
        <v/>
      </c>
      <c r="F2111" s="14">
        <f>20.1868/2</f>
        <v/>
      </c>
      <c r="G2111" s="92">
        <f t="array" ref="G2111">IF(B2111="insumo",_xlfn.XLOOKUP($D2111,Insumos!$B$1:$B$996,Insumos!$D$1:$D$996),"")</f>
        <v/>
      </c>
      <c r="H2111" s="92" t="n">
        <v>0.908406</v>
      </c>
      <c r="I2111" s="2162" t="n">
        <v>0</v>
      </c>
      <c r="J2111" s="2162" t="n">
        <v>0</v>
      </c>
      <c r="K2111" s="2162" t="n"/>
    </row>
    <row r="2112" outlineLevel="2" ht="15.75" customHeight="1">
      <c r="A2112" s="1067" t="n">
        <v>1</v>
      </c>
      <c r="B2112" s="1067" t="inlineStr">
        <is>
          <t>Serviço</t>
        </is>
      </c>
      <c r="C2112" s="1067" t="inlineStr">
        <is>
          <t>38_DRY 0 mm - 1 PLACA - 1,25cm  -  Lado A: PLACA ST - Lado B: N/A</t>
        </is>
      </c>
      <c r="D2112" s="1067" t="inlineStr">
        <is>
          <t>38_DRY 0 mm - 1 PLACA - 1,25cm  -  Lado A: PLACA ST - Lado B: N/A</t>
        </is>
      </c>
      <c r="E2112" s="1068" t="inlineStr">
        <is>
          <t>M2</t>
        </is>
      </c>
      <c r="F2112" s="1067" t="n"/>
      <c r="G2112" s="1069">
        <f t="array" ref="G2112">IF(B2112="insumo",_xlfn.XLOOKUP($D2112,Insumos!$B$1:$B$996,Insumos!$D$1:$D$996),"")</f>
        <v/>
      </c>
      <c r="H2112" s="1069" t="n">
        <v>97.6475985</v>
      </c>
      <c r="I2112" s="2161" t="n">
        <v>0</v>
      </c>
      <c r="J2112" s="2161" t="n">
        <v>0</v>
      </c>
      <c r="K2112" s="2161" t="n"/>
    </row>
    <row r="2113" outlineLevel="3" ht="15.75" customHeight="1">
      <c r="A2113" s="10" t="n">
        <v>86</v>
      </c>
      <c r="B2113" s="10" t="inlineStr">
        <is>
          <t>Insumo</t>
        </is>
      </c>
      <c r="C2113" s="10" t="inlineStr">
        <is>
          <t>38_DRY 0 mm - 1 PLACA - 1,25cm  -  Lado A: PLACA ST - Lado B: N/A</t>
        </is>
      </c>
      <c r="D2113" s="10" t="inlineStr">
        <is>
          <t>SERVICO - CONFECCAO SHAFT GESSO</t>
        </is>
      </c>
      <c r="E2113" s="11">
        <f t="array" ref="E2113">_xlfn.XLOOKUP(D2113,Insumos!B:B,Insumos!C:$C)</f>
        <v/>
      </c>
      <c r="F2113" s="14" t="n">
        <v>1</v>
      </c>
      <c r="G2113" s="92">
        <f t="array" ref="G2113">IF(B2113="insumo",_xlfn.XLOOKUP($D2113,Insumos!$B$1:$B$996,Insumos!$D$1:$D$996),"")</f>
        <v/>
      </c>
      <c r="H2113" s="92" t="n">
        <v>70</v>
      </c>
      <c r="I2113" s="2162" t="n">
        <v>0</v>
      </c>
      <c r="J2113" s="2162" t="n">
        <v>0</v>
      </c>
      <c r="K2113" s="2162" t="n"/>
    </row>
    <row r="2114" outlineLevel="3" ht="15.75" customHeight="1">
      <c r="A2114" s="10" t="n">
        <v>47</v>
      </c>
      <c r="B2114" s="10" t="inlineStr">
        <is>
          <t>Insumo</t>
        </is>
      </c>
      <c r="C2114" s="10" t="inlineStr">
        <is>
          <t>38_DRY 0 mm - 1 PLACA - 1,25cm  -  Lado A: PLACA ST - Lado B: N/A</t>
        </is>
      </c>
      <c r="D2114" s="10" t="inlineStr">
        <is>
          <t>PLACA / CHAPA DE GESSO ACARTONADO, STANDARD (ST), COR BRANCA, E = 12,5 MM, 1200 X 2400 MM (L X C)</t>
        </is>
      </c>
      <c r="E2114" s="11">
        <f t="array" ref="E2114">_xlfn.XLOOKUP(D2114,Insumos!B:B,Insumos!C:$C)</f>
        <v/>
      </c>
      <c r="F2114" s="14" t="n">
        <v>1.106</v>
      </c>
      <c r="G2114" s="92">
        <f t="array" ref="G2114">IF(B2114="insumo",_xlfn.XLOOKUP($D2114,Insumos!$B$1:$B$996,Insumos!$D$1:$D$996),"")</f>
        <v/>
      </c>
      <c r="H2114" s="92" t="n">
        <v>22.29696</v>
      </c>
      <c r="I2114" s="2162" t="n">
        <v>0</v>
      </c>
      <c r="J2114" s="2162" t="n">
        <v>0</v>
      </c>
      <c r="K2114" s="2162" t="n"/>
    </row>
    <row r="2115" outlineLevel="3" ht="15.75" customHeight="1">
      <c r="A2115" s="10" t="n">
        <v>95</v>
      </c>
      <c r="B2115" s="10" t="inlineStr">
        <is>
          <t>Insumo</t>
        </is>
      </c>
      <c r="C2115" s="10" t="inlineStr">
        <is>
          <t>38_DRY 0 mm - 1 PLACA - 1,25cm  -  Lado A: PLACA ST - Lado B: N/A</t>
        </is>
      </c>
      <c r="D2115" s="10" t="inlineStr">
        <is>
          <t>MASSA DE REJUNTE EM PO PARA DRYWALL, A BASE DE GESSO, SECAGEM RAPIDA, PARA TRATAMENTO DE JUNTAS DE CHAPA DE GESSO (NECESSITA ADICAO DE AGUA)</t>
        </is>
      </c>
      <c r="E2115" s="11">
        <f t="array" ref="E2115">_xlfn.XLOOKUP(D2115,Insumos!B:B,Insumos!C:$C)</f>
        <v/>
      </c>
      <c r="F2115" s="14">
        <f>1.0978/2</f>
        <v/>
      </c>
      <c r="G2115" s="92">
        <f t="array" ref="G2115">IF(B2115="insumo",_xlfn.XLOOKUP($D2115,Insumos!$B$1:$B$996,Insumos!$D$1:$D$996),"")</f>
        <v/>
      </c>
      <c r="H2115" s="92" t="n">
        <v>1.882727</v>
      </c>
      <c r="I2115" s="2162" t="n">
        <v>0</v>
      </c>
      <c r="J2115" s="2162" t="n">
        <v>0</v>
      </c>
      <c r="K2115" s="2162" t="n"/>
    </row>
    <row r="2116" outlineLevel="3" ht="15.75" customHeight="1">
      <c r="A2116" s="10" t="n">
        <v>94</v>
      </c>
      <c r="B2116" s="10" t="inlineStr">
        <is>
          <t>Insumo</t>
        </is>
      </c>
      <c r="C2116" s="10" t="inlineStr">
        <is>
          <t>38_DRY 0 mm - 1 PLACA - 1,25cm  -  Lado A: PLACA ST - Lado B: N/A</t>
        </is>
      </c>
      <c r="D2116" s="10" t="inlineStr">
        <is>
          <t>FITA DE PAPEL MICROPERFURADO, 50 X 150 MM, PARA TRATAMENTO DE JUNTAS DE CHAPA DE GESSO PARA DRYWALL</t>
        </is>
      </c>
      <c r="E2116" s="11">
        <f t="array" ref="E2116">_xlfn.XLOOKUP(D2116,Insumos!B:B,Insumos!C:$C)</f>
        <v/>
      </c>
      <c r="F2116" s="14">
        <f>2.5027/2</f>
        <v/>
      </c>
      <c r="G2116" s="92">
        <f t="array" ref="G2116">IF(B2116="insumo",_xlfn.XLOOKUP($D2116,Insumos!$B$1:$B$996,Insumos!$D$1:$D$996),"")</f>
        <v/>
      </c>
      <c r="H2116" s="92" t="n">
        <v>0.3879185</v>
      </c>
      <c r="I2116" s="2162" t="n">
        <v>0</v>
      </c>
      <c r="J2116" s="2162" t="n">
        <v>0</v>
      </c>
      <c r="K2116" s="2162" t="n"/>
    </row>
    <row r="2117" outlineLevel="3" ht="15.75" customHeight="1">
      <c r="A2117" s="10" t="n">
        <v>94</v>
      </c>
      <c r="B2117" s="10" t="inlineStr">
        <is>
          <t>Insumo</t>
        </is>
      </c>
      <c r="C2117" s="10" t="inlineStr">
        <is>
          <t>38_DRY 0 mm - 1 PLACA - 1,25cm  -  Lado A: PLACA ST - Lado B: N/A</t>
        </is>
      </c>
      <c r="D2117" s="10" t="inlineStr">
        <is>
          <t>FITA DE PAPEL REFORCADA COM LAMINA DE METAL PARA REFORCO DE CANTOS DE CHAPA DE GESSO PARA DRYWALL</t>
        </is>
      </c>
      <c r="E2117" s="11">
        <f t="array" ref="E2117">_xlfn.XLOOKUP(D2117,Insumos!B:B,Insumos!C:$C)</f>
        <v/>
      </c>
      <c r="F2117" s="14">
        <f>1.5851/2</f>
        <v/>
      </c>
      <c r="G2117" s="92">
        <f t="array" ref="G2117">IF(B2117="insumo",_xlfn.XLOOKUP($D2117,Insumos!$B$1:$B$996,Insumos!$D$1:$D$996),"")</f>
        <v/>
      </c>
      <c r="H2117" s="92" t="n">
        <v>2.171587</v>
      </c>
      <c r="I2117" s="2162" t="n">
        <v>0</v>
      </c>
      <c r="J2117" s="2162" t="n">
        <v>0</v>
      </c>
      <c r="K2117" s="2162" t="n"/>
    </row>
    <row r="2118" outlineLevel="3" ht="15.75" customHeight="1">
      <c r="A2118" s="10" t="n">
        <v>97</v>
      </c>
      <c r="B2118" s="10" t="inlineStr">
        <is>
          <t>Insumo</t>
        </is>
      </c>
      <c r="C2118" s="10" t="inlineStr">
        <is>
          <t>38_DRY 0 mm - 1 PLACA - 1,25cm  -  Lado A: PLACA ST - Lado B: N/A</t>
        </is>
      </c>
      <c r="D2118" s="10" t="inlineStr">
        <is>
          <t>PARAFUSO DRY WALL, EM ACO FOSFATIZADO, CABECA TROMBETA E PONTA AGULHA (TA), COMPRIMENTO 25 MM</t>
        </is>
      </c>
      <c r="E2118" s="11">
        <f t="array" ref="E2118">_xlfn.XLOOKUP(D2118,Insumos!B:B,Insumos!C:$C)</f>
        <v/>
      </c>
      <c r="F2118" s="14">
        <f>20.1868/2</f>
        <v/>
      </c>
      <c r="G2118" s="92">
        <f t="array" ref="G2118">IF(B2118="insumo",_xlfn.XLOOKUP($D2118,Insumos!$B$1:$B$996,Insumos!$D$1:$D$996),"")</f>
        <v/>
      </c>
      <c r="H2118" s="92" t="n">
        <v>0.908406</v>
      </c>
      <c r="I2118" s="2162" t="n">
        <v>0</v>
      </c>
      <c r="J2118" s="2162" t="n">
        <v>0</v>
      </c>
      <c r="K2118" s="2162" t="n"/>
    </row>
    <row r="2119" outlineLevel="2" ht="15.75" customHeight="1">
      <c r="A2119" s="1067" t="n">
        <v>1</v>
      </c>
      <c r="B2119" s="1067" t="inlineStr">
        <is>
          <t>Serviço</t>
        </is>
      </c>
      <c r="C2119" s="1067" t="inlineStr">
        <is>
          <t>38_DRY 0 mm - 1 PLACA - 1,25cm  -  Lado A: PLACA PERFORMANCE ST - Lado B: N/A</t>
        </is>
      </c>
      <c r="D2119" s="1067" t="inlineStr">
        <is>
          <t>38_DRY 0 mm - 1 PLACA - 1,25cm  -  Lado A: PLACA PERFORMANCE ST - Lado B: N/A</t>
        </is>
      </c>
      <c r="E2119" s="1068" t="inlineStr">
        <is>
          <t>M2</t>
        </is>
      </c>
      <c r="F2119" s="1067" t="n"/>
      <c r="G2119" s="1069">
        <f t="array" ref="G2119">IF(B2119="insumo",_xlfn.XLOOKUP($D2119,Insumos!$B$1:$B$996,Insumos!$D$1:$D$996),"")</f>
        <v/>
      </c>
      <c r="H2119" s="1069" t="n">
        <v>97.6475985</v>
      </c>
      <c r="I2119" s="2161" t="n">
        <v>0</v>
      </c>
      <c r="J2119" s="2161" t="n">
        <v>0</v>
      </c>
      <c r="K2119" s="2161" t="n"/>
    </row>
    <row r="2120" outlineLevel="3" ht="15.75" customHeight="1">
      <c r="A2120" s="10" t="n">
        <v>86</v>
      </c>
      <c r="B2120" s="10" t="inlineStr">
        <is>
          <t>Insumo</t>
        </is>
      </c>
      <c r="C2120" s="10" t="inlineStr">
        <is>
          <t>38_DRY 0 mm - 1 PLACA - 1,25cm  -  Lado A: PLACA PERFORMANCE ST - Lado B: N/A</t>
        </is>
      </c>
      <c r="D2120" s="10" t="inlineStr">
        <is>
          <t>SERVICO - CONFECCAO SHAFT GESSO</t>
        </is>
      </c>
      <c r="E2120" s="11">
        <f t="array" ref="E2120">_xlfn.XLOOKUP(D2120,Insumos!B:B,Insumos!C:$C)</f>
        <v/>
      </c>
      <c r="F2120" s="14" t="n">
        <v>1</v>
      </c>
      <c r="G2120" s="92">
        <f t="array" ref="G2120">IF(B2120="insumo",_xlfn.XLOOKUP($D2120,Insumos!$B$1:$B$996,Insumos!$D$1:$D$996),"")</f>
        <v/>
      </c>
      <c r="H2120" s="92" t="n">
        <v>70</v>
      </c>
      <c r="I2120" s="2162" t="n">
        <v>0</v>
      </c>
      <c r="J2120" s="2162" t="n">
        <v>0</v>
      </c>
      <c r="K2120" s="2162" t="n"/>
    </row>
    <row r="2121" outlineLevel="3" ht="15.75" customHeight="1">
      <c r="A2121" s="10" t="n">
        <v>47</v>
      </c>
      <c r="B2121" s="10" t="inlineStr">
        <is>
          <t>Insumo</t>
        </is>
      </c>
      <c r="C2121" s="10" t="inlineStr">
        <is>
          <t>38_DRY 0 mm - 1 PLACA - 1,25cm  -  Lado A: PLACA PERFORMANCE ST - Lado B: N/A</t>
        </is>
      </c>
      <c r="D2121" s="10" t="inlineStr">
        <is>
          <t>PLACA / CHAPA DE GESSO ACARTONADO, STANDARD (ST), COR BRANCA, E = 12,5 MM, 1200 X 2400 MM (L X C)</t>
        </is>
      </c>
      <c r="E2121" s="11">
        <f t="array" ref="E2121">_xlfn.XLOOKUP(D2121,Insumos!B:B,Insumos!C:$C)</f>
        <v/>
      </c>
      <c r="F2121" s="14" t="n">
        <v>1.106</v>
      </c>
      <c r="G2121" s="92">
        <f t="array" ref="G2121">IF(B2121="insumo",_xlfn.XLOOKUP($D2121,Insumos!$B$1:$B$996,Insumos!$D$1:$D$996),"")</f>
        <v/>
      </c>
      <c r="H2121" s="92" t="n">
        <v>22.29696</v>
      </c>
      <c r="I2121" s="2162" t="n">
        <v>0</v>
      </c>
      <c r="J2121" s="2162" t="n">
        <v>0</v>
      </c>
      <c r="K2121" s="2162" t="n"/>
    </row>
    <row r="2122" outlineLevel="3" ht="15.75" customHeight="1">
      <c r="A2122" s="10" t="n">
        <v>95</v>
      </c>
      <c r="B2122" s="10" t="inlineStr">
        <is>
          <t>Insumo</t>
        </is>
      </c>
      <c r="C2122" s="10" t="inlineStr">
        <is>
          <t>38_DRY 0 mm - 1 PLACA - 1,25cm  -  Lado A: PLACA PERFORMANCE ST - Lado B: N/A</t>
        </is>
      </c>
      <c r="D2122" s="10" t="inlineStr">
        <is>
          <t>MASSA DE REJUNTE EM PO PARA DRYWALL, A BASE DE GESSO, SECAGEM RAPIDA, PARA TRATAMENTO DE JUNTAS DE CHAPA DE GESSO (NECESSITA ADICAO DE AGUA)</t>
        </is>
      </c>
      <c r="E2122" s="11">
        <f t="array" ref="E2122">_xlfn.XLOOKUP(D2122,Insumos!B:B,Insumos!C:$C)</f>
        <v/>
      </c>
      <c r="F2122" s="14">
        <f>1.0978/2</f>
        <v/>
      </c>
      <c r="G2122" s="92">
        <f t="array" ref="G2122">IF(B2122="insumo",_xlfn.XLOOKUP($D2122,Insumos!$B$1:$B$996,Insumos!$D$1:$D$996),"")</f>
        <v/>
      </c>
      <c r="H2122" s="92" t="n">
        <v>1.882727</v>
      </c>
      <c r="I2122" s="2162" t="n">
        <v>0</v>
      </c>
      <c r="J2122" s="2162" t="n">
        <v>0</v>
      </c>
      <c r="K2122" s="2162" t="n"/>
    </row>
    <row r="2123" outlineLevel="3" ht="15.75" customHeight="1">
      <c r="A2123" s="10" t="n">
        <v>94</v>
      </c>
      <c r="B2123" s="10" t="inlineStr">
        <is>
          <t>Insumo</t>
        </is>
      </c>
      <c r="C2123" s="10" t="inlineStr">
        <is>
          <t>38_DRY 0 mm - 1 PLACA - 1,25cm  -  Lado A: PLACA PERFORMANCE ST - Lado B: N/A</t>
        </is>
      </c>
      <c r="D2123" s="10" t="inlineStr">
        <is>
          <t>FITA DE PAPEL MICROPERFURADO, 50 X 150 MM, PARA TRATAMENTO DE JUNTAS DE CHAPA DE GESSO PARA DRYWALL</t>
        </is>
      </c>
      <c r="E2123" s="11">
        <f t="array" ref="E2123">_xlfn.XLOOKUP(D2123,Insumos!B:B,Insumos!C:$C)</f>
        <v/>
      </c>
      <c r="F2123" s="14">
        <f>2.5027/2</f>
        <v/>
      </c>
      <c r="G2123" s="92">
        <f t="array" ref="G2123">IF(B2123="insumo",_xlfn.XLOOKUP($D2123,Insumos!$B$1:$B$996,Insumos!$D$1:$D$996),"")</f>
        <v/>
      </c>
      <c r="H2123" s="92" t="n">
        <v>0.3879185</v>
      </c>
      <c r="I2123" s="2162" t="n">
        <v>0</v>
      </c>
      <c r="J2123" s="2162" t="n">
        <v>0</v>
      </c>
      <c r="K2123" s="2162" t="n"/>
    </row>
    <row r="2124" outlineLevel="3" ht="15.75" customHeight="1">
      <c r="A2124" s="10" t="n">
        <v>94</v>
      </c>
      <c r="B2124" s="10" t="inlineStr">
        <is>
          <t>Insumo</t>
        </is>
      </c>
      <c r="C2124" s="10" t="inlineStr">
        <is>
          <t>38_DRY 0 mm - 1 PLACA - 1,25cm  -  Lado A: PLACA PERFORMANCE ST - Lado B: N/A</t>
        </is>
      </c>
      <c r="D2124" s="10" t="inlineStr">
        <is>
          <t>FITA DE PAPEL REFORCADA COM LAMINA DE METAL PARA REFORCO DE CANTOS DE CHAPA DE GESSO PARA DRYWALL</t>
        </is>
      </c>
      <c r="E2124" s="11">
        <f t="array" ref="E2124">_xlfn.XLOOKUP(D2124,Insumos!B:B,Insumos!C:$C)</f>
        <v/>
      </c>
      <c r="F2124" s="14">
        <f>1.5851/2</f>
        <v/>
      </c>
      <c r="G2124" s="92">
        <f t="array" ref="G2124">IF(B2124="insumo",_xlfn.XLOOKUP($D2124,Insumos!$B$1:$B$996,Insumos!$D$1:$D$996),"")</f>
        <v/>
      </c>
      <c r="H2124" s="92" t="n">
        <v>2.171587</v>
      </c>
      <c r="I2124" s="2162" t="n">
        <v>0</v>
      </c>
      <c r="J2124" s="2162" t="n">
        <v>0</v>
      </c>
      <c r="K2124" s="2162" t="n"/>
    </row>
    <row r="2125" outlineLevel="3" ht="15.75" customHeight="1">
      <c r="A2125" s="10" t="n">
        <v>97</v>
      </c>
      <c r="B2125" s="10" t="inlineStr">
        <is>
          <t>Insumo</t>
        </is>
      </c>
      <c r="C2125" s="10" t="inlineStr">
        <is>
          <t>38_DRY 0 mm - 1 PLACA - 1,25cm  -  Lado A: PLACA PERFORMANCE ST - Lado B: N/A</t>
        </is>
      </c>
      <c r="D2125" s="10" t="inlineStr">
        <is>
          <t>PARAFUSO DRY WALL, EM ACO FOSFATIZADO, CABECA TROMBETA E PONTA AGULHA (TA), COMPRIMENTO 25 MM</t>
        </is>
      </c>
      <c r="E2125" s="11">
        <f t="array" ref="E2125">_xlfn.XLOOKUP(D2125,Insumos!B:B,Insumos!C:$C)</f>
        <v/>
      </c>
      <c r="F2125" s="14">
        <f>20.1868/2</f>
        <v/>
      </c>
      <c r="G2125" s="92">
        <f t="array" ref="G2125">IF(B2125="insumo",_xlfn.XLOOKUP($D2125,Insumos!$B$1:$B$996,Insumos!$D$1:$D$996),"")</f>
        <v/>
      </c>
      <c r="H2125" s="92" t="n">
        <v>0.908406</v>
      </c>
      <c r="I2125" s="2162" t="n">
        <v>0</v>
      </c>
      <c r="J2125" s="2162" t="n">
        <v>0</v>
      </c>
      <c r="K2125" s="2162" t="n"/>
    </row>
    <row r="2126" outlineLevel="2" ht="15.75" customHeight="1">
      <c r="A2126" s="1067" t="n">
        <v>1</v>
      </c>
      <c r="B2126" s="1067" t="inlineStr">
        <is>
          <t>Serviço</t>
        </is>
      </c>
      <c r="C2126" s="1067" t="inlineStr">
        <is>
          <t>38_DRY 0 mm - 1 PLACA - 1,25cm  -  Lado A: PLACA RU - Lado B: N/A</t>
        </is>
      </c>
      <c r="D2126" s="1067" t="inlineStr">
        <is>
          <t>38_DRY 0 mm - 1 PLACA - 1,25cm  -  Lado A: PLACA RU - Lado B: N/A</t>
        </is>
      </c>
      <c r="E2126" s="1068" t="inlineStr">
        <is>
          <t>M2</t>
        </is>
      </c>
      <c r="F2126" s="1067" t="n"/>
      <c r="G2126" s="1069">
        <f t="array" ref="G2126">IF(B2126="insumo",_xlfn.XLOOKUP($D2126,Insumos!$B$1:$B$996,Insumos!$D$1:$D$996),"")</f>
        <v/>
      </c>
      <c r="H2126" s="1069" t="n">
        <v>105.3232385</v>
      </c>
      <c r="I2126" s="2161" t="n">
        <v>0</v>
      </c>
      <c r="J2126" s="2161" t="n">
        <v>0</v>
      </c>
      <c r="K2126" s="2161" t="n"/>
    </row>
    <row r="2127" outlineLevel="3" ht="15.75" customHeight="1">
      <c r="A2127" s="10" t="n">
        <v>86</v>
      </c>
      <c r="B2127" s="10" t="inlineStr">
        <is>
          <t>Insumo</t>
        </is>
      </c>
      <c r="C2127" s="10" t="inlineStr">
        <is>
          <t>38_DRY 0 mm - 1 PLACA - 1,25cm  -  Lado A: PLACA RU - Lado B: N/A</t>
        </is>
      </c>
      <c r="D2127" s="10" t="inlineStr">
        <is>
          <t>SERVICO - CONFECCAO SHAFT GESSO</t>
        </is>
      </c>
      <c r="E2127" s="11">
        <f t="array" ref="E2127">_xlfn.XLOOKUP(D2127,Insumos!B:B,Insumos!C:$C)</f>
        <v/>
      </c>
      <c r="F2127" s="14" t="n">
        <v>1</v>
      </c>
      <c r="G2127" s="92">
        <f t="array" ref="G2127">IF(B2127="insumo",_xlfn.XLOOKUP($D2127,Insumos!$B$1:$B$996,Insumos!$D$1:$D$996),"")</f>
        <v/>
      </c>
      <c r="H2127" s="92" t="n">
        <v>70</v>
      </c>
      <c r="I2127" s="2162" t="n">
        <v>0</v>
      </c>
      <c r="J2127" s="2162" t="n">
        <v>0</v>
      </c>
      <c r="K2127" s="2162" t="n"/>
    </row>
    <row r="2128" outlineLevel="3" ht="15.75" customHeight="1">
      <c r="A2128" s="10" t="n">
        <v>49</v>
      </c>
      <c r="B2128" s="10" t="inlineStr">
        <is>
          <t>Insumo</t>
        </is>
      </c>
      <c r="C2128" s="10" t="inlineStr">
        <is>
          <t>38_DRY 0 mm - 1 PLACA - 1,25cm  -  Lado A: PLACA RU - Lado B: N/A</t>
        </is>
      </c>
      <c r="D2128" s="10" t="inlineStr">
        <is>
          <t>PLACA / CHAPA DE GESSO ACARTONADO, RESISTENTE A UMIDADE (RU), COR VERDE, E = 12,5 MM, 1200 X 2400 MM (L X C)</t>
        </is>
      </c>
      <c r="E2128" s="11">
        <f t="array" ref="E2128">_xlfn.XLOOKUP(D2128,Insumos!B:B,Insumos!C:$C)</f>
        <v/>
      </c>
      <c r="F2128" s="14" t="n">
        <v>1.106</v>
      </c>
      <c r="G2128" s="92">
        <f t="array" ref="G2128">IF(B2128="insumo",_xlfn.XLOOKUP($D2128,Insumos!$B$1:$B$996,Insumos!$D$1:$D$996),"")</f>
        <v/>
      </c>
      <c r="H2128" s="92" t="n">
        <v>29.9726</v>
      </c>
      <c r="I2128" s="2162" t="n">
        <v>0</v>
      </c>
      <c r="J2128" s="2162" t="n">
        <v>0</v>
      </c>
      <c r="K2128" s="2162" t="n"/>
    </row>
    <row r="2129" outlineLevel="3" ht="15.75" customHeight="1">
      <c r="A2129" s="10" t="n">
        <v>95</v>
      </c>
      <c r="B2129" s="10" t="inlineStr">
        <is>
          <t>Insumo</t>
        </is>
      </c>
      <c r="C2129" s="10" t="inlineStr">
        <is>
          <t>38_DRY 0 mm - 1 PLACA - 1,25cm  -  Lado A: PLACA RU - Lado B: N/A</t>
        </is>
      </c>
      <c r="D2129" s="10" t="inlineStr">
        <is>
          <t>MASSA DE REJUNTE EM PO PARA DRYWALL, A BASE DE GESSO, SECAGEM RAPIDA, PARA TRATAMENTO DE JUNTAS DE CHAPA DE GESSO (NECESSITA ADICAO DE AGUA)</t>
        </is>
      </c>
      <c r="E2129" s="11">
        <f t="array" ref="E2129">_xlfn.XLOOKUP(D2129,Insumos!B:B,Insumos!C:$C)</f>
        <v/>
      </c>
      <c r="F2129" s="14">
        <f>1.0978/2</f>
        <v/>
      </c>
      <c r="G2129" s="92">
        <f t="array" ref="G2129">IF(B2129="insumo",_xlfn.XLOOKUP($D2129,Insumos!$B$1:$B$996,Insumos!$D$1:$D$996),"")</f>
        <v/>
      </c>
      <c r="H2129" s="92" t="n">
        <v>1.882727</v>
      </c>
      <c r="I2129" s="2162" t="n">
        <v>0</v>
      </c>
      <c r="J2129" s="2162" t="n">
        <v>0</v>
      </c>
      <c r="K2129" s="2162" t="n"/>
    </row>
    <row r="2130" outlineLevel="3" ht="15.75" customHeight="1">
      <c r="A2130" s="10" t="n">
        <v>94</v>
      </c>
      <c r="B2130" s="10" t="inlineStr">
        <is>
          <t>Insumo</t>
        </is>
      </c>
      <c r="C2130" s="10" t="inlineStr">
        <is>
          <t>38_DRY 0 mm - 1 PLACA - 1,25cm  -  Lado A: PLACA RU - Lado B: N/A</t>
        </is>
      </c>
      <c r="D2130" s="10" t="inlineStr">
        <is>
          <t>FITA DE PAPEL MICROPERFURADO, 50 X 150 MM, PARA TRATAMENTO DE JUNTAS DE CHAPA DE GESSO PARA DRYWALL</t>
        </is>
      </c>
      <c r="E2130" s="11">
        <f t="array" ref="E2130">_xlfn.XLOOKUP(D2130,Insumos!B:B,Insumos!C:$C)</f>
        <v/>
      </c>
      <c r="F2130" s="14">
        <f>2.5027/2</f>
        <v/>
      </c>
      <c r="G2130" s="92">
        <f t="array" ref="G2130">IF(B2130="insumo",_xlfn.XLOOKUP($D2130,Insumos!$B$1:$B$996,Insumos!$D$1:$D$996),"")</f>
        <v/>
      </c>
      <c r="H2130" s="92" t="n">
        <v>0.3879185</v>
      </c>
      <c r="I2130" s="2162" t="n">
        <v>0</v>
      </c>
      <c r="J2130" s="2162" t="n">
        <v>0</v>
      </c>
      <c r="K2130" s="2162" t="n"/>
    </row>
    <row r="2131" outlineLevel="3" ht="15.75" customHeight="1">
      <c r="A2131" s="10" t="n">
        <v>94</v>
      </c>
      <c r="B2131" s="10" t="inlineStr">
        <is>
          <t>Insumo</t>
        </is>
      </c>
      <c r="C2131" s="10" t="inlineStr">
        <is>
          <t>38_DRY 0 mm - 1 PLACA - 1,25cm  -  Lado A: PLACA RU - Lado B: N/A</t>
        </is>
      </c>
      <c r="D2131" s="10" t="inlineStr">
        <is>
          <t>FITA DE PAPEL REFORCADA COM LAMINA DE METAL PARA REFORCO DE CANTOS DE CHAPA DE GESSO PARA DRYWALL</t>
        </is>
      </c>
      <c r="E2131" s="11">
        <f t="array" ref="E2131">_xlfn.XLOOKUP(D2131,Insumos!B:B,Insumos!C:$C)</f>
        <v/>
      </c>
      <c r="F2131" s="14">
        <f>1.5851/2</f>
        <v/>
      </c>
      <c r="G2131" s="92">
        <f t="array" ref="G2131">IF(B2131="insumo",_xlfn.XLOOKUP($D2131,Insumos!$B$1:$B$996,Insumos!$D$1:$D$996),"")</f>
        <v/>
      </c>
      <c r="H2131" s="92" t="n">
        <v>2.171587</v>
      </c>
      <c r="I2131" s="2162" t="n">
        <v>0</v>
      </c>
      <c r="J2131" s="2162" t="n">
        <v>0</v>
      </c>
      <c r="K2131" s="2162" t="n"/>
    </row>
    <row r="2132" outlineLevel="3" ht="15.75" customHeight="1">
      <c r="A2132" s="10" t="n">
        <v>97</v>
      </c>
      <c r="B2132" s="10" t="inlineStr">
        <is>
          <t>Insumo</t>
        </is>
      </c>
      <c r="C2132" s="10" t="inlineStr">
        <is>
          <t>38_DRY 0 mm - 1 PLACA - 1,25cm  -  Lado A: PLACA RU - Lado B: N/A</t>
        </is>
      </c>
      <c r="D2132" s="10" t="inlineStr">
        <is>
          <t>PARAFUSO DRY WALL, EM ACO FOSFATIZADO, CABECA TROMBETA E PONTA AGULHA (TA), COMPRIMENTO 25 MM</t>
        </is>
      </c>
      <c r="E2132" s="11">
        <f t="array" ref="E2132">_xlfn.XLOOKUP(D2132,Insumos!B:B,Insumos!C:$C)</f>
        <v/>
      </c>
      <c r="F2132" s="14">
        <f>20.1868/2</f>
        <v/>
      </c>
      <c r="G2132" s="92">
        <f t="array" ref="G2132">IF(B2132="insumo",_xlfn.XLOOKUP($D2132,Insumos!$B$1:$B$996,Insumos!$D$1:$D$996),"")</f>
        <v/>
      </c>
      <c r="H2132" s="92" t="n">
        <v>0.908406</v>
      </c>
      <c r="I2132" s="2162" t="n">
        <v>0</v>
      </c>
      <c r="J2132" s="2162" t="n">
        <v>0</v>
      </c>
      <c r="K2132" s="2162" t="n"/>
    </row>
    <row r="2133" outlineLevel="2" ht="15.75" customHeight="1">
      <c r="A2133" s="1067" t="n">
        <v>1</v>
      </c>
      <c r="B2133" s="1067" t="inlineStr">
        <is>
          <t>Serviço</t>
        </is>
      </c>
      <c r="C2133" s="1067" t="inlineStr">
        <is>
          <t>38_DRY 0 mm - 1 PLACA - 1,25cm  -</t>
        </is>
      </c>
      <c r="D2133" s="1067" t="inlineStr">
        <is>
          <t>38_DRY 0 mm - 1 PLACA - 1,25cm  -</t>
        </is>
      </c>
      <c r="E2133" s="1068" t="inlineStr">
        <is>
          <t>M2</t>
        </is>
      </c>
      <c r="F2133" s="1067" t="n"/>
      <c r="G2133" s="1069">
        <f t="array" ref="G2133">IF(B2133="insumo",_xlfn.XLOOKUP($D2133,Insumos!$B$1:$B$996,Insumos!$D$1:$D$996),"")</f>
        <v/>
      </c>
      <c r="H2133" s="1069" t="n">
        <v>105.3232385</v>
      </c>
      <c r="I2133" s="2161" t="n">
        <v>0</v>
      </c>
      <c r="J2133" s="2161" t="n">
        <v>0</v>
      </c>
      <c r="K2133" s="2161" t="n"/>
    </row>
    <row r="2134" outlineLevel="3" ht="15.75" customHeight="1">
      <c r="A2134" s="10" t="n">
        <v>86</v>
      </c>
      <c r="B2134" s="10" t="inlineStr">
        <is>
          <t>Insumo</t>
        </is>
      </c>
      <c r="C2134" s="10" t="inlineStr">
        <is>
          <t>38_DRY 0 mm - 1 PLACA - 1,25cm  -</t>
        </is>
      </c>
      <c r="D2134" s="10" t="inlineStr">
        <is>
          <t>SERVICO - CONFECCAO SHAFT GESSO</t>
        </is>
      </c>
      <c r="E2134" s="11">
        <f t="array" ref="E2134">_xlfn.XLOOKUP(D2134,Insumos!B:B,Insumos!C:$C)</f>
        <v/>
      </c>
      <c r="F2134" s="14" t="n">
        <v>1</v>
      </c>
      <c r="G2134" s="92">
        <f t="array" ref="G2134">IF(B2134="insumo",_xlfn.XLOOKUP($D2134,Insumos!$B$1:$B$996,Insumos!$D$1:$D$996),"")</f>
        <v/>
      </c>
      <c r="H2134" s="92" t="n">
        <v>70</v>
      </c>
      <c r="I2134" s="2162" t="n">
        <v>0</v>
      </c>
      <c r="J2134" s="2162" t="n">
        <v>0</v>
      </c>
      <c r="K2134" s="2162" t="n"/>
    </row>
    <row r="2135" outlineLevel="3" ht="15.75" customHeight="1">
      <c r="A2135" s="10" t="n">
        <v>49</v>
      </c>
      <c r="B2135" s="10" t="inlineStr">
        <is>
          <t>Insumo</t>
        </is>
      </c>
      <c r="C2135" s="10" t="inlineStr">
        <is>
          <t>38_DRY 0 mm - 1 PLACA - 1,25cm  -</t>
        </is>
      </c>
      <c r="D2135" s="10" t="inlineStr">
        <is>
          <t>PLACA / CHAPA DE GESSO ACARTONADO, RESISTENTE A UMIDADE (RU), COR VERDE, E = 12,5 MM, 1200 X 2400 MM (L X C)</t>
        </is>
      </c>
      <c r="E2135" s="11">
        <f t="array" ref="E2135">_xlfn.XLOOKUP(D2135,Insumos!B:B,Insumos!C:$C)</f>
        <v/>
      </c>
      <c r="F2135" s="14" t="n">
        <v>1.106</v>
      </c>
      <c r="G2135" s="92">
        <f t="array" ref="G2135">IF(B2135="insumo",_xlfn.XLOOKUP($D2135,Insumos!$B$1:$B$996,Insumos!$D$1:$D$996),"")</f>
        <v/>
      </c>
      <c r="H2135" s="92" t="n">
        <v>29.9726</v>
      </c>
      <c r="I2135" s="2162" t="n">
        <v>0</v>
      </c>
      <c r="J2135" s="2162" t="n">
        <v>0</v>
      </c>
      <c r="K2135" s="2162" t="n"/>
    </row>
    <row r="2136" outlineLevel="3" ht="15.75" customHeight="1">
      <c r="A2136" s="10" t="n">
        <v>95</v>
      </c>
      <c r="B2136" s="10" t="inlineStr">
        <is>
          <t>Insumo</t>
        </is>
      </c>
      <c r="C2136" s="10" t="inlineStr">
        <is>
          <t>38_DRY 0 mm - 1 PLACA - 1,25cm  -</t>
        </is>
      </c>
      <c r="D2136" s="10" t="inlineStr">
        <is>
          <t>MASSA DE REJUNTE EM PO PARA DRYWALL, A BASE DE GESSO, SECAGEM RAPIDA, PARA TRATAMENTO DE JUNTAS DE CHAPA DE GESSO (NECESSITA ADICAO DE AGUA)</t>
        </is>
      </c>
      <c r="E2136" s="11">
        <f t="array" ref="E2136">_xlfn.XLOOKUP(D2136,Insumos!B:B,Insumos!C:$C)</f>
        <v/>
      </c>
      <c r="F2136" s="14">
        <f>1.0978/2</f>
        <v/>
      </c>
      <c r="G2136" s="92">
        <f t="array" ref="G2136">IF(B2136="insumo",_xlfn.XLOOKUP($D2136,Insumos!$B$1:$B$996,Insumos!$D$1:$D$996),"")</f>
        <v/>
      </c>
      <c r="H2136" s="92" t="n">
        <v>1.882727</v>
      </c>
      <c r="I2136" s="2162" t="n">
        <v>0</v>
      </c>
      <c r="J2136" s="2162" t="n">
        <v>0</v>
      </c>
      <c r="K2136" s="2162" t="n"/>
    </row>
    <row r="2137" outlineLevel="3" ht="15.75" customHeight="1">
      <c r="A2137" s="10" t="n">
        <v>94</v>
      </c>
      <c r="B2137" s="10" t="inlineStr">
        <is>
          <t>Insumo</t>
        </is>
      </c>
      <c r="C2137" s="10" t="inlineStr">
        <is>
          <t>38_DRY 0 mm - 1 PLACA - 1,25cm  -</t>
        </is>
      </c>
      <c r="D2137" s="10" t="inlineStr">
        <is>
          <t>FITA DE PAPEL MICROPERFURADO, 50 X 150 MM, PARA TRATAMENTO DE JUNTAS DE CHAPA DE GESSO PARA DRYWALL</t>
        </is>
      </c>
      <c r="E2137" s="11">
        <f t="array" ref="E2137">_xlfn.XLOOKUP(D2137,Insumos!B:B,Insumos!C:$C)</f>
        <v/>
      </c>
      <c r="F2137" s="14">
        <f>2.5027/2</f>
        <v/>
      </c>
      <c r="G2137" s="92">
        <f t="array" ref="G2137">IF(B2137="insumo",_xlfn.XLOOKUP($D2137,Insumos!$B$1:$B$996,Insumos!$D$1:$D$996),"")</f>
        <v/>
      </c>
      <c r="H2137" s="92" t="n">
        <v>0.3879185</v>
      </c>
      <c r="I2137" s="2162" t="n">
        <v>0</v>
      </c>
      <c r="J2137" s="2162" t="n">
        <v>0</v>
      </c>
      <c r="K2137" s="2162" t="n"/>
    </row>
    <row r="2138" outlineLevel="3" ht="15.75" customHeight="1">
      <c r="A2138" s="10" t="n">
        <v>94</v>
      </c>
      <c r="B2138" s="10" t="inlineStr">
        <is>
          <t>Insumo</t>
        </is>
      </c>
      <c r="C2138" s="10" t="inlineStr">
        <is>
          <t>38_DRY 0 mm - 1 PLACA - 1,25cm  -</t>
        </is>
      </c>
      <c r="D2138" s="10" t="inlineStr">
        <is>
          <t>FITA DE PAPEL REFORCADA COM LAMINA DE METAL PARA REFORCO DE CANTOS DE CHAPA DE GESSO PARA DRYWALL</t>
        </is>
      </c>
      <c r="E2138" s="11">
        <f t="array" ref="E2138">_xlfn.XLOOKUP(D2138,Insumos!B:B,Insumos!C:$C)</f>
        <v/>
      </c>
      <c r="F2138" s="14">
        <f>1.5851/2</f>
        <v/>
      </c>
      <c r="G2138" s="92">
        <f t="array" ref="G2138">IF(B2138="insumo",_xlfn.XLOOKUP($D2138,Insumos!$B$1:$B$996,Insumos!$D$1:$D$996),"")</f>
        <v/>
      </c>
      <c r="H2138" s="92" t="n">
        <v>2.171587</v>
      </c>
      <c r="I2138" s="2162" t="n">
        <v>0</v>
      </c>
      <c r="J2138" s="2162" t="n">
        <v>0</v>
      </c>
      <c r="K2138" s="2162" t="n"/>
    </row>
    <row r="2139" outlineLevel="3" ht="15.75" customHeight="1">
      <c r="A2139" s="10" t="n">
        <v>97</v>
      </c>
      <c r="B2139" s="10" t="inlineStr">
        <is>
          <t>Insumo</t>
        </is>
      </c>
      <c r="C2139" s="10" t="inlineStr">
        <is>
          <t>38_DRY 0 mm - 1 PLACA - 1,25cm  -</t>
        </is>
      </c>
      <c r="D2139" s="10" t="inlineStr">
        <is>
          <t>PARAFUSO DRY WALL, EM ACO FOSFATIZADO, CABECA TROMBETA E PONTA AGULHA (TA), COMPRIMENTO 25 MM</t>
        </is>
      </c>
      <c r="E2139" s="11">
        <f t="array" ref="E2139">_xlfn.XLOOKUP(D2139,Insumos!B:B,Insumos!C:$C)</f>
        <v/>
      </c>
      <c r="F2139" s="14">
        <f>20.1868/2</f>
        <v/>
      </c>
      <c r="G2139" s="92">
        <f t="array" ref="G2139">IF(B2139="insumo",_xlfn.XLOOKUP($D2139,Insumos!$B$1:$B$996,Insumos!$D$1:$D$996),"")</f>
        <v/>
      </c>
      <c r="H2139" s="92" t="n">
        <v>0.908406</v>
      </c>
      <c r="I2139" s="2162" t="n">
        <v>0</v>
      </c>
      <c r="J2139" s="2162" t="n">
        <v>0</v>
      </c>
      <c r="K2139" s="2162" t="n"/>
    </row>
    <row r="2140" outlineLevel="2" ht="15.75" customHeight="1">
      <c r="A2140" s="1067" t="n">
        <v>1</v>
      </c>
      <c r="B2140" s="1067" t="inlineStr">
        <is>
          <t>Serviço</t>
        </is>
      </c>
      <c r="C2140" s="1067" t="inlineStr">
        <is>
          <t>Isolamento de lã de vidro</t>
        </is>
      </c>
      <c r="D2140" s="1067" t="inlineStr">
        <is>
          <t>Isolamento de lã de vidro</t>
        </is>
      </c>
      <c r="E2140" s="1068" t="inlineStr">
        <is>
          <t>M2</t>
        </is>
      </c>
      <c r="F2140" s="1067" t="n"/>
      <c r="G2140" s="1069">
        <f t="array" ref="G2140">IF(B2140="insumo",_xlfn.XLOOKUP($D2140,Insumos!$B$1:$B$996,Insumos!$D$1:$D$996),"")</f>
        <v/>
      </c>
      <c r="H2140" s="1069" t="n">
        <v>14.1115333333333</v>
      </c>
      <c r="I2140" s="2161" t="n">
        <v>0</v>
      </c>
      <c r="J2140" s="2161" t="n">
        <v>0</v>
      </c>
      <c r="K2140" s="2161" t="n"/>
    </row>
    <row r="2141" outlineLevel="3" ht="15.75" customHeight="1">
      <c r="A2141" s="10" t="n">
        <v>5</v>
      </c>
      <c r="B2141" s="10" t="inlineStr">
        <is>
          <t>Insumo</t>
        </is>
      </c>
      <c r="C2141" s="10" t="inlineStr">
        <is>
          <t>Isolamento de lã de vidro</t>
        </is>
      </c>
      <c r="D2141" s="10" t="inlineStr">
        <is>
          <t>LÂ DE VIDRO PARA ISOLAMENTO 50mm</t>
        </is>
      </c>
      <c r="E2141" s="11">
        <f t="array" ref="E2141">_xlfn.XLOOKUP(D2141,Insumos!B:B,Insumos!C:$C)</f>
        <v/>
      </c>
      <c r="F2141" s="14" t="n">
        <v>1.1</v>
      </c>
      <c r="G2141" s="92">
        <f t="array" ref="G2141">IF(B2141="insumo",_xlfn.XLOOKUP($D2141,Insumos!$B$1:$B$996,Insumos!$D$1:$D$996),"")</f>
        <v/>
      </c>
      <c r="H2141" s="92" t="n">
        <v>14.1115333333333</v>
      </c>
      <c r="I2141" s="2162" t="n">
        <v>0</v>
      </c>
      <c r="J2141" s="2162" t="n">
        <v>0</v>
      </c>
      <c r="K2141" s="2162" t="n"/>
    </row>
    <row r="2142" outlineLevel="2" ht="15.75" customHeight="1">
      <c r="A2142" s="1067" t="n">
        <v>1</v>
      </c>
      <c r="B2142" s="1067" t="inlineStr">
        <is>
          <t>Serviço</t>
        </is>
      </c>
      <c r="C2142" s="1067" t="inlineStr">
        <is>
          <t>Placa de Zinco Metálico</t>
        </is>
      </c>
      <c r="D2142" s="1067" t="inlineStr">
        <is>
          <t>Placa de Zinco Metálico</t>
        </is>
      </c>
      <c r="E2142" s="1068" t="inlineStr">
        <is>
          <t>M2</t>
        </is>
      </c>
      <c r="F2142" s="1067" t="n"/>
      <c r="G2142" s="1069">
        <f t="array" ref="G2142">IF(B2142="insumo",_xlfn.XLOOKUP($D2142,Insumos!$B$1:$B$996,Insumos!$D$1:$D$996),"")</f>
        <v/>
      </c>
      <c r="H2142" s="1069" t="n">
        <v>142.123333333333</v>
      </c>
      <c r="I2142" s="2161" t="n">
        <v>0</v>
      </c>
      <c r="J2142" s="2161" t="n">
        <v>0</v>
      </c>
      <c r="K2142" s="2161" t="n"/>
    </row>
    <row r="2143" outlineLevel="3" ht="15.75" customHeight="1">
      <c r="A2143" s="10" t="n">
        <v>1</v>
      </c>
      <c r="B2143" s="10" t="inlineStr">
        <is>
          <t>Insumo</t>
        </is>
      </c>
      <c r="C2143" s="10" t="inlineStr">
        <is>
          <t>Placa de Zinco Metálico</t>
        </is>
      </c>
      <c r="D2143" s="10" t="inlineStr">
        <is>
          <t>Chapa de Aço Galvanizada 1,55mm (Chapa 16) x 1200mm x 3000mm</t>
        </is>
      </c>
      <c r="E2143" s="11">
        <f t="array" ref="E2143">_xlfn.XLOOKUP(D2143,Insumos!B:B,Insumos!C:$C)</f>
        <v/>
      </c>
      <c r="F2143" s="14" t="n">
        <v>1.05</v>
      </c>
      <c r="G2143" s="92">
        <f t="array" ref="G2143">IF(B2143="insumo",_xlfn.XLOOKUP($D2143,Insumos!$B$1:$B$996,Insumos!$D$1:$D$996),"")</f>
        <v/>
      </c>
      <c r="H2143" s="92" t="n">
        <v>142.123333333333</v>
      </c>
      <c r="I2143" s="2162" t="n">
        <v>0</v>
      </c>
      <c r="J2143" s="2162" t="n">
        <v>0</v>
      </c>
      <c r="K2143" s="2162" t="n"/>
    </row>
    <row r="2144" outlineLevel="1" ht="15.75" customHeight="1">
      <c r="A2144" s="1090" t="n">
        <v>1</v>
      </c>
      <c r="B2144" s="1090" t="inlineStr">
        <is>
          <t>Subetapa</t>
        </is>
      </c>
      <c r="C2144" s="1090" t="inlineStr">
        <is>
          <t>Placa de Zinco Metálico</t>
        </is>
      </c>
      <c r="D2144" s="1090" t="inlineStr">
        <is>
          <t>MAO DE OBRA</t>
        </is>
      </c>
      <c r="E2144" s="1091" t="n"/>
      <c r="F2144" s="2160" t="n"/>
      <c r="G2144" s="1091" t="n"/>
      <c r="H2144" s="1091" t="n">
        <v>0</v>
      </c>
      <c r="I2144" s="2160" t="n">
        <v>0</v>
      </c>
      <c r="J2144" s="2160" t="n">
        <v>0</v>
      </c>
      <c r="K2144" s="2160" t="n"/>
    </row>
    <row r="2145" outlineLevel="2" ht="15.75" customHeight="1">
      <c r="A2145" s="1067" t="n">
        <v>1</v>
      </c>
      <c r="B2145" s="1067" t="inlineStr">
        <is>
          <t>Serviço</t>
        </is>
      </c>
      <c r="C2145" s="1067" t="inlineStr">
        <is>
          <t>Mão de obra para assentamento de blocos cerâmicos</t>
        </is>
      </c>
      <c r="D2145" s="1067" t="inlineStr">
        <is>
          <t>Mão de obra para assentamento de blocos cerâmicos</t>
        </is>
      </c>
      <c r="E2145" s="1068" t="inlineStr">
        <is>
          <t>M2</t>
        </is>
      </c>
      <c r="F2145" s="1067" t="n"/>
      <c r="G2145" s="1069">
        <f t="array" ref="G2145">IF(B2145="insumo",_xlfn.XLOOKUP($D2145,Insumos!$B$1:$B$996,Insumos!$D$1:$D$996),"")</f>
        <v/>
      </c>
      <c r="H2145" s="1069" t="n">
        <v>47</v>
      </c>
      <c r="I2145" s="2161" t="e">
        <v>#REF!</v>
      </c>
      <c r="J2145" s="2161" t="e">
        <v>#REF!</v>
      </c>
      <c r="K2145" s="2161" t="n"/>
    </row>
    <row r="2146" outlineLevel="3" ht="15.75" customHeight="1">
      <c r="A2146" s="10" t="n">
        <v>1</v>
      </c>
      <c r="B2146" s="10" t="inlineStr">
        <is>
          <t>Insumo</t>
        </is>
      </c>
      <c r="C2146" s="10" t="inlineStr">
        <is>
          <t>Mão de obra para assentamento de blocos cerâmicos</t>
        </is>
      </c>
      <c r="D2146" s="10" t="inlineStr">
        <is>
          <t>Mão de obra para assentamento de blocos cerâmicos</t>
        </is>
      </c>
      <c r="E2146" s="11">
        <f t="array" ref="E2146">_xlfn.XLOOKUP(D2146,Insumos!B:B,Insumos!C:$C)</f>
        <v/>
      </c>
      <c r="F2146" s="14" t="n">
        <v>1</v>
      </c>
      <c r="G2146" s="92">
        <f t="array" ref="G2146">IF(B2146="insumo",_xlfn.XLOOKUP($D2146,Insumos!$B$1:$B$996,Insumos!$D$1:$D$996),"")</f>
        <v/>
      </c>
      <c r="H2146" s="92" t="n">
        <v>47</v>
      </c>
      <c r="I2146" s="2162" t="e">
        <v>#REF!</v>
      </c>
      <c r="J2146" s="2162" t="e">
        <v>#REF!</v>
      </c>
      <c r="K2146" s="2162" t="n"/>
    </row>
    <row r="2147" outlineLevel="2" ht="15.75" customHeight="1">
      <c r="A2147" s="1067" t="n">
        <v>1</v>
      </c>
      <c r="B2147" s="1067" t="inlineStr">
        <is>
          <t>Serviço</t>
        </is>
      </c>
      <c r="C2147" s="1067" t="inlineStr">
        <is>
          <t xml:space="preserve">Mão de obra para assentamento de blocos de Refratário </t>
        </is>
      </c>
      <c r="D2147" s="1067" t="inlineStr">
        <is>
          <t xml:space="preserve">Mão de obra para assentamento de blocos de Refratário </t>
        </is>
      </c>
      <c r="E2147" s="1068" t="inlineStr">
        <is>
          <t>M2</t>
        </is>
      </c>
      <c r="F2147" s="1075" t="n"/>
      <c r="G2147" s="1069">
        <f t="array" ref="G2147">IF(B2147="insumo",_xlfn.XLOOKUP($D2147,Insumos!$B$1:$B$996,Insumos!$D$1:$D$996),"")</f>
        <v/>
      </c>
      <c r="H2147" s="1069" t="n">
        <v>48</v>
      </c>
      <c r="I2147" s="2161" t="n">
        <v>0</v>
      </c>
      <c r="J2147" s="2161" t="n">
        <v>0</v>
      </c>
      <c r="K2147" s="2161" t="n"/>
    </row>
    <row r="2148" outlineLevel="3" ht="15.75" customHeight="1">
      <c r="A2148" s="10" t="n">
        <v>1</v>
      </c>
      <c r="B2148" s="10" t="inlineStr">
        <is>
          <t>Insumo</t>
        </is>
      </c>
      <c r="C2148" s="10" t="inlineStr">
        <is>
          <t xml:space="preserve">Mão de obra para assentamento de blocos de Refratário </t>
        </is>
      </c>
      <c r="D2148" s="10" t="inlineStr">
        <is>
          <t xml:space="preserve">Mão de obra para assentamento de blocos de Refratário </t>
        </is>
      </c>
      <c r="E2148" s="11">
        <f t="array" ref="E2148">_xlfn.XLOOKUP(D2148,Insumos!B:B,Insumos!C:$C)</f>
        <v/>
      </c>
      <c r="F2148" s="14" t="n">
        <v>1</v>
      </c>
      <c r="G2148" s="92">
        <f t="array" ref="G2148">IF(B2148="insumo",_xlfn.XLOOKUP($D2148,Insumos!$B$1:$B$996,Insumos!$D$1:$D$996),"")</f>
        <v/>
      </c>
      <c r="H2148" s="92" t="n">
        <v>48</v>
      </c>
      <c r="I2148" s="2162" t="n">
        <v>0</v>
      </c>
      <c r="J2148" s="2162" t="n">
        <v>0</v>
      </c>
      <c r="K2148" s="2162" t="n"/>
    </row>
    <row r="2149" outlineLevel="2" ht="15.75" customHeight="1">
      <c r="A2149" s="1067" t="n">
        <v>1</v>
      </c>
      <c r="B2149" s="1067" t="inlineStr">
        <is>
          <t>Serviço</t>
        </is>
      </c>
      <c r="C2149" s="1067" t="inlineStr">
        <is>
          <t>Mão de obra para assentamento de blocos de silico calcarios</t>
        </is>
      </c>
      <c r="D2149" s="1067" t="inlineStr">
        <is>
          <t>Mão de obra para assentamento de blocos de silico calcarios</t>
        </is>
      </c>
      <c r="E2149" s="1068" t="inlineStr">
        <is>
          <t>M2</t>
        </is>
      </c>
      <c r="F2149" s="1075" t="n"/>
      <c r="G2149" s="1069">
        <f t="array" ref="G2149">IF(B2149="insumo",_xlfn.XLOOKUP($D2149,Insumos!$B$1:$B$996,Insumos!$D$1:$D$996),"")</f>
        <v/>
      </c>
      <c r="H2149" s="1069" t="n">
        <v>47</v>
      </c>
      <c r="I2149" s="2161" t="e">
        <v>#REF!</v>
      </c>
      <c r="J2149" s="2161" t="e">
        <v>#REF!</v>
      </c>
      <c r="K2149" s="2161" t="n"/>
    </row>
    <row r="2150" outlineLevel="3" ht="15.75" customHeight="1">
      <c r="A2150" s="10" t="n">
        <v>1</v>
      </c>
      <c r="B2150" s="10" t="inlineStr">
        <is>
          <t>Insumo</t>
        </is>
      </c>
      <c r="C2150" s="10" t="inlineStr">
        <is>
          <t>Mão de obra para assentamento de blocos de silico calcarios</t>
        </is>
      </c>
      <c r="D2150" s="10" t="inlineStr">
        <is>
          <t>Mão de obra para assentamento de blocos de silico calcarios</t>
        </is>
      </c>
      <c r="E2150" s="11">
        <f t="array" ref="E2150">_xlfn.XLOOKUP(D2150,Insumos!B:B,Insumos!C:$C)</f>
        <v/>
      </c>
      <c r="F2150" s="14" t="n">
        <v>1</v>
      </c>
      <c r="G2150" s="92">
        <f t="array" ref="G2150">IF(B2150="insumo",_xlfn.XLOOKUP($D2150,Insumos!$B$1:$B$996,Insumos!$D$1:$D$996),"")</f>
        <v/>
      </c>
      <c r="H2150" s="92" t="n">
        <v>47</v>
      </c>
      <c r="I2150" s="2162" t="e">
        <v>#REF!</v>
      </c>
      <c r="J2150" s="2162" t="e">
        <v>#REF!</v>
      </c>
      <c r="K2150" s="2162" t="n"/>
    </row>
    <row r="2151" outlineLevel="2" ht="15.75" customHeight="1">
      <c r="A2151" s="1067" t="n">
        <v>1</v>
      </c>
      <c r="B2151" s="1067" t="inlineStr">
        <is>
          <t>Serviço</t>
        </is>
      </c>
      <c r="C2151" s="1067" t="inlineStr">
        <is>
          <t>Mão de obra para assentamento de blocos concreto</t>
        </is>
      </c>
      <c r="D2151" s="1067" t="inlineStr">
        <is>
          <t>Mão de obra para assentamento de blocos concreto</t>
        </is>
      </c>
      <c r="E2151" s="1068" t="inlineStr">
        <is>
          <t>M2</t>
        </is>
      </c>
      <c r="F2151" s="1075" t="n"/>
      <c r="G2151" s="1069">
        <f t="array" ref="G2151">IF(B2151="insumo",_xlfn.XLOOKUP($D2151,Insumos!$B$1:$B$996,Insumos!$D$1:$D$996),"")</f>
        <v/>
      </c>
      <c r="H2151" s="1069" t="n">
        <v>47</v>
      </c>
      <c r="I2151" s="2161" t="n">
        <v>0</v>
      </c>
      <c r="J2151" s="2161" t="n">
        <v>0</v>
      </c>
      <c r="K2151" s="2161" t="n"/>
    </row>
    <row r="2152" outlineLevel="3" ht="15.75" customHeight="1">
      <c r="A2152" s="10" t="n">
        <v>1</v>
      </c>
      <c r="B2152" s="10" t="inlineStr">
        <is>
          <t>Insumo</t>
        </is>
      </c>
      <c r="C2152" s="10" t="inlineStr">
        <is>
          <t>Mão de obra para assentamento de blocos concreto</t>
        </is>
      </c>
      <c r="D2152" s="10" t="inlineStr">
        <is>
          <t>Mão de obra para assentamento de blocos concreto</t>
        </is>
      </c>
      <c r="E2152" s="11">
        <f t="array" ref="E2152">_xlfn.XLOOKUP(D2152,Insumos!B:B,Insumos!C:$C)</f>
        <v/>
      </c>
      <c r="F2152" s="14" t="n">
        <v>1</v>
      </c>
      <c r="G2152" s="92">
        <f t="array" ref="G2152">IF(B2152="insumo",_xlfn.XLOOKUP($D2152,Insumos!$B$1:$B$996,Insumos!$D$1:$D$996),"")</f>
        <v/>
      </c>
      <c r="H2152" s="92" t="n">
        <v>47</v>
      </c>
      <c r="I2152" s="2162" t="n">
        <v>0</v>
      </c>
      <c r="J2152" s="2162" t="n">
        <v>0</v>
      </c>
      <c r="K2152" s="2162" t="n"/>
    </row>
    <row r="2153" outlineLevel="2" ht="15.75" customHeight="1">
      <c r="A2153" s="1067" t="n">
        <v>1</v>
      </c>
      <c r="B2153" s="1067" t="inlineStr">
        <is>
          <t>Serviço</t>
        </is>
      </c>
      <c r="C2153" s="1067" t="inlineStr">
        <is>
          <t xml:space="preserve">Mão de obra para Sistema de vedação em drywall </t>
        </is>
      </c>
      <c r="D2153" s="1067" t="inlineStr">
        <is>
          <t xml:space="preserve">Mão de obra para Sistema de vedação em drywall </t>
        </is>
      </c>
      <c r="E2153" s="1068" t="inlineStr">
        <is>
          <t>M2</t>
        </is>
      </c>
      <c r="F2153" s="1067" t="n"/>
      <c r="G2153" s="1069">
        <f t="array" ref="G2153">IF(B2153="insumo",_xlfn.XLOOKUP($D2153,Insumos!$B$1:$B$996,Insumos!$D$1:$D$996),"")</f>
        <v/>
      </c>
      <c r="H2153" s="1069" t="e">
        <v>#REF!</v>
      </c>
      <c r="I2153" s="2161" t="e">
        <v>#REF!</v>
      </c>
      <c r="J2153" s="2161" t="e">
        <v>#REF!</v>
      </c>
      <c r="K2153" s="2161" t="n"/>
    </row>
    <row r="2154" outlineLevel="3" ht="15.75" customHeight="1">
      <c r="A2154" s="10" t="n">
        <v>1</v>
      </c>
      <c r="B2154" s="10" t="inlineStr">
        <is>
          <t>Insumo</t>
        </is>
      </c>
      <c r="C2154" s="10" t="inlineStr">
        <is>
          <t xml:space="preserve">Mão de obra para Sistema de vedação em drywall </t>
        </is>
      </c>
      <c r="D2154" s="10" t="inlineStr">
        <is>
          <t xml:space="preserve">Mão de obra para Sistema de vedação em drywall </t>
        </is>
      </c>
      <c r="E2154" s="11">
        <f t="array" ref="E2154">_xlfn.XLOOKUP(D2154,Insumos!B:B,Insumos!C:$C)</f>
        <v/>
      </c>
      <c r="F2154" s="14" t="n">
        <v>1</v>
      </c>
      <c r="G2154" s="92">
        <f t="array" ref="G2154">IF(B2154="insumo",_xlfn.XLOOKUP($D2154,Insumos!$B$1:$B$996,Insumos!$D$1:$D$996),"")</f>
        <v/>
      </c>
      <c r="H2154" s="92" t="e">
        <v>#REF!</v>
      </c>
      <c r="I2154" s="2162" t="e">
        <v>#REF!</v>
      </c>
      <c r="J2154" s="2162" t="e">
        <v>#REF!</v>
      </c>
      <c r="K2154" s="2162" t="n"/>
    </row>
    <row r="2155" outlineLevel="2" ht="15.75" customHeight="1">
      <c r="A2155" s="1067" t="n">
        <v>1</v>
      </c>
      <c r="B2155" s="1067" t="inlineStr">
        <is>
          <t>Serviço</t>
        </is>
      </c>
      <c r="C2155" s="1067" t="inlineStr">
        <is>
          <t>Mão de obra para assentamento de blocos concreto Estrutural</t>
        </is>
      </c>
      <c r="D2155" s="1067" t="inlineStr">
        <is>
          <t>Mão de obra para assentamento de blocos concreto Estrutural</t>
        </is>
      </c>
      <c r="E2155" s="1068" t="inlineStr">
        <is>
          <t>M2</t>
        </is>
      </c>
      <c r="F2155" s="1075" t="n"/>
      <c r="G2155" s="1069">
        <f t="array" ref="G2155">IF(B2155="insumo",_xlfn.XLOOKUP($D2155,Insumos!$B$1:$B$996,Insumos!$D$1:$D$996),"")</f>
        <v/>
      </c>
      <c r="H2155" s="1069" t="n">
        <v>48</v>
      </c>
      <c r="I2155" s="2161" t="n">
        <v>0</v>
      </c>
      <c r="J2155" s="2161" t="n">
        <v>0</v>
      </c>
      <c r="K2155" s="2161" t="n"/>
    </row>
    <row r="2156" outlineLevel="3" ht="15.75" customHeight="1">
      <c r="A2156" s="10" t="n">
        <v>1</v>
      </c>
      <c r="B2156" s="10" t="inlineStr">
        <is>
          <t>Insumo</t>
        </is>
      </c>
      <c r="C2156" s="10" t="inlineStr">
        <is>
          <t>Mão de obra para assentamento de blocos concreto Estrutural</t>
        </is>
      </c>
      <c r="D2156" s="10" t="inlineStr">
        <is>
          <t>Mão de obra para assentamento de blocos concreto Estrutural</t>
        </is>
      </c>
      <c r="E2156" s="11">
        <f t="array" ref="E2156">_xlfn.XLOOKUP(D2156,Insumos!B:B,Insumos!C:$C)</f>
        <v/>
      </c>
      <c r="F2156" s="14" t="n">
        <v>1</v>
      </c>
      <c r="G2156" s="92">
        <f t="array" ref="G2156">IF(B2156="insumo",_xlfn.XLOOKUP($D2156,Insumos!$B$1:$B$996,Insumos!$D$1:$D$996),"")</f>
        <v/>
      </c>
      <c r="H2156" s="92" t="n">
        <v>48</v>
      </c>
      <c r="I2156" s="2162" t="n">
        <v>0</v>
      </c>
      <c r="J2156" s="2162" t="n">
        <v>0</v>
      </c>
      <c r="K2156" s="2162" t="n"/>
    </row>
    <row r="2157" ht="15.75" customHeight="1">
      <c r="A2157" s="7" t="n">
        <v>1</v>
      </c>
      <c r="B2157" s="7" t="inlineStr">
        <is>
          <t>Etapa</t>
        </is>
      </c>
      <c r="C2157" s="7" t="inlineStr">
        <is>
          <t>Mão de obra para assentamento de blocos concreto Estrutural</t>
        </is>
      </c>
      <c r="D2157" s="7" t="inlineStr">
        <is>
          <t>SISTEMAS E INSTALAÇÕES HIDROSSANITÁRIAS E DRENAGEM</t>
        </is>
      </c>
      <c r="E2157" s="8" t="n"/>
      <c r="F2157" s="2159" t="n"/>
      <c r="G2157" s="91">
        <f t="array" ref="G2157">IF(B2157="insumo",_xlfn.XLOOKUP($D2157,Insumos!$B$1:$B$996,Insumos!$D$1:$D$996),"")</f>
        <v/>
      </c>
      <c r="H2157" s="91" t="n">
        <v>0</v>
      </c>
      <c r="I2157" s="2159" t="n">
        <v>0</v>
      </c>
      <c r="J2157" s="2159" t="n">
        <v>0</v>
      </c>
      <c r="K2157" s="2159" t="n"/>
    </row>
    <row r="2158" ht="15.75" customHeight="1">
      <c r="A2158" s="7" t="n">
        <v>1</v>
      </c>
      <c r="B2158" s="7" t="inlineStr">
        <is>
          <t>Etapa</t>
        </is>
      </c>
      <c r="C2158" s="7" t="inlineStr">
        <is>
          <t>Mão de obra para assentamento de blocos concreto Estrutural</t>
        </is>
      </c>
      <c r="D2158" s="7" t="inlineStr">
        <is>
          <t>SISTEMAS E INSTALAÇÕES ELÉTRICAS</t>
        </is>
      </c>
      <c r="E2158" s="8" t="n"/>
      <c r="F2158" s="2159" t="n"/>
      <c r="G2158" s="91">
        <f t="array" ref="G2158">IF(B2158="insumo",_xlfn.XLOOKUP($D2158,Insumos!$B$1:$B$996,Insumos!$D$1:$D$996),"")</f>
        <v/>
      </c>
      <c r="H2158" s="91" t="n">
        <v>0</v>
      </c>
      <c r="I2158" s="2159" t="n">
        <v>0</v>
      </c>
      <c r="J2158" s="2159" t="n">
        <v>0</v>
      </c>
      <c r="K2158" s="2159" t="n"/>
    </row>
    <row r="2159" ht="15.75" customHeight="1">
      <c r="A2159" s="7" t="n">
        <v>1</v>
      </c>
      <c r="B2159" s="7" t="inlineStr">
        <is>
          <t>Etapa</t>
        </is>
      </c>
      <c r="C2159" s="7" t="inlineStr">
        <is>
          <t>Mão de obra para assentamento de blocos concreto Estrutural</t>
        </is>
      </c>
      <c r="D2159" s="7" t="inlineStr">
        <is>
          <t xml:space="preserve">INSTALAÇÕES PREVENTIVAS E GLP </t>
        </is>
      </c>
      <c r="E2159" s="8" t="n"/>
      <c r="F2159" s="2159" t="n"/>
      <c r="G2159" s="91">
        <f t="array" ref="G2159">IF(B2159="insumo",_xlfn.XLOOKUP($D2159,Insumos!$B$1:$B$996,Insumos!$D$1:$D$996),"")</f>
        <v/>
      </c>
      <c r="H2159" s="91" t="n">
        <v>0</v>
      </c>
      <c r="I2159" s="2159" t="n">
        <v>0</v>
      </c>
      <c r="J2159" s="2159" t="n">
        <v>0</v>
      </c>
      <c r="K2159" s="2159" t="n"/>
    </row>
    <row r="2160" ht="15.75" customHeight="1">
      <c r="A2160" s="7" t="n">
        <v>1</v>
      </c>
      <c r="B2160" s="7" t="inlineStr">
        <is>
          <t>Etapa</t>
        </is>
      </c>
      <c r="C2160" s="7" t="inlineStr">
        <is>
          <t>Mão de obra para assentamento de blocos concreto Estrutural</t>
        </is>
      </c>
      <c r="D2160" s="7" t="inlineStr">
        <is>
          <t>EQUIPAMENTOS E SISTEMAS ESPECIAIS</t>
        </is>
      </c>
      <c r="E2160" s="8" t="n"/>
      <c r="F2160" s="2159" t="n"/>
      <c r="G2160" s="91">
        <f t="array" ref="G2160">IF(B2160="insumo",_xlfn.XLOOKUP($D2160,Insumos!$B$1:$B$996,Insumos!$D$1:$D$996),"")</f>
        <v/>
      </c>
      <c r="H2160" s="91" t="n">
        <v>0</v>
      </c>
      <c r="I2160" s="2159" t="n">
        <v>0</v>
      </c>
      <c r="J2160" s="2159" t="n">
        <v>0</v>
      </c>
      <c r="K2160" s="2159" t="n"/>
    </row>
    <row r="2161" outlineLevel="1" ht="15.75" customHeight="1">
      <c r="A2161" s="1090" t="n">
        <v>1</v>
      </c>
      <c r="B2161" s="1090" t="inlineStr">
        <is>
          <t>Subetapa</t>
        </is>
      </c>
      <c r="C2161" s="1090" t="inlineStr">
        <is>
          <t>Mão de obra para assentamento de blocos concreto Estrutural</t>
        </is>
      </c>
      <c r="D2161" s="1090" t="inlineStr">
        <is>
          <t>EQUIPAMENTOS</t>
        </is>
      </c>
      <c r="E2161" s="1091" t="n"/>
      <c r="F2161" s="2160" t="n"/>
      <c r="G2161" s="1091" t="n"/>
      <c r="H2161" s="1091" t="n">
        <v>0</v>
      </c>
      <c r="I2161" s="2160" t="n">
        <v>0</v>
      </c>
      <c r="J2161" s="2160" t="n">
        <v>0</v>
      </c>
      <c r="K2161" s="2160" t="n"/>
    </row>
    <row r="2162" outlineLevel="2" ht="15.75" customHeight="1">
      <c r="A2162" s="1067" t="n">
        <v>1</v>
      </c>
      <c r="B2162" s="1067" t="inlineStr">
        <is>
          <t>Serviço</t>
        </is>
      </c>
      <c r="C2162" s="1067" t="inlineStr">
        <is>
          <t>Churrasqueiras kit Gourmet Médio Inox 304</t>
        </is>
      </c>
      <c r="D2162" s="1067" t="inlineStr">
        <is>
          <t>Churrasqueiras kit Gourmet Médio Inox 304</t>
        </is>
      </c>
      <c r="E2162" s="1068" t="inlineStr">
        <is>
          <t>UN</t>
        </is>
      </c>
      <c r="F2162" s="1067" t="n"/>
      <c r="G2162" s="1069">
        <f t="array" ref="G2162">IF(B2162="insumo",_xlfn.XLOOKUP($D2162,Insumos!$B$1:$B$996,Insumos!$D$1:$D$996),"")</f>
        <v/>
      </c>
      <c r="H2162" s="1069" t="n">
        <v>6600</v>
      </c>
      <c r="I2162" s="2161" t="n">
        <v>0</v>
      </c>
      <c r="J2162" s="2161" t="n">
        <v>0</v>
      </c>
      <c r="K2162" s="2161" t="n"/>
    </row>
    <row r="2163" outlineLevel="3" ht="15.75" customHeight="1">
      <c r="A2163" s="10" t="n">
        <v>2</v>
      </c>
      <c r="B2163" s="10" t="inlineStr">
        <is>
          <t>Insumo</t>
        </is>
      </c>
      <c r="C2163" s="10" t="inlineStr">
        <is>
          <t>Churrasqueiras kit Gourmet Médio Inox 304</t>
        </is>
      </c>
      <c r="D2163" s="10" t="inlineStr">
        <is>
          <t>Instalação de Churrasqueiras</t>
        </is>
      </c>
      <c r="E2163" s="11">
        <f t="array" ref="E2163">_xlfn.XLOOKUP(D2163,Insumos!B:B,Insumos!C:$C)</f>
        <v/>
      </c>
      <c r="F2163" s="14" t="n">
        <v>1</v>
      </c>
      <c r="G2163" s="92">
        <f t="array" ref="G2163">IF(B2163="insumo",_xlfn.XLOOKUP($D2163,Insumos!$B$1:$B$996,Insumos!$D$1:$D$996),"")</f>
        <v/>
      </c>
      <c r="H2163" s="92" t="n">
        <v>400</v>
      </c>
      <c r="I2163" s="2162" t="n">
        <v>0</v>
      </c>
      <c r="J2163" s="2162" t="n">
        <v>0</v>
      </c>
      <c r="K2163" s="2162" t="n"/>
    </row>
    <row r="2164" outlineLevel="3" ht="15.75" customHeight="1">
      <c r="A2164" s="10" t="n">
        <v>1</v>
      </c>
      <c r="B2164" s="10" t="inlineStr">
        <is>
          <t>Insumo</t>
        </is>
      </c>
      <c r="C2164" s="10" t="inlineStr">
        <is>
          <t>Churrasqueiras kit Gourmet Médio Inox 304</t>
        </is>
      </c>
      <c r="D2164" s="10" t="inlineStr">
        <is>
          <t>Churrasqueiras kit Gourmet Médio Inox 304</t>
        </is>
      </c>
      <c r="E2164" s="11">
        <f t="array" ref="E2164">_xlfn.XLOOKUP(D2164,Insumos!B:B,Insumos!C:$C)</f>
        <v/>
      </c>
      <c r="F2164" s="14" t="n">
        <v>1</v>
      </c>
      <c r="G2164" s="92">
        <f t="array" ref="G2164">IF(B2164="insumo",_xlfn.XLOOKUP($D2164,Insumos!$B$1:$B$996,Insumos!$D$1:$D$996),"")</f>
        <v/>
      </c>
      <c r="H2164" s="92" t="n">
        <v>6200</v>
      </c>
      <c r="I2164" s="2162" t="n">
        <v>0</v>
      </c>
      <c r="J2164" s="2162" t="n">
        <v>0</v>
      </c>
      <c r="K2164" s="2162" t="n"/>
    </row>
    <row r="2165" outlineLevel="2" ht="15.75" customHeight="1">
      <c r="A2165" s="1067" t="n">
        <v>1</v>
      </c>
      <c r="B2165" s="1067" t="inlineStr">
        <is>
          <t>Serviço</t>
        </is>
      </c>
      <c r="C2165" s="1067" t="inlineStr">
        <is>
          <t>Churrasqueiras Pré-Moldadas</t>
        </is>
      </c>
      <c r="D2165" s="1067" t="inlineStr">
        <is>
          <t>Churrasqueiras Pré-Moldadas</t>
        </is>
      </c>
      <c r="E2165" s="1068" t="inlineStr">
        <is>
          <t>UN</t>
        </is>
      </c>
      <c r="F2165" s="1067" t="n"/>
      <c r="G2165" s="1069">
        <f t="array" ref="G2165">IF(B2165="insumo",_xlfn.XLOOKUP($D2165,Insumos!$B$1:$B$996,Insumos!$D$1:$D$996),"")</f>
        <v/>
      </c>
      <c r="H2165" s="1069" t="n">
        <v>1800</v>
      </c>
      <c r="I2165" s="2161" t="n">
        <v>42</v>
      </c>
      <c r="J2165" s="2161" t="n">
        <v>75600</v>
      </c>
      <c r="K2165" s="2161" t="n"/>
    </row>
    <row r="2166" outlineLevel="3" ht="15.75" customHeight="1">
      <c r="A2166" s="10" t="n">
        <v>2</v>
      </c>
      <c r="B2166" s="10" t="inlineStr">
        <is>
          <t>Insumo</t>
        </is>
      </c>
      <c r="C2166" s="10" t="inlineStr">
        <is>
          <t>Churrasqueiras Pré-Moldadas</t>
        </is>
      </c>
      <c r="D2166" s="10" t="inlineStr">
        <is>
          <t>Instalação de Churrasqueiras</t>
        </is>
      </c>
      <c r="E2166" s="11">
        <f t="array" ref="E2166">_xlfn.XLOOKUP(D2166,Insumos!B:B,Insumos!C:$C)</f>
        <v/>
      </c>
      <c r="F2166" s="14" t="n">
        <v>1</v>
      </c>
      <c r="G2166" s="92">
        <f t="array" ref="G2166">IF(B2166="insumo",_xlfn.XLOOKUP($D2166,Insumos!$B$1:$B$996,Insumos!$D$1:$D$996),"")</f>
        <v/>
      </c>
      <c r="H2166" s="92" t="n">
        <v>400</v>
      </c>
      <c r="I2166" s="2162" t="n">
        <v>42</v>
      </c>
      <c r="J2166" s="2162" t="n">
        <v>16800</v>
      </c>
      <c r="K2166" s="2162" t="n"/>
    </row>
    <row r="2167" outlineLevel="3" ht="15.75" customHeight="1">
      <c r="A2167" s="10" t="n">
        <v>1</v>
      </c>
      <c r="B2167" s="10" t="inlineStr">
        <is>
          <t>Insumo</t>
        </is>
      </c>
      <c r="C2167" s="10" t="inlineStr">
        <is>
          <t>Churrasqueiras Pré-Moldadas</t>
        </is>
      </c>
      <c r="D2167" s="10" t="inlineStr">
        <is>
          <t>Churrasqueiras Pré-Moldadas</t>
        </is>
      </c>
      <c r="E2167" s="11">
        <f t="array" ref="E2167">_xlfn.XLOOKUP(D2167,Insumos!B:B,Insumos!C:$C)</f>
        <v/>
      </c>
      <c r="F2167" s="14" t="n">
        <v>1</v>
      </c>
      <c r="G2167" s="92">
        <f t="array" ref="G2167">IF(B2167="insumo",_xlfn.XLOOKUP($D2167,Insumos!$B$1:$B$996,Insumos!$D$1:$D$996),"")</f>
        <v/>
      </c>
      <c r="H2167" s="92" t="n">
        <v>1400</v>
      </c>
      <c r="I2167" s="2162" t="n">
        <v>42</v>
      </c>
      <c r="J2167" s="2162" t="n">
        <v>58800</v>
      </c>
      <c r="K2167" s="2162" t="n"/>
    </row>
    <row r="2168" ht="15.75" customHeight="1">
      <c r="A2168" s="7" t="n">
        <v>1</v>
      </c>
      <c r="B2168" s="7" t="inlineStr">
        <is>
          <t>Etapa</t>
        </is>
      </c>
      <c r="C2168" s="7" t="inlineStr">
        <is>
          <t>Churrasqueiras Pré-Moldadas</t>
        </is>
      </c>
      <c r="D2168" s="7" t="inlineStr">
        <is>
          <t>IMPERMEABILIZAÇÃO E TRATAMENTOS</t>
        </is>
      </c>
      <c r="E2168" s="8" t="n"/>
      <c r="F2168" s="2159" t="n"/>
      <c r="G2168" s="91">
        <f t="array" ref="G2168">IF(B2168="insumo",_xlfn.XLOOKUP($D2168,Insumos!$B$1:$B$996,Insumos!$D$1:$D$996),"")</f>
        <v/>
      </c>
      <c r="H2168" s="91" t="n">
        <v>0</v>
      </c>
      <c r="I2168" s="2159" t="n">
        <v>0</v>
      </c>
      <c r="J2168" s="2159" t="n">
        <v>0</v>
      </c>
      <c r="K2168" s="2159" t="n"/>
    </row>
    <row r="2169" outlineLevel="1" ht="15.75" customHeight="1">
      <c r="A2169" s="1090" t="n">
        <v>1</v>
      </c>
      <c r="B2169" s="1090" t="inlineStr">
        <is>
          <t>Subetapa</t>
        </is>
      </c>
      <c r="C2169" s="1090" t="inlineStr">
        <is>
          <t>Churrasqueiras Pré-Moldadas</t>
        </is>
      </c>
      <c r="D2169" s="1090" t="inlineStr">
        <is>
          <t>MATERIAIS</t>
        </is>
      </c>
      <c r="E2169" s="1091" t="n"/>
      <c r="F2169" s="2160" t="n"/>
      <c r="G2169" s="1091" t="n"/>
      <c r="H2169" s="1091" t="n">
        <v>0</v>
      </c>
      <c r="I2169" s="2160" t="n">
        <v>0</v>
      </c>
      <c r="J2169" s="2160" t="n">
        <v>0</v>
      </c>
      <c r="K2169" s="2160" t="n"/>
    </row>
    <row r="2170" outlineLevel="2" ht="15.75" customHeight="1">
      <c r="A2170" s="1067" t="n">
        <v>1</v>
      </c>
      <c r="B2170" s="1067" t="inlineStr">
        <is>
          <t>Serviço</t>
        </is>
      </c>
      <c r="C2170" s="1067" t="inlineStr">
        <is>
          <t xml:space="preserve">Regularização de superfície para impermeabilização </t>
        </is>
      </c>
      <c r="D2170" s="1067" t="inlineStr">
        <is>
          <t xml:space="preserve">Regularização de superfície para impermeabilização </t>
        </is>
      </c>
      <c r="E2170" s="1068" t="inlineStr">
        <is>
          <t>M2</t>
        </is>
      </c>
      <c r="F2170" s="1067" t="n"/>
      <c r="G2170" s="1069">
        <f t="array" ref="G2170">IF(B2170="insumo",_xlfn.XLOOKUP($D2170,Insumos!$B$1:$B$996,Insumos!$D$1:$D$996),"")</f>
        <v/>
      </c>
      <c r="H2170" s="1069" t="n">
        <v>7.0659</v>
      </c>
      <c r="I2170" s="2161" t="n">
        <v>3018.39</v>
      </c>
      <c r="J2170" s="2161" t="n">
        <v>21327.641901</v>
      </c>
      <c r="K2170" s="2161" t="n"/>
    </row>
    <row r="2171" outlineLevel="3" ht="15.75" customHeight="1">
      <c r="A2171" s="10" t="n">
        <v>10</v>
      </c>
      <c r="B2171" s="10" t="inlineStr">
        <is>
          <t>Insumo</t>
        </is>
      </c>
      <c r="C2171" s="10" t="inlineStr">
        <is>
          <t xml:space="preserve">Regularização de superfície para impermeabilização </t>
        </is>
      </c>
      <c r="D2171" s="10" t="inlineStr">
        <is>
          <t>AREIA MEDIA</t>
        </is>
      </c>
      <c r="E2171" s="11">
        <f t="array" ref="E2171">_xlfn.XLOOKUP(D2171,Insumos!B:B,Insumos!C:$C)</f>
        <v/>
      </c>
      <c r="F2171" s="14" t="n">
        <v>0.0155</v>
      </c>
      <c r="G2171" s="92">
        <f t="array" ref="G2171">IF(B2171="insumo",_xlfn.XLOOKUP($D2171,Insumos!$B$1:$B$996,Insumos!$D$1:$D$996),"")</f>
        <v/>
      </c>
      <c r="H2171" s="92" t="n">
        <v>2.2475</v>
      </c>
      <c r="I2171" s="2162" t="n">
        <v>3018.39</v>
      </c>
      <c r="J2171" s="2162" t="n">
        <v>6783.831525</v>
      </c>
      <c r="K2171" s="2162" t="n"/>
    </row>
    <row r="2172" outlineLevel="3" ht="15.75" customHeight="1">
      <c r="A2172" s="10" t="n">
        <v>62</v>
      </c>
      <c r="B2172" s="10" t="inlineStr">
        <is>
          <t>Insumo</t>
        </is>
      </c>
      <c r="C2172" s="10" t="inlineStr">
        <is>
          <t xml:space="preserve">Regularização de superfície para impermeabilização </t>
        </is>
      </c>
      <c r="D2172" s="10" t="inlineStr">
        <is>
          <t>Cimento Portland Composto CP II-32</t>
        </is>
      </c>
      <c r="E2172" s="11">
        <f t="array" ref="E2172">_xlfn.XLOOKUP(D2172,Insumos!B:B,Insumos!C:$C)</f>
        <v/>
      </c>
      <c r="F2172" s="14" t="n">
        <v>6.34</v>
      </c>
      <c r="G2172" s="92">
        <f t="array" ref="G2172">IF(B2172="insumo",_xlfn.XLOOKUP($D2172,Insumos!$B$1:$B$996,Insumos!$D$1:$D$996),"")</f>
        <v/>
      </c>
      <c r="H2172" s="92" t="n">
        <v>4.8184</v>
      </c>
      <c r="I2172" s="2162" t="n">
        <v>3018.39</v>
      </c>
      <c r="J2172" s="2162" t="n">
        <v>14543.810376</v>
      </c>
      <c r="K2172" s="2162" t="n"/>
    </row>
    <row r="2173" outlineLevel="2" ht="15.75" customHeight="1">
      <c r="A2173" s="1067" t="n">
        <v>1</v>
      </c>
      <c r="B2173" s="1067" t="inlineStr">
        <is>
          <t>Serviço</t>
        </is>
      </c>
      <c r="C2173" s="1067" t="inlineStr">
        <is>
          <t>Proteção mecânica de superfície com argamassa de cimento e areia, traço 1:3 E=5cm</t>
        </is>
      </c>
      <c r="D2173" s="1067" t="inlineStr">
        <is>
          <t>Proteção mecânica de superfície com argamassa de cimento e areia, traço 1:3 E=5cm</t>
        </is>
      </c>
      <c r="E2173" s="1068" t="inlineStr">
        <is>
          <t>M2</t>
        </is>
      </c>
      <c r="F2173" s="1067" t="n"/>
      <c r="G2173" s="1069">
        <f t="array" ref="G2173">IF(B2173="insumo",_xlfn.XLOOKUP($D2173,Insumos!$B$1:$B$996,Insumos!$D$1:$D$996),"")</f>
        <v/>
      </c>
      <c r="H2173" s="1069" t="n">
        <v>49.3585</v>
      </c>
      <c r="I2173" s="2161" t="n">
        <v>1014.45</v>
      </c>
      <c r="J2173" s="2161" t="n">
        <v>50071.730325</v>
      </c>
      <c r="K2173" s="2161" t="n"/>
    </row>
    <row r="2174" outlineLevel="3" ht="15.75" customHeight="1">
      <c r="A2174" s="10" t="n">
        <v>32</v>
      </c>
      <c r="B2174" s="10" t="inlineStr">
        <is>
          <t>Insumo</t>
        </is>
      </c>
      <c r="C2174" s="10" t="inlineStr">
        <is>
          <t>Proteção mecânica de superfície com argamassa de cimento e areia, traço 1:3 E=5cm</t>
        </is>
      </c>
      <c r="D2174" s="10" t="inlineStr">
        <is>
          <t>Argamassa usninada para contrapiso</t>
        </is>
      </c>
      <c r="E2174" s="11">
        <f t="array" ref="E2174">_xlfn.XLOOKUP(D2174,Insumos!B:B,Insumos!C:$C)</f>
        <v/>
      </c>
      <c r="F2174" s="14" t="n">
        <v>0.0625</v>
      </c>
      <c r="G2174" s="92">
        <f t="array" ref="G2174">IF(B2174="insumo",_xlfn.XLOOKUP($D2174,Insumos!$B$1:$B$996,Insumos!$D$1:$D$996),"")</f>
        <v/>
      </c>
      <c r="H2174" s="92" t="n">
        <v>34.375</v>
      </c>
      <c r="I2174" s="2162" t="n">
        <v>1014.45</v>
      </c>
      <c r="J2174" s="2162" t="n">
        <v>34871.71875</v>
      </c>
      <c r="K2174" s="2162" t="n"/>
    </row>
    <row r="2175" outlineLevel="3" ht="15.75" customHeight="1">
      <c r="A2175" s="10" t="n">
        <v>3</v>
      </c>
      <c r="B2175" s="10" t="inlineStr">
        <is>
          <t>Insumo</t>
        </is>
      </c>
      <c r="C2175" s="10" t="inlineStr">
        <is>
          <t>Proteção mecânica de superfície com argamassa de cimento e areia, traço 1:3 E=5cm</t>
        </is>
      </c>
      <c r="D2175" s="10" t="inlineStr">
        <is>
          <t>Tela de arame galvanizada, hexagonal, fio 0,56 mm (24 bwg), malha 1/2", h = 1 m</t>
        </is>
      </c>
      <c r="E2175" s="11">
        <f t="array" ref="E2175">_xlfn.XLOOKUP(D2175,Insumos!B:B,Insumos!C:$C)</f>
        <v/>
      </c>
      <c r="F2175" s="14" t="n">
        <v>1.05</v>
      </c>
      <c r="G2175" s="92">
        <f t="array" ref="G2175">IF(B2175="insumo",_xlfn.XLOOKUP($D2175,Insumos!$B$1:$B$996,Insumos!$D$1:$D$996),"")</f>
        <v/>
      </c>
      <c r="H2175" s="92" t="n">
        <v>14.9835</v>
      </c>
      <c r="I2175" s="2162" t="n">
        <v>1014.45</v>
      </c>
      <c r="J2175" s="2162" t="n">
        <v>15200.011575</v>
      </c>
      <c r="K2175" s="2162" t="n"/>
    </row>
    <row r="2176" outlineLevel="2" ht="15.75" customHeight="1">
      <c r="A2176" s="1067" t="n">
        <v>1</v>
      </c>
      <c r="B2176" s="1067" t="inlineStr">
        <is>
          <t>Serviço</t>
        </is>
      </c>
      <c r="C2176" s="1067" t="inlineStr">
        <is>
          <t>Impermeabilização de Baldrames com Tinta Asfáltica (Neutrol)</t>
        </is>
      </c>
      <c r="D2176" s="1067" t="inlineStr">
        <is>
          <t>Impermeabilização de Baldrames com Tinta Asfáltica (Neutrol)</t>
        </is>
      </c>
      <c r="E2176" s="1068" t="inlineStr">
        <is>
          <t>M2</t>
        </is>
      </c>
      <c r="F2176" s="1067" t="n"/>
      <c r="G2176" s="1069">
        <f t="array" ref="G2176">IF(B2176="insumo",_xlfn.XLOOKUP($D2176,Insumos!$B$1:$B$996,Insumos!$D$1:$D$996),"")</f>
        <v/>
      </c>
      <c r="H2176" s="1069" t="n">
        <v>29.16</v>
      </c>
      <c r="I2176" s="2161" t="n">
        <v>698.85</v>
      </c>
      <c r="J2176" s="2161" t="n">
        <v>20378.466</v>
      </c>
      <c r="K2176" s="2161" t="n"/>
    </row>
    <row r="2177" outlineLevel="3" ht="15.75" customHeight="1">
      <c r="A2177" s="10" t="n">
        <v>2</v>
      </c>
      <c r="B2177" s="10" t="inlineStr">
        <is>
          <t>Insumo</t>
        </is>
      </c>
      <c r="C2177" s="10" t="inlineStr">
        <is>
          <t>Impermeabilização de Baldrames com Tinta Asfáltica (Neutrol)</t>
        </is>
      </c>
      <c r="D2177" s="10" t="inlineStr">
        <is>
          <t>emulsão asfáltica de alta resistência química</t>
        </is>
      </c>
      <c r="E2177" s="11">
        <f t="array" ref="E2177">_xlfn.XLOOKUP(D2177,Insumos!B:B,Insumos!C:$C)</f>
        <v/>
      </c>
      <c r="F2177" s="14" t="n">
        <v>1.5</v>
      </c>
      <c r="G2177" s="92">
        <f t="array" ref="G2177">IF(B2177="insumo",_xlfn.XLOOKUP($D2177,Insumos!$B$1:$B$996,Insumos!$D$1:$D$996),"")</f>
        <v/>
      </c>
      <c r="H2177" s="92" t="n">
        <v>29.16</v>
      </c>
      <c r="I2177" s="2162" t="n">
        <v>698.85</v>
      </c>
      <c r="J2177" s="2162" t="n">
        <v>20378.466</v>
      </c>
      <c r="K2177" s="2162" t="n"/>
    </row>
    <row r="2178" outlineLevel="2" ht="15.75" customHeight="1">
      <c r="A2178" s="1067" t="n">
        <v>1</v>
      </c>
      <c r="B2178" s="1067" t="inlineStr">
        <is>
          <t>Serviço</t>
        </is>
      </c>
      <c r="C2178" s="1067" t="inlineStr">
        <is>
          <t>Impermeabilização de Laje Sob Solo com Tinta Asfáltica (Neutrol) Com Adtivo</t>
        </is>
      </c>
      <c r="D2178" s="1067" t="inlineStr">
        <is>
          <t>Impermeabilização de Laje Sob Solo com Tinta Asfáltica (Neutrol) Com Adtivo</t>
        </is>
      </c>
      <c r="E2178" s="1068" t="inlineStr">
        <is>
          <t>M2</t>
        </is>
      </c>
      <c r="F2178" s="1067" t="n"/>
      <c r="G2178" s="1069">
        <f t="array" ref="G2178">IF(B2178="insumo",_xlfn.XLOOKUP($D2178,Insumos!$B$1:$B$996,Insumos!$D$1:$D$996),"")</f>
        <v/>
      </c>
      <c r="H2178" s="1069" t="n">
        <v>82.4933333333333</v>
      </c>
      <c r="I2178" s="2161" t="n">
        <v>0</v>
      </c>
      <c r="J2178" s="2161" t="n">
        <v>0</v>
      </c>
      <c r="K2178" s="2161" t="n"/>
    </row>
    <row r="2179" outlineLevel="3" ht="15.75" customHeight="1">
      <c r="A2179" s="10" t="n">
        <v>2</v>
      </c>
      <c r="B2179" s="10" t="inlineStr">
        <is>
          <t>Insumo</t>
        </is>
      </c>
      <c r="C2179" s="10" t="inlineStr">
        <is>
          <t>Impermeabilização de Laje Sob Solo com Tinta Asfáltica (Neutrol) Com Adtivo</t>
        </is>
      </c>
      <c r="D2179" s="10" t="inlineStr">
        <is>
          <t>emulsão asfáltica de alta resistência química</t>
        </is>
      </c>
      <c r="E2179" s="11">
        <f t="array" ref="E2179">_xlfn.XLOOKUP(D2179,Insumos!B:B,Insumos!C:$C)</f>
        <v/>
      </c>
      <c r="F2179" s="14" t="n">
        <v>1.5</v>
      </c>
      <c r="G2179" s="92">
        <f t="array" ref="G2179">IF(B2179="insumo",_xlfn.XLOOKUP($D2179,Insumos!$B$1:$B$996,Insumos!$D$1:$D$996),"")</f>
        <v/>
      </c>
      <c r="H2179" s="92" t="n">
        <v>29.16</v>
      </c>
      <c r="I2179" s="2162" t="n">
        <v>0</v>
      </c>
      <c r="J2179" s="2162" t="n">
        <v>0</v>
      </c>
      <c r="K2179" s="2162" t="n"/>
    </row>
    <row r="2180" outlineLevel="3" ht="15.75" customHeight="1">
      <c r="A2180" s="10" t="n">
        <v>2</v>
      </c>
      <c r="B2180" s="10" t="inlineStr">
        <is>
          <t>Insumo</t>
        </is>
      </c>
      <c r="C2180" s="10" t="inlineStr">
        <is>
          <t>Impermeabilização de Laje Sob Solo com Tinta Asfáltica (Neutrol) Com Adtivo</t>
        </is>
      </c>
      <c r="D2180" s="10" t="inlineStr">
        <is>
          <t>Aditivo Adesivo Liquido Para Impermeabilização</t>
        </is>
      </c>
      <c r="E2180" s="11">
        <f t="array" ref="E2180">_xlfn.XLOOKUP(D2180,Insumos!B:B,Insumos!C:$C)</f>
        <v/>
      </c>
      <c r="F2180" s="14" t="n">
        <v>0.8</v>
      </c>
      <c r="G2180" s="92">
        <f t="array" ref="G2180">IF(B2180="insumo",_xlfn.XLOOKUP($D2180,Insumos!$B$1:$B$996,Insumos!$D$1:$D$996),"")</f>
        <v/>
      </c>
      <c r="H2180" s="92" t="n">
        <v>53.3333333333333</v>
      </c>
      <c r="I2180" s="2162" t="n">
        <v>0</v>
      </c>
      <c r="J2180" s="2162" t="n">
        <v>0</v>
      </c>
      <c r="K2180" s="2162" t="n"/>
    </row>
    <row r="2181" outlineLevel="2" ht="15.75" customHeight="1">
      <c r="A2181" s="1067" t="n">
        <v>1</v>
      </c>
      <c r="B2181" s="1067" t="inlineStr">
        <is>
          <t>Serviço</t>
        </is>
      </c>
      <c r="C2181" s="1067" t="inlineStr">
        <is>
          <t>Impermeabilização De Superfície Com Mebrana Impermeável, Uma Camada, Inclusive Aplicação De Primer Asfáltico</t>
        </is>
      </c>
      <c r="D2181" s="1067" t="inlineStr">
        <is>
          <t>Impermeabilização De Superfície Com Mebrana Impermeável, Uma Camada, Inclusive Aplicação De Primer Asfáltico</t>
        </is>
      </c>
      <c r="E2181" s="1068" t="inlineStr">
        <is>
          <t>M2</t>
        </is>
      </c>
      <c r="F2181" s="1067" t="n"/>
      <c r="G2181" s="1069">
        <f t="array" ref="G2181">IF(B2181="insumo",_xlfn.XLOOKUP($D2181,Insumos!$B$1:$B$996,Insumos!$D$1:$D$996),"")</f>
        <v/>
      </c>
      <c r="H2181" s="1069" t="n">
        <v>26.9419153846154</v>
      </c>
      <c r="I2181" s="2161" t="n">
        <v>0</v>
      </c>
      <c r="J2181" s="2161" t="n">
        <v>0</v>
      </c>
      <c r="K2181" s="2161" t="n"/>
    </row>
    <row r="2182" outlineLevel="3" ht="15.75" customHeight="1">
      <c r="A2182" s="10" t="n">
        <v>7</v>
      </c>
      <c r="B2182" s="10" t="inlineStr">
        <is>
          <t>Insumo</t>
        </is>
      </c>
      <c r="C2182" s="10" t="inlineStr">
        <is>
          <t>Impermeabilização De Superfície Com Mebrana Impermeável, Uma Camada, Inclusive Aplicação De Primer Asfáltico</t>
        </is>
      </c>
      <c r="D2182" s="10" t="inlineStr">
        <is>
          <t>PRIMER PARA MANTA ASFALTICA A BASE DE ASFALTO MODIFICADO DILUIDO EM SOLVENTE, APLICACAO A FRIO</t>
        </is>
      </c>
      <c r="E2182" s="11">
        <f t="array" ref="E2182">_xlfn.XLOOKUP(D2182,Insumos!B:B,Insumos!C:$C)</f>
        <v/>
      </c>
      <c r="F2182" s="14" t="n">
        <v>0.615</v>
      </c>
      <c r="G2182" s="92">
        <f t="array" ref="G2182">IF(B2182="insumo",_xlfn.XLOOKUP($D2182,Insumos!$B$1:$B$996,Insumos!$D$1:$D$996),"")</f>
        <v/>
      </c>
      <c r="H2182" s="92" t="n">
        <v>14.4648</v>
      </c>
      <c r="I2182" s="2162" t="n">
        <v>0</v>
      </c>
      <c r="J2182" s="2162" t="n">
        <v>0</v>
      </c>
      <c r="K2182" s="2162" t="n"/>
    </row>
    <row r="2183" outlineLevel="3" ht="15.75" customHeight="1">
      <c r="A2183" s="10" t="n">
        <v>1</v>
      </c>
      <c r="B2183" s="10" t="inlineStr">
        <is>
          <t>Insumo</t>
        </is>
      </c>
      <c r="C2183" s="10" t="inlineStr">
        <is>
          <t>Impermeabilização De Superfície Com Mebrana Impermeável, Uma Camada, Inclusive Aplicação De Primer Asfáltico</t>
        </is>
      </c>
      <c r="D2183" s="10" t="inlineStr">
        <is>
          <t>Membrana Impermeável Respirável - 1,30x50m</t>
        </is>
      </c>
      <c r="E2183" s="11">
        <f t="array" ref="E2183">_xlfn.XLOOKUP(D2183,Insumos!B:B,Insumos!C:$C)</f>
        <v/>
      </c>
      <c r="F2183" s="14" t="n">
        <v>1.125</v>
      </c>
      <c r="G2183" s="92">
        <f t="array" ref="G2183">IF(B2183="insumo",_xlfn.XLOOKUP($D2183,Insumos!$B$1:$B$996,Insumos!$D$1:$D$996),"")</f>
        <v/>
      </c>
      <c r="H2183" s="92" t="n">
        <v>12.4771153846154</v>
      </c>
      <c r="I2183" s="2162" t="n">
        <v>0</v>
      </c>
      <c r="J2183" s="2162" t="n">
        <v>0</v>
      </c>
      <c r="K2183" s="2162" t="n"/>
    </row>
    <row r="2184" outlineLevel="2" ht="15.75" customHeight="1">
      <c r="A2184" s="1067" t="n">
        <v>1</v>
      </c>
      <c r="B2184" s="1067" t="inlineStr">
        <is>
          <t>Serviço</t>
        </is>
      </c>
      <c r="C2184" s="1067" t="inlineStr">
        <is>
          <t>Impermeabilização De Superfície Com Manta Asfáltica, Uma Camada, Inclusive Aplicação De Primer Asfáltico</t>
        </is>
      </c>
      <c r="D2184" s="1067" t="inlineStr">
        <is>
          <t>Impermeabilização De Superfície Com Manta Asfáltica, Uma Camada, Inclusive Aplicação De Primer Asfáltico</t>
        </is>
      </c>
      <c r="E2184" s="1068" t="inlineStr">
        <is>
          <t>M2</t>
        </is>
      </c>
      <c r="F2184" s="1067" t="n"/>
      <c r="G2184" s="1069">
        <f t="array" ref="G2184">IF(B2184="insumo",_xlfn.XLOOKUP($D2184,Insumos!$B$1:$B$996,Insumos!$D$1:$D$996),"")</f>
        <v/>
      </c>
      <c r="H2184" s="1069" t="n">
        <v>93.2373</v>
      </c>
      <c r="I2184" s="2161" t="n">
        <v>0</v>
      </c>
      <c r="J2184" s="2161" t="n">
        <v>0</v>
      </c>
      <c r="K2184" s="2161" t="n"/>
    </row>
    <row r="2185" outlineLevel="3" ht="15.75" customHeight="1">
      <c r="A2185" s="10" t="n">
        <v>7</v>
      </c>
      <c r="B2185" s="10" t="inlineStr">
        <is>
          <t>Insumo</t>
        </is>
      </c>
      <c r="C2185" s="10" t="inlineStr">
        <is>
          <t>Impermeabilização De Superfície Com Manta Asfáltica, Uma Camada, Inclusive Aplicação De Primer Asfáltico</t>
        </is>
      </c>
      <c r="D2185" s="10" t="inlineStr">
        <is>
          <t>PRIMER PARA MANTA ASFALTICA A BASE DE ASFALTO MODIFICADO DILUIDO EM SOLVENTE, APLICACAO A FRIO</t>
        </is>
      </c>
      <c r="E2185" s="11">
        <f t="array" ref="E2185">_xlfn.XLOOKUP(D2185,Insumos!B:B,Insumos!C:$C)</f>
        <v/>
      </c>
      <c r="F2185" s="14" t="n">
        <v>0.615</v>
      </c>
      <c r="G2185" s="92">
        <f t="array" ref="G2185">IF(B2185="insumo",_xlfn.XLOOKUP($D2185,Insumos!$B$1:$B$996,Insumos!$D$1:$D$996),"")</f>
        <v/>
      </c>
      <c r="H2185" s="92" t="n">
        <v>14.4648</v>
      </c>
      <c r="I2185" s="2162" t="n">
        <v>0</v>
      </c>
      <c r="J2185" s="2162" t="n">
        <v>0</v>
      </c>
      <c r="K2185" s="2162" t="n"/>
    </row>
    <row r="2186" outlineLevel="3" ht="15.75" customHeight="1">
      <c r="A2186" s="10" t="n">
        <v>5</v>
      </c>
      <c r="B2186" s="10" t="inlineStr">
        <is>
          <t>Insumo</t>
        </is>
      </c>
      <c r="C2186" s="10" t="inlineStr">
        <is>
          <t>Impermeabilização De Superfície Com Manta Asfáltica, Uma Camada, Inclusive Aplicação De Primer Asfáltico</t>
        </is>
      </c>
      <c r="D2186" s="10" t="inlineStr">
        <is>
          <t>MANTA ASFALTICA ELASTOMERICA EM POLIESTER 4 MM, TIPO III, CLASSE B, ACABAMENTO PP (NBR 9952)</t>
        </is>
      </c>
      <c r="E2186" s="11">
        <f t="array" ref="E2186">_xlfn.XLOOKUP(D2186,Insumos!B:B,Insumos!C:$C)</f>
        <v/>
      </c>
      <c r="F2186" s="14" t="n">
        <v>1.125</v>
      </c>
      <c r="G2186" s="92">
        <f t="array" ref="G2186">IF(B2186="insumo",_xlfn.XLOOKUP($D2186,Insumos!$B$1:$B$996,Insumos!$D$1:$D$996),"")</f>
        <v/>
      </c>
      <c r="H2186" s="92" t="n">
        <v>78.77249999999999</v>
      </c>
      <c r="I2186" s="2162" t="n">
        <v>0</v>
      </c>
      <c r="J2186" s="2162" t="n">
        <v>0</v>
      </c>
      <c r="K2186" s="2162" t="n"/>
    </row>
    <row r="2187" outlineLevel="2" ht="15.75" customHeight="1">
      <c r="A2187" s="1067" t="n">
        <v>1</v>
      </c>
      <c r="B2187" s="1067" t="inlineStr">
        <is>
          <t>Serviço</t>
        </is>
      </c>
      <c r="C2187" s="1067" t="inlineStr">
        <is>
          <t>Impermeabilização De Superfície Com Manta Asfáltica, Duas Camada, Inclusive Aplicação De Primer Asfáltico</t>
        </is>
      </c>
      <c r="D2187" s="1067" t="inlineStr">
        <is>
          <t>Impermeabilização De Superfície Com Manta Asfáltica, Duas Camada, Inclusive Aplicação De Primer Asfáltico</t>
        </is>
      </c>
      <c r="E2187" s="1068" t="inlineStr">
        <is>
          <t>M2</t>
        </is>
      </c>
      <c r="F2187" s="1067" t="n"/>
      <c r="G2187" s="1069">
        <f t="array" ref="G2187">IF(B2187="insumo",_xlfn.XLOOKUP($D2187,Insumos!$B$1:$B$996,Insumos!$D$1:$D$996),"")</f>
        <v/>
      </c>
      <c r="H2187" s="1069" t="n">
        <v>157.3848</v>
      </c>
      <c r="I2187" s="2161" t="n">
        <v>0</v>
      </c>
      <c r="J2187" s="2161" t="n">
        <v>0</v>
      </c>
      <c r="K2187" s="2161" t="n"/>
    </row>
    <row r="2188" outlineLevel="3" ht="15.75" customHeight="1">
      <c r="A2188" s="10" t="n">
        <v>7</v>
      </c>
      <c r="B2188" s="10" t="inlineStr">
        <is>
          <t>Insumo</t>
        </is>
      </c>
      <c r="C2188" s="10" t="inlineStr">
        <is>
          <t>Impermeabilização De Superfície Com Manta Asfáltica, Duas Camada, Inclusive Aplicação De Primer Asfáltico</t>
        </is>
      </c>
      <c r="D2188" s="10" t="inlineStr">
        <is>
          <t>PRIMER PARA MANTA ASFALTICA A BASE DE ASFALTO MODIFICADO DILUIDO EM SOLVENTE, APLICACAO A FRIO</t>
        </is>
      </c>
      <c r="E2188" s="11">
        <f t="array" ref="E2188">_xlfn.XLOOKUP(D2188,Insumos!B:B,Insumos!C:$C)</f>
        <v/>
      </c>
      <c r="F2188" s="14" t="n">
        <v>0.615</v>
      </c>
      <c r="G2188" s="92">
        <f t="array" ref="G2188">IF(B2188="insumo",_xlfn.XLOOKUP($D2188,Insumos!$B$1:$B$996,Insumos!$D$1:$D$996),"")</f>
        <v/>
      </c>
      <c r="H2188" s="92" t="n">
        <v>14.4648</v>
      </c>
      <c r="I2188" s="2162" t="n">
        <v>0</v>
      </c>
      <c r="J2188" s="2162" t="n">
        <v>0</v>
      </c>
      <c r="K2188" s="2162" t="n"/>
    </row>
    <row r="2189" outlineLevel="3" ht="15.75" customHeight="1">
      <c r="A2189" s="10" t="n">
        <v>2</v>
      </c>
      <c r="B2189" s="10" t="inlineStr">
        <is>
          <t>Insumo</t>
        </is>
      </c>
      <c r="C2189" s="10" t="inlineStr">
        <is>
          <t>Impermeabilização De Superfície Com Manta Asfáltica, Duas Camada, Inclusive Aplicação De Primer Asfáltico</t>
        </is>
      </c>
      <c r="D2189" s="10" t="inlineStr">
        <is>
          <t>MANTA ASFALTICA ELASTOMERICA EM POLIESTER 3 MM, TIPO III, CLASSE B, ACABAMENTO PP (NBR 9952)</t>
        </is>
      </c>
      <c r="E2189" s="11">
        <f t="array" ref="E2189">_xlfn.XLOOKUP(D2189,Insumos!B:B,Insumos!C:$C)</f>
        <v/>
      </c>
      <c r="F2189" s="14" t="n">
        <v>1.125</v>
      </c>
      <c r="G2189" s="92">
        <f t="array" ref="G2189">IF(B2189="insumo",_xlfn.XLOOKUP($D2189,Insumos!$B$1:$B$996,Insumos!$D$1:$D$996),"")</f>
        <v/>
      </c>
      <c r="H2189" s="92" t="n">
        <v>64.14749999999999</v>
      </c>
      <c r="I2189" s="2162" t="n">
        <v>0</v>
      </c>
      <c r="J2189" s="2162" t="n">
        <v>0</v>
      </c>
      <c r="K2189" s="2162" t="n"/>
    </row>
    <row r="2190" outlineLevel="3" ht="15.75" customHeight="1">
      <c r="A2190" s="10" t="n">
        <v>5</v>
      </c>
      <c r="B2190" s="10" t="inlineStr">
        <is>
          <t>Insumo</t>
        </is>
      </c>
      <c r="C2190" s="10" t="inlineStr">
        <is>
          <t>Impermeabilização De Superfície Com Manta Asfáltica, Duas Camada, Inclusive Aplicação De Primer Asfáltico</t>
        </is>
      </c>
      <c r="D2190" s="10" t="inlineStr">
        <is>
          <t>MANTA ASFALTICA ELASTOMERICA EM POLIESTER 4 MM, TIPO III, CLASSE B, ACABAMENTO PP (NBR 9952)</t>
        </is>
      </c>
      <c r="E2190" s="11">
        <f t="array" ref="E2190">_xlfn.XLOOKUP(D2190,Insumos!B:B,Insumos!C:$C)</f>
        <v/>
      </c>
      <c r="F2190" s="14" t="n">
        <v>1.125</v>
      </c>
      <c r="G2190" s="92">
        <f t="array" ref="G2190">IF(B2190="insumo",_xlfn.XLOOKUP($D2190,Insumos!$B$1:$B$996,Insumos!$D$1:$D$996),"")</f>
        <v/>
      </c>
      <c r="H2190" s="92" t="n">
        <v>78.77249999999999</v>
      </c>
      <c r="I2190" s="2162" t="n">
        <v>0</v>
      </c>
      <c r="J2190" s="2162" t="n">
        <v>0</v>
      </c>
      <c r="K2190" s="2162" t="n"/>
    </row>
    <row r="2191" outlineLevel="2" ht="15.75" customHeight="1">
      <c r="A2191" s="1067" t="n">
        <v>1</v>
      </c>
      <c r="B2191" s="1067" t="inlineStr">
        <is>
          <t>Serviço</t>
        </is>
      </c>
      <c r="C2191" s="1067" t="inlineStr">
        <is>
          <t>Impermeabilização com manta aluminio em telhados</t>
        </is>
      </c>
      <c r="D2191" s="1067" t="inlineStr">
        <is>
          <t>Impermeabilização com manta aluminio em telhados</t>
        </is>
      </c>
      <c r="E2191" s="1068" t="inlineStr">
        <is>
          <t>M2</t>
        </is>
      </c>
      <c r="F2191" s="1067" t="n"/>
      <c r="G2191" s="1069">
        <f t="array" ref="G2191">IF(B2191="insumo",_xlfn.XLOOKUP($D2191,Insumos!$B$1:$B$996,Insumos!$D$1:$D$996),"")</f>
        <v/>
      </c>
      <c r="H2191" s="1069" t="n">
        <v>57.20355</v>
      </c>
      <c r="I2191" s="2161" t="n">
        <v>0</v>
      </c>
      <c r="J2191" s="2161" t="n">
        <v>0</v>
      </c>
      <c r="K2191" s="2161" t="n"/>
    </row>
    <row r="2192" outlineLevel="3" ht="15.75" customHeight="1">
      <c r="A2192" s="10" t="n">
        <v>7</v>
      </c>
      <c r="B2192" s="10" t="inlineStr">
        <is>
          <t>Insumo</t>
        </is>
      </c>
      <c r="C2192" s="10" t="inlineStr">
        <is>
          <t>Impermeabilização com manta aluminio em telhados</t>
        </is>
      </c>
      <c r="D2192" s="10" t="inlineStr">
        <is>
          <t>PRIMER PARA MANTA ASFALTICA A BASE DE ASFALTO MODIFICADO DILUIDO EM SOLVENTE, APLICACAO A FRIO</t>
        </is>
      </c>
      <c r="E2192" s="11">
        <f t="array" ref="E2192">_xlfn.XLOOKUP(D2192,Insumos!B:B,Insumos!C:$C)</f>
        <v/>
      </c>
      <c r="F2192" s="14" t="n">
        <v>0.615</v>
      </c>
      <c r="G2192" s="92">
        <f t="array" ref="G2192">IF(B2192="insumo",_xlfn.XLOOKUP($D2192,Insumos!$B$1:$B$996,Insumos!$D$1:$D$996),"")</f>
        <v/>
      </c>
      <c r="H2192" s="92" t="n">
        <v>14.4648</v>
      </c>
      <c r="I2192" s="2162" t="n">
        <v>0</v>
      </c>
      <c r="J2192" s="2162" t="n">
        <v>0</v>
      </c>
      <c r="K2192" s="2162" t="n"/>
    </row>
    <row r="2193" outlineLevel="3" ht="15.75" customHeight="1">
      <c r="A2193" s="10" t="n">
        <v>1</v>
      </c>
      <c r="B2193" s="10" t="inlineStr">
        <is>
          <t>Insumo</t>
        </is>
      </c>
      <c r="C2193" s="10" t="inlineStr">
        <is>
          <t>Impermeabilização com manta aluminio em telhados</t>
        </is>
      </c>
      <c r="D2193" s="10" t="inlineStr">
        <is>
          <t>Manta Asfáltica Drykomanta Polialum 4mm Tipo ll 10m Dryko</t>
        </is>
      </c>
      <c r="E2193" s="11">
        <f t="array" ref="E2193">_xlfn.XLOOKUP(D2193,Insumos!B:B,Insumos!C:$C)</f>
        <v/>
      </c>
      <c r="F2193" s="14" t="n">
        <v>1.125</v>
      </c>
      <c r="G2193" s="92">
        <f t="array" ref="G2193">IF(B2193="insumo",_xlfn.XLOOKUP($D2193,Insumos!$B$1:$B$996,Insumos!$D$1:$D$996),"")</f>
        <v/>
      </c>
      <c r="H2193" s="92" t="n">
        <v>42.73875</v>
      </c>
      <c r="I2193" s="2162" t="n">
        <v>0</v>
      </c>
      <c r="J2193" s="2162" t="n">
        <v>0</v>
      </c>
      <c r="K2193" s="2162" t="n"/>
    </row>
    <row r="2194" outlineLevel="2" ht="15.75" customHeight="1">
      <c r="A2194" s="1067" t="n">
        <v>1</v>
      </c>
      <c r="B2194" s="1067" t="inlineStr">
        <is>
          <t>Serviço</t>
        </is>
      </c>
      <c r="C2194" s="1067" t="inlineStr">
        <is>
          <t>Impermeabilização De Superfície Com Membrana de Polímero</t>
        </is>
      </c>
      <c r="D2194" s="1067" t="inlineStr">
        <is>
          <t>Impermeabilização De Superfície Com Membrana de Polímero</t>
        </is>
      </c>
      <c r="E2194" s="1068" t="inlineStr">
        <is>
          <t>M2</t>
        </is>
      </c>
      <c r="F2194" s="1067" t="n"/>
      <c r="G2194" s="1069">
        <f t="array" ref="G2194">IF(B2194="insumo",_xlfn.XLOOKUP($D2194,Insumos!$B$1:$B$996,Insumos!$D$1:$D$996),"")</f>
        <v/>
      </c>
      <c r="H2194" s="1069" t="n">
        <v>34.825</v>
      </c>
      <c r="I2194" s="2161" t="n">
        <v>0</v>
      </c>
      <c r="J2194" s="2161" t="n">
        <v>0</v>
      </c>
      <c r="K2194" s="2161" t="n"/>
    </row>
    <row r="2195" outlineLevel="3" ht="15.75" customHeight="1">
      <c r="A2195" s="10" t="n">
        <v>3</v>
      </c>
      <c r="B2195" s="10" t="inlineStr">
        <is>
          <t>Insumo</t>
        </is>
      </c>
      <c r="C2195" s="10" t="inlineStr">
        <is>
          <t>Impermeabilização De Superfície Com Membrana de Polímero</t>
        </is>
      </c>
      <c r="D2195" s="10" t="inlineStr">
        <is>
          <t>Membrana de polímeros acrílicos com cimento e com fibras</t>
        </is>
      </c>
      <c r="E2195" s="11">
        <f t="array" ref="E2195">_xlfn.XLOOKUP(D2195,Insumos!B:B,Insumos!C:$C)</f>
        <v/>
      </c>
      <c r="F2195" s="14">
        <f>3*1.05</f>
        <v/>
      </c>
      <c r="G2195" s="92">
        <f t="array" ref="G2195">IF(B2195="insumo",_xlfn.XLOOKUP($D2195,Insumos!$B$1:$B$996,Insumos!$D$1:$D$996),"")</f>
        <v/>
      </c>
      <c r="H2195" s="92" t="n">
        <v>34.825</v>
      </c>
      <c r="I2195" s="2162" t="n">
        <v>0</v>
      </c>
      <c r="J2195" s="2162" t="n">
        <v>0</v>
      </c>
      <c r="K2195" s="2162" t="n"/>
    </row>
    <row r="2196" outlineLevel="2" ht="15.75" customHeight="1">
      <c r="A2196" s="1067" t="n">
        <v>1</v>
      </c>
      <c r="B2196" s="1067" t="inlineStr">
        <is>
          <t>Serviço</t>
        </is>
      </c>
      <c r="C2196" s="1067" t="inlineStr">
        <is>
          <t>Impermeabilização De Superfície Com Argamassa Polimérica / Membrana Acrílica, 3 Demãos</t>
        </is>
      </c>
      <c r="D2196" s="1067" t="inlineStr">
        <is>
          <t>Impermeabilização De Superfície Com Argamassa Polimérica / Membrana Acrílica, 3 Demãos</t>
        </is>
      </c>
      <c r="E2196" s="1068" t="inlineStr">
        <is>
          <t>M2</t>
        </is>
      </c>
      <c r="F2196" s="1067" t="n"/>
      <c r="G2196" s="1069">
        <f t="array" ref="G2196">IF(B2196="insumo",_xlfn.XLOOKUP($D2196,Insumos!$B$1:$B$996,Insumos!$D$1:$D$996),"")</f>
        <v/>
      </c>
      <c r="H2196" s="1069" t="n">
        <v>36.256</v>
      </c>
      <c r="I2196" s="2161" t="n">
        <v>0</v>
      </c>
      <c r="J2196" s="2161" t="n">
        <v>0</v>
      </c>
      <c r="K2196" s="2161" t="n"/>
    </row>
    <row r="2197" outlineLevel="3" ht="15.75" customHeight="1">
      <c r="A2197" s="10" t="n">
        <v>6</v>
      </c>
      <c r="B2197" s="10" t="inlineStr">
        <is>
          <t>Insumo</t>
        </is>
      </c>
      <c r="C2197" s="10" t="inlineStr">
        <is>
          <t>Impermeabilização De Superfície Com Argamassa Polimérica / Membrana Acrílica, 3 Demãos</t>
        </is>
      </c>
      <c r="D2197" s="10" t="inlineStr">
        <is>
          <t>Argamassa polimerica impermeabilizante semiflexivel, bicomponente, a base de cimento e aditivos</t>
        </is>
      </c>
      <c r="E2197" s="11">
        <f t="array" ref="E2197">_xlfn.XLOOKUP(D2197,Insumos!B:B,Insumos!C:$C)</f>
        <v/>
      </c>
      <c r="F2197" s="14" t="n">
        <v>3.2</v>
      </c>
      <c r="G2197" s="92">
        <f t="array" ref="G2197">IF(B2197="insumo",_xlfn.XLOOKUP($D2197,Insumos!$B$1:$B$996,Insumos!$D$1:$D$996),"")</f>
        <v/>
      </c>
      <c r="H2197" s="92" t="n">
        <v>36.256</v>
      </c>
      <c r="I2197" s="2162" t="n">
        <v>0</v>
      </c>
      <c r="J2197" s="2162" t="n">
        <v>0</v>
      </c>
      <c r="K2197" s="2162" t="n"/>
    </row>
    <row r="2198" outlineLevel="2" ht="15.75" customHeight="1">
      <c r="A2198" s="1067" t="n">
        <v>1</v>
      </c>
      <c r="B2198" s="1067" t="inlineStr">
        <is>
          <t>Serviço</t>
        </is>
      </c>
      <c r="C2198" s="1067" t="inlineStr">
        <is>
          <t>Impermeabilização De Superfície Com Argamassa Polimérica / Membrana Acrílica, 3 Demãos Com Aditivos</t>
        </is>
      </c>
      <c r="D2198" s="1067" t="inlineStr">
        <is>
          <t>Impermeabilização De Superfície Com Argamassa Polimérica / Membrana Acrílica, 3 Demãos Com Aditivos</t>
        </is>
      </c>
      <c r="E2198" s="1068" t="inlineStr">
        <is>
          <t>M2</t>
        </is>
      </c>
      <c r="F2198" s="1067" t="n"/>
      <c r="G2198" s="1069">
        <f t="array" ref="G2198">IF(B2198="insumo",_xlfn.XLOOKUP($D2198,Insumos!$B$1:$B$996,Insumos!$D$1:$D$996),"")</f>
        <v/>
      </c>
      <c r="H2198" s="1069" t="n">
        <v>62.9226666666667</v>
      </c>
      <c r="I2198" s="2161" t="n">
        <v>0</v>
      </c>
      <c r="J2198" s="2161" t="n">
        <v>0</v>
      </c>
      <c r="K2198" s="2161" t="n"/>
    </row>
    <row r="2199" outlineLevel="3" ht="15.75" customHeight="1">
      <c r="A2199" s="10" t="n">
        <v>6</v>
      </c>
      <c r="B2199" s="10" t="inlineStr">
        <is>
          <t>Insumo</t>
        </is>
      </c>
      <c r="C2199" s="10" t="inlineStr">
        <is>
          <t>Impermeabilização De Superfície Com Argamassa Polimérica / Membrana Acrílica, 3 Demãos Com Aditivos</t>
        </is>
      </c>
      <c r="D2199" s="10" t="inlineStr">
        <is>
          <t>Argamassa polimerica impermeabilizante semiflexivel, bicomponente, a base de cimento e aditivos</t>
        </is>
      </c>
      <c r="E2199" s="11">
        <f t="array" ref="E2199">_xlfn.XLOOKUP(D2199,Insumos!B:B,Insumos!C:$C)</f>
        <v/>
      </c>
      <c r="F2199" s="14" t="n">
        <v>3.2</v>
      </c>
      <c r="G2199" s="92">
        <f t="array" ref="G2199">IF(B2199="insumo",_xlfn.XLOOKUP($D2199,Insumos!$B$1:$B$996,Insumos!$D$1:$D$996),"")</f>
        <v/>
      </c>
      <c r="H2199" s="92" t="n">
        <v>36.256</v>
      </c>
      <c r="I2199" s="2162" t="n">
        <v>0</v>
      </c>
      <c r="J2199" s="2162" t="n">
        <v>0</v>
      </c>
      <c r="K2199" s="2162" t="n"/>
    </row>
    <row r="2200" outlineLevel="3" ht="15.75" customHeight="1">
      <c r="A2200" s="10" t="n">
        <v>2</v>
      </c>
      <c r="B2200" s="10" t="inlineStr">
        <is>
          <t>Insumo</t>
        </is>
      </c>
      <c r="C2200" s="10" t="inlineStr">
        <is>
          <t>Impermeabilização De Superfície Com Argamassa Polimérica / Membrana Acrílica, 3 Demãos Com Aditivos</t>
        </is>
      </c>
      <c r="D2200" s="10" t="inlineStr">
        <is>
          <t>Aditivo Adesivo Liquido Para Impermeabilização</t>
        </is>
      </c>
      <c r="E2200" s="11">
        <f t="array" ref="E2200">_xlfn.XLOOKUP(D2200,Insumos!B:B,Insumos!C:$C)</f>
        <v/>
      </c>
      <c r="F2200" s="14" t="n">
        <v>0.4</v>
      </c>
      <c r="G2200" s="92">
        <f t="array" ref="G2200">IF(B2200="insumo",_xlfn.XLOOKUP($D2200,Insumos!$B$1:$B$996,Insumos!$D$1:$D$996),"")</f>
        <v/>
      </c>
      <c r="H2200" s="92" t="n">
        <v>26.6666666666667</v>
      </c>
      <c r="I2200" s="2162" t="n">
        <v>0</v>
      </c>
      <c r="J2200" s="2162" t="n">
        <v>0</v>
      </c>
      <c r="K2200" s="2162" t="n"/>
    </row>
    <row r="2201" outlineLevel="2" ht="15.75" customHeight="1">
      <c r="A2201" s="1067" t="n">
        <v>1</v>
      </c>
      <c r="B2201" s="1067" t="inlineStr">
        <is>
          <t>Serviço</t>
        </is>
      </c>
      <c r="C2201" s="1067" t="inlineStr">
        <is>
          <t>Impermeabilização com manta liquida poliuretano, 3 demãos sem tela estruturante.</t>
        </is>
      </c>
      <c r="D2201" s="1067" t="inlineStr">
        <is>
          <t>Impermeabilização com manta liquida poliuretano, 3 demãos sem tela estruturante.</t>
        </is>
      </c>
      <c r="E2201" s="1068" t="inlineStr">
        <is>
          <t>M2</t>
        </is>
      </c>
      <c r="F2201" s="1067" t="n"/>
      <c r="G2201" s="1069">
        <f t="array" ref="G2201">IF(B2201="insumo",_xlfn.XLOOKUP($D2201,Insumos!$B$1:$B$996,Insumos!$D$1:$D$996),"")</f>
        <v/>
      </c>
      <c r="H2201" s="1069" t="n">
        <v>35.1333333333333</v>
      </c>
      <c r="I2201" s="2161" t="n">
        <v>0</v>
      </c>
      <c r="J2201" s="2161" t="n">
        <v>0</v>
      </c>
      <c r="K2201" s="2161" t="n"/>
    </row>
    <row r="2202" outlineLevel="3" ht="15.75" customHeight="1">
      <c r="A2202" s="10" t="n">
        <v>1</v>
      </c>
      <c r="B2202" s="10" t="inlineStr">
        <is>
          <t>Insumo</t>
        </is>
      </c>
      <c r="C2202" s="10" t="inlineStr">
        <is>
          <t>Impermeabilização com manta liquida poliuretano, 3 demãos sem tela estruturante.</t>
        </is>
      </c>
      <c r="D2202" s="10" t="inlineStr">
        <is>
          <t>Manta Líquida - Igolflex Pu (consumo = 400g/m2)</t>
        </is>
      </c>
      <c r="E2202" s="11">
        <f t="array" ref="E2202">_xlfn.XLOOKUP(D2202,Insumos!B:B,Insumos!C:$C)</f>
        <v/>
      </c>
      <c r="F2202" s="14" t="n">
        <v>1.2</v>
      </c>
      <c r="G2202" s="92">
        <f t="array" ref="G2202">IF(B2202="insumo",_xlfn.XLOOKUP($D2202,Insumos!$B$1:$B$996,Insumos!$D$1:$D$996),"")</f>
        <v/>
      </c>
      <c r="H2202" s="92" t="n">
        <v>35.1333333333333</v>
      </c>
      <c r="I2202" s="2162" t="n">
        <v>0</v>
      </c>
      <c r="J2202" s="2162" t="n">
        <v>0</v>
      </c>
      <c r="K2202" s="2162" t="n"/>
    </row>
    <row r="2203" outlineLevel="2" ht="15.75" customHeight="1">
      <c r="A2203" s="1067" t="n">
        <v>1</v>
      </c>
      <c r="B2203" s="1067" t="inlineStr">
        <is>
          <t>Serviço</t>
        </is>
      </c>
      <c r="C2203" s="1067" t="inlineStr">
        <is>
          <t>Impermeabilização com manta liquida em peitoris</t>
        </is>
      </c>
      <c r="D2203" s="1067" t="inlineStr">
        <is>
          <t>Impermeabilização com manta liquida em peitoris</t>
        </is>
      </c>
      <c r="E2203" s="1068" t="inlineStr">
        <is>
          <t>M2</t>
        </is>
      </c>
      <c r="F2203" s="1067" t="n"/>
      <c r="G2203" s="1069">
        <f t="array" ref="G2203">IF(B2203="insumo",_xlfn.XLOOKUP($D2203,Insumos!$B$1:$B$996,Insumos!$D$1:$D$996),"")</f>
        <v/>
      </c>
      <c r="H2203" s="1069" t="n">
        <v>40.17</v>
      </c>
      <c r="I2203" s="2161" t="n">
        <v>0</v>
      </c>
      <c r="J2203" s="2161" t="n">
        <v>0</v>
      </c>
      <c r="K2203" s="2161" t="n"/>
    </row>
    <row r="2204" outlineLevel="3" ht="15.75" customHeight="1">
      <c r="A2204" s="10" t="n">
        <v>1</v>
      </c>
      <c r="B2204" s="10" t="inlineStr">
        <is>
          <t>Insumo</t>
        </is>
      </c>
      <c r="C2204" s="10" t="inlineStr">
        <is>
          <t>Impermeabilização com manta liquida em peitoris</t>
        </is>
      </c>
      <c r="D2204" s="10" t="inlineStr">
        <is>
          <t>Impermeabilizante manta liquida branca</t>
        </is>
      </c>
      <c r="E2204" s="11">
        <f t="array" ref="E2204">_xlfn.XLOOKUP(D2204,Insumos!B:B,Insumos!C:$C)</f>
        <v/>
      </c>
      <c r="F2204" s="14" t="n">
        <v>1.56</v>
      </c>
      <c r="G2204" s="92">
        <f t="array" ref="G2204">IF(B2204="insumo",_xlfn.XLOOKUP($D2204,Insumos!$B$1:$B$996,Insumos!$D$1:$D$996),"")</f>
        <v/>
      </c>
      <c r="H2204" s="92" t="n">
        <v>40.17</v>
      </c>
      <c r="I2204" s="2162" t="n">
        <v>0</v>
      </c>
      <c r="J2204" s="2162" t="n">
        <v>0</v>
      </c>
      <c r="K2204" s="2162" t="n"/>
    </row>
    <row r="2205" outlineLevel="2" ht="15.75" customHeight="1">
      <c r="A2205" s="1067" t="n">
        <v>1</v>
      </c>
      <c r="B2205" s="1067" t="inlineStr">
        <is>
          <t>Serviço</t>
        </is>
      </c>
      <c r="C2205" s="1067" t="inlineStr">
        <is>
          <t>Tratamento De Ralo Ou Ponto Emergente Com Argamassa Polimérica Reforçado Com Tela De Poliéster</t>
        </is>
      </c>
      <c r="D2205" s="1067" t="inlineStr">
        <is>
          <t>Tratamento De Ralo Ou Ponto Emergente Com Argamassa Polimérica Reforçado Com Tela De Poliéster</t>
        </is>
      </c>
      <c r="E2205" s="1068" t="inlineStr">
        <is>
          <t>UN</t>
        </is>
      </c>
      <c r="F2205" s="1067" t="n"/>
      <c r="G2205" s="1069">
        <f t="array" ref="G2205">IF(B2205="insumo",_xlfn.XLOOKUP($D2205,Insumos!$B$1:$B$996,Insumos!$D$1:$D$996),"")</f>
        <v/>
      </c>
      <c r="H2205" s="1069" t="n">
        <v>8.760014999999999</v>
      </c>
      <c r="I2205" s="2161" t="n">
        <v>675</v>
      </c>
      <c r="J2205" s="2161" t="n">
        <v>5913.010125</v>
      </c>
      <c r="K2205" s="2161" t="n"/>
    </row>
    <row r="2206" outlineLevel="3" ht="15.75" customHeight="1">
      <c r="A2206" s="10" t="n">
        <v>6</v>
      </c>
      <c r="B2206" s="10" t="inlineStr">
        <is>
          <t>Insumo</t>
        </is>
      </c>
      <c r="C2206" s="10" t="inlineStr">
        <is>
          <t>Tratamento De Ralo Ou Ponto Emergente Com Argamassa Polimérica Reforçado Com Tela De Poliéster</t>
        </is>
      </c>
      <c r="D2206" s="10" t="inlineStr">
        <is>
          <t>Argamassa polimerica impermeabilizante semiflexivel, bicomponente, a base de cimento e aditivos</t>
        </is>
      </c>
      <c r="E2206" s="11">
        <f t="array" ref="E2206">_xlfn.XLOOKUP(D2206,Insumos!B:B,Insumos!C:$C)</f>
        <v/>
      </c>
      <c r="F2206" s="14" t="n">
        <v>0.7385</v>
      </c>
      <c r="G2206" s="92">
        <f t="array" ref="G2206">IF(B2206="insumo",_xlfn.XLOOKUP($D2206,Insumos!$B$1:$B$996,Insumos!$D$1:$D$996),"")</f>
        <v/>
      </c>
      <c r="H2206" s="92" t="n">
        <v>8.367205</v>
      </c>
      <c r="I2206" s="2162" t="n">
        <v>675</v>
      </c>
      <c r="J2206" s="2162" t="n">
        <v>5647.863375</v>
      </c>
      <c r="K2206" s="2162" t="n"/>
    </row>
    <row r="2207" outlineLevel="3" ht="15.75" customHeight="1">
      <c r="A2207" s="10" t="n">
        <v>1</v>
      </c>
      <c r="B2207" s="10" t="inlineStr">
        <is>
          <t>Insumo</t>
        </is>
      </c>
      <c r="C2207" s="10" t="inlineStr">
        <is>
          <t>Tratamento De Ralo Ou Ponto Emergente Com Argamassa Polimérica Reforçado Com Tela De Poliéster</t>
        </is>
      </c>
      <c r="D2207" s="10" t="inlineStr">
        <is>
          <t>Veu de poliester para impermeabilizacao</t>
        </is>
      </c>
      <c r="E2207" s="11">
        <f t="array" ref="E2207">_xlfn.XLOOKUP(D2207,Insumos!B:B,Insumos!C:$C)</f>
        <v/>
      </c>
      <c r="F2207" s="14" t="n">
        <v>0.3571</v>
      </c>
      <c r="G2207" s="92">
        <f t="array" ref="G2207">IF(B2207="insumo",_xlfn.XLOOKUP($D2207,Insumos!$B$1:$B$996,Insumos!$D$1:$D$996),"")</f>
        <v/>
      </c>
      <c r="H2207" s="92" t="n">
        <v>0.39281</v>
      </c>
      <c r="I2207" s="2162" t="n">
        <v>675</v>
      </c>
      <c r="J2207" s="2162" t="n">
        <v>265.14675</v>
      </c>
      <c r="K2207" s="2162" t="n"/>
    </row>
    <row r="2208" outlineLevel="2" ht="16.5" customHeight="1">
      <c r="A2208" s="1067" t="n">
        <v>1</v>
      </c>
      <c r="B2208" s="1067" t="inlineStr">
        <is>
          <t>Serviço</t>
        </is>
      </c>
      <c r="C2208" s="1067" t="inlineStr">
        <is>
          <t>mpermeabilização de Fachadas (ULTRAVENT)</t>
        </is>
      </c>
      <c r="D2208" s="1067" t="inlineStr">
        <is>
          <t>mpermeabilização de Fachadas (ULTRAVENT)</t>
        </is>
      </c>
      <c r="E2208" s="1068" t="inlineStr">
        <is>
          <t>UN</t>
        </is>
      </c>
      <c r="F2208" s="1067" t="n"/>
      <c r="G2208" s="1069">
        <f t="array" ref="G2208">IF(B2208="insumo",_xlfn.XLOOKUP($D2208,Insumos!$B$1:$B$996,Insumos!$D$1:$D$996),"")</f>
        <v/>
      </c>
      <c r="H2208" s="1069" t="n">
        <v>27.5</v>
      </c>
      <c r="I2208" s="2161" t="n">
        <v>0</v>
      </c>
      <c r="J2208" s="2161" t="n">
        <v>0</v>
      </c>
      <c r="K2208" s="2161" t="n"/>
    </row>
    <row r="2209" outlineLevel="3" ht="16.5" customHeight="1">
      <c r="A2209" s="10" t="n">
        <v>1</v>
      </c>
      <c r="B2209" s="10" t="inlineStr">
        <is>
          <t>Insumo</t>
        </is>
      </c>
      <c r="C2209" s="10" t="inlineStr">
        <is>
          <t>mpermeabilização de Fachadas (ULTRAVENT)</t>
        </is>
      </c>
      <c r="D2209" s="10" t="inlineStr">
        <is>
          <t>impermeabilizante manta líquida Ultravent</t>
        </is>
      </c>
      <c r="E2209" s="11">
        <f t="array" ref="E2209">_xlfn.XLOOKUP(D2209,Insumos!B:B,Insumos!C:$C)</f>
        <v/>
      </c>
      <c r="F2209" s="14" t="n">
        <v>0.55</v>
      </c>
      <c r="G2209" s="92">
        <f t="array" ref="G2209">IF(B2209="insumo",_xlfn.XLOOKUP($D2209,Insumos!$B$1:$B$996,Insumos!$D$1:$D$996),"")</f>
        <v/>
      </c>
      <c r="H2209" s="92" t="n">
        <v>27.5</v>
      </c>
      <c r="I2209" s="2162" t="n">
        <v>0</v>
      </c>
      <c r="J2209" s="2162" t="n">
        <v>0</v>
      </c>
      <c r="K2209" s="2162" t="n"/>
    </row>
    <row r="2210" outlineLevel="2" ht="16.5" customHeight="1">
      <c r="A2210" s="1067" t="n">
        <v>1</v>
      </c>
      <c r="B2210" s="1067" t="inlineStr">
        <is>
          <t>Serviço</t>
        </is>
      </c>
      <c r="C2210" s="1067" t="inlineStr">
        <is>
          <t>Impermeabilização De Superfície Com Aspersão de CWS e CWS100</t>
        </is>
      </c>
      <c r="D2210" s="1067" t="inlineStr">
        <is>
          <t>Impermeabilização De Superfície Com Aspersão de CWS e CWS100</t>
        </is>
      </c>
      <c r="E2210" s="1068" t="inlineStr">
        <is>
          <t>UN</t>
        </is>
      </c>
      <c r="F2210" s="1067" t="n"/>
      <c r="G2210" s="1069">
        <f t="array" ref="G2210">IF(B2210="insumo",_xlfn.XLOOKUP($D2210,Insumos!$B$1:$B$996,Insumos!$D$1:$D$996),"")</f>
        <v/>
      </c>
      <c r="H2210" s="1069" t="n">
        <v>65</v>
      </c>
      <c r="I2210" s="2161" t="n">
        <v>0</v>
      </c>
      <c r="J2210" s="2161" t="n">
        <v>0</v>
      </c>
      <c r="K2210" s="2161" t="n"/>
    </row>
    <row r="2211" outlineLevel="3" ht="16.5" customHeight="1">
      <c r="A2211" s="10" t="n">
        <v>1</v>
      </c>
      <c r="B2211" s="10" t="inlineStr">
        <is>
          <t>Insumo</t>
        </is>
      </c>
      <c r="C2211" s="10" t="inlineStr">
        <is>
          <t>Impermeabilização De Superfície Com Aspersão de CWS e CWS100</t>
        </is>
      </c>
      <c r="D2211" s="10" t="inlineStr">
        <is>
          <t>SOLUÇÃO DE SILICADOS CWS100</t>
        </is>
      </c>
      <c r="E2211" s="11">
        <f t="array" ref="E2211">_xlfn.XLOOKUP(D2211,Insumos!B:B,Insumos!C:$C)</f>
        <v/>
      </c>
      <c r="F2211" s="14" t="n">
        <v>0.2</v>
      </c>
      <c r="G2211" s="92">
        <f t="array" ref="G2211">IF(B2211="insumo",_xlfn.XLOOKUP($D2211,Insumos!$B$1:$B$996,Insumos!$D$1:$D$996),"")</f>
        <v/>
      </c>
      <c r="H2211" s="92" t="n">
        <v>65</v>
      </c>
      <c r="I2211" s="2162" t="n">
        <v>0</v>
      </c>
      <c r="J2211" s="2162" t="n">
        <v>0</v>
      </c>
      <c r="K2211" s="2162" t="n"/>
    </row>
    <row r="2212" outlineLevel="2" ht="12.75" customHeight="1">
      <c r="A2212" s="1071" t="n">
        <v>1</v>
      </c>
      <c r="B2212" s="1071" t="inlineStr">
        <is>
          <t>Serviço</t>
        </is>
      </c>
      <c r="C2212" s="1071" t="inlineStr">
        <is>
          <t>E3 - Membrana de polímero acrílico com cimento e fibras, estruturada com tela de poliéster nos pontos críticos (3,0 kg/m²)</t>
        </is>
      </c>
      <c r="D2212" s="1071" t="inlineStr">
        <is>
          <t>E3 - Membrana de polímero acrílico com cimento e fibras, estruturada com tela de poliéster nos pontos críticos (3,0 kg/m²)</t>
        </is>
      </c>
      <c r="E2212" s="1072" t="inlineStr">
        <is>
          <t>M2</t>
        </is>
      </c>
      <c r="F2212" s="1071" t="n"/>
      <c r="G2212" s="1073">
        <f t="array" ref="G2212">IF(B2212="insumo",_xlfn.XLOOKUP($D2212,Insumos!$B$1:$B$996,Insumos!$D$1:$D$996),"")</f>
        <v/>
      </c>
      <c r="H2212" s="1073" t="n">
        <v>66</v>
      </c>
      <c r="I2212" s="2163" t="n">
        <v>0</v>
      </c>
      <c r="J2212" s="2163" t="n">
        <v>0</v>
      </c>
      <c r="K2212" s="2163" t="n"/>
    </row>
    <row r="2213" outlineLevel="3" ht="12.75" customHeight="1">
      <c r="A2213" s="82" t="n">
        <v>2</v>
      </c>
      <c r="B2213" s="82" t="inlineStr">
        <is>
          <t>Insumo</t>
        </is>
      </c>
      <c r="C2213" s="82" t="inlineStr">
        <is>
          <t>E3 - Membrana de polímero acrílico com cimento e fibras, estruturada com tela de poliéster nos pontos críticos (3,0 kg/m²)</t>
        </is>
      </c>
      <c r="D2213" s="82" t="inlineStr">
        <is>
          <t>Membrana de polímero acrílico com cimento e fibras, estruturada com tela de poliéster nos pontos críticos</t>
        </is>
      </c>
      <c r="E2213" s="11">
        <f t="array" ref="E2213">_xlfn.XLOOKUP(D2213,Insumos!B:B,Insumos!C:$C)</f>
        <v/>
      </c>
      <c r="F2213" s="2164" t="n">
        <v>3</v>
      </c>
      <c r="G2213" s="92">
        <f t="array" ref="G2213">IF(B2213="insumo",_xlfn.XLOOKUP($D2213,Insumos!$B$1:$B$996,Insumos!$D$1:$D$996),"")</f>
        <v/>
      </c>
      <c r="H2213" s="92" t="n">
        <v>66</v>
      </c>
      <c r="I2213" s="2165" t="n">
        <v>0</v>
      </c>
      <c r="J2213" s="2165" t="n">
        <v>0</v>
      </c>
      <c r="K2213" s="2165" t="n"/>
    </row>
    <row r="2214" outlineLevel="2" ht="12.75" customHeight="1">
      <c r="A2214" s="1071" t="n">
        <v>1</v>
      </c>
      <c r="B2214" s="1071" t="inlineStr">
        <is>
          <t>Serviço</t>
        </is>
      </c>
      <c r="C2214" s="1071" t="inlineStr">
        <is>
          <t>I30EL - Membrana de polímero acrílico, sem cimento (3,0 kg/m²), com resistência à alcalinidade, estruturada com tela de poliéster nos pontos críticos – Ref.: Sika Baucryl, MC DF9, Icopor HP, Procryl Imper</t>
        </is>
      </c>
      <c r="D2214" s="1071" t="inlineStr">
        <is>
          <t>I30EL - Membrana de polímero acrílico, sem cimento (3,0 kg/m²), com resistência à alcalinidade, estruturada com tela de poliéster nos pontos críticos – Ref.: Sika Baucryl, MC DF9, Icopor HP, Procryl Imper</t>
        </is>
      </c>
      <c r="E2214" s="1072" t="inlineStr">
        <is>
          <t>M2</t>
        </is>
      </c>
      <c r="F2214" s="1071" t="n"/>
      <c r="G2214" s="1073">
        <f t="array" ref="G2214">IF(B2214="insumo",_xlfn.XLOOKUP($D2214,Insumos!$B$1:$B$996,Insumos!$D$1:$D$996),"")</f>
        <v/>
      </c>
      <c r="H2214" s="1073" t="n">
        <v>75</v>
      </c>
      <c r="I2214" s="2163" t="n">
        <v>0</v>
      </c>
      <c r="J2214" s="2163" t="n">
        <v>0</v>
      </c>
      <c r="K2214" s="2163" t="n"/>
    </row>
    <row r="2215" outlineLevel="3" ht="12.75" customHeight="1">
      <c r="A2215" s="82" t="n">
        <v>1</v>
      </c>
      <c r="B2215" s="82" t="inlineStr">
        <is>
          <t>Insumo</t>
        </is>
      </c>
      <c r="C2215" s="82" t="inlineStr">
        <is>
          <t>I30EL - Membrana de polímero acrílico, sem cimento (3,0 kg/m²), com resistência à alcalinidade, estruturada com tela de poliéster nos pontos críticos – Ref.: Sika Baucryl, MC DF9, Icopor HP, Procryl Imper</t>
        </is>
      </c>
      <c r="D2215" s="82" t="inlineStr">
        <is>
          <t>Membrana de polímero acrílico, sem cimento com resistência à alcalinidade, estruturada com tela de poliéster nos pontos críticos</t>
        </is>
      </c>
      <c r="E2215" s="11">
        <f t="array" ref="E2215">_xlfn.XLOOKUP(D2215,Insumos!B:B,Insumos!C:$C)</f>
        <v/>
      </c>
      <c r="F2215" s="2164" t="n">
        <v>3</v>
      </c>
      <c r="G2215" s="92">
        <f t="array" ref="G2215">IF(B2215="insumo",_xlfn.XLOOKUP($D2215,Insumos!$B$1:$B$996,Insumos!$D$1:$D$996),"")</f>
        <v/>
      </c>
      <c r="H2215" s="92" t="n">
        <v>75</v>
      </c>
      <c r="I2215" s="2165" t="n">
        <v>0</v>
      </c>
      <c r="J2215" s="2165" t="n">
        <v>0</v>
      </c>
      <c r="K2215" s="2165" t="n"/>
    </row>
    <row r="2216" outlineLevel="2" ht="12.75" customHeight="1">
      <c r="A2216" s="1071" t="n">
        <v>1</v>
      </c>
      <c r="B2216" s="1071" t="inlineStr">
        <is>
          <t>Serviço</t>
        </is>
      </c>
      <c r="C2216" s="1071" t="inlineStr">
        <is>
          <t>M44A - Manta asfáltica tipo IV, 4 mm A, com acabamento areia/areia aderida com asfalto oxidado (3,0 kg/m²) + banho de asfalto oxidado (2,0 kg/m²)</t>
        </is>
      </c>
      <c r="D2216" s="1071" t="inlineStr">
        <is>
          <t>M44A - Manta asfáltica tipo IV, 4 mm A, com acabamento areia/areia aderida com asfalto oxidado (3,0 kg/m²) + banho de asfalto oxidado (2,0 kg/m²)</t>
        </is>
      </c>
      <c r="E2216" s="1072" t="inlineStr">
        <is>
          <t>M2</t>
        </is>
      </c>
      <c r="F2216" s="1071" t="n"/>
      <c r="G2216" s="1073">
        <f t="array" ref="G2216">IF(B2216="insumo",_xlfn.XLOOKUP($D2216,Insumos!$B$1:$B$996,Insumos!$D$1:$D$996),"")</f>
        <v/>
      </c>
      <c r="H2216" s="1073" t="n">
        <v>108</v>
      </c>
      <c r="I2216" s="2163" t="n">
        <v>0</v>
      </c>
      <c r="J2216" s="2163" t="n">
        <v>0</v>
      </c>
      <c r="K2216" s="2163" t="n"/>
    </row>
    <row r="2217" outlineLevel="3" ht="12.75" customHeight="1">
      <c r="A2217" s="82" t="n">
        <v>3</v>
      </c>
      <c r="B2217" s="82" t="inlineStr">
        <is>
          <t>Insumo</t>
        </is>
      </c>
      <c r="C2217" s="82" t="inlineStr">
        <is>
          <t>M44A - Manta asfáltica tipo IV, 4 mm A, com acabamento areia/areia aderida com asfalto oxidado (3,0 kg/m²) + banho de asfalto oxidado (2,0 kg/m²)</t>
        </is>
      </c>
      <c r="D2217" s="82" t="inlineStr">
        <is>
          <t>Manta asfáltica tipo IV, 4 mm A, com acabamento areia/areia aderida com asfalto oxidado</t>
        </is>
      </c>
      <c r="E2217" s="11">
        <f t="array" ref="E2217">_xlfn.XLOOKUP(D2217,Insumos!B:B,Insumos!C:$C)</f>
        <v/>
      </c>
      <c r="F2217" s="2164" t="n">
        <v>3</v>
      </c>
      <c r="G2217" s="92">
        <f t="array" ref="G2217">IF(B2217="insumo",_xlfn.XLOOKUP($D2217,Insumos!$B$1:$B$996,Insumos!$D$1:$D$996),"")</f>
        <v/>
      </c>
      <c r="H2217" s="92" t="n">
        <v>90</v>
      </c>
      <c r="I2217" s="2165" t="n">
        <v>0</v>
      </c>
      <c r="J2217" s="2165" t="n">
        <v>0</v>
      </c>
      <c r="K2217" s="2165" t="n"/>
    </row>
    <row r="2218" outlineLevel="3" ht="12.75" customHeight="1">
      <c r="A2218" s="82" t="n">
        <v>7</v>
      </c>
      <c r="B2218" s="82" t="inlineStr">
        <is>
          <t>Insumo</t>
        </is>
      </c>
      <c r="C2218" s="82" t="inlineStr">
        <is>
          <t>M44A - Manta asfáltica tipo IV, 4 mm A, com acabamento areia/areia aderida com asfalto oxidado (3,0 kg/m²) + banho de asfalto oxidado (2,0 kg/m²)</t>
        </is>
      </c>
      <c r="D2218" s="82" t="inlineStr">
        <is>
          <t>banho de asfalto oxidado</t>
        </is>
      </c>
      <c r="E2218" s="11">
        <f t="array" ref="E2218">_xlfn.XLOOKUP(D2218,Insumos!B:B,Insumos!C:$C)</f>
        <v/>
      </c>
      <c r="F2218" s="2164" t="n">
        <v>2</v>
      </c>
      <c r="G2218" s="92">
        <f t="array" ref="G2218">IF(B2218="insumo",_xlfn.XLOOKUP($D2218,Insumos!$B$1:$B$996,Insumos!$D$1:$D$996),"")</f>
        <v/>
      </c>
      <c r="H2218" s="92" t="n">
        <v>18</v>
      </c>
      <c r="I2218" s="2165" t="n">
        <v>0</v>
      </c>
      <c r="J2218" s="2165" t="n">
        <v>0</v>
      </c>
      <c r="K2218" s="2165" t="n"/>
    </row>
    <row r="2219" outlineLevel="2" ht="12.75" customHeight="1">
      <c r="A2219" s="1071" t="n">
        <v>1</v>
      </c>
      <c r="B2219" s="1071" t="inlineStr">
        <is>
          <t>Serviço</t>
        </is>
      </c>
      <c r="C2219" s="1071" t="inlineStr">
        <is>
          <t>C3 - Argamassa polimérica rígida, estruturada com tela de poliéster nos pontos críticos (3,0 kg/m²)</t>
        </is>
      </c>
      <c r="D2219" s="1071" t="inlineStr">
        <is>
          <t>C3 - Argamassa polimérica rígida, estruturada com tela de poliéster nos pontos críticos (3,0 kg/m²)</t>
        </is>
      </c>
      <c r="E2219" s="1072" t="inlineStr">
        <is>
          <t>M2</t>
        </is>
      </c>
      <c r="F2219" s="1071" t="n"/>
      <c r="G2219" s="1073">
        <f t="array" ref="G2219">IF(B2219="insumo",_xlfn.XLOOKUP($D2219,Insumos!$B$1:$B$996,Insumos!$D$1:$D$996),"")</f>
        <v/>
      </c>
      <c r="H2219" s="1073" t="n">
        <v>29.6666666666667</v>
      </c>
      <c r="I2219" s="2163" t="n">
        <v>0</v>
      </c>
      <c r="J2219" s="2163" t="n">
        <v>0</v>
      </c>
      <c r="K2219" s="2163" t="n"/>
    </row>
    <row r="2220" outlineLevel="3" ht="12.75" customHeight="1">
      <c r="A2220" s="82" t="n">
        <v>2</v>
      </c>
      <c r="B2220" s="82" t="inlineStr">
        <is>
          <t>Insumo</t>
        </is>
      </c>
      <c r="C2220" s="82" t="inlineStr">
        <is>
          <t>C3 - Argamassa polimérica rígida, estruturada com tela de poliéster nos pontos críticos (3,0 kg/m²)</t>
        </is>
      </c>
      <c r="D2220" s="82" t="inlineStr">
        <is>
          <t>Argamassa polimérica rígida, estruturada com tela de poliéster nos pontos críticos</t>
        </is>
      </c>
      <c r="E2220" s="11">
        <f t="array" ref="E2220">_xlfn.XLOOKUP(D2220,Insumos!B:B,Insumos!C:$C)</f>
        <v/>
      </c>
      <c r="F2220" s="2164" t="n">
        <v>3</v>
      </c>
      <c r="G2220" s="92">
        <f t="array" ref="G2220">IF(B2220="insumo",_xlfn.XLOOKUP($D2220,Insumos!$B$1:$B$996,Insumos!$D$1:$D$996),"")</f>
        <v/>
      </c>
      <c r="H2220" s="92" t="n">
        <v>29.6666666666667</v>
      </c>
      <c r="I2220" s="2165" t="n">
        <v>0</v>
      </c>
      <c r="J2220" s="2165" t="n">
        <v>0</v>
      </c>
      <c r="K2220" s="2165" t="n"/>
    </row>
    <row r="2221" outlineLevel="2" ht="12.75" customHeight="1">
      <c r="A2221" s="1071" t="n">
        <v>1</v>
      </c>
      <c r="B2221" s="1071" t="inlineStr">
        <is>
          <t>Serviço</t>
        </is>
      </c>
      <c r="C2221" s="1071" t="inlineStr">
        <is>
          <t>C3E3 - Argamassa polimérica rígida (3,0 kg/m²) + membrana de polímero acrílico com cimento e fibras, estruturada com tela de poliéster nos pontos críticos (3,0 kg/m²)</t>
        </is>
      </c>
      <c r="D2221" s="1071" t="inlineStr">
        <is>
          <t>C3E3 - Argamassa polimérica rígida (3,0 kg/m²) + membrana de polímero acrílico com cimento e fibras, estruturada com tela de poliéster nos pontos críticos (3,0 kg/m²)</t>
        </is>
      </c>
      <c r="E2221" s="1072" t="inlineStr">
        <is>
          <t>M2</t>
        </is>
      </c>
      <c r="F2221" s="1071" t="n"/>
      <c r="G2221" s="1073">
        <f t="array" ref="G2221">IF(B2221="insumo",_xlfn.XLOOKUP($D2221,Insumos!$B$1:$B$996,Insumos!$D$1:$D$996),"")</f>
        <v/>
      </c>
      <c r="H2221" s="1073" t="n">
        <v>95.6666666666667</v>
      </c>
      <c r="I2221" s="2163" t="n">
        <v>0</v>
      </c>
      <c r="J2221" s="2163" t="n">
        <v>0</v>
      </c>
      <c r="K2221" s="2163" t="n"/>
    </row>
    <row r="2222" outlineLevel="3" ht="12.75" customHeight="1">
      <c r="A2222" s="82" t="n">
        <v>1</v>
      </c>
      <c r="B2222" s="82" t="inlineStr">
        <is>
          <t>Insumo</t>
        </is>
      </c>
      <c r="C2222" s="82" t="inlineStr">
        <is>
          <t>C3E3 - Argamassa polimérica rígida (3,0 kg/m²) + membrana de polímero acrílico com cimento e fibras, estruturada com tela de poliéster nos pontos críticos (3,0 kg/m²)</t>
        </is>
      </c>
      <c r="D2222" s="82" t="inlineStr">
        <is>
          <t>Argamassa polimérica rígida</t>
        </is>
      </c>
      <c r="E2222" s="11">
        <f t="array" ref="E2222">_xlfn.XLOOKUP(D2222,Insumos!B:B,Insumos!C:$C)</f>
        <v/>
      </c>
      <c r="F2222" s="2164" t="n">
        <v>3</v>
      </c>
      <c r="G2222" s="92">
        <f t="array" ref="G2222">IF(B2222="insumo",_xlfn.XLOOKUP($D2222,Insumos!$B$1:$B$996,Insumos!$D$1:$D$996),"")</f>
        <v/>
      </c>
      <c r="H2222" s="92" t="n">
        <v>29.6666666666667</v>
      </c>
      <c r="I2222" s="2165" t="n">
        <v>0</v>
      </c>
      <c r="J2222" s="2165" t="n">
        <v>0</v>
      </c>
      <c r="K2222" s="2165" t="n"/>
    </row>
    <row r="2223" outlineLevel="3" ht="12.75" customHeight="1">
      <c r="A2223" s="82" t="n">
        <v>2</v>
      </c>
      <c r="B2223" s="82" t="inlineStr">
        <is>
          <t>Insumo</t>
        </is>
      </c>
      <c r="C2223" s="82" t="inlineStr">
        <is>
          <t>C3E3 - Argamassa polimérica rígida (3,0 kg/m²) + membrana de polímero acrílico com cimento e fibras, estruturada com tela de poliéster nos pontos críticos (3,0 kg/m²)</t>
        </is>
      </c>
      <c r="D2223" s="82" t="inlineStr">
        <is>
          <t>membrana de polímero acrílico com cimento e fibras, estruturada com tela de poliéster nos pontos críticos</t>
        </is>
      </c>
      <c r="E2223" s="11">
        <f t="array" ref="E2223">_xlfn.XLOOKUP(D2223,Insumos!B:B,Insumos!C:$C)</f>
        <v/>
      </c>
      <c r="F2223" s="2164" t="n">
        <v>3</v>
      </c>
      <c r="G2223" s="92">
        <f t="array" ref="G2223">IF(B2223="insumo",_xlfn.XLOOKUP($D2223,Insumos!$B$1:$B$996,Insumos!$D$1:$D$996),"")</f>
        <v/>
      </c>
      <c r="H2223" s="92" t="n">
        <v>66</v>
      </c>
      <c r="I2223" s="2165" t="n">
        <v>0</v>
      </c>
      <c r="J2223" s="2165" t="n">
        <v>0</v>
      </c>
      <c r="K2223" s="2165" t="n"/>
    </row>
    <row r="2224" outlineLevel="2" ht="12.75" customHeight="1">
      <c r="A2224" s="1071" t="n">
        <v>1</v>
      </c>
      <c r="B2224" s="1071" t="inlineStr">
        <is>
          <t>Serviço</t>
        </is>
      </c>
      <c r="C2224" s="1071" t="inlineStr">
        <is>
          <t>C4 - Argamassa polimérica rígida, estruturada com tela de poliéster nos pontos críticos (4,0 kg/m²)</t>
        </is>
      </c>
      <c r="D2224" s="1071" t="inlineStr">
        <is>
          <t>C4 - Argamassa polimérica rígida, estruturada com tela de poliéster nos pontos críticos (4,0 kg/m²)</t>
        </is>
      </c>
      <c r="E2224" s="1072" t="inlineStr">
        <is>
          <t>M2</t>
        </is>
      </c>
      <c r="F2224" s="1071" t="n"/>
      <c r="G2224" s="1073">
        <f t="array" ref="G2224">IF(B2224="insumo",_xlfn.XLOOKUP($D2224,Insumos!$B$1:$B$996,Insumos!$D$1:$D$996),"")</f>
        <v/>
      </c>
      <c r="H2224" s="1073" t="n">
        <v>39.5555555555556</v>
      </c>
      <c r="I2224" s="2163" t="n">
        <v>0</v>
      </c>
      <c r="J2224" s="2163" t="n">
        <v>0</v>
      </c>
      <c r="K2224" s="2163" t="n"/>
    </row>
    <row r="2225" outlineLevel="3" ht="12.75" customHeight="1">
      <c r="A2225" s="82" t="n">
        <v>2</v>
      </c>
      <c r="B2225" s="82" t="inlineStr">
        <is>
          <t>Insumo</t>
        </is>
      </c>
      <c r="C2225" s="82" t="inlineStr">
        <is>
          <t>C4 - Argamassa polimérica rígida, estruturada com tela de poliéster nos pontos críticos (4,0 kg/m²)</t>
        </is>
      </c>
      <c r="D2225" s="82" t="inlineStr">
        <is>
          <t>Argamassa polimérica rígida, estruturada com tela de poliéster nos pontos críticos</t>
        </is>
      </c>
      <c r="E2225" s="11">
        <f t="array" ref="E2225">_xlfn.XLOOKUP(D2225,Insumos!B:B,Insumos!C:$C)</f>
        <v/>
      </c>
      <c r="F2225" s="2164" t="n">
        <v>4</v>
      </c>
      <c r="G2225" s="92">
        <f t="array" ref="G2225">IF(B2225="insumo",_xlfn.XLOOKUP($D2225,Insumos!$B$1:$B$996,Insumos!$D$1:$D$996),"")</f>
        <v/>
      </c>
      <c r="H2225" s="92" t="n">
        <v>39.5555555555556</v>
      </c>
      <c r="I2225" s="2165" t="n">
        <v>0</v>
      </c>
      <c r="J2225" s="2165" t="n">
        <v>0</v>
      </c>
      <c r="K2225" s="2165" t="n"/>
    </row>
    <row r="2226" outlineLevel="2" ht="12.75" customHeight="1">
      <c r="A2226" s="1071" t="n">
        <v>1</v>
      </c>
      <c r="B2226" s="1071" t="inlineStr">
        <is>
          <t>Serviço</t>
        </is>
      </c>
      <c r="C2226" s="1071" t="inlineStr">
        <is>
          <t>C4RQ - Argamassa polimérica rígida, com alta resistência química, estruturada com tela de poliéster nos pontos críticos (4,0 kg/m²)</t>
        </is>
      </c>
      <c r="D2226" s="1071" t="inlineStr">
        <is>
          <t>C4RQ - Argamassa polimérica rígida, com alta resistência química, estruturada com tela de poliéster nos pontos críticos (4,0 kg/m²)</t>
        </is>
      </c>
      <c r="E2226" s="1072" t="inlineStr">
        <is>
          <t>M2</t>
        </is>
      </c>
      <c r="F2226" s="1071" t="n"/>
      <c r="G2226" s="1073">
        <f t="array" ref="G2226">IF(B2226="insumo",_xlfn.XLOOKUP($D2226,Insumos!$B$1:$B$996,Insumos!$D$1:$D$996),"")</f>
        <v/>
      </c>
      <c r="H2226" s="1073" t="n">
        <v>39.5555555555556</v>
      </c>
      <c r="I2226" s="2163" t="n">
        <v>0</v>
      </c>
      <c r="J2226" s="2163" t="n">
        <v>0</v>
      </c>
      <c r="K2226" s="2163" t="n"/>
    </row>
    <row r="2227" outlineLevel="3" ht="12.75" customHeight="1">
      <c r="A2227" s="82" t="n">
        <v>1</v>
      </c>
      <c r="B2227" s="82" t="inlineStr">
        <is>
          <t>Insumo</t>
        </is>
      </c>
      <c r="C2227" s="82" t="inlineStr">
        <is>
          <t>C4RQ - Argamassa polimérica rígida, com alta resistência química, estruturada com tela de poliéster nos pontos críticos (4,0 kg/m²)</t>
        </is>
      </c>
      <c r="D2227" s="82" t="inlineStr">
        <is>
          <t>Argamassa polimérica rígida, com alta resistência química, estruturada com tela de poliéster nos pontos críticos</t>
        </is>
      </c>
      <c r="E2227" s="11">
        <f t="array" ref="E2227">_xlfn.XLOOKUP(D2227,Insumos!B:B,Insumos!C:$C)</f>
        <v/>
      </c>
      <c r="F2227" s="2164" t="n">
        <v>4</v>
      </c>
      <c r="G2227" s="92">
        <f t="array" ref="G2227">IF(B2227="insumo",_xlfn.XLOOKUP($D2227,Insumos!$B$1:$B$996,Insumos!$D$1:$D$996),"")</f>
        <v/>
      </c>
      <c r="H2227" s="92" t="n">
        <v>39.5555555555556</v>
      </c>
      <c r="I2227" s="2165" t="n">
        <v>0</v>
      </c>
      <c r="J2227" s="2165" t="n">
        <v>0</v>
      </c>
      <c r="K2227" s="2165" t="n"/>
    </row>
    <row r="2228" outlineLevel="2" ht="12.75" customHeight="1">
      <c r="A2228" s="1071" t="n">
        <v>1</v>
      </c>
      <c r="B2228" s="1071" t="inlineStr">
        <is>
          <t>Serviço</t>
        </is>
      </c>
      <c r="C2228" s="1071" t="inlineStr">
        <is>
          <t>I30 - Membrana acrílica, estruturada com tela de poliéster, nos pontos críticos (3,0 kg/m²)</t>
        </is>
      </c>
      <c r="D2228" s="1071" t="inlineStr">
        <is>
          <t>I30 - Membrana acrílica, estruturada com tela de poliéster, nos pontos críticos (3,0 kg/m²)</t>
        </is>
      </c>
      <c r="E2228" s="1072" t="inlineStr">
        <is>
          <t>M2</t>
        </is>
      </c>
      <c r="F2228" s="1071" t="n"/>
      <c r="G2228" s="1073">
        <f t="array" ref="G2228">IF(B2228="insumo",_xlfn.XLOOKUP($D2228,Insumos!$B$1:$B$996,Insumos!$D$1:$D$996),"")</f>
        <v/>
      </c>
      <c r="H2228" s="1073" t="n">
        <v>72</v>
      </c>
      <c r="I2228" s="2163" t="n">
        <v>0</v>
      </c>
      <c r="J2228" s="2163" t="n">
        <v>0</v>
      </c>
      <c r="K2228" s="2163" t="n"/>
    </row>
    <row r="2229" outlineLevel="3" ht="12.75" customHeight="1">
      <c r="A2229" s="82" t="n">
        <v>1</v>
      </c>
      <c r="B2229" s="82" t="inlineStr">
        <is>
          <t>Insumo</t>
        </is>
      </c>
      <c r="C2229" s="82" t="inlineStr">
        <is>
          <t>I30 - Membrana acrílica, estruturada com tela de poliéster, nos pontos críticos (3,0 kg/m²)</t>
        </is>
      </c>
      <c r="D2229" s="82" t="inlineStr">
        <is>
          <t>Membrana acrílica, estruturada com tela de poliéster, nos pontos críticos</t>
        </is>
      </c>
      <c r="E2229" s="11">
        <f t="array" ref="E2229">_xlfn.XLOOKUP(D2229,Insumos!B:B,Insumos!C:$C)</f>
        <v/>
      </c>
      <c r="F2229" s="2164" t="n">
        <v>3</v>
      </c>
      <c r="G2229" s="92">
        <f t="array" ref="G2229">IF(B2229="insumo",_xlfn.XLOOKUP($D2229,Insumos!$B$1:$B$996,Insumos!$D$1:$D$996),"")</f>
        <v/>
      </c>
      <c r="H2229" s="92" t="n">
        <v>72</v>
      </c>
      <c r="I2229" s="2165" t="n">
        <v>0</v>
      </c>
      <c r="J2229" s="2165" t="n">
        <v>0</v>
      </c>
      <c r="K2229" s="2165" t="n"/>
    </row>
    <row r="2230" outlineLevel="2" ht="12.75" customHeight="1">
      <c r="A2230" s="1071" t="n">
        <v>1</v>
      </c>
      <c r="B2230" s="1071" t="inlineStr">
        <is>
          <t>Serviço</t>
        </is>
      </c>
      <c r="C2230" s="1071" t="inlineStr">
        <is>
          <t>M44AE2 - Manta asfáltica tipo IV, 4 mm A, com acabamento areia/areia aderida com asfalto oxidado (3,0 kg/m²) + banho de asfalto oxidado (2,0 kg/m²) + membrana de polímero acrílico com cimento e fibras para combater eflorescência (2,0 kg/m²)</t>
        </is>
      </c>
      <c r="D2230" s="1071" t="inlineStr">
        <is>
          <t>M44AE2 - Manta asfáltica tipo IV, 4 mm A, com acabamento areia/areia aderida com asfalto oxidado (3,0 kg/m²) + banho de asfalto oxidado (2,0 kg/m²) + membrana de polímero acrílico com cimento e fibras para combater eflorescência (2,0 kg/m²)</t>
        </is>
      </c>
      <c r="E2230" s="1072" t="inlineStr">
        <is>
          <t>M2</t>
        </is>
      </c>
      <c r="F2230" s="1071" t="n"/>
      <c r="G2230" s="1073">
        <f t="array" ref="G2230">IF(B2230="insumo",_xlfn.XLOOKUP($D2230,Insumos!$B$1:$B$996,Insumos!$D$1:$D$996),"")</f>
        <v/>
      </c>
      <c r="H2230" s="1073" t="n">
        <v>156</v>
      </c>
      <c r="I2230" s="2163" t="n">
        <v>0</v>
      </c>
      <c r="J2230" s="2163" t="n">
        <v>0</v>
      </c>
      <c r="K2230" s="2163" t="n"/>
    </row>
    <row r="2231" outlineLevel="3" ht="12.75" customHeight="1">
      <c r="A2231" s="82" t="n">
        <v>3</v>
      </c>
      <c r="B2231" s="82" t="inlineStr">
        <is>
          <t>Insumo</t>
        </is>
      </c>
      <c r="C2231" s="82" t="inlineStr">
        <is>
          <t>M44AE2 - Manta asfáltica tipo IV, 4 mm A, com acabamento areia/areia aderida com asfalto oxidado (3,0 kg/m²) + banho de asfalto oxidado (2,0 kg/m²) + membrana de polímero acrílico com cimento e fibras para combater eflorescência (2,0 kg/m²)</t>
        </is>
      </c>
      <c r="D2231" s="82" t="inlineStr">
        <is>
          <t>Manta asfáltica tipo IV, 4 mm A, com acabamento areia/areia aderida com asfalto oxidado</t>
        </is>
      </c>
      <c r="E2231" s="11">
        <f t="array" ref="E2231">_xlfn.XLOOKUP(D2231,Insumos!B:B,Insumos!C:$C)</f>
        <v/>
      </c>
      <c r="F2231" s="2164" t="n">
        <v>3</v>
      </c>
      <c r="G2231" s="92">
        <f t="array" ref="G2231">IF(B2231="insumo",_xlfn.XLOOKUP($D2231,Insumos!$B$1:$B$996,Insumos!$D$1:$D$996),"")</f>
        <v/>
      </c>
      <c r="H2231" s="92" t="n">
        <v>90</v>
      </c>
      <c r="I2231" s="2165" t="n">
        <v>0</v>
      </c>
      <c r="J2231" s="2165" t="n">
        <v>0</v>
      </c>
      <c r="K2231" s="2165" t="n"/>
    </row>
    <row r="2232" outlineLevel="3" ht="12.75" customHeight="1">
      <c r="A2232" s="82" t="n">
        <v>7</v>
      </c>
      <c r="B2232" s="82" t="inlineStr">
        <is>
          <t>Insumo</t>
        </is>
      </c>
      <c r="C2232" s="82" t="inlineStr">
        <is>
          <t>M44AE2 - Manta asfáltica tipo IV, 4 mm A, com acabamento areia/areia aderida com asfalto oxidado (3,0 kg/m²) + banho de asfalto oxidado (2,0 kg/m²) + membrana de polímero acrílico com cimento e fibras para combater eflorescência (2,0 kg/m²)</t>
        </is>
      </c>
      <c r="D2232" s="82" t="inlineStr">
        <is>
          <t>banho de asfalto oxidado</t>
        </is>
      </c>
      <c r="E2232" s="11">
        <f t="array" ref="E2232">_xlfn.XLOOKUP(D2232,Insumos!B:B,Insumos!C:$C)</f>
        <v/>
      </c>
      <c r="F2232" s="2164" t="n">
        <v>2</v>
      </c>
      <c r="G2232" s="92">
        <f t="array" ref="G2232">IF(B2232="insumo",_xlfn.XLOOKUP($D2232,Insumos!$B$1:$B$996,Insumos!$D$1:$D$996),"")</f>
        <v/>
      </c>
      <c r="H2232" s="92" t="n">
        <v>18</v>
      </c>
      <c r="I2232" s="2165" t="n">
        <v>0</v>
      </c>
      <c r="J2232" s="2165" t="n">
        <v>0</v>
      </c>
      <c r="K2232" s="2165" t="n"/>
    </row>
    <row r="2233" outlineLevel="3" ht="12.75" customHeight="1">
      <c r="A2233" s="82" t="n">
        <v>2</v>
      </c>
      <c r="B2233" s="82" t="inlineStr">
        <is>
          <t>Insumo</t>
        </is>
      </c>
      <c r="C2233" s="82" t="inlineStr">
        <is>
          <t>M44AE2 - Manta asfáltica tipo IV, 4 mm A, com acabamento areia/areia aderida com asfalto oxidado (3,0 kg/m²) + banho de asfalto oxidado (2,0 kg/m²) + membrana de polímero acrílico com cimento e fibras para combater eflorescência (2,0 kg/m²)</t>
        </is>
      </c>
      <c r="D2233" s="82" t="inlineStr">
        <is>
          <t>membrana de polímero acrílico com cimento e fibras para combater eflorescência</t>
        </is>
      </c>
      <c r="E2233" s="11">
        <f t="array" ref="E2233">_xlfn.XLOOKUP(D2233,Insumos!B:B,Insumos!C:$C)</f>
        <v/>
      </c>
      <c r="F2233" s="2164" t="n">
        <v>2</v>
      </c>
      <c r="G2233" s="92">
        <f t="array" ref="G2233">IF(B2233="insumo",_xlfn.XLOOKUP($D2233,Insumos!$B$1:$B$996,Insumos!$D$1:$D$996),"")</f>
        <v/>
      </c>
      <c r="H2233" s="92" t="n">
        <v>48</v>
      </c>
      <c r="I2233" s="2165" t="n">
        <v>0</v>
      </c>
      <c r="J2233" s="2165" t="n">
        <v>0</v>
      </c>
      <c r="K2233" s="2165" t="n"/>
    </row>
    <row r="2234" outlineLevel="2" ht="12.75" customHeight="1">
      <c r="A2234" s="1071" t="n">
        <v>1</v>
      </c>
      <c r="B2234" s="1071" t="inlineStr">
        <is>
          <t>Serviço</t>
        </is>
      </c>
      <c r="C2234" s="1071" t="inlineStr">
        <is>
          <t>E2 - Membrana de polímero acrílico, com cimento e com fibras, estruturada com tela de poliéster nos pontos críticos (2,0 kg/m²)</t>
        </is>
      </c>
      <c r="D2234" s="1071" t="inlineStr">
        <is>
          <t>E2 - Membrana de polímero acrílico, com cimento e com fibras, estruturada com tela de poliéster nos pontos críticos (2,0 kg/m²)</t>
        </is>
      </c>
      <c r="E2234" s="1072" t="inlineStr">
        <is>
          <t>M2</t>
        </is>
      </c>
      <c r="F2234" s="1071" t="n"/>
      <c r="G2234" s="1073">
        <f t="array" ref="G2234">IF(B2234="insumo",_xlfn.XLOOKUP($D2234,Insumos!$B$1:$B$996,Insumos!$D$1:$D$996),"")</f>
        <v/>
      </c>
      <c r="H2234" s="1073" t="n">
        <v>48</v>
      </c>
      <c r="I2234" s="2163" t="n">
        <v>0</v>
      </c>
      <c r="J2234" s="2163" t="n">
        <v>0</v>
      </c>
      <c r="K2234" s="2163" t="n"/>
    </row>
    <row r="2235" outlineLevel="3" ht="12.75" customHeight="1">
      <c r="A2235" s="82" t="n">
        <v>1</v>
      </c>
      <c r="B2235" s="82" t="inlineStr">
        <is>
          <t>Insumo</t>
        </is>
      </c>
      <c r="C2235" s="82" t="inlineStr">
        <is>
          <t>E2 - Membrana de polímero acrílico, com cimento e com fibras, estruturada com tela de poliéster nos pontos críticos (2,0 kg/m²)</t>
        </is>
      </c>
      <c r="D2235" s="82" t="inlineStr">
        <is>
          <t>Membrana de polímero acrílico, com cimento e com fibras, estruturada com tela de poliéster nos pontos críticos</t>
        </is>
      </c>
      <c r="E2235" s="11">
        <f t="array" ref="E2235">_xlfn.XLOOKUP(D2235,Insumos!B:B,Insumos!C:$C)</f>
        <v/>
      </c>
      <c r="F2235" s="2164" t="n">
        <v>2</v>
      </c>
      <c r="G2235" s="92">
        <f t="array" ref="G2235">IF(B2235="insumo",_xlfn.XLOOKUP($D2235,Insumos!$B$1:$B$996,Insumos!$D$1:$D$996),"")</f>
        <v/>
      </c>
      <c r="H2235" s="92" t="n">
        <v>48</v>
      </c>
      <c r="I2235" s="2165" t="n">
        <v>0</v>
      </c>
      <c r="J2235" s="2165" t="n">
        <v>0</v>
      </c>
      <c r="K2235" s="2165" t="n"/>
    </row>
    <row r="2236" outlineLevel="2" ht="12.75" customHeight="1">
      <c r="A2236" s="1071" t="n">
        <v>1</v>
      </c>
      <c r="B2236" s="1071" t="inlineStr">
        <is>
          <t>Serviço</t>
        </is>
      </c>
      <c r="C2236" s="1071" t="inlineStr">
        <is>
          <t>M44AR05 - Manta asfáltica tipo IV, 4 mm A, com acabamento areia/areia aderida com asfalto oxidado (3,0 kg/m²) + banho de asfalto oxidado (2,0 kg/m²) + pintura de proteção antirraiz sobre a proteção mecânica (0,5 L/m²)</t>
        </is>
      </c>
      <c r="D2236" s="1071" t="inlineStr">
        <is>
          <t>M44AR05 - Manta asfáltica tipo IV, 4 mm A, com acabamento areia/areia aderida com asfalto oxidado (3,0 kg/m²) + banho de asfalto oxidado (2,0 kg/m²) + pintura de proteção antirraiz sobre a proteção mecânica (0,5 L/m²)</t>
        </is>
      </c>
      <c r="E2236" s="1072" t="inlineStr">
        <is>
          <t>M2</t>
        </is>
      </c>
      <c r="F2236" s="1071" t="n"/>
      <c r="G2236" s="1073">
        <f t="array" ref="G2236">IF(B2236="insumo",_xlfn.XLOOKUP($D2236,Insumos!$B$1:$B$996,Insumos!$D$1:$D$996),"")</f>
        <v/>
      </c>
      <c r="H2236" s="1073" t="n">
        <v>138</v>
      </c>
      <c r="I2236" s="2163" t="n">
        <v>0</v>
      </c>
      <c r="J2236" s="2163" t="n">
        <v>0</v>
      </c>
      <c r="K2236" s="2163" t="n"/>
    </row>
    <row r="2237" outlineLevel="3" ht="12.75" customHeight="1">
      <c r="A2237" s="82" t="n">
        <v>3</v>
      </c>
      <c r="B2237" s="82" t="inlineStr">
        <is>
          <t>Insumo</t>
        </is>
      </c>
      <c r="C2237" s="82" t="inlineStr">
        <is>
          <t>M44AR05 - Manta asfáltica tipo IV, 4 mm A, com acabamento areia/areia aderida com asfalto oxidado (3,0 kg/m²) + banho de asfalto oxidado (2,0 kg/m²) + pintura de proteção antirraiz sobre a proteção mecânica (0,5 L/m²)</t>
        </is>
      </c>
      <c r="D2237" s="82" t="inlineStr">
        <is>
          <t>Manta asfáltica tipo IV, 4 mm A, com acabamento areia/areia aderida com asfalto oxidado</t>
        </is>
      </c>
      <c r="E2237" s="11">
        <f t="array" ref="E2237">_xlfn.XLOOKUP(D2237,Insumos!B:B,Insumos!C:$C)</f>
        <v/>
      </c>
      <c r="F2237" s="2164" t="n">
        <v>3</v>
      </c>
      <c r="G2237" s="92">
        <f t="array" ref="G2237">IF(B2237="insumo",_xlfn.XLOOKUP($D2237,Insumos!$B$1:$B$996,Insumos!$D$1:$D$996),"")</f>
        <v/>
      </c>
      <c r="H2237" s="93" t="n">
        <v>90</v>
      </c>
      <c r="I2237" s="2165" t="n">
        <v>0</v>
      </c>
      <c r="J2237" s="2165" t="n">
        <v>0</v>
      </c>
      <c r="K2237" s="2165" t="n"/>
    </row>
    <row r="2238" outlineLevel="3" ht="12.75" customHeight="1">
      <c r="A2238" s="82" t="n">
        <v>7</v>
      </c>
      <c r="B2238" s="82" t="inlineStr">
        <is>
          <t>Insumo</t>
        </is>
      </c>
      <c r="C2238" s="82" t="inlineStr">
        <is>
          <t>M44AR05 - Manta asfáltica tipo IV, 4 mm A, com acabamento areia/areia aderida com asfalto oxidado (3,0 kg/m²) + banho de asfalto oxidado (2,0 kg/m²) + pintura de proteção antirraiz sobre a proteção mecânica (0,5 L/m²)</t>
        </is>
      </c>
      <c r="D2238" s="82" t="inlineStr">
        <is>
          <t>banho de asfalto oxidado</t>
        </is>
      </c>
      <c r="E2238" s="11">
        <f t="array" ref="E2238">_xlfn.XLOOKUP(D2238,Insumos!B:B,Insumos!C:$C)</f>
        <v/>
      </c>
      <c r="F2238" s="2164" t="n">
        <v>2</v>
      </c>
      <c r="G2238" s="92">
        <f t="array" ref="G2238">IF(B2238="insumo",_xlfn.XLOOKUP($D2238,Insumos!$B$1:$B$996,Insumos!$D$1:$D$996),"")</f>
        <v/>
      </c>
      <c r="H2238" s="93" t="n">
        <v>18</v>
      </c>
      <c r="I2238" s="2165" t="n">
        <v>0</v>
      </c>
      <c r="J2238" s="2165" t="n">
        <v>0</v>
      </c>
      <c r="K2238" s="2165" t="n"/>
    </row>
    <row r="2239" outlineLevel="3" ht="12.75" customHeight="1">
      <c r="A2239" s="82" t="n">
        <v>3</v>
      </c>
      <c r="B2239" s="82" t="inlineStr">
        <is>
          <t>Insumo</t>
        </is>
      </c>
      <c r="C2239" s="82" t="inlineStr">
        <is>
          <t>M44AR05 - Manta asfáltica tipo IV, 4 mm A, com acabamento areia/areia aderida com asfalto oxidado (3,0 kg/m²) + banho de asfalto oxidado (2,0 kg/m²) + pintura de proteção antirraiz sobre a proteção mecânica (0,5 L/m²)</t>
        </is>
      </c>
      <c r="D2239" s="82" t="inlineStr">
        <is>
          <t>pintura de proteção antirraiz sobre a proteção mecânica</t>
        </is>
      </c>
      <c r="E2239" s="11">
        <f t="array" ref="E2239">_xlfn.XLOOKUP(D2239,Insumos!B:B,Insumos!C:$C)</f>
        <v/>
      </c>
      <c r="F2239" s="2164" t="n">
        <v>0.5</v>
      </c>
      <c r="G2239" s="92">
        <f t="array" ref="G2239">IF(B2239="insumo",_xlfn.XLOOKUP($D2239,Insumos!$B$1:$B$996,Insumos!$D$1:$D$996),"")</f>
        <v/>
      </c>
      <c r="H2239" s="93" t="n">
        <v>30</v>
      </c>
      <c r="I2239" s="2165" t="n">
        <v>0</v>
      </c>
      <c r="J2239" s="2165" t="n">
        <v>0</v>
      </c>
      <c r="K2239" s="2165" t="n"/>
    </row>
    <row r="2240" outlineLevel="2" ht="12.75" customHeight="1">
      <c r="A2240" s="1071" t="n">
        <v>1</v>
      </c>
      <c r="B2240" s="1071" t="inlineStr">
        <is>
          <t>Serviço</t>
        </is>
      </c>
      <c r="C2240" s="1071" t="inlineStr">
        <is>
          <t>M44A + M44AE2 - Manta asfáltica tipo IV, 4 mm + manta asfáltica tipo IV, 4 mm + banho de asfalto oxidado + membrana de polímero acrílico com cimento e fibras para combater eflorescência</t>
        </is>
      </c>
      <c r="D2240" s="1071" t="inlineStr">
        <is>
          <t>M44A + M44AE2 - Manta asfáltica tipo IV, 4 mm + manta asfáltica tipo IV, 4 mm + banho de asfalto oxidado + membrana de polímero acrílico com cimento e fibras para combater eflorescência</t>
        </is>
      </c>
      <c r="E2240" s="1072" t="inlineStr">
        <is>
          <t>M2</t>
        </is>
      </c>
      <c r="F2240" s="1071" t="n"/>
      <c r="G2240" s="1073">
        <f t="array" ref="G2240">IF(B2240="insumo",_xlfn.XLOOKUP($D2240,Insumos!$B$1:$B$996,Insumos!$D$1:$D$996),"")</f>
        <v/>
      </c>
      <c r="H2240" s="1073" t="n">
        <v>246</v>
      </c>
      <c r="I2240" s="2163" t="n">
        <v>0</v>
      </c>
      <c r="J2240" s="2163" t="n">
        <v>0</v>
      </c>
      <c r="K2240" s="2163" t="n"/>
    </row>
    <row r="2241" outlineLevel="3" ht="12.75" customHeight="1">
      <c r="A2241" s="82" t="n">
        <v>1</v>
      </c>
      <c r="B2241" s="82" t="inlineStr">
        <is>
          <t>Insumo</t>
        </is>
      </c>
      <c r="C2241" s="82" t="inlineStr">
        <is>
          <t>M44A + M44AE2 - Manta asfáltica tipo IV, 4 mm + manta asfáltica tipo IV, 4 mm + banho de asfalto oxidado + membrana de polímero acrílico com cimento e fibras para combater eflorescência</t>
        </is>
      </c>
      <c r="D2241" s="82" t="inlineStr">
        <is>
          <t>Manta asfáltica tipo IV, 4 mm A, com acabamento areia/areia + manta asfáltica tipo IV, 4 mm A, com acabamento areia/areia aderida com asfalto oxidado</t>
        </is>
      </c>
      <c r="E2241" s="11">
        <f t="array" ref="E2241">_xlfn.XLOOKUP(D2241,Insumos!B:B,Insumos!C:$C)</f>
        <v/>
      </c>
      <c r="F2241" s="2164" t="n">
        <v>6</v>
      </c>
      <c r="G2241" s="92">
        <f t="array" ref="G2241">IF(B2241="insumo",_xlfn.XLOOKUP($D2241,Insumos!$B$1:$B$996,Insumos!$D$1:$D$996),"")</f>
        <v/>
      </c>
      <c r="H2241" s="93" t="n">
        <v>180</v>
      </c>
      <c r="I2241" s="2165" t="n">
        <v>0</v>
      </c>
      <c r="J2241" s="2165" t="n">
        <v>0</v>
      </c>
      <c r="K2241" s="2165" t="n"/>
    </row>
    <row r="2242" outlineLevel="3" ht="12.75" customHeight="1">
      <c r="A2242" s="82" t="n">
        <v>7</v>
      </c>
      <c r="B2242" s="82" t="inlineStr">
        <is>
          <t>Insumo</t>
        </is>
      </c>
      <c r="C2242" s="82" t="inlineStr">
        <is>
          <t>M44A + M44AE2 - Manta asfáltica tipo IV, 4 mm + manta asfáltica tipo IV, 4 mm + banho de asfalto oxidado + membrana de polímero acrílico com cimento e fibras para combater eflorescência</t>
        </is>
      </c>
      <c r="D2242" s="82" t="inlineStr">
        <is>
          <t>banho de asfalto oxidado</t>
        </is>
      </c>
      <c r="E2242" s="11">
        <f t="array" ref="E2242">_xlfn.XLOOKUP(D2242,Insumos!B:B,Insumos!C:$C)</f>
        <v/>
      </c>
      <c r="F2242" s="2164" t="n">
        <v>2</v>
      </c>
      <c r="G2242" s="92">
        <f t="array" ref="G2242">IF(B2242="insumo",_xlfn.XLOOKUP($D2242,Insumos!$B$1:$B$996,Insumos!$D$1:$D$996),"")</f>
        <v/>
      </c>
      <c r="H2242" s="93" t="n">
        <v>18</v>
      </c>
      <c r="I2242" s="2165" t="n">
        <v>0</v>
      </c>
      <c r="J2242" s="2165" t="n">
        <v>0</v>
      </c>
      <c r="K2242" s="2165" t="n"/>
    </row>
    <row r="2243" outlineLevel="3" ht="12.75" customHeight="1">
      <c r="A2243" s="82" t="n">
        <v>2</v>
      </c>
      <c r="B2243" s="82" t="inlineStr">
        <is>
          <t>Insumo</t>
        </is>
      </c>
      <c r="C2243" s="82" t="inlineStr">
        <is>
          <t>M44A + M44AE2 - Manta asfáltica tipo IV, 4 mm + manta asfáltica tipo IV, 4 mm + banho de asfalto oxidado + membrana de polímero acrílico com cimento e fibras para combater eflorescência</t>
        </is>
      </c>
      <c r="D2243" s="82" t="inlineStr">
        <is>
          <t>membrana de polímero acrílico com cimento e fibras para combater eflorescência</t>
        </is>
      </c>
      <c r="E2243" s="11">
        <f t="array" ref="E2243">_xlfn.XLOOKUP(D2243,Insumos!B:B,Insumos!C:$C)</f>
        <v/>
      </c>
      <c r="F2243" s="2164" t="n">
        <v>2</v>
      </c>
      <c r="G2243" s="92">
        <f t="array" ref="G2243">IF(B2243="insumo",_xlfn.XLOOKUP($D2243,Insumos!$B$1:$B$996,Insumos!$D$1:$D$996),"")</f>
        <v/>
      </c>
      <c r="H2243" s="93" t="n">
        <v>48</v>
      </c>
      <c r="I2243" s="2165" t="n">
        <v>0</v>
      </c>
      <c r="J2243" s="2165" t="n">
        <v>0</v>
      </c>
      <c r="K2243" s="2165" t="n"/>
    </row>
    <row r="2244" outlineLevel="2" ht="12.75" customHeight="1">
      <c r="A2244" s="1071" t="n">
        <v>1</v>
      </c>
      <c r="B2244" s="1071" t="inlineStr">
        <is>
          <t>Serviço</t>
        </is>
      </c>
      <c r="C2244" s="1071" t="inlineStr">
        <is>
          <t>Sistema 2.5.3: Membrana de polímero acrílico com cimento e fibras sintéticas | Revestimento bicomponente à base de polímeros acrílicos com adição de cimento e fibras sintéticas (3,0 kg/m²) + Tela de poliéster nos pontos críticos</t>
        </is>
      </c>
      <c r="D2244" s="1071" t="inlineStr">
        <is>
          <t>Sistema 2.5.3: Membrana de polímero acrílico com cimento e fibras sintéticas | Revestimento bicomponente à base de polímeros acrílicos com adição de cimento e fibras sintéticas (3,0 kg/m²) + Tela de poliéster nos pontos críticos</t>
        </is>
      </c>
      <c r="E2244" s="1072" t="inlineStr">
        <is>
          <t>M2</t>
        </is>
      </c>
      <c r="F2244" s="1071" t="n"/>
      <c r="G2244" s="1073">
        <f t="array" ref="G2244">IF(B2244="insumo",_xlfn.XLOOKUP($D2244,Insumos!$B$1:$B$996,Insumos!$D$1:$D$996),"")</f>
        <v/>
      </c>
      <c r="H2244" s="1073" t="n">
        <v>34.0584666666667</v>
      </c>
      <c r="I2244" s="2163" t="n">
        <v>4925.75</v>
      </c>
      <c r="J2244" s="2163" t="n">
        <v>167763.492183334</v>
      </c>
      <c r="K2244" s="2163" t="n"/>
    </row>
    <row r="2245" outlineLevel="3" ht="12.75" customHeight="1">
      <c r="A2245" s="82" t="n">
        <v>3</v>
      </c>
      <c r="B2245" s="82" t="inlineStr">
        <is>
          <t>Insumo</t>
        </is>
      </c>
      <c r="C2245" s="82" t="inlineStr">
        <is>
          <t>Sistema 2.5.3: Membrana de polímero acrílico com cimento e fibras sintéticas | Revestimento bicomponente à base de polímeros acrílicos com adição de cimento e fibras sintéticas (3,0 kg/m²) + Tela de poliéster nos pontos críticos</t>
        </is>
      </c>
      <c r="D2245" s="82" t="inlineStr">
        <is>
          <t>Membrana de polímeros acrílicos com cimento e com fibras</t>
        </is>
      </c>
      <c r="E2245" s="11">
        <f t="array" ref="E2245">_xlfn.XLOOKUP(D2245,Insumos!B:B,Insumos!C:$C)</f>
        <v/>
      </c>
      <c r="F2245" s="2164" t="n">
        <v>3</v>
      </c>
      <c r="G2245" s="92">
        <f t="array" ref="G2245">IF(B2245="insumo",_xlfn.XLOOKUP($D2245,Insumos!$B$1:$B$996,Insumos!$D$1:$D$996),"")</f>
        <v/>
      </c>
      <c r="H2245" s="93" t="n">
        <v>33.1666666666667</v>
      </c>
      <c r="I2245" s="2165" t="n">
        <v>4925.75</v>
      </c>
      <c r="J2245" s="2165" t="n">
        <v>163370.708333333</v>
      </c>
      <c r="K2245" s="2165" t="n"/>
    </row>
    <row r="2246" outlineLevel="3" ht="12.75" customHeight="1">
      <c r="A2246" s="82" t="n">
        <v>5</v>
      </c>
      <c r="B2246" s="82" t="inlineStr">
        <is>
          <t>Insumo</t>
        </is>
      </c>
      <c r="C2246" s="82" t="inlineStr">
        <is>
          <t>Sistema 2.5.3: Membrana de polímero acrílico com cimento e fibras sintéticas | Revestimento bicomponente à base de polímeros acrílicos com adição de cimento e fibras sintéticas (3,0 kg/m²) + Tela de poliéster nos pontos críticos</t>
        </is>
      </c>
      <c r="D2246" s="82" t="inlineStr">
        <is>
          <t>Tela Poliéster De Reforço Para Impermeabilização - 50m X 1m</t>
        </is>
      </c>
      <c r="E2246" s="11">
        <f t="array" ref="E2246">_xlfn.XLOOKUP(D2246,Insumos!B:B,Insumos!C:$C)</f>
        <v/>
      </c>
      <c r="F2246" s="2164" t="n">
        <v>0.1</v>
      </c>
      <c r="G2246" s="92">
        <f t="array" ref="G2246">IF(B2246="insumo",_xlfn.XLOOKUP($D2246,Insumos!$B$1:$B$996,Insumos!$D$1:$D$996),"")</f>
        <v/>
      </c>
      <c r="H2246" s="93" t="n">
        <v>0.8918</v>
      </c>
      <c r="I2246" s="2165" t="n">
        <v>4925.75</v>
      </c>
      <c r="J2246" s="2165" t="n">
        <v>4392.78385</v>
      </c>
      <c r="K2246" s="2165" t="n"/>
    </row>
    <row r="2247" outlineLevel="2" ht="12.75" customHeight="1">
      <c r="A2247" s="1071" t="n">
        <v>1</v>
      </c>
      <c r="B2247" s="1071" t="inlineStr">
        <is>
          <t>Serviço</t>
        </is>
      </c>
      <c r="C2247" s="1071" t="inlineStr">
        <is>
          <t>Sistema 2.1.4:Argamassa polimérica para impermeabilização | Argamassa impermeabilizante bicomponente à base de aditivos minerais e polímeros (4,0 kg/m²) + Tela de poliéster nos pontos críticos</t>
        </is>
      </c>
      <c r="D2247" s="1071" t="inlineStr">
        <is>
          <t>Sistema 2.1.4:Argamassa polimérica para impermeabilização | Argamassa impermeabilizante bicomponente à base de aditivos minerais e polímeros (4,0 kg/m²) + Tela de poliéster nos pontos críticos</t>
        </is>
      </c>
      <c r="E2247" s="1072" t="inlineStr">
        <is>
          <t>M2</t>
        </is>
      </c>
      <c r="F2247" s="1071" t="n"/>
      <c r="G2247" s="1073">
        <f t="array" ref="G2247">IF(B2247="insumo",_xlfn.XLOOKUP($D2247,Insumos!$B$1:$B$996,Insumos!$D$1:$D$996),"")</f>
        <v/>
      </c>
      <c r="H2247" s="1073" t="n">
        <v>46.2118</v>
      </c>
      <c r="I2247" s="2163" t="n">
        <v>97.67</v>
      </c>
      <c r="J2247" s="2163" t="n">
        <v>4513.506506</v>
      </c>
      <c r="K2247" s="2163" t="n"/>
    </row>
    <row r="2248" outlineLevel="3" ht="12.75" customHeight="1">
      <c r="A2248" s="82" t="n">
        <v>6</v>
      </c>
      <c r="B2248" s="82" t="inlineStr">
        <is>
          <t>Insumo</t>
        </is>
      </c>
      <c r="C2248" s="82" t="inlineStr">
        <is>
          <t>Sistema 2.1.4:Argamassa polimérica para impermeabilização | Argamassa impermeabilizante bicomponente à base de aditivos minerais e polímeros (4,0 kg/m²) + Tela de poliéster nos pontos críticos</t>
        </is>
      </c>
      <c r="D2248" s="82" t="inlineStr">
        <is>
          <t>Argamassa polimerica impermeabilizante semiflexivel, bicomponente, a base de cimento e aditivos</t>
        </is>
      </c>
      <c r="E2248" s="11">
        <f t="array" ref="E2248">_xlfn.XLOOKUP(D2248,Insumos!B:B,Insumos!C:$C)</f>
        <v/>
      </c>
      <c r="F2248" s="2164" t="n">
        <v>4</v>
      </c>
      <c r="G2248" s="92">
        <f t="array" ref="G2248">IF(B2248="insumo",_xlfn.XLOOKUP($D2248,Insumos!$B$1:$B$996,Insumos!$D$1:$D$996),"")</f>
        <v/>
      </c>
      <c r="H2248" s="93" t="n">
        <v>45.32</v>
      </c>
      <c r="I2248" s="2165" t="n">
        <v>97.67</v>
      </c>
      <c r="J2248" s="2165" t="n">
        <v>4426.4044</v>
      </c>
      <c r="K2248" s="2165" t="n"/>
    </row>
    <row r="2249" outlineLevel="3" ht="12.75" customHeight="1">
      <c r="A2249" s="82" t="n">
        <v>5</v>
      </c>
      <c r="B2249" s="82" t="inlineStr">
        <is>
          <t>Insumo</t>
        </is>
      </c>
      <c r="C2249" s="82" t="inlineStr">
        <is>
          <t>Sistema 2.1.4:Argamassa polimérica para impermeabilização | Argamassa impermeabilizante bicomponente à base de aditivos minerais e polímeros (4,0 kg/m²) + Tela de poliéster nos pontos críticos</t>
        </is>
      </c>
      <c r="D2249" s="82" t="inlineStr">
        <is>
          <t>Tela Poliéster De Reforço Para Impermeabilização - 50m X 1m</t>
        </is>
      </c>
      <c r="E2249" s="11">
        <f t="array" ref="E2249">_xlfn.XLOOKUP(D2249,Insumos!B:B,Insumos!C:$C)</f>
        <v/>
      </c>
      <c r="F2249" s="2164" t="n">
        <v>0.1</v>
      </c>
      <c r="G2249" s="92">
        <f t="array" ref="G2249">IF(B2249="insumo",_xlfn.XLOOKUP($D2249,Insumos!$B$1:$B$996,Insumos!$D$1:$D$996),"")</f>
        <v/>
      </c>
      <c r="H2249" s="93" t="n">
        <v>0.8918</v>
      </c>
      <c r="I2249" s="2165" t="n">
        <v>97.67</v>
      </c>
      <c r="J2249" s="2165" t="n">
        <v>87.10210600000001</v>
      </c>
      <c r="K2249" s="2165" t="n"/>
    </row>
    <row r="2250" outlineLevel="2" ht="12.75" customHeight="1">
      <c r="A2250" s="1071" t="n">
        <v>1</v>
      </c>
      <c r="B2250" s="1071" t="inlineStr">
        <is>
          <t>Serviço</t>
        </is>
      </c>
      <c r="C2250" s="1071" t="inlineStr">
        <is>
          <t>Sistema 7.1.2:Argamassa impermeabilizante sem cimento - MK-FEN 30 (F) | Argamassa não cimentícia com agentes incorporadores de ar (4,0 kg/m²) + Tela de poliéster nos pontos críticos</t>
        </is>
      </c>
      <c r="D2250" s="1071" t="inlineStr">
        <is>
          <t>Sistema 7.1.2:Argamassa impermeabilizante sem cimento - MK-FEN 30 (F) | Argamassa não cimentícia com agentes incorporadores de ar (4,0 kg/m²) + Tela de poliéster nos pontos críticos</t>
        </is>
      </c>
      <c r="E2250" s="1072" t="inlineStr">
        <is>
          <t>M2</t>
        </is>
      </c>
      <c r="F2250" s="1071" t="n"/>
      <c r="G2250" s="1073">
        <f t="array" ref="G2250">IF(B2250="insumo",_xlfn.XLOOKUP($D2250,Insumos!$B$1:$B$996,Insumos!$D$1:$D$996),"")</f>
        <v/>
      </c>
      <c r="H2250" s="1073" t="n">
        <v>74.8918</v>
      </c>
      <c r="I2250" s="2163" t="n">
        <v>68.2</v>
      </c>
      <c r="J2250" s="2163" t="n">
        <v>5107.62076</v>
      </c>
      <c r="K2250" s="2163" t="n"/>
    </row>
    <row r="2251" outlineLevel="3" ht="12.75" customHeight="1">
      <c r="A2251" s="82" t="n">
        <v>2</v>
      </c>
      <c r="B2251" s="82" t="inlineStr">
        <is>
          <t>Insumo</t>
        </is>
      </c>
      <c r="C2251" s="82" t="inlineStr">
        <is>
          <t>Sistema 7.1.2:Argamassa impermeabilizante sem cimento - MK-FEN 30 (F) | Argamassa não cimentícia com agentes incorporadores de ar (4,0 kg/m²) + Tela de poliéster nos pontos críticos</t>
        </is>
      </c>
      <c r="D2251" s="82" t="inlineStr">
        <is>
          <t xml:space="preserve">Argamassa não cimentícia com agentes incorporadores de ar - MK-FEN 30 (F) </t>
        </is>
      </c>
      <c r="E2251" s="11">
        <f t="array" ref="E2251">_xlfn.XLOOKUP(D2251,Insumos!B:B,Insumos!C:$C)</f>
        <v/>
      </c>
      <c r="F2251" s="2164" t="n">
        <v>4</v>
      </c>
      <c r="G2251" s="92">
        <f t="array" ref="G2251">IF(B2251="insumo",_xlfn.XLOOKUP($D2251,Insumos!$B$1:$B$996,Insumos!$D$1:$D$996),"")</f>
        <v/>
      </c>
      <c r="H2251" s="93" t="n">
        <v>74</v>
      </c>
      <c r="I2251" s="2165" t="n">
        <v>68.2</v>
      </c>
      <c r="J2251" s="2165" t="n">
        <v>5046.8</v>
      </c>
      <c r="K2251" s="2165" t="n"/>
    </row>
    <row r="2252" outlineLevel="3" ht="12.75" customHeight="1">
      <c r="A2252" s="82" t="n">
        <v>5</v>
      </c>
      <c r="B2252" s="82" t="inlineStr">
        <is>
          <t>Insumo</t>
        </is>
      </c>
      <c r="C2252" s="82" t="inlineStr">
        <is>
          <t>Sistema 7.1.2:Argamassa impermeabilizante sem cimento - MK-FEN 30 (F) | Argamassa não cimentícia com agentes incorporadores de ar (4,0 kg/m²) + Tela de poliéster nos pontos críticos</t>
        </is>
      </c>
      <c r="D2252" s="82" t="inlineStr">
        <is>
          <t>Tela Poliéster De Reforço Para Impermeabilização - 50m X 1m</t>
        </is>
      </c>
      <c r="E2252" s="11">
        <f t="array" ref="E2252">_xlfn.XLOOKUP(D2252,Insumos!B:B,Insumos!C:$C)</f>
        <v/>
      </c>
      <c r="F2252" s="2164" t="n">
        <v>0.1</v>
      </c>
      <c r="G2252" s="92">
        <f t="array" ref="G2252">IF(B2252="insumo",_xlfn.XLOOKUP($D2252,Insumos!$B$1:$B$996,Insumos!$D$1:$D$996),"")</f>
        <v/>
      </c>
      <c r="H2252" s="93" t="n">
        <v>0.8918</v>
      </c>
      <c r="I2252" s="2165" t="n">
        <v>68.2</v>
      </c>
      <c r="J2252" s="2165" t="n">
        <v>60.82076</v>
      </c>
      <c r="K2252" s="2165" t="n"/>
    </row>
    <row r="2253" outlineLevel="2" ht="12.75" customHeight="1">
      <c r="A2253" s="1071" t="n">
        <v>1</v>
      </c>
      <c r="B2253" s="1071" t="inlineStr">
        <is>
          <t>Serviço</t>
        </is>
      </c>
      <c r="C2253" s="1071" t="inlineStr">
        <is>
          <t>Sistema 7.1.6:Argamassa impermeabilizante sem cimento - MK-FEN 30 (F) | Argamassa não cimentícia com agentes incorporadores de ar (8,0 kg/m²) + Tela de poliéster nos pontos críticos</t>
        </is>
      </c>
      <c r="D2253" s="1071" t="inlineStr">
        <is>
          <t>Sistema 7.1.6:Argamassa impermeabilizante sem cimento - MK-FEN 30 (F) | Argamassa não cimentícia com agentes incorporadores de ar (8,0 kg/m²) + Tela de poliéster nos pontos críticos</t>
        </is>
      </c>
      <c r="E2253" s="1072" t="inlineStr">
        <is>
          <t>M2</t>
        </is>
      </c>
      <c r="F2253" s="1071" t="n"/>
      <c r="G2253" s="1073">
        <f t="array" ref="G2253">IF(B2253="insumo",_xlfn.XLOOKUP($D2253,Insumos!$B$1:$B$996,Insumos!$D$1:$D$996),"")</f>
        <v/>
      </c>
      <c r="H2253" s="1073" t="n">
        <v>148.8918</v>
      </c>
      <c r="I2253" s="2163" t="n">
        <v>900.28</v>
      </c>
      <c r="J2253" s="2163" t="n">
        <v>134044.309704</v>
      </c>
      <c r="K2253" s="2163" t="n"/>
    </row>
    <row r="2254" outlineLevel="3" ht="12.75" customHeight="1">
      <c r="A2254" s="82" t="n">
        <v>2</v>
      </c>
      <c r="B2254" s="82" t="inlineStr">
        <is>
          <t>Insumo</t>
        </is>
      </c>
      <c r="C2254" s="82" t="inlineStr">
        <is>
          <t>Sistema 7.1.6:Argamassa impermeabilizante sem cimento - MK-FEN 30 (F) | Argamassa não cimentícia com agentes incorporadores de ar (8,0 kg/m²) + Tela de poliéster nos pontos críticos</t>
        </is>
      </c>
      <c r="D2254" s="82" t="inlineStr">
        <is>
          <t xml:space="preserve">Argamassa não cimentícia com agentes incorporadores de ar - MK-FEN 30 (F) </t>
        </is>
      </c>
      <c r="E2254" s="11">
        <f t="array" ref="E2254">_xlfn.XLOOKUP(D2254,Insumos!B:B,Insumos!C:$C)</f>
        <v/>
      </c>
      <c r="F2254" s="2164" t="n">
        <v>8</v>
      </c>
      <c r="G2254" s="92">
        <f t="array" ref="G2254">IF(B2254="insumo",_xlfn.XLOOKUP($D2254,Insumos!$B$1:$B$996,Insumos!$D$1:$D$996),"")</f>
        <v/>
      </c>
      <c r="H2254" s="93" t="n">
        <v>148</v>
      </c>
      <c r="I2254" s="2165" t="n">
        <v>900.28</v>
      </c>
      <c r="J2254" s="2165" t="n">
        <v>133241.44</v>
      </c>
      <c r="K2254" s="2165" t="n"/>
    </row>
    <row r="2255" outlineLevel="3" ht="12.75" customHeight="1">
      <c r="A2255" s="82" t="n">
        <v>5</v>
      </c>
      <c r="B2255" s="82" t="inlineStr">
        <is>
          <t>Insumo</t>
        </is>
      </c>
      <c r="C2255" s="82" t="inlineStr">
        <is>
          <t>Sistema 7.1.6:Argamassa impermeabilizante sem cimento - MK-FEN 30 (F) | Argamassa não cimentícia com agentes incorporadores de ar (8,0 kg/m²) + Tela de poliéster nos pontos críticos</t>
        </is>
      </c>
      <c r="D2255" s="82" t="inlineStr">
        <is>
          <t>Tela Poliéster De Reforço Para Impermeabilização - 50m X 1m</t>
        </is>
      </c>
      <c r="E2255" s="11">
        <f t="array" ref="E2255">_xlfn.XLOOKUP(D2255,Insumos!B:B,Insumos!C:$C)</f>
        <v/>
      </c>
      <c r="F2255" s="2164" t="n">
        <v>0.1</v>
      </c>
      <c r="G2255" s="92">
        <f t="array" ref="G2255">IF(B2255="insumo",_xlfn.XLOOKUP($D2255,Insumos!$B$1:$B$996,Insumos!$D$1:$D$996),"")</f>
        <v/>
      </c>
      <c r="H2255" s="93" t="n">
        <v>0.8918</v>
      </c>
      <c r="I2255" s="2165" t="n">
        <v>900.28</v>
      </c>
      <c r="J2255" s="2165" t="n">
        <v>802.869704</v>
      </c>
      <c r="K2255" s="2165" t="n"/>
    </row>
    <row r="2256" outlineLevel="2" ht="12.75" customHeight="1">
      <c r="A2256" s="1071" t="n">
        <v>1</v>
      </c>
      <c r="B2256" s="1071" t="inlineStr">
        <is>
          <t>Serviço</t>
        </is>
      </c>
      <c r="C2256" s="1071" t="inlineStr">
        <is>
          <t>Sistema 2.8.6: Argamassa impermeabilizante bicomponente à base de aditivos minerais (2,0 kg/m²) + Revestimento bicomponente à base de polímeros acrílicos com adição de cimento e fibras sintéticas (4,5 kg/m²) + Tela de poliéster nos pontos críticos</t>
        </is>
      </c>
      <c r="D2256" s="1071" t="inlineStr">
        <is>
          <t>Sistema 2.8.6: Argamassa impermeabilizante bicomponente à base de aditivos minerais (2,0 kg/m²) + Revestimento bicomponente à base de polímeros acrílicos com adição de cimento e fibras sintéticas (4,5 kg/m²) + Tela de poliéster nos pontos críticos</t>
        </is>
      </c>
      <c r="E2256" s="1072" t="inlineStr">
        <is>
          <t>M2</t>
        </is>
      </c>
      <c r="F2256" s="1071" t="n"/>
      <c r="G2256" s="1073">
        <f t="array" ref="G2256">IF(B2256="insumo",_xlfn.XLOOKUP($D2256,Insumos!$B$1:$B$996,Insumos!$D$1:$D$996),"")</f>
        <v/>
      </c>
      <c r="H2256" s="1073" t="n">
        <v>73.3018</v>
      </c>
      <c r="I2256" s="2163" t="n">
        <v>234</v>
      </c>
      <c r="J2256" s="2163" t="n">
        <v>17152.6212</v>
      </c>
      <c r="K2256" s="2163" t="n"/>
    </row>
    <row r="2257" outlineLevel="3" ht="12.75" customHeight="1">
      <c r="A2257" s="82" t="n">
        <v>6</v>
      </c>
      <c r="B2257" s="82" t="inlineStr">
        <is>
          <t>Insumo</t>
        </is>
      </c>
      <c r="C2257" s="82" t="inlineStr">
        <is>
          <t>Sistema 2.8.6: Argamassa impermeabilizante bicomponente à base de aditivos minerais (2,0 kg/m²) + Revestimento bicomponente à base de polímeros acrílicos com adição de cimento e fibras sintéticas (4,5 kg/m²) + Tela de poliéster nos pontos críticos</t>
        </is>
      </c>
      <c r="D2257" s="82" t="inlineStr">
        <is>
          <t>Argamassa polimerica impermeabilizante semiflexivel, bicomponente, a base de cimento e aditivos</t>
        </is>
      </c>
      <c r="E2257" s="11">
        <f t="array" ref="E2257">_xlfn.XLOOKUP(D2257,Insumos!B:B,Insumos!C:$C)</f>
        <v/>
      </c>
      <c r="F2257" s="2164" t="n">
        <v>2</v>
      </c>
      <c r="G2257" s="92">
        <f t="array" ref="G2257">IF(B2257="insumo",_xlfn.XLOOKUP($D2257,Insumos!$B$1:$B$996,Insumos!$D$1:$D$996),"")</f>
        <v/>
      </c>
      <c r="H2257" s="93" t="n">
        <v>22.66</v>
      </c>
      <c r="I2257" s="2165" t="n">
        <v>234</v>
      </c>
      <c r="J2257" s="2165" t="n">
        <v>5302.44</v>
      </c>
      <c r="K2257" s="2165" t="n"/>
    </row>
    <row r="2258" outlineLevel="3" ht="12.75" customHeight="1">
      <c r="A2258" s="82" t="n">
        <v>3</v>
      </c>
      <c r="B2258" s="82" t="inlineStr">
        <is>
          <t>Insumo</t>
        </is>
      </c>
      <c r="C2258" s="82" t="inlineStr">
        <is>
          <t>Sistema 2.8.6: Argamassa impermeabilizante bicomponente à base de aditivos minerais (2,0 kg/m²) + Revestimento bicomponente à base de polímeros acrílicos com adição de cimento e fibras sintéticas (4,5 kg/m²) + Tela de poliéster nos pontos críticos</t>
        </is>
      </c>
      <c r="D2258" s="82" t="inlineStr">
        <is>
          <t>Membrana de polímeros acrílicos com cimento e com fibras</t>
        </is>
      </c>
      <c r="E2258" s="11">
        <f t="array" ref="E2258">_xlfn.XLOOKUP(D2258,Insumos!B:B,Insumos!C:$C)</f>
        <v/>
      </c>
      <c r="F2258" s="2164" t="n">
        <v>4.5</v>
      </c>
      <c r="G2258" s="92">
        <f t="array" ref="G2258">IF(B2258="insumo",_xlfn.XLOOKUP($D2258,Insumos!$B$1:$B$996,Insumos!$D$1:$D$996),"")</f>
        <v/>
      </c>
      <c r="H2258" s="93" t="n">
        <v>49.75</v>
      </c>
      <c r="I2258" s="2165" t="n">
        <v>234</v>
      </c>
      <c r="J2258" s="2165" t="n">
        <v>11641.5</v>
      </c>
      <c r="K2258" s="2165" t="n"/>
    </row>
    <row r="2259" outlineLevel="3" ht="12.75" customHeight="1">
      <c r="A2259" s="82" t="n">
        <v>5</v>
      </c>
      <c r="B2259" s="82" t="inlineStr">
        <is>
          <t>Insumo</t>
        </is>
      </c>
      <c r="C2259" s="82" t="inlineStr">
        <is>
          <t>Sistema 2.8.6: Argamassa impermeabilizante bicomponente à base de aditivos minerais (2,0 kg/m²) + Revestimento bicomponente à base de polímeros acrílicos com adição de cimento e fibras sintéticas (4,5 kg/m²) + Tela de poliéster nos pontos críticos</t>
        </is>
      </c>
      <c r="D2259" s="82" t="inlineStr">
        <is>
          <t>Tela Poliéster De Reforço Para Impermeabilização - 50m X 1m</t>
        </is>
      </c>
      <c r="E2259" s="11">
        <f t="array" ref="E2259">_xlfn.XLOOKUP(D2259,Insumos!B:B,Insumos!C:$C)</f>
        <v/>
      </c>
      <c r="F2259" s="2164" t="n">
        <v>0.1</v>
      </c>
      <c r="G2259" s="92">
        <f t="array" ref="G2259">IF(B2259="insumo",_xlfn.XLOOKUP($D2259,Insumos!$B$1:$B$996,Insumos!$D$1:$D$996),"")</f>
        <v/>
      </c>
      <c r="H2259" s="93" t="n">
        <v>0.8918</v>
      </c>
      <c r="I2259" s="2165" t="n">
        <v>234</v>
      </c>
      <c r="J2259" s="2165" t="n">
        <v>208.6812</v>
      </c>
      <c r="K2259" s="2165" t="n"/>
    </row>
    <row r="2260" outlineLevel="2" ht="12.75" customHeight="1">
      <c r="A2260" s="1071" t="n">
        <v>1</v>
      </c>
      <c r="B2260" s="1071" t="inlineStr">
        <is>
          <t>Serviço</t>
        </is>
      </c>
      <c r="C2260" s="1071" t="inlineStr">
        <is>
          <t>Sistema 4.2.4:Primer asfáltico à base d'água (0,4 L/m²) + Asfalto oxidado modificado (2,5 kg/m²) + Manta asfáltica AA 4mm Tipo III Classe B + Banho de asfalto oxidado modificado (2,5 kg/m²)</t>
        </is>
      </c>
      <c r="D2260" s="1071" t="inlineStr">
        <is>
          <t>Sistema 4.2.4:Primer asfáltico à base d'água (0,4 L/m²) + Asfalto oxidado modificado (2,5 kg/m²) + Manta asfáltica AA 4mm Tipo III Classe B + Banho de asfalto oxidado modificado (2,5 kg/m²)</t>
        </is>
      </c>
      <c r="E2260" s="1072" t="inlineStr">
        <is>
          <t>M2</t>
        </is>
      </c>
      <c r="F2260" s="1071" t="n"/>
      <c r="G2260" s="1073">
        <f t="array" ref="G2260">IF(B2260="insumo",_xlfn.XLOOKUP($D2260,Insumos!$B$1:$B$996,Insumos!$D$1:$D$996),"")</f>
        <v/>
      </c>
      <c r="H2260" s="1073" t="n">
        <v>133.1805</v>
      </c>
      <c r="I2260" s="2163" t="n">
        <v>757.0599999999999</v>
      </c>
      <c r="J2260" s="2163" t="n">
        <v>100825.62933</v>
      </c>
      <c r="K2260" s="2163" t="n"/>
    </row>
    <row r="2261" outlineLevel="3" ht="12.75" customHeight="1">
      <c r="A2261" s="82" t="n">
        <v>5</v>
      </c>
      <c r="B2261" s="82" t="inlineStr">
        <is>
          <t>Insumo</t>
        </is>
      </c>
      <c r="C2261" s="82" t="inlineStr">
        <is>
          <t>Sistema 4.2.4:Primer asfáltico à base d'água (0,4 L/m²) + Asfalto oxidado modificado (2,5 kg/m²) + Manta asfáltica AA 4mm Tipo III Classe B + Banho de asfalto oxidado modificado (2,5 kg/m²)</t>
        </is>
      </c>
      <c r="D2261" s="82" t="inlineStr">
        <is>
          <t>MANTA ASFALTICA ELASTOMERICA EM POLIESTER 4 MM, TIPO III, CLASSE B, ACABAMENTO PP (NBR 9952)</t>
        </is>
      </c>
      <c r="E2261" s="11">
        <f t="array" ref="E2261">_xlfn.XLOOKUP(D2261,Insumos!B:B,Insumos!C:$C)</f>
        <v/>
      </c>
      <c r="F2261" s="2164" t="n">
        <v>1.125</v>
      </c>
      <c r="G2261" s="92">
        <f t="array" ref="G2261">IF(B2261="insumo",_xlfn.XLOOKUP($D2261,Insumos!$B$1:$B$996,Insumos!$D$1:$D$996),"")</f>
        <v/>
      </c>
      <c r="H2261" s="93" t="n">
        <v>78.77249999999999</v>
      </c>
      <c r="I2261" s="2165" t="n">
        <v>757.0599999999999</v>
      </c>
      <c r="J2261" s="2165" t="n">
        <v>59635.50885</v>
      </c>
      <c r="K2261" s="2165" t="n"/>
    </row>
    <row r="2262" outlineLevel="3" ht="15.75" customHeight="1">
      <c r="A2262" s="10" t="n">
        <v>7</v>
      </c>
      <c r="B2262" s="10" t="inlineStr">
        <is>
          <t>Insumo</t>
        </is>
      </c>
      <c r="C2262" s="82" t="inlineStr">
        <is>
          <t>Sistema 4.2.4:Primer asfáltico à base d'água (0,4 L/m²) + Asfalto oxidado modificado (2,5 kg/m²) + Manta asfáltica AA 4mm Tipo III Classe B + Banho de asfalto oxidado modificado (2,5 kg/m²)</t>
        </is>
      </c>
      <c r="D2262" s="10" t="inlineStr">
        <is>
          <t>PRIMER PARA MANTA ASFALTICA A BASE DE ASFALTO MODIFICADO DILUIDO EM SOLVENTE, APLICACAO A FRIO</t>
        </is>
      </c>
      <c r="E2262" s="11">
        <f t="array" ref="E2262">_xlfn.XLOOKUP(D2262,Insumos!B:B,Insumos!C:$C)</f>
        <v/>
      </c>
      <c r="F2262" s="14" t="n">
        <v>0.4</v>
      </c>
      <c r="G2262" s="92">
        <f t="array" ref="G2262">IF(B2262="insumo",_xlfn.XLOOKUP($D2262,Insumos!$B$1:$B$996,Insumos!$D$1:$D$996),"")</f>
        <v/>
      </c>
      <c r="H2262" s="93" t="n">
        <v>9.407999999999999</v>
      </c>
      <c r="I2262" s="2162" t="n">
        <v>757.0599999999999</v>
      </c>
      <c r="J2262" s="2162" t="n">
        <v>7122.42048</v>
      </c>
      <c r="K2262" s="2162" t="n"/>
    </row>
    <row r="2263" outlineLevel="3" ht="12.75" customHeight="1">
      <c r="A2263" s="82" t="n">
        <v>7</v>
      </c>
      <c r="B2263" s="82" t="inlineStr">
        <is>
          <t>Insumo</t>
        </is>
      </c>
      <c r="C2263" s="82" t="inlineStr">
        <is>
          <t>Sistema 4.2.4:Primer asfáltico à base d'água (0,4 L/m²) + Asfalto oxidado modificado (2,5 kg/m²) + Manta asfáltica AA 4mm Tipo III Classe B + Banho de asfalto oxidado modificado (2,5 kg/m²)</t>
        </is>
      </c>
      <c r="D2263" s="82" t="inlineStr">
        <is>
          <t>banho de asfalto oxidado</t>
        </is>
      </c>
      <c r="E2263" s="11">
        <f t="array" ref="E2263">_xlfn.XLOOKUP(D2263,Insumos!B:B,Insumos!C:$C)</f>
        <v/>
      </c>
      <c r="F2263" s="2164" t="n">
        <v>5</v>
      </c>
      <c r="G2263" s="92">
        <f t="array" ref="G2263">IF(B2263="insumo",_xlfn.XLOOKUP($D2263,Insumos!$B$1:$B$996,Insumos!$D$1:$D$996),"")</f>
        <v/>
      </c>
      <c r="H2263" s="93" t="n">
        <v>45</v>
      </c>
      <c r="I2263" s="2165" t="n">
        <v>757.0599999999999</v>
      </c>
      <c r="J2263" s="2165" t="n">
        <v>34067.7</v>
      </c>
      <c r="K2263" s="2165" t="n"/>
    </row>
    <row r="2264" outlineLevel="2" ht="12.75" customHeight="1">
      <c r="A2264" s="1071" t="n">
        <v>1</v>
      </c>
      <c r="B2264" s="1071" t="inlineStr">
        <is>
          <t>Serviço</t>
        </is>
      </c>
      <c r="C2264" s="1071" t="inlineStr">
        <is>
          <t>Sistema 4.5.3:Primer asfáltico à base d'água (0,4 L/m²) + Asfalto oxidado modificado (2,5 kg/m²) + Manta asfáltica AA 4mm Tipo III Classe B + Banho de asfalto oxidado modificado (2,5 kg/m²) + Emulsão asfáltica antiraiz sobre a proteção mecânica (0,8 L/m²)</t>
        </is>
      </c>
      <c r="D2264" s="1071" t="inlineStr">
        <is>
          <t>Sistema 4.5.3:Primer asfáltico à base d'água (0,4 L/m²) + Asfalto oxidado modificado (2,5 kg/m²) + Manta asfáltica AA 4mm Tipo III Classe B + Banho de asfalto oxidado modificado (2,5 kg/m²) + Emulsão asfáltica antiraiz sobre a proteção mecânica (0,8 L/m²)</t>
        </is>
      </c>
      <c r="E2264" s="1072" t="inlineStr">
        <is>
          <t>M2</t>
        </is>
      </c>
      <c r="F2264" s="1071" t="n"/>
      <c r="G2264" s="1073">
        <f t="array" ref="G2264">IF(B2264="insumo",_xlfn.XLOOKUP($D2264,Insumos!$B$1:$B$996,Insumos!$D$1:$D$996),"")</f>
        <v/>
      </c>
      <c r="H2264" s="1073" t="n">
        <v>181.1805</v>
      </c>
      <c r="I2264" s="2163" t="n">
        <v>342.12</v>
      </c>
      <c r="J2264" s="2163" t="n">
        <v>61985.47266</v>
      </c>
      <c r="K2264" s="2163" t="n"/>
    </row>
    <row r="2265" outlineLevel="3" ht="12.75" customHeight="1">
      <c r="A2265" s="82" t="n">
        <v>5</v>
      </c>
      <c r="B2265" s="82" t="inlineStr">
        <is>
          <t>Insumo</t>
        </is>
      </c>
      <c r="C2265" s="82" t="inlineStr">
        <is>
          <t>Sistema 4.5.3:Primer asfáltico à base d'água (0,4 L/m²) + Asfalto oxidado modificado (2,5 kg/m²) + Manta asfáltica AA 4mm Tipo III Classe B + Banho de asfalto oxidado modificado (2,5 kg/m²) + Emulsão asfáltica antiraiz sobre a proteção mecânica (0,8 L/m²)</t>
        </is>
      </c>
      <c r="D2265" s="82" t="inlineStr">
        <is>
          <t>MANTA ASFALTICA ELASTOMERICA EM POLIESTER 4 MM, TIPO III, CLASSE B, ACABAMENTO PP (NBR 9952)</t>
        </is>
      </c>
      <c r="E2265" s="11">
        <f t="array" ref="E2265">_xlfn.XLOOKUP(D2265,Insumos!B:B,Insumos!C:$C)</f>
        <v/>
      </c>
      <c r="F2265" s="2164" t="n">
        <v>1.125</v>
      </c>
      <c r="G2265" s="92">
        <f t="array" ref="G2265">IF(B2265="insumo",_xlfn.XLOOKUP($D2265,Insumos!$B$1:$B$996,Insumos!$D$1:$D$996),"")</f>
        <v/>
      </c>
      <c r="H2265" s="93" t="n">
        <v>78.77249999999999</v>
      </c>
      <c r="I2265" s="2165" t="n">
        <v>342.12</v>
      </c>
      <c r="J2265" s="2165" t="n">
        <v>26949.6477</v>
      </c>
      <c r="K2265" s="2165" t="n"/>
    </row>
    <row r="2266" outlineLevel="3" ht="15.75" customHeight="1">
      <c r="A2266" s="10" t="n">
        <v>7</v>
      </c>
      <c r="B2266" s="10" t="inlineStr">
        <is>
          <t>Insumo</t>
        </is>
      </c>
      <c r="C2266" s="82" t="inlineStr">
        <is>
          <t>Sistema 4.5.3:Primer asfáltico à base d'água (0,4 L/m²) + Asfalto oxidado modificado (2,5 kg/m²) + Manta asfáltica AA 4mm Tipo III Classe B + Banho de asfalto oxidado modificado (2,5 kg/m²) + Emulsão asfáltica antiraiz sobre a proteção mecânica (0,8 L/m²)</t>
        </is>
      </c>
      <c r="D2266" s="10" t="inlineStr">
        <is>
          <t>PRIMER PARA MANTA ASFALTICA A BASE DE ASFALTO MODIFICADO DILUIDO EM SOLVENTE, APLICACAO A FRIO</t>
        </is>
      </c>
      <c r="E2266" s="11">
        <f t="array" ref="E2266">_xlfn.XLOOKUP(D2266,Insumos!B:B,Insumos!C:$C)</f>
        <v/>
      </c>
      <c r="F2266" s="14" t="n">
        <v>0.4</v>
      </c>
      <c r="G2266" s="92">
        <f t="array" ref="G2266">IF(B2266="insumo",_xlfn.XLOOKUP($D2266,Insumos!$B$1:$B$996,Insumos!$D$1:$D$996),"")</f>
        <v/>
      </c>
      <c r="H2266" s="93" t="n">
        <v>9.407999999999999</v>
      </c>
      <c r="I2266" s="2162" t="n">
        <v>342.12</v>
      </c>
      <c r="J2266" s="2162" t="n">
        <v>3218.66496</v>
      </c>
      <c r="K2266" s="2162" t="n"/>
    </row>
    <row r="2267" outlineLevel="3" ht="12.75" customHeight="1">
      <c r="A2267" s="82" t="n">
        <v>7</v>
      </c>
      <c r="B2267" s="82" t="inlineStr">
        <is>
          <t>Insumo</t>
        </is>
      </c>
      <c r="C2267" s="82" t="inlineStr">
        <is>
          <t>Sistema 4.5.3:Primer asfáltico à base d'água (0,4 L/m²) + Asfalto oxidado modificado (2,5 kg/m²) + Manta asfáltica AA 4mm Tipo III Classe B + Banho de asfalto oxidado modificado (2,5 kg/m²) + Emulsão asfáltica antiraiz sobre a proteção mecânica (0,8 L/m²)</t>
        </is>
      </c>
      <c r="D2267" s="82" t="inlineStr">
        <is>
          <t>banho de asfalto oxidado</t>
        </is>
      </c>
      <c r="E2267" s="11">
        <f t="array" ref="E2267">_xlfn.XLOOKUP(D2267,Insumos!B:B,Insumos!C:$C)</f>
        <v/>
      </c>
      <c r="F2267" s="2164" t="n">
        <v>5</v>
      </c>
      <c r="G2267" s="92">
        <f t="array" ref="G2267">IF(B2267="insumo",_xlfn.XLOOKUP($D2267,Insumos!$B$1:$B$996,Insumos!$D$1:$D$996),"")</f>
        <v/>
      </c>
      <c r="H2267" s="93" t="n">
        <v>45</v>
      </c>
      <c r="I2267" s="2165" t="n">
        <v>342.12</v>
      </c>
      <c r="J2267" s="2165" t="n">
        <v>15395.4</v>
      </c>
      <c r="K2267" s="2165" t="n"/>
    </row>
    <row r="2268" outlineLevel="3" ht="12.75" customHeight="1">
      <c r="A2268" s="82" t="n">
        <v>3</v>
      </c>
      <c r="B2268" s="82" t="inlineStr">
        <is>
          <t>Insumo</t>
        </is>
      </c>
      <c r="C2268" s="82" t="inlineStr">
        <is>
          <t>Sistema 4.5.3:Primer asfáltico à base d'água (0,4 L/m²) + Asfalto oxidado modificado (2,5 kg/m²) + Manta asfáltica AA 4mm Tipo III Classe B + Banho de asfalto oxidado modificado (2,5 kg/m²) + Emulsão asfáltica antiraiz sobre a proteção mecânica (0,8 L/m²)</t>
        </is>
      </c>
      <c r="D2268" s="82" t="inlineStr">
        <is>
          <t>pintura de proteção antirraiz sobre a proteção mecânica</t>
        </is>
      </c>
      <c r="E2268" s="11">
        <f t="array" ref="E2268">_xlfn.XLOOKUP(D2268,Insumos!B:B,Insumos!C:$C)</f>
        <v/>
      </c>
      <c r="F2268" s="2164" t="n">
        <v>0.8</v>
      </c>
      <c r="G2268" s="92">
        <f t="array" ref="G2268">IF(B2268="insumo",_xlfn.XLOOKUP($D2268,Insumos!$B$1:$B$996,Insumos!$D$1:$D$996),"")</f>
        <v/>
      </c>
      <c r="H2268" s="93" t="n">
        <v>48</v>
      </c>
      <c r="I2268" s="2165" t="n">
        <v>342.12</v>
      </c>
      <c r="J2268" s="2165" t="n">
        <v>16421.76</v>
      </c>
      <c r="K2268" s="2165" t="n"/>
    </row>
    <row r="2269" outlineLevel="2" ht="12.75" customHeight="1">
      <c r="A2269" s="1071" t="n">
        <v>1</v>
      </c>
      <c r="B2269" s="1071" t="inlineStr">
        <is>
          <t>Serviço</t>
        </is>
      </c>
      <c r="C2269" s="1071" t="inlineStr">
        <is>
          <t>Sistema 4.9.2:Primer asfáltico à base d'água (0,4 L/m²)+Asfalto oxidado modificado (5kg/m²)+Manta asfáltica AA 3mm Tipo III Classe B+Manta asfáltica AA 4mm Tipo III Classe B+Argamassa polimérica para impermeabilização sobre a proteção mecânica (2,0 kg/m²)</t>
        </is>
      </c>
      <c r="D2269" s="1071" t="inlineStr">
        <is>
          <t>Sistema 4.9.2:Primer asfáltico à base d'água (0,4 L/m²)+Asfalto oxidado modificado (5kg/m²)+Manta asfáltica AA 3mm Tipo III Classe B+Manta asfáltica AA 4mm Tipo III Classe B+Argamassa polimérica para impermeabilização sobre a proteção mecânica (2,0 kg/m²)</t>
        </is>
      </c>
      <c r="E2269" s="1072" t="inlineStr">
        <is>
          <t>M2</t>
        </is>
      </c>
      <c r="F2269" s="1071" t="n"/>
      <c r="G2269" s="1073">
        <f t="array" ref="G2269">IF(B2269="insumo",_xlfn.XLOOKUP($D2269,Insumos!$B$1:$B$996,Insumos!$D$1:$D$996),"")</f>
        <v/>
      </c>
      <c r="H2269" s="1073" t="n">
        <v>267.988</v>
      </c>
      <c r="I2269" s="2163" t="n">
        <v>241.13</v>
      </c>
      <c r="J2269" s="2163" t="n">
        <v>64619.94644</v>
      </c>
      <c r="K2269" s="2163" t="n"/>
    </row>
    <row r="2270" outlineLevel="3" ht="12.75" customHeight="1">
      <c r="A2270" s="82" t="n">
        <v>5</v>
      </c>
      <c r="B2270" s="82" t="inlineStr">
        <is>
          <t>Insumo</t>
        </is>
      </c>
      <c r="C2270" s="82" t="inlineStr">
        <is>
          <t>Sistema 4.9.2:Primer asfáltico à base d'água (0,4 L/m²)+Asfalto oxidado modificado (5kg/m²)+Manta asfáltica AA 3mm Tipo III Classe B+Manta asfáltica AA 4mm Tipo III Classe B+Argamassa polimérica para impermeabilização sobre a proteção mecânica (2,0 kg/m²)</t>
        </is>
      </c>
      <c r="D2270" s="82" t="inlineStr">
        <is>
          <t>MANTA ASFALTICA ELASTOMERICA EM POLIESTER 4 MM, TIPO III, CLASSE B, ACABAMENTO PP (NBR 9952)</t>
        </is>
      </c>
      <c r="E2270" s="11">
        <f t="array" ref="E2270">_xlfn.XLOOKUP(D2270,Insumos!B:B,Insumos!C:$C)</f>
        <v/>
      </c>
      <c r="F2270" s="2164" t="n">
        <v>1.125</v>
      </c>
      <c r="G2270" s="92">
        <f t="array" ref="G2270">IF(B2270="insumo",_xlfn.XLOOKUP($D2270,Insumos!$B$1:$B$996,Insumos!$D$1:$D$996),"")</f>
        <v/>
      </c>
      <c r="H2270" s="93" t="n">
        <v>78.77249999999999</v>
      </c>
      <c r="I2270" s="2165" t="n">
        <v>241.13</v>
      </c>
      <c r="J2270" s="2165" t="n">
        <v>18994.412925</v>
      </c>
      <c r="K2270" s="2165" t="n"/>
    </row>
    <row r="2271" outlineLevel="3" ht="15.75" customHeight="1">
      <c r="A2271" s="10" t="n">
        <v>2</v>
      </c>
      <c r="B2271" s="10" t="inlineStr">
        <is>
          <t>Insumo</t>
        </is>
      </c>
      <c r="C2271" s="82" t="inlineStr">
        <is>
          <t>Sistema 4.9.2:Primer asfáltico à base d'água (0,4 L/m²)+Asfalto oxidado modificado (5kg/m²)+Manta asfáltica AA 3mm Tipo III Classe B+Manta asfáltica AA 4mm Tipo III Classe B+Argamassa polimérica para impermeabilização sobre a proteção mecânica (2,0 kg/m²)</t>
        </is>
      </c>
      <c r="D2271" s="10" t="inlineStr">
        <is>
          <t>MANTA ASFALTICA ELASTOMERICA EM POLIESTER 3 MM, TIPO III, CLASSE B, ACABAMENTO PP (NBR 9952)</t>
        </is>
      </c>
      <c r="E2271" s="11">
        <f t="array" ref="E2271">_xlfn.XLOOKUP(D2271,Insumos!B:B,Insumos!C:$C)</f>
        <v/>
      </c>
      <c r="F2271" s="14" t="n">
        <v>1.125</v>
      </c>
      <c r="G2271" s="92">
        <f t="array" ref="G2271">IF(B2271="insumo",_xlfn.XLOOKUP($D2271,Insumos!$B$1:$B$996,Insumos!$D$1:$D$996),"")</f>
        <v/>
      </c>
      <c r="H2271" s="93" t="n">
        <v>64.14749999999999</v>
      </c>
      <c r="I2271" s="2162" t="n">
        <v>241.13</v>
      </c>
      <c r="J2271" s="2162" t="n">
        <v>15467.886675</v>
      </c>
      <c r="K2271" s="2162" t="n"/>
    </row>
    <row r="2272" outlineLevel="3" ht="12.75" customHeight="1">
      <c r="A2272" s="82" t="n">
        <v>6</v>
      </c>
      <c r="B2272" s="82" t="inlineStr">
        <is>
          <t>Insumo</t>
        </is>
      </c>
      <c r="C2272" s="82" t="inlineStr">
        <is>
          <t>Sistema 4.9.2:Primer asfáltico à base d'água (0,4 L/m²)+Asfalto oxidado modificado (5kg/m²)+Manta asfáltica AA 3mm Tipo III Classe B+Manta asfáltica AA 4mm Tipo III Classe B+Argamassa polimérica para impermeabilização sobre a proteção mecânica (2,0 kg/m²)</t>
        </is>
      </c>
      <c r="D2272" s="82" t="inlineStr">
        <is>
          <t>Argamassa polimerica impermeabilizante semiflexivel, bicomponente, a base de cimento e aditivos</t>
        </is>
      </c>
      <c r="E2272" s="11">
        <f t="array" ref="E2272">_xlfn.XLOOKUP(D2272,Insumos!B:B,Insumos!C:$C)</f>
        <v/>
      </c>
      <c r="F2272" s="2164" t="n">
        <v>2</v>
      </c>
      <c r="G2272" s="92">
        <f t="array" ref="G2272">IF(B2272="insumo",_xlfn.XLOOKUP($D2272,Insumos!$B$1:$B$996,Insumos!$D$1:$D$996),"")</f>
        <v/>
      </c>
      <c r="H2272" s="93" t="n">
        <v>22.66</v>
      </c>
      <c r="I2272" s="2165" t="n">
        <v>241.13</v>
      </c>
      <c r="J2272" s="2165" t="n">
        <v>5464.0058</v>
      </c>
      <c r="K2272" s="2165" t="n"/>
    </row>
    <row r="2273" outlineLevel="3" ht="15.75" customHeight="1">
      <c r="A2273" s="10" t="n">
        <v>7</v>
      </c>
      <c r="B2273" s="10" t="inlineStr">
        <is>
          <t>Insumo</t>
        </is>
      </c>
      <c r="C2273" s="82" t="inlineStr">
        <is>
          <t>Sistema 4.9.2:Primer asfáltico à base d'água (0,4 L/m²)+Asfalto oxidado modificado (5kg/m²)+Manta asfáltica AA 3mm Tipo III Classe B+Manta asfáltica AA 4mm Tipo III Classe B+Argamassa polimérica para impermeabilização sobre a proteção mecânica (2,0 kg/m²)</t>
        </is>
      </c>
      <c r="D2273" s="10" t="inlineStr">
        <is>
          <t>PRIMER PARA MANTA ASFALTICA A BASE DE ASFALTO MODIFICADO DILUIDO EM SOLVENTE, APLICACAO A FRIO</t>
        </is>
      </c>
      <c r="E2273" s="11">
        <f t="array" ref="E2273">_xlfn.XLOOKUP(D2273,Insumos!B:B,Insumos!C:$C)</f>
        <v/>
      </c>
      <c r="F2273" s="14" t="n">
        <v>0.4</v>
      </c>
      <c r="G2273" s="92">
        <f t="array" ref="G2273">IF(B2273="insumo",_xlfn.XLOOKUP($D2273,Insumos!$B$1:$B$996,Insumos!$D$1:$D$996),"")</f>
        <v/>
      </c>
      <c r="H2273" s="93" t="n">
        <v>9.407999999999999</v>
      </c>
      <c r="I2273" s="2162" t="n">
        <v>241.13</v>
      </c>
      <c r="J2273" s="2162" t="n">
        <v>2268.55104</v>
      </c>
      <c r="K2273" s="2162" t="n"/>
    </row>
    <row r="2274" outlineLevel="3" ht="12.75" customHeight="1">
      <c r="A2274" s="82" t="n">
        <v>7</v>
      </c>
      <c r="B2274" s="82" t="inlineStr">
        <is>
          <t>Insumo</t>
        </is>
      </c>
      <c r="C2274" s="82" t="inlineStr">
        <is>
          <t>Sistema 4.9.2:Primer asfáltico à base d'água (0,4 L/m²)+Asfalto oxidado modificado (5kg/m²)+Manta asfáltica AA 3mm Tipo III Classe B+Manta asfáltica AA 4mm Tipo III Classe B+Argamassa polimérica para impermeabilização sobre a proteção mecânica (2,0 kg/m²)</t>
        </is>
      </c>
      <c r="D2274" s="82" t="inlineStr">
        <is>
          <t>banho de asfalto oxidado</t>
        </is>
      </c>
      <c r="E2274" s="11">
        <f t="array" ref="E2274">_xlfn.XLOOKUP(D2274,Insumos!B:B,Insumos!C:$C)</f>
        <v/>
      </c>
      <c r="F2274" s="2164" t="n">
        <v>5</v>
      </c>
      <c r="G2274" s="92">
        <f t="array" ref="G2274">IF(B2274="insumo",_xlfn.XLOOKUP($D2274,Insumos!$B$1:$B$996,Insumos!$D$1:$D$996),"")</f>
        <v/>
      </c>
      <c r="H2274" s="93" t="n">
        <v>45</v>
      </c>
      <c r="I2274" s="2165" t="n">
        <v>241.13</v>
      </c>
      <c r="J2274" s="2165" t="n">
        <v>10850.85</v>
      </c>
      <c r="K2274" s="2165" t="n"/>
    </row>
    <row r="2275" outlineLevel="3" ht="12.75" customHeight="1">
      <c r="A2275" s="82" t="n">
        <v>3</v>
      </c>
      <c r="B2275" s="82" t="inlineStr">
        <is>
          <t>Insumo</t>
        </is>
      </c>
      <c r="C2275" s="82" t="inlineStr">
        <is>
          <t>Sistema 4.9.2:Primer asfáltico à base d'água (0,4 L/m²)+Asfalto oxidado modificado (5kg/m²)+Manta asfáltica AA 3mm Tipo III Classe B+Manta asfáltica AA 4mm Tipo III Classe B+Argamassa polimérica para impermeabilização sobre a proteção mecânica (2,0 kg/m²)</t>
        </is>
      </c>
      <c r="D2275" s="82" t="inlineStr">
        <is>
          <t>pintura de proteção antirraiz sobre a proteção mecânica</t>
        </is>
      </c>
      <c r="E2275" s="11">
        <f t="array" ref="E2275">_xlfn.XLOOKUP(D2275,Insumos!B:B,Insumos!C:$C)</f>
        <v/>
      </c>
      <c r="F2275" s="2164" t="n">
        <v>0.8</v>
      </c>
      <c r="G2275" s="92">
        <f t="array" ref="G2275">IF(B2275="insumo",_xlfn.XLOOKUP($D2275,Insumos!$B$1:$B$996,Insumos!$D$1:$D$996),"")</f>
        <v/>
      </c>
      <c r="H2275" s="93" t="n">
        <v>48</v>
      </c>
      <c r="I2275" s="2165" t="n">
        <v>241.13</v>
      </c>
      <c r="J2275" s="2165" t="n">
        <v>11574.24</v>
      </c>
      <c r="K2275" s="2165" t="n"/>
    </row>
    <row r="2276" outlineLevel="1" ht="15.75" customHeight="1">
      <c r="A2276" s="1090" t="n">
        <v>2</v>
      </c>
      <c r="B2276" s="1090" t="inlineStr">
        <is>
          <t>Subetapa</t>
        </is>
      </c>
      <c r="C2276" s="1090" t="inlineStr">
        <is>
          <t>Sistema 4.5.3:Primer asfáltico à base d'água (0,4 L/m²) + Asfalto oxidado modificado (2,5 kg/m²) + Manta asfáltica AA 4mm Tipo III Classe B + Banho de asfalto oxidado modificado (2,5 kg/m²) + Emulsão asfáltica antiraiz sobre a proteção mecânica (0,8 L/m²)</t>
        </is>
      </c>
      <c r="D2276" s="1090" t="inlineStr">
        <is>
          <t>MÃO DE OBRA ACABAMENTOS PAREDE</t>
        </is>
      </c>
      <c r="E2276" s="1091" t="n"/>
      <c r="F2276" s="2160" t="n"/>
      <c r="G2276" s="1091" t="n"/>
      <c r="H2276" s="1065" t="n">
        <v>0</v>
      </c>
      <c r="I2276" s="2160" t="n">
        <v>0</v>
      </c>
      <c r="J2276" s="2160" t="n">
        <v>0</v>
      </c>
      <c r="K2276" s="2160" t="n"/>
    </row>
    <row r="2277" outlineLevel="2" ht="16.5" customHeight="1">
      <c r="A2277" s="1067" t="n">
        <v>1</v>
      </c>
      <c r="B2277" s="1067" t="inlineStr">
        <is>
          <t>Serviço</t>
        </is>
      </c>
      <c r="C2277" s="1067" t="inlineStr">
        <is>
          <t>Mão de obra impermeabilização de aspersão de CWS</t>
        </is>
      </c>
      <c r="D2277" s="1067" t="inlineStr">
        <is>
          <t>Mão de obra impermeabilização de aspersão de CWS</t>
        </is>
      </c>
      <c r="E2277" s="1068" t="inlineStr">
        <is>
          <t>UN</t>
        </is>
      </c>
      <c r="F2277" s="1067" t="n"/>
      <c r="G2277" s="1069">
        <f t="array" ref="G2277">IF(B2277="insumo",_xlfn.XLOOKUP($D2277,Insumos!$B$1:$B$996,Insumos!$D$1:$D$996),"")</f>
        <v/>
      </c>
      <c r="H2277" s="1069" t="n">
        <v>27.4</v>
      </c>
      <c r="I2277" s="2161" t="n">
        <v>0</v>
      </c>
      <c r="J2277" s="2161" t="n">
        <v>0</v>
      </c>
      <c r="K2277" s="2161" t="n"/>
    </row>
    <row r="2278" outlineLevel="3" ht="16.5" customHeight="1">
      <c r="A2278" s="10" t="n">
        <v>1</v>
      </c>
      <c r="B2278" s="10" t="inlineStr">
        <is>
          <t>Insumo</t>
        </is>
      </c>
      <c r="C2278" s="10" t="inlineStr">
        <is>
          <t>Mão de obra impermeabilização de aspersão de CWS</t>
        </is>
      </c>
      <c r="D2278" s="10" t="inlineStr">
        <is>
          <t>MAO DE OBRA - IMPRMEABILIZAÇÃO CWS100</t>
        </is>
      </c>
      <c r="E2278" s="11">
        <f t="array" ref="E2278">_xlfn.XLOOKUP(D2278,Insumos!B:B,Insumos!C:$C)</f>
        <v/>
      </c>
      <c r="F2278" s="14" t="n">
        <v>1</v>
      </c>
      <c r="G2278" s="92">
        <f t="array" ref="G2278">IF(B2278="insumo",_xlfn.XLOOKUP($D2278,Insumos!$B$1:$B$996,Insumos!$D$1:$D$996),"")</f>
        <v/>
      </c>
      <c r="H2278" s="92" t="n">
        <v>27.4</v>
      </c>
      <c r="I2278" s="2162" t="n">
        <v>0</v>
      </c>
      <c r="J2278" s="2162" t="n">
        <v>0</v>
      </c>
      <c r="K2278" s="2162" t="n"/>
    </row>
    <row r="2279" outlineLevel="2" ht="15.75" customHeight="1">
      <c r="A2279" s="1067" t="n">
        <v>1</v>
      </c>
      <c r="B2279" s="1067" t="inlineStr">
        <is>
          <t>Serviço</t>
        </is>
      </c>
      <c r="C2279" s="1067" t="inlineStr">
        <is>
          <t xml:space="preserve">Mão de obra para regularização de superfície </t>
        </is>
      </c>
      <c r="D2279" s="1067" t="inlineStr">
        <is>
          <t xml:space="preserve">Mão de obra para regularização de superfície </t>
        </is>
      </c>
      <c r="E2279" s="1068" t="inlineStr">
        <is>
          <t>M2</t>
        </is>
      </c>
      <c r="F2279" s="1067" t="n"/>
      <c r="G2279" s="1069">
        <f t="array" ref="G2279">IF(B2279="insumo",_xlfn.XLOOKUP($D2279,Insumos!$B$1:$B$996,Insumos!$D$1:$D$996),"")</f>
        <v/>
      </c>
      <c r="H2279" s="1069" t="n">
        <v>20</v>
      </c>
      <c r="I2279" s="2161" t="n">
        <v>3018.39</v>
      </c>
      <c r="J2279" s="2161" t="n">
        <v>60367.8</v>
      </c>
      <c r="K2279" s="2161" t="n"/>
    </row>
    <row r="2280" outlineLevel="3" ht="15.75" customHeight="1">
      <c r="A2280" s="10" t="n">
        <v>1</v>
      </c>
      <c r="B2280" s="10" t="inlineStr">
        <is>
          <t>Insumo</t>
        </is>
      </c>
      <c r="C2280" s="10" t="inlineStr">
        <is>
          <t xml:space="preserve">Mão de obra para regularização de superfície </t>
        </is>
      </c>
      <c r="D2280" s="10" t="inlineStr">
        <is>
          <t xml:space="preserve">Mão de obra para regularização de superfície </t>
        </is>
      </c>
      <c r="E2280" s="11">
        <f t="array" ref="E2280">_xlfn.XLOOKUP(D2280,Insumos!B:B,Insumos!C:$C)</f>
        <v/>
      </c>
      <c r="F2280" s="14" t="n">
        <v>1</v>
      </c>
      <c r="G2280" s="92">
        <f t="array" ref="G2280">IF(B2280="insumo",_xlfn.XLOOKUP($D2280,Insumos!$B$1:$B$996,Insumos!$D$1:$D$996),"")</f>
        <v/>
      </c>
      <c r="H2280" s="92" t="n">
        <v>20</v>
      </c>
      <c r="I2280" s="2162" t="n">
        <v>3018.39</v>
      </c>
      <c r="J2280" s="2162" t="n">
        <v>60367.8</v>
      </c>
      <c r="K2280" s="2162" t="n"/>
    </row>
    <row r="2281" outlineLevel="2" ht="15.75" customHeight="1">
      <c r="A2281" s="1067" t="n">
        <v>1</v>
      </c>
      <c r="B2281" s="1067" t="inlineStr">
        <is>
          <t>Serviço</t>
        </is>
      </c>
      <c r="C2281" s="1067" t="inlineStr">
        <is>
          <t>Mão de obra para proteção mecânica</t>
        </is>
      </c>
      <c r="D2281" s="1067" t="inlineStr">
        <is>
          <t>Mão de obra para proteção mecânica</t>
        </is>
      </c>
      <c r="E2281" s="1068" t="inlineStr">
        <is>
          <t>M2</t>
        </is>
      </c>
      <c r="F2281" s="1075" t="n"/>
      <c r="G2281" s="1069">
        <f t="array" ref="G2281">IF(B2281="insumo",_xlfn.XLOOKUP($D2281,Insumos!$B$1:$B$996,Insumos!$D$1:$D$996),"")</f>
        <v/>
      </c>
      <c r="H2281" s="1069" t="n">
        <v>35</v>
      </c>
      <c r="I2281" s="2161" t="n">
        <v>1014.45</v>
      </c>
      <c r="J2281" s="2161" t="n">
        <v>35505.75</v>
      </c>
      <c r="K2281" s="2161" t="n"/>
    </row>
    <row r="2282" outlineLevel="3" ht="15.75" customHeight="1">
      <c r="A2282" s="10" t="n">
        <v>1</v>
      </c>
      <c r="B2282" s="10" t="inlineStr">
        <is>
          <t>Insumo</t>
        </is>
      </c>
      <c r="C2282" s="10" t="inlineStr">
        <is>
          <t>Mão de obra para proteção mecânica</t>
        </is>
      </c>
      <c r="D2282" s="10" t="inlineStr">
        <is>
          <t>Mão de obra para proteção mecânica</t>
        </is>
      </c>
      <c r="E2282" s="11">
        <f t="array" ref="E2282">_xlfn.XLOOKUP(D2282,Insumos!B:B,Insumos!C:$C)</f>
        <v/>
      </c>
      <c r="F2282" s="14" t="n">
        <v>1</v>
      </c>
      <c r="G2282" s="92">
        <f t="array" ref="G2282">IF(B2282="insumo",_xlfn.XLOOKUP($D2282,Insumos!$B$1:$B$996,Insumos!$D$1:$D$996),"")</f>
        <v/>
      </c>
      <c r="H2282" s="92" t="n">
        <v>35</v>
      </c>
      <c r="I2282" s="2162" t="n">
        <v>1014.45</v>
      </c>
      <c r="J2282" s="2162" t="n">
        <v>35505.75</v>
      </c>
      <c r="K2282" s="2162" t="n"/>
    </row>
    <row r="2283" outlineLevel="2" ht="15.75" customHeight="1">
      <c r="A2283" s="1067" t="n">
        <v>1</v>
      </c>
      <c r="B2283" s="1067" t="inlineStr">
        <is>
          <t>Serviço</t>
        </is>
      </c>
      <c r="C2283" s="1067" t="inlineStr">
        <is>
          <t>Mão de obra impermeabilização de superfície com manta líquida</t>
        </is>
      </c>
      <c r="D2283" s="1067" t="inlineStr">
        <is>
          <t>Mão de obra impermeabilização de superfície com manta líquida</t>
        </is>
      </c>
      <c r="E2283" s="1068" t="inlineStr">
        <is>
          <t>M2</t>
        </is>
      </c>
      <c r="F2283" s="1075" t="n"/>
      <c r="G2283" s="1069">
        <f t="array" ref="G2283">IF(B2283="insumo",_xlfn.XLOOKUP($D2283,Insumos!$B$1:$B$996,Insumos!$D$1:$D$996),"")</f>
        <v/>
      </c>
      <c r="H2283" s="1069" t="n">
        <v>30</v>
      </c>
      <c r="I2283" s="2161" t="n">
        <v>0</v>
      </c>
      <c r="J2283" s="2161" t="n">
        <v>0</v>
      </c>
      <c r="K2283" s="2161" t="n"/>
    </row>
    <row r="2284" outlineLevel="3" ht="15.75" customHeight="1">
      <c r="A2284" s="10" t="n">
        <v>1</v>
      </c>
      <c r="B2284" s="10" t="inlineStr">
        <is>
          <t>Insumo</t>
        </is>
      </c>
      <c r="C2284" s="10" t="inlineStr">
        <is>
          <t>Mão de obra impermeabilização de superfície com manta líquida</t>
        </is>
      </c>
      <c r="D2284" s="10" t="inlineStr">
        <is>
          <t>Mão de obra impermeabilização de superfície com manta líquida</t>
        </is>
      </c>
      <c r="E2284" s="11">
        <f t="array" ref="E2284">_xlfn.XLOOKUP(D2284,Insumos!B:B,Insumos!C:$C)</f>
        <v/>
      </c>
      <c r="F2284" s="14" t="n">
        <v>1</v>
      </c>
      <c r="G2284" s="92">
        <f t="array" ref="G2284">IF(B2284="insumo",_xlfn.XLOOKUP($D2284,Insumos!$B$1:$B$996,Insumos!$D$1:$D$996),"")</f>
        <v/>
      </c>
      <c r="H2284" s="92" t="n">
        <v>30</v>
      </c>
      <c r="I2284" s="2162" t="n">
        <v>0</v>
      </c>
      <c r="J2284" s="2162" t="n">
        <v>0</v>
      </c>
      <c r="K2284" s="2162" t="n"/>
    </row>
    <row r="2285" outlineLevel="2" ht="15.75" customHeight="1">
      <c r="A2285" s="1067" t="n">
        <v>1</v>
      </c>
      <c r="B2285" s="1067" t="inlineStr">
        <is>
          <t>Serviço</t>
        </is>
      </c>
      <c r="C2285" s="1067" t="inlineStr">
        <is>
          <t>Mão de obra impermeabilização de superfície com manta asfáltica</t>
        </is>
      </c>
      <c r="D2285" s="1067" t="inlineStr">
        <is>
          <t>Mão de obra impermeabilização de superfície com manta asfáltica</t>
        </is>
      </c>
      <c r="E2285" s="1068" t="inlineStr">
        <is>
          <t>M2</t>
        </is>
      </c>
      <c r="F2285" s="1075" t="n"/>
      <c r="G2285" s="1069">
        <f t="array" ref="G2285">IF(B2285="insumo",_xlfn.XLOOKUP($D2285,Insumos!$B$1:$B$996,Insumos!$D$1:$D$996),"")</f>
        <v/>
      </c>
      <c r="H2285" s="1069" t="n">
        <v>45</v>
      </c>
      <c r="I2285" s="2161" t="n">
        <v>0</v>
      </c>
      <c r="J2285" s="2161" t="n">
        <v>0</v>
      </c>
      <c r="K2285" s="2161" t="n"/>
    </row>
    <row r="2286" outlineLevel="3" ht="15.75" customHeight="1">
      <c r="A2286" s="10" t="n">
        <v>1</v>
      </c>
      <c r="B2286" s="10" t="inlineStr">
        <is>
          <t>Insumo</t>
        </is>
      </c>
      <c r="C2286" s="10" t="inlineStr">
        <is>
          <t>Mão de obra impermeabilização de superfície com manta asfáltica</t>
        </is>
      </c>
      <c r="D2286" s="10" t="inlineStr">
        <is>
          <t>Mão de obra impermeabilização de superfície com manta asfáltica</t>
        </is>
      </c>
      <c r="E2286" s="11">
        <f t="array" ref="E2286">_xlfn.XLOOKUP(D2286,Insumos!B:B,Insumos!C:$C)</f>
        <v/>
      </c>
      <c r="F2286" s="14" t="n">
        <v>1</v>
      </c>
      <c r="G2286" s="92">
        <f t="array" ref="G2286">IF(B2286="insumo",_xlfn.XLOOKUP($D2286,Insumos!$B$1:$B$996,Insumos!$D$1:$D$996),"")</f>
        <v/>
      </c>
      <c r="H2286" s="92" t="n">
        <v>45</v>
      </c>
      <c r="I2286" s="2162" t="n">
        <v>0</v>
      </c>
      <c r="J2286" s="2162" t="n">
        <v>0</v>
      </c>
      <c r="K2286" s="2162" t="n"/>
    </row>
    <row r="2287" outlineLevel="2" ht="15.75" customHeight="1">
      <c r="A2287" s="1067" t="n">
        <v>1</v>
      </c>
      <c r="B2287" s="1067" t="inlineStr">
        <is>
          <t>Serviço</t>
        </is>
      </c>
      <c r="C2287" s="1067" t="inlineStr">
        <is>
          <t>Mão de obra impermeabilização de argamassa polimérica</t>
        </is>
      </c>
      <c r="D2287" s="1067" t="inlineStr">
        <is>
          <t>Mão de obra impermeabilização de argamassa polimérica</t>
        </is>
      </c>
      <c r="E2287" s="1068" t="inlineStr">
        <is>
          <t>M2</t>
        </is>
      </c>
      <c r="F2287" s="1075" t="n"/>
      <c r="G2287" s="1069">
        <f t="array" ref="G2287">IF(B2287="insumo",_xlfn.XLOOKUP($D2287,Insumos!$B$1:$B$996,Insumos!$D$1:$D$996),"")</f>
        <v/>
      </c>
      <c r="H2287" s="1069" t="n">
        <v>30</v>
      </c>
      <c r="I2287" s="2161" t="n">
        <v>0</v>
      </c>
      <c r="J2287" s="2161" t="n">
        <v>0</v>
      </c>
      <c r="K2287" s="2161" t="n"/>
    </row>
    <row r="2288" outlineLevel="3" ht="15.75" customHeight="1">
      <c r="A2288" s="10" t="n">
        <v>2</v>
      </c>
      <c r="B2288" s="10" t="inlineStr">
        <is>
          <t>Insumo</t>
        </is>
      </c>
      <c r="C2288" s="10" t="inlineStr">
        <is>
          <t>Mão de obra impermeabilização de argamassa polimérica</t>
        </is>
      </c>
      <c r="D2288" s="10" t="inlineStr">
        <is>
          <t>Mão de obra impermeabilização de argamassa polimérica</t>
        </is>
      </c>
      <c r="E2288" s="11">
        <f t="array" ref="E2288">_xlfn.XLOOKUP(D2288,Insumos!B:B,Insumos!C:$C)</f>
        <v/>
      </c>
      <c r="F2288" s="14" t="n">
        <v>1</v>
      </c>
      <c r="G2288" s="92">
        <f t="array" ref="G2288">IF(B2288="insumo",_xlfn.XLOOKUP($D2288,Insumos!$B$1:$B$996,Insumos!$D$1:$D$996),"")</f>
        <v/>
      </c>
      <c r="H2288" s="92" t="n">
        <v>30</v>
      </c>
      <c r="I2288" s="2162" t="n">
        <v>0</v>
      </c>
      <c r="J2288" s="2162" t="n">
        <v>0</v>
      </c>
      <c r="K2288" s="2162" t="n"/>
    </row>
    <row r="2289" outlineLevel="2" ht="15.75" customHeight="1">
      <c r="A2289" s="1067" t="n">
        <v>1</v>
      </c>
      <c r="B2289" s="1067" t="inlineStr">
        <is>
          <t>Serviço</t>
        </is>
      </c>
      <c r="C2289" s="1067" t="inlineStr">
        <is>
          <t>Mão de obra impermeabilização com membrana de polimero</t>
        </is>
      </c>
      <c r="D2289" s="1067" t="inlineStr">
        <is>
          <t>Mão de obra impermeabilização com membrana de polimero</t>
        </is>
      </c>
      <c r="E2289" s="1068" t="inlineStr">
        <is>
          <t>M2</t>
        </is>
      </c>
      <c r="F2289" s="1075" t="n"/>
      <c r="G2289" s="1069">
        <f t="array" ref="G2289">IF(B2289="insumo",_xlfn.XLOOKUP($D2289,Insumos!$B$1:$B$996,Insumos!$D$1:$D$996),"")</f>
        <v/>
      </c>
      <c r="H2289" s="1069" t="n">
        <v>30</v>
      </c>
      <c r="I2289" s="2161" t="n">
        <v>0</v>
      </c>
      <c r="J2289" s="2161" t="n">
        <v>0</v>
      </c>
      <c r="K2289" s="2161" t="n"/>
    </row>
    <row r="2290" outlineLevel="3" ht="15.75" customHeight="1">
      <c r="A2290" s="10" t="n">
        <v>2</v>
      </c>
      <c r="B2290" s="10" t="inlineStr">
        <is>
          <t>Insumo</t>
        </is>
      </c>
      <c r="C2290" s="10" t="inlineStr">
        <is>
          <t>Mão de obra impermeabilização com membrana de polimero</t>
        </is>
      </c>
      <c r="D2290" s="10" t="inlineStr">
        <is>
          <t>Mão de obra impermeabilização de argamassa polimérica</t>
        </is>
      </c>
      <c r="E2290" s="11">
        <f t="array" ref="E2290">_xlfn.XLOOKUP(D2290,Insumos!B:B,Insumos!C:$C)</f>
        <v/>
      </c>
      <c r="F2290" s="14" t="n">
        <v>1</v>
      </c>
      <c r="G2290" s="92">
        <f t="array" ref="G2290">IF(B2290="insumo",_xlfn.XLOOKUP($D2290,Insumos!$B$1:$B$996,Insumos!$D$1:$D$996),"")</f>
        <v/>
      </c>
      <c r="H2290" s="92" t="n">
        <v>30</v>
      </c>
      <c r="I2290" s="2162" t="n">
        <v>0</v>
      </c>
      <c r="J2290" s="2162" t="n">
        <v>0</v>
      </c>
      <c r="K2290" s="2162" t="n"/>
    </row>
    <row r="2291" outlineLevel="2" ht="15.75" customHeight="1">
      <c r="A2291" s="1067" t="n">
        <v>1</v>
      </c>
      <c r="B2291" s="1067" t="inlineStr">
        <is>
          <t>Serviço</t>
        </is>
      </c>
      <c r="C2291" s="1067" t="inlineStr">
        <is>
          <t>Mão de obra impermeabilização com emulsão Asfaltica</t>
        </is>
      </c>
      <c r="D2291" s="1067" t="inlineStr">
        <is>
          <t>Mão de obra impermeabilização com emulsão Asfaltica</t>
        </is>
      </c>
      <c r="E2291" s="1068" t="inlineStr">
        <is>
          <t>M2</t>
        </is>
      </c>
      <c r="F2291" s="1067" t="n"/>
      <c r="G2291" s="1069">
        <f t="array" ref="G2291">IF(B2291="insumo",_xlfn.XLOOKUP($D2291,Insumos!$B$1:$B$996,Insumos!$D$1:$D$996),"")</f>
        <v/>
      </c>
      <c r="H2291" s="1069" t="n">
        <v>28</v>
      </c>
      <c r="I2291" s="2161" t="n">
        <v>698.85</v>
      </c>
      <c r="J2291" s="2161" t="n">
        <v>19567.8</v>
      </c>
      <c r="K2291" s="2161" t="n"/>
    </row>
    <row r="2292" outlineLevel="3" ht="15.75" customHeight="1">
      <c r="A2292" s="10" t="n">
        <v>1</v>
      </c>
      <c r="B2292" s="10" t="inlineStr">
        <is>
          <t>Insumo</t>
        </is>
      </c>
      <c r="C2292" s="10" t="inlineStr">
        <is>
          <t>Mão de obra impermeabilização com emulsão Asfaltica</t>
        </is>
      </c>
      <c r="D2292" s="10" t="inlineStr">
        <is>
          <t>Mão de obra impermeabilização com emulsão Asfaltica</t>
        </is>
      </c>
      <c r="E2292" s="11">
        <f t="array" ref="E2292">_xlfn.XLOOKUP(D2292,Insumos!B:B,Insumos!C:$C)</f>
        <v/>
      </c>
      <c r="F2292" s="14" t="n">
        <v>1</v>
      </c>
      <c r="G2292" s="92">
        <f t="array" ref="G2292">IF(B2292="insumo",_xlfn.XLOOKUP($D2292,Insumos!$B$1:$B$996,Insumos!$D$1:$D$996),"")</f>
        <v/>
      </c>
      <c r="H2292" s="92" t="n">
        <v>28</v>
      </c>
      <c r="I2292" s="2162" t="n">
        <v>698.85</v>
      </c>
      <c r="J2292" s="2162" t="n">
        <v>19567.8</v>
      </c>
      <c r="K2292" s="2162" t="n"/>
    </row>
    <row r="2293" outlineLevel="2" ht="15.75" customHeight="1">
      <c r="A2293" s="1067" t="n">
        <v>1</v>
      </c>
      <c r="B2293" s="1067" t="inlineStr">
        <is>
          <t>Serviço</t>
        </is>
      </c>
      <c r="C2293" s="1067" t="inlineStr">
        <is>
          <t>Mão de obra impermeabilização com manta liquida em Fachadas</t>
        </is>
      </c>
      <c r="D2293" s="1067" t="inlineStr">
        <is>
          <t>Mão de obra impermeabilização com manta liquida em Fachadas</t>
        </is>
      </c>
      <c r="E2293" s="1068" t="inlineStr">
        <is>
          <t>M2</t>
        </is>
      </c>
      <c r="F2293" s="1075" t="n"/>
      <c r="G2293" s="1069">
        <f t="array" ref="G2293">IF(B2293="insumo",_xlfn.XLOOKUP($D2293,Insumos!$B$1:$B$996,Insumos!$D$1:$D$996),"")</f>
        <v/>
      </c>
      <c r="H2293" s="1069" t="n">
        <v>30</v>
      </c>
      <c r="I2293" s="2161" t="n">
        <v>0</v>
      </c>
      <c r="J2293" s="2161" t="n">
        <v>0</v>
      </c>
      <c r="K2293" s="2161" t="n"/>
    </row>
    <row r="2294" outlineLevel="3" ht="15.75" customHeight="1">
      <c r="A2294" s="10" t="n">
        <v>1</v>
      </c>
      <c r="B2294" s="10" t="inlineStr">
        <is>
          <t>Insumo</t>
        </is>
      </c>
      <c r="C2294" s="10" t="inlineStr">
        <is>
          <t>Mão de obra impermeabilização com manta liquida em Fachadas</t>
        </is>
      </c>
      <c r="D2294" s="10" t="inlineStr">
        <is>
          <t>Mão de obra impermeabilização com manta liquida em Fachadas</t>
        </is>
      </c>
      <c r="E2294" s="11">
        <f t="array" ref="E2294">_xlfn.XLOOKUP(D2294,Insumos!B:B,Insumos!C:$C)</f>
        <v/>
      </c>
      <c r="F2294" s="14" t="n">
        <v>1</v>
      </c>
      <c r="G2294" s="92">
        <f t="array" ref="G2294">IF(B2294="insumo",_xlfn.XLOOKUP($D2294,Insumos!$B$1:$B$996,Insumos!$D$1:$D$996),"")</f>
        <v/>
      </c>
      <c r="H2294" s="92" t="n">
        <v>30</v>
      </c>
      <c r="I2294" s="2162" t="n">
        <v>0</v>
      </c>
      <c r="J2294" s="2162" t="n">
        <v>0</v>
      </c>
      <c r="K2294" s="2162" t="n"/>
    </row>
    <row r="2295" outlineLevel="2" ht="15.75" customHeight="1">
      <c r="A2295" s="1067" t="n">
        <v>1</v>
      </c>
      <c r="B2295" s="1067" t="inlineStr">
        <is>
          <t>Serviço</t>
        </is>
      </c>
      <c r="C2295" s="1067" t="inlineStr">
        <is>
          <t>Mão de obra impermeabilização com manta liquida em peitoris</t>
        </is>
      </c>
      <c r="D2295" s="1067" t="inlineStr">
        <is>
          <t>Mão de obra impermeabilização com manta liquida em peitoris</t>
        </is>
      </c>
      <c r="E2295" s="1068" t="inlineStr">
        <is>
          <t>M2</t>
        </is>
      </c>
      <c r="F2295" s="1075" t="n"/>
      <c r="G2295" s="1069">
        <f t="array" ref="G2295">IF(B2295="insumo",_xlfn.XLOOKUP($D2295,Insumos!$B$1:$B$996,Insumos!$D$1:$D$996),"")</f>
        <v/>
      </c>
      <c r="H2295" s="1069" t="n">
        <v>30</v>
      </c>
      <c r="I2295" s="2161" t="n">
        <v>0</v>
      </c>
      <c r="J2295" s="2161" t="n">
        <v>0</v>
      </c>
      <c r="K2295" s="2161" t="n"/>
    </row>
    <row r="2296" outlineLevel="3" ht="15.75" customHeight="1">
      <c r="A2296" s="10" t="n">
        <v>1</v>
      </c>
      <c r="B2296" s="10" t="inlineStr">
        <is>
          <t>Insumo</t>
        </is>
      </c>
      <c r="C2296" s="10" t="inlineStr">
        <is>
          <t>Mão de obra impermeabilização com manta liquida em peitoris</t>
        </is>
      </c>
      <c r="D2296" s="10" t="inlineStr">
        <is>
          <t>Mão de obra impermeabilização com manta liquida em peitoris</t>
        </is>
      </c>
      <c r="E2296" s="11">
        <f t="array" ref="E2296">_xlfn.XLOOKUP(D2296,Insumos!B:B,Insumos!C:$C)</f>
        <v/>
      </c>
      <c r="F2296" s="14" t="n">
        <v>1</v>
      </c>
      <c r="G2296" s="92">
        <f t="array" ref="G2296">IF(B2296="insumo",_xlfn.XLOOKUP($D2296,Insumos!$B$1:$B$996,Insumos!$D$1:$D$996),"")</f>
        <v/>
      </c>
      <c r="H2296" s="92" t="n">
        <v>30</v>
      </c>
      <c r="I2296" s="2162" t="n">
        <v>0</v>
      </c>
      <c r="J2296" s="2162" t="n">
        <v>0</v>
      </c>
      <c r="K2296" s="2162" t="n"/>
    </row>
    <row r="2297" outlineLevel="2" ht="15.75" customHeight="1">
      <c r="A2297" s="1067" t="n">
        <v>1</v>
      </c>
      <c r="B2297" s="1067" t="inlineStr">
        <is>
          <t>Serviço</t>
        </is>
      </c>
      <c r="C2297" s="1067" t="inlineStr">
        <is>
          <t>Mão de obra tratamento de ralo com manta de poliéster</t>
        </is>
      </c>
      <c r="D2297" s="1067" t="inlineStr">
        <is>
          <t>Mão de obra tratamento de ralo com manta de poliéster</t>
        </is>
      </c>
      <c r="E2297" s="1068" t="inlineStr">
        <is>
          <t>M2</t>
        </is>
      </c>
      <c r="F2297" s="1075" t="n"/>
      <c r="G2297" s="1069">
        <f t="array" ref="G2297">IF(B2297="insumo",_xlfn.XLOOKUP($D2297,Insumos!$B$1:$B$996,Insumos!$D$1:$D$996),"")</f>
        <v/>
      </c>
      <c r="H2297" s="1069" t="n">
        <v>50</v>
      </c>
      <c r="I2297" s="2161" t="n">
        <v>669</v>
      </c>
      <c r="J2297" s="2161" t="n">
        <v>33450</v>
      </c>
      <c r="K2297" s="2161" t="n"/>
    </row>
    <row r="2298" outlineLevel="3" ht="15.75" customHeight="1">
      <c r="A2298" s="10" t="n">
        <v>1</v>
      </c>
      <c r="B2298" s="10" t="inlineStr">
        <is>
          <t>Insumo</t>
        </is>
      </c>
      <c r="C2298" s="10" t="inlineStr">
        <is>
          <t>Mão de obra tratamento de ralo com manta de poliéster</t>
        </is>
      </c>
      <c r="D2298" s="10" t="inlineStr">
        <is>
          <t>Mão de obra tratamento de ralo com manta de poliéster</t>
        </is>
      </c>
      <c r="E2298" s="11">
        <f t="array" ref="E2298">_xlfn.XLOOKUP(D2298,Insumos!B:B,Insumos!C:$C)</f>
        <v/>
      </c>
      <c r="F2298" s="14" t="n">
        <v>1</v>
      </c>
      <c r="G2298" s="92">
        <f t="array" ref="G2298">IF(B2298="insumo",_xlfn.XLOOKUP($D2298,Insumos!$B$1:$B$996,Insumos!$D$1:$D$996),"")</f>
        <v/>
      </c>
      <c r="H2298" s="92" t="n">
        <v>50</v>
      </c>
      <c r="I2298" s="2162" t="n">
        <v>669</v>
      </c>
      <c r="J2298" s="2162" t="n">
        <v>33450</v>
      </c>
      <c r="K2298" s="2162" t="n"/>
    </row>
    <row r="2299" outlineLevel="2" ht="15.75" customHeight="1">
      <c r="A2299" s="1067" t="n">
        <v>1</v>
      </c>
      <c r="B2299" s="1067" t="inlineStr">
        <is>
          <t>Serviço</t>
        </is>
      </c>
      <c r="C2299" s="1067" t="inlineStr">
        <is>
          <t>Mão de obra impermeabilização sistema 2.1.4</t>
        </is>
      </c>
      <c r="D2299" s="1067" t="inlineStr">
        <is>
          <t>Mão de obra impermeabilização sistema 2.1.4</t>
        </is>
      </c>
      <c r="E2299" s="1068" t="inlineStr">
        <is>
          <t>M2</t>
        </is>
      </c>
      <c r="F2299" s="1075" t="n"/>
      <c r="G2299" s="1069">
        <f t="array" ref="G2299">IF(B2299="insumo",_xlfn.XLOOKUP($D2299,Insumos!$B$1:$B$996,Insumos!$D$1:$D$996),"")</f>
        <v/>
      </c>
      <c r="H2299" s="1069" t="n">
        <v>30</v>
      </c>
      <c r="I2299" s="2168" t="n">
        <v>97.67</v>
      </c>
      <c r="J2299" s="2161" t="n">
        <v>2930.1</v>
      </c>
      <c r="K2299" s="2161" t="n"/>
    </row>
    <row r="2300" outlineLevel="3" ht="15.75" customHeight="1">
      <c r="A2300" s="10" t="n">
        <v>1</v>
      </c>
      <c r="B2300" s="10" t="inlineStr">
        <is>
          <t>Insumo</t>
        </is>
      </c>
      <c r="C2300" s="10" t="inlineStr">
        <is>
          <t>Mão de obra impermeabilização sistema 2.1.4</t>
        </is>
      </c>
      <c r="D2300" s="10" t="inlineStr">
        <is>
          <t>Mão de obra impermeabilização sistema 2.1.4</t>
        </is>
      </c>
      <c r="E2300" s="11">
        <f t="array" ref="E2300">_xlfn.XLOOKUP(D2300,Insumos!B:B,Insumos!C:$C)</f>
        <v/>
      </c>
      <c r="F2300" s="14" t="n">
        <v>1</v>
      </c>
      <c r="G2300" s="92">
        <f t="array" ref="G2300">IF(B2300="insumo",_xlfn.XLOOKUP($D2300,Insumos!$B$1:$B$996,Insumos!$D$1:$D$996),"")</f>
        <v/>
      </c>
      <c r="H2300" s="92" t="n">
        <v>30</v>
      </c>
      <c r="I2300" s="2162" t="n">
        <v>97.67</v>
      </c>
      <c r="J2300" s="2162" t="n">
        <v>2930.1</v>
      </c>
      <c r="K2300" s="2162" t="n"/>
    </row>
    <row r="2301" outlineLevel="2" ht="15.75" customHeight="1">
      <c r="A2301" s="1067" t="n">
        <v>1</v>
      </c>
      <c r="B2301" s="1067" t="inlineStr">
        <is>
          <t>Serviço</t>
        </is>
      </c>
      <c r="C2301" s="1067" t="inlineStr">
        <is>
          <t>Mão de obra impermeabilização sistema 2.5.3</t>
        </is>
      </c>
      <c r="D2301" s="1067" t="inlineStr">
        <is>
          <t>Mão de obra impermeabilização sistema 2.5.3</t>
        </is>
      </c>
      <c r="E2301" s="1068" t="inlineStr">
        <is>
          <t>M2</t>
        </is>
      </c>
      <c r="F2301" s="1075" t="n"/>
      <c r="G2301" s="1069">
        <f t="array" ref="G2301">IF(B2301="insumo",_xlfn.XLOOKUP($D2301,Insumos!$B$1:$B$996,Insumos!$D$1:$D$996),"")</f>
        <v/>
      </c>
      <c r="H2301" s="1069" t="n">
        <v>32</v>
      </c>
      <c r="I2301" s="2168" t="n">
        <v>4925.75</v>
      </c>
      <c r="J2301" s="2161" t="n">
        <v>157624</v>
      </c>
      <c r="K2301" s="2161" t="n"/>
    </row>
    <row r="2302" outlineLevel="3" ht="15.75" customHeight="1">
      <c r="A2302" s="10" t="n">
        <v>1</v>
      </c>
      <c r="B2302" s="10" t="inlineStr">
        <is>
          <t>Insumo</t>
        </is>
      </c>
      <c r="C2302" s="10" t="inlineStr">
        <is>
          <t>Mão de obra impermeabilização sistema 2.5.3</t>
        </is>
      </c>
      <c r="D2302" s="10" t="inlineStr">
        <is>
          <t>Mão de obra impermeabilização sistema 2.5.3</t>
        </is>
      </c>
      <c r="E2302" s="11">
        <f t="array" ref="E2302">_xlfn.XLOOKUP(D2302,Insumos!B:B,Insumos!C:$C)</f>
        <v/>
      </c>
      <c r="F2302" s="14" t="n">
        <v>1</v>
      </c>
      <c r="G2302" s="92">
        <f t="array" ref="G2302">IF(B2302="insumo",_xlfn.XLOOKUP($D2302,Insumos!$B$1:$B$996,Insumos!$D$1:$D$996),"")</f>
        <v/>
      </c>
      <c r="H2302" s="92" t="n">
        <v>32</v>
      </c>
      <c r="I2302" s="2162" t="n">
        <v>4925.75</v>
      </c>
      <c r="J2302" s="2162" t="n">
        <v>157624</v>
      </c>
      <c r="K2302" s="2162" t="n"/>
    </row>
    <row r="2303" outlineLevel="2" ht="15.75" customHeight="1">
      <c r="A2303" s="1067" t="n">
        <v>1</v>
      </c>
      <c r="B2303" s="1067" t="inlineStr">
        <is>
          <t>Serviço</t>
        </is>
      </c>
      <c r="C2303" s="1067" t="inlineStr">
        <is>
          <t>Mão de obra impermeabilização sistema 2.8.6</t>
        </is>
      </c>
      <c r="D2303" s="1067" t="inlineStr">
        <is>
          <t>Mão de obra impermeabilização sistema 2.8.6</t>
        </is>
      </c>
      <c r="E2303" s="1068" t="inlineStr">
        <is>
          <t>M2</t>
        </is>
      </c>
      <c r="F2303" s="1075" t="n"/>
      <c r="G2303" s="1069">
        <f t="array" ref="G2303">IF(B2303="insumo",_xlfn.XLOOKUP($D2303,Insumos!$B$1:$B$996,Insumos!$D$1:$D$996),"")</f>
        <v/>
      </c>
      <c r="H2303" s="1069" t="n">
        <v>38</v>
      </c>
      <c r="I2303" s="2161" t="n">
        <v>234</v>
      </c>
      <c r="J2303" s="2161" t="n">
        <v>8892</v>
      </c>
      <c r="K2303" s="2161" t="n"/>
    </row>
    <row r="2304" outlineLevel="3" ht="15.75" customHeight="1">
      <c r="A2304" s="10" t="n">
        <v>1</v>
      </c>
      <c r="B2304" s="10" t="inlineStr">
        <is>
          <t>Insumo</t>
        </is>
      </c>
      <c r="C2304" s="10" t="inlineStr">
        <is>
          <t>Mão de obra impermeabilização sistema 2.8.6</t>
        </is>
      </c>
      <c r="D2304" s="10" t="inlineStr">
        <is>
          <t>Mão de obra impermeabilização sistema 2.8.6</t>
        </is>
      </c>
      <c r="E2304" s="11">
        <f t="array" ref="E2304">_xlfn.XLOOKUP(D2304,Insumos!B:B,Insumos!C:$C)</f>
        <v/>
      </c>
      <c r="F2304" s="14" t="n">
        <v>1</v>
      </c>
      <c r="G2304" s="92">
        <f t="array" ref="G2304">IF(B2304="insumo",_xlfn.XLOOKUP($D2304,Insumos!$B$1:$B$996,Insumos!$D$1:$D$996),"")</f>
        <v/>
      </c>
      <c r="H2304" s="92" t="n">
        <v>38</v>
      </c>
      <c r="I2304" s="2162" t="n">
        <v>234</v>
      </c>
      <c r="J2304" s="2162" t="n">
        <v>8892</v>
      </c>
      <c r="K2304" s="2162" t="n"/>
    </row>
    <row r="2305" outlineLevel="2" ht="15.75" customHeight="1">
      <c r="A2305" s="1067" t="n">
        <v>1</v>
      </c>
      <c r="B2305" s="1067" t="inlineStr">
        <is>
          <t>Serviço</t>
        </is>
      </c>
      <c r="C2305" s="1067" t="inlineStr">
        <is>
          <t>Mão de obra impermeabilização sistema 4.2.4</t>
        </is>
      </c>
      <c r="D2305" s="1067" t="inlineStr">
        <is>
          <t>Mão de obra impermeabilização sistema 4.2.4</t>
        </is>
      </c>
      <c r="E2305" s="1068" t="inlineStr">
        <is>
          <t>M2</t>
        </is>
      </c>
      <c r="F2305" s="1075" t="n"/>
      <c r="G2305" s="1069">
        <f t="array" ref="G2305">IF(B2305="insumo",_xlfn.XLOOKUP($D2305,Insumos!$B$1:$B$996,Insumos!$D$1:$D$996),"")</f>
        <v/>
      </c>
      <c r="H2305" s="1069" t="n">
        <v>45</v>
      </c>
      <c r="I2305" s="2161" t="n">
        <v>757.0599999999999</v>
      </c>
      <c r="J2305" s="2161" t="n">
        <v>34067.7</v>
      </c>
      <c r="K2305" s="2161" t="n"/>
    </row>
    <row r="2306" outlineLevel="3" ht="15.75" customHeight="1">
      <c r="A2306" s="10" t="n">
        <v>1</v>
      </c>
      <c r="B2306" s="10" t="inlineStr">
        <is>
          <t>Insumo</t>
        </is>
      </c>
      <c r="C2306" s="10" t="inlineStr">
        <is>
          <t>Mão de obra impermeabilização sistema 4.2.4</t>
        </is>
      </c>
      <c r="D2306" s="10" t="inlineStr">
        <is>
          <t>Mão de obra impermeabilização sistema 4.2.4</t>
        </is>
      </c>
      <c r="E2306" s="11">
        <f t="array" ref="E2306">_xlfn.XLOOKUP(D2306,Insumos!B:B,Insumos!C:$C)</f>
        <v/>
      </c>
      <c r="F2306" s="14" t="n">
        <v>1</v>
      </c>
      <c r="G2306" s="92">
        <f t="array" ref="G2306">IF(B2306="insumo",_xlfn.XLOOKUP($D2306,Insumos!$B$1:$B$996,Insumos!$D$1:$D$996),"")</f>
        <v/>
      </c>
      <c r="H2306" s="92" t="n">
        <v>45</v>
      </c>
      <c r="I2306" s="2162" t="n">
        <v>757.0599999999999</v>
      </c>
      <c r="J2306" s="2162" t="n">
        <v>34067.7</v>
      </c>
      <c r="K2306" s="2162" t="n"/>
    </row>
    <row r="2307" outlineLevel="2" ht="15.75" customHeight="1">
      <c r="A2307" s="1067" t="n">
        <v>1</v>
      </c>
      <c r="B2307" s="1067" t="inlineStr">
        <is>
          <t>Serviço</t>
        </is>
      </c>
      <c r="C2307" s="1067" t="inlineStr">
        <is>
          <t>Mão de obra impermeabilização sistema 4.5.3</t>
        </is>
      </c>
      <c r="D2307" s="1067" t="inlineStr">
        <is>
          <t>Mão de obra impermeabilização sistema 4.5.3</t>
        </is>
      </c>
      <c r="E2307" s="1068" t="inlineStr">
        <is>
          <t>M2</t>
        </is>
      </c>
      <c r="F2307" s="1067" t="n"/>
      <c r="G2307" s="1069">
        <f t="array" ref="G2307">IF(B2307="insumo",_xlfn.XLOOKUP($D2307,Insumos!$B$1:$B$996,Insumos!$D$1:$D$996),"")</f>
        <v/>
      </c>
      <c r="H2307" s="1069" t="n">
        <v>45</v>
      </c>
      <c r="I2307" s="2161" t="n">
        <v>342.12</v>
      </c>
      <c r="J2307" s="2161" t="n">
        <v>15395.4</v>
      </c>
      <c r="K2307" s="2161" t="n"/>
    </row>
    <row r="2308" outlineLevel="3" ht="15.75" customHeight="1">
      <c r="A2308" s="10" t="n">
        <v>1</v>
      </c>
      <c r="B2308" s="10" t="inlineStr">
        <is>
          <t>Insumo</t>
        </is>
      </c>
      <c r="C2308" s="10" t="inlineStr">
        <is>
          <t>Mão de obra impermeabilização sistema 4.5.3</t>
        </is>
      </c>
      <c r="D2308" s="10" t="inlineStr">
        <is>
          <t>Mão de obra impermeabilização sistema 4.5.3</t>
        </is>
      </c>
      <c r="E2308" s="11">
        <f t="array" ref="E2308">_xlfn.XLOOKUP(D2308,Insumos!B:B,Insumos!C:$C)</f>
        <v/>
      </c>
      <c r="F2308" s="14" t="n">
        <v>1</v>
      </c>
      <c r="G2308" s="92">
        <f t="array" ref="G2308">IF(B2308="insumo",_xlfn.XLOOKUP($D2308,Insumos!$B$1:$B$996,Insumos!$D$1:$D$996),"")</f>
        <v/>
      </c>
      <c r="H2308" s="92" t="n">
        <v>45</v>
      </c>
      <c r="I2308" s="2162" t="n">
        <v>342.12</v>
      </c>
      <c r="J2308" s="2162" t="n">
        <v>15395.4</v>
      </c>
      <c r="K2308" s="2162" t="n"/>
    </row>
    <row r="2309" outlineLevel="2" ht="15.75" customHeight="1">
      <c r="A2309" s="1067" t="n">
        <v>1</v>
      </c>
      <c r="B2309" s="1067" t="inlineStr">
        <is>
          <t>Serviço</t>
        </is>
      </c>
      <c r="C2309" s="1067" t="inlineStr">
        <is>
          <t>Mão de obra impermeabilização sistema 4.9.2</t>
        </is>
      </c>
      <c r="D2309" s="1067" t="inlineStr">
        <is>
          <t>Mão de obra impermeabilização sistema 4.9.2</t>
        </is>
      </c>
      <c r="E2309" s="1068" t="inlineStr">
        <is>
          <t>M2</t>
        </is>
      </c>
      <c r="F2309" s="1075" t="n"/>
      <c r="G2309" s="1069">
        <f t="array" ref="G2309">IF(B2309="insumo",_xlfn.XLOOKUP($D2309,Insumos!$B$1:$B$996,Insumos!$D$1:$D$996),"")</f>
        <v/>
      </c>
      <c r="H2309" s="1069" t="n">
        <v>62</v>
      </c>
      <c r="I2309" s="2161" t="n">
        <v>241.13</v>
      </c>
      <c r="J2309" s="2161" t="n">
        <v>14950.06</v>
      </c>
      <c r="K2309" s="2161" t="n"/>
    </row>
    <row r="2310" outlineLevel="3" ht="15.75" customHeight="1">
      <c r="A2310" s="10" t="n">
        <v>1</v>
      </c>
      <c r="B2310" s="10" t="inlineStr">
        <is>
          <t>Insumo</t>
        </is>
      </c>
      <c r="C2310" s="10" t="inlineStr">
        <is>
          <t>Mão de obra impermeabilização sistema 4.9.2</t>
        </is>
      </c>
      <c r="D2310" s="10" t="inlineStr">
        <is>
          <t>Mão de obra impermeabilização sistema 4.9.2</t>
        </is>
      </c>
      <c r="E2310" s="11">
        <f t="array" ref="E2310">_xlfn.XLOOKUP(D2310,Insumos!B:B,Insumos!C:$C)</f>
        <v/>
      </c>
      <c r="F2310" s="14" t="n">
        <v>1</v>
      </c>
      <c r="G2310" s="92">
        <f t="array" ref="G2310">IF(B2310="insumo",_xlfn.XLOOKUP($D2310,Insumos!$B$1:$B$996,Insumos!$D$1:$D$996),"")</f>
        <v/>
      </c>
      <c r="H2310" s="92" t="n">
        <v>62</v>
      </c>
      <c r="I2310" s="2162" t="n">
        <v>241.13</v>
      </c>
      <c r="J2310" s="2162" t="n">
        <v>14950.06</v>
      </c>
      <c r="K2310" s="2162" t="n"/>
    </row>
    <row r="2311" outlineLevel="2" ht="15.75" customHeight="1">
      <c r="A2311" s="1067" t="n">
        <v>1</v>
      </c>
      <c r="B2311" s="1067" t="inlineStr">
        <is>
          <t>Serviço</t>
        </is>
      </c>
      <c r="C2311" s="1067" t="inlineStr">
        <is>
          <t>Mão de obra impermeabilização sistema 7.1.2</t>
        </is>
      </c>
      <c r="D2311" s="1067" t="inlineStr">
        <is>
          <t>Mão de obra impermeabilização sistema 7.1.2</t>
        </is>
      </c>
      <c r="E2311" s="1068" t="inlineStr">
        <is>
          <t>M2</t>
        </is>
      </c>
      <c r="F2311" s="1075" t="n"/>
      <c r="G2311" s="1069">
        <f t="array" ref="G2311">IF(B2311="insumo",_xlfn.XLOOKUP($D2311,Insumos!$B$1:$B$996,Insumos!$D$1:$D$996),"")</f>
        <v/>
      </c>
      <c r="H2311" s="1069" t="n">
        <v>35</v>
      </c>
      <c r="I2311" s="2161" t="n">
        <v>68.2</v>
      </c>
      <c r="J2311" s="2161" t="n">
        <v>2387</v>
      </c>
      <c r="K2311" s="2161" t="n"/>
    </row>
    <row r="2312" outlineLevel="3" ht="15.75" customHeight="1">
      <c r="A2312" s="10" t="n">
        <v>1</v>
      </c>
      <c r="B2312" s="10" t="inlineStr">
        <is>
          <t>Insumo</t>
        </is>
      </c>
      <c r="C2312" s="10" t="inlineStr">
        <is>
          <t>Mão de obra impermeabilização sistema 7.1.2</t>
        </is>
      </c>
      <c r="D2312" s="10" t="inlineStr">
        <is>
          <t>Mão de obra impermeabilização sistema 7.1.2</t>
        </is>
      </c>
      <c r="E2312" s="11">
        <f t="array" ref="E2312">_xlfn.XLOOKUP(D2312,Insumos!B:B,Insumos!C:$C)</f>
        <v/>
      </c>
      <c r="F2312" s="14" t="n">
        <v>1</v>
      </c>
      <c r="G2312" s="92">
        <f t="array" ref="G2312">IF(B2312="insumo",_xlfn.XLOOKUP($D2312,Insumos!$B$1:$B$996,Insumos!$D$1:$D$996),"")</f>
        <v/>
      </c>
      <c r="H2312" s="92" t="n">
        <v>35</v>
      </c>
      <c r="I2312" s="2162" t="n">
        <v>68.2</v>
      </c>
      <c r="J2312" s="2162" t="n">
        <v>2387</v>
      </c>
      <c r="K2312" s="2162" t="n"/>
    </row>
    <row r="2313" outlineLevel="2" ht="15.75" customHeight="1">
      <c r="A2313" s="1067" t="n">
        <v>1</v>
      </c>
      <c r="B2313" s="1067" t="inlineStr">
        <is>
          <t>Serviço</t>
        </is>
      </c>
      <c r="C2313" s="1067" t="inlineStr">
        <is>
          <t>Mão de obra impermeabilização sistema 7.1.6</t>
        </is>
      </c>
      <c r="D2313" s="1067" t="inlineStr">
        <is>
          <t>Mão de obra impermeabilização sistema 7.1.6</t>
        </is>
      </c>
      <c r="E2313" s="1068" t="inlineStr">
        <is>
          <t>M2</t>
        </is>
      </c>
      <c r="F2313" s="1075" t="n"/>
      <c r="G2313" s="1069">
        <f t="array" ref="G2313">IF(B2313="insumo",_xlfn.XLOOKUP($D2313,Insumos!$B$1:$B$996,Insumos!$D$1:$D$996),"")</f>
        <v/>
      </c>
      <c r="H2313" s="1069" t="n">
        <v>42</v>
      </c>
      <c r="I2313" s="2161" t="n">
        <v>900.28</v>
      </c>
      <c r="J2313" s="2161" t="n">
        <v>37811.76</v>
      </c>
      <c r="K2313" s="2161" t="n"/>
    </row>
    <row r="2314" outlineLevel="3" ht="15.75" customHeight="1">
      <c r="A2314" s="10" t="n">
        <v>1</v>
      </c>
      <c r="B2314" s="10" t="inlineStr">
        <is>
          <t>Insumo</t>
        </is>
      </c>
      <c r="C2314" s="10" t="inlineStr">
        <is>
          <t>Mão de obra impermeabilização sistema 7.1.6</t>
        </is>
      </c>
      <c r="D2314" s="10" t="inlineStr">
        <is>
          <t>Mão de obra impermeabilização sistema 7.1.6</t>
        </is>
      </c>
      <c r="E2314" s="11">
        <f t="array" ref="E2314">_xlfn.XLOOKUP(D2314,Insumos!B:B,Insumos!C:$C)</f>
        <v/>
      </c>
      <c r="F2314" s="14" t="n">
        <v>1</v>
      </c>
      <c r="G2314" s="92">
        <f t="array" ref="G2314">IF(B2314="insumo",_xlfn.XLOOKUP($D2314,Insumos!$B$1:$B$996,Insumos!$D$1:$D$996),"")</f>
        <v/>
      </c>
      <c r="H2314" s="92" t="n">
        <v>42</v>
      </c>
      <c r="I2314" s="2162" t="n">
        <v>900.28</v>
      </c>
      <c r="J2314" s="2162" t="n">
        <v>37811.76</v>
      </c>
      <c r="K2314" s="2162" t="n"/>
    </row>
    <row r="2315" ht="15.75" customHeight="1">
      <c r="A2315" s="7" t="n">
        <v>1</v>
      </c>
      <c r="B2315" s="7" t="inlineStr">
        <is>
          <t>Etapa</t>
        </is>
      </c>
      <c r="C2315" s="7" t="inlineStr">
        <is>
          <t>Mão de obra tratamento de ralo com manta de poliéster</t>
        </is>
      </c>
      <c r="D2315" s="7" t="inlineStr">
        <is>
          <t>REVESTIMENTOS INTERNOS DE PAREDE</t>
        </is>
      </c>
      <c r="E2315" s="8" t="n"/>
      <c r="F2315" s="2159" t="n"/>
      <c r="G2315" s="91">
        <f t="array" ref="G2315">IF(B2315="insumo",_xlfn.XLOOKUP($D2315,Insumos!$B$1:$B$996,Insumos!$D$1:$D$996),"")</f>
        <v/>
      </c>
      <c r="H2315" s="91" t="n">
        <v>0</v>
      </c>
      <c r="I2315" s="2159" t="n">
        <v>0</v>
      </c>
      <c r="J2315" s="2159" t="n">
        <v>0</v>
      </c>
      <c r="K2315" s="2159" t="n"/>
    </row>
    <row r="2316" outlineLevel="1" ht="15.75" customHeight="1">
      <c r="A2316" s="1090" t="n">
        <v>1</v>
      </c>
      <c r="B2316" s="1090" t="inlineStr">
        <is>
          <t>Subetapa</t>
        </is>
      </c>
      <c r="C2316" s="1090" t="inlineStr">
        <is>
          <t>Mão de obra tratamento de ralo com manta de poliéster</t>
        </is>
      </c>
      <c r="D2316" s="1090" t="inlineStr">
        <is>
          <t>CHAPISCO</t>
        </is>
      </c>
      <c r="E2316" s="1091" t="n"/>
      <c r="F2316" s="2160" t="n"/>
      <c r="G2316" s="1091" t="n"/>
      <c r="H2316" s="1091" t="n">
        <v>0</v>
      </c>
      <c r="I2316" s="2160" t="n">
        <v>0</v>
      </c>
      <c r="J2316" s="2160" t="n">
        <v>0</v>
      </c>
      <c r="K2316" s="2160" t="n"/>
    </row>
    <row r="2317" outlineLevel="2" ht="15.75" customHeight="1">
      <c r="A2317" s="1067" t="n">
        <v>1</v>
      </c>
      <c r="B2317" s="1067" t="inlineStr">
        <is>
          <t>Serviço</t>
        </is>
      </c>
      <c r="C2317" s="1067" t="inlineStr">
        <is>
          <t>Chapisco aplicado em estruturas de concreto, de argamassa ACIII, com desempenadeira dentada</t>
        </is>
      </c>
      <c r="D2317" s="1067" t="inlineStr">
        <is>
          <t>Chapisco aplicado em estruturas de concreto, de argamassa ACIII, com desempenadeira dentada</t>
        </is>
      </c>
      <c r="E2317" s="1068" t="inlineStr">
        <is>
          <t>M2</t>
        </is>
      </c>
      <c r="F2317" s="1067" t="n"/>
      <c r="G2317" s="1069">
        <f t="array" ref="G2317">IF(B2317="insumo",_xlfn.XLOOKUP($D2317,Insumos!$B$1:$B$996,Insumos!$D$1:$D$996),"")</f>
        <v/>
      </c>
      <c r="H2317" s="1069" t="n">
        <v>5.3225</v>
      </c>
      <c r="I2317" s="2161" t="n">
        <v>0</v>
      </c>
      <c r="J2317" s="2161" t="n">
        <v>0</v>
      </c>
      <c r="K2317" s="2161" t="n"/>
    </row>
    <row r="2318" outlineLevel="3" ht="15.75" customHeight="1">
      <c r="A2318" s="10" t="n">
        <v>191</v>
      </c>
      <c r="B2318" s="10" t="inlineStr">
        <is>
          <t>Insumo</t>
        </is>
      </c>
      <c r="C2318" s="10" t="inlineStr">
        <is>
          <t>Chapisco aplicado em estruturas de concreto, de argamassa ACIII, com desempenadeira dentada</t>
        </is>
      </c>
      <c r="D2318" s="10" t="inlineStr">
        <is>
          <t>Argamassa ACIII</t>
        </is>
      </c>
      <c r="E2318" s="11">
        <f t="array" ref="E2318">_xlfn.XLOOKUP(D2318,Insumos!B:B,Insumos!C:$C)</f>
        <v/>
      </c>
      <c r="F2318" s="14" t="n">
        <v>5</v>
      </c>
      <c r="G2318" s="92">
        <f t="array" ref="G2318">IF(B2318="insumo",_xlfn.XLOOKUP($D2318,Insumos!$B$1:$B$996,Insumos!$D$1:$D$996),"")</f>
        <v/>
      </c>
      <c r="H2318" s="92" t="n">
        <v>5.3225</v>
      </c>
      <c r="I2318" s="2162" t="n">
        <v>0</v>
      </c>
      <c r="J2318" s="2162" t="n">
        <v>0</v>
      </c>
      <c r="K2318" s="2162" t="n"/>
    </row>
    <row r="2319" outlineLevel="2" ht="15.75" customHeight="1">
      <c r="A2319" s="1067" t="n">
        <v>1</v>
      </c>
      <c r="B2319" s="1067" t="inlineStr">
        <is>
          <t>Serviço</t>
        </is>
      </c>
      <c r="C2319" s="1067" t="inlineStr">
        <is>
          <t>Chapisco aplicado em estruturas de concreto, com argamassa pré-fabricada adesiva de cimento colante, aplicação convencional</t>
        </is>
      </c>
      <c r="D2319" s="1067" t="inlineStr">
        <is>
          <t>Chapisco aplicado em estruturas de concreto, com argamassa pré-fabricada adesiva de cimento colante, aplicação convencional</t>
        </is>
      </c>
      <c r="E2319" s="1068" t="inlineStr">
        <is>
          <t>M2</t>
        </is>
      </c>
      <c r="F2319" s="1067" t="n"/>
      <c r="G2319" s="1069">
        <f t="array" ref="G2319">IF(B2319="insumo",_xlfn.XLOOKUP($D2319,Insumos!$B$1:$B$996,Insumos!$D$1:$D$996),"")</f>
        <v/>
      </c>
      <c r="H2319" s="1069" t="n">
        <v>10.11778</v>
      </c>
      <c r="I2319" s="2161" t="e">
        <v>#REF!</v>
      </c>
      <c r="J2319" s="2161" t="e">
        <v>#REF!</v>
      </c>
      <c r="K2319" s="2161" t="n"/>
    </row>
    <row r="2320" outlineLevel="3" ht="15.75" customHeight="1">
      <c r="A2320" s="10" t="n">
        <v>191</v>
      </c>
      <c r="B2320" s="10" t="inlineStr">
        <is>
          <t>Insumo</t>
        </is>
      </c>
      <c r="C2320" s="10" t="inlineStr">
        <is>
          <t>Chapisco aplicado em estruturas de concreto, com argamassa pré-fabricada adesiva de cimento colante, aplicação convencional</t>
        </is>
      </c>
      <c r="D2320" s="10" t="inlineStr">
        <is>
          <t>Argamassa ACIII</t>
        </is>
      </c>
      <c r="E2320" s="11">
        <f t="array" ref="E2320">_xlfn.XLOOKUP(D2320,Insumos!B:B,Insumos!C:$C)</f>
        <v/>
      </c>
      <c r="F2320" s="14" t="n">
        <v>6.34</v>
      </c>
      <c r="G2320" s="92">
        <f t="array" ref="G2320">IF(B2320="insumo",_xlfn.XLOOKUP($D2320,Insumos!$B$1:$B$996,Insumos!$D$1:$D$996),"")</f>
        <v/>
      </c>
      <c r="H2320" s="92" t="n">
        <v>6.74893</v>
      </c>
      <c r="I2320" s="2162" t="e">
        <v>#REF!</v>
      </c>
      <c r="J2320" s="2162" t="e">
        <v>#REF!</v>
      </c>
      <c r="K2320" s="2162" t="n"/>
    </row>
    <row r="2321" outlineLevel="3" ht="15.75" customHeight="1">
      <c r="A2321" s="10" t="n">
        <v>4</v>
      </c>
      <c r="B2321" s="10" t="inlineStr">
        <is>
          <t>Insumo</t>
        </is>
      </c>
      <c r="C2321" s="10" t="inlineStr">
        <is>
          <t>Chapisco aplicado em estruturas de concreto, com argamassa pré-fabricada adesiva de cimento colante, aplicação convencional</t>
        </is>
      </c>
      <c r="D2321" s="10" t="inlineStr">
        <is>
          <t xml:space="preserve">Aditivo Bianco Adesivo Argamassa Chapisco </t>
        </is>
      </c>
      <c r="E2321" s="11">
        <f t="array" ref="E2321">_xlfn.XLOOKUP(D2321,Insumos!B:B,Insumos!C:$C)</f>
        <v/>
      </c>
      <c r="F2321" s="14" t="n">
        <v>0.3</v>
      </c>
      <c r="G2321" s="92">
        <f t="array" ref="G2321">IF(B2321="insumo",_xlfn.XLOOKUP($D2321,Insumos!$B$1:$B$996,Insumos!$D$1:$D$996),"")</f>
        <v/>
      </c>
      <c r="H2321" s="92" t="n">
        <v>3.36885</v>
      </c>
      <c r="I2321" s="2162" t="e">
        <v>#REF!</v>
      </c>
      <c r="J2321" s="2162" t="e">
        <v>#REF!</v>
      </c>
      <c r="K2321" s="2162" t="n"/>
    </row>
    <row r="2322" outlineLevel="2" ht="15.75" customHeight="1">
      <c r="A2322" s="1067" t="n">
        <v>2</v>
      </c>
      <c r="B2322" s="1067" t="inlineStr">
        <is>
          <t>Serviço</t>
        </is>
      </c>
      <c r="C2322" s="1067" t="inlineStr">
        <is>
          <t>Chapisco aplicados em alvenaria, com argamassa estabilizada, aplicação convencional.</t>
        </is>
      </c>
      <c r="D2322" s="1067" t="inlineStr">
        <is>
          <t>Chapisco aplicados em alvenaria, com argamassa estabilizada, aplicação convencional.</t>
        </is>
      </c>
      <c r="E2322" s="1068" t="inlineStr">
        <is>
          <t>M2</t>
        </is>
      </c>
      <c r="F2322" s="1067" t="n"/>
      <c r="G2322" s="1069">
        <f t="array" ref="G2322">IF(B2322="insumo",_xlfn.XLOOKUP($D2322,Insumos!$B$1:$B$996,Insumos!$D$1:$D$996),"")</f>
        <v/>
      </c>
      <c r="H2322" s="1069" t="n">
        <v>6.691734</v>
      </c>
      <c r="I2322" s="2161" t="n">
        <v>0</v>
      </c>
      <c r="J2322" s="2161" t="n">
        <v>0</v>
      </c>
      <c r="K2322" s="2161" t="n"/>
    </row>
    <row r="2323" outlineLevel="3" ht="15.75" customHeight="1">
      <c r="A2323" s="10" t="n">
        <v>2</v>
      </c>
      <c r="B2323" s="10" t="inlineStr">
        <is>
          <t>Insumo</t>
        </is>
      </c>
      <c r="C2323" s="15" t="inlineStr">
        <is>
          <t>Chapisco aplicados em alvenaria, com argamassa estabilizada, aplicação convencional.</t>
        </is>
      </c>
      <c r="D2323" s="15" t="inlineStr">
        <is>
          <t xml:space="preserve">ARGAMASSA TRAÇO 1:5 (EM VOLUME DE CIMENTO E AREIA GROSSA ÚMIDA) PARA CHAPISCO CONVENCIONAL, PREPARO MANUAL. </t>
        </is>
      </c>
      <c r="E2323" s="11">
        <f t="array" ref="E2323">_xlfn.XLOOKUP(D2323,Insumos!B:B,Insumos!C:$C)</f>
        <v/>
      </c>
      <c r="F2323" s="14" t="n">
        <v>0.0042</v>
      </c>
      <c r="G2323" s="92">
        <f t="array" ref="G2323">IF(B2323="insumo",_xlfn.XLOOKUP($D2323,Insumos!$B$1:$B$996,Insumos!$D$1:$D$996),"")</f>
        <v/>
      </c>
      <c r="H2323" s="92" t="n">
        <v>2.659734</v>
      </c>
      <c r="I2323" s="2162" t="n">
        <v>0</v>
      </c>
      <c r="J2323" s="2162" t="n">
        <v>0</v>
      </c>
      <c r="K2323" s="2162" t="n"/>
    </row>
    <row r="2324" outlineLevel="2" ht="15.75" customHeight="1">
      <c r="A2324" s="1067" t="n">
        <v>2</v>
      </c>
      <c r="B2324" s="1067" t="inlineStr">
        <is>
          <t>Serviço</t>
        </is>
      </c>
      <c r="C2324" s="1067" t="inlineStr">
        <is>
          <t>Chapisco aplicados em alvenaria, com argamassa estabilizada, aplicação convencional.</t>
        </is>
      </c>
      <c r="D2324" s="1067" t="inlineStr">
        <is>
          <t>Chapisco aplicados em alvenaria, com argamassa estabilizada, aplicação convencional.</t>
        </is>
      </c>
      <c r="E2324" s="1068" t="inlineStr">
        <is>
          <t>M2</t>
        </is>
      </c>
      <c r="F2324" s="1067" t="n"/>
      <c r="G2324" s="1069">
        <f t="array" ref="G2324">IF(B2324="insumo",_xlfn.XLOOKUP($D2324,Insumos!$B$1:$B$996,Insumos!$D$1:$D$996),"")</f>
        <v/>
      </c>
      <c r="H2324" s="1069" t="n">
        <v>2.016</v>
      </c>
      <c r="I2324" s="2161" t="n">
        <v>0</v>
      </c>
      <c r="J2324" s="2161" t="n">
        <v>0</v>
      </c>
      <c r="K2324" s="2161" t="n"/>
    </row>
    <row r="2325" outlineLevel="3" ht="15.75" customHeight="1">
      <c r="A2325" s="10" t="n">
        <v>1</v>
      </c>
      <c r="B2325" s="10" t="inlineStr">
        <is>
          <t>Insumo</t>
        </is>
      </c>
      <c r="C2325" s="10" t="inlineStr">
        <is>
          <t>Chapisco aplicados em alvenaria, com argamassa estabilizada, aplicação convencional.</t>
        </is>
      </c>
      <c r="D2325" s="10" t="inlineStr">
        <is>
          <t>ARGAMASSA ESTABILIZADA PARA CHAPISCO</t>
        </is>
      </c>
      <c r="E2325" s="11">
        <f t="array" ref="E2325">_xlfn.XLOOKUP(D2325,Insumos!B:B,Insumos!C:$C)</f>
        <v/>
      </c>
      <c r="F2325" s="14" t="n">
        <v>0.0042</v>
      </c>
      <c r="G2325" s="92">
        <f t="array" ref="G2325">IF(B2325="insumo",_xlfn.XLOOKUP($D2325,Insumos!$B$1:$B$996,Insumos!$D$1:$D$996),"")</f>
        <v/>
      </c>
      <c r="H2325" s="92" t="n">
        <v>2.016</v>
      </c>
      <c r="I2325" s="2162" t="n">
        <v>0</v>
      </c>
      <c r="J2325" s="2162" t="n">
        <v>0</v>
      </c>
      <c r="K2325" s="2162" t="n"/>
    </row>
    <row r="2326" outlineLevel="2" ht="15.75" customHeight="1">
      <c r="A2326" s="1067" t="n">
        <v>1</v>
      </c>
      <c r="B2326" s="1067" t="inlineStr">
        <is>
          <t>Serviço</t>
        </is>
      </c>
      <c r="C2326" s="1067" t="inlineStr">
        <is>
          <t xml:space="preserve">Chapisco externo de argamassa estabilizada, aplicados em alvenaria, aplicação convencional em paredes Internas </t>
        </is>
      </c>
      <c r="D2326" s="1067" t="inlineStr">
        <is>
          <t xml:space="preserve">Chapisco externo de argamassa estabilizada, aplicados em alvenaria, aplicação convencional em paredes Internas </t>
        </is>
      </c>
      <c r="E2326" s="1068" t="inlineStr">
        <is>
          <t>M2</t>
        </is>
      </c>
      <c r="F2326" s="1067" t="n"/>
      <c r="G2326" s="1069">
        <f t="array" ref="G2326">IF(B2326="insumo",_xlfn.XLOOKUP($D2326,Insumos!$B$1:$B$996,Insumos!$D$1:$D$996),"")</f>
        <v/>
      </c>
      <c r="H2326" s="1069" t="n">
        <v>5.12</v>
      </c>
      <c r="I2326" s="2161" t="n">
        <v>0</v>
      </c>
      <c r="J2326" s="2161" t="n">
        <v>0</v>
      </c>
      <c r="K2326" s="2161" t="n"/>
    </row>
    <row r="2327" outlineLevel="3" ht="15.75" customHeight="1">
      <c r="A2327" s="10" t="n">
        <v>6</v>
      </c>
      <c r="B2327" s="10" t="inlineStr">
        <is>
          <t>Insumo</t>
        </is>
      </c>
      <c r="C2327" s="10" t="inlineStr">
        <is>
          <t xml:space="preserve">Chapisco externo de argamassa estabilizada, aplicados em alvenaria, aplicação convencional em paredes Internas </t>
        </is>
      </c>
      <c r="D2327" s="10" t="inlineStr">
        <is>
          <t>Argamassa industrializada para Para Chapisco Colante</t>
        </is>
      </c>
      <c r="E2327" s="11">
        <f t="array" ref="E2327">_xlfn.XLOOKUP(D2327,Insumos!B:B,Insumos!C:$C)</f>
        <v/>
      </c>
      <c r="F2327" s="14" t="n">
        <v>6.4</v>
      </c>
      <c r="G2327" s="92">
        <f t="array" ref="G2327">IF(B2327="insumo",_xlfn.XLOOKUP($D2327,Insumos!$B$1:$B$996,Insumos!$D$1:$D$996),"")</f>
        <v/>
      </c>
      <c r="H2327" s="92" t="n">
        <v>5.12</v>
      </c>
      <c r="I2327" s="2162" t="n">
        <v>0</v>
      </c>
      <c r="J2327" s="2162" t="n">
        <v>0</v>
      </c>
      <c r="K2327" s="2162" t="n"/>
    </row>
    <row r="2328" outlineLevel="2" ht="15.75" customHeight="1">
      <c r="A2328" s="1067" t="n">
        <v>1</v>
      </c>
      <c r="B2328" s="1067" t="inlineStr">
        <is>
          <t>Serviço</t>
        </is>
      </c>
      <c r="C2328" s="1067" t="inlineStr">
        <is>
          <t>Chapisco convencional com adesivo sintético de alto desempenho aplicados em alvenaria, aplicação convencional.</t>
        </is>
      </c>
      <c r="D2328" s="1067" t="inlineStr">
        <is>
          <t>Chapisco convencional com adesivo sintético de alto desempenho aplicados em alvenaria, aplicação convencional.</t>
        </is>
      </c>
      <c r="E2328" s="1068" t="inlineStr">
        <is>
          <t>M2</t>
        </is>
      </c>
      <c r="F2328" s="1067" t="n"/>
      <c r="G2328" s="1069">
        <f t="array" ref="G2328">IF(B2328="insumo",_xlfn.XLOOKUP($D2328,Insumos!$B$1:$B$996,Insumos!$D$1:$D$996),"")</f>
        <v/>
      </c>
      <c r="H2328" s="1069" t="n">
        <v>4.80885</v>
      </c>
      <c r="I2328" s="2161" t="n">
        <v>0</v>
      </c>
      <c r="J2328" s="2161" t="n">
        <v>0</v>
      </c>
      <c r="K2328" s="2161" t="n"/>
    </row>
    <row r="2329" outlineLevel="3" ht="15.75" customHeight="1">
      <c r="A2329" s="10" t="n">
        <v>6</v>
      </c>
      <c r="B2329" s="10" t="inlineStr">
        <is>
          <t>Insumo</t>
        </is>
      </c>
      <c r="C2329" s="10" t="inlineStr">
        <is>
          <t>Chapisco convencional com adesivo sintético de alto desempenho aplicados em alvenaria, aplicação convencional.</t>
        </is>
      </c>
      <c r="D2329" s="10" t="inlineStr">
        <is>
          <t>Argamassa industrializada para Para Chapisco Colante</t>
        </is>
      </c>
      <c r="E2329" s="11">
        <f t="array" ref="E2329">_xlfn.XLOOKUP(D2329,Insumos!B:B,Insumos!C:$C)</f>
        <v/>
      </c>
      <c r="F2329" s="14" t="n">
        <v>1.8</v>
      </c>
      <c r="G2329" s="92">
        <f t="array" ref="G2329">IF(B2329="insumo",_xlfn.XLOOKUP($D2329,Insumos!$B$1:$B$996,Insumos!$D$1:$D$996),"")</f>
        <v/>
      </c>
      <c r="H2329" s="92" t="n">
        <v>1.44</v>
      </c>
      <c r="I2329" s="2162" t="n">
        <v>0</v>
      </c>
      <c r="J2329" s="2162" t="n">
        <v>0</v>
      </c>
      <c r="K2329" s="2162" t="n"/>
    </row>
    <row r="2330" outlineLevel="3" ht="15.75" customHeight="1">
      <c r="A2330" s="10" t="n">
        <v>4</v>
      </c>
      <c r="B2330" s="10" t="inlineStr">
        <is>
          <t>Insumo</t>
        </is>
      </c>
      <c r="C2330" s="10" t="inlineStr">
        <is>
          <t>Chapisco convencional com adesivo sintético de alto desempenho aplicados em alvenaria, aplicação convencional.</t>
        </is>
      </c>
      <c r="D2330" s="10" t="inlineStr">
        <is>
          <t xml:space="preserve">Aditivo Bianco Adesivo Argamassa Chapisco </t>
        </is>
      </c>
      <c r="E2330" s="11">
        <f t="array" ref="E2330">_xlfn.XLOOKUP(D2330,Insumos!B:B,Insumos!C:$C)</f>
        <v/>
      </c>
      <c r="F2330" s="14" t="n">
        <v>0.3</v>
      </c>
      <c r="G2330" s="92">
        <f t="array" ref="G2330">IF(B2330="insumo",_xlfn.XLOOKUP($D2330,Insumos!$B$1:$B$996,Insumos!$D$1:$D$996),"")</f>
        <v/>
      </c>
      <c r="H2330" s="92" t="n">
        <v>3.36885</v>
      </c>
      <c r="I2330" s="2162" t="n">
        <v>0</v>
      </c>
      <c r="J2330" s="2162" t="n">
        <v>0</v>
      </c>
      <c r="K2330" s="2162" t="n"/>
    </row>
    <row r="2331" outlineLevel="2" ht="15.75" customHeight="1">
      <c r="A2331" s="1067" t="n">
        <v>1</v>
      </c>
      <c r="B2331" s="1067" t="inlineStr">
        <is>
          <t>Serviço</t>
        </is>
      </c>
      <c r="C2331" s="1067" t="inlineStr">
        <is>
          <t>Chapisco interno de argamassa preparada em obra de cimento e areia - traço 1:4 - aplicação em paredes internas</t>
        </is>
      </c>
      <c r="D2331" s="1067" t="inlineStr">
        <is>
          <t>Chapisco interno de argamassa preparada em obra de cimento e areia - traço 1:4 - aplicação em paredes internas</t>
        </is>
      </c>
      <c r="E2331" s="1068" t="inlineStr">
        <is>
          <t>M2</t>
        </is>
      </c>
      <c r="F2331" s="1067" t="n"/>
      <c r="G2331" s="1069">
        <f t="array" ref="G2331">IF(B2331="insumo",_xlfn.XLOOKUP($D2331,Insumos!$B$1:$B$996,Insumos!$D$1:$D$996),"")</f>
        <v/>
      </c>
      <c r="H2331" s="1069" t="n">
        <v>3.28945</v>
      </c>
      <c r="I2331" s="2161" t="e">
        <v>#REF!</v>
      </c>
      <c r="J2331" s="2161" t="e">
        <v>#REF!</v>
      </c>
      <c r="K2331" s="2161" t="n"/>
    </row>
    <row r="2332" outlineLevel="3" ht="15.75" customHeight="1">
      <c r="A2332" s="10" t="n">
        <v>2</v>
      </c>
      <c r="B2332" s="10" t="inlineStr">
        <is>
          <t>Insumo</t>
        </is>
      </c>
      <c r="C2332" s="15" t="inlineStr">
        <is>
          <t>Chapisco interno de argamassa preparada em obra de cimento e areia - traço 1:4 - aplicação em paredes internas</t>
        </is>
      </c>
      <c r="D2332" s="15" t="inlineStr">
        <is>
          <t xml:space="preserve">ARGAMASSA TRAÇO 1:4 (EM VOLUME DE CIMENTO E AREIA GROSSA ÚMIDA) PARA CHAPISCO CONVENCIONAL, PREPARO MANUAL. </t>
        </is>
      </c>
      <c r="E2332" s="11">
        <f t="array" ref="E2332">_xlfn.XLOOKUP(D2332,Insumos!B:B,Insumos!C:$C)</f>
        <v/>
      </c>
      <c r="F2332" s="14" t="n">
        <v>0.005</v>
      </c>
      <c r="G2332" s="92">
        <f t="array" ref="G2332">IF(B2332="insumo",_xlfn.XLOOKUP($D2332,Insumos!$B$1:$B$996,Insumos!$D$1:$D$996),"")</f>
        <v/>
      </c>
      <c r="H2332" s="92" t="n">
        <v>3.28945</v>
      </c>
      <c r="I2332" s="2162" t="e">
        <v>#REF!</v>
      </c>
      <c r="J2332" s="2162" t="e">
        <v>#REF!</v>
      </c>
      <c r="K2332" s="2162" t="n"/>
    </row>
    <row r="2333" outlineLevel="2" ht="15.75" customHeight="1">
      <c r="A2333" s="1067" t="n">
        <v>1</v>
      </c>
      <c r="B2333" s="1067" t="inlineStr">
        <is>
          <t>Serviço</t>
        </is>
      </c>
      <c r="C2333" s="1067" t="inlineStr">
        <is>
          <t xml:space="preserve">Chapisco externo de argamassa estabilizada projetada, em alvenaria, paredes Internas </t>
        </is>
      </c>
      <c r="D2333" s="1067" t="inlineStr">
        <is>
          <t xml:space="preserve">Chapisco externo de argamassa estabilizada projetada, em alvenaria, paredes Internas </t>
        </is>
      </c>
      <c r="E2333" s="1068" t="inlineStr">
        <is>
          <t>M2</t>
        </is>
      </c>
      <c r="F2333" s="1067" t="n"/>
      <c r="G2333" s="1069">
        <f t="array" ref="G2333">IF(B2333="insumo",_xlfn.XLOOKUP($D2333,Insumos!$B$1:$B$996,Insumos!$D$1:$D$996),"")</f>
        <v/>
      </c>
      <c r="H2333" s="1069" t="n">
        <v>4</v>
      </c>
      <c r="I2333" s="2161" t="n">
        <v>0</v>
      </c>
      <c r="J2333" s="2161" t="n">
        <v>0</v>
      </c>
      <c r="K2333" s="2161" t="n"/>
    </row>
    <row r="2334" outlineLevel="3" ht="15.75" customHeight="1">
      <c r="A2334" s="10" t="n">
        <v>6</v>
      </c>
      <c r="B2334" s="10" t="inlineStr">
        <is>
          <t>Insumo</t>
        </is>
      </c>
      <c r="C2334" s="10" t="inlineStr">
        <is>
          <t xml:space="preserve">Chapisco externo de argamassa estabilizada projetada, em alvenaria, paredes Internas </t>
        </is>
      </c>
      <c r="D2334" s="10" t="inlineStr">
        <is>
          <t>Argamassa industrializada para Para Chapisco Colante</t>
        </is>
      </c>
      <c r="E2334" s="11">
        <f t="array" ref="E2334">_xlfn.XLOOKUP(D2334,Insumos!B:B,Insumos!C:$C)</f>
        <v/>
      </c>
      <c r="F2334" s="14" t="n">
        <v>5</v>
      </c>
      <c r="G2334" s="92">
        <f t="array" ref="G2334">IF(B2334="insumo",_xlfn.XLOOKUP($D2334,Insumos!$B$1:$B$996,Insumos!$D$1:$D$996),"")</f>
        <v/>
      </c>
      <c r="H2334" s="92" t="n">
        <v>4</v>
      </c>
      <c r="I2334" s="2162" t="n">
        <v>0</v>
      </c>
      <c r="J2334" s="2162" t="n">
        <v>0</v>
      </c>
      <c r="K2334" s="2162" t="n"/>
    </row>
    <row r="2335" outlineLevel="2" ht="15.75" customHeight="1">
      <c r="A2335" s="1067" t="n">
        <v>1</v>
      </c>
      <c r="B2335" s="1067" t="inlineStr">
        <is>
          <t>Serviço</t>
        </is>
      </c>
      <c r="C2335" s="1067" t="inlineStr">
        <is>
          <t xml:space="preserve">Chapisco externo de argamassa estabilizada projetada, em alvenaria, Estrutura Internas </t>
        </is>
      </c>
      <c r="D2335" s="1067" t="inlineStr">
        <is>
          <t xml:space="preserve">Chapisco externo de argamassa estabilizada projetada, em alvenaria, Estrutura Internas </t>
        </is>
      </c>
      <c r="E2335" s="1068" t="inlineStr">
        <is>
          <t>M2</t>
        </is>
      </c>
      <c r="F2335" s="1067" t="n"/>
      <c r="G2335" s="1069">
        <f t="array" ref="G2335">IF(B2335="insumo",_xlfn.XLOOKUP($D2335,Insumos!$B$1:$B$996,Insumos!$D$1:$D$996),"")</f>
        <v/>
      </c>
      <c r="H2335" s="1069" t="n">
        <v>4</v>
      </c>
      <c r="I2335" s="2161" t="n">
        <v>0</v>
      </c>
      <c r="J2335" s="2161" t="n">
        <v>0</v>
      </c>
      <c r="K2335" s="2161" t="n"/>
    </row>
    <row r="2336" outlineLevel="3" ht="15.75" customHeight="1">
      <c r="A2336" s="10" t="n">
        <v>6</v>
      </c>
      <c r="B2336" s="10" t="inlineStr">
        <is>
          <t>Insumo</t>
        </is>
      </c>
      <c r="C2336" s="10" t="inlineStr">
        <is>
          <t xml:space="preserve">Chapisco externo de argamassa estabilizada projetada, em alvenaria, Estrutura Internas </t>
        </is>
      </c>
      <c r="D2336" s="10" t="inlineStr">
        <is>
          <t>Argamassa industrializada para Para Chapisco Colante</t>
        </is>
      </c>
      <c r="E2336" s="11">
        <f t="array" ref="E2336">_xlfn.XLOOKUP(D2336,Insumos!B:B,Insumos!C:$C)</f>
        <v/>
      </c>
      <c r="F2336" s="14" t="n">
        <v>5</v>
      </c>
      <c r="G2336" s="92">
        <f t="array" ref="G2336">IF(B2336="insumo",_xlfn.XLOOKUP($D2336,Insumos!$B$1:$B$996,Insumos!$D$1:$D$996),"")</f>
        <v/>
      </c>
      <c r="H2336" s="92" t="n">
        <v>4</v>
      </c>
      <c r="I2336" s="2162" t="n">
        <v>0</v>
      </c>
      <c r="J2336" s="2162" t="n">
        <v>0</v>
      </c>
      <c r="K2336" s="2162" t="n"/>
    </row>
    <row r="2337" outlineLevel="1" ht="15.75" customHeight="1">
      <c r="A2337" s="1090" t="n">
        <v>1</v>
      </c>
      <c r="B2337" s="1090" t="inlineStr">
        <is>
          <t>Subetapa</t>
        </is>
      </c>
      <c r="C2337" s="1090" t="inlineStr">
        <is>
          <t xml:space="preserve">Chapisco externo de argamassa estabilizada projetada, em alvenaria, Estrutura Internas </t>
        </is>
      </c>
      <c r="D2337" s="1090" t="inlineStr">
        <is>
          <t>GESSO</t>
        </is>
      </c>
      <c r="E2337" s="1091" t="n"/>
      <c r="F2337" s="2160" t="n"/>
      <c r="G2337" s="1091" t="n"/>
      <c r="H2337" s="1091" t="n">
        <v>0</v>
      </c>
      <c r="I2337" s="2160" t="n">
        <v>0</v>
      </c>
      <c r="J2337" s="2160" t="n">
        <v>0</v>
      </c>
      <c r="K2337" s="2160" t="n"/>
    </row>
    <row r="2338" outlineLevel="2" ht="12.75" customHeight="1">
      <c r="A2338" s="1071" t="n">
        <v>1</v>
      </c>
      <c r="B2338" s="1071" t="inlineStr">
        <is>
          <t>Serviço</t>
        </is>
      </c>
      <c r="C2338" s="1071" t="inlineStr">
        <is>
          <t>Aplicação manual de gesso sarrafeado em paredes, espessura de 0,5cm, com execução de taliscas</t>
        </is>
      </c>
      <c r="D2338" s="1071" t="inlineStr">
        <is>
          <t>Aplicação manual de gesso sarrafeado em paredes, espessura de 0,5cm, com execução de taliscas</t>
        </is>
      </c>
      <c r="E2338" s="1072" t="inlineStr">
        <is>
          <t>M2</t>
        </is>
      </c>
      <c r="F2338" s="1071" t="n"/>
      <c r="G2338" s="1073">
        <f t="array" ref="G2338">IF(B2338="insumo",_xlfn.XLOOKUP($D2338,Insumos!$B$1:$B$996,Insumos!$D$1:$D$996),"")</f>
        <v/>
      </c>
      <c r="H2338" s="1073" t="n">
        <v>3.84160275</v>
      </c>
      <c r="I2338" s="2163" t="n">
        <v>0</v>
      </c>
      <c r="J2338" s="2163" t="n">
        <v>0</v>
      </c>
      <c r="K2338" s="2163" t="n"/>
    </row>
    <row r="2339" outlineLevel="3" ht="12.75" customHeight="1">
      <c r="A2339" s="82" t="n">
        <v>4</v>
      </c>
      <c r="B2339" s="82" t="inlineStr">
        <is>
          <t>Insumo</t>
        </is>
      </c>
      <c r="C2339" s="82" t="inlineStr">
        <is>
          <t>Aplicação manual de gesso sarrafeado em paredes, espessura de 0,5cm, com execução de taliscas</t>
        </is>
      </c>
      <c r="D2339" s="82" t="inlineStr">
        <is>
          <t xml:space="preserve">	GESSO EM PÓ PARA REVESTIMENTOS</t>
        </is>
      </c>
      <c r="E2339" s="11">
        <f t="array" ref="E2339">_xlfn.XLOOKUP(D2339,Insumos!B:B,Insumos!C:$C)</f>
        <v/>
      </c>
      <c r="F2339" s="2164">
        <f>F2341*0.5</f>
        <v/>
      </c>
      <c r="G2339" s="92">
        <f t="array" ref="G2339">IF(B2339="insumo",_xlfn.XLOOKUP($D2339,Insumos!$B$1:$B$996,Insumos!$D$1:$D$996),"")</f>
        <v/>
      </c>
      <c r="H2339" s="92" t="n">
        <v>3.84160275</v>
      </c>
      <c r="I2339" s="2165" t="n">
        <v>0</v>
      </c>
      <c r="J2339" s="2165" t="n">
        <v>0</v>
      </c>
      <c r="K2339" s="2165" t="n"/>
    </row>
    <row r="2340" outlineLevel="2" ht="12.75" customHeight="1">
      <c r="A2340" s="1071" t="n">
        <v>1</v>
      </c>
      <c r="B2340" s="1071" t="inlineStr">
        <is>
          <t>Serviço</t>
        </is>
      </c>
      <c r="C2340" s="1071" t="inlineStr">
        <is>
          <t>Aplicação manual de gesso sarrafeado em paredes, espessura de 1,0cm, com execução de taliscas</t>
        </is>
      </c>
      <c r="D2340" s="1071" t="inlineStr">
        <is>
          <t>Aplicação manual de gesso sarrafeado em paredes, espessura de 1,0cm, com execução de taliscas</t>
        </is>
      </c>
      <c r="E2340" s="1072" t="inlineStr">
        <is>
          <t>M2</t>
        </is>
      </c>
      <c r="F2340" s="1071" t="n"/>
      <c r="G2340" s="1073">
        <f t="array" ref="G2340">IF(B2340="insumo",_xlfn.XLOOKUP($D2340,Insumos!$B$1:$B$996,Insumos!$D$1:$D$996),"")</f>
        <v/>
      </c>
      <c r="H2340" s="1073" t="n">
        <v>7.6832055</v>
      </c>
      <c r="I2340" s="2163" t="n">
        <v>0</v>
      </c>
      <c r="J2340" s="2163" t="n">
        <v>0</v>
      </c>
      <c r="K2340" s="2163" t="n"/>
    </row>
    <row r="2341" outlineLevel="3" ht="12.75" customHeight="1">
      <c r="A2341" s="82" t="n">
        <v>4</v>
      </c>
      <c r="B2341" s="82" t="inlineStr">
        <is>
          <t>Insumo</t>
        </is>
      </c>
      <c r="C2341" s="82" t="inlineStr">
        <is>
          <t>Aplicação manual de gesso sarrafeado em paredes, espessura de 1,0cm, com execução de taliscas</t>
        </is>
      </c>
      <c r="D2341" s="82" t="inlineStr">
        <is>
          <t xml:space="preserve">	GESSO EM PÓ PARA REVESTIMENTOS</t>
        </is>
      </c>
      <c r="E2341" s="11">
        <f t="array" ref="E2341">_xlfn.XLOOKUP(D2341,Insumos!B:B,Insumos!C:$C)</f>
        <v/>
      </c>
      <c r="F2341" s="2164">
        <f>17.07379</f>
        <v/>
      </c>
      <c r="G2341" s="92">
        <f t="array" ref="G2341">IF(B2341="insumo",_xlfn.XLOOKUP($D2341,Insumos!$B$1:$B$996,Insumos!$D$1:$D$996),"")</f>
        <v/>
      </c>
      <c r="H2341" s="92" t="n">
        <v>7.6832055</v>
      </c>
      <c r="I2341" s="2165" t="n">
        <v>0</v>
      </c>
      <c r="J2341" s="2165" t="n">
        <v>0</v>
      </c>
      <c r="K2341" s="2165" t="n"/>
    </row>
    <row r="2342" outlineLevel="2" ht="15.75" customHeight="1">
      <c r="A2342" s="1067" t="n">
        <v>1</v>
      </c>
      <c r="B2342" s="1067" t="inlineStr">
        <is>
          <t>Serviço</t>
        </is>
      </c>
      <c r="C2342" s="1067" t="inlineStr">
        <is>
          <t>Aplicação manual de gesso sarrafeado em paredes, espessura de 1,5cm, com execução de taliscas</t>
        </is>
      </c>
      <c r="D2342" s="1067" t="inlineStr">
        <is>
          <t>Aplicação manual de gesso sarrafeado em paredes, espessura de 1,5cm, com execução de taliscas</t>
        </is>
      </c>
      <c r="E2342" s="1068" t="inlineStr">
        <is>
          <t>M2</t>
        </is>
      </c>
      <c r="F2342" s="1067" t="n"/>
      <c r="G2342" s="1069">
        <f t="array" ref="G2342">IF(B2342="insumo",_xlfn.XLOOKUP($D2342,Insumos!$B$1:$B$996,Insumos!$D$1:$D$996),"")</f>
        <v/>
      </c>
      <c r="H2342" s="1069" t="n">
        <v>11.52480825</v>
      </c>
      <c r="I2342" s="2161" t="n">
        <v>0</v>
      </c>
      <c r="J2342" s="2161" t="n">
        <v>0</v>
      </c>
      <c r="K2342" s="2161" t="n"/>
    </row>
    <row r="2343" outlineLevel="3" ht="15.75" customHeight="1">
      <c r="A2343" s="10" t="n">
        <v>4</v>
      </c>
      <c r="B2343" s="10" t="inlineStr">
        <is>
          <t>Insumo</t>
        </is>
      </c>
      <c r="C2343" s="10" t="inlineStr">
        <is>
          <t>Aplicação manual de gesso sarrafeado em paredes, espessura de 1,5cm, com execução de taliscas</t>
        </is>
      </c>
      <c r="D2343" s="10" t="inlineStr">
        <is>
          <t xml:space="preserve">	GESSO EM PÓ PARA REVESTIMENTOS</t>
        </is>
      </c>
      <c r="E2343" s="11">
        <f t="array" ref="E2343">_xlfn.XLOOKUP(D2343,Insumos!B:B,Insumos!C:$C)</f>
        <v/>
      </c>
      <c r="F2343" s="14">
        <f>F2341*1.5</f>
        <v/>
      </c>
      <c r="G2343" s="92">
        <f t="array" ref="G2343">IF(B2343="insumo",_xlfn.XLOOKUP($D2343,Insumos!$B$1:$B$996,Insumos!$D$1:$D$996),"")</f>
        <v/>
      </c>
      <c r="H2343" s="92" t="n">
        <v>11.52480825</v>
      </c>
      <c r="I2343" s="2162" t="n">
        <v>0</v>
      </c>
      <c r="J2343" s="2162" t="n">
        <v>0</v>
      </c>
      <c r="K2343" s="2162" t="n"/>
    </row>
    <row r="2344" outlineLevel="2" ht="15.75" customHeight="1">
      <c r="A2344" s="1067" t="n">
        <v>1</v>
      </c>
      <c r="B2344" s="1067" t="inlineStr">
        <is>
          <t>Serviço</t>
        </is>
      </c>
      <c r="C2344" s="1067" t="inlineStr">
        <is>
          <t>Aplicação manual de massa para Drywall em paredes, com execução de taliscas</t>
        </is>
      </c>
      <c r="D2344" s="1067" t="inlineStr">
        <is>
          <t>Aplicação manual de massa para Drywall em paredes, com execução de taliscas</t>
        </is>
      </c>
      <c r="E2344" s="1068" t="inlineStr">
        <is>
          <t>M2</t>
        </is>
      </c>
      <c r="F2344" s="1067" t="n"/>
      <c r="G2344" s="1069">
        <f t="array" ref="G2344">IF(B2344="insumo",_xlfn.XLOOKUP($D2344,Insumos!$B$1:$B$996,Insumos!$D$1:$D$996),"")</f>
        <v/>
      </c>
      <c r="H2344" s="1069" t="n">
        <v>5.20784</v>
      </c>
      <c r="I2344" s="2161" t="n">
        <v>0</v>
      </c>
      <c r="J2344" s="2161" t="n">
        <v>0</v>
      </c>
      <c r="K2344" s="2161" t="n"/>
    </row>
    <row r="2345" outlineLevel="3" ht="15.75" customHeight="1">
      <c r="A2345" s="10" t="n">
        <v>1</v>
      </c>
      <c r="B2345" s="10" t="inlineStr">
        <is>
          <t>Insumo</t>
        </is>
      </c>
      <c r="C2345" s="10" t="inlineStr">
        <is>
          <t>Aplicação manual de massa para Drywall em paredes, com execução de taliscas</t>
        </is>
      </c>
      <c r="D2345" s="10" t="inlineStr">
        <is>
          <t>Massa para Drywall 25kg</t>
        </is>
      </c>
      <c r="E2345" s="11">
        <f t="array" ref="E2345">_xlfn.XLOOKUP(D2345,Insumos!B:B,Insumos!C:$C)</f>
        <v/>
      </c>
      <c r="F2345" s="14" t="n">
        <v>0.88</v>
      </c>
      <c r="G2345" s="92">
        <f t="array" ref="G2345">IF(B2345="insumo",_xlfn.XLOOKUP($D2345,Insumos!$B$1:$B$996,Insumos!$D$1:$D$996),"")</f>
        <v/>
      </c>
      <c r="H2345" s="92" t="n">
        <v>5.20784</v>
      </c>
      <c r="I2345" s="2162" t="n">
        <v>0</v>
      </c>
      <c r="J2345" s="2162" t="n">
        <v>0</v>
      </c>
      <c r="K2345" s="2162" t="n"/>
    </row>
    <row r="2346" outlineLevel="1" ht="15.75" customHeight="1">
      <c r="A2346" s="1090" t="n">
        <v>1</v>
      </c>
      <c r="B2346" s="1090" t="inlineStr">
        <is>
          <t>Subetapa</t>
        </is>
      </c>
      <c r="C2346" s="1090" t="inlineStr">
        <is>
          <t>Aplicação manual de massa para Drywall em paredes, com execução de taliscas</t>
        </is>
      </c>
      <c r="D2346" s="1090" t="inlineStr">
        <is>
          <t>EMBOCO/MASSA ÚNICA</t>
        </is>
      </c>
      <c r="E2346" s="1091" t="n"/>
      <c r="F2346" s="2160" t="n"/>
      <c r="G2346" s="1091" t="n"/>
      <c r="H2346" s="1091" t="n">
        <v>0</v>
      </c>
      <c r="I2346" s="2160" t="n">
        <v>0</v>
      </c>
      <c r="J2346" s="2160" t="n">
        <v>0</v>
      </c>
      <c r="K2346" s="2160" t="n"/>
    </row>
    <row r="2347" outlineLevel="2" ht="12.75" customHeight="1">
      <c r="A2347" s="1071" t="n">
        <v>1</v>
      </c>
      <c r="B2347" s="1071" t="inlineStr">
        <is>
          <t>Serviço</t>
        </is>
      </c>
      <c r="C2347" s="1071" t="inlineStr">
        <is>
          <t>Massa unica para emboço interno em argamassa estabilizada, espessura de 2,5cm, com execução de taliscas</t>
        </is>
      </c>
      <c r="D2347" s="1071" t="inlineStr">
        <is>
          <t>Massa unica para emboço interno em argamassa estabilizada, espessura de 2,5cm, com execução de taliscas</t>
        </is>
      </c>
      <c r="E2347" s="1072" t="inlineStr">
        <is>
          <t>M2</t>
        </is>
      </c>
      <c r="F2347" s="1071" t="n"/>
      <c r="G2347" s="1073">
        <f t="array" ref="G2347">IF(B2347="insumo",_xlfn.XLOOKUP($D2347,Insumos!$B$1:$B$996,Insumos!$D$1:$D$996),"")</f>
        <v/>
      </c>
      <c r="H2347" s="1073" t="n">
        <v>12.1595</v>
      </c>
      <c r="I2347" s="2163" t="n">
        <v>0</v>
      </c>
      <c r="J2347" s="2163" t="n">
        <v>0</v>
      </c>
      <c r="K2347" s="2163" t="n"/>
    </row>
    <row r="2348" outlineLevel="3" ht="12.75" customHeight="1">
      <c r="A2348" s="82" t="n">
        <v>7</v>
      </c>
      <c r="B2348" s="82" t="inlineStr">
        <is>
          <t>Insumo</t>
        </is>
      </c>
      <c r="C2348" s="82" t="inlineStr">
        <is>
          <t>Massa unica para emboço interno em argamassa estabilizada, espessura de 2,5cm, com execução de taliscas</t>
        </is>
      </c>
      <c r="D2348" s="82" t="inlineStr">
        <is>
          <t>Argamassa Usinada para emboço/massa única</t>
        </is>
      </c>
      <c r="E2348" s="11">
        <f t="array" ref="E2348">_xlfn.XLOOKUP(D2348,Insumos!B:B,Insumos!C:$C)</f>
        <v/>
      </c>
      <c r="F2348" s="2164" t="n">
        <v>0.0293</v>
      </c>
      <c r="G2348" s="92">
        <f t="array" ref="G2348">IF(B2348="insumo",_xlfn.XLOOKUP($D2348,Insumos!$B$1:$B$996,Insumos!$D$1:$D$996),"")</f>
        <v/>
      </c>
      <c r="H2348" s="92" t="n">
        <v>12.1595</v>
      </c>
      <c r="I2348" s="2165" t="n">
        <v>0</v>
      </c>
      <c r="J2348" s="2165" t="n">
        <v>0</v>
      </c>
      <c r="K2348" s="2165" t="n"/>
    </row>
    <row r="2349" outlineLevel="2" ht="12.75" customHeight="1">
      <c r="A2349" s="1071" t="n">
        <v>1</v>
      </c>
      <c r="B2349" s="1071" t="inlineStr">
        <is>
          <t>Serviço</t>
        </is>
      </c>
      <c r="C2349" s="1071" t="inlineStr">
        <is>
          <t>Massa unica para reboco interno em argamassa estabilizada, espessura de 0,5cm, com execução desempenado fino</t>
        </is>
      </c>
      <c r="D2349" s="1071" t="inlineStr">
        <is>
          <t>Massa unica para reboco interno em argamassa estabilizada, espessura de 0,5cm, com execução desempenado fino</t>
        </is>
      </c>
      <c r="E2349" s="1072" t="inlineStr">
        <is>
          <t>M2</t>
        </is>
      </c>
      <c r="F2349" s="1071" t="n"/>
      <c r="G2349" s="1073">
        <f t="array" ref="G2349">IF(B2349="insumo",_xlfn.XLOOKUP($D2349,Insumos!$B$1:$B$996,Insumos!$D$1:$D$996),"")</f>
        <v/>
      </c>
      <c r="H2349" s="1073" t="n">
        <v>2.17875</v>
      </c>
      <c r="I2349" s="2163" t="n">
        <v>0</v>
      </c>
      <c r="J2349" s="2163" t="n">
        <v>0</v>
      </c>
      <c r="K2349" s="2163" t="n"/>
    </row>
    <row r="2350" outlineLevel="3" ht="12.75" customHeight="1">
      <c r="A2350" s="82" t="n">
        <v>7</v>
      </c>
      <c r="B2350" s="82" t="inlineStr">
        <is>
          <t>Insumo</t>
        </is>
      </c>
      <c r="C2350" s="82" t="inlineStr">
        <is>
          <t>Massa unica para reboco interno em argamassa estabilizada, espessura de 0,5cm, com execução desempenado fino</t>
        </is>
      </c>
      <c r="D2350" s="82" t="inlineStr">
        <is>
          <t>Argamassa Usinada para emboço/massa única</t>
        </is>
      </c>
      <c r="E2350" s="11">
        <f t="array" ref="E2350">_xlfn.XLOOKUP(D2350,Insumos!B:B,Insumos!C:$C)</f>
        <v/>
      </c>
      <c r="F2350" s="2164">
        <f>0.02625*0.5/2.5</f>
        <v/>
      </c>
      <c r="G2350" s="92">
        <f t="array" ref="G2350">IF(B2350="insumo",_xlfn.XLOOKUP($D2350,Insumos!$B$1:$B$996,Insumos!$D$1:$D$996),"")</f>
        <v/>
      </c>
      <c r="H2350" s="92" t="n">
        <v>2.17875</v>
      </c>
      <c r="I2350" s="2165" t="n">
        <v>0</v>
      </c>
      <c r="J2350" s="2165" t="n">
        <v>0</v>
      </c>
      <c r="K2350" s="2165" t="n"/>
    </row>
    <row r="2351" outlineLevel="2" ht="15.75" customHeight="1">
      <c r="A2351" s="1067" t="n">
        <v>1</v>
      </c>
      <c r="B2351" s="1067" t="inlineStr">
        <is>
          <t>Serviço</t>
        </is>
      </c>
      <c r="C2351" s="1067" t="inlineStr">
        <is>
          <t>Massa unica para reboco interno em argamassa estabilizada, espessura de 2,5cm, com execução de taliscas</t>
        </is>
      </c>
      <c r="D2351" s="1067" t="inlineStr">
        <is>
          <t>Massa unica para reboco interno em argamassa estabilizada, espessura de 2,5cm, com execução de taliscas</t>
        </is>
      </c>
      <c r="E2351" s="1068" t="inlineStr">
        <is>
          <t>M2</t>
        </is>
      </c>
      <c r="F2351" s="1067" t="n"/>
      <c r="G2351" s="1069">
        <f t="array" ref="G2351">IF(B2351="insumo",_xlfn.XLOOKUP($D2351,Insumos!$B$1:$B$996,Insumos!$D$1:$D$996),"")</f>
        <v/>
      </c>
      <c r="H2351" s="1069" t="n">
        <v>10.89375</v>
      </c>
      <c r="I2351" s="2161" t="n">
        <v>0</v>
      </c>
      <c r="J2351" s="2161" t="n">
        <v>0</v>
      </c>
      <c r="K2351" s="2161" t="n"/>
    </row>
    <row r="2352" outlineLevel="3" ht="15.75" customHeight="1">
      <c r="A2352" s="10" t="n">
        <v>7</v>
      </c>
      <c r="B2352" s="10" t="inlineStr">
        <is>
          <t>Insumo</t>
        </is>
      </c>
      <c r="C2352" s="10" t="inlineStr">
        <is>
          <t>Massa unica para reboco interno em argamassa estabilizada, espessura de 2,5cm, com execução de taliscas</t>
        </is>
      </c>
      <c r="D2352" s="10" t="inlineStr">
        <is>
          <t>Argamassa Usinada para emboço/massa única</t>
        </is>
      </c>
      <c r="E2352" s="11">
        <f t="array" ref="E2352">_xlfn.XLOOKUP(D2352,Insumos!B:B,Insumos!C:$C)</f>
        <v/>
      </c>
      <c r="F2352" s="14" t="n">
        <v>0.02625</v>
      </c>
      <c r="G2352" s="92">
        <f t="array" ref="G2352">IF(B2352="insumo",_xlfn.XLOOKUP($D2352,Insumos!$B$1:$B$996,Insumos!$D$1:$D$996),"")</f>
        <v/>
      </c>
      <c r="H2352" s="92" t="n">
        <v>10.89375</v>
      </c>
      <c r="I2352" s="2162" t="n">
        <v>0</v>
      </c>
      <c r="J2352" s="2162" t="n">
        <v>0</v>
      </c>
      <c r="K2352" s="2162" t="n"/>
    </row>
    <row r="2353" outlineLevel="2" ht="15.75" customHeight="1">
      <c r="A2353" s="1067" t="n">
        <v>1</v>
      </c>
      <c r="B2353" s="1067" t="inlineStr">
        <is>
          <t>Serviço</t>
        </is>
      </c>
      <c r="C2353" s="1067" t="inlineStr">
        <is>
          <t>Massa unica para reboco interno em argamassa estabilizada, espessura de 2,5cm, com execução desempenado fino</t>
        </is>
      </c>
      <c r="D2353" s="1067" t="inlineStr">
        <is>
          <t>Massa unica para reboco interno em argamassa estabilizada, espessura de 2,5cm, com execução desempenado fino</t>
        </is>
      </c>
      <c r="E2353" s="1068" t="inlineStr">
        <is>
          <t>M2</t>
        </is>
      </c>
      <c r="F2353" s="1067" t="n"/>
      <c r="G2353" s="1069">
        <f t="array" ref="G2353">IF(B2353="insumo",_xlfn.XLOOKUP($D2353,Insumos!$B$1:$B$996,Insumos!$D$1:$D$996),"")</f>
        <v/>
      </c>
      <c r="H2353" s="1069" t="n">
        <v>12.075</v>
      </c>
      <c r="I2353" s="2161" t="e">
        <v>#REF!</v>
      </c>
      <c r="J2353" s="2161" t="e">
        <v>#REF!</v>
      </c>
      <c r="K2353" s="2161" t="n"/>
    </row>
    <row r="2354" outlineLevel="3" ht="15.75" customHeight="1">
      <c r="A2354" s="10" t="n">
        <v>7</v>
      </c>
      <c r="B2354" s="10" t="inlineStr">
        <is>
          <t>Insumo</t>
        </is>
      </c>
      <c r="C2354" s="10" t="inlineStr">
        <is>
          <t>Massa unica para reboco interno em argamassa estabilizada, espessura de 2,5cm, com execução desempenado fino</t>
        </is>
      </c>
      <c r="D2354" s="10" t="inlineStr">
        <is>
          <t>Argamassa Usinada para emboço/massa única</t>
        </is>
      </c>
      <c r="E2354" s="11">
        <f t="array" ref="E2354">_xlfn.XLOOKUP(D2354,Insumos!B:B,Insumos!C:$C)</f>
        <v/>
      </c>
      <c r="F2354" s="14" t="n">
        <v>0.02625</v>
      </c>
      <c r="G2354" s="92">
        <f t="array" ref="G2354">IF(B2354="insumo",_xlfn.XLOOKUP($D2354,Insumos!$B$1:$B$996,Insumos!$D$1:$D$996),"")</f>
        <v/>
      </c>
      <c r="H2354" s="92" t="n">
        <v>10.89375</v>
      </c>
      <c r="I2354" s="2162" t="n">
        <v>0</v>
      </c>
      <c r="J2354" s="2162" t="n">
        <v>0</v>
      </c>
      <c r="K2354" s="2162" t="n"/>
    </row>
    <row r="2355" outlineLevel="3" ht="15.75" customHeight="1">
      <c r="A2355" s="10" t="n">
        <v>1</v>
      </c>
      <c r="B2355" s="10" t="inlineStr">
        <is>
          <t>Insumo</t>
        </is>
      </c>
      <c r="C2355" s="10" t="inlineStr">
        <is>
          <t>Massa unica para reboco interno em argamassa estabilizada, espessura de 2,5cm, com execução desempenado fino</t>
        </is>
      </c>
      <c r="D2355" s="10" t="inlineStr">
        <is>
          <t>Bombeamento Argamassa Usinada para emboço/massa única</t>
        </is>
      </c>
      <c r="E2355" s="11">
        <f t="array" ref="E2355">_xlfn.XLOOKUP(D2355,Insumos!B:B,Insumos!C:$C)</f>
        <v/>
      </c>
      <c r="F2355" s="14" t="n">
        <v>0.02625</v>
      </c>
      <c r="G2355" s="92">
        <f t="array" ref="G2355">IF(B2355="insumo",_xlfn.XLOOKUP($D2355,Insumos!$B$1:$B$996,Insumos!$D$1:$D$996),"")</f>
        <v/>
      </c>
      <c r="H2355" s="92" t="n">
        <v>1.18125</v>
      </c>
      <c r="I2355" s="2162" t="e">
        <v>#REF!</v>
      </c>
      <c r="J2355" s="2162" t="e">
        <v>#REF!</v>
      </c>
      <c r="K2355" s="2162" t="n"/>
    </row>
    <row r="2356" outlineLevel="2" ht="15.75" customHeight="1">
      <c r="A2356" s="1067" t="n">
        <v>1</v>
      </c>
      <c r="B2356" s="1067" t="inlineStr">
        <is>
          <t>Serviço</t>
        </is>
      </c>
      <c r="C2356" s="1067" t="inlineStr">
        <is>
          <t>Massa unica para reboco interno em argamassa estabilizada projetada, espessura 2,0cm, desempenado fino</t>
        </is>
      </c>
      <c r="D2356" s="1067" t="inlineStr">
        <is>
          <t>Massa unica para reboco interno em argamassa estabilizada projetada, espessura 2,0cm, desempenado fino</t>
        </is>
      </c>
      <c r="E2356" s="1068" t="inlineStr">
        <is>
          <t>M2</t>
        </is>
      </c>
      <c r="F2356" s="1067" t="n"/>
      <c r="G2356" s="1069">
        <f t="array" ref="G2356">IF(B2356="insumo",_xlfn.XLOOKUP($D2356,Insumos!$B$1:$B$996,Insumos!$D$1:$D$996),"")</f>
        <v/>
      </c>
      <c r="H2356" s="1069" t="n">
        <v>19</v>
      </c>
      <c r="I2356" s="2161" t="n">
        <v>0</v>
      </c>
      <c r="J2356" s="2161" t="n">
        <v>0</v>
      </c>
      <c r="K2356" s="2161" t="n"/>
    </row>
    <row r="2357" outlineLevel="3" ht="15.75" customHeight="1">
      <c r="A2357" s="10" t="n">
        <v>3</v>
      </c>
      <c r="B2357" s="10" t="inlineStr">
        <is>
          <t>Insumo</t>
        </is>
      </c>
      <c r="C2357" s="10" t="inlineStr">
        <is>
          <t>Massa unica para reboco interno em argamassa estabilizada projetada, espessura 2,0cm, desempenado fino</t>
        </is>
      </c>
      <c r="D2357" s="10" t="inlineStr">
        <is>
          <t>Argamassa industrializada para Para Reboco</t>
        </is>
      </c>
      <c r="E2357" s="11">
        <f t="array" ref="E2357">_xlfn.XLOOKUP(D2357,Insumos!B:B,Insumos!C:$C)</f>
        <v/>
      </c>
      <c r="F2357" s="14" t="n">
        <v>20</v>
      </c>
      <c r="G2357" s="92">
        <f t="array" ref="G2357">IF(B2357="insumo",_xlfn.XLOOKUP($D2357,Insumos!$B$1:$B$996,Insumos!$D$1:$D$996),"")</f>
        <v/>
      </c>
      <c r="H2357" s="92" t="n">
        <v>19</v>
      </c>
      <c r="I2357" s="2162" t="n">
        <v>0</v>
      </c>
      <c r="J2357" s="2162" t="n">
        <v>0</v>
      </c>
      <c r="K2357" s="2162" t="n"/>
    </row>
    <row r="2358" outlineLevel="1" ht="15.75" customHeight="1">
      <c r="A2358" s="1090" t="n">
        <v>1</v>
      </c>
      <c r="B2358" s="1090" t="inlineStr">
        <is>
          <t>Subetapa</t>
        </is>
      </c>
      <c r="C2358" s="1090" t="inlineStr">
        <is>
          <t>Massa unica para reboco interno em argamassa estabilizada projetada, espessura 2,0cm, desempenado fino</t>
        </is>
      </c>
      <c r="D2358" s="1090" t="inlineStr">
        <is>
          <t>ESTUCAMENTO/REGULARIZAÇÃO</t>
        </is>
      </c>
      <c r="E2358" s="1091" t="n"/>
      <c r="F2358" s="2160" t="n"/>
      <c r="G2358" s="1091" t="n"/>
      <c r="H2358" s="1091" t="n">
        <v>0</v>
      </c>
      <c r="I2358" s="2160" t="n">
        <v>0</v>
      </c>
      <c r="J2358" s="2160" t="n">
        <v>0</v>
      </c>
      <c r="K2358" s="2160" t="n"/>
    </row>
    <row r="2359" outlineLevel="2" ht="15.75" customHeight="1">
      <c r="A2359" s="1067" t="n">
        <v>1</v>
      </c>
      <c r="B2359" s="1067" t="inlineStr">
        <is>
          <t>Serviço</t>
        </is>
      </c>
      <c r="C2359" s="1067" t="inlineStr">
        <is>
          <t>Estucamento de estrutura de concreto em pilares e vigas</t>
        </is>
      </c>
      <c r="D2359" s="1067" t="inlineStr">
        <is>
          <t>Estucamento de estrutura de concreto em pilares e vigas</t>
        </is>
      </c>
      <c r="E2359" s="1068" t="inlineStr">
        <is>
          <t>M2</t>
        </is>
      </c>
      <c r="F2359" s="1067" t="n"/>
      <c r="G2359" s="1069">
        <f t="array" ref="G2359">IF(B2359="insumo",_xlfn.XLOOKUP($D2359,Insumos!$B$1:$B$996,Insumos!$D$1:$D$996),"")</f>
        <v/>
      </c>
      <c r="H2359" s="1069" t="n">
        <v>5.10291666666667</v>
      </c>
      <c r="I2359" s="2161" t="e">
        <v>#REF!</v>
      </c>
      <c r="J2359" s="2161" t="e">
        <v>#REF!</v>
      </c>
      <c r="K2359" s="2161" t="n"/>
    </row>
    <row r="2360" outlineLevel="3" ht="15.75" customHeight="1">
      <c r="A2360" s="10" t="n">
        <v>62</v>
      </c>
      <c r="B2360" s="10" t="inlineStr">
        <is>
          <t>Insumo</t>
        </is>
      </c>
      <c r="C2360" s="10" t="inlineStr">
        <is>
          <t>Estucamento de estrutura de concreto em pilares e vigas</t>
        </is>
      </c>
      <c r="D2360" s="10" t="inlineStr">
        <is>
          <t>Cimento Portland Composto CP II-32</t>
        </is>
      </c>
      <c r="E2360" s="11">
        <f t="array" ref="E2360">_xlfn.XLOOKUP(D2360,Insumos!B:B,Insumos!C:$C)</f>
        <v/>
      </c>
      <c r="F2360" s="14" t="n">
        <v>0.6</v>
      </c>
      <c r="G2360" s="92">
        <f t="array" ref="G2360">IF(B2360="insumo",_xlfn.XLOOKUP($D2360,Insumos!$B$1:$B$996,Insumos!$D$1:$D$996),"")</f>
        <v/>
      </c>
      <c r="H2360" s="92" t="n">
        <v>0.456</v>
      </c>
      <c r="I2360" s="2162" t="e">
        <v>#REF!</v>
      </c>
      <c r="J2360" s="2162" t="e">
        <v>#REF!</v>
      </c>
      <c r="K2360" s="2162" t="n"/>
    </row>
    <row r="2361" outlineLevel="3" ht="15.75" customHeight="1">
      <c r="A2361" s="10" t="n">
        <v>2</v>
      </c>
      <c r="B2361" s="10" t="inlineStr">
        <is>
          <t>Insumo</t>
        </is>
      </c>
      <c r="C2361" s="10" t="inlineStr">
        <is>
          <t>Estucamento de estrutura de concreto em pilares e vigas</t>
        </is>
      </c>
      <c r="D2361" s="10" t="inlineStr">
        <is>
          <t>LIXA EM FOLHA PARA FERRO, NÚMERO 100</t>
        </is>
      </c>
      <c r="E2361" s="11">
        <f t="array" ref="E2361">_xlfn.XLOOKUP(D2361,Insumos!B:B,Insumos!C:$C)</f>
        <v/>
      </c>
      <c r="F2361" s="14" t="n">
        <v>0.05</v>
      </c>
      <c r="G2361" s="92">
        <f t="array" ref="G2361">IF(B2361="insumo",_xlfn.XLOOKUP($D2361,Insumos!$B$1:$B$996,Insumos!$D$1:$D$996),"")</f>
        <v/>
      </c>
      <c r="H2361" s="92" t="n">
        <v>0.1565</v>
      </c>
      <c r="I2361" s="2162" t="e">
        <v>#REF!</v>
      </c>
      <c r="J2361" s="2162" t="e">
        <v>#REF!</v>
      </c>
      <c r="K2361" s="2162" t="n"/>
    </row>
    <row r="2362" outlineLevel="3" ht="15.75" customHeight="1">
      <c r="A2362" s="10" t="n">
        <v>2</v>
      </c>
      <c r="B2362" s="10" t="inlineStr">
        <is>
          <t>Insumo</t>
        </is>
      </c>
      <c r="C2362" s="10" t="inlineStr">
        <is>
          <t>Estucamento de estrutura de concreto em pilares e vigas</t>
        </is>
      </c>
      <c r="D2362" s="10" t="inlineStr">
        <is>
          <t>CIMENTO BRANCO NÃO ESTRUTURAL</t>
        </is>
      </c>
      <c r="E2362" s="11">
        <f t="array" ref="E2362">_xlfn.XLOOKUP(D2362,Insumos!B:B,Insumos!C:$C)</f>
        <v/>
      </c>
      <c r="F2362" s="14" t="n">
        <v>0.3</v>
      </c>
      <c r="G2362" s="92">
        <f t="array" ref="G2362">IF(B2362="insumo",_xlfn.XLOOKUP($D2362,Insumos!$B$1:$B$996,Insumos!$D$1:$D$996),"")</f>
        <v/>
      </c>
      <c r="H2362" s="92" t="n">
        <v>1.047</v>
      </c>
      <c r="I2362" s="2162" t="e">
        <v>#REF!</v>
      </c>
      <c r="J2362" s="2162" t="e">
        <v>#REF!</v>
      </c>
      <c r="K2362" s="2162" t="n"/>
    </row>
    <row r="2363" outlineLevel="3" ht="15.75" customHeight="1">
      <c r="A2363" s="10" t="n">
        <v>2</v>
      </c>
      <c r="B2363" s="10" t="inlineStr">
        <is>
          <t>Insumo</t>
        </is>
      </c>
      <c r="C2363" s="10" t="inlineStr">
        <is>
          <t>Estucamento de estrutura de concreto em pilares e vigas</t>
        </is>
      </c>
      <c r="D2363" s="10" t="inlineStr">
        <is>
          <t>ADESIVO DE BASE ACRÍLICA COMPATÍVEL COM CIMENTO</t>
        </is>
      </c>
      <c r="E2363" s="11">
        <f t="array" ref="E2363">_xlfn.XLOOKUP(D2363,Insumos!B:B,Insumos!C:$C)</f>
        <v/>
      </c>
      <c r="F2363" s="14" t="n">
        <v>0.15</v>
      </c>
      <c r="G2363" s="92">
        <f t="array" ref="G2363">IF(B2363="insumo",_xlfn.XLOOKUP($D2363,Insumos!$B$1:$B$996,Insumos!$D$1:$D$996),"")</f>
        <v/>
      </c>
      <c r="H2363" s="92" t="n">
        <v>3.44341666666667</v>
      </c>
      <c r="I2363" s="2162" t="e">
        <v>#REF!</v>
      </c>
      <c r="J2363" s="2162" t="e">
        <v>#REF!</v>
      </c>
      <c r="K2363" s="2162" t="n"/>
    </row>
    <row r="2364" outlineLevel="2" ht="15.75" customHeight="1">
      <c r="A2364" s="1067" t="n">
        <v>1</v>
      </c>
      <c r="B2364" s="1067" t="inlineStr">
        <is>
          <t>Serviço</t>
        </is>
      </c>
      <c r="C2364" s="1067" t="inlineStr">
        <is>
          <t xml:space="preserve">Regularização de Parede 0,50 cm </t>
        </is>
      </c>
      <c r="D2364" s="1067" t="inlineStr">
        <is>
          <t xml:space="preserve">Regularização de Parede 0,50 cm </t>
        </is>
      </c>
      <c r="E2364" s="1068" t="inlineStr">
        <is>
          <t>M2</t>
        </is>
      </c>
      <c r="F2364" s="1067" t="n"/>
      <c r="G2364" s="1069">
        <f t="array" ref="G2364">IF(B2364="insumo",_xlfn.XLOOKUP($D2364,Insumos!$B$1:$B$996,Insumos!$D$1:$D$996),"")</f>
        <v/>
      </c>
      <c r="H2364" s="1069" t="n">
        <v>3.15602333333333</v>
      </c>
      <c r="I2364" s="2161" t="n">
        <v>0</v>
      </c>
      <c r="J2364" s="2161" t="n">
        <v>0</v>
      </c>
      <c r="K2364" s="2161" t="n"/>
    </row>
    <row r="2365" outlineLevel="3" ht="15.75" customHeight="1">
      <c r="A2365" s="10" t="n">
        <v>32</v>
      </c>
      <c r="B2365" s="10" t="inlineStr">
        <is>
          <t>Insumo</t>
        </is>
      </c>
      <c r="C2365" s="10" t="inlineStr">
        <is>
          <t xml:space="preserve">Regularização de Parede 0,50 cm </t>
        </is>
      </c>
      <c r="D2365" s="10" t="inlineStr">
        <is>
          <t>Argamassa usninada para contrapiso</t>
        </is>
      </c>
      <c r="E2365" s="11">
        <f t="array" ref="E2365">_xlfn.XLOOKUP(D2365,Insumos!B:B,Insumos!C:$C)</f>
        <v/>
      </c>
      <c r="F2365" s="14" t="n">
        <v>0.005500000000000001</v>
      </c>
      <c r="G2365" s="92">
        <f t="array" ref="G2365">IF(B2365="insumo",_xlfn.XLOOKUP($D2365,Insumos!$B$1:$B$996,Insumos!$D$1:$D$996),"")</f>
        <v/>
      </c>
      <c r="H2365" s="92" t="n">
        <v>3.025</v>
      </c>
      <c r="I2365" s="2162" t="n">
        <v>0</v>
      </c>
      <c r="J2365" s="2162" t="n">
        <v>0</v>
      </c>
      <c r="K2365" s="2162" t="n"/>
    </row>
    <row r="2366" outlineLevel="3" ht="15.75" customHeight="1">
      <c r="A2366" s="10" t="n">
        <v>41</v>
      </c>
      <c r="B2366" s="10" t="inlineStr">
        <is>
          <t>Insumo</t>
        </is>
      </c>
      <c r="C2366" s="10" t="inlineStr">
        <is>
          <t xml:space="preserve">Regularização de Parede 0,50 cm </t>
        </is>
      </c>
      <c r="D2366" s="10" t="inlineStr">
        <is>
          <t>Aditivo Adesivo Liquido Para Argamassas De Revestimentos Cimenticios</t>
        </is>
      </c>
      <c r="E2366" s="11">
        <f t="array" ref="E2366">_xlfn.XLOOKUP(D2366,Insumos!B:B,Insumos!C:$C)</f>
        <v/>
      </c>
      <c r="F2366" s="14" t="n">
        <v>0.003500000000000001</v>
      </c>
      <c r="G2366" s="92">
        <f t="array" ref="G2366">IF(B2366="insumo",_xlfn.XLOOKUP($D2366,Insumos!$B$1:$B$996,Insumos!$D$1:$D$996),"")</f>
        <v/>
      </c>
      <c r="H2366" s="92" t="n">
        <v>0.06769</v>
      </c>
      <c r="I2366" s="2162" t="n">
        <v>0</v>
      </c>
      <c r="J2366" s="2162" t="n">
        <v>0</v>
      </c>
      <c r="K2366" s="2162" t="n"/>
    </row>
    <row r="2367" outlineLevel="3" ht="15.75" customHeight="1">
      <c r="A2367" s="10" t="n">
        <v>62</v>
      </c>
      <c r="B2367" s="10" t="inlineStr">
        <is>
          <t>Insumo</t>
        </is>
      </c>
      <c r="C2367" s="10" t="inlineStr">
        <is>
          <t xml:space="preserve">Regularização de Parede 0,50 cm </t>
        </is>
      </c>
      <c r="D2367" s="10" t="inlineStr">
        <is>
          <t>Cimento Portland Composto CP II-32</t>
        </is>
      </c>
      <c r="E2367" s="11">
        <f t="array" ref="E2367">_xlfn.XLOOKUP(D2367,Insumos!B:B,Insumos!C:$C)</f>
        <v/>
      </c>
      <c r="F2367" s="14" t="n">
        <v>0.08333333333333334</v>
      </c>
      <c r="G2367" s="92">
        <f t="array" ref="G2367">IF(B2367="insumo",_xlfn.XLOOKUP($D2367,Insumos!$B$1:$B$996,Insumos!$D$1:$D$996),"")</f>
        <v/>
      </c>
      <c r="H2367" s="92" t="n">
        <v>0.0633333333333333</v>
      </c>
      <c r="I2367" s="2162" t="n">
        <v>0</v>
      </c>
      <c r="J2367" s="2162" t="n">
        <v>0</v>
      </c>
      <c r="K2367" s="2162" t="n"/>
    </row>
    <row r="2368" outlineLevel="1" ht="15.75" customHeight="1">
      <c r="A2368" s="1090" t="n">
        <v>1</v>
      </c>
      <c r="B2368" s="1090" t="inlineStr">
        <is>
          <t>Subetapa</t>
        </is>
      </c>
      <c r="C2368" s="1090" t="inlineStr">
        <is>
          <t xml:space="preserve">Regularização de Parede 0,50 cm </t>
        </is>
      </c>
      <c r="D2368" s="1090" t="inlineStr">
        <is>
          <t>CERAMICO PAREDE</t>
        </is>
      </c>
      <c r="E2368" s="1091" t="n"/>
      <c r="F2368" s="2160" t="n"/>
      <c r="G2368" s="1091" t="n"/>
      <c r="H2368" s="1091" t="n">
        <v>0</v>
      </c>
      <c r="I2368" s="2160" t="n">
        <v>0</v>
      </c>
      <c r="J2368" s="2160" t="n">
        <v>0</v>
      </c>
      <c r="K2368" s="2160" t="n"/>
    </row>
    <row r="2369" outlineLevel="2" ht="15.75" customHeight="1">
      <c r="A2369" s="1067" t="n">
        <v>1</v>
      </c>
      <c r="B2369" s="1067" t="inlineStr">
        <is>
          <t>Serviço</t>
        </is>
      </c>
      <c r="C2369" s="1067" t="inlineStr">
        <is>
          <t>Revestimento de cerâmico retificado em Paredes, Placa 60,5 x 60,5cm com Junta de 2mm</t>
        </is>
      </c>
      <c r="D2369" s="1067" t="inlineStr">
        <is>
          <t>Revestimento de cerâmico retificado em Paredes, Placa 60,5 x 60,5cm com Junta de 2mm</t>
        </is>
      </c>
      <c r="E2369" s="1068" t="inlineStr">
        <is>
          <t>M2</t>
        </is>
      </c>
      <c r="F2369" s="1067" t="n"/>
      <c r="G2369" s="1069">
        <f t="array" ref="G2369">IF(B2369="insumo",_xlfn.XLOOKUP($D2369,Insumos!$B$1:$B$996,Insumos!$D$1:$D$996),"")</f>
        <v/>
      </c>
      <c r="H2369" s="1069" t="n">
        <v>61.5121</v>
      </c>
      <c r="I2369" s="2161" t="n">
        <v>0</v>
      </c>
      <c r="J2369" s="2161" t="n">
        <v>0</v>
      </c>
      <c r="K2369" s="2161" t="n"/>
    </row>
    <row r="2370" outlineLevel="3" ht="15.75" customHeight="1">
      <c r="A2370" s="10" t="n">
        <v>6</v>
      </c>
      <c r="B2370" s="10" t="inlineStr">
        <is>
          <t>Insumo</t>
        </is>
      </c>
      <c r="C2370" s="10" t="inlineStr">
        <is>
          <t>Revestimento de cerâmico retificado em Paredes, Placa 60,5 x 60,5cm com Junta de 2mm</t>
        </is>
      </c>
      <c r="D2370" s="10" t="inlineStr">
        <is>
          <t>Cer. Karina Artisan 60305 Act. 60x60 Ret</t>
        </is>
      </c>
      <c r="E2370" s="11">
        <f t="array" ref="E2370">_xlfn.XLOOKUP(D2370,Insumos!B:B,Insumos!C:$C)</f>
        <v/>
      </c>
      <c r="F2370" s="14" t="n">
        <v>1.1</v>
      </c>
      <c r="G2370" s="92">
        <f t="array" ref="G2370">IF(B2370="insumo",_xlfn.XLOOKUP($D2370,Insumos!$B$1:$B$996,Insumos!$D$1:$D$996),"")</f>
        <v/>
      </c>
      <c r="H2370" s="92" t="n">
        <v>51.953</v>
      </c>
      <c r="I2370" s="2162" t="n">
        <v>0</v>
      </c>
      <c r="J2370" s="2162" t="n">
        <v>0</v>
      </c>
      <c r="K2370" s="2162" t="n"/>
    </row>
    <row r="2371" outlineLevel="3" ht="15.75" customHeight="1">
      <c r="A2371" s="10" t="n">
        <v>191</v>
      </c>
      <c r="B2371" s="10" t="inlineStr">
        <is>
          <t>Insumo</t>
        </is>
      </c>
      <c r="C2371" s="10" t="inlineStr">
        <is>
          <t>Revestimento de cerâmico retificado em Paredes, Placa 60,5 x 60,5cm com Junta de 2mm</t>
        </is>
      </c>
      <c r="D2371" s="10" t="inlineStr">
        <is>
          <t>Argamassa ACIII</t>
        </is>
      </c>
      <c r="E2371" s="11">
        <f t="array" ref="E2371">_xlfn.XLOOKUP(D2371,Insumos!B:B,Insumos!C:$C)</f>
        <v/>
      </c>
      <c r="F2371" s="14" t="n">
        <v>8.800000000000001</v>
      </c>
      <c r="G2371" s="92">
        <f t="array" ref="G2371">IF(B2371="insumo",_xlfn.XLOOKUP($D2371,Insumos!$B$1:$B$996,Insumos!$D$1:$D$996),"")</f>
        <v/>
      </c>
      <c r="H2371" s="92" t="n">
        <v>9.367599999999999</v>
      </c>
      <c r="I2371" s="2162" t="n">
        <v>0</v>
      </c>
      <c r="J2371" s="2162" t="n">
        <v>0</v>
      </c>
      <c r="K2371" s="2162" t="n"/>
    </row>
    <row r="2372" outlineLevel="3" ht="15.75" customHeight="1">
      <c r="A2372" s="10" t="n">
        <v>142</v>
      </c>
      <c r="B2372" s="10" t="inlineStr">
        <is>
          <t>Insumo</t>
        </is>
      </c>
      <c r="C2372" s="10" t="inlineStr">
        <is>
          <t>Revestimento de cerâmico retificado em Paredes, Placa 60,5 x 60,5cm com Junta de 2mm</t>
        </is>
      </c>
      <c r="D2372" s="10" t="inlineStr">
        <is>
          <t>Espeçador junta piso 2mm</t>
        </is>
      </c>
      <c r="E2372" s="11">
        <f t="array" ref="E2372">_xlfn.XLOOKUP(D2372,Insumos!B:B,Insumos!C:$C)</f>
        <v/>
      </c>
      <c r="F2372" s="14" t="n">
        <v>1</v>
      </c>
      <c r="G2372" s="92">
        <f t="array" ref="G2372">IF(B2372="insumo",_xlfn.XLOOKUP($D2372,Insumos!$B$1:$B$996,Insumos!$D$1:$D$996),"")</f>
        <v/>
      </c>
      <c r="H2372" s="92" t="n">
        <v>0.08</v>
      </c>
      <c r="I2372" s="2162" t="n">
        <v>0</v>
      </c>
      <c r="J2372" s="2162" t="n">
        <v>0</v>
      </c>
      <c r="K2372" s="2162" t="n"/>
    </row>
    <row r="2373" outlineLevel="3" ht="15.75" customHeight="1">
      <c r="A2373" s="10" t="n">
        <v>101</v>
      </c>
      <c r="B2373" s="10" t="inlineStr">
        <is>
          <t>Insumo</t>
        </is>
      </c>
      <c r="C2373" s="10" t="inlineStr">
        <is>
          <t>Revestimento de cerâmico retificado em Paredes, Placa 60,5 x 60,5cm com Junta de 2mm</t>
        </is>
      </c>
      <c r="D2373" s="10" t="inlineStr">
        <is>
          <t>Rejunte Cimentício</t>
        </is>
      </c>
      <c r="E2373" s="11">
        <f t="array" ref="E2373">_xlfn.XLOOKUP(D2373,Insumos!B:B,Insumos!C:$C)</f>
        <v/>
      </c>
      <c r="F2373" s="14" t="n">
        <v>0.01</v>
      </c>
      <c r="G2373" s="92">
        <f t="array" ref="G2373">IF(B2373="insumo",_xlfn.XLOOKUP($D2373,Insumos!$B$1:$B$996,Insumos!$D$1:$D$996),"")</f>
        <v/>
      </c>
      <c r="H2373" s="92" t="n">
        <v>0.1115</v>
      </c>
      <c r="I2373" s="2162" t="n">
        <v>0</v>
      </c>
      <c r="J2373" s="2162" t="n">
        <v>0</v>
      </c>
      <c r="K2373" s="2162" t="n"/>
    </row>
    <row r="2374" outlineLevel="2" ht="12.75" customHeight="1">
      <c r="A2374" s="1071" t="n">
        <v>1</v>
      </c>
      <c r="B2374" s="1071" t="inlineStr">
        <is>
          <t>Serviço</t>
        </is>
      </c>
      <c r="C2374" s="1071" t="inlineStr">
        <is>
          <t>Revestimento em Cerâmicas Vulcano Cinza em paredes, 61x 61cm com Junta de 3mm</t>
        </is>
      </c>
      <c r="D2374" s="1071" t="inlineStr">
        <is>
          <t>Revestimento em Cerâmicas Vulcano Cinza em paredes, 61x 61cm com Junta de 3mm</t>
        </is>
      </c>
      <c r="E2374" s="1072" t="inlineStr">
        <is>
          <t>M2</t>
        </is>
      </c>
      <c r="F2374" s="1071" t="n"/>
      <c r="G2374" s="1073">
        <f t="array" ref="G2374">IF(B2374="insumo",_xlfn.XLOOKUP($D2374,Insumos!$B$1:$B$996,Insumos!$D$1:$D$996),"")</f>
        <v/>
      </c>
      <c r="H2374" s="1073" t="n">
        <v>79.119</v>
      </c>
      <c r="I2374" s="2163" t="e">
        <v>#REF!</v>
      </c>
      <c r="J2374" s="2163" t="e">
        <v>#REF!</v>
      </c>
      <c r="K2374" s="2163" t="n"/>
    </row>
    <row r="2375" outlineLevel="3" ht="12.75" customHeight="1">
      <c r="A2375" s="82" t="n">
        <v>6</v>
      </c>
      <c r="B2375" s="82" t="inlineStr">
        <is>
          <t>Insumo</t>
        </is>
      </c>
      <c r="C2375" s="82" t="inlineStr">
        <is>
          <t>Revestimento em Cerâmicas Vulcano Cinza em paredes, 61x 61cm com Junta de 3mm</t>
        </is>
      </c>
      <c r="D2375" s="82" t="inlineStr">
        <is>
          <t>Cerâmica Vulcano Cinza 61x61</t>
        </is>
      </c>
      <c r="E2375" s="11">
        <f t="array" ref="E2375">_xlfn.XLOOKUP(D2375,Insumos!B:B,Insumos!C:$C)</f>
        <v/>
      </c>
      <c r="F2375" s="2169" t="n">
        <v>1.1</v>
      </c>
      <c r="G2375" s="92">
        <f t="array" ref="G2375">IF(B2375="insumo",_xlfn.XLOOKUP($D2375,Insumos!$B$1:$B$996,Insumos!$D$1:$D$996),"")</f>
        <v/>
      </c>
      <c r="H2375" s="92" t="n">
        <v>69.949</v>
      </c>
      <c r="I2375" s="2165" t="e">
        <v>#REF!</v>
      </c>
      <c r="J2375" s="2165" t="e">
        <v>#REF!</v>
      </c>
      <c r="K2375" s="2165" t="n"/>
    </row>
    <row r="2376" outlineLevel="3" ht="12.75" customHeight="1">
      <c r="A2376" s="82" t="n">
        <v>16</v>
      </c>
      <c r="B2376" s="82" t="inlineStr">
        <is>
          <t>Insumo</t>
        </is>
      </c>
      <c r="C2376" s="82" t="inlineStr">
        <is>
          <t>Revestimento em Cerâmicas Vulcano Cinza em paredes, 61x 61cm com Junta de 3mm</t>
        </is>
      </c>
      <c r="D2376" s="82" t="inlineStr">
        <is>
          <t>Argamassa ACII</t>
        </is>
      </c>
      <c r="E2376" s="11">
        <f t="array" ref="E2376">_xlfn.XLOOKUP(D2376,Insumos!B:B,Insumos!C:$C)</f>
        <v/>
      </c>
      <c r="F2376" s="2169" t="n">
        <v>8.800000000000001</v>
      </c>
      <c r="G2376" s="92">
        <f t="array" ref="G2376">IF(B2376="insumo",_xlfn.XLOOKUP($D2376,Insumos!$B$1:$B$996,Insumos!$D$1:$D$996),"")</f>
        <v/>
      </c>
      <c r="H2376" s="92" t="n">
        <v>8.359999999999999</v>
      </c>
      <c r="I2376" s="2165" t="e">
        <v>#REF!</v>
      </c>
      <c r="J2376" s="2165" t="e">
        <v>#REF!</v>
      </c>
      <c r="K2376" s="2165" t="n"/>
    </row>
    <row r="2377" outlineLevel="3" ht="12.75" customHeight="1">
      <c r="A2377" s="82" t="n">
        <v>17</v>
      </c>
      <c r="B2377" s="82" t="inlineStr">
        <is>
          <t>Insumo</t>
        </is>
      </c>
      <c r="C2377" s="82" t="inlineStr">
        <is>
          <t>Revestimento em Cerâmicas Vulcano Cinza em paredes, 61x 61cm com Junta de 3mm</t>
        </is>
      </c>
      <c r="D2377" s="82" t="inlineStr">
        <is>
          <t>Espeçador junta piso 3mm</t>
        </is>
      </c>
      <c r="E2377" s="11">
        <f t="array" ref="E2377">_xlfn.XLOOKUP(D2377,Insumos!B:B,Insumos!C:$C)</f>
        <v/>
      </c>
      <c r="F2377" s="2169" t="n">
        <v>1</v>
      </c>
      <c r="G2377" s="92">
        <f t="array" ref="G2377">IF(B2377="insumo",_xlfn.XLOOKUP($D2377,Insumos!$B$1:$B$996,Insumos!$D$1:$D$996),"")</f>
        <v/>
      </c>
      <c r="H2377" s="92" t="n">
        <v>0.05</v>
      </c>
      <c r="I2377" s="2165" t="e">
        <v>#REF!</v>
      </c>
      <c r="J2377" s="2165" t="e">
        <v>#REF!</v>
      </c>
      <c r="K2377" s="2165" t="n"/>
    </row>
    <row r="2378" outlineLevel="3" ht="12.75" customHeight="1">
      <c r="A2378" s="82" t="n">
        <v>36</v>
      </c>
      <c r="B2378" s="82" t="inlineStr">
        <is>
          <t>Insumo</t>
        </is>
      </c>
      <c r="C2378" s="82" t="inlineStr">
        <is>
          <t>Revestimento em Cerâmicas Vulcano Cinza em paredes, 61x 61cm com Junta de 3mm</t>
        </is>
      </c>
      <c r="D2378" s="82" t="inlineStr">
        <is>
          <t>Rejunte Acrilico cinza platina</t>
        </is>
      </c>
      <c r="E2378" s="11">
        <f t="array" ref="E2378">_xlfn.XLOOKUP(D2378,Insumos!B:B,Insumos!C:$C)</f>
        <v/>
      </c>
      <c r="F2378" s="2169" t="n">
        <v>0.02</v>
      </c>
      <c r="G2378" s="92">
        <f t="array" ref="G2378">IF(B2378="insumo",_xlfn.XLOOKUP($D2378,Insumos!$B$1:$B$996,Insumos!$D$1:$D$996),"")</f>
        <v/>
      </c>
      <c r="H2378" s="92" t="n">
        <v>0.76</v>
      </c>
      <c r="I2378" s="2165" t="e">
        <v>#REF!</v>
      </c>
      <c r="J2378" s="2165" t="e">
        <v>#REF!</v>
      </c>
      <c r="K2378" s="2165" t="n"/>
    </row>
    <row r="2379" outlineLevel="2" ht="12.75" customHeight="1">
      <c r="A2379" s="1071" t="n">
        <v>1</v>
      </c>
      <c r="B2379" s="1071" t="inlineStr">
        <is>
          <t>Serviço</t>
        </is>
      </c>
      <c r="C2379" s="1071" t="inlineStr">
        <is>
          <t>Revestimento de cerâmico em Paredes, Placa 31 x 54cm com Junta de 2mm e rejunte acrilico</t>
        </is>
      </c>
      <c r="D2379" s="1071" t="inlineStr">
        <is>
          <t>Revestimento de cerâmico em Paredes, Placa 31 x 54cm com Junta de 2mm e rejunte acrilico</t>
        </is>
      </c>
      <c r="E2379" s="1072" t="inlineStr">
        <is>
          <t>M2</t>
        </is>
      </c>
      <c r="F2379" s="1071" t="n"/>
      <c r="G2379" s="1073">
        <f t="array" ref="G2379">IF(B2379="insumo",_xlfn.XLOOKUP($D2379,Insumos!$B$1:$B$996,Insumos!$D$1:$D$996),"")</f>
        <v/>
      </c>
      <c r="H2379" s="1073" t="n">
        <v>89.93859999999999</v>
      </c>
      <c r="I2379" s="2163" t="n">
        <v>0</v>
      </c>
      <c r="J2379" s="2163" t="n">
        <v>0</v>
      </c>
      <c r="K2379" s="2163" t="n"/>
    </row>
    <row r="2380" outlineLevel="3" ht="12.75" customHeight="1">
      <c r="A2380" s="82" t="n">
        <v>3</v>
      </c>
      <c r="B2380" s="82" t="inlineStr">
        <is>
          <t>Insumo</t>
        </is>
      </c>
      <c r="C2380" s="89" t="inlineStr">
        <is>
          <t>Revestimento de cerâmico em Paredes, Placa 31 x 54cm com Junta de 2mm e rejunte acrilico</t>
        </is>
      </c>
      <c r="D2380" s="89" t="inlineStr">
        <is>
          <t>Cerâmica Brilhante Metrô 31x54cm Savane</t>
        </is>
      </c>
      <c r="E2380" s="11">
        <f t="array" ref="E2380">_xlfn.XLOOKUP(D2380,Insumos!B:B,Insumos!C:$C)</f>
        <v/>
      </c>
      <c r="F2380" s="2164" t="n">
        <v>1.1</v>
      </c>
      <c r="G2380" s="92">
        <f t="array" ref="G2380">IF(B2380="insumo",_xlfn.XLOOKUP($D2380,Insumos!$B$1:$B$996,Insumos!$D$1:$D$996),"")</f>
        <v/>
      </c>
      <c r="H2380" s="92" t="n">
        <v>79.893</v>
      </c>
      <c r="I2380" s="2165" t="n">
        <v>0</v>
      </c>
      <c r="J2380" s="2165" t="n">
        <v>0</v>
      </c>
      <c r="K2380" s="2165" t="n"/>
    </row>
    <row r="2381" outlineLevel="3" ht="12.75" customHeight="1">
      <c r="A2381" s="82" t="n">
        <v>191</v>
      </c>
      <c r="B2381" s="82" t="inlineStr">
        <is>
          <t>Insumo</t>
        </is>
      </c>
      <c r="C2381" s="82" t="inlineStr">
        <is>
          <t>Revestimento de cerâmico em Paredes, Placa 31 x 54cm com Junta de 2mm e rejunte acrilico</t>
        </is>
      </c>
      <c r="D2381" s="82" t="inlineStr">
        <is>
          <t>Argamassa ACIII</t>
        </is>
      </c>
      <c r="E2381" s="11">
        <f t="array" ref="E2381">_xlfn.XLOOKUP(D2381,Insumos!B:B,Insumos!C:$C)</f>
        <v/>
      </c>
      <c r="F2381" s="2164" t="n">
        <v>8.800000000000001</v>
      </c>
      <c r="G2381" s="92">
        <f t="array" ref="G2381">IF(B2381="insumo",_xlfn.XLOOKUP($D2381,Insumos!$B$1:$B$996,Insumos!$D$1:$D$996),"")</f>
        <v/>
      </c>
      <c r="H2381" s="92" t="n">
        <v>9.367599999999999</v>
      </c>
      <c r="I2381" s="2165" t="n">
        <v>0</v>
      </c>
      <c r="J2381" s="2165" t="n">
        <v>0</v>
      </c>
      <c r="K2381" s="2165" t="n"/>
    </row>
    <row r="2382" outlineLevel="3" ht="12.75" customHeight="1">
      <c r="A2382" s="82" t="n">
        <v>142</v>
      </c>
      <c r="B2382" s="82" t="inlineStr">
        <is>
          <t>Insumo</t>
        </is>
      </c>
      <c r="C2382" s="82" t="inlineStr">
        <is>
          <t>Revestimento de cerâmico em Paredes, Placa 31 x 54cm com Junta de 2mm e rejunte acrilico</t>
        </is>
      </c>
      <c r="D2382" s="82" t="inlineStr">
        <is>
          <t>Espeçador junta piso 2mm</t>
        </is>
      </c>
      <c r="E2382" s="11">
        <f t="array" ref="E2382">_xlfn.XLOOKUP(D2382,Insumos!B:B,Insumos!C:$C)</f>
        <v/>
      </c>
      <c r="F2382" s="2164" t="n">
        <v>3</v>
      </c>
      <c r="G2382" s="92">
        <f t="array" ref="G2382">IF(B2382="insumo",_xlfn.XLOOKUP($D2382,Insumos!$B$1:$B$996,Insumos!$D$1:$D$996),"")</f>
        <v/>
      </c>
      <c r="H2382" s="92" t="n">
        <v>0.24</v>
      </c>
      <c r="I2382" s="2165" t="n">
        <v>0</v>
      </c>
      <c r="J2382" s="2165" t="n">
        <v>0</v>
      </c>
      <c r="K2382" s="2165" t="n"/>
    </row>
    <row r="2383" outlineLevel="3" ht="12.75" customHeight="1">
      <c r="A2383" s="82" t="n">
        <v>22</v>
      </c>
      <c r="B2383" s="82" t="inlineStr">
        <is>
          <t>Insumo</t>
        </is>
      </c>
      <c r="C2383" s="82" t="inlineStr">
        <is>
          <t>Revestimento de cerâmico em Paredes, Placa 31 x 54cm com Junta de 2mm e rejunte acrilico</t>
        </is>
      </c>
      <c r="D2383" s="82" t="inlineStr">
        <is>
          <t>Rejunte acrilico</t>
        </is>
      </c>
      <c r="E2383" s="11">
        <f t="array" ref="E2383">_xlfn.XLOOKUP(D2383,Insumos!B:B,Insumos!C:$C)</f>
        <v/>
      </c>
      <c r="F2383" s="2164" t="n">
        <v>0.01</v>
      </c>
      <c r="G2383" s="92">
        <f t="array" ref="G2383">IF(B2383="insumo",_xlfn.XLOOKUP($D2383,Insumos!$B$1:$B$996,Insumos!$D$1:$D$996),"")</f>
        <v/>
      </c>
      <c r="H2383" s="92" t="n">
        <v>0.438</v>
      </c>
      <c r="I2383" s="2165" t="n">
        <v>0</v>
      </c>
      <c r="J2383" s="2165" t="n">
        <v>0</v>
      </c>
      <c r="K2383" s="2165" t="n"/>
    </row>
    <row r="2384" outlineLevel="2" ht="12.75" customHeight="1">
      <c r="A2384" s="1071" t="n">
        <v>1</v>
      </c>
      <c r="B2384" s="1071" t="inlineStr">
        <is>
          <t>Serviço</t>
        </is>
      </c>
      <c r="C2384" s="1071" t="inlineStr">
        <is>
          <t>Revestimento de cerâmico retificado em Paredes, Placa 60 x 60cm com Junta de 2mm e rejunte acrilico</t>
        </is>
      </c>
      <c r="D2384" s="1071" t="inlineStr">
        <is>
          <t>Revestimento de cerâmico retificado em Paredes, Placa 60 x 60cm com Junta de 2mm e rejunte acrilico</t>
        </is>
      </c>
      <c r="E2384" s="1072" t="inlineStr">
        <is>
          <t>M2</t>
        </is>
      </c>
      <c r="F2384" s="1071" t="n"/>
      <c r="G2384" s="1073">
        <f t="array" ref="G2384">IF(B2384="insumo",_xlfn.XLOOKUP($D2384,Insumos!$B$1:$B$996,Insumos!$D$1:$D$996),"")</f>
        <v/>
      </c>
      <c r="H2384" s="1073" t="n">
        <v>61.7806</v>
      </c>
      <c r="I2384" s="2163" t="e">
        <v>#REF!</v>
      </c>
      <c r="J2384" s="2163" t="e">
        <v>#REF!</v>
      </c>
      <c r="K2384" s="2163" t="n"/>
    </row>
    <row r="2385" outlineLevel="3" ht="12.75" customHeight="1">
      <c r="A2385" s="82" t="n">
        <v>6</v>
      </c>
      <c r="B2385" s="82" t="inlineStr">
        <is>
          <t>Insumo</t>
        </is>
      </c>
      <c r="C2385" s="89" t="inlineStr">
        <is>
          <t>Revestimento de cerâmico retificado em Paredes, Placa 60 x 60cm com Junta de 2mm e rejunte acrilico</t>
        </is>
      </c>
      <c r="D2385" s="89" t="inlineStr">
        <is>
          <t>Cer. Karina Artisan 60305 Act. 60x60 Ret</t>
        </is>
      </c>
      <c r="E2385" s="11">
        <f t="array" ref="E2385">_xlfn.XLOOKUP(D2385,Insumos!B:B,Insumos!C:$C)</f>
        <v/>
      </c>
      <c r="F2385" s="2164" t="n">
        <v>1.1</v>
      </c>
      <c r="G2385" s="92">
        <f t="array" ref="G2385">IF(B2385="insumo",_xlfn.XLOOKUP($D2385,Insumos!$B$1:$B$996,Insumos!$D$1:$D$996),"")</f>
        <v/>
      </c>
      <c r="H2385" s="92" t="n">
        <v>51.953</v>
      </c>
      <c r="I2385" s="2165" t="e">
        <v>#REF!</v>
      </c>
      <c r="J2385" s="2165" t="e">
        <v>#REF!</v>
      </c>
      <c r="K2385" s="2165" t="n"/>
    </row>
    <row r="2386" outlineLevel="3" ht="12.75" customHeight="1">
      <c r="A2386" s="82" t="n">
        <v>191</v>
      </c>
      <c r="B2386" s="82" t="inlineStr">
        <is>
          <t>Insumo</t>
        </is>
      </c>
      <c r="C2386" s="82" t="inlineStr">
        <is>
          <t>Revestimento de cerâmico retificado em Paredes, Placa 60 x 60cm com Junta de 2mm e rejunte acrilico</t>
        </is>
      </c>
      <c r="D2386" s="82" t="inlineStr">
        <is>
          <t>Argamassa ACIII</t>
        </is>
      </c>
      <c r="E2386" s="11">
        <f t="array" ref="E2386">_xlfn.XLOOKUP(D2386,Insumos!B:B,Insumos!C:$C)</f>
        <v/>
      </c>
      <c r="F2386" s="2164" t="n">
        <v>8.800000000000001</v>
      </c>
      <c r="G2386" s="92">
        <f t="array" ref="G2386">IF(B2386="insumo",_xlfn.XLOOKUP($D2386,Insumos!$B$1:$B$996,Insumos!$D$1:$D$996),"")</f>
        <v/>
      </c>
      <c r="H2386" s="92" t="n">
        <v>9.367599999999999</v>
      </c>
      <c r="I2386" s="2165" t="e">
        <v>#REF!</v>
      </c>
      <c r="J2386" s="2165" t="e">
        <v>#REF!</v>
      </c>
      <c r="K2386" s="2165" t="n"/>
    </row>
    <row r="2387" outlineLevel="3" ht="12.75" customHeight="1">
      <c r="A2387" s="82" t="n">
        <v>142</v>
      </c>
      <c r="B2387" s="82" t="inlineStr">
        <is>
          <t>Insumo</t>
        </is>
      </c>
      <c r="C2387" s="82" t="inlineStr">
        <is>
          <t>Revestimento de cerâmico retificado em Paredes, Placa 60 x 60cm com Junta de 2mm e rejunte acrilico</t>
        </is>
      </c>
      <c r="D2387" s="82" t="inlineStr">
        <is>
          <t>Espeçador junta piso 2mm</t>
        </is>
      </c>
      <c r="E2387" s="11">
        <f t="array" ref="E2387">_xlfn.XLOOKUP(D2387,Insumos!B:B,Insumos!C:$C)</f>
        <v/>
      </c>
      <c r="F2387" s="2164" t="n">
        <v>1</v>
      </c>
      <c r="G2387" s="92">
        <f t="array" ref="G2387">IF(B2387="insumo",_xlfn.XLOOKUP($D2387,Insumos!$B$1:$B$996,Insumos!$D$1:$D$996),"")</f>
        <v/>
      </c>
      <c r="H2387" s="92" t="n">
        <v>0.08</v>
      </c>
      <c r="I2387" s="2165" t="e">
        <v>#REF!</v>
      </c>
      <c r="J2387" s="2165" t="e">
        <v>#REF!</v>
      </c>
      <c r="K2387" s="2165" t="n"/>
    </row>
    <row r="2388" outlineLevel="3" ht="12.75" customHeight="1">
      <c r="A2388" s="82" t="n">
        <v>36</v>
      </c>
      <c r="B2388" s="82" t="inlineStr">
        <is>
          <t>Insumo</t>
        </is>
      </c>
      <c r="C2388" s="82" t="inlineStr">
        <is>
          <t>Revestimento de cerâmico retificado em Paredes, Placa 60 x 60cm com Junta de 2mm e rejunte acrilico</t>
        </is>
      </c>
      <c r="D2388" s="82" t="inlineStr">
        <is>
          <t>Rejunte Acrilico cinza platina</t>
        </is>
      </c>
      <c r="E2388" s="11">
        <f t="array" ref="E2388">_xlfn.XLOOKUP(D2388,Insumos!B:B,Insumos!C:$C)</f>
        <v/>
      </c>
      <c r="F2388" s="2164" t="n">
        <v>0.01</v>
      </c>
      <c r="G2388" s="92">
        <f t="array" ref="G2388">IF(B2388="insumo",_xlfn.XLOOKUP($D2388,Insumos!$B$1:$B$996,Insumos!$D$1:$D$996),"")</f>
        <v/>
      </c>
      <c r="H2388" s="92" t="n">
        <v>0.38</v>
      </c>
      <c r="I2388" s="2165" t="e">
        <v>#REF!</v>
      </c>
      <c r="J2388" s="2165" t="e">
        <v>#REF!</v>
      </c>
      <c r="K2388" s="2165" t="n"/>
    </row>
    <row r="2389" outlineLevel="1" ht="15.75" customHeight="1">
      <c r="A2389" s="1090" t="n">
        <v>1</v>
      </c>
      <c r="B2389" s="1090" t="inlineStr">
        <is>
          <t>Subetapa</t>
        </is>
      </c>
      <c r="C2389" s="1090" t="inlineStr">
        <is>
          <t>Revestimento de cerâmico retificado em Paredes, Placa 60 x 60cm com Junta de 2mm e rejunte acrilico</t>
        </is>
      </c>
      <c r="D2389" s="1090" t="inlineStr">
        <is>
          <t>PORCELANATO PAREDE</t>
        </is>
      </c>
      <c r="E2389" s="1091" t="n"/>
      <c r="F2389" s="2160" t="n"/>
      <c r="G2389" s="1091" t="n"/>
      <c r="H2389" s="1091" t="n">
        <v>0</v>
      </c>
      <c r="I2389" s="2160" t="n">
        <v>0</v>
      </c>
      <c r="J2389" s="2160" t="n">
        <v>0</v>
      </c>
      <c r="K2389" s="2160" t="n"/>
    </row>
    <row r="2390" outlineLevel="2" ht="15.75" customHeight="1">
      <c r="A2390" s="1067" t="n">
        <v>1</v>
      </c>
      <c r="B2390" s="1067" t="inlineStr">
        <is>
          <t>Serviço</t>
        </is>
      </c>
      <c r="C2390" s="1067" t="inlineStr">
        <is>
          <t>Revestimento de parede em porcelanato, placa 30x90cm</t>
        </is>
      </c>
      <c r="D2390" s="1067" t="inlineStr">
        <is>
          <t>Revestimento de parede em porcelanato, placa 30x90cm</t>
        </is>
      </c>
      <c r="E2390" s="1068" t="inlineStr">
        <is>
          <t>M2</t>
        </is>
      </c>
      <c r="F2390" s="1067" t="n"/>
      <c r="G2390" s="1069">
        <f t="array" ref="G2390">IF(B2390="insumo",_xlfn.XLOOKUP($D2390,Insumos!$B$1:$B$996,Insumos!$D$1:$D$996),"")</f>
        <v/>
      </c>
      <c r="H2390" s="1069" t="n">
        <v>93.1306</v>
      </c>
      <c r="I2390" s="2161" t="n">
        <v>0</v>
      </c>
      <c r="J2390" s="2161" t="n">
        <v>0</v>
      </c>
      <c r="K2390" s="2161" t="n"/>
    </row>
    <row r="2391" outlineLevel="3" ht="15.75" customHeight="1">
      <c r="A2391" s="10" t="n">
        <v>2</v>
      </c>
      <c r="B2391" s="10" t="inlineStr">
        <is>
          <t>Insumo</t>
        </is>
      </c>
      <c r="C2391" s="10" t="inlineStr">
        <is>
          <t>Revestimento de parede em porcelanato, placa 30x90cm</t>
        </is>
      </c>
      <c r="D2391" s="10" t="inlineStr">
        <is>
          <t xml:space="preserve">Porcelanato A 30x60 Polido </t>
        </is>
      </c>
      <c r="E2391" s="11">
        <f t="array" ref="E2391">_xlfn.XLOOKUP(D2391,Insumos!B:B,Insumos!C:$C)</f>
        <v/>
      </c>
      <c r="F2391" s="14" t="n">
        <v>1.1</v>
      </c>
      <c r="G2391" s="92">
        <f t="array" ref="G2391">IF(B2391="insumo",_xlfn.XLOOKUP($D2391,Insumos!$B$1:$B$996,Insumos!$D$1:$D$996),"")</f>
        <v/>
      </c>
      <c r="H2391" s="92" t="n">
        <v>83.38</v>
      </c>
      <c r="I2391" s="2162" t="n">
        <v>0</v>
      </c>
      <c r="J2391" s="2162" t="n">
        <v>0</v>
      </c>
      <c r="K2391" s="2162" t="n"/>
    </row>
    <row r="2392" outlineLevel="3" ht="15.75" customHeight="1">
      <c r="A2392" s="10" t="n">
        <v>191</v>
      </c>
      <c r="B2392" s="10" t="inlineStr">
        <is>
          <t>Insumo</t>
        </is>
      </c>
      <c r="C2392" s="10" t="inlineStr">
        <is>
          <t>Revestimento de parede em porcelanato, placa 30x90cm</t>
        </is>
      </c>
      <c r="D2392" s="10" t="inlineStr">
        <is>
          <t>Argamassa ACIII</t>
        </is>
      </c>
      <c r="E2392" s="11">
        <f t="array" ref="E2392">_xlfn.XLOOKUP(D2392,Insumos!B:B,Insumos!C:$C)</f>
        <v/>
      </c>
      <c r="F2392" s="14" t="n">
        <v>8.800000000000001</v>
      </c>
      <c r="G2392" s="92">
        <f t="array" ref="G2392">IF(B2392="insumo",_xlfn.XLOOKUP($D2392,Insumos!$B$1:$B$996,Insumos!$D$1:$D$996),"")</f>
        <v/>
      </c>
      <c r="H2392" s="92" t="n">
        <v>9.367599999999999</v>
      </c>
      <c r="I2392" s="2162" t="n">
        <v>0</v>
      </c>
      <c r="J2392" s="2162" t="n">
        <v>0</v>
      </c>
      <c r="K2392" s="2162" t="n"/>
    </row>
    <row r="2393" outlineLevel="3" ht="15.75" customHeight="1">
      <c r="A2393" s="10" t="n">
        <v>142</v>
      </c>
      <c r="B2393" s="10" t="inlineStr">
        <is>
          <t>Insumo</t>
        </is>
      </c>
      <c r="C2393" s="10" t="inlineStr">
        <is>
          <t>Revestimento de parede em porcelanato, placa 30x90cm</t>
        </is>
      </c>
      <c r="D2393" s="10" t="inlineStr">
        <is>
          <t>Espeçador junta piso 2mm</t>
        </is>
      </c>
      <c r="E2393" s="11">
        <f t="array" ref="E2393">_xlfn.XLOOKUP(D2393,Insumos!B:B,Insumos!C:$C)</f>
        <v/>
      </c>
      <c r="F2393" s="14" t="n">
        <v>2</v>
      </c>
      <c r="G2393" s="92">
        <f t="array" ref="G2393">IF(B2393="insumo",_xlfn.XLOOKUP($D2393,Insumos!$B$1:$B$996,Insumos!$D$1:$D$996),"")</f>
        <v/>
      </c>
      <c r="H2393" s="92" t="n">
        <v>0.16</v>
      </c>
      <c r="I2393" s="2162" t="n">
        <v>0</v>
      </c>
      <c r="J2393" s="2162" t="n">
        <v>0</v>
      </c>
      <c r="K2393" s="2162" t="n"/>
    </row>
    <row r="2394" outlineLevel="3" ht="15.75" customHeight="1">
      <c r="A2394" s="10" t="n">
        <v>101</v>
      </c>
      <c r="B2394" s="10" t="inlineStr">
        <is>
          <t>Insumo</t>
        </is>
      </c>
      <c r="C2394" s="10" t="inlineStr">
        <is>
          <t>Revestimento de parede em porcelanato, placa 30x90cm</t>
        </is>
      </c>
      <c r="D2394" s="10" t="inlineStr">
        <is>
          <t>Rejunte Cimentício</t>
        </is>
      </c>
      <c r="E2394" s="11">
        <f t="array" ref="E2394">_xlfn.XLOOKUP(D2394,Insumos!B:B,Insumos!C:$C)</f>
        <v/>
      </c>
      <c r="F2394" s="14" t="n">
        <v>0.02</v>
      </c>
      <c r="G2394" s="92">
        <f t="array" ref="G2394">IF(B2394="insumo",_xlfn.XLOOKUP($D2394,Insumos!$B$1:$B$996,Insumos!$D$1:$D$996),"")</f>
        <v/>
      </c>
      <c r="H2394" s="92" t="n">
        <v>0.223</v>
      </c>
      <c r="I2394" s="2162" t="n">
        <v>0</v>
      </c>
      <c r="J2394" s="2162" t="n">
        <v>0</v>
      </c>
      <c r="K2394" s="2162" t="n"/>
    </row>
    <row r="2395" outlineLevel="2" ht="15.75" customHeight="1">
      <c r="A2395" s="1067" t="n">
        <v>1</v>
      </c>
      <c r="B2395" s="1067" t="inlineStr">
        <is>
          <t>Serviço</t>
        </is>
      </c>
      <c r="C2395" s="1067" t="inlineStr">
        <is>
          <t>Revestimento de parede em porcelanato, placa 30x60cm</t>
        </is>
      </c>
      <c r="D2395" s="1067" t="inlineStr">
        <is>
          <t>Revestimento de parede em porcelanato, placa 30x60cm</t>
        </is>
      </c>
      <c r="E2395" s="1068" t="inlineStr">
        <is>
          <t>M2</t>
        </is>
      </c>
      <c r="F2395" s="1067" t="n"/>
      <c r="G2395" s="1069">
        <f t="array" ref="G2395">IF(B2395="insumo",_xlfn.XLOOKUP($D2395,Insumos!$B$1:$B$996,Insumos!$D$1:$D$996),"")</f>
        <v/>
      </c>
      <c r="H2395" s="1069" t="n">
        <v>93.1306</v>
      </c>
      <c r="I2395" s="2161" t="n">
        <v>0</v>
      </c>
      <c r="J2395" s="2161" t="n">
        <v>0</v>
      </c>
      <c r="K2395" s="2161" t="n"/>
    </row>
    <row r="2396" outlineLevel="3" ht="15.75" customHeight="1">
      <c r="A2396" s="10" t="n">
        <v>2</v>
      </c>
      <c r="B2396" s="10" t="inlineStr">
        <is>
          <t>Insumo</t>
        </is>
      </c>
      <c r="C2396" s="10" t="inlineStr">
        <is>
          <t>Revestimento de parede em porcelanato, placa 30x60cm</t>
        </is>
      </c>
      <c r="D2396" s="10" t="inlineStr">
        <is>
          <t xml:space="preserve">Porcelanato A 30x60 Polido </t>
        </is>
      </c>
      <c r="E2396" s="11">
        <f t="array" ref="E2396">_xlfn.XLOOKUP(D2396,Insumos!B:B,Insumos!C:$C)</f>
        <v/>
      </c>
      <c r="F2396" s="14" t="n">
        <v>1.1</v>
      </c>
      <c r="G2396" s="92">
        <f t="array" ref="G2396">IF(B2396="insumo",_xlfn.XLOOKUP($D2396,Insumos!$B$1:$B$996,Insumos!$D$1:$D$996),"")</f>
        <v/>
      </c>
      <c r="H2396" s="92" t="n">
        <v>83.38</v>
      </c>
      <c r="I2396" s="2162" t="n">
        <v>0</v>
      </c>
      <c r="J2396" s="2162" t="n">
        <v>0</v>
      </c>
      <c r="K2396" s="2162" t="n"/>
    </row>
    <row r="2397" outlineLevel="3" ht="15.75" customHeight="1">
      <c r="A2397" s="10" t="n">
        <v>191</v>
      </c>
      <c r="B2397" s="10" t="inlineStr">
        <is>
          <t>Insumo</t>
        </is>
      </c>
      <c r="C2397" s="10" t="inlineStr">
        <is>
          <t>Revestimento de parede em porcelanato, placa 30x60cm</t>
        </is>
      </c>
      <c r="D2397" s="10" t="inlineStr">
        <is>
          <t>Argamassa ACIII</t>
        </is>
      </c>
      <c r="E2397" s="11">
        <f t="array" ref="E2397">_xlfn.XLOOKUP(D2397,Insumos!B:B,Insumos!C:$C)</f>
        <v/>
      </c>
      <c r="F2397" s="14" t="n">
        <v>8.800000000000001</v>
      </c>
      <c r="G2397" s="92">
        <f t="array" ref="G2397">IF(B2397="insumo",_xlfn.XLOOKUP($D2397,Insumos!$B$1:$B$996,Insumos!$D$1:$D$996),"")</f>
        <v/>
      </c>
      <c r="H2397" s="92" t="n">
        <v>9.367599999999999</v>
      </c>
      <c r="I2397" s="2162" t="n">
        <v>0</v>
      </c>
      <c r="J2397" s="2162" t="n">
        <v>0</v>
      </c>
      <c r="K2397" s="2162" t="n"/>
    </row>
    <row r="2398" outlineLevel="3" ht="15.75" customHeight="1">
      <c r="A2398" s="10" t="n">
        <v>142</v>
      </c>
      <c r="B2398" s="10" t="inlineStr">
        <is>
          <t>Insumo</t>
        </is>
      </c>
      <c r="C2398" s="10" t="inlineStr">
        <is>
          <t>Revestimento de parede em porcelanato, placa 30x60cm</t>
        </is>
      </c>
      <c r="D2398" s="10" t="inlineStr">
        <is>
          <t>Espeçador junta piso 2mm</t>
        </is>
      </c>
      <c r="E2398" s="11">
        <f t="array" ref="E2398">_xlfn.XLOOKUP(D2398,Insumos!B:B,Insumos!C:$C)</f>
        <v/>
      </c>
      <c r="F2398" s="14" t="n">
        <v>2</v>
      </c>
      <c r="G2398" s="92">
        <f t="array" ref="G2398">IF(B2398="insumo",_xlfn.XLOOKUP($D2398,Insumos!$B$1:$B$996,Insumos!$D$1:$D$996),"")</f>
        <v/>
      </c>
      <c r="H2398" s="92" t="n">
        <v>0.16</v>
      </c>
      <c r="I2398" s="2162" t="n">
        <v>0</v>
      </c>
      <c r="J2398" s="2162" t="n">
        <v>0</v>
      </c>
      <c r="K2398" s="2162" t="n"/>
    </row>
    <row r="2399" outlineLevel="3" ht="15.75" customHeight="1">
      <c r="A2399" s="10" t="n">
        <v>101</v>
      </c>
      <c r="B2399" s="10" t="inlineStr">
        <is>
          <t>Insumo</t>
        </is>
      </c>
      <c r="C2399" s="10" t="inlineStr">
        <is>
          <t>Revestimento de parede em porcelanato, placa 30x60cm</t>
        </is>
      </c>
      <c r="D2399" s="10" t="inlineStr">
        <is>
          <t>Rejunte Cimentício</t>
        </is>
      </c>
      <c r="E2399" s="11">
        <f t="array" ref="E2399">_xlfn.XLOOKUP(D2399,Insumos!B:B,Insumos!C:$C)</f>
        <v/>
      </c>
      <c r="F2399" s="14" t="n">
        <v>0.02</v>
      </c>
      <c r="G2399" s="92">
        <f t="array" ref="G2399">IF(B2399="insumo",_xlfn.XLOOKUP($D2399,Insumos!$B$1:$B$996,Insumos!$D$1:$D$996),"")</f>
        <v/>
      </c>
      <c r="H2399" s="92" t="n">
        <v>0.223</v>
      </c>
      <c r="I2399" s="2162" t="n">
        <v>0</v>
      </c>
      <c r="J2399" s="2162" t="n">
        <v>0</v>
      </c>
      <c r="K2399" s="2162" t="n"/>
    </row>
    <row r="2400" outlineLevel="2" ht="15.75" customHeight="1">
      <c r="A2400" s="1067" t="n">
        <v>1</v>
      </c>
      <c r="B2400" s="1067" t="inlineStr">
        <is>
          <t>Serviço</t>
        </is>
      </c>
      <c r="C2400" s="1067" t="inlineStr">
        <is>
          <t>Revestimento de parede em porcelanato, Revestimento Realce 32X56 32001 Branco Brilhante</t>
        </is>
      </c>
      <c r="D2400" s="1067" t="inlineStr">
        <is>
          <t>Revestimento de parede em porcelanato, Revestimento Realce 32X56 32001 Branco Brilhante</t>
        </is>
      </c>
      <c r="E2400" s="1068" t="inlineStr">
        <is>
          <t>M2</t>
        </is>
      </c>
      <c r="F2400" s="1067" t="n"/>
      <c r="G2400" s="1069">
        <f t="array" ref="G2400">IF(B2400="insumo",_xlfn.XLOOKUP($D2400,Insumos!$B$1:$B$996,Insumos!$D$1:$D$996),"")</f>
        <v/>
      </c>
      <c r="H2400" s="1069" t="n">
        <v>62.3306</v>
      </c>
      <c r="I2400" s="2161" t="n">
        <v>0</v>
      </c>
      <c r="J2400" s="2161" t="n">
        <v>0</v>
      </c>
      <c r="K2400" s="2161" t="n"/>
    </row>
    <row r="2401" outlineLevel="3" ht="15.75" customHeight="1">
      <c r="A2401" s="10" t="n">
        <v>1</v>
      </c>
      <c r="B2401" s="10" t="inlineStr">
        <is>
          <t>Insumo</t>
        </is>
      </c>
      <c r="C2401" s="10" t="inlineStr">
        <is>
          <t>Revestimento de parede em porcelanato, Revestimento Realce 32X56 32001 Branco Brilhante</t>
        </is>
      </c>
      <c r="D2401" s="10" t="inlineStr">
        <is>
          <t>Revestimento Realce 32X56 32001 Branco Brilhante</t>
        </is>
      </c>
      <c r="E2401" s="11">
        <f t="array" ref="E2401">_xlfn.XLOOKUP(D2401,Insumos!B:B,Insumos!C:$C)</f>
        <v/>
      </c>
      <c r="F2401" s="14" t="n">
        <v>1.1</v>
      </c>
      <c r="G2401" s="92">
        <f t="array" ref="G2401">IF(B2401="insumo",_xlfn.XLOOKUP($D2401,Insumos!$B$1:$B$996,Insumos!$D$1:$D$996),"")</f>
        <v/>
      </c>
      <c r="H2401" s="92" t="n">
        <v>52.58</v>
      </c>
      <c r="I2401" s="2162" t="n">
        <v>0</v>
      </c>
      <c r="J2401" s="2162" t="n">
        <v>0</v>
      </c>
      <c r="K2401" s="2162" t="n"/>
    </row>
    <row r="2402" outlineLevel="3" ht="15.75" customHeight="1">
      <c r="A2402" s="10" t="n">
        <v>191</v>
      </c>
      <c r="B2402" s="10" t="inlineStr">
        <is>
          <t>Insumo</t>
        </is>
      </c>
      <c r="C2402" s="10" t="inlineStr">
        <is>
          <t>Revestimento de parede em porcelanato, Revestimento Realce 32X56 32001 Branco Brilhante</t>
        </is>
      </c>
      <c r="D2402" s="10" t="inlineStr">
        <is>
          <t>Argamassa ACIII</t>
        </is>
      </c>
      <c r="E2402" s="11">
        <f t="array" ref="E2402">_xlfn.XLOOKUP(D2402,Insumos!B:B,Insumos!C:$C)</f>
        <v/>
      </c>
      <c r="F2402" s="14" t="n">
        <v>8.800000000000001</v>
      </c>
      <c r="G2402" s="92">
        <f t="array" ref="G2402">IF(B2402="insumo",_xlfn.XLOOKUP($D2402,Insumos!$B$1:$B$996,Insumos!$D$1:$D$996),"")</f>
        <v/>
      </c>
      <c r="H2402" s="92" t="n">
        <v>9.367599999999999</v>
      </c>
      <c r="I2402" s="2162" t="n">
        <v>0</v>
      </c>
      <c r="J2402" s="2162" t="n">
        <v>0</v>
      </c>
      <c r="K2402" s="2162" t="n"/>
    </row>
    <row r="2403" outlineLevel="3" ht="15.75" customHeight="1">
      <c r="A2403" s="10" t="n">
        <v>142</v>
      </c>
      <c r="B2403" s="10" t="inlineStr">
        <is>
          <t>Insumo</t>
        </is>
      </c>
      <c r="C2403" s="10" t="inlineStr">
        <is>
          <t>Revestimento de parede em porcelanato, Revestimento Realce 32X56 32001 Branco Brilhante</t>
        </is>
      </c>
      <c r="D2403" s="10" t="inlineStr">
        <is>
          <t>Espeçador junta piso 2mm</t>
        </is>
      </c>
      <c r="E2403" s="11">
        <f t="array" ref="E2403">_xlfn.XLOOKUP(D2403,Insumos!B:B,Insumos!C:$C)</f>
        <v/>
      </c>
      <c r="F2403" s="14" t="n">
        <v>2</v>
      </c>
      <c r="G2403" s="92">
        <f t="array" ref="G2403">IF(B2403="insumo",_xlfn.XLOOKUP($D2403,Insumos!$B$1:$B$996,Insumos!$D$1:$D$996),"")</f>
        <v/>
      </c>
      <c r="H2403" s="92" t="n">
        <v>0.16</v>
      </c>
      <c r="I2403" s="2162" t="n">
        <v>0</v>
      </c>
      <c r="J2403" s="2162" t="n">
        <v>0</v>
      </c>
      <c r="K2403" s="2162" t="n"/>
    </row>
    <row r="2404" outlineLevel="3" ht="15.75" customHeight="1">
      <c r="A2404" s="10" t="n">
        <v>101</v>
      </c>
      <c r="B2404" s="10" t="inlineStr">
        <is>
          <t>Insumo</t>
        </is>
      </c>
      <c r="C2404" s="10" t="inlineStr">
        <is>
          <t>Revestimento de parede em porcelanato, Revestimento Realce 32X56 32001 Branco Brilhante</t>
        </is>
      </c>
      <c r="D2404" s="10" t="inlineStr">
        <is>
          <t>Rejunte Cimentício</t>
        </is>
      </c>
      <c r="E2404" s="11">
        <f t="array" ref="E2404">_xlfn.XLOOKUP(D2404,Insumos!B:B,Insumos!C:$C)</f>
        <v/>
      </c>
      <c r="F2404" s="14" t="n">
        <v>0.02</v>
      </c>
      <c r="G2404" s="92">
        <f t="array" ref="G2404">IF(B2404="insumo",_xlfn.XLOOKUP($D2404,Insumos!$B$1:$B$996,Insumos!$D$1:$D$996),"")</f>
        <v/>
      </c>
      <c r="H2404" s="92" t="n">
        <v>0.223</v>
      </c>
      <c r="I2404" s="2162" t="n">
        <v>0</v>
      </c>
      <c r="J2404" s="2162" t="n">
        <v>0</v>
      </c>
      <c r="K2404" s="2162" t="n"/>
    </row>
    <row r="2405" outlineLevel="2" ht="15.75" customHeight="1">
      <c r="A2405" s="1067" t="n">
        <v>1</v>
      </c>
      <c r="B2405" s="1067" t="inlineStr">
        <is>
          <t>Serviço</t>
        </is>
      </c>
      <c r="C2405" s="1067" t="inlineStr">
        <is>
          <t>Revestimento de parede em Porcelanato Biancogres Ripa Sense 45x90 Acetinado</t>
        </is>
      </c>
      <c r="D2405" s="1067" t="inlineStr">
        <is>
          <t>Revestimento de parede em Porcelanato Biancogres Ripa Sense 45x90 Acetinado</t>
        </is>
      </c>
      <c r="E2405" s="1068" t="inlineStr">
        <is>
          <t>M2</t>
        </is>
      </c>
      <c r="F2405" s="1067" t="n"/>
      <c r="G2405" s="1069">
        <f t="array" ref="G2405">IF(B2405="insumo",_xlfn.XLOOKUP($D2405,Insumos!$B$1:$B$996,Insumos!$D$1:$D$996),"")</f>
        <v/>
      </c>
      <c r="H2405" s="1069" t="n">
        <v>104.2406</v>
      </c>
      <c r="I2405" s="2161" t="n">
        <v>0</v>
      </c>
      <c r="J2405" s="2161" t="n">
        <v>0</v>
      </c>
      <c r="K2405" s="2161" t="n"/>
    </row>
    <row r="2406" outlineLevel="3" ht="15.75" customHeight="1">
      <c r="A2406" s="10" t="n">
        <v>1</v>
      </c>
      <c r="B2406" s="10" t="inlineStr">
        <is>
          <t>Insumo</t>
        </is>
      </c>
      <c r="C2406" s="10" t="inlineStr">
        <is>
          <t>Revestimento de parede em Porcelanato Biancogres Ripa Sense 45x90 Acetinado</t>
        </is>
      </c>
      <c r="D2406" s="10" t="inlineStr">
        <is>
          <t>Porcelanato Biancogres Ripa Sense 45x90 Acetinado</t>
        </is>
      </c>
      <c r="E2406" s="11">
        <f t="array" ref="E2406">_xlfn.XLOOKUP(D2406,Insumos!B:B,Insumos!C:$C)</f>
        <v/>
      </c>
      <c r="F2406" s="14" t="n">
        <v>1.1</v>
      </c>
      <c r="G2406" s="92">
        <f t="array" ref="G2406">IF(B2406="insumo",_xlfn.XLOOKUP($D2406,Insumos!$B$1:$B$996,Insumos!$D$1:$D$996),"")</f>
        <v/>
      </c>
      <c r="H2406" s="92" t="n">
        <v>94.48999999999999</v>
      </c>
      <c r="I2406" s="2162" t="n">
        <v>0</v>
      </c>
      <c r="J2406" s="2162" t="n">
        <v>0</v>
      </c>
      <c r="K2406" s="2162" t="n"/>
    </row>
    <row r="2407" outlineLevel="3" ht="15.75" customHeight="1">
      <c r="A2407" s="10" t="n">
        <v>191</v>
      </c>
      <c r="B2407" s="10" t="inlineStr">
        <is>
          <t>Insumo</t>
        </is>
      </c>
      <c r="C2407" s="10" t="inlineStr">
        <is>
          <t>Revestimento de parede em Porcelanato Biancogres Ripa Sense 45x90 Acetinado</t>
        </is>
      </c>
      <c r="D2407" s="10" t="inlineStr">
        <is>
          <t>Argamassa ACIII</t>
        </is>
      </c>
      <c r="E2407" s="11">
        <f t="array" ref="E2407">_xlfn.XLOOKUP(D2407,Insumos!B:B,Insumos!C:$C)</f>
        <v/>
      </c>
      <c r="F2407" s="14" t="n">
        <v>8.800000000000001</v>
      </c>
      <c r="G2407" s="92">
        <f t="array" ref="G2407">IF(B2407="insumo",_xlfn.XLOOKUP($D2407,Insumos!$B$1:$B$996,Insumos!$D$1:$D$996),"")</f>
        <v/>
      </c>
      <c r="H2407" s="92" t="n">
        <v>9.367599999999999</v>
      </c>
      <c r="I2407" s="2162" t="n">
        <v>0</v>
      </c>
      <c r="J2407" s="2162" t="n">
        <v>0</v>
      </c>
      <c r="K2407" s="2162" t="n"/>
    </row>
    <row r="2408" outlineLevel="3" ht="15.75" customHeight="1">
      <c r="A2408" s="10" t="n">
        <v>142</v>
      </c>
      <c r="B2408" s="10" t="inlineStr">
        <is>
          <t>Insumo</t>
        </is>
      </c>
      <c r="C2408" s="10" t="inlineStr">
        <is>
          <t>Revestimento de parede em Porcelanato Biancogres Ripa Sense 45x90 Acetinado</t>
        </is>
      </c>
      <c r="D2408" s="10" t="inlineStr">
        <is>
          <t>Espeçador junta piso 2mm</t>
        </is>
      </c>
      <c r="E2408" s="11">
        <f t="array" ref="E2408">_xlfn.XLOOKUP(D2408,Insumos!B:B,Insumos!C:$C)</f>
        <v/>
      </c>
      <c r="F2408" s="14" t="n">
        <v>2</v>
      </c>
      <c r="G2408" s="92">
        <f t="array" ref="G2408">IF(B2408="insumo",_xlfn.XLOOKUP($D2408,Insumos!$B$1:$B$996,Insumos!$D$1:$D$996),"")</f>
        <v/>
      </c>
      <c r="H2408" s="92" t="n">
        <v>0.16</v>
      </c>
      <c r="I2408" s="2162" t="n">
        <v>0</v>
      </c>
      <c r="J2408" s="2162" t="n">
        <v>0</v>
      </c>
      <c r="K2408" s="2162" t="n"/>
    </row>
    <row r="2409" outlineLevel="3" ht="15.75" customHeight="1">
      <c r="A2409" s="10" t="n">
        <v>101</v>
      </c>
      <c r="B2409" s="10" t="inlineStr">
        <is>
          <t>Insumo</t>
        </is>
      </c>
      <c r="C2409" s="10" t="inlineStr">
        <is>
          <t>Revestimento de parede em Porcelanato Biancogres Ripa Sense 45x90 Acetinado</t>
        </is>
      </c>
      <c r="D2409" s="10" t="inlineStr">
        <is>
          <t>Rejunte Cimentício</t>
        </is>
      </c>
      <c r="E2409" s="11">
        <f t="array" ref="E2409">_xlfn.XLOOKUP(D2409,Insumos!B:B,Insumos!C:$C)</f>
        <v/>
      </c>
      <c r="F2409" s="14" t="n">
        <v>0.02</v>
      </c>
      <c r="G2409" s="92">
        <f t="array" ref="G2409">IF(B2409="insumo",_xlfn.XLOOKUP($D2409,Insumos!$B$1:$B$996,Insumos!$D$1:$D$996),"")</f>
        <v/>
      </c>
      <c r="H2409" s="92" t="n">
        <v>0.223</v>
      </c>
      <c r="I2409" s="2162" t="n">
        <v>0</v>
      </c>
      <c r="J2409" s="2162" t="n">
        <v>0</v>
      </c>
      <c r="K2409" s="2162" t="n"/>
    </row>
    <row r="2410" outlineLevel="2" ht="15.75" customHeight="1">
      <c r="A2410" s="1067" t="n">
        <v>1</v>
      </c>
      <c r="B2410" s="1067" t="inlineStr">
        <is>
          <t>Serviço</t>
        </is>
      </c>
      <c r="C2410" s="1067" t="inlineStr">
        <is>
          <t>Revestimento de parede em Porcelanato 75x75cm Cedasa Retificado Evidence Polido</t>
        </is>
      </c>
      <c r="D2410" s="1067" t="inlineStr">
        <is>
          <t>Revestimento de parede em Porcelanato 75x75cm Cedasa Retificado Evidence Polido</t>
        </is>
      </c>
      <c r="E2410" s="1068" t="inlineStr">
        <is>
          <t>M2</t>
        </is>
      </c>
      <c r="F2410" s="1067" t="n"/>
      <c r="G2410" s="1069">
        <f t="array" ref="G2410">IF(B2410="insumo",_xlfn.XLOOKUP($D2410,Insumos!$B$1:$B$996,Insumos!$D$1:$D$996),"")</f>
        <v/>
      </c>
      <c r="H2410" s="1069" t="n">
        <v>167.4641</v>
      </c>
      <c r="I2410" s="2161" t="n">
        <v>0</v>
      </c>
      <c r="J2410" s="2161" t="n">
        <v>0</v>
      </c>
      <c r="K2410" s="2161" t="n"/>
    </row>
    <row r="2411" outlineLevel="3" ht="15.75" customHeight="1">
      <c r="A2411" s="10" t="n">
        <v>2</v>
      </c>
      <c r="B2411" s="10" t="inlineStr">
        <is>
          <t>Insumo</t>
        </is>
      </c>
      <c r="C2411" s="10" t="inlineStr">
        <is>
          <t>Revestimento de parede em Porcelanato 75x75cm Cedasa Retificado Evidence Polido</t>
        </is>
      </c>
      <c r="D2411" s="10" t="inlineStr">
        <is>
          <t>Piso 75x75cm Cedasa Retificado Evidence Polido</t>
        </is>
      </c>
      <c r="E2411" s="11">
        <f t="array" ref="E2411">_xlfn.XLOOKUP(D2411,Insumos!B:B,Insumos!C:$C)</f>
        <v/>
      </c>
      <c r="F2411" s="14" t="n">
        <v>1.1</v>
      </c>
      <c r="G2411" s="92">
        <f t="array" ref="G2411">IF(B2411="insumo",_xlfn.XLOOKUP($D2411,Insumos!$B$1:$B$996,Insumos!$D$1:$D$996),"")</f>
        <v/>
      </c>
      <c r="H2411" s="92" t="n">
        <v>157.905</v>
      </c>
      <c r="I2411" s="2162" t="n">
        <v>0</v>
      </c>
      <c r="J2411" s="2162" t="n">
        <v>0</v>
      </c>
      <c r="K2411" s="2162" t="n"/>
    </row>
    <row r="2412" outlineLevel="3" ht="15.75" customHeight="1">
      <c r="A2412" s="10" t="n">
        <v>191</v>
      </c>
      <c r="B2412" s="10" t="inlineStr">
        <is>
          <t>Insumo</t>
        </is>
      </c>
      <c r="C2412" s="10" t="inlineStr">
        <is>
          <t>Revestimento de parede em Porcelanato 75x75cm Cedasa Retificado Evidence Polido</t>
        </is>
      </c>
      <c r="D2412" s="10" t="inlineStr">
        <is>
          <t>Argamassa ACIII</t>
        </is>
      </c>
      <c r="E2412" s="11">
        <f t="array" ref="E2412">_xlfn.XLOOKUP(D2412,Insumos!B:B,Insumos!C:$C)</f>
        <v/>
      </c>
      <c r="F2412" s="14" t="n">
        <v>8.800000000000001</v>
      </c>
      <c r="G2412" s="92">
        <f t="array" ref="G2412">IF(B2412="insumo",_xlfn.XLOOKUP($D2412,Insumos!$B$1:$B$996,Insumos!$D$1:$D$996),"")</f>
        <v/>
      </c>
      <c r="H2412" s="92" t="n">
        <v>9.367599999999999</v>
      </c>
      <c r="I2412" s="2162" t="n">
        <v>0</v>
      </c>
      <c r="J2412" s="2162" t="n">
        <v>0</v>
      </c>
      <c r="K2412" s="2162">
        <f>110.81*18</f>
        <v/>
      </c>
    </row>
    <row r="2413" outlineLevel="3" ht="15.75" customHeight="1">
      <c r="A2413" s="10" t="n">
        <v>142</v>
      </c>
      <c r="B2413" s="10" t="inlineStr">
        <is>
          <t>Insumo</t>
        </is>
      </c>
      <c r="C2413" s="10" t="inlineStr">
        <is>
          <t>Revestimento de parede em Porcelanato 75x75cm Cedasa Retificado Evidence Polido</t>
        </is>
      </c>
      <c r="D2413" s="10" t="inlineStr">
        <is>
          <t>Espeçador junta piso 2mm</t>
        </is>
      </c>
      <c r="E2413" s="11">
        <f t="array" ref="E2413">_xlfn.XLOOKUP(D2413,Insumos!B:B,Insumos!C:$C)</f>
        <v/>
      </c>
      <c r="F2413" s="14" t="n">
        <v>1</v>
      </c>
      <c r="G2413" s="92">
        <f t="array" ref="G2413">IF(B2413="insumo",_xlfn.XLOOKUP($D2413,Insumos!$B$1:$B$996,Insumos!$D$1:$D$996),"")</f>
        <v/>
      </c>
      <c r="H2413" s="92" t="n">
        <v>0.08</v>
      </c>
      <c r="I2413" s="2162" t="n">
        <v>0</v>
      </c>
      <c r="J2413" s="2162" t="n">
        <v>0</v>
      </c>
      <c r="K2413" s="2162" t="n"/>
    </row>
    <row r="2414" outlineLevel="3" ht="15.75" customHeight="1">
      <c r="A2414" s="10" t="n">
        <v>101</v>
      </c>
      <c r="B2414" s="10" t="inlineStr">
        <is>
          <t>Insumo</t>
        </is>
      </c>
      <c r="C2414" s="10" t="inlineStr">
        <is>
          <t>Revestimento de parede em Porcelanato 75x75cm Cedasa Retificado Evidence Polido</t>
        </is>
      </c>
      <c r="D2414" s="10" t="inlineStr">
        <is>
          <t>Rejunte Cimentício</t>
        </is>
      </c>
      <c r="E2414" s="11">
        <f t="array" ref="E2414">_xlfn.XLOOKUP(D2414,Insumos!B:B,Insumos!C:$C)</f>
        <v/>
      </c>
      <c r="F2414" s="14" t="n">
        <v>0.01</v>
      </c>
      <c r="G2414" s="92">
        <f t="array" ref="G2414">IF(B2414="insumo",_xlfn.XLOOKUP($D2414,Insumos!$B$1:$B$996,Insumos!$D$1:$D$996),"")</f>
        <v/>
      </c>
      <c r="H2414" s="92" t="n">
        <v>0.1115</v>
      </c>
      <c r="I2414" s="2162" t="n">
        <v>0</v>
      </c>
      <c r="J2414" s="2162" t="n">
        <v>0</v>
      </c>
      <c r="K2414" s="2162" t="n"/>
    </row>
    <row r="2415" outlineLevel="2" ht="15.75" customHeight="1">
      <c r="A2415" s="1067" t="n">
        <v>1</v>
      </c>
      <c r="B2415" s="1067" t="inlineStr">
        <is>
          <t>Serviço</t>
        </is>
      </c>
      <c r="C2415" s="1067" t="inlineStr">
        <is>
          <t>Revestimento de parede em Porcelanato Portobello – Posto 10 90x90 Externo Retificado - Linha Ipanema - Padrão Alto</t>
        </is>
      </c>
      <c r="D2415" s="1067" t="inlineStr">
        <is>
          <t>Revestimento de parede em Porcelanato Portobello – Posto 10 90x90 Externo Retificado - Linha Ipanema - Padrão Alto</t>
        </is>
      </c>
      <c r="E2415" s="1068" t="inlineStr">
        <is>
          <t>M2</t>
        </is>
      </c>
      <c r="F2415" s="1067" t="n"/>
      <c r="G2415" s="1069">
        <f t="array" ref="G2415">IF(B2415="insumo",_xlfn.XLOOKUP($D2415,Insumos!$B$1:$B$996,Insumos!$D$1:$D$996),"")</f>
        <v/>
      </c>
      <c r="H2415" s="1069" t="n">
        <v>229.8276</v>
      </c>
      <c r="I2415" s="2161" t="e">
        <v>#REF!</v>
      </c>
      <c r="J2415" s="2161" t="e">
        <v>#REF!</v>
      </c>
      <c r="K2415" s="2161" t="n"/>
    </row>
    <row r="2416" outlineLevel="3" ht="15.75" customHeight="1">
      <c r="A2416" s="10" t="n">
        <v>2</v>
      </c>
      <c r="B2416" s="10" t="inlineStr">
        <is>
          <t>Insumo</t>
        </is>
      </c>
      <c r="C2416" s="10" t="inlineStr">
        <is>
          <t>Revestimento de parede em Porcelanato Portobello – Posto 10 90x90 Externo Retificado - Linha Ipanema - Padrão Alto</t>
        </is>
      </c>
      <c r="D2416" s="10" t="inlineStr">
        <is>
          <t>Porcelanato Portobello – Posto 10 90x90 Externo Retificado - Linha Ipanema - Padrão Alto</t>
        </is>
      </c>
      <c r="E2416" s="11">
        <f t="array" ref="E2416">_xlfn.XLOOKUP(D2416,Insumos!B:B,Insumos!C:$C)</f>
        <v/>
      </c>
      <c r="F2416" s="14" t="n">
        <v>1.1</v>
      </c>
      <c r="G2416" s="92">
        <f t="array" ref="G2416">IF(B2416="insumo",_xlfn.XLOOKUP($D2416,Insumos!$B$1:$B$996,Insumos!$D$1:$D$996),"")</f>
        <v/>
      </c>
      <c r="H2416" s="92" t="n">
        <v>220</v>
      </c>
      <c r="I2416" s="2162" t="e">
        <v>#REF!</v>
      </c>
      <c r="J2416" s="2162" t="e">
        <v>#REF!</v>
      </c>
      <c r="K2416" s="2162" t="n"/>
    </row>
    <row r="2417" outlineLevel="3" ht="15.75" customHeight="1">
      <c r="A2417" s="10" t="n">
        <v>191</v>
      </c>
      <c r="B2417" s="10" t="inlineStr">
        <is>
          <t>Insumo</t>
        </is>
      </c>
      <c r="C2417" s="10" t="inlineStr">
        <is>
          <t>Revestimento de parede em Porcelanato Portobello – Posto 10 90x90 Externo Retificado - Linha Ipanema - Padrão Alto</t>
        </is>
      </c>
      <c r="D2417" s="10" t="inlineStr">
        <is>
          <t>Argamassa ACIII</t>
        </is>
      </c>
      <c r="E2417" s="11">
        <f t="array" ref="E2417">_xlfn.XLOOKUP(D2417,Insumos!B:B,Insumos!C:$C)</f>
        <v/>
      </c>
      <c r="F2417" s="14" t="n">
        <v>8.800000000000001</v>
      </c>
      <c r="G2417" s="92">
        <f t="array" ref="G2417">IF(B2417="insumo",_xlfn.XLOOKUP($D2417,Insumos!$B$1:$B$996,Insumos!$D$1:$D$996),"")</f>
        <v/>
      </c>
      <c r="H2417" s="92" t="n">
        <v>9.367599999999999</v>
      </c>
      <c r="I2417" s="2162" t="e">
        <v>#REF!</v>
      </c>
      <c r="J2417" s="2162" t="e">
        <v>#REF!</v>
      </c>
      <c r="K2417" s="2162" t="n"/>
    </row>
    <row r="2418" outlineLevel="3" ht="15.75" customHeight="1">
      <c r="A2418" s="10" t="n">
        <v>142</v>
      </c>
      <c r="B2418" s="10" t="inlineStr">
        <is>
          <t>Insumo</t>
        </is>
      </c>
      <c r="C2418" s="10" t="inlineStr">
        <is>
          <t>Revestimento de parede em Porcelanato Portobello – Posto 10 90x90 Externo Retificado - Linha Ipanema - Padrão Alto</t>
        </is>
      </c>
      <c r="D2418" s="10" t="inlineStr">
        <is>
          <t>Espeçador junta piso 2mm</t>
        </is>
      </c>
      <c r="E2418" s="11">
        <f t="array" ref="E2418">_xlfn.XLOOKUP(D2418,Insumos!B:B,Insumos!C:$C)</f>
        <v/>
      </c>
      <c r="F2418" s="14" t="n">
        <v>1</v>
      </c>
      <c r="G2418" s="92">
        <f t="array" ref="G2418">IF(B2418="insumo",_xlfn.XLOOKUP($D2418,Insumos!$B$1:$B$996,Insumos!$D$1:$D$996),"")</f>
        <v/>
      </c>
      <c r="H2418" s="92" t="n">
        <v>0.08</v>
      </c>
      <c r="I2418" s="2162" t="e">
        <v>#REF!</v>
      </c>
      <c r="J2418" s="2162" t="e">
        <v>#REF!</v>
      </c>
      <c r="K2418" s="2162" t="n"/>
    </row>
    <row r="2419" outlineLevel="3" ht="15.75" customHeight="1">
      <c r="A2419" s="10" t="n">
        <v>36</v>
      </c>
      <c r="B2419" s="10" t="inlineStr">
        <is>
          <t>Insumo</t>
        </is>
      </c>
      <c r="C2419" s="82" t="inlineStr">
        <is>
          <t>Revestimento de parede em Porcelanato Portobello – Posto 10 90x90 Externo Retificado - Linha Ipanema - Padrão Alto</t>
        </is>
      </c>
      <c r="D2419" s="82" t="inlineStr">
        <is>
          <t>Rejunte Acrilico cinza platina</t>
        </is>
      </c>
      <c r="E2419" s="11">
        <f t="array" ref="E2419">_xlfn.XLOOKUP(D2419,Insumos!B:B,Insumos!C:$C)</f>
        <v/>
      </c>
      <c r="F2419" s="14" t="n">
        <v>0.01</v>
      </c>
      <c r="G2419" s="92">
        <f t="array" ref="G2419">IF(B2419="insumo",_xlfn.XLOOKUP($D2419,Insumos!$B$1:$B$996,Insumos!$D$1:$D$996),"")</f>
        <v/>
      </c>
      <c r="H2419" s="92" t="n">
        <v>0.38</v>
      </c>
      <c r="I2419" s="2162" t="e">
        <v>#REF!</v>
      </c>
      <c r="J2419" s="2162" t="e">
        <v>#REF!</v>
      </c>
      <c r="K2419" s="2162" t="n"/>
    </row>
    <row r="2420" outlineLevel="2" ht="15.75" customHeight="1">
      <c r="A2420" s="1067" t="n">
        <v>1</v>
      </c>
      <c r="B2420" s="1067" t="inlineStr">
        <is>
          <t>Serviço</t>
        </is>
      </c>
      <c r="C2420" s="1067" t="inlineStr">
        <is>
          <t>Revestimento de parede em Porcelanato Portobello –  90x90 - Padrão Alto</t>
        </is>
      </c>
      <c r="D2420" s="1067" t="inlineStr">
        <is>
          <t>Revestimento de parede em Porcelanato Portobello –  90x90 - Padrão Alto</t>
        </is>
      </c>
      <c r="E2420" s="1068" t="inlineStr">
        <is>
          <t>M2</t>
        </is>
      </c>
      <c r="F2420" s="1067" t="n"/>
      <c r="G2420" s="1069">
        <f t="array" ref="G2420">IF(B2420="insumo",_xlfn.XLOOKUP($D2420,Insumos!$B$1:$B$996,Insumos!$D$1:$D$996),"")</f>
        <v/>
      </c>
      <c r="H2420" s="1069" t="n">
        <v>141.8276</v>
      </c>
      <c r="I2420" s="2161" t="e">
        <v>#REF!</v>
      </c>
      <c r="J2420" s="2161" t="e">
        <v>#REF!</v>
      </c>
      <c r="K2420" s="2161" t="n"/>
    </row>
    <row r="2421" outlineLevel="3" ht="15.75" customHeight="1">
      <c r="A2421" s="10" t="n">
        <v>3</v>
      </c>
      <c r="B2421" s="10" t="inlineStr">
        <is>
          <t>Insumo</t>
        </is>
      </c>
      <c r="C2421" s="10" t="inlineStr">
        <is>
          <t>Revestimento de parede em Porcelanato Portobello –  90x90 - Padrão Alto</t>
        </is>
      </c>
      <c r="D2421" s="10" t="inlineStr">
        <is>
          <t>Porcelanato Portobello –  90x90 - Padrão Alto</t>
        </is>
      </c>
      <c r="E2421" s="11">
        <f t="array" ref="E2421">_xlfn.XLOOKUP(D2421,Insumos!B:B,Insumos!C:$C)</f>
        <v/>
      </c>
      <c r="F2421" s="14" t="n">
        <v>1.1</v>
      </c>
      <c r="G2421" s="92">
        <f t="array" ref="G2421">IF(B2421="insumo",_xlfn.XLOOKUP($D2421,Insumos!$B$1:$B$996,Insumos!$D$1:$D$996),"")</f>
        <v/>
      </c>
      <c r="H2421" s="92" t="n">
        <v>132</v>
      </c>
      <c r="I2421" s="2162" t="e">
        <v>#REF!</v>
      </c>
      <c r="J2421" s="2162" t="e">
        <v>#REF!</v>
      </c>
      <c r="K2421" s="2162" t="n"/>
    </row>
    <row r="2422" outlineLevel="3" ht="15.75" customHeight="1">
      <c r="A2422" s="10" t="n">
        <v>191</v>
      </c>
      <c r="B2422" s="10" t="inlineStr">
        <is>
          <t>Insumo</t>
        </is>
      </c>
      <c r="C2422" s="10" t="inlineStr">
        <is>
          <t>Revestimento de parede em Porcelanato Portobello –  90x90 - Padrão Alto</t>
        </is>
      </c>
      <c r="D2422" s="10" t="inlineStr">
        <is>
          <t>Argamassa ACIII</t>
        </is>
      </c>
      <c r="E2422" s="11">
        <f t="array" ref="E2422">_xlfn.XLOOKUP(D2422,Insumos!B:B,Insumos!C:$C)</f>
        <v/>
      </c>
      <c r="F2422" s="14" t="n">
        <v>8.800000000000001</v>
      </c>
      <c r="G2422" s="92">
        <f t="array" ref="G2422">IF(B2422="insumo",_xlfn.XLOOKUP($D2422,Insumos!$B$1:$B$996,Insumos!$D$1:$D$996),"")</f>
        <v/>
      </c>
      <c r="H2422" s="92" t="n">
        <v>9.367599999999999</v>
      </c>
      <c r="I2422" s="2162" t="e">
        <v>#REF!</v>
      </c>
      <c r="J2422" s="2162" t="e">
        <v>#REF!</v>
      </c>
      <c r="K2422" s="2162" t="n"/>
    </row>
    <row r="2423" outlineLevel="3" ht="15.75" customHeight="1">
      <c r="A2423" s="10" t="n">
        <v>142</v>
      </c>
      <c r="B2423" s="10" t="inlineStr">
        <is>
          <t>Insumo</t>
        </is>
      </c>
      <c r="C2423" s="10" t="inlineStr">
        <is>
          <t>Revestimento de parede em Porcelanato Portobello –  90x90 - Padrão Alto</t>
        </is>
      </c>
      <c r="D2423" s="10" t="inlineStr">
        <is>
          <t>Espeçador junta piso 2mm</t>
        </is>
      </c>
      <c r="E2423" s="11">
        <f t="array" ref="E2423">_xlfn.XLOOKUP(D2423,Insumos!B:B,Insumos!C:$C)</f>
        <v/>
      </c>
      <c r="F2423" s="14" t="n">
        <v>1</v>
      </c>
      <c r="G2423" s="92">
        <f t="array" ref="G2423">IF(B2423="insumo",_xlfn.XLOOKUP($D2423,Insumos!$B$1:$B$996,Insumos!$D$1:$D$996),"")</f>
        <v/>
      </c>
      <c r="H2423" s="92" t="n">
        <v>0.08</v>
      </c>
      <c r="I2423" s="2162" t="e">
        <v>#REF!</v>
      </c>
      <c r="J2423" s="2162" t="e">
        <v>#REF!</v>
      </c>
      <c r="K2423" s="2162" t="n"/>
    </row>
    <row r="2424" outlineLevel="3" ht="15.75" customHeight="1">
      <c r="A2424" s="10" t="n">
        <v>36</v>
      </c>
      <c r="B2424" s="10" t="inlineStr">
        <is>
          <t>Insumo</t>
        </is>
      </c>
      <c r="C2424" s="82" t="inlineStr">
        <is>
          <t>Revestimento de parede em Porcelanato Portobello –  90x90 - Padrão Alto</t>
        </is>
      </c>
      <c r="D2424" s="82" t="inlineStr">
        <is>
          <t>Rejunte Acrilico cinza platina</t>
        </is>
      </c>
      <c r="E2424" s="11">
        <f t="array" ref="E2424">_xlfn.XLOOKUP(D2424,Insumos!B:B,Insumos!C:$C)</f>
        <v/>
      </c>
      <c r="F2424" s="14" t="n">
        <v>0.01</v>
      </c>
      <c r="G2424" s="92">
        <f t="array" ref="G2424">IF(B2424="insumo",_xlfn.XLOOKUP($D2424,Insumos!$B$1:$B$996,Insumos!$D$1:$D$996),"")</f>
        <v/>
      </c>
      <c r="H2424" s="92" t="n">
        <v>0.38</v>
      </c>
      <c r="I2424" s="2162" t="e">
        <v>#REF!</v>
      </c>
      <c r="J2424" s="2162" t="e">
        <v>#REF!</v>
      </c>
      <c r="K2424" s="2162" t="n"/>
    </row>
    <row r="2425" outlineLevel="2" ht="15.75" customHeight="1">
      <c r="A2425" s="1067" t="n">
        <v>1</v>
      </c>
      <c r="B2425" s="1067" t="inlineStr">
        <is>
          <t>Serviço</t>
        </is>
      </c>
      <c r="C2425" s="1067" t="inlineStr">
        <is>
          <t>Revestimento de parede em Porcelanato Portobello –  90x90 - Padrão Econômico</t>
        </is>
      </c>
      <c r="D2425" s="1067" t="inlineStr">
        <is>
          <t>Revestimento de parede em Porcelanato Portobello –  90x90 - Padrão Econômico</t>
        </is>
      </c>
      <c r="E2425" s="1068" t="inlineStr">
        <is>
          <t>M2</t>
        </is>
      </c>
      <c r="F2425" s="1067" t="n"/>
      <c r="G2425" s="1069">
        <f t="array" ref="G2425">IF(B2425="insumo",_xlfn.XLOOKUP($D2425,Insumos!$B$1:$B$996,Insumos!$D$1:$D$996),"")</f>
        <v/>
      </c>
      <c r="H2425" s="1069" t="n">
        <v>117.6276</v>
      </c>
      <c r="I2425" s="2161" t="n">
        <v>0</v>
      </c>
      <c r="J2425" s="2161" t="n">
        <v>0</v>
      </c>
      <c r="K2425" s="2161" t="n"/>
    </row>
    <row r="2426" outlineLevel="3" ht="15.75" customHeight="1">
      <c r="A2426" s="10" t="n">
        <v>2</v>
      </c>
      <c r="B2426" s="10" t="inlineStr">
        <is>
          <t>Insumo</t>
        </is>
      </c>
      <c r="C2426" s="10" t="inlineStr">
        <is>
          <t>Revestimento de parede em Porcelanato Portobello –  90x90 - Padrão Econômico</t>
        </is>
      </c>
      <c r="D2426" s="10" t="inlineStr">
        <is>
          <t>Porcelanato Portobello –  90x90 - Padrão Econômico</t>
        </is>
      </c>
      <c r="E2426" s="11">
        <f t="array" ref="E2426">_xlfn.XLOOKUP(D2426,Insumos!B:B,Insumos!C:$C)</f>
        <v/>
      </c>
      <c r="F2426" s="14" t="n">
        <v>1.1</v>
      </c>
      <c r="G2426" s="92">
        <f t="array" ref="G2426">IF(B2426="insumo",_xlfn.XLOOKUP($D2426,Insumos!$B$1:$B$996,Insumos!$D$1:$D$996),"")</f>
        <v/>
      </c>
      <c r="H2426" s="92" t="n">
        <v>107.8</v>
      </c>
      <c r="I2426" s="2162" t="n">
        <v>0</v>
      </c>
      <c r="J2426" s="2162" t="n">
        <v>0</v>
      </c>
      <c r="K2426" s="2162" t="n"/>
    </row>
    <row r="2427" outlineLevel="3" ht="15.75" customHeight="1">
      <c r="A2427" s="10" t="n">
        <v>191</v>
      </c>
      <c r="B2427" s="10" t="inlineStr">
        <is>
          <t>Insumo</t>
        </is>
      </c>
      <c r="C2427" s="10" t="inlineStr">
        <is>
          <t>Revestimento de parede em Porcelanato Portobello –  90x90 - Padrão Econômico</t>
        </is>
      </c>
      <c r="D2427" s="10" t="inlineStr">
        <is>
          <t>Argamassa ACIII</t>
        </is>
      </c>
      <c r="E2427" s="11">
        <f t="array" ref="E2427">_xlfn.XLOOKUP(D2427,Insumos!B:B,Insumos!C:$C)</f>
        <v/>
      </c>
      <c r="F2427" s="14" t="n">
        <v>8.800000000000001</v>
      </c>
      <c r="G2427" s="92">
        <f t="array" ref="G2427">IF(B2427="insumo",_xlfn.XLOOKUP($D2427,Insumos!$B$1:$B$996,Insumos!$D$1:$D$996),"")</f>
        <v/>
      </c>
      <c r="H2427" s="92" t="n">
        <v>9.367599999999999</v>
      </c>
      <c r="I2427" s="2162" t="n">
        <v>0</v>
      </c>
      <c r="J2427" s="2162" t="n">
        <v>0</v>
      </c>
      <c r="K2427" s="2162" t="n"/>
    </row>
    <row r="2428" outlineLevel="3" ht="15.75" customHeight="1">
      <c r="A2428" s="10" t="n">
        <v>142</v>
      </c>
      <c r="B2428" s="10" t="inlineStr">
        <is>
          <t>Insumo</t>
        </is>
      </c>
      <c r="C2428" s="10" t="inlineStr">
        <is>
          <t>Revestimento de parede em Porcelanato Portobello –  90x90 - Padrão Econômico</t>
        </is>
      </c>
      <c r="D2428" s="10" t="inlineStr">
        <is>
          <t>Espeçador junta piso 2mm</t>
        </is>
      </c>
      <c r="E2428" s="11">
        <f t="array" ref="E2428">_xlfn.XLOOKUP(D2428,Insumos!B:B,Insumos!C:$C)</f>
        <v/>
      </c>
      <c r="F2428" s="14" t="n">
        <v>1</v>
      </c>
      <c r="G2428" s="92">
        <f t="array" ref="G2428">IF(B2428="insumo",_xlfn.XLOOKUP($D2428,Insumos!$B$1:$B$996,Insumos!$D$1:$D$996),"")</f>
        <v/>
      </c>
      <c r="H2428" s="92" t="n">
        <v>0.08</v>
      </c>
      <c r="I2428" s="2162" t="n">
        <v>0</v>
      </c>
      <c r="J2428" s="2162" t="n">
        <v>0</v>
      </c>
      <c r="K2428" s="2162" t="n"/>
    </row>
    <row r="2429" outlineLevel="3" ht="15.75" customHeight="1">
      <c r="A2429" s="10" t="n">
        <v>36</v>
      </c>
      <c r="B2429" s="10" t="inlineStr">
        <is>
          <t>Insumo</t>
        </is>
      </c>
      <c r="C2429" s="82" t="inlineStr">
        <is>
          <t>Revestimento de parede em Porcelanato Portobello –  90x90 - Padrão Econômico</t>
        </is>
      </c>
      <c r="D2429" s="82" t="inlineStr">
        <is>
          <t>Rejunte Acrilico cinza platina</t>
        </is>
      </c>
      <c r="E2429" s="11">
        <f t="array" ref="E2429">_xlfn.XLOOKUP(D2429,Insumos!B:B,Insumos!C:$C)</f>
        <v/>
      </c>
      <c r="F2429" s="14" t="n">
        <v>0.01</v>
      </c>
      <c r="G2429" s="92">
        <f t="array" ref="G2429">IF(B2429="insumo",_xlfn.XLOOKUP($D2429,Insumos!$B$1:$B$996,Insumos!$D$1:$D$996),"")</f>
        <v/>
      </c>
      <c r="H2429" s="92" t="n">
        <v>0.38</v>
      </c>
      <c r="I2429" s="2162" t="n">
        <v>0</v>
      </c>
      <c r="J2429" s="2162" t="n">
        <v>0</v>
      </c>
      <c r="K2429" s="2162" t="n"/>
    </row>
    <row r="2430" outlineLevel="2" ht="15.75" customHeight="1">
      <c r="A2430" s="1067" t="n">
        <v>1</v>
      </c>
      <c r="B2430" s="1067" t="inlineStr">
        <is>
          <t>Serviço</t>
        </is>
      </c>
      <c r="C2430" s="1067" t="inlineStr">
        <is>
          <t>Revestimento de parede em Porcelanato Marmorizado Polido Borda Reta Interno 90x90cm Avorio di Brescia Portobello</t>
        </is>
      </c>
      <c r="D2430" s="1067" t="inlineStr">
        <is>
          <t>Revestimento de parede em Porcelanato Marmorizado Polido Borda Reta Interno 90x90cm Avorio di Brescia Portobello</t>
        </is>
      </c>
      <c r="E2430" s="1068" t="inlineStr">
        <is>
          <t>M2</t>
        </is>
      </c>
      <c r="F2430" s="1067" t="n"/>
      <c r="G2430" s="1069">
        <f t="array" ref="G2430">IF(B2430="insumo",_xlfn.XLOOKUP($D2430,Insumos!$B$1:$B$996,Insumos!$D$1:$D$996),"")</f>
        <v/>
      </c>
      <c r="H2430" s="1069" t="n">
        <v>231.7701</v>
      </c>
      <c r="I2430" s="2161" t="n">
        <v>0</v>
      </c>
      <c r="J2430" s="2161" t="n">
        <v>0</v>
      </c>
      <c r="K2430" s="2161" t="n"/>
    </row>
    <row r="2431" outlineLevel="3" ht="15.75" customHeight="1">
      <c r="A2431" s="10" t="n">
        <v>1</v>
      </c>
      <c r="B2431" s="10" t="inlineStr">
        <is>
          <t>Insumo</t>
        </is>
      </c>
      <c r="C2431" s="10" t="inlineStr">
        <is>
          <t>Revestimento de parede em Porcelanato Marmorizado Polido Borda Reta Interno 90x90cm Avorio di Brescia Portobello</t>
        </is>
      </c>
      <c r="D2431" s="10" t="inlineStr">
        <is>
          <t>Porcelanato Marmorizado Polido Borda Reta Interno 90x90cm Avorio di Brescia Portobello</t>
        </is>
      </c>
      <c r="E2431" s="11">
        <f t="array" ref="E2431">_xlfn.XLOOKUP(D2431,Insumos!B:B,Insumos!C:$C)</f>
        <v/>
      </c>
      <c r="F2431" s="14" t="n">
        <v>1.1</v>
      </c>
      <c r="G2431" s="92">
        <f t="array" ref="G2431">IF(B2431="insumo",_xlfn.XLOOKUP($D2431,Insumos!$B$1:$B$996,Insumos!$D$1:$D$996),"")</f>
        <v/>
      </c>
      <c r="H2431" s="92" t="n">
        <v>222.211</v>
      </c>
      <c r="I2431" s="2162" t="n">
        <v>0</v>
      </c>
      <c r="J2431" s="2162" t="n">
        <v>0</v>
      </c>
      <c r="K2431" s="2162" t="n"/>
    </row>
    <row r="2432" outlineLevel="3" ht="15.75" customHeight="1">
      <c r="A2432" s="10" t="n">
        <v>191</v>
      </c>
      <c r="B2432" s="10" t="inlineStr">
        <is>
          <t>Insumo</t>
        </is>
      </c>
      <c r="C2432" s="10" t="inlineStr">
        <is>
          <t>Revestimento de parede em Porcelanato Marmorizado Polido Borda Reta Interno 90x90cm Avorio di Brescia Portobello</t>
        </is>
      </c>
      <c r="D2432" s="10" t="inlineStr">
        <is>
          <t>Argamassa ACIII</t>
        </is>
      </c>
      <c r="E2432" s="11">
        <f t="array" ref="E2432">_xlfn.XLOOKUP(D2432,Insumos!B:B,Insumos!C:$C)</f>
        <v/>
      </c>
      <c r="F2432" s="14" t="n">
        <v>8.800000000000001</v>
      </c>
      <c r="G2432" s="92">
        <f t="array" ref="G2432">IF(B2432="insumo",_xlfn.XLOOKUP($D2432,Insumos!$B$1:$B$996,Insumos!$D$1:$D$996),"")</f>
        <v/>
      </c>
      <c r="H2432" s="92" t="n">
        <v>9.367599999999999</v>
      </c>
      <c r="I2432" s="2162" t="n">
        <v>0</v>
      </c>
      <c r="J2432" s="2162" t="n">
        <v>0</v>
      </c>
      <c r="K2432" s="2162" t="n"/>
    </row>
    <row r="2433" outlineLevel="3" ht="15.75" customHeight="1">
      <c r="A2433" s="10" t="n">
        <v>142</v>
      </c>
      <c r="B2433" s="10" t="inlineStr">
        <is>
          <t>Insumo</t>
        </is>
      </c>
      <c r="C2433" s="10" t="inlineStr">
        <is>
          <t>Revestimento de parede em Porcelanato Marmorizado Polido Borda Reta Interno 90x90cm Avorio di Brescia Portobello</t>
        </is>
      </c>
      <c r="D2433" s="10" t="inlineStr">
        <is>
          <t>Espeçador junta piso 2mm</t>
        </is>
      </c>
      <c r="E2433" s="11">
        <f t="array" ref="E2433">_xlfn.XLOOKUP(D2433,Insumos!B:B,Insumos!C:$C)</f>
        <v/>
      </c>
      <c r="F2433" s="14" t="n">
        <v>1</v>
      </c>
      <c r="G2433" s="92">
        <f t="array" ref="G2433">IF(B2433="insumo",_xlfn.XLOOKUP($D2433,Insumos!$B$1:$B$996,Insumos!$D$1:$D$996),"")</f>
        <v/>
      </c>
      <c r="H2433" s="92" t="n">
        <v>0.08</v>
      </c>
      <c r="I2433" s="2162" t="n">
        <v>0</v>
      </c>
      <c r="J2433" s="2162" t="n">
        <v>0</v>
      </c>
      <c r="K2433" s="2162" t="n"/>
    </row>
    <row r="2434" outlineLevel="3" ht="15.75" customHeight="1">
      <c r="A2434" s="10" t="n">
        <v>101</v>
      </c>
      <c r="B2434" s="10" t="inlineStr">
        <is>
          <t>Insumo</t>
        </is>
      </c>
      <c r="C2434" s="10" t="inlineStr">
        <is>
          <t>Revestimento de parede em Porcelanato Marmorizado Polido Borda Reta Interno 90x90cm Avorio di Brescia Portobello</t>
        </is>
      </c>
      <c r="D2434" s="10" t="inlineStr">
        <is>
          <t>Rejunte Cimentício</t>
        </is>
      </c>
      <c r="E2434" s="11">
        <f t="array" ref="E2434">_xlfn.XLOOKUP(D2434,Insumos!B:B,Insumos!C:$C)</f>
        <v/>
      </c>
      <c r="F2434" s="14" t="n">
        <v>0.01</v>
      </c>
      <c r="G2434" s="92">
        <f t="array" ref="G2434">IF(B2434="insumo",_xlfn.XLOOKUP($D2434,Insumos!$B$1:$B$996,Insumos!$D$1:$D$996),"")</f>
        <v/>
      </c>
      <c r="H2434" s="92" t="n">
        <v>0.1115</v>
      </c>
      <c r="I2434" s="2162" t="n">
        <v>0</v>
      </c>
      <c r="J2434" s="2162" t="n">
        <v>0</v>
      </c>
      <c r="K2434" s="2162" t="n"/>
    </row>
    <row r="2435" outlineLevel="2" ht="15.75" customHeight="1">
      <c r="A2435" s="1067" t="n">
        <v>1</v>
      </c>
      <c r="B2435" s="1067" t="inlineStr">
        <is>
          <t>Serviço</t>
        </is>
      </c>
      <c r="C2435" s="1067" t="inlineStr">
        <is>
          <t>Revestimento em Paredes,  Porcelanato Superquadra Cru 60X120 Nat Ret</t>
        </is>
      </c>
      <c r="D2435" s="1067" t="inlineStr">
        <is>
          <t>Revestimento em Paredes,  Porcelanato Superquadra Cru 60X120 Nat Ret</t>
        </is>
      </c>
      <c r="E2435" s="1068" t="inlineStr">
        <is>
          <t>M2</t>
        </is>
      </c>
      <c r="F2435" s="1067" t="n"/>
      <c r="G2435" s="1069">
        <f t="array" ref="G2435">IF(B2435="insumo",_xlfn.XLOOKUP($D2435,Insumos!$B$1:$B$996,Insumos!$D$1:$D$996),"")</f>
        <v/>
      </c>
      <c r="H2435" s="1069" t="n">
        <v>131.1091</v>
      </c>
      <c r="I2435" s="2161" t="n">
        <v>0</v>
      </c>
      <c r="J2435" s="2161" t="n">
        <v>0</v>
      </c>
      <c r="K2435" s="2161" t="n"/>
    </row>
    <row r="2436" outlineLevel="3" ht="15.75" customHeight="1">
      <c r="A2436" s="10" t="n">
        <v>3</v>
      </c>
      <c r="B2436" s="10" t="inlineStr">
        <is>
          <t>Insumo</t>
        </is>
      </c>
      <c r="C2436" s="10" t="inlineStr">
        <is>
          <t>Revestimento em Paredes,  Porcelanato Superquadra Cru 60X120 Nat Ret</t>
        </is>
      </c>
      <c r="D2436" s="10" t="inlineStr">
        <is>
          <t>Porcelanato Superquadra Cru 60X120 Nat Ret</t>
        </is>
      </c>
      <c r="E2436" s="11">
        <f t="array" ref="E2436">_xlfn.XLOOKUP(D2436,Insumos!B:B,Insumos!C:$C)</f>
        <v/>
      </c>
      <c r="F2436" s="14" t="n">
        <v>1.1</v>
      </c>
      <c r="G2436" s="92">
        <f t="array" ref="G2436">IF(B2436="insumo",_xlfn.XLOOKUP($D2436,Insumos!$B$1:$B$996,Insumos!$D$1:$D$996),"")</f>
        <v/>
      </c>
      <c r="H2436" s="92" t="n">
        <v>121.55</v>
      </c>
      <c r="I2436" s="2162" t="n">
        <v>0</v>
      </c>
      <c r="J2436" s="2162" t="n">
        <v>0</v>
      </c>
      <c r="K2436" s="2162" t="n"/>
    </row>
    <row r="2437" outlineLevel="3" ht="15.75" customHeight="1">
      <c r="A2437" s="10" t="n">
        <v>191</v>
      </c>
      <c r="B2437" s="10" t="inlineStr">
        <is>
          <t>Insumo</t>
        </is>
      </c>
      <c r="C2437" s="10" t="inlineStr">
        <is>
          <t>Revestimento em Paredes,  Porcelanato Superquadra Cru 60X120 Nat Ret</t>
        </is>
      </c>
      <c r="D2437" s="10" t="inlineStr">
        <is>
          <t>Argamassa ACIII</t>
        </is>
      </c>
      <c r="E2437" s="11">
        <f t="array" ref="E2437">_xlfn.XLOOKUP(D2437,Insumos!B:B,Insumos!C:$C)</f>
        <v/>
      </c>
      <c r="F2437" s="14" t="n">
        <v>8.800000000000001</v>
      </c>
      <c r="G2437" s="92">
        <f t="array" ref="G2437">IF(B2437="insumo",_xlfn.XLOOKUP($D2437,Insumos!$B$1:$B$996,Insumos!$D$1:$D$996),"")</f>
        <v/>
      </c>
      <c r="H2437" s="92" t="n">
        <v>9.367599999999999</v>
      </c>
      <c r="I2437" s="2162" t="n">
        <v>0</v>
      </c>
      <c r="J2437" s="2162" t="n">
        <v>0</v>
      </c>
      <c r="K2437" s="2162" t="n"/>
    </row>
    <row r="2438" outlineLevel="3" ht="15.75" customHeight="1">
      <c r="A2438" s="10" t="n">
        <v>142</v>
      </c>
      <c r="B2438" s="10" t="inlineStr">
        <is>
          <t>Insumo</t>
        </is>
      </c>
      <c r="C2438" s="10" t="inlineStr">
        <is>
          <t>Revestimento em Paredes,  Porcelanato Superquadra Cru 60X120 Nat Ret</t>
        </is>
      </c>
      <c r="D2438" s="10" t="inlineStr">
        <is>
          <t>Espeçador junta piso 2mm</t>
        </is>
      </c>
      <c r="E2438" s="11">
        <f t="array" ref="E2438">_xlfn.XLOOKUP(D2438,Insumos!B:B,Insumos!C:$C)</f>
        <v/>
      </c>
      <c r="F2438" s="14" t="n">
        <v>1</v>
      </c>
      <c r="G2438" s="92">
        <f t="array" ref="G2438">IF(B2438="insumo",_xlfn.XLOOKUP($D2438,Insumos!$B$1:$B$996,Insumos!$D$1:$D$996),"")</f>
        <v/>
      </c>
      <c r="H2438" s="92" t="n">
        <v>0.08</v>
      </c>
      <c r="I2438" s="2162" t="n">
        <v>0</v>
      </c>
      <c r="J2438" s="2162" t="n">
        <v>0</v>
      </c>
      <c r="K2438" s="2162" t="n"/>
    </row>
    <row r="2439" outlineLevel="3" ht="15.75" customHeight="1">
      <c r="A2439" s="10" t="n">
        <v>101</v>
      </c>
      <c r="B2439" s="10" t="inlineStr">
        <is>
          <t>Insumo</t>
        </is>
      </c>
      <c r="C2439" s="10" t="inlineStr">
        <is>
          <t>Revestimento em Paredes,  Porcelanato Superquadra Cru 60X120 Nat Ret</t>
        </is>
      </c>
      <c r="D2439" s="10" t="inlineStr">
        <is>
          <t>Rejunte Cimentício</t>
        </is>
      </c>
      <c r="E2439" s="11">
        <f t="array" ref="E2439">_xlfn.XLOOKUP(D2439,Insumos!B:B,Insumos!C:$C)</f>
        <v/>
      </c>
      <c r="F2439" s="14" t="n">
        <v>0.01</v>
      </c>
      <c r="G2439" s="92">
        <f t="array" ref="G2439">IF(B2439="insumo",_xlfn.XLOOKUP($D2439,Insumos!$B$1:$B$996,Insumos!$D$1:$D$996),"")</f>
        <v/>
      </c>
      <c r="H2439" s="92" t="n">
        <v>0.1115</v>
      </c>
      <c r="I2439" s="2162" t="n">
        <v>0</v>
      </c>
      <c r="J2439" s="2162" t="n">
        <v>0</v>
      </c>
      <c r="K2439" s="2162" t="n"/>
    </row>
    <row r="2440" outlineLevel="2" ht="15.75" customHeight="1">
      <c r="A2440" s="1067" t="n">
        <v>1</v>
      </c>
      <c r="B2440" s="1067" t="inlineStr">
        <is>
          <t>Serviço</t>
        </is>
      </c>
      <c r="C2440" s="1067" t="inlineStr">
        <is>
          <t>Revestimento em Paredes,  Porcelanato Superquadra 60X120 - Portobelo</t>
        </is>
      </c>
      <c r="D2440" s="1067" t="inlineStr">
        <is>
          <t>Revestimento em Paredes,  Porcelanato Superquadra 60X120 - Portobelo</t>
        </is>
      </c>
      <c r="E2440" s="1068" t="inlineStr">
        <is>
          <t>M2</t>
        </is>
      </c>
      <c r="F2440" s="1067" t="n"/>
      <c r="G2440" s="1069">
        <f t="array" ref="G2440">IF(B2440="insumo",_xlfn.XLOOKUP($D2440,Insumos!$B$1:$B$996,Insumos!$D$1:$D$996),"")</f>
        <v/>
      </c>
      <c r="H2440" s="1069" t="n">
        <v>131.1091</v>
      </c>
      <c r="I2440" s="2161" t="n">
        <v>0</v>
      </c>
      <c r="J2440" s="2161" t="n">
        <v>0</v>
      </c>
      <c r="K2440" s="2161" t="n"/>
    </row>
    <row r="2441" outlineLevel="3" ht="15.75" customHeight="1">
      <c r="A2441" s="10" t="n">
        <v>1</v>
      </c>
      <c r="B2441" s="10" t="inlineStr">
        <is>
          <t>Insumo</t>
        </is>
      </c>
      <c r="C2441" s="10" t="inlineStr">
        <is>
          <t>Revestimento em Paredes,  Porcelanato Superquadra 60X120 - Portobelo</t>
        </is>
      </c>
      <c r="D2441" s="10" t="inlineStr">
        <is>
          <t>Porcelanato Superquadra 60X120 - Portobelo</t>
        </is>
      </c>
      <c r="E2441" s="11">
        <f t="array" ref="E2441">_xlfn.XLOOKUP(D2441,Insumos!B:B,Insumos!C:$C)</f>
        <v/>
      </c>
      <c r="F2441" s="14" t="n">
        <v>1.1</v>
      </c>
      <c r="G2441" s="92">
        <f t="array" ref="G2441">IF(B2441="insumo",_xlfn.XLOOKUP($D2441,Insumos!$B$1:$B$996,Insumos!$D$1:$D$996),"")</f>
        <v/>
      </c>
      <c r="H2441" s="92" t="n">
        <v>121.55</v>
      </c>
      <c r="I2441" s="2162" t="n">
        <v>0</v>
      </c>
      <c r="J2441" s="2162" t="n">
        <v>0</v>
      </c>
      <c r="K2441" s="2162" t="n"/>
    </row>
    <row r="2442" outlineLevel="3" ht="15.75" customHeight="1">
      <c r="A2442" s="10" t="n">
        <v>191</v>
      </c>
      <c r="B2442" s="10" t="inlineStr">
        <is>
          <t>Insumo</t>
        </is>
      </c>
      <c r="C2442" s="10" t="inlineStr">
        <is>
          <t>Revestimento em Paredes,  Porcelanato Superquadra 60X120 - Portobelo</t>
        </is>
      </c>
      <c r="D2442" s="10" t="inlineStr">
        <is>
          <t>Argamassa ACIII</t>
        </is>
      </c>
      <c r="E2442" s="11">
        <f t="array" ref="E2442">_xlfn.XLOOKUP(D2442,Insumos!B:B,Insumos!C:$C)</f>
        <v/>
      </c>
      <c r="F2442" s="14" t="n">
        <v>8.800000000000001</v>
      </c>
      <c r="G2442" s="92">
        <f t="array" ref="G2442">IF(B2442="insumo",_xlfn.XLOOKUP($D2442,Insumos!$B$1:$B$996,Insumos!$D$1:$D$996),"")</f>
        <v/>
      </c>
      <c r="H2442" s="92" t="n">
        <v>9.367599999999999</v>
      </c>
      <c r="I2442" s="2162" t="n">
        <v>0</v>
      </c>
      <c r="J2442" s="2162" t="n">
        <v>0</v>
      </c>
      <c r="K2442" s="2162" t="n"/>
    </row>
    <row r="2443" outlineLevel="3" ht="15.75" customHeight="1">
      <c r="A2443" s="10" t="n">
        <v>142</v>
      </c>
      <c r="B2443" s="10" t="inlineStr">
        <is>
          <t>Insumo</t>
        </is>
      </c>
      <c r="C2443" s="10" t="inlineStr">
        <is>
          <t>Revestimento em Paredes,  Porcelanato Superquadra 60X120 - Portobelo</t>
        </is>
      </c>
      <c r="D2443" s="10" t="inlineStr">
        <is>
          <t>Espeçador junta piso 2mm</t>
        </is>
      </c>
      <c r="E2443" s="11">
        <f t="array" ref="E2443">_xlfn.XLOOKUP(D2443,Insumos!B:B,Insumos!C:$C)</f>
        <v/>
      </c>
      <c r="F2443" s="14" t="n">
        <v>1</v>
      </c>
      <c r="G2443" s="92">
        <f t="array" ref="G2443">IF(B2443="insumo",_xlfn.XLOOKUP($D2443,Insumos!$B$1:$B$996,Insumos!$D$1:$D$996),"")</f>
        <v/>
      </c>
      <c r="H2443" s="92" t="n">
        <v>0.08</v>
      </c>
      <c r="I2443" s="2162" t="n">
        <v>0</v>
      </c>
      <c r="J2443" s="2162" t="n">
        <v>0</v>
      </c>
      <c r="K2443" s="2162" t="n"/>
    </row>
    <row r="2444" outlineLevel="3" ht="15.75" customHeight="1">
      <c r="A2444" s="10" t="n">
        <v>101</v>
      </c>
      <c r="B2444" s="10" t="inlineStr">
        <is>
          <t>Insumo</t>
        </is>
      </c>
      <c r="C2444" s="10" t="inlineStr">
        <is>
          <t>Revestimento em Paredes,  Porcelanato Superquadra 60X120 - Portobelo</t>
        </is>
      </c>
      <c r="D2444" s="10" t="inlineStr">
        <is>
          <t>Rejunte Cimentício</t>
        </is>
      </c>
      <c r="E2444" s="11">
        <f t="array" ref="E2444">_xlfn.XLOOKUP(D2444,Insumos!B:B,Insumos!C:$C)</f>
        <v/>
      </c>
      <c r="F2444" s="14" t="n">
        <v>0.01</v>
      </c>
      <c r="G2444" s="92">
        <f t="array" ref="G2444">IF(B2444="insumo",_xlfn.XLOOKUP($D2444,Insumos!$B$1:$B$996,Insumos!$D$1:$D$996),"")</f>
        <v/>
      </c>
      <c r="H2444" s="92" t="n">
        <v>0.1115</v>
      </c>
      <c r="I2444" s="2162" t="n">
        <v>0</v>
      </c>
      <c r="J2444" s="2162" t="n">
        <v>0</v>
      </c>
      <c r="K2444" s="2162" t="n"/>
    </row>
    <row r="2445" outlineLevel="2" ht="15.75" customHeight="1">
      <c r="A2445" s="1067" t="n">
        <v>1</v>
      </c>
      <c r="B2445" s="1067" t="inlineStr">
        <is>
          <t>Serviço</t>
        </is>
      </c>
      <c r="C2445" s="1067" t="inlineStr">
        <is>
          <t>Revestimento em Paredes,  Porcelanato Ártico Alpe 60X120Cm Ret. Ac. Eliane</t>
        </is>
      </c>
      <c r="D2445" s="1067" t="inlineStr">
        <is>
          <t>Revestimento em Paredes,  Porcelanato Ártico Alpe 60X120Cm Ret. Ac. Eliane</t>
        </is>
      </c>
      <c r="E2445" s="1068" t="inlineStr">
        <is>
          <t>M2</t>
        </is>
      </c>
      <c r="F2445" s="1067" t="n"/>
      <c r="G2445" s="1069">
        <f t="array" ref="G2445">IF(B2445="insumo",_xlfn.XLOOKUP($D2445,Insumos!$B$1:$B$996,Insumos!$D$1:$D$996),"")</f>
        <v/>
      </c>
      <c r="H2445" s="1069" t="n">
        <v>83.1491</v>
      </c>
      <c r="I2445" s="2161" t="n">
        <v>0</v>
      </c>
      <c r="J2445" s="2161" t="n">
        <v>0</v>
      </c>
      <c r="K2445" s="2161" t="n"/>
    </row>
    <row r="2446" outlineLevel="3" ht="15.75" customHeight="1">
      <c r="A2446" s="10" t="n">
        <v>1</v>
      </c>
      <c r="B2446" s="10" t="inlineStr">
        <is>
          <t>Insumo</t>
        </is>
      </c>
      <c r="C2446" s="10" t="inlineStr">
        <is>
          <t>Revestimento em Paredes,  Porcelanato Ártico Alpe 60X120Cm Ret. Ac. Eliane</t>
        </is>
      </c>
      <c r="D2446" s="10" t="inlineStr">
        <is>
          <t>Porcelanato Ártico Alpe 60X120Cm Ret. Ac. Eliane</t>
        </is>
      </c>
      <c r="E2446" s="11">
        <f t="array" ref="E2446">_xlfn.XLOOKUP(D2446,Insumos!B:B,Insumos!C:$C)</f>
        <v/>
      </c>
      <c r="F2446" s="14" t="n">
        <v>1.1</v>
      </c>
      <c r="G2446" s="92">
        <f t="array" ref="G2446">IF(B2446="insumo",_xlfn.XLOOKUP($D2446,Insumos!$B$1:$B$996,Insumos!$D$1:$D$996),"")</f>
        <v/>
      </c>
      <c r="H2446" s="92" t="n">
        <v>73.59</v>
      </c>
      <c r="I2446" s="2162" t="n">
        <v>0</v>
      </c>
      <c r="J2446" s="2162" t="n">
        <v>0</v>
      </c>
      <c r="K2446" s="2162" t="n"/>
    </row>
    <row r="2447" outlineLevel="3" ht="15.75" customHeight="1">
      <c r="A2447" s="10" t="n">
        <v>191</v>
      </c>
      <c r="B2447" s="10" t="inlineStr">
        <is>
          <t>Insumo</t>
        </is>
      </c>
      <c r="C2447" s="10" t="inlineStr">
        <is>
          <t>Revestimento em Paredes,  Porcelanato Ártico Alpe 60X120Cm Ret. Ac. Eliane</t>
        </is>
      </c>
      <c r="D2447" s="10" t="inlineStr">
        <is>
          <t>Argamassa ACIII</t>
        </is>
      </c>
      <c r="E2447" s="11">
        <f t="array" ref="E2447">_xlfn.XLOOKUP(D2447,Insumos!B:B,Insumos!C:$C)</f>
        <v/>
      </c>
      <c r="F2447" s="14" t="n">
        <v>8.800000000000001</v>
      </c>
      <c r="G2447" s="92">
        <f t="array" ref="G2447">IF(B2447="insumo",_xlfn.XLOOKUP($D2447,Insumos!$B$1:$B$996,Insumos!$D$1:$D$996),"")</f>
        <v/>
      </c>
      <c r="H2447" s="92" t="n">
        <v>9.367599999999999</v>
      </c>
      <c r="I2447" s="2162" t="n">
        <v>0</v>
      </c>
      <c r="J2447" s="2162" t="n">
        <v>0</v>
      </c>
      <c r="K2447" s="2162" t="n"/>
    </row>
    <row r="2448" outlineLevel="3" ht="15.75" customHeight="1">
      <c r="A2448" s="10" t="n">
        <v>142</v>
      </c>
      <c r="B2448" s="10" t="inlineStr">
        <is>
          <t>Insumo</t>
        </is>
      </c>
      <c r="C2448" s="10" t="inlineStr">
        <is>
          <t>Revestimento em Paredes,  Porcelanato Ártico Alpe 60X120Cm Ret. Ac. Eliane</t>
        </is>
      </c>
      <c r="D2448" s="10" t="inlineStr">
        <is>
          <t>Espeçador junta piso 2mm</t>
        </is>
      </c>
      <c r="E2448" s="11">
        <f t="array" ref="E2448">_xlfn.XLOOKUP(D2448,Insumos!B:B,Insumos!C:$C)</f>
        <v/>
      </c>
      <c r="F2448" s="14" t="n">
        <v>1</v>
      </c>
      <c r="G2448" s="92">
        <f t="array" ref="G2448">IF(B2448="insumo",_xlfn.XLOOKUP($D2448,Insumos!$B$1:$B$996,Insumos!$D$1:$D$996),"")</f>
        <v/>
      </c>
      <c r="H2448" s="92" t="n">
        <v>0.08</v>
      </c>
      <c r="I2448" s="2162" t="n">
        <v>0</v>
      </c>
      <c r="J2448" s="2162" t="n">
        <v>0</v>
      </c>
      <c r="K2448" s="2162" t="n"/>
    </row>
    <row r="2449" outlineLevel="3" ht="15.75" customHeight="1">
      <c r="A2449" s="10" t="n">
        <v>101</v>
      </c>
      <c r="B2449" s="10" t="inlineStr">
        <is>
          <t>Insumo</t>
        </is>
      </c>
      <c r="C2449" s="10" t="inlineStr">
        <is>
          <t>Revestimento em Paredes,  Porcelanato Ártico Alpe 60X120Cm Ret. Ac. Eliane</t>
        </is>
      </c>
      <c r="D2449" s="10" t="inlineStr">
        <is>
          <t>Rejunte Cimentício</t>
        </is>
      </c>
      <c r="E2449" s="11">
        <f t="array" ref="E2449">_xlfn.XLOOKUP(D2449,Insumos!B:B,Insumos!C:$C)</f>
        <v/>
      </c>
      <c r="F2449" s="14" t="n">
        <v>0.01</v>
      </c>
      <c r="G2449" s="92">
        <f t="array" ref="G2449">IF(B2449="insumo",_xlfn.XLOOKUP($D2449,Insumos!$B$1:$B$996,Insumos!$D$1:$D$996),"")</f>
        <v/>
      </c>
      <c r="H2449" s="92" t="n">
        <v>0.1115</v>
      </c>
      <c r="I2449" s="2162" t="n">
        <v>0</v>
      </c>
      <c r="J2449" s="2162" t="n">
        <v>0</v>
      </c>
      <c r="K2449" s="2162" t="n"/>
    </row>
    <row r="2450" outlineLevel="2" ht="15.75" customHeight="1">
      <c r="A2450" s="1067" t="n">
        <v>1</v>
      </c>
      <c r="B2450" s="1067" t="inlineStr">
        <is>
          <t>Serviço</t>
        </is>
      </c>
      <c r="C2450" s="1067" t="inlineStr">
        <is>
          <t>Revestimento em Paredes,  Porcelanato Onyx Unique Ret. Acetinado 120X120Cm - Portobello</t>
        </is>
      </c>
      <c r="D2450" s="1067" t="inlineStr">
        <is>
          <t>Revestimento em Paredes,  Porcelanato Onyx Unique Ret. Acetinado 120X120Cm - Portobello</t>
        </is>
      </c>
      <c r="E2450" s="1068" t="inlineStr">
        <is>
          <t>M2</t>
        </is>
      </c>
      <c r="F2450" s="1067" t="n"/>
      <c r="G2450" s="1069">
        <f t="array" ref="G2450">IF(B2450="insumo",_xlfn.XLOOKUP($D2450,Insumos!$B$1:$B$996,Insumos!$D$1:$D$996),"")</f>
        <v/>
      </c>
      <c r="H2450" s="1069" t="n">
        <v>156.7391</v>
      </c>
      <c r="I2450" s="2161" t="n">
        <v>0</v>
      </c>
      <c r="J2450" s="2161" t="n">
        <v>0</v>
      </c>
      <c r="K2450" s="2161" t="n"/>
    </row>
    <row r="2451" outlineLevel="3" ht="15.75" customHeight="1">
      <c r="A2451" s="10" t="n">
        <v>2</v>
      </c>
      <c r="B2451" s="10" t="inlineStr">
        <is>
          <t>Insumo</t>
        </is>
      </c>
      <c r="C2451" s="10" t="inlineStr">
        <is>
          <t>Revestimento em Paredes,  Porcelanato Onyx Unique Ret. Acetinado 120X120Cm - Portobello</t>
        </is>
      </c>
      <c r="D2451" s="10" t="inlineStr">
        <is>
          <t>Porcelanato Onyx Unique Ret. Acetinado 120X120Cm - Portobello</t>
        </is>
      </c>
      <c r="E2451" s="11">
        <f t="array" ref="E2451">_xlfn.XLOOKUP(D2451,Insumos!B:B,Insumos!C:$C)</f>
        <v/>
      </c>
      <c r="F2451" s="14" t="n">
        <v>1.1</v>
      </c>
      <c r="G2451" s="92">
        <f t="array" ref="G2451">IF(B2451="insumo",_xlfn.XLOOKUP($D2451,Insumos!$B$1:$B$996,Insumos!$D$1:$D$996),"")</f>
        <v/>
      </c>
      <c r="H2451" s="92" t="n">
        <v>147.18</v>
      </c>
      <c r="I2451" s="2162" t="n">
        <v>0</v>
      </c>
      <c r="J2451" s="2162" t="n">
        <v>0</v>
      </c>
      <c r="K2451" s="2162" t="n"/>
    </row>
    <row r="2452" outlineLevel="3" ht="15.75" customHeight="1">
      <c r="A2452" s="10" t="n">
        <v>191</v>
      </c>
      <c r="B2452" s="10" t="inlineStr">
        <is>
          <t>Insumo</t>
        </is>
      </c>
      <c r="C2452" s="10" t="inlineStr">
        <is>
          <t>Revestimento em Paredes,  Porcelanato Onyx Unique Ret. Acetinado 120X120Cm - Portobello</t>
        </is>
      </c>
      <c r="D2452" s="10" t="inlineStr">
        <is>
          <t>Argamassa ACIII</t>
        </is>
      </c>
      <c r="E2452" s="11">
        <f t="array" ref="E2452">_xlfn.XLOOKUP(D2452,Insumos!B:B,Insumos!C:$C)</f>
        <v/>
      </c>
      <c r="F2452" s="14" t="n">
        <v>8.800000000000001</v>
      </c>
      <c r="G2452" s="92">
        <f t="array" ref="G2452">IF(B2452="insumo",_xlfn.XLOOKUP($D2452,Insumos!$B$1:$B$996,Insumos!$D$1:$D$996),"")</f>
        <v/>
      </c>
      <c r="H2452" s="92" t="n">
        <v>9.367599999999999</v>
      </c>
      <c r="I2452" s="2162" t="n">
        <v>0</v>
      </c>
      <c r="J2452" s="2162" t="n">
        <v>0</v>
      </c>
      <c r="K2452" s="2162" t="n"/>
    </row>
    <row r="2453" outlineLevel="3" ht="15.75" customHeight="1">
      <c r="A2453" s="10" t="n">
        <v>142</v>
      </c>
      <c r="B2453" s="10" t="inlineStr">
        <is>
          <t>Insumo</t>
        </is>
      </c>
      <c r="C2453" s="10" t="inlineStr">
        <is>
          <t>Revestimento em Paredes,  Porcelanato Onyx Unique Ret. Acetinado 120X120Cm - Portobello</t>
        </is>
      </c>
      <c r="D2453" s="10" t="inlineStr">
        <is>
          <t>Espeçador junta piso 2mm</t>
        </is>
      </c>
      <c r="E2453" s="11">
        <f t="array" ref="E2453">_xlfn.XLOOKUP(D2453,Insumos!B:B,Insumos!C:$C)</f>
        <v/>
      </c>
      <c r="F2453" s="14" t="n">
        <v>1</v>
      </c>
      <c r="G2453" s="92">
        <f t="array" ref="G2453">IF(B2453="insumo",_xlfn.XLOOKUP($D2453,Insumos!$B$1:$B$996,Insumos!$D$1:$D$996),"")</f>
        <v/>
      </c>
      <c r="H2453" s="92" t="n">
        <v>0.08</v>
      </c>
      <c r="I2453" s="2162" t="n">
        <v>0</v>
      </c>
      <c r="J2453" s="2162" t="n">
        <v>0</v>
      </c>
      <c r="K2453" s="2162" t="n"/>
    </row>
    <row r="2454" outlineLevel="3" ht="15.75" customHeight="1">
      <c r="A2454" s="10" t="n">
        <v>101</v>
      </c>
      <c r="B2454" s="10" t="inlineStr">
        <is>
          <t>Insumo</t>
        </is>
      </c>
      <c r="C2454" s="10" t="inlineStr">
        <is>
          <t>Revestimento em Paredes,  Porcelanato Onyx Unique Ret. Acetinado 120X120Cm - Portobello</t>
        </is>
      </c>
      <c r="D2454" s="10" t="inlineStr">
        <is>
          <t>Rejunte Cimentício</t>
        </is>
      </c>
      <c r="E2454" s="11">
        <f t="array" ref="E2454">_xlfn.XLOOKUP(D2454,Insumos!B:B,Insumos!C:$C)</f>
        <v/>
      </c>
      <c r="F2454" s="14" t="n">
        <v>0.01</v>
      </c>
      <c r="G2454" s="92">
        <f t="array" ref="G2454">IF(B2454="insumo",_xlfn.XLOOKUP($D2454,Insumos!$B$1:$B$996,Insumos!$D$1:$D$996),"")</f>
        <v/>
      </c>
      <c r="H2454" s="92" t="n">
        <v>0.1115</v>
      </c>
      <c r="I2454" s="2162" t="n">
        <v>0</v>
      </c>
      <c r="J2454" s="2162" t="n">
        <v>0</v>
      </c>
      <c r="K2454" s="2162" t="n"/>
    </row>
    <row r="2455" outlineLevel="2" ht="15.75" customHeight="1">
      <c r="A2455" s="1067" t="n">
        <v>1</v>
      </c>
      <c r="B2455" s="1067" t="inlineStr">
        <is>
          <t>Serviço</t>
        </is>
      </c>
      <c r="C2455" s="1067" t="inlineStr">
        <is>
          <t>Revestimento em Paredes,  Porcelanato Onyx Unique Ret. Polido 120X120Cm - Portobello</t>
        </is>
      </c>
      <c r="D2455" s="1067" t="inlineStr">
        <is>
          <t>Revestimento em Paredes,  Porcelanato Onyx Unique Ret. Polido 120X120Cm - Portobello</t>
        </is>
      </c>
      <c r="E2455" s="1068" t="inlineStr">
        <is>
          <t>M2</t>
        </is>
      </c>
      <c r="F2455" s="1067" t="n"/>
      <c r="G2455" s="1069">
        <f t="array" ref="G2455">IF(B2455="insumo",_xlfn.XLOOKUP($D2455,Insumos!$B$1:$B$996,Insumos!$D$1:$D$996),"")</f>
        <v/>
      </c>
      <c r="H2455" s="1069" t="n">
        <v>156.7391</v>
      </c>
      <c r="I2455" s="2161" t="n">
        <v>0</v>
      </c>
      <c r="J2455" s="2161" t="n">
        <v>0</v>
      </c>
      <c r="K2455" s="2161" t="n"/>
    </row>
    <row r="2456" outlineLevel="3" ht="15.75" customHeight="1">
      <c r="A2456" s="10" t="n">
        <v>2</v>
      </c>
      <c r="B2456" s="10" t="inlineStr">
        <is>
          <t>Insumo</t>
        </is>
      </c>
      <c r="C2456" s="10" t="inlineStr">
        <is>
          <t>Revestimento em Paredes,  Porcelanato Onyx Unique Ret. Polido 120X120Cm - Portobello</t>
        </is>
      </c>
      <c r="D2456" s="10" t="inlineStr">
        <is>
          <t>Porcelanato Onyx Unique Ret. Polido 120X120Cm - Portobello</t>
        </is>
      </c>
      <c r="E2456" s="11">
        <f t="array" ref="E2456">_xlfn.XLOOKUP(D2456,Insumos!B:B,Insumos!C:$C)</f>
        <v/>
      </c>
      <c r="F2456" s="14" t="n">
        <v>1.1</v>
      </c>
      <c r="G2456" s="92">
        <f t="array" ref="G2456">IF(B2456="insumo",_xlfn.XLOOKUP($D2456,Insumos!$B$1:$B$996,Insumos!$D$1:$D$996),"")</f>
        <v/>
      </c>
      <c r="H2456" s="92" t="n">
        <v>147.18</v>
      </c>
      <c r="I2456" s="2162" t="n">
        <v>0</v>
      </c>
      <c r="J2456" s="2162" t="n">
        <v>0</v>
      </c>
      <c r="K2456" s="2162" t="n"/>
    </row>
    <row r="2457" outlineLevel="3" ht="15.75" customHeight="1">
      <c r="A2457" s="10" t="n">
        <v>191</v>
      </c>
      <c r="B2457" s="10" t="inlineStr">
        <is>
          <t>Insumo</t>
        </is>
      </c>
      <c r="C2457" s="10" t="inlineStr">
        <is>
          <t>Revestimento em Paredes,  Porcelanato Onyx Unique Ret. Polido 120X120Cm - Portobello</t>
        </is>
      </c>
      <c r="D2457" s="10" t="inlineStr">
        <is>
          <t>Argamassa ACIII</t>
        </is>
      </c>
      <c r="E2457" s="11">
        <f t="array" ref="E2457">_xlfn.XLOOKUP(D2457,Insumos!B:B,Insumos!C:$C)</f>
        <v/>
      </c>
      <c r="F2457" s="14" t="n">
        <v>8.800000000000001</v>
      </c>
      <c r="G2457" s="92">
        <f t="array" ref="G2457">IF(B2457="insumo",_xlfn.XLOOKUP($D2457,Insumos!$B$1:$B$996,Insumos!$D$1:$D$996),"")</f>
        <v/>
      </c>
      <c r="H2457" s="92" t="n">
        <v>9.367599999999999</v>
      </c>
      <c r="I2457" s="2162" t="n">
        <v>0</v>
      </c>
      <c r="J2457" s="2162" t="n">
        <v>0</v>
      </c>
      <c r="K2457" s="2162" t="n"/>
    </row>
    <row r="2458" outlineLevel="3" ht="15.75" customHeight="1">
      <c r="A2458" s="10" t="n">
        <v>142</v>
      </c>
      <c r="B2458" s="10" t="inlineStr">
        <is>
          <t>Insumo</t>
        </is>
      </c>
      <c r="C2458" s="10" t="inlineStr">
        <is>
          <t>Revestimento em Paredes,  Porcelanato Onyx Unique Ret. Polido 120X120Cm - Portobello</t>
        </is>
      </c>
      <c r="D2458" s="10" t="inlineStr">
        <is>
          <t>Espeçador junta piso 2mm</t>
        </is>
      </c>
      <c r="E2458" s="11">
        <f t="array" ref="E2458">_xlfn.XLOOKUP(D2458,Insumos!B:B,Insumos!C:$C)</f>
        <v/>
      </c>
      <c r="F2458" s="14" t="n">
        <v>1</v>
      </c>
      <c r="G2458" s="92">
        <f t="array" ref="G2458">IF(B2458="insumo",_xlfn.XLOOKUP($D2458,Insumos!$B$1:$B$996,Insumos!$D$1:$D$996),"")</f>
        <v/>
      </c>
      <c r="H2458" s="92" t="n">
        <v>0.08</v>
      </c>
      <c r="I2458" s="2162" t="n">
        <v>0</v>
      </c>
      <c r="J2458" s="2162" t="n">
        <v>0</v>
      </c>
      <c r="K2458" s="2162" t="n"/>
    </row>
    <row r="2459" outlineLevel="3" ht="15.75" customHeight="1">
      <c r="A2459" s="10" t="n">
        <v>101</v>
      </c>
      <c r="B2459" s="10" t="inlineStr">
        <is>
          <t>Insumo</t>
        </is>
      </c>
      <c r="C2459" s="10" t="inlineStr">
        <is>
          <t>Revestimento em Paredes,  Porcelanato Onyx Unique Ret. Polido 120X120Cm - Portobello</t>
        </is>
      </c>
      <c r="D2459" s="10" t="inlineStr">
        <is>
          <t>Rejunte Cimentício</t>
        </is>
      </c>
      <c r="E2459" s="11">
        <f t="array" ref="E2459">_xlfn.XLOOKUP(D2459,Insumos!B:B,Insumos!C:$C)</f>
        <v/>
      </c>
      <c r="F2459" s="14" t="n">
        <v>0.01</v>
      </c>
      <c r="G2459" s="92">
        <f t="array" ref="G2459">IF(B2459="insumo",_xlfn.XLOOKUP($D2459,Insumos!$B$1:$B$996,Insumos!$D$1:$D$996),"")</f>
        <v/>
      </c>
      <c r="H2459" s="92" t="n">
        <v>0.1115</v>
      </c>
      <c r="I2459" s="2162" t="n">
        <v>0</v>
      </c>
      <c r="J2459" s="2162" t="n">
        <v>0</v>
      </c>
      <c r="K2459" s="2162" t="n"/>
    </row>
    <row r="2460" outlineLevel="2" ht="15.75" customHeight="1">
      <c r="A2460" s="1067" t="n">
        <v>1</v>
      </c>
      <c r="B2460" s="1067" t="inlineStr">
        <is>
          <t>Serviço</t>
        </is>
      </c>
      <c r="C2460" s="1067" t="inlineStr">
        <is>
          <t>Revestimento em Paredes,  Porcelanato Travertino Navona Bianco 120X120Cm Ret. Natural Portobello</t>
        </is>
      </c>
      <c r="D2460" s="1067" t="inlineStr">
        <is>
          <t>Revestimento em Paredes,  Porcelanato Travertino Navona Bianco 120X120Cm Ret. Natural Portobello</t>
        </is>
      </c>
      <c r="E2460" s="1068" t="inlineStr">
        <is>
          <t>M2</t>
        </is>
      </c>
      <c r="F2460" s="1067" t="n"/>
      <c r="G2460" s="1069">
        <f t="array" ref="G2460">IF(B2460="insumo",_xlfn.XLOOKUP($D2460,Insumos!$B$1:$B$996,Insumos!$D$1:$D$996),"")</f>
        <v/>
      </c>
      <c r="H2460" s="1069" t="n">
        <v>156.7391</v>
      </c>
      <c r="I2460" s="2161" t="n">
        <v>0</v>
      </c>
      <c r="J2460" s="2161" t="n">
        <v>0</v>
      </c>
      <c r="K2460" s="2161" t="n"/>
    </row>
    <row r="2461" outlineLevel="3" ht="15.75" customHeight="1">
      <c r="A2461" s="10" t="n">
        <v>2</v>
      </c>
      <c r="B2461" s="10" t="inlineStr">
        <is>
          <t>Insumo</t>
        </is>
      </c>
      <c r="C2461" s="10" t="inlineStr">
        <is>
          <t>Revestimento em Paredes,  Porcelanato Travertino Navona Bianco 120X120Cm Ret. Natural Portobello</t>
        </is>
      </c>
      <c r="D2461" s="10" t="inlineStr">
        <is>
          <t>Porcelanato Travertino Navona Bianco 120X120Cm Ret. Natural Portobello</t>
        </is>
      </c>
      <c r="E2461" s="11">
        <f t="array" ref="E2461">_xlfn.XLOOKUP(D2461,Insumos!B:B,Insumos!C:$C)</f>
        <v/>
      </c>
      <c r="F2461" s="14" t="n">
        <v>1.1</v>
      </c>
      <c r="G2461" s="92">
        <f t="array" ref="G2461">IF(B2461="insumo",_xlfn.XLOOKUP($D2461,Insumos!$B$1:$B$996,Insumos!$D$1:$D$996),"")</f>
        <v/>
      </c>
      <c r="H2461" s="92" t="n">
        <v>147.18</v>
      </c>
      <c r="I2461" s="2162" t="n">
        <v>0</v>
      </c>
      <c r="J2461" s="2162" t="n">
        <v>0</v>
      </c>
      <c r="K2461" s="2162" t="n"/>
    </row>
    <row r="2462" outlineLevel="3" ht="15.75" customHeight="1">
      <c r="A2462" s="10" t="n">
        <v>191</v>
      </c>
      <c r="B2462" s="10" t="inlineStr">
        <is>
          <t>Insumo</t>
        </is>
      </c>
      <c r="C2462" s="10" t="inlineStr">
        <is>
          <t>Revestimento em Paredes,  Porcelanato Travertino Navona Bianco 120X120Cm Ret. Natural Portobello</t>
        </is>
      </c>
      <c r="D2462" s="10" t="inlineStr">
        <is>
          <t>Argamassa ACIII</t>
        </is>
      </c>
      <c r="E2462" s="11">
        <f t="array" ref="E2462">_xlfn.XLOOKUP(D2462,Insumos!B:B,Insumos!C:$C)</f>
        <v/>
      </c>
      <c r="F2462" s="14" t="n">
        <v>8.800000000000001</v>
      </c>
      <c r="G2462" s="92">
        <f t="array" ref="G2462">IF(B2462="insumo",_xlfn.XLOOKUP($D2462,Insumos!$B$1:$B$996,Insumos!$D$1:$D$996),"")</f>
        <v/>
      </c>
      <c r="H2462" s="92" t="n">
        <v>9.367599999999999</v>
      </c>
      <c r="I2462" s="2162" t="n">
        <v>0</v>
      </c>
      <c r="J2462" s="2162" t="n">
        <v>0</v>
      </c>
      <c r="K2462" s="2162" t="n"/>
    </row>
    <row r="2463" outlineLevel="3" ht="15.75" customHeight="1">
      <c r="A2463" s="10" t="n">
        <v>142</v>
      </c>
      <c r="B2463" s="10" t="inlineStr">
        <is>
          <t>Insumo</t>
        </is>
      </c>
      <c r="C2463" s="10" t="inlineStr">
        <is>
          <t>Revestimento em Paredes,  Porcelanato Travertino Navona Bianco 120X120Cm Ret. Natural Portobello</t>
        </is>
      </c>
      <c r="D2463" s="10" t="inlineStr">
        <is>
          <t>Espeçador junta piso 2mm</t>
        </is>
      </c>
      <c r="E2463" s="11">
        <f t="array" ref="E2463">_xlfn.XLOOKUP(D2463,Insumos!B:B,Insumos!C:$C)</f>
        <v/>
      </c>
      <c r="F2463" s="14" t="n">
        <v>1</v>
      </c>
      <c r="G2463" s="92">
        <f t="array" ref="G2463">IF(B2463="insumo",_xlfn.XLOOKUP($D2463,Insumos!$B$1:$B$996,Insumos!$D$1:$D$996),"")</f>
        <v/>
      </c>
      <c r="H2463" s="92" t="n">
        <v>0.08</v>
      </c>
      <c r="I2463" s="2162" t="n">
        <v>0</v>
      </c>
      <c r="J2463" s="2162" t="n">
        <v>0</v>
      </c>
      <c r="K2463" s="2162" t="n"/>
    </row>
    <row r="2464" outlineLevel="3" ht="15.75" customHeight="1">
      <c r="A2464" s="10" t="n">
        <v>101</v>
      </c>
      <c r="B2464" s="10" t="inlineStr">
        <is>
          <t>Insumo</t>
        </is>
      </c>
      <c r="C2464" s="10" t="inlineStr">
        <is>
          <t>Revestimento em Paredes,  Porcelanato Travertino Navona Bianco 120X120Cm Ret. Natural Portobello</t>
        </is>
      </c>
      <c r="D2464" s="10" t="inlineStr">
        <is>
          <t>Rejunte Cimentício</t>
        </is>
      </c>
      <c r="E2464" s="11">
        <f t="array" ref="E2464">_xlfn.XLOOKUP(D2464,Insumos!B:B,Insumos!C:$C)</f>
        <v/>
      </c>
      <c r="F2464" s="14" t="n">
        <v>0.01</v>
      </c>
      <c r="G2464" s="92">
        <f t="array" ref="G2464">IF(B2464="insumo",_xlfn.XLOOKUP($D2464,Insumos!$B$1:$B$996,Insumos!$D$1:$D$996),"")</f>
        <v/>
      </c>
      <c r="H2464" s="92" t="n">
        <v>0.1115</v>
      </c>
      <c r="I2464" s="2162" t="n">
        <v>0</v>
      </c>
      <c r="J2464" s="2162" t="n">
        <v>0</v>
      </c>
      <c r="K2464" s="2162" t="n"/>
    </row>
    <row r="2465" outlineLevel="2" ht="15.75" customHeight="1">
      <c r="A2465" s="1067" t="n">
        <v>1</v>
      </c>
      <c r="B2465" s="1067" t="inlineStr">
        <is>
          <t>Serviço</t>
        </is>
      </c>
      <c r="C2465" s="1067" t="inlineStr">
        <is>
          <t>Revestimento em Paredes,  Porcelanato Pp Pro Nude Gp 60X60Cm Retificado</t>
        </is>
      </c>
      <c r="D2465" s="1067" t="inlineStr">
        <is>
          <t>Revestimento em Paredes,  Porcelanato Pp Pro Nude Gp 60X60Cm Retificado</t>
        </is>
      </c>
      <c r="E2465" s="1068" t="inlineStr">
        <is>
          <t>M2</t>
        </is>
      </c>
      <c r="F2465" s="1067" t="n"/>
      <c r="G2465" s="1069">
        <f t="array" ref="G2465">IF(B2465="insumo",_xlfn.XLOOKUP($D2465,Insumos!$B$1:$B$996,Insumos!$D$1:$D$996),"")</f>
        <v/>
      </c>
      <c r="H2465" s="1069" t="n">
        <v>57.8051</v>
      </c>
      <c r="I2465" s="2161" t="n">
        <v>0</v>
      </c>
      <c r="J2465" s="2161" t="n">
        <v>0</v>
      </c>
      <c r="K2465" s="2161" t="n"/>
    </row>
    <row r="2466" outlineLevel="3" ht="15.75" customHeight="1">
      <c r="A2466" s="10" t="n">
        <v>3</v>
      </c>
      <c r="B2466" s="10" t="inlineStr">
        <is>
          <t>Insumo</t>
        </is>
      </c>
      <c r="C2466" s="10" t="inlineStr">
        <is>
          <t>Revestimento em Paredes,  Porcelanato Pp Pro Nude Gp 60X60Cm Retificado</t>
        </is>
      </c>
      <c r="D2466" s="10" t="inlineStr">
        <is>
          <t>Porcelanato Pp Pro Nude Gp 60X60Cm Retificado</t>
        </is>
      </c>
      <c r="E2466" s="11">
        <f t="array" ref="E2466">_xlfn.XLOOKUP(D2466,Insumos!B:B,Insumos!C:$C)</f>
        <v/>
      </c>
      <c r="F2466" s="14" t="n">
        <v>1.1</v>
      </c>
      <c r="G2466" s="92">
        <f t="array" ref="G2466">IF(B2466="insumo",_xlfn.XLOOKUP($D2466,Insumos!$B$1:$B$996,Insumos!$D$1:$D$996),"")</f>
        <v/>
      </c>
      <c r="H2466" s="92" t="n">
        <v>48.246</v>
      </c>
      <c r="I2466" s="2162" t="n">
        <v>0</v>
      </c>
      <c r="J2466" s="2162" t="n">
        <v>0</v>
      </c>
      <c r="K2466" s="2162" t="n"/>
    </row>
    <row r="2467" outlineLevel="3" ht="15.75" customHeight="1">
      <c r="A2467" s="10" t="n">
        <v>191</v>
      </c>
      <c r="B2467" s="10" t="inlineStr">
        <is>
          <t>Insumo</t>
        </is>
      </c>
      <c r="C2467" s="10" t="inlineStr">
        <is>
          <t>Revestimento em Paredes,  Porcelanato Pp Pro Nude Gp 60X60Cm Retificado</t>
        </is>
      </c>
      <c r="D2467" s="10" t="inlineStr">
        <is>
          <t>Argamassa ACIII</t>
        </is>
      </c>
      <c r="E2467" s="11">
        <f t="array" ref="E2467">_xlfn.XLOOKUP(D2467,Insumos!B:B,Insumos!C:$C)</f>
        <v/>
      </c>
      <c r="F2467" s="14" t="n">
        <v>8.800000000000001</v>
      </c>
      <c r="G2467" s="92">
        <f t="array" ref="G2467">IF(B2467="insumo",_xlfn.XLOOKUP($D2467,Insumos!$B$1:$B$996,Insumos!$D$1:$D$996),"")</f>
        <v/>
      </c>
      <c r="H2467" s="92" t="n">
        <v>9.367599999999999</v>
      </c>
      <c r="I2467" s="2162" t="n">
        <v>0</v>
      </c>
      <c r="J2467" s="2162" t="n">
        <v>0</v>
      </c>
      <c r="K2467" s="2162" t="n"/>
    </row>
    <row r="2468" outlineLevel="3" ht="15.75" customHeight="1">
      <c r="A2468" s="10" t="n">
        <v>142</v>
      </c>
      <c r="B2468" s="10" t="inlineStr">
        <is>
          <t>Insumo</t>
        </is>
      </c>
      <c r="C2468" s="10" t="inlineStr">
        <is>
          <t>Revestimento em Paredes,  Porcelanato Pp Pro Nude Gp 60X60Cm Retificado</t>
        </is>
      </c>
      <c r="D2468" s="10" t="inlineStr">
        <is>
          <t>Espeçador junta piso 2mm</t>
        </is>
      </c>
      <c r="E2468" s="11">
        <f t="array" ref="E2468">_xlfn.XLOOKUP(D2468,Insumos!B:B,Insumos!C:$C)</f>
        <v/>
      </c>
      <c r="F2468" s="14" t="n">
        <v>1</v>
      </c>
      <c r="G2468" s="92">
        <f t="array" ref="G2468">IF(B2468="insumo",_xlfn.XLOOKUP($D2468,Insumos!$B$1:$B$996,Insumos!$D$1:$D$996),"")</f>
        <v/>
      </c>
      <c r="H2468" s="92" t="n">
        <v>0.08</v>
      </c>
      <c r="I2468" s="2162" t="n">
        <v>0</v>
      </c>
      <c r="J2468" s="2162" t="n">
        <v>0</v>
      </c>
      <c r="K2468" s="2162" t="n"/>
    </row>
    <row r="2469" outlineLevel="3" ht="15.75" customHeight="1">
      <c r="A2469" s="10" t="n">
        <v>101</v>
      </c>
      <c r="B2469" s="10" t="inlineStr">
        <is>
          <t>Insumo</t>
        </is>
      </c>
      <c r="C2469" s="10" t="inlineStr">
        <is>
          <t>Revestimento em Paredes,  Porcelanato Pp Pro Nude Gp 60X60Cm Retificado</t>
        </is>
      </c>
      <c r="D2469" s="10" t="inlineStr">
        <is>
          <t>Rejunte Cimentício</t>
        </is>
      </c>
      <c r="E2469" s="11">
        <f t="array" ref="E2469">_xlfn.XLOOKUP(D2469,Insumos!B:B,Insumos!C:$C)</f>
        <v/>
      </c>
      <c r="F2469" s="14" t="n">
        <v>0.01</v>
      </c>
      <c r="G2469" s="92">
        <f t="array" ref="G2469">IF(B2469="insumo",_xlfn.XLOOKUP($D2469,Insumos!$B$1:$B$996,Insumos!$D$1:$D$996),"")</f>
        <v/>
      </c>
      <c r="H2469" s="92" t="n">
        <v>0.1115</v>
      </c>
      <c r="I2469" s="2162" t="n">
        <v>0</v>
      </c>
      <c r="J2469" s="2162" t="n">
        <v>0</v>
      </c>
      <c r="K2469" s="2162" t="n"/>
    </row>
    <row r="2470" outlineLevel="2" ht="12.75" customHeight="1">
      <c r="A2470" s="1071" t="n">
        <v>1</v>
      </c>
      <c r="B2470" s="1071" t="inlineStr">
        <is>
          <t>Serviço</t>
        </is>
      </c>
      <c r="C2470" s="1071" t="inlineStr">
        <is>
          <t>Revestimento em paredes, 61x 61cm com Junta de 3mm</t>
        </is>
      </c>
      <c r="D2470" s="1071" t="inlineStr">
        <is>
          <t>Revestimento em paredes, 61x 61cm com Junta de 3mm</t>
        </is>
      </c>
      <c r="E2470" s="1072" t="inlineStr">
        <is>
          <t>M2</t>
        </is>
      </c>
      <c r="F2470" s="1071" t="n"/>
      <c r="G2470" s="1073">
        <f t="array" ref="G2470">IF(B2470="insumo",_xlfn.XLOOKUP($D2470,Insumos!$B$1:$B$996,Insumos!$D$1:$D$996),"")</f>
        <v/>
      </c>
      <c r="H2470" s="1073" t="n">
        <v>78.58199999999999</v>
      </c>
      <c r="I2470" s="2163" t="n">
        <v>0</v>
      </c>
      <c r="J2470" s="2163" t="n">
        <v>0</v>
      </c>
      <c r="K2470" s="2163" t="n"/>
    </row>
    <row r="2471" outlineLevel="3" ht="12.75" customHeight="1">
      <c r="A2471" s="82" t="n">
        <v>6</v>
      </c>
      <c r="B2471" s="82" t="inlineStr">
        <is>
          <t>Insumo</t>
        </is>
      </c>
      <c r="C2471" s="82" t="inlineStr">
        <is>
          <t>Revestimento em paredes, 61x 61cm com Junta de 3mm</t>
        </is>
      </c>
      <c r="D2471" s="82" t="inlineStr">
        <is>
          <t>Cerâmica Vulcano Cinza 61x61</t>
        </is>
      </c>
      <c r="E2471" s="11">
        <f t="array" ref="E2471">_xlfn.XLOOKUP(D2471,Insumos!B:B,Insumos!C:$C)</f>
        <v/>
      </c>
      <c r="F2471" s="2169" t="n">
        <v>1.1</v>
      </c>
      <c r="G2471" s="92">
        <f t="array" ref="G2471">IF(B2471="insumo",_xlfn.XLOOKUP($D2471,Insumos!$B$1:$B$996,Insumos!$D$1:$D$996),"")</f>
        <v/>
      </c>
      <c r="H2471" s="92" t="n">
        <v>69.949</v>
      </c>
      <c r="I2471" s="2165" t="n">
        <v>0</v>
      </c>
      <c r="J2471" s="2165" t="n">
        <v>0</v>
      </c>
      <c r="K2471" s="2165" t="n"/>
    </row>
    <row r="2472" outlineLevel="3" ht="12.75" customHeight="1">
      <c r="A2472" s="82" t="n">
        <v>16</v>
      </c>
      <c r="B2472" s="82" t="inlineStr">
        <is>
          <t>Insumo</t>
        </is>
      </c>
      <c r="C2472" s="82" t="inlineStr">
        <is>
          <t>Revestimento em paredes, 61x 61cm com Junta de 3mm</t>
        </is>
      </c>
      <c r="D2472" s="82" t="inlineStr">
        <is>
          <t>Argamassa ACII</t>
        </is>
      </c>
      <c r="E2472" s="11">
        <f t="array" ref="E2472">_xlfn.XLOOKUP(D2472,Insumos!B:B,Insumos!C:$C)</f>
        <v/>
      </c>
      <c r="F2472" s="2169" t="n">
        <v>8.800000000000001</v>
      </c>
      <c r="G2472" s="92">
        <f t="array" ref="G2472">IF(B2472="insumo",_xlfn.XLOOKUP($D2472,Insumos!$B$1:$B$996,Insumos!$D$1:$D$996),"")</f>
        <v/>
      </c>
      <c r="H2472" s="92" t="n">
        <v>8.359999999999999</v>
      </c>
      <c r="I2472" s="2165" t="n">
        <v>0</v>
      </c>
      <c r="J2472" s="2165" t="n">
        <v>0</v>
      </c>
      <c r="K2472" s="2165" t="n"/>
    </row>
    <row r="2473" outlineLevel="3" ht="12.75" customHeight="1">
      <c r="A2473" s="82" t="n">
        <v>17</v>
      </c>
      <c r="B2473" s="82" t="inlineStr">
        <is>
          <t>Insumo</t>
        </is>
      </c>
      <c r="C2473" s="82" t="inlineStr">
        <is>
          <t>Revestimento em paredes, 61x 61cm com Junta de 3mm</t>
        </is>
      </c>
      <c r="D2473" s="82" t="inlineStr">
        <is>
          <t>Espeçador junta piso 3mm</t>
        </is>
      </c>
      <c r="E2473" s="11">
        <f t="array" ref="E2473">_xlfn.XLOOKUP(D2473,Insumos!B:B,Insumos!C:$C)</f>
        <v/>
      </c>
      <c r="F2473" s="2169" t="n">
        <v>1</v>
      </c>
      <c r="G2473" s="92">
        <f t="array" ref="G2473">IF(B2473="insumo",_xlfn.XLOOKUP($D2473,Insumos!$B$1:$B$996,Insumos!$D$1:$D$996),"")</f>
        <v/>
      </c>
      <c r="H2473" s="92" t="n">
        <v>0.05</v>
      </c>
      <c r="I2473" s="2165" t="n">
        <v>0</v>
      </c>
      <c r="J2473" s="2165" t="n">
        <v>0</v>
      </c>
      <c r="K2473" s="2165" t="n"/>
    </row>
    <row r="2474" outlineLevel="3" ht="12.75" customHeight="1">
      <c r="A2474" s="82" t="n">
        <v>101</v>
      </c>
      <c r="B2474" s="82" t="inlineStr">
        <is>
          <t>Insumo</t>
        </is>
      </c>
      <c r="C2474" s="82" t="inlineStr">
        <is>
          <t>Revestimento em paredes, 61x 61cm com Junta de 3mm</t>
        </is>
      </c>
      <c r="D2474" s="82" t="inlineStr">
        <is>
          <t>Rejunte Cimentício</t>
        </is>
      </c>
      <c r="E2474" s="11">
        <f t="array" ref="E2474">_xlfn.XLOOKUP(D2474,Insumos!B:B,Insumos!C:$C)</f>
        <v/>
      </c>
      <c r="F2474" s="2169" t="n">
        <v>0.02</v>
      </c>
      <c r="G2474" s="92">
        <f t="array" ref="G2474">IF(B2474="insumo",_xlfn.XLOOKUP($D2474,Insumos!$B$1:$B$996,Insumos!$D$1:$D$996),"")</f>
        <v/>
      </c>
      <c r="H2474" s="92" t="n">
        <v>0.223</v>
      </c>
      <c r="I2474" s="2165" t="n">
        <v>0</v>
      </c>
      <c r="J2474" s="2165" t="n">
        <v>0</v>
      </c>
      <c r="K2474" s="2165" t="n"/>
    </row>
    <row r="2475" outlineLevel="2" ht="12.75" customHeight="1">
      <c r="A2475" s="1071" t="n">
        <v>1</v>
      </c>
      <c r="B2475" s="1071" t="inlineStr">
        <is>
          <t>Serviço</t>
        </is>
      </c>
      <c r="C2475" s="1071" t="inlineStr">
        <is>
          <t>Revestimento em Parede de Azulejo JK Solid | Estúdio Mosaico</t>
        </is>
      </c>
      <c r="D2475" s="1071" t="inlineStr">
        <is>
          <t>Revestimento em Parede de Azulejo JK Solid | Estúdio Mosaico</t>
        </is>
      </c>
      <c r="E2475" s="1072" t="inlineStr">
        <is>
          <t>M2</t>
        </is>
      </c>
      <c r="F2475" s="1071" t="n"/>
      <c r="G2475" s="1073">
        <f t="array" ref="G2475">IF(B2475="insumo",_xlfn.XLOOKUP($D2475,Insumos!$B$1:$B$996,Insumos!$D$1:$D$996),"")</f>
        <v/>
      </c>
      <c r="H2475" s="1073" t="n">
        <v>700.779275</v>
      </c>
      <c r="I2475" s="2163" t="n">
        <v>0</v>
      </c>
      <c r="J2475" s="2163" t="n">
        <v>0</v>
      </c>
      <c r="K2475" s="2163" t="n"/>
    </row>
    <row r="2476" outlineLevel="3" ht="12.75" customHeight="1">
      <c r="A2476" s="82" t="n">
        <v>1</v>
      </c>
      <c r="B2476" s="82" t="inlineStr">
        <is>
          <t>Insumo</t>
        </is>
      </c>
      <c r="C2476" s="82" t="inlineStr">
        <is>
          <t>Revestimento em Parede de Azulejo JK Solid | Estúdio Mosaico</t>
        </is>
      </c>
      <c r="D2476" s="82" t="inlineStr">
        <is>
          <t>Revestimento em Parede de Azulejo JK Solid | Estúdio Mosaico</t>
        </is>
      </c>
      <c r="E2476" s="11">
        <f t="array" ref="E2476">_xlfn.XLOOKUP(D2476,Insumos!B:B,Insumos!C:$C)</f>
        <v/>
      </c>
      <c r="F2476" s="2169" t="n">
        <v>1.1</v>
      </c>
      <c r="G2476" s="92">
        <f t="array" ref="G2476">IF(B2476="insumo",_xlfn.XLOOKUP($D2476,Insumos!$B$1:$B$996,Insumos!$D$1:$D$996),"")</f>
        <v/>
      </c>
      <c r="H2476" s="92" t="n">
        <v>693</v>
      </c>
      <c r="I2476" s="2165" t="n">
        <v>0</v>
      </c>
      <c r="J2476" s="2165" t="n">
        <v>0</v>
      </c>
      <c r="K2476" s="2165" t="n"/>
    </row>
    <row r="2477" outlineLevel="3" ht="12.75" customHeight="1">
      <c r="A2477" s="82" t="n">
        <v>191</v>
      </c>
      <c r="B2477" s="82" t="inlineStr">
        <is>
          <t>Insumo</t>
        </is>
      </c>
      <c r="C2477" s="82" t="inlineStr">
        <is>
          <t>Revestimento em Parede de Azulejo JK Solid | Estúdio Mosaico</t>
        </is>
      </c>
      <c r="D2477" s="82" t="inlineStr">
        <is>
          <t>Argamassa ACIII</t>
        </is>
      </c>
      <c r="E2477" s="11">
        <f t="array" ref="E2477">_xlfn.XLOOKUP(D2477,Insumos!B:B,Insumos!C:$C)</f>
        <v/>
      </c>
      <c r="F2477" s="2169" t="n">
        <v>4.95</v>
      </c>
      <c r="G2477" s="92">
        <f t="array" ref="G2477">IF(B2477="insumo",_xlfn.XLOOKUP($D2477,Insumos!$B$1:$B$996,Insumos!$D$1:$D$996),"")</f>
        <v/>
      </c>
      <c r="H2477" s="92" t="n">
        <v>5.269275</v>
      </c>
      <c r="I2477" s="2165" t="n">
        <v>0</v>
      </c>
      <c r="J2477" s="2165" t="n">
        <v>0</v>
      </c>
      <c r="K2477" s="2165" t="n"/>
    </row>
    <row r="2478" outlineLevel="3" ht="12.75" customHeight="1">
      <c r="A2478" s="82" t="n">
        <v>142</v>
      </c>
      <c r="B2478" s="82" t="inlineStr">
        <is>
          <t>Insumo</t>
        </is>
      </c>
      <c r="C2478" s="82" t="inlineStr">
        <is>
          <t>Revestimento em Parede de Azulejo JK Solid | Estúdio Mosaico</t>
        </is>
      </c>
      <c r="D2478" s="82" t="inlineStr">
        <is>
          <t>Espeçador junta piso 2mm</t>
        </is>
      </c>
      <c r="E2478" s="11">
        <f t="array" ref="E2478">_xlfn.XLOOKUP(D2478,Insumos!B:B,Insumos!C:$C)</f>
        <v/>
      </c>
      <c r="F2478" s="2169" t="n">
        <v>4</v>
      </c>
      <c r="G2478" s="92">
        <f t="array" ref="G2478">IF(B2478="insumo",_xlfn.XLOOKUP($D2478,Insumos!$B$1:$B$996,Insumos!$D$1:$D$996),"")</f>
        <v/>
      </c>
      <c r="H2478" s="92" t="n">
        <v>0.32</v>
      </c>
      <c r="I2478" s="2165" t="n">
        <v>0</v>
      </c>
      <c r="J2478" s="2165" t="n">
        <v>0</v>
      </c>
      <c r="K2478" s="2165" t="n"/>
    </row>
    <row r="2479" outlineLevel="3" ht="12.75" customHeight="1">
      <c r="A2479" s="82" t="n">
        <v>22</v>
      </c>
      <c r="B2479" s="82" t="inlineStr">
        <is>
          <t>Insumo</t>
        </is>
      </c>
      <c r="C2479" s="82" t="inlineStr">
        <is>
          <t>Revestimento em Parede de Azulejo JK Solid | Estúdio Mosaico</t>
        </is>
      </c>
      <c r="D2479" s="82" t="inlineStr">
        <is>
          <t>Rejunte acrilico</t>
        </is>
      </c>
      <c r="E2479" s="11">
        <f t="array" ref="E2479">_xlfn.XLOOKUP(D2479,Insumos!B:B,Insumos!C:$C)</f>
        <v/>
      </c>
      <c r="F2479" s="2169" t="n">
        <v>0.05</v>
      </c>
      <c r="G2479" s="92">
        <f t="array" ref="G2479">IF(B2479="insumo",_xlfn.XLOOKUP($D2479,Insumos!$B$1:$B$996,Insumos!$D$1:$D$996),"")</f>
        <v/>
      </c>
      <c r="H2479" s="92" t="n">
        <v>2.19</v>
      </c>
      <c r="I2479" s="2165" t="n">
        <v>0</v>
      </c>
      <c r="J2479" s="2165" t="n">
        <v>0</v>
      </c>
      <c r="K2479" s="2165" t="n"/>
    </row>
    <row r="2480" outlineLevel="2" ht="12.75" customHeight="1">
      <c r="A2480" s="1071" t="n">
        <v>1</v>
      </c>
      <c r="B2480" s="1071" t="inlineStr">
        <is>
          <t>Serviço</t>
        </is>
      </c>
      <c r="C2480" s="1071" t="inlineStr">
        <is>
          <t>Revestimento em Parede de porcelanato hexagonal branco</t>
        </is>
      </c>
      <c r="D2480" s="1071" t="inlineStr">
        <is>
          <t>Revestimento em Parede de porcelanato hexagonal branco</t>
        </is>
      </c>
      <c r="E2480" s="1072" t="inlineStr">
        <is>
          <t>M2</t>
        </is>
      </c>
      <c r="F2480" s="1071" t="n"/>
      <c r="G2480" s="1073">
        <f t="array" ref="G2480">IF(B2480="insumo",_xlfn.XLOOKUP($D2480,Insumos!$B$1:$B$996,Insumos!$D$1:$D$996),"")</f>
        <v/>
      </c>
      <c r="H2480" s="1073" t="n">
        <v>239.879275</v>
      </c>
      <c r="I2480" s="2163" t="n">
        <v>0</v>
      </c>
      <c r="J2480" s="2163" t="n">
        <v>0</v>
      </c>
      <c r="K2480" s="2163" t="n"/>
    </row>
    <row r="2481" outlineLevel="3" ht="12.75" customHeight="1">
      <c r="A2481" s="82" t="n">
        <v>2</v>
      </c>
      <c r="B2481" s="82" t="inlineStr">
        <is>
          <t>Insumo</t>
        </is>
      </c>
      <c r="C2481" s="82" t="inlineStr">
        <is>
          <t>Revestimento em Parede de porcelanato hexagonal branco</t>
        </is>
      </c>
      <c r="D2481" s="82" t="inlineStr">
        <is>
          <t>Revestimento para Parede Hexa Blue 22,8x22,8cm Ceral</t>
        </is>
      </c>
      <c r="E2481" s="11">
        <f t="array" ref="E2481">_xlfn.XLOOKUP(D2481,Insumos!B:B,Insumos!C:$C)</f>
        <v/>
      </c>
      <c r="F2481" s="2169" t="n">
        <v>1.1</v>
      </c>
      <c r="G2481" s="92">
        <f t="array" ref="G2481">IF(B2481="insumo",_xlfn.XLOOKUP($D2481,Insumos!$B$1:$B$996,Insumos!$D$1:$D$996),"")</f>
        <v/>
      </c>
      <c r="H2481" s="92" t="n">
        <v>232.1</v>
      </c>
      <c r="I2481" s="2165" t="n">
        <v>0</v>
      </c>
      <c r="J2481" s="2165" t="n">
        <v>0</v>
      </c>
      <c r="K2481" s="2165" t="n"/>
    </row>
    <row r="2482" outlineLevel="3" ht="12.75" customHeight="1">
      <c r="A2482" s="82" t="n">
        <v>191</v>
      </c>
      <c r="B2482" s="82" t="inlineStr">
        <is>
          <t>Insumo</t>
        </is>
      </c>
      <c r="C2482" s="82" t="inlineStr">
        <is>
          <t>Revestimento em Parede de porcelanato hexagonal branco</t>
        </is>
      </c>
      <c r="D2482" s="82" t="inlineStr">
        <is>
          <t>Argamassa ACIII</t>
        </is>
      </c>
      <c r="E2482" s="11">
        <f t="array" ref="E2482">_xlfn.XLOOKUP(D2482,Insumos!B:B,Insumos!C:$C)</f>
        <v/>
      </c>
      <c r="F2482" s="2169" t="n">
        <v>4.95</v>
      </c>
      <c r="G2482" s="92">
        <f t="array" ref="G2482">IF(B2482="insumo",_xlfn.XLOOKUP($D2482,Insumos!$B$1:$B$996,Insumos!$D$1:$D$996),"")</f>
        <v/>
      </c>
      <c r="H2482" s="92" t="n">
        <v>5.269275</v>
      </c>
      <c r="I2482" s="2165" t="n">
        <v>0</v>
      </c>
      <c r="J2482" s="2165" t="n">
        <v>0</v>
      </c>
      <c r="K2482" s="2165" t="n"/>
    </row>
    <row r="2483" outlineLevel="3" ht="12.75" customHeight="1">
      <c r="A2483" s="82" t="n">
        <v>142</v>
      </c>
      <c r="B2483" s="82" t="inlineStr">
        <is>
          <t>Insumo</t>
        </is>
      </c>
      <c r="C2483" s="82" t="inlineStr">
        <is>
          <t>Revestimento em Parede de porcelanato hexagonal branco</t>
        </is>
      </c>
      <c r="D2483" s="82" t="inlineStr">
        <is>
          <t>Espeçador junta piso 2mm</t>
        </is>
      </c>
      <c r="E2483" s="11">
        <f t="array" ref="E2483">_xlfn.XLOOKUP(D2483,Insumos!B:B,Insumos!C:$C)</f>
        <v/>
      </c>
      <c r="F2483" s="2169" t="n">
        <v>4</v>
      </c>
      <c r="G2483" s="92">
        <f t="array" ref="G2483">IF(B2483="insumo",_xlfn.XLOOKUP($D2483,Insumos!$B$1:$B$996,Insumos!$D$1:$D$996),"")</f>
        <v/>
      </c>
      <c r="H2483" s="92" t="n">
        <v>0.32</v>
      </c>
      <c r="I2483" s="2165" t="n">
        <v>0</v>
      </c>
      <c r="J2483" s="2165" t="n">
        <v>0</v>
      </c>
      <c r="K2483" s="2165" t="n"/>
    </row>
    <row r="2484" outlineLevel="3" ht="12.75" customHeight="1">
      <c r="A2484" s="82" t="n">
        <v>22</v>
      </c>
      <c r="B2484" s="82" t="inlineStr">
        <is>
          <t>Insumo</t>
        </is>
      </c>
      <c r="C2484" s="82" t="inlineStr">
        <is>
          <t>Revestimento em Parede de porcelanato hexagonal branco</t>
        </is>
      </c>
      <c r="D2484" s="82" t="inlineStr">
        <is>
          <t>Rejunte acrilico</t>
        </is>
      </c>
      <c r="E2484" s="11">
        <f t="array" ref="E2484">_xlfn.XLOOKUP(D2484,Insumos!B:B,Insumos!C:$C)</f>
        <v/>
      </c>
      <c r="F2484" s="2169" t="n">
        <v>0.05</v>
      </c>
      <c r="G2484" s="92">
        <f t="array" ref="G2484">IF(B2484="insumo",_xlfn.XLOOKUP($D2484,Insumos!$B$1:$B$996,Insumos!$D$1:$D$996),"")</f>
        <v/>
      </c>
      <c r="H2484" s="92" t="n">
        <v>2.19</v>
      </c>
      <c r="I2484" s="2165" t="n">
        <v>0</v>
      </c>
      <c r="J2484" s="2165" t="n">
        <v>0</v>
      </c>
      <c r="K2484" s="2165" t="n"/>
    </row>
    <row r="2485" outlineLevel="2" ht="12.75" customHeight="1">
      <c r="A2485" s="1071" t="n">
        <v>1</v>
      </c>
      <c r="B2485" s="1071" t="inlineStr">
        <is>
          <t>Serviço</t>
        </is>
      </c>
      <c r="C2485" s="1071" t="inlineStr">
        <is>
          <t>Revestimento em Parede de porcelanato hexagonal azul</t>
        </is>
      </c>
      <c r="D2485" s="1071" t="inlineStr">
        <is>
          <t>Revestimento em Parede de porcelanato hexagonal azul</t>
        </is>
      </c>
      <c r="E2485" s="1072" t="inlineStr">
        <is>
          <t>M2</t>
        </is>
      </c>
      <c r="F2485" s="1071" t="n"/>
      <c r="G2485" s="1073">
        <f t="array" ref="G2485">IF(B2485="insumo",_xlfn.XLOOKUP($D2485,Insumos!$B$1:$B$996,Insumos!$D$1:$D$996),"")</f>
        <v/>
      </c>
      <c r="H2485" s="1073" t="n">
        <v>239.879275</v>
      </c>
      <c r="I2485" s="2163" t="n">
        <v>0</v>
      </c>
      <c r="J2485" s="2163" t="n">
        <v>0</v>
      </c>
      <c r="K2485" s="2163" t="n"/>
    </row>
    <row r="2486" outlineLevel="3" ht="12.75" customHeight="1">
      <c r="A2486" s="82" t="n">
        <v>2</v>
      </c>
      <c r="B2486" s="82" t="inlineStr">
        <is>
          <t>Insumo</t>
        </is>
      </c>
      <c r="C2486" s="82" t="inlineStr">
        <is>
          <t>Revestimento em Parede de porcelanato hexagonal azul</t>
        </is>
      </c>
      <c r="D2486" s="82" t="inlineStr">
        <is>
          <t>Revestimento para Parede Hexa Blue 22,8x22,8cm Ceral</t>
        </is>
      </c>
      <c r="E2486" s="11">
        <f t="array" ref="E2486">_xlfn.XLOOKUP(D2486,Insumos!B:B,Insumos!C:$C)</f>
        <v/>
      </c>
      <c r="F2486" s="2169" t="n">
        <v>1.1</v>
      </c>
      <c r="G2486" s="92">
        <f t="array" ref="G2486">IF(B2486="insumo",_xlfn.XLOOKUP($D2486,Insumos!$B$1:$B$996,Insumos!$D$1:$D$996),"")</f>
        <v/>
      </c>
      <c r="H2486" s="92" t="n">
        <v>232.1</v>
      </c>
      <c r="I2486" s="2165" t="n">
        <v>0</v>
      </c>
      <c r="J2486" s="2165" t="n">
        <v>0</v>
      </c>
      <c r="K2486" s="2165" t="n"/>
    </row>
    <row r="2487" outlineLevel="3" ht="12.75" customHeight="1">
      <c r="A2487" s="82" t="n">
        <v>191</v>
      </c>
      <c r="B2487" s="82" t="inlineStr">
        <is>
          <t>Insumo</t>
        </is>
      </c>
      <c r="C2487" s="82" t="inlineStr">
        <is>
          <t>Revestimento em Parede de porcelanato hexagonal azul</t>
        </is>
      </c>
      <c r="D2487" s="82" t="inlineStr">
        <is>
          <t>Argamassa ACIII</t>
        </is>
      </c>
      <c r="E2487" s="11">
        <f t="array" ref="E2487">_xlfn.XLOOKUP(D2487,Insumos!B:B,Insumos!C:$C)</f>
        <v/>
      </c>
      <c r="F2487" s="2169" t="n">
        <v>4.95</v>
      </c>
      <c r="G2487" s="92">
        <f t="array" ref="G2487">IF(B2487="insumo",_xlfn.XLOOKUP($D2487,Insumos!$B$1:$B$996,Insumos!$D$1:$D$996),"")</f>
        <v/>
      </c>
      <c r="H2487" s="92" t="n">
        <v>5.269275</v>
      </c>
      <c r="I2487" s="2165" t="n">
        <v>0</v>
      </c>
      <c r="J2487" s="2165" t="n">
        <v>0</v>
      </c>
      <c r="K2487" s="2165" t="n"/>
    </row>
    <row r="2488" outlineLevel="3" ht="12.75" customHeight="1">
      <c r="A2488" s="82" t="n">
        <v>142</v>
      </c>
      <c r="B2488" s="82" t="inlineStr">
        <is>
          <t>Insumo</t>
        </is>
      </c>
      <c r="C2488" s="82" t="inlineStr">
        <is>
          <t>Revestimento em Parede de porcelanato hexagonal azul</t>
        </is>
      </c>
      <c r="D2488" s="82" t="inlineStr">
        <is>
          <t>Espeçador junta piso 2mm</t>
        </is>
      </c>
      <c r="E2488" s="11">
        <f t="array" ref="E2488">_xlfn.XLOOKUP(D2488,Insumos!B:B,Insumos!C:$C)</f>
        <v/>
      </c>
      <c r="F2488" s="2169" t="n">
        <v>4</v>
      </c>
      <c r="G2488" s="92">
        <f t="array" ref="G2488">IF(B2488="insumo",_xlfn.XLOOKUP($D2488,Insumos!$B$1:$B$996,Insumos!$D$1:$D$996),"")</f>
        <v/>
      </c>
      <c r="H2488" s="92" t="n">
        <v>0.32</v>
      </c>
      <c r="I2488" s="2165" t="n">
        <v>0</v>
      </c>
      <c r="J2488" s="2165" t="n">
        <v>0</v>
      </c>
      <c r="K2488" s="2165" t="n"/>
    </row>
    <row r="2489" outlineLevel="3" ht="12.75" customHeight="1">
      <c r="A2489" s="82" t="n">
        <v>22</v>
      </c>
      <c r="B2489" s="82" t="inlineStr">
        <is>
          <t>Insumo</t>
        </is>
      </c>
      <c r="C2489" s="82" t="inlineStr">
        <is>
          <t>Revestimento em Parede de porcelanato hexagonal azul</t>
        </is>
      </c>
      <c r="D2489" s="82" t="inlineStr">
        <is>
          <t>Rejunte acrilico</t>
        </is>
      </c>
      <c r="E2489" s="11">
        <f t="array" ref="E2489">_xlfn.XLOOKUP(D2489,Insumos!B:B,Insumos!C:$C)</f>
        <v/>
      </c>
      <c r="F2489" s="2169" t="n">
        <v>0.05</v>
      </c>
      <c r="G2489" s="92">
        <f t="array" ref="G2489">IF(B2489="insumo",_xlfn.XLOOKUP($D2489,Insumos!$B$1:$B$996,Insumos!$D$1:$D$996),"")</f>
        <v/>
      </c>
      <c r="H2489" s="92" t="n">
        <v>2.19</v>
      </c>
      <c r="I2489" s="2165" t="n">
        <v>0</v>
      </c>
      <c r="J2489" s="2165" t="n">
        <v>0</v>
      </c>
      <c r="K2489" s="2165" t="n"/>
    </row>
    <row r="2490" outlineLevel="2" ht="12.75" customHeight="1">
      <c r="A2490" s="1071" t="n">
        <v>1</v>
      </c>
      <c r="B2490" s="1071" t="inlineStr">
        <is>
          <t>Serviço</t>
        </is>
      </c>
      <c r="C2490" s="1071" t="inlineStr">
        <is>
          <t>Revestimento de Parede Porcelanato Eliane Revestimentos – Linha Lumina Areia 20x20</t>
        </is>
      </c>
      <c r="D2490" s="1071" t="inlineStr">
        <is>
          <t>Revestimento de Parede Porcelanato Eliane Revestimentos – Linha Lumina Areia 20x20</t>
        </is>
      </c>
      <c r="E2490" s="1072" t="inlineStr">
        <is>
          <t>M2</t>
        </is>
      </c>
      <c r="F2490" s="1071" t="n"/>
      <c r="G2490" s="1073">
        <f t="array" ref="G2490">IF(B2490="insumo",_xlfn.XLOOKUP($D2490,Insumos!$B$1:$B$996,Insumos!$D$1:$D$996),"")</f>
        <v/>
      </c>
      <c r="H2490" s="1073" t="n">
        <v>136.0591</v>
      </c>
      <c r="I2490" s="2163" t="n">
        <v>0</v>
      </c>
      <c r="J2490" s="2163" t="n">
        <v>0</v>
      </c>
      <c r="K2490" s="2163" t="n"/>
    </row>
    <row r="2491" outlineLevel="3" ht="12.75" customHeight="1">
      <c r="A2491" s="82" t="n">
        <v>1</v>
      </c>
      <c r="B2491" s="82" t="inlineStr">
        <is>
          <t>Insumo</t>
        </is>
      </c>
      <c r="C2491" s="82" t="inlineStr">
        <is>
          <t>Revestimento de Parede Porcelanato Eliane Revestimentos – Linha Lumina Areia 20x20</t>
        </is>
      </c>
      <c r="D2491" s="82" t="inlineStr">
        <is>
          <t>Porcelanato Eliane Revestimentos – Linha Lumina Areia 20x20</t>
        </is>
      </c>
      <c r="E2491" s="11">
        <f t="array" ref="E2491">_xlfn.XLOOKUP(D2491,Insumos!B:B,Insumos!C:$C)</f>
        <v/>
      </c>
      <c r="F2491" s="2169" t="n">
        <v>1.1</v>
      </c>
      <c r="G2491" s="92">
        <f t="array" ref="G2491">IF(B2491="insumo",_xlfn.XLOOKUP($D2491,Insumos!$B$1:$B$996,Insumos!$D$1:$D$996),"")</f>
        <v/>
      </c>
      <c r="H2491" s="92" t="n">
        <v>126.5</v>
      </c>
      <c r="I2491" s="2165" t="n">
        <v>0</v>
      </c>
      <c r="J2491" s="2165" t="n">
        <v>0</v>
      </c>
      <c r="K2491" s="2165" t="n"/>
    </row>
    <row r="2492" outlineLevel="3" ht="12.75" customHeight="1">
      <c r="A2492" s="82" t="n">
        <v>191</v>
      </c>
      <c r="B2492" s="82" t="inlineStr">
        <is>
          <t>Insumo</t>
        </is>
      </c>
      <c r="C2492" s="82" t="inlineStr">
        <is>
          <t>Revestimento de Parede Porcelanato Eliane Revestimentos – Linha Lumina Areia 20x20</t>
        </is>
      </c>
      <c r="D2492" s="82" t="inlineStr">
        <is>
          <t>Argamassa ACIII</t>
        </is>
      </c>
      <c r="E2492" s="11">
        <f t="array" ref="E2492">_xlfn.XLOOKUP(D2492,Insumos!B:B,Insumos!C:$C)</f>
        <v/>
      </c>
      <c r="F2492" s="2169" t="n">
        <v>8.800000000000001</v>
      </c>
      <c r="G2492" s="92">
        <f t="array" ref="G2492">IF(B2492="insumo",_xlfn.XLOOKUP($D2492,Insumos!$B$1:$B$996,Insumos!$D$1:$D$996),"")</f>
        <v/>
      </c>
      <c r="H2492" s="92" t="n">
        <v>9.367599999999999</v>
      </c>
      <c r="I2492" s="2165" t="n">
        <v>0</v>
      </c>
      <c r="J2492" s="2165" t="n">
        <v>0</v>
      </c>
      <c r="K2492" s="2165" t="n"/>
    </row>
    <row r="2493" outlineLevel="3" ht="12.75" customHeight="1">
      <c r="A2493" s="82" t="n">
        <v>142</v>
      </c>
      <c r="B2493" s="82" t="inlineStr">
        <is>
          <t>Insumo</t>
        </is>
      </c>
      <c r="C2493" s="82" t="inlineStr">
        <is>
          <t>Revestimento de Parede Porcelanato Eliane Revestimentos – Linha Lumina Areia 20x20</t>
        </is>
      </c>
      <c r="D2493" s="82" t="inlineStr">
        <is>
          <t>Espeçador junta piso 2mm</t>
        </is>
      </c>
      <c r="E2493" s="11">
        <f t="array" ref="E2493">_xlfn.XLOOKUP(D2493,Insumos!B:B,Insumos!C:$C)</f>
        <v/>
      </c>
      <c r="F2493" s="2169" t="n">
        <v>1</v>
      </c>
      <c r="G2493" s="92">
        <f t="array" ref="G2493">IF(B2493="insumo",_xlfn.XLOOKUP($D2493,Insumos!$B$1:$B$996,Insumos!$D$1:$D$996),"")</f>
        <v/>
      </c>
      <c r="H2493" s="92" t="n">
        <v>0.08</v>
      </c>
      <c r="I2493" s="2165" t="n">
        <v>0</v>
      </c>
      <c r="J2493" s="2165" t="n">
        <v>0</v>
      </c>
      <c r="K2493" s="2165" t="n"/>
    </row>
    <row r="2494" outlineLevel="3" ht="12.75" customHeight="1">
      <c r="A2494" s="82" t="n">
        <v>101</v>
      </c>
      <c r="B2494" s="82" t="inlineStr">
        <is>
          <t>Insumo</t>
        </is>
      </c>
      <c r="C2494" s="82" t="inlineStr">
        <is>
          <t>Revestimento de Parede Porcelanato Eliane Revestimentos – Linha Lumina Areia 20x20</t>
        </is>
      </c>
      <c r="D2494" s="82" t="inlineStr">
        <is>
          <t>Rejunte Cimentício</t>
        </is>
      </c>
      <c r="E2494" s="11">
        <f t="array" ref="E2494">_xlfn.XLOOKUP(D2494,Insumos!B:B,Insumos!C:$C)</f>
        <v/>
      </c>
      <c r="F2494" s="2169" t="n">
        <v>0.01</v>
      </c>
      <c r="G2494" s="92">
        <f t="array" ref="G2494">IF(B2494="insumo",_xlfn.XLOOKUP($D2494,Insumos!$B$1:$B$996,Insumos!$D$1:$D$996),"")</f>
        <v/>
      </c>
      <c r="H2494" s="92" t="n">
        <v>0.1115</v>
      </c>
      <c r="I2494" s="2165" t="n">
        <v>0</v>
      </c>
      <c r="J2494" s="2165" t="n">
        <v>0</v>
      </c>
      <c r="K2494" s="2165" t="n"/>
    </row>
    <row r="2495" outlineLevel="2" ht="12.75" customHeight="1">
      <c r="A2495" s="1071" t="n">
        <v>1</v>
      </c>
      <c r="B2495" s="1071" t="inlineStr">
        <is>
          <t>Serviço</t>
        </is>
      </c>
      <c r="C2495" s="1071" t="inlineStr">
        <is>
          <t>Revestimento de Parede Porcelanato Portobello – Coleção “Graphite Retro Geo”</t>
        </is>
      </c>
      <c r="D2495" s="1071" t="inlineStr">
        <is>
          <t>Revestimento de Parede Porcelanato Portobello – Coleção “Graphite Retro Geo”</t>
        </is>
      </c>
      <c r="E2495" s="1072" t="inlineStr">
        <is>
          <t>M2</t>
        </is>
      </c>
      <c r="F2495" s="1071" t="n"/>
      <c r="G2495" s="1073">
        <f t="array" ref="G2495">IF(B2495="insumo",_xlfn.XLOOKUP($D2495,Insumos!$B$1:$B$996,Insumos!$D$1:$D$996),"")</f>
        <v/>
      </c>
      <c r="H2495" s="1073" t="n">
        <v>158.0591</v>
      </c>
      <c r="I2495" s="2163" t="n">
        <v>0</v>
      </c>
      <c r="J2495" s="2163" t="n">
        <v>0</v>
      </c>
      <c r="K2495" s="2163" t="n"/>
    </row>
    <row r="2496" outlineLevel="3" ht="12.75" customHeight="1">
      <c r="A2496" s="82" t="n">
        <v>1</v>
      </c>
      <c r="B2496" s="82" t="inlineStr">
        <is>
          <t>Insumo</t>
        </is>
      </c>
      <c r="C2496" s="82" t="inlineStr">
        <is>
          <t>Revestimento de Parede Porcelanato Portobello – Coleção “Graphite Retro Geo”</t>
        </is>
      </c>
      <c r="D2496" s="82" t="inlineStr">
        <is>
          <t xml:space="preserve"> Porcelanato Portobello – Coleção “Graphite Retro Geo”</t>
        </is>
      </c>
      <c r="E2496" s="11">
        <f t="array" ref="E2496">_xlfn.XLOOKUP(D2496,Insumos!B:B,Insumos!C:$C)</f>
        <v/>
      </c>
      <c r="F2496" s="2169" t="n">
        <v>1.1</v>
      </c>
      <c r="G2496" s="92">
        <f t="array" ref="G2496">IF(B2496="insumo",_xlfn.XLOOKUP($D2496,Insumos!$B$1:$B$996,Insumos!$D$1:$D$996),"")</f>
        <v/>
      </c>
      <c r="H2496" s="92" t="n">
        <v>148.5</v>
      </c>
      <c r="I2496" s="2165" t="n">
        <v>0</v>
      </c>
      <c r="J2496" s="2165" t="n">
        <v>0</v>
      </c>
      <c r="K2496" s="2165" t="n"/>
    </row>
    <row r="2497" outlineLevel="3" ht="12.75" customHeight="1">
      <c r="A2497" s="82" t="n">
        <v>191</v>
      </c>
      <c r="B2497" s="82" t="inlineStr">
        <is>
          <t>Insumo</t>
        </is>
      </c>
      <c r="C2497" s="82" t="inlineStr">
        <is>
          <t>Revestimento de Parede Porcelanato Portobello – Coleção “Graphite Retro Geo”</t>
        </is>
      </c>
      <c r="D2497" s="82" t="inlineStr">
        <is>
          <t>Argamassa ACIII</t>
        </is>
      </c>
      <c r="E2497" s="11">
        <f t="array" ref="E2497">_xlfn.XLOOKUP(D2497,Insumos!B:B,Insumos!C:$C)</f>
        <v/>
      </c>
      <c r="F2497" s="2169" t="n">
        <v>8.800000000000001</v>
      </c>
      <c r="G2497" s="92">
        <f t="array" ref="G2497">IF(B2497="insumo",_xlfn.XLOOKUP($D2497,Insumos!$B$1:$B$996,Insumos!$D$1:$D$996),"")</f>
        <v/>
      </c>
      <c r="H2497" s="92" t="n">
        <v>9.367599999999999</v>
      </c>
      <c r="I2497" s="2165" t="n">
        <v>0</v>
      </c>
      <c r="J2497" s="2165" t="n">
        <v>0</v>
      </c>
      <c r="K2497" s="2165" t="n"/>
    </row>
    <row r="2498" outlineLevel="3" ht="12.75" customHeight="1">
      <c r="A2498" s="82" t="n">
        <v>142</v>
      </c>
      <c r="B2498" s="82" t="inlineStr">
        <is>
          <t>Insumo</t>
        </is>
      </c>
      <c r="C2498" s="82" t="inlineStr">
        <is>
          <t>Revestimento de Parede Porcelanato Portobello – Coleção “Graphite Retro Geo”</t>
        </is>
      </c>
      <c r="D2498" s="82" t="inlineStr">
        <is>
          <t>Espeçador junta piso 2mm</t>
        </is>
      </c>
      <c r="E2498" s="11">
        <f t="array" ref="E2498">_xlfn.XLOOKUP(D2498,Insumos!B:B,Insumos!C:$C)</f>
        <v/>
      </c>
      <c r="F2498" s="2169" t="n">
        <v>1</v>
      </c>
      <c r="G2498" s="92">
        <f t="array" ref="G2498">IF(B2498="insumo",_xlfn.XLOOKUP($D2498,Insumos!$B$1:$B$996,Insumos!$D$1:$D$996),"")</f>
        <v/>
      </c>
      <c r="H2498" s="92" t="n">
        <v>0.08</v>
      </c>
      <c r="I2498" s="2165" t="n">
        <v>0</v>
      </c>
      <c r="J2498" s="2165" t="n">
        <v>0</v>
      </c>
      <c r="K2498" s="2165" t="n"/>
    </row>
    <row r="2499" outlineLevel="3" ht="12.75" customHeight="1">
      <c r="A2499" s="82" t="n">
        <v>101</v>
      </c>
      <c r="B2499" s="82" t="inlineStr">
        <is>
          <t>Insumo</t>
        </is>
      </c>
      <c r="C2499" s="82" t="inlineStr">
        <is>
          <t>Revestimento de Parede Porcelanato Portobello – Coleção “Graphite Retro Geo”</t>
        </is>
      </c>
      <c r="D2499" s="82" t="inlineStr">
        <is>
          <t>Rejunte Cimentício</t>
        </is>
      </c>
      <c r="E2499" s="11">
        <f t="array" ref="E2499">_xlfn.XLOOKUP(D2499,Insumos!B:B,Insumos!C:$C)</f>
        <v/>
      </c>
      <c r="F2499" s="2169" t="n">
        <v>0.01</v>
      </c>
      <c r="G2499" s="92">
        <f t="array" ref="G2499">IF(B2499="insumo",_xlfn.XLOOKUP($D2499,Insumos!$B$1:$B$996,Insumos!$D$1:$D$996),"")</f>
        <v/>
      </c>
      <c r="H2499" s="92" t="n">
        <v>0.1115</v>
      </c>
      <c r="I2499" s="2165" t="n">
        <v>0</v>
      </c>
      <c r="J2499" s="2165" t="n">
        <v>0</v>
      </c>
      <c r="K2499" s="2165" t="n"/>
    </row>
    <row r="2500" outlineLevel="2" ht="12.75" customHeight="1">
      <c r="A2500" s="1071" t="n">
        <v>1</v>
      </c>
      <c r="B2500" s="1071" t="inlineStr">
        <is>
          <t>Serviço</t>
        </is>
      </c>
      <c r="C2500" s="1071" t="inlineStr">
        <is>
          <t>Revestimento de parede em Cerâmica esmaltada listras</t>
        </is>
      </c>
      <c r="D2500" s="1071" t="inlineStr">
        <is>
          <t>Revestimento de parede em Cerâmica esmaltada listras</t>
        </is>
      </c>
      <c r="E2500" s="1072" t="inlineStr">
        <is>
          <t>M2</t>
        </is>
      </c>
      <c r="F2500" s="1071" t="n"/>
      <c r="G2500" s="1073">
        <f t="array" ref="G2500">IF(B2500="insumo",_xlfn.XLOOKUP($D2500,Insumos!$B$1:$B$996,Insumos!$D$1:$D$996),"")</f>
        <v/>
      </c>
      <c r="H2500" s="1073" t="n">
        <v>169.0591</v>
      </c>
      <c r="I2500" s="2163" t="n">
        <v>0</v>
      </c>
      <c r="J2500" s="2163" t="n">
        <v>0</v>
      </c>
      <c r="K2500" s="2163" t="n"/>
    </row>
    <row r="2501" outlineLevel="3" ht="12.75" customHeight="1">
      <c r="A2501" s="82" t="n">
        <v>1</v>
      </c>
      <c r="B2501" s="82" t="inlineStr">
        <is>
          <t>Insumo</t>
        </is>
      </c>
      <c r="C2501" s="82" t="inlineStr">
        <is>
          <t>Revestimento de parede em Cerâmica esmaltada listras</t>
        </is>
      </c>
      <c r="D2501" s="82" t="inlineStr">
        <is>
          <t>Cerâmica Tradição 23x23cm esmaltado listrado</t>
        </is>
      </c>
      <c r="E2501" s="11">
        <f t="array" ref="E2501">_xlfn.XLOOKUP(D2501,Insumos!B:B,Insumos!C:$C)</f>
        <v/>
      </c>
      <c r="F2501" s="2169" t="n">
        <v>1.1</v>
      </c>
      <c r="G2501" s="92">
        <f t="array" ref="G2501">IF(B2501="insumo",_xlfn.XLOOKUP($D2501,Insumos!$B$1:$B$996,Insumos!$D$1:$D$996),"")</f>
        <v/>
      </c>
      <c r="H2501" s="92" t="n">
        <v>159.5</v>
      </c>
      <c r="I2501" s="2165" t="n">
        <v>0</v>
      </c>
      <c r="J2501" s="2165" t="n">
        <v>0</v>
      </c>
      <c r="K2501" s="2165" t="n"/>
    </row>
    <row r="2502" outlineLevel="3" ht="12.75" customHeight="1">
      <c r="A2502" s="82" t="n">
        <v>191</v>
      </c>
      <c r="B2502" s="82" t="inlineStr">
        <is>
          <t>Insumo</t>
        </is>
      </c>
      <c r="C2502" s="82" t="inlineStr">
        <is>
          <t>Revestimento de parede em Cerâmica esmaltada listras</t>
        </is>
      </c>
      <c r="D2502" s="82" t="inlineStr">
        <is>
          <t>Argamassa ACIII</t>
        </is>
      </c>
      <c r="E2502" s="11">
        <f t="array" ref="E2502">_xlfn.XLOOKUP(D2502,Insumos!B:B,Insumos!C:$C)</f>
        <v/>
      </c>
      <c r="F2502" s="2169" t="n">
        <v>8.800000000000001</v>
      </c>
      <c r="G2502" s="92">
        <f t="array" ref="G2502">IF(B2502="insumo",_xlfn.XLOOKUP($D2502,Insumos!$B$1:$B$996,Insumos!$D$1:$D$996),"")</f>
        <v/>
      </c>
      <c r="H2502" s="92" t="n">
        <v>9.367599999999999</v>
      </c>
      <c r="I2502" s="2165" t="n">
        <v>0</v>
      </c>
      <c r="J2502" s="2165" t="n">
        <v>0</v>
      </c>
      <c r="K2502" s="2165" t="n"/>
    </row>
    <row r="2503" outlineLevel="3" ht="12.75" customHeight="1">
      <c r="A2503" s="82" t="n">
        <v>142</v>
      </c>
      <c r="B2503" s="82" t="inlineStr">
        <is>
          <t>Insumo</t>
        </is>
      </c>
      <c r="C2503" s="82" t="inlineStr">
        <is>
          <t>Revestimento de parede em Cerâmica esmaltada listras</t>
        </is>
      </c>
      <c r="D2503" s="82" t="inlineStr">
        <is>
          <t>Espeçador junta piso 2mm</t>
        </is>
      </c>
      <c r="E2503" s="11">
        <f t="array" ref="E2503">_xlfn.XLOOKUP(D2503,Insumos!B:B,Insumos!C:$C)</f>
        <v/>
      </c>
      <c r="F2503" s="2169" t="n">
        <v>1</v>
      </c>
      <c r="G2503" s="92">
        <f t="array" ref="G2503">IF(B2503="insumo",_xlfn.XLOOKUP($D2503,Insumos!$B$1:$B$996,Insumos!$D$1:$D$996),"")</f>
        <v/>
      </c>
      <c r="H2503" s="92" t="n">
        <v>0.08</v>
      </c>
      <c r="I2503" s="2165" t="n">
        <v>0</v>
      </c>
      <c r="J2503" s="2165" t="n">
        <v>0</v>
      </c>
      <c r="K2503" s="2165" t="n"/>
    </row>
    <row r="2504" outlineLevel="3" ht="12.75" customHeight="1">
      <c r="A2504" s="82" t="n">
        <v>101</v>
      </c>
      <c r="B2504" s="82" t="inlineStr">
        <is>
          <t>Insumo</t>
        </is>
      </c>
      <c r="C2504" s="82" t="inlineStr">
        <is>
          <t>Revestimento de parede em Cerâmica esmaltada listras</t>
        </is>
      </c>
      <c r="D2504" s="82" t="inlineStr">
        <is>
          <t>Rejunte Cimentício</t>
        </is>
      </c>
      <c r="E2504" s="11">
        <f t="array" ref="E2504">_xlfn.XLOOKUP(D2504,Insumos!B:B,Insumos!C:$C)</f>
        <v/>
      </c>
      <c r="F2504" s="2169" t="n">
        <v>0.01</v>
      </c>
      <c r="G2504" s="92">
        <f t="array" ref="G2504">IF(B2504="insumo",_xlfn.XLOOKUP($D2504,Insumos!$B$1:$B$996,Insumos!$D$1:$D$996),"")</f>
        <v/>
      </c>
      <c r="H2504" s="92" t="n">
        <v>0.1115</v>
      </c>
      <c r="I2504" s="2165" t="n">
        <v>0</v>
      </c>
      <c r="J2504" s="2165" t="n">
        <v>0</v>
      </c>
      <c r="K2504" s="2165" t="n"/>
    </row>
    <row r="2505" outlineLevel="2" ht="12.75" customHeight="1">
      <c r="A2505" s="1071" t="n">
        <v>1</v>
      </c>
      <c r="B2505" s="1071" t="inlineStr">
        <is>
          <t>Serviço</t>
        </is>
      </c>
      <c r="C2505" s="1071" t="inlineStr">
        <is>
          <t>Revestimento de parede em Cerâmica Tradição 23x23cm Verde claro</t>
        </is>
      </c>
      <c r="D2505" s="1071" t="inlineStr">
        <is>
          <t>Revestimento de parede em Cerâmica Tradição 23x23cm Verde claro</t>
        </is>
      </c>
      <c r="E2505" s="1072" t="inlineStr">
        <is>
          <t>M2</t>
        </is>
      </c>
      <c r="F2505" s="1071" t="n"/>
      <c r="G2505" s="1073">
        <f t="array" ref="G2505">IF(B2505="insumo",_xlfn.XLOOKUP($D2505,Insumos!$B$1:$B$996,Insumos!$D$1:$D$996),"")</f>
        <v/>
      </c>
      <c r="H2505" s="1073" t="n">
        <v>130.5591</v>
      </c>
      <c r="I2505" s="2163" t="n">
        <v>0</v>
      </c>
      <c r="J2505" s="2163" t="n">
        <v>0</v>
      </c>
      <c r="K2505" s="2163" t="n"/>
    </row>
    <row r="2506" outlineLevel="3" ht="12.75" customHeight="1">
      <c r="A2506" s="82" t="n">
        <v>1</v>
      </c>
      <c r="B2506" s="82" t="inlineStr">
        <is>
          <t>Insumo</t>
        </is>
      </c>
      <c r="C2506" s="82" t="inlineStr">
        <is>
          <t>Revestimento de parede em Cerâmica Tradição 23x23cm Verde claro</t>
        </is>
      </c>
      <c r="D2506" s="82" t="inlineStr">
        <is>
          <t>Cerâmica Tradição 23x23cm verde claro</t>
        </is>
      </c>
      <c r="E2506" s="11">
        <f t="array" ref="E2506">_xlfn.XLOOKUP(D2506,Insumos!B:B,Insumos!C:$C)</f>
        <v/>
      </c>
      <c r="F2506" s="2169" t="n">
        <v>1.1</v>
      </c>
      <c r="G2506" s="92">
        <f t="array" ref="G2506">IF(B2506="insumo",_xlfn.XLOOKUP($D2506,Insumos!$B$1:$B$996,Insumos!$D$1:$D$996),"")</f>
        <v/>
      </c>
      <c r="H2506" s="92" t="n">
        <v>121</v>
      </c>
      <c r="I2506" s="2165" t="n">
        <v>0</v>
      </c>
      <c r="J2506" s="2165" t="n">
        <v>0</v>
      </c>
      <c r="K2506" s="2165" t="n"/>
    </row>
    <row r="2507" outlineLevel="3" ht="12.75" customHeight="1">
      <c r="A2507" s="82" t="n">
        <v>191</v>
      </c>
      <c r="B2507" s="82" t="inlineStr">
        <is>
          <t>Insumo</t>
        </is>
      </c>
      <c r="C2507" s="82" t="inlineStr">
        <is>
          <t>Revestimento de parede em Cerâmica Tradição 23x23cm Verde claro</t>
        </is>
      </c>
      <c r="D2507" s="82" t="inlineStr">
        <is>
          <t>Argamassa ACIII</t>
        </is>
      </c>
      <c r="E2507" s="11">
        <f t="array" ref="E2507">_xlfn.XLOOKUP(D2507,Insumos!B:B,Insumos!C:$C)</f>
        <v/>
      </c>
      <c r="F2507" s="2169" t="n">
        <v>8.800000000000001</v>
      </c>
      <c r="G2507" s="92">
        <f t="array" ref="G2507">IF(B2507="insumo",_xlfn.XLOOKUP($D2507,Insumos!$B$1:$B$996,Insumos!$D$1:$D$996),"")</f>
        <v/>
      </c>
      <c r="H2507" s="92" t="n">
        <v>9.367599999999999</v>
      </c>
      <c r="I2507" s="2165" t="n">
        <v>0</v>
      </c>
      <c r="J2507" s="2165" t="n">
        <v>0</v>
      </c>
      <c r="K2507" s="2165" t="n"/>
    </row>
    <row r="2508" outlineLevel="3" ht="12.75" customHeight="1">
      <c r="A2508" s="82" t="n">
        <v>142</v>
      </c>
      <c r="B2508" s="82" t="inlineStr">
        <is>
          <t>Insumo</t>
        </is>
      </c>
      <c r="C2508" s="82" t="inlineStr">
        <is>
          <t>Revestimento de parede em Cerâmica Tradição 23x23cm Verde claro</t>
        </is>
      </c>
      <c r="D2508" s="82" t="inlineStr">
        <is>
          <t>Espeçador junta piso 2mm</t>
        </is>
      </c>
      <c r="E2508" s="11">
        <f t="array" ref="E2508">_xlfn.XLOOKUP(D2508,Insumos!B:B,Insumos!C:$C)</f>
        <v/>
      </c>
      <c r="F2508" s="2169" t="n">
        <v>1</v>
      </c>
      <c r="G2508" s="92">
        <f t="array" ref="G2508">IF(B2508="insumo",_xlfn.XLOOKUP($D2508,Insumos!$B$1:$B$996,Insumos!$D$1:$D$996),"")</f>
        <v/>
      </c>
      <c r="H2508" s="92" t="n">
        <v>0.08</v>
      </c>
      <c r="I2508" s="2165" t="n">
        <v>0</v>
      </c>
      <c r="J2508" s="2165" t="n">
        <v>0</v>
      </c>
      <c r="K2508" s="2165" t="n"/>
    </row>
    <row r="2509" outlineLevel="3" ht="12.75" customHeight="1">
      <c r="A2509" s="82" t="n">
        <v>101</v>
      </c>
      <c r="B2509" s="82" t="inlineStr">
        <is>
          <t>Insumo</t>
        </is>
      </c>
      <c r="C2509" s="82" t="inlineStr">
        <is>
          <t>Revestimento de parede em Cerâmica Tradição 23x23cm Verde claro</t>
        </is>
      </c>
      <c r="D2509" s="82" t="inlineStr">
        <is>
          <t>Rejunte Cimentício</t>
        </is>
      </c>
      <c r="E2509" s="11">
        <f t="array" ref="E2509">_xlfn.XLOOKUP(D2509,Insumos!B:B,Insumos!C:$C)</f>
        <v/>
      </c>
      <c r="F2509" s="2169" t="n">
        <v>0.01</v>
      </c>
      <c r="G2509" s="92">
        <f t="array" ref="G2509">IF(B2509="insumo",_xlfn.XLOOKUP($D2509,Insumos!$B$1:$B$996,Insumos!$D$1:$D$996),"")</f>
        <v/>
      </c>
      <c r="H2509" s="92" t="n">
        <v>0.1115</v>
      </c>
      <c r="I2509" s="2165" t="n">
        <v>0</v>
      </c>
      <c r="J2509" s="2165" t="n">
        <v>0</v>
      </c>
      <c r="K2509" s="2165" t="n"/>
    </row>
    <row r="2510" outlineLevel="2" ht="12.75" customHeight="1">
      <c r="A2510" s="1071" t="n">
        <v>1</v>
      </c>
      <c r="B2510" s="1071" t="inlineStr">
        <is>
          <t>Serviço</t>
        </is>
      </c>
      <c r="C2510" s="1071" t="inlineStr">
        <is>
          <t xml:space="preserve">Revestimento de parede em Cerâmica Tradição 23x23cm Lepri </t>
        </is>
      </c>
      <c r="D2510" s="1071" t="inlineStr">
        <is>
          <t xml:space="preserve">Revestimento de parede em Cerâmica Tradição 23x23cm Lepri </t>
        </is>
      </c>
      <c r="E2510" s="1072" t="inlineStr">
        <is>
          <t>M2</t>
        </is>
      </c>
      <c r="F2510" s="1071" t="n"/>
      <c r="G2510" s="1073">
        <f t="array" ref="G2510">IF(B2510="insumo",_xlfn.XLOOKUP($D2510,Insumos!$B$1:$B$996,Insumos!$D$1:$D$996),"")</f>
        <v/>
      </c>
      <c r="H2510" s="1073" t="n">
        <v>164.6591</v>
      </c>
      <c r="I2510" s="2163" t="n">
        <v>0</v>
      </c>
      <c r="J2510" s="2163" t="n">
        <v>0</v>
      </c>
      <c r="K2510" s="2163" t="n"/>
    </row>
    <row r="2511" outlineLevel="3" ht="12.75" customHeight="1">
      <c r="A2511" s="82" t="n">
        <v>1</v>
      </c>
      <c r="B2511" s="82" t="inlineStr">
        <is>
          <t>Insumo</t>
        </is>
      </c>
      <c r="C2511" s="82" t="inlineStr">
        <is>
          <t xml:space="preserve">Revestimento de parede em Cerâmica Tradição 23x23cm Lepri </t>
        </is>
      </c>
      <c r="D2511" s="82" t="inlineStr">
        <is>
          <t xml:space="preserve">Cerâmica Tradição 23x23cm Lepri </t>
        </is>
      </c>
      <c r="E2511" s="11">
        <f t="array" ref="E2511">_xlfn.XLOOKUP(D2511,Insumos!B:B,Insumos!C:$C)</f>
        <v/>
      </c>
      <c r="F2511" s="2169" t="n">
        <v>1.1</v>
      </c>
      <c r="G2511" s="92">
        <f t="array" ref="G2511">IF(B2511="insumo",_xlfn.XLOOKUP($D2511,Insumos!$B$1:$B$996,Insumos!$D$1:$D$996),"")</f>
        <v/>
      </c>
      <c r="H2511" s="92" t="n">
        <v>155.1</v>
      </c>
      <c r="I2511" s="2165" t="n">
        <v>0</v>
      </c>
      <c r="J2511" s="2165" t="n">
        <v>0</v>
      </c>
      <c r="K2511" s="2165" t="n"/>
    </row>
    <row r="2512" outlineLevel="3" ht="12.75" customHeight="1">
      <c r="A2512" s="82" t="n">
        <v>191</v>
      </c>
      <c r="B2512" s="82" t="inlineStr">
        <is>
          <t>Insumo</t>
        </is>
      </c>
      <c r="C2512" s="82" t="inlineStr">
        <is>
          <t xml:space="preserve">Revestimento de parede em Cerâmica Tradição 23x23cm Lepri </t>
        </is>
      </c>
      <c r="D2512" s="82" t="inlineStr">
        <is>
          <t>Argamassa ACIII</t>
        </is>
      </c>
      <c r="E2512" s="11">
        <f t="array" ref="E2512">_xlfn.XLOOKUP(D2512,Insumos!B:B,Insumos!C:$C)</f>
        <v/>
      </c>
      <c r="F2512" s="2169" t="n">
        <v>8.800000000000001</v>
      </c>
      <c r="G2512" s="92">
        <f t="array" ref="G2512">IF(B2512="insumo",_xlfn.XLOOKUP($D2512,Insumos!$B$1:$B$996,Insumos!$D$1:$D$996),"")</f>
        <v/>
      </c>
      <c r="H2512" s="92" t="n">
        <v>9.367599999999999</v>
      </c>
      <c r="I2512" s="2165" t="n">
        <v>0</v>
      </c>
      <c r="J2512" s="2165" t="n">
        <v>0</v>
      </c>
      <c r="K2512" s="2165" t="n"/>
    </row>
    <row r="2513" outlineLevel="3" ht="12.75" customHeight="1">
      <c r="A2513" s="82" t="n">
        <v>142</v>
      </c>
      <c r="B2513" s="82" t="inlineStr">
        <is>
          <t>Insumo</t>
        </is>
      </c>
      <c r="C2513" s="82" t="inlineStr">
        <is>
          <t xml:space="preserve">Revestimento de parede em Cerâmica Tradição 23x23cm Lepri </t>
        </is>
      </c>
      <c r="D2513" s="82" t="inlineStr">
        <is>
          <t>Espeçador junta piso 2mm</t>
        </is>
      </c>
      <c r="E2513" s="11">
        <f t="array" ref="E2513">_xlfn.XLOOKUP(D2513,Insumos!B:B,Insumos!C:$C)</f>
        <v/>
      </c>
      <c r="F2513" s="2169" t="n">
        <v>1</v>
      </c>
      <c r="G2513" s="92">
        <f t="array" ref="G2513">IF(B2513="insumo",_xlfn.XLOOKUP($D2513,Insumos!$B$1:$B$996,Insumos!$D$1:$D$996),"")</f>
        <v/>
      </c>
      <c r="H2513" s="92" t="n">
        <v>0.08</v>
      </c>
      <c r="I2513" s="2165" t="n">
        <v>0</v>
      </c>
      <c r="J2513" s="2165" t="n">
        <v>0</v>
      </c>
      <c r="K2513" s="2165" t="n"/>
    </row>
    <row r="2514" outlineLevel="3" ht="12.75" customHeight="1">
      <c r="A2514" s="82" t="n">
        <v>101</v>
      </c>
      <c r="B2514" s="82" t="inlineStr">
        <is>
          <t>Insumo</t>
        </is>
      </c>
      <c r="C2514" s="82" t="inlineStr">
        <is>
          <t xml:space="preserve">Revestimento de parede em Cerâmica Tradição 23x23cm Lepri </t>
        </is>
      </c>
      <c r="D2514" s="82" t="inlineStr">
        <is>
          <t>Rejunte Cimentício</t>
        </is>
      </c>
      <c r="E2514" s="11">
        <f t="array" ref="E2514">_xlfn.XLOOKUP(D2514,Insumos!B:B,Insumos!C:$C)</f>
        <v/>
      </c>
      <c r="F2514" s="2169" t="n">
        <v>0.01</v>
      </c>
      <c r="G2514" s="92">
        <f t="array" ref="G2514">IF(B2514="insumo",_xlfn.XLOOKUP($D2514,Insumos!$B$1:$B$996,Insumos!$D$1:$D$996),"")</f>
        <v/>
      </c>
      <c r="H2514" s="92" t="n">
        <v>0.1115</v>
      </c>
      <c r="I2514" s="2165" t="n">
        <v>0</v>
      </c>
      <c r="J2514" s="2165" t="n">
        <v>0</v>
      </c>
      <c r="K2514" s="2165" t="n"/>
    </row>
    <row r="2515" outlineLevel="2" ht="12.75" customHeight="1">
      <c r="A2515" s="1071" t="n">
        <v>1</v>
      </c>
      <c r="B2515" s="1071" t="inlineStr">
        <is>
          <t>Serviço</t>
        </is>
      </c>
      <c r="C2515" s="1071" t="inlineStr">
        <is>
          <t>Revestimento de parede em Porcelanato Eliane Silex 90x90</t>
        </is>
      </c>
      <c r="D2515" s="1071" t="inlineStr">
        <is>
          <t>Revestimento de parede em Porcelanato Eliane Silex 90x90</t>
        </is>
      </c>
      <c r="E2515" s="1072" t="inlineStr">
        <is>
          <t>M2</t>
        </is>
      </c>
      <c r="F2515" s="1071" t="n"/>
      <c r="G2515" s="1073">
        <f t="array" ref="G2515">IF(B2515="insumo",_xlfn.XLOOKUP($D2515,Insumos!$B$1:$B$996,Insumos!$D$1:$D$996),"")</f>
        <v/>
      </c>
      <c r="H2515" s="1073" t="n">
        <v>634.3591</v>
      </c>
      <c r="I2515" s="2163" t="n">
        <v>0</v>
      </c>
      <c r="J2515" s="2163" t="n">
        <v>0</v>
      </c>
      <c r="K2515" s="2163" t="n"/>
    </row>
    <row r="2516" outlineLevel="3" ht="12.75" customHeight="1">
      <c r="A2516" s="82" t="n">
        <v>1</v>
      </c>
      <c r="B2516" s="82" t="inlineStr">
        <is>
          <t>Insumo</t>
        </is>
      </c>
      <c r="C2516" s="82" t="inlineStr">
        <is>
          <t>Revestimento de parede em Porcelanato Eliane Silex 90x90</t>
        </is>
      </c>
      <c r="D2516" s="82" t="inlineStr">
        <is>
          <t xml:space="preserve">Porcelanato Eliane Silex 90x90 Branco Nat </t>
        </is>
      </c>
      <c r="E2516" s="11">
        <f t="array" ref="E2516">_xlfn.XLOOKUP(D2516,Insumos!B:B,Insumos!C:$C)</f>
        <v/>
      </c>
      <c r="F2516" s="2169" t="n">
        <v>1.1</v>
      </c>
      <c r="G2516" s="92">
        <f t="array" ref="G2516">IF(B2516="insumo",_xlfn.XLOOKUP($D2516,Insumos!$B$1:$B$996,Insumos!$D$1:$D$996),"")</f>
        <v/>
      </c>
      <c r="H2516" s="92" t="n">
        <v>624.8</v>
      </c>
      <c r="I2516" s="2165" t="n">
        <v>0</v>
      </c>
      <c r="J2516" s="2165" t="n">
        <v>0</v>
      </c>
      <c r="K2516" s="2165" t="n"/>
    </row>
    <row r="2517" outlineLevel="3" ht="12.75" customHeight="1">
      <c r="A2517" s="82" t="n">
        <v>191</v>
      </c>
      <c r="B2517" s="82" t="inlineStr">
        <is>
          <t>Insumo</t>
        </is>
      </c>
      <c r="C2517" s="82" t="inlineStr">
        <is>
          <t>Revestimento de parede em Porcelanato Eliane Silex 90x90</t>
        </is>
      </c>
      <c r="D2517" s="82" t="inlineStr">
        <is>
          <t>Argamassa ACIII</t>
        </is>
      </c>
      <c r="E2517" s="11">
        <f t="array" ref="E2517">_xlfn.XLOOKUP(D2517,Insumos!B:B,Insumos!C:$C)</f>
        <v/>
      </c>
      <c r="F2517" s="2169" t="n">
        <v>8.800000000000001</v>
      </c>
      <c r="G2517" s="92">
        <f t="array" ref="G2517">IF(B2517="insumo",_xlfn.XLOOKUP($D2517,Insumos!$B$1:$B$996,Insumos!$D$1:$D$996),"")</f>
        <v/>
      </c>
      <c r="H2517" s="92" t="n">
        <v>9.367599999999999</v>
      </c>
      <c r="I2517" s="2165" t="n">
        <v>0</v>
      </c>
      <c r="J2517" s="2165" t="n">
        <v>0</v>
      </c>
      <c r="K2517" s="2165" t="n"/>
    </row>
    <row r="2518" outlineLevel="3" ht="12.75" customHeight="1">
      <c r="A2518" s="82" t="n">
        <v>142</v>
      </c>
      <c r="B2518" s="82" t="inlineStr">
        <is>
          <t>Insumo</t>
        </is>
      </c>
      <c r="C2518" s="82" t="inlineStr">
        <is>
          <t>Revestimento de parede em Porcelanato Eliane Silex 90x90</t>
        </is>
      </c>
      <c r="D2518" s="82" t="inlineStr">
        <is>
          <t>Espeçador junta piso 2mm</t>
        </is>
      </c>
      <c r="E2518" s="11">
        <f t="array" ref="E2518">_xlfn.XLOOKUP(D2518,Insumos!B:B,Insumos!C:$C)</f>
        <v/>
      </c>
      <c r="F2518" s="2169" t="n">
        <v>1</v>
      </c>
      <c r="G2518" s="92">
        <f t="array" ref="G2518">IF(B2518="insumo",_xlfn.XLOOKUP($D2518,Insumos!$B$1:$B$996,Insumos!$D$1:$D$996),"")</f>
        <v/>
      </c>
      <c r="H2518" s="92" t="n">
        <v>0.08</v>
      </c>
      <c r="I2518" s="2165" t="n">
        <v>0</v>
      </c>
      <c r="J2518" s="2165" t="n">
        <v>0</v>
      </c>
      <c r="K2518" s="2165" t="n"/>
    </row>
    <row r="2519" outlineLevel="3" ht="12.75" customHeight="1">
      <c r="A2519" s="82" t="n">
        <v>101</v>
      </c>
      <c r="B2519" s="82" t="inlineStr">
        <is>
          <t>Insumo</t>
        </is>
      </c>
      <c r="C2519" s="82" t="inlineStr">
        <is>
          <t>Revestimento de parede em Porcelanato Eliane Silex 90x90</t>
        </is>
      </c>
      <c r="D2519" s="82" t="inlineStr">
        <is>
          <t>Rejunte Cimentício</t>
        </is>
      </c>
      <c r="E2519" s="11">
        <f t="array" ref="E2519">_xlfn.XLOOKUP(D2519,Insumos!B:B,Insumos!C:$C)</f>
        <v/>
      </c>
      <c r="F2519" s="2169" t="n">
        <v>0.01</v>
      </c>
      <c r="G2519" s="92">
        <f t="array" ref="G2519">IF(B2519="insumo",_xlfn.XLOOKUP($D2519,Insumos!$B$1:$B$996,Insumos!$D$1:$D$996),"")</f>
        <v/>
      </c>
      <c r="H2519" s="92" t="n">
        <v>0.1115</v>
      </c>
      <c r="I2519" s="2165" t="n">
        <v>0</v>
      </c>
      <c r="J2519" s="2165" t="n">
        <v>0</v>
      </c>
      <c r="K2519" s="2165" t="n"/>
    </row>
    <row r="2520" outlineLevel="2" ht="12.75" customHeight="1">
      <c r="A2520" s="1071" t="n">
        <v>1</v>
      </c>
      <c r="B2520" s="1071" t="inlineStr">
        <is>
          <t>Serviço</t>
        </is>
      </c>
      <c r="C2520" s="1071" t="inlineStr">
        <is>
          <t>Revestimento em Parede Azulejo Milos - Vila Sintra Azulejos</t>
        </is>
      </c>
      <c r="D2520" s="1071" t="inlineStr">
        <is>
          <t>Revestimento em Parede Azulejo Milos - Vila Sintra Azulejos</t>
        </is>
      </c>
      <c r="E2520" s="1072" t="inlineStr">
        <is>
          <t>M2</t>
        </is>
      </c>
      <c r="F2520" s="1071" t="n"/>
      <c r="G2520" s="1073">
        <f t="array" ref="G2520">IF(B2520="insumo",_xlfn.XLOOKUP($D2520,Insumos!$B$1:$B$996,Insumos!$D$1:$D$996),"")</f>
        <v/>
      </c>
      <c r="H2520" s="1073" t="n">
        <v>529.179275</v>
      </c>
      <c r="I2520" s="2163" t="n">
        <v>0</v>
      </c>
      <c r="J2520" s="2163" t="n">
        <v>0</v>
      </c>
      <c r="K2520" s="2163" t="n"/>
    </row>
    <row r="2521" outlineLevel="3" ht="12.75" customHeight="1">
      <c r="A2521" s="82" t="n">
        <v>1</v>
      </c>
      <c r="B2521" s="82" t="inlineStr">
        <is>
          <t>Insumo</t>
        </is>
      </c>
      <c r="C2521" s="82" t="inlineStr">
        <is>
          <t>Revestimento em Parede Azulejo Milos - Vila Sintra Azulejos</t>
        </is>
      </c>
      <c r="D2521" s="82" t="inlineStr">
        <is>
          <t>Revestimento para Azulejo Milos - Vila Sintra Azulejos</t>
        </is>
      </c>
      <c r="E2521" s="11">
        <f t="array" ref="E2521">_xlfn.XLOOKUP(D2521,Insumos!B:B,Insumos!C:$C)</f>
        <v/>
      </c>
      <c r="F2521" s="2169" t="n">
        <v>1.1</v>
      </c>
      <c r="G2521" s="92">
        <f t="array" ref="G2521">IF(B2521="insumo",_xlfn.XLOOKUP($D2521,Insumos!$B$1:$B$996,Insumos!$D$1:$D$996),"")</f>
        <v/>
      </c>
      <c r="H2521" s="92" t="n">
        <v>521.4</v>
      </c>
      <c r="I2521" s="2165" t="n">
        <v>0</v>
      </c>
      <c r="J2521" s="2165" t="n">
        <v>0</v>
      </c>
      <c r="K2521" s="2165" t="n"/>
    </row>
    <row r="2522" outlineLevel="3" ht="12.75" customHeight="1">
      <c r="A2522" s="82" t="n">
        <v>191</v>
      </c>
      <c r="B2522" s="82" t="inlineStr">
        <is>
          <t>Insumo</t>
        </is>
      </c>
      <c r="C2522" s="82" t="inlineStr">
        <is>
          <t>Revestimento em Parede Azulejo Milos - Vila Sintra Azulejos</t>
        </is>
      </c>
      <c r="D2522" s="82" t="inlineStr">
        <is>
          <t>Argamassa ACIII</t>
        </is>
      </c>
      <c r="E2522" s="11">
        <f t="array" ref="E2522">_xlfn.XLOOKUP(D2522,Insumos!B:B,Insumos!C:$C)</f>
        <v/>
      </c>
      <c r="F2522" s="2169" t="n">
        <v>4.95</v>
      </c>
      <c r="G2522" s="92">
        <f t="array" ref="G2522">IF(B2522="insumo",_xlfn.XLOOKUP($D2522,Insumos!$B$1:$B$996,Insumos!$D$1:$D$996),"")</f>
        <v/>
      </c>
      <c r="H2522" s="92" t="n">
        <v>5.269275</v>
      </c>
      <c r="I2522" s="2165" t="n">
        <v>0</v>
      </c>
      <c r="J2522" s="2165" t="n">
        <v>0</v>
      </c>
      <c r="K2522" s="2165" t="n"/>
    </row>
    <row r="2523" outlineLevel="3" ht="12.75" customHeight="1">
      <c r="A2523" s="82" t="n">
        <v>142</v>
      </c>
      <c r="B2523" s="82" t="inlineStr">
        <is>
          <t>Insumo</t>
        </is>
      </c>
      <c r="C2523" s="82" t="inlineStr">
        <is>
          <t>Revestimento em Parede Azulejo Milos - Vila Sintra Azulejos</t>
        </is>
      </c>
      <c r="D2523" s="82" t="inlineStr">
        <is>
          <t>Espeçador junta piso 2mm</t>
        </is>
      </c>
      <c r="E2523" s="11">
        <f t="array" ref="E2523">_xlfn.XLOOKUP(D2523,Insumos!B:B,Insumos!C:$C)</f>
        <v/>
      </c>
      <c r="F2523" s="2169" t="n">
        <v>4</v>
      </c>
      <c r="G2523" s="92">
        <f t="array" ref="G2523">IF(B2523="insumo",_xlfn.XLOOKUP($D2523,Insumos!$B$1:$B$996,Insumos!$D$1:$D$996),"")</f>
        <v/>
      </c>
      <c r="H2523" s="92" t="n">
        <v>0.32</v>
      </c>
      <c r="I2523" s="2165" t="n">
        <v>0</v>
      </c>
      <c r="J2523" s="2165" t="n">
        <v>0</v>
      </c>
      <c r="K2523" s="2165" t="n"/>
    </row>
    <row r="2524" outlineLevel="3" ht="12.75" customHeight="1">
      <c r="A2524" s="82" t="n">
        <v>22</v>
      </c>
      <c r="B2524" s="82" t="inlineStr">
        <is>
          <t>Insumo</t>
        </is>
      </c>
      <c r="C2524" s="82" t="inlineStr">
        <is>
          <t>Revestimento em Parede Azulejo Milos - Vila Sintra Azulejos</t>
        </is>
      </c>
      <c r="D2524" s="82" t="inlineStr">
        <is>
          <t>Rejunte acrilico</t>
        </is>
      </c>
      <c r="E2524" s="11">
        <f t="array" ref="E2524">_xlfn.XLOOKUP(D2524,Insumos!B:B,Insumos!C:$C)</f>
        <v/>
      </c>
      <c r="F2524" s="2169" t="n">
        <v>0.05</v>
      </c>
      <c r="G2524" s="92">
        <f t="array" ref="G2524">IF(B2524="insumo",_xlfn.XLOOKUP($D2524,Insumos!$B$1:$B$996,Insumos!$D$1:$D$996),"")</f>
        <v/>
      </c>
      <c r="H2524" s="92" t="n">
        <v>2.19</v>
      </c>
      <c r="I2524" s="2165" t="n">
        <v>0</v>
      </c>
      <c r="J2524" s="2165" t="n">
        <v>0</v>
      </c>
      <c r="K2524" s="2165" t="n"/>
    </row>
    <row r="2525" outlineLevel="1" ht="15.75" customHeight="1">
      <c r="A2525" s="1090" t="n">
        <v>1</v>
      </c>
      <c r="B2525" s="1090" t="inlineStr">
        <is>
          <t>Subetapa</t>
        </is>
      </c>
      <c r="C2525" s="1090" t="inlineStr">
        <is>
          <t>Revestimento em Parede Azulejo Milos - Vila Sintra Azulejos</t>
        </is>
      </c>
      <c r="D2525" s="1090" t="inlineStr">
        <is>
          <t>PASTILHAS LADRILHO PAREDE</t>
        </is>
      </c>
      <c r="E2525" s="1091" t="n"/>
      <c r="F2525" s="2160" t="n"/>
      <c r="G2525" s="1091" t="n"/>
      <c r="H2525" s="1091" t="n">
        <v>0</v>
      </c>
      <c r="I2525" s="2160" t="n">
        <v>0</v>
      </c>
      <c r="J2525" s="2160" t="n">
        <v>0</v>
      </c>
      <c r="K2525" s="2160" t="n"/>
    </row>
    <row r="2526" outlineLevel="2" ht="15.75" customHeight="1">
      <c r="A2526" s="1067" t="n">
        <v>1</v>
      </c>
      <c r="B2526" s="1067" t="inlineStr">
        <is>
          <t>Serviço</t>
        </is>
      </c>
      <c r="C2526" s="1067" t="inlineStr">
        <is>
          <t>Revestimento em Pastilhas Cerâmicas Paredes Interna, 6 x 24cm com Junta de 3mm</t>
        </is>
      </c>
      <c r="D2526" s="1067" t="inlineStr">
        <is>
          <t>Revestimento em Pastilhas Cerâmicas Paredes Interna, 6 x 24cm com Junta de 3mm</t>
        </is>
      </c>
      <c r="E2526" s="1068" t="inlineStr">
        <is>
          <t>M2</t>
        </is>
      </c>
      <c r="F2526" s="1067" t="n"/>
      <c r="G2526" s="1069">
        <f t="array" ref="G2526">IF(B2526="insumo",_xlfn.XLOOKUP($D2526,Insumos!$B$1:$B$996,Insumos!$D$1:$D$996),"")</f>
        <v/>
      </c>
      <c r="H2526" s="1069" t="n">
        <v>98.979275</v>
      </c>
      <c r="I2526" s="2161" t="n">
        <v>0</v>
      </c>
      <c r="J2526" s="2161" t="n">
        <v>0</v>
      </c>
      <c r="K2526" s="2161" t="n"/>
    </row>
    <row r="2527" outlineLevel="3" ht="15.75" customHeight="1">
      <c r="A2527" s="10" t="n">
        <v>1</v>
      </c>
      <c r="B2527" s="10" t="inlineStr">
        <is>
          <t>Insumo</t>
        </is>
      </c>
      <c r="C2527" s="10" t="inlineStr">
        <is>
          <t>Revestimento em Pastilhas Cerâmicas Paredes Interna, 6 x 24cm com Junta de 3mm</t>
        </is>
      </c>
      <c r="D2527" s="10" t="inlineStr">
        <is>
          <t>Revestimento Pastilha 07x24cm</t>
        </is>
      </c>
      <c r="E2527" s="11">
        <f t="array" ref="E2527">_xlfn.XLOOKUP(D2527,Insumos!B:B,Insumos!C:$C)</f>
        <v/>
      </c>
      <c r="F2527" s="14" t="n">
        <v>1.1</v>
      </c>
      <c r="G2527" s="92">
        <f t="array" ref="G2527">IF(B2527="insumo",_xlfn.XLOOKUP($D2527,Insumos!$B$1:$B$996,Insumos!$D$1:$D$996),"")</f>
        <v/>
      </c>
      <c r="H2527" s="92" t="n">
        <v>92.345</v>
      </c>
      <c r="I2527" s="2162" t="n">
        <v>0</v>
      </c>
      <c r="J2527" s="2162" t="n">
        <v>0</v>
      </c>
      <c r="K2527" s="2162" t="n"/>
    </row>
    <row r="2528" outlineLevel="3" ht="15.75" customHeight="1">
      <c r="A2528" s="10" t="n">
        <v>191</v>
      </c>
      <c r="B2528" s="10" t="inlineStr">
        <is>
          <t>Insumo</t>
        </is>
      </c>
      <c r="C2528" s="10" t="inlineStr">
        <is>
          <t>Revestimento em Pastilhas Cerâmicas Paredes Interna, 6 x 24cm com Junta de 3mm</t>
        </is>
      </c>
      <c r="D2528" s="10" t="inlineStr">
        <is>
          <t>Argamassa ACIII</t>
        </is>
      </c>
      <c r="E2528" s="11">
        <f t="array" ref="E2528">_xlfn.XLOOKUP(D2528,Insumos!B:B,Insumos!C:$C)</f>
        <v/>
      </c>
      <c r="F2528" s="14" t="n">
        <v>4.95</v>
      </c>
      <c r="G2528" s="92">
        <f t="array" ref="G2528">IF(B2528="insumo",_xlfn.XLOOKUP($D2528,Insumos!$B$1:$B$996,Insumos!$D$1:$D$996),"")</f>
        <v/>
      </c>
      <c r="H2528" s="92" t="n">
        <v>5.269275</v>
      </c>
      <c r="I2528" s="2162" t="n">
        <v>0</v>
      </c>
      <c r="J2528" s="2162" t="n">
        <v>0</v>
      </c>
      <c r="K2528" s="2162" t="n"/>
    </row>
    <row r="2529" outlineLevel="3" ht="15.75" customHeight="1">
      <c r="A2529" s="10" t="n">
        <v>17</v>
      </c>
      <c r="B2529" s="10" t="inlineStr">
        <is>
          <t>Insumo</t>
        </is>
      </c>
      <c r="C2529" s="10" t="inlineStr">
        <is>
          <t>Revestimento em Pastilhas Cerâmicas Paredes Interna, 6 x 24cm com Junta de 3mm</t>
        </is>
      </c>
      <c r="D2529" s="10" t="inlineStr">
        <is>
          <t>Espeçador junta piso 3mm</t>
        </is>
      </c>
      <c r="E2529" s="11">
        <f t="array" ref="E2529">_xlfn.XLOOKUP(D2529,Insumos!B:B,Insumos!C:$C)</f>
        <v/>
      </c>
      <c r="F2529" s="14" t="n">
        <v>5</v>
      </c>
      <c r="G2529" s="92">
        <f t="array" ref="G2529">IF(B2529="insumo",_xlfn.XLOOKUP($D2529,Insumos!$B$1:$B$996,Insumos!$D$1:$D$996),"")</f>
        <v/>
      </c>
      <c r="H2529" s="92" t="n">
        <v>0.25</v>
      </c>
      <c r="I2529" s="2162" t="n">
        <v>0</v>
      </c>
      <c r="J2529" s="2162" t="n">
        <v>0</v>
      </c>
      <c r="K2529" s="2162" t="n"/>
    </row>
    <row r="2530" outlineLevel="3" ht="15.75" customHeight="1">
      <c r="A2530" s="10" t="n">
        <v>101</v>
      </c>
      <c r="B2530" s="10" t="inlineStr">
        <is>
          <t>Insumo</t>
        </is>
      </c>
      <c r="C2530" s="10" t="inlineStr">
        <is>
          <t>Revestimento em Pastilhas Cerâmicas Paredes Interna, 6 x 24cm com Junta de 3mm</t>
        </is>
      </c>
      <c r="D2530" s="10" t="inlineStr">
        <is>
          <t>Rejunte Cimentício</t>
        </is>
      </c>
      <c r="E2530" s="11">
        <f t="array" ref="E2530">_xlfn.XLOOKUP(D2530,Insumos!B:B,Insumos!C:$C)</f>
        <v/>
      </c>
      <c r="F2530" s="14" t="n">
        <v>0.1</v>
      </c>
      <c r="G2530" s="92">
        <f t="array" ref="G2530">IF(B2530="insumo",_xlfn.XLOOKUP($D2530,Insumos!$B$1:$B$996,Insumos!$D$1:$D$996),"")</f>
        <v/>
      </c>
      <c r="H2530" s="92" t="n">
        <v>1.115</v>
      </c>
      <c r="I2530" s="2162" t="n">
        <v>0</v>
      </c>
      <c r="J2530" s="2162" t="n">
        <v>0</v>
      </c>
      <c r="K2530" s="2162" t="n"/>
    </row>
    <row r="2531" outlineLevel="2" ht="15.75" customHeight="1">
      <c r="A2531" s="1067" t="n">
        <v>1</v>
      </c>
      <c r="B2531" s="1067" t="inlineStr">
        <is>
          <t>Serviço</t>
        </is>
      </c>
      <c r="C2531" s="1067" t="inlineStr">
        <is>
          <t>Revestimento em Ladrilho Hidráulico 20x20cm - Cores: craft claro - Marca: Dalle Piagge, com junta de 2 cm e rejunte acrilico cinza platina</t>
        </is>
      </c>
      <c r="D2531" s="1067" t="inlineStr">
        <is>
          <t>Revestimento em Ladrilho Hidráulico 20x20cm - Cores: craft claro - Marca: Dalle Piagge, com junta de 2 cm e rejunte acrilico cinza platina</t>
        </is>
      </c>
      <c r="E2531" s="1068" t="inlineStr">
        <is>
          <t>M2</t>
        </is>
      </c>
      <c r="F2531" s="1067" t="n"/>
      <c r="G2531" s="1069">
        <f t="array" ref="G2531">IF(B2531="insumo",_xlfn.XLOOKUP($D2531,Insumos!$B$1:$B$996,Insumos!$D$1:$D$996),"")</f>
        <v/>
      </c>
      <c r="H2531" s="1069" t="n">
        <v>282.489275</v>
      </c>
      <c r="I2531" s="2161" t="e">
        <v>#REF!</v>
      </c>
      <c r="J2531" s="2161" t="e">
        <v>#REF!</v>
      </c>
      <c r="K2531" s="2161" t="n"/>
    </row>
    <row r="2532" outlineLevel="3" ht="15.75" customHeight="1">
      <c r="A2532" s="10" t="n">
        <v>1</v>
      </c>
      <c r="B2532" s="10" t="inlineStr">
        <is>
          <t>Insumo</t>
        </is>
      </c>
      <c r="C2532" s="10" t="inlineStr">
        <is>
          <t>Revestimento em Ladrilho Hidráulico 20x20cm - Cores: craft claro - Marca: Dalle Piagge, com junta de 2 cm e rejunte acrilico cinza platina</t>
        </is>
      </c>
      <c r="D2532" s="10" t="inlineStr">
        <is>
          <t>Ladrilho Hidráulico 20x20cm - Cor: craft claro - Marca: Dalle Piagge</t>
        </is>
      </c>
      <c r="E2532" s="11">
        <f t="array" ref="E2532">_xlfn.XLOOKUP(D2532,Insumos!B:B,Insumos!C:$C)</f>
        <v/>
      </c>
      <c r="F2532" s="14">
        <f>1.1</f>
        <v/>
      </c>
      <c r="G2532" s="92">
        <f t="array" ref="G2532">IF(B2532="insumo",_xlfn.XLOOKUP($D2532,Insumos!$B$1:$B$996,Insumos!$D$1:$D$996),"")</f>
        <v/>
      </c>
      <c r="H2532" s="92" t="n">
        <v>275</v>
      </c>
      <c r="I2532" s="2162" t="e">
        <v>#REF!</v>
      </c>
      <c r="J2532" s="2162" t="e">
        <v>#REF!</v>
      </c>
      <c r="K2532" s="2162" t="n"/>
    </row>
    <row r="2533" outlineLevel="3" ht="15.75" customHeight="1">
      <c r="A2533" s="10" t="n">
        <v>191</v>
      </c>
      <c r="B2533" s="10" t="inlineStr">
        <is>
          <t>Insumo</t>
        </is>
      </c>
      <c r="C2533" s="10" t="inlineStr">
        <is>
          <t>Revestimento em Ladrilho Hidráulico 20x20cm - Cores: craft claro - Marca: Dalle Piagge, com junta de 2 cm e rejunte acrilico cinza platina</t>
        </is>
      </c>
      <c r="D2533" s="10" t="inlineStr">
        <is>
          <t>Argamassa ACIII</t>
        </is>
      </c>
      <c r="E2533" s="11">
        <f t="array" ref="E2533">_xlfn.XLOOKUP(D2533,Insumos!B:B,Insumos!C:$C)</f>
        <v/>
      </c>
      <c r="F2533" s="14" t="n">
        <v>4.95</v>
      </c>
      <c r="G2533" s="92">
        <f t="array" ref="G2533">IF(B2533="insumo",_xlfn.XLOOKUP($D2533,Insumos!$B$1:$B$996,Insumos!$D$1:$D$996),"")</f>
        <v/>
      </c>
      <c r="H2533" s="92" t="n">
        <v>5.269275</v>
      </c>
      <c r="I2533" s="2162" t="e">
        <v>#REF!</v>
      </c>
      <c r="J2533" s="2162" t="e">
        <v>#REF!</v>
      </c>
      <c r="K2533" s="2162" t="n"/>
    </row>
    <row r="2534" outlineLevel="3" ht="15.75" customHeight="1">
      <c r="A2534" s="10" t="n">
        <v>142</v>
      </c>
      <c r="B2534" s="10" t="inlineStr">
        <is>
          <t>Insumo</t>
        </is>
      </c>
      <c r="C2534" s="10" t="inlineStr">
        <is>
          <t>Revestimento em Ladrilho Hidráulico 20x20cm - Cores: craft claro - Marca: Dalle Piagge, com junta de 2 cm e rejunte acrilico cinza platina</t>
        </is>
      </c>
      <c r="D2534" s="10" t="inlineStr">
        <is>
          <t>Espeçador junta piso 2mm</t>
        </is>
      </c>
      <c r="E2534" s="11">
        <f t="array" ref="E2534">_xlfn.XLOOKUP(D2534,Insumos!B:B,Insumos!C:$C)</f>
        <v/>
      </c>
      <c r="F2534" s="14" t="n">
        <v>4</v>
      </c>
      <c r="G2534" s="92">
        <f t="array" ref="G2534">IF(B2534="insumo",_xlfn.XLOOKUP($D2534,Insumos!$B$1:$B$996,Insumos!$D$1:$D$996),"")</f>
        <v/>
      </c>
      <c r="H2534" s="92" t="n">
        <v>0.32</v>
      </c>
      <c r="I2534" s="2162" t="e">
        <v>#REF!</v>
      </c>
      <c r="J2534" s="2162" t="e">
        <v>#REF!</v>
      </c>
      <c r="K2534" s="2162" t="n"/>
    </row>
    <row r="2535" outlineLevel="3" ht="15.75" customHeight="1">
      <c r="A2535" s="10" t="n">
        <v>36</v>
      </c>
      <c r="B2535" s="10" t="inlineStr">
        <is>
          <t>Insumo</t>
        </is>
      </c>
      <c r="C2535" s="82" t="inlineStr">
        <is>
          <t>Revestimento em Ladrilho Hidráulico 20x20cm - Cores: craft claro - Marca: Dalle Piagge, com junta de 2 cm e rejunte acrilico cinza platina</t>
        </is>
      </c>
      <c r="D2535" s="82" t="inlineStr">
        <is>
          <t>Rejunte Acrilico cinza platina</t>
        </is>
      </c>
      <c r="E2535" s="11">
        <f t="array" ref="E2535">_xlfn.XLOOKUP(D2535,Insumos!B:B,Insumos!C:$C)</f>
        <v/>
      </c>
      <c r="F2535" s="14" t="n">
        <v>0.05</v>
      </c>
      <c r="G2535" s="92">
        <f t="array" ref="G2535">IF(B2535="insumo",_xlfn.XLOOKUP($D2535,Insumos!$B$1:$B$996,Insumos!$D$1:$D$996),"")</f>
        <v/>
      </c>
      <c r="H2535" s="92" t="n">
        <v>1.9</v>
      </c>
      <c r="I2535" s="2162" t="e">
        <v>#REF!</v>
      </c>
      <c r="J2535" s="2162" t="e">
        <v>#REF!</v>
      </c>
      <c r="K2535" s="2162" t="n"/>
    </row>
    <row r="2536" outlineLevel="2" ht="15.75" customHeight="1">
      <c r="A2536" s="1067" t="n">
        <v>1</v>
      </c>
      <c r="B2536" s="1067" t="inlineStr">
        <is>
          <t>Serviço</t>
        </is>
      </c>
      <c r="C2536" s="1067" t="inlineStr">
        <is>
          <t>Revestimento em Ladrilho Hidráulico 20x20cm - Cores: craft claro - Marca: Ladrilar, com junta de 2 cm e rejunte acrilico cinza platina</t>
        </is>
      </c>
      <c r="D2536" s="1067" t="inlineStr">
        <is>
          <t>Revestimento em Ladrilho Hidráulico 20x20cm - Cores: craft claro - Marca: Ladrilar, com junta de 2 cm e rejunte acrilico cinza platina</t>
        </is>
      </c>
      <c r="E2536" s="1068" t="inlineStr">
        <is>
          <t>M2</t>
        </is>
      </c>
      <c r="F2536" s="1067" t="n"/>
      <c r="G2536" s="1069">
        <f t="array" ref="G2536">IF(B2536="insumo",_xlfn.XLOOKUP($D2536,Insumos!$B$1:$B$996,Insumos!$D$1:$D$996),"")</f>
        <v/>
      </c>
      <c r="H2536" s="1069" t="n">
        <v>281.389275</v>
      </c>
      <c r="I2536" s="2161" t="n">
        <v>0</v>
      </c>
      <c r="J2536" s="2161" t="n">
        <v>0</v>
      </c>
      <c r="K2536" s="2161" t="n"/>
    </row>
    <row r="2537" outlineLevel="3" ht="15.75" customHeight="1">
      <c r="A2537" s="10" t="n">
        <v>1</v>
      </c>
      <c r="B2537" s="10" t="inlineStr">
        <is>
          <t>Insumo</t>
        </is>
      </c>
      <c r="C2537" s="10" t="inlineStr">
        <is>
          <t>Revestimento em Ladrilho Hidráulico 20x20cm - Cores: craft claro - Marca: Ladrilar, com junta de 2 cm e rejunte acrilico cinza platina</t>
        </is>
      </c>
      <c r="D2537" s="10" t="inlineStr">
        <is>
          <t>Ladrilho Hidráulico 20x20cm - Cor: craft claro - Marca: Ladrilar</t>
        </is>
      </c>
      <c r="E2537" s="11">
        <f t="array" ref="E2537">_xlfn.XLOOKUP(D2537,Insumos!B:B,Insumos!C:$C)</f>
        <v/>
      </c>
      <c r="F2537" s="14">
        <f>1.1</f>
        <v/>
      </c>
      <c r="G2537" s="92">
        <f t="array" ref="G2537">IF(B2537="insumo",_xlfn.XLOOKUP($D2537,Insumos!$B$1:$B$996,Insumos!$D$1:$D$996),"")</f>
        <v/>
      </c>
      <c r="H2537" s="92" t="n">
        <v>273.9</v>
      </c>
      <c r="I2537" s="2162" t="n">
        <v>0</v>
      </c>
      <c r="J2537" s="2162" t="n">
        <v>0</v>
      </c>
      <c r="K2537" s="2162" t="n"/>
    </row>
    <row r="2538" outlineLevel="3" ht="15.75" customHeight="1">
      <c r="A2538" s="10" t="n">
        <v>191</v>
      </c>
      <c r="B2538" s="10" t="inlineStr">
        <is>
          <t>Insumo</t>
        </is>
      </c>
      <c r="C2538" s="10" t="inlineStr">
        <is>
          <t>Revestimento em Ladrilho Hidráulico 20x20cm - Cores: craft claro - Marca: Ladrilar, com junta de 2 cm e rejunte acrilico cinza platina</t>
        </is>
      </c>
      <c r="D2538" s="10" t="inlineStr">
        <is>
          <t>Argamassa ACIII</t>
        </is>
      </c>
      <c r="E2538" s="11">
        <f t="array" ref="E2538">_xlfn.XLOOKUP(D2538,Insumos!B:B,Insumos!C:$C)</f>
        <v/>
      </c>
      <c r="F2538" s="14" t="n">
        <v>4.95</v>
      </c>
      <c r="G2538" s="92">
        <f t="array" ref="G2538">IF(B2538="insumo",_xlfn.XLOOKUP($D2538,Insumos!$B$1:$B$996,Insumos!$D$1:$D$996),"")</f>
        <v/>
      </c>
      <c r="H2538" s="92" t="n">
        <v>5.269275</v>
      </c>
      <c r="I2538" s="2162" t="n">
        <v>0</v>
      </c>
      <c r="J2538" s="2162" t="n">
        <v>0</v>
      </c>
      <c r="K2538" s="2162" t="n"/>
    </row>
    <row r="2539" outlineLevel="3" ht="15.75" customHeight="1">
      <c r="A2539" s="10" t="n">
        <v>142</v>
      </c>
      <c r="B2539" s="10" t="inlineStr">
        <is>
          <t>Insumo</t>
        </is>
      </c>
      <c r="C2539" s="10" t="inlineStr">
        <is>
          <t>Revestimento em Ladrilho Hidráulico 20x20cm - Cores: craft claro - Marca: Ladrilar, com junta de 2 cm e rejunte acrilico cinza platina</t>
        </is>
      </c>
      <c r="D2539" s="10" t="inlineStr">
        <is>
          <t>Espeçador junta piso 2mm</t>
        </is>
      </c>
      <c r="E2539" s="11">
        <f t="array" ref="E2539">_xlfn.XLOOKUP(D2539,Insumos!B:B,Insumos!C:$C)</f>
        <v/>
      </c>
      <c r="F2539" s="14" t="n">
        <v>4</v>
      </c>
      <c r="G2539" s="92">
        <f t="array" ref="G2539">IF(B2539="insumo",_xlfn.XLOOKUP($D2539,Insumos!$B$1:$B$996,Insumos!$D$1:$D$996),"")</f>
        <v/>
      </c>
      <c r="H2539" s="92" t="n">
        <v>0.32</v>
      </c>
      <c r="I2539" s="2162" t="n">
        <v>0</v>
      </c>
      <c r="J2539" s="2162" t="n">
        <v>0</v>
      </c>
      <c r="K2539" s="2162" t="n"/>
    </row>
    <row r="2540" outlineLevel="3" ht="15.75" customHeight="1">
      <c r="A2540" s="10" t="n">
        <v>36</v>
      </c>
      <c r="B2540" s="10" t="inlineStr">
        <is>
          <t>Insumo</t>
        </is>
      </c>
      <c r="C2540" s="82" t="inlineStr">
        <is>
          <t>Revestimento em Ladrilho Hidráulico 20x20cm - Cores: craft claro - Marca: Ladrilar, com junta de 2 cm e rejunte acrilico cinza platina</t>
        </is>
      </c>
      <c r="D2540" s="82" t="inlineStr">
        <is>
          <t>Rejunte Acrilico cinza platina</t>
        </is>
      </c>
      <c r="E2540" s="11">
        <f t="array" ref="E2540">_xlfn.XLOOKUP(D2540,Insumos!B:B,Insumos!C:$C)</f>
        <v/>
      </c>
      <c r="F2540" s="14" t="n">
        <v>0.05</v>
      </c>
      <c r="G2540" s="92">
        <f t="array" ref="G2540">IF(B2540="insumo",_xlfn.XLOOKUP($D2540,Insumos!$B$1:$B$996,Insumos!$D$1:$D$996),"")</f>
        <v/>
      </c>
      <c r="H2540" s="92" t="n">
        <v>1.9</v>
      </c>
      <c r="I2540" s="2162" t="n">
        <v>0</v>
      </c>
      <c r="J2540" s="2162" t="n">
        <v>0</v>
      </c>
      <c r="K2540" s="2162" t="n"/>
    </row>
    <row r="2541" outlineLevel="2" ht="15.75" customHeight="1">
      <c r="A2541" s="1067" t="n">
        <v>1</v>
      </c>
      <c r="B2541" s="1067" t="inlineStr">
        <is>
          <t>Serviço</t>
        </is>
      </c>
      <c r="C2541" s="1067" t="inlineStr">
        <is>
          <t>Revestimento em Ladrilho Hidráulico 20x20cm - Cores: craft claro e craft comum - Marca: Dalle Piagge, com junta de 2 cm e rejunte acrilico cinza platina</t>
        </is>
      </c>
      <c r="D2541" s="1067" t="inlineStr">
        <is>
          <t>Revestimento em Ladrilho Hidráulico 20x20cm - Cores: craft claro e craft comum - Marca: Dalle Piagge, com junta de 2 cm e rejunte acrilico cinza platina</t>
        </is>
      </c>
      <c r="E2541" s="1068" t="inlineStr">
        <is>
          <t>M2</t>
        </is>
      </c>
      <c r="F2541" s="1067" t="n"/>
      <c r="G2541" s="1069">
        <f t="array" ref="G2541">IF(B2541="insumo",_xlfn.XLOOKUP($D2541,Insumos!$B$1:$B$996,Insumos!$D$1:$D$996),"")</f>
        <v/>
      </c>
      <c r="H2541" s="1069" t="n">
        <v>535.489275</v>
      </c>
      <c r="I2541" s="2161" t="e">
        <v>#REF!</v>
      </c>
      <c r="J2541" s="2161" t="e">
        <v>#REF!</v>
      </c>
      <c r="K2541" s="2161" t="n"/>
    </row>
    <row r="2542" outlineLevel="3" ht="15.75" customHeight="1">
      <c r="A2542" s="10" t="n">
        <v>1</v>
      </c>
      <c r="B2542" s="10" t="inlineStr">
        <is>
          <t>Insumo</t>
        </is>
      </c>
      <c r="C2542" s="10" t="inlineStr">
        <is>
          <t>Revestimento em Ladrilho Hidráulico 20x20cm - Cores: craft claro e craft comum - Marca: Dalle Piagge, com junta de 2 cm e rejunte acrilico cinza platina</t>
        </is>
      </c>
      <c r="D2542" s="10" t="inlineStr">
        <is>
          <t>Ladrilho Hidráulico 20x20cm - Cores: craft claro e craft comum - Marca: Dalle Piagge</t>
        </is>
      </c>
      <c r="E2542" s="11">
        <f t="array" ref="E2542">_xlfn.XLOOKUP(D2542,Insumos!B:B,Insumos!C:$C)</f>
        <v/>
      </c>
      <c r="F2542" s="14">
        <f>1.1</f>
        <v/>
      </c>
      <c r="G2542" s="92">
        <f t="array" ref="G2542">IF(B2542="insumo",_xlfn.XLOOKUP($D2542,Insumos!$B$1:$B$996,Insumos!$D$1:$D$996),"")</f>
        <v/>
      </c>
      <c r="H2542" s="92" t="n">
        <v>528</v>
      </c>
      <c r="I2542" s="2162" t="e">
        <v>#REF!</v>
      </c>
      <c r="J2542" s="2162" t="e">
        <v>#REF!</v>
      </c>
      <c r="K2542" s="2162" t="n"/>
    </row>
    <row r="2543" outlineLevel="3" ht="15.75" customHeight="1">
      <c r="A2543" s="10" t="n">
        <v>191</v>
      </c>
      <c r="B2543" s="10" t="inlineStr">
        <is>
          <t>Insumo</t>
        </is>
      </c>
      <c r="C2543" s="10" t="inlineStr">
        <is>
          <t>Revestimento em Ladrilho Hidráulico 20x20cm - Cores: craft claro e craft comum - Marca: Dalle Piagge, com junta de 2 cm e rejunte acrilico cinza platina</t>
        </is>
      </c>
      <c r="D2543" s="10" t="inlineStr">
        <is>
          <t>Argamassa ACIII</t>
        </is>
      </c>
      <c r="E2543" s="11">
        <f t="array" ref="E2543">_xlfn.XLOOKUP(D2543,Insumos!B:B,Insumos!C:$C)</f>
        <v/>
      </c>
      <c r="F2543" s="14" t="n">
        <v>4.95</v>
      </c>
      <c r="G2543" s="92">
        <f t="array" ref="G2543">IF(B2543="insumo",_xlfn.XLOOKUP($D2543,Insumos!$B$1:$B$996,Insumos!$D$1:$D$996),"")</f>
        <v/>
      </c>
      <c r="H2543" s="92" t="n">
        <v>5.269275</v>
      </c>
      <c r="I2543" s="2162" t="e">
        <v>#REF!</v>
      </c>
      <c r="J2543" s="2162" t="e">
        <v>#REF!</v>
      </c>
      <c r="K2543" s="2162" t="n"/>
    </row>
    <row r="2544" outlineLevel="3" ht="15.75" customHeight="1">
      <c r="A2544" s="10" t="n">
        <v>142</v>
      </c>
      <c r="B2544" s="10" t="inlineStr">
        <is>
          <t>Insumo</t>
        </is>
      </c>
      <c r="C2544" s="10" t="inlineStr">
        <is>
          <t>Revestimento em Ladrilho Hidráulico 20x20cm - Cores: craft claro e craft comum - Marca: Dalle Piagge, com junta de 2 cm e rejunte acrilico cinza platina</t>
        </is>
      </c>
      <c r="D2544" s="10" t="inlineStr">
        <is>
          <t>Espeçador junta piso 2mm</t>
        </is>
      </c>
      <c r="E2544" s="11">
        <f t="array" ref="E2544">_xlfn.XLOOKUP(D2544,Insumos!B:B,Insumos!C:$C)</f>
        <v/>
      </c>
      <c r="F2544" s="14" t="n">
        <v>4</v>
      </c>
      <c r="G2544" s="92">
        <f t="array" ref="G2544">IF(B2544="insumo",_xlfn.XLOOKUP($D2544,Insumos!$B$1:$B$996,Insumos!$D$1:$D$996),"")</f>
        <v/>
      </c>
      <c r="H2544" s="92" t="n">
        <v>0.32</v>
      </c>
      <c r="I2544" s="2162" t="e">
        <v>#REF!</v>
      </c>
      <c r="J2544" s="2162" t="e">
        <v>#REF!</v>
      </c>
      <c r="K2544" s="2162" t="n"/>
    </row>
    <row r="2545" outlineLevel="3" ht="15.75" customHeight="1">
      <c r="A2545" s="10" t="n">
        <v>36</v>
      </c>
      <c r="B2545" s="10" t="inlineStr">
        <is>
          <t>Insumo</t>
        </is>
      </c>
      <c r="C2545" s="82" t="inlineStr">
        <is>
          <t>Revestimento em Ladrilho Hidráulico 20x20cm - Cores: craft claro e craft comum - Marca: Dalle Piagge, com junta de 2 cm e rejunte acrilico cinza platina</t>
        </is>
      </c>
      <c r="D2545" s="82" t="inlineStr">
        <is>
          <t>Rejunte Acrilico cinza platina</t>
        </is>
      </c>
      <c r="E2545" s="11">
        <f t="array" ref="E2545">_xlfn.XLOOKUP(D2545,Insumos!B:B,Insumos!C:$C)</f>
        <v/>
      </c>
      <c r="F2545" s="14" t="n">
        <v>0.05</v>
      </c>
      <c r="G2545" s="92">
        <f t="array" ref="G2545">IF(B2545="insumo",_xlfn.XLOOKUP($D2545,Insumos!$B$1:$B$996,Insumos!$D$1:$D$996),"")</f>
        <v/>
      </c>
      <c r="H2545" s="92" t="n">
        <v>1.9</v>
      </c>
      <c r="I2545" s="2162" t="e">
        <v>#REF!</v>
      </c>
      <c r="J2545" s="2162" t="e">
        <v>#REF!</v>
      </c>
      <c r="K2545" s="2162" t="n"/>
    </row>
    <row r="2546" outlineLevel="2" ht="15.75" customHeight="1">
      <c r="A2546" s="1067" t="n">
        <v>1</v>
      </c>
      <c r="B2546" s="1067" t="inlineStr">
        <is>
          <t>Serviço</t>
        </is>
      </c>
      <c r="C2546" s="1067" t="inlineStr">
        <is>
          <t>Revestimento em Ladrilho Hidráulico 20x20cm - Cores: craft claro e craft comum - Marca: Ladrilar, com junta de 2 cm e rejunte acrilico cinza platina</t>
        </is>
      </c>
      <c r="D2546" s="1067" t="inlineStr">
        <is>
          <t>Revestimento em Ladrilho Hidráulico 20x20cm - Cores: craft claro e craft comum - Marca: Ladrilar, com junta de 2 cm e rejunte acrilico cinza platina</t>
        </is>
      </c>
      <c r="E2546" s="1068" t="inlineStr">
        <is>
          <t>M2</t>
        </is>
      </c>
      <c r="F2546" s="1067" t="n"/>
      <c r="G2546" s="1069">
        <f t="array" ref="G2546">IF(B2546="insumo",_xlfn.XLOOKUP($D2546,Insumos!$B$1:$B$996,Insumos!$D$1:$D$996),"")</f>
        <v/>
      </c>
      <c r="H2546" s="1069" t="n">
        <v>281.389275</v>
      </c>
      <c r="I2546" s="2161" t="n">
        <v>0</v>
      </c>
      <c r="J2546" s="2161" t="n">
        <v>0</v>
      </c>
      <c r="K2546" s="2161" t="n"/>
    </row>
    <row r="2547" outlineLevel="3" ht="15.75" customHeight="1">
      <c r="A2547" s="10" t="n">
        <v>1</v>
      </c>
      <c r="B2547" s="10" t="inlineStr">
        <is>
          <t>Insumo</t>
        </is>
      </c>
      <c r="C2547" s="10" t="inlineStr">
        <is>
          <t>Revestimento em Ladrilho Hidráulico 20x20cm - Cores: craft claro e craft comum - Marca: Ladrilar, com junta de 2 cm e rejunte acrilico cinza platina</t>
        </is>
      </c>
      <c r="D2547" s="10" t="inlineStr">
        <is>
          <t>Ladrilho Hidráulico 20x20cm - Cores: craft claro e craft comum - Marca: Ladrilar</t>
        </is>
      </c>
      <c r="E2547" s="11">
        <f t="array" ref="E2547">_xlfn.XLOOKUP(D2547,Insumos!B:B,Insumos!C:$C)</f>
        <v/>
      </c>
      <c r="F2547" s="14">
        <f>1.1</f>
        <v/>
      </c>
      <c r="G2547" s="92">
        <f t="array" ref="G2547">IF(B2547="insumo",_xlfn.XLOOKUP($D2547,Insumos!$B$1:$B$996,Insumos!$D$1:$D$996),"")</f>
        <v/>
      </c>
      <c r="H2547" s="92" t="n">
        <v>273.9</v>
      </c>
      <c r="I2547" s="2162" t="n">
        <v>0</v>
      </c>
      <c r="J2547" s="2162" t="n">
        <v>0</v>
      </c>
      <c r="K2547" s="2162" t="n"/>
    </row>
    <row r="2548" outlineLevel="3" ht="15.75" customHeight="1">
      <c r="A2548" s="10" t="n">
        <v>191</v>
      </c>
      <c r="B2548" s="10" t="inlineStr">
        <is>
          <t>Insumo</t>
        </is>
      </c>
      <c r="C2548" s="10" t="inlineStr">
        <is>
          <t>Revestimento em Ladrilho Hidráulico 20x20cm - Cores: craft claro e craft comum - Marca: Ladrilar, com junta de 2 cm e rejunte acrilico cinza platina</t>
        </is>
      </c>
      <c r="D2548" s="10" t="inlineStr">
        <is>
          <t>Argamassa ACIII</t>
        </is>
      </c>
      <c r="E2548" s="11">
        <f t="array" ref="E2548">_xlfn.XLOOKUP(D2548,Insumos!B:B,Insumos!C:$C)</f>
        <v/>
      </c>
      <c r="F2548" s="14" t="n">
        <v>4.95</v>
      </c>
      <c r="G2548" s="92">
        <f t="array" ref="G2548">IF(B2548="insumo",_xlfn.XLOOKUP($D2548,Insumos!$B$1:$B$996,Insumos!$D$1:$D$996),"")</f>
        <v/>
      </c>
      <c r="H2548" s="92" t="n">
        <v>5.269275</v>
      </c>
      <c r="I2548" s="2162" t="n">
        <v>0</v>
      </c>
      <c r="J2548" s="2162" t="n">
        <v>0</v>
      </c>
      <c r="K2548" s="2162" t="n"/>
    </row>
    <row r="2549" outlineLevel="3" ht="15.75" customHeight="1">
      <c r="A2549" s="10" t="n">
        <v>142</v>
      </c>
      <c r="B2549" s="10" t="inlineStr">
        <is>
          <t>Insumo</t>
        </is>
      </c>
      <c r="C2549" s="10" t="inlineStr">
        <is>
          <t>Revestimento em Ladrilho Hidráulico 20x20cm - Cores: craft claro e craft comum - Marca: Ladrilar, com junta de 2 cm e rejunte acrilico cinza platina</t>
        </is>
      </c>
      <c r="D2549" s="10" t="inlineStr">
        <is>
          <t>Espeçador junta piso 2mm</t>
        </is>
      </c>
      <c r="E2549" s="11">
        <f t="array" ref="E2549">_xlfn.XLOOKUP(D2549,Insumos!B:B,Insumos!C:$C)</f>
        <v/>
      </c>
      <c r="F2549" s="14" t="n">
        <v>4</v>
      </c>
      <c r="G2549" s="92">
        <f t="array" ref="G2549">IF(B2549="insumo",_xlfn.XLOOKUP($D2549,Insumos!$B$1:$B$996,Insumos!$D$1:$D$996),"")</f>
        <v/>
      </c>
      <c r="H2549" s="92" t="n">
        <v>0.32</v>
      </c>
      <c r="I2549" s="2162" t="n">
        <v>0</v>
      </c>
      <c r="J2549" s="2162" t="n">
        <v>0</v>
      </c>
      <c r="K2549" s="2162" t="n"/>
    </row>
    <row r="2550" outlineLevel="3" ht="15.75" customHeight="1">
      <c r="A2550" s="10" t="n">
        <v>36</v>
      </c>
      <c r="B2550" s="10" t="inlineStr">
        <is>
          <t>Insumo</t>
        </is>
      </c>
      <c r="C2550" s="82" t="inlineStr">
        <is>
          <t>Revestimento em Ladrilho Hidráulico 20x20cm - Cores: craft claro e craft comum - Marca: Ladrilar, com junta de 2 cm e rejunte acrilico cinza platina</t>
        </is>
      </c>
      <c r="D2550" s="82" t="inlineStr">
        <is>
          <t>Rejunte Acrilico cinza platina</t>
        </is>
      </c>
      <c r="E2550" s="11">
        <f t="array" ref="E2550">_xlfn.XLOOKUP(D2550,Insumos!B:B,Insumos!C:$C)</f>
        <v/>
      </c>
      <c r="F2550" s="14" t="n">
        <v>0.05</v>
      </c>
      <c r="G2550" s="92">
        <f t="array" ref="G2550">IF(B2550="insumo",_xlfn.XLOOKUP($D2550,Insumos!$B$1:$B$996,Insumos!$D$1:$D$996),"")</f>
        <v/>
      </c>
      <c r="H2550" s="92" t="n">
        <v>1.9</v>
      </c>
      <c r="I2550" s="2162" t="n">
        <v>0</v>
      </c>
      <c r="J2550" s="2162" t="n">
        <v>0</v>
      </c>
      <c r="K2550" s="2162" t="n"/>
    </row>
    <row r="2551" outlineLevel="2" ht="15.75" customHeight="1">
      <c r="A2551" s="1067" t="n">
        <v>1</v>
      </c>
      <c r="B2551" s="1067" t="inlineStr">
        <is>
          <t>Serviço</t>
        </is>
      </c>
      <c r="C2551" s="1067" t="inlineStr">
        <is>
          <t>Revestimento em Ladrilho Hidráulico 5x5cm - Cores: terracota escuro, azul escuro, off-white ou branco - Marca: Dalle Piagge, com junta de 2 cm e rejunte acrilico cinza platina</t>
        </is>
      </c>
      <c r="D2551" s="1067" t="inlineStr">
        <is>
          <t>Revestimento em Ladrilho Hidráulico 5x5cm - Cores: terracota escuro, azul escuro, off-white ou branco - Marca: Dalle Piagge, com junta de 2 cm e rejunte acrilico cinza platina</t>
        </is>
      </c>
      <c r="E2551" s="1068" t="inlineStr">
        <is>
          <t>M2</t>
        </is>
      </c>
      <c r="F2551" s="1067" t="n"/>
      <c r="G2551" s="1069">
        <f t="array" ref="G2551">IF(B2551="insumo",_xlfn.XLOOKUP($D2551,Insumos!$B$1:$B$996,Insumos!$D$1:$D$996),"")</f>
        <v/>
      </c>
      <c r="H2551" s="1069" t="n">
        <v>865.489275</v>
      </c>
      <c r="I2551" s="2161" t="e">
        <v>#REF!</v>
      </c>
      <c r="J2551" s="2161" t="e">
        <v>#REF!</v>
      </c>
      <c r="K2551" s="2161" t="n"/>
    </row>
    <row r="2552" outlineLevel="3" ht="15.75" customHeight="1">
      <c r="A2552" s="10" t="n">
        <v>1</v>
      </c>
      <c r="B2552" s="10" t="inlineStr">
        <is>
          <t>Insumo</t>
        </is>
      </c>
      <c r="C2552" s="10" t="inlineStr">
        <is>
          <t>Revestimento em Ladrilho Hidráulico 5x5cm - Cores: terracota escuro, azul escuro, off-white ou branco - Marca: Dalle Piagge, com junta de 2 cm e rejunte acrilico cinza platina</t>
        </is>
      </c>
      <c r="D2552" s="10" t="inlineStr">
        <is>
          <t>Ladrilho Hidráulico 5x5cm - Cores: terracota escuro, azul escuro, off-white ou branco - Marca: Dalle Piagge</t>
        </is>
      </c>
      <c r="E2552" s="11">
        <f t="array" ref="E2552">_xlfn.XLOOKUP(D2552,Insumos!B:B,Insumos!C:$C)</f>
        <v/>
      </c>
      <c r="F2552" s="14">
        <f>1.1</f>
        <v/>
      </c>
      <c r="G2552" s="92">
        <f t="array" ref="G2552">IF(B2552="insumo",_xlfn.XLOOKUP($D2552,Insumos!$B$1:$B$996,Insumos!$D$1:$D$996),"")</f>
        <v/>
      </c>
      <c r="H2552" s="92" t="n">
        <v>858</v>
      </c>
      <c r="I2552" s="2162" t="e">
        <v>#REF!</v>
      </c>
      <c r="J2552" s="2162" t="e">
        <v>#REF!</v>
      </c>
      <c r="K2552" s="2162" t="n"/>
    </row>
    <row r="2553" outlineLevel="3" ht="15.75" customHeight="1">
      <c r="A2553" s="10" t="n">
        <v>191</v>
      </c>
      <c r="B2553" s="10" t="inlineStr">
        <is>
          <t>Insumo</t>
        </is>
      </c>
      <c r="C2553" s="10" t="inlineStr">
        <is>
          <t>Revestimento em Ladrilho Hidráulico 5x5cm - Cores: terracota escuro, azul escuro, off-white ou branco - Marca: Dalle Piagge, com junta de 2 cm e rejunte acrilico cinza platina</t>
        </is>
      </c>
      <c r="D2553" s="10" t="inlineStr">
        <is>
          <t>Argamassa ACIII</t>
        </is>
      </c>
      <c r="E2553" s="11">
        <f t="array" ref="E2553">_xlfn.XLOOKUP(D2553,Insumos!B:B,Insumos!C:$C)</f>
        <v/>
      </c>
      <c r="F2553" s="14" t="n">
        <v>4.95</v>
      </c>
      <c r="G2553" s="92">
        <f t="array" ref="G2553">IF(B2553="insumo",_xlfn.XLOOKUP($D2553,Insumos!$B$1:$B$996,Insumos!$D$1:$D$996),"")</f>
        <v/>
      </c>
      <c r="H2553" s="92" t="n">
        <v>5.269275</v>
      </c>
      <c r="I2553" s="2162" t="e">
        <v>#REF!</v>
      </c>
      <c r="J2553" s="2162" t="e">
        <v>#REF!</v>
      </c>
      <c r="K2553" s="2162" t="n"/>
    </row>
    <row r="2554" outlineLevel="3" ht="15.75" customHeight="1">
      <c r="A2554" s="10" t="n">
        <v>142</v>
      </c>
      <c r="B2554" s="10" t="inlineStr">
        <is>
          <t>Insumo</t>
        </is>
      </c>
      <c r="C2554" s="10" t="inlineStr">
        <is>
          <t>Revestimento em Ladrilho Hidráulico 5x5cm - Cores: terracota escuro, azul escuro, off-white ou branco - Marca: Dalle Piagge, com junta de 2 cm e rejunte acrilico cinza platina</t>
        </is>
      </c>
      <c r="D2554" s="10" t="inlineStr">
        <is>
          <t>Espeçador junta piso 2mm</t>
        </is>
      </c>
      <c r="E2554" s="11">
        <f t="array" ref="E2554">_xlfn.XLOOKUP(D2554,Insumos!B:B,Insumos!C:$C)</f>
        <v/>
      </c>
      <c r="F2554" s="14" t="n">
        <v>4</v>
      </c>
      <c r="G2554" s="92">
        <f t="array" ref="G2554">IF(B2554="insumo",_xlfn.XLOOKUP($D2554,Insumos!$B$1:$B$996,Insumos!$D$1:$D$996),"")</f>
        <v/>
      </c>
      <c r="H2554" s="92" t="n">
        <v>0.32</v>
      </c>
      <c r="I2554" s="2162" t="e">
        <v>#REF!</v>
      </c>
      <c r="J2554" s="2162" t="e">
        <v>#REF!</v>
      </c>
      <c r="K2554" s="2162" t="n"/>
    </row>
    <row r="2555" outlineLevel="3" ht="15.75" customHeight="1">
      <c r="A2555" s="10" t="n">
        <v>36</v>
      </c>
      <c r="B2555" s="10" t="inlineStr">
        <is>
          <t>Insumo</t>
        </is>
      </c>
      <c r="C2555" s="82" t="inlineStr">
        <is>
          <t>Revestimento em Ladrilho Hidráulico 5x5cm - Cores: terracota escuro, azul escuro, off-white ou branco - Marca: Dalle Piagge, com junta de 2 cm e rejunte acrilico cinza platina</t>
        </is>
      </c>
      <c r="D2555" s="82" t="inlineStr">
        <is>
          <t>Rejunte Acrilico cinza platina</t>
        </is>
      </c>
      <c r="E2555" s="11">
        <f t="array" ref="E2555">_xlfn.XLOOKUP(D2555,Insumos!B:B,Insumos!C:$C)</f>
        <v/>
      </c>
      <c r="F2555" s="14" t="n">
        <v>0.05</v>
      </c>
      <c r="G2555" s="92">
        <f t="array" ref="G2555">IF(B2555="insumo",_xlfn.XLOOKUP($D2555,Insumos!$B$1:$B$996,Insumos!$D$1:$D$996),"")</f>
        <v/>
      </c>
      <c r="H2555" s="92" t="n">
        <v>1.9</v>
      </c>
      <c r="I2555" s="2162" t="e">
        <v>#REF!</v>
      </c>
      <c r="J2555" s="2162" t="e">
        <v>#REF!</v>
      </c>
      <c r="K2555" s="2162" t="n"/>
    </row>
    <row r="2556" outlineLevel="2" ht="15.75" customHeight="1">
      <c r="A2556" s="1067" t="n">
        <v>1</v>
      </c>
      <c r="B2556" s="1067" t="inlineStr">
        <is>
          <t>Serviço</t>
        </is>
      </c>
      <c r="C2556" s="1067" t="inlineStr">
        <is>
          <t>Revestimento em Ladrilho Hidráulico 5x5cm - Cores: terracota escuro, azul escuro, off-white ou branco - Marca: Ladrilar, com junta de 2 cm e rejunte acrilico cinza platina</t>
        </is>
      </c>
      <c r="D2556" s="1067" t="inlineStr">
        <is>
          <t>Revestimento em Ladrilho Hidráulico 5x5cm - Cores: terracota escuro, azul escuro, off-white ou branco - Marca: Ladrilar, com junta de 2 cm e rejunte acrilico cinza platina</t>
        </is>
      </c>
      <c r="E2556" s="1068" t="inlineStr">
        <is>
          <t>M2</t>
        </is>
      </c>
      <c r="F2556" s="1067" t="n"/>
      <c r="G2556" s="1069">
        <f t="array" ref="G2556">IF(B2556="insumo",_xlfn.XLOOKUP($D2556,Insumos!$B$1:$B$996,Insumos!$D$1:$D$996),"")</f>
        <v/>
      </c>
      <c r="H2556" s="1069" t="n">
        <v>546.489275</v>
      </c>
      <c r="I2556" s="2161" t="n">
        <v>0</v>
      </c>
      <c r="J2556" s="2161" t="n">
        <v>0</v>
      </c>
      <c r="K2556" s="2161" t="n"/>
    </row>
    <row r="2557" outlineLevel="3" ht="15.75" customHeight="1">
      <c r="A2557" s="10" t="n">
        <v>1</v>
      </c>
      <c r="B2557" s="10" t="inlineStr">
        <is>
          <t>Insumo</t>
        </is>
      </c>
      <c r="C2557" s="10" t="inlineStr">
        <is>
          <t>Revestimento em Ladrilho Hidráulico 5x5cm - Cores: terracota escuro, azul escuro, off-white ou branco - Marca: Ladrilar, com junta de 2 cm e rejunte acrilico cinza platina</t>
        </is>
      </c>
      <c r="D2557" s="10" t="inlineStr">
        <is>
          <t>Ladrilho Hidráulico 5x5cm - Cores: terracota escuro, azul escuro, off-white ou branco - Marca: Ladrilar</t>
        </is>
      </c>
      <c r="E2557" s="11">
        <f t="array" ref="E2557">_xlfn.XLOOKUP(D2557,Insumos!B:B,Insumos!C:$C)</f>
        <v/>
      </c>
      <c r="F2557" s="14">
        <f>1.1</f>
        <v/>
      </c>
      <c r="G2557" s="92">
        <f t="array" ref="G2557">IF(B2557="insumo",_xlfn.XLOOKUP($D2557,Insumos!$B$1:$B$996,Insumos!$D$1:$D$996),"")</f>
        <v/>
      </c>
      <c r="H2557" s="92" t="n">
        <v>539</v>
      </c>
      <c r="I2557" s="2162" t="n">
        <v>0</v>
      </c>
      <c r="J2557" s="2162" t="n">
        <v>0</v>
      </c>
      <c r="K2557" s="2162" t="n"/>
    </row>
    <row r="2558" outlineLevel="3" ht="15.75" customHeight="1">
      <c r="A2558" s="10" t="n">
        <v>191</v>
      </c>
      <c r="B2558" s="10" t="inlineStr">
        <is>
          <t>Insumo</t>
        </is>
      </c>
      <c r="C2558" s="10" t="inlineStr">
        <is>
          <t>Revestimento em Ladrilho Hidráulico 5x5cm - Cores: terracota escuro, azul escuro, off-white ou branco - Marca: Ladrilar, com junta de 2 cm e rejunte acrilico cinza platina</t>
        </is>
      </c>
      <c r="D2558" s="10" t="inlineStr">
        <is>
          <t>Argamassa ACIII</t>
        </is>
      </c>
      <c r="E2558" s="11">
        <f t="array" ref="E2558">_xlfn.XLOOKUP(D2558,Insumos!B:B,Insumos!C:$C)</f>
        <v/>
      </c>
      <c r="F2558" s="14" t="n">
        <v>4.95</v>
      </c>
      <c r="G2558" s="92">
        <f t="array" ref="G2558">IF(B2558="insumo",_xlfn.XLOOKUP($D2558,Insumos!$B$1:$B$996,Insumos!$D$1:$D$996),"")</f>
        <v/>
      </c>
      <c r="H2558" s="92" t="n">
        <v>5.269275</v>
      </c>
      <c r="I2558" s="2162" t="n">
        <v>0</v>
      </c>
      <c r="J2558" s="2162" t="n">
        <v>0</v>
      </c>
      <c r="K2558" s="2162" t="n"/>
    </row>
    <row r="2559" outlineLevel="3" ht="15.75" customHeight="1">
      <c r="A2559" s="10" t="n">
        <v>142</v>
      </c>
      <c r="B2559" s="10" t="inlineStr">
        <is>
          <t>Insumo</t>
        </is>
      </c>
      <c r="C2559" s="10" t="inlineStr">
        <is>
          <t>Revestimento em Ladrilho Hidráulico 5x5cm - Cores: terracota escuro, azul escuro, off-white ou branco - Marca: Ladrilar, com junta de 2 cm e rejunte acrilico cinza platina</t>
        </is>
      </c>
      <c r="D2559" s="10" t="inlineStr">
        <is>
          <t>Espeçador junta piso 2mm</t>
        </is>
      </c>
      <c r="E2559" s="11">
        <f t="array" ref="E2559">_xlfn.XLOOKUP(D2559,Insumos!B:B,Insumos!C:$C)</f>
        <v/>
      </c>
      <c r="F2559" s="14" t="n">
        <v>4</v>
      </c>
      <c r="G2559" s="92">
        <f t="array" ref="G2559">IF(B2559="insumo",_xlfn.XLOOKUP($D2559,Insumos!$B$1:$B$996,Insumos!$D$1:$D$996),"")</f>
        <v/>
      </c>
      <c r="H2559" s="92" t="n">
        <v>0.32</v>
      </c>
      <c r="I2559" s="2162" t="n">
        <v>0</v>
      </c>
      <c r="J2559" s="2162" t="n">
        <v>0</v>
      </c>
      <c r="K2559" s="2162" t="n"/>
    </row>
    <row r="2560" outlineLevel="3" ht="15.75" customHeight="1">
      <c r="A2560" s="10" t="n">
        <v>36</v>
      </c>
      <c r="B2560" s="10" t="inlineStr">
        <is>
          <t>Insumo</t>
        </is>
      </c>
      <c r="C2560" s="82" t="inlineStr">
        <is>
          <t>Revestimento em Ladrilho Hidráulico 5x5cm - Cores: terracota escuro, azul escuro, off-white ou branco - Marca: Ladrilar, com junta de 2 cm e rejunte acrilico cinza platina</t>
        </is>
      </c>
      <c r="D2560" s="82" t="inlineStr">
        <is>
          <t>Rejunte Acrilico cinza platina</t>
        </is>
      </c>
      <c r="E2560" s="11">
        <f t="array" ref="E2560">_xlfn.XLOOKUP(D2560,Insumos!B:B,Insumos!C:$C)</f>
        <v/>
      </c>
      <c r="F2560" s="14" t="n">
        <v>0.05</v>
      </c>
      <c r="G2560" s="92">
        <f t="array" ref="G2560">IF(B2560="insumo",_xlfn.XLOOKUP($D2560,Insumos!$B$1:$B$996,Insumos!$D$1:$D$996),"")</f>
        <v/>
      </c>
      <c r="H2560" s="92" t="n">
        <v>1.9</v>
      </c>
      <c r="I2560" s="2162" t="n">
        <v>0</v>
      </c>
      <c r="J2560" s="2162" t="n">
        <v>0</v>
      </c>
      <c r="K2560" s="2162" t="n"/>
    </row>
    <row r="2561" outlineLevel="2" ht="15.75" customHeight="1">
      <c r="A2561" s="1067" t="n">
        <v>1</v>
      </c>
      <c r="B2561" s="1067" t="inlineStr">
        <is>
          <t>Serviço</t>
        </is>
      </c>
      <c r="C2561" s="1067" t="inlineStr">
        <is>
          <t>Revestimento em Ladrilho Hidráulico 20x20cm - Cores: craft claro, craft comum, fendi, cana e terracota escuro - Marca: Dalle Piagge, com junta de 2 cm e rejunte acrilico cinza platina</t>
        </is>
      </c>
      <c r="D2561" s="1067" t="inlineStr">
        <is>
          <t>Revestimento em Ladrilho Hidráulico 20x20cm - Cores: craft claro, craft comum, fendi, cana e terracota escuro - Marca: Dalle Piagge, com junta de 2 cm e rejunte acrilico cinza platina</t>
        </is>
      </c>
      <c r="E2561" s="1068" t="inlineStr">
        <is>
          <t>M2</t>
        </is>
      </c>
      <c r="F2561" s="1067" t="n"/>
      <c r="G2561" s="1069">
        <f t="array" ref="G2561">IF(B2561="insumo",_xlfn.XLOOKUP($D2561,Insumos!$B$1:$B$996,Insumos!$D$1:$D$996),"")</f>
        <v/>
      </c>
      <c r="H2561" s="1069" t="n">
        <v>623.489275</v>
      </c>
      <c r="I2561" s="2161" t="e">
        <v>#REF!</v>
      </c>
      <c r="J2561" s="2161" t="e">
        <v>#REF!</v>
      </c>
      <c r="K2561" s="2161" t="n"/>
    </row>
    <row r="2562" outlineLevel="3" ht="15.75" customHeight="1">
      <c r="A2562" s="10" t="n">
        <v>1</v>
      </c>
      <c r="B2562" s="10" t="inlineStr">
        <is>
          <t>Insumo</t>
        </is>
      </c>
      <c r="C2562" s="10" t="inlineStr">
        <is>
          <t>Revestimento em Ladrilho Hidráulico 20x20cm - Cores: craft claro, craft comum, fendi, cana e terracota escuro - Marca: Dalle Piagge, com junta de 2 cm e rejunte acrilico cinza platina</t>
        </is>
      </c>
      <c r="D2562" s="10" t="inlineStr">
        <is>
          <t>Ladrilho Hidráulico 20x20cm - Cores: craft claro, craft comum, fendi, cana e terracota escuro - Marca: Dalle Piagge</t>
        </is>
      </c>
      <c r="E2562" s="11">
        <f t="array" ref="E2562">_xlfn.XLOOKUP(D2562,Insumos!B:B,Insumos!C:$C)</f>
        <v/>
      </c>
      <c r="F2562" s="14">
        <f>1.1</f>
        <v/>
      </c>
      <c r="G2562" s="92">
        <f t="array" ref="G2562">IF(B2562="insumo",_xlfn.XLOOKUP($D2562,Insumos!$B$1:$B$996,Insumos!$D$1:$D$996),"")</f>
        <v/>
      </c>
      <c r="H2562" s="92" t="n">
        <v>616</v>
      </c>
      <c r="I2562" s="2162" t="e">
        <v>#REF!</v>
      </c>
      <c r="J2562" s="2162" t="e">
        <v>#REF!</v>
      </c>
      <c r="K2562" s="2162" t="n"/>
    </row>
    <row r="2563" outlineLevel="3" ht="15.75" customHeight="1">
      <c r="A2563" s="10" t="n">
        <v>191</v>
      </c>
      <c r="B2563" s="10" t="inlineStr">
        <is>
          <t>Insumo</t>
        </is>
      </c>
      <c r="C2563" s="10" t="inlineStr">
        <is>
          <t>Revestimento em Ladrilho Hidráulico 20x20cm - Cores: craft claro, craft comum, fendi, cana e terracota escuro - Marca: Dalle Piagge, com junta de 2 cm e rejunte acrilico cinza platina</t>
        </is>
      </c>
      <c r="D2563" s="10" t="inlineStr">
        <is>
          <t>Argamassa ACIII</t>
        </is>
      </c>
      <c r="E2563" s="11">
        <f t="array" ref="E2563">_xlfn.XLOOKUP(D2563,Insumos!B:B,Insumos!C:$C)</f>
        <v/>
      </c>
      <c r="F2563" s="14" t="n">
        <v>4.95</v>
      </c>
      <c r="G2563" s="92">
        <f t="array" ref="G2563">IF(B2563="insumo",_xlfn.XLOOKUP($D2563,Insumos!$B$1:$B$996,Insumos!$D$1:$D$996),"")</f>
        <v/>
      </c>
      <c r="H2563" s="92" t="n">
        <v>5.269275</v>
      </c>
      <c r="I2563" s="2162" t="e">
        <v>#REF!</v>
      </c>
      <c r="J2563" s="2162" t="e">
        <v>#REF!</v>
      </c>
      <c r="K2563" s="2162" t="n"/>
    </row>
    <row r="2564" outlineLevel="3" ht="15.75" customHeight="1">
      <c r="A2564" s="10" t="n">
        <v>142</v>
      </c>
      <c r="B2564" s="10" t="inlineStr">
        <is>
          <t>Insumo</t>
        </is>
      </c>
      <c r="C2564" s="10" t="inlineStr">
        <is>
          <t>Revestimento em Ladrilho Hidráulico 20x20cm - Cores: craft claro, craft comum, fendi, cana e terracota escuro - Marca: Dalle Piagge, com junta de 2 cm e rejunte acrilico cinza platina</t>
        </is>
      </c>
      <c r="D2564" s="10" t="inlineStr">
        <is>
          <t>Espeçador junta piso 2mm</t>
        </is>
      </c>
      <c r="E2564" s="11">
        <f t="array" ref="E2564">_xlfn.XLOOKUP(D2564,Insumos!B:B,Insumos!C:$C)</f>
        <v/>
      </c>
      <c r="F2564" s="14" t="n">
        <v>4</v>
      </c>
      <c r="G2564" s="92">
        <f t="array" ref="G2564">IF(B2564="insumo",_xlfn.XLOOKUP($D2564,Insumos!$B$1:$B$996,Insumos!$D$1:$D$996),"")</f>
        <v/>
      </c>
      <c r="H2564" s="92" t="n">
        <v>0.32</v>
      </c>
      <c r="I2564" s="2162" t="e">
        <v>#REF!</v>
      </c>
      <c r="J2564" s="2162" t="e">
        <v>#REF!</v>
      </c>
      <c r="K2564" s="2162" t="n"/>
    </row>
    <row r="2565" outlineLevel="3" ht="15.75" customHeight="1">
      <c r="A2565" s="10" t="n">
        <v>36</v>
      </c>
      <c r="B2565" s="10" t="inlineStr">
        <is>
          <t>Insumo</t>
        </is>
      </c>
      <c r="C2565" s="82" t="inlineStr">
        <is>
          <t>Revestimento em Ladrilho Hidráulico 20x20cm - Cores: craft claro, craft comum, fendi, cana e terracota escuro - Marca: Dalle Piagge, com junta de 2 cm e rejunte acrilico cinza platina</t>
        </is>
      </c>
      <c r="D2565" s="82" t="inlineStr">
        <is>
          <t>Rejunte Acrilico cinza platina</t>
        </is>
      </c>
      <c r="E2565" s="11">
        <f t="array" ref="E2565">_xlfn.XLOOKUP(D2565,Insumos!B:B,Insumos!C:$C)</f>
        <v/>
      </c>
      <c r="F2565" s="14" t="n">
        <v>0.05</v>
      </c>
      <c r="G2565" s="92">
        <f t="array" ref="G2565">IF(B2565="insumo",_xlfn.XLOOKUP($D2565,Insumos!$B$1:$B$996,Insumos!$D$1:$D$996),"")</f>
        <v/>
      </c>
      <c r="H2565" s="92" t="n">
        <v>1.9</v>
      </c>
      <c r="I2565" s="2162" t="e">
        <v>#REF!</v>
      </c>
      <c r="J2565" s="2162" t="e">
        <v>#REF!</v>
      </c>
      <c r="K2565" s="2162" t="n"/>
    </row>
    <row r="2566" outlineLevel="2" ht="15.75" customHeight="1">
      <c r="A2566" s="1067" t="n">
        <v>1</v>
      </c>
      <c r="B2566" s="1067" t="inlineStr">
        <is>
          <t>Serviço</t>
        </is>
      </c>
      <c r="C2566" s="1067" t="inlineStr">
        <is>
          <t>Revestimento em Ladrilho Hidráulico 20x20cm - Cores: craft claro, craft comum, fendi, cana e terracota escuro - Marca: Ladrilar, com junta de 2 cm e rejunte acrilico cinza platina</t>
        </is>
      </c>
      <c r="D2566" s="1067" t="inlineStr">
        <is>
          <t>Revestimento em Ladrilho Hidráulico 20x20cm - Cores: craft claro, craft comum, fendi, cana e terracota escuro - Marca: Ladrilar, com junta de 2 cm e rejunte acrilico cinza platina</t>
        </is>
      </c>
      <c r="E2566" s="1068" t="inlineStr">
        <is>
          <t>M2</t>
        </is>
      </c>
      <c r="F2566" s="1067" t="n"/>
      <c r="G2566" s="1069">
        <f t="array" ref="G2566">IF(B2566="insumo",_xlfn.XLOOKUP($D2566,Insumos!$B$1:$B$996,Insumos!$D$1:$D$996),"")</f>
        <v/>
      </c>
      <c r="H2566" s="1069" t="n">
        <v>281.389275</v>
      </c>
      <c r="I2566" s="2161" t="n">
        <v>0</v>
      </c>
      <c r="J2566" s="2161" t="n">
        <v>0</v>
      </c>
      <c r="K2566" s="2161" t="n"/>
    </row>
    <row r="2567" outlineLevel="3" ht="15.75" customHeight="1">
      <c r="A2567" s="10" t="n">
        <v>1</v>
      </c>
      <c r="B2567" s="10" t="inlineStr">
        <is>
          <t>Insumo</t>
        </is>
      </c>
      <c r="C2567" s="10" t="inlineStr">
        <is>
          <t>Revestimento em Ladrilho Hidráulico 20x20cm - Cores: craft claro, craft comum, fendi, cana e terracota escuro - Marca: Ladrilar, com junta de 2 cm e rejunte acrilico cinza platina</t>
        </is>
      </c>
      <c r="D2567" s="10" t="inlineStr">
        <is>
          <t>Ladrilho Hidráulico 20x20cm - Cores: craft claro, craft comum, fendi, cana e terracota escuro - Marca: Ladrilar</t>
        </is>
      </c>
      <c r="E2567" s="11">
        <f t="array" ref="E2567">_xlfn.XLOOKUP(D2567,Insumos!B:B,Insumos!C:$C)</f>
        <v/>
      </c>
      <c r="F2567" s="14">
        <f>1.1</f>
        <v/>
      </c>
      <c r="G2567" s="92">
        <f t="array" ref="G2567">IF(B2567="insumo",_xlfn.XLOOKUP($D2567,Insumos!$B$1:$B$996,Insumos!$D$1:$D$996),"")</f>
        <v/>
      </c>
      <c r="H2567" s="92" t="n">
        <v>273.9</v>
      </c>
      <c r="I2567" s="2162" t="n">
        <v>0</v>
      </c>
      <c r="J2567" s="2162" t="n">
        <v>0</v>
      </c>
      <c r="K2567" s="2162" t="n"/>
    </row>
    <row r="2568" outlineLevel="3" ht="15.75" customHeight="1">
      <c r="A2568" s="10" t="n">
        <v>191</v>
      </c>
      <c r="B2568" s="10" t="inlineStr">
        <is>
          <t>Insumo</t>
        </is>
      </c>
      <c r="C2568" s="10" t="inlineStr">
        <is>
          <t>Revestimento em Ladrilho Hidráulico 20x20cm - Cores: craft claro, craft comum, fendi, cana e terracota escuro - Marca: Ladrilar, com junta de 2 cm e rejunte acrilico cinza platina</t>
        </is>
      </c>
      <c r="D2568" s="10" t="inlineStr">
        <is>
          <t>Argamassa ACIII</t>
        </is>
      </c>
      <c r="E2568" s="11">
        <f t="array" ref="E2568">_xlfn.XLOOKUP(D2568,Insumos!B:B,Insumos!C:$C)</f>
        <v/>
      </c>
      <c r="F2568" s="14" t="n">
        <v>4.95</v>
      </c>
      <c r="G2568" s="92">
        <f t="array" ref="G2568">IF(B2568="insumo",_xlfn.XLOOKUP($D2568,Insumos!$B$1:$B$996,Insumos!$D$1:$D$996),"")</f>
        <v/>
      </c>
      <c r="H2568" s="92" t="n">
        <v>5.269275</v>
      </c>
      <c r="I2568" s="2162" t="n">
        <v>0</v>
      </c>
      <c r="J2568" s="2162" t="n">
        <v>0</v>
      </c>
      <c r="K2568" s="2162" t="n"/>
    </row>
    <row r="2569" outlineLevel="3" ht="15.75" customHeight="1">
      <c r="A2569" s="10" t="n">
        <v>142</v>
      </c>
      <c r="B2569" s="10" t="inlineStr">
        <is>
          <t>Insumo</t>
        </is>
      </c>
      <c r="C2569" s="10" t="inlineStr">
        <is>
          <t>Revestimento em Ladrilho Hidráulico 20x20cm - Cores: craft claro, craft comum, fendi, cana e terracota escuro - Marca: Ladrilar, com junta de 2 cm e rejunte acrilico cinza platina</t>
        </is>
      </c>
      <c r="D2569" s="10" t="inlineStr">
        <is>
          <t>Espeçador junta piso 2mm</t>
        </is>
      </c>
      <c r="E2569" s="11">
        <f t="array" ref="E2569">_xlfn.XLOOKUP(D2569,Insumos!B:B,Insumos!C:$C)</f>
        <v/>
      </c>
      <c r="F2569" s="14" t="n">
        <v>4</v>
      </c>
      <c r="G2569" s="92">
        <f t="array" ref="G2569">IF(B2569="insumo",_xlfn.XLOOKUP($D2569,Insumos!$B$1:$B$996,Insumos!$D$1:$D$996),"")</f>
        <v/>
      </c>
      <c r="H2569" s="92" t="n">
        <v>0.32</v>
      </c>
      <c r="I2569" s="2162" t="n">
        <v>0</v>
      </c>
      <c r="J2569" s="2162" t="n">
        <v>0</v>
      </c>
      <c r="K2569" s="2162" t="n"/>
    </row>
    <row r="2570" outlineLevel="3" ht="15.75" customHeight="1">
      <c r="A2570" s="10" t="n">
        <v>36</v>
      </c>
      <c r="B2570" s="10" t="inlineStr">
        <is>
          <t>Insumo</t>
        </is>
      </c>
      <c r="C2570" s="82" t="inlineStr">
        <is>
          <t>Revestimento em Ladrilho Hidráulico 20x20cm - Cores: craft claro, craft comum, fendi, cana e terracota escuro - Marca: Ladrilar, com junta de 2 cm e rejunte acrilico cinza platina</t>
        </is>
      </c>
      <c r="D2570" s="82" t="inlineStr">
        <is>
          <t>Rejunte Acrilico cinza platina</t>
        </is>
      </c>
      <c r="E2570" s="11">
        <f t="array" ref="E2570">_xlfn.XLOOKUP(D2570,Insumos!B:B,Insumos!C:$C)</f>
        <v/>
      </c>
      <c r="F2570" s="14" t="n">
        <v>0.05</v>
      </c>
      <c r="G2570" s="92">
        <f t="array" ref="G2570">IF(B2570="insumo",_xlfn.XLOOKUP($D2570,Insumos!$B$1:$B$996,Insumos!$D$1:$D$996),"")</f>
        <v/>
      </c>
      <c r="H2570" s="92" t="n">
        <v>1.9</v>
      </c>
      <c r="I2570" s="2162" t="n">
        <v>0</v>
      </c>
      <c r="J2570" s="2162" t="n">
        <v>0</v>
      </c>
      <c r="K2570" s="2162" t="n"/>
    </row>
    <row r="2571" outlineLevel="2" ht="15.75" customHeight="1">
      <c r="A2571" s="1067" t="n">
        <v>1</v>
      </c>
      <c r="B2571" s="1067" t="inlineStr">
        <is>
          <t>Serviço</t>
        </is>
      </c>
      <c r="C2571" s="1067" t="inlineStr">
        <is>
          <t>Revestimento em Ladrilho Hidráulico 10x20cm - Cor: mostarda e off-white - Marca: Dalle Piagge, com junta de 2 cm e rejunte acrilico cinza platina</t>
        </is>
      </c>
      <c r="D2571" s="1067" t="inlineStr">
        <is>
          <t>Revestimento em Ladrilho Hidráulico 10x20cm - Cor: mostarda e off-white - Marca: Dalle Piagge, com junta de 2 cm e rejunte acrilico cinza platina</t>
        </is>
      </c>
      <c r="E2571" s="1068" t="inlineStr">
        <is>
          <t>M2</t>
        </is>
      </c>
      <c r="F2571" s="1067" t="n"/>
      <c r="G2571" s="1069">
        <f t="array" ref="G2571">IF(B2571="insumo",_xlfn.XLOOKUP($D2571,Insumos!$B$1:$B$996,Insumos!$D$1:$D$996),"")</f>
        <v/>
      </c>
      <c r="H2571" s="1069" t="n">
        <v>655.169275</v>
      </c>
      <c r="I2571" s="2161" t="e">
        <v>#REF!</v>
      </c>
      <c r="J2571" s="2161" t="e">
        <v>#REF!</v>
      </c>
      <c r="K2571" s="2161" t="n"/>
    </row>
    <row r="2572" outlineLevel="3" ht="15.75" customHeight="1">
      <c r="A2572" s="10" t="n">
        <v>1</v>
      </c>
      <c r="B2572" s="10" t="inlineStr">
        <is>
          <t>Insumo</t>
        </is>
      </c>
      <c r="C2572" s="10" t="inlineStr">
        <is>
          <t>Revestimento em Ladrilho Hidráulico 10x20cm - Cor: mostarda e off-white - Marca: Dalle Piagge, com junta de 2 cm e rejunte acrilico cinza platina</t>
        </is>
      </c>
      <c r="D2572" s="10" t="inlineStr">
        <is>
          <t>Ladrilho Hidráulico 10x20cm - Cor: mostarda - Marca: Dalle Piagge</t>
        </is>
      </c>
      <c r="E2572" s="11">
        <f t="array" ref="E2572">_xlfn.XLOOKUP(D2572,Insumos!B:B,Insumos!C:$C)</f>
        <v/>
      </c>
      <c r="F2572" s="14">
        <f>1.1/2</f>
        <v/>
      </c>
      <c r="G2572" s="92">
        <f t="array" ref="G2572">IF(B2572="insumo",_xlfn.XLOOKUP($D2572,Insumos!$B$1:$B$996,Insumos!$D$1:$D$996),"")</f>
        <v/>
      </c>
      <c r="H2572" s="92" t="n">
        <v>323.84</v>
      </c>
      <c r="I2572" s="2162" t="e">
        <v>#REF!</v>
      </c>
      <c r="J2572" s="2162" t="e">
        <v>#REF!</v>
      </c>
      <c r="K2572" s="2162" t="n"/>
    </row>
    <row r="2573" outlineLevel="3" ht="15.75" customHeight="1">
      <c r="A2573" s="10" t="n">
        <v>1</v>
      </c>
      <c r="B2573" s="10" t="inlineStr">
        <is>
          <t>Insumo</t>
        </is>
      </c>
      <c r="C2573" s="10" t="inlineStr">
        <is>
          <t>Revestimento em Ladrilho Hidráulico 10x20cm - Cor: mostarda e off-white - Marca: Dalle Piagge, com junta de 2 cm e rejunte acrilico cinza platina</t>
        </is>
      </c>
      <c r="D2573" s="10" t="inlineStr">
        <is>
          <t>Ladrilho Hidráulico 10x20cm - Cor: off-white - Marca: Dalle Piagge</t>
        </is>
      </c>
      <c r="E2573" s="11">
        <f t="array" ref="E2573">_xlfn.XLOOKUP(D2573,Insumos!B:B,Insumos!C:$C)</f>
        <v/>
      </c>
      <c r="F2573" s="14">
        <f>1.1/2</f>
        <v/>
      </c>
      <c r="G2573" s="92">
        <f t="array" ref="G2573">IF(B2573="insumo",_xlfn.XLOOKUP($D2573,Insumos!$B$1:$B$996,Insumos!$D$1:$D$996),"")</f>
        <v/>
      </c>
      <c r="H2573" s="92" t="n">
        <v>323.84</v>
      </c>
      <c r="I2573" s="2162" t="e">
        <v>#REF!</v>
      </c>
      <c r="J2573" s="2162" t="e">
        <v>#REF!</v>
      </c>
      <c r="K2573" s="2162" t="n"/>
    </row>
    <row r="2574" outlineLevel="3" ht="15.75" customHeight="1">
      <c r="A2574" s="10" t="n">
        <v>191</v>
      </c>
      <c r="B2574" s="10" t="inlineStr">
        <is>
          <t>Insumo</t>
        </is>
      </c>
      <c r="C2574" s="10" t="inlineStr">
        <is>
          <t>Revestimento em Ladrilho Hidráulico 10x20cm - Cor: mostarda e off-white - Marca: Dalle Piagge, com junta de 2 cm e rejunte acrilico cinza platina</t>
        </is>
      </c>
      <c r="D2574" s="10" t="inlineStr">
        <is>
          <t>Argamassa ACIII</t>
        </is>
      </c>
      <c r="E2574" s="11">
        <f t="array" ref="E2574">_xlfn.XLOOKUP(D2574,Insumos!B:B,Insumos!C:$C)</f>
        <v/>
      </c>
      <c r="F2574" s="14" t="n">
        <v>4.95</v>
      </c>
      <c r="G2574" s="92">
        <f t="array" ref="G2574">IF(B2574="insumo",_xlfn.XLOOKUP($D2574,Insumos!$B$1:$B$996,Insumos!$D$1:$D$996),"")</f>
        <v/>
      </c>
      <c r="H2574" s="92" t="n">
        <v>5.269275</v>
      </c>
      <c r="I2574" s="2162" t="e">
        <v>#REF!</v>
      </c>
      <c r="J2574" s="2162" t="e">
        <v>#REF!</v>
      </c>
      <c r="K2574" s="2162" t="n"/>
    </row>
    <row r="2575" outlineLevel="3" ht="15.75" customHeight="1">
      <c r="A2575" s="10" t="n">
        <v>142</v>
      </c>
      <c r="B2575" s="10" t="inlineStr">
        <is>
          <t>Insumo</t>
        </is>
      </c>
      <c r="C2575" s="10" t="inlineStr">
        <is>
          <t>Revestimento em Ladrilho Hidráulico 10x20cm - Cor: mostarda e off-white - Marca: Dalle Piagge, com junta de 2 cm e rejunte acrilico cinza platina</t>
        </is>
      </c>
      <c r="D2575" s="10" t="inlineStr">
        <is>
          <t>Espeçador junta piso 2mm</t>
        </is>
      </c>
      <c r="E2575" s="11">
        <f t="array" ref="E2575">_xlfn.XLOOKUP(D2575,Insumos!B:B,Insumos!C:$C)</f>
        <v/>
      </c>
      <c r="F2575" s="14" t="n">
        <v>4</v>
      </c>
      <c r="G2575" s="92">
        <f t="array" ref="G2575">IF(B2575="insumo",_xlfn.XLOOKUP($D2575,Insumos!$B$1:$B$996,Insumos!$D$1:$D$996),"")</f>
        <v/>
      </c>
      <c r="H2575" s="92" t="n">
        <v>0.32</v>
      </c>
      <c r="I2575" s="2162" t="e">
        <v>#REF!</v>
      </c>
      <c r="J2575" s="2162" t="e">
        <v>#REF!</v>
      </c>
      <c r="K2575" s="2162" t="n"/>
    </row>
    <row r="2576" outlineLevel="3" ht="15.75" customHeight="1">
      <c r="A2576" s="10" t="n">
        <v>36</v>
      </c>
      <c r="B2576" s="10" t="inlineStr">
        <is>
          <t>Insumo</t>
        </is>
      </c>
      <c r="C2576" s="82" t="inlineStr">
        <is>
          <t>Revestimento em Ladrilho Hidráulico 10x20cm - Cor: mostarda e off-white - Marca: Dalle Piagge, com junta de 2 cm e rejunte acrilico cinza platina</t>
        </is>
      </c>
      <c r="D2576" s="82" t="inlineStr">
        <is>
          <t>Rejunte Acrilico cinza platina</t>
        </is>
      </c>
      <c r="E2576" s="11">
        <f t="array" ref="E2576">_xlfn.XLOOKUP(D2576,Insumos!B:B,Insumos!C:$C)</f>
        <v/>
      </c>
      <c r="F2576" s="14" t="n">
        <v>0.05</v>
      </c>
      <c r="G2576" s="92">
        <f t="array" ref="G2576">IF(B2576="insumo",_xlfn.XLOOKUP($D2576,Insumos!$B$1:$B$996,Insumos!$D$1:$D$996),"")</f>
        <v/>
      </c>
      <c r="H2576" s="92" t="n">
        <v>1.9</v>
      </c>
      <c r="I2576" s="2162" t="e">
        <v>#REF!</v>
      </c>
      <c r="J2576" s="2162" t="e">
        <v>#REF!</v>
      </c>
      <c r="K2576" s="2162" t="n"/>
    </row>
    <row r="2577" outlineLevel="2" ht="15.75" customHeight="1">
      <c r="A2577" s="1067" t="n">
        <v>1</v>
      </c>
      <c r="B2577" s="1067" t="inlineStr">
        <is>
          <t>Serviço</t>
        </is>
      </c>
      <c r="C2577" s="1067" t="inlineStr">
        <is>
          <t>Revestimento em Ladrilho Hidráulico 10x20cm - Cor: mostarda e off-white - Marca: Ladrilar, com junta de 2 cm e rejunte acrilico cinza platina</t>
        </is>
      </c>
      <c r="D2577" s="1067" t="inlineStr">
        <is>
          <t>Revestimento em Ladrilho Hidráulico 10x20cm - Cor: mostarda e off-white - Marca: Ladrilar, com junta de 2 cm e rejunte acrilico cinza platina</t>
        </is>
      </c>
      <c r="E2577" s="1068" t="inlineStr">
        <is>
          <t>M2</t>
        </is>
      </c>
      <c r="F2577" s="1067" t="n"/>
      <c r="G2577" s="1069">
        <f t="array" ref="G2577">IF(B2577="insumo",_xlfn.XLOOKUP($D2577,Insumos!$B$1:$B$996,Insumos!$D$1:$D$996),"")</f>
        <v/>
      </c>
      <c r="H2577" s="1069" t="n">
        <v>353.989275</v>
      </c>
      <c r="I2577" s="2161" t="e">
        <v>#REF!</v>
      </c>
      <c r="J2577" s="2161" t="e">
        <v>#REF!</v>
      </c>
      <c r="K2577" s="2161" t="n"/>
    </row>
    <row r="2578" outlineLevel="3" ht="15.75" customHeight="1">
      <c r="A2578" s="10" t="n">
        <v>1</v>
      </c>
      <c r="B2578" s="10" t="inlineStr">
        <is>
          <t>Insumo</t>
        </is>
      </c>
      <c r="C2578" s="10" t="inlineStr">
        <is>
          <t>Revestimento em Ladrilho Hidráulico 10x20cm - Cor: mostarda e off-white - Marca: Ladrilar, com junta de 2 cm e rejunte acrilico cinza platina</t>
        </is>
      </c>
      <c r="D2578" s="10" t="inlineStr">
        <is>
          <t>Ladrilho Hidráulico 10x20cm - Cor: mostarda - Marca: Ladrilar</t>
        </is>
      </c>
      <c r="E2578" s="11">
        <f t="array" ref="E2578">_xlfn.XLOOKUP(D2578,Insumos!B:B,Insumos!C:$C)</f>
        <v/>
      </c>
      <c r="F2578" s="14">
        <f>1.1/2</f>
        <v/>
      </c>
      <c r="G2578" s="92">
        <f t="array" ref="G2578">IF(B2578="insumo",_xlfn.XLOOKUP($D2578,Insumos!$B$1:$B$996,Insumos!$D$1:$D$996),"")</f>
        <v/>
      </c>
      <c r="H2578" s="92" t="n">
        <v>173.25</v>
      </c>
      <c r="I2578" s="2162" t="e">
        <v>#REF!</v>
      </c>
      <c r="J2578" s="2162" t="e">
        <v>#REF!</v>
      </c>
      <c r="K2578" s="2162" t="n"/>
    </row>
    <row r="2579" outlineLevel="3" ht="15.75" customHeight="1">
      <c r="A2579" s="10" t="n">
        <v>1</v>
      </c>
      <c r="B2579" s="10" t="inlineStr">
        <is>
          <t>Insumo</t>
        </is>
      </c>
      <c r="C2579" s="10" t="inlineStr">
        <is>
          <t>Revestimento em Ladrilho Hidráulico 10x20cm - Cor: mostarda e off-white - Marca: Ladrilar, com junta de 2 cm e rejunte acrilico cinza platina</t>
        </is>
      </c>
      <c r="D2579" s="10" t="inlineStr">
        <is>
          <t>Ladrilho Hidráulico 10x20cm - Cor: off-white - Marca: Ladrilar</t>
        </is>
      </c>
      <c r="E2579" s="11">
        <f t="array" ref="E2579">_xlfn.XLOOKUP(D2579,Insumos!B:B,Insumos!C:$C)</f>
        <v/>
      </c>
      <c r="F2579" s="14">
        <f>1.1/2</f>
        <v/>
      </c>
      <c r="G2579" s="92">
        <f t="array" ref="G2579">IF(B2579="insumo",_xlfn.XLOOKUP($D2579,Insumos!$B$1:$B$996,Insumos!$D$1:$D$996),"")</f>
        <v/>
      </c>
      <c r="H2579" s="92" t="n">
        <v>173.25</v>
      </c>
      <c r="I2579" s="2162" t="e">
        <v>#REF!</v>
      </c>
      <c r="J2579" s="2162" t="e">
        <v>#REF!</v>
      </c>
      <c r="K2579" s="2162" t="n"/>
    </row>
    <row r="2580" outlineLevel="3" ht="15.75" customHeight="1">
      <c r="A2580" s="10" t="n">
        <v>191</v>
      </c>
      <c r="B2580" s="10" t="inlineStr">
        <is>
          <t>Insumo</t>
        </is>
      </c>
      <c r="C2580" s="10" t="inlineStr">
        <is>
          <t>Revestimento em Ladrilho Hidráulico 10x20cm - Cor: mostarda e off-white - Marca: Ladrilar, com junta de 2 cm e rejunte acrilico cinza platina</t>
        </is>
      </c>
      <c r="D2580" s="10" t="inlineStr">
        <is>
          <t>Argamassa ACIII</t>
        </is>
      </c>
      <c r="E2580" s="11">
        <f t="array" ref="E2580">_xlfn.XLOOKUP(D2580,Insumos!B:B,Insumos!C:$C)</f>
        <v/>
      </c>
      <c r="F2580" s="14" t="n">
        <v>4.95</v>
      </c>
      <c r="G2580" s="92">
        <f t="array" ref="G2580">IF(B2580="insumo",_xlfn.XLOOKUP($D2580,Insumos!$B$1:$B$996,Insumos!$D$1:$D$996),"")</f>
        <v/>
      </c>
      <c r="H2580" s="92" t="n">
        <v>5.269275</v>
      </c>
      <c r="I2580" s="2162" t="e">
        <v>#REF!</v>
      </c>
      <c r="J2580" s="2162" t="e">
        <v>#REF!</v>
      </c>
      <c r="K2580" s="2162" t="n"/>
    </row>
    <row r="2581" outlineLevel="3" ht="15.75" customHeight="1">
      <c r="A2581" s="10" t="n">
        <v>142</v>
      </c>
      <c r="B2581" s="10" t="inlineStr">
        <is>
          <t>Insumo</t>
        </is>
      </c>
      <c r="C2581" s="10" t="inlineStr">
        <is>
          <t>Revestimento em Ladrilho Hidráulico 10x20cm - Cor: mostarda e off-white - Marca: Ladrilar, com junta de 2 cm e rejunte acrilico cinza platina</t>
        </is>
      </c>
      <c r="D2581" s="10" t="inlineStr">
        <is>
          <t>Espeçador junta piso 2mm</t>
        </is>
      </c>
      <c r="E2581" s="11">
        <f t="array" ref="E2581">_xlfn.XLOOKUP(D2581,Insumos!B:B,Insumos!C:$C)</f>
        <v/>
      </c>
      <c r="F2581" s="14" t="n">
        <v>4</v>
      </c>
      <c r="G2581" s="92">
        <f t="array" ref="G2581">IF(B2581="insumo",_xlfn.XLOOKUP($D2581,Insumos!$B$1:$B$996,Insumos!$D$1:$D$996),"")</f>
        <v/>
      </c>
      <c r="H2581" s="92" t="n">
        <v>0.32</v>
      </c>
      <c r="I2581" s="2162" t="e">
        <v>#REF!</v>
      </c>
      <c r="J2581" s="2162" t="e">
        <v>#REF!</v>
      </c>
      <c r="K2581" s="2162" t="n"/>
    </row>
    <row r="2582" outlineLevel="3" ht="15.75" customHeight="1">
      <c r="A2582" s="10" t="n">
        <v>36</v>
      </c>
      <c r="B2582" s="10" t="inlineStr">
        <is>
          <t>Insumo</t>
        </is>
      </c>
      <c r="C2582" s="82" t="inlineStr">
        <is>
          <t>Revestimento em Ladrilho Hidráulico 10x20cm - Cor: mostarda e off-white - Marca: Ladrilar, com junta de 2 cm e rejunte acrilico cinza platina</t>
        </is>
      </c>
      <c r="D2582" s="82" t="inlineStr">
        <is>
          <t>Rejunte Acrilico cinza platina</t>
        </is>
      </c>
      <c r="E2582" s="11">
        <f t="array" ref="E2582">_xlfn.XLOOKUP(D2582,Insumos!B:B,Insumos!C:$C)</f>
        <v/>
      </c>
      <c r="F2582" s="14" t="n">
        <v>0.05</v>
      </c>
      <c r="G2582" s="92">
        <f t="array" ref="G2582">IF(B2582="insumo",_xlfn.XLOOKUP($D2582,Insumos!$B$1:$B$996,Insumos!$D$1:$D$996),"")</f>
        <v/>
      </c>
      <c r="H2582" s="92" t="n">
        <v>1.9</v>
      </c>
      <c r="I2582" s="2162" t="e">
        <v>#REF!</v>
      </c>
      <c r="J2582" s="2162" t="e">
        <v>#REF!</v>
      </c>
      <c r="K2582" s="2162" t="n"/>
    </row>
    <row r="2583" outlineLevel="2" ht="15.75" customHeight="1">
      <c r="A2583" s="1067" t="n">
        <v>1</v>
      </c>
      <c r="B2583" s="1067" t="inlineStr">
        <is>
          <t>Serviço</t>
        </is>
      </c>
      <c r="C2583" s="1067" t="inlineStr">
        <is>
          <t>Revestimento em Ladrilho Hidráulico 5x5cm - Cor: terracota escuro e off-white - Marca: Dalle Piagge, com junta de 2 cm e rejunte acrilico cinza platina</t>
        </is>
      </c>
      <c r="D2583" s="1067" t="inlineStr">
        <is>
          <t>Revestimento em Ladrilho Hidráulico 5x5cm - Cor: terracota escuro e off-white - Marca: Dalle Piagge, com junta de 2 cm e rejunte acrilico cinza platina</t>
        </is>
      </c>
      <c r="E2583" s="1068" t="inlineStr">
        <is>
          <t>M2</t>
        </is>
      </c>
      <c r="F2583" s="1067" t="n"/>
      <c r="G2583" s="1069" t="n"/>
      <c r="H2583" s="1069" t="n">
        <v>865.489275</v>
      </c>
      <c r="I2583" s="2161" t="e">
        <v>#REF!</v>
      </c>
      <c r="J2583" s="2161" t="e">
        <v>#REF!</v>
      </c>
      <c r="K2583" s="2161" t="n"/>
    </row>
    <row r="2584" outlineLevel="3" ht="15.75" customHeight="1">
      <c r="A2584" s="10" t="n">
        <v>2</v>
      </c>
      <c r="B2584" s="10" t="inlineStr">
        <is>
          <t>Insumo</t>
        </is>
      </c>
      <c r="C2584" s="10" t="inlineStr">
        <is>
          <t>Revestimento em Ladrilho Hidráulico 5x5cm - Cor: terracota escuro e off-white - Marca: Dalle Piagge, com junta de 2 cm e rejunte acrilico cinza platina</t>
        </is>
      </c>
      <c r="D2584" s="10" t="inlineStr">
        <is>
          <t>Ladrilho Hidráulico 5x5cm - Cor: terracota escuro - Marca: Dalle Piagge</t>
        </is>
      </c>
      <c r="E2584" s="11">
        <f t="array" ref="E2584">_xlfn.XLOOKUP(D2584,Insumos!B:B,Insumos!C:$C)</f>
        <v/>
      </c>
      <c r="F2584" s="14">
        <f>1.1/2</f>
        <v/>
      </c>
      <c r="G2584" s="92">
        <f t="array" ref="G2584">IF(B2584="insumo",_xlfn.XLOOKUP($D2584,Insumos!$B$1:$B$996,Insumos!$D$1:$D$996),"")</f>
        <v/>
      </c>
      <c r="H2584" s="92" t="n">
        <v>429</v>
      </c>
      <c r="I2584" s="2162" t="e">
        <v>#REF!</v>
      </c>
      <c r="J2584" s="2162" t="e">
        <v>#REF!</v>
      </c>
      <c r="K2584" s="2162" t="n"/>
    </row>
    <row r="2585" outlineLevel="3" ht="15.75" customHeight="1">
      <c r="A2585" s="10" t="n">
        <v>1</v>
      </c>
      <c r="B2585" s="10" t="inlineStr">
        <is>
          <t>Insumo</t>
        </is>
      </c>
      <c r="C2585" s="10" t="inlineStr">
        <is>
          <t>Revestimento em Ladrilho Hidráulico 5x5cm - Cor: terracota escuro e off-white - Marca: Dalle Piagge, com junta de 2 cm e rejunte acrilico cinza platina</t>
        </is>
      </c>
      <c r="D2585" s="10" t="inlineStr">
        <is>
          <t>Ladrilho Hidráulico 5x5cm - Cor: off-white - Marca: Dalle Piagge</t>
        </is>
      </c>
      <c r="E2585" s="11">
        <f t="array" ref="E2585">_xlfn.XLOOKUP(D2585,Insumos!B:B,Insumos!C:$C)</f>
        <v/>
      </c>
      <c r="F2585" s="14">
        <f>1.1/2</f>
        <v/>
      </c>
      <c r="G2585" s="92">
        <f t="array" ref="G2585">IF(B2585="insumo",_xlfn.XLOOKUP($D2585,Insumos!$B$1:$B$996,Insumos!$D$1:$D$996),"")</f>
        <v/>
      </c>
      <c r="H2585" s="92" t="n">
        <v>429</v>
      </c>
      <c r="I2585" s="2162" t="e">
        <v>#REF!</v>
      </c>
      <c r="J2585" s="2162" t="e">
        <v>#REF!</v>
      </c>
      <c r="K2585" s="2162" t="n"/>
    </row>
    <row r="2586" outlineLevel="3" ht="15.75" customHeight="1">
      <c r="A2586" s="10" t="n">
        <v>191</v>
      </c>
      <c r="B2586" s="10" t="inlineStr">
        <is>
          <t>Insumo</t>
        </is>
      </c>
      <c r="C2586" s="10" t="inlineStr">
        <is>
          <t>Revestimento em Ladrilho Hidráulico 5x5cm - Cor: terracota escuro e off-white - Marca: Dalle Piagge, com junta de 2 cm e rejunte acrilico cinza platina</t>
        </is>
      </c>
      <c r="D2586" s="10" t="inlineStr">
        <is>
          <t>Argamassa ACIII</t>
        </is>
      </c>
      <c r="E2586" s="11">
        <f t="array" ref="E2586">_xlfn.XLOOKUP(D2586,Insumos!B:B,Insumos!C:$C)</f>
        <v/>
      </c>
      <c r="F2586" s="14" t="n">
        <v>4.95</v>
      </c>
      <c r="G2586" s="92">
        <f t="array" ref="G2586">IF(B2586="insumo",_xlfn.XLOOKUP($D2586,Insumos!$B$1:$B$996,Insumos!$D$1:$D$996),"")</f>
        <v/>
      </c>
      <c r="H2586" s="92" t="n">
        <v>5.269275</v>
      </c>
      <c r="I2586" s="2162" t="e">
        <v>#REF!</v>
      </c>
      <c r="J2586" s="2162" t="e">
        <v>#REF!</v>
      </c>
      <c r="K2586" s="2162" t="n"/>
    </row>
    <row r="2587" outlineLevel="3" ht="15.75" customHeight="1">
      <c r="A2587" s="10" t="n">
        <v>142</v>
      </c>
      <c r="B2587" s="10" t="inlineStr">
        <is>
          <t>Insumo</t>
        </is>
      </c>
      <c r="C2587" s="10" t="inlineStr">
        <is>
          <t>Revestimento em Ladrilho Hidráulico 5x5cm - Cor: terracota escuro e off-white - Marca: Dalle Piagge, com junta de 2 cm e rejunte acrilico cinza platina</t>
        </is>
      </c>
      <c r="D2587" s="10" t="inlineStr">
        <is>
          <t>Espeçador junta piso 2mm</t>
        </is>
      </c>
      <c r="E2587" s="11">
        <f t="array" ref="E2587">_xlfn.XLOOKUP(D2587,Insumos!B:B,Insumos!C:$C)</f>
        <v/>
      </c>
      <c r="F2587" s="14" t="n">
        <v>4</v>
      </c>
      <c r="G2587" s="92">
        <f t="array" ref="G2587">IF(B2587="insumo",_xlfn.XLOOKUP($D2587,Insumos!$B$1:$B$996,Insumos!$D$1:$D$996),"")</f>
        <v/>
      </c>
      <c r="H2587" s="92" t="n">
        <v>0.32</v>
      </c>
      <c r="I2587" s="2162" t="e">
        <v>#REF!</v>
      </c>
      <c r="J2587" s="2162" t="e">
        <v>#REF!</v>
      </c>
      <c r="K2587" s="2162" t="n"/>
    </row>
    <row r="2588" outlineLevel="3" ht="15.75" customHeight="1">
      <c r="A2588" s="10" t="n">
        <v>36</v>
      </c>
      <c r="B2588" s="10" t="inlineStr">
        <is>
          <t>Insumo</t>
        </is>
      </c>
      <c r="C2588" s="82" t="inlineStr">
        <is>
          <t>Revestimento em Ladrilho Hidráulico 5x5cm - Cor: terracota escuro e off-white - Marca: Dalle Piagge, com junta de 2 cm e rejunte acrilico cinza platina</t>
        </is>
      </c>
      <c r="D2588" s="82" t="inlineStr">
        <is>
          <t>Rejunte Acrilico cinza platina</t>
        </is>
      </c>
      <c r="E2588" s="11">
        <f t="array" ref="E2588">_xlfn.XLOOKUP(D2588,Insumos!B:B,Insumos!C:$C)</f>
        <v/>
      </c>
      <c r="F2588" s="14" t="n">
        <v>0.05</v>
      </c>
      <c r="G2588" s="92">
        <f t="array" ref="G2588">IF(B2588="insumo",_xlfn.XLOOKUP($D2588,Insumos!$B$1:$B$996,Insumos!$D$1:$D$996),"")</f>
        <v/>
      </c>
      <c r="H2588" s="92" t="n">
        <v>1.9</v>
      </c>
      <c r="I2588" s="2162" t="e">
        <v>#REF!</v>
      </c>
      <c r="J2588" s="2162" t="e">
        <v>#REF!</v>
      </c>
      <c r="K2588" s="2162" t="n"/>
    </row>
    <row r="2589" outlineLevel="2" ht="15.75" customHeight="1">
      <c r="A2589" s="1067" t="n">
        <v>1</v>
      </c>
      <c r="B2589" s="1067" t="inlineStr">
        <is>
          <t>Serviço</t>
        </is>
      </c>
      <c r="C2589" s="1067" t="inlineStr">
        <is>
          <t>Revestimento em Ladrilho Hidráulico 5x5cm - Cor: terracota escuro e off-white - Marca: Ladrilar, com junta de 2 cm e rejunte acrilico cinza platina</t>
        </is>
      </c>
      <c r="D2589" s="1067" t="inlineStr">
        <is>
          <t>Revestimento em Ladrilho Hidráulico 5x5cm - Cor: terracota escuro e off-white - Marca: Ladrilar, com junta de 2 cm e rejunte acrilico cinza platina</t>
        </is>
      </c>
      <c r="E2589" s="1068" t="inlineStr">
        <is>
          <t>M2</t>
        </is>
      </c>
      <c r="F2589" s="1067" t="n"/>
      <c r="G2589" s="1069">
        <f t="array" ref="G2589">IF(B2589="insumo",_xlfn.XLOOKUP($D2589,Insumos!$B$1:$B$996,Insumos!$D$1:$D$996),"")</f>
        <v/>
      </c>
      <c r="H2589" s="1069" t="n">
        <v>546.489275</v>
      </c>
      <c r="I2589" s="2161" t="n">
        <v>0</v>
      </c>
      <c r="J2589" s="2161" t="n">
        <v>0</v>
      </c>
      <c r="K2589" s="2161" t="n"/>
    </row>
    <row r="2590" outlineLevel="3" ht="15.75" customHeight="1">
      <c r="A2590" s="10" t="n">
        <v>2</v>
      </c>
      <c r="B2590" s="10" t="inlineStr">
        <is>
          <t>Insumo</t>
        </is>
      </c>
      <c r="C2590" s="10" t="inlineStr">
        <is>
          <t>Revestimento em Ladrilho Hidráulico 5x5cm - Cor: terracota escuro e off-white - Marca: Ladrilar, com junta de 2 cm e rejunte acrilico cinza platina</t>
        </is>
      </c>
      <c r="D2590" s="10" t="inlineStr">
        <is>
          <t>Ladrilho Hidráulico 5x5cm - Cor: terracota escuro - Marca: Ladrilar</t>
        </is>
      </c>
      <c r="E2590" s="11">
        <f t="array" ref="E2590">_xlfn.XLOOKUP(D2590,Insumos!B:B,Insumos!C:$C)</f>
        <v/>
      </c>
      <c r="F2590" s="14">
        <f>1.1/2</f>
        <v/>
      </c>
      <c r="G2590" s="92">
        <f t="array" ref="G2590">IF(B2590="insumo",_xlfn.XLOOKUP($D2590,Insumos!$B$1:$B$996,Insumos!$D$1:$D$996),"")</f>
        <v/>
      </c>
      <c r="H2590" s="92" t="n">
        <v>269.5</v>
      </c>
      <c r="I2590" s="2162" t="n">
        <v>0</v>
      </c>
      <c r="J2590" s="2162" t="n">
        <v>0</v>
      </c>
      <c r="K2590" s="2162" t="n"/>
    </row>
    <row r="2591" outlineLevel="3" ht="15.75" customHeight="1">
      <c r="A2591" s="10" t="n">
        <v>1</v>
      </c>
      <c r="B2591" s="10" t="inlineStr">
        <is>
          <t>Insumo</t>
        </is>
      </c>
      <c r="C2591" s="10" t="inlineStr">
        <is>
          <t>Revestimento em Ladrilho Hidráulico 5x5cm - Cor: terracota escuro e off-white - Marca: Ladrilar, com junta de 2 cm e rejunte acrilico cinza platina</t>
        </is>
      </c>
      <c r="D2591" s="10" t="inlineStr">
        <is>
          <t>Ladrilho Hidráulico 5x5cm - Cor: off-white - Marca: Ladrilar</t>
        </is>
      </c>
      <c r="E2591" s="11">
        <f t="array" ref="E2591">_xlfn.XLOOKUP(D2591,Insumos!B:B,Insumos!C:$C)</f>
        <v/>
      </c>
      <c r="F2591" s="14">
        <f>1.1/2</f>
        <v/>
      </c>
      <c r="G2591" s="92">
        <f t="array" ref="G2591">IF(B2591="insumo",_xlfn.XLOOKUP($D2591,Insumos!$B$1:$B$996,Insumos!$D$1:$D$996),"")</f>
        <v/>
      </c>
      <c r="H2591" s="92" t="n">
        <v>269.5</v>
      </c>
      <c r="I2591" s="2162" t="n">
        <v>0</v>
      </c>
      <c r="J2591" s="2162" t="n">
        <v>0</v>
      </c>
      <c r="K2591" s="2162" t="n"/>
    </row>
    <row r="2592" outlineLevel="3" ht="15.75" customHeight="1">
      <c r="A2592" s="10" t="n">
        <v>191</v>
      </c>
      <c r="B2592" s="10" t="inlineStr">
        <is>
          <t>Insumo</t>
        </is>
      </c>
      <c r="C2592" s="10" t="inlineStr">
        <is>
          <t>Revestimento em Ladrilho Hidráulico 5x5cm - Cor: terracota escuro e off-white - Marca: Ladrilar, com junta de 2 cm e rejunte acrilico cinza platina</t>
        </is>
      </c>
      <c r="D2592" s="10" t="inlineStr">
        <is>
          <t>Argamassa ACIII</t>
        </is>
      </c>
      <c r="E2592" s="11">
        <f t="array" ref="E2592">_xlfn.XLOOKUP(D2592,Insumos!B:B,Insumos!C:$C)</f>
        <v/>
      </c>
      <c r="F2592" s="14" t="n">
        <v>4.95</v>
      </c>
      <c r="G2592" s="92">
        <f t="array" ref="G2592">IF(B2592="insumo",_xlfn.XLOOKUP($D2592,Insumos!$B$1:$B$996,Insumos!$D$1:$D$996),"")</f>
        <v/>
      </c>
      <c r="H2592" s="92" t="n">
        <v>5.269275</v>
      </c>
      <c r="I2592" s="2162" t="n">
        <v>0</v>
      </c>
      <c r="J2592" s="2162" t="n">
        <v>0</v>
      </c>
      <c r="K2592" s="2162" t="n"/>
    </row>
    <row r="2593" outlineLevel="3" ht="15.75" customHeight="1">
      <c r="A2593" s="10" t="n">
        <v>142</v>
      </c>
      <c r="B2593" s="10" t="inlineStr">
        <is>
          <t>Insumo</t>
        </is>
      </c>
      <c r="C2593" s="10" t="inlineStr">
        <is>
          <t>Revestimento em Ladrilho Hidráulico 5x5cm - Cor: terracota escuro e off-white - Marca: Ladrilar, com junta de 2 cm e rejunte acrilico cinza platina</t>
        </is>
      </c>
      <c r="D2593" s="10" t="inlineStr">
        <is>
          <t>Espeçador junta piso 2mm</t>
        </is>
      </c>
      <c r="E2593" s="11">
        <f t="array" ref="E2593">_xlfn.XLOOKUP(D2593,Insumos!B:B,Insumos!C:$C)</f>
        <v/>
      </c>
      <c r="F2593" s="14" t="n">
        <v>4</v>
      </c>
      <c r="G2593" s="92">
        <f t="array" ref="G2593">IF(B2593="insumo",_xlfn.XLOOKUP($D2593,Insumos!$B$1:$B$996,Insumos!$D$1:$D$996),"")</f>
        <v/>
      </c>
      <c r="H2593" s="92" t="n">
        <v>0.32</v>
      </c>
      <c r="I2593" s="2162" t="n">
        <v>0</v>
      </c>
      <c r="J2593" s="2162" t="n">
        <v>0</v>
      </c>
      <c r="K2593" s="2162" t="n"/>
    </row>
    <row r="2594" outlineLevel="3" ht="15.75" customHeight="1">
      <c r="A2594" s="10" t="n">
        <v>36</v>
      </c>
      <c r="B2594" s="10" t="inlineStr">
        <is>
          <t>Insumo</t>
        </is>
      </c>
      <c r="C2594" s="82" t="inlineStr">
        <is>
          <t>Revestimento em Ladrilho Hidráulico 5x5cm - Cor: terracota escuro e off-white - Marca: Ladrilar, com junta de 2 cm e rejunte acrilico cinza platina</t>
        </is>
      </c>
      <c r="D2594" s="82" t="inlineStr">
        <is>
          <t>Rejunte Acrilico cinza platina</t>
        </is>
      </c>
      <c r="E2594" s="11">
        <f t="array" ref="E2594">_xlfn.XLOOKUP(D2594,Insumos!B:B,Insumos!C:$C)</f>
        <v/>
      </c>
      <c r="F2594" s="14" t="n">
        <v>0.05</v>
      </c>
      <c r="G2594" s="92">
        <f t="array" ref="G2594">IF(B2594="insumo",_xlfn.XLOOKUP($D2594,Insumos!$B$1:$B$996,Insumos!$D$1:$D$996),"")</f>
        <v/>
      </c>
      <c r="H2594" s="92" t="n">
        <v>1.9</v>
      </c>
      <c r="I2594" s="2162" t="n">
        <v>0</v>
      </c>
      <c r="J2594" s="2162" t="n">
        <v>0</v>
      </c>
      <c r="K2594" s="2162" t="n"/>
    </row>
    <row r="2595" outlineLevel="2" ht="15.75" customHeight="1">
      <c r="A2595" s="1067" t="n">
        <v>1</v>
      </c>
      <c r="B2595" s="1067" t="inlineStr">
        <is>
          <t>Serviço</t>
        </is>
      </c>
      <c r="C2595" s="1067" t="inlineStr">
        <is>
          <t>Revestimento em Ladrilho Hidráulico 5x5cm - Cor: terracota escuro e azul escuro - Marca: Dalle Piagge, com junta de 2 cm e rejunte acrilico cinza platina</t>
        </is>
      </c>
      <c r="D2595" s="1067" t="inlineStr">
        <is>
          <t>Revestimento em Ladrilho Hidráulico 5x5cm - Cor: terracota escuro e azul escuro - Marca: Dalle Piagge, com junta de 2 cm e rejunte acrilico cinza platina</t>
        </is>
      </c>
      <c r="E2595" s="1068" t="inlineStr">
        <is>
          <t>M2</t>
        </is>
      </c>
      <c r="F2595" s="1067" t="n"/>
      <c r="G2595" s="1069">
        <f t="array" ref="G2595">IF(B2595="insumo",_xlfn.XLOOKUP($D2595,Insumos!$B$1:$B$996,Insumos!$D$1:$D$996),"")</f>
        <v/>
      </c>
      <c r="H2595" s="1069" t="n">
        <v>865.489275</v>
      </c>
      <c r="I2595" s="2161" t="e">
        <v>#REF!</v>
      </c>
      <c r="J2595" s="2161" t="e">
        <v>#REF!</v>
      </c>
      <c r="K2595" s="2161" t="n"/>
    </row>
    <row r="2596" outlineLevel="3" ht="15.75" customHeight="1">
      <c r="A2596" s="10" t="n">
        <v>2</v>
      </c>
      <c r="B2596" s="10" t="inlineStr">
        <is>
          <t>Insumo</t>
        </is>
      </c>
      <c r="C2596" s="10" t="inlineStr">
        <is>
          <t>Revestimento em Ladrilho Hidráulico 5x5cm - Cor: terracota escuro e azul escuro - Marca: Dalle Piagge, com junta de 2 cm e rejunte acrilico cinza platina</t>
        </is>
      </c>
      <c r="D2596" s="10" t="inlineStr">
        <is>
          <t>Ladrilho Hidráulico 5x5cm - Cor: terracota escuro - Marca: Dalle Piagge</t>
        </is>
      </c>
      <c r="E2596" s="11">
        <f t="array" ref="E2596">_xlfn.XLOOKUP(D2596,Insumos!B:B,Insumos!C:$C)</f>
        <v/>
      </c>
      <c r="F2596" s="14">
        <f>1.1/2</f>
        <v/>
      </c>
      <c r="G2596" s="92">
        <f t="array" ref="G2596">IF(B2596="insumo",_xlfn.XLOOKUP($D2596,Insumos!$B$1:$B$996,Insumos!$D$1:$D$996),"")</f>
        <v/>
      </c>
      <c r="H2596" s="92" t="n">
        <v>429</v>
      </c>
      <c r="I2596" s="2162" t="e">
        <v>#REF!</v>
      </c>
      <c r="J2596" s="2162" t="e">
        <v>#REF!</v>
      </c>
      <c r="K2596" s="2162" t="n"/>
    </row>
    <row r="2597" outlineLevel="3" ht="15.75" customHeight="1">
      <c r="A2597" s="10" t="n">
        <v>1</v>
      </c>
      <c r="B2597" s="10" t="inlineStr">
        <is>
          <t>Insumo</t>
        </is>
      </c>
      <c r="C2597" s="10" t="inlineStr">
        <is>
          <t>Revestimento em Ladrilho Hidráulico 5x5cm - Cor: terracota escuro e azul escuro - Marca: Dalle Piagge, com junta de 2 cm e rejunte acrilico cinza platina</t>
        </is>
      </c>
      <c r="D2597" s="10" t="inlineStr">
        <is>
          <t>Ladrilho Hidráulico 5x5cm - Cor: azul escuro - Marca: Dalle Piagge</t>
        </is>
      </c>
      <c r="E2597" s="11">
        <f t="array" ref="E2597">_xlfn.XLOOKUP(D2597,Insumos!B:B,Insumos!C:$C)</f>
        <v/>
      </c>
      <c r="F2597" s="14">
        <f>1.1/2</f>
        <v/>
      </c>
      <c r="G2597" s="92">
        <f t="array" ref="G2597">IF(B2597="insumo",_xlfn.XLOOKUP($D2597,Insumos!$B$1:$B$996,Insumos!$D$1:$D$996),"")</f>
        <v/>
      </c>
      <c r="H2597" s="92" t="n">
        <v>429</v>
      </c>
      <c r="I2597" s="2162" t="e">
        <v>#REF!</v>
      </c>
      <c r="J2597" s="2162" t="e">
        <v>#REF!</v>
      </c>
      <c r="K2597" s="2162" t="n"/>
    </row>
    <row r="2598" outlineLevel="3" ht="15.75" customHeight="1">
      <c r="A2598" s="10" t="n">
        <v>191</v>
      </c>
      <c r="B2598" s="10" t="inlineStr">
        <is>
          <t>Insumo</t>
        </is>
      </c>
      <c r="C2598" s="10" t="inlineStr">
        <is>
          <t>Revestimento em Ladrilho Hidráulico 5x5cm - Cor: terracota escuro e azul escuro - Marca: Dalle Piagge, com junta de 2 cm e rejunte acrilico cinza platina</t>
        </is>
      </c>
      <c r="D2598" s="10" t="inlineStr">
        <is>
          <t>Argamassa ACIII</t>
        </is>
      </c>
      <c r="E2598" s="11">
        <f t="array" ref="E2598">_xlfn.XLOOKUP(D2598,Insumos!B:B,Insumos!C:$C)</f>
        <v/>
      </c>
      <c r="F2598" s="14" t="n">
        <v>4.95</v>
      </c>
      <c r="G2598" s="92">
        <f t="array" ref="G2598">IF(B2598="insumo",_xlfn.XLOOKUP($D2598,Insumos!$B$1:$B$996,Insumos!$D$1:$D$996),"")</f>
        <v/>
      </c>
      <c r="H2598" s="92" t="n">
        <v>5.269275</v>
      </c>
      <c r="I2598" s="2162" t="e">
        <v>#REF!</v>
      </c>
      <c r="J2598" s="2162" t="e">
        <v>#REF!</v>
      </c>
      <c r="K2598" s="2162" t="n"/>
    </row>
    <row r="2599" outlineLevel="3" ht="15.75" customHeight="1">
      <c r="A2599" s="10" t="n">
        <v>142</v>
      </c>
      <c r="B2599" s="10" t="inlineStr">
        <is>
          <t>Insumo</t>
        </is>
      </c>
      <c r="C2599" s="10" t="inlineStr">
        <is>
          <t>Revestimento em Ladrilho Hidráulico 5x5cm - Cor: terracota escuro e azul escuro - Marca: Dalle Piagge, com junta de 2 cm e rejunte acrilico cinza platina</t>
        </is>
      </c>
      <c r="D2599" s="10" t="inlineStr">
        <is>
          <t>Espeçador junta piso 2mm</t>
        </is>
      </c>
      <c r="E2599" s="11">
        <f t="array" ref="E2599">_xlfn.XLOOKUP(D2599,Insumos!B:B,Insumos!C:$C)</f>
        <v/>
      </c>
      <c r="F2599" s="14" t="n">
        <v>4</v>
      </c>
      <c r="G2599" s="92">
        <f t="array" ref="G2599">IF(B2599="insumo",_xlfn.XLOOKUP($D2599,Insumos!$B$1:$B$996,Insumos!$D$1:$D$996),"")</f>
        <v/>
      </c>
      <c r="H2599" s="92" t="n">
        <v>0.32</v>
      </c>
      <c r="I2599" s="2162" t="e">
        <v>#REF!</v>
      </c>
      <c r="J2599" s="2162" t="e">
        <v>#REF!</v>
      </c>
      <c r="K2599" s="2162" t="n"/>
    </row>
    <row r="2600" outlineLevel="3" ht="15.75" customHeight="1">
      <c r="A2600" s="10" t="n">
        <v>36</v>
      </c>
      <c r="B2600" s="10" t="inlineStr">
        <is>
          <t>Insumo</t>
        </is>
      </c>
      <c r="C2600" s="82" t="inlineStr">
        <is>
          <t>Revestimento em Ladrilho Hidráulico 5x5cm - Cor: terracota escuro e azul escuro - Marca: Dalle Piagge, com junta de 2 cm e rejunte acrilico cinza platina</t>
        </is>
      </c>
      <c r="D2600" s="82" t="inlineStr">
        <is>
          <t>Rejunte Acrilico cinza platina</t>
        </is>
      </c>
      <c r="E2600" s="11">
        <f t="array" ref="E2600">_xlfn.XLOOKUP(D2600,Insumos!B:B,Insumos!C:$C)</f>
        <v/>
      </c>
      <c r="F2600" s="14" t="n">
        <v>0.05</v>
      </c>
      <c r="G2600" s="92">
        <f t="array" ref="G2600">IF(B2600="insumo",_xlfn.XLOOKUP($D2600,Insumos!$B$1:$B$996,Insumos!$D$1:$D$996),"")</f>
        <v/>
      </c>
      <c r="H2600" s="92" t="n">
        <v>1.9</v>
      </c>
      <c r="I2600" s="2162" t="e">
        <v>#REF!</v>
      </c>
      <c r="J2600" s="2162" t="e">
        <v>#REF!</v>
      </c>
      <c r="K2600" s="2162" t="n"/>
    </row>
    <row r="2601" outlineLevel="2" ht="15.75" customHeight="1">
      <c r="A2601" s="1067" t="n">
        <v>1</v>
      </c>
      <c r="B2601" s="1067" t="inlineStr">
        <is>
          <t>Serviço</t>
        </is>
      </c>
      <c r="C2601" s="1067" t="inlineStr">
        <is>
          <t>Revestimento em Ladrilho Hidráulico 5x5cm - Cor: terracota escuro e azul escuro - Marca: Ladrilar, com junta de 2 cm e rejunte acrilico cinza platina</t>
        </is>
      </c>
      <c r="D2601" s="1067" t="inlineStr">
        <is>
          <t>Revestimento em Ladrilho Hidráulico 5x5cm - Cor: terracota escuro e azul escuro - Marca: Ladrilar, com junta de 2 cm e rejunte acrilico cinza platina</t>
        </is>
      </c>
      <c r="E2601" s="1068" t="inlineStr">
        <is>
          <t>M2</t>
        </is>
      </c>
      <c r="F2601" s="1067" t="n"/>
      <c r="G2601" s="1069">
        <f t="array" ref="G2601">IF(B2601="insumo",_xlfn.XLOOKUP($D2601,Insumos!$B$1:$B$996,Insumos!$D$1:$D$996),"")</f>
        <v/>
      </c>
      <c r="H2601" s="1069" t="n">
        <v>546.489275</v>
      </c>
      <c r="I2601" s="2161" t="e">
        <v>#REF!</v>
      </c>
      <c r="J2601" s="2161" t="e">
        <v>#REF!</v>
      </c>
      <c r="K2601" s="2161" t="n"/>
    </row>
    <row r="2602" outlineLevel="3" ht="15.75" customHeight="1">
      <c r="A2602" s="10" t="n">
        <v>2</v>
      </c>
      <c r="B2602" s="10" t="inlineStr">
        <is>
          <t>Insumo</t>
        </is>
      </c>
      <c r="C2602" s="10" t="inlineStr">
        <is>
          <t>Revestimento em Ladrilho Hidráulico 5x5cm - Cor: terracota escuro e azul escuro - Marca: Ladrilar, com junta de 2 cm e rejunte acrilico cinza platina</t>
        </is>
      </c>
      <c r="D2602" s="10" t="inlineStr">
        <is>
          <t>Ladrilho Hidráulico 5x5cm - Cor: terracota escuro - Marca: Ladrilar</t>
        </is>
      </c>
      <c r="E2602" s="11">
        <f t="array" ref="E2602">_xlfn.XLOOKUP(D2602,Insumos!B:B,Insumos!C:$C)</f>
        <v/>
      </c>
      <c r="F2602" s="14">
        <f>1.1/2</f>
        <v/>
      </c>
      <c r="G2602" s="92">
        <f t="array" ref="G2602">IF(B2602="insumo",_xlfn.XLOOKUP($D2602,Insumos!$B$1:$B$996,Insumos!$D$1:$D$996),"")</f>
        <v/>
      </c>
      <c r="H2602" s="92" t="n">
        <v>269.5</v>
      </c>
      <c r="I2602" s="2162" t="e">
        <v>#REF!</v>
      </c>
      <c r="J2602" s="2162" t="e">
        <v>#REF!</v>
      </c>
      <c r="K2602" s="2162" t="n"/>
    </row>
    <row r="2603" outlineLevel="3" ht="15.75" customHeight="1">
      <c r="A2603" s="10" t="n">
        <v>1</v>
      </c>
      <c r="B2603" s="10" t="inlineStr">
        <is>
          <t>Insumo</t>
        </is>
      </c>
      <c r="C2603" s="10" t="inlineStr">
        <is>
          <t>Revestimento em Ladrilho Hidráulico 5x5cm - Cor: terracota escuro e azul escuro - Marca: Ladrilar, com junta de 2 cm e rejunte acrilico cinza platina</t>
        </is>
      </c>
      <c r="D2603" s="10" t="inlineStr">
        <is>
          <t>Ladrilho Hidráulico 5x5cm - Cor: azul escuro - Marca: Ladrilar</t>
        </is>
      </c>
      <c r="E2603" s="11">
        <f t="array" ref="E2603">_xlfn.XLOOKUP(D2603,Insumos!B:B,Insumos!C:$C)</f>
        <v/>
      </c>
      <c r="F2603" s="14">
        <f>1.1/2</f>
        <v/>
      </c>
      <c r="G2603" s="92">
        <f t="array" ref="G2603">IF(B2603="insumo",_xlfn.XLOOKUP($D2603,Insumos!$B$1:$B$996,Insumos!$D$1:$D$996),"")</f>
        <v/>
      </c>
      <c r="H2603" s="92" t="n">
        <v>269.5</v>
      </c>
      <c r="I2603" s="2162" t="e">
        <v>#REF!</v>
      </c>
      <c r="J2603" s="2162" t="e">
        <v>#REF!</v>
      </c>
      <c r="K2603" s="2162" t="n"/>
    </row>
    <row r="2604" outlineLevel="3" ht="15.75" customHeight="1">
      <c r="A2604" s="10" t="n">
        <v>191</v>
      </c>
      <c r="B2604" s="10" t="inlineStr">
        <is>
          <t>Insumo</t>
        </is>
      </c>
      <c r="C2604" s="10" t="inlineStr">
        <is>
          <t>Revestimento em Ladrilho Hidráulico 5x5cm - Cor: terracota escuro e azul escuro - Marca: Ladrilar, com junta de 2 cm e rejunte acrilico cinza platina</t>
        </is>
      </c>
      <c r="D2604" s="10" t="inlineStr">
        <is>
          <t>Argamassa ACIII</t>
        </is>
      </c>
      <c r="E2604" s="11">
        <f t="array" ref="E2604">_xlfn.XLOOKUP(D2604,Insumos!B:B,Insumos!C:$C)</f>
        <v/>
      </c>
      <c r="F2604" s="14" t="n">
        <v>4.95</v>
      </c>
      <c r="G2604" s="92">
        <f t="array" ref="G2604">IF(B2604="insumo",_xlfn.XLOOKUP($D2604,Insumos!$B$1:$B$996,Insumos!$D$1:$D$996),"")</f>
        <v/>
      </c>
      <c r="H2604" s="92" t="n">
        <v>5.269275</v>
      </c>
      <c r="I2604" s="2162" t="e">
        <v>#REF!</v>
      </c>
      <c r="J2604" s="2162" t="e">
        <v>#REF!</v>
      </c>
      <c r="K2604" s="2162" t="n"/>
    </row>
    <row r="2605" outlineLevel="3" ht="15.75" customHeight="1">
      <c r="A2605" s="10" t="n">
        <v>142</v>
      </c>
      <c r="B2605" s="10" t="inlineStr">
        <is>
          <t>Insumo</t>
        </is>
      </c>
      <c r="C2605" s="10" t="inlineStr">
        <is>
          <t>Revestimento em Ladrilho Hidráulico 5x5cm - Cor: terracota escuro e azul escuro - Marca: Ladrilar, com junta de 2 cm e rejunte acrilico cinza platina</t>
        </is>
      </c>
      <c r="D2605" s="10" t="inlineStr">
        <is>
          <t>Espeçador junta piso 2mm</t>
        </is>
      </c>
      <c r="E2605" s="11">
        <f t="array" ref="E2605">_xlfn.XLOOKUP(D2605,Insumos!B:B,Insumos!C:$C)</f>
        <v/>
      </c>
      <c r="F2605" s="14" t="n">
        <v>4</v>
      </c>
      <c r="G2605" s="92">
        <f t="array" ref="G2605">IF(B2605="insumo",_xlfn.XLOOKUP($D2605,Insumos!$B$1:$B$996,Insumos!$D$1:$D$996),"")</f>
        <v/>
      </c>
      <c r="H2605" s="92" t="n">
        <v>0.32</v>
      </c>
      <c r="I2605" s="2162" t="e">
        <v>#REF!</v>
      </c>
      <c r="J2605" s="2162" t="e">
        <v>#REF!</v>
      </c>
      <c r="K2605" s="2162" t="n"/>
    </row>
    <row r="2606" outlineLevel="3" ht="15.75" customHeight="1">
      <c r="A2606" s="10" t="n">
        <v>36</v>
      </c>
      <c r="B2606" s="10" t="inlineStr">
        <is>
          <t>Insumo</t>
        </is>
      </c>
      <c r="C2606" s="82" t="inlineStr">
        <is>
          <t>Revestimento em Ladrilho Hidráulico 5x5cm - Cor: terracota escuro e azul escuro - Marca: Ladrilar, com junta de 2 cm e rejunte acrilico cinza platina</t>
        </is>
      </c>
      <c r="D2606" s="82" t="inlineStr">
        <is>
          <t>Rejunte Acrilico cinza platina</t>
        </is>
      </c>
      <c r="E2606" s="11">
        <f t="array" ref="E2606">_xlfn.XLOOKUP(D2606,Insumos!B:B,Insumos!C:$C)</f>
        <v/>
      </c>
      <c r="F2606" s="14" t="n">
        <v>0.05</v>
      </c>
      <c r="G2606" s="92">
        <f t="array" ref="G2606">IF(B2606="insumo",_xlfn.XLOOKUP($D2606,Insumos!$B$1:$B$996,Insumos!$D$1:$D$996),"")</f>
        <v/>
      </c>
      <c r="H2606" s="92" t="n">
        <v>1.9</v>
      </c>
      <c r="I2606" s="2162" t="e">
        <v>#REF!</v>
      </c>
      <c r="J2606" s="2162" t="e">
        <v>#REF!</v>
      </c>
      <c r="K2606" s="2162" t="n"/>
    </row>
    <row r="2607" outlineLevel="2" ht="12.75" customHeight="1">
      <c r="A2607" s="1071" t="n">
        <v>1</v>
      </c>
      <c r="B2607" s="1071" t="inlineStr">
        <is>
          <t>Serviço</t>
        </is>
      </c>
      <c r="C2607" s="1071" t="inlineStr">
        <is>
          <t>Revestimento em Ladrilhos para Piscina, Cinza giz 15x15 com Juntas e rejunte acrilico</t>
        </is>
      </c>
      <c r="D2607" s="1071" t="inlineStr">
        <is>
          <t>Revestimento em Ladrilhos para Piscina, Cinza giz 15x15 com Juntas e rejunte acrilico</t>
        </is>
      </c>
      <c r="E2607" s="1072" t="inlineStr">
        <is>
          <t>M2</t>
        </is>
      </c>
      <c r="F2607" s="1071" t="n"/>
      <c r="G2607" s="1073">
        <f t="array" ref="G2607">IF(B2607="insumo",_xlfn.XLOOKUP($D2607,Insumos!$B$1:$B$996,Insumos!$D$1:$D$996),"")</f>
        <v/>
      </c>
      <c r="H2607" s="1073" t="n">
        <v>165.882275</v>
      </c>
      <c r="I2607" s="2163" t="n">
        <v>0</v>
      </c>
      <c r="J2607" s="2163" t="n">
        <v>0</v>
      </c>
      <c r="K2607" s="2163" t="n"/>
    </row>
    <row r="2608" outlineLevel="3" ht="12.75" customHeight="1">
      <c r="A2608" s="82" t="n">
        <v>1</v>
      </c>
      <c r="B2608" s="82" t="inlineStr">
        <is>
          <t>Insumo</t>
        </is>
      </c>
      <c r="C2608" s="82" t="inlineStr">
        <is>
          <t>Revestimento em Ladrilhos para Piscina, Cinza giz 15x15 com Juntas e rejunte acrilico</t>
        </is>
      </c>
      <c r="D2608" s="82" t="inlineStr">
        <is>
          <t>Revestimento para Piscina Esmaltado Giz Borda Arredondada Bold Cinza 15x15cm Gabriella</t>
        </is>
      </c>
      <c r="E2608" s="11">
        <f t="array" ref="E2608">_xlfn.XLOOKUP(D2608,Insumos!B:B,Insumos!C:$C)</f>
        <v/>
      </c>
      <c r="F2608" s="2169" t="n">
        <v>1.1</v>
      </c>
      <c r="G2608" s="92">
        <f t="array" ref="G2608">IF(B2608="insumo",_xlfn.XLOOKUP($D2608,Insumos!$B$1:$B$996,Insumos!$D$1:$D$996),"")</f>
        <v/>
      </c>
      <c r="H2608" s="92" t="n">
        <v>158.103</v>
      </c>
      <c r="I2608" s="2165" t="n">
        <v>0</v>
      </c>
      <c r="J2608" s="2165" t="n">
        <v>0</v>
      </c>
      <c r="K2608" s="2165" t="n"/>
    </row>
    <row r="2609" outlineLevel="3" ht="12.75" customHeight="1">
      <c r="A2609" s="82" t="n">
        <v>191</v>
      </c>
      <c r="B2609" s="82" t="inlineStr">
        <is>
          <t>Insumo</t>
        </is>
      </c>
      <c r="C2609" s="82" t="inlineStr">
        <is>
          <t>Revestimento em Ladrilhos para Piscina, Cinza giz 15x15 com Juntas e rejunte acrilico</t>
        </is>
      </c>
      <c r="D2609" s="82" t="inlineStr">
        <is>
          <t>Argamassa ACIII</t>
        </is>
      </c>
      <c r="E2609" s="11">
        <f t="array" ref="E2609">_xlfn.XLOOKUP(D2609,Insumos!B:B,Insumos!C:$C)</f>
        <v/>
      </c>
      <c r="F2609" s="2169" t="n">
        <v>4.95</v>
      </c>
      <c r="G2609" s="92">
        <f t="array" ref="G2609">IF(B2609="insumo",_xlfn.XLOOKUP($D2609,Insumos!$B$1:$B$996,Insumos!$D$1:$D$996),"")</f>
        <v/>
      </c>
      <c r="H2609" s="92" t="n">
        <v>5.269275</v>
      </c>
      <c r="I2609" s="2165" t="n">
        <v>0</v>
      </c>
      <c r="J2609" s="2165" t="n">
        <v>0</v>
      </c>
      <c r="K2609" s="2165" t="n"/>
    </row>
    <row r="2610" outlineLevel="3" ht="12.75" customHeight="1">
      <c r="A2610" s="82" t="n">
        <v>142</v>
      </c>
      <c r="B2610" s="82" t="inlineStr">
        <is>
          <t>Insumo</t>
        </is>
      </c>
      <c r="C2610" s="82" t="inlineStr">
        <is>
          <t>Revestimento em Ladrilhos para Piscina, Cinza giz 15x15 com Juntas e rejunte acrilico</t>
        </is>
      </c>
      <c r="D2610" s="82" t="inlineStr">
        <is>
          <t>Espeçador junta piso 2mm</t>
        </is>
      </c>
      <c r="E2610" s="11">
        <f t="array" ref="E2610">_xlfn.XLOOKUP(D2610,Insumos!B:B,Insumos!C:$C)</f>
        <v/>
      </c>
      <c r="F2610" s="2169" t="n">
        <v>4</v>
      </c>
      <c r="G2610" s="92">
        <f t="array" ref="G2610">IF(B2610="insumo",_xlfn.XLOOKUP($D2610,Insumos!$B$1:$B$996,Insumos!$D$1:$D$996),"")</f>
        <v/>
      </c>
      <c r="H2610" s="92" t="n">
        <v>0.32</v>
      </c>
      <c r="I2610" s="2165" t="n">
        <v>0</v>
      </c>
      <c r="J2610" s="2165" t="n">
        <v>0</v>
      </c>
      <c r="K2610" s="2165" t="n"/>
    </row>
    <row r="2611" outlineLevel="3" ht="12.75" customHeight="1">
      <c r="A2611" s="82" t="n">
        <v>22</v>
      </c>
      <c r="B2611" s="82" t="inlineStr">
        <is>
          <t>Insumo</t>
        </is>
      </c>
      <c r="C2611" s="82" t="inlineStr">
        <is>
          <t>Revestimento em Ladrilhos para Piscina, Cinza giz 15x15 com Juntas e rejunte acrilico</t>
        </is>
      </c>
      <c r="D2611" s="82" t="inlineStr">
        <is>
          <t>Rejunte acrilico</t>
        </is>
      </c>
      <c r="E2611" s="11">
        <f t="array" ref="E2611">_xlfn.XLOOKUP(D2611,Insumos!B:B,Insumos!C:$C)</f>
        <v/>
      </c>
      <c r="F2611" s="2169" t="n">
        <v>0.05</v>
      </c>
      <c r="G2611" s="92">
        <f t="array" ref="G2611">IF(B2611="insumo",_xlfn.XLOOKUP($D2611,Insumos!$B$1:$B$996,Insumos!$D$1:$D$996),"")</f>
        <v/>
      </c>
      <c r="H2611" s="92" t="n">
        <v>2.19</v>
      </c>
      <c r="I2611" s="2165" t="n">
        <v>0</v>
      </c>
      <c r="J2611" s="2165" t="n">
        <v>0</v>
      </c>
      <c r="K2611" s="2165" t="n"/>
    </row>
    <row r="2612" outlineLevel="2" ht="15.75" customHeight="1">
      <c r="A2612" s="1067" t="n">
        <v>1</v>
      </c>
      <c r="B2612" s="1067" t="inlineStr">
        <is>
          <t>Serviço</t>
        </is>
      </c>
      <c r="C2612" s="1067" t="inlineStr">
        <is>
          <t>Revestimento em Ladrilhos para Piscina, Branco Mate 15x15 com Juntas</t>
        </is>
      </c>
      <c r="D2612" s="1067" t="inlineStr">
        <is>
          <t>Revestimento em Ladrilhos para Piscina, Branco Mate 15x15 com Juntas</t>
        </is>
      </c>
      <c r="E2612" s="1068" t="inlineStr">
        <is>
          <t>M2</t>
        </is>
      </c>
      <c r="F2612" s="1067" t="n"/>
      <c r="G2612" s="1069">
        <f t="array" ref="G2612">IF(B2612="insumo",_xlfn.XLOOKUP($D2612,Insumos!$B$1:$B$996,Insumos!$D$1:$D$996),"")</f>
        <v/>
      </c>
      <c r="H2612" s="1069" t="n">
        <v>282.642775</v>
      </c>
      <c r="I2612" s="2161" t="n">
        <v>0</v>
      </c>
      <c r="J2612" s="2161" t="n">
        <v>0</v>
      </c>
      <c r="K2612" s="2161" t="n"/>
    </row>
    <row r="2613" outlineLevel="3" ht="15.75" customHeight="1">
      <c r="A2613" s="10" t="n">
        <v>1</v>
      </c>
      <c r="B2613" s="10" t="inlineStr">
        <is>
          <t>Insumo</t>
        </is>
      </c>
      <c r="C2613" s="10" t="inlineStr">
        <is>
          <t>Revestimento em Ladrilhos para Piscina, Branco Mate 15x15 com Juntas</t>
        </is>
      </c>
      <c r="D2613" s="10" t="inlineStr">
        <is>
          <t>PASTILHA DE PORCELANA ATLAS 15x15 GRANEL ISLA M16112</t>
        </is>
      </c>
      <c r="E2613" s="11">
        <f t="array" ref="E2613">_xlfn.XLOOKUP(D2613,Insumos!B:B,Insumos!C:$C)</f>
        <v/>
      </c>
      <c r="F2613" s="14" t="n">
        <v>1.1</v>
      </c>
      <c r="G2613" s="92">
        <f t="array" ref="G2613">IF(B2613="insumo",_xlfn.XLOOKUP($D2613,Insumos!$B$1:$B$996,Insumos!$D$1:$D$996),"")</f>
        <v/>
      </c>
      <c r="H2613" s="92" t="n">
        <v>276.496</v>
      </c>
      <c r="I2613" s="2162" t="n">
        <v>0</v>
      </c>
      <c r="J2613" s="2162" t="n">
        <v>0</v>
      </c>
      <c r="K2613" s="2162" t="n"/>
    </row>
    <row r="2614" outlineLevel="3" ht="15.75" customHeight="1">
      <c r="A2614" s="10" t="n">
        <v>191</v>
      </c>
      <c r="B2614" s="10" t="inlineStr">
        <is>
          <t>Insumo</t>
        </is>
      </c>
      <c r="C2614" s="10" t="inlineStr">
        <is>
          <t>Revestimento em Ladrilhos para Piscina, Branco Mate 15x15 com Juntas</t>
        </is>
      </c>
      <c r="D2614" s="10" t="inlineStr">
        <is>
          <t>Argamassa ACIII</t>
        </is>
      </c>
      <c r="E2614" s="11">
        <f t="array" ref="E2614">_xlfn.XLOOKUP(D2614,Insumos!B:B,Insumos!C:$C)</f>
        <v/>
      </c>
      <c r="F2614" s="14" t="n">
        <v>4.95</v>
      </c>
      <c r="G2614" s="92">
        <f t="array" ref="G2614">IF(B2614="insumo",_xlfn.XLOOKUP($D2614,Insumos!$B$1:$B$996,Insumos!$D$1:$D$996),"")</f>
        <v/>
      </c>
      <c r="H2614" s="92" t="n">
        <v>5.269275</v>
      </c>
      <c r="I2614" s="2162" t="n">
        <v>0</v>
      </c>
      <c r="J2614" s="2162" t="n">
        <v>0</v>
      </c>
      <c r="K2614" s="2162" t="n"/>
    </row>
    <row r="2615" outlineLevel="3" ht="15.75" customHeight="1">
      <c r="A2615" s="10" t="n">
        <v>142</v>
      </c>
      <c r="B2615" s="10" t="inlineStr">
        <is>
          <t>Insumo</t>
        </is>
      </c>
      <c r="C2615" s="10" t="inlineStr">
        <is>
          <t>Revestimento em Ladrilhos para Piscina, Branco Mate 15x15 com Juntas</t>
        </is>
      </c>
      <c r="D2615" s="10" t="inlineStr">
        <is>
          <t>Espeçador junta piso 2mm</t>
        </is>
      </c>
      <c r="E2615" s="11">
        <f t="array" ref="E2615">_xlfn.XLOOKUP(D2615,Insumos!B:B,Insumos!C:$C)</f>
        <v/>
      </c>
      <c r="F2615" s="14" t="n">
        <v>4</v>
      </c>
      <c r="G2615" s="92">
        <f t="array" ref="G2615">IF(B2615="insumo",_xlfn.XLOOKUP($D2615,Insumos!$B$1:$B$996,Insumos!$D$1:$D$996),"")</f>
        <v/>
      </c>
      <c r="H2615" s="92" t="n">
        <v>0.32</v>
      </c>
      <c r="I2615" s="2162" t="n">
        <v>0</v>
      </c>
      <c r="J2615" s="2162" t="n">
        <v>0</v>
      </c>
      <c r="K2615" s="2162" t="n"/>
    </row>
    <row r="2616" outlineLevel="3" ht="15.75" customHeight="1">
      <c r="A2616" s="10" t="n">
        <v>101</v>
      </c>
      <c r="B2616" s="10" t="inlineStr">
        <is>
          <t>Insumo</t>
        </is>
      </c>
      <c r="C2616" s="10" t="inlineStr">
        <is>
          <t>Revestimento em Ladrilhos para Piscina, Branco Mate 15x15 com Juntas</t>
        </is>
      </c>
      <c r="D2616" s="10" t="inlineStr">
        <is>
          <t>Rejunte Cimentício</t>
        </is>
      </c>
      <c r="E2616" s="11">
        <f t="array" ref="E2616">_xlfn.XLOOKUP(D2616,Insumos!B:B,Insumos!C:$C)</f>
        <v/>
      </c>
      <c r="F2616" s="14" t="n">
        <v>0.05</v>
      </c>
      <c r="G2616" s="92">
        <f t="array" ref="G2616">IF(B2616="insumo",_xlfn.XLOOKUP($D2616,Insumos!$B$1:$B$996,Insumos!$D$1:$D$996),"")</f>
        <v/>
      </c>
      <c r="H2616" s="92" t="n">
        <v>0.5575</v>
      </c>
      <c r="I2616" s="2162" t="n">
        <v>0</v>
      </c>
      <c r="J2616" s="2162" t="n">
        <v>0</v>
      </c>
      <c r="K2616" s="2162" t="n"/>
    </row>
    <row r="2617" outlineLevel="2" ht="15.75" customHeight="1">
      <c r="A2617" s="1067" t="n">
        <v>1</v>
      </c>
      <c r="B2617" s="1067" t="inlineStr">
        <is>
          <t>Serviço</t>
        </is>
      </c>
      <c r="C2617" s="1067" t="inlineStr">
        <is>
          <t xml:space="preserve">Revestimento em Pastilhas Cerâmicas Para Piscinas , 14,5 x 14,5cm com Junta de 3mm </t>
        </is>
      </c>
      <c r="D2617" s="1067" t="inlineStr">
        <is>
          <t xml:space="preserve">Revestimento em Pastilhas Cerâmicas Para Piscinas , 14,5 x 14,5cm com Junta de 3mm </t>
        </is>
      </c>
      <c r="E2617" s="1068" t="inlineStr">
        <is>
          <t>M2</t>
        </is>
      </c>
      <c r="F2617" s="1067" t="n"/>
      <c r="G2617" s="1069">
        <f t="array" ref="G2617">IF(B2617="insumo",_xlfn.XLOOKUP($D2617,Insumos!$B$1:$B$996,Insumos!$D$1:$D$996),"")</f>
        <v/>
      </c>
      <c r="H2617" s="1069" t="n">
        <v>146.836775</v>
      </c>
      <c r="I2617" s="2161" t="n">
        <v>0</v>
      </c>
      <c r="J2617" s="2161" t="n">
        <v>0</v>
      </c>
      <c r="K2617" s="2161" t="n"/>
    </row>
    <row r="2618" outlineLevel="3" ht="15.75" customHeight="1">
      <c r="A2618" s="10" t="n">
        <v>3</v>
      </c>
      <c r="B2618" s="10" t="inlineStr">
        <is>
          <t>Insumo</t>
        </is>
      </c>
      <c r="C2618" s="10" t="inlineStr">
        <is>
          <t xml:space="preserve">Revestimento em Pastilhas Cerâmicas Para Piscinas , 14,5 x 14,5cm com Junta de 3mm </t>
        </is>
      </c>
      <c r="D2618" s="10" t="inlineStr">
        <is>
          <t>Revestimento Pastilha 14,5x14,5cm</t>
        </is>
      </c>
      <c r="E2618" s="11">
        <f t="array" ref="E2618">_xlfn.XLOOKUP(D2618,Insumos!B:B,Insumos!C:$C)</f>
        <v/>
      </c>
      <c r="F2618" s="14" t="n">
        <v>1.1</v>
      </c>
      <c r="G2618" s="92">
        <f t="array" ref="G2618">IF(B2618="insumo",_xlfn.XLOOKUP($D2618,Insumos!$B$1:$B$996,Insumos!$D$1:$D$996),"")</f>
        <v/>
      </c>
      <c r="H2618" s="92" t="n">
        <v>140.69</v>
      </c>
      <c r="I2618" s="2162" t="n">
        <v>0</v>
      </c>
      <c r="J2618" s="2162" t="n">
        <v>0</v>
      </c>
      <c r="K2618" s="2162" t="n"/>
    </row>
    <row r="2619" outlineLevel="3" ht="15.75" customHeight="1">
      <c r="A2619" s="10" t="n">
        <v>191</v>
      </c>
      <c r="B2619" s="10" t="inlineStr">
        <is>
          <t>Insumo</t>
        </is>
      </c>
      <c r="C2619" s="10" t="inlineStr">
        <is>
          <t xml:space="preserve">Revestimento em Pastilhas Cerâmicas Para Piscinas , 14,5 x 14,5cm com Junta de 3mm </t>
        </is>
      </c>
      <c r="D2619" s="10" t="inlineStr">
        <is>
          <t>Argamassa ACIII</t>
        </is>
      </c>
      <c r="E2619" s="11">
        <f t="array" ref="E2619">_xlfn.XLOOKUP(D2619,Insumos!B:B,Insumos!C:$C)</f>
        <v/>
      </c>
      <c r="F2619" s="14" t="n">
        <v>4.95</v>
      </c>
      <c r="G2619" s="92">
        <f t="array" ref="G2619">IF(B2619="insumo",_xlfn.XLOOKUP($D2619,Insumos!$B$1:$B$996,Insumos!$D$1:$D$996),"")</f>
        <v/>
      </c>
      <c r="H2619" s="92" t="n">
        <v>5.269275</v>
      </c>
      <c r="I2619" s="2162" t="n">
        <v>0</v>
      </c>
      <c r="J2619" s="2162" t="n">
        <v>0</v>
      </c>
      <c r="K2619" s="2162" t="n"/>
    </row>
    <row r="2620" outlineLevel="3" ht="15.75" customHeight="1">
      <c r="A2620" s="10" t="n">
        <v>142</v>
      </c>
      <c r="B2620" s="10" t="inlineStr">
        <is>
          <t>Insumo</t>
        </is>
      </c>
      <c r="C2620" s="10" t="inlineStr">
        <is>
          <t xml:space="preserve">Revestimento em Pastilhas Cerâmicas Para Piscinas , 14,5 x 14,5cm com Junta de 3mm </t>
        </is>
      </c>
      <c r="D2620" s="10" t="inlineStr">
        <is>
          <t>Espeçador junta piso 2mm</t>
        </is>
      </c>
      <c r="E2620" s="11">
        <f t="array" ref="E2620">_xlfn.XLOOKUP(D2620,Insumos!B:B,Insumos!C:$C)</f>
        <v/>
      </c>
      <c r="F2620" s="14" t="n">
        <v>4</v>
      </c>
      <c r="G2620" s="92">
        <f t="array" ref="G2620">IF(B2620="insumo",_xlfn.XLOOKUP($D2620,Insumos!$B$1:$B$996,Insumos!$D$1:$D$996),"")</f>
        <v/>
      </c>
      <c r="H2620" s="92" t="n">
        <v>0.32</v>
      </c>
      <c r="I2620" s="2162" t="n">
        <v>0</v>
      </c>
      <c r="J2620" s="2162" t="n">
        <v>0</v>
      </c>
      <c r="K2620" s="2162" t="n"/>
    </row>
    <row r="2621" outlineLevel="3" ht="15.75" customHeight="1">
      <c r="A2621" s="10" t="n">
        <v>101</v>
      </c>
      <c r="B2621" s="10" t="inlineStr">
        <is>
          <t>Insumo</t>
        </is>
      </c>
      <c r="C2621" s="10" t="inlineStr">
        <is>
          <t xml:space="preserve">Revestimento em Pastilhas Cerâmicas Para Piscinas , 14,5 x 14,5cm com Junta de 3mm </t>
        </is>
      </c>
      <c r="D2621" s="10" t="inlineStr">
        <is>
          <t>Rejunte Cimentício</t>
        </is>
      </c>
      <c r="E2621" s="11">
        <f t="array" ref="E2621">_xlfn.XLOOKUP(D2621,Insumos!B:B,Insumos!C:$C)</f>
        <v/>
      </c>
      <c r="F2621" s="14" t="n">
        <v>0.05</v>
      </c>
      <c r="G2621" s="92">
        <f t="array" ref="G2621">IF(B2621="insumo",_xlfn.XLOOKUP($D2621,Insumos!$B$1:$B$996,Insumos!$D$1:$D$996),"")</f>
        <v/>
      </c>
      <c r="H2621" s="92" t="n">
        <v>0.5575</v>
      </c>
      <c r="I2621" s="2162" t="n">
        <v>0</v>
      </c>
      <c r="J2621" s="2162" t="n">
        <v>0</v>
      </c>
      <c r="K2621" s="2162" t="n"/>
    </row>
    <row r="2622" outlineLevel="2" ht="15.75" customHeight="1">
      <c r="A2622" s="1067" t="n">
        <v>1</v>
      </c>
      <c r="B2622" s="1067" t="inlineStr">
        <is>
          <t>Serviço</t>
        </is>
      </c>
      <c r="C2622" s="1067" t="inlineStr">
        <is>
          <t>Revestimento em Paredes,  Pastilha Bege 2,5X2,5Cm</t>
        </is>
      </c>
      <c r="D2622" s="1067" t="inlineStr">
        <is>
          <t>Revestimento em Paredes,  Pastilha Bege 2,5X2,5Cm</t>
        </is>
      </c>
      <c r="E2622" s="1068" t="inlineStr">
        <is>
          <t>M2</t>
        </is>
      </c>
      <c r="F2622" s="1067" t="n"/>
      <c r="G2622" s="1069">
        <f t="array" ref="G2622">IF(B2622="insumo",_xlfn.XLOOKUP($D2622,Insumos!$B$1:$B$996,Insumos!$D$1:$D$996),"")</f>
        <v/>
      </c>
      <c r="H2622" s="1069" t="n">
        <v>262.853775</v>
      </c>
      <c r="I2622" s="2161" t="n">
        <v>0</v>
      </c>
      <c r="J2622" s="2161" t="n">
        <v>0</v>
      </c>
      <c r="K2622" s="2161" t="n"/>
    </row>
    <row r="2623" outlineLevel="3" ht="15.75" customHeight="1">
      <c r="A2623" s="10" t="n">
        <v>3</v>
      </c>
      <c r="B2623" s="10" t="inlineStr">
        <is>
          <t>Insumo</t>
        </is>
      </c>
      <c r="C2623" s="10" t="inlineStr">
        <is>
          <t>Revestimento em Paredes,  Pastilha Bege 2,5X2,5Cm</t>
        </is>
      </c>
      <c r="D2623" s="10" t="inlineStr">
        <is>
          <t>Revestimento Pastilha 2,5x2,5cm</t>
        </is>
      </c>
      <c r="E2623" s="11">
        <f t="array" ref="E2623">_xlfn.XLOOKUP(D2623,Insumos!B:B,Insumos!C:$C)</f>
        <v/>
      </c>
      <c r="F2623" s="14" t="n">
        <v>1.1</v>
      </c>
      <c r="G2623" s="92">
        <f t="array" ref="G2623">IF(B2623="insumo",_xlfn.XLOOKUP($D2623,Insumos!$B$1:$B$996,Insumos!$D$1:$D$996),"")</f>
        <v/>
      </c>
      <c r="H2623" s="92" t="n">
        <v>256.707</v>
      </c>
      <c r="I2623" s="2162" t="n">
        <v>0</v>
      </c>
      <c r="J2623" s="2162" t="n">
        <v>0</v>
      </c>
      <c r="K2623" s="2162" t="n"/>
    </row>
    <row r="2624" outlineLevel="3" ht="15.75" customHeight="1">
      <c r="A2624" s="10" t="n">
        <v>191</v>
      </c>
      <c r="B2624" s="10" t="inlineStr">
        <is>
          <t>Insumo</t>
        </is>
      </c>
      <c r="C2624" s="10" t="inlineStr">
        <is>
          <t>Revestimento em Paredes,  Pastilha Bege 2,5X2,5Cm</t>
        </is>
      </c>
      <c r="D2624" s="10" t="inlineStr">
        <is>
          <t>Argamassa ACIII</t>
        </is>
      </c>
      <c r="E2624" s="11">
        <f t="array" ref="E2624">_xlfn.XLOOKUP(D2624,Insumos!B:B,Insumos!C:$C)</f>
        <v/>
      </c>
      <c r="F2624" s="14" t="n">
        <v>4.95</v>
      </c>
      <c r="G2624" s="92">
        <f t="array" ref="G2624">IF(B2624="insumo",_xlfn.XLOOKUP($D2624,Insumos!$B$1:$B$996,Insumos!$D$1:$D$996),"")</f>
        <v/>
      </c>
      <c r="H2624" s="92" t="n">
        <v>5.269275</v>
      </c>
      <c r="I2624" s="2162" t="n">
        <v>0</v>
      </c>
      <c r="J2624" s="2162" t="n">
        <v>0</v>
      </c>
      <c r="K2624" s="2162" t="n"/>
    </row>
    <row r="2625" outlineLevel="3" ht="15.75" customHeight="1">
      <c r="A2625" s="10" t="n">
        <v>142</v>
      </c>
      <c r="B2625" s="10" t="inlineStr">
        <is>
          <t>Insumo</t>
        </is>
      </c>
      <c r="C2625" s="10" t="inlineStr">
        <is>
          <t>Revestimento em Paredes,  Pastilha Bege 2,5X2,5Cm</t>
        </is>
      </c>
      <c r="D2625" s="10" t="inlineStr">
        <is>
          <t>Espeçador junta piso 2mm</t>
        </is>
      </c>
      <c r="E2625" s="11">
        <f t="array" ref="E2625">_xlfn.XLOOKUP(D2625,Insumos!B:B,Insumos!C:$C)</f>
        <v/>
      </c>
      <c r="F2625" s="14" t="n">
        <v>4</v>
      </c>
      <c r="G2625" s="92">
        <f t="array" ref="G2625">IF(B2625="insumo",_xlfn.XLOOKUP($D2625,Insumos!$B$1:$B$996,Insumos!$D$1:$D$996),"")</f>
        <v/>
      </c>
      <c r="H2625" s="92" t="n">
        <v>0.32</v>
      </c>
      <c r="I2625" s="2162" t="n">
        <v>0</v>
      </c>
      <c r="J2625" s="2162" t="n">
        <v>0</v>
      </c>
      <c r="K2625" s="2162" t="n"/>
    </row>
    <row r="2626" outlineLevel="3" ht="15.75" customHeight="1">
      <c r="A2626" s="10" t="n">
        <v>101</v>
      </c>
      <c r="B2626" s="10" t="inlineStr">
        <is>
          <t>Insumo</t>
        </is>
      </c>
      <c r="C2626" s="10" t="inlineStr">
        <is>
          <t>Revestimento em Paredes,  Pastilha Bege 2,5X2,5Cm</t>
        </is>
      </c>
      <c r="D2626" s="10" t="inlineStr">
        <is>
          <t>Rejunte Cimentício</t>
        </is>
      </c>
      <c r="E2626" s="11">
        <f t="array" ref="E2626">_xlfn.XLOOKUP(D2626,Insumos!B:B,Insumos!C:$C)</f>
        <v/>
      </c>
      <c r="F2626" s="14" t="n">
        <v>0.05</v>
      </c>
      <c r="G2626" s="92">
        <f t="array" ref="G2626">IF(B2626="insumo",_xlfn.XLOOKUP($D2626,Insumos!$B$1:$B$996,Insumos!$D$1:$D$996),"")</f>
        <v/>
      </c>
      <c r="H2626" s="92" t="n">
        <v>0.5575</v>
      </c>
      <c r="I2626" s="2162" t="n">
        <v>0</v>
      </c>
      <c r="J2626" s="2162" t="n">
        <v>0</v>
      </c>
      <c r="K2626" s="2162" t="n"/>
    </row>
    <row r="2627" outlineLevel="2" ht="15.75" customHeight="1">
      <c r="A2627" s="1067" t="n">
        <v>1</v>
      </c>
      <c r="B2627" s="1067" t="inlineStr">
        <is>
          <t>Serviço</t>
        </is>
      </c>
      <c r="C2627" s="1067" t="inlineStr">
        <is>
          <t>Revestimento em Paredes,  Pastilha 20X20 Cm</t>
        </is>
      </c>
      <c r="D2627" s="1067" t="inlineStr">
        <is>
          <t>Revestimento em Paredes,  Pastilha 20X20 Cm</t>
        </is>
      </c>
      <c r="E2627" s="1068" t="inlineStr">
        <is>
          <t>M2</t>
        </is>
      </c>
      <c r="F2627" s="1067" t="n"/>
      <c r="G2627" s="1069">
        <f t="array" ref="G2627">IF(B2627="insumo",_xlfn.XLOOKUP($D2627,Insumos!$B$1:$B$996,Insumos!$D$1:$D$996),"")</f>
        <v/>
      </c>
      <c r="H2627" s="1069" t="n">
        <v>186.172775</v>
      </c>
      <c r="I2627" s="2161" t="n">
        <v>0</v>
      </c>
      <c r="J2627" s="2161" t="n">
        <v>0</v>
      </c>
      <c r="K2627" s="2161" t="n"/>
    </row>
    <row r="2628" outlineLevel="3" ht="15.75" customHeight="1">
      <c r="A2628" s="10" t="n">
        <v>2</v>
      </c>
      <c r="B2628" s="10" t="inlineStr">
        <is>
          <t>Insumo</t>
        </is>
      </c>
      <c r="C2628" s="10" t="inlineStr">
        <is>
          <t>Revestimento em Paredes,  Pastilha 20X20 Cm</t>
        </is>
      </c>
      <c r="D2628" s="10" t="inlineStr">
        <is>
          <t>Revestimento Pastilha 20x20cm</t>
        </is>
      </c>
      <c r="E2628" s="11">
        <f t="array" ref="E2628">_xlfn.XLOOKUP(D2628,Insumos!B:B,Insumos!C:$C)</f>
        <v/>
      </c>
      <c r="F2628" s="14" t="n">
        <v>1.1</v>
      </c>
      <c r="G2628" s="92">
        <f t="array" ref="G2628">IF(B2628="insumo",_xlfn.XLOOKUP($D2628,Insumos!$B$1:$B$996,Insumos!$D$1:$D$996),"")</f>
        <v/>
      </c>
      <c r="H2628" s="92" t="n">
        <v>180.026</v>
      </c>
      <c r="I2628" s="2162" t="n">
        <v>0</v>
      </c>
      <c r="J2628" s="2162" t="n">
        <v>0</v>
      </c>
      <c r="K2628" s="2162" t="n"/>
    </row>
    <row r="2629" outlineLevel="3" ht="15.75" customHeight="1">
      <c r="A2629" s="10" t="n">
        <v>191</v>
      </c>
      <c r="B2629" s="10" t="inlineStr">
        <is>
          <t>Insumo</t>
        </is>
      </c>
      <c r="C2629" s="10" t="inlineStr">
        <is>
          <t>Revestimento em Paredes,  Pastilha 20X20 Cm</t>
        </is>
      </c>
      <c r="D2629" s="10" t="inlineStr">
        <is>
          <t>Argamassa ACIII</t>
        </is>
      </c>
      <c r="E2629" s="11">
        <f t="array" ref="E2629">_xlfn.XLOOKUP(D2629,Insumos!B:B,Insumos!C:$C)</f>
        <v/>
      </c>
      <c r="F2629" s="14" t="n">
        <v>4.95</v>
      </c>
      <c r="G2629" s="92">
        <f t="array" ref="G2629">IF(B2629="insumo",_xlfn.XLOOKUP($D2629,Insumos!$B$1:$B$996,Insumos!$D$1:$D$996),"")</f>
        <v/>
      </c>
      <c r="H2629" s="92" t="n">
        <v>5.269275</v>
      </c>
      <c r="I2629" s="2162" t="n">
        <v>0</v>
      </c>
      <c r="J2629" s="2162" t="n">
        <v>0</v>
      </c>
      <c r="K2629" s="2162" t="n"/>
    </row>
    <row r="2630" outlineLevel="3" ht="15.75" customHeight="1">
      <c r="A2630" s="10" t="n">
        <v>142</v>
      </c>
      <c r="B2630" s="10" t="inlineStr">
        <is>
          <t>Insumo</t>
        </is>
      </c>
      <c r="C2630" s="10" t="inlineStr">
        <is>
          <t>Revestimento em Paredes,  Pastilha 20X20 Cm</t>
        </is>
      </c>
      <c r="D2630" s="10" t="inlineStr">
        <is>
          <t>Espeçador junta piso 2mm</t>
        </is>
      </c>
      <c r="E2630" s="11">
        <f t="array" ref="E2630">_xlfn.XLOOKUP(D2630,Insumos!B:B,Insumos!C:$C)</f>
        <v/>
      </c>
      <c r="F2630" s="14" t="n">
        <v>4</v>
      </c>
      <c r="G2630" s="92">
        <f t="array" ref="G2630">IF(B2630="insumo",_xlfn.XLOOKUP($D2630,Insumos!$B$1:$B$996,Insumos!$D$1:$D$996),"")</f>
        <v/>
      </c>
      <c r="H2630" s="92" t="n">
        <v>0.32</v>
      </c>
      <c r="I2630" s="2162" t="n">
        <v>0</v>
      </c>
      <c r="J2630" s="2162" t="n">
        <v>0</v>
      </c>
      <c r="K2630" s="2162" t="n"/>
    </row>
    <row r="2631" outlineLevel="3" ht="15.75" customHeight="1">
      <c r="A2631" s="10" t="n">
        <v>101</v>
      </c>
      <c r="B2631" s="10" t="inlineStr">
        <is>
          <t>Insumo</t>
        </is>
      </c>
      <c r="C2631" s="10" t="inlineStr">
        <is>
          <t>Revestimento em Paredes,  Pastilha 20X20 Cm</t>
        </is>
      </c>
      <c r="D2631" s="10" t="inlineStr">
        <is>
          <t>Rejunte Cimentício</t>
        </is>
      </c>
      <c r="E2631" s="11">
        <f t="array" ref="E2631">_xlfn.XLOOKUP(D2631,Insumos!B:B,Insumos!C:$C)</f>
        <v/>
      </c>
      <c r="F2631" s="14" t="n">
        <v>0.05</v>
      </c>
      <c r="G2631" s="92">
        <f t="array" ref="G2631">IF(B2631="insumo",_xlfn.XLOOKUP($D2631,Insumos!$B$1:$B$996,Insumos!$D$1:$D$996),"")</f>
        <v/>
      </c>
      <c r="H2631" s="92" t="n">
        <v>0.5575</v>
      </c>
      <c r="I2631" s="2162" t="n">
        <v>0</v>
      </c>
      <c r="J2631" s="2162" t="n">
        <v>0</v>
      </c>
      <c r="K2631" s="2162" t="n"/>
    </row>
    <row r="2632" outlineLevel="2" ht="15.75" customHeight="1">
      <c r="A2632" s="1067" t="n">
        <v>1</v>
      </c>
      <c r="B2632" s="1067" t="inlineStr">
        <is>
          <t>Serviço</t>
        </is>
      </c>
      <c r="C2632" s="1067" t="inlineStr">
        <is>
          <t>Revestimento em Paredes,  Pastilha Bege 5X5Cm (Sobra Depósito)</t>
        </is>
      </c>
      <c r="D2632" s="1067" t="inlineStr">
        <is>
          <t>Revestimento em Paredes,  Pastilha Bege 5X5Cm (Sobra Depósito)</t>
        </is>
      </c>
      <c r="E2632" s="1068" t="inlineStr">
        <is>
          <t>M2</t>
        </is>
      </c>
      <c r="F2632" s="1067" t="n"/>
      <c r="G2632" s="1069">
        <f t="array" ref="G2632">IF(B2632="insumo",_xlfn.XLOOKUP($D2632,Insumos!$B$1:$B$996,Insumos!$D$1:$D$996),"")</f>
        <v/>
      </c>
      <c r="H2632" s="1069" t="n">
        <v>167.230775</v>
      </c>
      <c r="I2632" s="2161" t="n">
        <v>0</v>
      </c>
      <c r="J2632" s="2161" t="n">
        <v>0</v>
      </c>
      <c r="K2632" s="2161" t="n"/>
    </row>
    <row r="2633" outlineLevel="3" ht="15.75" customHeight="1">
      <c r="A2633" s="10" t="n">
        <v>1</v>
      </c>
      <c r="B2633" s="10" t="inlineStr">
        <is>
          <t>Insumo</t>
        </is>
      </c>
      <c r="C2633" s="10" t="inlineStr">
        <is>
          <t>Revestimento em Paredes,  Pastilha Bege 5X5Cm (Sobra Depósito)</t>
        </is>
      </c>
      <c r="D2633" s="10" t="inlineStr">
        <is>
          <t>Revestimento Pastilha 5x5cm</t>
        </is>
      </c>
      <c r="E2633" s="11">
        <f t="array" ref="E2633">_xlfn.XLOOKUP(D2633,Insumos!B:B,Insumos!C:$C)</f>
        <v/>
      </c>
      <c r="F2633" s="14" t="n">
        <v>1.1</v>
      </c>
      <c r="G2633" s="92">
        <f t="array" ref="G2633">IF(B2633="insumo",_xlfn.XLOOKUP($D2633,Insumos!$B$1:$B$996,Insumos!$D$1:$D$996),"")</f>
        <v/>
      </c>
      <c r="H2633" s="92" t="n">
        <v>161.084</v>
      </c>
      <c r="I2633" s="2162" t="n">
        <v>0</v>
      </c>
      <c r="J2633" s="2162" t="n">
        <v>0</v>
      </c>
      <c r="K2633" s="2162" t="n"/>
    </row>
    <row r="2634" outlineLevel="3" ht="15.75" customHeight="1">
      <c r="A2634" s="10" t="n">
        <v>191</v>
      </c>
      <c r="B2634" s="10" t="inlineStr">
        <is>
          <t>Insumo</t>
        </is>
      </c>
      <c r="C2634" s="10" t="inlineStr">
        <is>
          <t>Revestimento em Paredes,  Pastilha Bege 5X5Cm (Sobra Depósito)</t>
        </is>
      </c>
      <c r="D2634" s="10" t="inlineStr">
        <is>
          <t>Argamassa ACIII</t>
        </is>
      </c>
      <c r="E2634" s="11">
        <f t="array" ref="E2634">_xlfn.XLOOKUP(D2634,Insumos!B:B,Insumos!C:$C)</f>
        <v/>
      </c>
      <c r="F2634" s="14" t="n">
        <v>4.95</v>
      </c>
      <c r="G2634" s="92">
        <f t="array" ref="G2634">IF(B2634="insumo",_xlfn.XLOOKUP($D2634,Insumos!$B$1:$B$996,Insumos!$D$1:$D$996),"")</f>
        <v/>
      </c>
      <c r="H2634" s="92" t="n">
        <v>5.269275</v>
      </c>
      <c r="I2634" s="2162" t="n">
        <v>0</v>
      </c>
      <c r="J2634" s="2162" t="n">
        <v>0</v>
      </c>
      <c r="K2634" s="2162" t="n"/>
    </row>
    <row r="2635" outlineLevel="3" ht="15.75" customHeight="1">
      <c r="A2635" s="10" t="n">
        <v>142</v>
      </c>
      <c r="B2635" s="10" t="inlineStr">
        <is>
          <t>Insumo</t>
        </is>
      </c>
      <c r="C2635" s="10" t="inlineStr">
        <is>
          <t>Revestimento em Paredes,  Pastilha Bege 5X5Cm (Sobra Depósito)</t>
        </is>
      </c>
      <c r="D2635" s="10" t="inlineStr">
        <is>
          <t>Espeçador junta piso 2mm</t>
        </is>
      </c>
      <c r="E2635" s="11">
        <f t="array" ref="E2635">_xlfn.XLOOKUP(D2635,Insumos!B:B,Insumos!C:$C)</f>
        <v/>
      </c>
      <c r="F2635" s="14" t="n">
        <v>4</v>
      </c>
      <c r="G2635" s="92">
        <f t="array" ref="G2635">IF(B2635="insumo",_xlfn.XLOOKUP($D2635,Insumos!$B$1:$B$996,Insumos!$D$1:$D$996),"")</f>
        <v/>
      </c>
      <c r="H2635" s="92" t="n">
        <v>0.32</v>
      </c>
      <c r="I2635" s="2162" t="n">
        <v>0</v>
      </c>
      <c r="J2635" s="2162" t="n">
        <v>0</v>
      </c>
      <c r="K2635" s="2162" t="n"/>
    </row>
    <row r="2636" outlineLevel="3" ht="15.75" customHeight="1">
      <c r="A2636" s="10" t="n">
        <v>101</v>
      </c>
      <c r="B2636" s="10" t="inlineStr">
        <is>
          <t>Insumo</t>
        </is>
      </c>
      <c r="C2636" s="10" t="inlineStr">
        <is>
          <t>Revestimento em Paredes,  Pastilha Bege 5X5Cm (Sobra Depósito)</t>
        </is>
      </c>
      <c r="D2636" s="10" t="inlineStr">
        <is>
          <t>Rejunte Cimentício</t>
        </is>
      </c>
      <c r="E2636" s="11">
        <f t="array" ref="E2636">_xlfn.XLOOKUP(D2636,Insumos!B:B,Insumos!C:$C)</f>
        <v/>
      </c>
      <c r="F2636" s="14" t="n">
        <v>0.05</v>
      </c>
      <c r="G2636" s="92">
        <f t="array" ref="G2636">IF(B2636="insumo",_xlfn.XLOOKUP($D2636,Insumos!$B$1:$B$996,Insumos!$D$1:$D$996),"")</f>
        <v/>
      </c>
      <c r="H2636" s="92" t="n">
        <v>0.5575</v>
      </c>
      <c r="I2636" s="2162" t="n">
        <v>0</v>
      </c>
      <c r="J2636" s="2162" t="n">
        <v>0</v>
      </c>
      <c r="K2636" s="2162" t="n"/>
    </row>
    <row r="2637" outlineLevel="1" ht="15.75" customHeight="1">
      <c r="A2637" s="1090" t="n">
        <v>1</v>
      </c>
      <c r="B2637" s="1090" t="inlineStr">
        <is>
          <t>Subetapa</t>
        </is>
      </c>
      <c r="C2637" s="1090" t="inlineStr">
        <is>
          <t>Revestimento em Paredes,  Pastilha Bege 5X5Cm (Sobra Depósito)</t>
        </is>
      </c>
      <c r="D2637" s="1090" t="inlineStr">
        <is>
          <t>PEDRAS/GRANITOS/MARMORES PAREDE</t>
        </is>
      </c>
      <c r="E2637" s="1091" t="n"/>
      <c r="F2637" s="2160" t="n"/>
      <c r="G2637" s="1091" t="n"/>
      <c r="H2637" s="1091" t="n">
        <v>0</v>
      </c>
      <c r="I2637" s="2160" t="n">
        <v>0</v>
      </c>
      <c r="J2637" s="2160" t="n">
        <v>0</v>
      </c>
      <c r="K2637" s="2160" t="n"/>
    </row>
    <row r="2638" outlineLevel="2" ht="15.75" customHeight="1">
      <c r="A2638" s="1067" t="n">
        <v>1</v>
      </c>
      <c r="B2638" s="1067" t="inlineStr">
        <is>
          <t>Serviço</t>
        </is>
      </c>
      <c r="C2638" s="1067" t="inlineStr">
        <is>
          <t>Revestimento de Granito em Paredes</t>
        </is>
      </c>
      <c r="D2638" s="1067" t="inlineStr">
        <is>
          <t>Revestimento de Granito em Paredes</t>
        </is>
      </c>
      <c r="E2638" s="1068" t="inlineStr">
        <is>
          <t>M2</t>
        </is>
      </c>
      <c r="F2638" s="1067" t="n"/>
      <c r="G2638" s="1069">
        <f t="array" ref="G2638">IF(B2638="insumo",_xlfn.XLOOKUP($D2638,Insumos!$B$1:$B$996,Insumos!$D$1:$D$996),"")</f>
        <v/>
      </c>
      <c r="H2638" s="1069" t="n">
        <v>733.2455</v>
      </c>
      <c r="I2638" s="2161" t="n">
        <v>0</v>
      </c>
      <c r="J2638" s="2161" t="n">
        <v>0</v>
      </c>
      <c r="K2638" s="2161" t="n"/>
    </row>
    <row r="2639" outlineLevel="3" ht="15.75" customHeight="1">
      <c r="A2639" s="10" t="n">
        <v>3</v>
      </c>
      <c r="B2639" s="10" t="inlineStr">
        <is>
          <t>Insumo</t>
        </is>
      </c>
      <c r="C2639" s="10" t="inlineStr">
        <is>
          <t>Revestimento de Granito em Paredes</t>
        </is>
      </c>
      <c r="D2639" s="10" t="inlineStr">
        <is>
          <t xml:space="preserve">Granito Comercial </t>
        </is>
      </c>
      <c r="E2639" s="11">
        <f t="array" ref="E2639">_xlfn.XLOOKUP(D2639,Insumos!B:B,Insumos!C:$C)</f>
        <v/>
      </c>
      <c r="F2639" s="14" t="n">
        <v>1.1</v>
      </c>
      <c r="G2639" s="92">
        <f t="array" ref="G2639">IF(B2639="insumo",_xlfn.XLOOKUP($D2639,Insumos!$B$1:$B$996,Insumos!$D$1:$D$996),"")</f>
        <v/>
      </c>
      <c r="H2639" s="92" t="n">
        <v>715</v>
      </c>
      <c r="I2639" s="2162" t="n">
        <v>0</v>
      </c>
      <c r="J2639" s="2162" t="n">
        <v>0</v>
      </c>
      <c r="K2639" s="2162" t="n"/>
    </row>
    <row r="2640" outlineLevel="3" ht="15.75" customHeight="1">
      <c r="A2640" s="10" t="n">
        <v>191</v>
      </c>
      <c r="B2640" s="10" t="inlineStr">
        <is>
          <t>Insumo</t>
        </is>
      </c>
      <c r="C2640" s="10" t="inlineStr">
        <is>
          <t>Revestimento de Granito em Paredes</t>
        </is>
      </c>
      <c r="D2640" s="10" t="inlineStr">
        <is>
          <t>Argamassa ACIII</t>
        </is>
      </c>
      <c r="E2640" s="11">
        <f t="array" ref="E2640">_xlfn.XLOOKUP(D2640,Insumos!B:B,Insumos!C:$C)</f>
        <v/>
      </c>
      <c r="F2640" s="14" t="n">
        <v>9</v>
      </c>
      <c r="G2640" s="92">
        <f t="array" ref="G2640">IF(B2640="insumo",_xlfn.XLOOKUP($D2640,Insumos!$B$1:$B$996,Insumos!$D$1:$D$996),"")</f>
        <v/>
      </c>
      <c r="H2640" s="92" t="n">
        <v>9.580500000000001</v>
      </c>
      <c r="I2640" s="2162" t="n">
        <v>0</v>
      </c>
      <c r="J2640" s="2162" t="n">
        <v>0</v>
      </c>
      <c r="K2640" s="2162" t="n"/>
    </row>
    <row r="2641" outlineLevel="3" ht="15.75" customHeight="1">
      <c r="A2641" s="10" t="n">
        <v>34</v>
      </c>
      <c r="B2641" s="10" t="inlineStr">
        <is>
          <t>Insumo</t>
        </is>
      </c>
      <c r="C2641" s="10" t="inlineStr">
        <is>
          <t>Revestimento de Granito em Paredes</t>
        </is>
      </c>
      <c r="D2641" s="10" t="inlineStr">
        <is>
          <t>Massa Plastica 400g</t>
        </is>
      </c>
      <c r="E2641" s="11">
        <f t="array" ref="E2641">_xlfn.XLOOKUP(D2641,Insumos!B:B,Insumos!C:$C)</f>
        <v/>
      </c>
      <c r="F2641" s="14" t="n">
        <v>0.5</v>
      </c>
      <c r="G2641" s="92">
        <f t="array" ref="G2641">IF(B2641="insumo",_xlfn.XLOOKUP($D2641,Insumos!$B$1:$B$996,Insumos!$D$1:$D$996),"")</f>
        <v/>
      </c>
      <c r="H2641" s="92" t="n">
        <v>8.664999999999999</v>
      </c>
      <c r="I2641" s="2162" t="n">
        <v>0</v>
      </c>
      <c r="J2641" s="2162" t="n">
        <v>0</v>
      </c>
      <c r="K2641" s="2162" t="n"/>
    </row>
    <row r="2642" outlineLevel="2" ht="15.75" customHeight="1">
      <c r="A2642" s="1067" t="n">
        <v>1</v>
      </c>
      <c r="B2642" s="1067" t="inlineStr">
        <is>
          <t>Serviço</t>
        </is>
      </c>
      <c r="C2642" s="1067" t="inlineStr">
        <is>
          <t>Revestimento de Mármore Natural em Paredes</t>
        </is>
      </c>
      <c r="D2642" s="1067" t="inlineStr">
        <is>
          <t>Revestimento de Mármore Natural em Paredes</t>
        </is>
      </c>
      <c r="E2642" s="1068" t="inlineStr">
        <is>
          <t>M2</t>
        </is>
      </c>
      <c r="F2642" s="1067" t="n"/>
      <c r="G2642" s="1069">
        <f t="array" ref="G2642">IF(B2642="insumo",_xlfn.XLOOKUP($D2642,Insumos!$B$1:$B$996,Insumos!$D$1:$D$996),"")</f>
        <v/>
      </c>
      <c r="H2642" s="1069" t="n">
        <v>898.2455</v>
      </c>
      <c r="I2642" s="2161" t="e">
        <v>#REF!</v>
      </c>
      <c r="J2642" s="2161" t="e">
        <v>#REF!</v>
      </c>
      <c r="K2642" s="2161" t="n"/>
    </row>
    <row r="2643" outlineLevel="3" ht="15.75" customHeight="1">
      <c r="A2643" s="10" t="n">
        <v>4</v>
      </c>
      <c r="B2643" s="10" t="inlineStr">
        <is>
          <t>Insumo</t>
        </is>
      </c>
      <c r="C2643" s="10" t="inlineStr">
        <is>
          <t>Revestimento de Mármore Natural em Paredes</t>
        </is>
      </c>
      <c r="D2643" s="10" t="inlineStr">
        <is>
          <t>Mármore Natural</t>
        </is>
      </c>
      <c r="E2643" s="11">
        <f t="array" ref="E2643">_xlfn.XLOOKUP(D2643,Insumos!B:B,Insumos!C:$C)</f>
        <v/>
      </c>
      <c r="F2643" s="14" t="n">
        <v>1.1</v>
      </c>
      <c r="G2643" s="92">
        <f t="array" ref="G2643">IF(B2643="insumo",_xlfn.XLOOKUP($D2643,Insumos!$B$1:$B$996,Insumos!$D$1:$D$996),"")</f>
        <v/>
      </c>
      <c r="H2643" s="92" t="n">
        <v>880</v>
      </c>
      <c r="I2643" s="2162" t="e">
        <v>#REF!</v>
      </c>
      <c r="J2643" s="2162" t="e">
        <v>#REF!</v>
      </c>
      <c r="K2643" s="2162" t="n"/>
    </row>
    <row r="2644" outlineLevel="3" ht="15.75" customHeight="1">
      <c r="A2644" s="10" t="n">
        <v>191</v>
      </c>
      <c r="B2644" s="10" t="inlineStr">
        <is>
          <t>Insumo</t>
        </is>
      </c>
      <c r="C2644" s="10" t="inlineStr">
        <is>
          <t>Revestimento de Mármore Natural em Paredes</t>
        </is>
      </c>
      <c r="D2644" s="10" t="inlineStr">
        <is>
          <t>Argamassa ACIII</t>
        </is>
      </c>
      <c r="E2644" s="11">
        <f t="array" ref="E2644">_xlfn.XLOOKUP(D2644,Insumos!B:B,Insumos!C:$C)</f>
        <v/>
      </c>
      <c r="F2644" s="14" t="n">
        <v>9</v>
      </c>
      <c r="G2644" s="92">
        <f t="array" ref="G2644">IF(B2644="insumo",_xlfn.XLOOKUP($D2644,Insumos!$B$1:$B$996,Insumos!$D$1:$D$996),"")</f>
        <v/>
      </c>
      <c r="H2644" s="92" t="n">
        <v>9.580500000000001</v>
      </c>
      <c r="I2644" s="2162" t="e">
        <v>#REF!</v>
      </c>
      <c r="J2644" s="2162" t="e">
        <v>#REF!</v>
      </c>
      <c r="K2644" s="2162" t="n"/>
    </row>
    <row r="2645" outlineLevel="3" ht="15.75" customHeight="1">
      <c r="A2645" s="10" t="n">
        <v>34</v>
      </c>
      <c r="B2645" s="10" t="inlineStr">
        <is>
          <t>Insumo</t>
        </is>
      </c>
      <c r="C2645" s="10" t="inlineStr">
        <is>
          <t>Revestimento de Mármore Natural em Paredes</t>
        </is>
      </c>
      <c r="D2645" s="10" t="inlineStr">
        <is>
          <t>Massa Plastica 400g</t>
        </is>
      </c>
      <c r="E2645" s="11">
        <f t="array" ref="E2645">_xlfn.XLOOKUP(D2645,Insumos!B:B,Insumos!C:$C)</f>
        <v/>
      </c>
      <c r="F2645" s="14" t="n">
        <v>0.5</v>
      </c>
      <c r="G2645" s="92">
        <f t="array" ref="G2645">IF(B2645="insumo",_xlfn.XLOOKUP($D2645,Insumos!$B$1:$B$996,Insumos!$D$1:$D$996),"")</f>
        <v/>
      </c>
      <c r="H2645" s="92" t="n">
        <v>8.664999999999999</v>
      </c>
      <c r="I2645" s="2162" t="e">
        <v>#REF!</v>
      </c>
      <c r="J2645" s="2162" t="e">
        <v>#REF!</v>
      </c>
      <c r="K2645" s="2162" t="n"/>
    </row>
    <row r="2646" outlineLevel="2" ht="15.75" customHeight="1">
      <c r="A2646" s="1067" t="n">
        <v>1</v>
      </c>
      <c r="B2646" s="1067" t="inlineStr">
        <is>
          <t>Serviço</t>
        </is>
      </c>
      <c r="C2646" s="1067" t="inlineStr">
        <is>
          <t>Revestimento de Mármore Travertino Nacional em Paredes</t>
        </is>
      </c>
      <c r="D2646" s="1067" t="inlineStr">
        <is>
          <t>Revestimento de Mármore Travertino Nacional em Paredes</t>
        </is>
      </c>
      <c r="E2646" s="1068" t="inlineStr">
        <is>
          <t>M2</t>
        </is>
      </c>
      <c r="F2646" s="1067" t="n"/>
      <c r="G2646" s="1069">
        <f t="array" ref="G2646">IF(B2646="insumo",_xlfn.XLOOKUP($D2646,Insumos!$B$1:$B$996,Insumos!$D$1:$D$996),"")</f>
        <v/>
      </c>
      <c r="H2646" s="1069" t="n">
        <v>1008.2455</v>
      </c>
      <c r="I2646" s="2161" t="n">
        <v>0</v>
      </c>
      <c r="J2646" s="2161" t="n">
        <v>0</v>
      </c>
      <c r="K2646" s="2161" t="n"/>
    </row>
    <row r="2647" outlineLevel="3" ht="15.75" customHeight="1">
      <c r="A2647" s="10" t="n">
        <v>2</v>
      </c>
      <c r="B2647" s="10" t="inlineStr">
        <is>
          <t>Insumo</t>
        </is>
      </c>
      <c r="C2647" s="10" t="inlineStr">
        <is>
          <t>Revestimento de Mármore Travertino Nacional em Paredes</t>
        </is>
      </c>
      <c r="D2647" s="10" t="inlineStr">
        <is>
          <t>Mármore Travertino Nacional</t>
        </is>
      </c>
      <c r="E2647" s="11">
        <f t="array" ref="E2647">_xlfn.XLOOKUP(D2647,Insumos!B:B,Insumos!C:$C)</f>
        <v/>
      </c>
      <c r="F2647" s="14" t="n">
        <v>1.1</v>
      </c>
      <c r="G2647" s="92">
        <f t="array" ref="G2647">IF(B2647="insumo",_xlfn.XLOOKUP($D2647,Insumos!$B$1:$B$996,Insumos!$D$1:$D$996),"")</f>
        <v/>
      </c>
      <c r="H2647" s="92" t="n">
        <v>990</v>
      </c>
      <c r="I2647" s="2162" t="n">
        <v>0</v>
      </c>
      <c r="J2647" s="2162" t="n">
        <v>0</v>
      </c>
      <c r="K2647" s="2162" t="n"/>
    </row>
    <row r="2648" outlineLevel="3" ht="15.75" customHeight="1">
      <c r="A2648" s="10" t="n">
        <v>191</v>
      </c>
      <c r="B2648" s="10" t="inlineStr">
        <is>
          <t>Insumo</t>
        </is>
      </c>
      <c r="C2648" s="10" t="inlineStr">
        <is>
          <t>Revestimento de Mármore Travertino Nacional em Paredes</t>
        </is>
      </c>
      <c r="D2648" s="10" t="inlineStr">
        <is>
          <t>Argamassa ACIII</t>
        </is>
      </c>
      <c r="E2648" s="11">
        <f t="array" ref="E2648">_xlfn.XLOOKUP(D2648,Insumos!B:B,Insumos!C:$C)</f>
        <v/>
      </c>
      <c r="F2648" s="14" t="n">
        <v>9</v>
      </c>
      <c r="G2648" s="92">
        <f t="array" ref="G2648">IF(B2648="insumo",_xlfn.XLOOKUP($D2648,Insumos!$B$1:$B$996,Insumos!$D$1:$D$996),"")</f>
        <v/>
      </c>
      <c r="H2648" s="92" t="n">
        <v>9.580500000000001</v>
      </c>
      <c r="I2648" s="2162" t="n">
        <v>0</v>
      </c>
      <c r="J2648" s="2162" t="n">
        <v>0</v>
      </c>
      <c r="K2648" s="2162" t="n"/>
    </row>
    <row r="2649" outlineLevel="3" ht="15.75" customHeight="1">
      <c r="A2649" s="10" t="n">
        <v>34</v>
      </c>
      <c r="B2649" s="10" t="inlineStr">
        <is>
          <t>Insumo</t>
        </is>
      </c>
      <c r="C2649" s="10" t="inlineStr">
        <is>
          <t>Revestimento de Mármore Travertino Nacional em Paredes</t>
        </is>
      </c>
      <c r="D2649" s="10" t="inlineStr">
        <is>
          <t>Massa Plastica 400g</t>
        </is>
      </c>
      <c r="E2649" s="11">
        <f t="array" ref="E2649">_xlfn.XLOOKUP(D2649,Insumos!B:B,Insumos!C:$C)</f>
        <v/>
      </c>
      <c r="F2649" s="14" t="n">
        <v>0.5</v>
      </c>
      <c r="G2649" s="92">
        <f t="array" ref="G2649">IF(B2649="insumo",_xlfn.XLOOKUP($D2649,Insumos!$B$1:$B$996,Insumos!$D$1:$D$996),"")</f>
        <v/>
      </c>
      <c r="H2649" s="92" t="n">
        <v>8.664999999999999</v>
      </c>
      <c r="I2649" s="2162" t="n">
        <v>0</v>
      </c>
      <c r="J2649" s="2162" t="n">
        <v>0</v>
      </c>
      <c r="K2649" s="2162" t="n"/>
    </row>
    <row r="2650" outlineLevel="2" ht="15.75" customHeight="1">
      <c r="A2650" s="1067" t="n">
        <v>1</v>
      </c>
      <c r="B2650" s="1067" t="inlineStr">
        <is>
          <t>Serviço</t>
        </is>
      </c>
      <c r="C2650" s="1067" t="inlineStr">
        <is>
          <t>Revestimento de Mármore Travertino Navona em Paredes</t>
        </is>
      </c>
      <c r="D2650" s="1067" t="inlineStr">
        <is>
          <t>Revestimento de Mármore Travertino Navona em Paredes</t>
        </is>
      </c>
      <c r="E2650" s="1068" t="inlineStr">
        <is>
          <t>M2</t>
        </is>
      </c>
      <c r="F2650" s="1067" t="n"/>
      <c r="G2650" s="1069">
        <f t="array" ref="G2650">IF(B2650="insumo",_xlfn.XLOOKUP($D2650,Insumos!$B$1:$B$996,Insumos!$D$1:$D$996),"")</f>
        <v/>
      </c>
      <c r="H2650" s="1069" t="n">
        <v>1448.2455</v>
      </c>
      <c r="I2650" s="2161" t="n">
        <v>0</v>
      </c>
      <c r="J2650" s="2161" t="n">
        <v>0</v>
      </c>
      <c r="K2650" s="2161" t="n"/>
    </row>
    <row r="2651" outlineLevel="3" ht="15.75" customHeight="1">
      <c r="A2651" s="10" t="n">
        <v>2</v>
      </c>
      <c r="B2651" s="10" t="inlineStr">
        <is>
          <t>Insumo</t>
        </is>
      </c>
      <c r="C2651" s="10" t="inlineStr">
        <is>
          <t>Revestimento de Mármore Travertino Navona em Paredes</t>
        </is>
      </c>
      <c r="D2651" s="10" t="inlineStr">
        <is>
          <t>Mármore Travertino Navona</t>
        </is>
      </c>
      <c r="E2651" s="11">
        <f t="array" ref="E2651">_xlfn.XLOOKUP(D2651,Insumos!B:B,Insumos!C:$C)</f>
        <v/>
      </c>
      <c r="F2651" s="14" t="n">
        <v>1.1</v>
      </c>
      <c r="G2651" s="92">
        <f t="array" ref="G2651">IF(B2651="insumo",_xlfn.XLOOKUP($D2651,Insumos!$B$1:$B$996,Insumos!$D$1:$D$996),"")</f>
        <v/>
      </c>
      <c r="H2651" s="92" t="n">
        <v>1430</v>
      </c>
      <c r="I2651" s="2162" t="n">
        <v>0</v>
      </c>
      <c r="J2651" s="2162" t="n">
        <v>0</v>
      </c>
      <c r="K2651" s="2162" t="n"/>
    </row>
    <row r="2652" outlineLevel="3" ht="15.75" customHeight="1">
      <c r="A2652" s="10" t="n">
        <v>191</v>
      </c>
      <c r="B2652" s="10" t="inlineStr">
        <is>
          <t>Insumo</t>
        </is>
      </c>
      <c r="C2652" s="10" t="inlineStr">
        <is>
          <t>Revestimento de Mármore Travertino Navona em Paredes</t>
        </is>
      </c>
      <c r="D2652" s="10" t="inlineStr">
        <is>
          <t>Argamassa ACIII</t>
        </is>
      </c>
      <c r="E2652" s="11">
        <f t="array" ref="E2652">_xlfn.XLOOKUP(D2652,Insumos!B:B,Insumos!C:$C)</f>
        <v/>
      </c>
      <c r="F2652" s="14" t="n">
        <v>9</v>
      </c>
      <c r="G2652" s="92">
        <f t="array" ref="G2652">IF(B2652="insumo",_xlfn.XLOOKUP($D2652,Insumos!$B$1:$B$996,Insumos!$D$1:$D$996),"")</f>
        <v/>
      </c>
      <c r="H2652" s="92" t="n">
        <v>9.580500000000001</v>
      </c>
      <c r="I2652" s="2162" t="n">
        <v>0</v>
      </c>
      <c r="J2652" s="2162" t="n">
        <v>0</v>
      </c>
      <c r="K2652" s="2162" t="n"/>
    </row>
    <row r="2653" outlineLevel="3" ht="15.75" customHeight="1">
      <c r="A2653" s="10" t="n">
        <v>34</v>
      </c>
      <c r="B2653" s="10" t="inlineStr">
        <is>
          <t>Insumo</t>
        </is>
      </c>
      <c r="C2653" s="10" t="inlineStr">
        <is>
          <t>Revestimento de Mármore Travertino Navona em Paredes</t>
        </is>
      </c>
      <c r="D2653" s="10" t="inlineStr">
        <is>
          <t>Massa Plastica 400g</t>
        </is>
      </c>
      <c r="E2653" s="11">
        <f t="array" ref="E2653">_xlfn.XLOOKUP(D2653,Insumos!B:B,Insumos!C:$C)</f>
        <v/>
      </c>
      <c r="F2653" s="14" t="n">
        <v>0.5</v>
      </c>
      <c r="G2653" s="92">
        <f t="array" ref="G2653">IF(B2653="insumo",_xlfn.XLOOKUP($D2653,Insumos!$B$1:$B$996,Insumos!$D$1:$D$996),"")</f>
        <v/>
      </c>
      <c r="H2653" s="92" t="n">
        <v>8.664999999999999</v>
      </c>
      <c r="I2653" s="2162" t="n">
        <v>0</v>
      </c>
      <c r="J2653" s="2162" t="n">
        <v>0</v>
      </c>
      <c r="K2653" s="2162" t="n"/>
    </row>
    <row r="2654" outlineLevel="2" ht="15.75" customHeight="1">
      <c r="A2654" s="1067" t="n">
        <v>1</v>
      </c>
      <c r="B2654" s="1067" t="inlineStr">
        <is>
          <t>Serviço</t>
        </is>
      </c>
      <c r="C2654" s="1067" t="inlineStr">
        <is>
          <t>Revestimento de Mármore Travertino Importado em Paredes</t>
        </is>
      </c>
      <c r="D2654" s="1067" t="inlineStr">
        <is>
          <t>Revestimento de Mármore Travertino Importado em Paredes</t>
        </is>
      </c>
      <c r="E2654" s="1068" t="inlineStr">
        <is>
          <t>M2</t>
        </is>
      </c>
      <c r="F2654" s="1067" t="n"/>
      <c r="G2654" s="1069">
        <f t="array" ref="G2654">IF(B2654="insumo",_xlfn.XLOOKUP($D2654,Insumos!$B$1:$B$996,Insumos!$D$1:$D$996),"")</f>
        <v/>
      </c>
      <c r="H2654" s="1069" t="n">
        <v>2438.2455</v>
      </c>
      <c r="I2654" s="2161" t="n">
        <v>0</v>
      </c>
      <c r="J2654" s="2161" t="n">
        <v>0</v>
      </c>
      <c r="K2654" s="2161" t="n"/>
    </row>
    <row r="2655" outlineLevel="3" ht="15.75" customHeight="1">
      <c r="A2655" s="10" t="n">
        <v>2</v>
      </c>
      <c r="B2655" s="10" t="inlineStr">
        <is>
          <t>Insumo</t>
        </is>
      </c>
      <c r="C2655" s="10" t="inlineStr">
        <is>
          <t>Revestimento de Mármore Travertino Importado em Paredes</t>
        </is>
      </c>
      <c r="D2655" s="10" t="inlineStr">
        <is>
          <t>Mármore Travertino Importado</t>
        </is>
      </c>
      <c r="E2655" s="11">
        <f t="array" ref="E2655">_xlfn.XLOOKUP(D2655,Insumos!B:B,Insumos!C:$C)</f>
        <v/>
      </c>
      <c r="F2655" s="14" t="n">
        <v>1.1</v>
      </c>
      <c r="G2655" s="92">
        <f t="array" ref="G2655">IF(B2655="insumo",_xlfn.XLOOKUP($D2655,Insumos!$B$1:$B$996,Insumos!$D$1:$D$996),"")</f>
        <v/>
      </c>
      <c r="H2655" s="92" t="n">
        <v>2420</v>
      </c>
      <c r="I2655" s="2162" t="n">
        <v>0</v>
      </c>
      <c r="J2655" s="2162" t="n">
        <v>0</v>
      </c>
      <c r="K2655" s="2162" t="n"/>
    </row>
    <row r="2656" outlineLevel="3" ht="15.75" customHeight="1">
      <c r="A2656" s="10" t="n">
        <v>191</v>
      </c>
      <c r="B2656" s="10" t="inlineStr">
        <is>
          <t>Insumo</t>
        </is>
      </c>
      <c r="C2656" s="10" t="inlineStr">
        <is>
          <t>Revestimento de Mármore Travertino Importado em Paredes</t>
        </is>
      </c>
      <c r="D2656" s="10" t="inlineStr">
        <is>
          <t>Argamassa ACIII</t>
        </is>
      </c>
      <c r="E2656" s="11">
        <f t="array" ref="E2656">_xlfn.XLOOKUP(D2656,Insumos!B:B,Insumos!C:$C)</f>
        <v/>
      </c>
      <c r="F2656" s="14" t="n">
        <v>9</v>
      </c>
      <c r="G2656" s="92">
        <f t="array" ref="G2656">IF(B2656="insumo",_xlfn.XLOOKUP($D2656,Insumos!$B$1:$B$996,Insumos!$D$1:$D$996),"")</f>
        <v/>
      </c>
      <c r="H2656" s="92" t="n">
        <v>9.580500000000001</v>
      </c>
      <c r="I2656" s="2162" t="n">
        <v>0</v>
      </c>
      <c r="J2656" s="2162" t="n">
        <v>0</v>
      </c>
      <c r="K2656" s="2162" t="n"/>
    </row>
    <row r="2657" outlineLevel="3" ht="15.75" customHeight="1">
      <c r="A2657" s="10" t="n">
        <v>34</v>
      </c>
      <c r="B2657" s="10" t="inlineStr">
        <is>
          <t>Insumo</t>
        </is>
      </c>
      <c r="C2657" s="10" t="inlineStr">
        <is>
          <t>Revestimento de Mármore Travertino Importado em Paredes</t>
        </is>
      </c>
      <c r="D2657" s="10" t="inlineStr">
        <is>
          <t>Massa Plastica 400g</t>
        </is>
      </c>
      <c r="E2657" s="11">
        <f t="array" ref="E2657">_xlfn.XLOOKUP(D2657,Insumos!B:B,Insumos!C:$C)</f>
        <v/>
      </c>
      <c r="F2657" s="14" t="n">
        <v>0.5</v>
      </c>
      <c r="G2657" s="92">
        <f t="array" ref="G2657">IF(B2657="insumo",_xlfn.XLOOKUP($D2657,Insumos!$B$1:$B$996,Insumos!$D$1:$D$996),"")</f>
        <v/>
      </c>
      <c r="H2657" s="92" t="n">
        <v>8.664999999999999</v>
      </c>
      <c r="I2657" s="2162" t="n">
        <v>0</v>
      </c>
      <c r="J2657" s="2162" t="n">
        <v>0</v>
      </c>
      <c r="K2657" s="2162" t="n"/>
    </row>
    <row r="2658" outlineLevel="2" ht="15.75" customHeight="1">
      <c r="A2658" s="1067" t="n">
        <v>1</v>
      </c>
      <c r="B2658" s="1067" t="inlineStr">
        <is>
          <t>Serviço</t>
        </is>
      </c>
      <c r="C2658" s="1067" t="inlineStr">
        <is>
          <t>Revestimento de Mármore Travertino Romano em Paredes</t>
        </is>
      </c>
      <c r="D2658" s="1067" t="inlineStr">
        <is>
          <t>Revestimento de Mármore Travertino Romano em Paredes</t>
        </is>
      </c>
      <c r="E2658" s="1068" t="inlineStr">
        <is>
          <t>M2</t>
        </is>
      </c>
      <c r="F2658" s="1067" t="n"/>
      <c r="G2658" s="1069">
        <f t="array" ref="G2658">IF(B2658="insumo",_xlfn.XLOOKUP($D2658,Insumos!$B$1:$B$996,Insumos!$D$1:$D$996),"")</f>
        <v/>
      </c>
      <c r="H2658" s="1069" t="n">
        <v>1448.2455</v>
      </c>
      <c r="I2658" s="2161" t="e">
        <v>#REF!</v>
      </c>
      <c r="J2658" s="2161" t="e">
        <v>#REF!</v>
      </c>
      <c r="K2658" s="2161" t="n"/>
    </row>
    <row r="2659" outlineLevel="3" ht="15.75" customHeight="1">
      <c r="A2659" s="10" t="n">
        <v>5</v>
      </c>
      <c r="B2659" s="10" t="inlineStr">
        <is>
          <t>Insumo</t>
        </is>
      </c>
      <c r="C2659" s="10" t="inlineStr">
        <is>
          <t>Revestimento de Mármore Travertino Romano em Paredes</t>
        </is>
      </c>
      <c r="D2659" s="10" t="inlineStr">
        <is>
          <t>Mármore Travertino Romano</t>
        </is>
      </c>
      <c r="E2659" s="11">
        <f t="array" ref="E2659">_xlfn.XLOOKUP(D2659,Insumos!B:B,Insumos!C:$C)</f>
        <v/>
      </c>
      <c r="F2659" s="14" t="n">
        <v>1.1</v>
      </c>
      <c r="G2659" s="92">
        <f t="array" ref="G2659">IF(B2659="insumo",_xlfn.XLOOKUP($D2659,Insumos!$B$1:$B$996,Insumos!$D$1:$D$996),"")</f>
        <v/>
      </c>
      <c r="H2659" s="92" t="n">
        <v>1430</v>
      </c>
      <c r="I2659" s="2162" t="e">
        <v>#REF!</v>
      </c>
      <c r="J2659" s="2162" t="e">
        <v>#REF!</v>
      </c>
      <c r="K2659" s="2162" t="n"/>
    </row>
    <row r="2660" outlineLevel="3" ht="15.75" customHeight="1">
      <c r="A2660" s="10" t="n">
        <v>191</v>
      </c>
      <c r="B2660" s="10" t="inlineStr">
        <is>
          <t>Insumo</t>
        </is>
      </c>
      <c r="C2660" s="10" t="inlineStr">
        <is>
          <t>Revestimento de Mármore Travertino Romano em Paredes</t>
        </is>
      </c>
      <c r="D2660" s="10" t="inlineStr">
        <is>
          <t>Argamassa ACIII</t>
        </is>
      </c>
      <c r="E2660" s="11">
        <f t="array" ref="E2660">_xlfn.XLOOKUP(D2660,Insumos!B:B,Insumos!C:$C)</f>
        <v/>
      </c>
      <c r="F2660" s="14" t="n">
        <v>9</v>
      </c>
      <c r="G2660" s="92">
        <f t="array" ref="G2660">IF(B2660="insumo",_xlfn.XLOOKUP($D2660,Insumos!$B$1:$B$996,Insumos!$D$1:$D$996),"")</f>
        <v/>
      </c>
      <c r="H2660" s="92" t="n">
        <v>9.580500000000001</v>
      </c>
      <c r="I2660" s="2162" t="e">
        <v>#REF!</v>
      </c>
      <c r="J2660" s="2162" t="e">
        <v>#REF!</v>
      </c>
      <c r="K2660" s="2162" t="n"/>
    </row>
    <row r="2661" outlineLevel="3" ht="15.75" customHeight="1">
      <c r="A2661" s="10" t="n">
        <v>34</v>
      </c>
      <c r="B2661" s="10" t="inlineStr">
        <is>
          <t>Insumo</t>
        </is>
      </c>
      <c r="C2661" s="10" t="inlineStr">
        <is>
          <t>Revestimento de Mármore Travertino Romano em Paredes</t>
        </is>
      </c>
      <c r="D2661" s="10" t="inlineStr">
        <is>
          <t>Massa Plastica 400g</t>
        </is>
      </c>
      <c r="E2661" s="11">
        <f t="array" ref="E2661">_xlfn.XLOOKUP(D2661,Insumos!B:B,Insumos!C:$C)</f>
        <v/>
      </c>
      <c r="F2661" s="14" t="n">
        <v>0.5</v>
      </c>
      <c r="G2661" s="92">
        <f t="array" ref="G2661">IF(B2661="insumo",_xlfn.XLOOKUP($D2661,Insumos!$B$1:$B$996,Insumos!$D$1:$D$996),"")</f>
        <v/>
      </c>
      <c r="H2661" s="92" t="n">
        <v>8.664999999999999</v>
      </c>
      <c r="I2661" s="2162" t="e">
        <v>#REF!</v>
      </c>
      <c r="J2661" s="2162" t="e">
        <v>#REF!</v>
      </c>
      <c r="K2661" s="2162" t="n"/>
    </row>
    <row r="2662" outlineLevel="2" ht="15.75" customHeight="1">
      <c r="A2662" s="1067" t="n">
        <v>1</v>
      </c>
      <c r="B2662" s="1067" t="inlineStr">
        <is>
          <t>Serviço</t>
        </is>
      </c>
      <c r="C2662" s="1067" t="inlineStr">
        <is>
          <t>Revestimento de Pedras Quartzito Van Gogh em Paredes</t>
        </is>
      </c>
      <c r="D2662" s="1067" t="inlineStr">
        <is>
          <t>Revestimento de Pedras Quartzito Van Gogh em Paredes</t>
        </is>
      </c>
      <c r="E2662" s="1068" t="inlineStr">
        <is>
          <t>M2</t>
        </is>
      </c>
      <c r="F2662" s="1067" t="n"/>
      <c r="G2662" s="1069">
        <f t="array" ref="G2662">IF(B2662="insumo",_xlfn.XLOOKUP($D2662,Insumos!$B$1:$B$996,Insumos!$D$1:$D$996),"")</f>
        <v/>
      </c>
      <c r="H2662" s="1069" t="n">
        <v>3538.2455</v>
      </c>
      <c r="I2662" s="2161" t="e">
        <v>#REF!</v>
      </c>
      <c r="J2662" s="2161" t="e">
        <v>#REF!</v>
      </c>
      <c r="K2662" s="2161" t="n"/>
    </row>
    <row r="2663" outlineLevel="3" ht="15.75" customHeight="1">
      <c r="A2663" s="10" t="n">
        <v>2</v>
      </c>
      <c r="B2663" s="10" t="inlineStr">
        <is>
          <t>Insumo</t>
        </is>
      </c>
      <c r="C2663" s="10" t="inlineStr">
        <is>
          <t>Revestimento de Pedras Quartzito Van Gogh em Paredes</t>
        </is>
      </c>
      <c r="D2663" s="10" t="inlineStr">
        <is>
          <t>Pedras Quartzito Van Gogh</t>
        </is>
      </c>
      <c r="E2663" s="11">
        <f t="array" ref="E2663">_xlfn.XLOOKUP(D2663,Insumos!B:B,Insumos!C:$C)</f>
        <v/>
      </c>
      <c r="F2663" s="14" t="n">
        <v>1.1</v>
      </c>
      <c r="G2663" s="92">
        <f t="array" ref="G2663">IF(B2663="insumo",_xlfn.XLOOKUP($D2663,Insumos!$B$1:$B$996,Insumos!$D$1:$D$996),"")</f>
        <v/>
      </c>
      <c r="H2663" s="92" t="n">
        <v>3520</v>
      </c>
      <c r="I2663" s="2162" t="e">
        <v>#REF!</v>
      </c>
      <c r="J2663" s="2162" t="e">
        <v>#REF!</v>
      </c>
      <c r="K2663" s="2162" t="n"/>
    </row>
    <row r="2664" outlineLevel="3" ht="15.75" customHeight="1">
      <c r="A2664" s="10" t="n">
        <v>191</v>
      </c>
      <c r="B2664" s="10" t="inlineStr">
        <is>
          <t>Insumo</t>
        </is>
      </c>
      <c r="C2664" s="10" t="inlineStr">
        <is>
          <t>Revestimento de Pedras Quartzito Van Gogh em Paredes</t>
        </is>
      </c>
      <c r="D2664" s="10" t="inlineStr">
        <is>
          <t>Argamassa ACIII</t>
        </is>
      </c>
      <c r="E2664" s="11">
        <f t="array" ref="E2664">_xlfn.XLOOKUP(D2664,Insumos!B:B,Insumos!C:$C)</f>
        <v/>
      </c>
      <c r="F2664" s="14" t="n">
        <v>9</v>
      </c>
      <c r="G2664" s="92">
        <f t="array" ref="G2664">IF(B2664="insumo",_xlfn.XLOOKUP($D2664,Insumos!$B$1:$B$996,Insumos!$D$1:$D$996),"")</f>
        <v/>
      </c>
      <c r="H2664" s="92" t="n">
        <v>9.580500000000001</v>
      </c>
      <c r="I2664" s="2162" t="e">
        <v>#REF!</v>
      </c>
      <c r="J2664" s="2162" t="e">
        <v>#REF!</v>
      </c>
      <c r="K2664" s="2162" t="n"/>
    </row>
    <row r="2665" outlineLevel="3" ht="15.75" customHeight="1">
      <c r="A2665" s="10" t="n">
        <v>34</v>
      </c>
      <c r="B2665" s="10" t="inlineStr">
        <is>
          <t>Insumo</t>
        </is>
      </c>
      <c r="C2665" s="10" t="inlineStr">
        <is>
          <t>Revestimento de Pedras Quartzito Van Gogh em Paredes</t>
        </is>
      </c>
      <c r="D2665" s="10" t="inlineStr">
        <is>
          <t>Massa Plastica 400g</t>
        </is>
      </c>
      <c r="E2665" s="11">
        <f t="array" ref="E2665">_xlfn.XLOOKUP(D2665,Insumos!B:B,Insumos!C:$C)</f>
        <v/>
      </c>
      <c r="F2665" s="14" t="n">
        <v>0.5</v>
      </c>
      <c r="G2665" s="92">
        <f t="array" ref="G2665">IF(B2665="insumo",_xlfn.XLOOKUP($D2665,Insumos!$B$1:$B$996,Insumos!$D$1:$D$996),"")</f>
        <v/>
      </c>
      <c r="H2665" s="92" t="n">
        <v>8.664999999999999</v>
      </c>
      <c r="I2665" s="2162" t="e">
        <v>#REF!</v>
      </c>
      <c r="J2665" s="2162" t="e">
        <v>#REF!</v>
      </c>
      <c r="K2665" s="2162" t="n"/>
    </row>
    <row r="2666" outlineLevel="2" ht="15.75" customHeight="1">
      <c r="A2666" s="1067" t="n">
        <v>1</v>
      </c>
      <c r="B2666" s="1067" t="inlineStr">
        <is>
          <t>Serviço</t>
        </is>
      </c>
      <c r="C2666" s="1067" t="inlineStr">
        <is>
          <t>Revestimento de Pedras Naturais em Paredes</t>
        </is>
      </c>
      <c r="D2666" s="1067" t="inlineStr">
        <is>
          <t>Revestimento de Pedras Naturais em Paredes</t>
        </is>
      </c>
      <c r="E2666" s="1068" t="inlineStr">
        <is>
          <t>M2</t>
        </is>
      </c>
      <c r="F2666" s="1067" t="n"/>
      <c r="G2666" s="1069">
        <f t="array" ref="G2666">IF(B2666="insumo",_xlfn.XLOOKUP($D2666,Insumos!$B$1:$B$996,Insumos!$D$1:$D$996),"")</f>
        <v/>
      </c>
      <c r="H2666" s="1069" t="n">
        <v>898.2455</v>
      </c>
      <c r="I2666" s="2161" t="n">
        <v>0</v>
      </c>
      <c r="J2666" s="2161" t="n">
        <v>0</v>
      </c>
      <c r="K2666" s="2161" t="n"/>
    </row>
    <row r="2667" outlineLevel="3" ht="15.75" customHeight="1">
      <c r="A2667" s="10" t="n">
        <v>10</v>
      </c>
      <c r="B2667" s="10" t="inlineStr">
        <is>
          <t>Insumo</t>
        </is>
      </c>
      <c r="C2667" s="10" t="inlineStr">
        <is>
          <t>Revestimento de Pedras Naturais em Paredes</t>
        </is>
      </c>
      <c r="D2667" s="10" t="inlineStr">
        <is>
          <t>Pedra Natural  para Revestimento</t>
        </is>
      </c>
      <c r="E2667" s="11">
        <f t="array" ref="E2667">_xlfn.XLOOKUP(D2667,Insumos!B:B,Insumos!C:$C)</f>
        <v/>
      </c>
      <c r="F2667" s="14" t="n">
        <v>1.1</v>
      </c>
      <c r="G2667" s="92">
        <f t="array" ref="G2667">IF(B2667="insumo",_xlfn.XLOOKUP($D2667,Insumos!$B$1:$B$996,Insumos!$D$1:$D$996),"")</f>
        <v/>
      </c>
      <c r="H2667" s="92" t="n">
        <v>880</v>
      </c>
      <c r="I2667" s="2162" t="n">
        <v>0</v>
      </c>
      <c r="J2667" s="2162" t="n">
        <v>0</v>
      </c>
      <c r="K2667" s="2162" t="n"/>
    </row>
    <row r="2668" outlineLevel="3" ht="15.75" customHeight="1">
      <c r="A2668" s="10" t="n">
        <v>191</v>
      </c>
      <c r="B2668" s="10" t="inlineStr">
        <is>
          <t>Insumo</t>
        </is>
      </c>
      <c r="C2668" s="10" t="inlineStr">
        <is>
          <t>Revestimento de Pedras Naturais em Paredes</t>
        </is>
      </c>
      <c r="D2668" s="10" t="inlineStr">
        <is>
          <t>Argamassa ACIII</t>
        </is>
      </c>
      <c r="E2668" s="11">
        <f t="array" ref="E2668">_xlfn.XLOOKUP(D2668,Insumos!B:B,Insumos!C:$C)</f>
        <v/>
      </c>
      <c r="F2668" s="14" t="n">
        <v>9</v>
      </c>
      <c r="G2668" s="92">
        <f t="array" ref="G2668">IF(B2668="insumo",_xlfn.XLOOKUP($D2668,Insumos!$B$1:$B$996,Insumos!$D$1:$D$996),"")</f>
        <v/>
      </c>
      <c r="H2668" s="92" t="n">
        <v>9.580500000000001</v>
      </c>
      <c r="I2668" s="2162" t="n">
        <v>0</v>
      </c>
      <c r="J2668" s="2162" t="n">
        <v>0</v>
      </c>
      <c r="K2668" s="2162" t="n"/>
    </row>
    <row r="2669" outlineLevel="3" ht="15.75" customHeight="1">
      <c r="A2669" s="10" t="n">
        <v>34</v>
      </c>
      <c r="B2669" s="10" t="inlineStr">
        <is>
          <t>Insumo</t>
        </is>
      </c>
      <c r="C2669" s="10" t="inlineStr">
        <is>
          <t>Revestimento de Pedras Naturais em Paredes</t>
        </is>
      </c>
      <c r="D2669" s="10" t="inlineStr">
        <is>
          <t>Massa Plastica 400g</t>
        </is>
      </c>
      <c r="E2669" s="11">
        <f t="array" ref="E2669">_xlfn.XLOOKUP(D2669,Insumos!B:B,Insumos!C:$C)</f>
        <v/>
      </c>
      <c r="F2669" s="14" t="n">
        <v>0.5</v>
      </c>
      <c r="G2669" s="92">
        <f t="array" ref="G2669">IF(B2669="insumo",_xlfn.XLOOKUP($D2669,Insumos!$B$1:$B$996,Insumos!$D$1:$D$996),"")</f>
        <v/>
      </c>
      <c r="H2669" s="92" t="n">
        <v>8.664999999999999</v>
      </c>
      <c r="I2669" s="2162" t="n">
        <v>0</v>
      </c>
      <c r="J2669" s="2162" t="n">
        <v>0</v>
      </c>
      <c r="K2669" s="2162" t="n"/>
    </row>
    <row r="2670" outlineLevel="1" ht="15.75" customHeight="1">
      <c r="A2670" s="1090" t="n">
        <v>1</v>
      </c>
      <c r="B2670" s="1090" t="inlineStr">
        <is>
          <t>Subetapa</t>
        </is>
      </c>
      <c r="C2670" s="1090" t="inlineStr">
        <is>
          <t>Revestimento de Pedras Naturais em Paredes</t>
        </is>
      </c>
      <c r="D2670" s="1090" t="inlineStr">
        <is>
          <t>MADEIRA PAREDE</t>
        </is>
      </c>
      <c r="E2670" s="1091" t="n"/>
      <c r="F2670" s="2160" t="n"/>
      <c r="G2670" s="1091" t="n"/>
      <c r="H2670" s="1091" t="n">
        <v>0</v>
      </c>
      <c r="I2670" s="2160" t="n">
        <v>0</v>
      </c>
      <c r="J2670" s="2160" t="n">
        <v>0</v>
      </c>
      <c r="K2670" s="2160" t="n"/>
    </row>
    <row r="2671" outlineLevel="2" ht="15.75" customHeight="1">
      <c r="A2671" s="1067" t="n">
        <v>1</v>
      </c>
      <c r="B2671" s="1067" t="inlineStr">
        <is>
          <t>Serviço</t>
        </is>
      </c>
      <c r="C2671" s="1067" t="inlineStr">
        <is>
          <t xml:space="preserve">Revestimento em Paredes, Marcenaria, incluindo chapa de 18mm, acessorios para instalação - Material e Mão de Obra </t>
        </is>
      </c>
      <c r="D2671" s="1067" t="inlineStr">
        <is>
          <t xml:space="preserve">Revestimento em Paredes, Marcenaria, incluindo chapa de 18mm, acessorios para instalação - Material e Mão de Obra </t>
        </is>
      </c>
      <c r="E2671" s="1068" t="inlineStr">
        <is>
          <t>M2</t>
        </is>
      </c>
      <c r="F2671" s="1067" t="n"/>
      <c r="G2671" s="1069">
        <f t="array" ref="G2671">IF(B2671="insumo",_xlfn.XLOOKUP($D2671,Insumos!$B$1:$B$996,Insumos!$D$1:$D$996),"")</f>
        <v/>
      </c>
      <c r="H2671" s="1069" t="n">
        <v>919.5</v>
      </c>
      <c r="I2671" s="2161" t="e">
        <v>#REF!</v>
      </c>
      <c r="J2671" s="2161" t="e">
        <v>#REF!</v>
      </c>
      <c r="K2671" s="2161" t="n"/>
    </row>
    <row r="2672" outlineLevel="3" ht="15.75" customHeight="1">
      <c r="A2672" s="10" t="n">
        <v>2</v>
      </c>
      <c r="B2672" s="10" t="inlineStr">
        <is>
          <t>Insumo</t>
        </is>
      </c>
      <c r="C2672" s="10" t="inlineStr">
        <is>
          <t xml:space="preserve">Revestimento em Paredes, Marcenaria, incluindo chapa de 18mm, acessorios para instalação - Material e Mão de Obra </t>
        </is>
      </c>
      <c r="D2672" s="10" t="inlineStr">
        <is>
          <t xml:space="preserve">Revestimento em Marcenaria, incluindo chapa de 18mm, acessorios para instalação - Material e Mão de Obra </t>
        </is>
      </c>
      <c r="E2672" s="11">
        <f t="array" ref="E2672">_xlfn.XLOOKUP(D2672,Insumos!B:B,Insumos!C:$C)</f>
        <v/>
      </c>
      <c r="F2672" s="14" t="n">
        <v>1.5</v>
      </c>
      <c r="G2672" s="92">
        <f t="array" ref="G2672">IF(B2672="insumo",_xlfn.XLOOKUP($D2672,Insumos!$B$1:$B$996,Insumos!$D$1:$D$996),"")</f>
        <v/>
      </c>
      <c r="H2672" s="92" t="n">
        <v>919.5</v>
      </c>
      <c r="I2672" s="2162" t="e">
        <v>#REF!</v>
      </c>
      <c r="J2672" s="2162" t="e">
        <v>#REF!</v>
      </c>
      <c r="K2672" s="2162" t="n"/>
    </row>
    <row r="2673" outlineLevel="2" ht="12.75" customHeight="1">
      <c r="A2673" s="1071" t="n">
        <v>1</v>
      </c>
      <c r="B2673" s="1071" t="inlineStr">
        <is>
          <t>Serviço</t>
        </is>
      </c>
      <c r="C2673" s="1071" t="inlineStr">
        <is>
          <t>Revestimento de Mdf em parede</t>
        </is>
      </c>
      <c r="D2673" s="1071" t="inlineStr">
        <is>
          <t>Revestimento de Mdf em parede</t>
        </is>
      </c>
      <c r="E2673" s="1072" t="inlineStr">
        <is>
          <t>M2</t>
        </is>
      </c>
      <c r="F2673" s="1071" t="n"/>
      <c r="G2673" s="1073">
        <f t="array" ref="G2673">IF(B2673="insumo",_xlfn.XLOOKUP($D2673,Insumos!$B$1:$B$996,Insumos!$D$1:$D$996),"")</f>
        <v/>
      </c>
      <c r="H2673" s="1073" t="n">
        <v>242</v>
      </c>
      <c r="I2673" s="2163" t="n">
        <v>0</v>
      </c>
      <c r="J2673" s="2163" t="n">
        <v>0</v>
      </c>
      <c r="K2673" s="2163" t="n"/>
    </row>
    <row r="2674" outlineLevel="3" ht="12.75" customHeight="1">
      <c r="A2674" s="82" t="n">
        <v>1</v>
      </c>
      <c r="B2674" s="82" t="inlineStr">
        <is>
          <t>Insumo</t>
        </is>
      </c>
      <c r="C2674" s="82" t="inlineStr">
        <is>
          <t>Revestimento de Mdf em parede</t>
        </is>
      </c>
      <c r="D2674" s="82" t="inlineStr">
        <is>
          <t>Revestimento de Mdf em parede</t>
        </is>
      </c>
      <c r="E2674" s="11">
        <f t="array" ref="E2674">_xlfn.XLOOKUP(D2674,Insumos!B:B,Insumos!C:$C)</f>
        <v/>
      </c>
      <c r="F2674" s="2164" t="n">
        <v>1.1</v>
      </c>
      <c r="G2674" s="92">
        <f t="array" ref="G2674">IF(B2674="insumo",_xlfn.XLOOKUP($D2674,Insumos!$B$1:$B$996,Insumos!$D$1:$D$996),"")</f>
        <v/>
      </c>
      <c r="H2674" s="92" t="n">
        <v>242</v>
      </c>
      <c r="I2674" s="2165" t="n">
        <v>0</v>
      </c>
      <c r="J2674" s="2165" t="n">
        <v>0</v>
      </c>
      <c r="K2674" s="2165" t="n"/>
    </row>
    <row r="2675" outlineLevel="1" ht="15.75" customHeight="1">
      <c r="A2675" s="1090" t="n">
        <v>1</v>
      </c>
      <c r="B2675" s="1090" t="inlineStr">
        <is>
          <t>Subetapa</t>
        </is>
      </c>
      <c r="C2675" s="1090" t="inlineStr">
        <is>
          <t>Revestimento de Mdf em parede</t>
        </is>
      </c>
      <c r="D2675" s="1090" t="inlineStr">
        <is>
          <t>PAPEL DE PAREDE</t>
        </is>
      </c>
      <c r="E2675" s="1091" t="n"/>
      <c r="F2675" s="2160" t="n"/>
      <c r="G2675" s="1091" t="n"/>
      <c r="H2675" s="1091" t="n">
        <v>0</v>
      </c>
      <c r="I2675" s="2160" t="n">
        <v>0</v>
      </c>
      <c r="J2675" s="2160" t="n">
        <v>0</v>
      </c>
      <c r="K2675" s="2160" t="n"/>
    </row>
    <row r="2676" outlineLevel="2" ht="15.75" customHeight="1">
      <c r="A2676" s="1067" t="n">
        <v>1</v>
      </c>
      <c r="B2676" s="1067" t="inlineStr">
        <is>
          <t>Serviço</t>
        </is>
      </c>
      <c r="C2676" s="1067" t="inlineStr">
        <is>
          <t xml:space="preserve">Revestimento em Paredes, Papel de parede, Degradê Laranja 114, acessorios para instalação - Material e Mão de Obra </t>
        </is>
      </c>
      <c r="D2676" s="1067" t="inlineStr">
        <is>
          <t xml:space="preserve">Revestimento em Paredes, Papel de parede, Degradê Laranja 114, acessorios para instalação - Material e Mão de Obra </t>
        </is>
      </c>
      <c r="E2676" s="1068" t="inlineStr">
        <is>
          <t>M2</t>
        </is>
      </c>
      <c r="F2676" s="1067" t="n"/>
      <c r="G2676" s="1069">
        <f t="array" ref="G2676">IF(B2676="insumo",_xlfn.XLOOKUP($D2676,Insumos!$B$1:$B$996,Insumos!$D$1:$D$996),"")</f>
        <v/>
      </c>
      <c r="H2676" s="1069" t="n">
        <v>286.603773584906</v>
      </c>
      <c r="I2676" s="2161" t="e">
        <v>#REF!</v>
      </c>
      <c r="J2676" s="2161" t="e">
        <v>#REF!</v>
      </c>
      <c r="K2676" s="2161" t="n"/>
    </row>
    <row r="2677" outlineLevel="3" ht="15.75" customHeight="1">
      <c r="A2677" s="10" t="n">
        <v>6</v>
      </c>
      <c r="B2677" s="10" t="inlineStr">
        <is>
          <t>Insumo</t>
        </is>
      </c>
      <c r="C2677" s="10" t="inlineStr">
        <is>
          <t xml:space="preserve">Revestimento em Paredes, Papel de parede, Degradê Laranja 114, acessorios para instalação - Material e Mão de Obra </t>
        </is>
      </c>
      <c r="D2677" s="10" t="inlineStr">
        <is>
          <t>Mão de obra aplicação de papel de parede em paredes</t>
        </is>
      </c>
      <c r="E2677" s="11">
        <f t="array" ref="E2677">_xlfn.XLOOKUP(D2677,Insumos!B:B,Insumos!C:$C)</f>
        <v/>
      </c>
      <c r="F2677" s="14" t="n">
        <v>1</v>
      </c>
      <c r="G2677" s="92">
        <f t="array" ref="G2677">IF(B2677="insumo",_xlfn.XLOOKUP($D2677,Insumos!$B$1:$B$996,Insumos!$D$1:$D$996),"")</f>
        <v/>
      </c>
      <c r="H2677" s="92" t="n">
        <v>50</v>
      </c>
      <c r="I2677" s="2162" t="e">
        <v>#REF!</v>
      </c>
      <c r="J2677" s="2162" t="e">
        <v>#REF!</v>
      </c>
      <c r="K2677" s="2162" t="n"/>
    </row>
    <row r="2678" outlineLevel="3" ht="15.75" customHeight="1">
      <c r="A2678" s="10" t="n">
        <v>1</v>
      </c>
      <c r="B2678" s="10" t="inlineStr">
        <is>
          <t>Insumo</t>
        </is>
      </c>
      <c r="C2678" s="10" t="inlineStr">
        <is>
          <t xml:space="preserve">Revestimento em Paredes, Papel de parede, Degradê Laranja 114, acessorios para instalação - Material e Mão de Obra </t>
        </is>
      </c>
      <c r="D2678" s="10" t="inlineStr">
        <is>
          <t>Revestimento em Paredes, Papel de parede, Degradê Laranja 114, acessorios para instalação - Material</t>
        </is>
      </c>
      <c r="E2678" s="11">
        <f t="array" ref="E2678">_xlfn.XLOOKUP(D2678,Insumos!B:B,Insumos!C:$C)</f>
        <v/>
      </c>
      <c r="F2678" s="14" t="n">
        <v>1.1</v>
      </c>
      <c r="G2678" s="92">
        <f t="array" ref="G2678">IF(B2678="insumo",_xlfn.XLOOKUP($D2678,Insumos!$B$1:$B$996,Insumos!$D$1:$D$996),"")</f>
        <v/>
      </c>
      <c r="H2678" s="92" t="n">
        <v>236.603773584906</v>
      </c>
      <c r="I2678" s="2162" t="e">
        <v>#REF!</v>
      </c>
      <c r="J2678" s="2162" t="e">
        <v>#REF!</v>
      </c>
      <c r="K2678" s="2162" t="n"/>
    </row>
    <row r="2679" outlineLevel="2" ht="15.75" customHeight="1">
      <c r="A2679" s="1067" t="n">
        <v>1</v>
      </c>
      <c r="B2679" s="1067" t="inlineStr">
        <is>
          <t>Serviço</t>
        </is>
      </c>
      <c r="C2679" s="1067" t="inlineStr">
        <is>
          <t xml:space="preserve">Revestimento em Paredes, Papel de parede,  Jeans Cinza 246, acessorios para instalação - Material e Mão de Obra </t>
        </is>
      </c>
      <c r="D2679" s="1067" t="inlineStr">
        <is>
          <t xml:space="preserve">Revestimento em Paredes, Papel de parede,  Jeans Cinza 246, acessorios para instalação - Material e Mão de Obra </t>
        </is>
      </c>
      <c r="E2679" s="1068" t="inlineStr">
        <is>
          <t>M2</t>
        </is>
      </c>
      <c r="F2679" s="1067" t="n"/>
      <c r="G2679" s="1069">
        <f t="array" ref="G2679">IF(B2679="insumo",_xlfn.XLOOKUP($D2679,Insumos!$B$1:$B$996,Insumos!$D$1:$D$996),"")</f>
        <v/>
      </c>
      <c r="H2679" s="1069" t="n">
        <v>268.616352201258</v>
      </c>
      <c r="I2679" s="2161" t="e">
        <v>#REF!</v>
      </c>
      <c r="J2679" s="2161" t="e">
        <v>#REF!</v>
      </c>
      <c r="K2679" s="2161" t="n"/>
    </row>
    <row r="2680" outlineLevel="3" ht="15.75" customHeight="1">
      <c r="A2680" s="10" t="n">
        <v>6</v>
      </c>
      <c r="B2680" s="10" t="inlineStr">
        <is>
          <t>Insumo</t>
        </is>
      </c>
      <c r="C2680" s="10" t="inlineStr">
        <is>
          <t xml:space="preserve">Revestimento em Paredes, Papel de parede,  Jeans Cinza 246, acessorios para instalação - Material e Mão de Obra </t>
        </is>
      </c>
      <c r="D2680" s="10" t="inlineStr">
        <is>
          <t>Mão de obra aplicação de papel de parede em paredes</t>
        </is>
      </c>
      <c r="E2680" s="11">
        <f t="array" ref="E2680">_xlfn.XLOOKUP(D2680,Insumos!B:B,Insumos!C:$C)</f>
        <v/>
      </c>
      <c r="F2680" s="14" t="n">
        <v>1</v>
      </c>
      <c r="G2680" s="92">
        <f t="array" ref="G2680">IF(B2680="insumo",_xlfn.XLOOKUP($D2680,Insumos!$B$1:$B$996,Insumos!$D$1:$D$996),"")</f>
        <v/>
      </c>
      <c r="H2680" s="92" t="n">
        <v>50</v>
      </c>
      <c r="I2680" s="2162" t="e">
        <v>#REF!</v>
      </c>
      <c r="J2680" s="2162" t="e">
        <v>#REF!</v>
      </c>
      <c r="K2680" s="2162" t="n"/>
    </row>
    <row r="2681" outlineLevel="3" ht="15.75" customHeight="1">
      <c r="A2681" s="10" t="n">
        <v>2</v>
      </c>
      <c r="B2681" s="10" t="inlineStr">
        <is>
          <t>Insumo</t>
        </is>
      </c>
      <c r="C2681" s="10" t="inlineStr">
        <is>
          <t xml:space="preserve">Revestimento em Paredes, Papel de parede,  Jeans Cinza 246, acessorios para instalação - Material e Mão de Obra </t>
        </is>
      </c>
      <c r="D2681" s="10" t="inlineStr">
        <is>
          <t>Revestimento em Paredes, Papel de parede,  Jeans Cinza 246, acessorios para instalação - Material</t>
        </is>
      </c>
      <c r="E2681" s="11">
        <f t="array" ref="E2681">_xlfn.XLOOKUP(D2681,Insumos!B:B,Insumos!C:$C)</f>
        <v/>
      </c>
      <c r="F2681" s="14" t="n">
        <v>1.1</v>
      </c>
      <c r="G2681" s="92">
        <f t="array" ref="G2681">IF(B2681="insumo",_xlfn.XLOOKUP($D2681,Insumos!$B$1:$B$996,Insumos!$D$1:$D$996),"")</f>
        <v/>
      </c>
      <c r="H2681" s="92" t="n">
        <v>218.616352201258</v>
      </c>
      <c r="I2681" s="2162" t="e">
        <v>#REF!</v>
      </c>
      <c r="J2681" s="2162" t="e">
        <v>#REF!</v>
      </c>
      <c r="K2681" s="2162" t="n"/>
    </row>
    <row r="2682" outlineLevel="2" ht="12.75" customHeight="1">
      <c r="A2682" s="1071" t="n">
        <v>1</v>
      </c>
      <c r="B2682" s="1071" t="inlineStr">
        <is>
          <t>Serviço</t>
        </is>
      </c>
      <c r="C2682" s="1067" t="inlineStr">
        <is>
          <t xml:space="preserve">Revestimento em Paredes, Papel de parede, Mata Atlântica Azul, acessorios para instalação - Material e Mão de Obra </t>
        </is>
      </c>
      <c r="D2682" s="1067" t="inlineStr">
        <is>
          <t xml:space="preserve">Revestimento em Paredes, Papel de parede, Mata Atlântica Azul, acessorios para instalação - Material e Mão de Obra </t>
        </is>
      </c>
      <c r="E2682" s="1072" t="inlineStr">
        <is>
          <t>M2</t>
        </is>
      </c>
      <c r="F2682" s="1071" t="n"/>
      <c r="G2682" s="1073">
        <f t="array" ref="G2682">IF(B2682="insumo",_xlfn.XLOOKUP($D2682,Insumos!$B$1:$B$996,Insumos!$D$1:$D$996),"")</f>
        <v/>
      </c>
      <c r="H2682" s="1073" t="n">
        <v>328.11320754717</v>
      </c>
      <c r="I2682" s="2163" t="e">
        <v>#REF!</v>
      </c>
      <c r="J2682" s="2163" t="e">
        <v>#REF!</v>
      </c>
      <c r="K2682" s="2163" t="n"/>
    </row>
    <row r="2683" outlineLevel="3" ht="15.75" customHeight="1">
      <c r="A2683" s="10" t="n">
        <v>6</v>
      </c>
      <c r="B2683" s="10" t="inlineStr">
        <is>
          <t>Insumo</t>
        </is>
      </c>
      <c r="C2683" s="10" t="inlineStr">
        <is>
          <t xml:space="preserve">Revestimento em Paredes, Papel de parede, Mata Atlântica Azul, acessorios para instalação - Material e Mão de Obra </t>
        </is>
      </c>
      <c r="D2683" s="10" t="inlineStr">
        <is>
          <t>Mão de obra aplicação de papel de parede em paredes</t>
        </is>
      </c>
      <c r="E2683" s="11">
        <f t="array" ref="E2683">_xlfn.XLOOKUP(D2683,Insumos!B:B,Insumos!C:$C)</f>
        <v/>
      </c>
      <c r="F2683" s="14" t="n">
        <v>1</v>
      </c>
      <c r="G2683" s="92">
        <f t="array" ref="G2683">IF(B2683="insumo",_xlfn.XLOOKUP($D2683,Insumos!$B$1:$B$996,Insumos!$D$1:$D$996),"")</f>
        <v/>
      </c>
      <c r="H2683" s="92" t="n">
        <v>50</v>
      </c>
      <c r="I2683" s="2162" t="e">
        <v>#REF!</v>
      </c>
      <c r="J2683" s="2162" t="e">
        <v>#REF!</v>
      </c>
      <c r="K2683" s="2162" t="n"/>
    </row>
    <row r="2684" outlineLevel="3" ht="12.75" customHeight="1">
      <c r="A2684" s="82" t="n">
        <v>1</v>
      </c>
      <c r="B2684" s="82" t="inlineStr">
        <is>
          <t>Insumo</t>
        </is>
      </c>
      <c r="C2684" s="10" t="inlineStr">
        <is>
          <t xml:space="preserve">Revestimento em Paredes, Papel de parede, Mata Atlântica Azul, acessorios para instalação - Material e Mão de Obra </t>
        </is>
      </c>
      <c r="D2684" s="10" t="inlineStr">
        <is>
          <t>Revestimento em Paredes, Papel de parede, Mata Atlântica Azul, acessorios para instalação - Material</t>
        </is>
      </c>
      <c r="E2684" s="11">
        <f t="array" ref="E2684">_xlfn.XLOOKUP(D2684,Insumos!B:B,Insumos!C:$C)</f>
        <v/>
      </c>
      <c r="F2684" s="2164" t="n">
        <v>1.1</v>
      </c>
      <c r="G2684" s="92">
        <f t="array" ref="G2684">IF(B2684="insumo",_xlfn.XLOOKUP($D2684,Insumos!$B$1:$B$996,Insumos!$D$1:$D$996),"")</f>
        <v/>
      </c>
      <c r="H2684" s="92" t="n">
        <v>278.11320754717</v>
      </c>
      <c r="I2684" s="2165" t="e">
        <v>#REF!</v>
      </c>
      <c r="J2684" s="2165" t="e">
        <v>#REF!</v>
      </c>
      <c r="K2684" s="2165" t="n"/>
    </row>
    <row r="2685" outlineLevel="2" ht="12.75" customHeight="1">
      <c r="A2685" s="1071" t="n">
        <v>1</v>
      </c>
      <c r="B2685" s="1071" t="inlineStr">
        <is>
          <t>Serviço</t>
        </is>
      </c>
      <c r="C2685" s="1067" t="inlineStr">
        <is>
          <t xml:space="preserve">Revestimento em Paredes, Papel de parede, Paisagem Suave Escuro, acessorios para instalação - Material e Mão de Obra </t>
        </is>
      </c>
      <c r="D2685" s="1067" t="inlineStr">
        <is>
          <t xml:space="preserve">Revestimento em Paredes, Papel de parede, Paisagem Suave Escuro, acessorios para instalação - Material e Mão de Obra </t>
        </is>
      </c>
      <c r="E2685" s="1072" t="inlineStr">
        <is>
          <t>M2</t>
        </is>
      </c>
      <c r="F2685" s="1071" t="n"/>
      <c r="G2685" s="1073">
        <f t="array" ref="G2685">IF(B2685="insumo",_xlfn.XLOOKUP($D2685,Insumos!$B$1:$B$996,Insumos!$D$1:$D$996),"")</f>
        <v/>
      </c>
      <c r="H2685" s="1073" t="n">
        <v>328.014375561545</v>
      </c>
      <c r="I2685" s="2163" t="e">
        <v>#REF!</v>
      </c>
      <c r="J2685" s="2163" t="e">
        <v>#REF!</v>
      </c>
      <c r="K2685" s="2163" t="n"/>
    </row>
    <row r="2686" outlineLevel="3" ht="15.75" customHeight="1">
      <c r="A2686" s="10" t="n">
        <v>6</v>
      </c>
      <c r="B2686" s="10" t="inlineStr">
        <is>
          <t>Insumo</t>
        </is>
      </c>
      <c r="C2686" s="10" t="inlineStr">
        <is>
          <t xml:space="preserve">Revestimento em Paredes, Papel de parede, Paisagem Suave Escuro, acessorios para instalação - Material e Mão de Obra </t>
        </is>
      </c>
      <c r="D2686" s="10" t="inlineStr">
        <is>
          <t>Mão de obra aplicação de papel de parede em paredes</t>
        </is>
      </c>
      <c r="E2686" s="11">
        <f t="array" ref="E2686">_xlfn.XLOOKUP(D2686,Insumos!B:B,Insumos!C:$C)</f>
        <v/>
      </c>
      <c r="F2686" s="14" t="n">
        <v>1</v>
      </c>
      <c r="G2686" s="92">
        <f t="array" ref="G2686">IF(B2686="insumo",_xlfn.XLOOKUP($D2686,Insumos!$B$1:$B$996,Insumos!$D$1:$D$996),"")</f>
        <v/>
      </c>
      <c r="H2686" s="92" t="n">
        <v>50</v>
      </c>
      <c r="I2686" s="2162" t="e">
        <v>#REF!</v>
      </c>
      <c r="J2686" s="2162" t="e">
        <v>#REF!</v>
      </c>
      <c r="K2686" s="2162" t="n"/>
    </row>
    <row r="2687" outlineLevel="3" ht="12.75" customHeight="1">
      <c r="A2687" s="82" t="n">
        <v>1</v>
      </c>
      <c r="B2687" s="82" t="inlineStr">
        <is>
          <t>Insumo</t>
        </is>
      </c>
      <c r="C2687" s="10" t="inlineStr">
        <is>
          <t xml:space="preserve">Revestimento em Paredes, Papel de parede, Paisagem Suave Escuro, acessorios para instalação - Material e Mão de Obra </t>
        </is>
      </c>
      <c r="D2687" s="10" t="inlineStr">
        <is>
          <t>Revestimento em Paredes, Papel de parede, Paisagem Suave Escuro, acessorios para instalação - Material</t>
        </is>
      </c>
      <c r="E2687" s="11">
        <f t="array" ref="E2687">_xlfn.XLOOKUP(D2687,Insumos!B:B,Insumos!C:$C)</f>
        <v/>
      </c>
      <c r="F2687" s="2164" t="n">
        <v>1.1</v>
      </c>
      <c r="G2687" s="92">
        <f t="array" ref="G2687">IF(B2687="insumo",_xlfn.XLOOKUP($D2687,Insumos!$B$1:$B$996,Insumos!$D$1:$D$996),"")</f>
        <v/>
      </c>
      <c r="H2687" s="92" t="n">
        <v>278.014375561545</v>
      </c>
      <c r="I2687" s="2165" t="e">
        <v>#REF!</v>
      </c>
      <c r="J2687" s="2165" t="e">
        <v>#REF!</v>
      </c>
      <c r="K2687" s="2165" t="n"/>
    </row>
    <row r="2688" outlineLevel="2" ht="12.75" customHeight="1">
      <c r="A2688" s="1071" t="n">
        <v>1</v>
      </c>
      <c r="B2688" s="1071" t="inlineStr">
        <is>
          <t>Serviço</t>
        </is>
      </c>
      <c r="C2688" s="1067" t="inlineStr">
        <is>
          <t xml:space="preserve">Revestimento em Paredes, Papel de parede, Solar, acessorios para instalação - Material e Mão de Obra </t>
        </is>
      </c>
      <c r="D2688" s="1067" t="inlineStr">
        <is>
          <t xml:space="preserve">Revestimento em Paredes, Papel de parede, Solar, acessorios para instalação - Material e Mão de Obra </t>
        </is>
      </c>
      <c r="E2688" s="1072" t="inlineStr">
        <is>
          <t>M2</t>
        </is>
      </c>
      <c r="F2688" s="1071" t="n"/>
      <c r="G2688" s="1073">
        <f t="array" ref="G2688">IF(B2688="insumo",_xlfn.XLOOKUP($D2688,Insumos!$B$1:$B$996,Insumos!$D$1:$D$996),"")</f>
        <v/>
      </c>
      <c r="H2688" s="1073" t="n">
        <v>346.763803680982</v>
      </c>
      <c r="I2688" s="2163" t="e">
        <v>#REF!</v>
      </c>
      <c r="J2688" s="2163" t="e">
        <v>#REF!</v>
      </c>
      <c r="K2688" s="2163" t="n"/>
    </row>
    <row r="2689" outlineLevel="3" ht="15.75" customHeight="1">
      <c r="A2689" s="10" t="n">
        <v>6</v>
      </c>
      <c r="B2689" s="10" t="inlineStr">
        <is>
          <t>Insumo</t>
        </is>
      </c>
      <c r="C2689" s="10" t="inlineStr">
        <is>
          <t xml:space="preserve">Revestimento em Paredes, Papel de parede, Solar, acessorios para instalação - Material e Mão de Obra </t>
        </is>
      </c>
      <c r="D2689" s="10" t="inlineStr">
        <is>
          <t>Mão de obra aplicação de papel de parede em paredes</t>
        </is>
      </c>
      <c r="E2689" s="11">
        <f t="array" ref="E2689">_xlfn.XLOOKUP(D2689,Insumos!B:B,Insumos!C:$C)</f>
        <v/>
      </c>
      <c r="F2689" s="14" t="n">
        <v>1</v>
      </c>
      <c r="G2689" s="92">
        <f t="array" ref="G2689">IF(B2689="insumo",_xlfn.XLOOKUP($D2689,Insumos!$B$1:$B$996,Insumos!$D$1:$D$996),"")</f>
        <v/>
      </c>
      <c r="H2689" s="92" t="n">
        <v>50</v>
      </c>
      <c r="I2689" s="2162" t="e">
        <v>#REF!</v>
      </c>
      <c r="J2689" s="2162" t="e">
        <v>#REF!</v>
      </c>
      <c r="K2689" s="2162" t="n"/>
    </row>
    <row r="2690" outlineLevel="3" ht="12.75" customHeight="1">
      <c r="A2690" s="82" t="n">
        <v>1</v>
      </c>
      <c r="B2690" s="82" t="inlineStr">
        <is>
          <t>Insumo</t>
        </is>
      </c>
      <c r="C2690" s="10" t="inlineStr">
        <is>
          <t xml:space="preserve">Revestimento em Paredes, Papel de parede, Solar, acessorios para instalação - Material e Mão de Obra </t>
        </is>
      </c>
      <c r="D2690" s="10" t="inlineStr">
        <is>
          <t>Revestimento em Paredes, Papel de parede, Solar, acessorios para instalação - Material</t>
        </is>
      </c>
      <c r="E2690" s="11">
        <f t="array" ref="E2690">_xlfn.XLOOKUP(D2690,Insumos!B:B,Insumos!C:$C)</f>
        <v/>
      </c>
      <c r="F2690" s="2164" t="n">
        <v>1.1</v>
      </c>
      <c r="G2690" s="92">
        <f t="array" ref="G2690">IF(B2690="insumo",_xlfn.XLOOKUP($D2690,Insumos!$B$1:$B$996,Insumos!$D$1:$D$996),"")</f>
        <v/>
      </c>
      <c r="H2690" s="92" t="n">
        <v>296.763803680982</v>
      </c>
      <c r="I2690" s="2165" t="e">
        <v>#REF!</v>
      </c>
      <c r="J2690" s="2165" t="e">
        <v>#REF!</v>
      </c>
      <c r="K2690" s="2165" t="n"/>
    </row>
    <row r="2691" outlineLevel="1" ht="15.75" customHeight="1">
      <c r="A2691" s="1090" t="n">
        <v>1</v>
      </c>
      <c r="B2691" s="1090" t="inlineStr">
        <is>
          <t>Subetapa</t>
        </is>
      </c>
      <c r="C2691" s="1090" t="inlineStr">
        <is>
          <t xml:space="preserve">Revestimento em Paredes, Papel de parede, Solar, acessorios para instalação - Material e Mão de Obra </t>
        </is>
      </c>
      <c r="D2691" s="1090" t="inlineStr">
        <is>
          <t>PEITORIL REQUADRO NICHO PAREDE</t>
        </is>
      </c>
      <c r="E2691" s="1091" t="n"/>
      <c r="F2691" s="2160" t="n"/>
      <c r="G2691" s="1091" t="n"/>
      <c r="H2691" s="1091" t="n">
        <v>0</v>
      </c>
      <c r="I2691" s="2160" t="n">
        <v>0</v>
      </c>
      <c r="J2691" s="2160" t="n">
        <v>0</v>
      </c>
      <c r="K2691" s="2160" t="n"/>
    </row>
    <row r="2692" outlineLevel="2" ht="15.75" customHeight="1">
      <c r="A2692" s="1067" t="n">
        <v>1</v>
      </c>
      <c r="B2692" s="1067" t="inlineStr">
        <is>
          <t>Serviço</t>
        </is>
      </c>
      <c r="C2692" s="1067" t="inlineStr">
        <is>
          <t>Pingadeira em marmore cinza, esp. 2cm</t>
        </is>
      </c>
      <c r="D2692" s="1067" t="inlineStr">
        <is>
          <t>Pingadeira em marmore cinza, esp. 2cm</t>
        </is>
      </c>
      <c r="E2692" s="1068" t="inlineStr">
        <is>
          <t>M2</t>
        </is>
      </c>
      <c r="F2692" s="1067" t="n"/>
      <c r="G2692" s="1069">
        <f t="array" ref="G2692">IF(B2692="insumo",_xlfn.XLOOKUP($D2692,Insumos!$B$1:$B$996,Insumos!$D$1:$D$996),"")</f>
        <v/>
      </c>
      <c r="H2692" s="1069" t="n">
        <v>513.1547</v>
      </c>
      <c r="I2692" s="2161" t="n">
        <v>0</v>
      </c>
      <c r="J2692" s="2161" t="n">
        <v>0</v>
      </c>
      <c r="K2692" s="2161" t="n"/>
    </row>
    <row r="2693" outlineLevel="3" ht="15.75" customHeight="1">
      <c r="A2693" s="10" t="n">
        <v>3</v>
      </c>
      <c r="B2693" s="10" t="inlineStr">
        <is>
          <t>Insumo</t>
        </is>
      </c>
      <c r="C2693" s="10" t="inlineStr">
        <is>
          <t>Pingadeira em marmore cinza, esp. 2cm</t>
        </is>
      </c>
      <c r="D2693" s="10" t="inlineStr">
        <is>
          <t>Marmore Cinza</t>
        </is>
      </c>
      <c r="E2693" s="11">
        <f t="array" ref="E2693">_xlfn.XLOOKUP(D2693,Insumos!B:B,Insumos!C:$C)</f>
        <v/>
      </c>
      <c r="F2693" s="14" t="n">
        <v>1.05</v>
      </c>
      <c r="G2693" s="92">
        <f t="array" ref="G2693">IF(B2693="insumo",_xlfn.XLOOKUP($D2693,Insumos!$B$1:$B$996,Insumos!$D$1:$D$996),"")</f>
        <v/>
      </c>
      <c r="H2693" s="92" t="n">
        <v>504</v>
      </c>
      <c r="I2693" s="2162" t="n">
        <v>0</v>
      </c>
      <c r="J2693" s="2162" t="n">
        <v>0</v>
      </c>
      <c r="K2693" s="2162" t="n"/>
    </row>
    <row r="2694" outlineLevel="3" ht="15.75" customHeight="1">
      <c r="A2694" s="10" t="n">
        <v>191</v>
      </c>
      <c r="B2694" s="10" t="inlineStr">
        <is>
          <t>Insumo</t>
        </is>
      </c>
      <c r="C2694" s="10" t="inlineStr">
        <is>
          <t>Pingadeira em marmore cinza, esp. 2cm</t>
        </is>
      </c>
      <c r="D2694" s="10" t="inlineStr">
        <is>
          <t>Argamassa ACIII</t>
        </is>
      </c>
      <c r="E2694" s="11">
        <f t="array" ref="E2694">_xlfn.XLOOKUP(D2694,Insumos!B:B,Insumos!C:$C)</f>
        <v/>
      </c>
      <c r="F2694" s="14" t="n">
        <v>8.6</v>
      </c>
      <c r="G2694" s="92">
        <f t="array" ref="G2694">IF(B2694="insumo",_xlfn.XLOOKUP($D2694,Insumos!$B$1:$B$996,Insumos!$D$1:$D$996),"")</f>
        <v/>
      </c>
      <c r="H2694" s="92" t="n">
        <v>9.1547</v>
      </c>
      <c r="I2694" s="2162" t="n">
        <v>0</v>
      </c>
      <c r="J2694" s="2162" t="n">
        <v>0</v>
      </c>
      <c r="K2694" s="2162" t="n"/>
    </row>
    <row r="2695" outlineLevel="2" ht="15.75" customHeight="1">
      <c r="A2695" s="1067" t="n">
        <v>1</v>
      </c>
      <c r="B2695" s="1067" t="inlineStr">
        <is>
          <t>Serviço</t>
        </is>
      </c>
      <c r="C2695" s="1067" t="inlineStr">
        <is>
          <t>Peitoril em Granito, Branco Ceara, esp. 2cm</t>
        </is>
      </c>
      <c r="D2695" s="1067" t="inlineStr">
        <is>
          <t>Peitoril em Granito, Branco Ceara, esp. 2cm</t>
        </is>
      </c>
      <c r="E2695" s="1068" t="inlineStr">
        <is>
          <t>M2</t>
        </is>
      </c>
      <c r="F2695" s="1067" t="n"/>
      <c r="G2695" s="1069">
        <f t="array" ref="G2695">IF(B2695="insumo",_xlfn.XLOOKUP($D2695,Insumos!$B$1:$B$996,Insumos!$D$1:$D$996),"")</f>
        <v/>
      </c>
      <c r="H2695" s="1069" t="n">
        <v>692.0805</v>
      </c>
      <c r="I2695" s="2161" t="n">
        <v>0</v>
      </c>
      <c r="J2695" s="2161" t="n">
        <v>0</v>
      </c>
      <c r="K2695" s="2161" t="n"/>
    </row>
    <row r="2696" outlineLevel="3" ht="15.75" customHeight="1">
      <c r="A2696" s="10" t="n">
        <v>2</v>
      </c>
      <c r="B2696" s="10" t="inlineStr">
        <is>
          <t>Insumo</t>
        </is>
      </c>
      <c r="C2696" s="10" t="inlineStr">
        <is>
          <t>Peitoril em Granito, Branco Ceara, esp. 2cm</t>
        </is>
      </c>
      <c r="D2696" s="10" t="inlineStr">
        <is>
          <t>Granito branco Ceará</t>
        </is>
      </c>
      <c r="E2696" s="11">
        <f t="array" ref="E2696">_xlfn.XLOOKUP(D2696,Insumos!B:B,Insumos!C:$C)</f>
        <v/>
      </c>
      <c r="F2696" s="14" t="n">
        <v>1.05</v>
      </c>
      <c r="G2696" s="92">
        <f t="array" ref="G2696">IF(B2696="insumo",_xlfn.XLOOKUP($D2696,Insumos!$B$1:$B$996,Insumos!$D$1:$D$996),"")</f>
        <v/>
      </c>
      <c r="H2696" s="92" t="n">
        <v>682.5</v>
      </c>
      <c r="I2696" s="2162" t="n">
        <v>0</v>
      </c>
      <c r="J2696" s="2162" t="n">
        <v>0</v>
      </c>
      <c r="K2696" s="2162" t="n"/>
    </row>
    <row r="2697" outlineLevel="3" ht="15.75" customHeight="1">
      <c r="A2697" s="10" t="n">
        <v>191</v>
      </c>
      <c r="B2697" s="10" t="inlineStr">
        <is>
          <t>Insumo</t>
        </is>
      </c>
      <c r="C2697" s="10" t="inlineStr">
        <is>
          <t>Peitoril em Granito, Branco Ceara, esp. 2cm</t>
        </is>
      </c>
      <c r="D2697" s="10" t="inlineStr">
        <is>
          <t>Argamassa ACIII</t>
        </is>
      </c>
      <c r="E2697" s="11">
        <f t="array" ref="E2697">_xlfn.XLOOKUP(D2697,Insumos!B:B,Insumos!C:$C)</f>
        <v/>
      </c>
      <c r="F2697" s="14">
        <f>9</f>
        <v/>
      </c>
      <c r="G2697" s="92">
        <f t="array" ref="G2697">IF(B2697="insumo",_xlfn.XLOOKUP($D2697,Insumos!$B$1:$B$996,Insumos!$D$1:$D$996),"")</f>
        <v/>
      </c>
      <c r="H2697" s="92" t="n">
        <v>9.580500000000001</v>
      </c>
      <c r="I2697" s="2162" t="n">
        <v>0</v>
      </c>
      <c r="J2697" s="2162" t="n">
        <v>0</v>
      </c>
      <c r="K2697" s="2162" t="n"/>
    </row>
    <row r="2698" outlineLevel="2" ht="15.75" customHeight="1">
      <c r="A2698" s="1067" t="n">
        <v>1</v>
      </c>
      <c r="B2698" s="1067" t="inlineStr">
        <is>
          <t>Serviço</t>
        </is>
      </c>
      <c r="C2698" s="1067" t="inlineStr">
        <is>
          <t>Peitoril em Granito, esp. 2cm</t>
        </is>
      </c>
      <c r="D2698" s="1067" t="inlineStr">
        <is>
          <t>Peitoril em Granito, esp. 2cm</t>
        </is>
      </c>
      <c r="E2698" s="1068" t="inlineStr">
        <is>
          <t>M</t>
        </is>
      </c>
      <c r="F2698" s="1067" t="n"/>
      <c r="G2698" s="1069">
        <f t="array" ref="G2698">IF(B2698="insumo",_xlfn.XLOOKUP($D2698,Insumos!$B$1:$B$996,Insumos!$D$1:$D$996),"")</f>
        <v/>
      </c>
      <c r="H2698" s="1069" t="n">
        <v>205.98615</v>
      </c>
      <c r="I2698" s="2161" t="n">
        <v>0</v>
      </c>
      <c r="J2698" s="2161" t="n">
        <v>0</v>
      </c>
      <c r="K2698" s="2161" t="n"/>
    </row>
    <row r="2699" outlineLevel="3" ht="15.75" customHeight="1">
      <c r="A2699" s="10" t="n">
        <v>3</v>
      </c>
      <c r="B2699" s="10" t="inlineStr">
        <is>
          <t>Insumo</t>
        </is>
      </c>
      <c r="C2699" s="10" t="inlineStr">
        <is>
          <t>Peitoril em Granito, esp. 2cm</t>
        </is>
      </c>
      <c r="D2699" s="10" t="inlineStr">
        <is>
          <t xml:space="preserve">Granito Comercial </t>
        </is>
      </c>
      <c r="E2699" s="11">
        <f t="array" ref="E2699">_xlfn.XLOOKUP(D2699,Insumos!B:B,Insumos!C:$C)</f>
        <v/>
      </c>
      <c r="F2699" s="14">
        <f>0.3*1.0416</f>
        <v/>
      </c>
      <c r="G2699" s="92">
        <f t="array" ref="G2699">IF(B2699="insumo",_xlfn.XLOOKUP($D2699,Insumos!$B$1:$B$996,Insumos!$D$1:$D$996),"")</f>
        <v/>
      </c>
      <c r="H2699" s="92" t="n">
        <v>203.112</v>
      </c>
      <c r="I2699" s="2162" t="n">
        <v>0</v>
      </c>
      <c r="J2699" s="2162" t="n">
        <v>0</v>
      </c>
      <c r="K2699" s="2162" t="n"/>
    </row>
    <row r="2700" outlineLevel="3" ht="15.75" customHeight="1">
      <c r="A2700" s="10" t="n">
        <v>191</v>
      </c>
      <c r="B2700" s="10" t="inlineStr">
        <is>
          <t>Insumo</t>
        </is>
      </c>
      <c r="C2700" s="10" t="inlineStr">
        <is>
          <t>Peitoril em Granito, esp. 2cm</t>
        </is>
      </c>
      <c r="D2700" s="10" t="inlineStr">
        <is>
          <t>Argamassa ACIII</t>
        </is>
      </c>
      <c r="E2700" s="11">
        <f t="array" ref="E2700">_xlfn.XLOOKUP(D2700,Insumos!B:B,Insumos!C:$C)</f>
        <v/>
      </c>
      <c r="F2700" s="14">
        <f>9*0.3</f>
        <v/>
      </c>
      <c r="G2700" s="92">
        <f t="array" ref="G2700">IF(B2700="insumo",_xlfn.XLOOKUP($D2700,Insumos!$B$1:$B$996,Insumos!$D$1:$D$996),"")</f>
        <v/>
      </c>
      <c r="H2700" s="92" t="n">
        <v>2.87415</v>
      </c>
      <c r="I2700" s="2162" t="n">
        <v>0</v>
      </c>
      <c r="J2700" s="2162" t="n">
        <v>0</v>
      </c>
      <c r="K2700" s="2162" t="n"/>
    </row>
    <row r="2701" outlineLevel="2" ht="15.75" customHeight="1">
      <c r="A2701" s="1067" t="n">
        <v>1</v>
      </c>
      <c r="B2701" s="1067" t="inlineStr">
        <is>
          <t>Serviço</t>
        </is>
      </c>
      <c r="C2701" s="1067" t="inlineStr">
        <is>
          <t>Peitoril em Mármore Travertino Romano,  esp. 2cm</t>
        </is>
      </c>
      <c r="D2701" s="1067" t="inlineStr">
        <is>
          <t>Peitoril em Mármore Travertino Romano,  esp. 2cm</t>
        </is>
      </c>
      <c r="E2701" s="1068" t="inlineStr">
        <is>
          <t>M2</t>
        </is>
      </c>
      <c r="F2701" s="1067" t="n"/>
      <c r="G2701" s="1069">
        <f t="array" ref="G2701">IF(B2701="insumo",_xlfn.XLOOKUP($D2701,Insumos!$B$1:$B$996,Insumos!$D$1:$D$996),"")</f>
        <v/>
      </c>
      <c r="H2701" s="1069" t="n">
        <v>1374.1547</v>
      </c>
      <c r="I2701" s="2161" t="e">
        <v>#REF!</v>
      </c>
      <c r="J2701" s="2161" t="e">
        <v>#REF!</v>
      </c>
      <c r="K2701" s="2161" t="n"/>
    </row>
    <row r="2702" outlineLevel="3" ht="15.75" customHeight="1">
      <c r="A2702" s="10" t="n">
        <v>5</v>
      </c>
      <c r="B2702" s="10" t="inlineStr">
        <is>
          <t>Insumo</t>
        </is>
      </c>
      <c r="C2702" s="10" t="inlineStr">
        <is>
          <t>Peitoril em Mármore Travertino Romano,  esp. 2cm</t>
        </is>
      </c>
      <c r="D2702" s="10" t="inlineStr">
        <is>
          <t>Mármore Travertino Romano</t>
        </is>
      </c>
      <c r="E2702" s="11">
        <f t="array" ref="E2702">_xlfn.XLOOKUP(D2702,Insumos!B:B,Insumos!C:$C)</f>
        <v/>
      </c>
      <c r="F2702" s="14" t="n">
        <v>1.05</v>
      </c>
      <c r="G2702" s="92">
        <f t="array" ref="G2702">IF(B2702="insumo",_xlfn.XLOOKUP($D2702,Insumos!$B$1:$B$996,Insumos!$D$1:$D$996),"")</f>
        <v/>
      </c>
      <c r="H2702" s="92" t="n">
        <v>1365</v>
      </c>
      <c r="I2702" s="2162" t="e">
        <v>#REF!</v>
      </c>
      <c r="J2702" s="2162" t="e">
        <v>#REF!</v>
      </c>
      <c r="K2702" s="2162" t="n"/>
    </row>
    <row r="2703" outlineLevel="3" ht="15.75" customHeight="1">
      <c r="A2703" s="10" t="n">
        <v>191</v>
      </c>
      <c r="B2703" s="10" t="inlineStr">
        <is>
          <t>Insumo</t>
        </is>
      </c>
      <c r="C2703" s="10" t="inlineStr">
        <is>
          <t>Peitoril em Mármore Travertino Romano,  esp. 2cm</t>
        </is>
      </c>
      <c r="D2703" s="10" t="inlineStr">
        <is>
          <t>Argamassa ACIII</t>
        </is>
      </c>
      <c r="E2703" s="11">
        <f t="array" ref="E2703">_xlfn.XLOOKUP(D2703,Insumos!B:B,Insumos!C:$C)</f>
        <v/>
      </c>
      <c r="F2703" s="14" t="n">
        <v>8.6</v>
      </c>
      <c r="G2703" s="92">
        <f t="array" ref="G2703">IF(B2703="insumo",_xlfn.XLOOKUP($D2703,Insumos!$B$1:$B$996,Insumos!$D$1:$D$996),"")</f>
        <v/>
      </c>
      <c r="H2703" s="92" t="n">
        <v>9.1547</v>
      </c>
      <c r="I2703" s="2162" t="e">
        <v>#REF!</v>
      </c>
      <c r="J2703" s="2162" t="e">
        <v>#REF!</v>
      </c>
      <c r="K2703" s="2162" t="n"/>
    </row>
    <row r="2704" outlineLevel="2" ht="15.75" customHeight="1">
      <c r="A2704" s="1067" t="n">
        <v>1</v>
      </c>
      <c r="B2704" s="1067" t="inlineStr">
        <is>
          <t>Serviço</t>
        </is>
      </c>
      <c r="C2704" s="1067" t="inlineStr">
        <is>
          <t>Peitoril em pedra natural,  esp. 2cm</t>
        </is>
      </c>
      <c r="D2704" s="1067" t="inlineStr">
        <is>
          <t>Peitoril em pedra natural,  esp. 2cm</t>
        </is>
      </c>
      <c r="E2704" s="1068" t="inlineStr">
        <is>
          <t>M2</t>
        </is>
      </c>
      <c r="F2704" s="1067" t="n"/>
      <c r="G2704" s="1069">
        <f t="array" ref="G2704">IF(B2704="insumo",_xlfn.XLOOKUP($D2704,Insumos!$B$1:$B$996,Insumos!$D$1:$D$996),"")</f>
        <v/>
      </c>
      <c r="H2704" s="1069" t="n">
        <v>849.1547</v>
      </c>
      <c r="I2704" s="2161" t="e">
        <v>#REF!</v>
      </c>
      <c r="J2704" s="2161" t="e">
        <v>#REF!</v>
      </c>
      <c r="K2704" s="2161" t="n"/>
    </row>
    <row r="2705" outlineLevel="3" ht="15.75" customHeight="1">
      <c r="A2705" s="10" t="n">
        <v>10</v>
      </c>
      <c r="B2705" s="10" t="inlineStr">
        <is>
          <t>Insumo</t>
        </is>
      </c>
      <c r="C2705" s="10" t="inlineStr">
        <is>
          <t>Peitoril em pedra natural,  esp. 2cm</t>
        </is>
      </c>
      <c r="D2705" s="10" t="inlineStr">
        <is>
          <t>Pedra Natural  para Revestimento</t>
        </is>
      </c>
      <c r="E2705" s="11">
        <f t="array" ref="E2705">_xlfn.XLOOKUP(D2705,Insumos!B:B,Insumos!C:$C)</f>
        <v/>
      </c>
      <c r="F2705" s="14" t="n">
        <v>1.05</v>
      </c>
      <c r="G2705" s="92">
        <f t="array" ref="G2705">IF(B2705="insumo",_xlfn.XLOOKUP($D2705,Insumos!$B$1:$B$996,Insumos!$D$1:$D$996),"")</f>
        <v/>
      </c>
      <c r="H2705" s="92" t="n">
        <v>840</v>
      </c>
      <c r="I2705" s="2162" t="e">
        <v>#REF!</v>
      </c>
      <c r="J2705" s="2162" t="e">
        <v>#REF!</v>
      </c>
      <c r="K2705" s="2162" t="n"/>
    </row>
    <row r="2706" outlineLevel="3" ht="15.75" customHeight="1">
      <c r="A2706" s="10" t="n">
        <v>191</v>
      </c>
      <c r="B2706" s="10" t="inlineStr">
        <is>
          <t>Insumo</t>
        </is>
      </c>
      <c r="C2706" s="10" t="inlineStr">
        <is>
          <t>Peitoril em pedra natural,  esp. 2cm</t>
        </is>
      </c>
      <c r="D2706" s="10" t="inlineStr">
        <is>
          <t>Argamassa ACIII</t>
        </is>
      </c>
      <c r="E2706" s="11">
        <f t="array" ref="E2706">_xlfn.XLOOKUP(D2706,Insumos!B:B,Insumos!C:$C)</f>
        <v/>
      </c>
      <c r="F2706" s="14" t="n">
        <v>8.6</v>
      </c>
      <c r="G2706" s="92">
        <f t="array" ref="G2706">IF(B2706="insumo",_xlfn.XLOOKUP($D2706,Insumos!$B$1:$B$996,Insumos!$D$1:$D$996),"")</f>
        <v/>
      </c>
      <c r="H2706" s="92" t="n">
        <v>9.1547</v>
      </c>
      <c r="I2706" s="2162" t="e">
        <v>#REF!</v>
      </c>
      <c r="J2706" s="2162" t="e">
        <v>#REF!</v>
      </c>
      <c r="K2706" s="2162" t="n"/>
    </row>
    <row r="2707" outlineLevel="2" ht="15.75" customHeight="1">
      <c r="A2707" s="1067" t="n">
        <v>1</v>
      </c>
      <c r="B2707" s="1067" t="inlineStr">
        <is>
          <t>Serviço</t>
        </is>
      </c>
      <c r="C2707" s="1067" t="inlineStr">
        <is>
          <t>Requadro de portas dos Elevadores Granito,Largura de 20cm</t>
        </is>
      </c>
      <c r="D2707" s="1067" t="inlineStr">
        <is>
          <t>Requadro de portas dos Elevadores Granito,Largura de 20cm</t>
        </is>
      </c>
      <c r="E2707" s="1068" t="inlineStr">
        <is>
          <t>M</t>
        </is>
      </c>
      <c r="F2707" s="1067" t="n"/>
      <c r="G2707" s="1069">
        <f t="array" ref="G2707">IF(B2707="insumo",_xlfn.XLOOKUP($D2707,Insumos!$B$1:$B$996,Insumos!$D$1:$D$996),"")</f>
        <v/>
      </c>
      <c r="H2707" s="1069" t="n">
        <v>205.98615</v>
      </c>
      <c r="I2707" s="2161" t="n">
        <v>0</v>
      </c>
      <c r="J2707" s="2161" t="n">
        <v>0</v>
      </c>
      <c r="K2707" s="2161" t="n"/>
    </row>
    <row r="2708" outlineLevel="3" ht="15.75" customHeight="1">
      <c r="A2708" s="10" t="n">
        <v>3</v>
      </c>
      <c r="B2708" s="10" t="inlineStr">
        <is>
          <t>Insumo</t>
        </is>
      </c>
      <c r="C2708" s="10" t="inlineStr">
        <is>
          <t>Requadro de portas dos Elevadores Granito,Largura de 20cm</t>
        </is>
      </c>
      <c r="D2708" s="10" t="inlineStr">
        <is>
          <t xml:space="preserve">Granito Comercial </t>
        </is>
      </c>
      <c r="E2708" s="11">
        <f t="array" ref="E2708">_xlfn.XLOOKUP(D2708,Insumos!B:B,Insumos!C:$C)</f>
        <v/>
      </c>
      <c r="F2708" s="14">
        <f>0.3*1.0416</f>
        <v/>
      </c>
      <c r="G2708" s="92">
        <f t="array" ref="G2708">IF(B2708="insumo",_xlfn.XLOOKUP($D2708,Insumos!$B$1:$B$996,Insumos!$D$1:$D$996),"")</f>
        <v/>
      </c>
      <c r="H2708" s="92" t="n">
        <v>203.112</v>
      </c>
      <c r="I2708" s="2162" t="n">
        <v>0</v>
      </c>
      <c r="J2708" s="2162" t="n">
        <v>0</v>
      </c>
      <c r="K2708" s="2162" t="n"/>
    </row>
    <row r="2709" outlineLevel="3" ht="15.75" customHeight="1">
      <c r="A2709" s="10" t="n">
        <v>191</v>
      </c>
      <c r="B2709" s="10" t="inlineStr">
        <is>
          <t>Insumo</t>
        </is>
      </c>
      <c r="C2709" s="10" t="inlineStr">
        <is>
          <t>Requadro de portas dos Elevadores Granito,Largura de 20cm</t>
        </is>
      </c>
      <c r="D2709" s="10" t="inlineStr">
        <is>
          <t>Argamassa ACIII</t>
        </is>
      </c>
      <c r="E2709" s="11">
        <f t="array" ref="E2709">_xlfn.XLOOKUP(D2709,Insumos!B:B,Insumos!C:$C)</f>
        <v/>
      </c>
      <c r="F2709" s="14">
        <f>9*0.3</f>
        <v/>
      </c>
      <c r="G2709" s="92">
        <f t="array" ref="G2709">IF(B2709="insumo",_xlfn.XLOOKUP($D2709,Insumos!$B$1:$B$996,Insumos!$D$1:$D$996),"")</f>
        <v/>
      </c>
      <c r="H2709" s="92" t="n">
        <v>2.87415</v>
      </c>
      <c r="I2709" s="2162" t="n">
        <v>0</v>
      </c>
      <c r="J2709" s="2162" t="n">
        <v>0</v>
      </c>
      <c r="K2709" s="2162" t="n"/>
    </row>
    <row r="2710" outlineLevel="2" ht="15.75" customHeight="1">
      <c r="A2710" s="1067" t="n">
        <v>1</v>
      </c>
      <c r="B2710" s="1067" t="inlineStr">
        <is>
          <t>Serviço</t>
        </is>
      </c>
      <c r="C2710" s="1067" t="inlineStr">
        <is>
          <t>Nicho em Marmore Carrara Branco</t>
        </is>
      </c>
      <c r="D2710" s="1067" t="inlineStr">
        <is>
          <t>Nicho em Marmore Carrara Branco</t>
        </is>
      </c>
      <c r="E2710" s="1068" t="inlineStr">
        <is>
          <t>un</t>
        </is>
      </c>
      <c r="F2710" s="1067" t="n"/>
      <c r="G2710" s="1069">
        <f t="array" ref="G2710">IF(B2710="insumo",_xlfn.XLOOKUP($D2710,Insumos!$B$1:$B$996,Insumos!$D$1:$D$996),"")</f>
        <v/>
      </c>
      <c r="H2710" s="1069" t="n">
        <v>413.8515</v>
      </c>
      <c r="I2710" s="2161" t="n">
        <v>0</v>
      </c>
      <c r="J2710" s="2161" t="n">
        <v>0</v>
      </c>
      <c r="K2710" s="2161" t="n"/>
    </row>
    <row r="2711" outlineLevel="3" ht="15.75" customHeight="1">
      <c r="A2711" s="10" t="n">
        <v>1</v>
      </c>
      <c r="B2711" s="10" t="inlineStr">
        <is>
          <t>Insumo</t>
        </is>
      </c>
      <c r="C2711" s="10" t="inlineStr">
        <is>
          <t>Nicho em Marmore Carrara Branco</t>
        </is>
      </c>
      <c r="D2711" s="10" t="inlineStr">
        <is>
          <t>Nicho Em Porcelanato 65x35cm Carrara Cristal Borda Dupla</t>
        </is>
      </c>
      <c r="E2711" s="11">
        <f t="array" ref="E2711">_xlfn.XLOOKUP(D2711,Insumos!B:B,Insumos!C:$C)</f>
        <v/>
      </c>
      <c r="F2711" s="14" t="n">
        <v>1</v>
      </c>
      <c r="G2711" s="92">
        <f t="array" ref="G2711">IF(B2711="insumo",_xlfn.XLOOKUP($D2711,Insumos!$B$1:$B$996,Insumos!$D$1:$D$996),"")</f>
        <v/>
      </c>
      <c r="H2711" s="92" t="n">
        <v>409</v>
      </c>
      <c r="I2711" s="2162" t="n">
        <v>0</v>
      </c>
      <c r="J2711" s="2162" t="n">
        <v>0</v>
      </c>
      <c r="K2711" s="2162" t="n"/>
    </row>
    <row r="2712" outlineLevel="3" ht="15.75" customHeight="1">
      <c r="A2712" s="10" t="n">
        <v>191</v>
      </c>
      <c r="B2712" s="10" t="inlineStr">
        <is>
          <t>Insumo</t>
        </is>
      </c>
      <c r="C2712" s="10" t="inlineStr">
        <is>
          <t>Nicho em Marmore Carrara Branco</t>
        </is>
      </c>
      <c r="D2712" s="10" t="inlineStr">
        <is>
          <t>Argamassa ACIII</t>
        </is>
      </c>
      <c r="E2712" s="11">
        <f t="array" ref="E2712">_xlfn.XLOOKUP(D2712,Insumos!B:B,Insumos!C:$C)</f>
        <v/>
      </c>
      <c r="F2712" s="14" t="n">
        <v>3</v>
      </c>
      <c r="G2712" s="92">
        <f t="array" ref="G2712">IF(B2712="insumo",_xlfn.XLOOKUP($D2712,Insumos!$B$1:$B$996,Insumos!$D$1:$D$996),"")</f>
        <v/>
      </c>
      <c r="H2712" s="92" t="n">
        <v>3.1935</v>
      </c>
      <c r="I2712" s="2162" t="n">
        <v>0</v>
      </c>
      <c r="J2712" s="2162" t="n">
        <v>0</v>
      </c>
      <c r="K2712" s="2162" t="n"/>
    </row>
    <row r="2713" outlineLevel="3" ht="15.75" customHeight="1">
      <c r="A2713" s="10" t="n">
        <v>142</v>
      </c>
      <c r="B2713" s="10" t="inlineStr">
        <is>
          <t>Insumo</t>
        </is>
      </c>
      <c r="C2713" s="10" t="inlineStr">
        <is>
          <t>Nicho em Marmore Carrara Branco</t>
        </is>
      </c>
      <c r="D2713" s="10" t="inlineStr">
        <is>
          <t>Espeçador junta piso 2mm</t>
        </is>
      </c>
      <c r="E2713" s="11">
        <f t="array" ref="E2713">_xlfn.XLOOKUP(D2713,Insumos!B:B,Insumos!C:$C)</f>
        <v/>
      </c>
      <c r="F2713" s="14" t="n">
        <v>4</v>
      </c>
      <c r="G2713" s="92">
        <f t="array" ref="G2713">IF(B2713="insumo",_xlfn.XLOOKUP($D2713,Insumos!$B$1:$B$996,Insumos!$D$1:$D$996),"")</f>
        <v/>
      </c>
      <c r="H2713" s="92" t="n">
        <v>0.32</v>
      </c>
      <c r="I2713" s="2162" t="n">
        <v>0</v>
      </c>
      <c r="J2713" s="2162" t="n">
        <v>0</v>
      </c>
      <c r="K2713" s="2162" t="n"/>
    </row>
    <row r="2714" outlineLevel="3" ht="15.75" customHeight="1">
      <c r="A2714" s="10" t="n">
        <v>101</v>
      </c>
      <c r="B2714" s="10" t="inlineStr">
        <is>
          <t>Insumo</t>
        </is>
      </c>
      <c r="C2714" s="10" t="inlineStr">
        <is>
          <t>Nicho em Marmore Carrara Branco</t>
        </is>
      </c>
      <c r="D2714" s="10" t="inlineStr">
        <is>
          <t>Rejunte Cimentício</t>
        </is>
      </c>
      <c r="E2714" s="11">
        <f t="array" ref="E2714">_xlfn.XLOOKUP(D2714,Insumos!B:B,Insumos!C:$C)</f>
        <v/>
      </c>
      <c r="F2714" s="14" t="n">
        <v>0.12</v>
      </c>
      <c r="G2714" s="92">
        <f t="array" ref="G2714">IF(B2714="insumo",_xlfn.XLOOKUP($D2714,Insumos!$B$1:$B$996,Insumos!$D$1:$D$996),"")</f>
        <v/>
      </c>
      <c r="H2714" s="92" t="n">
        <v>1.338</v>
      </c>
      <c r="I2714" s="2162" t="n">
        <v>0</v>
      </c>
      <c r="J2714" s="2162" t="n">
        <v>0</v>
      </c>
      <c r="K2714" s="2162" t="n"/>
    </row>
    <row r="2715" outlineLevel="2" ht="15.75" customHeight="1">
      <c r="A2715" s="1067" t="n">
        <v>1</v>
      </c>
      <c r="B2715" s="1067" t="inlineStr">
        <is>
          <t>Serviço</t>
        </is>
      </c>
      <c r="C2715" s="1067" t="inlineStr">
        <is>
          <t>Revestimento de Marmore Preto em batente de elevador</t>
        </is>
      </c>
      <c r="D2715" s="1067" t="inlineStr">
        <is>
          <t>Revestimento de Marmore Preto em batente de elevador</t>
        </is>
      </c>
      <c r="E2715" s="1068" t="inlineStr">
        <is>
          <t>M2</t>
        </is>
      </c>
      <c r="F2715" s="1067" t="n"/>
      <c r="G2715" s="1069">
        <f t="array" ref="G2715">IF(B2715="insumo",_xlfn.XLOOKUP($D2715,Insumos!$B$1:$B$996,Insumos!$D$1:$D$996),"")</f>
        <v/>
      </c>
      <c r="H2715" s="1069" t="n">
        <v>232.7455</v>
      </c>
      <c r="I2715" s="2161" t="n">
        <v>0</v>
      </c>
      <c r="J2715" s="2161" t="n">
        <v>0</v>
      </c>
      <c r="K2715" s="2161" t="n"/>
    </row>
    <row r="2716" outlineLevel="3" ht="15.75" customHeight="1">
      <c r="A2716" s="10" t="n">
        <v>1</v>
      </c>
      <c r="B2716" s="10" t="inlineStr">
        <is>
          <t>Insumo</t>
        </is>
      </c>
      <c r="C2716" s="10" t="inlineStr">
        <is>
          <t>Revestimento de Marmore Preto em batente de elevador</t>
        </is>
      </c>
      <c r="D2716" s="10" t="inlineStr">
        <is>
          <t>Marmore Preto</t>
        </is>
      </c>
      <c r="E2716" s="11">
        <f t="array" ref="E2716">_xlfn.XLOOKUP(D2716,Insumos!B:B,Insumos!C:$C)</f>
        <v/>
      </c>
      <c r="F2716" s="14" t="n">
        <v>1.1</v>
      </c>
      <c r="G2716" s="92">
        <f t="array" ref="G2716">IF(B2716="insumo",_xlfn.XLOOKUP($D2716,Insumos!$B$1:$B$996,Insumos!$D$1:$D$996),"")</f>
        <v/>
      </c>
      <c r="H2716" s="92" t="n">
        <v>214.5</v>
      </c>
      <c r="I2716" s="2162" t="n">
        <v>0</v>
      </c>
      <c r="J2716" s="2162" t="n">
        <v>0</v>
      </c>
      <c r="K2716" s="2162" t="n"/>
    </row>
    <row r="2717" outlineLevel="3" ht="15.75" customHeight="1">
      <c r="A2717" s="10" t="n">
        <v>191</v>
      </c>
      <c r="B2717" s="10" t="inlineStr">
        <is>
          <t>Insumo</t>
        </is>
      </c>
      <c r="C2717" s="10" t="inlineStr">
        <is>
          <t>Revestimento de Marmore Preto em batente de elevador</t>
        </is>
      </c>
      <c r="D2717" s="10" t="inlineStr">
        <is>
          <t>Argamassa ACIII</t>
        </is>
      </c>
      <c r="E2717" s="11">
        <f t="array" ref="E2717">_xlfn.XLOOKUP(D2717,Insumos!B:B,Insumos!C:$C)</f>
        <v/>
      </c>
      <c r="F2717" s="14" t="n">
        <v>9</v>
      </c>
      <c r="G2717" s="92">
        <f t="array" ref="G2717">IF(B2717="insumo",_xlfn.XLOOKUP($D2717,Insumos!$B$1:$B$996,Insumos!$D$1:$D$996),"")</f>
        <v/>
      </c>
      <c r="H2717" s="92" t="n">
        <v>9.580500000000001</v>
      </c>
      <c r="I2717" s="2162" t="n">
        <v>0</v>
      </c>
      <c r="J2717" s="2162" t="n">
        <v>0</v>
      </c>
      <c r="K2717" s="2162" t="n"/>
    </row>
    <row r="2718" outlineLevel="3" ht="15.75" customHeight="1">
      <c r="A2718" s="10" t="n">
        <v>34</v>
      </c>
      <c r="B2718" s="10" t="inlineStr">
        <is>
          <t>Insumo</t>
        </is>
      </c>
      <c r="C2718" s="10" t="inlineStr">
        <is>
          <t>Revestimento de Marmore Preto em batente de elevador</t>
        </is>
      </c>
      <c r="D2718" s="10" t="inlineStr">
        <is>
          <t>Massa Plastica 400g</t>
        </is>
      </c>
      <c r="E2718" s="11">
        <f t="array" ref="E2718">_xlfn.XLOOKUP(D2718,Insumos!B:B,Insumos!C:$C)</f>
        <v/>
      </c>
      <c r="F2718" s="14" t="n">
        <v>0.5</v>
      </c>
      <c r="G2718" s="92">
        <f t="array" ref="G2718">IF(B2718="insumo",_xlfn.XLOOKUP($D2718,Insumos!$B$1:$B$996,Insumos!$D$1:$D$996),"")</f>
        <v/>
      </c>
      <c r="H2718" s="92" t="n">
        <v>8.664999999999999</v>
      </c>
      <c r="I2718" s="2162" t="n">
        <v>0</v>
      </c>
      <c r="J2718" s="2162" t="n">
        <v>0</v>
      </c>
      <c r="K2718" s="2162" t="n"/>
    </row>
    <row r="2719" outlineLevel="2" ht="12.75" customHeight="1">
      <c r="A2719" s="1071" t="n">
        <v>1</v>
      </c>
      <c r="B2719" s="1071" t="inlineStr">
        <is>
          <t>Serviço</t>
        </is>
      </c>
      <c r="C2719" s="1071" t="inlineStr">
        <is>
          <t xml:space="preserve">Requadro de portas dos Elevadores Granito preto são gabriel </t>
        </is>
      </c>
      <c r="D2719" s="1071" t="inlineStr">
        <is>
          <t xml:space="preserve">Requadro de portas dos Elevadores Granito preto são gabriel </t>
        </is>
      </c>
      <c r="E2719" s="1072" t="inlineStr">
        <is>
          <t>M2</t>
        </is>
      </c>
      <c r="F2719" s="1071" t="n"/>
      <c r="G2719" s="1073">
        <f t="array" ref="G2719">IF(B2719="insumo",_xlfn.XLOOKUP($D2719,Insumos!$B$1:$B$996,Insumos!$D$1:$D$996),"")</f>
        <v/>
      </c>
      <c r="H2719" s="1073" t="n">
        <v>691.6547</v>
      </c>
      <c r="I2719" s="2163" t="n">
        <v>0</v>
      </c>
      <c r="J2719" s="2163" t="n">
        <v>0</v>
      </c>
      <c r="K2719" s="2163" t="n"/>
    </row>
    <row r="2720" outlineLevel="3" ht="12.75" customHeight="1">
      <c r="A2720" s="82" t="n">
        <v>4</v>
      </c>
      <c r="B2720" s="82" t="inlineStr">
        <is>
          <t>Insumo</t>
        </is>
      </c>
      <c r="C2720" s="82" t="inlineStr">
        <is>
          <t xml:space="preserve">Requadro de portas dos Elevadores Granito preto são gabriel </t>
        </is>
      </c>
      <c r="D2720" s="82" t="inlineStr">
        <is>
          <t xml:space="preserve">Granito preto são gabriel </t>
        </is>
      </c>
      <c r="E2720" s="11">
        <f t="array" ref="E2720">_xlfn.XLOOKUP(D2720,Insumos!B:B,Insumos!C:$C)</f>
        <v/>
      </c>
      <c r="F2720" s="2164" t="n">
        <v>1.05</v>
      </c>
      <c r="G2720" s="92">
        <f t="array" ref="G2720">IF(B2720="insumo",_xlfn.XLOOKUP($D2720,Insumos!$B$1:$B$996,Insumos!$D$1:$D$996),"")</f>
        <v/>
      </c>
      <c r="H2720" s="92" t="n">
        <v>682.5</v>
      </c>
      <c r="I2720" s="2165" t="n">
        <v>0</v>
      </c>
      <c r="J2720" s="2165" t="n">
        <v>0</v>
      </c>
      <c r="K2720" s="2165" t="n"/>
    </row>
    <row r="2721" outlineLevel="3" ht="12.75" customHeight="1">
      <c r="A2721" s="82" t="n">
        <v>191</v>
      </c>
      <c r="B2721" s="82" t="inlineStr">
        <is>
          <t>Insumo</t>
        </is>
      </c>
      <c r="C2721" s="82" t="inlineStr">
        <is>
          <t xml:space="preserve">Requadro de portas dos Elevadores Granito preto são gabriel </t>
        </is>
      </c>
      <c r="D2721" s="82" t="inlineStr">
        <is>
          <t>Argamassa ACIII</t>
        </is>
      </c>
      <c r="E2721" s="11">
        <f t="array" ref="E2721">_xlfn.XLOOKUP(D2721,Insumos!B:B,Insumos!C:$C)</f>
        <v/>
      </c>
      <c r="F2721" s="2164" t="n">
        <v>8.6</v>
      </c>
      <c r="G2721" s="92">
        <f t="array" ref="G2721">IF(B2721="insumo",_xlfn.XLOOKUP($D2721,Insumos!$B$1:$B$996,Insumos!$D$1:$D$996),"")</f>
        <v/>
      </c>
      <c r="H2721" s="92" t="n">
        <v>9.1547</v>
      </c>
      <c r="I2721" s="2165" t="n">
        <v>0</v>
      </c>
      <c r="J2721" s="2165" t="n">
        <v>0</v>
      </c>
      <c r="K2721" s="2165" t="n"/>
    </row>
    <row r="2722" outlineLevel="2" ht="12.75" customHeight="1">
      <c r="A2722" s="1071" t="n">
        <v>1</v>
      </c>
      <c r="B2722" s="1071" t="inlineStr">
        <is>
          <t>Serviço</t>
        </is>
      </c>
      <c r="C2722" s="1071" t="inlineStr">
        <is>
          <t>Peitoril em granito preto são gabriel</t>
        </is>
      </c>
      <c r="D2722" s="1071" t="inlineStr">
        <is>
          <t>Peitoril em granito preto são gabriel</t>
        </is>
      </c>
      <c r="E2722" s="1072" t="inlineStr">
        <is>
          <t>M2</t>
        </is>
      </c>
      <c r="F2722" s="1071" t="n"/>
      <c r="G2722" s="1073">
        <f t="array" ref="G2722">IF(B2722="insumo",_xlfn.XLOOKUP($D2722,Insumos!$B$1:$B$996,Insumos!$D$1:$D$996),"")</f>
        <v/>
      </c>
      <c r="H2722" s="1073" t="n">
        <v>691.6547</v>
      </c>
      <c r="I2722" s="2163" t="n">
        <v>0</v>
      </c>
      <c r="J2722" s="2163" t="n">
        <v>0</v>
      </c>
      <c r="K2722" s="2163" t="n"/>
    </row>
    <row r="2723" outlineLevel="3" ht="12.75" customHeight="1">
      <c r="A2723" s="82" t="n">
        <v>4</v>
      </c>
      <c r="B2723" s="82" t="inlineStr">
        <is>
          <t>Insumo</t>
        </is>
      </c>
      <c r="C2723" s="82" t="inlineStr">
        <is>
          <t>Peitoril em granito preto são gabriel</t>
        </is>
      </c>
      <c r="D2723" s="82" t="inlineStr">
        <is>
          <t xml:space="preserve">Granito preto são gabriel </t>
        </is>
      </c>
      <c r="E2723" s="11">
        <f t="array" ref="E2723">_xlfn.XLOOKUP(D2723,Insumos!B:B,Insumos!C:$C)</f>
        <v/>
      </c>
      <c r="F2723" s="2164" t="n">
        <v>1.05</v>
      </c>
      <c r="G2723" s="92">
        <f t="array" ref="G2723">IF(B2723="insumo",_xlfn.XLOOKUP($D2723,Insumos!$B$1:$B$996,Insumos!$D$1:$D$996),"")</f>
        <v/>
      </c>
      <c r="H2723" s="92" t="n">
        <v>682.5</v>
      </c>
      <c r="I2723" s="2165" t="n">
        <v>0</v>
      </c>
      <c r="J2723" s="2165" t="n">
        <v>0</v>
      </c>
      <c r="K2723" s="2165" t="n"/>
    </row>
    <row r="2724" outlineLevel="3" ht="12.75" customHeight="1">
      <c r="A2724" s="82" t="n">
        <v>191</v>
      </c>
      <c r="B2724" s="82" t="inlineStr">
        <is>
          <t>Insumo</t>
        </is>
      </c>
      <c r="C2724" s="82" t="inlineStr">
        <is>
          <t>Peitoril em granito preto são gabriel</t>
        </is>
      </c>
      <c r="D2724" s="82" t="inlineStr">
        <is>
          <t>Argamassa ACIII</t>
        </is>
      </c>
      <c r="E2724" s="11">
        <f t="array" ref="E2724">_xlfn.XLOOKUP(D2724,Insumos!B:B,Insumos!C:$C)</f>
        <v/>
      </c>
      <c r="F2724" s="2164" t="n">
        <v>8.6</v>
      </c>
      <c r="G2724" s="92">
        <f t="array" ref="G2724">IF(B2724="insumo",_xlfn.XLOOKUP($D2724,Insumos!$B$1:$B$996,Insumos!$D$1:$D$996),"")</f>
        <v/>
      </c>
      <c r="H2724" s="92" t="n">
        <v>9.1547</v>
      </c>
      <c r="I2724" s="2165" t="n">
        <v>0</v>
      </c>
      <c r="J2724" s="2165" t="n">
        <v>0</v>
      </c>
      <c r="K2724" s="2165" t="n"/>
    </row>
    <row r="2725" outlineLevel="2" ht="12.75" customHeight="1">
      <c r="A2725" s="1071" t="n">
        <v>1</v>
      </c>
      <c r="B2725" s="1071" t="inlineStr">
        <is>
          <t>Serviço</t>
        </is>
      </c>
      <c r="C2725" s="1071" t="inlineStr">
        <is>
          <t>Peitoril em pedra moledo,  esp. 2cm</t>
        </is>
      </c>
      <c r="D2725" s="1071" t="inlineStr">
        <is>
          <t>Peitoril em pedra moledo,  esp. 2cm</t>
        </is>
      </c>
      <c r="E2725" s="1072" t="inlineStr">
        <is>
          <t>M2</t>
        </is>
      </c>
      <c r="F2725" s="1071" t="n"/>
      <c r="G2725" s="1073">
        <f t="array" ref="G2725">IF(B2725="insumo",_xlfn.XLOOKUP($D2725,Insumos!$B$1:$B$996,Insumos!$D$1:$D$996),"")</f>
        <v/>
      </c>
      <c r="H2725" s="1073" t="n">
        <v>288.3497</v>
      </c>
      <c r="I2725" s="2163" t="n">
        <v>0</v>
      </c>
      <c r="J2725" s="2163" t="n">
        <v>0</v>
      </c>
      <c r="K2725" s="2163" t="n"/>
    </row>
    <row r="2726" outlineLevel="3" ht="12.75" customHeight="1">
      <c r="A2726" s="82" t="n">
        <v>1</v>
      </c>
      <c r="B2726" s="82" t="inlineStr">
        <is>
          <t>Insumo</t>
        </is>
      </c>
      <c r="C2726" s="82" t="inlineStr">
        <is>
          <t>Peitoril em pedra moledo,  esp. 2cm</t>
        </is>
      </c>
      <c r="D2726" s="82" t="inlineStr">
        <is>
          <t>Pedra Moledo Natural Cinza</t>
        </is>
      </c>
      <c r="E2726" s="11">
        <f t="array" ref="E2726">_xlfn.XLOOKUP(D2726,Insumos!B:B,Insumos!C:$C)</f>
        <v/>
      </c>
      <c r="F2726" s="2164" t="n">
        <v>1.05</v>
      </c>
      <c r="G2726" s="92">
        <f t="array" ref="G2726">IF(B2726="insumo",_xlfn.XLOOKUP($D2726,Insumos!$B$1:$B$996,Insumos!$D$1:$D$996),"")</f>
        <v/>
      </c>
      <c r="H2726" s="92" t="n">
        <v>279.195</v>
      </c>
      <c r="I2726" s="2165" t="n">
        <v>0</v>
      </c>
      <c r="J2726" s="2165" t="n">
        <v>0</v>
      </c>
      <c r="K2726" s="2165" t="n"/>
    </row>
    <row r="2727" outlineLevel="3" ht="12.75" customHeight="1">
      <c r="A2727" s="82" t="n">
        <v>191</v>
      </c>
      <c r="B2727" s="82" t="inlineStr">
        <is>
          <t>Insumo</t>
        </is>
      </c>
      <c r="C2727" s="82" t="inlineStr">
        <is>
          <t>Peitoril em pedra moledo,  esp. 2cm</t>
        </is>
      </c>
      <c r="D2727" s="82" t="inlineStr">
        <is>
          <t>Argamassa ACIII</t>
        </is>
      </c>
      <c r="E2727" s="11">
        <f t="array" ref="E2727">_xlfn.XLOOKUP(D2727,Insumos!B:B,Insumos!C:$C)</f>
        <v/>
      </c>
      <c r="F2727" s="2164" t="n">
        <v>8.6</v>
      </c>
      <c r="G2727" s="92">
        <f t="array" ref="G2727">IF(B2727="insumo",_xlfn.XLOOKUP($D2727,Insumos!$B$1:$B$996,Insumos!$D$1:$D$996),"")</f>
        <v/>
      </c>
      <c r="H2727" s="92" t="n">
        <v>9.1547</v>
      </c>
      <c r="I2727" s="2165" t="n">
        <v>0</v>
      </c>
      <c r="J2727" s="2165" t="n">
        <v>0</v>
      </c>
      <c r="K2727" s="2165" t="n"/>
    </row>
    <row r="2728" outlineLevel="2" ht="12.75" customHeight="1">
      <c r="A2728" s="1071" t="n">
        <v>1</v>
      </c>
      <c r="B2728" s="1071" t="inlineStr">
        <is>
          <t>Serviço</t>
        </is>
      </c>
      <c r="C2728" s="1071" t="inlineStr">
        <is>
          <t>Peitoril em granito,  esp. 2cm</t>
        </is>
      </c>
      <c r="D2728" s="1071" t="inlineStr">
        <is>
          <t>Peitoril em granito,  esp. 2cm</t>
        </is>
      </c>
      <c r="E2728" s="1072" t="inlineStr">
        <is>
          <t>M2</t>
        </is>
      </c>
      <c r="F2728" s="1071" t="n"/>
      <c r="G2728" s="1073">
        <f t="array" ref="G2728">IF(B2728="insumo",_xlfn.XLOOKUP($D2728,Insumos!$B$1:$B$996,Insumos!$D$1:$D$996),"")</f>
        <v/>
      </c>
      <c r="H2728" s="1073" t="n">
        <v>691.6547</v>
      </c>
      <c r="I2728" s="2163" t="n">
        <v>0</v>
      </c>
      <c r="J2728" s="2163" t="n">
        <v>0</v>
      </c>
      <c r="K2728" s="2163" t="n"/>
    </row>
    <row r="2729" outlineLevel="3" ht="12.75" customHeight="1">
      <c r="A2729" s="82" t="n">
        <v>3</v>
      </c>
      <c r="B2729" s="82" t="inlineStr">
        <is>
          <t>Insumo</t>
        </is>
      </c>
      <c r="C2729" s="82" t="inlineStr">
        <is>
          <t>Peitoril em granito,  esp. 2cm</t>
        </is>
      </c>
      <c r="D2729" s="82" t="inlineStr">
        <is>
          <t>Granito siena branco</t>
        </is>
      </c>
      <c r="E2729" s="11">
        <f t="array" ref="E2729">_xlfn.XLOOKUP(D2729,Insumos!B:B,Insumos!C:$C)</f>
        <v/>
      </c>
      <c r="F2729" s="2164" t="n">
        <v>1.05</v>
      </c>
      <c r="G2729" s="92">
        <f t="array" ref="G2729">IF(B2729="insumo",_xlfn.XLOOKUP($D2729,Insumos!$B$1:$B$996,Insumos!$D$1:$D$996),"")</f>
        <v/>
      </c>
      <c r="H2729" s="92" t="n">
        <v>682.5</v>
      </c>
      <c r="I2729" s="2165" t="n">
        <v>0</v>
      </c>
      <c r="J2729" s="2165" t="n">
        <v>0</v>
      </c>
      <c r="K2729" s="2165" t="n"/>
    </row>
    <row r="2730" outlineLevel="3" ht="12.75" customHeight="1">
      <c r="A2730" s="82" t="n">
        <v>191</v>
      </c>
      <c r="B2730" s="82" t="inlineStr">
        <is>
          <t>Insumo</t>
        </is>
      </c>
      <c r="C2730" s="82" t="inlineStr">
        <is>
          <t>Peitoril em granito,  esp. 2cm</t>
        </is>
      </c>
      <c r="D2730" s="82" t="inlineStr">
        <is>
          <t>Argamassa ACIII</t>
        </is>
      </c>
      <c r="E2730" s="11">
        <f t="array" ref="E2730">_xlfn.XLOOKUP(D2730,Insumos!B:B,Insumos!C:$C)</f>
        <v/>
      </c>
      <c r="F2730" s="2164" t="n">
        <v>8.6</v>
      </c>
      <c r="G2730" s="92">
        <f t="array" ref="G2730">IF(B2730="insumo",_xlfn.XLOOKUP($D2730,Insumos!$B$1:$B$996,Insumos!$D$1:$D$996),"")</f>
        <v/>
      </c>
      <c r="H2730" s="92" t="n">
        <v>9.1547</v>
      </c>
      <c r="I2730" s="2165" t="n">
        <v>0</v>
      </c>
      <c r="J2730" s="2165" t="n">
        <v>0</v>
      </c>
      <c r="K2730" s="2165" t="n"/>
    </row>
    <row r="2731" outlineLevel="1" ht="15.75" customHeight="1">
      <c r="A2731" s="1090" t="n">
        <v>1</v>
      </c>
      <c r="B2731" s="1090" t="inlineStr">
        <is>
          <t>Subetapa</t>
        </is>
      </c>
      <c r="C2731" s="1090" t="inlineStr">
        <is>
          <t>Peitoril em granito,  esp. 2cm</t>
        </is>
      </c>
      <c r="D2731" s="1090" t="inlineStr">
        <is>
          <t>MÃO DE OBRA REVESTIMENTOS</t>
        </is>
      </c>
      <c r="E2731" s="1091" t="n"/>
      <c r="F2731" s="2160" t="n"/>
      <c r="G2731" s="1091" t="n"/>
      <c r="H2731" s="1091" t="n">
        <v>0</v>
      </c>
      <c r="I2731" s="2160" t="n">
        <v>0</v>
      </c>
      <c r="J2731" s="2160" t="n">
        <v>0</v>
      </c>
      <c r="K2731" s="2160" t="n"/>
    </row>
    <row r="2732" outlineLevel="2" ht="15.75" customHeight="1">
      <c r="A2732" s="1067" t="n">
        <v>1</v>
      </c>
      <c r="B2732" s="1067" t="inlineStr">
        <is>
          <t>Serviço</t>
        </is>
      </c>
      <c r="C2732" s="1067" t="inlineStr">
        <is>
          <t>Mão de obra execução de massa única em paredes interna, incluindo chapisco</t>
        </is>
      </c>
      <c r="D2732" s="1067" t="inlineStr">
        <is>
          <t>Mão de obra execução de massa única em paredes interna, incluindo chapisco</t>
        </is>
      </c>
      <c r="E2732" s="1068" t="inlineStr">
        <is>
          <t>M2</t>
        </is>
      </c>
      <c r="F2732" s="1075" t="n"/>
      <c r="G2732" s="1069">
        <f t="array" ref="G2732">IF(B2732="insumo",_xlfn.XLOOKUP($D2732,Insumos!$B$1:$B$996,Insumos!$D$1:$D$996),"")</f>
        <v/>
      </c>
      <c r="H2732" s="1069" t="n">
        <v>42</v>
      </c>
      <c r="I2732" s="2161" t="e">
        <v>#REF!</v>
      </c>
      <c r="J2732" s="2161" t="e">
        <v>#REF!</v>
      </c>
      <c r="K2732" s="2161" t="n"/>
    </row>
    <row r="2733" outlineLevel="3" ht="15.75" customHeight="1">
      <c r="A2733" s="10" t="n">
        <v>1</v>
      </c>
      <c r="B2733" s="10" t="inlineStr">
        <is>
          <t>Insumo</t>
        </is>
      </c>
      <c r="C2733" s="10" t="inlineStr">
        <is>
          <t>Mão de obra execução de massa única em paredes interna, incluindo chapisco</t>
        </is>
      </c>
      <c r="D2733" s="10" t="inlineStr">
        <is>
          <t>Mão de obra execução de massa única em paredes interna, incluindo chapisco</t>
        </is>
      </c>
      <c r="E2733" s="11">
        <f t="array" ref="E2733">_xlfn.XLOOKUP(D2733,Insumos!B:B,Insumos!C:$C)</f>
        <v/>
      </c>
      <c r="F2733" s="14" t="n">
        <v>1</v>
      </c>
      <c r="G2733" s="92">
        <f t="array" ref="G2733">IF(B2733="insumo",_xlfn.XLOOKUP($D2733,Insumos!$B$1:$B$996,Insumos!$D$1:$D$996),"")</f>
        <v/>
      </c>
      <c r="H2733" s="92" t="n">
        <v>42</v>
      </c>
      <c r="I2733" s="2162" t="e">
        <v>#REF!</v>
      </c>
      <c r="J2733" s="2162" t="e">
        <v>#REF!</v>
      </c>
      <c r="K2733" s="2162" t="n"/>
    </row>
    <row r="2734" outlineLevel="2" ht="15.75" customHeight="1">
      <c r="A2734" s="1067" t="n">
        <v>1</v>
      </c>
      <c r="B2734" s="1067" t="inlineStr">
        <is>
          <t>Serviço</t>
        </is>
      </c>
      <c r="C2734" s="1067" t="inlineStr">
        <is>
          <t>Mão de obra estucamento de paredes</t>
        </is>
      </c>
      <c r="D2734" s="1067" t="inlineStr">
        <is>
          <t>Mão de obra estucamento de paredes</t>
        </is>
      </c>
      <c r="E2734" s="1068" t="inlineStr">
        <is>
          <t>M2</t>
        </is>
      </c>
      <c r="F2734" s="1075" t="n"/>
      <c r="G2734" s="1069">
        <f t="array" ref="G2734">IF(B2734="insumo",_xlfn.XLOOKUP($D2734,Insumos!$B$1:$B$996,Insumos!$D$1:$D$996),"")</f>
        <v/>
      </c>
      <c r="H2734" s="1069" t="n">
        <v>30</v>
      </c>
      <c r="I2734" s="2161" t="e">
        <v>#REF!</v>
      </c>
      <c r="J2734" s="2161" t="e">
        <v>#REF!</v>
      </c>
      <c r="K2734" s="2161" t="n"/>
    </row>
    <row r="2735" outlineLevel="3" ht="15.75" customHeight="1">
      <c r="A2735" s="10" t="n">
        <v>2</v>
      </c>
      <c r="B2735" s="10" t="inlineStr">
        <is>
          <t>Insumo</t>
        </is>
      </c>
      <c r="C2735" s="10" t="inlineStr">
        <is>
          <t>Mão de obra estucamento de paredes</t>
        </is>
      </c>
      <c r="D2735" s="10" t="inlineStr">
        <is>
          <t>Mão de obra estucamento de paredes</t>
        </is>
      </c>
      <c r="E2735" s="11">
        <f t="array" ref="E2735">_xlfn.XLOOKUP(D2735,Insumos!B:B,Insumos!C:$C)</f>
        <v/>
      </c>
      <c r="F2735" s="14" t="n">
        <v>1</v>
      </c>
      <c r="G2735" s="92">
        <f t="array" ref="G2735">IF(B2735="insumo",_xlfn.XLOOKUP($D2735,Insumos!$B$1:$B$996,Insumos!$D$1:$D$996),"")</f>
        <v/>
      </c>
      <c r="H2735" s="92" t="n">
        <v>30</v>
      </c>
      <c r="I2735" s="2162" t="e">
        <v>#REF!</v>
      </c>
      <c r="J2735" s="2162" t="e">
        <v>#REF!</v>
      </c>
      <c r="K2735" s="2162" t="n"/>
    </row>
    <row r="2736" outlineLevel="1" ht="15.75" customHeight="1">
      <c r="A2736" s="1090" t="n">
        <v>1</v>
      </c>
      <c r="B2736" s="1090" t="inlineStr">
        <is>
          <t>Subetapa</t>
        </is>
      </c>
      <c r="C2736" s="1090" t="inlineStr">
        <is>
          <t>Mão de obra estucamento de paredes</t>
        </is>
      </c>
      <c r="D2736" s="1090" t="inlineStr">
        <is>
          <t>MÃO DE OBRA GESSO PAREDE</t>
        </is>
      </c>
      <c r="E2736" s="1091" t="n"/>
      <c r="F2736" s="2160" t="n"/>
      <c r="G2736" s="1091" t="n"/>
      <c r="H2736" s="1091" t="n">
        <v>0</v>
      </c>
      <c r="I2736" s="2160" t="n">
        <v>0</v>
      </c>
      <c r="J2736" s="2160" t="n">
        <v>0</v>
      </c>
      <c r="K2736" s="2160" t="n"/>
    </row>
    <row r="2737" outlineLevel="2" ht="15.75" customHeight="1">
      <c r="A2737" s="1067" t="n">
        <v>1</v>
      </c>
      <c r="B2737" s="1067" t="inlineStr">
        <is>
          <t>Serviço</t>
        </is>
      </c>
      <c r="C2737" s="1067" t="inlineStr">
        <is>
          <t>Mão de obra execução de massa para Drywall em paredes</t>
        </is>
      </c>
      <c r="D2737" s="1067" t="inlineStr">
        <is>
          <t>Mão de obra execução de massa para Drywall em paredes</t>
        </is>
      </c>
      <c r="E2737" s="1068" t="inlineStr">
        <is>
          <t>M2</t>
        </is>
      </c>
      <c r="F2737" s="1075" t="n"/>
      <c r="G2737" s="1069">
        <f t="array" ref="G2737">IF(B2737="insumo",_xlfn.XLOOKUP($D2737,Insumos!$B$1:$B$996,Insumos!$D$1:$D$996),"")</f>
        <v/>
      </c>
      <c r="H2737" s="1069" t="n">
        <v>15</v>
      </c>
      <c r="I2737" s="2161" t="n">
        <v>0</v>
      </c>
      <c r="J2737" s="2161" t="n">
        <v>0</v>
      </c>
      <c r="K2737" s="2161" t="n"/>
    </row>
    <row r="2738" outlineLevel="3" ht="15.75" customHeight="1">
      <c r="A2738" s="10" t="n">
        <v>1</v>
      </c>
      <c r="B2738" s="10" t="inlineStr">
        <is>
          <t>Insumo</t>
        </is>
      </c>
      <c r="C2738" s="10" t="inlineStr">
        <is>
          <t>Mão de obra execução de massa para Drywall em paredes</t>
        </is>
      </c>
      <c r="D2738" s="10" t="inlineStr">
        <is>
          <t>Mão de obra execução de massa para Drywall em paredes</t>
        </is>
      </c>
      <c r="E2738" s="11">
        <f t="array" ref="E2738">_xlfn.XLOOKUP(D2738,Insumos!B:B,Insumos!C:$C)</f>
        <v/>
      </c>
      <c r="F2738" s="14" t="n">
        <v>1</v>
      </c>
      <c r="G2738" s="92">
        <f t="array" ref="G2738">IF(B2738="insumo",_xlfn.XLOOKUP($D2738,Insumos!$B$1:$B$996,Insumos!$D$1:$D$996),"")</f>
        <v/>
      </c>
      <c r="H2738" s="92" t="n">
        <v>15</v>
      </c>
      <c r="I2738" s="2162" t="n">
        <v>0</v>
      </c>
      <c r="J2738" s="2162" t="n">
        <v>0</v>
      </c>
      <c r="K2738" s="2162" t="n"/>
    </row>
    <row r="2739" outlineLevel="2" ht="15.75" customHeight="1">
      <c r="A2739" s="1067" t="n">
        <v>1</v>
      </c>
      <c r="B2739" s="1067" t="inlineStr">
        <is>
          <t>Serviço</t>
        </is>
      </c>
      <c r="C2739" s="1067" t="inlineStr">
        <is>
          <t>Mão de obra execução de massa de gesso em paredes</t>
        </is>
      </c>
      <c r="D2739" s="1067" t="inlineStr">
        <is>
          <t>Mão de obra execução de massa de gesso em paredes</t>
        </is>
      </c>
      <c r="E2739" s="1068" t="inlineStr">
        <is>
          <t>M2</t>
        </is>
      </c>
      <c r="F2739" s="1075" t="n"/>
      <c r="G2739" s="1069">
        <f t="array" ref="G2739">IF(B2739="insumo",_xlfn.XLOOKUP($D2739,Insumos!$B$1:$B$996,Insumos!$D$1:$D$996),"")</f>
        <v/>
      </c>
      <c r="H2739" s="1069" t="n">
        <v>15</v>
      </c>
      <c r="I2739" s="2161" t="n">
        <v>0</v>
      </c>
      <c r="J2739" s="2161" t="n">
        <v>0</v>
      </c>
      <c r="K2739" s="2161" t="n"/>
    </row>
    <row r="2740" outlineLevel="3" ht="15.75" customHeight="1">
      <c r="A2740" s="10" t="n">
        <v>1</v>
      </c>
      <c r="B2740" s="10" t="inlineStr">
        <is>
          <t>Insumo</t>
        </is>
      </c>
      <c r="C2740" s="10" t="inlineStr">
        <is>
          <t>Mão de obra execução de massa de gesso em paredes</t>
        </is>
      </c>
      <c r="D2740" s="10" t="inlineStr">
        <is>
          <t>Mão de obra execução de massa de gesso em paredes</t>
        </is>
      </c>
      <c r="E2740" s="11">
        <f t="array" ref="E2740">_xlfn.XLOOKUP(D2740,Insumos!B:B,Insumos!C:$C)</f>
        <v/>
      </c>
      <c r="F2740" s="14" t="n">
        <v>1</v>
      </c>
      <c r="G2740" s="92">
        <f t="array" ref="G2740">IF(B2740="insumo",_xlfn.XLOOKUP($D2740,Insumos!$B$1:$B$996,Insumos!$D$1:$D$996),"")</f>
        <v/>
      </c>
      <c r="H2740" s="92" t="n">
        <v>15</v>
      </c>
      <c r="I2740" s="2162" t="n">
        <v>0</v>
      </c>
      <c r="J2740" s="2162" t="n">
        <v>0</v>
      </c>
      <c r="K2740" s="2162" t="n"/>
    </row>
    <row r="2741" outlineLevel="1" ht="15.75" customHeight="1">
      <c r="A2741" s="1090" t="n">
        <v>2</v>
      </c>
      <c r="B2741" s="1090" t="inlineStr">
        <is>
          <t>Subetapa</t>
        </is>
      </c>
      <c r="C2741" s="1090" t="inlineStr">
        <is>
          <t>Mão de obra execução de massa de gesso em paredes</t>
        </is>
      </c>
      <c r="D2741" s="1090" t="inlineStr">
        <is>
          <t>MÃO DE OBRA ACABAMENTOS PAREDE</t>
        </is>
      </c>
      <c r="E2741" s="1091" t="n"/>
      <c r="F2741" s="2160" t="n"/>
      <c r="G2741" s="1091" t="n"/>
      <c r="H2741" s="1091" t="n">
        <v>0</v>
      </c>
      <c r="I2741" s="2160" t="n">
        <v>0</v>
      </c>
      <c r="J2741" s="2160" t="n">
        <v>0</v>
      </c>
      <c r="K2741" s="2160" t="n"/>
    </row>
    <row r="2742" outlineLevel="2" ht="15.75" customHeight="1">
      <c r="A2742" s="1067" t="n">
        <v>1</v>
      </c>
      <c r="B2742" s="1067" t="inlineStr">
        <is>
          <t>Serviço</t>
        </is>
      </c>
      <c r="C2742" s="1067" t="inlineStr">
        <is>
          <t>Mão de obra para assentamento de Pastilhas em Piscina</t>
        </is>
      </c>
      <c r="D2742" s="1067" t="inlineStr">
        <is>
          <t>Mão de obra para assentamento de Pastilhas em Piscina</t>
        </is>
      </c>
      <c r="E2742" s="1068" t="inlineStr">
        <is>
          <t>M2</t>
        </is>
      </c>
      <c r="F2742" s="1075" t="n"/>
      <c r="G2742" s="1069">
        <f t="array" ref="G2742">IF(B2742="insumo",_xlfn.XLOOKUP($D2742,Insumos!$B$1:$B$996,Insumos!$D$1:$D$996),"")</f>
        <v/>
      </c>
      <c r="H2742" s="1069" t="n">
        <v>55</v>
      </c>
      <c r="I2742" s="2161" t="n">
        <v>0</v>
      </c>
      <c r="J2742" s="2161" t="n">
        <v>0</v>
      </c>
      <c r="K2742" s="2161" t="n"/>
    </row>
    <row r="2743" outlineLevel="3" ht="15.75" customHeight="1">
      <c r="A2743" s="10" t="n">
        <v>1</v>
      </c>
      <c r="B2743" s="10" t="inlineStr">
        <is>
          <t>Insumo</t>
        </is>
      </c>
      <c r="C2743" s="10" t="inlineStr">
        <is>
          <t>Mão de obra para assentamento de Pastilhas em Piscina</t>
        </is>
      </c>
      <c r="D2743" s="10" t="inlineStr">
        <is>
          <t>Mão de obra para assentamento de Pastilhas em Piscina</t>
        </is>
      </c>
      <c r="E2743" s="11">
        <f t="array" ref="E2743">_xlfn.XLOOKUP(D2743,Insumos!B:B,Insumos!C:$C)</f>
        <v/>
      </c>
      <c r="F2743" s="14" t="n">
        <v>1</v>
      </c>
      <c r="G2743" s="92">
        <f t="array" ref="G2743">IF(B2743="insumo",_xlfn.XLOOKUP($D2743,Insumos!$B$1:$B$996,Insumos!$D$1:$D$996),"")</f>
        <v/>
      </c>
      <c r="H2743" s="92" t="n">
        <v>55</v>
      </c>
      <c r="I2743" s="2162" t="n">
        <v>0</v>
      </c>
      <c r="J2743" s="2162" t="n">
        <v>0</v>
      </c>
      <c r="K2743" s="2162" t="n"/>
    </row>
    <row r="2744" outlineLevel="2" ht="15.75" customHeight="1">
      <c r="A2744" s="1067" t="n">
        <v>1</v>
      </c>
      <c r="B2744" s="1067" t="inlineStr">
        <is>
          <t>Serviço</t>
        </is>
      </c>
      <c r="C2744" s="1067" t="inlineStr">
        <is>
          <t>Mão de obra para assentamento de Ladrilhos</t>
        </is>
      </c>
      <c r="D2744" s="1067" t="inlineStr">
        <is>
          <t>Mão de obra para assentamento de Ladrilhos</t>
        </is>
      </c>
      <c r="E2744" s="1068" t="inlineStr">
        <is>
          <t>M2</t>
        </is>
      </c>
      <c r="F2744" s="1075" t="n"/>
      <c r="G2744" s="1069">
        <f t="array" ref="G2744">IF(B2744="insumo",_xlfn.XLOOKUP($D2744,Insumos!$B$1:$B$996,Insumos!$D$1:$D$996),"")</f>
        <v/>
      </c>
      <c r="H2744" s="1069" t="n">
        <v>75</v>
      </c>
      <c r="I2744" s="2161" t="e">
        <v>#REF!</v>
      </c>
      <c r="J2744" s="2161" t="e">
        <v>#REF!</v>
      </c>
      <c r="K2744" s="2161" t="n"/>
    </row>
    <row r="2745" outlineLevel="3" ht="15.75" customHeight="1">
      <c r="A2745" s="10" t="n">
        <v>1</v>
      </c>
      <c r="B2745" s="10" t="inlineStr">
        <is>
          <t>Insumo</t>
        </is>
      </c>
      <c r="C2745" s="10" t="inlineStr">
        <is>
          <t>Mão de obra para assentamento de Ladrilhos</t>
        </is>
      </c>
      <c r="D2745" s="10" t="inlineStr">
        <is>
          <t>Mão de obra para assentamento de Ladrilhos</t>
        </is>
      </c>
      <c r="E2745" s="11">
        <f t="array" ref="E2745">_xlfn.XLOOKUP(D2745,Insumos!B:B,Insumos!C:$C)</f>
        <v/>
      </c>
      <c r="F2745" s="14" t="n">
        <v>1</v>
      </c>
      <c r="G2745" s="92">
        <f t="array" ref="G2745">IF(B2745="insumo",_xlfn.XLOOKUP($D2745,Insumos!$B$1:$B$996,Insumos!$D$1:$D$996),"")</f>
        <v/>
      </c>
      <c r="H2745" s="92" t="n">
        <v>75</v>
      </c>
      <c r="I2745" s="2162" t="e">
        <v>#REF!</v>
      </c>
      <c r="J2745" s="2162" t="e">
        <v>#REF!</v>
      </c>
      <c r="K2745" s="2162" t="n"/>
    </row>
    <row r="2746" outlineLevel="2" ht="15.75" customHeight="1">
      <c r="A2746" s="1067" t="n">
        <v>1</v>
      </c>
      <c r="B2746" s="1067" t="inlineStr">
        <is>
          <t>Serviço</t>
        </is>
      </c>
      <c r="C2746" s="1067" t="inlineStr">
        <is>
          <t>Mão de obra para assentamento de Pedras Naturais em parede</t>
        </is>
      </c>
      <c r="D2746" s="1067" t="inlineStr">
        <is>
          <t>Mão de obra para assentamento de Pedras Naturais em parede</t>
        </is>
      </c>
      <c r="E2746" s="1068" t="inlineStr">
        <is>
          <t>M2</t>
        </is>
      </c>
      <c r="F2746" s="1075" t="n"/>
      <c r="G2746" s="1069">
        <f t="array" ref="G2746">IF(B2746="insumo",_xlfn.XLOOKUP($D2746,Insumos!$B$1:$B$996,Insumos!$D$1:$D$996),"")</f>
        <v/>
      </c>
      <c r="H2746" s="1069" t="n">
        <v>75</v>
      </c>
      <c r="I2746" s="2161" t="e">
        <v>#REF!</v>
      </c>
      <c r="J2746" s="2161" t="e">
        <v>#REF!</v>
      </c>
      <c r="K2746" s="2161" t="n"/>
    </row>
    <row r="2747" outlineLevel="3" ht="15.75" customHeight="1">
      <c r="A2747" s="10" t="n">
        <v>1</v>
      </c>
      <c r="B2747" s="10" t="inlineStr">
        <is>
          <t>Insumo</t>
        </is>
      </c>
      <c r="C2747" s="10" t="inlineStr">
        <is>
          <t>Mão de obra para assentamento de Pedras Naturais em parede</t>
        </is>
      </c>
      <c r="D2747" s="10" t="inlineStr">
        <is>
          <t>Mão de obra para assentamento de Pedras Naturais em parede</t>
        </is>
      </c>
      <c r="E2747" s="11">
        <f t="array" ref="E2747">_xlfn.XLOOKUP(D2747,Insumos!B:B,Insumos!C:$C)</f>
        <v/>
      </c>
      <c r="F2747" s="14" t="n">
        <v>1</v>
      </c>
      <c r="G2747" s="92">
        <f t="array" ref="G2747">IF(B2747="insumo",_xlfn.XLOOKUP($D2747,Insumos!$B$1:$B$996,Insumos!$D$1:$D$996),"")</f>
        <v/>
      </c>
      <c r="H2747" s="92" t="n">
        <v>75</v>
      </c>
      <c r="I2747" s="2162" t="e">
        <v>#REF!</v>
      </c>
      <c r="J2747" s="2162" t="e">
        <v>#REF!</v>
      </c>
      <c r="K2747" s="2162" t="n"/>
    </row>
    <row r="2748" outlineLevel="2" ht="15.75" customHeight="1">
      <c r="A2748" s="1067" t="n">
        <v>1</v>
      </c>
      <c r="B2748" s="1067" t="inlineStr">
        <is>
          <t>Serviço</t>
        </is>
      </c>
      <c r="C2748" s="1067" t="inlineStr">
        <is>
          <t>Mão de obra para assentamento de revestimento cerâmico em parede</t>
        </is>
      </c>
      <c r="D2748" s="1067" t="inlineStr">
        <is>
          <t>Mão de obra para assentamento de revestimento cerâmico em parede</t>
        </is>
      </c>
      <c r="E2748" s="1068" t="inlineStr">
        <is>
          <t>M2</t>
        </is>
      </c>
      <c r="F2748" s="1075" t="n"/>
      <c r="G2748" s="1069">
        <f t="array" ref="G2748">IF(B2748="insumo",_xlfn.XLOOKUP($D2748,Insumos!$B$1:$B$996,Insumos!$D$1:$D$996),"")</f>
        <v/>
      </c>
      <c r="H2748" s="1069" t="n">
        <v>75</v>
      </c>
      <c r="I2748" s="2161" t="e">
        <v>#REF!</v>
      </c>
      <c r="J2748" s="2161" t="e">
        <v>#REF!</v>
      </c>
      <c r="K2748" s="2161" t="n"/>
    </row>
    <row r="2749" outlineLevel="3" ht="15.75" customHeight="1">
      <c r="A2749" s="10" t="n">
        <v>1</v>
      </c>
      <c r="B2749" s="10" t="inlineStr">
        <is>
          <t>Insumo</t>
        </is>
      </c>
      <c r="C2749" s="10" t="inlineStr">
        <is>
          <t>Mão de obra para assentamento de revestimento cerâmico em parede</t>
        </is>
      </c>
      <c r="D2749" s="10" t="inlineStr">
        <is>
          <t>Mão de obra para assentamento de revestimento cerâmico em parede</t>
        </is>
      </c>
      <c r="E2749" s="11">
        <f t="array" ref="E2749">_xlfn.XLOOKUP(D2749,Insumos!B:B,Insumos!C:$C)</f>
        <v/>
      </c>
      <c r="F2749" s="14" t="n">
        <v>1</v>
      </c>
      <c r="G2749" s="92">
        <f t="array" ref="G2749">IF(B2749="insumo",_xlfn.XLOOKUP($D2749,Insumos!$B$1:$B$996,Insumos!$D$1:$D$996),"")</f>
        <v/>
      </c>
      <c r="H2749" s="92" t="n">
        <v>75</v>
      </c>
      <c r="I2749" s="2162" t="e">
        <v>#REF!</v>
      </c>
      <c r="J2749" s="2162" t="e">
        <v>#REF!</v>
      </c>
      <c r="K2749" s="2162" t="n"/>
    </row>
    <row r="2750" outlineLevel="2" ht="15.75" customHeight="1">
      <c r="A2750" s="1067" t="n">
        <v>1</v>
      </c>
      <c r="B2750" s="1067" t="inlineStr">
        <is>
          <t>Serviço</t>
        </is>
      </c>
      <c r="C2750" s="1067" t="inlineStr">
        <is>
          <t>Mão de obra para colocação de peitoril e pingadeira</t>
        </is>
      </c>
      <c r="D2750" s="1067" t="inlineStr">
        <is>
          <t>Mão de obra para colocação de peitoril e pingadeira</t>
        </is>
      </c>
      <c r="E2750" s="1068" t="inlineStr">
        <is>
          <t>M2</t>
        </is>
      </c>
      <c r="F2750" s="1075" t="n"/>
      <c r="G2750" s="1069">
        <f t="array" ref="G2750">IF(B2750="insumo",_xlfn.XLOOKUP($D2750,Insumos!$B$1:$B$996,Insumos!$D$1:$D$996),"")</f>
        <v/>
      </c>
      <c r="H2750" s="1069" t="n">
        <v>50</v>
      </c>
      <c r="I2750" s="2161" t="e">
        <v>#REF!</v>
      </c>
      <c r="J2750" s="2161" t="e">
        <v>#REF!</v>
      </c>
      <c r="K2750" s="2161" t="n"/>
    </row>
    <row r="2751" outlineLevel="3" ht="15.75" customHeight="1">
      <c r="A2751" s="10" t="n">
        <v>1</v>
      </c>
      <c r="B2751" s="10" t="inlineStr">
        <is>
          <t>Insumo</t>
        </is>
      </c>
      <c r="C2751" s="10" t="inlineStr">
        <is>
          <t>Mão de obra para colocação de peitoril e pingadeira</t>
        </is>
      </c>
      <c r="D2751" s="10" t="inlineStr">
        <is>
          <t>Mão de obra para colocação de peitoril e pingadeira</t>
        </is>
      </c>
      <c r="E2751" s="11">
        <f t="array" ref="E2751">_xlfn.XLOOKUP(D2751,Insumos!B:B,Insumos!C:$C)</f>
        <v/>
      </c>
      <c r="F2751" s="14" t="n">
        <v>1</v>
      </c>
      <c r="G2751" s="92">
        <f t="array" ref="G2751">IF(B2751="insumo",_xlfn.XLOOKUP($D2751,Insumos!$B$1:$B$996,Insumos!$D$1:$D$996),"")</f>
        <v/>
      </c>
      <c r="H2751" s="92" t="n">
        <v>50</v>
      </c>
      <c r="I2751" s="2162" t="e">
        <v>#REF!</v>
      </c>
      <c r="J2751" s="2162" t="e">
        <v>#REF!</v>
      </c>
      <c r="K2751" s="2162" t="n"/>
    </row>
    <row r="2752" outlineLevel="2" ht="15.75" customHeight="1">
      <c r="A2752" s="1067" t="n">
        <v>1</v>
      </c>
      <c r="B2752" s="1067" t="inlineStr">
        <is>
          <t>Serviço</t>
        </is>
      </c>
      <c r="C2752" s="1067" t="inlineStr">
        <is>
          <t>Mão de obra para assentamento de requadros em portas de elevador</t>
        </is>
      </c>
      <c r="D2752" s="1067" t="inlineStr">
        <is>
          <t>Mão de obra para assentamento de requadros em portas de elevador</t>
        </is>
      </c>
      <c r="E2752" s="1068" t="inlineStr">
        <is>
          <t>M2</t>
        </is>
      </c>
      <c r="F2752" s="1075" t="n"/>
      <c r="G2752" s="1069">
        <f t="array" ref="G2752">IF(B2752="insumo",_xlfn.XLOOKUP($D2752,Insumos!$B$1:$B$996,Insumos!$D$1:$D$996),"")</f>
        <v/>
      </c>
      <c r="H2752" s="1069" t="n">
        <v>50</v>
      </c>
      <c r="I2752" s="2161" t="n">
        <v>0</v>
      </c>
      <c r="J2752" s="2161" t="n">
        <v>0</v>
      </c>
      <c r="K2752" s="2161" t="n"/>
    </row>
    <row r="2753" outlineLevel="3" ht="15.75" customHeight="1">
      <c r="A2753" s="10" t="n">
        <v>1</v>
      </c>
      <c r="B2753" s="10" t="inlineStr">
        <is>
          <t>Insumo</t>
        </is>
      </c>
      <c r="C2753" s="10" t="inlineStr">
        <is>
          <t>Mão de obra para assentamento de requadros em portas de elevador</t>
        </is>
      </c>
      <c r="D2753" s="10" t="inlineStr">
        <is>
          <t>Mão de obra para assentamento de requadros em portas de elevador</t>
        </is>
      </c>
      <c r="E2753" s="11">
        <f t="array" ref="E2753">_xlfn.XLOOKUP(D2753,Insumos!B:B,Insumos!C:$C)</f>
        <v/>
      </c>
      <c r="F2753" s="14" t="n">
        <v>1</v>
      </c>
      <c r="G2753" s="92">
        <f t="array" ref="G2753">IF(B2753="insumo",_xlfn.XLOOKUP($D2753,Insumos!$B$1:$B$996,Insumos!$D$1:$D$996),"")</f>
        <v/>
      </c>
      <c r="H2753" s="92" t="n">
        <v>50</v>
      </c>
      <c r="I2753" s="2162" t="n">
        <v>0</v>
      </c>
      <c r="J2753" s="2162" t="n">
        <v>0</v>
      </c>
      <c r="K2753" s="2162" t="n"/>
    </row>
    <row r="2754" ht="15.75" customHeight="1">
      <c r="A2754" s="7" t="n">
        <v>1</v>
      </c>
      <c r="B2754" s="7" t="inlineStr">
        <is>
          <t>Etapa</t>
        </is>
      </c>
      <c r="C2754" s="7" t="inlineStr">
        <is>
          <t>Mão de obra para assentamento de requadros em portas de elevador</t>
        </is>
      </c>
      <c r="D2754" s="7" t="inlineStr">
        <is>
          <t>REVESTIMENTOS INTERNOS DE TETO</t>
        </is>
      </c>
      <c r="E2754" s="8" t="n"/>
      <c r="F2754" s="2159" t="n"/>
      <c r="G2754" s="91">
        <f t="array" ref="G2754">IF(B2754="insumo",_xlfn.XLOOKUP($D2754,Insumos!$B$1:$B$996,Insumos!$D$1:$D$996),"")</f>
        <v/>
      </c>
      <c r="H2754" s="91" t="n">
        <v>0</v>
      </c>
      <c r="I2754" s="2159" t="n">
        <v>0</v>
      </c>
      <c r="J2754" s="2159" t="n">
        <v>0</v>
      </c>
      <c r="K2754" s="2159" t="n"/>
    </row>
    <row r="2755" outlineLevel="1" ht="15.75" customHeight="1">
      <c r="A2755" s="1090" t="n">
        <v>1</v>
      </c>
      <c r="B2755" s="1090" t="inlineStr">
        <is>
          <t>Subetapa</t>
        </is>
      </c>
      <c r="C2755" s="1090" t="inlineStr">
        <is>
          <t>Mão de obra para assentamento de requadros em portas de elevador</t>
        </is>
      </c>
      <c r="D2755" s="1090" t="inlineStr">
        <is>
          <t>ESTUCAMENTO/REBOCO TETO</t>
        </is>
      </c>
      <c r="E2755" s="1091" t="n"/>
      <c r="F2755" s="2160" t="n"/>
      <c r="G2755" s="1091" t="n"/>
      <c r="H2755" s="1091" t="n">
        <v>0</v>
      </c>
      <c r="I2755" s="2160" t="n">
        <v>0</v>
      </c>
      <c r="J2755" s="2160" t="n">
        <v>0</v>
      </c>
      <c r="K2755" s="2160" t="n"/>
    </row>
    <row r="2756" outlineLevel="2" ht="15.75" customHeight="1">
      <c r="A2756" s="1067" t="n">
        <v>1</v>
      </c>
      <c r="B2756" s="1067" t="inlineStr">
        <is>
          <t>Serviço</t>
        </is>
      </c>
      <c r="C2756" s="1067" t="inlineStr">
        <is>
          <t xml:space="preserve">Regularização de Teto 0,50 cm </t>
        </is>
      </c>
      <c r="D2756" s="1067" t="inlineStr">
        <is>
          <t xml:space="preserve">Regularização de Teto 0,50 cm </t>
        </is>
      </c>
      <c r="E2756" s="1068" t="inlineStr">
        <is>
          <t>M2</t>
        </is>
      </c>
      <c r="F2756" s="1067" t="n"/>
      <c r="G2756" s="1069">
        <f t="array" ref="G2756">IF(B2756="insumo",_xlfn.XLOOKUP($D2756,Insumos!$B$1:$B$996,Insumos!$D$1:$D$996),"")</f>
        <v/>
      </c>
      <c r="H2756" s="1069" t="n">
        <v>3.15602333333333</v>
      </c>
      <c r="I2756" s="2161" t="n">
        <v>0</v>
      </c>
      <c r="J2756" s="2161" t="n">
        <v>0</v>
      </c>
      <c r="K2756" s="2161" t="n"/>
    </row>
    <row r="2757" outlineLevel="3" ht="15.75" customHeight="1">
      <c r="A2757" s="10" t="n">
        <v>32</v>
      </c>
      <c r="B2757" s="10" t="inlineStr">
        <is>
          <t>Insumo</t>
        </is>
      </c>
      <c r="C2757" s="10" t="inlineStr">
        <is>
          <t xml:space="preserve">Regularização de Teto 0,50 cm </t>
        </is>
      </c>
      <c r="D2757" s="10" t="inlineStr">
        <is>
          <t>Argamassa usninada para contrapiso</t>
        </is>
      </c>
      <c r="E2757" s="11">
        <f t="array" ref="E2757">_xlfn.XLOOKUP(D2757,Insumos!B:B,Insumos!C:$C)</f>
        <v/>
      </c>
      <c r="F2757" s="14" t="n">
        <v>0.005500000000000001</v>
      </c>
      <c r="G2757" s="92">
        <f t="array" ref="G2757">IF(B2757="insumo",_xlfn.XLOOKUP($D2757,Insumos!$B$1:$B$996,Insumos!$D$1:$D$996),"")</f>
        <v/>
      </c>
      <c r="H2757" s="92" t="n">
        <v>3.025</v>
      </c>
      <c r="I2757" s="2162" t="n">
        <v>0</v>
      </c>
      <c r="J2757" s="2162" t="n">
        <v>0</v>
      </c>
      <c r="K2757" s="2162" t="n"/>
    </row>
    <row r="2758" outlineLevel="3" ht="15.75" customHeight="1">
      <c r="A2758" s="10" t="n">
        <v>41</v>
      </c>
      <c r="B2758" s="10" t="inlineStr">
        <is>
          <t>Insumo</t>
        </is>
      </c>
      <c r="C2758" s="10" t="inlineStr">
        <is>
          <t xml:space="preserve">Regularização de Teto 0,50 cm </t>
        </is>
      </c>
      <c r="D2758" s="10" t="inlineStr">
        <is>
          <t>Aditivo Adesivo Liquido Para Argamassas De Revestimentos Cimenticios</t>
        </is>
      </c>
      <c r="E2758" s="11">
        <f t="array" ref="E2758">_xlfn.XLOOKUP(D2758,Insumos!B:B,Insumos!C:$C)</f>
        <v/>
      </c>
      <c r="F2758" s="14" t="n">
        <v>0.003500000000000001</v>
      </c>
      <c r="G2758" s="92">
        <f t="array" ref="G2758">IF(B2758="insumo",_xlfn.XLOOKUP($D2758,Insumos!$B$1:$B$996,Insumos!$D$1:$D$996),"")</f>
        <v/>
      </c>
      <c r="H2758" s="92" t="n">
        <v>0.06769</v>
      </c>
      <c r="I2758" s="2162" t="n">
        <v>0</v>
      </c>
      <c r="J2758" s="2162" t="n">
        <v>0</v>
      </c>
      <c r="K2758" s="2162" t="n"/>
    </row>
    <row r="2759" outlineLevel="3" ht="15.75" customHeight="1">
      <c r="A2759" s="10" t="n">
        <v>62</v>
      </c>
      <c r="B2759" s="10" t="inlineStr">
        <is>
          <t>Insumo</t>
        </is>
      </c>
      <c r="C2759" s="10" t="inlineStr">
        <is>
          <t xml:space="preserve">Regularização de Teto 0,50 cm </t>
        </is>
      </c>
      <c r="D2759" s="10" t="inlineStr">
        <is>
          <t>Cimento Portland Composto CP II-32</t>
        </is>
      </c>
      <c r="E2759" s="11">
        <f t="array" ref="E2759">_xlfn.XLOOKUP(D2759,Insumos!B:B,Insumos!C:$C)</f>
        <v/>
      </c>
      <c r="F2759" s="14" t="n">
        <v>0.08333333333333334</v>
      </c>
      <c r="G2759" s="92">
        <f t="array" ref="G2759">IF(B2759="insumo",_xlfn.XLOOKUP($D2759,Insumos!$B$1:$B$996,Insumos!$D$1:$D$996),"")</f>
        <v/>
      </c>
      <c r="H2759" s="92" t="n">
        <v>0.0633333333333333</v>
      </c>
      <c r="I2759" s="2162" t="n">
        <v>0</v>
      </c>
      <c r="J2759" s="2162" t="n">
        <v>0</v>
      </c>
      <c r="K2759" s="2162" t="n"/>
    </row>
    <row r="2760" outlineLevel="2" ht="15.75" customHeight="1">
      <c r="A2760" s="1067" t="n">
        <v>1</v>
      </c>
      <c r="B2760" s="1067" t="inlineStr">
        <is>
          <t>Serviço</t>
        </is>
      </c>
      <c r="C2760" s="1067" t="inlineStr">
        <is>
          <t>Estucamento de teto</t>
        </is>
      </c>
      <c r="D2760" s="1067" t="inlineStr">
        <is>
          <t>Estucamento de teto</t>
        </is>
      </c>
      <c r="E2760" s="1068" t="inlineStr">
        <is>
          <t>M2</t>
        </is>
      </c>
      <c r="F2760" s="1067" t="n"/>
      <c r="G2760" s="1069">
        <f t="array" ref="G2760">IF(B2760="insumo",_xlfn.XLOOKUP($D2760,Insumos!$B$1:$B$996,Insumos!$D$1:$D$996),"")</f>
        <v/>
      </c>
      <c r="H2760" s="1069" t="n">
        <v>5.10291666666667</v>
      </c>
      <c r="I2760" s="2161" t="e">
        <v>#REF!</v>
      </c>
      <c r="J2760" s="2161" t="e">
        <v>#REF!</v>
      </c>
      <c r="K2760" s="2161" t="n"/>
    </row>
    <row r="2761" outlineLevel="3" ht="15.75" customHeight="1">
      <c r="A2761" s="10" t="n">
        <v>62</v>
      </c>
      <c r="B2761" s="10" t="inlineStr">
        <is>
          <t>Insumo</t>
        </is>
      </c>
      <c r="C2761" s="10" t="inlineStr">
        <is>
          <t>Estucamento de teto</t>
        </is>
      </c>
      <c r="D2761" s="10" t="inlineStr">
        <is>
          <t>Cimento Portland Composto CP II-32</t>
        </is>
      </c>
      <c r="E2761" s="11">
        <f t="array" ref="E2761">_xlfn.XLOOKUP(D2761,Insumos!B:B,Insumos!C:$C)</f>
        <v/>
      </c>
      <c r="F2761" s="14" t="n">
        <v>0.6</v>
      </c>
      <c r="G2761" s="92">
        <f t="array" ref="G2761">IF(B2761="insumo",_xlfn.XLOOKUP($D2761,Insumos!$B$1:$B$996,Insumos!$D$1:$D$996),"")</f>
        <v/>
      </c>
      <c r="H2761" s="92" t="n">
        <v>0.456</v>
      </c>
      <c r="I2761" s="2162" t="e">
        <v>#REF!</v>
      </c>
      <c r="J2761" s="2162" t="e">
        <v>#REF!</v>
      </c>
      <c r="K2761" s="2162" t="n"/>
    </row>
    <row r="2762" outlineLevel="3" ht="15.75" customHeight="1">
      <c r="A2762" s="10" t="n">
        <v>2</v>
      </c>
      <c r="B2762" s="10" t="inlineStr">
        <is>
          <t>Insumo</t>
        </is>
      </c>
      <c r="C2762" s="10" t="inlineStr">
        <is>
          <t>Estucamento de teto</t>
        </is>
      </c>
      <c r="D2762" s="10" t="inlineStr">
        <is>
          <t>LIXA EM FOLHA PARA FERRO, NÚMERO 100</t>
        </is>
      </c>
      <c r="E2762" s="11">
        <f t="array" ref="E2762">_xlfn.XLOOKUP(D2762,Insumos!B:B,Insumos!C:$C)</f>
        <v/>
      </c>
      <c r="F2762" s="14" t="n">
        <v>0.05</v>
      </c>
      <c r="G2762" s="92">
        <f t="array" ref="G2762">IF(B2762="insumo",_xlfn.XLOOKUP($D2762,Insumos!$B$1:$B$996,Insumos!$D$1:$D$996),"")</f>
        <v/>
      </c>
      <c r="H2762" s="92" t="n">
        <v>0.1565</v>
      </c>
      <c r="I2762" s="2162" t="e">
        <v>#REF!</v>
      </c>
      <c r="J2762" s="2162" t="e">
        <v>#REF!</v>
      </c>
      <c r="K2762" s="2162" t="n"/>
    </row>
    <row r="2763" outlineLevel="3" ht="15.75" customHeight="1">
      <c r="A2763" s="10" t="n">
        <v>2</v>
      </c>
      <c r="B2763" s="10" t="inlineStr">
        <is>
          <t>Insumo</t>
        </is>
      </c>
      <c r="C2763" s="10" t="inlineStr">
        <is>
          <t>Estucamento de teto</t>
        </is>
      </c>
      <c r="D2763" s="10" t="inlineStr">
        <is>
          <t>CIMENTO BRANCO NÃO ESTRUTURAL</t>
        </is>
      </c>
      <c r="E2763" s="11">
        <f t="array" ref="E2763">_xlfn.XLOOKUP(D2763,Insumos!B:B,Insumos!C:$C)</f>
        <v/>
      </c>
      <c r="F2763" s="14" t="n">
        <v>0.3</v>
      </c>
      <c r="G2763" s="92">
        <f t="array" ref="G2763">IF(B2763="insumo",_xlfn.XLOOKUP($D2763,Insumos!$B$1:$B$996,Insumos!$D$1:$D$996),"")</f>
        <v/>
      </c>
      <c r="H2763" s="92" t="n">
        <v>1.047</v>
      </c>
      <c r="I2763" s="2162" t="e">
        <v>#REF!</v>
      </c>
      <c r="J2763" s="2162" t="e">
        <v>#REF!</v>
      </c>
      <c r="K2763" s="2162" t="n"/>
    </row>
    <row r="2764" outlineLevel="3" ht="15.75" customHeight="1">
      <c r="A2764" s="10" t="n">
        <v>2</v>
      </c>
      <c r="B2764" s="10" t="inlineStr">
        <is>
          <t>Insumo</t>
        </is>
      </c>
      <c r="C2764" s="10" t="inlineStr">
        <is>
          <t>Estucamento de teto</t>
        </is>
      </c>
      <c r="D2764" s="10" t="inlineStr">
        <is>
          <t>ADESIVO DE BASE ACRÍLICA COMPATÍVEL COM CIMENTO</t>
        </is>
      </c>
      <c r="E2764" s="11">
        <f t="array" ref="E2764">_xlfn.XLOOKUP(D2764,Insumos!B:B,Insumos!C:$C)</f>
        <v/>
      </c>
      <c r="F2764" s="14" t="n">
        <v>0.15</v>
      </c>
      <c r="G2764" s="92">
        <f t="array" ref="G2764">IF(B2764="insumo",_xlfn.XLOOKUP($D2764,Insumos!$B$1:$B$996,Insumos!$D$1:$D$996),"")</f>
        <v/>
      </c>
      <c r="H2764" s="92" t="n">
        <v>3.44341666666667</v>
      </c>
      <c r="I2764" s="2162" t="e">
        <v>#REF!</v>
      </c>
      <c r="J2764" s="2162" t="e">
        <v>#REF!</v>
      </c>
      <c r="K2764" s="2162" t="n"/>
    </row>
    <row r="2765" outlineLevel="2" ht="12.75" customHeight="1">
      <c r="A2765" s="1071" t="n">
        <v>1</v>
      </c>
      <c r="B2765" s="1071" t="inlineStr">
        <is>
          <t>Serviço</t>
        </is>
      </c>
      <c r="C2765" s="1071" t="inlineStr">
        <is>
          <t>Chapisco aplicado em teto, com argamassa pré-fabricada adesiva de cimento colante, aplicação convencional</t>
        </is>
      </c>
      <c r="D2765" s="1071" t="inlineStr">
        <is>
          <t>Chapisco aplicado em teto, com argamassa pré-fabricada adesiva de cimento colante, aplicação convencional</t>
        </is>
      </c>
      <c r="E2765" s="1072" t="inlineStr">
        <is>
          <t>M2</t>
        </is>
      </c>
      <c r="F2765" s="1071" t="n"/>
      <c r="G2765" s="1073">
        <f t="array" ref="G2765">IF(B2765="insumo",_xlfn.XLOOKUP($D2765,Insumos!$B$1:$B$996,Insumos!$D$1:$D$996),"")</f>
        <v/>
      </c>
      <c r="H2765" s="1073" t="n">
        <v>10.11778</v>
      </c>
      <c r="I2765" s="2163" t="e">
        <v>#REF!</v>
      </c>
      <c r="J2765" s="2163" t="e">
        <v>#REF!</v>
      </c>
      <c r="K2765" s="2163" t="n"/>
    </row>
    <row r="2766" outlineLevel="3" ht="12.75" customHeight="1">
      <c r="A2766" s="82" t="n">
        <v>191</v>
      </c>
      <c r="B2766" s="82" t="inlineStr">
        <is>
          <t>Insumo</t>
        </is>
      </c>
      <c r="C2766" s="82" t="inlineStr">
        <is>
          <t>Chapisco aplicado em teto, com argamassa pré-fabricada adesiva de cimento colante, aplicação convencional</t>
        </is>
      </c>
      <c r="D2766" s="82" t="inlineStr">
        <is>
          <t>Argamassa ACIII</t>
        </is>
      </c>
      <c r="E2766" s="11">
        <f t="array" ref="E2766">_xlfn.XLOOKUP(D2766,Insumos!B:B,Insumos!C:$C)</f>
        <v/>
      </c>
      <c r="F2766" s="2164" t="n">
        <v>6.34</v>
      </c>
      <c r="G2766" s="92">
        <f t="array" ref="G2766">IF(B2766="insumo",_xlfn.XLOOKUP($D2766,Insumos!$B$1:$B$996,Insumos!$D$1:$D$996),"")</f>
        <v/>
      </c>
      <c r="H2766" s="92" t="n">
        <v>6.74893</v>
      </c>
      <c r="I2766" s="2165" t="e">
        <v>#REF!</v>
      </c>
      <c r="J2766" s="2165" t="e">
        <v>#REF!</v>
      </c>
      <c r="K2766" s="2165" t="n"/>
    </row>
    <row r="2767" outlineLevel="3" ht="12.75" customHeight="1">
      <c r="A2767" s="82" t="n">
        <v>4</v>
      </c>
      <c r="B2767" s="82" t="inlineStr">
        <is>
          <t>Insumo</t>
        </is>
      </c>
      <c r="C2767" s="82" t="inlineStr">
        <is>
          <t>Chapisco aplicado em teto, com argamassa pré-fabricada adesiva de cimento colante, aplicação convencional</t>
        </is>
      </c>
      <c r="D2767" s="82" t="inlineStr">
        <is>
          <t xml:space="preserve">Aditivo Bianco Adesivo Argamassa Chapisco </t>
        </is>
      </c>
      <c r="E2767" s="11">
        <f t="array" ref="E2767">_xlfn.XLOOKUP(D2767,Insumos!B:B,Insumos!C:$C)</f>
        <v/>
      </c>
      <c r="F2767" s="2164" t="n">
        <v>0.3</v>
      </c>
      <c r="G2767" s="92">
        <f t="array" ref="G2767">IF(B2767="insumo",_xlfn.XLOOKUP($D2767,Insumos!$B$1:$B$996,Insumos!$D$1:$D$996),"")</f>
        <v/>
      </c>
      <c r="H2767" s="92" t="n">
        <v>3.36885</v>
      </c>
      <c r="I2767" s="2165" t="e">
        <v>#REF!</v>
      </c>
      <c r="J2767" s="2165" t="e">
        <v>#REF!</v>
      </c>
      <c r="K2767" s="2165" t="n"/>
    </row>
    <row r="2768" outlineLevel="2" ht="15.75" customHeight="1">
      <c r="A2768" s="1067" t="n">
        <v>1</v>
      </c>
      <c r="B2768" s="1067" t="inlineStr">
        <is>
          <t>Serviço</t>
        </is>
      </c>
      <c r="C2768" s="1067" t="inlineStr">
        <is>
          <t>Massa unica para reboco interno em Tetos com argamassa estabilizada, espessura de 2,5cm, com execução desempenado fino</t>
        </is>
      </c>
      <c r="D2768" s="1067" t="inlineStr">
        <is>
          <t>Massa unica para reboco interno em Tetos com argamassa estabilizada, espessura de 2,5cm, com execução desempenado fino</t>
        </is>
      </c>
      <c r="E2768" s="1068" t="inlineStr">
        <is>
          <t>M2</t>
        </is>
      </c>
      <c r="F2768" s="1067" t="n"/>
      <c r="G2768" s="1069">
        <f t="array" ref="G2768">IF(B2768="insumo",_xlfn.XLOOKUP($D2768,Insumos!$B$1:$B$996,Insumos!$D$1:$D$996),"")</f>
        <v/>
      </c>
      <c r="H2768" s="1069" t="n">
        <v>10.89375</v>
      </c>
      <c r="I2768" s="2161" t="e">
        <v>#REF!</v>
      </c>
      <c r="J2768" s="2161" t="e">
        <v>#REF!</v>
      </c>
      <c r="K2768" s="2161" t="n"/>
    </row>
    <row r="2769" outlineLevel="3" ht="15.75" customHeight="1">
      <c r="A2769" s="10" t="n">
        <v>7</v>
      </c>
      <c r="B2769" s="10" t="inlineStr">
        <is>
          <t>Insumo</t>
        </is>
      </c>
      <c r="C2769" s="10" t="inlineStr">
        <is>
          <t>Massa unica para reboco interno em Tetos com argamassa estabilizada, espessura de 2,5cm, com execução desempenado fino</t>
        </is>
      </c>
      <c r="D2769" s="10" t="inlineStr">
        <is>
          <t>Argamassa Usinada para emboço/massa única</t>
        </is>
      </c>
      <c r="E2769" s="11">
        <f t="array" ref="E2769">_xlfn.XLOOKUP(D2769,Insumos!B:B,Insumos!C:$C)</f>
        <v/>
      </c>
      <c r="F2769" s="14" t="n">
        <v>0.02625</v>
      </c>
      <c r="G2769" s="92">
        <f t="array" ref="G2769">IF(B2769="insumo",_xlfn.XLOOKUP($D2769,Insumos!$B$1:$B$996,Insumos!$D$1:$D$996),"")</f>
        <v/>
      </c>
      <c r="H2769" s="92" t="n">
        <v>10.89375</v>
      </c>
      <c r="I2769" s="2162" t="e">
        <v>#REF!</v>
      </c>
      <c r="J2769" s="2162" t="e">
        <v>#REF!</v>
      </c>
      <c r="K2769" s="2162" t="n"/>
    </row>
    <row r="2770" outlineLevel="2" ht="15.75" customHeight="1">
      <c r="A2770" s="1067" t="n">
        <v>1</v>
      </c>
      <c r="B2770" s="1067" t="inlineStr">
        <is>
          <t>Serviço</t>
        </is>
      </c>
      <c r="C2770" s="1067" t="inlineStr">
        <is>
          <t>Massa unica para reboco interno em tetos com argamassa estabilizada projetada, espessura 2,0cm, desempenado fino</t>
        </is>
      </c>
      <c r="D2770" s="1067" t="inlineStr">
        <is>
          <t>Massa unica para reboco interno em tetos com argamassa estabilizada projetada, espessura 2,0cm, desempenado fino</t>
        </is>
      </c>
      <c r="E2770" s="1068" t="inlineStr">
        <is>
          <t>M2</t>
        </is>
      </c>
      <c r="F2770" s="1067" t="n"/>
      <c r="G2770" s="1069">
        <f t="array" ref="G2770">IF(B2770="insumo",_xlfn.XLOOKUP($D2770,Insumos!$B$1:$B$996,Insumos!$D$1:$D$996),"")</f>
        <v/>
      </c>
      <c r="H2770" s="1069" t="n">
        <v>19</v>
      </c>
      <c r="I2770" s="2161" t="n">
        <v>0</v>
      </c>
      <c r="J2770" s="2161" t="n">
        <v>0</v>
      </c>
      <c r="K2770" s="2161" t="n"/>
    </row>
    <row r="2771" outlineLevel="3" ht="15.75" customHeight="1">
      <c r="A2771" s="10" t="n">
        <v>3</v>
      </c>
      <c r="B2771" s="10" t="inlineStr">
        <is>
          <t>Insumo</t>
        </is>
      </c>
      <c r="C2771" s="10" t="inlineStr">
        <is>
          <t>Massa unica para reboco interno em tetos com argamassa estabilizada projetada, espessura 2,0cm, desempenado fino</t>
        </is>
      </c>
      <c r="D2771" s="10" t="inlineStr">
        <is>
          <t>Argamassa industrializada para Para Reboco</t>
        </is>
      </c>
      <c r="E2771" s="11">
        <f t="array" ref="E2771">_xlfn.XLOOKUP(D2771,Insumos!B:B,Insumos!C:$C)</f>
        <v/>
      </c>
      <c r="F2771" s="14" t="n">
        <v>20</v>
      </c>
      <c r="G2771" s="92">
        <f t="array" ref="G2771">IF(B2771="insumo",_xlfn.XLOOKUP($D2771,Insumos!$B$1:$B$996,Insumos!$D$1:$D$996),"")</f>
        <v/>
      </c>
      <c r="H2771" s="92" t="n">
        <v>19</v>
      </c>
      <c r="I2771" s="2162" t="n">
        <v>0</v>
      </c>
      <c r="J2771" s="2162" t="n">
        <v>0</v>
      </c>
      <c r="K2771" s="2162" t="n"/>
    </row>
    <row r="2772" outlineLevel="1" ht="15.75" customHeight="1">
      <c r="A2772" s="1090" t="n">
        <v>1</v>
      </c>
      <c r="B2772" s="1090" t="inlineStr">
        <is>
          <t>Subetapa</t>
        </is>
      </c>
      <c r="C2772" s="1090" t="inlineStr">
        <is>
          <t>Massa unica para reboco interno em tetos com argamassa estabilizada projetada, espessura 2,0cm, desempenado fino</t>
        </is>
      </c>
      <c r="D2772" s="1090" t="inlineStr">
        <is>
          <t>FORRO DE GESSO</t>
        </is>
      </c>
      <c r="E2772" s="1091" t="n"/>
      <c r="F2772" s="2160" t="n"/>
      <c r="G2772" s="1091" t="n"/>
      <c r="H2772" s="1091" t="n">
        <v>0</v>
      </c>
      <c r="I2772" s="2160" t="n">
        <v>0</v>
      </c>
      <c r="J2772" s="2160" t="n">
        <v>0</v>
      </c>
      <c r="K2772" s="2160" t="n"/>
    </row>
    <row r="2773" outlineLevel="2" ht="15.75" customHeight="1">
      <c r="A2773" s="1067" t="n">
        <v>1</v>
      </c>
      <c r="B2773" s="1067" t="inlineStr">
        <is>
          <t>Serviço</t>
        </is>
      </c>
      <c r="C2773" s="1067" t="inlineStr">
        <is>
          <t>Cortineiro em gesso</t>
        </is>
      </c>
      <c r="D2773" s="1067" t="inlineStr">
        <is>
          <t>Cortineiro em gesso</t>
        </is>
      </c>
      <c r="E2773" s="1068" t="inlineStr">
        <is>
          <t>M</t>
        </is>
      </c>
      <c r="F2773" s="1067" t="n"/>
      <c r="G2773" s="1069">
        <f t="array" ref="G2773">IF(B2773="insumo",_xlfn.XLOOKUP($D2773,Insumos!$B$1:$B$996,Insumos!$D$1:$D$996),"")</f>
        <v/>
      </c>
      <c r="H2773" s="1069" t="n">
        <v>44.8</v>
      </c>
      <c r="I2773" s="2161" t="n">
        <v>0</v>
      </c>
      <c r="J2773" s="2161" t="n">
        <v>0</v>
      </c>
      <c r="K2773" s="2161" t="n"/>
    </row>
    <row r="2774" outlineLevel="3" ht="15.75" customHeight="1">
      <c r="A2774" s="10" t="n">
        <v>1</v>
      </c>
      <c r="B2774" s="10" t="inlineStr">
        <is>
          <t>Insumo</t>
        </is>
      </c>
      <c r="C2774" s="10" t="inlineStr">
        <is>
          <t>Cortineiro em gesso</t>
        </is>
      </c>
      <c r="D2774" s="10" t="inlineStr">
        <is>
          <t>Cortineiro Isopor Cortina Sanca 1 Metro 15cm L X 10cm A - Branco, , COLOR Branco</t>
        </is>
      </c>
      <c r="E2774" s="11">
        <f t="array" ref="E2774">_xlfn.XLOOKUP(D2774,Insumos!B:B,Insumos!C:$C)</f>
        <v/>
      </c>
      <c r="F2774" s="14" t="n">
        <v>1</v>
      </c>
      <c r="G2774" s="92">
        <f t="array" ref="G2774">IF(B2774="insumo",_xlfn.XLOOKUP($D2774,Insumos!$B$1:$B$996,Insumos!$D$1:$D$996),"")</f>
        <v/>
      </c>
      <c r="H2774" s="92" t="n">
        <v>44.8</v>
      </c>
      <c r="I2774" s="2162" t="n">
        <v>0</v>
      </c>
      <c r="J2774" s="2162" t="n">
        <v>0</v>
      </c>
      <c r="K2774" s="2162" t="n"/>
    </row>
    <row r="2775" outlineLevel="2" ht="15.75" customHeight="1">
      <c r="A2775" s="1067" t="n">
        <v>1</v>
      </c>
      <c r="B2775" s="1067" t="inlineStr">
        <is>
          <t>Serviço</t>
        </is>
      </c>
      <c r="C2775" s="1067" t="inlineStr">
        <is>
          <t>Cortineiro em gesso com rasgo iluminado</t>
        </is>
      </c>
      <c r="D2775" s="1067" t="inlineStr">
        <is>
          <t>Cortineiro em gesso com rasgo iluminado</t>
        </is>
      </c>
      <c r="E2775" s="1068" t="inlineStr">
        <is>
          <t>M</t>
        </is>
      </c>
      <c r="F2775" s="1067" t="n"/>
      <c r="G2775" s="1069">
        <f t="array" ref="G2775">IF(B2775="insumo",_xlfn.XLOOKUP($D2775,Insumos!$B$1:$B$996,Insumos!$D$1:$D$996),"")</f>
        <v/>
      </c>
      <c r="H2775" s="1069" t="n">
        <v>82.374</v>
      </c>
      <c r="I2775" s="2161" t="e">
        <v>#REF!</v>
      </c>
      <c r="J2775" s="2161" t="e">
        <v>#REF!</v>
      </c>
      <c r="K2775" s="2161" t="n"/>
    </row>
    <row r="2776" outlineLevel="3" ht="15.75" customHeight="1">
      <c r="A2776" s="10" t="n">
        <v>1</v>
      </c>
      <c r="B2776" s="10" t="inlineStr">
        <is>
          <t>Insumo</t>
        </is>
      </c>
      <c r="C2776" s="10" t="inlineStr">
        <is>
          <t>Cortineiro em gesso com rasgo iluminado</t>
        </is>
      </c>
      <c r="D2776" s="10" t="inlineStr">
        <is>
          <t>Cortineiro em gesso com rasgo iluminado</t>
        </is>
      </c>
      <c r="E2776" s="11">
        <f t="array" ref="E2776">_xlfn.XLOOKUP(D2776,Insumos!B:B,Insumos!C:$C)</f>
        <v/>
      </c>
      <c r="F2776" s="14" t="n">
        <v>1.3729</v>
      </c>
      <c r="G2776" s="92">
        <f t="array" ref="G2776">IF(B2776="insumo",_xlfn.XLOOKUP($D2776,Insumos!$B$1:$B$996,Insumos!$D$1:$D$996),"")</f>
        <v/>
      </c>
      <c r="H2776" s="92" t="n">
        <v>82.374</v>
      </c>
      <c r="I2776" s="2162" t="e">
        <v>#REF!</v>
      </c>
      <c r="J2776" s="2162" t="e">
        <v>#REF!</v>
      </c>
      <c r="K2776" s="2162" t="n"/>
    </row>
    <row r="2777" outlineLevel="2" ht="15.75" customHeight="1">
      <c r="A2777" s="1067" t="n">
        <v>1</v>
      </c>
      <c r="B2777" s="1067" t="inlineStr">
        <is>
          <t>Serviço</t>
        </is>
      </c>
      <c r="C2777" s="1067" t="inlineStr">
        <is>
          <t>Tabica em gesso com perfil metálico LED</t>
        </is>
      </c>
      <c r="D2777" s="1067" t="inlineStr">
        <is>
          <t>Tabica em gesso com perfil metálico LED</t>
        </is>
      </c>
      <c r="E2777" s="1068" t="inlineStr">
        <is>
          <t>M</t>
        </is>
      </c>
      <c r="F2777" s="1067" t="n"/>
      <c r="G2777" s="1069">
        <f t="array" ref="G2777">IF(B2777="insumo",_xlfn.XLOOKUP($D2777,Insumos!$B$1:$B$996,Insumos!$D$1:$D$996),"")</f>
        <v/>
      </c>
      <c r="H2777" s="1069" t="n">
        <v>61.7805</v>
      </c>
      <c r="I2777" s="2161" t="e">
        <v>#REF!</v>
      </c>
      <c r="J2777" s="2161" t="e">
        <v>#REF!</v>
      </c>
      <c r="K2777" s="2161" t="n"/>
    </row>
    <row r="2778" outlineLevel="3" ht="15.75" customHeight="1">
      <c r="A2778" s="10" t="n">
        <v>1</v>
      </c>
      <c r="B2778" s="10" t="inlineStr">
        <is>
          <t>Insumo</t>
        </is>
      </c>
      <c r="C2778" s="10" t="inlineStr">
        <is>
          <t>Tabica em gesso com perfil metálico LED</t>
        </is>
      </c>
      <c r="D2778" s="10" t="inlineStr">
        <is>
          <t>Tabica em gesso com perfil metálico LED</t>
        </is>
      </c>
      <c r="E2778" s="11">
        <f t="array" ref="E2778">_xlfn.XLOOKUP(D2778,Insumos!B:B,Insumos!C:$C)</f>
        <v/>
      </c>
      <c r="F2778" s="14" t="n">
        <v>1.3729</v>
      </c>
      <c r="G2778" s="92">
        <f t="array" ref="G2778">IF(B2778="insumo",_xlfn.XLOOKUP($D2778,Insumos!$B$1:$B$996,Insumos!$D$1:$D$996),"")</f>
        <v/>
      </c>
      <c r="H2778" s="92" t="n">
        <v>61.7805</v>
      </c>
      <c r="I2778" s="2162" t="e">
        <v>#REF!</v>
      </c>
      <c r="J2778" s="2162" t="e">
        <v>#REF!</v>
      </c>
      <c r="K2778" s="2162" t="n"/>
    </row>
    <row r="2779" outlineLevel="2" ht="15.75" customHeight="1">
      <c r="A2779" s="1067" t="n">
        <v>1</v>
      </c>
      <c r="B2779" s="1067" t="inlineStr">
        <is>
          <t>Serviço</t>
        </is>
      </c>
      <c r="C2779" s="1067" t="inlineStr">
        <is>
          <t>Tabica em gesso</t>
        </is>
      </c>
      <c r="D2779" s="1067" t="inlineStr">
        <is>
          <t>Tabica em gesso</t>
        </is>
      </c>
      <c r="E2779" s="1068" t="inlineStr">
        <is>
          <t>M</t>
        </is>
      </c>
      <c r="F2779" s="1067" t="n"/>
      <c r="G2779" s="1069">
        <f t="array" ref="G2779">IF(B2779="insumo",_xlfn.XLOOKUP($D2779,Insumos!$B$1:$B$996,Insumos!$D$1:$D$996),"")</f>
        <v/>
      </c>
      <c r="H2779" s="1069" t="n">
        <v>32.4</v>
      </c>
      <c r="I2779" s="2161" t="n">
        <v>0</v>
      </c>
      <c r="J2779" s="2161" t="n">
        <v>0</v>
      </c>
      <c r="K2779" s="2161" t="n"/>
    </row>
    <row r="2780" outlineLevel="3" ht="15.75" customHeight="1">
      <c r="A2780" s="10" t="n">
        <v>1</v>
      </c>
      <c r="B2780" s="10" t="inlineStr">
        <is>
          <t>Insumo</t>
        </is>
      </c>
      <c r="C2780" s="10" t="inlineStr">
        <is>
          <t>Tabica em gesso</t>
        </is>
      </c>
      <c r="D2780" s="10" t="inlineStr">
        <is>
          <t>Tabica em gesso</t>
        </is>
      </c>
      <c r="E2780" s="11">
        <f t="array" ref="E2780">_xlfn.XLOOKUP(D2780,Insumos!B:B,Insumos!C:$C)</f>
        <v/>
      </c>
      <c r="F2780" s="14" t="n">
        <v>1</v>
      </c>
      <c r="G2780" s="92">
        <f t="array" ref="G2780">IF(B2780="insumo",_xlfn.XLOOKUP($D2780,Insumos!$B$1:$B$996,Insumos!$D$1:$D$996),"")</f>
        <v/>
      </c>
      <c r="H2780" s="92" t="n">
        <v>32.4</v>
      </c>
      <c r="I2780" s="2162" t="n">
        <v>0</v>
      </c>
      <c r="J2780" s="2162" t="n">
        <v>0</v>
      </c>
      <c r="K2780" s="2162" t="n"/>
    </row>
    <row r="2781" outlineLevel="2" ht="15.75" customHeight="1">
      <c r="A2781" s="1067" t="n">
        <v>1</v>
      </c>
      <c r="B2781" s="1067" t="inlineStr">
        <is>
          <t>Serviço</t>
        </is>
      </c>
      <c r="C2781" s="1067" t="inlineStr">
        <is>
          <t>Sanca em gesso</t>
        </is>
      </c>
      <c r="D2781" s="1067" t="inlineStr">
        <is>
          <t>Sanca em gesso</t>
        </is>
      </c>
      <c r="E2781" s="1068" t="inlineStr">
        <is>
          <t>M</t>
        </is>
      </c>
      <c r="F2781" s="1067" t="n"/>
      <c r="G2781" s="1069">
        <f t="array" ref="G2781">IF(B2781="insumo",_xlfn.XLOOKUP($D2781,Insumos!$B$1:$B$996,Insumos!$D$1:$D$996),"")</f>
        <v/>
      </c>
      <c r="H2781" s="1069" t="n">
        <v>67.2</v>
      </c>
      <c r="I2781" s="2161" t="n">
        <v>0</v>
      </c>
      <c r="J2781" s="2161" t="n">
        <v>0</v>
      </c>
      <c r="K2781" s="2161" t="n"/>
    </row>
    <row r="2782" outlineLevel="3" ht="15.75" customHeight="1">
      <c r="A2782" s="10" t="n">
        <v>1</v>
      </c>
      <c r="B2782" s="10" t="inlineStr">
        <is>
          <t>Insumo</t>
        </is>
      </c>
      <c r="C2782" s="10" t="inlineStr">
        <is>
          <t>Sanca em gesso</t>
        </is>
      </c>
      <c r="D2782" s="10" t="inlineStr">
        <is>
          <t>Sanca em gesso</t>
        </is>
      </c>
      <c r="E2782" s="11">
        <f t="array" ref="E2782">_xlfn.XLOOKUP(D2782,Insumos!B:B,Insumos!C:$C)</f>
        <v/>
      </c>
      <c r="F2782" s="14" t="n">
        <v>1</v>
      </c>
      <c r="G2782" s="92">
        <f t="array" ref="G2782">IF(B2782="insumo",_xlfn.XLOOKUP($D2782,Insumos!$B$1:$B$996,Insumos!$D$1:$D$996),"")</f>
        <v/>
      </c>
      <c r="H2782" s="92" t="n">
        <v>67.2</v>
      </c>
      <c r="I2782" s="2162" t="n">
        <v>0</v>
      </c>
      <c r="J2782" s="2162" t="n">
        <v>0</v>
      </c>
      <c r="K2782" s="2162" t="n"/>
    </row>
    <row r="2783" outlineLevel="2" ht="15.75" customHeight="1">
      <c r="A2783" s="1067" t="n">
        <v>1</v>
      </c>
      <c r="B2783" s="1067" t="inlineStr">
        <is>
          <t>Serviço</t>
        </is>
      </c>
      <c r="C2783" s="1067" t="inlineStr">
        <is>
          <t>Sanca em gesso com iluminação indireta + LED + perfil</t>
        </is>
      </c>
      <c r="D2783" s="1067" t="inlineStr">
        <is>
          <t>Sanca em gesso com iluminação indireta + LED + perfil</t>
        </is>
      </c>
      <c r="E2783" s="1068" t="inlineStr">
        <is>
          <t>M</t>
        </is>
      </c>
      <c r="F2783" s="1067" t="n"/>
      <c r="G2783" s="1069">
        <f t="array" ref="G2783">IF(B2783="insumo",_xlfn.XLOOKUP($D2783,Insumos!$B$1:$B$996,Insumos!$D$1:$D$996),"")</f>
        <v/>
      </c>
      <c r="H2783" s="1069" t="n">
        <v>116.6965</v>
      </c>
      <c r="I2783" s="2161" t="e">
        <v>#REF!</v>
      </c>
      <c r="J2783" s="2161" t="e">
        <v>#REF!</v>
      </c>
      <c r="K2783" s="2161" t="n"/>
    </row>
    <row r="2784" outlineLevel="3" ht="15.75" customHeight="1">
      <c r="A2784" s="10" t="n">
        <v>1</v>
      </c>
      <c r="B2784" s="10" t="inlineStr">
        <is>
          <t>Insumo</t>
        </is>
      </c>
      <c r="C2784" s="10" t="inlineStr">
        <is>
          <t>Sanca em gesso com iluminação indireta + LED + perfil</t>
        </is>
      </c>
      <c r="D2784" s="10" t="inlineStr">
        <is>
          <t>Sanca em gesso com iluminação indireta + LED + perfil</t>
        </is>
      </c>
      <c r="E2784" s="11">
        <f t="array" ref="E2784">_xlfn.XLOOKUP(D2784,Insumos!B:B,Insumos!C:$C)</f>
        <v/>
      </c>
      <c r="F2784" s="14" t="n">
        <v>1.3729</v>
      </c>
      <c r="G2784" s="92">
        <f t="array" ref="G2784">IF(B2784="insumo",_xlfn.XLOOKUP($D2784,Insumos!$B$1:$B$996,Insumos!$D$1:$D$996),"")</f>
        <v/>
      </c>
      <c r="H2784" s="92" t="n">
        <v>116.6965</v>
      </c>
      <c r="I2784" s="2162" t="e">
        <v>#REF!</v>
      </c>
      <c r="J2784" s="2162" t="e">
        <v>#REF!</v>
      </c>
      <c r="K2784" s="2162" t="n"/>
    </row>
    <row r="2785" outlineLevel="2" ht="15.75" customHeight="1">
      <c r="A2785" s="1067" t="n">
        <v>1</v>
      </c>
      <c r="B2785" s="1067" t="inlineStr">
        <is>
          <t>Serviço</t>
        </is>
      </c>
      <c r="C2785" s="1067" t="inlineStr">
        <is>
          <t>Isolmento acustico em teto</t>
        </is>
      </c>
      <c r="D2785" s="1067" t="inlineStr">
        <is>
          <t>Isolmento acustico em teto</t>
        </is>
      </c>
      <c r="E2785" s="1068" t="inlineStr">
        <is>
          <t>M2</t>
        </is>
      </c>
      <c r="F2785" s="1067" t="n"/>
      <c r="G2785" s="1069">
        <f t="array" ref="G2785">IF(B2785="insumo",_xlfn.XLOOKUP($D2785,Insumos!$B$1:$B$996,Insumos!$D$1:$D$996),"")</f>
        <v/>
      </c>
      <c r="H2785" s="1069" t="n">
        <v>88.4270666666667</v>
      </c>
      <c r="I2785" s="2161" t="n">
        <v>0</v>
      </c>
      <c r="J2785" s="2161" t="n">
        <v>0</v>
      </c>
      <c r="K2785" s="2161" t="n"/>
    </row>
    <row r="2786" outlineLevel="3" ht="15.75" customHeight="1">
      <c r="A2786" s="10" t="n">
        <v>1</v>
      </c>
      <c r="B2786" s="10" t="inlineStr">
        <is>
          <t>Insumo</t>
        </is>
      </c>
      <c r="C2786" s="10" t="inlineStr">
        <is>
          <t>Isolmento acustico em teto</t>
        </is>
      </c>
      <c r="D2786" s="10" t="inlineStr">
        <is>
          <t>Forro De Fibra Mineral Armstrong Ceilings Scala Lay-in 1250 X 625 X 16mm</t>
        </is>
      </c>
      <c r="E2786" s="11">
        <f t="array" ref="E2786">_xlfn.XLOOKUP(D2786,Insumos!B:B,Insumos!C:$C)</f>
        <v/>
      </c>
      <c r="F2786" s="14" t="n">
        <v>1</v>
      </c>
      <c r="G2786" s="92">
        <f t="array" ref="G2786">IF(B2786="insumo",_xlfn.XLOOKUP($D2786,Insumos!$B$1:$B$996,Insumos!$D$1:$D$996),"")</f>
        <v/>
      </c>
      <c r="H2786" s="92" t="n">
        <v>75.5984</v>
      </c>
      <c r="I2786" s="2162" t="n">
        <v>0</v>
      </c>
      <c r="J2786" s="2162" t="n">
        <v>0</v>
      </c>
      <c r="K2786" s="2162" t="n"/>
    </row>
    <row r="2787" outlineLevel="3" ht="15.75" customHeight="1">
      <c r="A2787" s="10" t="n">
        <v>5</v>
      </c>
      <c r="B2787" s="10" t="inlineStr">
        <is>
          <t>Insumo</t>
        </is>
      </c>
      <c r="C2787" s="10" t="inlineStr">
        <is>
          <t>Isolmento acustico em teto</t>
        </is>
      </c>
      <c r="D2787" s="10" t="inlineStr">
        <is>
          <t>LÂ DE VIDRO PARA ISOLAMENTO 50mm</t>
        </is>
      </c>
      <c r="E2787" s="11">
        <f t="array" ref="E2787">_xlfn.XLOOKUP(D2787,Insumos!B:B,Insumos!C:$C)</f>
        <v/>
      </c>
      <c r="F2787" s="14" t="n">
        <v>1</v>
      </c>
      <c r="G2787" s="92">
        <f t="array" ref="G2787">IF(B2787="insumo",_xlfn.XLOOKUP($D2787,Insumos!$B$1:$B$996,Insumos!$D$1:$D$996),"")</f>
        <v/>
      </c>
      <c r="H2787" s="92" t="n">
        <v>12.8286666666667</v>
      </c>
      <c r="I2787" s="2162" t="n">
        <v>0</v>
      </c>
      <c r="J2787" s="2162" t="n">
        <v>0</v>
      </c>
      <c r="K2787" s="2162" t="n"/>
    </row>
    <row r="2788" outlineLevel="2" ht="15.75" customHeight="1">
      <c r="A2788" s="1067" t="n">
        <v>1</v>
      </c>
      <c r="B2788" s="1067" t="inlineStr">
        <is>
          <t>Serviço</t>
        </is>
      </c>
      <c r="C2788" s="1067" t="inlineStr">
        <is>
          <t>Forro de gesso mineral em tetos - Material e Mão de Obra</t>
        </is>
      </c>
      <c r="D2788" s="1067" t="inlineStr">
        <is>
          <t>Forro de gesso mineral em tetos - Material e Mão de Obra</t>
        </is>
      </c>
      <c r="E2788" s="1068" t="inlineStr">
        <is>
          <t>M2</t>
        </is>
      </c>
      <c r="F2788" s="1067" t="n"/>
      <c r="G2788" s="1069" t="n"/>
      <c r="H2788" s="1069" t="n">
        <v>55</v>
      </c>
      <c r="I2788" s="2161" t="n">
        <v>0</v>
      </c>
      <c r="J2788" s="2161" t="n">
        <v>0</v>
      </c>
      <c r="K2788" s="2161" t="n"/>
    </row>
    <row r="2789" outlineLevel="3" ht="15.75" customHeight="1">
      <c r="A2789" s="10" t="n">
        <v>1</v>
      </c>
      <c r="B2789" s="10" t="inlineStr">
        <is>
          <t>Insumo</t>
        </is>
      </c>
      <c r="C2789" s="10" t="inlineStr">
        <is>
          <t>Forro de gesso mineral em tetos - Material e Mão de Obra</t>
        </is>
      </c>
      <c r="D2789" s="10" t="inlineStr">
        <is>
          <t>Forro de gesso mineral em tetos - Material e Mão de Obra</t>
        </is>
      </c>
      <c r="E2789" s="11">
        <f t="array" ref="E2789">_xlfn.XLOOKUP(D2789,Insumos!B:B,Insumos!C:$C)</f>
        <v/>
      </c>
      <c r="F2789" s="14" t="n">
        <v>1</v>
      </c>
      <c r="G2789" s="92">
        <f t="array" ref="G2789">IF(B2789="insumo",_xlfn.XLOOKUP($D2789,Insumos!$B$1:$B$996,Insumos!$D$1:$D$996),"")</f>
        <v/>
      </c>
      <c r="H2789" s="92" t="n">
        <v>55</v>
      </c>
      <c r="I2789" s="2162" t="n">
        <v>0</v>
      </c>
      <c r="J2789" s="2162" t="n">
        <v>0</v>
      </c>
      <c r="K2789" s="2162" t="n"/>
    </row>
    <row r="2790" outlineLevel="2" ht="15.75" customHeight="1">
      <c r="A2790" s="1067" t="n">
        <v>1</v>
      </c>
      <c r="B2790" s="1067" t="inlineStr">
        <is>
          <t>Serviço</t>
        </is>
      </c>
      <c r="C2790" s="1067" t="inlineStr">
        <is>
          <t>Negativo de forro de gesso mineral</t>
        </is>
      </c>
      <c r="D2790" s="1067" t="inlineStr">
        <is>
          <t>Negativo de forro de gesso mineral</t>
        </is>
      </c>
      <c r="E2790" s="1068" t="inlineStr">
        <is>
          <t>M2</t>
        </is>
      </c>
      <c r="F2790" s="1067" t="n"/>
      <c r="G2790" s="1069">
        <f t="array" ref="G2790">IF(B2790="insumo",_xlfn.XLOOKUP($D2790,Insumos!$B$1:$B$996,Insumos!$D$1:$D$996),"")</f>
        <v/>
      </c>
      <c r="H2790" s="1069" t="n">
        <v>35</v>
      </c>
      <c r="I2790" s="2161" t="n">
        <v>0</v>
      </c>
      <c r="J2790" s="2161" t="n">
        <v>0</v>
      </c>
      <c r="K2790" s="2161" t="n"/>
    </row>
    <row r="2791" outlineLevel="3" ht="15.75" customHeight="1">
      <c r="A2791" s="10" t="n">
        <v>1</v>
      </c>
      <c r="B2791" s="10" t="inlineStr">
        <is>
          <t>Insumo</t>
        </is>
      </c>
      <c r="C2791" s="10" t="inlineStr">
        <is>
          <t>Negativo de forro de gesso mineral</t>
        </is>
      </c>
      <c r="D2791" s="10" t="inlineStr">
        <is>
          <t>Negativo de forro de gesso mineral</t>
        </is>
      </c>
      <c r="E2791" s="11">
        <f t="array" ref="E2791">_xlfn.XLOOKUP(D2791,Insumos!B:B,Insumos!C:$C)</f>
        <v/>
      </c>
      <c r="F2791" s="14" t="n">
        <v>1</v>
      </c>
      <c r="G2791" s="92">
        <f t="array" ref="G2791">IF(B2791="insumo",_xlfn.XLOOKUP($D2791,Insumos!$B$1:$B$996,Insumos!$D$1:$D$996),"")</f>
        <v/>
      </c>
      <c r="H2791" s="92" t="n">
        <v>35</v>
      </c>
      <c r="I2791" s="2162" t="n">
        <v>0</v>
      </c>
      <c r="J2791" s="2162" t="n">
        <v>0</v>
      </c>
      <c r="K2791" s="2162" t="n"/>
    </row>
    <row r="2792" outlineLevel="2" ht="15.75" customHeight="1">
      <c r="A2792" s="1067" t="n">
        <v>1</v>
      </c>
      <c r="B2792" s="1067" t="inlineStr">
        <is>
          <t>Serviço</t>
        </is>
      </c>
      <c r="C2792" s="1067" t="inlineStr">
        <is>
          <t>Gesso corrido em tetos - Material e Mão de Obra</t>
        </is>
      </c>
      <c r="D2792" s="1067" t="inlineStr">
        <is>
          <t>Gesso corrido em tetos - Material e Mão de Obra</t>
        </is>
      </c>
      <c r="E2792" s="1068" t="inlineStr">
        <is>
          <t>M2</t>
        </is>
      </c>
      <c r="F2792" s="1067" t="n"/>
      <c r="G2792" s="1370" t="n"/>
      <c r="H2792" s="1069" t="n">
        <v>80.54213215777619</v>
      </c>
      <c r="I2792" s="2161" t="e">
        <v>#REF!</v>
      </c>
      <c r="J2792" s="2161" t="e">
        <v>#REF!</v>
      </c>
      <c r="K2792" s="2161" t="n"/>
    </row>
    <row r="2793" outlineLevel="3" ht="15.75" customHeight="1">
      <c r="A2793" s="10" t="n">
        <v>1</v>
      </c>
      <c r="B2793" s="10" t="inlineStr">
        <is>
          <t>Insumo</t>
        </is>
      </c>
      <c r="C2793" s="10" t="inlineStr">
        <is>
          <t>Gesso corrido em tetos - Material e Mão de Obra</t>
        </is>
      </c>
      <c r="D2793" s="10" t="inlineStr">
        <is>
          <t>Forro de gesso corrido - Material e Mão de Obra</t>
        </is>
      </c>
      <c r="E2793" s="11">
        <f t="array" ref="E2793">_xlfn.XLOOKUP(D2793,Insumos!B:B,Insumos!C:$C)</f>
        <v/>
      </c>
      <c r="F2793" s="14" t="n">
        <v>1.34236886929627</v>
      </c>
      <c r="G2793" s="92">
        <f t="array" ref="G2793">IF(B2793="insumo",_xlfn.XLOOKUP($D2793,Insumos!$B$1:$B$996,Insumos!$D$1:$D$996),"")</f>
        <v/>
      </c>
      <c r="H2793" s="92" t="n">
        <v>80.54213215777619</v>
      </c>
      <c r="I2793" s="2162" t="e">
        <v>#REF!</v>
      </c>
      <c r="J2793" s="2162" t="e">
        <v>#REF!</v>
      </c>
      <c r="K2793" s="2162" t="n"/>
    </row>
    <row r="2794" outlineLevel="2" ht="15.75" customHeight="1">
      <c r="A2794" s="1067" t="n">
        <v>1</v>
      </c>
      <c r="B2794" s="1067" t="inlineStr">
        <is>
          <t>Serviço</t>
        </is>
      </c>
      <c r="C2794" s="1067" t="inlineStr">
        <is>
          <t>Forro de gesso em forma de vigotas, imitando madeira - áreas úmidas - Material e Mão de Obra</t>
        </is>
      </c>
      <c r="D2794" s="1067" t="inlineStr">
        <is>
          <t>Forro de gesso em forma de vigotas, imitando madeira - áreas úmidas - Material e Mão de Obra</t>
        </is>
      </c>
      <c r="E2794" s="1068" t="inlineStr">
        <is>
          <t>M</t>
        </is>
      </c>
      <c r="F2794" s="1067" t="n"/>
      <c r="G2794" s="1069">
        <f t="array" ref="G2794">IF(B2794="insumo",_xlfn.XLOOKUP($D2794,Insumos!$B$1:$B$996,Insumos!$D$1:$D$996),"")</f>
        <v/>
      </c>
      <c r="H2794" s="1069" t="n">
        <v>343.225</v>
      </c>
      <c r="I2794" s="2161" t="e">
        <v>#REF!</v>
      </c>
      <c r="J2794" s="2161" t="e">
        <v>#REF!</v>
      </c>
      <c r="K2794" s="2161" t="n"/>
    </row>
    <row r="2795" outlineLevel="3" ht="15.75" customHeight="1">
      <c r="A2795" s="10" t="n">
        <v>1</v>
      </c>
      <c r="B2795" s="10" t="inlineStr">
        <is>
          <t>Insumo</t>
        </is>
      </c>
      <c r="C2795" s="10" t="inlineStr">
        <is>
          <t>Forro de gesso em forma de vigotas, imitando madeira - áreas úmidas - Material e Mão de Obra</t>
        </is>
      </c>
      <c r="D2795" s="10" t="inlineStr">
        <is>
          <t>Forro de gesso em forma de vigotas, imitando madeira - áreas úmidas - Material e Mão de Obra - incluso estrutura metálica + placa ru + fechamento de caixa + pintura efeito amdeira + instalação</t>
        </is>
      </c>
      <c r="E2795" s="11">
        <f t="array" ref="E2795">_xlfn.XLOOKUP(D2795,Insumos!B:B,Insumos!C:$C)</f>
        <v/>
      </c>
      <c r="F2795" s="14" t="n">
        <v>1.3729</v>
      </c>
      <c r="G2795" s="92">
        <f t="array" ref="G2795">IF(B2795="insumo",_xlfn.XLOOKUP($D2795,Insumos!$B$1:$B$996,Insumos!$D$1:$D$996),"")</f>
        <v/>
      </c>
      <c r="H2795" s="92" t="n">
        <v>343.225</v>
      </c>
      <c r="I2795" s="2162" t="e">
        <v>#REF!</v>
      </c>
      <c r="J2795" s="2162" t="e">
        <v>#REF!</v>
      </c>
      <c r="K2795" s="2162" t="n"/>
    </row>
    <row r="2796" outlineLevel="2" ht="15.75" customHeight="1">
      <c r="A2796" s="1067" t="n">
        <v>1</v>
      </c>
      <c r="B2796" s="1067" t="inlineStr">
        <is>
          <t>Serviço</t>
        </is>
      </c>
      <c r="C2796" s="1067" t="inlineStr">
        <is>
          <t>Forro de gesso acartonado - áreas secas - Material e Mão de Obra</t>
        </is>
      </c>
      <c r="D2796" s="1067" t="inlineStr">
        <is>
          <t>Forro de gesso acartonado - áreas secas - Material e Mão de Obra</t>
        </is>
      </c>
      <c r="E2796" s="1068" t="inlineStr">
        <is>
          <t>M2</t>
        </is>
      </c>
      <c r="F2796" s="1067" t="n"/>
      <c r="G2796" s="1069">
        <f t="array" ref="G2796">IF(B2796="insumo",_xlfn.XLOOKUP($D2796,Insumos!$B$1:$B$996,Insumos!$D$1:$D$996),"")</f>
        <v/>
      </c>
      <c r="H2796" s="1069" t="n">
        <v>137.29</v>
      </c>
      <c r="I2796" s="2161" t="e">
        <v>#REF!</v>
      </c>
      <c r="J2796" s="2161" t="e">
        <v>#REF!</v>
      </c>
      <c r="K2796" s="2161" t="n"/>
    </row>
    <row r="2797" outlineLevel="3" ht="15.75" customHeight="1">
      <c r="A2797" s="10" t="n">
        <v>2</v>
      </c>
      <c r="B2797" s="10" t="inlineStr">
        <is>
          <t>Insumo</t>
        </is>
      </c>
      <c r="C2797" s="10" t="inlineStr">
        <is>
          <t>Forro de gesso acartonado - áreas secas - Material e Mão de Obra</t>
        </is>
      </c>
      <c r="D2797" s="10" t="inlineStr">
        <is>
          <t>Forro de gesso acartonado - áreas secas - Material e Mão de Obra</t>
        </is>
      </c>
      <c r="E2797" s="11">
        <f t="array" ref="E2797">_xlfn.XLOOKUP(D2797,Insumos!B:B,Insumos!C:$C)</f>
        <v/>
      </c>
      <c r="F2797" s="14" t="n">
        <v>1.3729</v>
      </c>
      <c r="G2797" s="92">
        <f t="array" ref="G2797">IF(B2797="insumo",_xlfn.XLOOKUP($D2797,Insumos!$B$1:$B$996,Insumos!$D$1:$D$996),"")</f>
        <v/>
      </c>
      <c r="H2797" s="92" t="n">
        <v>137.29</v>
      </c>
      <c r="I2797" s="2162" t="e">
        <v>#REF!</v>
      </c>
      <c r="J2797" s="2162" t="e">
        <v>#REF!</v>
      </c>
      <c r="K2797" s="2162" t="n"/>
    </row>
    <row r="2798" outlineLevel="2" ht="15.75" customHeight="1">
      <c r="A2798" s="1067" t="n">
        <v>1</v>
      </c>
      <c r="B2798" s="1067" t="inlineStr">
        <is>
          <t>Serviço</t>
        </is>
      </c>
      <c r="C2798" s="1067" t="inlineStr">
        <is>
          <t>Forro de gesso acartonado RF - anti chamas - Material e Mão de Obra</t>
        </is>
      </c>
      <c r="D2798" s="1067" t="inlineStr">
        <is>
          <t>Forro de gesso acartonado RF - anti chamas - Material e Mão de Obra</t>
        </is>
      </c>
      <c r="E2798" s="1068" t="inlineStr">
        <is>
          <t>M2</t>
        </is>
      </c>
      <c r="F2798" s="1067" t="n"/>
      <c r="G2798" s="1069">
        <f t="array" ref="G2798">IF(B2798="insumo",_xlfn.XLOOKUP($D2798,Insumos!$B$1:$B$996,Insumos!$D$1:$D$996),"")</f>
        <v/>
      </c>
      <c r="H2798" s="1069" t="n">
        <v>233.393</v>
      </c>
      <c r="I2798" s="2161" t="e">
        <v>#REF!</v>
      </c>
      <c r="J2798" s="2161" t="e">
        <v>#REF!</v>
      </c>
      <c r="K2798" s="2161" t="n"/>
    </row>
    <row r="2799" outlineLevel="3" ht="15.75" customHeight="1">
      <c r="A2799" s="10" t="n">
        <v>1</v>
      </c>
      <c r="B2799" s="10" t="inlineStr">
        <is>
          <t>Insumo</t>
        </is>
      </c>
      <c r="C2799" s="10" t="inlineStr">
        <is>
          <t>Forro de gesso acartonado RF - anti chamas - Material e Mão de Obra</t>
        </is>
      </c>
      <c r="D2799" s="10" t="inlineStr">
        <is>
          <t>Forro de gesso acartonado RF - anti chamas - Material e Mão de Obra</t>
        </is>
      </c>
      <c r="E2799" s="11">
        <f t="array" ref="E2799">_xlfn.XLOOKUP(D2799,Insumos!B:B,Insumos!C:$C)</f>
        <v/>
      </c>
      <c r="F2799" s="14" t="n">
        <v>1.3729</v>
      </c>
      <c r="G2799" s="92">
        <f t="array" ref="G2799">IF(B2799="insumo",_xlfn.XLOOKUP($D2799,Insumos!$B$1:$B$996,Insumos!$D$1:$D$996),"")</f>
        <v/>
      </c>
      <c r="H2799" s="92" t="n">
        <v>233.393</v>
      </c>
      <c r="I2799" s="2162" t="e">
        <v>#REF!</v>
      </c>
      <c r="J2799" s="2162" t="e">
        <v>#REF!</v>
      </c>
      <c r="K2799" s="2162" t="n"/>
    </row>
    <row r="2800" outlineLevel="2" ht="15.75" customHeight="1">
      <c r="A2800" s="1067" t="n">
        <v>1</v>
      </c>
      <c r="B2800" s="1067" t="inlineStr">
        <is>
          <t>Serviço</t>
        </is>
      </c>
      <c r="C2800" s="1067" t="inlineStr">
        <is>
          <t>Negativo de forro de gesso acartonado - área seca</t>
        </is>
      </c>
      <c r="D2800" s="1067" t="inlineStr">
        <is>
          <t>Negativo de forro de gesso acartonado - área seca</t>
        </is>
      </c>
      <c r="E2800" s="1068" t="inlineStr">
        <is>
          <t>M2</t>
        </is>
      </c>
      <c r="F2800" s="1067" t="n"/>
      <c r="G2800" s="1069">
        <f t="array" ref="G2800">IF(B2800="insumo",_xlfn.XLOOKUP($D2800,Insumos!$B$1:$B$996,Insumos!$D$1:$D$996),"")</f>
        <v/>
      </c>
      <c r="H2800" s="1069" t="n">
        <v>49.4244</v>
      </c>
      <c r="I2800" s="2161" t="e">
        <v>#REF!</v>
      </c>
      <c r="J2800" s="2161" t="e">
        <v>#REF!</v>
      </c>
      <c r="K2800" s="2161" t="n"/>
    </row>
    <row r="2801" outlineLevel="3" ht="15.75" customHeight="1">
      <c r="A2801" s="10" t="n">
        <v>1</v>
      </c>
      <c r="B2801" s="10" t="inlineStr">
        <is>
          <t>Insumo</t>
        </is>
      </c>
      <c r="C2801" s="10" t="inlineStr">
        <is>
          <t>Negativo de forro de gesso acartonado - área seca</t>
        </is>
      </c>
      <c r="D2801" s="10" t="inlineStr">
        <is>
          <t>Negativo de forro de gesso acartonado - área seca</t>
        </is>
      </c>
      <c r="E2801" s="11">
        <f t="array" ref="E2801">_xlfn.XLOOKUP(D2801,Insumos!B:B,Insumos!C:$C)</f>
        <v/>
      </c>
      <c r="F2801" s="14" t="n">
        <v>1.3729</v>
      </c>
      <c r="G2801" s="92">
        <f t="array" ref="G2801">IF(B2801="insumo",_xlfn.XLOOKUP($D2801,Insumos!$B$1:$B$996,Insumos!$D$1:$D$996),"")</f>
        <v/>
      </c>
      <c r="H2801" s="92" t="n">
        <v>49.4244</v>
      </c>
      <c r="I2801" s="2162" t="e">
        <v>#REF!</v>
      </c>
      <c r="J2801" s="2162" t="e">
        <v>#REF!</v>
      </c>
      <c r="K2801" s="2162" t="n"/>
    </row>
    <row r="2802" outlineLevel="2" ht="15.75" customHeight="1">
      <c r="A2802" s="1067" t="n">
        <v>1</v>
      </c>
      <c r="B2802" s="1067" t="inlineStr">
        <is>
          <t>Serviço</t>
        </is>
      </c>
      <c r="C2802" s="1067" t="inlineStr">
        <is>
          <t>Forro de gesso acartonado - áreas úmidas - Material e Mão de Obra</t>
        </is>
      </c>
      <c r="D2802" s="1067" t="inlineStr">
        <is>
          <t>Forro de gesso acartonado - áreas úmidas - Material e Mão de Obra</t>
        </is>
      </c>
      <c r="E2802" s="1068" t="inlineStr">
        <is>
          <t>M2</t>
        </is>
      </c>
      <c r="F2802" s="1067" t="n"/>
      <c r="G2802" s="1069">
        <f t="array" ref="G2802">IF(B2802="insumo",_xlfn.XLOOKUP($D2802,Insumos!$B$1:$B$996,Insumos!$D$1:$D$996),"")</f>
        <v/>
      </c>
      <c r="H2802" s="1069" t="n">
        <v>164.748</v>
      </c>
      <c r="I2802" s="2161" t="e">
        <v>#REF!</v>
      </c>
      <c r="J2802" s="2161" t="e">
        <v>#REF!</v>
      </c>
      <c r="K2802" s="2161" t="n"/>
    </row>
    <row r="2803" outlineLevel="3" ht="15.75" customHeight="1">
      <c r="A2803" s="10" t="n">
        <v>1</v>
      </c>
      <c r="B2803" s="10" t="inlineStr">
        <is>
          <t>Insumo</t>
        </is>
      </c>
      <c r="C2803" s="10" t="inlineStr">
        <is>
          <t>Forro de gesso acartonado - áreas úmidas - Material e Mão de Obra</t>
        </is>
      </c>
      <c r="D2803" s="10" t="inlineStr">
        <is>
          <t>Forro de gesso acartonado - áreas úmidas - Material e Mão de Obra</t>
        </is>
      </c>
      <c r="E2803" s="11">
        <f t="array" ref="E2803">_xlfn.XLOOKUP(D2803,Insumos!B:B,Insumos!C:$C)</f>
        <v/>
      </c>
      <c r="F2803" s="14" t="n">
        <v>1.3729</v>
      </c>
      <c r="G2803" s="92">
        <f t="array" ref="G2803">IF(B2803="insumo",_xlfn.XLOOKUP($D2803,Insumos!$B$1:$B$996,Insumos!$D$1:$D$996),"")</f>
        <v/>
      </c>
      <c r="H2803" s="92" t="n">
        <v>164.748</v>
      </c>
      <c r="I2803" s="2162" t="e">
        <v>#REF!</v>
      </c>
      <c r="J2803" s="2162" t="e">
        <v>#REF!</v>
      </c>
      <c r="K2803" s="2162" t="n"/>
    </row>
    <row r="2804" outlineLevel="2" ht="15.75" customHeight="1">
      <c r="A2804" s="1067" t="n">
        <v>1</v>
      </c>
      <c r="B2804" s="1067" t="inlineStr">
        <is>
          <t>Serviço</t>
        </is>
      </c>
      <c r="C2804" s="1067" t="inlineStr">
        <is>
          <t>Negativo de forro de gesso acartonado - área umida</t>
        </is>
      </c>
      <c r="D2804" s="1067" t="inlineStr">
        <is>
          <t>Negativo de forro de gesso acartonado - área umida</t>
        </is>
      </c>
      <c r="E2804" s="1068" t="inlineStr">
        <is>
          <t>M2</t>
        </is>
      </c>
      <c r="F2804" s="1067" t="n"/>
      <c r="G2804" s="1069">
        <f t="array" ref="G2804">IF(B2804="insumo",_xlfn.XLOOKUP($D2804,Insumos!$B$1:$B$996,Insumos!$D$1:$D$996),"")</f>
        <v/>
      </c>
      <c r="H2804" s="1069" t="n">
        <v>49.4244</v>
      </c>
      <c r="I2804" s="2161" t="e">
        <v>#REF!</v>
      </c>
      <c r="J2804" s="2161" t="e">
        <v>#REF!</v>
      </c>
      <c r="K2804" s="2161" t="n"/>
    </row>
    <row r="2805" outlineLevel="3" ht="15.75" customHeight="1">
      <c r="A2805" s="10" t="n">
        <v>1</v>
      </c>
      <c r="B2805" s="10" t="inlineStr">
        <is>
          <t>Insumo</t>
        </is>
      </c>
      <c r="C2805" s="10" t="inlineStr">
        <is>
          <t>Negativo de forro de gesso acartonado - área umida</t>
        </is>
      </c>
      <c r="D2805" s="10" t="inlineStr">
        <is>
          <t>Negativo de forro de gesso acartonado - área umida</t>
        </is>
      </c>
      <c r="E2805" s="11">
        <f t="array" ref="E2805">_xlfn.XLOOKUP(D2805,Insumos!B:B,Insumos!C:$C)</f>
        <v/>
      </c>
      <c r="F2805" s="14" t="n">
        <v>1.3729</v>
      </c>
      <c r="G2805" s="92">
        <f t="array" ref="G2805">IF(B2805="insumo",_xlfn.XLOOKUP($D2805,Insumos!$B$1:$B$996,Insumos!$D$1:$D$996),"")</f>
        <v/>
      </c>
      <c r="H2805" s="92" t="n">
        <v>49.4244</v>
      </c>
      <c r="I2805" s="2162" t="e">
        <v>#REF!</v>
      </c>
      <c r="J2805" s="2162" t="e">
        <v>#REF!</v>
      </c>
      <c r="K2805" s="2162" t="n"/>
    </row>
    <row r="2806" outlineLevel="2" ht="12.75" customHeight="1">
      <c r="A2806" s="1071" t="n">
        <v>1</v>
      </c>
      <c r="B2806" s="1071" t="inlineStr">
        <is>
          <t>Serviço</t>
        </is>
      </c>
      <c r="C2806" s="1071" t="inlineStr">
        <is>
          <t>Forro Com Sistema Em Chapas De Gesso Para Drywall, Uso Interno, Montante 48mm, Com Uma Face Resistente a Umidade (RU/48)</t>
        </is>
      </c>
      <c r="D2806" s="1071" t="inlineStr">
        <is>
          <t>Forro Com Sistema Em Chapas De Gesso Para Drywall, Uso Interno, Montante 48mm, Com Uma Face Resistente a Umidade (RU/48)</t>
        </is>
      </c>
      <c r="E2806" s="1072" t="inlineStr">
        <is>
          <t>M2</t>
        </is>
      </c>
      <c r="F2806" s="1071" t="n"/>
      <c r="G2806" s="1073">
        <f t="array" ref="G2806">IF(B2806="insumo",_xlfn.XLOOKUP($D2806,Insumos!$B$1:$B$996,Insumos!$D$1:$D$996),"")</f>
        <v/>
      </c>
      <c r="H2806" s="1073" t="n">
        <v>126.415294</v>
      </c>
      <c r="I2806" s="2163" t="n">
        <v>0</v>
      </c>
      <c r="J2806" s="2163" t="n">
        <v>0</v>
      </c>
      <c r="K2806" s="2163" t="n"/>
    </row>
    <row r="2807" outlineLevel="3" ht="12.75" customHeight="1">
      <c r="A2807" s="82" t="n">
        <v>86</v>
      </c>
      <c r="B2807" s="82" t="inlineStr">
        <is>
          <t>Insumo</t>
        </is>
      </c>
      <c r="C2807" s="82" t="inlineStr">
        <is>
          <t>Forro Com Sistema Em Chapas De Gesso Para Drywall, Uso Interno, Montante 48mm, Com Uma Face Resistente a Umidade (RU/48)</t>
        </is>
      </c>
      <c r="D2807" s="82" t="inlineStr">
        <is>
          <t>SERVICO - CONFECCAO SHAFT GESSO</t>
        </is>
      </c>
      <c r="E2807" s="11">
        <f t="array" ref="E2807">_xlfn.XLOOKUP(D2807,Insumos!B:B,Insumos!C:$C)</f>
        <v/>
      </c>
      <c r="F2807" s="2164" t="n">
        <v>1</v>
      </c>
      <c r="G2807" s="92">
        <f t="array" ref="G2807">IF(B2807="insumo",_xlfn.XLOOKUP($D2807,Insumos!$B$1:$B$996,Insumos!$D$1:$D$996),"")</f>
        <v/>
      </c>
      <c r="H2807" s="92" t="n">
        <v>70</v>
      </c>
      <c r="I2807" s="2165" t="n">
        <v>0</v>
      </c>
      <c r="J2807" s="2165" t="n">
        <v>0</v>
      </c>
      <c r="K2807" s="2165" t="n"/>
    </row>
    <row r="2808" outlineLevel="3" ht="12.75" customHeight="1">
      <c r="A2808" s="82" t="n">
        <v>49</v>
      </c>
      <c r="B2808" s="82" t="inlineStr">
        <is>
          <t>Insumo</t>
        </is>
      </c>
      <c r="C2808" s="82" t="inlineStr">
        <is>
          <t>Forro Com Sistema Em Chapas De Gesso Para Drywall, Uso Interno, Montante 48mm, Com Uma Face Resistente a Umidade (RU/48)</t>
        </is>
      </c>
      <c r="D2808" s="82" t="inlineStr">
        <is>
          <t>PLACA / CHAPA DE GESSO ACARTONADO, RESISTENTE A UMIDADE (RU), COR VERDE, E = 12,5 MM, 1200 X 2400 MM (L X C)</t>
        </is>
      </c>
      <c r="E2808" s="11">
        <f t="array" ref="E2808">_xlfn.XLOOKUP(D2808,Insumos!B:B,Insumos!C:$C)</f>
        <v/>
      </c>
      <c r="F2808" s="2164" t="n">
        <v>1.053</v>
      </c>
      <c r="G2808" s="92">
        <f t="array" ref="G2808">IF(B2808="insumo",_xlfn.XLOOKUP($D2808,Insumos!$B$1:$B$996,Insumos!$D$1:$D$996),"")</f>
        <v/>
      </c>
      <c r="H2808" s="92" t="n">
        <v>28.5363</v>
      </c>
      <c r="I2808" s="2165" t="n">
        <v>0</v>
      </c>
      <c r="J2808" s="2165" t="n">
        <v>0</v>
      </c>
      <c r="K2808" s="2165" t="n"/>
    </row>
    <row r="2809" outlineLevel="3" ht="12.75" customHeight="1">
      <c r="A2809" s="82" t="n">
        <v>95</v>
      </c>
      <c r="B2809" s="82" t="inlineStr">
        <is>
          <t>Insumo</t>
        </is>
      </c>
      <c r="C2809" s="82" t="inlineStr">
        <is>
          <t>Forro Com Sistema Em Chapas De Gesso Para Drywall, Uso Interno, Montante 48mm, Com Uma Face Resistente a Umidade (RU/48)</t>
        </is>
      </c>
      <c r="D2809" s="82" t="inlineStr">
        <is>
          <t>PINO DE ACO COM ARRUELA CONICA, DIAMETRO ARRUELA = *23* MM E COMP HASTE = *27* MM (ACAO INDIRETA)</t>
        </is>
      </c>
      <c r="E2809" s="11">
        <f t="array" ref="E2809">_xlfn.XLOOKUP(D2809,Insumos!B:B,Insumos!C:$C)</f>
        <v/>
      </c>
      <c r="F2809" s="2164" t="n">
        <v>2.48</v>
      </c>
      <c r="G2809" s="92">
        <f t="array" ref="G2809">IF(B2809="insumo",_xlfn.XLOOKUP($D2809,Insumos!$B$1:$B$996,Insumos!$D$1:$D$996),"")</f>
        <v/>
      </c>
      <c r="H2809" s="92" t="n">
        <v>1.24992</v>
      </c>
      <c r="I2809" s="2165" t="n">
        <v>0</v>
      </c>
      <c r="J2809" s="2165" t="n">
        <v>0</v>
      </c>
      <c r="K2809" s="2165" t="n"/>
    </row>
    <row r="2810" outlineLevel="3" ht="12.75" customHeight="1">
      <c r="A2810" s="82" t="n">
        <v>26</v>
      </c>
      <c r="B2810" s="82" t="inlineStr">
        <is>
          <t>Insumo</t>
        </is>
      </c>
      <c r="C2810" s="82" t="inlineStr">
        <is>
          <t>Forro Com Sistema Em Chapas De Gesso Para Drywall, Uso Interno, Montante 48mm, Com Uma Face Resistente a Umidade (RU/48)</t>
        </is>
      </c>
      <c r="D2810" s="82" t="inlineStr">
        <is>
          <t>PERFIL GUIA, FORMATO U, EM ACO ZINCADO, PARA ESTRUTURA PAREDE DRYWALL, E = 0,5 MM, 48 X 3000 MM (L X C)</t>
        </is>
      </c>
      <c r="E2810" s="11">
        <f t="array" ref="E2810">_xlfn.XLOOKUP(D2810,Insumos!B:B,Insumos!C:$C)</f>
        <v/>
      </c>
      <c r="F2810" s="2164" t="n">
        <v>0.7624</v>
      </c>
      <c r="G2810" s="92">
        <f t="array" ref="G2810">IF(B2810="insumo",_xlfn.XLOOKUP($D2810,Insumos!$B$1:$B$996,Insumos!$D$1:$D$996),"")</f>
        <v/>
      </c>
      <c r="H2810" s="92" t="n">
        <v>5.359672</v>
      </c>
      <c r="I2810" s="2165" t="n">
        <v>0</v>
      </c>
      <c r="J2810" s="2165" t="n">
        <v>0</v>
      </c>
      <c r="K2810" s="2165" t="n"/>
    </row>
    <row r="2811" outlineLevel="3" ht="12.75" customHeight="1">
      <c r="A2811" s="82" t="n">
        <v>26</v>
      </c>
      <c r="B2811" s="82" t="inlineStr">
        <is>
          <t>Insumo</t>
        </is>
      </c>
      <c r="C2811" s="82" t="inlineStr">
        <is>
          <t>Forro Com Sistema Em Chapas De Gesso Para Drywall, Uso Interno, Montante 48mm, Com Uma Face Resistente a Umidade (RU/48)</t>
        </is>
      </c>
      <c r="D2811" s="82" t="inlineStr">
        <is>
          <t>PERFIL MONTANTE, FORMATO C, EM ACO ZINCADO, PARA ESTRUTURA PAREDE DRYWALL, E = 0,5 MM, 48 X 3000 MM (L X C)</t>
        </is>
      </c>
      <c r="E2811" s="11">
        <f t="array" ref="E2811">_xlfn.XLOOKUP(D2811,Insumos!B:B,Insumos!C:$C)</f>
        <v/>
      </c>
      <c r="F2811" s="2164" t="n">
        <v>2.0006</v>
      </c>
      <c r="G2811" s="92">
        <f t="array" ref="G2811">IF(B2811="insumo",_xlfn.XLOOKUP($D2811,Insumos!$B$1:$B$996,Insumos!$D$1:$D$996),"")</f>
        <v/>
      </c>
      <c r="H2811" s="92" t="n">
        <v>15.964788</v>
      </c>
      <c r="I2811" s="2165" t="n">
        <v>0</v>
      </c>
      <c r="J2811" s="2165" t="n">
        <v>0</v>
      </c>
      <c r="K2811" s="2165" t="n"/>
    </row>
    <row r="2812" outlineLevel="3" ht="12.75" customHeight="1">
      <c r="A2812" s="82" t="n">
        <v>95</v>
      </c>
      <c r="B2812" s="82" t="inlineStr">
        <is>
          <t>Insumo</t>
        </is>
      </c>
      <c r="C2812" s="82" t="inlineStr">
        <is>
          <t>Forro Com Sistema Em Chapas De Gesso Para Drywall, Uso Interno, Montante 48mm, Com Uma Face Resistente a Umidade (RU/48)</t>
        </is>
      </c>
      <c r="D2812" s="82" t="inlineStr">
        <is>
          <t>MASSA DE REJUNTE EM PO PARA DRYWALL, A BASE DE GESSO, SECAGEM RAPIDA, PARA TRATAMENTO DE JUNTAS DE CHAPA DE GESSO (NECESSITA ADICAO DE AGUA)</t>
        </is>
      </c>
      <c r="E2812" s="11">
        <f t="array" ref="E2812">_xlfn.XLOOKUP(D2812,Insumos!B:B,Insumos!C:$C)</f>
        <v/>
      </c>
      <c r="F2812" s="2164" t="n">
        <v>0.5489000000000001</v>
      </c>
      <c r="G2812" s="92">
        <f t="array" ref="G2812">IF(B2812="insumo",_xlfn.XLOOKUP($D2812,Insumos!$B$1:$B$996,Insumos!$D$1:$D$996),"")</f>
        <v/>
      </c>
      <c r="H2812" s="92" t="n">
        <v>1.882727</v>
      </c>
      <c r="I2812" s="2165" t="n">
        <v>0</v>
      </c>
      <c r="J2812" s="2165" t="n">
        <v>0</v>
      </c>
      <c r="K2812" s="2165" t="n"/>
    </row>
    <row r="2813" outlineLevel="3" ht="12.75" customHeight="1">
      <c r="A2813" s="82" t="n">
        <v>94</v>
      </c>
      <c r="B2813" s="82" t="inlineStr">
        <is>
          <t>Insumo</t>
        </is>
      </c>
      <c r="C2813" s="82" t="inlineStr">
        <is>
          <t>Forro Com Sistema Em Chapas De Gesso Para Drywall, Uso Interno, Montante 48mm, Com Uma Face Resistente a Umidade (RU/48)</t>
        </is>
      </c>
      <c r="D2813" s="82" t="inlineStr">
        <is>
          <t>FITA DE PAPEL MICROPERFURADO, 50 X 150 MM, PARA TRATAMENTO DE JUNTAS DE CHAPA DE GESSO PARA DRYWALL</t>
        </is>
      </c>
      <c r="E2813" s="11">
        <f t="array" ref="E2813">_xlfn.XLOOKUP(D2813,Insumos!B:B,Insumos!C:$C)</f>
        <v/>
      </c>
      <c r="F2813" s="2164" t="n">
        <v>1.2513</v>
      </c>
      <c r="G2813" s="92">
        <f t="array" ref="G2813">IF(B2813="insumo",_xlfn.XLOOKUP($D2813,Insumos!$B$1:$B$996,Insumos!$D$1:$D$996),"")</f>
        <v/>
      </c>
      <c r="H2813" s="92" t="n">
        <v>0.387903</v>
      </c>
      <c r="I2813" s="2165" t="n">
        <v>0</v>
      </c>
      <c r="J2813" s="2165" t="n">
        <v>0</v>
      </c>
      <c r="K2813" s="2165" t="n"/>
    </row>
    <row r="2814" outlineLevel="3" ht="12.75" customHeight="1">
      <c r="A2814" s="82" t="n">
        <v>94</v>
      </c>
      <c r="B2814" s="82" t="inlineStr">
        <is>
          <t>Insumo</t>
        </is>
      </c>
      <c r="C2814" s="82" t="inlineStr">
        <is>
          <t>Forro Com Sistema Em Chapas De Gesso Para Drywall, Uso Interno, Montante 48mm, Com Uma Face Resistente a Umidade (RU/48)</t>
        </is>
      </c>
      <c r="D2814" s="82" t="inlineStr">
        <is>
          <t>FITA DE PAPEL REFORCADA COM LAMINA DE METAL PARA REFORCO DE CANTOS DE CHAPA DE GESSO PARA DRYWALL</t>
        </is>
      </c>
      <c r="E2814" s="11">
        <f t="array" ref="E2814">_xlfn.XLOOKUP(D2814,Insumos!B:B,Insumos!C:$C)</f>
        <v/>
      </c>
      <c r="F2814" s="2164" t="n">
        <v>0.7407</v>
      </c>
      <c r="G2814" s="92">
        <f t="array" ref="G2814">IF(B2814="insumo",_xlfn.XLOOKUP($D2814,Insumos!$B$1:$B$996,Insumos!$D$1:$D$996),"")</f>
        <v/>
      </c>
      <c r="H2814" s="92" t="n">
        <v>2.029518</v>
      </c>
      <c r="I2814" s="2165" t="n">
        <v>0</v>
      </c>
      <c r="J2814" s="2165" t="n">
        <v>0</v>
      </c>
      <c r="K2814" s="2165" t="n"/>
    </row>
    <row r="2815" outlineLevel="3" ht="12.75" customHeight="1">
      <c r="A2815" s="82" t="n">
        <v>97</v>
      </c>
      <c r="B2815" s="82" t="inlineStr">
        <is>
          <t>Insumo</t>
        </is>
      </c>
      <c r="C2815" s="82" t="inlineStr">
        <is>
          <t>Forro Com Sistema Em Chapas De Gesso Para Drywall, Uso Interno, Montante 48mm, Com Uma Face Resistente a Umidade (RU/48)</t>
        </is>
      </c>
      <c r="D2815" s="82" t="inlineStr">
        <is>
          <t>PARAFUSO DRY WALL, EM ACO FOSFATIZADO, CABECA TROMBETA E PONTA AGULHA (TA), COMPRIMENTO 25 MM</t>
        </is>
      </c>
      <c r="E2815" s="11">
        <f t="array" ref="E2815">_xlfn.XLOOKUP(D2815,Insumos!B:B,Insumos!C:$C)</f>
        <v/>
      </c>
      <c r="F2815" s="2164" t="n">
        <v>10.0934</v>
      </c>
      <c r="G2815" s="92">
        <f t="array" ref="G2815">IF(B2815="insumo",_xlfn.XLOOKUP($D2815,Insumos!$B$1:$B$996,Insumos!$D$1:$D$996),"")</f>
        <v/>
      </c>
      <c r="H2815" s="92" t="n">
        <v>0.908406</v>
      </c>
      <c r="I2815" s="2165" t="n">
        <v>0</v>
      </c>
      <c r="J2815" s="2165" t="n">
        <v>0</v>
      </c>
      <c r="K2815" s="2165" t="n"/>
    </row>
    <row r="2816" outlineLevel="3" ht="12.75" customHeight="1">
      <c r="A2816" s="82" t="n">
        <v>95</v>
      </c>
      <c r="B2816" s="82" t="inlineStr">
        <is>
          <t>Insumo</t>
        </is>
      </c>
      <c r="C2816" s="82" t="inlineStr">
        <is>
          <t>Forro Com Sistema Em Chapas De Gesso Para Drywall, Uso Interno, Montante 48mm, Com Uma Face Resistente a Umidade (RU/48)</t>
        </is>
      </c>
      <c r="D2816" s="82" t="inlineStr">
        <is>
          <t>PARAFUSO DRY WALL, EM ACO ZINCADO, CABECA LENTILHA E PONTA BROCA (LB), LARGURA 4,2 MM, COMPRIMENTO 13 MM</t>
        </is>
      </c>
      <c r="E2816" s="11">
        <f t="array" ref="E2816">_xlfn.XLOOKUP(D2816,Insumos!B:B,Insumos!C:$C)</f>
        <v/>
      </c>
      <c r="F2816" s="2164" t="n">
        <v>0.4803</v>
      </c>
      <c r="G2816" s="92">
        <f t="array" ref="G2816">IF(B2816="insumo",_xlfn.XLOOKUP($D2816,Insumos!$B$1:$B$996,Insumos!$D$1:$D$996),"")</f>
        <v/>
      </c>
      <c r="H2816" s="92" t="n">
        <v>0.09606000000000001</v>
      </c>
      <c r="I2816" s="2165" t="n">
        <v>0</v>
      </c>
      <c r="J2816" s="2165" t="n">
        <v>0</v>
      </c>
      <c r="K2816" s="2165" t="n"/>
    </row>
    <row r="2817" outlineLevel="1" ht="15.75" customHeight="1">
      <c r="A2817" s="1090" t="n">
        <v>1</v>
      </c>
      <c r="B2817" s="1090" t="inlineStr">
        <is>
          <t>Subetapa</t>
        </is>
      </c>
      <c r="C2817" s="1090" t="inlineStr">
        <is>
          <t>Forro Com Sistema Em Chapas De Gesso Para Drywall, Uso Interno, Montante 48mm, Com Uma Face Resistente a Umidade (RU/48)</t>
        </is>
      </c>
      <c r="D2817" s="1090" t="inlineStr">
        <is>
          <t>FORRO DE DIVERSOS</t>
        </is>
      </c>
      <c r="E2817" s="1091" t="n"/>
      <c r="F2817" s="2160" t="n"/>
      <c r="G2817" s="1091" t="n"/>
      <c r="H2817" s="1091" t="n">
        <v>0</v>
      </c>
      <c r="I2817" s="2160" t="n">
        <v>0</v>
      </c>
      <c r="J2817" s="2160" t="n">
        <v>0</v>
      </c>
      <c r="K2817" s="2160" t="n"/>
    </row>
    <row r="2818" outlineLevel="2" ht="15.75" customHeight="1">
      <c r="A2818" s="1067" t="n">
        <v>1</v>
      </c>
      <c r="B2818" s="1067" t="inlineStr">
        <is>
          <t>Serviço</t>
        </is>
      </c>
      <c r="C2818" s="1067" t="inlineStr">
        <is>
          <t>Forro Removível - Material e Mão de Obra</t>
        </is>
      </c>
      <c r="D2818" s="1067" t="inlineStr">
        <is>
          <t>Forro Removível - Material e Mão de Obra</t>
        </is>
      </c>
      <c r="E2818" s="1068" t="inlineStr">
        <is>
          <t>M2</t>
        </is>
      </c>
      <c r="F2818" s="1067" t="n"/>
      <c r="G2818" s="1069">
        <f t="array" ref="G2818">IF(B2818="insumo",_xlfn.XLOOKUP($D2818,Insumos!$B$1:$B$996,Insumos!$D$1:$D$996),"")</f>
        <v/>
      </c>
      <c r="H2818" s="1069" t="n">
        <v>219.20046110145</v>
      </c>
      <c r="I2818" s="2161" t="n">
        <v>0</v>
      </c>
      <c r="J2818" s="2161" t="n">
        <v>0</v>
      </c>
      <c r="K2818" s="2161" t="n"/>
    </row>
    <row r="2819" outlineLevel="3" ht="15.75" customHeight="1">
      <c r="A2819" s="10" t="n">
        <v>1</v>
      </c>
      <c r="B2819" s="10" t="inlineStr">
        <is>
          <t>Insumo</t>
        </is>
      </c>
      <c r="C2819" s="10" t="inlineStr">
        <is>
          <t>Forro Removível - Material e Mão de Obra</t>
        </is>
      </c>
      <c r="D2819" s="10" t="inlineStr">
        <is>
          <t>Forro Removível - Material e Mão de Obra</t>
        </is>
      </c>
      <c r="E2819" s="11">
        <f t="array" ref="E2819">_xlfn.XLOOKUP(D2819,Insumos!B:B,Insumos!C:$C)</f>
        <v/>
      </c>
      <c r="F2819" s="14" t="n">
        <v>1</v>
      </c>
      <c r="G2819" s="92">
        <f t="array" ref="G2819">IF(B2819="insumo",_xlfn.XLOOKUP($D2819,Insumos!$B$1:$B$996,Insumos!$D$1:$D$996),"")</f>
        <v/>
      </c>
      <c r="H2819" s="92" t="n">
        <v>219.20046110145</v>
      </c>
      <c r="I2819" s="2162" t="n">
        <v>0</v>
      </c>
      <c r="J2819" s="2162" t="n">
        <v>0</v>
      </c>
      <c r="K2819" s="2162" t="n"/>
    </row>
    <row r="2820" outlineLevel="2" ht="15.75" customHeight="1">
      <c r="A2820" s="1067" t="n">
        <v>1</v>
      </c>
      <c r="B2820" s="1067" t="inlineStr">
        <is>
          <t>Serviço</t>
        </is>
      </c>
      <c r="C2820" s="1067" t="inlineStr">
        <is>
          <t>Forro Tensoflex - Material e Mão de Obra</t>
        </is>
      </c>
      <c r="D2820" s="1067" t="inlineStr">
        <is>
          <t>Forro Tensoflex - Material e Mão de Obra</t>
        </is>
      </c>
      <c r="E2820" s="1068" t="inlineStr">
        <is>
          <t>M2</t>
        </is>
      </c>
      <c r="F2820" s="1067" t="n"/>
      <c r="G2820" s="1069">
        <f t="array" ref="G2820">IF(B2820="insumo",_xlfn.XLOOKUP($D2820,Insumos!$B$1:$B$996,Insumos!$D$1:$D$996),"")</f>
        <v/>
      </c>
      <c r="H2820" s="1069" t="n">
        <v>985.164835164835</v>
      </c>
      <c r="I2820" s="2161" t="e">
        <v>#REF!</v>
      </c>
      <c r="J2820" s="2161" t="e">
        <v>#REF!</v>
      </c>
      <c r="K2820" s="2161" t="n"/>
    </row>
    <row r="2821" outlineLevel="3" ht="15.75" customHeight="1">
      <c r="A2821" s="10" t="n">
        <v>1</v>
      </c>
      <c r="B2821" s="10" t="inlineStr">
        <is>
          <t>Insumo</t>
        </is>
      </c>
      <c r="C2821" s="10" t="inlineStr">
        <is>
          <t>Forro Tensoflex - Material e Mão de Obra</t>
        </is>
      </c>
      <c r="D2821" s="10" t="inlineStr">
        <is>
          <t>Forro Tensoflex - Tela tensionada Iluminada - Material e Mão de Obra</t>
        </is>
      </c>
      <c r="E2821" s="11">
        <f t="array" ref="E2821">_xlfn.XLOOKUP(D2821,Insumos!B:B,Insumos!C:$C)</f>
        <v/>
      </c>
      <c r="F2821" s="14" t="n">
        <v>1</v>
      </c>
      <c r="G2821" s="92">
        <f t="array" ref="G2821">IF(B2821="insumo",_xlfn.XLOOKUP($D2821,Insumos!$B$1:$B$996,Insumos!$D$1:$D$996),"")</f>
        <v/>
      </c>
      <c r="H2821" s="92" t="n">
        <v>985.164835164835</v>
      </c>
      <c r="I2821" s="2162" t="e">
        <v>#REF!</v>
      </c>
      <c r="J2821" s="2162" t="e">
        <v>#REF!</v>
      </c>
      <c r="K2821" s="2162" t="n"/>
    </row>
    <row r="2822" outlineLevel="1" ht="12.75" customHeight="1">
      <c r="A2822" s="1067" t="n">
        <v>1</v>
      </c>
      <c r="B2822" s="1076" t="inlineStr">
        <is>
          <t>Serviço</t>
        </is>
      </c>
      <c r="C2822" s="1076" t="inlineStr">
        <is>
          <t>Iluminação de sanca</t>
        </is>
      </c>
      <c r="D2822" s="1076" t="inlineStr">
        <is>
          <t>Iluminação de sanca</t>
        </is>
      </c>
      <c r="E2822" s="1078" t="inlineStr">
        <is>
          <t>m</t>
        </is>
      </c>
      <c r="F2822" s="1076" t="n"/>
      <c r="G2822" s="1069">
        <f t="array" ref="G2822">IF(B2822="insumo",_xlfn.XLOOKUP($D2822,Insumos!$B$1:$B$996,Insumos!$D$1:$D$996),"")</f>
        <v/>
      </c>
      <c r="H2822" s="1069" t="n">
        <v>11.3</v>
      </c>
      <c r="I2822" s="2161" t="n">
        <v>0</v>
      </c>
      <c r="J2822" s="2161" t="n">
        <v>0</v>
      </c>
      <c r="K2822" s="2161" t="n"/>
    </row>
    <row r="2823" outlineLevel="2" ht="12.75" customHeight="1">
      <c r="A2823" s="10" t="n">
        <v>1</v>
      </c>
      <c r="B2823" s="471" t="inlineStr">
        <is>
          <t>Insumo</t>
        </is>
      </c>
      <c r="C2823" s="471" t="inlineStr">
        <is>
          <t>Iluminação de sanca</t>
        </is>
      </c>
      <c r="D2823" s="471" t="inlineStr">
        <is>
          <t>FITA DE LED 1 M</t>
        </is>
      </c>
      <c r="E2823" s="472" t="inlineStr">
        <is>
          <t>M</t>
        </is>
      </c>
      <c r="F2823" s="2164" t="n">
        <v>1</v>
      </c>
      <c r="G2823" s="92">
        <f t="array" ref="G2823">IF(B2823="insumo",_xlfn.XLOOKUP($D2823,Insumos!$B$1:$B$996,Insumos!$D$1:$D$996),"")</f>
        <v/>
      </c>
      <c r="H2823" s="92" t="n">
        <v>11.3</v>
      </c>
      <c r="I2823" s="2162" t="n">
        <v>0</v>
      </c>
      <c r="J2823" s="2162" t="n">
        <v>0</v>
      </c>
      <c r="K2823" s="2162" t="n"/>
    </row>
    <row r="2824" outlineLevel="1" ht="12.75" customHeight="1">
      <c r="A2824" s="1067" t="n">
        <v>1</v>
      </c>
      <c r="B2824" s="1076" t="inlineStr">
        <is>
          <t>Serviço</t>
        </is>
      </c>
      <c r="C2824" s="1076" t="inlineStr">
        <is>
          <t>Forro em sistema de Muxarabi em madeira Peroba Mica- Material e mão de obra</t>
        </is>
      </c>
      <c r="D2824" s="1076" t="inlineStr">
        <is>
          <t>Forro em sistema de Muxarabi em madeira Peroba Mica- Material e mão de obra</t>
        </is>
      </c>
      <c r="E2824" s="1078" t="inlineStr">
        <is>
          <t>m</t>
        </is>
      </c>
      <c r="F2824" s="1076" t="n"/>
      <c r="G2824" s="1069">
        <f t="array" ref="G2824">IF(B2824="insumo",_xlfn.XLOOKUP($D2824,Insumos!$B$1:$B$996,Insumos!$D$1:$D$996),"")</f>
        <v/>
      </c>
      <c r="H2824" s="1069" t="n">
        <v>2315.85503126777</v>
      </c>
      <c r="I2824" s="2161" t="n">
        <v>0</v>
      </c>
      <c r="J2824" s="2161" t="n">
        <v>0</v>
      </c>
      <c r="K2824" s="2161" t="n"/>
    </row>
    <row r="2825" outlineLevel="2" ht="12.75" customHeight="1">
      <c r="A2825" s="10" t="n">
        <v>1</v>
      </c>
      <c r="B2825" s="471" t="inlineStr">
        <is>
          <t>Insumo</t>
        </is>
      </c>
      <c r="C2825" s="471" t="inlineStr">
        <is>
          <t>Forro em sistema de Muxarabi em madeira Peroba Mica- Material e mão de obra</t>
        </is>
      </c>
      <c r="D2825" s="471" t="inlineStr">
        <is>
          <t>Painel Formato Muxarabi - Madeira Peroba Mica - Modelo 16.20/20 - (Ripas, Parafusos, Buchas, vernis e instalação)</t>
        </is>
      </c>
      <c r="E2825" s="472" t="inlineStr">
        <is>
          <t>M2</t>
        </is>
      </c>
      <c r="F2825" s="2164" t="n">
        <v>1</v>
      </c>
      <c r="G2825" s="92">
        <f t="array" ref="G2825">IF(B2825="insumo",_xlfn.XLOOKUP($D2825,Insumos!$B$1:$B$996,Insumos!$D$1:$D$996),"")</f>
        <v/>
      </c>
      <c r="H2825" s="92" t="n">
        <v>2315.85503126777</v>
      </c>
      <c r="I2825" s="2162" t="n">
        <v>0</v>
      </c>
      <c r="J2825" s="2162" t="n">
        <v>0</v>
      </c>
      <c r="K2825" s="2162" t="n"/>
    </row>
    <row r="2826" outlineLevel="1" ht="12.75" customHeight="1">
      <c r="A2826" s="1067" t="n">
        <v>1</v>
      </c>
      <c r="B2826" s="1076" t="inlineStr">
        <is>
          <t>Serviço</t>
        </is>
      </c>
      <c r="C2826" s="1076" t="inlineStr">
        <is>
          <t>Forro de gesso mineral - em placas (forro, negativo e cortineiro)- Material e Mão de Obra</t>
        </is>
      </c>
      <c r="D2826" s="1076" t="inlineStr">
        <is>
          <t>Forro de gesso mineral - em placas (forro, negativo e cortineiro)- Material e Mão de Obra</t>
        </is>
      </c>
      <c r="E2826" s="1078" t="inlineStr">
        <is>
          <t>M2</t>
        </is>
      </c>
      <c r="F2826" s="1076" t="n"/>
      <c r="G2826" s="1069">
        <f t="array" ref="G2826">IF(B2826="insumo",_xlfn.XLOOKUP($D2826,Insumos!$B$1:$B$996,Insumos!$D$1:$D$996),"")</f>
        <v/>
      </c>
      <c r="H2826" s="1069" t="n">
        <v>85</v>
      </c>
      <c r="I2826" s="2161" t="n">
        <v>0</v>
      </c>
      <c r="J2826" s="2161" t="n">
        <v>0</v>
      </c>
      <c r="K2826" s="2161" t="n"/>
    </row>
    <row r="2827" outlineLevel="2" ht="12.75" customHeight="1">
      <c r="A2827" s="10" t="n">
        <v>1</v>
      </c>
      <c r="B2827" s="471" t="inlineStr">
        <is>
          <t>Insumo</t>
        </is>
      </c>
      <c r="C2827" s="471" t="inlineStr">
        <is>
          <t>Forro de gesso mineral - em placas (forro, negativo e cortineiro)- Material e Mão de Obra</t>
        </is>
      </c>
      <c r="D2827" s="471" t="inlineStr">
        <is>
          <t>Forro de gesso mineral - convencional (forro, negativo e cortineiro)</t>
        </is>
      </c>
      <c r="E2827" s="472" t="inlineStr">
        <is>
          <t>M2</t>
        </is>
      </c>
      <c r="F2827" s="2164" t="n">
        <v>1</v>
      </c>
      <c r="G2827" s="92">
        <f t="array" ref="G2827">IF(B2827="insumo",_xlfn.XLOOKUP($D2827,Insumos!$B$1:$B$996,Insumos!$D$1:$D$996),"")</f>
        <v/>
      </c>
      <c r="H2827" s="92" t="n">
        <v>85</v>
      </c>
      <c r="I2827" s="2162" t="n">
        <v>0</v>
      </c>
      <c r="J2827" s="2162" t="n">
        <v>0</v>
      </c>
      <c r="K2827" s="2162" t="n"/>
    </row>
    <row r="2828" outlineLevel="1" ht="12.75" customHeight="1">
      <c r="A2828" s="1067" t="n">
        <v>1</v>
      </c>
      <c r="B2828" s="1076" t="inlineStr">
        <is>
          <t>Serviço</t>
        </is>
      </c>
      <c r="C2828" s="1076" t="inlineStr">
        <is>
          <t>Forro de gesso acartonado - Standart - Material e Mão de Obra</t>
        </is>
      </c>
      <c r="D2828" s="1076" t="inlineStr">
        <is>
          <t>Forro de gesso acartonado - Standart - Material e Mão de Obra</t>
        </is>
      </c>
      <c r="E2828" s="1078" t="inlineStr">
        <is>
          <t>M2</t>
        </is>
      </c>
      <c r="F2828" s="1076" t="n"/>
      <c r="G2828" s="1069">
        <f t="array" ref="G2828">IF(B2828="insumo",_xlfn.XLOOKUP($D2828,Insumos!$B$1:$B$996,Insumos!$D$1:$D$996),"")</f>
        <v/>
      </c>
      <c r="H2828" s="1069" t="n">
        <v>100</v>
      </c>
      <c r="I2828" s="2161" t="n">
        <v>0</v>
      </c>
      <c r="J2828" s="2161" t="n">
        <v>0</v>
      </c>
      <c r="K2828" s="2161" t="n"/>
    </row>
    <row r="2829" outlineLevel="2" ht="12.75" customHeight="1">
      <c r="A2829" s="10" t="n">
        <v>2</v>
      </c>
      <c r="B2829" s="471" t="inlineStr">
        <is>
          <t>Insumo</t>
        </is>
      </c>
      <c r="C2829" s="471" t="inlineStr">
        <is>
          <t>Forro de gesso acartonado - Standart - Material e Mão de Obra</t>
        </is>
      </c>
      <c r="D2829" s="471" t="inlineStr">
        <is>
          <t>Forro de gesso acartonado - áreas secas - Material e Mão de Obra</t>
        </is>
      </c>
      <c r="E2829" s="472" t="inlineStr">
        <is>
          <t>M2</t>
        </is>
      </c>
      <c r="F2829" s="2164" t="n">
        <v>1</v>
      </c>
      <c r="G2829" s="92">
        <f t="array" ref="G2829">IF(B2829="insumo",_xlfn.XLOOKUP($D2829,Insumos!$B$1:$B$996,Insumos!$D$1:$D$996),"")</f>
        <v/>
      </c>
      <c r="H2829" s="92" t="n">
        <v>100</v>
      </c>
      <c r="I2829" s="2162" t="n">
        <v>0</v>
      </c>
      <c r="J2829" s="2162" t="n">
        <v>0</v>
      </c>
      <c r="K2829" s="2162" t="n"/>
    </row>
    <row r="2830" outlineLevel="1" ht="12.75" customHeight="1">
      <c r="A2830" s="1067" t="n">
        <v>1</v>
      </c>
      <c r="B2830" s="1076" t="inlineStr">
        <is>
          <t>Serviço</t>
        </is>
      </c>
      <c r="C2830" s="1076" t="inlineStr">
        <is>
          <t>Forro de gesso acartonado - Resistente à umidade - Material e Mão de Obra</t>
        </is>
      </c>
      <c r="D2830" s="1076" t="inlineStr">
        <is>
          <t>Forro de gesso acartonado - Resistente à umidade - Material e Mão de Obra</t>
        </is>
      </c>
      <c r="E2830" s="1078" t="inlineStr">
        <is>
          <t>M2</t>
        </is>
      </c>
      <c r="F2830" s="1076" t="n"/>
      <c r="G2830" s="1069">
        <f t="array" ref="G2830">IF(B2830="insumo",_xlfn.XLOOKUP($D2830,Insumos!$B$1:$B$996,Insumos!$D$1:$D$996),"")</f>
        <v/>
      </c>
      <c r="H2830" s="1069" t="n">
        <v>198.02</v>
      </c>
      <c r="I2830" s="2161" t="n">
        <v>0</v>
      </c>
      <c r="J2830" s="2161" t="n">
        <v>0</v>
      </c>
      <c r="K2830" s="2161" t="n"/>
    </row>
    <row r="2831" outlineLevel="2" ht="12.75" customHeight="1">
      <c r="A2831" s="10" t="n">
        <v>1</v>
      </c>
      <c r="B2831" s="471" t="inlineStr">
        <is>
          <t>Insumo</t>
        </is>
      </c>
      <c r="C2831" s="471" t="inlineStr">
        <is>
          <t>Forro de gesso acartonado - Resistente à umidade - Material e Mão de Obra</t>
        </is>
      </c>
      <c r="D2831" s="471" t="inlineStr">
        <is>
          <t>Forro de gesso acartonado - Resistente à umidade - Material e Mão de Obra</t>
        </is>
      </c>
      <c r="E2831" s="472" t="inlineStr">
        <is>
          <t>M2</t>
        </is>
      </c>
      <c r="F2831" s="2164" t="n">
        <v>1</v>
      </c>
      <c r="G2831" s="92">
        <f t="array" ref="G2831">IF(B2831="insumo",_xlfn.XLOOKUP($D2831,Insumos!$B$1:$B$996,Insumos!$D$1:$D$996),"")</f>
        <v/>
      </c>
      <c r="H2831" s="92" t="n">
        <v>198.02</v>
      </c>
      <c r="I2831" s="2162" t="n">
        <v>0</v>
      </c>
      <c r="J2831" s="2162" t="n">
        <v>0</v>
      </c>
      <c r="K2831" s="2162" t="n"/>
    </row>
    <row r="2832" outlineLevel="2" ht="15.75" customHeight="1">
      <c r="A2832" s="1067" t="n">
        <v>1</v>
      </c>
      <c r="B2832" s="1067" t="inlineStr">
        <is>
          <t>Serviço</t>
        </is>
      </c>
      <c r="C2832" s="1067" t="inlineStr">
        <is>
          <t xml:space="preserve">Revestimento em Tetos, Papel de parede,  Jeans Cinza 246, acessorios para instalação - Material e Mão de Obra </t>
        </is>
      </c>
      <c r="D2832" s="1067" t="inlineStr">
        <is>
          <t xml:space="preserve">Revestimento em Tetos, Papel de parede,  Jeans Cinza 246, acessorios para instalação - Material e Mão de Obra </t>
        </is>
      </c>
      <c r="E2832" s="1068" t="inlineStr">
        <is>
          <t>M2</t>
        </is>
      </c>
      <c r="F2832" s="1067" t="n"/>
      <c r="G2832" s="1069">
        <f t="array" ref="G2832">IF(B2832="insumo",_xlfn.XLOOKUP($D2832,Insumos!$B$1:$B$996,Insumos!$D$1:$D$996),"")</f>
        <v/>
      </c>
      <c r="H2832" s="1069" t="n">
        <v>283.616352201258</v>
      </c>
      <c r="I2832" s="2161" t="e">
        <v>#REF!</v>
      </c>
      <c r="J2832" s="2161" t="e">
        <v>#REF!</v>
      </c>
      <c r="K2832" s="2161" t="n"/>
    </row>
    <row r="2833" outlineLevel="3" ht="15.75" customHeight="1">
      <c r="A2833" s="10" t="n">
        <v>6</v>
      </c>
      <c r="B2833" s="10" t="inlineStr">
        <is>
          <t>Insumo</t>
        </is>
      </c>
      <c r="C2833" s="10" t="inlineStr">
        <is>
          <t xml:space="preserve">Revestimento em Tetos, Papel de parede,  Jeans Cinza 246, acessorios para instalação - Material e Mão de Obra </t>
        </is>
      </c>
      <c r="D2833" s="10" t="inlineStr">
        <is>
          <t>Mão de obra aplicação de papel de parede em paredes</t>
        </is>
      </c>
      <c r="E2833" s="11">
        <f t="array" ref="E2833">_xlfn.XLOOKUP(D2833,Insumos!B:B,Insumos!C:$C)</f>
        <v/>
      </c>
      <c r="F2833" s="14" t="n">
        <v>1.3</v>
      </c>
      <c r="G2833" s="92">
        <f t="array" ref="G2833">IF(B2833="insumo",_xlfn.XLOOKUP($D2833,Insumos!$B$1:$B$996,Insumos!$D$1:$D$996),"")</f>
        <v/>
      </c>
      <c r="H2833" s="92" t="n">
        <v>65</v>
      </c>
      <c r="I2833" s="2162" t="e">
        <v>#REF!</v>
      </c>
      <c r="J2833" s="2162" t="e">
        <v>#REF!</v>
      </c>
      <c r="K2833" s="2162" t="n"/>
    </row>
    <row r="2834" outlineLevel="3" ht="15.75" customHeight="1">
      <c r="A2834" s="10" t="n">
        <v>2</v>
      </c>
      <c r="B2834" s="10" t="inlineStr">
        <is>
          <t>Insumo</t>
        </is>
      </c>
      <c r="C2834" s="10" t="inlineStr">
        <is>
          <t xml:space="preserve">Revestimento em Tetos, Papel de parede,  Jeans Cinza 246, acessorios para instalação - Material e Mão de Obra </t>
        </is>
      </c>
      <c r="D2834" s="10" t="inlineStr">
        <is>
          <t>Revestimento em Paredes, Papel de parede,  Jeans Cinza 246, acessorios para instalação - Material</t>
        </is>
      </c>
      <c r="E2834" s="11">
        <f t="array" ref="E2834">_xlfn.XLOOKUP(D2834,Insumos!B:B,Insumos!C:$C)</f>
        <v/>
      </c>
      <c r="F2834" s="14" t="n">
        <v>1.1</v>
      </c>
      <c r="G2834" s="92">
        <f t="array" ref="G2834">IF(B2834="insumo",_xlfn.XLOOKUP($D2834,Insumos!$B$1:$B$996,Insumos!$D$1:$D$996),"")</f>
        <v/>
      </c>
      <c r="H2834" s="92" t="n">
        <v>218.616352201258</v>
      </c>
      <c r="I2834" s="2162" t="e">
        <v>#REF!</v>
      </c>
      <c r="J2834" s="2162" t="e">
        <v>#REF!</v>
      </c>
      <c r="K2834" s="2162" t="n"/>
    </row>
    <row r="2835" outlineLevel="1" ht="12.75" customHeight="1">
      <c r="A2835" s="1067" t="n">
        <v>1</v>
      </c>
      <c r="B2835" s="1076" t="inlineStr">
        <is>
          <t>Serviço</t>
        </is>
      </c>
      <c r="C2835" s="1076" t="inlineStr">
        <is>
          <t>Forro de madeira Imbuia - Material e Mão de Obra</t>
        </is>
      </c>
      <c r="D2835" s="1076" t="inlineStr">
        <is>
          <t>Forro de madeira Imbuia - Material e Mão de Obra</t>
        </is>
      </c>
      <c r="E2835" s="1078" t="inlineStr">
        <is>
          <t>M2</t>
        </is>
      </c>
      <c r="F2835" s="1076" t="n"/>
      <c r="G2835" s="1069">
        <f t="array" ref="G2835">IF(B2835="insumo",_xlfn.XLOOKUP($D2835,Insumos!$B$1:$B$996,Insumos!$D$1:$D$996),"")</f>
        <v/>
      </c>
      <c r="H2835" s="1069" t="n">
        <v>722</v>
      </c>
      <c r="I2835" s="2161" t="n">
        <v>0</v>
      </c>
      <c r="J2835" s="2161" t="n">
        <v>0</v>
      </c>
      <c r="K2835" s="2161" t="n"/>
    </row>
    <row r="2836" outlineLevel="2" ht="12.75" customHeight="1">
      <c r="A2836" s="10" t="n">
        <v>1</v>
      </c>
      <c r="B2836" s="471" t="inlineStr">
        <is>
          <t>Insumo</t>
        </is>
      </c>
      <c r="C2836" s="471" t="inlineStr">
        <is>
          <t>Forro de madeira Imbuia - Material e Mão de Obra</t>
        </is>
      </c>
      <c r="D2836" s="471" t="inlineStr">
        <is>
          <t>CHAPA  DE MADEIRA IMBUIA</t>
        </is>
      </c>
      <c r="E2836" s="472" t="inlineStr">
        <is>
          <t>M2</t>
        </is>
      </c>
      <c r="F2836" s="2164" t="n">
        <v>1.1</v>
      </c>
      <c r="G2836" s="92">
        <f t="array" ref="G2836">IF(B2836="insumo",_xlfn.XLOOKUP($D2836,Insumos!$B$1:$B$996,Insumos!$D$1:$D$996),"")</f>
        <v/>
      </c>
      <c r="H2836" s="92" t="n">
        <v>572</v>
      </c>
      <c r="I2836" s="2162" t="n">
        <v>0</v>
      </c>
      <c r="J2836" s="2162" t="n">
        <v>0</v>
      </c>
      <c r="K2836" s="2162" t="n"/>
    </row>
    <row r="2837" outlineLevel="2" ht="12.75" customHeight="1">
      <c r="A2837" s="10" t="n">
        <v>3</v>
      </c>
      <c r="B2837" s="471" t="inlineStr">
        <is>
          <t>Insumo</t>
        </is>
      </c>
      <c r="C2837" s="471" t="inlineStr">
        <is>
          <t>Forro de madeira Imbuia - Material e Mão de Obra</t>
        </is>
      </c>
      <c r="D2837" s="471" t="inlineStr">
        <is>
          <t>Mão de obra instalação de forro de madeira</t>
        </is>
      </c>
      <c r="E2837" s="472" t="inlineStr">
        <is>
          <t>M2</t>
        </is>
      </c>
      <c r="F2837" s="2164" t="n">
        <v>1</v>
      </c>
      <c r="G2837" s="92">
        <f t="array" ref="G2837">IF(B2837="insumo",_xlfn.XLOOKUP($D2837,Insumos!$B$1:$B$996,Insumos!$D$1:$D$996),"")</f>
        <v/>
      </c>
      <c r="H2837" s="92" t="n">
        <v>150</v>
      </c>
      <c r="I2837" s="2162" t="n">
        <v>0</v>
      </c>
      <c r="J2837" s="2162" t="n">
        <v>0</v>
      </c>
      <c r="K2837" s="2162" t="n"/>
    </row>
    <row r="2838" outlineLevel="1" ht="12.75" customHeight="1">
      <c r="A2838" s="1067" t="n">
        <v>1</v>
      </c>
      <c r="B2838" s="1076" t="inlineStr">
        <is>
          <t>Serviço</t>
        </is>
      </c>
      <c r="C2838" s="1076" t="inlineStr">
        <is>
          <t>Forro de madeira Itauba - Material e Mão de Obra</t>
        </is>
      </c>
      <c r="D2838" s="1076" t="inlineStr">
        <is>
          <t>Forro de madeira Itauba - Material e Mão de Obra</t>
        </is>
      </c>
      <c r="E2838" s="1078" t="inlineStr">
        <is>
          <t>M2</t>
        </is>
      </c>
      <c r="F2838" s="1076" t="n"/>
      <c r="G2838" s="1069">
        <f t="array" ref="G2838">IF(B2838="insumo",_xlfn.XLOOKUP($D2838,Insumos!$B$1:$B$996,Insumos!$D$1:$D$996),"")</f>
        <v/>
      </c>
      <c r="H2838" s="1069" t="n">
        <v>788</v>
      </c>
      <c r="I2838" s="2161" t="e">
        <v>#REF!</v>
      </c>
      <c r="J2838" s="2161" t="e">
        <v>#REF!</v>
      </c>
      <c r="K2838" s="2161" t="n"/>
    </row>
    <row r="2839" outlineLevel="2" ht="12.75" customHeight="1">
      <c r="A2839" s="10" t="n">
        <v>1</v>
      </c>
      <c r="B2839" s="471" t="inlineStr">
        <is>
          <t>Insumo</t>
        </is>
      </c>
      <c r="C2839" s="471" t="inlineStr">
        <is>
          <t>Forro de madeira Itauba - Material e Mão de Obra</t>
        </is>
      </c>
      <c r="D2839" s="471" t="inlineStr">
        <is>
          <t>CHAPA DE MADEIRA ITAUBA</t>
        </is>
      </c>
      <c r="E2839" s="472" t="inlineStr">
        <is>
          <t>M2</t>
        </is>
      </c>
      <c r="F2839" s="2164" t="n">
        <v>1.1</v>
      </c>
      <c r="G2839" s="92">
        <f t="array" ref="G2839">IF(B2839="insumo",_xlfn.XLOOKUP($D2839,Insumos!$B$1:$B$996,Insumos!$D$1:$D$996),"")</f>
        <v/>
      </c>
      <c r="H2839" s="92" t="n">
        <v>638</v>
      </c>
      <c r="I2839" s="2162" t="e">
        <v>#REF!</v>
      </c>
      <c r="J2839" s="2162" t="e">
        <v>#REF!</v>
      </c>
      <c r="K2839" s="2162" t="n"/>
    </row>
    <row r="2840" outlineLevel="2" ht="12.75" customHeight="1">
      <c r="A2840" s="10" t="n">
        <v>3</v>
      </c>
      <c r="B2840" s="471" t="inlineStr">
        <is>
          <t>Insumo</t>
        </is>
      </c>
      <c r="C2840" s="471" t="inlineStr">
        <is>
          <t>Forro de madeira Itauba - Material e Mão de Obra</t>
        </is>
      </c>
      <c r="D2840" s="471" t="inlineStr">
        <is>
          <t>Mão de obra instalação de forro de madeira</t>
        </is>
      </c>
      <c r="E2840" s="472" t="inlineStr">
        <is>
          <t>M2</t>
        </is>
      </c>
      <c r="F2840" s="2164" t="n">
        <v>1</v>
      </c>
      <c r="G2840" s="92">
        <f t="array" ref="G2840">IF(B2840="insumo",_xlfn.XLOOKUP($D2840,Insumos!$B$1:$B$996,Insumos!$D$1:$D$996),"")</f>
        <v/>
      </c>
      <c r="H2840" s="92" t="n">
        <v>150</v>
      </c>
      <c r="I2840" s="2162" t="e">
        <v>#REF!</v>
      </c>
      <c r="J2840" s="2162" t="e">
        <v>#REF!</v>
      </c>
      <c r="K2840" s="2162" t="n"/>
    </row>
    <row r="2841" outlineLevel="2" ht="15.75" customHeight="1">
      <c r="A2841" s="1067" t="n">
        <v>1</v>
      </c>
      <c r="B2841" s="1067" t="inlineStr">
        <is>
          <t>Serviço</t>
        </is>
      </c>
      <c r="C2841" s="1067" t="inlineStr">
        <is>
          <t>Forro de placa cimenticia - Material e Mão de Obra</t>
        </is>
      </c>
      <c r="D2841" s="1067" t="inlineStr">
        <is>
          <t>Forro de placa cimenticia - Material e Mão de Obra</t>
        </is>
      </c>
      <c r="E2841" s="1068" t="inlineStr">
        <is>
          <t>M2</t>
        </is>
      </c>
      <c r="F2841" s="1067" t="n"/>
      <c r="G2841" s="1069">
        <f t="array" ref="G2841">IF(B2841="insumo",_xlfn.XLOOKUP($D2841,Insumos!$B$1:$B$996,Insumos!$D$1:$D$996),"")</f>
        <v/>
      </c>
      <c r="H2841" s="1069" t="n">
        <v>275</v>
      </c>
      <c r="I2841" s="2161" t="n">
        <v>0</v>
      </c>
      <c r="J2841" s="2161" t="n">
        <v>0</v>
      </c>
      <c r="K2841" s="2161" t="n"/>
    </row>
    <row r="2842" outlineLevel="3" ht="15.75" customHeight="1">
      <c r="A2842" s="10" t="n">
        <v>1</v>
      </c>
      <c r="B2842" s="10" t="inlineStr">
        <is>
          <t>Insumo</t>
        </is>
      </c>
      <c r="C2842" s="10" t="inlineStr">
        <is>
          <t>Forro de placa cimenticia - Material e Mão de Obra</t>
        </is>
      </c>
      <c r="D2842" s="10" t="inlineStr">
        <is>
          <t>Forro de placa cimenticia - Material e Mão de Obra</t>
        </is>
      </c>
      <c r="E2842" s="11">
        <f t="array" ref="E2842">_xlfn.XLOOKUP(D2842,Insumos!B:B,Insumos!C:$C)</f>
        <v/>
      </c>
      <c r="F2842" s="14" t="n">
        <v>1</v>
      </c>
      <c r="G2842" s="92">
        <f t="array" ref="G2842">IF(B2842="insumo",_xlfn.XLOOKUP($D2842,Insumos!$B$1:$B$996,Insumos!$D$1:$D$996),"")</f>
        <v/>
      </c>
      <c r="H2842" s="92" t="n">
        <v>275</v>
      </c>
      <c r="I2842" s="2162" t="n">
        <v>0</v>
      </c>
      <c r="J2842" s="2162" t="n">
        <v>0</v>
      </c>
      <c r="K2842" s="2162" t="n"/>
    </row>
    <row r="2843" outlineLevel="2" ht="15.75" customHeight="1">
      <c r="A2843" s="1067" t="n">
        <v>1</v>
      </c>
      <c r="B2843" s="1067" t="inlineStr">
        <is>
          <t>Serviço</t>
        </is>
      </c>
      <c r="C2843" s="1067" t="inlineStr">
        <is>
          <t>Forro de MDF Liso  - Material e Mão de Obra</t>
        </is>
      </c>
      <c r="D2843" s="1067" t="inlineStr">
        <is>
          <t>Forro de MDF Liso  - Material e Mão de Obra</t>
        </is>
      </c>
      <c r="E2843" s="1068" t="inlineStr">
        <is>
          <t>M2</t>
        </is>
      </c>
      <c r="F2843" s="1067" t="n"/>
      <c r="G2843" s="1069">
        <f t="array" ref="G2843">IF(B2843="insumo",_xlfn.XLOOKUP($D2843,Insumos!$B$1:$B$996,Insumos!$D$1:$D$996),"")</f>
        <v/>
      </c>
      <c r="H2843" s="1069" t="n">
        <v>330</v>
      </c>
      <c r="I2843" s="2161" t="e">
        <v>#REF!</v>
      </c>
      <c r="J2843" s="2161" t="e">
        <v>#REF!</v>
      </c>
      <c r="K2843" s="2161" t="n"/>
    </row>
    <row r="2844" outlineLevel="3" ht="15.75" customHeight="1">
      <c r="A2844" s="10" t="n">
        <v>1</v>
      </c>
      <c r="B2844" s="10" t="inlineStr">
        <is>
          <t>Insumo</t>
        </is>
      </c>
      <c r="C2844" s="10" t="inlineStr">
        <is>
          <t>Forro de MDF Liso  - Material e Mão de Obra</t>
        </is>
      </c>
      <c r="D2844" s="10" t="inlineStr">
        <is>
          <t>Forro de MDF Liso  - Material e Mão de Obra</t>
        </is>
      </c>
      <c r="E2844" s="11">
        <f t="array" ref="E2844">_xlfn.XLOOKUP(D2844,Insumos!B:B,Insumos!C:$C)</f>
        <v/>
      </c>
      <c r="F2844" s="14" t="n">
        <v>1.1</v>
      </c>
      <c r="G2844" s="92">
        <f t="array" ref="G2844">IF(B2844="insumo",_xlfn.XLOOKUP($D2844,Insumos!$B$1:$B$996,Insumos!$D$1:$D$996),"")</f>
        <v/>
      </c>
      <c r="H2844" s="92" t="n">
        <v>330</v>
      </c>
      <c r="I2844" s="2162" t="e">
        <v>#REF!</v>
      </c>
      <c r="J2844" s="2162" t="e">
        <v>#REF!</v>
      </c>
      <c r="K2844" s="2162" t="n"/>
    </row>
    <row r="2845" outlineLevel="2" ht="15.75" customHeight="1">
      <c r="A2845" s="1067" t="n">
        <v>1</v>
      </c>
      <c r="B2845" s="1067" t="inlineStr">
        <is>
          <t>Serviço</t>
        </is>
      </c>
      <c r="C2845" s="1067" t="inlineStr">
        <is>
          <t>Forro de MDF Liso com Alto relevo personalizado e pintura laca verde - Material e Mão de Obra</t>
        </is>
      </c>
      <c r="D2845" s="1067" t="inlineStr">
        <is>
          <t>Forro de MDF Liso com Alto relevo personalizado e pintura laca verde - Material e Mão de Obra</t>
        </is>
      </c>
      <c r="E2845" s="1068" t="inlineStr">
        <is>
          <t>M2</t>
        </is>
      </c>
      <c r="F2845" s="1067" t="n"/>
      <c r="G2845" s="1069">
        <f t="array" ref="G2845">IF(B2845="insumo",_xlfn.XLOOKUP($D2845,Insumos!$B$1:$B$996,Insumos!$D$1:$D$996),"")</f>
        <v/>
      </c>
      <c r="H2845" s="1069" t="n">
        <v>1056</v>
      </c>
      <c r="I2845" s="2161" t="e">
        <v>#REF!</v>
      </c>
      <c r="J2845" s="2161" t="e">
        <v>#REF!</v>
      </c>
      <c r="K2845" s="2161" t="n"/>
    </row>
    <row r="2846" outlineLevel="3" ht="15.75" customHeight="1">
      <c r="A2846" s="10" t="n">
        <v>1</v>
      </c>
      <c r="B2846" s="10" t="inlineStr">
        <is>
          <t>Insumo</t>
        </is>
      </c>
      <c r="C2846" s="10" t="inlineStr">
        <is>
          <t>Forro de MDF Liso com Alto relevo personalizado e pintura laca verde - Material e Mão de Obra</t>
        </is>
      </c>
      <c r="D2846" s="10" t="inlineStr">
        <is>
          <t>Forro de MDF Liso e pintura laca verde - Material e Mão de Obra - incluso estrutura metálica + mdf 15mm + peças em CNC + colagem e fixação + massa + lixamento + pintura laca verde</t>
        </is>
      </c>
      <c r="E2846" s="11">
        <f t="array" ref="E2846">_xlfn.XLOOKUP(D2846,Insumos!B:B,Insumos!C:$C)</f>
        <v/>
      </c>
      <c r="F2846" s="14" t="n">
        <v>1.1</v>
      </c>
      <c r="G2846" s="92">
        <f t="array" ref="G2846">IF(B2846="insumo",_xlfn.XLOOKUP($D2846,Insumos!$B$1:$B$996,Insumos!$D$1:$D$996),"")</f>
        <v/>
      </c>
      <c r="H2846" s="92" t="n">
        <v>396</v>
      </c>
      <c r="I2846" s="2162" t="e">
        <v>#REF!</v>
      </c>
      <c r="J2846" s="2162" t="e">
        <v>#REF!</v>
      </c>
      <c r="K2846" s="2162" t="n"/>
    </row>
    <row r="2847" outlineLevel="3" ht="15.75" customHeight="1">
      <c r="A2847" s="10" t="n">
        <v>1</v>
      </c>
      <c r="B2847" s="10" t="inlineStr">
        <is>
          <t>Insumo</t>
        </is>
      </c>
      <c r="C2847" s="10" t="inlineStr">
        <is>
          <t>Forro de MDF Liso com Alto relevo personalizado e pintura laca verde - Material e Mão de Obra</t>
        </is>
      </c>
      <c r="D2847" s="10" t="inlineStr">
        <is>
          <t>Forro de MDF Alto relevo personalizado e pintura laca verde - Material e Mão de Obra - peças em CNC + montagem modular + pintura laca verde em multiplas faces</t>
        </is>
      </c>
      <c r="E2847" s="11">
        <f t="array" ref="E2847">_xlfn.XLOOKUP(D2847,Insumos!B:B,Insumos!C:$C)</f>
        <v/>
      </c>
      <c r="F2847" s="14" t="n">
        <v>1.1</v>
      </c>
      <c r="G2847" s="92">
        <f t="array" ref="G2847">IF(B2847="insumo",_xlfn.XLOOKUP($D2847,Insumos!$B$1:$B$996,Insumos!$D$1:$D$996),"")</f>
        <v/>
      </c>
      <c r="H2847" s="92" t="n">
        <v>660</v>
      </c>
      <c r="I2847" s="2162" t="e">
        <v>#REF!</v>
      </c>
      <c r="J2847" s="2162" t="e">
        <v>#REF!</v>
      </c>
      <c r="K2847" s="2162" t="n"/>
    </row>
    <row r="2848" outlineLevel="2" ht="15.75" customHeight="1">
      <c r="A2848" s="1067" t="n">
        <v>1</v>
      </c>
      <c r="B2848" s="1067" t="inlineStr">
        <is>
          <t>Serviço</t>
        </is>
      </c>
      <c r="C2848" s="1067" t="inlineStr">
        <is>
          <t>Forro de MDF Régua com Nuvens em MDF em alto relevo personalizado e pintura azul - Material e Mão de Obra</t>
        </is>
      </c>
      <c r="D2848" s="1067" t="inlineStr">
        <is>
          <t>Forro de MDF Régua com Nuvens em MDF em alto relevo personalizado e pintura azul - Material e Mão de Obra</t>
        </is>
      </c>
      <c r="E2848" s="1068" t="inlineStr">
        <is>
          <t>M2</t>
        </is>
      </c>
      <c r="F2848" s="1067" t="n"/>
      <c r="G2848" s="1069">
        <f t="array" ref="G2848">IF(B2848="insumo",_xlfn.XLOOKUP($D2848,Insumos!$B$1:$B$996,Insumos!$D$1:$D$996),"")</f>
        <v/>
      </c>
      <c r="H2848" s="1069" t="n">
        <v>737</v>
      </c>
      <c r="I2848" s="2161" t="e">
        <v>#REF!</v>
      </c>
      <c r="J2848" s="2161" t="e">
        <v>#REF!</v>
      </c>
      <c r="K2848" s="2161" t="n"/>
    </row>
    <row r="2849" outlineLevel="3" ht="15.75" customHeight="1">
      <c r="A2849" s="10" t="n">
        <v>1</v>
      </c>
      <c r="B2849" s="10" t="inlineStr">
        <is>
          <t>Insumo</t>
        </is>
      </c>
      <c r="C2849" s="10" t="inlineStr">
        <is>
          <t>Forro de MDF Régua com Nuvens em MDF em alto relevo personalizado e pintura azul - Material e Mão de Obra</t>
        </is>
      </c>
      <c r="D2849" s="10" t="inlineStr">
        <is>
          <t>Forro de MDF Régua e pintura azul - Material e Mão de Obra - Forro MDF em régua</t>
        </is>
      </c>
      <c r="E2849" s="11">
        <f t="array" ref="E2849">_xlfn.XLOOKUP(D2849,Insumos!B:B,Insumos!C:$C)</f>
        <v/>
      </c>
      <c r="F2849" s="14" t="n">
        <v>1.1</v>
      </c>
      <c r="G2849" s="92">
        <f t="array" ref="G2849">IF(B2849="insumo",_xlfn.XLOOKUP($D2849,Insumos!$B$1:$B$996,Insumos!$D$1:$D$996),"")</f>
        <v/>
      </c>
      <c r="H2849" s="92" t="n">
        <v>385</v>
      </c>
      <c r="I2849" s="2162" t="e">
        <v>#REF!</v>
      </c>
      <c r="J2849" s="2162" t="e">
        <v>#REF!</v>
      </c>
      <c r="K2849" s="2162" t="n"/>
    </row>
    <row r="2850" outlineLevel="3" ht="15.75" customHeight="1">
      <c r="A2850" s="10" t="n">
        <v>1</v>
      </c>
      <c r="B2850" s="10" t="inlineStr">
        <is>
          <t>Insumo</t>
        </is>
      </c>
      <c r="C2850" s="10" t="inlineStr">
        <is>
          <t>Forro de MDF Régua com Nuvens em MDF em alto relevo personalizado e pintura azul - Material e Mão de Obra</t>
        </is>
      </c>
      <c r="D2850" s="10" t="inlineStr">
        <is>
          <t>Nuvens em MDF em alto relevo personalizado e pintura azul - Material e Mão de Obra - + peças recortadas em CNC + 2 tipologias de nuvens + pintura PU em azul + montagem suspensa</t>
        </is>
      </c>
      <c r="E2850" s="11">
        <f t="array" ref="E2850">_xlfn.XLOOKUP(D2850,Insumos!B:B,Insumos!C:$C)</f>
        <v/>
      </c>
      <c r="F2850" s="14" t="n">
        <v>1.1</v>
      </c>
      <c r="G2850" s="92">
        <f t="array" ref="G2850">IF(B2850="insumo",_xlfn.XLOOKUP($D2850,Insumos!$B$1:$B$996,Insumos!$D$1:$D$996),"")</f>
        <v/>
      </c>
      <c r="H2850" s="92" t="n">
        <v>352</v>
      </c>
      <c r="I2850" s="2162" t="e">
        <v>#REF!</v>
      </c>
      <c r="J2850" s="2162" t="e">
        <v>#REF!</v>
      </c>
      <c r="K2850" s="2162" t="n"/>
    </row>
    <row r="2851" outlineLevel="2" ht="15.75" customHeight="1">
      <c r="A2851" s="1067" t="n">
        <v>1</v>
      </c>
      <c r="B2851" s="1067" t="inlineStr">
        <is>
          <t>Serviço</t>
        </is>
      </c>
      <c r="C2851" s="1067" t="inlineStr">
        <is>
          <t>Forro de madeira - Material e Mão de Obra</t>
        </is>
      </c>
      <c r="D2851" s="1067" t="inlineStr">
        <is>
          <t>Forro de madeira - Material e Mão de Obra</t>
        </is>
      </c>
      <c r="E2851" s="1068" t="inlineStr">
        <is>
          <t>M2</t>
        </is>
      </c>
      <c r="F2851" s="1067" t="n"/>
      <c r="G2851" s="1069">
        <f t="array" ref="G2851">IF(B2851="insumo",_xlfn.XLOOKUP($D2851,Insumos!$B$1:$B$996,Insumos!$D$1:$D$996),"")</f>
        <v/>
      </c>
      <c r="H2851" s="1069" t="n">
        <v>249</v>
      </c>
      <c r="I2851" s="2161" t="n">
        <v>0</v>
      </c>
      <c r="J2851" s="2161" t="n">
        <v>0</v>
      </c>
      <c r="K2851" s="2161" t="n"/>
    </row>
    <row r="2852" outlineLevel="3" ht="15.75" customHeight="1">
      <c r="A2852" s="10" t="n">
        <v>1</v>
      </c>
      <c r="B2852" s="10" t="inlineStr">
        <is>
          <t>Insumo</t>
        </is>
      </c>
      <c r="C2852" s="10" t="inlineStr">
        <is>
          <t>Forro de madeira - Material e Mão de Obra</t>
        </is>
      </c>
      <c r="D2852" s="10" t="inlineStr">
        <is>
          <t>Madeira Amescla para acabamento</t>
        </is>
      </c>
      <c r="E2852" s="11">
        <f t="array" ref="E2852">_xlfn.XLOOKUP(D2852,Insumos!B:B,Insumos!C:$C)</f>
        <v/>
      </c>
      <c r="F2852" s="14" t="n">
        <v>1.1</v>
      </c>
      <c r="G2852" s="92">
        <f t="array" ref="G2852">IF(B2852="insumo",_xlfn.XLOOKUP($D2852,Insumos!$B$1:$B$996,Insumos!$D$1:$D$996),"")</f>
        <v/>
      </c>
      <c r="H2852" s="92" t="n">
        <v>99</v>
      </c>
      <c r="I2852" s="2162" t="n">
        <v>0</v>
      </c>
      <c r="J2852" s="2162" t="n">
        <v>0</v>
      </c>
      <c r="K2852" s="2162" t="n"/>
    </row>
    <row r="2853" outlineLevel="3" ht="15.75" customHeight="1">
      <c r="A2853" s="10" t="n">
        <v>3</v>
      </c>
      <c r="B2853" s="10" t="inlineStr">
        <is>
          <t>Insumo</t>
        </is>
      </c>
      <c r="C2853" s="10" t="inlineStr">
        <is>
          <t>Forro de madeira - Material e Mão de Obra</t>
        </is>
      </c>
      <c r="D2853" s="10" t="inlineStr">
        <is>
          <t>Mão de obra instalação de forro de madeira</t>
        </is>
      </c>
      <c r="E2853" s="11">
        <f t="array" ref="E2853">_xlfn.XLOOKUP(D2853,Insumos!B:B,Insumos!C:$C)</f>
        <v/>
      </c>
      <c r="F2853" s="14" t="n">
        <v>1</v>
      </c>
      <c r="G2853" s="92">
        <f t="array" ref="G2853">IF(B2853="insumo",_xlfn.XLOOKUP($D2853,Insumos!$B$1:$B$996,Insumos!$D$1:$D$996),"")</f>
        <v/>
      </c>
      <c r="H2853" s="92" t="n">
        <v>150</v>
      </c>
      <c r="I2853" s="2162" t="n">
        <v>0</v>
      </c>
      <c r="J2853" s="2162" t="n">
        <v>0</v>
      </c>
      <c r="K2853" s="2162" t="n"/>
    </row>
    <row r="2854" outlineLevel="2" ht="15.75" customHeight="1">
      <c r="A2854" s="1067" t="n">
        <v>1</v>
      </c>
      <c r="B2854" s="1067" t="inlineStr">
        <is>
          <t>Serviço</t>
        </is>
      </c>
      <c r="C2854" s="1067" t="inlineStr">
        <is>
          <t>Forro de Mármore Natural - Material e Mão de Obra</t>
        </is>
      </c>
      <c r="D2854" s="1067" t="inlineStr">
        <is>
          <t>Forro de Mármore Natural - Material e Mão de Obra</t>
        </is>
      </c>
      <c r="E2854" s="1068" t="inlineStr">
        <is>
          <t>M2</t>
        </is>
      </c>
      <c r="F2854" s="1067" t="n"/>
      <c r="G2854" s="1069">
        <f t="array" ref="G2854">IF(B2854="insumo",_xlfn.XLOOKUP($D2854,Insumos!$B$1:$B$996,Insumos!$D$1:$D$996),"")</f>
        <v/>
      </c>
      <c r="H2854" s="1069" t="n">
        <v>1080</v>
      </c>
      <c r="I2854" s="2161" t="e">
        <v>#REF!</v>
      </c>
      <c r="J2854" s="2161" t="e">
        <v>#REF!</v>
      </c>
      <c r="K2854" s="2161" t="n"/>
    </row>
    <row r="2855" outlineLevel="3" ht="15.75" customHeight="1">
      <c r="A2855" s="10" t="n">
        <v>4</v>
      </c>
      <c r="B2855" s="10" t="inlineStr">
        <is>
          <t>Insumo</t>
        </is>
      </c>
      <c r="C2855" s="10" t="inlineStr">
        <is>
          <t>Forro de Mármore Natural - Material e Mão de Obra</t>
        </is>
      </c>
      <c r="D2855" s="10" t="inlineStr">
        <is>
          <t>Mármore Natural</t>
        </is>
      </c>
      <c r="E2855" s="11">
        <f t="array" ref="E2855">_xlfn.XLOOKUP(D2855,Insumos!B:B,Insumos!C:$C)</f>
        <v/>
      </c>
      <c r="F2855" s="14" t="n">
        <v>1.1</v>
      </c>
      <c r="G2855" s="92">
        <f t="array" ref="G2855">IF(B2855="insumo",_xlfn.XLOOKUP($D2855,Insumos!$B$1:$B$996,Insumos!$D$1:$D$996),"")</f>
        <v/>
      </c>
      <c r="H2855" s="92" t="n">
        <v>880</v>
      </c>
      <c r="I2855" s="2162" t="e">
        <v>#REF!</v>
      </c>
      <c r="J2855" s="2162" t="e">
        <v>#REF!</v>
      </c>
      <c r="K2855" s="2162" t="n"/>
    </row>
    <row r="2856" outlineLevel="3" ht="15.75" customHeight="1">
      <c r="A2856" s="10" t="n">
        <v>2</v>
      </c>
      <c r="B2856" s="10" t="inlineStr">
        <is>
          <t>Insumo</t>
        </is>
      </c>
      <c r="C2856" s="10" t="inlineStr">
        <is>
          <t>Forro de Mármore Natural - Material e Mão de Obra</t>
        </is>
      </c>
      <c r="D2856" s="10" t="inlineStr">
        <is>
          <t>Mão de obra para aplicação de Mármore em teto</t>
        </is>
      </c>
      <c r="E2856" s="11">
        <f t="array" ref="E2856">_xlfn.XLOOKUP(D2856,Insumos!B:B,Insumos!C:$C)</f>
        <v/>
      </c>
      <c r="F2856" s="14" t="n">
        <v>1</v>
      </c>
      <c r="G2856" s="92">
        <f t="array" ref="G2856">IF(B2856="insumo",_xlfn.XLOOKUP($D2856,Insumos!$B$1:$B$996,Insumos!$D$1:$D$996),"")</f>
        <v/>
      </c>
      <c r="H2856" s="92" t="n">
        <v>200</v>
      </c>
      <c r="I2856" s="2162" t="e">
        <v>#REF!</v>
      </c>
      <c r="J2856" s="2162" t="e">
        <v>#REF!</v>
      </c>
      <c r="K2856" s="2162" t="n"/>
    </row>
    <row r="2857" outlineLevel="2" ht="15.75" customHeight="1">
      <c r="A2857" s="1067" t="n">
        <v>1</v>
      </c>
      <c r="B2857" s="1067" t="inlineStr">
        <is>
          <t>Serviço</t>
        </is>
      </c>
      <c r="C2857" s="1067" t="inlineStr">
        <is>
          <t>Forro de Mármore Travertino Romano - Material e Mão de Obra</t>
        </is>
      </c>
      <c r="D2857" s="1067" t="inlineStr">
        <is>
          <t>Forro de Mármore Travertino Romano - Material e Mão de Obra</t>
        </is>
      </c>
      <c r="E2857" s="1068" t="inlineStr">
        <is>
          <t>M2</t>
        </is>
      </c>
      <c r="F2857" s="1067" t="n"/>
      <c r="G2857" s="1069">
        <f t="array" ref="G2857">IF(B2857="insumo",_xlfn.XLOOKUP($D2857,Insumos!$B$1:$B$996,Insumos!$D$1:$D$996),"")</f>
        <v/>
      </c>
      <c r="H2857" s="1069" t="n">
        <v>1630</v>
      </c>
      <c r="I2857" s="2161" t="n">
        <v>0</v>
      </c>
      <c r="J2857" s="2161" t="n">
        <v>0</v>
      </c>
      <c r="K2857" s="2161" t="n"/>
    </row>
    <row r="2858" outlineLevel="3" ht="15.75" customHeight="1">
      <c r="A2858" s="10" t="n">
        <v>5</v>
      </c>
      <c r="B2858" s="10" t="inlineStr">
        <is>
          <t>Insumo</t>
        </is>
      </c>
      <c r="C2858" s="10" t="inlineStr">
        <is>
          <t>Forro de Mármore Travertino Romano - Material e Mão de Obra</t>
        </is>
      </c>
      <c r="D2858" s="10" t="inlineStr">
        <is>
          <t>Mármore Travertino Romano</t>
        </is>
      </c>
      <c r="E2858" s="11">
        <f t="array" ref="E2858">_xlfn.XLOOKUP(D2858,Insumos!B:B,Insumos!C:$C)</f>
        <v/>
      </c>
      <c r="F2858" s="14" t="n">
        <v>1.1</v>
      </c>
      <c r="G2858" s="92">
        <f t="array" ref="G2858">IF(B2858="insumo",_xlfn.XLOOKUP($D2858,Insumos!$B$1:$B$996,Insumos!$D$1:$D$996),"")</f>
        <v/>
      </c>
      <c r="H2858" s="92" t="n">
        <v>1430</v>
      </c>
      <c r="I2858" s="2162" t="n">
        <v>0</v>
      </c>
      <c r="J2858" s="2162" t="n">
        <v>0</v>
      </c>
      <c r="K2858" s="2162" t="n"/>
    </row>
    <row r="2859" outlineLevel="3" ht="15.75" customHeight="1">
      <c r="A2859" s="10" t="n">
        <v>2</v>
      </c>
      <c r="B2859" s="10" t="inlineStr">
        <is>
          <t>Insumo</t>
        </is>
      </c>
      <c r="C2859" s="10" t="inlineStr">
        <is>
          <t>Forro de Mármore Travertino Romano - Material e Mão de Obra</t>
        </is>
      </c>
      <c r="D2859" s="10" t="inlineStr">
        <is>
          <t>Mão de obra para aplicação de Mármore em teto</t>
        </is>
      </c>
      <c r="E2859" s="11">
        <f t="array" ref="E2859">_xlfn.XLOOKUP(D2859,Insumos!B:B,Insumos!C:$C)</f>
        <v/>
      </c>
      <c r="F2859" s="14" t="n">
        <v>1</v>
      </c>
      <c r="G2859" s="92">
        <f t="array" ref="G2859">IF(B2859="insumo",_xlfn.XLOOKUP($D2859,Insumos!$B$1:$B$996,Insumos!$D$1:$D$996),"")</f>
        <v/>
      </c>
      <c r="H2859" s="92" t="n">
        <v>200</v>
      </c>
      <c r="I2859" s="2162" t="n">
        <v>0</v>
      </c>
      <c r="J2859" s="2162" t="n">
        <v>0</v>
      </c>
      <c r="K2859" s="2162" t="n"/>
    </row>
    <row r="2860" outlineLevel="2" ht="15.75" customHeight="1">
      <c r="A2860" s="1067" t="n">
        <v>1</v>
      </c>
      <c r="B2860" s="1067" t="inlineStr">
        <is>
          <t>Serviço</t>
        </is>
      </c>
      <c r="C2860" s="1067" t="inlineStr">
        <is>
          <t>Forro de Porcelanato - Material e Mão de Obra</t>
        </is>
      </c>
      <c r="D2860" s="1067" t="inlineStr">
        <is>
          <t>Forro de Porcelanato - Material e Mão de Obra</t>
        </is>
      </c>
      <c r="E2860" s="1068" t="inlineStr">
        <is>
          <t>M2</t>
        </is>
      </c>
      <c r="F2860" s="1067" t="n"/>
      <c r="G2860" s="1069">
        <f t="array" ref="G2860">IF(B2860="insumo",_xlfn.XLOOKUP($D2860,Insumos!$B$1:$B$996,Insumos!$D$1:$D$996),"")</f>
        <v/>
      </c>
      <c r="H2860" s="1069" t="n">
        <v>273.4475</v>
      </c>
      <c r="I2860" s="2161" t="n">
        <v>0</v>
      </c>
      <c r="J2860" s="2161" t="n">
        <v>0</v>
      </c>
      <c r="K2860" s="2161" t="n"/>
    </row>
    <row r="2861" outlineLevel="3" ht="15.75" customHeight="1">
      <c r="A2861" s="10" t="n">
        <v>1</v>
      </c>
      <c r="B2861" s="10" t="inlineStr">
        <is>
          <t>Insumo</t>
        </is>
      </c>
      <c r="C2861" s="10" t="inlineStr">
        <is>
          <t>Forro de Porcelanato - Material e Mão de Obra</t>
        </is>
      </c>
      <c r="D2861" s="10" t="inlineStr">
        <is>
          <t>Revestimento de parede em porcelanato, placa 30x90cm</t>
        </is>
      </c>
      <c r="E2861" s="11">
        <f t="array" ref="E2861">_xlfn.XLOOKUP(D2861,Insumos!B:B,Insumos!C:$C)</f>
        <v/>
      </c>
      <c r="F2861" s="14" t="n">
        <v>1.1</v>
      </c>
      <c r="G2861" s="92">
        <f t="array" ref="G2861">IF(B2861="insumo",_xlfn.XLOOKUP($D2861,Insumos!$B$1:$B$996,Insumos!$D$1:$D$996),"")</f>
        <v/>
      </c>
      <c r="H2861" s="92" t="n">
        <v>123.4475</v>
      </c>
      <c r="I2861" s="2162" t="n">
        <v>0</v>
      </c>
      <c r="J2861" s="2162" t="n">
        <v>0</v>
      </c>
      <c r="K2861" s="2162" t="n"/>
    </row>
    <row r="2862" outlineLevel="3" ht="15.75" customHeight="1">
      <c r="A2862" s="10" t="n">
        <v>1</v>
      </c>
      <c r="B2862" s="10" t="inlineStr">
        <is>
          <t>Insumo</t>
        </is>
      </c>
      <c r="C2862" s="10" t="inlineStr">
        <is>
          <t>Forro de Porcelanato - Material e Mão de Obra</t>
        </is>
      </c>
      <c r="D2862" s="10" t="inlineStr">
        <is>
          <t>Mão de obra instalação de Porcelanato no teto</t>
        </is>
      </c>
      <c r="E2862" s="11">
        <f t="array" ref="E2862">_xlfn.XLOOKUP(D2862,Insumos!B:B,Insumos!C:$C)</f>
        <v/>
      </c>
      <c r="F2862" s="14" t="n">
        <v>1</v>
      </c>
      <c r="G2862" s="92">
        <f t="array" ref="G2862">IF(B2862="insumo",_xlfn.XLOOKUP($D2862,Insumos!$B$1:$B$996,Insumos!$D$1:$D$996),"")</f>
        <v/>
      </c>
      <c r="H2862" s="92" t="n">
        <v>150</v>
      </c>
      <c r="I2862" s="2162" t="n">
        <v>0</v>
      </c>
      <c r="J2862" s="2162" t="n">
        <v>0</v>
      </c>
      <c r="K2862" s="2162" t="n"/>
    </row>
    <row r="2863" outlineLevel="2" ht="15.75" customHeight="1">
      <c r="A2863" s="1067" t="n">
        <v>1</v>
      </c>
      <c r="B2863" s="1067" t="inlineStr">
        <is>
          <t>Serviço</t>
        </is>
      </c>
      <c r="C2863" s="1067" t="inlineStr">
        <is>
          <t>FORRO DRYWALL 48 mm - PLACA ST - Material e Mão de obra</t>
        </is>
      </c>
      <c r="D2863" s="1067" t="inlineStr">
        <is>
          <t>FORRO DRYWALL 48 mm - PLACA ST - Material e Mão de obra</t>
        </is>
      </c>
      <c r="E2863" s="1068" t="inlineStr">
        <is>
          <t>M2</t>
        </is>
      </c>
      <c r="F2863" s="1067" t="n"/>
      <c r="G2863" s="1069">
        <f t="array" ref="G2863">IF(B2863="insumo",_xlfn.XLOOKUP($D2863,Insumos!$B$1:$B$996,Insumos!$D$1:$D$996),"")</f>
        <v/>
      </c>
      <c r="H2863" s="1069" t="n">
        <v>160.0644445</v>
      </c>
      <c r="I2863" s="2161" t="n">
        <v>0</v>
      </c>
      <c r="J2863" s="2161" t="n">
        <v>0</v>
      </c>
      <c r="K2863" s="2161" t="n"/>
    </row>
    <row r="2864" outlineLevel="3" ht="15.75" customHeight="1">
      <c r="A2864" s="10" t="n">
        <v>86</v>
      </c>
      <c r="B2864" s="10" t="inlineStr">
        <is>
          <t>Insumo</t>
        </is>
      </c>
      <c r="C2864" s="10" t="inlineStr">
        <is>
          <t>FORRO DRYWALL 48 mm - PLACA ST - Material e Mão de obra</t>
        </is>
      </c>
      <c r="D2864" s="10" t="inlineStr">
        <is>
          <t>SERVICO - CONFECCAO SHAFT GESSO</t>
        </is>
      </c>
      <c r="E2864" s="11">
        <f t="array" ref="E2864">_xlfn.XLOOKUP(D2864,Insumos!B:B,Insumos!C:$C)</f>
        <v/>
      </c>
      <c r="F2864" s="14" t="n">
        <v>1</v>
      </c>
      <c r="G2864" s="92">
        <f t="array" ref="G2864">IF(B2864="insumo",_xlfn.XLOOKUP($D2864,Insumos!$B$1:$B$996,Insumos!$D$1:$D$996),"")</f>
        <v/>
      </c>
      <c r="H2864" s="92" t="n">
        <v>70</v>
      </c>
      <c r="I2864" s="2162" t="n">
        <v>0</v>
      </c>
      <c r="J2864" s="2162" t="n">
        <v>0</v>
      </c>
      <c r="K2864" s="2162" t="n"/>
    </row>
    <row r="2865" outlineLevel="3" ht="15.75" customHeight="1">
      <c r="A2865" s="10" t="n">
        <v>47</v>
      </c>
      <c r="B2865" s="10" t="inlineStr">
        <is>
          <t>Insumo</t>
        </is>
      </c>
      <c r="C2865" s="10" t="inlineStr">
        <is>
          <t>FORRO DRYWALL 48 mm - PLACA ST - Material e Mão de obra</t>
        </is>
      </c>
      <c r="D2865" s="10" t="inlineStr">
        <is>
          <t>PLACA / CHAPA DE GESSO ACARTONADO, STANDARD (ST), COR BRANCA, E = 12,5 MM, 1200 X 2400 MM (L X C)</t>
        </is>
      </c>
      <c r="E2865" s="11">
        <f t="array" ref="E2865">_xlfn.XLOOKUP(D2865,Insumos!B:B,Insumos!C:$C)</f>
        <v/>
      </c>
      <c r="F2865" s="14" t="n">
        <v>1.106</v>
      </c>
      <c r="G2865" s="92">
        <f t="array" ref="G2865">IF(B2865="insumo",_xlfn.XLOOKUP($D2865,Insumos!$B$1:$B$996,Insumos!$D$1:$D$996),"")</f>
        <v/>
      </c>
      <c r="H2865" s="92" t="n">
        <v>22.29696</v>
      </c>
      <c r="I2865" s="2162" t="n">
        <v>0</v>
      </c>
      <c r="J2865" s="2162" t="n">
        <v>0</v>
      </c>
      <c r="K2865" s="2162" t="n"/>
    </row>
    <row r="2866" outlineLevel="3" ht="15.75" customHeight="1">
      <c r="A2866" s="10" t="n">
        <v>95</v>
      </c>
      <c r="B2866" s="10" t="inlineStr">
        <is>
          <t>Insumo</t>
        </is>
      </c>
      <c r="C2866" s="10" t="inlineStr">
        <is>
          <t>FORRO DRYWALL 48 mm - PLACA ST - Material e Mão de obra</t>
        </is>
      </c>
      <c r="D2866" s="10" t="inlineStr">
        <is>
          <t>PINO DE ACO COM ARRUELA CONICA, DIAMETRO ARRUELA = *23* MM E COMP HASTE = *27* MM (ACAO INDIRETA)</t>
        </is>
      </c>
      <c r="E2866" s="11">
        <f t="array" ref="E2866">_xlfn.XLOOKUP(D2866,Insumos!B:B,Insumos!C:$C)</f>
        <v/>
      </c>
      <c r="F2866" s="14" t="n">
        <v>5.92</v>
      </c>
      <c r="G2866" s="92">
        <f t="array" ref="G2866">IF(B2866="insumo",_xlfn.XLOOKUP($D2866,Insumos!$B$1:$B$996,Insumos!$D$1:$D$996),"")</f>
        <v/>
      </c>
      <c r="H2866" s="92" t="n">
        <v>2.98368</v>
      </c>
      <c r="I2866" s="2162" t="n">
        <v>0</v>
      </c>
      <c r="J2866" s="2162" t="n">
        <v>0</v>
      </c>
      <c r="K2866" s="2162" t="n"/>
    </row>
    <row r="2867" outlineLevel="3" ht="15.75" customHeight="1">
      <c r="A2867" s="10" t="n">
        <v>26</v>
      </c>
      <c r="B2867" s="10" t="inlineStr">
        <is>
          <t>Insumo</t>
        </is>
      </c>
      <c r="C2867" s="10" t="inlineStr">
        <is>
          <t>FORRO DRYWALL 48 mm - PLACA ST - Material e Mão de obra</t>
        </is>
      </c>
      <c r="D2867" s="10" t="inlineStr">
        <is>
          <t>PERFIL GUIA, FORMATO U, EM ACO ZINCADO, PARA ESTRUTURA PAREDE DRYWALL, E = 0,5 MM, 48 X 3000 MM (L X C)</t>
        </is>
      </c>
      <c r="E2867" s="11">
        <f t="array" ref="E2867">_xlfn.XLOOKUP(D2867,Insumos!B:B,Insumos!C:$C)</f>
        <v/>
      </c>
      <c r="F2867" s="14" t="n">
        <v>1.8234</v>
      </c>
      <c r="G2867" s="92">
        <f t="array" ref="G2867">IF(B2867="insumo",_xlfn.XLOOKUP($D2867,Insumos!$B$1:$B$996,Insumos!$D$1:$D$996),"")</f>
        <v/>
      </c>
      <c r="H2867" s="92" t="n">
        <v>12.818502</v>
      </c>
      <c r="I2867" s="2162" t="n">
        <v>0</v>
      </c>
      <c r="J2867" s="2162" t="n">
        <v>0</v>
      </c>
      <c r="K2867" s="2162" t="n"/>
    </row>
    <row r="2868" outlineLevel="3" ht="15.75" customHeight="1">
      <c r="A2868" s="10" t="n">
        <v>26</v>
      </c>
      <c r="B2868" s="10" t="inlineStr">
        <is>
          <t>Insumo</t>
        </is>
      </c>
      <c r="C2868" s="10" t="inlineStr">
        <is>
          <t>FORRO DRYWALL 48 mm - PLACA ST - Material e Mão de obra</t>
        </is>
      </c>
      <c r="D2868" s="10" t="inlineStr">
        <is>
          <t>PERFIL MONTANTE, FORMATO C, EM ACO ZINCADO, PARA ESTRUTURA PAREDE DRYWALL, E = 0,5 MM, 48 X 3000 MM (L X C)</t>
        </is>
      </c>
      <c r="E2868" s="11">
        <f t="array" ref="E2868">_xlfn.XLOOKUP(D2868,Insumos!B:B,Insumos!C:$C)</f>
        <v/>
      </c>
      <c r="F2868" s="14" t="n">
        <v>5.8278</v>
      </c>
      <c r="G2868" s="92">
        <f t="array" ref="G2868">IF(B2868="insumo",_xlfn.XLOOKUP($D2868,Insumos!$B$1:$B$996,Insumos!$D$1:$D$996),"")</f>
        <v/>
      </c>
      <c r="H2868" s="92" t="n">
        <v>46.505844</v>
      </c>
      <c r="I2868" s="2162" t="n">
        <v>0</v>
      </c>
      <c r="J2868" s="2162" t="n">
        <v>0</v>
      </c>
      <c r="K2868" s="2162" t="n"/>
    </row>
    <row r="2869" outlineLevel="3" ht="15.75" customHeight="1">
      <c r="A2869" s="10" t="n">
        <v>95</v>
      </c>
      <c r="B2869" s="10" t="inlineStr">
        <is>
          <t>Insumo</t>
        </is>
      </c>
      <c r="C2869" s="10" t="inlineStr">
        <is>
          <t>FORRO DRYWALL 48 mm - PLACA ST - Material e Mão de obra</t>
        </is>
      </c>
      <c r="D2869" s="10" t="inlineStr">
        <is>
          <t>MASSA DE REJUNTE EM PO PARA DRYWALL, A BASE DE GESSO, SECAGEM RAPIDA, PARA TRATAMENTO DE JUNTAS DE CHAPA DE GESSO (NECESSITA ADICAO DE AGUA)</t>
        </is>
      </c>
      <c r="E2869" s="11">
        <f t="array" ref="E2869">_xlfn.XLOOKUP(D2869,Insumos!B:B,Insumos!C:$C)</f>
        <v/>
      </c>
      <c r="F2869" s="14">
        <f>1.0978/2</f>
        <v/>
      </c>
      <c r="G2869" s="92">
        <f t="array" ref="G2869">IF(B2869="insumo",_xlfn.XLOOKUP($D2869,Insumos!$B$1:$B$996,Insumos!$D$1:$D$996),"")</f>
        <v/>
      </c>
      <c r="H2869" s="92" t="n">
        <v>1.882727</v>
      </c>
      <c r="I2869" s="2162" t="n">
        <v>0</v>
      </c>
      <c r="J2869" s="2162" t="n">
        <v>0</v>
      </c>
      <c r="K2869" s="2162" t="n"/>
    </row>
    <row r="2870" outlineLevel="3" ht="15.75" customHeight="1">
      <c r="A2870" s="10" t="n">
        <v>94</v>
      </c>
      <c r="B2870" s="10" t="inlineStr">
        <is>
          <t>Insumo</t>
        </is>
      </c>
      <c r="C2870" s="10" t="inlineStr">
        <is>
          <t>FORRO DRYWALL 48 mm - PLACA ST - Material e Mão de obra</t>
        </is>
      </c>
      <c r="D2870" s="10" t="inlineStr">
        <is>
          <t>FITA DE PAPEL MICROPERFURADO, 50 X 150 MM, PARA TRATAMENTO DE JUNTAS DE CHAPA DE GESSO PARA DRYWALL</t>
        </is>
      </c>
      <c r="E2870" s="11">
        <f t="array" ref="E2870">_xlfn.XLOOKUP(D2870,Insumos!B:B,Insumos!C:$C)</f>
        <v/>
      </c>
      <c r="F2870" s="14">
        <f>2.5027/2</f>
        <v/>
      </c>
      <c r="G2870" s="92">
        <f t="array" ref="G2870">IF(B2870="insumo",_xlfn.XLOOKUP($D2870,Insumos!$B$1:$B$996,Insumos!$D$1:$D$996),"")</f>
        <v/>
      </c>
      <c r="H2870" s="92" t="n">
        <v>0.3879185</v>
      </c>
      <c r="I2870" s="2162" t="n">
        <v>0</v>
      </c>
      <c r="J2870" s="2162" t="n">
        <v>0</v>
      </c>
      <c r="K2870" s="2162" t="n"/>
    </row>
    <row r="2871" outlineLevel="3" ht="15.75" customHeight="1">
      <c r="A2871" s="10" t="n">
        <v>94</v>
      </c>
      <c r="B2871" s="10" t="inlineStr">
        <is>
          <t>Insumo</t>
        </is>
      </c>
      <c r="C2871" s="10" t="inlineStr">
        <is>
          <t>FORRO DRYWALL 48 mm - PLACA ST - Material e Mão de obra</t>
        </is>
      </c>
      <c r="D2871" s="10" t="inlineStr">
        <is>
          <t>FITA DE PAPEL REFORCADA COM LAMINA DE METAL PARA REFORCO DE CANTOS DE CHAPA DE GESSO PARA DRYWALL</t>
        </is>
      </c>
      <c r="E2871" s="11">
        <f t="array" ref="E2871">_xlfn.XLOOKUP(D2871,Insumos!B:B,Insumos!C:$C)</f>
        <v/>
      </c>
      <c r="F2871" s="14">
        <f>1.5851/2</f>
        <v/>
      </c>
      <c r="G2871" s="92">
        <f t="array" ref="G2871">IF(B2871="insumo",_xlfn.XLOOKUP($D2871,Insumos!$B$1:$B$996,Insumos!$D$1:$D$996),"")</f>
        <v/>
      </c>
      <c r="H2871" s="92" t="n">
        <v>2.171587</v>
      </c>
      <c r="I2871" s="2162" t="n">
        <v>0</v>
      </c>
      <c r="J2871" s="2162" t="n">
        <v>0</v>
      </c>
      <c r="K2871" s="2162" t="n"/>
    </row>
    <row r="2872" outlineLevel="3" ht="15.75" customHeight="1">
      <c r="A2872" s="10" t="n">
        <v>97</v>
      </c>
      <c r="B2872" s="10" t="inlineStr">
        <is>
          <t>Insumo</t>
        </is>
      </c>
      <c r="C2872" s="10" t="inlineStr">
        <is>
          <t>FORRO DRYWALL 48 mm - PLACA ST - Material e Mão de obra</t>
        </is>
      </c>
      <c r="D2872" s="10" t="inlineStr">
        <is>
          <t>PARAFUSO DRY WALL, EM ACO FOSFATIZADO, CABECA TROMBETA E PONTA AGULHA (TA), COMPRIMENTO 25 MM</t>
        </is>
      </c>
      <c r="E2872" s="11">
        <f t="array" ref="E2872">_xlfn.XLOOKUP(D2872,Insumos!B:B,Insumos!C:$C)</f>
        <v/>
      </c>
      <c r="F2872" s="14">
        <f>20.1868/2</f>
        <v/>
      </c>
      <c r="G2872" s="92">
        <f t="array" ref="G2872">IF(B2872="insumo",_xlfn.XLOOKUP($D2872,Insumos!$B$1:$B$996,Insumos!$D$1:$D$996),"")</f>
        <v/>
      </c>
      <c r="H2872" s="92" t="n">
        <v>0.908406</v>
      </c>
      <c r="I2872" s="2162" t="n">
        <v>0</v>
      </c>
      <c r="J2872" s="2162" t="n">
        <v>0</v>
      </c>
      <c r="K2872" s="2162" t="n"/>
    </row>
    <row r="2873" outlineLevel="3" ht="15.75" customHeight="1">
      <c r="A2873" s="10" t="n">
        <v>95</v>
      </c>
      <c r="B2873" s="10" t="inlineStr">
        <is>
          <t>Insumo</t>
        </is>
      </c>
      <c r="C2873" s="10" t="inlineStr">
        <is>
          <t>FORRO DRYWALL 48 mm - PLACA ST - Material e Mão de obra</t>
        </is>
      </c>
      <c r="D2873" s="10" t="inlineStr">
        <is>
          <t>PARAFUSO DRY WALL, EM ACO ZINCADO, CABECA LENTILHA E PONTA BROCA (LB), LARGURA 4,2 MM, COMPRIMENTO 13 MM</t>
        </is>
      </c>
      <c r="E2873" s="11">
        <f t="array" ref="E2873">_xlfn.XLOOKUP(D2873,Insumos!B:B,Insumos!C:$C)</f>
        <v/>
      </c>
      <c r="F2873" s="14" t="n">
        <v>0.5441</v>
      </c>
      <c r="G2873" s="92">
        <f t="array" ref="G2873">IF(B2873="insumo",_xlfn.XLOOKUP($D2873,Insumos!$B$1:$B$996,Insumos!$D$1:$D$996),"")</f>
        <v/>
      </c>
      <c r="H2873" s="92" t="n">
        <v>0.10882</v>
      </c>
      <c r="I2873" s="2162" t="n">
        <v>0</v>
      </c>
      <c r="J2873" s="2162" t="n">
        <v>0</v>
      </c>
      <c r="K2873" s="2162" t="n"/>
    </row>
    <row r="2874" outlineLevel="2" ht="15.75" customHeight="1">
      <c r="A2874" s="1067" t="n">
        <v>1</v>
      </c>
      <c r="B2874" s="1067" t="inlineStr">
        <is>
          <t>Serviço</t>
        </is>
      </c>
      <c r="C2874" s="1067" t="inlineStr">
        <is>
          <t>Forro de gesso modular - material e mão de obra</t>
        </is>
      </c>
      <c r="D2874" s="1067" t="inlineStr">
        <is>
          <t>Forro de gesso modular - material e mão de obra</t>
        </is>
      </c>
      <c r="E2874" s="1068" t="inlineStr">
        <is>
          <t>M2</t>
        </is>
      </c>
      <c r="F2874" s="1067" t="n"/>
      <c r="G2874" s="1069">
        <f t="array" ref="G2874">IF(B2874="insumo",_xlfn.XLOOKUP($D2874,Insumos!$B$1:$B$996,Insumos!$D$1:$D$996),"")</f>
        <v/>
      </c>
      <c r="H2874" s="1069" t="n">
        <v>160</v>
      </c>
      <c r="I2874" s="2161" t="n">
        <v>0</v>
      </c>
      <c r="J2874" s="2161" t="n">
        <v>0</v>
      </c>
      <c r="K2874" s="2161" t="n"/>
    </row>
    <row r="2875" outlineLevel="3" ht="15.75" customHeight="1">
      <c r="A2875" s="10" t="n">
        <v>1</v>
      </c>
      <c r="B2875" s="10" t="inlineStr">
        <is>
          <t>Insumo</t>
        </is>
      </c>
      <c r="C2875" s="10" t="inlineStr">
        <is>
          <t>Forro de gesso modular - material e mão de obra</t>
        </is>
      </c>
      <c r="D2875" s="10" t="inlineStr">
        <is>
          <t>Forro de gesso modular - material e mão de obra</t>
        </is>
      </c>
      <c r="E2875" s="11">
        <f t="array" ref="E2875">_xlfn.XLOOKUP(D2875,Insumos!B:B,Insumos!C:$C)</f>
        <v/>
      </c>
      <c r="F2875" s="14" t="n">
        <v>1</v>
      </c>
      <c r="G2875" s="92">
        <f t="array" ref="G2875">IF(B2875="insumo",_xlfn.XLOOKUP($D2875,Insumos!$B$1:$B$996,Insumos!$D$1:$D$996),"")</f>
        <v/>
      </c>
      <c r="H2875" s="92" t="n">
        <v>160</v>
      </c>
      <c r="I2875" s="2162" t="n">
        <v>0</v>
      </c>
      <c r="J2875" s="2162" t="n">
        <v>0</v>
      </c>
      <c r="K2875" s="2162" t="n"/>
    </row>
    <row r="2876" outlineLevel="2" ht="15.75" customHeight="1">
      <c r="A2876" s="1067" t="n">
        <v>1</v>
      </c>
      <c r="B2876" s="1067" t="inlineStr">
        <is>
          <t>Serviço</t>
        </is>
      </c>
      <c r="C2876" s="1067" t="inlineStr">
        <is>
          <t>Forro modular com Placa de fibra mineral - Material e Mão de obra</t>
        </is>
      </c>
      <c r="D2876" s="1067" t="inlineStr">
        <is>
          <t>Forro modular com Placa de fibra mineral - Material e Mão de obra</t>
        </is>
      </c>
      <c r="E2876" s="1068" t="inlineStr">
        <is>
          <t>M2</t>
        </is>
      </c>
      <c r="F2876" s="1067" t="n"/>
      <c r="G2876" s="1069">
        <f t="array" ref="G2876">IF(B2876="insumo",_xlfn.XLOOKUP($D2876,Insumos!$B$1:$B$996,Insumos!$D$1:$D$996),"")</f>
        <v/>
      </c>
      <c r="H2876" s="1069" t="n">
        <v>313.69355</v>
      </c>
      <c r="I2876" s="2161" t="n">
        <v>0</v>
      </c>
      <c r="J2876" s="2161" t="n">
        <v>0</v>
      </c>
      <c r="K2876" s="2161" t="n"/>
    </row>
    <row r="2877" outlineLevel="3" ht="15.75" customHeight="1">
      <c r="A2877" s="10" t="n">
        <v>1</v>
      </c>
      <c r="B2877" s="10" t="inlineStr">
        <is>
          <t>Insumo</t>
        </is>
      </c>
      <c r="C2877" s="10" t="inlineStr">
        <is>
          <t>Forro modular com Placa de fibra mineral - Material e Mão de obra</t>
        </is>
      </c>
      <c r="D2877" s="10" t="inlineStr">
        <is>
          <t>SERVICO - CONFECCAO FORRO MODULAR</t>
        </is>
      </c>
      <c r="E2877" s="11">
        <f t="array" ref="E2877">_xlfn.XLOOKUP(D2877,Insumos!B:B,Insumos!C:$C)</f>
        <v/>
      </c>
      <c r="F2877" s="14" t="n">
        <v>1</v>
      </c>
      <c r="G2877" s="92">
        <f t="array" ref="G2877">IF(B2877="insumo",_xlfn.XLOOKUP($D2877,Insumos!$B$1:$B$996,Insumos!$D$1:$D$996),"")</f>
        <v/>
      </c>
      <c r="H2877" s="92" t="n">
        <v>70</v>
      </c>
      <c r="I2877" s="2162" t="n">
        <v>0</v>
      </c>
      <c r="J2877" s="2162" t="n">
        <v>0</v>
      </c>
      <c r="K2877" s="2162" t="n"/>
    </row>
    <row r="2878" outlineLevel="3" ht="15.75" customHeight="1">
      <c r="A2878" s="10" t="n">
        <v>1</v>
      </c>
      <c r="B2878" s="10" t="inlineStr">
        <is>
          <t>Insumo</t>
        </is>
      </c>
      <c r="C2878" s="10" t="inlineStr">
        <is>
          <t>Forro modular com Placa de fibra mineral - Material e Mão de obra</t>
        </is>
      </c>
      <c r="D2878" s="10" t="inlineStr">
        <is>
          <t>Forro De Fibra Mineral Armstrong Ceilings Scala Square 625 X 625 X 16mm</t>
        </is>
      </c>
      <c r="E2878" s="11">
        <f t="array" ref="E2878">_xlfn.XLOOKUP(D2878,Insumos!B:B,Insumos!C:$C)</f>
        <v/>
      </c>
      <c r="F2878" s="14" t="n">
        <v>1.05</v>
      </c>
      <c r="G2878" s="92">
        <f t="array" ref="G2878">IF(B2878="insumo",_xlfn.XLOOKUP($D2878,Insumos!$B$1:$B$996,Insumos!$D$1:$D$996),"")</f>
        <v/>
      </c>
      <c r="H2878" s="92" t="n">
        <v>99.75</v>
      </c>
      <c r="I2878" s="2162" t="n">
        <v>0</v>
      </c>
      <c r="J2878" s="2162" t="n">
        <v>0</v>
      </c>
      <c r="K2878" s="2162" t="n"/>
    </row>
    <row r="2879" outlineLevel="3" ht="15.75" customHeight="1">
      <c r="A2879" s="10" t="n">
        <v>1</v>
      </c>
      <c r="B2879" s="10" t="inlineStr">
        <is>
          <t>Insumo</t>
        </is>
      </c>
      <c r="C2879" s="10" t="inlineStr">
        <is>
          <t>Forro modular com Placa de fibra mineral - Material e Mão de obra</t>
        </is>
      </c>
      <c r="D2879" s="10" t="inlineStr">
        <is>
          <t>Perfil metálico “T” principal 38x24 mm</t>
        </is>
      </c>
      <c r="E2879" s="11">
        <f t="array" ref="E2879">_xlfn.XLOOKUP(D2879,Insumos!B:B,Insumos!C:$C)</f>
        <v/>
      </c>
      <c r="F2879" s="14" t="n">
        <v>5.92</v>
      </c>
      <c r="G2879" s="92">
        <f t="array" ref="G2879">IF(B2879="insumo",_xlfn.XLOOKUP($D2879,Insumos!$B$1:$B$996,Insumos!$D$1:$D$996),"")</f>
        <v/>
      </c>
      <c r="H2879" s="92" t="n">
        <v>44.4</v>
      </c>
      <c r="I2879" s="2162" t="n">
        <v>0</v>
      </c>
      <c r="J2879" s="2162" t="n">
        <v>0</v>
      </c>
      <c r="K2879" s="2162" t="n"/>
    </row>
    <row r="2880" outlineLevel="3" ht="15.75" customHeight="1">
      <c r="A2880" s="10" t="n">
        <v>1</v>
      </c>
      <c r="B2880" s="10" t="inlineStr">
        <is>
          <t>Insumo</t>
        </is>
      </c>
      <c r="C2880" s="10" t="inlineStr">
        <is>
          <t>Forro modular com Placa de fibra mineral - Material e Mão de obra</t>
        </is>
      </c>
      <c r="D2880" s="10" t="inlineStr">
        <is>
          <t>Cantoneira perimetral galvanizada</t>
        </is>
      </c>
      <c r="E2880" s="11">
        <f t="array" ref="E2880">_xlfn.XLOOKUP(D2880,Insumos!B:B,Insumos!C:$C)</f>
        <v/>
      </c>
      <c r="F2880" s="14" t="n">
        <v>1.8234</v>
      </c>
      <c r="G2880" s="92">
        <f t="array" ref="G2880">IF(B2880="insumo",_xlfn.XLOOKUP($D2880,Insumos!$B$1:$B$996,Insumos!$D$1:$D$996),"")</f>
        <v/>
      </c>
      <c r="H2880" s="92" t="n">
        <v>11.8521</v>
      </c>
      <c r="I2880" s="2162" t="n">
        <v>0</v>
      </c>
      <c r="J2880" s="2162" t="n">
        <v>0</v>
      </c>
      <c r="K2880" s="2162" t="n"/>
    </row>
    <row r="2881" outlineLevel="3" ht="15.75" customHeight="1">
      <c r="A2881" s="10" t="n">
        <v>1</v>
      </c>
      <c r="B2881" s="10" t="inlineStr">
        <is>
          <t>Insumo</t>
        </is>
      </c>
      <c r="C2881" s="10" t="inlineStr">
        <is>
          <t>Forro modular com Placa de fibra mineral - Material e Mão de obra</t>
        </is>
      </c>
      <c r="D2881" s="10" t="inlineStr">
        <is>
          <t>Arame galvanizado nº 12 e presilhas</t>
        </is>
      </c>
      <c r="E2881" s="11">
        <f t="array" ref="E2881">_xlfn.XLOOKUP(D2881,Insumos!B:B,Insumos!C:$C)</f>
        <v/>
      </c>
      <c r="F2881" s="14" t="n">
        <v>5.8278</v>
      </c>
      <c r="G2881" s="92">
        <f t="array" ref="G2881">IF(B2881="insumo",_xlfn.XLOOKUP($D2881,Insumos!$B$1:$B$996,Insumos!$D$1:$D$996),"")</f>
        <v/>
      </c>
      <c r="H2881" s="92" t="n">
        <v>87.417</v>
      </c>
      <c r="I2881" s="2162" t="n">
        <v>0</v>
      </c>
      <c r="J2881" s="2162" t="n">
        <v>0</v>
      </c>
      <c r="K2881" s="2162" t="n"/>
    </row>
    <row r="2882" outlineLevel="3" ht="15.75" customHeight="1">
      <c r="A2882" s="10" t="n">
        <v>1</v>
      </c>
      <c r="B2882" s="10" t="inlineStr">
        <is>
          <t>Insumo</t>
        </is>
      </c>
      <c r="C2882" s="10" t="inlineStr">
        <is>
          <t>Forro modular com Placa de fibra mineral - Material e Mão de obra</t>
        </is>
      </c>
      <c r="D2882" s="10" t="inlineStr">
        <is>
          <t>Buchas e parafusos</t>
        </is>
      </c>
      <c r="E2882" s="11">
        <f t="array" ref="E2882">_xlfn.XLOOKUP(D2882,Insumos!B:B,Insumos!C:$C)</f>
        <v/>
      </c>
      <c r="F2882" s="14">
        <f>1.0978/2</f>
        <v/>
      </c>
      <c r="G2882" s="92">
        <f t="array" ref="G2882">IF(B2882="insumo",_xlfn.XLOOKUP($D2882,Insumos!$B$1:$B$996,Insumos!$D$1:$D$996),"")</f>
        <v/>
      </c>
      <c r="H2882" s="92" t="n">
        <v>0.27445</v>
      </c>
      <c r="I2882" s="2162" t="n">
        <v>0</v>
      </c>
      <c r="J2882" s="2162" t="n">
        <v>0</v>
      </c>
      <c r="K2882" s="2162" t="n"/>
    </row>
    <row r="2883" outlineLevel="2" ht="12.75" customHeight="1">
      <c r="A2883" s="1071" t="n">
        <v>1</v>
      </c>
      <c r="B2883" s="1071" t="inlineStr">
        <is>
          <t>Serviço</t>
        </is>
      </c>
      <c r="C2883" s="1071" t="inlineStr">
        <is>
          <t>Forro Knauf Cleaneo A1 (gesso acústico perfurado)</t>
        </is>
      </c>
      <c r="D2883" s="1071" t="inlineStr">
        <is>
          <t>Forro Knauf Cleaneo A1 (gesso acústico perfurado)</t>
        </is>
      </c>
      <c r="E2883" s="1072" t="inlineStr">
        <is>
          <t>M2</t>
        </is>
      </c>
      <c r="F2883" s="1071" t="n"/>
      <c r="G2883" s="1073">
        <f t="array" ref="G2883">IF(B2883="insumo",_xlfn.XLOOKUP($D2883,Insumos!$B$1:$B$996,Insumos!$D$1:$D$996),"")</f>
        <v/>
      </c>
      <c r="H2883" s="1073" t="n">
        <v>180</v>
      </c>
      <c r="I2883" s="2163" t="n">
        <v>0</v>
      </c>
      <c r="J2883" s="2163" t="n">
        <v>0</v>
      </c>
      <c r="K2883" s="2163" t="n"/>
    </row>
    <row r="2884" outlineLevel="3" ht="12.75" customHeight="1">
      <c r="A2884" s="82" t="n">
        <v>1</v>
      </c>
      <c r="B2884" s="82" t="inlineStr">
        <is>
          <t>Insumo</t>
        </is>
      </c>
      <c r="C2884" s="82" t="inlineStr">
        <is>
          <t>Forro Knauf Cleaneo A1 (gesso acústico perfurado)</t>
        </is>
      </c>
      <c r="D2884" s="82" t="inlineStr">
        <is>
          <t>Forro Knauf Cleaneo A1 (gesso acústico perfurado)</t>
        </is>
      </c>
      <c r="E2884" s="11">
        <f t="array" ref="E2884">_xlfn.XLOOKUP(D2884,Insumos!B:B,Insumos!C:$C)</f>
        <v/>
      </c>
      <c r="F2884" s="2164" t="n">
        <v>1</v>
      </c>
      <c r="G2884" s="92">
        <f t="array" ref="G2884">IF(B2884="insumo",_xlfn.XLOOKUP($D2884,Insumos!$B$1:$B$996,Insumos!$D$1:$D$996),"")</f>
        <v/>
      </c>
      <c r="H2884" s="92" t="n">
        <v>180</v>
      </c>
      <c r="I2884" s="2165" t="n">
        <v>0</v>
      </c>
      <c r="J2884" s="2165" t="n">
        <v>0</v>
      </c>
      <c r="K2884" s="2165" t="n"/>
    </row>
    <row r="2885" outlineLevel="2" ht="15.75" customHeight="1">
      <c r="A2885" s="1067" t="n">
        <v>1</v>
      </c>
      <c r="B2885" s="1067" t="inlineStr">
        <is>
          <t>Serviço</t>
        </is>
      </c>
      <c r="C2885" s="1067" t="inlineStr">
        <is>
          <t>Revestimento em Tetos ,  Pastilha Bege 2,5X2,5Cm</t>
        </is>
      </c>
      <c r="D2885" s="1067" t="inlineStr">
        <is>
          <t>Revestimento em Tetos ,  Pastilha Bege 2,5X2,5Cm</t>
        </is>
      </c>
      <c r="E2885" s="1068" t="inlineStr">
        <is>
          <t>M2</t>
        </is>
      </c>
      <c r="F2885" s="1067" t="n"/>
      <c r="G2885" s="1069">
        <f t="array" ref="G2885">IF(B2885="insumo",_xlfn.XLOOKUP($D2885,Insumos!$B$1:$B$996,Insumos!$D$1:$D$996),"")</f>
        <v/>
      </c>
      <c r="H2885" s="1069" t="n">
        <v>262.853775</v>
      </c>
      <c r="I2885" s="2161" t="n">
        <v>0</v>
      </c>
      <c r="J2885" s="2161" t="n">
        <v>0</v>
      </c>
      <c r="K2885" s="2161" t="n"/>
    </row>
    <row r="2886" outlineLevel="3" ht="15.75" customHeight="1">
      <c r="A2886" s="10" t="n">
        <v>3</v>
      </c>
      <c r="B2886" s="10" t="inlineStr">
        <is>
          <t>Insumo</t>
        </is>
      </c>
      <c r="C2886" s="10" t="inlineStr">
        <is>
          <t>Revestimento em Tetos ,  Pastilha Bege 2,5X2,5Cm</t>
        </is>
      </c>
      <c r="D2886" s="10" t="inlineStr">
        <is>
          <t>Revestimento Pastilha 2,5x2,5cm</t>
        </is>
      </c>
      <c r="E2886" s="11">
        <f t="array" ref="E2886">_xlfn.XLOOKUP(D2886,Insumos!B:B,Insumos!C:$C)</f>
        <v/>
      </c>
      <c r="F2886" s="14" t="n">
        <v>1.1</v>
      </c>
      <c r="G2886" s="92">
        <f t="array" ref="G2886">IF(B2886="insumo",_xlfn.XLOOKUP($D2886,Insumos!$B$1:$B$996,Insumos!$D$1:$D$996),"")</f>
        <v/>
      </c>
      <c r="H2886" s="92" t="n">
        <v>256.707</v>
      </c>
      <c r="I2886" s="2162" t="n">
        <v>0</v>
      </c>
      <c r="J2886" s="2162" t="n">
        <v>0</v>
      </c>
      <c r="K2886" s="2162" t="n"/>
    </row>
    <row r="2887" outlineLevel="3" ht="15.75" customHeight="1">
      <c r="A2887" s="10" t="n">
        <v>191</v>
      </c>
      <c r="B2887" s="10" t="inlineStr">
        <is>
          <t>Insumo</t>
        </is>
      </c>
      <c r="C2887" s="10" t="inlineStr">
        <is>
          <t>Revestimento em Tetos ,  Pastilha Bege 2,5X2,5Cm</t>
        </is>
      </c>
      <c r="D2887" s="10" t="inlineStr">
        <is>
          <t>Argamassa ACIII</t>
        </is>
      </c>
      <c r="E2887" s="11">
        <f t="array" ref="E2887">_xlfn.XLOOKUP(D2887,Insumos!B:B,Insumos!C:$C)</f>
        <v/>
      </c>
      <c r="F2887" s="14" t="n">
        <v>4.95</v>
      </c>
      <c r="G2887" s="92">
        <f t="array" ref="G2887">IF(B2887="insumo",_xlfn.XLOOKUP($D2887,Insumos!$B$1:$B$996,Insumos!$D$1:$D$996),"")</f>
        <v/>
      </c>
      <c r="H2887" s="92" t="n">
        <v>5.269275</v>
      </c>
      <c r="I2887" s="2162" t="n">
        <v>0</v>
      </c>
      <c r="J2887" s="2162" t="n">
        <v>0</v>
      </c>
      <c r="K2887" s="2162" t="n"/>
    </row>
    <row r="2888" outlineLevel="3" ht="15.75" customHeight="1">
      <c r="A2888" s="10" t="n">
        <v>142</v>
      </c>
      <c r="B2888" s="10" t="inlineStr">
        <is>
          <t>Insumo</t>
        </is>
      </c>
      <c r="C2888" s="10" t="inlineStr">
        <is>
          <t>Revestimento em Tetos ,  Pastilha Bege 2,5X2,5Cm</t>
        </is>
      </c>
      <c r="D2888" s="10" t="inlineStr">
        <is>
          <t>Espeçador junta piso 2mm</t>
        </is>
      </c>
      <c r="E2888" s="11">
        <f t="array" ref="E2888">_xlfn.XLOOKUP(D2888,Insumos!B:B,Insumos!C:$C)</f>
        <v/>
      </c>
      <c r="F2888" s="14" t="n">
        <v>4</v>
      </c>
      <c r="G2888" s="92">
        <f t="array" ref="G2888">IF(B2888="insumo",_xlfn.XLOOKUP($D2888,Insumos!$B$1:$B$996,Insumos!$D$1:$D$996),"")</f>
        <v/>
      </c>
      <c r="H2888" s="92" t="n">
        <v>0.32</v>
      </c>
      <c r="I2888" s="2162" t="n">
        <v>0</v>
      </c>
      <c r="J2888" s="2162" t="n">
        <v>0</v>
      </c>
      <c r="K2888" s="2162" t="n"/>
    </row>
    <row r="2889" outlineLevel="3" ht="12.75" customHeight="1">
      <c r="A2889" s="10" t="n">
        <v>101</v>
      </c>
      <c r="B2889" s="10" t="inlineStr">
        <is>
          <t>Insumo</t>
        </is>
      </c>
      <c r="C2889" s="10" t="inlineStr">
        <is>
          <t>Revestimento em Tetos ,  Pastilha Bege 2,5X2,5Cm</t>
        </is>
      </c>
      <c r="D2889" s="10" t="inlineStr">
        <is>
          <t>Rejunte Cimentício</t>
        </is>
      </c>
      <c r="E2889" s="11">
        <f t="array" ref="E2889">_xlfn.XLOOKUP(D2889,Insumos!B:B,Insumos!C:$C)</f>
        <v/>
      </c>
      <c r="F2889" s="14" t="n">
        <v>0.05</v>
      </c>
      <c r="G2889" s="92">
        <f t="array" ref="G2889">IF(B2889="insumo",_xlfn.XLOOKUP($D2889,Insumos!$B$1:$B$996,Insumos!$D$1:$D$996),"")</f>
        <v/>
      </c>
      <c r="H2889" s="92" t="n">
        <v>0.5575</v>
      </c>
      <c r="I2889" s="2162" t="n">
        <v>0</v>
      </c>
      <c r="J2889" s="2162" t="n">
        <v>0</v>
      </c>
      <c r="K2889" s="2162" t="n"/>
    </row>
    <row r="2890" outlineLevel="2" ht="12.75" customHeight="1">
      <c r="A2890" s="1071" t="n">
        <v>1</v>
      </c>
      <c r="B2890" s="1071" t="inlineStr">
        <is>
          <t>Serviço</t>
        </is>
      </c>
      <c r="C2890" s="1071" t="inlineStr">
        <is>
          <t>Revestimento em Cerâmicas Vulcano Cinza em Teto, 61x 61cm com Junta de 3mm</t>
        </is>
      </c>
      <c r="D2890" s="1071" t="inlineStr">
        <is>
          <t>Revestimento em Cerâmicas Vulcano Cinza em Teto, 61x 61cm com Junta de 3mm</t>
        </is>
      </c>
      <c r="E2890" s="1072" t="inlineStr">
        <is>
          <t>M2</t>
        </is>
      </c>
      <c r="F2890" s="1071" t="n"/>
      <c r="G2890" s="1073">
        <f t="array" ref="G2890">IF(B2890="insumo",_xlfn.XLOOKUP($D2890,Insumos!$B$1:$B$996,Insumos!$D$1:$D$996),"")</f>
        <v/>
      </c>
      <c r="H2890" s="1073" t="n">
        <v>78.58199999999999</v>
      </c>
      <c r="I2890" s="2163" t="e">
        <v>#REF!</v>
      </c>
      <c r="J2890" s="2163" t="e">
        <v>#REF!</v>
      </c>
      <c r="K2890" s="2163" t="n"/>
    </row>
    <row r="2891" outlineLevel="3" ht="12.75" customHeight="1">
      <c r="A2891" s="82" t="n">
        <v>6</v>
      </c>
      <c r="B2891" s="82" t="inlineStr">
        <is>
          <t>Insumo</t>
        </is>
      </c>
      <c r="C2891" s="82" t="inlineStr">
        <is>
          <t>Revestimento em Cerâmicas Vulcano Cinza em Teto, 61x 61cm com Junta de 3mm</t>
        </is>
      </c>
      <c r="D2891" s="82" t="inlineStr">
        <is>
          <t>Cerâmica Vulcano Cinza 61x61</t>
        </is>
      </c>
      <c r="E2891" s="11">
        <f t="array" ref="E2891">_xlfn.XLOOKUP(D2891,Insumos!B:B,Insumos!C:$C)</f>
        <v/>
      </c>
      <c r="F2891" s="2169" t="n">
        <v>1.1</v>
      </c>
      <c r="G2891" s="92">
        <f t="array" ref="G2891">IF(B2891="insumo",_xlfn.XLOOKUP($D2891,Insumos!$B$1:$B$996,Insumos!$D$1:$D$996),"")</f>
        <v/>
      </c>
      <c r="H2891" s="92" t="n">
        <v>69.949</v>
      </c>
      <c r="I2891" s="2165" t="e">
        <v>#REF!</v>
      </c>
      <c r="J2891" s="2165" t="e">
        <v>#REF!</v>
      </c>
      <c r="K2891" s="2165" t="n"/>
    </row>
    <row r="2892" outlineLevel="3" ht="12.75" customHeight="1">
      <c r="A2892" s="82" t="n">
        <v>16</v>
      </c>
      <c r="B2892" s="82" t="inlineStr">
        <is>
          <t>Insumo</t>
        </is>
      </c>
      <c r="C2892" s="82" t="inlineStr">
        <is>
          <t>Revestimento em Cerâmicas Vulcano Cinza em Teto, 61x 61cm com Junta de 3mm</t>
        </is>
      </c>
      <c r="D2892" s="82" t="inlineStr">
        <is>
          <t>Argamassa ACII</t>
        </is>
      </c>
      <c r="E2892" s="11">
        <f t="array" ref="E2892">_xlfn.XLOOKUP(D2892,Insumos!B:B,Insumos!C:$C)</f>
        <v/>
      </c>
      <c r="F2892" s="2169" t="n">
        <v>8.800000000000001</v>
      </c>
      <c r="G2892" s="92">
        <f t="array" ref="G2892">IF(B2892="insumo",_xlfn.XLOOKUP($D2892,Insumos!$B$1:$B$996,Insumos!$D$1:$D$996),"")</f>
        <v/>
      </c>
      <c r="H2892" s="92" t="n">
        <v>8.359999999999999</v>
      </c>
      <c r="I2892" s="2165" t="e">
        <v>#REF!</v>
      </c>
      <c r="J2892" s="2165" t="e">
        <v>#REF!</v>
      </c>
      <c r="K2892" s="2165" t="n"/>
    </row>
    <row r="2893" outlineLevel="3" ht="12.75" customHeight="1">
      <c r="A2893" s="82" t="n">
        <v>17</v>
      </c>
      <c r="B2893" s="82" t="inlineStr">
        <is>
          <t>Insumo</t>
        </is>
      </c>
      <c r="C2893" s="82" t="inlineStr">
        <is>
          <t>Revestimento em Cerâmicas Vulcano Cinza em Teto, 61x 61cm com Junta de 3mm</t>
        </is>
      </c>
      <c r="D2893" s="82" t="inlineStr">
        <is>
          <t>Espeçador junta piso 3mm</t>
        </is>
      </c>
      <c r="E2893" s="11">
        <f t="array" ref="E2893">_xlfn.XLOOKUP(D2893,Insumos!B:B,Insumos!C:$C)</f>
        <v/>
      </c>
      <c r="F2893" s="2169" t="n">
        <v>1</v>
      </c>
      <c r="G2893" s="92">
        <f t="array" ref="G2893">IF(B2893="insumo",_xlfn.XLOOKUP($D2893,Insumos!$B$1:$B$996,Insumos!$D$1:$D$996),"")</f>
        <v/>
      </c>
      <c r="H2893" s="92" t="n">
        <v>0.05</v>
      </c>
      <c r="I2893" s="2165" t="e">
        <v>#REF!</v>
      </c>
      <c r="J2893" s="2165" t="e">
        <v>#REF!</v>
      </c>
      <c r="K2893" s="2165" t="n"/>
    </row>
    <row r="2894" outlineLevel="3" ht="12.75" customHeight="1">
      <c r="A2894" s="82" t="n">
        <v>101</v>
      </c>
      <c r="B2894" s="82" t="inlineStr">
        <is>
          <t>Insumo</t>
        </is>
      </c>
      <c r="C2894" s="82" t="inlineStr">
        <is>
          <t>Revestimento em Cerâmicas Vulcano Cinza em Teto, 61x 61cm com Junta de 3mm</t>
        </is>
      </c>
      <c r="D2894" s="82" t="inlineStr">
        <is>
          <t>Rejunte Cimentício</t>
        </is>
      </c>
      <c r="E2894" s="11">
        <f t="array" ref="E2894">_xlfn.XLOOKUP(D2894,Insumos!B:B,Insumos!C:$C)</f>
        <v/>
      </c>
      <c r="F2894" s="2169" t="n">
        <v>0.02</v>
      </c>
      <c r="G2894" s="92">
        <f t="array" ref="G2894">IF(B2894="insumo",_xlfn.XLOOKUP($D2894,Insumos!$B$1:$B$996,Insumos!$D$1:$D$996),"")</f>
        <v/>
      </c>
      <c r="H2894" s="92" t="n">
        <v>0.223</v>
      </c>
      <c r="I2894" s="2165" t="e">
        <v>#REF!</v>
      </c>
      <c r="J2894" s="2165" t="e">
        <v>#REF!</v>
      </c>
      <c r="K2894" s="2165" t="n"/>
    </row>
    <row r="2895" outlineLevel="2" ht="12.75" customHeight="1">
      <c r="A2895" s="1071" t="n">
        <v>1</v>
      </c>
      <c r="B2895" s="1071" t="inlineStr">
        <is>
          <t>Serviço</t>
        </is>
      </c>
      <c r="C2895" s="1071" t="inlineStr">
        <is>
          <t>Revestimento de cerâmico em Teto, Placa 31 x 54cm com Junta de 2mm e rejunte acrilico</t>
        </is>
      </c>
      <c r="D2895" s="1071" t="inlineStr">
        <is>
          <t>Revestimento de cerâmico em Teto, Placa 31 x 54cm com Junta de 2mm e rejunte acrilico</t>
        </is>
      </c>
      <c r="E2895" s="1072" t="inlineStr">
        <is>
          <t>M2</t>
        </is>
      </c>
      <c r="F2895" s="1071" t="n"/>
      <c r="G2895" s="1073">
        <f t="array" ref="G2895">IF(B2895="insumo",_xlfn.XLOOKUP($D2895,Insumos!$B$1:$B$996,Insumos!$D$1:$D$996),"")</f>
        <v/>
      </c>
      <c r="H2895" s="1073" t="n">
        <v>89.93859999999999</v>
      </c>
      <c r="I2895" s="2163" t="n">
        <v>0</v>
      </c>
      <c r="J2895" s="2163" t="n">
        <v>0</v>
      </c>
      <c r="K2895" s="2163" t="n"/>
    </row>
    <row r="2896" outlineLevel="3" ht="12.75" customHeight="1">
      <c r="A2896" s="82" t="n">
        <v>3</v>
      </c>
      <c r="B2896" s="82" t="inlineStr">
        <is>
          <t>Insumo</t>
        </is>
      </c>
      <c r="C2896" s="89" t="inlineStr">
        <is>
          <t>Revestimento de cerâmico em Teto, Placa 31 x 54cm com Junta de 2mm e rejunte acrilico</t>
        </is>
      </c>
      <c r="D2896" s="89" t="inlineStr">
        <is>
          <t>Cerâmica Brilhante Metrô 31x54cm Savane</t>
        </is>
      </c>
      <c r="E2896" s="11">
        <f t="array" ref="E2896">_xlfn.XLOOKUP(D2896,Insumos!B:B,Insumos!C:$C)</f>
        <v/>
      </c>
      <c r="F2896" s="2164" t="n">
        <v>1.1</v>
      </c>
      <c r="G2896" s="92">
        <f t="array" ref="G2896">IF(B2896="insumo",_xlfn.XLOOKUP($D2896,Insumos!$B$1:$B$996,Insumos!$D$1:$D$996),"")</f>
        <v/>
      </c>
      <c r="H2896" s="92" t="n">
        <v>79.893</v>
      </c>
      <c r="I2896" s="2165" t="n">
        <v>0</v>
      </c>
      <c r="J2896" s="2165" t="n">
        <v>0</v>
      </c>
      <c r="K2896" s="2165" t="n"/>
    </row>
    <row r="2897" outlineLevel="3" ht="12.75" customHeight="1">
      <c r="A2897" s="82" t="n">
        <v>191</v>
      </c>
      <c r="B2897" s="82" t="inlineStr">
        <is>
          <t>Insumo</t>
        </is>
      </c>
      <c r="C2897" s="82" t="inlineStr">
        <is>
          <t>Revestimento de cerâmico em Teto, Placa 31 x 54cm com Junta de 2mm e rejunte acrilico</t>
        </is>
      </c>
      <c r="D2897" s="82" t="inlineStr">
        <is>
          <t>Argamassa ACIII</t>
        </is>
      </c>
      <c r="E2897" s="11">
        <f t="array" ref="E2897">_xlfn.XLOOKUP(D2897,Insumos!B:B,Insumos!C:$C)</f>
        <v/>
      </c>
      <c r="F2897" s="2164" t="n">
        <v>8.800000000000001</v>
      </c>
      <c r="G2897" s="92">
        <f t="array" ref="G2897">IF(B2897="insumo",_xlfn.XLOOKUP($D2897,Insumos!$B$1:$B$996,Insumos!$D$1:$D$996),"")</f>
        <v/>
      </c>
      <c r="H2897" s="92" t="n">
        <v>9.367599999999999</v>
      </c>
      <c r="I2897" s="2165" t="n">
        <v>0</v>
      </c>
      <c r="J2897" s="2165" t="n">
        <v>0</v>
      </c>
      <c r="K2897" s="2165" t="n"/>
    </row>
    <row r="2898" outlineLevel="3" ht="12.75" customHeight="1">
      <c r="A2898" s="82" t="n">
        <v>142</v>
      </c>
      <c r="B2898" s="82" t="inlineStr">
        <is>
          <t>Insumo</t>
        </is>
      </c>
      <c r="C2898" s="82" t="inlineStr">
        <is>
          <t>Revestimento de cerâmico em Teto, Placa 31 x 54cm com Junta de 2mm e rejunte acrilico</t>
        </is>
      </c>
      <c r="D2898" s="82" t="inlineStr">
        <is>
          <t>Espeçador junta piso 2mm</t>
        </is>
      </c>
      <c r="E2898" s="11">
        <f t="array" ref="E2898">_xlfn.XLOOKUP(D2898,Insumos!B:B,Insumos!C:$C)</f>
        <v/>
      </c>
      <c r="F2898" s="2164" t="n">
        <v>3</v>
      </c>
      <c r="G2898" s="92">
        <f t="array" ref="G2898">IF(B2898="insumo",_xlfn.XLOOKUP($D2898,Insumos!$B$1:$B$996,Insumos!$D$1:$D$996),"")</f>
        <v/>
      </c>
      <c r="H2898" s="92" t="n">
        <v>0.24</v>
      </c>
      <c r="I2898" s="2165" t="n">
        <v>0</v>
      </c>
      <c r="J2898" s="2165" t="n">
        <v>0</v>
      </c>
      <c r="K2898" s="2165" t="n"/>
    </row>
    <row r="2899" outlineLevel="3" ht="12.75" customHeight="1">
      <c r="A2899" s="82" t="n">
        <v>22</v>
      </c>
      <c r="B2899" s="82" t="inlineStr">
        <is>
          <t>Insumo</t>
        </is>
      </c>
      <c r="C2899" s="82" t="inlineStr">
        <is>
          <t>Revestimento de cerâmico em Teto, Placa 31 x 54cm com Junta de 2mm e rejunte acrilico</t>
        </is>
      </c>
      <c r="D2899" s="82" t="inlineStr">
        <is>
          <t>Rejunte acrilico</t>
        </is>
      </c>
      <c r="E2899" s="11">
        <f t="array" ref="E2899">_xlfn.XLOOKUP(D2899,Insumos!B:B,Insumos!C:$C)</f>
        <v/>
      </c>
      <c r="F2899" s="2164" t="n">
        <v>0.01</v>
      </c>
      <c r="G2899" s="92">
        <f t="array" ref="G2899">IF(B2899="insumo",_xlfn.XLOOKUP($D2899,Insumos!$B$1:$B$996,Insumos!$D$1:$D$996),"")</f>
        <v/>
      </c>
      <c r="H2899" s="92" t="n">
        <v>0.438</v>
      </c>
      <c r="I2899" s="2165" t="n">
        <v>0</v>
      </c>
      <c r="J2899" s="2165" t="n">
        <v>0</v>
      </c>
      <c r="K2899" s="2165" t="n"/>
    </row>
    <row r="2900" outlineLevel="2" ht="12.75" customHeight="1">
      <c r="A2900" s="1071" t="n">
        <v>1</v>
      </c>
      <c r="B2900" s="1071" t="inlineStr">
        <is>
          <t>Serviço</t>
        </is>
      </c>
      <c r="C2900" s="1071" t="inlineStr">
        <is>
          <t>Revestimento de cerâmico retificado em Teto, Placa 60 x 60cm com Junta de 2mm e rejunte acrilico</t>
        </is>
      </c>
      <c r="D2900" s="1071" t="inlineStr">
        <is>
          <t>Revestimento de cerâmico retificado em Teto, Placa 60 x 60cm com Junta de 2mm e rejunte acrilico</t>
        </is>
      </c>
      <c r="E2900" s="1072" t="inlineStr">
        <is>
          <t>M2</t>
        </is>
      </c>
      <c r="F2900" s="1071" t="n"/>
      <c r="G2900" s="1073">
        <f t="array" ref="G2900">IF(B2900="insumo",_xlfn.XLOOKUP($D2900,Insumos!$B$1:$B$996,Insumos!$D$1:$D$996),"")</f>
        <v/>
      </c>
      <c r="H2900" s="1073" t="n">
        <v>61.8386</v>
      </c>
      <c r="I2900" s="2163" t="e">
        <v>#REF!</v>
      </c>
      <c r="J2900" s="2163" t="e">
        <v>#REF!</v>
      </c>
      <c r="K2900" s="2163" t="n"/>
    </row>
    <row r="2901" outlineLevel="3" ht="12.75" customHeight="1">
      <c r="A2901" s="82" t="n">
        <v>6</v>
      </c>
      <c r="B2901" s="82" t="inlineStr">
        <is>
          <t>Insumo</t>
        </is>
      </c>
      <c r="C2901" s="89" t="inlineStr">
        <is>
          <t>Revestimento de cerâmico retificado em Teto, Placa 60 x 60cm com Junta de 2mm e rejunte acrilico</t>
        </is>
      </c>
      <c r="D2901" s="89" t="inlineStr">
        <is>
          <t>Cer. Karina Artisan 60305 Act. 60x60 Ret</t>
        </is>
      </c>
      <c r="E2901" s="11">
        <f t="array" ref="E2901">_xlfn.XLOOKUP(D2901,Insumos!B:B,Insumos!C:$C)</f>
        <v/>
      </c>
      <c r="F2901" s="2164" t="n">
        <v>1.1</v>
      </c>
      <c r="G2901" s="92">
        <f t="array" ref="G2901">IF(B2901="insumo",_xlfn.XLOOKUP($D2901,Insumos!$B$1:$B$996,Insumos!$D$1:$D$996),"")</f>
        <v/>
      </c>
      <c r="H2901" s="92" t="n">
        <v>51.953</v>
      </c>
      <c r="I2901" s="2165" t="e">
        <v>#REF!</v>
      </c>
      <c r="J2901" s="2165" t="e">
        <v>#REF!</v>
      </c>
      <c r="K2901" s="2165" t="n"/>
    </row>
    <row r="2902" outlineLevel="3" ht="12.75" customHeight="1">
      <c r="A2902" s="82" t="n">
        <v>191</v>
      </c>
      <c r="B2902" s="82" t="inlineStr">
        <is>
          <t>Insumo</t>
        </is>
      </c>
      <c r="C2902" s="82" t="inlineStr">
        <is>
          <t>Revestimento de cerâmico retificado em Teto, Placa 60 x 60cm com Junta de 2mm e rejunte acrilico</t>
        </is>
      </c>
      <c r="D2902" s="82" t="inlineStr">
        <is>
          <t>Argamassa ACIII</t>
        </is>
      </c>
      <c r="E2902" s="11">
        <f t="array" ref="E2902">_xlfn.XLOOKUP(D2902,Insumos!B:B,Insumos!C:$C)</f>
        <v/>
      </c>
      <c r="F2902" s="2164" t="n">
        <v>8.800000000000001</v>
      </c>
      <c r="G2902" s="92">
        <f t="array" ref="G2902">IF(B2902="insumo",_xlfn.XLOOKUP($D2902,Insumos!$B$1:$B$996,Insumos!$D$1:$D$996),"")</f>
        <v/>
      </c>
      <c r="H2902" s="92" t="n">
        <v>9.367599999999999</v>
      </c>
      <c r="I2902" s="2165" t="e">
        <v>#REF!</v>
      </c>
      <c r="J2902" s="2165" t="e">
        <v>#REF!</v>
      </c>
      <c r="K2902" s="2165" t="n"/>
    </row>
    <row r="2903" outlineLevel="3" ht="12.75" customHeight="1">
      <c r="A2903" s="82" t="n">
        <v>142</v>
      </c>
      <c r="B2903" s="82" t="inlineStr">
        <is>
          <t>Insumo</t>
        </is>
      </c>
      <c r="C2903" s="82" t="inlineStr">
        <is>
          <t>Revestimento de cerâmico retificado em Teto, Placa 60 x 60cm com Junta de 2mm e rejunte acrilico</t>
        </is>
      </c>
      <c r="D2903" s="82" t="inlineStr">
        <is>
          <t>Espeçador junta piso 2mm</t>
        </is>
      </c>
      <c r="E2903" s="11">
        <f t="array" ref="E2903">_xlfn.XLOOKUP(D2903,Insumos!B:B,Insumos!C:$C)</f>
        <v/>
      </c>
      <c r="F2903" s="2164" t="n">
        <v>1</v>
      </c>
      <c r="G2903" s="92">
        <f t="array" ref="G2903">IF(B2903="insumo",_xlfn.XLOOKUP($D2903,Insumos!$B$1:$B$996,Insumos!$D$1:$D$996),"")</f>
        <v/>
      </c>
      <c r="H2903" s="92" t="n">
        <v>0.08</v>
      </c>
      <c r="I2903" s="2165" t="e">
        <v>#REF!</v>
      </c>
      <c r="J2903" s="2165" t="e">
        <v>#REF!</v>
      </c>
      <c r="K2903" s="2165" t="n"/>
    </row>
    <row r="2904" outlineLevel="3" ht="12.75" customHeight="1">
      <c r="A2904" s="82" t="n">
        <v>22</v>
      </c>
      <c r="B2904" s="82" t="inlineStr">
        <is>
          <t>Insumo</t>
        </is>
      </c>
      <c r="C2904" s="82" t="inlineStr">
        <is>
          <t>Revestimento de cerâmico retificado em Teto, Placa 60 x 60cm com Junta de 2mm e rejunte acrilico</t>
        </is>
      </c>
      <c r="D2904" s="82" t="inlineStr">
        <is>
          <t>Rejunte acrilico</t>
        </is>
      </c>
      <c r="E2904" s="11">
        <f t="array" ref="E2904">_xlfn.XLOOKUP(D2904,Insumos!B:B,Insumos!C:$C)</f>
        <v/>
      </c>
      <c r="F2904" s="2164" t="n">
        <v>0.01</v>
      </c>
      <c r="G2904" s="92">
        <f t="array" ref="G2904">IF(B2904="insumo",_xlfn.XLOOKUP($D2904,Insumos!$B$1:$B$996,Insumos!$D$1:$D$996),"")</f>
        <v/>
      </c>
      <c r="H2904" s="92" t="n">
        <v>0.438</v>
      </c>
      <c r="I2904" s="2165" t="e">
        <v>#REF!</v>
      </c>
      <c r="J2904" s="2165" t="e">
        <v>#REF!</v>
      </c>
      <c r="K2904" s="2165" t="n"/>
    </row>
    <row r="2905" outlineLevel="2" ht="15.75" customHeight="1">
      <c r="A2905" s="1067" t="n">
        <v>1</v>
      </c>
      <c r="B2905" s="1067" t="inlineStr">
        <is>
          <t>Serviço</t>
        </is>
      </c>
      <c r="C2905" s="1067" t="inlineStr">
        <is>
          <t>Revestimento em Tetos ,  Vinilico - Material e Mão de obra</t>
        </is>
      </c>
      <c r="D2905" s="1067" t="inlineStr">
        <is>
          <t>Revestimento em Tetos ,  Vinilico - Material e Mão de obra</t>
        </is>
      </c>
      <c r="E2905" s="1068" t="inlineStr">
        <is>
          <t>M2</t>
        </is>
      </c>
      <c r="F2905" s="1067" t="n"/>
      <c r="G2905" s="1069">
        <f t="array" ref="G2905">IF(B2905="insumo",_xlfn.XLOOKUP($D2905,Insumos!$B$1:$B$996,Insumos!$D$1:$D$996),"")</f>
        <v/>
      </c>
      <c r="H2905" s="1069" t="n">
        <v>269.76</v>
      </c>
      <c r="I2905" s="2161" t="n">
        <v>0</v>
      </c>
      <c r="J2905" s="2161" t="n">
        <v>0</v>
      </c>
      <c r="K2905" s="2161" t="n"/>
    </row>
    <row r="2906" outlineLevel="3" ht="15.75" customHeight="1">
      <c r="A2906" s="10" t="n">
        <v>2</v>
      </c>
      <c r="B2906" s="10" t="inlineStr">
        <is>
          <t>Insumo</t>
        </is>
      </c>
      <c r="C2906" s="10" t="inlineStr">
        <is>
          <t>Revestimento em Tetos ,  Vinilico - Material e Mão de obra</t>
        </is>
      </c>
      <c r="D2906" s="10" t="inlineStr">
        <is>
          <t>PISO VINILICO FLAMBOYANT REGUÁ 208x1230mm TARKETT - MATERIAL E MÃO DE OBRA</t>
        </is>
      </c>
      <c r="E2906" s="11">
        <f t="array" ref="E2906">_xlfn.XLOOKUP(D2906,Insumos!B:B,Insumos!C:$C)</f>
        <v/>
      </c>
      <c r="F2906" s="14" t="n">
        <v>1</v>
      </c>
      <c r="G2906" s="92">
        <f t="array" ref="G2906">IF(B2906="insumo",_xlfn.XLOOKUP($D2906,Insumos!$B$1:$B$996,Insumos!$D$1:$D$996),"")</f>
        <v/>
      </c>
      <c r="H2906" s="92" t="n">
        <v>269.76</v>
      </c>
      <c r="I2906" s="2162" t="n">
        <v>0</v>
      </c>
      <c r="J2906" s="2162" t="n">
        <v>0</v>
      </c>
      <c r="K2906" s="2162" t="n"/>
    </row>
    <row r="2907" outlineLevel="2" ht="15.75" customHeight="1">
      <c r="A2907" s="1067" t="n">
        <v>1</v>
      </c>
      <c r="B2907" s="1067" t="inlineStr">
        <is>
          <t>Serviço</t>
        </is>
      </c>
      <c r="C2907" s="1067" t="inlineStr">
        <is>
          <t>Revestimento em Tetos ,  ACM - Material e Mão de obra</t>
        </is>
      </c>
      <c r="D2907" s="1067" t="inlineStr">
        <is>
          <t>Revestimento em Tetos ,  ACM - Material e Mão de obra</t>
        </is>
      </c>
      <c r="E2907" s="1068" t="inlineStr">
        <is>
          <t>M2</t>
        </is>
      </c>
      <c r="F2907" s="1067" t="n"/>
      <c r="G2907" s="1069">
        <f t="array" ref="G2907">IF(B2907="insumo",_xlfn.XLOOKUP($D2907,Insumos!$B$1:$B$996,Insumos!$D$1:$D$996),"")</f>
        <v/>
      </c>
      <c r="H2907" s="1069" t="n">
        <v>986.4</v>
      </c>
      <c r="I2907" s="2161" t="n">
        <v>0</v>
      </c>
      <c r="J2907" s="2161" t="n">
        <v>0</v>
      </c>
      <c r="K2907" s="2161" t="n"/>
    </row>
    <row r="2908" outlineLevel="3" ht="15.75" customHeight="1">
      <c r="A2908" s="10" t="n">
        <v>1</v>
      </c>
      <c r="B2908" s="10" t="inlineStr">
        <is>
          <t>Insumo</t>
        </is>
      </c>
      <c r="C2908" s="10" t="inlineStr">
        <is>
          <t>Revestimento em Tetos ,  ACM - Material e Mão de obra</t>
        </is>
      </c>
      <c r="D2908" s="10" t="inlineStr">
        <is>
          <t>Acabamento em ACM em tetos - Material e mão de obra</t>
        </is>
      </c>
      <c r="E2908" s="11">
        <f t="array" ref="E2908">_xlfn.XLOOKUP(D2908,Insumos!B:B,Insumos!C:$C)</f>
        <v/>
      </c>
      <c r="F2908" s="14" t="n">
        <v>1</v>
      </c>
      <c r="G2908" s="92">
        <f t="array" ref="G2908">IF(B2908="insumo",_xlfn.XLOOKUP($D2908,Insumos!$B$1:$B$996,Insumos!$D$1:$D$996),"")</f>
        <v/>
      </c>
      <c r="H2908" s="92" t="n">
        <v>986.4</v>
      </c>
      <c r="I2908" s="2162" t="n">
        <v>0</v>
      </c>
      <c r="J2908" s="2162" t="n">
        <v>0</v>
      </c>
      <c r="K2908" s="2162" t="n"/>
    </row>
    <row r="2909" outlineLevel="2" ht="15.75" customHeight="1">
      <c r="A2909" s="1067" t="n">
        <v>1</v>
      </c>
      <c r="B2909" s="1067" t="inlineStr">
        <is>
          <t>Serviço</t>
        </is>
      </c>
      <c r="C2909" s="1067" t="inlineStr">
        <is>
          <t xml:space="preserve">Revestimento em Tetos, Marcenaria, incluindo chapa de 18mm, acessorios para instalação - Material e Mão de Obra </t>
        </is>
      </c>
      <c r="D2909" s="1067" t="inlineStr">
        <is>
          <t xml:space="preserve">Revestimento em Tetos, Marcenaria, incluindo chapa de 18mm, acessorios para instalação - Material e Mão de Obra </t>
        </is>
      </c>
      <c r="E2909" s="1068" t="inlineStr">
        <is>
          <t>M2</t>
        </is>
      </c>
      <c r="F2909" s="1067" t="n"/>
      <c r="G2909" s="1069">
        <f t="array" ref="G2909">IF(B2909="insumo",_xlfn.XLOOKUP($D2909,Insumos!$B$1:$B$996,Insumos!$D$1:$D$996),"")</f>
        <v/>
      </c>
      <c r="H2909" s="1069" t="n">
        <v>613</v>
      </c>
      <c r="I2909" s="2161" t="n">
        <v>0</v>
      </c>
      <c r="J2909" s="2161" t="n">
        <v>0</v>
      </c>
      <c r="K2909" s="2161" t="n"/>
    </row>
    <row r="2910" outlineLevel="3" ht="15.75" customHeight="1">
      <c r="A2910" s="10" t="n">
        <v>2</v>
      </c>
      <c r="B2910" s="10" t="inlineStr">
        <is>
          <t>Insumo</t>
        </is>
      </c>
      <c r="C2910" s="10" t="inlineStr">
        <is>
          <t xml:space="preserve">Revestimento em Tetos, Marcenaria, incluindo chapa de 18mm, acessorios para instalação - Material e Mão de Obra </t>
        </is>
      </c>
      <c r="D2910" s="10" t="inlineStr">
        <is>
          <t xml:space="preserve">Revestimento em Marcenaria, incluindo chapa de 18mm, acessorios para instalação - Material e Mão de Obra </t>
        </is>
      </c>
      <c r="E2910" s="11">
        <f t="array" ref="E2910">_xlfn.XLOOKUP(D2910,Insumos!B:B,Insumos!C:$C)</f>
        <v/>
      </c>
      <c r="F2910" s="14" t="n">
        <v>1</v>
      </c>
      <c r="G2910" s="92">
        <f t="array" ref="G2910">IF(B2910="insumo",_xlfn.XLOOKUP($D2910,Insumos!$B$1:$B$996,Insumos!$D$1:$D$996),"")</f>
        <v/>
      </c>
      <c r="H2910" s="92" t="n">
        <v>613</v>
      </c>
      <c r="I2910" s="2162" t="n">
        <v>0</v>
      </c>
      <c r="J2910" s="2162" t="n">
        <v>0</v>
      </c>
      <c r="K2910" s="2162" t="n"/>
    </row>
    <row r="2911" outlineLevel="1" ht="15.75" customHeight="1">
      <c r="A2911" s="1090" t="n">
        <v>6</v>
      </c>
      <c r="B2911" s="1090" t="inlineStr">
        <is>
          <t>Subetapa</t>
        </is>
      </c>
      <c r="C2911" s="1090" t="inlineStr">
        <is>
          <t xml:space="preserve">Revestimento em Tetos, Marcenaria, incluindo chapa de 18mm, acessorios para instalação - Material e Mão de Obra </t>
        </is>
      </c>
      <c r="D2911" s="1090" t="inlineStr">
        <is>
          <t>MÃO DE OBRA</t>
        </is>
      </c>
      <c r="E2911" s="1091" t="n"/>
      <c r="F2911" s="2160" t="n"/>
      <c r="G2911" s="1091" t="n"/>
      <c r="H2911" s="1091" t="n">
        <v>0</v>
      </c>
      <c r="I2911" s="2160" t="n">
        <v>0</v>
      </c>
      <c r="J2911" s="2160" t="n">
        <v>0</v>
      </c>
      <c r="K2911" s="2160" t="n"/>
    </row>
    <row r="2912" outlineLevel="2" ht="15.75" customHeight="1">
      <c r="A2912" s="1067" t="n">
        <v>1</v>
      </c>
      <c r="B2912" s="1067" t="inlineStr">
        <is>
          <t>Serviço</t>
        </is>
      </c>
      <c r="C2912" s="1067" t="inlineStr">
        <is>
          <t>Mão de obra execução de estucamento em teto</t>
        </is>
      </c>
      <c r="D2912" s="1067" t="inlineStr">
        <is>
          <t>Mão de obra execução de estucamento em teto</t>
        </is>
      </c>
      <c r="E2912" s="1068" t="inlineStr">
        <is>
          <t>M2</t>
        </is>
      </c>
      <c r="F2912" s="1075" t="n"/>
      <c r="G2912" s="1069">
        <f t="array" ref="G2912">IF(B2912="insumo",_xlfn.XLOOKUP($D2912,Insumos!$B$1:$B$996,Insumos!$D$1:$D$996),"")</f>
        <v/>
      </c>
      <c r="H2912" s="1069" t="n">
        <v>25</v>
      </c>
      <c r="I2912" s="2161" t="e">
        <v>#REF!</v>
      </c>
      <c r="J2912" s="2161" t="e">
        <v>#REF!</v>
      </c>
      <c r="K2912" s="2161" t="n"/>
    </row>
    <row r="2913" outlineLevel="3" ht="15.75" customHeight="1">
      <c r="A2913" s="10" t="n">
        <v>1</v>
      </c>
      <c r="B2913" s="10" t="inlineStr">
        <is>
          <t>Insumo</t>
        </is>
      </c>
      <c r="C2913" s="10" t="inlineStr">
        <is>
          <t>Mão de obra execução de estucamento em teto</t>
        </is>
      </c>
      <c r="D2913" s="10" t="inlineStr">
        <is>
          <t>Mão de obra execução de estucamento em teto</t>
        </is>
      </c>
      <c r="E2913" s="11">
        <f t="array" ref="E2913">_xlfn.XLOOKUP(D2913,Insumos!B:B,Insumos!C:$C)</f>
        <v/>
      </c>
      <c r="F2913" s="14" t="n">
        <v>1</v>
      </c>
      <c r="G2913" s="92">
        <f t="array" ref="G2913">IF(B2913="insumo",_xlfn.XLOOKUP($D2913,Insumos!$B$1:$B$996,Insumos!$D$1:$D$996),"")</f>
        <v/>
      </c>
      <c r="H2913" s="92" t="n">
        <v>25</v>
      </c>
      <c r="I2913" s="2162" t="e">
        <v>#REF!</v>
      </c>
      <c r="J2913" s="2162" t="e">
        <v>#REF!</v>
      </c>
      <c r="K2913" s="2162" t="n"/>
    </row>
    <row r="2914" outlineLevel="2" ht="15.75" customHeight="1">
      <c r="A2914" s="1067" t="n">
        <v>1</v>
      </c>
      <c r="B2914" s="1067" t="inlineStr">
        <is>
          <t>Serviço</t>
        </is>
      </c>
      <c r="C2914" s="1067" t="inlineStr">
        <is>
          <t>Mão de obra execução de Reboco em teto</t>
        </is>
      </c>
      <c r="D2914" s="1067" t="inlineStr">
        <is>
          <t>Mão de obra execução de Reboco em teto</t>
        </is>
      </c>
      <c r="E2914" s="1068" t="inlineStr">
        <is>
          <t>M2</t>
        </is>
      </c>
      <c r="F2914" s="1075" t="n"/>
      <c r="G2914" s="1069">
        <f t="array" ref="G2914">IF(B2914="insumo",_xlfn.XLOOKUP($D2914,Insumos!$B$1:$B$996,Insumos!$D$1:$D$996),"")</f>
        <v/>
      </c>
      <c r="H2914" s="1069" t="n">
        <v>40</v>
      </c>
      <c r="I2914" s="2161" t="e">
        <v>#REF!</v>
      </c>
      <c r="J2914" s="2161" t="e">
        <v>#REF!</v>
      </c>
      <c r="K2914" s="2161" t="n"/>
    </row>
    <row r="2915" outlineLevel="3" ht="15.75" customHeight="1">
      <c r="A2915" s="10" t="n">
        <v>1</v>
      </c>
      <c r="B2915" s="10" t="inlineStr">
        <is>
          <t>Insumo</t>
        </is>
      </c>
      <c r="C2915" s="10" t="inlineStr">
        <is>
          <t>Mão de obra execução de Reboco em teto</t>
        </is>
      </c>
      <c r="D2915" s="10" t="inlineStr">
        <is>
          <t>Mão de obra execução de Reboco em teto</t>
        </is>
      </c>
      <c r="E2915" s="11">
        <f t="array" ref="E2915">_xlfn.XLOOKUP(D2915,Insumos!B:B,Insumos!C:$C)</f>
        <v/>
      </c>
      <c r="F2915" s="14" t="n">
        <v>1</v>
      </c>
      <c r="G2915" s="92">
        <f t="array" ref="G2915">IF(B2915="insumo",_xlfn.XLOOKUP($D2915,Insumos!$B$1:$B$996,Insumos!$D$1:$D$996),"")</f>
        <v/>
      </c>
      <c r="H2915" s="92" t="n">
        <v>40</v>
      </c>
      <c r="I2915" s="2162" t="e">
        <v>#REF!</v>
      </c>
      <c r="J2915" s="2162" t="e">
        <v>#REF!</v>
      </c>
      <c r="K2915" s="2162" t="n"/>
    </row>
    <row r="2916" outlineLevel="2" ht="15.75" customHeight="1">
      <c r="A2916" s="1067" t="n">
        <v>1</v>
      </c>
      <c r="B2916" s="1067" t="inlineStr">
        <is>
          <t>Serviço</t>
        </is>
      </c>
      <c r="C2916" s="1067" t="inlineStr">
        <is>
          <t>Revestimento cerâmico em tetos</t>
        </is>
      </c>
      <c r="D2916" s="1067" t="inlineStr">
        <is>
          <t>Revestimento cerâmico em tetos</t>
        </is>
      </c>
      <c r="E2916" s="1068" t="inlineStr">
        <is>
          <t>M2</t>
        </is>
      </c>
      <c r="F2916" s="1075" t="n"/>
      <c r="G2916" s="1069">
        <f t="array" ref="G2916">IF(B2916="insumo",_xlfn.XLOOKUP($D2916,Insumos!$B$1:$B$996,Insumos!$D$1:$D$996),"")</f>
        <v/>
      </c>
      <c r="H2916" s="1069" t="n">
        <v>75</v>
      </c>
      <c r="I2916" s="2161" t="n">
        <v>0</v>
      </c>
      <c r="J2916" s="2161" t="n">
        <v>0</v>
      </c>
      <c r="K2916" s="2161" t="n"/>
    </row>
    <row r="2917" outlineLevel="3" ht="15.75" customHeight="1">
      <c r="A2917" s="10" t="n">
        <v>1</v>
      </c>
      <c r="B2917" s="10" t="inlineStr">
        <is>
          <t>Insumo</t>
        </is>
      </c>
      <c r="C2917" s="10" t="inlineStr">
        <is>
          <t>Revestimento cerâmico em tetos</t>
        </is>
      </c>
      <c r="D2917" s="10" t="inlineStr">
        <is>
          <t>Revestimento cerâmico em tetos</t>
        </is>
      </c>
      <c r="E2917" s="11">
        <f t="array" ref="E2917">_xlfn.XLOOKUP(D2917,Insumos!B:B,Insumos!C:$C)</f>
        <v/>
      </c>
      <c r="F2917" s="14" t="n">
        <v>1</v>
      </c>
      <c r="G2917" s="92">
        <f t="array" ref="G2917">IF(B2917="insumo",_xlfn.XLOOKUP($D2917,Insumos!$B$1:$B$996,Insumos!$D$1:$D$996),"")</f>
        <v/>
      </c>
      <c r="H2917" s="92" t="n">
        <v>75</v>
      </c>
      <c r="I2917" s="2162" t="n">
        <v>0</v>
      </c>
      <c r="J2917" s="2162" t="n">
        <v>0</v>
      </c>
      <c r="K2917" s="2162" t="n"/>
    </row>
    <row r="2918" ht="15.75" customHeight="1">
      <c r="A2918" s="7" t="n">
        <v>1</v>
      </c>
      <c r="B2918" s="7" t="inlineStr">
        <is>
          <t>Etapa</t>
        </is>
      </c>
      <c r="C2918" s="7" t="inlineStr">
        <is>
          <t>Revestimento cerâmico em tetos</t>
        </is>
      </c>
      <c r="D2918" s="7" t="inlineStr">
        <is>
          <t>PISOS E PAVIMENTAÇÕES</t>
        </is>
      </c>
      <c r="E2918" s="8" t="n"/>
      <c r="F2918" s="2159" t="n"/>
      <c r="G2918" s="91">
        <f t="array" ref="G2918">IF(B2918="insumo",_xlfn.XLOOKUP($D2918,Insumos!$B$1:$B$996,Insumos!$D$1:$D$996),"")</f>
        <v/>
      </c>
      <c r="H2918" s="91" t="n">
        <v>0</v>
      </c>
      <c r="I2918" s="2159" t="n">
        <v>0</v>
      </c>
      <c r="J2918" s="2159" t="n">
        <v>0</v>
      </c>
      <c r="K2918" s="2159" t="n"/>
    </row>
    <row r="2919" outlineLevel="1" ht="15.75" customHeight="1">
      <c r="A2919" s="1090" t="n">
        <v>1</v>
      </c>
      <c r="B2919" s="1090" t="inlineStr">
        <is>
          <t>Subetapa</t>
        </is>
      </c>
      <c r="C2919" s="1090" t="inlineStr">
        <is>
          <t>Revestimento cerâmico em tetos</t>
        </is>
      </c>
      <c r="D2919" s="1090" t="inlineStr">
        <is>
          <t>ENCHIMENTOS</t>
        </is>
      </c>
      <c r="E2919" s="1091" t="n"/>
      <c r="F2919" s="2160" t="n"/>
      <c r="G2919" s="1091" t="n"/>
      <c r="H2919" s="1091" t="n">
        <v>0</v>
      </c>
      <c r="I2919" s="2160" t="n">
        <v>0</v>
      </c>
      <c r="J2919" s="2160" t="n">
        <v>0</v>
      </c>
      <c r="K2919" s="2160" t="n"/>
    </row>
    <row r="2920" outlineLevel="2" ht="15.75" customHeight="1">
      <c r="A2920" s="1067" t="n">
        <v>1</v>
      </c>
      <c r="B2920" s="1067" t="inlineStr">
        <is>
          <t>Serviço</t>
        </is>
      </c>
      <c r="C2920" s="1067" t="inlineStr">
        <is>
          <t>Enchimento de EPS em laje</t>
        </is>
      </c>
      <c r="D2920" s="1067" t="inlineStr">
        <is>
          <t>Enchimento de EPS em laje</t>
        </is>
      </c>
      <c r="E2920" s="1068" t="inlineStr">
        <is>
          <t>M2</t>
        </is>
      </c>
      <c r="F2920" s="1067" t="n"/>
      <c r="G2920" s="1069">
        <f t="array" ref="G2920">IF(B2920="insumo",_xlfn.XLOOKUP($D2920,Insumos!$B$1:$B$996,Insumos!$D$1:$D$996),"")</f>
        <v/>
      </c>
      <c r="H2920" s="1069" t="n">
        <v>166.666666666667</v>
      </c>
      <c r="I2920" s="2161" t="n">
        <v>0</v>
      </c>
      <c r="J2920" s="2161" t="n">
        <v>0</v>
      </c>
      <c r="K2920" s="2161" t="n"/>
    </row>
    <row r="2921" outlineLevel="3" ht="15.75" customHeight="1">
      <c r="A2921" s="10" t="n">
        <v>1</v>
      </c>
      <c r="B2921" s="10" t="inlineStr">
        <is>
          <t>Insumo</t>
        </is>
      </c>
      <c r="C2921" s="10" t="inlineStr">
        <is>
          <t>Enchimento de EPS em laje</t>
        </is>
      </c>
      <c r="D2921" s="10" t="inlineStr">
        <is>
          <t>Isopor Eps Nivelamento Laje Contra Piso 1000x330x110mm</t>
        </is>
      </c>
      <c r="E2921" s="11">
        <f t="array" ref="E2921">_xlfn.XLOOKUP(D2921,Insumos!B:B,Insumos!C:$C)</f>
        <v/>
      </c>
      <c r="F2921" s="14" t="n">
        <v>1.1</v>
      </c>
      <c r="G2921" s="92">
        <f t="array" ref="G2921">IF(B2921="insumo",_xlfn.XLOOKUP($D2921,Insumos!$B$1:$B$996,Insumos!$D$1:$D$996),"")</f>
        <v/>
      </c>
      <c r="H2921" s="92" t="n">
        <v>166.666666666667</v>
      </c>
      <c r="I2921" s="2162" t="n">
        <v>0</v>
      </c>
      <c r="J2921" s="2162" t="n">
        <v>0</v>
      </c>
      <c r="K2921" s="2162" t="n"/>
    </row>
    <row r="2922" outlineLevel="2" ht="15.75" customHeight="1">
      <c r="A2922" s="1067" t="n">
        <v>1</v>
      </c>
      <c r="B2922" s="1067" t="inlineStr">
        <is>
          <t>Serviço</t>
        </is>
      </c>
      <c r="C2922" s="1067" t="inlineStr">
        <is>
          <t>Enchimento de escada com Concreto Magro, e=10cm</t>
        </is>
      </c>
      <c r="D2922" s="1067" t="inlineStr">
        <is>
          <t>Enchimento de escada com Concreto Magro, e=10cm</t>
        </is>
      </c>
      <c r="E2922" s="1068" t="inlineStr">
        <is>
          <t>M3</t>
        </is>
      </c>
      <c r="F2922" s="1067" t="n"/>
      <c r="G2922" s="1069">
        <f t="array" ref="G2922">IF(B2922="insumo",_xlfn.XLOOKUP($D2922,Insumos!$B$1:$B$996,Insumos!$D$1:$D$996),"")</f>
        <v/>
      </c>
      <c r="H2922" s="1069" t="n">
        <v>495.247</v>
      </c>
      <c r="I2922" s="2161" t="n">
        <v>0</v>
      </c>
      <c r="J2922" s="2161" t="n">
        <v>0</v>
      </c>
      <c r="K2922" s="2161" t="n"/>
    </row>
    <row r="2923" outlineLevel="3" ht="15.75" customHeight="1">
      <c r="A2923" s="10" t="n">
        <v>3</v>
      </c>
      <c r="B2923" s="10" t="inlineStr">
        <is>
          <t>Insumo</t>
        </is>
      </c>
      <c r="C2923" s="10" t="inlineStr">
        <is>
          <t>Enchimento de escada com Concreto Magro, e=10cm</t>
        </is>
      </c>
      <c r="D2923" s="10" t="inlineStr">
        <is>
          <t>CONCRETO MAGRO PARA LASTRO</t>
        </is>
      </c>
      <c r="E2923" s="11">
        <f t="array" ref="E2923">_xlfn.XLOOKUP(D2923,Insumos!B:B,Insumos!C:$C)</f>
        <v/>
      </c>
      <c r="F2923" s="14" t="n">
        <v>1.05</v>
      </c>
      <c r="G2923" s="92">
        <f t="array" ref="G2923">IF(B2923="insumo",_xlfn.XLOOKUP($D2923,Insumos!$B$1:$B$996,Insumos!$D$1:$D$996),"")</f>
        <v/>
      </c>
      <c r="H2923" s="92" t="n">
        <v>452.487</v>
      </c>
      <c r="I2923" s="2162" t="n">
        <v>0</v>
      </c>
      <c r="J2923" s="2162" t="n">
        <v>0</v>
      </c>
      <c r="K2923" s="2162" t="n"/>
    </row>
    <row r="2924" outlineLevel="3" ht="15.75" customHeight="1">
      <c r="A2924" s="10" t="n">
        <v>25</v>
      </c>
      <c r="B2924" s="10" t="inlineStr">
        <is>
          <t>Insumo</t>
        </is>
      </c>
      <c r="C2924" s="10" t="inlineStr">
        <is>
          <t>Enchimento de escada com Concreto Magro, e=10cm</t>
        </is>
      </c>
      <c r="D2924" s="10" t="inlineStr">
        <is>
          <t>serviço de bombeamento</t>
        </is>
      </c>
      <c r="E2924" s="11">
        <f t="array" ref="E2924">_xlfn.XLOOKUP(D2924,Insumos!B:B,Insumos!C:$C)</f>
        <v/>
      </c>
      <c r="F2924" s="14" t="n">
        <v>1.05</v>
      </c>
      <c r="G2924" s="92">
        <f t="array" ref="G2924">IF(B2924="insumo",_xlfn.XLOOKUP($D2924,Insumos!$B$1:$B$996,Insumos!$D$1:$D$996),"")</f>
        <v/>
      </c>
      <c r="H2924" s="92" t="n">
        <v>42</v>
      </c>
      <c r="I2924" s="2162" t="n">
        <v>0</v>
      </c>
      <c r="J2924" s="2162" t="n">
        <v>0</v>
      </c>
      <c r="K2924" s="2162" t="n"/>
    </row>
    <row r="2925" outlineLevel="3" ht="15.75" customHeight="1">
      <c r="A2925" s="10" t="n">
        <v>62</v>
      </c>
      <c r="B2925" s="10" t="inlineStr">
        <is>
          <t>Insumo</t>
        </is>
      </c>
      <c r="C2925" s="10" t="inlineStr">
        <is>
          <t>Enchimento de escada com Concreto Magro, e=10cm</t>
        </is>
      </c>
      <c r="D2925" s="10" t="inlineStr">
        <is>
          <t>Cimento Portland Composto CP II-32</t>
        </is>
      </c>
      <c r="E2925" s="11">
        <f t="array" ref="E2925">_xlfn.XLOOKUP(D2925,Insumos!B:B,Insumos!C:$C)</f>
        <v/>
      </c>
      <c r="F2925" s="14" t="n">
        <v>1</v>
      </c>
      <c r="G2925" s="92">
        <f t="array" ref="G2925">IF(B2925="insumo",_xlfn.XLOOKUP($D2925,Insumos!$B$1:$B$996,Insumos!$D$1:$D$996),"")</f>
        <v/>
      </c>
      <c r="H2925" s="92" t="n">
        <v>0.76</v>
      </c>
      <c r="I2925" s="2162" t="n">
        <v>0</v>
      </c>
      <c r="J2925" s="2162" t="n">
        <v>0</v>
      </c>
      <c r="K2925" s="2162" t="n"/>
    </row>
    <row r="2926" outlineLevel="2" ht="15.75" customHeight="1">
      <c r="A2926" s="1067" t="n">
        <v>1</v>
      </c>
      <c r="B2926" s="1067" t="inlineStr">
        <is>
          <t>Serviço</t>
        </is>
      </c>
      <c r="C2926" s="1067" t="inlineStr">
        <is>
          <t>Enchimento de piso - com areia média - Material e Mão de obra</t>
        </is>
      </c>
      <c r="D2926" s="1067" t="inlineStr">
        <is>
          <t>Enchimento de piso - com areia média - Material e Mão de obra</t>
        </is>
      </c>
      <c r="E2926" s="1068" t="inlineStr">
        <is>
          <t>M2</t>
        </is>
      </c>
      <c r="F2926" s="1067" t="n"/>
      <c r="G2926" s="1069">
        <f t="array" ref="G2926">IF(B2926="insumo",_xlfn.XLOOKUP($D2926,Insumos!$B$1:$B$996,Insumos!$D$1:$D$996),"")</f>
        <v/>
      </c>
      <c r="H2926" s="1069" t="n">
        <v>189.3</v>
      </c>
      <c r="I2926" s="2161" t="n">
        <v>0</v>
      </c>
      <c r="J2926" s="2161" t="n">
        <v>0</v>
      </c>
      <c r="K2926" s="2161" t="n"/>
    </row>
    <row r="2927" outlineLevel="3" ht="15.75" customHeight="1">
      <c r="A2927" s="10" t="n">
        <v>1</v>
      </c>
      <c r="B2927" s="10" t="inlineStr">
        <is>
          <t>Insumo</t>
        </is>
      </c>
      <c r="C2927" s="10" t="inlineStr">
        <is>
          <t>Enchimento de piso - com areia média - Material e Mão de obra</t>
        </is>
      </c>
      <c r="D2927" s="10" t="inlineStr">
        <is>
          <t>Mão de obra de enchimento de piso</t>
        </is>
      </c>
      <c r="E2927" s="11">
        <f t="array" ref="E2927">_xlfn.XLOOKUP(D2927,Insumos!B:B,Insumos!C:$C)</f>
        <v/>
      </c>
      <c r="F2927" s="14" t="n">
        <v>1</v>
      </c>
      <c r="G2927" s="92">
        <f t="array" ref="G2927">IF(B2927="insumo",_xlfn.XLOOKUP($D2927,Insumos!$B$1:$B$996,Insumos!$D$1:$D$996),"")</f>
        <v/>
      </c>
      <c r="H2927" s="92" t="n">
        <v>16.75</v>
      </c>
      <c r="I2927" s="2162" t="n">
        <v>0</v>
      </c>
      <c r="J2927" s="2162" t="n">
        <v>0</v>
      </c>
      <c r="K2927" s="2162" t="n"/>
    </row>
    <row r="2928" outlineLevel="3" ht="15.75" customHeight="1">
      <c r="A2928" s="10" t="n">
        <v>10</v>
      </c>
      <c r="B2928" s="10" t="inlineStr">
        <is>
          <t>Insumo</t>
        </is>
      </c>
      <c r="C2928" s="10" t="inlineStr">
        <is>
          <t>Enchimento de piso - com areia média - Material e Mão de obra</t>
        </is>
      </c>
      <c r="D2928" s="10" t="inlineStr">
        <is>
          <t>AREIA MEDIA</t>
        </is>
      </c>
      <c r="E2928" s="11">
        <f t="array" ref="E2928">_xlfn.XLOOKUP(D2928,Insumos!B:B,Insumos!C:$C)</f>
        <v/>
      </c>
      <c r="F2928" s="14" t="n">
        <v>1.19</v>
      </c>
      <c r="G2928" s="92">
        <f t="array" ref="G2928">IF(B2928="insumo",_xlfn.XLOOKUP($D2928,Insumos!$B$1:$B$996,Insumos!$D$1:$D$996),"")</f>
        <v/>
      </c>
      <c r="H2928" s="92" t="n">
        <v>172.55</v>
      </c>
      <c r="I2928" s="2162" t="n">
        <v>0</v>
      </c>
      <c r="J2928" s="2162" t="n">
        <v>0</v>
      </c>
      <c r="K2928" s="2162" t="n"/>
    </row>
    <row r="2929" outlineLevel="2" ht="15.75" customHeight="1">
      <c r="A2929" s="1067" t="n">
        <v>1</v>
      </c>
      <c r="B2929" s="1067" t="inlineStr">
        <is>
          <t>Serviço</t>
        </is>
      </c>
      <c r="C2929" s="1067" t="inlineStr">
        <is>
          <t>Revestimento de Piso Elevado</t>
        </is>
      </c>
      <c r="D2929" s="1067" t="inlineStr">
        <is>
          <t>Revestimento de Piso Elevado</t>
        </is>
      </c>
      <c r="E2929" s="1068" t="inlineStr">
        <is>
          <t>M2</t>
        </is>
      </c>
      <c r="F2929" s="1067" t="n"/>
      <c r="G2929" s="1069">
        <f t="array" ref="G2929">IF(B2929="insumo",_xlfn.XLOOKUP($D2929,Insumos!$B$1:$B$996,Insumos!$D$1:$D$996),"")</f>
        <v/>
      </c>
      <c r="H2929" s="1069" t="n">
        <v>296.7</v>
      </c>
      <c r="I2929" s="2161" t="n">
        <v>0</v>
      </c>
      <c r="J2929" s="2161" t="n">
        <v>0</v>
      </c>
      <c r="K2929" s="2161" t="n"/>
    </row>
    <row r="2930" outlineLevel="3" ht="15.75" customHeight="1">
      <c r="A2930" s="10" t="n">
        <v>2</v>
      </c>
      <c r="B2930" s="10" t="inlineStr">
        <is>
          <t>Insumo</t>
        </is>
      </c>
      <c r="C2930" s="10" t="inlineStr">
        <is>
          <t>Revestimento de Piso Elevado</t>
        </is>
      </c>
      <c r="D2930" s="10" t="inlineStr">
        <is>
          <t>Piso elevado</t>
        </is>
      </c>
      <c r="E2930" s="11">
        <f t="array" ref="E2930">_xlfn.XLOOKUP(D2930,Insumos!B:B,Insumos!C:$C)</f>
        <v/>
      </c>
      <c r="F2930" s="14" t="n">
        <v>1</v>
      </c>
      <c r="G2930" s="92">
        <f t="array" ref="G2930">IF(B2930="insumo",_xlfn.XLOOKUP($D2930,Insumos!$B$1:$B$996,Insumos!$D$1:$D$996),"")</f>
        <v/>
      </c>
      <c r="H2930" s="92" t="n">
        <v>146.7</v>
      </c>
      <c r="I2930" s="2162" t="n">
        <v>0</v>
      </c>
      <c r="J2930" s="2162" t="n">
        <v>0</v>
      </c>
      <c r="K2930" s="2162" t="n"/>
    </row>
    <row r="2931" outlineLevel="3" ht="15.75" customHeight="1">
      <c r="A2931" s="10" t="n">
        <v>3</v>
      </c>
      <c r="B2931" s="10" t="inlineStr">
        <is>
          <t>Insumo</t>
        </is>
      </c>
      <c r="C2931" s="10" t="inlineStr">
        <is>
          <t>Revestimento de Piso Elevado</t>
        </is>
      </c>
      <c r="D2931" s="10" t="inlineStr">
        <is>
          <t>Mão de obra execução de piso elevado</t>
        </is>
      </c>
      <c r="E2931" s="11">
        <f t="array" ref="E2931">_xlfn.XLOOKUP(D2931,Insumos!B:B,Insumos!C:$C)</f>
        <v/>
      </c>
      <c r="F2931" s="14" t="n">
        <v>1</v>
      </c>
      <c r="G2931" s="92">
        <f t="array" ref="G2931">IF(B2931="insumo",_xlfn.XLOOKUP($D2931,Insumos!$B$1:$B$996,Insumos!$D$1:$D$996),"")</f>
        <v/>
      </c>
      <c r="H2931" s="92" t="n">
        <v>150</v>
      </c>
      <c r="I2931" s="2162" t="n">
        <v>0</v>
      </c>
      <c r="J2931" s="2162" t="n">
        <v>0</v>
      </c>
      <c r="K2931" s="2162" t="n"/>
    </row>
    <row r="2932" outlineLevel="2" ht="15.75" customHeight="1">
      <c r="A2932" s="1067" t="n">
        <v>1</v>
      </c>
      <c r="B2932" s="1067" t="inlineStr">
        <is>
          <t>Serviço</t>
        </is>
      </c>
      <c r="C2932" s="1067" t="inlineStr">
        <is>
          <t xml:space="preserve">Revestimento de Piso Lajota  </t>
        </is>
      </c>
      <c r="D2932" s="1067" t="inlineStr">
        <is>
          <t xml:space="preserve">Revestimento de Piso Lajota  </t>
        </is>
      </c>
      <c r="E2932" s="1068" t="inlineStr">
        <is>
          <t>M2</t>
        </is>
      </c>
      <c r="F2932" s="1067" t="n"/>
      <c r="G2932" s="1069">
        <f t="array" ref="G2932">IF(B2932="insumo",_xlfn.XLOOKUP($D2932,Insumos!$B$1:$B$996,Insumos!$D$1:$D$996),"")</f>
        <v/>
      </c>
      <c r="H2932" s="1069" t="n">
        <v>233.425</v>
      </c>
      <c r="I2932" s="2161" t="n">
        <v>0</v>
      </c>
      <c r="J2932" s="2161" t="n">
        <v>0</v>
      </c>
      <c r="K2932" s="2161" t="n"/>
    </row>
    <row r="2933" outlineLevel="3" ht="15.75" customHeight="1">
      <c r="A2933" s="10" t="n">
        <v>2</v>
      </c>
      <c r="B2933" s="10" t="inlineStr">
        <is>
          <t>Insumo</t>
        </is>
      </c>
      <c r="C2933" s="10" t="inlineStr">
        <is>
          <t xml:space="preserve">Revestimento de Piso Lajota  </t>
        </is>
      </c>
      <c r="D2933" s="10" t="inlineStr">
        <is>
          <t>BLOCO CERÂMICO - 14X19X19cm</t>
        </is>
      </c>
      <c r="E2933" s="11">
        <f t="array" ref="E2933">_xlfn.XLOOKUP(D2933,Insumos!B:B,Insumos!C:$C)</f>
        <v/>
      </c>
      <c r="F2933" s="14">
        <f>ROUNDUP((1/(0.19*0.19)),)</f>
        <v/>
      </c>
      <c r="G2933" s="92">
        <f t="array" ref="G2933">IF(B2933="insumo",_xlfn.XLOOKUP($D2933,Insumos!$B$1:$B$996,Insumos!$D$1:$D$996),"")</f>
        <v/>
      </c>
      <c r="H2933" s="92" t="n">
        <v>72.8</v>
      </c>
      <c r="I2933" s="2162" t="n">
        <v>0</v>
      </c>
      <c r="J2933" s="2162" t="n">
        <v>0</v>
      </c>
      <c r="K2933" s="2162" t="n"/>
    </row>
    <row r="2934" outlineLevel="3" ht="15.75" customHeight="1">
      <c r="A2934" s="10" t="n">
        <v>17</v>
      </c>
      <c r="B2934" s="10" t="inlineStr">
        <is>
          <t>Insumo</t>
        </is>
      </c>
      <c r="C2934" s="10" t="inlineStr">
        <is>
          <t xml:space="preserve">Revestimento de Piso Lajota  </t>
        </is>
      </c>
      <c r="D2934" s="10" t="inlineStr">
        <is>
          <t>ARGAMASSA ESTABILIZADA PARA ASSENTAMENTO</t>
        </is>
      </c>
      <c r="E2934" s="11">
        <f t="array" ref="E2934">_xlfn.XLOOKUP(D2934,Insumos!B:B,Insumos!C:$C)</f>
        <v/>
      </c>
      <c r="F2934" s="14" t="n">
        <v>0.025</v>
      </c>
      <c r="G2934" s="92">
        <f t="array" ref="G2934">IF(B2934="insumo",_xlfn.XLOOKUP($D2934,Insumos!$B$1:$B$996,Insumos!$D$1:$D$996),"")</f>
        <v/>
      </c>
      <c r="H2934" s="92" t="n">
        <v>10.625</v>
      </c>
      <c r="I2934" s="2162" t="n">
        <v>0</v>
      </c>
      <c r="J2934" s="2162" t="n">
        <v>0</v>
      </c>
      <c r="K2934" s="2162" t="n"/>
    </row>
    <row r="2935" outlineLevel="3" ht="15.75" customHeight="1">
      <c r="A2935" s="10" t="n">
        <v>3</v>
      </c>
      <c r="B2935" s="10" t="inlineStr">
        <is>
          <t>Insumo</t>
        </is>
      </c>
      <c r="C2935" s="10" t="inlineStr">
        <is>
          <t xml:space="preserve">Revestimento de Piso Lajota  </t>
        </is>
      </c>
      <c r="D2935" s="10" t="inlineStr">
        <is>
          <t>Mão de obra execução de piso elevado</t>
        </is>
      </c>
      <c r="E2935" s="11">
        <f t="array" ref="E2935">_xlfn.XLOOKUP(D2935,Insumos!B:B,Insumos!C:$C)</f>
        <v/>
      </c>
      <c r="F2935" s="14" t="n">
        <v>1</v>
      </c>
      <c r="G2935" s="92">
        <f t="array" ref="G2935">IF(B2935="insumo",_xlfn.XLOOKUP($D2935,Insumos!$B$1:$B$996,Insumos!$D$1:$D$996),"")</f>
        <v/>
      </c>
      <c r="H2935" s="92" t="n">
        <v>150</v>
      </c>
      <c r="I2935" s="2162" t="n">
        <v>0</v>
      </c>
      <c r="J2935" s="2162" t="n">
        <v>0</v>
      </c>
      <c r="K2935" s="2162" t="n"/>
    </row>
    <row r="2936" outlineLevel="1" ht="15.75" customHeight="1">
      <c r="A2936" s="1090" t="n">
        <v>1</v>
      </c>
      <c r="B2936" s="1090" t="inlineStr">
        <is>
          <t>Subetapa</t>
        </is>
      </c>
      <c r="C2936" s="1090" t="inlineStr">
        <is>
          <t xml:space="preserve">Revestimento de Piso Lajota  </t>
        </is>
      </c>
      <c r="D2936" s="1090" t="inlineStr">
        <is>
          <t>CONTRAPISO AUTONIVELANTE</t>
        </is>
      </c>
      <c r="E2936" s="1091" t="n"/>
      <c r="F2936" s="2160" t="n"/>
      <c r="G2936" s="1091" t="n"/>
      <c r="H2936" s="1091" t="n">
        <v>0</v>
      </c>
      <c r="I2936" s="2160" t="n">
        <v>0</v>
      </c>
      <c r="J2936" s="2160" t="n">
        <v>0</v>
      </c>
      <c r="K2936" s="2160" t="n"/>
    </row>
    <row r="2937" outlineLevel="2" ht="15.75" customHeight="1">
      <c r="A2937" s="1067" t="n">
        <v>1</v>
      </c>
      <c r="B2937" s="1067" t="inlineStr">
        <is>
          <t>Serviço</t>
        </is>
      </c>
      <c r="C2937" s="1067" t="inlineStr">
        <is>
          <t>Contrapiso comum em argamassa estabilizada, auto nivelado, espessura 2cm</t>
        </is>
      </c>
      <c r="D2937" s="1067" t="inlineStr">
        <is>
          <t>Contrapiso comum em argamassa estabilizada, auto nivelado, espessura 2cm</t>
        </is>
      </c>
      <c r="E2937" s="1068" t="inlineStr">
        <is>
          <t>M2</t>
        </is>
      </c>
      <c r="F2937" s="1067" t="n"/>
      <c r="G2937" s="1069">
        <f t="array" ref="G2937">IF(B2937="insumo",_xlfn.XLOOKUP($D2937,Insumos!$B$1:$B$996,Insumos!$D$1:$D$996),"")</f>
        <v/>
      </c>
      <c r="H2937" s="1069" t="n">
        <v>21.08614</v>
      </c>
      <c r="I2937" s="2161" t="n">
        <v>0</v>
      </c>
      <c r="J2937" s="2161" t="n">
        <v>0</v>
      </c>
      <c r="K2937" s="2161" t="n"/>
    </row>
    <row r="2938" outlineLevel="3" ht="15.75" customHeight="1">
      <c r="A2938" s="10" t="n">
        <v>6</v>
      </c>
      <c r="B2938" s="10" t="inlineStr">
        <is>
          <t>Insumo</t>
        </is>
      </c>
      <c r="C2938" s="10" t="inlineStr">
        <is>
          <t>Contrapiso comum em argamassa estabilizada, auto nivelado, espessura 2cm</t>
        </is>
      </c>
      <c r="D2938" s="10" t="inlineStr">
        <is>
          <t>Argamassa usninada para contrapiso nivelada</t>
        </is>
      </c>
      <c r="E2938" s="11">
        <f t="array" ref="E2938">_xlfn.XLOOKUP(D2938,Insumos!B:B,Insumos!C:$C)</f>
        <v/>
      </c>
      <c r="F2938" s="14" t="n">
        <v>0.022</v>
      </c>
      <c r="G2938" s="92">
        <f t="array" ref="G2938">IF(B2938="insumo",_xlfn.XLOOKUP($D2938,Insumos!$B$1:$B$996,Insumos!$D$1:$D$996),"")</f>
        <v/>
      </c>
      <c r="H2938" s="92" t="n">
        <v>11.33</v>
      </c>
      <c r="I2938" s="2162" t="n">
        <v>0</v>
      </c>
      <c r="J2938" s="2162" t="n">
        <v>0</v>
      </c>
      <c r="K2938" s="2162" t="n"/>
    </row>
    <row r="2939" outlineLevel="3" ht="15.75" customHeight="1">
      <c r="A2939" s="10" t="n">
        <v>41</v>
      </c>
      <c r="B2939" s="10" t="inlineStr">
        <is>
          <t>Insumo</t>
        </is>
      </c>
      <c r="C2939" s="10" t="inlineStr">
        <is>
          <t>Contrapiso comum em argamassa estabilizada, auto nivelado, espessura 2cm</t>
        </is>
      </c>
      <c r="D2939" s="10" t="inlineStr">
        <is>
          <t>Aditivo Adesivo Liquido Para Argamassas De Revestimentos Cimenticios</t>
        </is>
      </c>
      <c r="E2939" s="11">
        <f t="array" ref="E2939">_xlfn.XLOOKUP(D2939,Insumos!B:B,Insumos!C:$C)</f>
        <v/>
      </c>
      <c r="F2939" s="14" t="n">
        <v>0.021</v>
      </c>
      <c r="G2939" s="92">
        <f t="array" ref="G2939">IF(B2939="insumo",_xlfn.XLOOKUP($D2939,Insumos!$B$1:$B$996,Insumos!$D$1:$D$996),"")</f>
        <v/>
      </c>
      <c r="H2939" s="92" t="n">
        <v>0.40614</v>
      </c>
      <c r="I2939" s="2162" t="n">
        <v>0</v>
      </c>
      <c r="J2939" s="2162" t="n">
        <v>0</v>
      </c>
      <c r="K2939" s="2162" t="n"/>
    </row>
    <row r="2940" outlineLevel="3" ht="15.75" customHeight="1">
      <c r="A2940" s="10" t="n">
        <v>8</v>
      </c>
      <c r="B2940" s="10" t="inlineStr">
        <is>
          <t>Insumo</t>
        </is>
      </c>
      <c r="C2940" s="10" t="inlineStr">
        <is>
          <t>Contrapiso comum em argamassa estabilizada, auto nivelado, espessura 2cm</t>
        </is>
      </c>
      <c r="D2940" s="10" t="inlineStr">
        <is>
          <t xml:space="preserve">Cimento Autonivelante para Contrapiso </t>
        </is>
      </c>
      <c r="E2940" s="11">
        <f t="array" ref="E2940">_xlfn.XLOOKUP(D2940,Insumos!B:B,Insumos!C:$C)</f>
        <v/>
      </c>
      <c r="F2940" s="14" t="n">
        <v>2.2</v>
      </c>
      <c r="G2940" s="92">
        <f t="array" ref="G2940">IF(B2940="insumo",_xlfn.XLOOKUP($D2940,Insumos!$B$1:$B$996,Insumos!$D$1:$D$996),"")</f>
        <v/>
      </c>
      <c r="H2940" s="92" t="n">
        <v>9.35</v>
      </c>
      <c r="I2940" s="2162" t="n">
        <v>0</v>
      </c>
      <c r="J2940" s="2162" t="n">
        <v>0</v>
      </c>
      <c r="K2940" s="2162" t="n"/>
    </row>
    <row r="2941" outlineLevel="2" ht="15.75" customHeight="1">
      <c r="A2941" s="1067" t="n">
        <v>1</v>
      </c>
      <c r="B2941" s="1067" t="inlineStr">
        <is>
          <t>Serviço</t>
        </is>
      </c>
      <c r="C2941" s="1067" t="inlineStr">
        <is>
          <t>Contrapiso comum em argamassa estabilizada, auto nivelado, espessura 2,5cm</t>
        </is>
      </c>
      <c r="D2941" s="1067" t="inlineStr">
        <is>
          <t>Contrapiso comum em argamassa estabilizada, auto nivelado, espessura 2,5cm</t>
        </is>
      </c>
      <c r="E2941" s="1068" t="inlineStr">
        <is>
          <t>M2</t>
        </is>
      </c>
      <c r="F2941" s="1067" t="n"/>
      <c r="G2941" s="1069">
        <f t="array" ref="G2941">IF(B2941="insumo",_xlfn.XLOOKUP($D2941,Insumos!$B$1:$B$996,Insumos!$D$1:$D$996),"")</f>
        <v/>
      </c>
      <c r="H2941" s="1069" t="n">
        <v>23.91864</v>
      </c>
      <c r="I2941" s="2161" t="n">
        <v>0</v>
      </c>
      <c r="J2941" s="2161" t="n">
        <v>0</v>
      </c>
      <c r="K2941" s="2161" t="n"/>
    </row>
    <row r="2942" outlineLevel="3" ht="15.75" customHeight="1">
      <c r="A2942" s="10" t="n">
        <v>6</v>
      </c>
      <c r="B2942" s="10" t="inlineStr">
        <is>
          <t>Insumo</t>
        </is>
      </c>
      <c r="C2942" s="10" t="inlineStr">
        <is>
          <t>Contrapiso comum em argamassa estabilizada, auto nivelado, espessura 2,5cm</t>
        </is>
      </c>
      <c r="D2942" s="10" t="inlineStr">
        <is>
          <t>Argamassa usninada para contrapiso nivelada</t>
        </is>
      </c>
      <c r="E2942" s="11">
        <f t="array" ref="E2942">_xlfn.XLOOKUP(D2942,Insumos!B:B,Insumos!C:$C)</f>
        <v/>
      </c>
      <c r="F2942" s="14" t="n">
        <v>0.0275</v>
      </c>
      <c r="G2942" s="92">
        <f t="array" ref="G2942">IF(B2942="insumo",_xlfn.XLOOKUP($D2942,Insumos!$B$1:$B$996,Insumos!$D$1:$D$996),"")</f>
        <v/>
      </c>
      <c r="H2942" s="92" t="n">
        <v>14.1625</v>
      </c>
      <c r="I2942" s="2162" t="n">
        <v>0</v>
      </c>
      <c r="J2942" s="2162" t="n">
        <v>0</v>
      </c>
      <c r="K2942" s="2162" t="n"/>
    </row>
    <row r="2943" outlineLevel="3" ht="15.75" customHeight="1">
      <c r="A2943" s="10" t="n">
        <v>41</v>
      </c>
      <c r="B2943" s="10" t="inlineStr">
        <is>
          <t>Insumo</t>
        </is>
      </c>
      <c r="C2943" s="10" t="inlineStr">
        <is>
          <t>Contrapiso comum em argamassa estabilizada, auto nivelado, espessura 2,5cm</t>
        </is>
      </c>
      <c r="D2943" s="10" t="inlineStr">
        <is>
          <t>Aditivo Adesivo Liquido Para Argamassas De Revestimentos Cimenticios</t>
        </is>
      </c>
      <c r="E2943" s="11">
        <f t="array" ref="E2943">_xlfn.XLOOKUP(D2943,Insumos!B:B,Insumos!C:$C)</f>
        <v/>
      </c>
      <c r="F2943" s="14" t="n">
        <v>0.021</v>
      </c>
      <c r="G2943" s="92">
        <f t="array" ref="G2943">IF(B2943="insumo",_xlfn.XLOOKUP($D2943,Insumos!$B$1:$B$996,Insumos!$D$1:$D$996),"")</f>
        <v/>
      </c>
      <c r="H2943" s="92" t="n">
        <v>0.40614</v>
      </c>
      <c r="I2943" s="2162" t="n">
        <v>0</v>
      </c>
      <c r="J2943" s="2162" t="n">
        <v>0</v>
      </c>
      <c r="K2943" s="2162" t="n"/>
    </row>
    <row r="2944" outlineLevel="3" ht="15.75" customHeight="1">
      <c r="A2944" s="10" t="n">
        <v>8</v>
      </c>
      <c r="B2944" s="10" t="inlineStr">
        <is>
          <t>Insumo</t>
        </is>
      </c>
      <c r="C2944" s="10" t="inlineStr">
        <is>
          <t>Contrapiso comum em argamassa estabilizada, auto nivelado, espessura 2,5cm</t>
        </is>
      </c>
      <c r="D2944" s="10" t="inlineStr">
        <is>
          <t xml:space="preserve">Cimento Autonivelante para Contrapiso </t>
        </is>
      </c>
      <c r="E2944" s="11">
        <f t="array" ref="E2944">_xlfn.XLOOKUP(D2944,Insumos!B:B,Insumos!C:$C)</f>
        <v/>
      </c>
      <c r="F2944" s="14" t="n">
        <v>2.2</v>
      </c>
      <c r="G2944" s="92">
        <f t="array" ref="G2944">IF(B2944="insumo",_xlfn.XLOOKUP($D2944,Insumos!$B$1:$B$996,Insumos!$D$1:$D$996),"")</f>
        <v/>
      </c>
      <c r="H2944" s="92" t="n">
        <v>9.35</v>
      </c>
      <c r="I2944" s="2162" t="n">
        <v>0</v>
      </c>
      <c r="J2944" s="2162" t="n">
        <v>0</v>
      </c>
      <c r="K2944" s="2162" t="n"/>
    </row>
    <row r="2945" outlineLevel="2" ht="15.75" customHeight="1">
      <c r="A2945" s="1067" t="n">
        <v>1</v>
      </c>
      <c r="B2945" s="1067" t="inlineStr">
        <is>
          <t>Serviço</t>
        </is>
      </c>
      <c r="C2945" s="1067" t="inlineStr">
        <is>
          <t>Contrapiso comum em argamassa estabilizada, auto nivelado, espessura 4cm</t>
        </is>
      </c>
      <c r="D2945" s="1067" t="inlineStr">
        <is>
          <t>Contrapiso comum em argamassa estabilizada, auto nivelado, espessura 4cm</t>
        </is>
      </c>
      <c r="E2945" s="1068" t="inlineStr">
        <is>
          <t>M2</t>
        </is>
      </c>
      <c r="F2945" s="1067" t="n"/>
      <c r="G2945" s="1069">
        <f t="array" ref="G2945">IF(B2945="insumo",_xlfn.XLOOKUP($D2945,Insumos!$B$1:$B$996,Insumos!$D$1:$D$996),"")</f>
        <v/>
      </c>
      <c r="H2945" s="1069" t="n">
        <v>35.6681866666667</v>
      </c>
      <c r="I2945" s="2161" t="n">
        <v>0</v>
      </c>
      <c r="J2945" s="2161" t="n">
        <v>0</v>
      </c>
      <c r="K2945" s="2161" t="n"/>
    </row>
    <row r="2946" outlineLevel="3" ht="15.75" customHeight="1">
      <c r="A2946" s="10" t="n">
        <v>6</v>
      </c>
      <c r="B2946" s="10" t="inlineStr">
        <is>
          <t>Insumo</t>
        </is>
      </c>
      <c r="C2946" s="10" t="inlineStr">
        <is>
          <t>Contrapiso comum em argamassa estabilizada, auto nivelado, espessura 4cm</t>
        </is>
      </c>
      <c r="D2946" s="10" t="inlineStr">
        <is>
          <t>Argamassa usninada para contrapiso nivelada</t>
        </is>
      </c>
      <c r="E2946" s="11">
        <f t="array" ref="E2946">_xlfn.XLOOKUP(D2946,Insumos!B:B,Insumos!C:$C)</f>
        <v/>
      </c>
      <c r="F2946" s="14">
        <f>0.033*4/3</f>
        <v/>
      </c>
      <c r="G2946" s="92">
        <f t="array" ref="G2946">IF(B2946="insumo",_xlfn.XLOOKUP($D2946,Insumos!$B$1:$B$996,Insumos!$D$1:$D$996),"")</f>
        <v/>
      </c>
      <c r="H2946" s="92" t="n">
        <v>22.66</v>
      </c>
      <c r="I2946" s="2162" t="n">
        <v>0</v>
      </c>
      <c r="J2946" s="2162" t="n">
        <v>0</v>
      </c>
      <c r="K2946" s="2162" t="n"/>
    </row>
    <row r="2947" outlineLevel="3" ht="15.75" customHeight="1">
      <c r="A2947" s="10" t="n">
        <v>41</v>
      </c>
      <c r="B2947" s="10" t="inlineStr">
        <is>
          <t>Insumo</t>
        </is>
      </c>
      <c r="C2947" s="10" t="inlineStr">
        <is>
          <t>Contrapiso comum em argamassa estabilizada, auto nivelado, espessura 4cm</t>
        </is>
      </c>
      <c r="D2947" s="10" t="inlineStr">
        <is>
          <t>Aditivo Adesivo Liquido Para Argamassas De Revestimentos Cimenticios</t>
        </is>
      </c>
      <c r="E2947" s="11">
        <f t="array" ref="E2947">_xlfn.XLOOKUP(D2947,Insumos!B:B,Insumos!C:$C)</f>
        <v/>
      </c>
      <c r="F2947" s="14">
        <f>0.021*4/3</f>
        <v/>
      </c>
      <c r="G2947" s="92">
        <f t="array" ref="G2947">IF(B2947="insumo",_xlfn.XLOOKUP($D2947,Insumos!$B$1:$B$996,Insumos!$D$1:$D$996),"")</f>
        <v/>
      </c>
      <c r="H2947" s="92" t="n">
        <v>0.54152</v>
      </c>
      <c r="I2947" s="2162" t="n">
        <v>0</v>
      </c>
      <c r="J2947" s="2162" t="n">
        <v>0</v>
      </c>
      <c r="K2947" s="2162" t="n"/>
    </row>
    <row r="2948" outlineLevel="3" ht="15.75" customHeight="1">
      <c r="A2948" s="10" t="n">
        <v>8</v>
      </c>
      <c r="B2948" s="10" t="inlineStr">
        <is>
          <t>Insumo</t>
        </is>
      </c>
      <c r="C2948" s="10" t="inlineStr">
        <is>
          <t>Contrapiso comum em argamassa estabilizada, auto nivelado, espessura 4cm</t>
        </is>
      </c>
      <c r="D2948" s="10" t="inlineStr">
        <is>
          <t xml:space="preserve">Cimento Autonivelante para Contrapiso </t>
        </is>
      </c>
      <c r="E2948" s="11">
        <f t="array" ref="E2948">_xlfn.XLOOKUP(D2948,Insumos!B:B,Insumos!C:$C)</f>
        <v/>
      </c>
      <c r="F2948" s="14">
        <f>2.2*4/3</f>
        <v/>
      </c>
      <c r="G2948" s="92">
        <f t="array" ref="G2948">IF(B2948="insumo",_xlfn.XLOOKUP($D2948,Insumos!$B$1:$B$996,Insumos!$D$1:$D$996),"")</f>
        <v/>
      </c>
      <c r="H2948" s="92" t="n">
        <v>12.4666666666667</v>
      </c>
      <c r="I2948" s="2162" t="n">
        <v>0</v>
      </c>
      <c r="J2948" s="2162" t="n">
        <v>0</v>
      </c>
      <c r="K2948" s="2162" t="n"/>
    </row>
    <row r="2949" outlineLevel="2" ht="15.75" customHeight="1">
      <c r="A2949" s="1067" t="n">
        <v>1</v>
      </c>
      <c r="B2949" s="1067" t="inlineStr">
        <is>
          <t>Serviço</t>
        </is>
      </c>
      <c r="C2949" s="1067" t="inlineStr">
        <is>
          <t>Contrapiso comum em argamassa estabilizada, auto nivelado, espessura 3cm</t>
        </is>
      </c>
      <c r="D2949" s="1067" t="inlineStr">
        <is>
          <t>Contrapiso comum em argamassa estabilizada, auto nivelado, espessura 3cm</t>
        </is>
      </c>
      <c r="E2949" s="1068" t="inlineStr">
        <is>
          <t>M2</t>
        </is>
      </c>
      <c r="F2949" s="1067" t="n"/>
      <c r="G2949" s="1069">
        <f t="array" ref="G2949">IF(B2949="insumo",_xlfn.XLOOKUP($D2949,Insumos!$B$1:$B$996,Insumos!$D$1:$D$996),"")</f>
        <v/>
      </c>
      <c r="H2949" s="1069" t="n">
        <v>26.75114</v>
      </c>
      <c r="I2949" s="2161" t="n">
        <v>0</v>
      </c>
      <c r="J2949" s="2161" t="n">
        <v>0</v>
      </c>
      <c r="K2949" s="2161" t="n"/>
    </row>
    <row r="2950" outlineLevel="3" ht="15.75" customHeight="1">
      <c r="A2950" s="10" t="n">
        <v>6</v>
      </c>
      <c r="B2950" s="10" t="inlineStr">
        <is>
          <t>Insumo</t>
        </is>
      </c>
      <c r="C2950" s="10" t="inlineStr">
        <is>
          <t>Contrapiso comum em argamassa estabilizada, auto nivelado, espessura 3cm</t>
        </is>
      </c>
      <c r="D2950" s="10" t="inlineStr">
        <is>
          <t>Argamassa usninada para contrapiso nivelada</t>
        </is>
      </c>
      <c r="E2950" s="11">
        <f t="array" ref="E2950">_xlfn.XLOOKUP(D2950,Insumos!B:B,Insumos!C:$C)</f>
        <v/>
      </c>
      <c r="F2950" s="14" t="n">
        <v>0.033</v>
      </c>
      <c r="G2950" s="92">
        <f t="array" ref="G2950">IF(B2950="insumo",_xlfn.XLOOKUP($D2950,Insumos!$B$1:$B$996,Insumos!$D$1:$D$996),"")</f>
        <v/>
      </c>
      <c r="H2950" s="92" t="n">
        <v>16.995</v>
      </c>
      <c r="I2950" s="2162" t="n">
        <v>0</v>
      </c>
      <c r="J2950" s="2162" t="n">
        <v>0</v>
      </c>
      <c r="K2950" s="2162" t="n"/>
    </row>
    <row r="2951" outlineLevel="3" ht="15.75" customHeight="1">
      <c r="A2951" s="10" t="n">
        <v>41</v>
      </c>
      <c r="B2951" s="10" t="inlineStr">
        <is>
          <t>Insumo</t>
        </is>
      </c>
      <c r="C2951" s="10" t="inlineStr">
        <is>
          <t>Contrapiso comum em argamassa estabilizada, auto nivelado, espessura 3cm</t>
        </is>
      </c>
      <c r="D2951" s="10" t="inlineStr">
        <is>
          <t>Aditivo Adesivo Liquido Para Argamassas De Revestimentos Cimenticios</t>
        </is>
      </c>
      <c r="E2951" s="11">
        <f t="array" ref="E2951">_xlfn.XLOOKUP(D2951,Insumos!B:B,Insumos!C:$C)</f>
        <v/>
      </c>
      <c r="F2951" s="14" t="n">
        <v>0.021</v>
      </c>
      <c r="G2951" s="92">
        <f t="array" ref="G2951">IF(B2951="insumo",_xlfn.XLOOKUP($D2951,Insumos!$B$1:$B$996,Insumos!$D$1:$D$996),"")</f>
        <v/>
      </c>
      <c r="H2951" s="92" t="n">
        <v>0.40614</v>
      </c>
      <c r="I2951" s="2162" t="n">
        <v>0</v>
      </c>
      <c r="J2951" s="2162" t="n">
        <v>0</v>
      </c>
      <c r="K2951" s="2162" t="n"/>
    </row>
    <row r="2952" outlineLevel="3" ht="15.75" customHeight="1">
      <c r="A2952" s="10" t="n">
        <v>8</v>
      </c>
      <c r="B2952" s="10" t="inlineStr">
        <is>
          <t>Insumo</t>
        </is>
      </c>
      <c r="C2952" s="10" t="inlineStr">
        <is>
          <t>Contrapiso comum em argamassa estabilizada, auto nivelado, espessura 3cm</t>
        </is>
      </c>
      <c r="D2952" s="10" t="inlineStr">
        <is>
          <t xml:space="preserve">Cimento Autonivelante para Contrapiso </t>
        </is>
      </c>
      <c r="E2952" s="11">
        <f t="array" ref="E2952">_xlfn.XLOOKUP(D2952,Insumos!B:B,Insumos!C:$C)</f>
        <v/>
      </c>
      <c r="F2952" s="14" t="n">
        <v>2.2</v>
      </c>
      <c r="G2952" s="92">
        <f t="array" ref="G2952">IF(B2952="insumo",_xlfn.XLOOKUP($D2952,Insumos!$B$1:$B$996,Insumos!$D$1:$D$996),"")</f>
        <v/>
      </c>
      <c r="H2952" s="92" t="n">
        <v>9.35</v>
      </c>
      <c r="I2952" s="2162" t="n">
        <v>0</v>
      </c>
      <c r="J2952" s="2162" t="n">
        <v>0</v>
      </c>
      <c r="K2952" s="2162" t="n"/>
    </row>
    <row r="2953" outlineLevel="2" ht="15.75" customHeight="1">
      <c r="A2953" s="1067" t="n">
        <v>1</v>
      </c>
      <c r="B2953" s="1067" t="inlineStr">
        <is>
          <t>Serviço</t>
        </is>
      </c>
      <c r="C2953" s="1067" t="inlineStr">
        <is>
          <t>Contrapiso comum em argamassa estabilizada, auto nivelado, espessura 5cm</t>
        </is>
      </c>
      <c r="D2953" s="1067" t="inlineStr">
        <is>
          <t>Contrapiso comum em argamassa estabilizada, auto nivelado, espessura 5cm</t>
        </is>
      </c>
      <c r="E2953" s="1068" t="inlineStr">
        <is>
          <t>M2</t>
        </is>
      </c>
      <c r="F2953" s="1067" t="n"/>
      <c r="G2953" s="1069">
        <f t="array" ref="G2953">IF(B2953="insumo",_xlfn.XLOOKUP($D2953,Insumos!$B$1:$B$996,Insumos!$D$1:$D$996),"")</f>
        <v/>
      </c>
      <c r="H2953" s="1069" t="n">
        <v>44.5852333333333</v>
      </c>
      <c r="I2953" s="2161" t="e">
        <v>#REF!</v>
      </c>
      <c r="J2953" s="2161" t="e">
        <v>#REF!</v>
      </c>
      <c r="K2953" s="2161" t="n"/>
    </row>
    <row r="2954" outlineLevel="3" ht="15.75" customHeight="1">
      <c r="A2954" s="10" t="n">
        <v>6</v>
      </c>
      <c r="B2954" s="10" t="inlineStr">
        <is>
          <t>Insumo</t>
        </is>
      </c>
      <c r="C2954" s="10" t="inlineStr">
        <is>
          <t>Contrapiso comum em argamassa estabilizada, auto nivelado, espessura 5cm</t>
        </is>
      </c>
      <c r="D2954" s="10" t="inlineStr">
        <is>
          <t>Argamassa usninada para contrapiso nivelada</t>
        </is>
      </c>
      <c r="E2954" s="11">
        <f t="array" ref="E2954">_xlfn.XLOOKUP(D2954,Insumos!B:B,Insumos!C:$C)</f>
        <v/>
      </c>
      <c r="F2954" s="14" t="n">
        <v>0.055</v>
      </c>
      <c r="G2954" s="92">
        <f t="array" ref="G2954">IF(B2954="insumo",_xlfn.XLOOKUP($D2954,Insumos!$B$1:$B$996,Insumos!$D$1:$D$996),"")</f>
        <v/>
      </c>
      <c r="H2954" s="92" t="n">
        <v>28.325</v>
      </c>
      <c r="I2954" s="2162" t="e">
        <v>#REF!</v>
      </c>
      <c r="J2954" s="2162" t="e">
        <v>#REF!</v>
      </c>
      <c r="K2954" s="2162" t="n"/>
    </row>
    <row r="2955" outlineLevel="3" ht="15.75" customHeight="1">
      <c r="A2955" s="10" t="n">
        <v>41</v>
      </c>
      <c r="B2955" s="10" t="inlineStr">
        <is>
          <t>Insumo</t>
        </is>
      </c>
      <c r="C2955" s="10" t="inlineStr">
        <is>
          <t>Contrapiso comum em argamassa estabilizada, auto nivelado, espessura 5cm</t>
        </is>
      </c>
      <c r="D2955" s="10" t="inlineStr">
        <is>
          <t>Aditivo Adesivo Liquido Para Argamassas De Revestimentos Cimenticios</t>
        </is>
      </c>
      <c r="E2955" s="11">
        <f t="array" ref="E2955">_xlfn.XLOOKUP(D2955,Insumos!B:B,Insumos!C:$C)</f>
        <v/>
      </c>
      <c r="F2955" s="14">
        <f>0.021*5/3</f>
        <v/>
      </c>
      <c r="G2955" s="92">
        <f t="array" ref="G2955">IF(B2955="insumo",_xlfn.XLOOKUP($D2955,Insumos!$B$1:$B$996,Insumos!$D$1:$D$996),"")</f>
        <v/>
      </c>
      <c r="H2955" s="92" t="n">
        <v>0.6768999999999999</v>
      </c>
      <c r="I2955" s="2162" t="e">
        <v>#REF!</v>
      </c>
      <c r="J2955" s="2162" t="e">
        <v>#REF!</v>
      </c>
      <c r="K2955" s="2162" t="n"/>
    </row>
    <row r="2956" outlineLevel="3" ht="15.75" customHeight="1">
      <c r="A2956" s="10" t="n">
        <v>8</v>
      </c>
      <c r="B2956" s="10" t="inlineStr">
        <is>
          <t>Insumo</t>
        </is>
      </c>
      <c r="C2956" s="10" t="inlineStr">
        <is>
          <t>Contrapiso comum em argamassa estabilizada, auto nivelado, espessura 5cm</t>
        </is>
      </c>
      <c r="D2956" s="10" t="inlineStr">
        <is>
          <t xml:space="preserve">Cimento Autonivelante para Contrapiso </t>
        </is>
      </c>
      <c r="E2956" s="11">
        <f t="array" ref="E2956">_xlfn.XLOOKUP(D2956,Insumos!B:B,Insumos!C:$C)</f>
        <v/>
      </c>
      <c r="F2956" s="14">
        <f>2.2*5/3</f>
        <v/>
      </c>
      <c r="G2956" s="92">
        <f t="array" ref="G2956">IF(B2956="insumo",_xlfn.XLOOKUP($D2956,Insumos!$B$1:$B$996,Insumos!$D$1:$D$996),"")</f>
        <v/>
      </c>
      <c r="H2956" s="92" t="n">
        <v>15.5833333333333</v>
      </c>
      <c r="I2956" s="2162" t="e">
        <v>#REF!</v>
      </c>
      <c r="J2956" s="2162" t="e">
        <v>#REF!</v>
      </c>
      <c r="K2956" s="2162" t="n"/>
    </row>
    <row r="2957" outlineLevel="2" ht="15.75" customHeight="1">
      <c r="A2957" s="1067" t="n">
        <v>1</v>
      </c>
      <c r="B2957" s="1067" t="inlineStr">
        <is>
          <t>Serviço</t>
        </is>
      </c>
      <c r="C2957" s="1067" t="inlineStr">
        <is>
          <t>Contrapiso comum em argamassa estabilizada, auto nivelado, espessura 8cm</t>
        </is>
      </c>
      <c r="D2957" s="1067" t="inlineStr">
        <is>
          <t>Contrapiso comum em argamassa estabilizada, auto nivelado, espessura 8cm</t>
        </is>
      </c>
      <c r="E2957" s="1068" t="inlineStr">
        <is>
          <t>M2</t>
        </is>
      </c>
      <c r="F2957" s="1067" t="n"/>
      <c r="G2957" s="1069">
        <f t="array" ref="G2957">IF(B2957="insumo",_xlfn.XLOOKUP($D2957,Insumos!$B$1:$B$996,Insumos!$D$1:$D$996),"")</f>
        <v/>
      </c>
      <c r="H2957" s="1069" t="n">
        <v>69.2763733333333</v>
      </c>
      <c r="I2957" s="2161" t="n">
        <v>0</v>
      </c>
      <c r="J2957" s="2161" t="n">
        <v>0</v>
      </c>
      <c r="K2957" s="2161" t="n"/>
    </row>
    <row r="2958" outlineLevel="3" ht="15.75" customHeight="1">
      <c r="A2958" s="10" t="n">
        <v>6</v>
      </c>
      <c r="B2958" s="10" t="inlineStr">
        <is>
          <t>Insumo</t>
        </is>
      </c>
      <c r="C2958" s="10" t="inlineStr">
        <is>
          <t>Contrapiso comum em argamassa estabilizada, auto nivelado, espessura 8cm</t>
        </is>
      </c>
      <c r="D2958" s="10" t="inlineStr">
        <is>
          <t>Argamassa usninada para contrapiso nivelada</t>
        </is>
      </c>
      <c r="E2958" s="11">
        <f t="array" ref="E2958">_xlfn.XLOOKUP(D2958,Insumos!B:B,Insumos!C:$C)</f>
        <v/>
      </c>
      <c r="F2958" s="14">
        <f>0.08*1.05</f>
        <v/>
      </c>
      <c r="G2958" s="92">
        <f t="array" ref="G2958">IF(B2958="insumo",_xlfn.XLOOKUP($D2958,Insumos!$B$1:$B$996,Insumos!$D$1:$D$996),"")</f>
        <v/>
      </c>
      <c r="H2958" s="92" t="n">
        <v>43.26</v>
      </c>
      <c r="I2958" s="2162" t="n">
        <v>0</v>
      </c>
      <c r="J2958" s="2162" t="n">
        <v>0</v>
      </c>
      <c r="K2958" s="2162" t="n"/>
    </row>
    <row r="2959" outlineLevel="3" ht="15.75" customHeight="1">
      <c r="A2959" s="10" t="n">
        <v>41</v>
      </c>
      <c r="B2959" s="10" t="inlineStr">
        <is>
          <t>Insumo</t>
        </is>
      </c>
      <c r="C2959" s="10" t="inlineStr">
        <is>
          <t>Contrapiso comum em argamassa estabilizada, auto nivelado, espessura 8cm</t>
        </is>
      </c>
      <c r="D2959" s="10" t="inlineStr">
        <is>
          <t>Aditivo Adesivo Liquido Para Argamassas De Revestimentos Cimenticios</t>
        </is>
      </c>
      <c r="E2959" s="11">
        <f t="array" ref="E2959">_xlfn.XLOOKUP(D2959,Insumos!B:B,Insumos!C:$C)</f>
        <v/>
      </c>
      <c r="F2959" s="14">
        <f>0.021*8/3</f>
        <v/>
      </c>
      <c r="G2959" s="92">
        <f t="array" ref="G2959">IF(B2959="insumo",_xlfn.XLOOKUP($D2959,Insumos!$B$1:$B$996,Insumos!$D$1:$D$996),"")</f>
        <v/>
      </c>
      <c r="H2959" s="92" t="n">
        <v>1.08304</v>
      </c>
      <c r="I2959" s="2162" t="n">
        <v>0</v>
      </c>
      <c r="J2959" s="2162" t="n">
        <v>0</v>
      </c>
      <c r="K2959" s="2162" t="n"/>
    </row>
    <row r="2960" outlineLevel="3" ht="15.75" customHeight="1">
      <c r="A2960" s="10" t="n">
        <v>8</v>
      </c>
      <c r="B2960" s="10" t="inlineStr">
        <is>
          <t>Insumo</t>
        </is>
      </c>
      <c r="C2960" s="10" t="inlineStr">
        <is>
          <t>Contrapiso comum em argamassa estabilizada, auto nivelado, espessura 8cm</t>
        </is>
      </c>
      <c r="D2960" s="10" t="inlineStr">
        <is>
          <t xml:space="preserve">Cimento Autonivelante para Contrapiso </t>
        </is>
      </c>
      <c r="E2960" s="11">
        <f t="array" ref="E2960">_xlfn.XLOOKUP(D2960,Insumos!B:B,Insumos!C:$C)</f>
        <v/>
      </c>
      <c r="F2960" s="14">
        <f>2.2*8/3</f>
        <v/>
      </c>
      <c r="G2960" s="92">
        <f t="array" ref="G2960">IF(B2960="insumo",_xlfn.XLOOKUP($D2960,Insumos!$B$1:$B$996,Insumos!$D$1:$D$996),"")</f>
        <v/>
      </c>
      <c r="H2960" s="92" t="n">
        <v>24.9333333333333</v>
      </c>
      <c r="I2960" s="2162" t="n">
        <v>0</v>
      </c>
      <c r="J2960" s="2162" t="n">
        <v>0</v>
      </c>
      <c r="K2960" s="2162" t="n"/>
    </row>
    <row r="2961" outlineLevel="1" ht="15.75" customHeight="1">
      <c r="A2961" s="1090" t="n">
        <v>1</v>
      </c>
      <c r="B2961" s="1090" t="inlineStr">
        <is>
          <t>Subetapa</t>
        </is>
      </c>
      <c r="C2961" s="1090" t="inlineStr">
        <is>
          <t>Contrapiso comum em argamassa estabilizada, auto nivelado, espessura 8cm</t>
        </is>
      </c>
      <c r="D2961" s="1090" t="inlineStr">
        <is>
          <t>CONTRAPISO COMUM ARGAMASSA USINADA</t>
        </is>
      </c>
      <c r="E2961" s="1091" t="n"/>
      <c r="F2961" s="2160" t="n"/>
      <c r="G2961" s="1091" t="n"/>
      <c r="H2961" s="1091" t="n">
        <v>0</v>
      </c>
      <c r="I2961" s="2160" t="n">
        <v>0</v>
      </c>
      <c r="J2961" s="2160" t="n">
        <v>0</v>
      </c>
      <c r="K2961" s="2160" t="n"/>
    </row>
    <row r="2962" outlineLevel="2" ht="15.75" customHeight="1">
      <c r="A2962" s="1067" t="n">
        <v>1</v>
      </c>
      <c r="B2962" s="1067" t="inlineStr">
        <is>
          <t>Serviço</t>
        </is>
      </c>
      <c r="C2962" s="1067" t="inlineStr">
        <is>
          <t>Contrapiso comum em argamassa estabilizada, nao aderido, espessura 1,5cm</t>
        </is>
      </c>
      <c r="D2962" s="1067" t="inlineStr">
        <is>
          <t>Contrapiso comum em argamassa estabilizada, nao aderido, espessura 1,5cm</t>
        </is>
      </c>
      <c r="E2962" s="1068" t="inlineStr">
        <is>
          <t>M2</t>
        </is>
      </c>
      <c r="F2962" s="1067" t="n"/>
      <c r="G2962" s="1069">
        <f t="array" ref="G2962">IF(B2962="insumo",_xlfn.XLOOKUP($D2962,Insumos!$B$1:$B$996,Insumos!$D$1:$D$996),"")</f>
        <v/>
      </c>
      <c r="H2962" s="1069" t="n">
        <v>9.861140000000001</v>
      </c>
      <c r="I2962" s="2161" t="n">
        <v>0</v>
      </c>
      <c r="J2962" s="2161" t="n">
        <v>0</v>
      </c>
      <c r="K2962" s="2161" t="n"/>
    </row>
    <row r="2963" outlineLevel="3" ht="15.75" customHeight="1">
      <c r="A2963" s="10" t="n">
        <v>32</v>
      </c>
      <c r="B2963" s="10" t="inlineStr">
        <is>
          <t>Insumo</t>
        </is>
      </c>
      <c r="C2963" s="10" t="inlineStr">
        <is>
          <t>Contrapiso comum em argamassa estabilizada, nao aderido, espessura 1,5cm</t>
        </is>
      </c>
      <c r="D2963" s="10" t="inlineStr">
        <is>
          <t>Argamassa usninada para contrapiso</t>
        </is>
      </c>
      <c r="E2963" s="11">
        <f t="array" ref="E2963">_xlfn.XLOOKUP(D2963,Insumos!B:B,Insumos!C:$C)</f>
        <v/>
      </c>
      <c r="F2963" s="14" t="n">
        <v>0.0165</v>
      </c>
      <c r="G2963" s="92">
        <f t="array" ref="G2963">IF(B2963="insumo",_xlfn.XLOOKUP($D2963,Insumos!$B$1:$B$996,Insumos!$D$1:$D$996),"")</f>
        <v/>
      </c>
      <c r="H2963" s="92" t="n">
        <v>9.074999999999999</v>
      </c>
      <c r="I2963" s="2162" t="n">
        <v>0</v>
      </c>
      <c r="J2963" s="2162" t="n">
        <v>0</v>
      </c>
      <c r="K2963" s="2162" t="n"/>
    </row>
    <row r="2964" outlineLevel="3" ht="15.75" customHeight="1">
      <c r="A2964" s="10" t="n">
        <v>41</v>
      </c>
      <c r="B2964" s="10" t="inlineStr">
        <is>
          <t>Insumo</t>
        </is>
      </c>
      <c r="C2964" s="10" t="inlineStr">
        <is>
          <t>Contrapiso comum em argamassa estabilizada, nao aderido, espessura 1,5cm</t>
        </is>
      </c>
      <c r="D2964" s="10" t="inlineStr">
        <is>
          <t>Aditivo Adesivo Liquido Para Argamassas De Revestimentos Cimenticios</t>
        </is>
      </c>
      <c r="E2964" s="11">
        <f t="array" ref="E2964">_xlfn.XLOOKUP(D2964,Insumos!B:B,Insumos!C:$C)</f>
        <v/>
      </c>
      <c r="F2964" s="14" t="n">
        <v>0.021</v>
      </c>
      <c r="G2964" s="92">
        <f t="array" ref="G2964">IF(B2964="insumo",_xlfn.XLOOKUP($D2964,Insumos!$B$1:$B$996,Insumos!$D$1:$D$996),"")</f>
        <v/>
      </c>
      <c r="H2964" s="92" t="n">
        <v>0.40614</v>
      </c>
      <c r="I2964" s="2162" t="n">
        <v>0</v>
      </c>
      <c r="J2964" s="2162" t="n">
        <v>0</v>
      </c>
      <c r="K2964" s="2162" t="n"/>
    </row>
    <row r="2965" outlineLevel="3" ht="15.75" customHeight="1">
      <c r="A2965" s="10" t="n">
        <v>62</v>
      </c>
      <c r="B2965" s="10" t="inlineStr">
        <is>
          <t>Insumo</t>
        </is>
      </c>
      <c r="C2965" s="10" t="inlineStr">
        <is>
          <t>Contrapiso comum em argamassa estabilizada, nao aderido, espessura 1,5cm</t>
        </is>
      </c>
      <c r="D2965" s="10" t="inlineStr">
        <is>
          <t>Cimento Portland Composto CP II-32</t>
        </is>
      </c>
      <c r="E2965" s="11">
        <f t="array" ref="E2965">_xlfn.XLOOKUP(D2965,Insumos!B:B,Insumos!C:$C)</f>
        <v/>
      </c>
      <c r="F2965" s="14" t="n">
        <v>0.5</v>
      </c>
      <c r="G2965" s="92">
        <f t="array" ref="G2965">IF(B2965="insumo",_xlfn.XLOOKUP($D2965,Insumos!$B$1:$B$996,Insumos!$D$1:$D$996),"")</f>
        <v/>
      </c>
      <c r="H2965" s="92" t="n">
        <v>0.38</v>
      </c>
      <c r="I2965" s="2162" t="n">
        <v>0</v>
      </c>
      <c r="J2965" s="2162" t="n">
        <v>0</v>
      </c>
      <c r="K2965" s="2162" t="n"/>
    </row>
    <row r="2966" outlineLevel="2" ht="15.75" customHeight="1">
      <c r="A2966" s="1067" t="n">
        <v>1</v>
      </c>
      <c r="B2966" s="1067" t="inlineStr">
        <is>
          <t>Serviço</t>
        </is>
      </c>
      <c r="C2966" s="1067" t="inlineStr">
        <is>
          <t>Contrapiso comum em argamassa estabilizada, nao aderido, espessura 2cm</t>
        </is>
      </c>
      <c r="D2966" s="1067" t="inlineStr">
        <is>
          <t>Contrapiso comum em argamassa estabilizada, nao aderido, espessura 2cm</t>
        </is>
      </c>
      <c r="E2966" s="1068" t="inlineStr">
        <is>
          <t>M2</t>
        </is>
      </c>
      <c r="F2966" s="1067" t="n"/>
      <c r="G2966" s="1069">
        <f t="array" ref="G2966">IF(B2966="insumo",_xlfn.XLOOKUP($D2966,Insumos!$B$1:$B$996,Insumos!$D$1:$D$996),"")</f>
        <v/>
      </c>
      <c r="H2966" s="1069" t="n">
        <v>12.88614</v>
      </c>
      <c r="I2966" s="2161" t="n">
        <v>0</v>
      </c>
      <c r="J2966" s="2161" t="n">
        <v>0</v>
      </c>
      <c r="K2966" s="2161" t="n"/>
    </row>
    <row r="2967" outlineLevel="3" ht="15.75" customHeight="1">
      <c r="A2967" s="10" t="n">
        <v>32</v>
      </c>
      <c r="B2967" s="10" t="inlineStr">
        <is>
          <t>Insumo</t>
        </is>
      </c>
      <c r="C2967" s="10" t="inlineStr">
        <is>
          <t>Contrapiso comum em argamassa estabilizada, nao aderido, espessura 2cm</t>
        </is>
      </c>
      <c r="D2967" s="10" t="inlineStr">
        <is>
          <t>Argamassa usninada para contrapiso</t>
        </is>
      </c>
      <c r="E2967" s="11">
        <f t="array" ref="E2967">_xlfn.XLOOKUP(D2967,Insumos!B:B,Insumos!C:$C)</f>
        <v/>
      </c>
      <c r="F2967" s="14" t="n">
        <v>0.022</v>
      </c>
      <c r="G2967" s="92">
        <f t="array" ref="G2967">IF(B2967="insumo",_xlfn.XLOOKUP($D2967,Insumos!$B$1:$B$996,Insumos!$D$1:$D$996),"")</f>
        <v/>
      </c>
      <c r="H2967" s="92" t="n">
        <v>12.1</v>
      </c>
      <c r="I2967" s="2162" t="n">
        <v>0</v>
      </c>
      <c r="J2967" s="2162" t="n">
        <v>0</v>
      </c>
      <c r="K2967" s="2162" t="n"/>
    </row>
    <row r="2968" outlineLevel="3" ht="15.75" customHeight="1">
      <c r="A2968" s="10" t="n">
        <v>41</v>
      </c>
      <c r="B2968" s="10" t="inlineStr">
        <is>
          <t>Insumo</t>
        </is>
      </c>
      <c r="C2968" s="10" t="inlineStr">
        <is>
          <t>Contrapiso comum em argamassa estabilizada, nao aderido, espessura 2cm</t>
        </is>
      </c>
      <c r="D2968" s="10" t="inlineStr">
        <is>
          <t>Aditivo Adesivo Liquido Para Argamassas De Revestimentos Cimenticios</t>
        </is>
      </c>
      <c r="E2968" s="11">
        <f t="array" ref="E2968">_xlfn.XLOOKUP(D2968,Insumos!B:B,Insumos!C:$C)</f>
        <v/>
      </c>
      <c r="F2968" s="14" t="n">
        <v>0.021</v>
      </c>
      <c r="G2968" s="92">
        <f t="array" ref="G2968">IF(B2968="insumo",_xlfn.XLOOKUP($D2968,Insumos!$B$1:$B$996,Insumos!$D$1:$D$996),"")</f>
        <v/>
      </c>
      <c r="H2968" s="92" t="n">
        <v>0.40614</v>
      </c>
      <c r="I2968" s="2162" t="n">
        <v>0</v>
      </c>
      <c r="J2968" s="2162" t="n">
        <v>0</v>
      </c>
      <c r="K2968" s="2162" t="n"/>
    </row>
    <row r="2969" outlineLevel="3" ht="15.75" customHeight="1">
      <c r="A2969" s="10" t="n">
        <v>62</v>
      </c>
      <c r="B2969" s="10" t="inlineStr">
        <is>
          <t>Insumo</t>
        </is>
      </c>
      <c r="C2969" s="10" t="inlineStr">
        <is>
          <t>Contrapiso comum em argamassa estabilizada, nao aderido, espessura 2cm</t>
        </is>
      </c>
      <c r="D2969" s="10" t="inlineStr">
        <is>
          <t>Cimento Portland Composto CP II-32</t>
        </is>
      </c>
      <c r="E2969" s="11">
        <f t="array" ref="E2969">_xlfn.XLOOKUP(D2969,Insumos!B:B,Insumos!C:$C)</f>
        <v/>
      </c>
      <c r="F2969" s="14" t="n">
        <v>0.5</v>
      </c>
      <c r="G2969" s="92">
        <f t="array" ref="G2969">IF(B2969="insumo",_xlfn.XLOOKUP($D2969,Insumos!$B$1:$B$996,Insumos!$D$1:$D$996),"")</f>
        <v/>
      </c>
      <c r="H2969" s="92" t="n">
        <v>0.38</v>
      </c>
      <c r="I2969" s="2162" t="n">
        <v>0</v>
      </c>
      <c r="J2969" s="2162" t="n">
        <v>0</v>
      </c>
      <c r="K2969" s="2162" t="n"/>
    </row>
    <row r="2970" outlineLevel="2" ht="15.75" customHeight="1">
      <c r="A2970" s="1067" t="n">
        <v>1</v>
      </c>
      <c r="B2970" s="1067" t="inlineStr">
        <is>
          <t>Serviço</t>
        </is>
      </c>
      <c r="C2970" s="1067" t="inlineStr">
        <is>
          <t>Contrapiso comum em argamassa estabilizada, nao aderido, espessura 2,5cm</t>
        </is>
      </c>
      <c r="D2970" s="1067" t="inlineStr">
        <is>
          <t>Contrapiso comum em argamassa estabilizada, nao aderido, espessura 2,5cm</t>
        </is>
      </c>
      <c r="E2970" s="1068" t="inlineStr">
        <is>
          <t>M2</t>
        </is>
      </c>
      <c r="F2970" s="1067" t="n"/>
      <c r="G2970" s="1069">
        <f t="array" ref="G2970">IF(B2970="insumo",_xlfn.XLOOKUP($D2970,Insumos!$B$1:$B$996,Insumos!$D$1:$D$996),"")</f>
        <v/>
      </c>
      <c r="H2970" s="1069" t="n">
        <v>15.91114</v>
      </c>
      <c r="I2970" s="2161" t="n">
        <v>0</v>
      </c>
      <c r="J2970" s="2161" t="n">
        <v>0</v>
      </c>
      <c r="K2970" s="2161" t="n"/>
    </row>
    <row r="2971" outlineLevel="3" ht="15.75" customHeight="1">
      <c r="A2971" s="10" t="n">
        <v>32</v>
      </c>
      <c r="B2971" s="10" t="inlineStr">
        <is>
          <t>Insumo</t>
        </is>
      </c>
      <c r="C2971" s="10" t="inlineStr">
        <is>
          <t>Contrapiso comum em argamassa estabilizada, nao aderido, espessura 2,5cm</t>
        </is>
      </c>
      <c r="D2971" s="10" t="inlineStr">
        <is>
          <t>Argamassa usninada para contrapiso</t>
        </is>
      </c>
      <c r="E2971" s="11">
        <f t="array" ref="E2971">_xlfn.XLOOKUP(D2971,Insumos!B:B,Insumos!C:$C)</f>
        <v/>
      </c>
      <c r="F2971" s="14" t="n">
        <v>0.0275</v>
      </c>
      <c r="G2971" s="92">
        <f t="array" ref="G2971">IF(B2971="insumo",_xlfn.XLOOKUP($D2971,Insumos!$B$1:$B$996,Insumos!$D$1:$D$996),"")</f>
        <v/>
      </c>
      <c r="H2971" s="92" t="n">
        <v>15.125</v>
      </c>
      <c r="I2971" s="2162" t="n">
        <v>0</v>
      </c>
      <c r="J2971" s="2162" t="n">
        <v>0</v>
      </c>
      <c r="K2971" s="2162" t="n"/>
    </row>
    <row r="2972" outlineLevel="3" ht="15.75" customHeight="1">
      <c r="A2972" s="10" t="n">
        <v>41</v>
      </c>
      <c r="B2972" s="10" t="inlineStr">
        <is>
          <t>Insumo</t>
        </is>
      </c>
      <c r="C2972" s="10" t="inlineStr">
        <is>
          <t>Contrapiso comum em argamassa estabilizada, nao aderido, espessura 2,5cm</t>
        </is>
      </c>
      <c r="D2972" s="10" t="inlineStr">
        <is>
          <t>Aditivo Adesivo Liquido Para Argamassas De Revestimentos Cimenticios</t>
        </is>
      </c>
      <c r="E2972" s="11">
        <f t="array" ref="E2972">_xlfn.XLOOKUP(D2972,Insumos!B:B,Insumos!C:$C)</f>
        <v/>
      </c>
      <c r="F2972" s="14" t="n">
        <v>0.021</v>
      </c>
      <c r="G2972" s="92">
        <f t="array" ref="G2972">IF(B2972="insumo",_xlfn.XLOOKUP($D2972,Insumos!$B$1:$B$996,Insumos!$D$1:$D$996),"")</f>
        <v/>
      </c>
      <c r="H2972" s="92" t="n">
        <v>0.40614</v>
      </c>
      <c r="I2972" s="2162" t="n">
        <v>0</v>
      </c>
      <c r="J2972" s="2162" t="n">
        <v>0</v>
      </c>
      <c r="K2972" s="2162" t="n"/>
    </row>
    <row r="2973" outlineLevel="3" ht="15.75" customHeight="1">
      <c r="A2973" s="10" t="n">
        <v>62</v>
      </c>
      <c r="B2973" s="10" t="inlineStr">
        <is>
          <t>Insumo</t>
        </is>
      </c>
      <c r="C2973" s="10" t="inlineStr">
        <is>
          <t>Contrapiso comum em argamassa estabilizada, nao aderido, espessura 2,5cm</t>
        </is>
      </c>
      <c r="D2973" s="10" t="inlineStr">
        <is>
          <t>Cimento Portland Composto CP II-32</t>
        </is>
      </c>
      <c r="E2973" s="11">
        <f t="array" ref="E2973">_xlfn.XLOOKUP(D2973,Insumos!B:B,Insumos!C:$C)</f>
        <v/>
      </c>
      <c r="F2973" s="14" t="n">
        <v>0.5</v>
      </c>
      <c r="G2973" s="92">
        <f t="array" ref="G2973">IF(B2973="insumo",_xlfn.XLOOKUP($D2973,Insumos!$B$1:$B$996,Insumos!$D$1:$D$996),"")</f>
        <v/>
      </c>
      <c r="H2973" s="92" t="n">
        <v>0.38</v>
      </c>
      <c r="I2973" s="2162" t="n">
        <v>0</v>
      </c>
      <c r="J2973" s="2162" t="n">
        <v>0</v>
      </c>
      <c r="K2973" s="2162" t="n"/>
    </row>
    <row r="2974" outlineLevel="2" ht="15.75" customHeight="1">
      <c r="A2974" s="1067" t="n">
        <v>1</v>
      </c>
      <c r="B2974" s="1067" t="inlineStr">
        <is>
          <t>Serviço</t>
        </is>
      </c>
      <c r="C2974" s="1067" t="inlineStr">
        <is>
          <t>Contrapiso comum em argamassa estabilizada, nao aderido, espessura 3cm</t>
        </is>
      </c>
      <c r="D2974" s="1067" t="inlineStr">
        <is>
          <t>Contrapiso comum em argamassa estabilizada, nao aderido, espessura 3cm</t>
        </is>
      </c>
      <c r="E2974" s="1068" t="inlineStr">
        <is>
          <t>M2</t>
        </is>
      </c>
      <c r="F2974" s="1067" t="n"/>
      <c r="G2974" s="1069">
        <f t="array" ref="G2974">IF(B2974="insumo",_xlfn.XLOOKUP($D2974,Insumos!$B$1:$B$996,Insumos!$D$1:$D$996),"")</f>
        <v/>
      </c>
      <c r="H2974" s="1069" t="n">
        <v>18.93614</v>
      </c>
      <c r="I2974" s="2161" t="n">
        <v>0</v>
      </c>
      <c r="J2974" s="2161" t="n">
        <v>0</v>
      </c>
      <c r="K2974" s="2161" t="n"/>
    </row>
    <row r="2975" outlineLevel="3" ht="15.75" customHeight="1">
      <c r="A2975" s="10" t="n">
        <v>32</v>
      </c>
      <c r="B2975" s="10" t="inlineStr">
        <is>
          <t>Insumo</t>
        </is>
      </c>
      <c r="C2975" s="10" t="inlineStr">
        <is>
          <t>Contrapiso comum em argamassa estabilizada, nao aderido, espessura 3cm</t>
        </is>
      </c>
      <c r="D2975" s="10" t="inlineStr">
        <is>
          <t>Argamassa usninada para contrapiso</t>
        </is>
      </c>
      <c r="E2975" s="11">
        <f t="array" ref="E2975">_xlfn.XLOOKUP(D2975,Insumos!B:B,Insumos!C:$C)</f>
        <v/>
      </c>
      <c r="F2975" s="14" t="n">
        <v>0.033</v>
      </c>
      <c r="G2975" s="92">
        <f t="array" ref="G2975">IF(B2975="insumo",_xlfn.XLOOKUP($D2975,Insumos!$B$1:$B$996,Insumos!$D$1:$D$996),"")</f>
        <v/>
      </c>
      <c r="H2975" s="92" t="n">
        <v>18.15</v>
      </c>
      <c r="I2975" s="2162" t="n">
        <v>0</v>
      </c>
      <c r="J2975" s="2162" t="n">
        <v>0</v>
      </c>
      <c r="K2975" s="2162" t="n"/>
    </row>
    <row r="2976" outlineLevel="3" ht="15.75" customHeight="1">
      <c r="A2976" s="10" t="n">
        <v>41</v>
      </c>
      <c r="B2976" s="10" t="inlineStr">
        <is>
          <t>Insumo</t>
        </is>
      </c>
      <c r="C2976" s="10" t="inlineStr">
        <is>
          <t>Contrapiso comum em argamassa estabilizada, nao aderido, espessura 3cm</t>
        </is>
      </c>
      <c r="D2976" s="10" t="inlineStr">
        <is>
          <t>Aditivo Adesivo Liquido Para Argamassas De Revestimentos Cimenticios</t>
        </is>
      </c>
      <c r="E2976" s="11">
        <f t="array" ref="E2976">_xlfn.XLOOKUP(D2976,Insumos!B:B,Insumos!C:$C)</f>
        <v/>
      </c>
      <c r="F2976" s="14" t="n">
        <v>0.021</v>
      </c>
      <c r="G2976" s="92">
        <f t="array" ref="G2976">IF(B2976="insumo",_xlfn.XLOOKUP($D2976,Insumos!$B$1:$B$996,Insumos!$D$1:$D$996),"")</f>
        <v/>
      </c>
      <c r="H2976" s="92" t="n">
        <v>0.40614</v>
      </c>
      <c r="I2976" s="2162" t="n">
        <v>0</v>
      </c>
      <c r="J2976" s="2162" t="n">
        <v>0</v>
      </c>
      <c r="K2976" s="2162" t="n"/>
    </row>
    <row r="2977" outlineLevel="3" ht="15.75" customHeight="1">
      <c r="A2977" s="10" t="n">
        <v>62</v>
      </c>
      <c r="B2977" s="10" t="inlineStr">
        <is>
          <t>Insumo</t>
        </is>
      </c>
      <c r="C2977" s="10" t="inlineStr">
        <is>
          <t>Contrapiso comum em argamassa estabilizada, nao aderido, espessura 3cm</t>
        </is>
      </c>
      <c r="D2977" s="10" t="inlineStr">
        <is>
          <t>Cimento Portland Composto CP II-32</t>
        </is>
      </c>
      <c r="E2977" s="11">
        <f t="array" ref="E2977">_xlfn.XLOOKUP(D2977,Insumos!B:B,Insumos!C:$C)</f>
        <v/>
      </c>
      <c r="F2977" s="14" t="n">
        <v>0.5</v>
      </c>
      <c r="G2977" s="92">
        <f t="array" ref="G2977">IF(B2977="insumo",_xlfn.XLOOKUP($D2977,Insumos!$B$1:$B$996,Insumos!$D$1:$D$996),"")</f>
        <v/>
      </c>
      <c r="H2977" s="92" t="n">
        <v>0.38</v>
      </c>
      <c r="I2977" s="2162" t="n">
        <v>0</v>
      </c>
      <c r="J2977" s="2162" t="n">
        <v>0</v>
      </c>
      <c r="K2977" s="2162" t="n"/>
    </row>
    <row r="2978" outlineLevel="2" ht="15.75" customHeight="1">
      <c r="A2978" s="1067" t="n">
        <v>1</v>
      </c>
      <c r="B2978" s="1067" t="inlineStr">
        <is>
          <t>Serviço</t>
        </is>
      </c>
      <c r="C2978" s="1067" t="inlineStr">
        <is>
          <t>Contrapiso comum em argamassa estabilizada, nao aderido, espessura 3,5cm</t>
        </is>
      </c>
      <c r="D2978" s="1067" t="inlineStr">
        <is>
          <t>Contrapiso comum em argamassa estabilizada, nao aderido, espessura 3,5cm</t>
        </is>
      </c>
      <c r="E2978" s="1068" t="inlineStr">
        <is>
          <t>M2</t>
        </is>
      </c>
      <c r="F2978" s="1067" t="n"/>
      <c r="G2978" s="1069">
        <f t="array" ref="G2978">IF(B2978="insumo",_xlfn.XLOOKUP($D2978,Insumos!$B$1:$B$996,Insumos!$D$1:$D$996),"")</f>
        <v/>
      </c>
      <c r="H2978" s="1069" t="n">
        <v>21.96114</v>
      </c>
      <c r="I2978" s="2161" t="n">
        <v>0</v>
      </c>
      <c r="J2978" s="2161" t="n">
        <v>0</v>
      </c>
      <c r="K2978" s="2161" t="n"/>
    </row>
    <row r="2979" outlineLevel="3" ht="15.75" customHeight="1">
      <c r="A2979" s="10" t="n">
        <v>32</v>
      </c>
      <c r="B2979" s="10" t="inlineStr">
        <is>
          <t>Insumo</t>
        </is>
      </c>
      <c r="C2979" s="10" t="inlineStr">
        <is>
          <t>Contrapiso comum em argamassa estabilizada, nao aderido, espessura 3,5cm</t>
        </is>
      </c>
      <c r="D2979" s="10" t="inlineStr">
        <is>
          <t>Argamassa usninada para contrapiso</t>
        </is>
      </c>
      <c r="E2979" s="11">
        <f t="array" ref="E2979">_xlfn.XLOOKUP(D2979,Insumos!B:B,Insumos!C:$C)</f>
        <v/>
      </c>
      <c r="F2979" s="14">
        <f>0.035*1.1</f>
        <v/>
      </c>
      <c r="G2979" s="92">
        <f t="array" ref="G2979">IF(B2979="insumo",_xlfn.XLOOKUP($D2979,Insumos!$B$1:$B$996,Insumos!$D$1:$D$996),"")</f>
        <v/>
      </c>
      <c r="H2979" s="92" t="n">
        <v>21.175</v>
      </c>
      <c r="I2979" s="2162" t="n">
        <v>0</v>
      </c>
      <c r="J2979" s="2162" t="n">
        <v>0</v>
      </c>
      <c r="K2979" s="2162" t="n"/>
    </row>
    <row r="2980" outlineLevel="3" ht="15.75" customHeight="1">
      <c r="A2980" s="10" t="n">
        <v>41</v>
      </c>
      <c r="B2980" s="10" t="inlineStr">
        <is>
          <t>Insumo</t>
        </is>
      </c>
      <c r="C2980" s="10" t="inlineStr">
        <is>
          <t>Contrapiso comum em argamassa estabilizada, nao aderido, espessura 3,5cm</t>
        </is>
      </c>
      <c r="D2980" s="10" t="inlineStr">
        <is>
          <t>Aditivo Adesivo Liquido Para Argamassas De Revestimentos Cimenticios</t>
        </is>
      </c>
      <c r="E2980" s="11">
        <f t="array" ref="E2980">_xlfn.XLOOKUP(D2980,Insumos!B:B,Insumos!C:$C)</f>
        <v/>
      </c>
      <c r="F2980" s="14" t="n">
        <v>0.021</v>
      </c>
      <c r="G2980" s="92">
        <f t="array" ref="G2980">IF(B2980="insumo",_xlfn.XLOOKUP($D2980,Insumos!$B$1:$B$996,Insumos!$D$1:$D$996),"")</f>
        <v/>
      </c>
      <c r="H2980" s="92" t="n">
        <v>0.40614</v>
      </c>
      <c r="I2980" s="2162" t="n">
        <v>0</v>
      </c>
      <c r="J2980" s="2162" t="n">
        <v>0</v>
      </c>
      <c r="K2980" s="2162" t="n"/>
    </row>
    <row r="2981" outlineLevel="3" ht="15.75" customHeight="1">
      <c r="A2981" s="10" t="n">
        <v>62</v>
      </c>
      <c r="B2981" s="10" t="inlineStr">
        <is>
          <t>Insumo</t>
        </is>
      </c>
      <c r="C2981" s="10" t="inlineStr">
        <is>
          <t>Contrapiso comum em argamassa estabilizada, nao aderido, espessura 3,5cm</t>
        </is>
      </c>
      <c r="D2981" s="10" t="inlineStr">
        <is>
          <t>Cimento Portland Composto CP II-32</t>
        </is>
      </c>
      <c r="E2981" s="11">
        <f t="array" ref="E2981">_xlfn.XLOOKUP(D2981,Insumos!B:B,Insumos!C:$C)</f>
        <v/>
      </c>
      <c r="F2981" s="14" t="n">
        <v>0.5</v>
      </c>
      <c r="G2981" s="92">
        <f t="array" ref="G2981">IF(B2981="insumo",_xlfn.XLOOKUP($D2981,Insumos!$B$1:$B$996,Insumos!$D$1:$D$996),"")</f>
        <v/>
      </c>
      <c r="H2981" s="92" t="n">
        <v>0.38</v>
      </c>
      <c r="I2981" s="2162" t="n">
        <v>0</v>
      </c>
      <c r="J2981" s="2162" t="n">
        <v>0</v>
      </c>
      <c r="K2981" s="2162" t="n"/>
    </row>
    <row r="2982" outlineLevel="2" ht="15.75" customHeight="1">
      <c r="A2982" s="1067" t="n">
        <v>1</v>
      </c>
      <c r="B2982" s="1067" t="inlineStr">
        <is>
          <t>Serviço</t>
        </is>
      </c>
      <c r="C2982" s="1067" t="inlineStr">
        <is>
          <t>Contrapiso comum em argamassa estabilizada, nao aderido, espessura 4cm</t>
        </is>
      </c>
      <c r="D2982" s="1067" t="inlineStr">
        <is>
          <t>Contrapiso comum em argamassa estabilizada, nao aderido, espessura 4cm</t>
        </is>
      </c>
      <c r="E2982" s="1068" t="inlineStr">
        <is>
          <t>M2</t>
        </is>
      </c>
      <c r="F2982" s="1067" t="n"/>
      <c r="G2982" s="1069">
        <f t="array" ref="G2982">IF(B2982="insumo",_xlfn.XLOOKUP($D2982,Insumos!$B$1:$B$996,Insumos!$D$1:$D$996),"")</f>
        <v/>
      </c>
      <c r="H2982" s="1069" t="n">
        <v>24.98614</v>
      </c>
      <c r="I2982" s="2161" t="n">
        <v>0</v>
      </c>
      <c r="J2982" s="2161" t="n">
        <v>0</v>
      </c>
      <c r="K2982" s="2161" t="n"/>
    </row>
    <row r="2983" outlineLevel="3" ht="15.75" customHeight="1">
      <c r="A2983" s="10" t="n">
        <v>32</v>
      </c>
      <c r="B2983" s="10" t="inlineStr">
        <is>
          <t>Insumo</t>
        </is>
      </c>
      <c r="C2983" s="10" t="inlineStr">
        <is>
          <t>Contrapiso comum em argamassa estabilizada, nao aderido, espessura 4cm</t>
        </is>
      </c>
      <c r="D2983" s="10" t="inlineStr">
        <is>
          <t>Argamassa usninada para contrapiso</t>
        </is>
      </c>
      <c r="E2983" s="11">
        <f t="array" ref="E2983">_xlfn.XLOOKUP(D2983,Insumos!B:B,Insumos!C:$C)</f>
        <v/>
      </c>
      <c r="F2983" s="14">
        <f>0.04*1.1</f>
        <v/>
      </c>
      <c r="G2983" s="92">
        <f t="array" ref="G2983">IF(B2983="insumo",_xlfn.XLOOKUP($D2983,Insumos!$B$1:$B$996,Insumos!$D$1:$D$996),"")</f>
        <v/>
      </c>
      <c r="H2983" s="92" t="n">
        <v>24.2</v>
      </c>
      <c r="I2983" s="2162" t="n">
        <v>0</v>
      </c>
      <c r="J2983" s="2162" t="n">
        <v>0</v>
      </c>
      <c r="K2983" s="2162" t="n"/>
    </row>
    <row r="2984" outlineLevel="3" ht="15.75" customHeight="1">
      <c r="A2984" s="10" t="n">
        <v>41</v>
      </c>
      <c r="B2984" s="10" t="inlineStr">
        <is>
          <t>Insumo</t>
        </is>
      </c>
      <c r="C2984" s="10" t="inlineStr">
        <is>
          <t>Contrapiso comum em argamassa estabilizada, nao aderido, espessura 4cm</t>
        </is>
      </c>
      <c r="D2984" s="10" t="inlineStr">
        <is>
          <t>Aditivo Adesivo Liquido Para Argamassas De Revestimentos Cimenticios</t>
        </is>
      </c>
      <c r="E2984" s="11">
        <f t="array" ref="E2984">_xlfn.XLOOKUP(D2984,Insumos!B:B,Insumos!C:$C)</f>
        <v/>
      </c>
      <c r="F2984" s="14" t="n">
        <v>0.021</v>
      </c>
      <c r="G2984" s="92">
        <f t="array" ref="G2984">IF(B2984="insumo",_xlfn.XLOOKUP($D2984,Insumos!$B$1:$B$996,Insumos!$D$1:$D$996),"")</f>
        <v/>
      </c>
      <c r="H2984" s="92" t="n">
        <v>0.40614</v>
      </c>
      <c r="I2984" s="2162" t="n">
        <v>0</v>
      </c>
      <c r="J2984" s="2162" t="n">
        <v>0</v>
      </c>
      <c r="K2984" s="2162" t="n"/>
    </row>
    <row r="2985" outlineLevel="3" ht="15.75" customHeight="1">
      <c r="A2985" s="10" t="n">
        <v>62</v>
      </c>
      <c r="B2985" s="10" t="inlineStr">
        <is>
          <t>Insumo</t>
        </is>
      </c>
      <c r="C2985" s="10" t="inlineStr">
        <is>
          <t>Contrapiso comum em argamassa estabilizada, nao aderido, espessura 4cm</t>
        </is>
      </c>
      <c r="D2985" s="10" t="inlineStr">
        <is>
          <t>Cimento Portland Composto CP II-32</t>
        </is>
      </c>
      <c r="E2985" s="11">
        <f t="array" ref="E2985">_xlfn.XLOOKUP(D2985,Insumos!B:B,Insumos!C:$C)</f>
        <v/>
      </c>
      <c r="F2985" s="14" t="n">
        <v>0.5</v>
      </c>
      <c r="G2985" s="92">
        <f t="array" ref="G2985">IF(B2985="insumo",_xlfn.XLOOKUP($D2985,Insumos!$B$1:$B$996,Insumos!$D$1:$D$996),"")</f>
        <v/>
      </c>
      <c r="H2985" s="92" t="n">
        <v>0.38</v>
      </c>
      <c r="I2985" s="2162" t="n">
        <v>0</v>
      </c>
      <c r="J2985" s="2162" t="n">
        <v>0</v>
      </c>
      <c r="K2985" s="2162" t="n"/>
    </row>
    <row r="2986" outlineLevel="2" ht="15.75" customHeight="1">
      <c r="A2986" s="1067" t="n">
        <v>1</v>
      </c>
      <c r="B2986" s="1067" t="inlineStr">
        <is>
          <t>Serviço</t>
        </is>
      </c>
      <c r="C2986" s="1067" t="inlineStr">
        <is>
          <t>Contrapiso comum em argamassa estabilizada, nao aderido, espessura 5cm</t>
        </is>
      </c>
      <c r="D2986" s="1067" t="inlineStr">
        <is>
          <t>Contrapiso comum em argamassa estabilizada, nao aderido, espessura 5cm</t>
        </is>
      </c>
      <c r="E2986" s="1068" t="inlineStr">
        <is>
          <t>M2</t>
        </is>
      </c>
      <c r="F2986" s="1067" t="n"/>
      <c r="G2986" s="1069">
        <f t="array" ref="G2986">IF(B2986="insumo",_xlfn.XLOOKUP($D2986,Insumos!$B$1:$B$996,Insumos!$D$1:$D$996),"")</f>
        <v/>
      </c>
      <c r="H2986" s="1069" t="n">
        <v>31.5602333333333</v>
      </c>
      <c r="I2986" s="2161" t="n">
        <v>0</v>
      </c>
      <c r="J2986" s="2161" t="n">
        <v>0</v>
      </c>
      <c r="K2986" s="2161" t="n"/>
    </row>
    <row r="2987" outlineLevel="3" ht="15.75" customHeight="1">
      <c r="A2987" s="10" t="n">
        <v>32</v>
      </c>
      <c r="B2987" s="10" t="inlineStr">
        <is>
          <t>Insumo</t>
        </is>
      </c>
      <c r="C2987" s="10" t="inlineStr">
        <is>
          <t>Contrapiso comum em argamassa estabilizada, nao aderido, espessura 5cm</t>
        </is>
      </c>
      <c r="D2987" s="10" t="inlineStr">
        <is>
          <t>Argamassa usninada para contrapiso</t>
        </is>
      </c>
      <c r="E2987" s="11">
        <f t="array" ref="E2987">_xlfn.XLOOKUP(D2987,Insumos!B:B,Insumos!C:$C)</f>
        <v/>
      </c>
      <c r="F2987" s="14" t="n">
        <v>0.05500000000000001</v>
      </c>
      <c r="G2987" s="92">
        <f t="array" ref="G2987">IF(B2987="insumo",_xlfn.XLOOKUP($D2987,Insumos!$B$1:$B$996,Insumos!$D$1:$D$996),"")</f>
        <v/>
      </c>
      <c r="H2987" s="92" t="n">
        <v>30.25</v>
      </c>
      <c r="I2987" s="2162" t="n">
        <v>0</v>
      </c>
      <c r="J2987" s="2162" t="n">
        <v>0</v>
      </c>
      <c r="K2987" s="2162" t="n"/>
    </row>
    <row r="2988" outlineLevel="3" ht="15.75" customHeight="1">
      <c r="A2988" s="10" t="n">
        <v>41</v>
      </c>
      <c r="B2988" s="10" t="inlineStr">
        <is>
          <t>Insumo</t>
        </is>
      </c>
      <c r="C2988" s="10" t="inlineStr">
        <is>
          <t>Contrapiso comum em argamassa estabilizada, nao aderido, espessura 5cm</t>
        </is>
      </c>
      <c r="D2988" s="10" t="inlineStr">
        <is>
          <t>Aditivo Adesivo Liquido Para Argamassas De Revestimentos Cimenticios</t>
        </is>
      </c>
      <c r="E2988" s="11">
        <f t="array" ref="E2988">_xlfn.XLOOKUP(D2988,Insumos!B:B,Insumos!C:$C)</f>
        <v/>
      </c>
      <c r="F2988" s="14" t="n">
        <v>0.035</v>
      </c>
      <c r="G2988" s="92">
        <f t="array" ref="G2988">IF(B2988="insumo",_xlfn.XLOOKUP($D2988,Insumos!$B$1:$B$996,Insumos!$D$1:$D$996),"")</f>
        <v/>
      </c>
      <c r="H2988" s="92" t="n">
        <v>0.6768999999999999</v>
      </c>
      <c r="I2988" s="2162" t="n">
        <v>0</v>
      </c>
      <c r="J2988" s="2162" t="n">
        <v>0</v>
      </c>
      <c r="K2988" s="2162" t="n"/>
    </row>
    <row r="2989" outlineLevel="3" ht="15.75" customHeight="1">
      <c r="A2989" s="10" t="n">
        <v>62</v>
      </c>
      <c r="B2989" s="10" t="inlineStr">
        <is>
          <t>Insumo</t>
        </is>
      </c>
      <c r="C2989" s="10" t="inlineStr">
        <is>
          <t>Contrapiso comum em argamassa estabilizada, nao aderido, espessura 5cm</t>
        </is>
      </c>
      <c r="D2989" s="10" t="inlineStr">
        <is>
          <t>Cimento Portland Composto CP II-32</t>
        </is>
      </c>
      <c r="E2989" s="11">
        <f t="array" ref="E2989">_xlfn.XLOOKUP(D2989,Insumos!B:B,Insumos!C:$C)</f>
        <v/>
      </c>
      <c r="F2989" s="14" t="n">
        <v>0.8333333333333335</v>
      </c>
      <c r="G2989" s="92">
        <f t="array" ref="G2989">IF(B2989="insumo",_xlfn.XLOOKUP($D2989,Insumos!$B$1:$B$996,Insumos!$D$1:$D$996),"")</f>
        <v/>
      </c>
      <c r="H2989" s="92" t="n">
        <v>0.633333333333333</v>
      </c>
      <c r="I2989" s="2162" t="n">
        <v>0</v>
      </c>
      <c r="J2989" s="2162" t="n">
        <v>0</v>
      </c>
      <c r="K2989" s="2162" t="n"/>
    </row>
    <row r="2990" outlineLevel="2" ht="15.75" customHeight="1">
      <c r="A2990" s="1067" t="n">
        <v>1</v>
      </c>
      <c r="B2990" s="1067" t="inlineStr">
        <is>
          <t>Serviço</t>
        </is>
      </c>
      <c r="C2990" s="1067" t="inlineStr">
        <is>
          <t>Contrapiso comum em argamassa estabilizada, nao aderido, espessura 5,5cm</t>
        </is>
      </c>
      <c r="D2990" s="1067" t="inlineStr">
        <is>
          <t>Contrapiso comum em argamassa estabilizada, nao aderido, espessura 5,5cm</t>
        </is>
      </c>
      <c r="E2990" s="1068" t="inlineStr">
        <is>
          <t>M2</t>
        </is>
      </c>
      <c r="F2990" s="1067" t="n"/>
      <c r="G2990" s="1069">
        <f t="array" ref="G2990">IF(B2990="insumo",_xlfn.XLOOKUP($D2990,Insumos!$B$1:$B$996,Insumos!$D$1:$D$996),"")</f>
        <v/>
      </c>
      <c r="H2990" s="1069" t="n">
        <v>34.7162566666667</v>
      </c>
      <c r="I2990" s="2161" t="n">
        <v>0</v>
      </c>
      <c r="J2990" s="2161" t="n">
        <v>0</v>
      </c>
      <c r="K2990" s="2161" t="n"/>
    </row>
    <row r="2991" outlineLevel="3" ht="15.75" customHeight="1">
      <c r="A2991" s="10" t="n">
        <v>32</v>
      </c>
      <c r="B2991" s="10" t="inlineStr">
        <is>
          <t>Insumo</t>
        </is>
      </c>
      <c r="C2991" s="10" t="inlineStr">
        <is>
          <t>Contrapiso comum em argamassa estabilizada, nao aderido, espessura 5,5cm</t>
        </is>
      </c>
      <c r="D2991" s="10" t="inlineStr">
        <is>
          <t>Argamassa usninada para contrapiso</t>
        </is>
      </c>
      <c r="E2991" s="11">
        <f t="array" ref="E2991">_xlfn.XLOOKUP(D2991,Insumos!B:B,Insumos!C:$C)</f>
        <v/>
      </c>
      <c r="F2991" s="14" t="n">
        <v>0.06050000000000001</v>
      </c>
      <c r="G2991" s="92">
        <f t="array" ref="G2991">IF(B2991="insumo",_xlfn.XLOOKUP($D2991,Insumos!$B$1:$B$996,Insumos!$D$1:$D$996),"")</f>
        <v/>
      </c>
      <c r="H2991" s="92" t="n">
        <v>33.275</v>
      </c>
      <c r="I2991" s="2162" t="n">
        <v>0</v>
      </c>
      <c r="J2991" s="2162" t="n">
        <v>0</v>
      </c>
      <c r="K2991" s="2162" t="n"/>
    </row>
    <row r="2992" outlineLevel="3" ht="15.75" customHeight="1">
      <c r="A2992" s="10" t="n">
        <v>41</v>
      </c>
      <c r="B2992" s="10" t="inlineStr">
        <is>
          <t>Insumo</t>
        </is>
      </c>
      <c r="C2992" s="10" t="inlineStr">
        <is>
          <t>Contrapiso comum em argamassa estabilizada, nao aderido, espessura 5,5cm</t>
        </is>
      </c>
      <c r="D2992" s="10" t="inlineStr">
        <is>
          <t>Aditivo Adesivo Liquido Para Argamassas De Revestimentos Cimenticios</t>
        </is>
      </c>
      <c r="E2992" s="11">
        <f t="array" ref="E2992">_xlfn.XLOOKUP(D2992,Insumos!B:B,Insumos!C:$C)</f>
        <v/>
      </c>
      <c r="F2992" s="14" t="n">
        <v>0.03850000000000001</v>
      </c>
      <c r="G2992" s="92">
        <f t="array" ref="G2992">IF(B2992="insumo",_xlfn.XLOOKUP($D2992,Insumos!$B$1:$B$996,Insumos!$D$1:$D$996),"")</f>
        <v/>
      </c>
      <c r="H2992" s="92" t="n">
        <v>0.74459</v>
      </c>
      <c r="I2992" s="2162" t="n">
        <v>0</v>
      </c>
      <c r="J2992" s="2162" t="n">
        <v>0</v>
      </c>
      <c r="K2992" s="2162" t="n"/>
    </row>
    <row r="2993" outlineLevel="3" ht="15.75" customHeight="1">
      <c r="A2993" s="10" t="n">
        <v>62</v>
      </c>
      <c r="B2993" s="10" t="inlineStr">
        <is>
          <t>Insumo</t>
        </is>
      </c>
      <c r="C2993" s="10" t="inlineStr">
        <is>
          <t>Contrapiso comum em argamassa estabilizada, nao aderido, espessura 5,5cm</t>
        </is>
      </c>
      <c r="D2993" s="10" t="inlineStr">
        <is>
          <t>Cimento Portland Composto CP II-32</t>
        </is>
      </c>
      <c r="E2993" s="11">
        <f t="array" ref="E2993">_xlfn.XLOOKUP(D2993,Insumos!B:B,Insumos!C:$C)</f>
        <v/>
      </c>
      <c r="F2993" s="14" t="n">
        <v>0.9166666666666667</v>
      </c>
      <c r="G2993" s="92">
        <f t="array" ref="G2993">IF(B2993="insumo",_xlfn.XLOOKUP($D2993,Insumos!$B$1:$B$996,Insumos!$D$1:$D$996),"")</f>
        <v/>
      </c>
      <c r="H2993" s="92" t="n">
        <v>0.696666666666667</v>
      </c>
      <c r="I2993" s="2162" t="n">
        <v>0</v>
      </c>
      <c r="J2993" s="2162" t="n">
        <v>0</v>
      </c>
      <c r="K2993" s="2162" t="n"/>
    </row>
    <row r="2994" outlineLevel="2" ht="15.75" customHeight="1">
      <c r="A2994" s="1067" t="n">
        <v>1</v>
      </c>
      <c r="B2994" s="1067" t="inlineStr">
        <is>
          <t>Serviço</t>
        </is>
      </c>
      <c r="C2994" s="1067" t="inlineStr">
        <is>
          <t>Contrapiso comum em argamassa estabilizada, nao aderido, espessura 6cm</t>
        </is>
      </c>
      <c r="D2994" s="1067" t="inlineStr">
        <is>
          <t>Contrapiso comum em argamassa estabilizada, nao aderido, espessura 6cm</t>
        </is>
      </c>
      <c r="E2994" s="1068" t="inlineStr">
        <is>
          <t>M2</t>
        </is>
      </c>
      <c r="F2994" s="1067" t="n"/>
      <c r="G2994" s="1069">
        <f t="array" ref="G2994">IF(B2994="insumo",_xlfn.XLOOKUP($D2994,Insumos!$B$1:$B$996,Insumos!$D$1:$D$996),"")</f>
        <v/>
      </c>
      <c r="H2994" s="1069" t="n">
        <v>37.87228</v>
      </c>
      <c r="I2994" s="2161" t="n">
        <v>0</v>
      </c>
      <c r="J2994" s="2161" t="n">
        <v>0</v>
      </c>
      <c r="K2994" s="2161" t="n"/>
    </row>
    <row r="2995" outlineLevel="3" ht="15.75" customHeight="1">
      <c r="A2995" s="10" t="n">
        <v>32</v>
      </c>
      <c r="B2995" s="10" t="inlineStr">
        <is>
          <t>Insumo</t>
        </is>
      </c>
      <c r="C2995" s="10" t="inlineStr">
        <is>
          <t>Contrapiso comum em argamassa estabilizada, nao aderido, espessura 6cm</t>
        </is>
      </c>
      <c r="D2995" s="10" t="inlineStr">
        <is>
          <t>Argamassa usninada para contrapiso</t>
        </is>
      </c>
      <c r="E2995" s="11">
        <f t="array" ref="E2995">_xlfn.XLOOKUP(D2995,Insumos!B:B,Insumos!C:$C)</f>
        <v/>
      </c>
      <c r="F2995" s="14" t="n">
        <v>0.066</v>
      </c>
      <c r="G2995" s="92">
        <f t="array" ref="G2995">IF(B2995="insumo",_xlfn.XLOOKUP($D2995,Insumos!$B$1:$B$996,Insumos!$D$1:$D$996),"")</f>
        <v/>
      </c>
      <c r="H2995" s="92" t="n">
        <v>36.3</v>
      </c>
      <c r="I2995" s="2162" t="n">
        <v>0</v>
      </c>
      <c r="J2995" s="2162" t="n">
        <v>0</v>
      </c>
      <c r="K2995" s="2162" t="n"/>
    </row>
    <row r="2996" outlineLevel="3" ht="15.75" customHeight="1">
      <c r="A2996" s="10" t="n">
        <v>41</v>
      </c>
      <c r="B2996" s="10" t="inlineStr">
        <is>
          <t>Insumo</t>
        </is>
      </c>
      <c r="C2996" s="10" t="inlineStr">
        <is>
          <t>Contrapiso comum em argamassa estabilizada, nao aderido, espessura 6cm</t>
        </is>
      </c>
      <c r="D2996" s="10" t="inlineStr">
        <is>
          <t>Aditivo Adesivo Liquido Para Argamassas De Revestimentos Cimenticios</t>
        </is>
      </c>
      <c r="E2996" s="11">
        <f t="array" ref="E2996">_xlfn.XLOOKUP(D2996,Insumos!B:B,Insumos!C:$C)</f>
        <v/>
      </c>
      <c r="F2996" s="14" t="n">
        <v>0.042</v>
      </c>
      <c r="G2996" s="92">
        <f t="array" ref="G2996">IF(B2996="insumo",_xlfn.XLOOKUP($D2996,Insumos!$B$1:$B$996,Insumos!$D$1:$D$996),"")</f>
        <v/>
      </c>
      <c r="H2996" s="92" t="n">
        <v>0.81228</v>
      </c>
      <c r="I2996" s="2162" t="n">
        <v>0</v>
      </c>
      <c r="J2996" s="2162" t="n">
        <v>0</v>
      </c>
      <c r="K2996" s="2162" t="n"/>
    </row>
    <row r="2997" outlineLevel="3" ht="15.75" customHeight="1">
      <c r="A2997" s="10" t="n">
        <v>62</v>
      </c>
      <c r="B2997" s="10" t="inlineStr">
        <is>
          <t>Insumo</t>
        </is>
      </c>
      <c r="C2997" s="10" t="inlineStr">
        <is>
          <t>Contrapiso comum em argamassa estabilizada, nao aderido, espessura 6cm</t>
        </is>
      </c>
      <c r="D2997" s="10" t="inlineStr">
        <is>
          <t>Cimento Portland Composto CP II-32</t>
        </is>
      </c>
      <c r="E2997" s="11">
        <f t="array" ref="E2997">_xlfn.XLOOKUP(D2997,Insumos!B:B,Insumos!C:$C)</f>
        <v/>
      </c>
      <c r="F2997" s="14" t="n">
        <v>1</v>
      </c>
      <c r="G2997" s="92">
        <f t="array" ref="G2997">IF(B2997="insumo",_xlfn.XLOOKUP($D2997,Insumos!$B$1:$B$996,Insumos!$D$1:$D$996),"")</f>
        <v/>
      </c>
      <c r="H2997" s="92" t="n">
        <v>0.76</v>
      </c>
      <c r="I2997" s="2162" t="n">
        <v>0</v>
      </c>
      <c r="J2997" s="2162" t="n">
        <v>0</v>
      </c>
      <c r="K2997" s="2162" t="n"/>
    </row>
    <row r="2998" outlineLevel="2" ht="15.75" customHeight="1">
      <c r="A2998" s="1067" t="n">
        <v>1</v>
      </c>
      <c r="B2998" s="1067" t="inlineStr">
        <is>
          <t>Serviço</t>
        </is>
      </c>
      <c r="C2998" s="1067" t="inlineStr">
        <is>
          <t>Contrapiso comum em argamassa estabilizada, nao aderido, espessura 7cm</t>
        </is>
      </c>
      <c r="D2998" s="1067" t="inlineStr">
        <is>
          <t>Contrapiso comum em argamassa estabilizada, nao aderido, espessura 7cm</t>
        </is>
      </c>
      <c r="E2998" s="1068" t="inlineStr">
        <is>
          <t>M2</t>
        </is>
      </c>
      <c r="F2998" s="1067" t="n"/>
      <c r="G2998" s="1069">
        <f t="array" ref="G2998">IF(B2998="insumo",_xlfn.XLOOKUP($D2998,Insumos!$B$1:$B$996,Insumos!$D$1:$D$996),"")</f>
        <v/>
      </c>
      <c r="H2998" s="1069" t="n">
        <v>45.49456</v>
      </c>
      <c r="I2998" s="2161" t="n">
        <v>0</v>
      </c>
      <c r="J2998" s="2161" t="n">
        <v>0</v>
      </c>
      <c r="K2998" s="2161" t="n"/>
    </row>
    <row r="2999" outlineLevel="3" ht="15.75" customHeight="1">
      <c r="A2999" s="10" t="n">
        <v>32</v>
      </c>
      <c r="B2999" s="10" t="inlineStr">
        <is>
          <t>Insumo</t>
        </is>
      </c>
      <c r="C2999" s="10" t="inlineStr">
        <is>
          <t>Contrapiso comum em argamassa estabilizada, nao aderido, espessura 7cm</t>
        </is>
      </c>
      <c r="D2999" s="10" t="inlineStr">
        <is>
          <t>Argamassa usninada para contrapiso</t>
        </is>
      </c>
      <c r="E2999" s="11">
        <f t="array" ref="E2999">_xlfn.XLOOKUP(D2999,Insumos!B:B,Insumos!C:$C)</f>
        <v/>
      </c>
      <c r="F2999" s="14">
        <f>0.07*1.1</f>
        <v/>
      </c>
      <c r="G2999" s="92">
        <f t="array" ref="G2999">IF(B2999="insumo",_xlfn.XLOOKUP($D2999,Insumos!$B$1:$B$996,Insumos!$D$1:$D$996),"")</f>
        <v/>
      </c>
      <c r="H2999" s="92" t="n">
        <v>42.35</v>
      </c>
      <c r="I2999" s="2162" t="n">
        <v>0</v>
      </c>
      <c r="J2999" s="2162" t="n">
        <v>0</v>
      </c>
      <c r="K2999" s="2162" t="n"/>
    </row>
    <row r="3000" outlineLevel="3" ht="15.75" customHeight="1">
      <c r="A3000" s="10" t="n">
        <v>41</v>
      </c>
      <c r="B3000" s="10" t="inlineStr">
        <is>
          <t>Insumo</t>
        </is>
      </c>
      <c r="C3000" s="10" t="inlineStr">
        <is>
          <t>Contrapiso comum em argamassa estabilizada, nao aderido, espessura 7cm</t>
        </is>
      </c>
      <c r="D3000" s="10" t="inlineStr">
        <is>
          <t>Aditivo Adesivo Liquido Para Argamassas De Revestimentos Cimenticios</t>
        </is>
      </c>
      <c r="E3000" s="11">
        <f t="array" ref="E3000">_xlfn.XLOOKUP(D3000,Insumos!B:B,Insumos!C:$C)</f>
        <v/>
      </c>
      <c r="F3000" s="14">
        <f>(0.021*0.8)/0.2</f>
        <v/>
      </c>
      <c r="G3000" s="92">
        <f t="array" ref="G3000">IF(B3000="insumo",_xlfn.XLOOKUP($D3000,Insumos!$B$1:$B$996,Insumos!$D$1:$D$996),"")</f>
        <v/>
      </c>
      <c r="H3000" s="92" t="n">
        <v>1.62456</v>
      </c>
      <c r="I3000" s="2162" t="n">
        <v>0</v>
      </c>
      <c r="J3000" s="2162" t="n">
        <v>0</v>
      </c>
      <c r="K3000" s="2162" t="n"/>
    </row>
    <row r="3001" outlineLevel="3" ht="15.75" customHeight="1">
      <c r="A3001" s="10" t="n">
        <v>62</v>
      </c>
      <c r="B3001" s="10" t="inlineStr">
        <is>
          <t>Insumo</t>
        </is>
      </c>
      <c r="C3001" s="10" t="inlineStr">
        <is>
          <t>Contrapiso comum em argamassa estabilizada, nao aderido, espessura 7cm</t>
        </is>
      </c>
      <c r="D3001" s="10" t="inlineStr">
        <is>
          <t>Cimento Portland Composto CP II-32</t>
        </is>
      </c>
      <c r="E3001" s="11">
        <f t="array" ref="E3001">_xlfn.XLOOKUP(D3001,Insumos!B:B,Insumos!C:$C)</f>
        <v/>
      </c>
      <c r="F3001" s="14">
        <f>(0.5*0.8)/0.2</f>
        <v/>
      </c>
      <c r="G3001" s="92">
        <f t="array" ref="G3001">IF(B3001="insumo",_xlfn.XLOOKUP($D3001,Insumos!$B$1:$B$996,Insumos!$D$1:$D$996),"")</f>
        <v/>
      </c>
      <c r="H3001" s="92" t="n">
        <v>1.52</v>
      </c>
      <c r="I3001" s="2162" t="n">
        <v>0</v>
      </c>
      <c r="J3001" s="2162" t="n">
        <v>0</v>
      </c>
      <c r="K3001" s="2162" t="n"/>
    </row>
    <row r="3002" outlineLevel="2" ht="15.75" customHeight="1">
      <c r="A3002" s="1067" t="n">
        <v>1</v>
      </c>
      <c r="B3002" s="1067" t="inlineStr">
        <is>
          <t>Serviço</t>
        </is>
      </c>
      <c r="C3002" s="1067" t="inlineStr">
        <is>
          <t>Contrapiso comum em argamassa estabilizada, nao aderido, espessura 8cm</t>
        </is>
      </c>
      <c r="D3002" s="1067" t="inlineStr">
        <is>
          <t>Contrapiso comum em argamassa estabilizada, nao aderido, espessura 8cm</t>
        </is>
      </c>
      <c r="E3002" s="1068" t="inlineStr">
        <is>
          <t>M2</t>
        </is>
      </c>
      <c r="F3002" s="1067" t="n"/>
      <c r="G3002" s="1069">
        <f t="array" ref="G3002">IF(B3002="insumo",_xlfn.XLOOKUP($D3002,Insumos!$B$1:$B$996,Insumos!$D$1:$D$996),"")</f>
        <v/>
      </c>
      <c r="H3002" s="1069" t="n">
        <v>51.54456</v>
      </c>
      <c r="I3002" s="2161" t="n">
        <v>0</v>
      </c>
      <c r="J3002" s="2161" t="n">
        <v>0</v>
      </c>
      <c r="K3002" s="2161" t="n"/>
    </row>
    <row r="3003" outlineLevel="3" ht="15.75" customHeight="1">
      <c r="A3003" s="10" t="n">
        <v>32</v>
      </c>
      <c r="B3003" s="10" t="inlineStr">
        <is>
          <t>Insumo</t>
        </is>
      </c>
      <c r="C3003" s="10" t="inlineStr">
        <is>
          <t>Contrapiso comum em argamassa estabilizada, nao aderido, espessura 8cm</t>
        </is>
      </c>
      <c r="D3003" s="10" t="inlineStr">
        <is>
          <t>Argamassa usninada para contrapiso</t>
        </is>
      </c>
      <c r="E3003" s="11">
        <f t="array" ref="E3003">_xlfn.XLOOKUP(D3003,Insumos!B:B,Insumos!C:$C)</f>
        <v/>
      </c>
      <c r="F3003" s="14">
        <f>0.08*1.1</f>
        <v/>
      </c>
      <c r="G3003" s="92">
        <f t="array" ref="G3003">IF(B3003="insumo",_xlfn.XLOOKUP($D3003,Insumos!$B$1:$B$996,Insumos!$D$1:$D$996),"")</f>
        <v/>
      </c>
      <c r="H3003" s="92" t="n">
        <v>48.4</v>
      </c>
      <c r="I3003" s="2162" t="n">
        <v>0</v>
      </c>
      <c r="J3003" s="2162" t="n">
        <v>0</v>
      </c>
      <c r="K3003" s="2162" t="n"/>
    </row>
    <row r="3004" outlineLevel="3" ht="15.75" customHeight="1">
      <c r="A3004" s="10" t="n">
        <v>41</v>
      </c>
      <c r="B3004" s="10" t="inlineStr">
        <is>
          <t>Insumo</t>
        </is>
      </c>
      <c r="C3004" s="10" t="inlineStr">
        <is>
          <t>Contrapiso comum em argamassa estabilizada, nao aderido, espessura 8cm</t>
        </is>
      </c>
      <c r="D3004" s="10" t="inlineStr">
        <is>
          <t>Aditivo Adesivo Liquido Para Argamassas De Revestimentos Cimenticios</t>
        </is>
      </c>
      <c r="E3004" s="11">
        <f t="array" ref="E3004">_xlfn.XLOOKUP(D3004,Insumos!B:B,Insumos!C:$C)</f>
        <v/>
      </c>
      <c r="F3004" s="14">
        <f>(0.021*0.8)/0.2</f>
        <v/>
      </c>
      <c r="G3004" s="92">
        <f t="array" ref="G3004">IF(B3004="insumo",_xlfn.XLOOKUP($D3004,Insumos!$B$1:$B$996,Insumos!$D$1:$D$996),"")</f>
        <v/>
      </c>
      <c r="H3004" s="92" t="n">
        <v>1.62456</v>
      </c>
      <c r="I3004" s="2162" t="n">
        <v>0</v>
      </c>
      <c r="J3004" s="2162" t="n">
        <v>0</v>
      </c>
      <c r="K3004" s="2162" t="n"/>
    </row>
    <row r="3005" outlineLevel="3" ht="15.75" customHeight="1">
      <c r="A3005" s="10" t="n">
        <v>62</v>
      </c>
      <c r="B3005" s="10" t="inlineStr">
        <is>
          <t>Insumo</t>
        </is>
      </c>
      <c r="C3005" s="10" t="inlineStr">
        <is>
          <t>Contrapiso comum em argamassa estabilizada, nao aderido, espessura 8cm</t>
        </is>
      </c>
      <c r="D3005" s="10" t="inlineStr">
        <is>
          <t>Cimento Portland Composto CP II-32</t>
        </is>
      </c>
      <c r="E3005" s="11">
        <f t="array" ref="E3005">_xlfn.XLOOKUP(D3005,Insumos!B:B,Insumos!C:$C)</f>
        <v/>
      </c>
      <c r="F3005" s="14">
        <f>(0.5*0.8)/0.2</f>
        <v/>
      </c>
      <c r="G3005" s="92">
        <f t="array" ref="G3005">IF(B3005="insumo",_xlfn.XLOOKUP($D3005,Insumos!$B$1:$B$996,Insumos!$D$1:$D$996),"")</f>
        <v/>
      </c>
      <c r="H3005" s="92" t="n">
        <v>1.52</v>
      </c>
      <c r="I3005" s="2162" t="n">
        <v>0</v>
      </c>
      <c r="J3005" s="2162" t="n">
        <v>0</v>
      </c>
      <c r="K3005" s="2162" t="n"/>
    </row>
    <row r="3006" outlineLevel="2" ht="15.75" customHeight="1">
      <c r="A3006" s="1067" t="n">
        <v>1</v>
      </c>
      <c r="B3006" s="1067" t="inlineStr">
        <is>
          <t>Serviço</t>
        </is>
      </c>
      <c r="C3006" s="1067" t="inlineStr">
        <is>
          <t>Contrapiso comum em argamassa estabilizada, nao aderido, espessura 10cm</t>
        </is>
      </c>
      <c r="D3006" s="1067" t="inlineStr">
        <is>
          <t>Contrapiso comum em argamassa estabilizada, nao aderido, espessura 10cm</t>
        </is>
      </c>
      <c r="E3006" s="1068" t="inlineStr">
        <is>
          <t>M2</t>
        </is>
      </c>
      <c r="F3006" s="1067" t="n"/>
      <c r="G3006" s="1069">
        <f t="array" ref="G3006">IF(B3006="insumo",_xlfn.XLOOKUP($D3006,Insumos!$B$1:$B$996,Insumos!$D$1:$D$996),"")</f>
        <v/>
      </c>
      <c r="H3006" s="1069" t="n">
        <v>64.4307</v>
      </c>
      <c r="I3006" s="2161" t="n">
        <v>0</v>
      </c>
      <c r="J3006" s="2161" t="n">
        <v>0</v>
      </c>
      <c r="K3006" s="2161" t="n"/>
    </row>
    <row r="3007" outlineLevel="3" ht="15.75" customHeight="1">
      <c r="A3007" s="10" t="n">
        <v>32</v>
      </c>
      <c r="B3007" s="10" t="inlineStr">
        <is>
          <t>Insumo</t>
        </is>
      </c>
      <c r="C3007" s="10" t="inlineStr">
        <is>
          <t>Contrapiso comum em argamassa estabilizada, nao aderido, espessura 10cm</t>
        </is>
      </c>
      <c r="D3007" s="10" t="inlineStr">
        <is>
          <t>Argamassa usninada para contrapiso</t>
        </is>
      </c>
      <c r="E3007" s="11">
        <f t="array" ref="E3007">_xlfn.XLOOKUP(D3007,Insumos!B:B,Insumos!C:$C)</f>
        <v/>
      </c>
      <c r="F3007" s="14">
        <f>(0.022*1)/0.2</f>
        <v/>
      </c>
      <c r="G3007" s="92">
        <f t="array" ref="G3007">IF(B3007="insumo",_xlfn.XLOOKUP($D3007,Insumos!$B$1:$B$996,Insumos!$D$1:$D$996),"")</f>
        <v/>
      </c>
      <c r="H3007" s="92" t="n">
        <v>60.5</v>
      </c>
      <c r="I3007" s="2162" t="n">
        <v>0</v>
      </c>
      <c r="J3007" s="2162" t="n">
        <v>0</v>
      </c>
      <c r="K3007" s="2162" t="n"/>
    </row>
    <row r="3008" outlineLevel="3" ht="15.75" customHeight="1">
      <c r="A3008" s="10" t="n">
        <v>41</v>
      </c>
      <c r="B3008" s="10" t="inlineStr">
        <is>
          <t>Insumo</t>
        </is>
      </c>
      <c r="C3008" s="10" t="inlineStr">
        <is>
          <t>Contrapiso comum em argamassa estabilizada, nao aderido, espessura 10cm</t>
        </is>
      </c>
      <c r="D3008" s="10" t="inlineStr">
        <is>
          <t>Aditivo Adesivo Liquido Para Argamassas De Revestimentos Cimenticios</t>
        </is>
      </c>
      <c r="E3008" s="11">
        <f t="array" ref="E3008">_xlfn.XLOOKUP(D3008,Insumos!B:B,Insumos!C:$C)</f>
        <v/>
      </c>
      <c r="F3008" s="14">
        <f>(0.021*1)/0.2</f>
        <v/>
      </c>
      <c r="G3008" s="92">
        <f t="array" ref="G3008">IF(B3008="insumo",_xlfn.XLOOKUP($D3008,Insumos!$B$1:$B$996,Insumos!$D$1:$D$996),"")</f>
        <v/>
      </c>
      <c r="H3008" s="92" t="n">
        <v>2.0307</v>
      </c>
      <c r="I3008" s="2162" t="n">
        <v>0</v>
      </c>
      <c r="J3008" s="2162" t="n">
        <v>0</v>
      </c>
      <c r="K3008" s="2162" t="n"/>
    </row>
    <row r="3009" outlineLevel="3" ht="15.75" customHeight="1">
      <c r="A3009" s="10" t="n">
        <v>62</v>
      </c>
      <c r="B3009" s="10" t="inlineStr">
        <is>
          <t>Insumo</t>
        </is>
      </c>
      <c r="C3009" s="10" t="inlineStr">
        <is>
          <t>Contrapiso comum em argamassa estabilizada, nao aderido, espessura 10cm</t>
        </is>
      </c>
      <c r="D3009" s="10" t="inlineStr">
        <is>
          <t>Cimento Portland Composto CP II-32</t>
        </is>
      </c>
      <c r="E3009" s="11">
        <f t="array" ref="E3009">_xlfn.XLOOKUP(D3009,Insumos!B:B,Insumos!C:$C)</f>
        <v/>
      </c>
      <c r="F3009" s="14">
        <f>(0.5*1)/0.2</f>
        <v/>
      </c>
      <c r="G3009" s="92">
        <f t="array" ref="G3009">IF(B3009="insumo",_xlfn.XLOOKUP($D3009,Insumos!$B$1:$B$996,Insumos!$D$1:$D$996),"")</f>
        <v/>
      </c>
      <c r="H3009" s="92" t="n">
        <v>1.9</v>
      </c>
      <c r="I3009" s="2162" t="n">
        <v>0</v>
      </c>
      <c r="J3009" s="2162" t="n">
        <v>0</v>
      </c>
      <c r="K3009" s="2162" t="n"/>
    </row>
    <row r="3010" outlineLevel="2" ht="15.75" customHeight="1">
      <c r="A3010" s="1067" t="n">
        <v>1</v>
      </c>
      <c r="B3010" s="1067" t="inlineStr">
        <is>
          <t>Serviço</t>
        </is>
      </c>
      <c r="C3010" s="1067" t="inlineStr">
        <is>
          <t>Contrapiso comum em argamassa estabilizada, nao aderido, espessura 12cm</t>
        </is>
      </c>
      <c r="D3010" s="1067" t="inlineStr">
        <is>
          <t>Contrapiso comum em argamassa estabilizada, nao aderido, espessura 12cm</t>
        </is>
      </c>
      <c r="E3010" s="1068" t="inlineStr">
        <is>
          <t>M2</t>
        </is>
      </c>
      <c r="F3010" s="1067" t="n"/>
      <c r="G3010" s="1069">
        <f t="array" ref="G3010">IF(B3010="insumo",_xlfn.XLOOKUP($D3010,Insumos!$B$1:$B$996,Insumos!$D$1:$D$996),"")</f>
        <v/>
      </c>
      <c r="H3010" s="1069" t="n">
        <v>77.31684</v>
      </c>
      <c r="I3010" s="2161" t="n">
        <v>0</v>
      </c>
      <c r="J3010" s="2161" t="n">
        <v>0</v>
      </c>
      <c r="K3010" s="2161" t="n"/>
    </row>
    <row r="3011" outlineLevel="3" ht="15.75" customHeight="1">
      <c r="A3011" s="10" t="n">
        <v>32</v>
      </c>
      <c r="B3011" s="10" t="inlineStr">
        <is>
          <t>Insumo</t>
        </is>
      </c>
      <c r="C3011" s="10" t="inlineStr">
        <is>
          <t>Contrapiso comum em argamassa estabilizada, nao aderido, espessura 12cm</t>
        </is>
      </c>
      <c r="D3011" s="10" t="inlineStr">
        <is>
          <t>Argamassa usninada para contrapiso</t>
        </is>
      </c>
      <c r="E3011" s="11">
        <f t="array" ref="E3011">_xlfn.XLOOKUP(D3011,Insumos!B:B,Insumos!C:$C)</f>
        <v/>
      </c>
      <c r="F3011" s="14">
        <f>(0.022*1.2)/0.2</f>
        <v/>
      </c>
      <c r="G3011" s="92">
        <f t="array" ref="G3011">IF(B3011="insumo",_xlfn.XLOOKUP($D3011,Insumos!$B$1:$B$996,Insumos!$D$1:$D$996),"")</f>
        <v/>
      </c>
      <c r="H3011" s="92" t="n">
        <v>72.59999999999999</v>
      </c>
      <c r="I3011" s="2162" t="n">
        <v>0</v>
      </c>
      <c r="J3011" s="2162" t="n">
        <v>0</v>
      </c>
      <c r="K3011" s="2162" t="n"/>
    </row>
    <row r="3012" outlineLevel="3" ht="15.75" customHeight="1">
      <c r="A3012" s="10" t="n">
        <v>41</v>
      </c>
      <c r="B3012" s="10" t="inlineStr">
        <is>
          <t>Insumo</t>
        </is>
      </c>
      <c r="C3012" s="10" t="inlineStr">
        <is>
          <t>Contrapiso comum em argamassa estabilizada, nao aderido, espessura 12cm</t>
        </is>
      </c>
      <c r="D3012" s="10" t="inlineStr">
        <is>
          <t>Aditivo Adesivo Liquido Para Argamassas De Revestimentos Cimenticios</t>
        </is>
      </c>
      <c r="E3012" s="11">
        <f t="array" ref="E3012">_xlfn.XLOOKUP(D3012,Insumos!B:B,Insumos!C:$C)</f>
        <v/>
      </c>
      <c r="F3012" s="14">
        <f>(0.021*1.2)/0.2</f>
        <v/>
      </c>
      <c r="G3012" s="92">
        <f t="array" ref="G3012">IF(B3012="insumo",_xlfn.XLOOKUP($D3012,Insumos!$B$1:$B$996,Insumos!$D$1:$D$996),"")</f>
        <v/>
      </c>
      <c r="H3012" s="92" t="n">
        <v>2.43684</v>
      </c>
      <c r="I3012" s="2162" t="n">
        <v>0</v>
      </c>
      <c r="J3012" s="2162" t="n">
        <v>0</v>
      </c>
      <c r="K3012" s="2162" t="n"/>
    </row>
    <row r="3013" outlineLevel="3" ht="15.75" customHeight="1">
      <c r="A3013" s="10" t="n">
        <v>62</v>
      </c>
      <c r="B3013" s="10" t="inlineStr">
        <is>
          <t>Insumo</t>
        </is>
      </c>
      <c r="C3013" s="10" t="inlineStr">
        <is>
          <t>Contrapiso comum em argamassa estabilizada, nao aderido, espessura 12cm</t>
        </is>
      </c>
      <c r="D3013" s="10" t="inlineStr">
        <is>
          <t>Cimento Portland Composto CP II-32</t>
        </is>
      </c>
      <c r="E3013" s="11">
        <f t="array" ref="E3013">_xlfn.XLOOKUP(D3013,Insumos!B:B,Insumos!C:$C)</f>
        <v/>
      </c>
      <c r="F3013" s="14">
        <f>(0.5*1.2)/0.2</f>
        <v/>
      </c>
      <c r="G3013" s="92">
        <f t="array" ref="G3013">IF(B3013="insumo",_xlfn.XLOOKUP($D3013,Insumos!$B$1:$B$996,Insumos!$D$1:$D$996),"")</f>
        <v/>
      </c>
      <c r="H3013" s="92" t="n">
        <v>2.28</v>
      </c>
      <c r="I3013" s="2162" t="n">
        <v>0</v>
      </c>
      <c r="J3013" s="2162" t="n">
        <v>0</v>
      </c>
      <c r="K3013" s="2162" t="n"/>
    </row>
    <row r="3014" outlineLevel="2" ht="15.75" customHeight="1">
      <c r="A3014" s="1067" t="n">
        <v>1</v>
      </c>
      <c r="B3014" s="1067" t="inlineStr">
        <is>
          <t>Serviço</t>
        </is>
      </c>
      <c r="C3014" s="1067" t="inlineStr">
        <is>
          <t>Contrapiso comum em argamassa estabilizada, nao aderido, espessura 13cm</t>
        </is>
      </c>
      <c r="D3014" s="1067" t="inlineStr">
        <is>
          <t>Contrapiso comum em argamassa estabilizada, nao aderido, espessura 13cm</t>
        </is>
      </c>
      <c r="E3014" s="1068" t="inlineStr">
        <is>
          <t>M2</t>
        </is>
      </c>
      <c r="F3014" s="1067" t="n"/>
      <c r="G3014" s="1069">
        <f t="array" ref="G3014">IF(B3014="insumo",_xlfn.XLOOKUP($D3014,Insumos!$B$1:$B$996,Insumos!$D$1:$D$996),"")</f>
        <v/>
      </c>
      <c r="H3014" s="1069" t="n">
        <v>83.75991</v>
      </c>
      <c r="I3014" s="2161" t="n">
        <v>0</v>
      </c>
      <c r="J3014" s="2161" t="n">
        <v>0</v>
      </c>
      <c r="K3014" s="2161" t="n"/>
    </row>
    <row r="3015" outlineLevel="3" ht="15.75" customHeight="1">
      <c r="A3015" s="10" t="n">
        <v>32</v>
      </c>
      <c r="B3015" s="10" t="inlineStr">
        <is>
          <t>Insumo</t>
        </is>
      </c>
      <c r="C3015" s="10" t="inlineStr">
        <is>
          <t>Contrapiso comum em argamassa estabilizada, nao aderido, espessura 13cm</t>
        </is>
      </c>
      <c r="D3015" s="10" t="inlineStr">
        <is>
          <t>Argamassa usninada para contrapiso</t>
        </is>
      </c>
      <c r="E3015" s="11">
        <f t="array" ref="E3015">_xlfn.XLOOKUP(D3015,Insumos!B:B,Insumos!C:$C)</f>
        <v/>
      </c>
      <c r="F3015" s="14">
        <f>(0.022*1.3)/0.2</f>
        <v/>
      </c>
      <c r="G3015" s="92">
        <f t="array" ref="G3015">IF(B3015="insumo",_xlfn.XLOOKUP($D3015,Insumos!$B$1:$B$996,Insumos!$D$1:$D$996),"")</f>
        <v/>
      </c>
      <c r="H3015" s="92" t="n">
        <v>78.65000000000001</v>
      </c>
      <c r="I3015" s="2162" t="n">
        <v>0</v>
      </c>
      <c r="J3015" s="2162" t="n">
        <v>0</v>
      </c>
      <c r="K3015" s="2162" t="n"/>
    </row>
    <row r="3016" outlineLevel="3" ht="15.75" customHeight="1">
      <c r="A3016" s="10" t="n">
        <v>41</v>
      </c>
      <c r="B3016" s="10" t="inlineStr">
        <is>
          <t>Insumo</t>
        </is>
      </c>
      <c r="C3016" s="10" t="inlineStr">
        <is>
          <t>Contrapiso comum em argamassa estabilizada, nao aderido, espessura 13cm</t>
        </is>
      </c>
      <c r="D3016" s="10" t="inlineStr">
        <is>
          <t>Aditivo Adesivo Liquido Para Argamassas De Revestimentos Cimenticios</t>
        </is>
      </c>
      <c r="E3016" s="11">
        <f t="array" ref="E3016">_xlfn.XLOOKUP(D3016,Insumos!B:B,Insumos!C:$C)</f>
        <v/>
      </c>
      <c r="F3016" s="14">
        <f>(0.021*1.3)/0.2</f>
        <v/>
      </c>
      <c r="G3016" s="92">
        <f t="array" ref="G3016">IF(B3016="insumo",_xlfn.XLOOKUP($D3016,Insumos!$B$1:$B$996,Insumos!$D$1:$D$996),"")</f>
        <v/>
      </c>
      <c r="H3016" s="92" t="n">
        <v>2.63991</v>
      </c>
      <c r="I3016" s="2162" t="n">
        <v>0</v>
      </c>
      <c r="J3016" s="2162" t="n">
        <v>0</v>
      </c>
      <c r="K3016" s="2162" t="n"/>
    </row>
    <row r="3017" outlineLevel="3" ht="15.75" customHeight="1">
      <c r="A3017" s="10" t="n">
        <v>62</v>
      </c>
      <c r="B3017" s="10" t="inlineStr">
        <is>
          <t>Insumo</t>
        </is>
      </c>
      <c r="C3017" s="10" t="inlineStr">
        <is>
          <t>Contrapiso comum em argamassa estabilizada, nao aderido, espessura 13cm</t>
        </is>
      </c>
      <c r="D3017" s="10" t="inlineStr">
        <is>
          <t>Cimento Portland Composto CP II-32</t>
        </is>
      </c>
      <c r="E3017" s="11">
        <f t="array" ref="E3017">_xlfn.XLOOKUP(D3017,Insumos!B:B,Insumos!C:$C)</f>
        <v/>
      </c>
      <c r="F3017" s="14">
        <f>(0.5*1.3)/0.2</f>
        <v/>
      </c>
      <c r="G3017" s="92">
        <f t="array" ref="G3017">IF(B3017="insumo",_xlfn.XLOOKUP($D3017,Insumos!$B$1:$B$996,Insumos!$D$1:$D$996),"")</f>
        <v/>
      </c>
      <c r="H3017" s="92" t="n">
        <v>2.47</v>
      </c>
      <c r="I3017" s="2162" t="n">
        <v>0</v>
      </c>
      <c r="J3017" s="2162" t="n">
        <v>0</v>
      </c>
      <c r="K3017" s="2162" t="n"/>
    </row>
    <row r="3018" outlineLevel="2" ht="15.75" customHeight="1">
      <c r="A3018" s="1067" t="n">
        <v>1</v>
      </c>
      <c r="B3018" s="1067" t="inlineStr">
        <is>
          <t>Serviço</t>
        </is>
      </c>
      <c r="C3018" s="1067" t="inlineStr">
        <is>
          <t>Contrapiso comum em argamassa estabilizada, nao aderido, espessura 15cm</t>
        </is>
      </c>
      <c r="D3018" s="1067" t="inlineStr">
        <is>
          <t>Contrapiso comum em argamassa estabilizada, nao aderido, espessura 15cm</t>
        </is>
      </c>
      <c r="E3018" s="1068" t="inlineStr">
        <is>
          <t>M2</t>
        </is>
      </c>
      <c r="F3018" s="1067" t="n"/>
      <c r="G3018" s="1069">
        <f t="array" ref="G3018">IF(B3018="insumo",_xlfn.XLOOKUP($D3018,Insumos!$B$1:$B$996,Insumos!$D$1:$D$996),"")</f>
        <v/>
      </c>
      <c r="H3018" s="1069" t="n">
        <v>96.64605</v>
      </c>
      <c r="I3018" s="2161" t="n">
        <v>0</v>
      </c>
      <c r="J3018" s="2161" t="n">
        <v>0</v>
      </c>
      <c r="K3018" s="2161" t="n"/>
    </row>
    <row r="3019" outlineLevel="3" ht="15.75" customHeight="1">
      <c r="A3019" s="10" t="n">
        <v>32</v>
      </c>
      <c r="B3019" s="10" t="inlineStr">
        <is>
          <t>Insumo</t>
        </is>
      </c>
      <c r="C3019" s="10" t="inlineStr">
        <is>
          <t>Contrapiso comum em argamassa estabilizada, nao aderido, espessura 15cm</t>
        </is>
      </c>
      <c r="D3019" s="10" t="inlineStr">
        <is>
          <t>Argamassa usninada para contrapiso</t>
        </is>
      </c>
      <c r="E3019" s="11">
        <f t="array" ref="E3019">_xlfn.XLOOKUP(D3019,Insumos!B:B,Insumos!C:$C)</f>
        <v/>
      </c>
      <c r="F3019" s="14">
        <f>(0.022*1.5)/0.2</f>
        <v/>
      </c>
      <c r="G3019" s="92">
        <f t="array" ref="G3019">IF(B3019="insumo",_xlfn.XLOOKUP($D3019,Insumos!$B$1:$B$996,Insumos!$D$1:$D$996),"")</f>
        <v/>
      </c>
      <c r="H3019" s="92" t="n">
        <v>90.75</v>
      </c>
      <c r="I3019" s="2162" t="n">
        <v>0</v>
      </c>
      <c r="J3019" s="2162" t="n">
        <v>0</v>
      </c>
      <c r="K3019" s="2162" t="n"/>
    </row>
    <row r="3020" outlineLevel="3" ht="15.75" customHeight="1">
      <c r="A3020" s="10" t="n">
        <v>41</v>
      </c>
      <c r="B3020" s="10" t="inlineStr">
        <is>
          <t>Insumo</t>
        </is>
      </c>
      <c r="C3020" s="10" t="inlineStr">
        <is>
          <t>Contrapiso comum em argamassa estabilizada, nao aderido, espessura 15cm</t>
        </is>
      </c>
      <c r="D3020" s="10" t="inlineStr">
        <is>
          <t>Aditivo Adesivo Liquido Para Argamassas De Revestimentos Cimenticios</t>
        </is>
      </c>
      <c r="E3020" s="11">
        <f t="array" ref="E3020">_xlfn.XLOOKUP(D3020,Insumos!B:B,Insumos!C:$C)</f>
        <v/>
      </c>
      <c r="F3020" s="14">
        <f>(0.021*1.5)/0.2</f>
        <v/>
      </c>
      <c r="G3020" s="92">
        <f t="array" ref="G3020">IF(B3020="insumo",_xlfn.XLOOKUP($D3020,Insumos!$B$1:$B$996,Insumos!$D$1:$D$996),"")</f>
        <v/>
      </c>
      <c r="H3020" s="92" t="n">
        <v>3.04605</v>
      </c>
      <c r="I3020" s="2162" t="n">
        <v>0</v>
      </c>
      <c r="J3020" s="2162" t="n">
        <v>0</v>
      </c>
      <c r="K3020" s="2162" t="n"/>
    </row>
    <row r="3021" outlineLevel="3" ht="15.75" customHeight="1">
      <c r="A3021" s="10" t="n">
        <v>62</v>
      </c>
      <c r="B3021" s="10" t="inlineStr">
        <is>
          <t>Insumo</t>
        </is>
      </c>
      <c r="C3021" s="10" t="inlineStr">
        <is>
          <t>Contrapiso comum em argamassa estabilizada, nao aderido, espessura 15cm</t>
        </is>
      </c>
      <c r="D3021" s="10" t="inlineStr">
        <is>
          <t>Cimento Portland Composto CP II-32</t>
        </is>
      </c>
      <c r="E3021" s="11">
        <f t="array" ref="E3021">_xlfn.XLOOKUP(D3021,Insumos!B:B,Insumos!C:$C)</f>
        <v/>
      </c>
      <c r="F3021" s="14">
        <f>(0.5*1.5)/0.2</f>
        <v/>
      </c>
      <c r="G3021" s="92">
        <f t="array" ref="G3021">IF(B3021="insumo",_xlfn.XLOOKUP($D3021,Insumos!$B$1:$B$996,Insumos!$D$1:$D$996),"")</f>
        <v/>
      </c>
      <c r="H3021" s="92" t="n">
        <v>2.85</v>
      </c>
      <c r="I3021" s="2162" t="n">
        <v>0</v>
      </c>
      <c r="J3021" s="2162" t="n">
        <v>0</v>
      </c>
      <c r="K3021" s="2162" t="n"/>
    </row>
    <row r="3022" outlineLevel="1" ht="15.75" customHeight="1">
      <c r="A3022" s="1090" t="n">
        <v>1</v>
      </c>
      <c r="B3022" s="1090" t="inlineStr">
        <is>
          <t>Subetapa</t>
        </is>
      </c>
      <c r="C3022" s="1090" t="inlineStr">
        <is>
          <t>Contrapiso comum em argamassa estabilizada, nao aderido, espessura 15cm</t>
        </is>
      </c>
      <c r="D3022" s="1090" t="inlineStr">
        <is>
          <t>CONTRAPISO COMUM ARGAMASSA ENSACADA</t>
        </is>
      </c>
      <c r="E3022" s="1091" t="n"/>
      <c r="F3022" s="2160" t="n"/>
      <c r="G3022" s="1091" t="n"/>
      <c r="H3022" s="1091" t="n">
        <v>0</v>
      </c>
      <c r="I3022" s="2160" t="n">
        <v>0</v>
      </c>
      <c r="J3022" s="2160" t="n">
        <v>0</v>
      </c>
      <c r="K3022" s="2160" t="n"/>
    </row>
    <row r="3023" outlineLevel="2" ht="15.75" customHeight="1">
      <c r="A3023" s="1067" t="n">
        <v>1</v>
      </c>
      <c r="B3023" s="1067" t="inlineStr">
        <is>
          <t>Serviço</t>
        </is>
      </c>
      <c r="C3023" s="1067" t="inlineStr">
        <is>
          <t>Contrapiso comum em argamassa Ensacada virada em obra, espessura 5cm</t>
        </is>
      </c>
      <c r="D3023" s="1067" t="inlineStr">
        <is>
          <t>Contrapiso comum em argamassa Ensacada virada em obra, espessura 5cm</t>
        </is>
      </c>
      <c r="E3023" s="1068" t="inlineStr">
        <is>
          <t>M2</t>
        </is>
      </c>
      <c r="F3023" s="1067" t="n"/>
      <c r="G3023" s="1069">
        <f t="array" ref="G3023">IF(B3023="insumo",_xlfn.XLOOKUP($D3023,Insumos!$B$1:$B$996,Insumos!$D$1:$D$996),"")</f>
        <v/>
      </c>
      <c r="H3023" s="1069" t="n">
        <v>35.3102333333333</v>
      </c>
      <c r="I3023" s="2161" t="n">
        <v>0</v>
      </c>
      <c r="J3023" s="2161" t="n">
        <v>0</v>
      </c>
      <c r="K3023" s="2161" t="n"/>
    </row>
    <row r="3024" outlineLevel="3" ht="15.75" customHeight="1">
      <c r="A3024" s="10" t="n">
        <v>6</v>
      </c>
      <c r="B3024" s="10" t="inlineStr">
        <is>
          <t>Insumo</t>
        </is>
      </c>
      <c r="C3024" s="10" t="inlineStr">
        <is>
          <t>Contrapiso comum em argamassa Ensacada virada em obra, espessura 5cm</t>
        </is>
      </c>
      <c r="D3024" s="10" t="inlineStr">
        <is>
          <t>Argamassa ensacada para contrapiso</t>
        </is>
      </c>
      <c r="E3024" s="11">
        <f t="array" ref="E3024">_xlfn.XLOOKUP(D3024,Insumos!B:B,Insumos!C:$C)</f>
        <v/>
      </c>
      <c r="F3024" s="14">
        <f>1.7*5</f>
        <v/>
      </c>
      <c r="G3024" s="92">
        <f t="array" ref="G3024">IF(B3024="insumo",_xlfn.XLOOKUP($D3024,Insumos!$B$1:$B$996,Insumos!$D$1:$D$996),"")</f>
        <v/>
      </c>
      <c r="H3024" s="92" t="n">
        <v>34</v>
      </c>
      <c r="I3024" s="2162" t="n">
        <v>0</v>
      </c>
      <c r="J3024" s="2162" t="n">
        <v>0</v>
      </c>
      <c r="K3024" s="2162" t="n"/>
    </row>
    <row r="3025" outlineLevel="3" ht="15.75" customHeight="1">
      <c r="A3025" s="10" t="n">
        <v>41</v>
      </c>
      <c r="B3025" s="10" t="inlineStr">
        <is>
          <t>Insumo</t>
        </is>
      </c>
      <c r="C3025" s="10" t="inlineStr">
        <is>
          <t>Contrapiso comum em argamassa Ensacada virada em obra, espessura 5cm</t>
        </is>
      </c>
      <c r="D3025" s="10" t="inlineStr">
        <is>
          <t>Aditivo Adesivo Liquido Para Argamassas De Revestimentos Cimenticios</t>
        </is>
      </c>
      <c r="E3025" s="11">
        <f t="array" ref="E3025">_xlfn.XLOOKUP(D3025,Insumos!B:B,Insumos!C:$C)</f>
        <v/>
      </c>
      <c r="F3025" s="14" t="n">
        <v>0.035</v>
      </c>
      <c r="G3025" s="92">
        <f t="array" ref="G3025">IF(B3025="insumo",_xlfn.XLOOKUP($D3025,Insumos!$B$1:$B$996,Insumos!$D$1:$D$996),"")</f>
        <v/>
      </c>
      <c r="H3025" s="92" t="n">
        <v>0.6768999999999999</v>
      </c>
      <c r="I3025" s="2162" t="n">
        <v>0</v>
      </c>
      <c r="J3025" s="2162" t="n">
        <v>0</v>
      </c>
      <c r="K3025" s="2162" t="n"/>
    </row>
    <row r="3026" outlineLevel="3" ht="15.75" customHeight="1">
      <c r="A3026" s="10" t="n">
        <v>62</v>
      </c>
      <c r="B3026" s="10" t="inlineStr">
        <is>
          <t>Insumo</t>
        </is>
      </c>
      <c r="C3026" s="10" t="inlineStr">
        <is>
          <t>Contrapiso comum em argamassa Ensacada virada em obra, espessura 5cm</t>
        </is>
      </c>
      <c r="D3026" s="10" t="inlineStr">
        <is>
          <t>Cimento Portland Composto CP II-32</t>
        </is>
      </c>
      <c r="E3026" s="11">
        <f t="array" ref="E3026">_xlfn.XLOOKUP(D3026,Insumos!B:B,Insumos!C:$C)</f>
        <v/>
      </c>
      <c r="F3026" s="14" t="n">
        <v>0.8333333333333335</v>
      </c>
      <c r="G3026" s="92">
        <f t="array" ref="G3026">IF(B3026="insumo",_xlfn.XLOOKUP($D3026,Insumos!$B$1:$B$996,Insumos!$D$1:$D$996),"")</f>
        <v/>
      </c>
      <c r="H3026" s="92" t="n">
        <v>0.633333333333333</v>
      </c>
      <c r="I3026" s="2162" t="n">
        <v>0</v>
      </c>
      <c r="J3026" s="2162" t="n">
        <v>0</v>
      </c>
      <c r="K3026" s="2162" t="n"/>
    </row>
    <row r="3027" outlineLevel="2" ht="15.75" customHeight="1">
      <c r="A3027" s="1067" t="n">
        <v>1</v>
      </c>
      <c r="B3027" s="1067" t="inlineStr">
        <is>
          <t>Serviço</t>
        </is>
      </c>
      <c r="C3027" s="1067" t="inlineStr">
        <is>
          <t>Contrapiso comum em argamassa Ensacada virada em obra, espessura 8cm</t>
        </is>
      </c>
      <c r="D3027" s="1067" t="inlineStr">
        <is>
          <t>Contrapiso comum em argamassa Ensacada virada em obra, espessura 8cm</t>
        </is>
      </c>
      <c r="E3027" s="1068" t="inlineStr">
        <is>
          <t>M2</t>
        </is>
      </c>
      <c r="F3027" s="1067" t="n"/>
      <c r="G3027" s="1069">
        <f t="array" ref="G3027">IF(B3027="insumo",_xlfn.XLOOKUP($D3027,Insumos!$B$1:$B$996,Insumos!$D$1:$D$996),"")</f>
        <v/>
      </c>
      <c r="H3027" s="1069" t="n">
        <v>55.97228</v>
      </c>
      <c r="I3027" s="2161" t="n">
        <v>0</v>
      </c>
      <c r="J3027" s="2161" t="n">
        <v>0</v>
      </c>
      <c r="K3027" s="2161" t="n"/>
    </row>
    <row r="3028" outlineLevel="3" ht="15.75" customHeight="1">
      <c r="A3028" s="10" t="n">
        <v>6</v>
      </c>
      <c r="B3028" s="10" t="inlineStr">
        <is>
          <t>Insumo</t>
        </is>
      </c>
      <c r="C3028" s="10" t="inlineStr">
        <is>
          <t>Contrapiso comum em argamassa Ensacada virada em obra, espessura 8cm</t>
        </is>
      </c>
      <c r="D3028" s="10" t="inlineStr">
        <is>
          <t>Argamassa ensacada para contrapiso</t>
        </is>
      </c>
      <c r="E3028" s="11">
        <f t="array" ref="E3028">_xlfn.XLOOKUP(D3028,Insumos!B:B,Insumos!C:$C)</f>
        <v/>
      </c>
      <c r="F3028" s="14">
        <f>1.7*8</f>
        <v/>
      </c>
      <c r="G3028" s="92">
        <f t="array" ref="G3028">IF(B3028="insumo",_xlfn.XLOOKUP($D3028,Insumos!$B$1:$B$996,Insumos!$D$1:$D$996),"")</f>
        <v/>
      </c>
      <c r="H3028" s="92" t="n">
        <v>54.4</v>
      </c>
      <c r="I3028" s="2162" t="n">
        <v>0</v>
      </c>
      <c r="J3028" s="2162" t="n">
        <v>0</v>
      </c>
      <c r="K3028" s="2162" t="n"/>
    </row>
    <row r="3029" outlineLevel="3" ht="15.75" customHeight="1">
      <c r="A3029" s="10" t="n">
        <v>41</v>
      </c>
      <c r="B3029" s="10" t="inlineStr">
        <is>
          <t>Insumo</t>
        </is>
      </c>
      <c r="C3029" s="10" t="inlineStr">
        <is>
          <t>Contrapiso comum em argamassa Ensacada virada em obra, espessura 8cm</t>
        </is>
      </c>
      <c r="D3029" s="10" t="inlineStr">
        <is>
          <t>Aditivo Adesivo Liquido Para Argamassas De Revestimentos Cimenticios</t>
        </is>
      </c>
      <c r="E3029" s="11">
        <f t="array" ref="E3029">_xlfn.XLOOKUP(D3029,Insumos!B:B,Insumos!C:$C)</f>
        <v/>
      </c>
      <c r="F3029" s="14" t="n">
        <v>0.042</v>
      </c>
      <c r="G3029" s="92">
        <f t="array" ref="G3029">IF(B3029="insumo",_xlfn.XLOOKUP($D3029,Insumos!$B$1:$B$996,Insumos!$D$1:$D$996),"")</f>
        <v/>
      </c>
      <c r="H3029" s="92" t="n">
        <v>0.81228</v>
      </c>
      <c r="I3029" s="2162" t="n">
        <v>0</v>
      </c>
      <c r="J3029" s="2162" t="n">
        <v>0</v>
      </c>
      <c r="K3029" s="2162" t="n"/>
    </row>
    <row r="3030" outlineLevel="3" ht="15.75" customHeight="1">
      <c r="A3030" s="10" t="n">
        <v>62</v>
      </c>
      <c r="B3030" s="10" t="inlineStr">
        <is>
          <t>Insumo</t>
        </is>
      </c>
      <c r="C3030" s="10" t="inlineStr">
        <is>
          <t>Contrapiso comum em argamassa Ensacada virada em obra, espessura 8cm</t>
        </is>
      </c>
      <c r="D3030" s="10" t="inlineStr">
        <is>
          <t>Cimento Portland Composto CP II-32</t>
        </is>
      </c>
      <c r="E3030" s="11">
        <f t="array" ref="E3030">_xlfn.XLOOKUP(D3030,Insumos!B:B,Insumos!C:$C)</f>
        <v/>
      </c>
      <c r="F3030" s="14" t="n">
        <v>1</v>
      </c>
      <c r="G3030" s="92">
        <f t="array" ref="G3030">IF(B3030="insumo",_xlfn.XLOOKUP($D3030,Insumos!$B$1:$B$996,Insumos!$D$1:$D$996),"")</f>
        <v/>
      </c>
      <c r="H3030" s="92" t="n">
        <v>0.76</v>
      </c>
      <c r="I3030" s="2162" t="n">
        <v>0</v>
      </c>
      <c r="J3030" s="2162" t="n">
        <v>0</v>
      </c>
      <c r="K3030" s="2162" t="n"/>
    </row>
    <row r="3031" outlineLevel="2" ht="15.75" customHeight="1">
      <c r="A3031" s="1067" t="n">
        <v>1</v>
      </c>
      <c r="B3031" s="1067" t="inlineStr">
        <is>
          <t>Serviço</t>
        </is>
      </c>
      <c r="C3031" s="1067" t="inlineStr">
        <is>
          <t>Contrapiso comum em argamassa Ensacada virada em obra, espessura 10cm</t>
        </is>
      </c>
      <c r="D3031" s="1067" t="inlineStr">
        <is>
          <t>Contrapiso comum em argamassa Ensacada virada em obra, espessura 10cm</t>
        </is>
      </c>
      <c r="E3031" s="1068" t="inlineStr">
        <is>
          <t>M2</t>
        </is>
      </c>
      <c r="F3031" s="1067" t="n"/>
      <c r="G3031" s="1069">
        <f t="array" ref="G3031">IF(B3031="insumo",_xlfn.XLOOKUP($D3031,Insumos!$B$1:$B$996,Insumos!$D$1:$D$996),"")</f>
        <v/>
      </c>
      <c r="H3031" s="1069" t="n">
        <v>71.14456</v>
      </c>
      <c r="I3031" s="2161" t="n">
        <v>0</v>
      </c>
      <c r="J3031" s="2161" t="n">
        <v>0</v>
      </c>
      <c r="K3031" s="2161" t="n"/>
    </row>
    <row r="3032" outlineLevel="3" ht="15.75" customHeight="1">
      <c r="A3032" s="10" t="n">
        <v>6</v>
      </c>
      <c r="B3032" s="10" t="inlineStr">
        <is>
          <t>Insumo</t>
        </is>
      </c>
      <c r="C3032" s="10" t="inlineStr">
        <is>
          <t>Contrapiso comum em argamassa Ensacada virada em obra, espessura 10cm</t>
        </is>
      </c>
      <c r="D3032" s="10" t="inlineStr">
        <is>
          <t>Argamassa ensacada para contrapiso</t>
        </is>
      </c>
      <c r="E3032" s="11">
        <f t="array" ref="E3032">_xlfn.XLOOKUP(D3032,Insumos!B:B,Insumos!C:$C)</f>
        <v/>
      </c>
      <c r="F3032" s="14">
        <f>1.7*10</f>
        <v/>
      </c>
      <c r="G3032" s="92">
        <f t="array" ref="G3032">IF(B3032="insumo",_xlfn.XLOOKUP($D3032,Insumos!$B$1:$B$996,Insumos!$D$1:$D$996),"")</f>
        <v/>
      </c>
      <c r="H3032" s="92" t="n">
        <v>68</v>
      </c>
      <c r="I3032" s="2162" t="n">
        <v>0</v>
      </c>
      <c r="J3032" s="2162" t="n">
        <v>0</v>
      </c>
      <c r="K3032" s="2162" t="n"/>
    </row>
    <row r="3033" outlineLevel="3" ht="15.75" customHeight="1">
      <c r="A3033" s="10" t="n">
        <v>41</v>
      </c>
      <c r="B3033" s="10" t="inlineStr">
        <is>
          <t>Insumo</t>
        </is>
      </c>
      <c r="C3033" s="10" t="inlineStr">
        <is>
          <t>Contrapiso comum em argamassa Ensacada virada em obra, espessura 10cm</t>
        </is>
      </c>
      <c r="D3033" s="10" t="inlineStr">
        <is>
          <t>Aditivo Adesivo Liquido Para Argamassas De Revestimentos Cimenticios</t>
        </is>
      </c>
      <c r="E3033" s="11">
        <f t="array" ref="E3033">_xlfn.XLOOKUP(D3033,Insumos!B:B,Insumos!C:$C)</f>
        <v/>
      </c>
      <c r="F3033" s="14">
        <f>(0.021*0.8)/0.2</f>
        <v/>
      </c>
      <c r="G3033" s="92">
        <f t="array" ref="G3033">IF(B3033="insumo",_xlfn.XLOOKUP($D3033,Insumos!$B$1:$B$996,Insumos!$D$1:$D$996),"")</f>
        <v/>
      </c>
      <c r="H3033" s="92" t="n">
        <v>1.62456</v>
      </c>
      <c r="I3033" s="2162" t="n">
        <v>0</v>
      </c>
      <c r="J3033" s="2162" t="n">
        <v>0</v>
      </c>
      <c r="K3033" s="2162" t="n"/>
    </row>
    <row r="3034" outlineLevel="3" ht="15.75" customHeight="1">
      <c r="A3034" s="10" t="n">
        <v>62</v>
      </c>
      <c r="B3034" s="10" t="inlineStr">
        <is>
          <t>Insumo</t>
        </is>
      </c>
      <c r="C3034" s="10" t="inlineStr">
        <is>
          <t>Contrapiso comum em argamassa Ensacada virada em obra, espessura 10cm</t>
        </is>
      </c>
      <c r="D3034" s="10" t="inlineStr">
        <is>
          <t>Cimento Portland Composto CP II-32</t>
        </is>
      </c>
      <c r="E3034" s="11">
        <f t="array" ref="E3034">_xlfn.XLOOKUP(D3034,Insumos!B:B,Insumos!C:$C)</f>
        <v/>
      </c>
      <c r="F3034" s="14">
        <f>(0.5*0.8)/0.2</f>
        <v/>
      </c>
      <c r="G3034" s="92">
        <f t="array" ref="G3034">IF(B3034="insumo",_xlfn.XLOOKUP($D3034,Insumos!$B$1:$B$996,Insumos!$D$1:$D$996),"")</f>
        <v/>
      </c>
      <c r="H3034" s="92" t="n">
        <v>1.52</v>
      </c>
      <c r="I3034" s="2162" t="n">
        <v>0</v>
      </c>
      <c r="J3034" s="2162" t="n">
        <v>0</v>
      </c>
      <c r="K3034" s="2162" t="n"/>
    </row>
    <row r="3035" outlineLevel="2" ht="15.75" customHeight="1">
      <c r="A3035" s="1067" t="n">
        <v>1</v>
      </c>
      <c r="B3035" s="1067" t="inlineStr">
        <is>
          <t>Serviço</t>
        </is>
      </c>
      <c r="C3035" s="1067" t="inlineStr">
        <is>
          <t>Contrapiso comum em argamassa Ensacada virada em obra, espessura 12cm</t>
        </is>
      </c>
      <c r="D3035" s="1067" t="inlineStr">
        <is>
          <t>Contrapiso comum em argamassa Ensacada virada em obra, espessura 12cm</t>
        </is>
      </c>
      <c r="E3035" s="1068" t="inlineStr">
        <is>
          <t>M2</t>
        </is>
      </c>
      <c r="F3035" s="1067" t="n"/>
      <c r="G3035" s="1069">
        <f t="array" ref="G3035">IF(B3035="insumo",_xlfn.XLOOKUP($D3035,Insumos!$B$1:$B$996,Insumos!$D$1:$D$996),"")</f>
        <v/>
      </c>
      <c r="H3035" s="1069" t="n">
        <v>85.5307</v>
      </c>
      <c r="I3035" s="2161" t="n">
        <v>0</v>
      </c>
      <c r="J3035" s="2161" t="n">
        <v>0</v>
      </c>
      <c r="K3035" s="2161" t="n"/>
    </row>
    <row r="3036" outlineLevel="3" ht="15.75" customHeight="1">
      <c r="A3036" s="10" t="n">
        <v>6</v>
      </c>
      <c r="B3036" s="10" t="inlineStr">
        <is>
          <t>Insumo</t>
        </is>
      </c>
      <c r="C3036" s="10" t="inlineStr">
        <is>
          <t>Contrapiso comum em argamassa Ensacada virada em obra, espessura 12cm</t>
        </is>
      </c>
      <c r="D3036" s="10" t="inlineStr">
        <is>
          <t>Argamassa ensacada para contrapiso</t>
        </is>
      </c>
      <c r="E3036" s="11">
        <f t="array" ref="E3036">_xlfn.XLOOKUP(D3036,Insumos!B:B,Insumos!C:$C)</f>
        <v/>
      </c>
      <c r="F3036" s="14">
        <f>1.7*12</f>
        <v/>
      </c>
      <c r="G3036" s="92">
        <f t="array" ref="G3036">IF(B3036="insumo",_xlfn.XLOOKUP($D3036,Insumos!$B$1:$B$996,Insumos!$D$1:$D$996),"")</f>
        <v/>
      </c>
      <c r="H3036" s="92" t="n">
        <v>81.59999999999999</v>
      </c>
      <c r="I3036" s="2162" t="n">
        <v>0</v>
      </c>
      <c r="J3036" s="2162" t="n">
        <v>0</v>
      </c>
      <c r="K3036" s="2162" t="n"/>
    </row>
    <row r="3037" outlineLevel="3" ht="15.75" customHeight="1">
      <c r="A3037" s="10" t="n">
        <v>41</v>
      </c>
      <c r="B3037" s="10" t="inlineStr">
        <is>
          <t>Insumo</t>
        </is>
      </c>
      <c r="C3037" s="10" t="inlineStr">
        <is>
          <t>Contrapiso comum em argamassa Ensacada virada em obra, espessura 12cm</t>
        </is>
      </c>
      <c r="D3037" s="10" t="inlineStr">
        <is>
          <t>Aditivo Adesivo Liquido Para Argamassas De Revestimentos Cimenticios</t>
        </is>
      </c>
      <c r="E3037" s="11">
        <f t="array" ref="E3037">_xlfn.XLOOKUP(D3037,Insumos!B:B,Insumos!C:$C)</f>
        <v/>
      </c>
      <c r="F3037" s="14">
        <f>(0.021*1)/0.2</f>
        <v/>
      </c>
      <c r="G3037" s="92">
        <f t="array" ref="G3037">IF(B3037="insumo",_xlfn.XLOOKUP($D3037,Insumos!$B$1:$B$996,Insumos!$D$1:$D$996),"")</f>
        <v/>
      </c>
      <c r="H3037" s="92" t="n">
        <v>2.0307</v>
      </c>
      <c r="I3037" s="2162" t="n">
        <v>0</v>
      </c>
      <c r="J3037" s="2162" t="n">
        <v>0</v>
      </c>
      <c r="K3037" s="2162" t="n"/>
    </row>
    <row r="3038" outlineLevel="3" ht="15.75" customHeight="1">
      <c r="A3038" s="10" t="n">
        <v>62</v>
      </c>
      <c r="B3038" s="10" t="inlineStr">
        <is>
          <t>Insumo</t>
        </is>
      </c>
      <c r="C3038" s="10" t="inlineStr">
        <is>
          <t>Contrapiso comum em argamassa Ensacada virada em obra, espessura 12cm</t>
        </is>
      </c>
      <c r="D3038" s="10" t="inlineStr">
        <is>
          <t>Cimento Portland Composto CP II-32</t>
        </is>
      </c>
      <c r="E3038" s="11">
        <f t="array" ref="E3038">_xlfn.XLOOKUP(D3038,Insumos!B:B,Insumos!C:$C)</f>
        <v/>
      </c>
      <c r="F3038" s="14">
        <f>(0.5*1)/0.2</f>
        <v/>
      </c>
      <c r="G3038" s="92">
        <f t="array" ref="G3038">IF(B3038="insumo",_xlfn.XLOOKUP($D3038,Insumos!$B$1:$B$996,Insumos!$D$1:$D$996),"")</f>
        <v/>
      </c>
      <c r="H3038" s="92" t="n">
        <v>1.9</v>
      </c>
      <c r="I3038" s="2162" t="n">
        <v>0</v>
      </c>
      <c r="J3038" s="2162" t="n">
        <v>0</v>
      </c>
      <c r="K3038" s="2162" t="n"/>
    </row>
    <row r="3039" outlineLevel="2" ht="15.75" customHeight="1">
      <c r="A3039" s="1067" t="n">
        <v>1</v>
      </c>
      <c r="B3039" s="1067" t="inlineStr">
        <is>
          <t>Serviço</t>
        </is>
      </c>
      <c r="C3039" s="1067" t="inlineStr">
        <is>
          <t>Contrapiso comum em argamassa Ensacada virada em obra, espessura 13cm</t>
        </is>
      </c>
      <c r="D3039" s="1067" t="inlineStr">
        <is>
          <t>Contrapiso comum em argamassa Ensacada virada em obra, espessura 13cm</t>
        </is>
      </c>
      <c r="E3039" s="1068" t="inlineStr">
        <is>
          <t>M2</t>
        </is>
      </c>
      <c r="F3039" s="1067" t="n"/>
      <c r="G3039" s="1069">
        <f t="array" ref="G3039">IF(B3039="insumo",_xlfn.XLOOKUP($D3039,Insumos!$B$1:$B$996,Insumos!$D$1:$D$996),"")</f>
        <v/>
      </c>
      <c r="H3039" s="1069" t="n">
        <v>93.11684</v>
      </c>
      <c r="I3039" s="2161" t="n">
        <v>0</v>
      </c>
      <c r="J3039" s="2161" t="n">
        <v>0</v>
      </c>
      <c r="K3039" s="2161" t="n"/>
    </row>
    <row r="3040" outlineLevel="3" ht="15.75" customHeight="1">
      <c r="A3040" s="10" t="n">
        <v>6</v>
      </c>
      <c r="B3040" s="10" t="inlineStr">
        <is>
          <t>Insumo</t>
        </is>
      </c>
      <c r="C3040" s="10" t="inlineStr">
        <is>
          <t>Contrapiso comum em argamassa Ensacada virada em obra, espessura 13cm</t>
        </is>
      </c>
      <c r="D3040" s="10" t="inlineStr">
        <is>
          <t>Argamassa ensacada para contrapiso</t>
        </is>
      </c>
      <c r="E3040" s="11">
        <f t="array" ref="E3040">_xlfn.XLOOKUP(D3040,Insumos!B:B,Insumos!C:$C)</f>
        <v/>
      </c>
      <c r="F3040" s="14">
        <f>1.7*13</f>
        <v/>
      </c>
      <c r="G3040" s="92">
        <f t="array" ref="G3040">IF(B3040="insumo",_xlfn.XLOOKUP($D3040,Insumos!$B$1:$B$996,Insumos!$D$1:$D$996),"")</f>
        <v/>
      </c>
      <c r="H3040" s="92" t="n">
        <v>88.40000000000001</v>
      </c>
      <c r="I3040" s="2162" t="n">
        <v>0</v>
      </c>
      <c r="J3040" s="2162" t="n">
        <v>0</v>
      </c>
      <c r="K3040" s="2162" t="n"/>
    </row>
    <row r="3041" outlineLevel="3" ht="15.75" customHeight="1">
      <c r="A3041" s="10" t="n">
        <v>41</v>
      </c>
      <c r="B3041" s="10" t="inlineStr">
        <is>
          <t>Insumo</t>
        </is>
      </c>
      <c r="C3041" s="10" t="inlineStr">
        <is>
          <t>Contrapiso comum em argamassa Ensacada virada em obra, espessura 13cm</t>
        </is>
      </c>
      <c r="D3041" s="10" t="inlineStr">
        <is>
          <t>Aditivo Adesivo Liquido Para Argamassas De Revestimentos Cimenticios</t>
        </is>
      </c>
      <c r="E3041" s="11">
        <f t="array" ref="E3041">_xlfn.XLOOKUP(D3041,Insumos!B:B,Insumos!C:$C)</f>
        <v/>
      </c>
      <c r="F3041" s="14">
        <f>(0.021*1.2)/0.2</f>
        <v/>
      </c>
      <c r="G3041" s="92">
        <f t="array" ref="G3041">IF(B3041="insumo",_xlfn.XLOOKUP($D3041,Insumos!$B$1:$B$996,Insumos!$D$1:$D$996),"")</f>
        <v/>
      </c>
      <c r="H3041" s="92" t="n">
        <v>2.43684</v>
      </c>
      <c r="I3041" s="2162" t="n">
        <v>0</v>
      </c>
      <c r="J3041" s="2162" t="n">
        <v>0</v>
      </c>
      <c r="K3041" s="2162" t="n"/>
    </row>
    <row r="3042" outlineLevel="3" ht="15.75" customHeight="1">
      <c r="A3042" s="10" t="n">
        <v>62</v>
      </c>
      <c r="B3042" s="10" t="inlineStr">
        <is>
          <t>Insumo</t>
        </is>
      </c>
      <c r="C3042" s="10" t="inlineStr">
        <is>
          <t>Contrapiso comum em argamassa Ensacada virada em obra, espessura 13cm</t>
        </is>
      </c>
      <c r="D3042" s="10" t="inlineStr">
        <is>
          <t>Cimento Portland Composto CP II-32</t>
        </is>
      </c>
      <c r="E3042" s="11">
        <f t="array" ref="E3042">_xlfn.XLOOKUP(D3042,Insumos!B:B,Insumos!C:$C)</f>
        <v/>
      </c>
      <c r="F3042" s="14">
        <f>(0.5*1.2)/0.2</f>
        <v/>
      </c>
      <c r="G3042" s="92">
        <f t="array" ref="G3042">IF(B3042="insumo",_xlfn.XLOOKUP($D3042,Insumos!$B$1:$B$996,Insumos!$D$1:$D$996),"")</f>
        <v/>
      </c>
      <c r="H3042" s="92" t="n">
        <v>2.28</v>
      </c>
      <c r="I3042" s="2162" t="n">
        <v>0</v>
      </c>
      <c r="J3042" s="2162" t="n">
        <v>0</v>
      </c>
      <c r="K3042" s="2162" t="n"/>
    </row>
    <row r="3043" outlineLevel="2" ht="15.75" customHeight="1">
      <c r="A3043" s="1067" t="n">
        <v>1</v>
      </c>
      <c r="B3043" s="1067" t="inlineStr">
        <is>
          <t>Serviço</t>
        </is>
      </c>
      <c r="C3043" s="1067" t="inlineStr">
        <is>
          <t>Contrapiso comum em argamassa Ensacada virada em obra, espessura 15cm</t>
        </is>
      </c>
      <c r="D3043" s="1067" t="inlineStr">
        <is>
          <t>Contrapiso comum em argamassa Ensacada virada em obra, espessura 15cm</t>
        </is>
      </c>
      <c r="E3043" s="1068" t="inlineStr">
        <is>
          <t>M2</t>
        </is>
      </c>
      <c r="F3043" s="1067" t="n"/>
      <c r="G3043" s="1069">
        <f t="array" ref="G3043">IF(B3043="insumo",_xlfn.XLOOKUP($D3043,Insumos!$B$1:$B$996,Insumos!$D$1:$D$996),"")</f>
        <v/>
      </c>
      <c r="H3043" s="1069" t="n">
        <v>107.10991</v>
      </c>
      <c r="I3043" s="2161" t="n">
        <v>0</v>
      </c>
      <c r="J3043" s="2161" t="n">
        <v>0</v>
      </c>
      <c r="K3043" s="2161" t="n"/>
    </row>
    <row r="3044" outlineLevel="3" ht="15.75" customHeight="1">
      <c r="A3044" s="10" t="n">
        <v>6</v>
      </c>
      <c r="B3044" s="10" t="inlineStr">
        <is>
          <t>Insumo</t>
        </is>
      </c>
      <c r="C3044" s="10" t="inlineStr">
        <is>
          <t>Contrapiso comum em argamassa Ensacada virada em obra, espessura 15cm</t>
        </is>
      </c>
      <c r="D3044" s="10" t="inlineStr">
        <is>
          <t>Argamassa ensacada para contrapiso</t>
        </is>
      </c>
      <c r="E3044" s="11">
        <f t="array" ref="E3044">_xlfn.XLOOKUP(D3044,Insumos!B:B,Insumos!C:$C)</f>
        <v/>
      </c>
      <c r="F3044" s="14">
        <f>1.7*15</f>
        <v/>
      </c>
      <c r="G3044" s="92">
        <f t="array" ref="G3044">IF(B3044="insumo",_xlfn.XLOOKUP($D3044,Insumos!$B$1:$B$996,Insumos!$D$1:$D$996),"")</f>
        <v/>
      </c>
      <c r="H3044" s="92" t="n">
        <v>102</v>
      </c>
      <c r="I3044" s="2162" t="n">
        <v>0</v>
      </c>
      <c r="J3044" s="2162" t="n">
        <v>0</v>
      </c>
      <c r="K3044" s="2162" t="n"/>
    </row>
    <row r="3045" outlineLevel="3" ht="15.75" customHeight="1">
      <c r="A3045" s="10" t="n">
        <v>41</v>
      </c>
      <c r="B3045" s="10" t="inlineStr">
        <is>
          <t>Insumo</t>
        </is>
      </c>
      <c r="C3045" s="10" t="inlineStr">
        <is>
          <t>Contrapiso comum em argamassa Ensacada virada em obra, espessura 15cm</t>
        </is>
      </c>
      <c r="D3045" s="10" t="inlineStr">
        <is>
          <t>Aditivo Adesivo Liquido Para Argamassas De Revestimentos Cimenticios</t>
        </is>
      </c>
      <c r="E3045" s="11">
        <f t="array" ref="E3045">_xlfn.XLOOKUP(D3045,Insumos!B:B,Insumos!C:$C)</f>
        <v/>
      </c>
      <c r="F3045" s="14">
        <f>(0.021*1.3)/0.2</f>
        <v/>
      </c>
      <c r="G3045" s="92">
        <f t="array" ref="G3045">IF(B3045="insumo",_xlfn.XLOOKUP($D3045,Insumos!$B$1:$B$996,Insumos!$D$1:$D$996),"")</f>
        <v/>
      </c>
      <c r="H3045" s="92" t="n">
        <v>2.63991</v>
      </c>
      <c r="I3045" s="2162" t="n">
        <v>0</v>
      </c>
      <c r="J3045" s="2162" t="n">
        <v>0</v>
      </c>
      <c r="K3045" s="2162" t="n"/>
    </row>
    <row r="3046" outlineLevel="3" ht="15.75" customHeight="1">
      <c r="A3046" s="10" t="n">
        <v>62</v>
      </c>
      <c r="B3046" s="10" t="inlineStr">
        <is>
          <t>Insumo</t>
        </is>
      </c>
      <c r="C3046" s="10" t="inlineStr">
        <is>
          <t>Contrapiso comum em argamassa Ensacada virada em obra, espessura 15cm</t>
        </is>
      </c>
      <c r="D3046" s="10" t="inlineStr">
        <is>
          <t>Cimento Portland Composto CP II-32</t>
        </is>
      </c>
      <c r="E3046" s="11">
        <f t="array" ref="E3046">_xlfn.XLOOKUP(D3046,Insumos!B:B,Insumos!C:$C)</f>
        <v/>
      </c>
      <c r="F3046" s="14">
        <f>(0.5*1.3)/0.2</f>
        <v/>
      </c>
      <c r="G3046" s="92">
        <f t="array" ref="G3046">IF(B3046="insumo",_xlfn.XLOOKUP($D3046,Insumos!$B$1:$B$996,Insumos!$D$1:$D$996),"")</f>
        <v/>
      </c>
      <c r="H3046" s="92" t="n">
        <v>2.47</v>
      </c>
      <c r="I3046" s="2162" t="n">
        <v>0</v>
      </c>
      <c r="J3046" s="2162" t="n">
        <v>0</v>
      </c>
      <c r="K3046" s="2162" t="n"/>
    </row>
    <row r="3047" outlineLevel="1" ht="15.75" customHeight="1">
      <c r="A3047" s="1090" t="n">
        <v>1</v>
      </c>
      <c r="B3047" s="1090" t="inlineStr">
        <is>
          <t>Subetapa</t>
        </is>
      </c>
      <c r="C3047" s="1090" t="inlineStr">
        <is>
          <t>Contrapiso comum em argamassa Ensacada virada em obra, espessura 15cm</t>
        </is>
      </c>
      <c r="D3047" s="1090" t="inlineStr">
        <is>
          <t>ACUSTICCA</t>
        </is>
      </c>
      <c r="E3047" s="1091" t="n"/>
      <c r="F3047" s="2160" t="n"/>
      <c r="G3047" s="1091" t="n"/>
      <c r="H3047" s="1091" t="n">
        <v>0</v>
      </c>
      <c r="I3047" s="2160" t="n">
        <v>0</v>
      </c>
      <c r="J3047" s="2160" t="n">
        <v>0</v>
      </c>
      <c r="K3047" s="2160" t="n"/>
    </row>
    <row r="3048" outlineLevel="2" ht="15.75" customHeight="1">
      <c r="A3048" s="1067" t="n">
        <v>1</v>
      </c>
      <c r="B3048" s="1067" t="inlineStr">
        <is>
          <t>Serviço</t>
        </is>
      </c>
      <c r="C3048" s="1067" t="inlineStr">
        <is>
          <t>Acústica para Contrapiso com malha de aço</t>
        </is>
      </c>
      <c r="D3048" s="1067" t="inlineStr">
        <is>
          <t>Acústica para Contrapiso com malha de aço</t>
        </is>
      </c>
      <c r="E3048" s="1068" t="inlineStr">
        <is>
          <t>M2</t>
        </is>
      </c>
      <c r="F3048" s="1067" t="n"/>
      <c r="G3048" s="1069">
        <f t="array" ref="G3048">IF(B3048="insumo",_xlfn.XLOOKUP($D3048,Insumos!$B$1:$B$996,Insumos!$D$1:$D$996),"")</f>
        <v/>
      </c>
      <c r="H3048" s="1069" t="n">
        <v>26.58521</v>
      </c>
      <c r="I3048" s="2161" t="n">
        <v>0</v>
      </c>
      <c r="J3048" s="2161" t="n">
        <v>0</v>
      </c>
      <c r="K3048" s="2161" t="n"/>
    </row>
    <row r="3049" outlineLevel="3" ht="15.75" customHeight="1">
      <c r="A3049" s="10" t="n">
        <v>1</v>
      </c>
      <c r="B3049" s="10" t="inlineStr">
        <is>
          <t>Insumo</t>
        </is>
      </c>
      <c r="C3049" s="10" t="inlineStr">
        <is>
          <t>Acústica para Contrapiso com malha de aço</t>
        </is>
      </c>
      <c r="D3049" s="10" t="inlineStr">
        <is>
          <t>Manta De Polietileno Expandido (Pebd), E = 2 Mm</t>
        </is>
      </c>
      <c r="E3049" s="11">
        <f t="array" ref="E3049">_xlfn.XLOOKUP(D3049,Insumos!B:B,Insumos!C:$C)</f>
        <v/>
      </c>
      <c r="F3049" s="14" t="n">
        <v>1.435</v>
      </c>
      <c r="G3049" s="92">
        <f t="array" ref="G3049">IF(B3049="insumo",_xlfn.XLOOKUP($D3049,Insumos!$B$1:$B$996,Insumos!$D$1:$D$996),"")</f>
        <v/>
      </c>
      <c r="H3049" s="92" t="n">
        <v>10.2746</v>
      </c>
      <c r="I3049" s="2162" t="n">
        <v>0</v>
      </c>
      <c r="J3049" s="2162" t="n">
        <v>0</v>
      </c>
      <c r="K3049" s="2162" t="n"/>
    </row>
    <row r="3050" outlineLevel="3" ht="15.75" customHeight="1">
      <c r="A3050" s="10" t="n">
        <v>3</v>
      </c>
      <c r="B3050" s="10" t="inlineStr">
        <is>
          <t>Insumo</t>
        </is>
      </c>
      <c r="C3050" s="10" t="inlineStr">
        <is>
          <t>Acústica para Contrapiso com malha de aço</t>
        </is>
      </c>
      <c r="D3050" s="10" t="inlineStr">
        <is>
          <t>Tela de arame galvanizada, hexagonal, fio 0,56 mm (24 bwg), malha 1/2", h = 1 m</t>
        </is>
      </c>
      <c r="E3050" s="11">
        <f t="array" ref="E3050">_xlfn.XLOOKUP(D3050,Insumos!B:B,Insumos!C:$C)</f>
        <v/>
      </c>
      <c r="F3050" s="14" t="n">
        <v>1.143</v>
      </c>
      <c r="G3050" s="92">
        <f t="array" ref="G3050">IF(B3050="insumo",_xlfn.XLOOKUP($D3050,Insumos!$B$1:$B$996,Insumos!$D$1:$D$996),"")</f>
        <v/>
      </c>
      <c r="H3050" s="92" t="n">
        <v>16.31061</v>
      </c>
      <c r="I3050" s="2162" t="n">
        <v>0</v>
      </c>
      <c r="J3050" s="2162" t="n">
        <v>0</v>
      </c>
      <c r="K3050" s="2162" t="n"/>
    </row>
    <row r="3051" outlineLevel="2" ht="15.75" customHeight="1">
      <c r="A3051" s="1067" t="n">
        <v>1</v>
      </c>
      <c r="B3051" s="1067" t="inlineStr">
        <is>
          <t>Serviço</t>
        </is>
      </c>
      <c r="C3051" s="1067" t="inlineStr">
        <is>
          <t>Acústica para Contrapiso com malha de aço e manta polipropileno</t>
        </is>
      </c>
      <c r="D3051" s="1067" t="inlineStr">
        <is>
          <t>Acústica para Contrapiso com malha de aço e manta polipropileno</t>
        </is>
      </c>
      <c r="E3051" s="1068" t="inlineStr">
        <is>
          <t>M2</t>
        </is>
      </c>
      <c r="F3051" s="1067" t="n"/>
      <c r="G3051" s="1069">
        <f t="array" ref="G3051">IF(B3051="insumo",_xlfn.XLOOKUP($D3051,Insumos!$B$1:$B$996,Insumos!$D$1:$D$996),"")</f>
        <v/>
      </c>
      <c r="H3051" s="1069" t="n">
        <v>49.9217211111111</v>
      </c>
      <c r="I3051" s="2161" t="n">
        <v>5725.7</v>
      </c>
      <c r="J3051" s="2161" t="n">
        <v>285836.798565889</v>
      </c>
      <c r="K3051" s="2161" t="n"/>
    </row>
    <row r="3052" outlineLevel="3" ht="15.75" customHeight="1">
      <c r="A3052" s="10" t="n">
        <v>2</v>
      </c>
      <c r="B3052" s="10" t="inlineStr">
        <is>
          <t>Insumo</t>
        </is>
      </c>
      <c r="C3052" s="10" t="inlineStr">
        <is>
          <t>Acústica para Contrapiso com malha de aço e manta polipropileno</t>
        </is>
      </c>
      <c r="D3052" s="10" t="inlineStr">
        <is>
          <t>Manta De Polipropileno, E = 10 Mm</t>
        </is>
      </c>
      <c r="E3052" s="11">
        <f t="array" ref="E3052">_xlfn.XLOOKUP(D3052,Insumos!B:B,Insumos!C:$C)</f>
        <v/>
      </c>
      <c r="F3052" s="14" t="n">
        <v>1.1</v>
      </c>
      <c r="G3052" s="92">
        <f t="array" ref="G3052">IF(B3052="insumo",_xlfn.XLOOKUP($D3052,Insumos!$B$1:$B$996,Insumos!$D$1:$D$996),"")</f>
        <v/>
      </c>
      <c r="H3052" s="92" t="n">
        <v>33.6111111111111</v>
      </c>
      <c r="I3052" s="2162" t="n">
        <v>5725.7</v>
      </c>
      <c r="J3052" s="2162" t="n">
        <v>192447.138888889</v>
      </c>
      <c r="K3052" s="2162" t="n"/>
    </row>
    <row r="3053" outlineLevel="3" ht="15.75" customHeight="1">
      <c r="A3053" s="10" t="n">
        <v>3</v>
      </c>
      <c r="B3053" s="10" t="inlineStr">
        <is>
          <t>Insumo</t>
        </is>
      </c>
      <c r="C3053" s="10" t="inlineStr">
        <is>
          <t>Acústica para Contrapiso com malha de aço e manta polipropileno</t>
        </is>
      </c>
      <c r="D3053" s="10" t="inlineStr">
        <is>
          <t>Tela de arame galvanizada, hexagonal, fio 0,56 mm (24 bwg), malha 1/2", h = 1 m</t>
        </is>
      </c>
      <c r="E3053" s="11">
        <f t="array" ref="E3053">_xlfn.XLOOKUP(D3053,Insumos!B:B,Insumos!C:$C)</f>
        <v/>
      </c>
      <c r="F3053" s="14" t="n">
        <v>1.143</v>
      </c>
      <c r="G3053" s="92">
        <f t="array" ref="G3053">IF(B3053="insumo",_xlfn.XLOOKUP($D3053,Insumos!$B$1:$B$996,Insumos!$D$1:$D$996),"")</f>
        <v/>
      </c>
      <c r="H3053" s="92" t="n">
        <v>16.31061</v>
      </c>
      <c r="I3053" s="2162" t="n">
        <v>5725.7</v>
      </c>
      <c r="J3053" s="2162" t="n">
        <v>93389.659677</v>
      </c>
      <c r="K3053" s="2162" t="n"/>
    </row>
    <row r="3054" outlineLevel="2" ht="15.75" customHeight="1">
      <c r="A3054" s="1067" t="n">
        <v>1</v>
      </c>
      <c r="B3054" s="1067" t="inlineStr">
        <is>
          <t>Serviço</t>
        </is>
      </c>
      <c r="C3054" s="1067" t="inlineStr">
        <is>
          <t>Acústica para Contrapiso anti-impacto</t>
        </is>
      </c>
      <c r="D3054" s="1067" t="inlineStr">
        <is>
          <t>Acústica para Contrapiso anti-impacto</t>
        </is>
      </c>
      <c r="E3054" s="1068" t="inlineStr">
        <is>
          <t>M2</t>
        </is>
      </c>
      <c r="F3054" s="1067" t="n"/>
      <c r="G3054" s="1069">
        <f t="array" ref="G3054">IF(B3054="insumo",_xlfn.XLOOKUP($D3054,Insumos!$B$1:$B$996,Insumos!$D$1:$D$996),"")</f>
        <v/>
      </c>
      <c r="H3054" s="1069" t="n">
        <v>38.1183833333333</v>
      </c>
      <c r="I3054" s="2161" t="n">
        <v>0</v>
      </c>
      <c r="J3054" s="2161" t="n">
        <v>0</v>
      </c>
      <c r="K3054" s="2161" t="n"/>
    </row>
    <row r="3055" outlineLevel="3" ht="15.75" customHeight="1">
      <c r="A3055" s="10" t="n">
        <v>1</v>
      </c>
      <c r="B3055" s="10" t="inlineStr">
        <is>
          <t>Insumo</t>
        </is>
      </c>
      <c r="C3055" s="10" t="inlineStr">
        <is>
          <t>Acústica para Contrapiso anti-impacto</t>
        </is>
      </c>
      <c r="D3055" s="10" t="inlineStr">
        <is>
          <t>Manta Isolamento Acústico Laje Piso Passo 8mm</t>
        </is>
      </c>
      <c r="E3055" s="11">
        <f t="array" ref="E3055">_xlfn.XLOOKUP(D3055,Insumos!B:B,Insumos!C:$C)</f>
        <v/>
      </c>
      <c r="F3055" s="14" t="n">
        <v>1.435</v>
      </c>
      <c r="G3055" s="92">
        <f t="array" ref="G3055">IF(B3055="insumo",_xlfn.XLOOKUP($D3055,Insumos!$B$1:$B$996,Insumos!$D$1:$D$996),"")</f>
        <v/>
      </c>
      <c r="H3055" s="92" t="n">
        <v>38.1183833333333</v>
      </c>
      <c r="I3055" s="2162" t="n">
        <v>0</v>
      </c>
      <c r="J3055" s="2162" t="n">
        <v>0</v>
      </c>
      <c r="K3055" s="2162" t="n"/>
    </row>
    <row r="3056" outlineLevel="2" ht="12.75" customHeight="1">
      <c r="A3056" s="1071" t="n">
        <v>1</v>
      </c>
      <c r="B3056" s="1071" t="inlineStr">
        <is>
          <t>Serviço</t>
        </is>
      </c>
      <c r="C3056" s="1071" t="inlineStr">
        <is>
          <t>Manta acústica “SoundSoft Ondulada” da Aubicon esp. 17/8mm”</t>
        </is>
      </c>
      <c r="D3056" s="1071" t="inlineStr">
        <is>
          <t>Manta acústica “SoundSoft Ondulada” da Aubicon esp. 17/8mm”</t>
        </is>
      </c>
      <c r="E3056" s="1072" t="inlineStr">
        <is>
          <t>M2</t>
        </is>
      </c>
      <c r="F3056" s="1071" t="n"/>
      <c r="G3056" s="1073">
        <f t="array" ref="G3056">IF(B3056="insumo",_xlfn.XLOOKUP($D3056,Insumos!$B$1:$B$996,Insumos!$D$1:$D$996),"")</f>
        <v/>
      </c>
      <c r="H3056" s="1073" t="n">
        <v>143</v>
      </c>
      <c r="I3056" s="2163" t="n">
        <v>0</v>
      </c>
      <c r="J3056" s="2163" t="n">
        <v>0</v>
      </c>
      <c r="K3056" s="2163" t="n"/>
    </row>
    <row r="3057" outlineLevel="3" ht="12.75" customHeight="1">
      <c r="A3057" s="82" t="n">
        <v>1</v>
      </c>
      <c r="B3057" s="82" t="inlineStr">
        <is>
          <t>Insumo</t>
        </is>
      </c>
      <c r="C3057" s="82" t="inlineStr">
        <is>
          <t>Manta acústica “SoundSoft Ondulada” da Aubicon esp. 17/8mm”</t>
        </is>
      </c>
      <c r="D3057" s="82" t="inlineStr">
        <is>
          <t>Manta acústica “SoundSoft Ondulada” da Aubicon esp. 17/8mm”</t>
        </is>
      </c>
      <c r="E3057" s="11">
        <f t="array" ref="E3057">_xlfn.XLOOKUP(D3057,Insumos!B:B,Insumos!C:$C)</f>
        <v/>
      </c>
      <c r="F3057" s="2164" t="n">
        <v>1.1</v>
      </c>
      <c r="G3057" s="92">
        <f t="array" ref="G3057">IF(B3057="insumo",_xlfn.XLOOKUP($D3057,Insumos!$B$1:$B$996,Insumos!$D$1:$D$996),"")</f>
        <v/>
      </c>
      <c r="H3057" s="92" t="n">
        <v>143</v>
      </c>
      <c r="I3057" s="2165" t="n">
        <v>0</v>
      </c>
      <c r="J3057" s="2165" t="n">
        <v>0</v>
      </c>
      <c r="K3057" s="2165" t="n"/>
    </row>
    <row r="3058" outlineLevel="2" ht="12.75" customHeight="1">
      <c r="A3058" s="1071" t="n">
        <v>1</v>
      </c>
      <c r="B3058" s="1071" t="inlineStr">
        <is>
          <t>Serviço</t>
        </is>
      </c>
      <c r="C3058" s="1071" t="inlineStr">
        <is>
          <t>manta acústica Ebios de fibras de polipropileno esp. 10mm</t>
        </is>
      </c>
      <c r="D3058" s="1071" t="inlineStr">
        <is>
          <t>manta acústica Ebios de fibras de polipropileno esp. 10mm</t>
        </is>
      </c>
      <c r="E3058" s="1072" t="inlineStr">
        <is>
          <t>M2</t>
        </is>
      </c>
      <c r="F3058" s="1071" t="n"/>
      <c r="G3058" s="1073">
        <f t="array" ref="G3058">IF(B3058="insumo",_xlfn.XLOOKUP($D3058,Insumos!$B$1:$B$996,Insumos!$D$1:$D$996),"")</f>
        <v/>
      </c>
      <c r="H3058" s="1073" t="n">
        <v>33.6111111111111</v>
      </c>
      <c r="I3058" s="2163" t="n">
        <v>0</v>
      </c>
      <c r="J3058" s="2163" t="n">
        <v>0</v>
      </c>
      <c r="K3058" s="2163" t="n"/>
    </row>
    <row r="3059" outlineLevel="3" ht="12.75" customHeight="1">
      <c r="A3059" s="82" t="n">
        <v>2</v>
      </c>
      <c r="B3059" s="82" t="inlineStr">
        <is>
          <t>Insumo</t>
        </is>
      </c>
      <c r="C3059" s="82" t="inlineStr">
        <is>
          <t>manta acústica Ebios de fibras de polipropileno esp. 10mm</t>
        </is>
      </c>
      <c r="D3059" s="82" t="inlineStr">
        <is>
          <t>Manta De Polipropileno, E = 10 Mm</t>
        </is>
      </c>
      <c r="E3059" s="11">
        <f t="array" ref="E3059">_xlfn.XLOOKUP(D3059,Insumos!B:B,Insumos!C:$C)</f>
        <v/>
      </c>
      <c r="F3059" s="2164" t="n">
        <v>1.1</v>
      </c>
      <c r="G3059" s="92">
        <f t="array" ref="G3059">IF(B3059="insumo",_xlfn.XLOOKUP($D3059,Insumos!$B$1:$B$996,Insumos!$D$1:$D$996),"")</f>
        <v/>
      </c>
      <c r="H3059" s="92" t="n">
        <v>33.6111111111111</v>
      </c>
      <c r="I3059" s="2165" t="n">
        <v>0</v>
      </c>
      <c r="J3059" s="2165" t="n">
        <v>0</v>
      </c>
      <c r="K3059" s="2165" t="n"/>
    </row>
    <row r="3060" outlineLevel="2" ht="12.75" customHeight="1">
      <c r="A3060" s="1071" t="n">
        <v>1</v>
      </c>
      <c r="B3060" s="1071" t="inlineStr">
        <is>
          <t>Serviço</t>
        </is>
      </c>
      <c r="C3060" s="1071" t="inlineStr">
        <is>
          <t>Manta acústica “SoundSoft laje zero” da Aubicon com polimero acrilico aderido da Baucryl</t>
        </is>
      </c>
      <c r="D3060" s="1071" t="inlineStr">
        <is>
          <t>Manta acústica “SoundSoft laje zero” da Aubicon com polimero acrilico aderido da Baucryl</t>
        </is>
      </c>
      <c r="E3060" s="1072" t="inlineStr">
        <is>
          <t>M2</t>
        </is>
      </c>
      <c r="F3060" s="1071" t="n"/>
      <c r="G3060" s="1073">
        <f t="array" ref="G3060">IF(B3060="insumo",_xlfn.XLOOKUP($D3060,Insumos!$B$1:$B$996,Insumos!$D$1:$D$996),"")</f>
        <v/>
      </c>
      <c r="H3060" s="1073" t="n">
        <v>242</v>
      </c>
      <c r="I3060" s="2163" t="n">
        <v>0</v>
      </c>
      <c r="J3060" s="2163" t="n">
        <v>0</v>
      </c>
      <c r="K3060" s="2163" t="n"/>
    </row>
    <row r="3061" outlineLevel="3" ht="12.75" customHeight="1">
      <c r="A3061" s="82" t="n">
        <v>1</v>
      </c>
      <c r="B3061" s="82" t="inlineStr">
        <is>
          <t>Insumo</t>
        </is>
      </c>
      <c r="C3061" s="82" t="inlineStr">
        <is>
          <t>Manta acústica “SoundSoft laje zero” da Aubicon com polimero acrilico aderido da Baucryl</t>
        </is>
      </c>
      <c r="D3061" s="82" t="inlineStr">
        <is>
          <t>Manta acústica “SoundSoft laje zero” da Aubicon com polimero acrilico aderido da Baucryl</t>
        </is>
      </c>
      <c r="E3061" s="11">
        <f t="array" ref="E3061">_xlfn.XLOOKUP(D3061,Insumos!B:B,Insumos!C:$C)</f>
        <v/>
      </c>
      <c r="F3061" s="2164" t="n">
        <v>1.1</v>
      </c>
      <c r="G3061" s="92">
        <f t="array" ref="G3061">IF(B3061="insumo",_xlfn.XLOOKUP($D3061,Insumos!$B$1:$B$996,Insumos!$D$1:$D$996),"")</f>
        <v/>
      </c>
      <c r="H3061" s="92" t="n">
        <v>242</v>
      </c>
      <c r="I3061" s="2165" t="n">
        <v>0</v>
      </c>
      <c r="J3061" s="2165" t="n">
        <v>0</v>
      </c>
      <c r="K3061" s="2165" t="n"/>
    </row>
    <row r="3062" outlineLevel="2" ht="12.75" customHeight="1">
      <c r="A3062" s="1071" t="n">
        <v>1</v>
      </c>
      <c r="B3062" s="1071" t="inlineStr">
        <is>
          <t>Serviço</t>
        </is>
      </c>
      <c r="C3062" s="1071" t="inlineStr">
        <is>
          <t>Tratamento acustico da sylomer da getzner esp. 50mm</t>
        </is>
      </c>
      <c r="D3062" s="1071" t="inlineStr">
        <is>
          <t>Tratamento acustico da sylomer da getzner esp. 50mm</t>
        </is>
      </c>
      <c r="E3062" s="1072" t="inlineStr">
        <is>
          <t>M2</t>
        </is>
      </c>
      <c r="F3062" s="1071" t="n"/>
      <c r="G3062" s="1073">
        <f t="array" ref="G3062">IF(B3062="insumo",_xlfn.XLOOKUP($D3062,Insumos!$B$1:$B$996,Insumos!$D$1:$D$996),"")</f>
        <v/>
      </c>
      <c r="H3062" s="1073" t="n">
        <v>1320</v>
      </c>
      <c r="I3062" s="2163" t="n">
        <v>0</v>
      </c>
      <c r="J3062" s="2163" t="n">
        <v>0</v>
      </c>
      <c r="K3062" s="2163" t="n"/>
    </row>
    <row r="3063" outlineLevel="3" ht="12.75" customHeight="1">
      <c r="A3063" s="82" t="n">
        <v>1</v>
      </c>
      <c r="B3063" s="82" t="inlineStr">
        <is>
          <t>Insumo</t>
        </is>
      </c>
      <c r="C3063" s="82" t="inlineStr">
        <is>
          <t>Tratamento acustico da sylomer da getzner esp. 50mm</t>
        </is>
      </c>
      <c r="D3063" s="82" t="inlineStr">
        <is>
          <t>Tratamento acustico da sylomer da getzner esp. 50mm</t>
        </is>
      </c>
      <c r="E3063" s="11">
        <f t="array" ref="E3063">_xlfn.XLOOKUP(D3063,Insumos!B:B,Insumos!C:$C)</f>
        <v/>
      </c>
      <c r="F3063" s="2164" t="n">
        <v>1.1</v>
      </c>
      <c r="G3063" s="92">
        <f t="array" ref="G3063">IF(B3063="insumo",_xlfn.XLOOKUP($D3063,Insumos!$B$1:$B$996,Insumos!$D$1:$D$996),"")</f>
        <v/>
      </c>
      <c r="H3063" s="92" t="n">
        <v>1320</v>
      </c>
      <c r="I3063" s="2165" t="n">
        <v>0</v>
      </c>
      <c r="J3063" s="2165" t="n">
        <v>0</v>
      </c>
      <c r="K3063" s="2165" t="n"/>
    </row>
    <row r="3064" outlineLevel="1" ht="15.75" customHeight="1">
      <c r="A3064" s="1090" t="n">
        <v>1</v>
      </c>
      <c r="B3064" s="1090" t="inlineStr">
        <is>
          <t>Subetapa</t>
        </is>
      </c>
      <c r="C3064" s="1090" t="inlineStr">
        <is>
          <t>Tratamento acustico da sylomer da getzner esp. 50mm</t>
        </is>
      </c>
      <c r="D3064" s="1090" t="inlineStr">
        <is>
          <t>REGULARIZAÇÃO</t>
        </is>
      </c>
      <c r="E3064" s="1091" t="n"/>
      <c r="F3064" s="2160" t="n"/>
      <c r="G3064" s="1091" t="n"/>
      <c r="H3064" s="1091" t="n">
        <v>0</v>
      </c>
      <c r="I3064" s="2160" t="n">
        <v>0</v>
      </c>
      <c r="J3064" s="2160" t="n">
        <v>0</v>
      </c>
      <c r="K3064" s="2160" t="n"/>
    </row>
    <row r="3065" outlineLevel="2" ht="15.75" customHeight="1">
      <c r="A3065" s="1067" t="n">
        <v>1</v>
      </c>
      <c r="B3065" s="1067" t="inlineStr">
        <is>
          <t>Serviço</t>
        </is>
      </c>
      <c r="C3065" s="1067" t="inlineStr">
        <is>
          <t>Regularização de Piso 0,50cm - Autonivelado</t>
        </is>
      </c>
      <c r="D3065" s="1067" t="inlineStr">
        <is>
          <t>Regularização de Piso 0,50cm - Autonivelado</t>
        </is>
      </c>
      <c r="E3065" s="1068" t="inlineStr">
        <is>
          <t>M2</t>
        </is>
      </c>
      <c r="F3065" s="1067" t="n"/>
      <c r="G3065" s="1069">
        <f t="array" ref="G3065">IF(B3065="insumo",_xlfn.XLOOKUP($D3065,Insumos!$B$1:$B$996,Insumos!$D$1:$D$996),"")</f>
        <v/>
      </c>
      <c r="H3065" s="1069" t="n">
        <v>12.44269</v>
      </c>
      <c r="I3065" s="2161" t="n">
        <v>0</v>
      </c>
      <c r="J3065" s="2161" t="n">
        <v>0</v>
      </c>
      <c r="K3065" s="2161" t="n"/>
    </row>
    <row r="3066" outlineLevel="3" ht="15.75" customHeight="1">
      <c r="A3066" s="10" t="n">
        <v>32</v>
      </c>
      <c r="B3066" s="10" t="inlineStr">
        <is>
          <t>Insumo</t>
        </is>
      </c>
      <c r="C3066" s="10" t="inlineStr">
        <is>
          <t>Regularização de Piso 0,50cm - Autonivelado</t>
        </is>
      </c>
      <c r="D3066" s="10" t="inlineStr">
        <is>
          <t>Argamassa usninada para contrapiso</t>
        </is>
      </c>
      <c r="E3066" s="11">
        <f t="array" ref="E3066">_xlfn.XLOOKUP(D3066,Insumos!B:B,Insumos!C:$C)</f>
        <v/>
      </c>
      <c r="F3066" s="14" t="n">
        <v>0.005500000000000001</v>
      </c>
      <c r="G3066" s="92">
        <f t="array" ref="G3066">IF(B3066="insumo",_xlfn.XLOOKUP($D3066,Insumos!$B$1:$B$996,Insumos!$D$1:$D$996),"")</f>
        <v/>
      </c>
      <c r="H3066" s="92" t="n">
        <v>3.025</v>
      </c>
      <c r="I3066" s="2162" t="n">
        <v>0</v>
      </c>
      <c r="J3066" s="2162" t="n">
        <v>0</v>
      </c>
      <c r="K3066" s="2162" t="n"/>
    </row>
    <row r="3067" outlineLevel="3" ht="15.75" customHeight="1">
      <c r="A3067" s="10" t="n">
        <v>41</v>
      </c>
      <c r="B3067" s="10" t="inlineStr">
        <is>
          <t>Insumo</t>
        </is>
      </c>
      <c r="C3067" s="10" t="inlineStr">
        <is>
          <t>Regularização de Piso 0,50cm - Autonivelado</t>
        </is>
      </c>
      <c r="D3067" s="10" t="inlineStr">
        <is>
          <t>Aditivo Adesivo Liquido Para Argamassas De Revestimentos Cimenticios</t>
        </is>
      </c>
      <c r="E3067" s="11">
        <f t="array" ref="E3067">_xlfn.XLOOKUP(D3067,Insumos!B:B,Insumos!C:$C)</f>
        <v/>
      </c>
      <c r="F3067" s="14" t="n">
        <v>0.003500000000000001</v>
      </c>
      <c r="G3067" s="92">
        <f t="array" ref="G3067">IF(B3067="insumo",_xlfn.XLOOKUP($D3067,Insumos!$B$1:$B$996,Insumos!$D$1:$D$996),"")</f>
        <v/>
      </c>
      <c r="H3067" s="92" t="n">
        <v>0.06769</v>
      </c>
      <c r="I3067" s="2162" t="n">
        <v>0</v>
      </c>
      <c r="J3067" s="2162" t="n">
        <v>0</v>
      </c>
      <c r="K3067" s="2162" t="n"/>
    </row>
    <row r="3068" outlineLevel="3" ht="15.75" customHeight="1">
      <c r="A3068" s="10" t="n">
        <v>8</v>
      </c>
      <c r="B3068" s="10" t="inlineStr">
        <is>
          <t>Insumo</t>
        </is>
      </c>
      <c r="C3068" s="10" t="inlineStr">
        <is>
          <t>Regularização de Piso 0,50cm - Autonivelado</t>
        </is>
      </c>
      <c r="D3068" s="10" t="inlineStr">
        <is>
          <t xml:space="preserve">Cimento Autonivelante para Contrapiso </t>
        </is>
      </c>
      <c r="E3068" s="11">
        <f t="array" ref="E3068">_xlfn.XLOOKUP(D3068,Insumos!B:B,Insumos!C:$C)</f>
        <v/>
      </c>
      <c r="F3068" s="14" t="n">
        <v>2.2</v>
      </c>
      <c r="G3068" s="92">
        <f t="array" ref="G3068">IF(B3068="insumo",_xlfn.XLOOKUP($D3068,Insumos!$B$1:$B$996,Insumos!$D$1:$D$996),"")</f>
        <v/>
      </c>
      <c r="H3068" s="92" t="n">
        <v>9.35</v>
      </c>
      <c r="I3068" s="2162" t="n">
        <v>0</v>
      </c>
      <c r="J3068" s="2162" t="n">
        <v>0</v>
      </c>
      <c r="K3068" s="2162" t="n"/>
    </row>
    <row r="3069" outlineLevel="2" ht="15.75" customHeight="1">
      <c r="A3069" s="1067" t="n">
        <v>1</v>
      </c>
      <c r="B3069" s="1067" t="inlineStr">
        <is>
          <t>Serviço</t>
        </is>
      </c>
      <c r="C3069" s="1067" t="inlineStr">
        <is>
          <t xml:space="preserve">Regularização de Piso 0,50 cm </t>
        </is>
      </c>
      <c r="D3069" s="1067" t="inlineStr">
        <is>
          <t xml:space="preserve">Regularização de Piso 0,50 cm </t>
        </is>
      </c>
      <c r="E3069" s="1068" t="inlineStr">
        <is>
          <t>M2</t>
        </is>
      </c>
      <c r="F3069" s="1067" t="n"/>
      <c r="G3069" s="1069">
        <f t="array" ref="G3069">IF(B3069="insumo",_xlfn.XLOOKUP($D3069,Insumos!$B$1:$B$996,Insumos!$D$1:$D$996),"")</f>
        <v/>
      </c>
      <c r="H3069" s="1069" t="n">
        <v>3.15602333333333</v>
      </c>
      <c r="I3069" s="2161" t="n">
        <v>0</v>
      </c>
      <c r="J3069" s="2161" t="n">
        <v>0</v>
      </c>
      <c r="K3069" s="2161" t="n"/>
    </row>
    <row r="3070" outlineLevel="3" ht="15.75" customHeight="1">
      <c r="A3070" s="10" t="n">
        <v>32</v>
      </c>
      <c r="B3070" s="10" t="inlineStr">
        <is>
          <t>Insumo</t>
        </is>
      </c>
      <c r="C3070" s="10" t="inlineStr">
        <is>
          <t xml:space="preserve">Regularização de Piso 0,50 cm </t>
        </is>
      </c>
      <c r="D3070" s="10" t="inlineStr">
        <is>
          <t>Argamassa usninada para contrapiso</t>
        </is>
      </c>
      <c r="E3070" s="11">
        <f t="array" ref="E3070">_xlfn.XLOOKUP(D3070,Insumos!B:B,Insumos!C:$C)</f>
        <v/>
      </c>
      <c r="F3070" s="14" t="n">
        <v>0.005500000000000001</v>
      </c>
      <c r="G3070" s="92">
        <f t="array" ref="G3070">IF(B3070="insumo",_xlfn.XLOOKUP($D3070,Insumos!$B$1:$B$996,Insumos!$D$1:$D$996),"")</f>
        <v/>
      </c>
      <c r="H3070" s="92" t="n">
        <v>3.025</v>
      </c>
      <c r="I3070" s="2162" t="n">
        <v>0</v>
      </c>
      <c r="J3070" s="2162" t="n">
        <v>0</v>
      </c>
      <c r="K3070" s="2162" t="n"/>
    </row>
    <row r="3071" outlineLevel="3" ht="15.75" customHeight="1">
      <c r="A3071" s="10" t="n">
        <v>41</v>
      </c>
      <c r="B3071" s="10" t="inlineStr">
        <is>
          <t>Insumo</t>
        </is>
      </c>
      <c r="C3071" s="10" t="inlineStr">
        <is>
          <t xml:space="preserve">Regularização de Piso 0,50 cm </t>
        </is>
      </c>
      <c r="D3071" s="10" t="inlineStr">
        <is>
          <t>Aditivo Adesivo Liquido Para Argamassas De Revestimentos Cimenticios</t>
        </is>
      </c>
      <c r="E3071" s="11">
        <f t="array" ref="E3071">_xlfn.XLOOKUP(D3071,Insumos!B:B,Insumos!C:$C)</f>
        <v/>
      </c>
      <c r="F3071" s="14" t="n">
        <v>0.003500000000000001</v>
      </c>
      <c r="G3071" s="92">
        <f t="array" ref="G3071">IF(B3071="insumo",_xlfn.XLOOKUP($D3071,Insumos!$B$1:$B$996,Insumos!$D$1:$D$996),"")</f>
        <v/>
      </c>
      <c r="H3071" s="92" t="n">
        <v>0.06769</v>
      </c>
      <c r="I3071" s="2162" t="n">
        <v>0</v>
      </c>
      <c r="J3071" s="2162" t="n">
        <v>0</v>
      </c>
      <c r="K3071" s="2162" t="n"/>
    </row>
    <row r="3072" outlineLevel="3" ht="15.75" customHeight="1">
      <c r="A3072" s="10" t="n">
        <v>62</v>
      </c>
      <c r="B3072" s="10" t="inlineStr">
        <is>
          <t>Insumo</t>
        </is>
      </c>
      <c r="C3072" s="10" t="inlineStr">
        <is>
          <t xml:space="preserve">Regularização de Piso 0,50 cm </t>
        </is>
      </c>
      <c r="D3072" s="10" t="inlineStr">
        <is>
          <t>Cimento Portland Composto CP II-32</t>
        </is>
      </c>
      <c r="E3072" s="11">
        <f t="array" ref="E3072">_xlfn.XLOOKUP(D3072,Insumos!B:B,Insumos!C:$C)</f>
        <v/>
      </c>
      <c r="F3072" s="14" t="n">
        <v>0.08333333333333334</v>
      </c>
      <c r="G3072" s="92">
        <f t="array" ref="G3072">IF(B3072="insumo",_xlfn.XLOOKUP($D3072,Insumos!$B$1:$B$996,Insumos!$D$1:$D$996),"")</f>
        <v/>
      </c>
      <c r="H3072" s="92" t="n">
        <v>0.0633333333333333</v>
      </c>
      <c r="I3072" s="2162" t="n">
        <v>0</v>
      </c>
      <c r="J3072" s="2162" t="n">
        <v>0</v>
      </c>
      <c r="K3072" s="2162" t="n"/>
    </row>
    <row r="3073" outlineLevel="2" ht="15.75" customHeight="1">
      <c r="A3073" s="1067" t="n">
        <v>1</v>
      </c>
      <c r="B3073" s="1067" t="inlineStr">
        <is>
          <t>Serviço</t>
        </is>
      </c>
      <c r="C3073" s="1067" t="inlineStr">
        <is>
          <t xml:space="preserve">Regularização de Piso 1,00 cm </t>
        </is>
      </c>
      <c r="D3073" s="1067" t="inlineStr">
        <is>
          <t xml:space="preserve">Regularização de Piso 1,00 cm </t>
        </is>
      </c>
      <c r="E3073" s="1068" t="inlineStr">
        <is>
          <t>M2</t>
        </is>
      </c>
      <c r="F3073" s="1067" t="n"/>
      <c r="G3073" s="1069">
        <f t="array" ref="G3073">IF(B3073="insumo",_xlfn.XLOOKUP($D3073,Insumos!$B$1:$B$996,Insumos!$D$1:$D$996),"")</f>
        <v/>
      </c>
      <c r="H3073" s="1069" t="n">
        <v>6.31204666666667</v>
      </c>
      <c r="I3073" s="2161" t="n">
        <v>0</v>
      </c>
      <c r="J3073" s="2161" t="n">
        <v>0</v>
      </c>
      <c r="K3073" s="2161" t="n"/>
    </row>
    <row r="3074" outlineLevel="3" ht="15.75" customHeight="1">
      <c r="A3074" s="10" t="n">
        <v>32</v>
      </c>
      <c r="B3074" s="10" t="inlineStr">
        <is>
          <t>Insumo</t>
        </is>
      </c>
      <c r="C3074" s="10" t="inlineStr">
        <is>
          <t xml:space="preserve">Regularização de Piso 1,00 cm </t>
        </is>
      </c>
      <c r="D3074" s="10" t="inlineStr">
        <is>
          <t>Argamassa usninada para contrapiso</t>
        </is>
      </c>
      <c r="E3074" s="11">
        <f t="array" ref="E3074">_xlfn.XLOOKUP(D3074,Insumos!B:B,Insumos!C:$C)</f>
        <v/>
      </c>
      <c r="F3074" s="14" t="n">
        <v>0.011</v>
      </c>
      <c r="G3074" s="92">
        <f t="array" ref="G3074">IF(B3074="insumo",_xlfn.XLOOKUP($D3074,Insumos!$B$1:$B$996,Insumos!$D$1:$D$996),"")</f>
        <v/>
      </c>
      <c r="H3074" s="92" t="n">
        <v>6.05</v>
      </c>
      <c r="I3074" s="2162" t="n">
        <v>0</v>
      </c>
      <c r="J3074" s="2162" t="n">
        <v>0</v>
      </c>
      <c r="K3074" s="2162" t="n"/>
    </row>
    <row r="3075" outlineLevel="3" ht="15.75" customHeight="1">
      <c r="A3075" s="10" t="n">
        <v>41</v>
      </c>
      <c r="B3075" s="10" t="inlineStr">
        <is>
          <t>Insumo</t>
        </is>
      </c>
      <c r="C3075" s="10" t="inlineStr">
        <is>
          <t xml:space="preserve">Regularização de Piso 1,00 cm </t>
        </is>
      </c>
      <c r="D3075" s="10" t="inlineStr">
        <is>
          <t>Aditivo Adesivo Liquido Para Argamassas De Revestimentos Cimenticios</t>
        </is>
      </c>
      <c r="E3075" s="11">
        <f t="array" ref="E3075">_xlfn.XLOOKUP(D3075,Insumos!B:B,Insumos!C:$C)</f>
        <v/>
      </c>
      <c r="F3075" s="14" t="n">
        <v>0.007000000000000001</v>
      </c>
      <c r="G3075" s="92">
        <f t="array" ref="G3075">IF(B3075="insumo",_xlfn.XLOOKUP($D3075,Insumos!$B$1:$B$996,Insumos!$D$1:$D$996),"")</f>
        <v/>
      </c>
      <c r="H3075" s="92" t="n">
        <v>0.13538</v>
      </c>
      <c r="I3075" s="2162" t="n">
        <v>0</v>
      </c>
      <c r="J3075" s="2162" t="n">
        <v>0</v>
      </c>
      <c r="K3075" s="2162" t="n"/>
    </row>
    <row r="3076" outlineLevel="3" ht="15.75" customHeight="1">
      <c r="A3076" s="10" t="n">
        <v>62</v>
      </c>
      <c r="B3076" s="10" t="inlineStr">
        <is>
          <t>Insumo</t>
        </is>
      </c>
      <c r="C3076" s="10" t="inlineStr">
        <is>
          <t xml:space="preserve">Regularização de Piso 1,00 cm </t>
        </is>
      </c>
      <c r="D3076" s="10" t="inlineStr">
        <is>
          <t>Cimento Portland Composto CP II-32</t>
        </is>
      </c>
      <c r="E3076" s="11">
        <f t="array" ref="E3076">_xlfn.XLOOKUP(D3076,Insumos!B:B,Insumos!C:$C)</f>
        <v/>
      </c>
      <c r="F3076" s="14" t="n">
        <v>0.1666666666666667</v>
      </c>
      <c r="G3076" s="92">
        <f t="array" ref="G3076">IF(B3076="insumo",_xlfn.XLOOKUP($D3076,Insumos!$B$1:$B$996,Insumos!$D$1:$D$996),"")</f>
        <v/>
      </c>
      <c r="H3076" s="92" t="n">
        <v>0.126666666666667</v>
      </c>
      <c r="I3076" s="2162" t="n">
        <v>0</v>
      </c>
      <c r="J3076" s="2162" t="n">
        <v>0</v>
      </c>
      <c r="K3076" s="2162" t="n"/>
    </row>
    <row r="3077" outlineLevel="2" ht="15.75" customHeight="1">
      <c r="A3077" s="1067" t="n">
        <v>1</v>
      </c>
      <c r="B3077" s="1067" t="inlineStr">
        <is>
          <t>Serviço</t>
        </is>
      </c>
      <c r="C3077" s="1067" t="inlineStr">
        <is>
          <t xml:space="preserve">Regularização de Piso 1,50 cm </t>
        </is>
      </c>
      <c r="D3077" s="1067" t="inlineStr">
        <is>
          <t xml:space="preserve">Regularização de Piso 1,50 cm </t>
        </is>
      </c>
      <c r="E3077" s="1068" t="inlineStr">
        <is>
          <t>M2</t>
        </is>
      </c>
      <c r="F3077" s="1067" t="n"/>
      <c r="G3077" s="1069">
        <f t="array" ref="G3077">IF(B3077="insumo",_xlfn.XLOOKUP($D3077,Insumos!$B$1:$B$996,Insumos!$D$1:$D$996),"")</f>
        <v/>
      </c>
      <c r="H3077" s="1069" t="n">
        <v>9.468070000000001</v>
      </c>
      <c r="I3077" s="2161" t="n">
        <v>0</v>
      </c>
      <c r="J3077" s="2161" t="n">
        <v>0</v>
      </c>
      <c r="K3077" s="2161" t="n"/>
    </row>
    <row r="3078" outlineLevel="3" ht="15.75" customHeight="1">
      <c r="A3078" s="10" t="n">
        <v>32</v>
      </c>
      <c r="B3078" s="10" t="inlineStr">
        <is>
          <t>Insumo</t>
        </is>
      </c>
      <c r="C3078" s="10" t="inlineStr">
        <is>
          <t xml:space="preserve">Regularização de Piso 1,50 cm </t>
        </is>
      </c>
      <c r="D3078" s="10" t="inlineStr">
        <is>
          <t>Argamassa usninada para contrapiso</t>
        </is>
      </c>
      <c r="E3078" s="11">
        <f t="array" ref="E3078">_xlfn.XLOOKUP(D3078,Insumos!B:B,Insumos!C:$C)</f>
        <v/>
      </c>
      <c r="F3078" s="14" t="n">
        <v>0.0165</v>
      </c>
      <c r="G3078" s="92">
        <f t="array" ref="G3078">IF(B3078="insumo",_xlfn.XLOOKUP($D3078,Insumos!$B$1:$B$996,Insumos!$D$1:$D$996),"")</f>
        <v/>
      </c>
      <c r="H3078" s="92" t="n">
        <v>9.074999999999999</v>
      </c>
      <c r="I3078" s="2162" t="n">
        <v>0</v>
      </c>
      <c r="J3078" s="2162" t="n">
        <v>0</v>
      </c>
      <c r="K3078" s="2162" t="n"/>
    </row>
    <row r="3079" outlineLevel="3" ht="15.75" customHeight="1">
      <c r="A3079" s="10" t="n">
        <v>41</v>
      </c>
      <c r="B3079" s="10" t="inlineStr">
        <is>
          <t>Insumo</t>
        </is>
      </c>
      <c r="C3079" s="10" t="inlineStr">
        <is>
          <t xml:space="preserve">Regularização de Piso 1,50 cm </t>
        </is>
      </c>
      <c r="D3079" s="10" t="inlineStr">
        <is>
          <t>Aditivo Adesivo Liquido Para Argamassas De Revestimentos Cimenticios</t>
        </is>
      </c>
      <c r="E3079" s="11">
        <f t="array" ref="E3079">_xlfn.XLOOKUP(D3079,Insumos!B:B,Insumos!C:$C)</f>
        <v/>
      </c>
      <c r="F3079" s="14" t="n">
        <v>0.0105</v>
      </c>
      <c r="G3079" s="92">
        <f t="array" ref="G3079">IF(B3079="insumo",_xlfn.XLOOKUP($D3079,Insumos!$B$1:$B$996,Insumos!$D$1:$D$996),"")</f>
        <v/>
      </c>
      <c r="H3079" s="92" t="n">
        <v>0.20307</v>
      </c>
      <c r="I3079" s="2162" t="n">
        <v>0</v>
      </c>
      <c r="J3079" s="2162" t="n">
        <v>0</v>
      </c>
      <c r="K3079" s="2162" t="n"/>
    </row>
    <row r="3080" outlineLevel="3" ht="15.75" customHeight="1">
      <c r="A3080" s="10" t="n">
        <v>62</v>
      </c>
      <c r="B3080" s="10" t="inlineStr">
        <is>
          <t>Insumo</t>
        </is>
      </c>
      <c r="C3080" s="10" t="inlineStr">
        <is>
          <t xml:space="preserve">Regularização de Piso 1,50 cm </t>
        </is>
      </c>
      <c r="D3080" s="10" t="inlineStr">
        <is>
          <t>Cimento Portland Composto CP II-32</t>
        </is>
      </c>
      <c r="E3080" s="11">
        <f t="array" ref="E3080">_xlfn.XLOOKUP(D3080,Insumos!B:B,Insumos!C:$C)</f>
        <v/>
      </c>
      <c r="F3080" s="14" t="n">
        <v>0.25</v>
      </c>
      <c r="G3080" s="92">
        <f t="array" ref="G3080">IF(B3080="insumo",_xlfn.XLOOKUP($D3080,Insumos!$B$1:$B$996,Insumos!$D$1:$D$996),"")</f>
        <v/>
      </c>
      <c r="H3080" s="92" t="n">
        <v>0.19</v>
      </c>
      <c r="I3080" s="2162" t="n">
        <v>0</v>
      </c>
      <c r="J3080" s="2162" t="n">
        <v>0</v>
      </c>
      <c r="K3080" s="2162" t="n"/>
    </row>
    <row r="3081" outlineLevel="2" ht="15.75" customHeight="1">
      <c r="A3081" s="1067" t="n">
        <v>1</v>
      </c>
      <c r="B3081" s="1067" t="inlineStr">
        <is>
          <t>Serviço</t>
        </is>
      </c>
      <c r="C3081" s="1067" t="inlineStr">
        <is>
          <t xml:space="preserve">Regularização de Piso 2,00 cm </t>
        </is>
      </c>
      <c r="D3081" s="1067" t="inlineStr">
        <is>
          <t xml:space="preserve">Regularização de Piso 2,00 cm </t>
        </is>
      </c>
      <c r="E3081" s="1068" t="inlineStr">
        <is>
          <t>M2</t>
        </is>
      </c>
      <c r="F3081" s="1067" t="n"/>
      <c r="G3081" s="1069">
        <f t="array" ref="G3081">IF(B3081="insumo",_xlfn.XLOOKUP($D3081,Insumos!$B$1:$B$996,Insumos!$D$1:$D$996),"")</f>
        <v/>
      </c>
      <c r="H3081" s="1069" t="n">
        <v>12.6240933333333</v>
      </c>
      <c r="I3081" s="2161" t="n">
        <v>0</v>
      </c>
      <c r="J3081" s="2161" t="n">
        <v>0</v>
      </c>
      <c r="K3081" s="2161" t="n"/>
    </row>
    <row r="3082" outlineLevel="3" ht="15.75" customHeight="1">
      <c r="A3082" s="10" t="n">
        <v>32</v>
      </c>
      <c r="B3082" s="10" t="inlineStr">
        <is>
          <t>Insumo</t>
        </is>
      </c>
      <c r="C3082" s="10" t="inlineStr">
        <is>
          <t xml:space="preserve">Regularização de Piso 2,00 cm </t>
        </is>
      </c>
      <c r="D3082" s="10" t="inlineStr">
        <is>
          <t>Argamassa usninada para contrapiso</t>
        </is>
      </c>
      <c r="E3082" s="11">
        <f t="array" ref="E3082">_xlfn.XLOOKUP(D3082,Insumos!B:B,Insumos!C:$C)</f>
        <v/>
      </c>
      <c r="F3082" s="14" t="n">
        <v>0.022</v>
      </c>
      <c r="G3082" s="92">
        <f t="array" ref="G3082">IF(B3082="insumo",_xlfn.XLOOKUP($D3082,Insumos!$B$1:$B$996,Insumos!$D$1:$D$996),"")</f>
        <v/>
      </c>
      <c r="H3082" s="92" t="n">
        <v>12.1</v>
      </c>
      <c r="I3082" s="2162" t="n">
        <v>0</v>
      </c>
      <c r="J3082" s="2162" t="n">
        <v>0</v>
      </c>
      <c r="K3082" s="2162" t="n"/>
    </row>
    <row r="3083" outlineLevel="3" ht="15.75" customHeight="1">
      <c r="A3083" s="10" t="n">
        <v>41</v>
      </c>
      <c r="B3083" s="10" t="inlineStr">
        <is>
          <t>Insumo</t>
        </is>
      </c>
      <c r="C3083" s="10" t="inlineStr">
        <is>
          <t xml:space="preserve">Regularização de Piso 2,00 cm </t>
        </is>
      </c>
      <c r="D3083" s="10" t="inlineStr">
        <is>
          <t>Aditivo Adesivo Liquido Para Argamassas De Revestimentos Cimenticios</t>
        </is>
      </c>
      <c r="E3083" s="11">
        <f t="array" ref="E3083">_xlfn.XLOOKUP(D3083,Insumos!B:B,Insumos!C:$C)</f>
        <v/>
      </c>
      <c r="F3083" s="14" t="n">
        <v>0.014</v>
      </c>
      <c r="G3083" s="92">
        <f t="array" ref="G3083">IF(B3083="insumo",_xlfn.XLOOKUP($D3083,Insumos!$B$1:$B$996,Insumos!$D$1:$D$996),"")</f>
        <v/>
      </c>
      <c r="H3083" s="92" t="n">
        <v>0.27076</v>
      </c>
      <c r="I3083" s="2162" t="n">
        <v>0</v>
      </c>
      <c r="J3083" s="2162" t="n">
        <v>0</v>
      </c>
      <c r="K3083" s="2162" t="n"/>
    </row>
    <row r="3084" outlineLevel="3" ht="15.75" customHeight="1">
      <c r="A3084" s="10" t="n">
        <v>62</v>
      </c>
      <c r="B3084" s="10" t="inlineStr">
        <is>
          <t>Insumo</t>
        </is>
      </c>
      <c r="C3084" s="10" t="inlineStr">
        <is>
          <t xml:space="preserve">Regularização de Piso 2,00 cm </t>
        </is>
      </c>
      <c r="D3084" s="10" t="inlineStr">
        <is>
          <t>Cimento Portland Composto CP II-32</t>
        </is>
      </c>
      <c r="E3084" s="11">
        <f t="array" ref="E3084">_xlfn.XLOOKUP(D3084,Insumos!B:B,Insumos!C:$C)</f>
        <v/>
      </c>
      <c r="F3084" s="14" t="n">
        <v>0.3333333333333334</v>
      </c>
      <c r="G3084" s="92">
        <f t="array" ref="G3084">IF(B3084="insumo",_xlfn.XLOOKUP($D3084,Insumos!$B$1:$B$996,Insumos!$D$1:$D$996),"")</f>
        <v/>
      </c>
      <c r="H3084" s="92" t="n">
        <v>0.253333333333333</v>
      </c>
      <c r="I3084" s="2162" t="n">
        <v>0</v>
      </c>
      <c r="J3084" s="2162" t="n">
        <v>0</v>
      </c>
      <c r="K3084" s="2162" t="n"/>
    </row>
    <row r="3085" outlineLevel="2" ht="15.75" customHeight="1">
      <c r="A3085" s="1067" t="n">
        <v>1</v>
      </c>
      <c r="B3085" s="1067" t="inlineStr">
        <is>
          <t>Serviço</t>
        </is>
      </c>
      <c r="C3085" s="1067" t="inlineStr">
        <is>
          <t xml:space="preserve">Regularização de Piso 3,00 cm </t>
        </is>
      </c>
      <c r="D3085" s="1067" t="inlineStr">
        <is>
          <t xml:space="preserve">Regularização de Piso 3,00 cm </t>
        </is>
      </c>
      <c r="E3085" s="1068" t="inlineStr">
        <is>
          <t>M2</t>
        </is>
      </c>
      <c r="F3085" s="1067" t="n"/>
      <c r="G3085" s="1069">
        <f t="array" ref="G3085">IF(B3085="insumo",_xlfn.XLOOKUP($D3085,Insumos!$B$1:$B$996,Insumos!$D$1:$D$996),"")</f>
        <v/>
      </c>
      <c r="H3085" s="1069" t="n">
        <v>18.93614</v>
      </c>
      <c r="I3085" s="2161" t="n">
        <v>0</v>
      </c>
      <c r="J3085" s="2161" t="n">
        <v>0</v>
      </c>
      <c r="K3085" s="2161" t="n"/>
    </row>
    <row r="3086" outlineLevel="3" ht="15.75" customHeight="1">
      <c r="A3086" s="10" t="n">
        <v>32</v>
      </c>
      <c r="B3086" s="10" t="inlineStr">
        <is>
          <t>Insumo</t>
        </is>
      </c>
      <c r="C3086" s="10" t="inlineStr">
        <is>
          <t xml:space="preserve">Regularização de Piso 3,00 cm </t>
        </is>
      </c>
      <c r="D3086" s="10" t="inlineStr">
        <is>
          <t>Argamassa usninada para contrapiso</t>
        </is>
      </c>
      <c r="E3086" s="11">
        <f t="array" ref="E3086">_xlfn.XLOOKUP(D3086,Insumos!B:B,Insumos!C:$C)</f>
        <v/>
      </c>
      <c r="F3086" s="14" t="n">
        <v>0.033</v>
      </c>
      <c r="G3086" s="92">
        <f t="array" ref="G3086">IF(B3086="insumo",_xlfn.XLOOKUP($D3086,Insumos!$B$1:$B$996,Insumos!$D$1:$D$996),"")</f>
        <v/>
      </c>
      <c r="H3086" s="92" t="n">
        <v>18.15</v>
      </c>
      <c r="I3086" s="2162" t="n">
        <v>0</v>
      </c>
      <c r="J3086" s="2162" t="n">
        <v>0</v>
      </c>
      <c r="K3086" s="2162" t="n"/>
    </row>
    <row r="3087" outlineLevel="3" ht="15.75" customHeight="1">
      <c r="A3087" s="10" t="n">
        <v>41</v>
      </c>
      <c r="B3087" s="10" t="inlineStr">
        <is>
          <t>Insumo</t>
        </is>
      </c>
      <c r="C3087" s="10" t="inlineStr">
        <is>
          <t xml:space="preserve">Regularização de Piso 3,00 cm </t>
        </is>
      </c>
      <c r="D3087" s="10" t="inlineStr">
        <is>
          <t>Aditivo Adesivo Liquido Para Argamassas De Revestimentos Cimenticios</t>
        </is>
      </c>
      <c r="E3087" s="11">
        <f t="array" ref="E3087">_xlfn.XLOOKUP(D3087,Insumos!B:B,Insumos!C:$C)</f>
        <v/>
      </c>
      <c r="F3087" s="14">
        <f>0.007*3</f>
        <v/>
      </c>
      <c r="G3087" s="92">
        <f t="array" ref="G3087">IF(B3087="insumo",_xlfn.XLOOKUP($D3087,Insumos!$B$1:$B$996,Insumos!$D$1:$D$996),"")</f>
        <v/>
      </c>
      <c r="H3087" s="92" t="n">
        <v>0.40614</v>
      </c>
      <c r="I3087" s="2162" t="n">
        <v>0</v>
      </c>
      <c r="J3087" s="2162" t="n">
        <v>0</v>
      </c>
      <c r="K3087" s="2162" t="n"/>
    </row>
    <row r="3088" outlineLevel="3" ht="15.75" customHeight="1">
      <c r="A3088" s="10" t="n">
        <v>62</v>
      </c>
      <c r="B3088" s="10" t="inlineStr">
        <is>
          <t>Insumo</t>
        </is>
      </c>
      <c r="C3088" s="10" t="inlineStr">
        <is>
          <t xml:space="preserve">Regularização de Piso 3,00 cm </t>
        </is>
      </c>
      <c r="D3088" s="10" t="inlineStr">
        <is>
          <t>Cimento Portland Composto CP II-32</t>
        </is>
      </c>
      <c r="E3088" s="11">
        <f t="array" ref="E3088">_xlfn.XLOOKUP(D3088,Insumos!B:B,Insumos!C:$C)</f>
        <v/>
      </c>
      <c r="F3088" s="14">
        <f>0.166666666666667*3</f>
        <v/>
      </c>
      <c r="G3088" s="92">
        <f t="array" ref="G3088">IF(B3088="insumo",_xlfn.XLOOKUP($D3088,Insumos!$B$1:$B$996,Insumos!$D$1:$D$996),"")</f>
        <v/>
      </c>
      <c r="H3088" s="92" t="n">
        <v>0.380000000000001</v>
      </c>
      <c r="I3088" s="2162" t="n">
        <v>0</v>
      </c>
      <c r="J3088" s="2162" t="n">
        <v>0</v>
      </c>
      <c r="K3088" s="2162" t="n"/>
    </row>
    <row r="3089" outlineLevel="2" ht="15.75" customHeight="1">
      <c r="A3089" s="1067" t="n">
        <v>1</v>
      </c>
      <c r="B3089" s="1067" t="inlineStr">
        <is>
          <t>Serviço</t>
        </is>
      </c>
      <c r="C3089" s="1067" t="inlineStr">
        <is>
          <t xml:space="preserve">Regularização de Piso 4,00 cm </t>
        </is>
      </c>
      <c r="D3089" s="1067" t="inlineStr">
        <is>
          <t xml:space="preserve">Regularização de Piso 4,00 cm </t>
        </is>
      </c>
      <c r="E3089" s="1068" t="inlineStr">
        <is>
          <t>M2</t>
        </is>
      </c>
      <c r="F3089" s="1067" t="n"/>
      <c r="G3089" s="1069">
        <f t="array" ref="G3089">IF(B3089="insumo",_xlfn.XLOOKUP($D3089,Insumos!$B$1:$B$996,Insumos!$D$1:$D$996),"")</f>
        <v/>
      </c>
      <c r="H3089" s="1069" t="n">
        <v>24.1481866666667</v>
      </c>
      <c r="I3089" s="2161" t="n">
        <v>0</v>
      </c>
      <c r="J3089" s="2161" t="n">
        <v>0</v>
      </c>
      <c r="K3089" s="2161" t="n"/>
    </row>
    <row r="3090" outlineLevel="3" ht="15.75" customHeight="1">
      <c r="A3090" s="10" t="n">
        <v>32</v>
      </c>
      <c r="B3090" s="10" t="inlineStr">
        <is>
          <t>Insumo</t>
        </is>
      </c>
      <c r="C3090" s="10" t="inlineStr">
        <is>
          <t xml:space="preserve">Regularização de Piso 4,00 cm </t>
        </is>
      </c>
      <c r="D3090" s="10" t="inlineStr">
        <is>
          <t>Argamassa usninada para contrapiso</t>
        </is>
      </c>
      <c r="E3090" s="11">
        <f t="array" ref="E3090">_xlfn.XLOOKUP(D3090,Insumos!B:B,Insumos!C:$C)</f>
        <v/>
      </c>
      <c r="F3090" s="14">
        <f>0.04*1.05</f>
        <v/>
      </c>
      <c r="G3090" s="92">
        <f t="array" ref="G3090">IF(B3090="insumo",_xlfn.XLOOKUP($D3090,Insumos!$B$1:$B$996,Insumos!$D$1:$D$996),"")</f>
        <v/>
      </c>
      <c r="H3090" s="92" t="n">
        <v>23.1</v>
      </c>
      <c r="I3090" s="2162" t="n">
        <v>0</v>
      </c>
      <c r="J3090" s="2162" t="n">
        <v>0</v>
      </c>
      <c r="K3090" s="2162" t="n"/>
    </row>
    <row r="3091" outlineLevel="3" ht="15.75" customHeight="1">
      <c r="A3091" s="10" t="n">
        <v>41</v>
      </c>
      <c r="B3091" s="10" t="inlineStr">
        <is>
          <t>Insumo</t>
        </is>
      </c>
      <c r="C3091" s="10" t="inlineStr">
        <is>
          <t xml:space="preserve">Regularização de Piso 4,00 cm </t>
        </is>
      </c>
      <c r="D3091" s="10" t="inlineStr">
        <is>
          <t>Aditivo Adesivo Liquido Para Argamassas De Revestimentos Cimenticios</t>
        </is>
      </c>
      <c r="E3091" s="11">
        <f t="array" ref="E3091">_xlfn.XLOOKUP(D3091,Insumos!B:B,Insumos!C:$C)</f>
        <v/>
      </c>
      <c r="F3091" s="14">
        <f>0.007*4</f>
        <v/>
      </c>
      <c r="G3091" s="92">
        <f t="array" ref="G3091">IF(B3091="insumo",_xlfn.XLOOKUP($D3091,Insumos!$B$1:$B$996,Insumos!$D$1:$D$996),"")</f>
        <v/>
      </c>
      <c r="H3091" s="92" t="n">
        <v>0.54152</v>
      </c>
      <c r="I3091" s="2162" t="n">
        <v>0</v>
      </c>
      <c r="J3091" s="2162" t="n">
        <v>0</v>
      </c>
      <c r="K3091" s="2162" t="n"/>
    </row>
    <row r="3092" outlineLevel="3" ht="15.75" customHeight="1">
      <c r="A3092" s="10" t="n">
        <v>62</v>
      </c>
      <c r="B3092" s="10" t="inlineStr">
        <is>
          <t>Insumo</t>
        </is>
      </c>
      <c r="C3092" s="10" t="inlineStr">
        <is>
          <t xml:space="preserve">Regularização de Piso 4,00 cm </t>
        </is>
      </c>
      <c r="D3092" s="10" t="inlineStr">
        <is>
          <t>Cimento Portland Composto CP II-32</t>
        </is>
      </c>
      <c r="E3092" s="11">
        <f t="array" ref="E3092">_xlfn.XLOOKUP(D3092,Insumos!B:B,Insumos!C:$C)</f>
        <v/>
      </c>
      <c r="F3092" s="14">
        <f>0.166666666666667*4</f>
        <v/>
      </c>
      <c r="G3092" s="92">
        <f t="array" ref="G3092">IF(B3092="insumo",_xlfn.XLOOKUP($D3092,Insumos!$B$1:$B$996,Insumos!$D$1:$D$996),"")</f>
        <v/>
      </c>
      <c r="H3092" s="92" t="n">
        <v>0.506666666666668</v>
      </c>
      <c r="I3092" s="2162" t="n">
        <v>0</v>
      </c>
      <c r="J3092" s="2162" t="n">
        <v>0</v>
      </c>
      <c r="K3092" s="2162" t="n"/>
    </row>
    <row r="3093" outlineLevel="2" ht="15.75" customHeight="1">
      <c r="A3093" s="1067" t="n">
        <v>1</v>
      </c>
      <c r="B3093" s="1067" t="inlineStr">
        <is>
          <t>Serviço</t>
        </is>
      </c>
      <c r="C3093" s="1067" t="inlineStr">
        <is>
          <t>Regularização de Piso 5,00cm - Autonivelado</t>
        </is>
      </c>
      <c r="D3093" s="1067" t="inlineStr">
        <is>
          <t>Regularização de Piso 5,00cm - Autonivelado</t>
        </is>
      </c>
      <c r="E3093" s="1068" t="inlineStr">
        <is>
          <t>M2</t>
        </is>
      </c>
      <c r="F3093" s="1067" t="n"/>
      <c r="G3093" s="1069">
        <f t="array" ref="G3093">IF(B3093="insumo",_xlfn.XLOOKUP($D3093,Insumos!$B$1:$B$996,Insumos!$D$1:$D$996),"")</f>
        <v/>
      </c>
      <c r="H3093" s="1069" t="n">
        <v>34.4685666666667</v>
      </c>
      <c r="I3093" s="2161" t="n">
        <v>0</v>
      </c>
      <c r="J3093" s="2161" t="n">
        <v>0</v>
      </c>
      <c r="K3093" s="2161" t="n"/>
    </row>
    <row r="3094" outlineLevel="3" ht="15.75" customHeight="1">
      <c r="A3094" s="10" t="n">
        <v>32</v>
      </c>
      <c r="B3094" s="10" t="inlineStr">
        <is>
          <t>Insumo</t>
        </is>
      </c>
      <c r="C3094" s="10" t="inlineStr">
        <is>
          <t>Regularização de Piso 5,00cm - Autonivelado</t>
        </is>
      </c>
      <c r="D3094" s="10" t="inlineStr">
        <is>
          <t>Argamassa usninada para contrapiso</t>
        </is>
      </c>
      <c r="E3094" s="11">
        <f t="array" ref="E3094">_xlfn.XLOOKUP(D3094,Insumos!B:B,Insumos!C:$C)</f>
        <v/>
      </c>
      <c r="F3094" s="14">
        <f>0.011*5</f>
        <v/>
      </c>
      <c r="G3094" s="92">
        <f t="array" ref="G3094">IF(B3094="insumo",_xlfn.XLOOKUP($D3094,Insumos!$B$1:$B$996,Insumos!$D$1:$D$996),"")</f>
        <v/>
      </c>
      <c r="H3094" s="92" t="n">
        <v>30.25</v>
      </c>
      <c r="I3094" s="2162" t="n">
        <v>0</v>
      </c>
      <c r="J3094" s="2162" t="n">
        <v>0</v>
      </c>
      <c r="K3094" s="2162" t="n"/>
    </row>
    <row r="3095" outlineLevel="3" ht="15.75" customHeight="1">
      <c r="A3095" s="10" t="n">
        <v>41</v>
      </c>
      <c r="B3095" s="10" t="inlineStr">
        <is>
          <t>Insumo</t>
        </is>
      </c>
      <c r="C3095" s="10" t="inlineStr">
        <is>
          <t>Regularização de Piso 5,00cm - Autonivelado</t>
        </is>
      </c>
      <c r="D3095" s="10" t="inlineStr">
        <is>
          <t>Aditivo Adesivo Liquido Para Argamassas De Revestimentos Cimenticios</t>
        </is>
      </c>
      <c r="E3095" s="11">
        <f t="array" ref="E3095">_xlfn.XLOOKUP(D3095,Insumos!B:B,Insumos!C:$C)</f>
        <v/>
      </c>
      <c r="F3095" s="14">
        <f>5*0.007</f>
        <v/>
      </c>
      <c r="G3095" s="92">
        <f t="array" ref="G3095">IF(B3095="insumo",_xlfn.XLOOKUP($D3095,Insumos!$B$1:$B$996,Insumos!$D$1:$D$996),"")</f>
        <v/>
      </c>
      <c r="H3095" s="92" t="n">
        <v>0.6768999999999999</v>
      </c>
      <c r="I3095" s="2162" t="n">
        <v>0</v>
      </c>
      <c r="J3095" s="2162" t="n">
        <v>0</v>
      </c>
      <c r="K3095" s="2162" t="n"/>
    </row>
    <row r="3096" outlineLevel="3" ht="15.75" customHeight="1">
      <c r="A3096" s="10" t="n">
        <v>8</v>
      </c>
      <c r="B3096" s="10" t="inlineStr">
        <is>
          <t>Insumo</t>
        </is>
      </c>
      <c r="C3096" s="10" t="inlineStr">
        <is>
          <t>Regularização de Piso 5,00cm - Autonivelado</t>
        </is>
      </c>
      <c r="D3096" s="10" t="inlineStr">
        <is>
          <t xml:space="preserve">Cimento Autonivelante para Contrapiso </t>
        </is>
      </c>
      <c r="E3096" s="11">
        <f t="array" ref="E3096">_xlfn.XLOOKUP(D3096,Insumos!B:B,Insumos!C:$C)</f>
        <v/>
      </c>
      <c r="F3096" s="14">
        <f>5*0.166666666666667</f>
        <v/>
      </c>
      <c r="G3096" s="92">
        <f t="array" ref="G3096">IF(B3096="insumo",_xlfn.XLOOKUP($D3096,Insumos!$B$1:$B$996,Insumos!$D$1:$D$996),"")</f>
        <v/>
      </c>
      <c r="H3096" s="92" t="n">
        <v>3.54166666666667</v>
      </c>
      <c r="I3096" s="2162" t="n">
        <v>0</v>
      </c>
      <c r="J3096" s="2162" t="n">
        <v>0</v>
      </c>
      <c r="K3096" s="2162" t="n"/>
    </row>
    <row r="3097" outlineLevel="2" ht="12.75" customHeight="1">
      <c r="A3097" s="1071" t="n">
        <v>1</v>
      </c>
      <c r="B3097" s="1071" t="inlineStr">
        <is>
          <t>Serviço</t>
        </is>
      </c>
      <c r="C3097" s="1071" t="inlineStr">
        <is>
          <t xml:space="preserve">Regularização com argamassa, aplicação farofa, de Piso 4,00 cm </t>
        </is>
      </c>
      <c r="D3097" s="1071" t="inlineStr">
        <is>
          <t xml:space="preserve">Regularização com argamassa, aplicação farofa, de Piso 4,00 cm </t>
        </is>
      </c>
      <c r="E3097" s="1072" t="inlineStr">
        <is>
          <t>M2</t>
        </is>
      </c>
      <c r="F3097" s="1071" t="n"/>
      <c r="G3097" s="1073">
        <f t="array" ref="G3097">IF(B3097="insumo",_xlfn.XLOOKUP($D3097,Insumos!$B$1:$B$996,Insumos!$D$1:$D$996),"")</f>
        <v/>
      </c>
      <c r="H3097" s="1073" t="n">
        <v>15.0006</v>
      </c>
      <c r="I3097" s="2163" t="n">
        <v>0</v>
      </c>
      <c r="J3097" s="2163" t="n">
        <v>0</v>
      </c>
      <c r="K3097" s="2163" t="n"/>
    </row>
    <row r="3098" outlineLevel="3" ht="12.75" customHeight="1">
      <c r="A3098" s="82" t="n">
        <v>1</v>
      </c>
      <c r="B3098" s="82" t="inlineStr">
        <is>
          <t>Insumo</t>
        </is>
      </c>
      <c r="C3098" s="82" t="inlineStr">
        <is>
          <t xml:space="preserve">Regularização com argamassa, aplicação farofa, de Piso 4,00 cm </t>
        </is>
      </c>
      <c r="D3098" s="82" t="inlineStr">
        <is>
          <t>ARGAMASSA TRAÇO 1:3 (EM VOLUME DE CIMENTO E AREIA GROSSA ÚMIDA) PARA CONTRAPISO TIPO FAROFA</t>
        </is>
      </c>
      <c r="E3098" s="11">
        <f t="array" ref="E3098">_xlfn.XLOOKUP(D3098,Insumos!B:B,Insumos!C:$C)</f>
        <v/>
      </c>
      <c r="F3098" s="2164" t="n">
        <v>0.345</v>
      </c>
      <c r="G3098" s="92">
        <f t="array" ref="G3098">IF(B3098="insumo",_xlfn.XLOOKUP($D3098,Insumos!$B$1:$B$996,Insumos!$D$1:$D$996),"")</f>
        <v/>
      </c>
      <c r="H3098" s="92" t="n">
        <v>15.0006</v>
      </c>
      <c r="I3098" s="2165" t="n">
        <v>0</v>
      </c>
      <c r="J3098" s="2165" t="n">
        <v>0</v>
      </c>
      <c r="K3098" s="2165" t="n"/>
    </row>
    <row r="3099" outlineLevel="2" ht="15.75" customHeight="1">
      <c r="A3099" s="1067" t="n">
        <v>1</v>
      </c>
      <c r="B3099" s="1067" t="inlineStr">
        <is>
          <t>Serviço</t>
        </is>
      </c>
      <c r="C3099" s="1067" t="inlineStr">
        <is>
          <t xml:space="preserve">Regularização de Piso 5,00 cm </t>
        </is>
      </c>
      <c r="D3099" s="1067" t="inlineStr">
        <is>
          <t xml:space="preserve">Regularização de Piso 5,00 cm </t>
        </is>
      </c>
      <c r="E3099" s="1068" t="inlineStr">
        <is>
          <t>M2</t>
        </is>
      </c>
      <c r="F3099" s="1067" t="n"/>
      <c r="G3099" s="1069">
        <f t="array" ref="G3099">IF(B3099="insumo",_xlfn.XLOOKUP($D3099,Insumos!$B$1:$B$996,Insumos!$D$1:$D$996),"")</f>
        <v/>
      </c>
      <c r="H3099" s="1069" t="n">
        <v>30.1852333333333</v>
      </c>
      <c r="I3099" s="2161" t="e">
        <v>#REF!</v>
      </c>
      <c r="J3099" s="2161" t="e">
        <v>#REF!</v>
      </c>
      <c r="K3099" s="2161" t="n"/>
    </row>
    <row r="3100" outlineLevel="3" ht="15.75" customHeight="1">
      <c r="A3100" s="10" t="n">
        <v>32</v>
      </c>
      <c r="B3100" s="10" t="inlineStr">
        <is>
          <t>Insumo</t>
        </is>
      </c>
      <c r="C3100" s="10" t="inlineStr">
        <is>
          <t xml:space="preserve">Regularização de Piso 5,00 cm </t>
        </is>
      </c>
      <c r="D3100" s="10" t="inlineStr">
        <is>
          <t>Argamassa usninada para contrapiso</t>
        </is>
      </c>
      <c r="E3100" s="11">
        <f t="array" ref="E3100">_xlfn.XLOOKUP(D3100,Insumos!B:B,Insumos!C:$C)</f>
        <v/>
      </c>
      <c r="F3100" s="14">
        <f>0.05*1.05</f>
        <v/>
      </c>
      <c r="G3100" s="92">
        <f t="array" ref="G3100">IF(B3100="insumo",_xlfn.XLOOKUP($D3100,Insumos!$B$1:$B$996,Insumos!$D$1:$D$996),"")</f>
        <v/>
      </c>
      <c r="H3100" s="92" t="n">
        <v>28.875</v>
      </c>
      <c r="I3100" s="2162" t="e">
        <v>#REF!</v>
      </c>
      <c r="J3100" s="2162" t="e">
        <v>#REF!</v>
      </c>
      <c r="K3100" s="2162" t="n"/>
    </row>
    <row r="3101" outlineLevel="3" ht="15.75" customHeight="1">
      <c r="A3101" s="10" t="n">
        <v>41</v>
      </c>
      <c r="B3101" s="10" t="inlineStr">
        <is>
          <t>Insumo</t>
        </is>
      </c>
      <c r="C3101" s="10" t="inlineStr">
        <is>
          <t xml:space="preserve">Regularização de Piso 5,00 cm </t>
        </is>
      </c>
      <c r="D3101" s="10" t="inlineStr">
        <is>
          <t>Aditivo Adesivo Liquido Para Argamassas De Revestimentos Cimenticios</t>
        </is>
      </c>
      <c r="E3101" s="11">
        <f t="array" ref="E3101">_xlfn.XLOOKUP(D3101,Insumos!B:B,Insumos!C:$C)</f>
        <v/>
      </c>
      <c r="F3101" s="14">
        <f>0.007*5</f>
        <v/>
      </c>
      <c r="G3101" s="92">
        <f t="array" ref="G3101">IF(B3101="insumo",_xlfn.XLOOKUP($D3101,Insumos!$B$1:$B$996,Insumos!$D$1:$D$996),"")</f>
        <v/>
      </c>
      <c r="H3101" s="92" t="n">
        <v>0.6768999999999999</v>
      </c>
      <c r="I3101" s="2162" t="e">
        <v>#REF!</v>
      </c>
      <c r="J3101" s="2162" t="e">
        <v>#REF!</v>
      </c>
      <c r="K3101" s="2162" t="n"/>
    </row>
    <row r="3102" outlineLevel="3" ht="15.75" customHeight="1">
      <c r="A3102" s="10" t="n">
        <v>62</v>
      </c>
      <c r="B3102" s="10" t="inlineStr">
        <is>
          <t>Insumo</t>
        </is>
      </c>
      <c r="C3102" s="10" t="inlineStr">
        <is>
          <t xml:space="preserve">Regularização de Piso 5,00 cm </t>
        </is>
      </c>
      <c r="D3102" s="10" t="inlineStr">
        <is>
          <t>Cimento Portland Composto CP II-32</t>
        </is>
      </c>
      <c r="E3102" s="11">
        <f t="array" ref="E3102">_xlfn.XLOOKUP(D3102,Insumos!B:B,Insumos!C:$C)</f>
        <v/>
      </c>
      <c r="F3102" s="14">
        <f>0.166666666666667*5</f>
        <v/>
      </c>
      <c r="G3102" s="92">
        <f t="array" ref="G3102">IF(B3102="insumo",_xlfn.XLOOKUP($D3102,Insumos!$B$1:$B$996,Insumos!$D$1:$D$996),"")</f>
        <v/>
      </c>
      <c r="H3102" s="92" t="n">
        <v>0.633333333333335</v>
      </c>
      <c r="I3102" s="2162" t="e">
        <v>#REF!</v>
      </c>
      <c r="J3102" s="2162" t="e">
        <v>#REF!</v>
      </c>
      <c r="K3102" s="2162" t="n"/>
    </row>
    <row r="3103" outlineLevel="2" ht="15.75" customHeight="1">
      <c r="A3103" s="1067" t="n">
        <v>1</v>
      </c>
      <c r="B3103" s="1067" t="inlineStr">
        <is>
          <t>Serviço</t>
        </is>
      </c>
      <c r="C3103" s="1067" t="inlineStr">
        <is>
          <t>Regularização de Piso 3,00 cm - argila expansiva</t>
        </is>
      </c>
      <c r="D3103" s="1067" t="inlineStr">
        <is>
          <t>Regularização de Piso 3,00 cm - argila expansiva</t>
        </is>
      </c>
      <c r="E3103" s="1068" t="inlineStr">
        <is>
          <t>M2</t>
        </is>
      </c>
      <c r="F3103" s="1067" t="n"/>
      <c r="G3103" s="1069">
        <f t="array" ref="G3103">IF(B3103="insumo",_xlfn.XLOOKUP($D3103,Insumos!$B$1:$B$996,Insumos!$D$1:$D$996),"")</f>
        <v/>
      </c>
      <c r="H3103" s="1069" t="n">
        <v>23.1242</v>
      </c>
      <c r="I3103" s="2161" t="n">
        <v>0</v>
      </c>
      <c r="J3103" s="2161" t="n">
        <v>0</v>
      </c>
      <c r="K3103" s="2161" t="n"/>
    </row>
    <row r="3104" outlineLevel="3" ht="15.75" customHeight="1">
      <c r="A3104" s="10" t="n">
        <v>32</v>
      </c>
      <c r="B3104" s="10" t="inlineStr">
        <is>
          <t>Insumo</t>
        </is>
      </c>
      <c r="C3104" s="10" t="inlineStr">
        <is>
          <t>Regularização de Piso 3,00 cm - argila expansiva</t>
        </is>
      </c>
      <c r="D3104" s="10" t="inlineStr">
        <is>
          <t>Argamassa usninada para contrapiso</t>
        </is>
      </c>
      <c r="E3104" s="11">
        <f t="array" ref="E3104">_xlfn.XLOOKUP(D3104,Insumos!B:B,Insumos!C:$C)</f>
        <v/>
      </c>
      <c r="F3104" s="14" t="n">
        <v>0.033</v>
      </c>
      <c r="G3104" s="92">
        <f t="array" ref="G3104">IF(B3104="insumo",_xlfn.XLOOKUP($D3104,Insumos!$B$1:$B$996,Insumos!$D$1:$D$996),"")</f>
        <v/>
      </c>
      <c r="H3104" s="92" t="n">
        <v>18.15</v>
      </c>
      <c r="I3104" s="2162" t="n">
        <v>0</v>
      </c>
      <c r="J3104" s="2162" t="n">
        <v>0</v>
      </c>
      <c r="K3104" s="2162" t="n"/>
    </row>
    <row r="3105" outlineLevel="3" ht="15.75" customHeight="1">
      <c r="A3105" s="10" t="n">
        <v>1</v>
      </c>
      <c r="B3105" s="10" t="inlineStr">
        <is>
          <t>Insumo</t>
        </is>
      </c>
      <c r="C3105" s="10" t="inlineStr">
        <is>
          <t>Regularização de Piso 3,00 cm - argila expansiva</t>
        </is>
      </c>
      <c r="D3105" s="10" t="inlineStr">
        <is>
          <t>Argila expandida</t>
        </is>
      </c>
      <c r="E3105" s="11">
        <f t="array" ref="E3105">_xlfn.XLOOKUP(D3105,Insumos!B:B,Insumos!C:$C)</f>
        <v/>
      </c>
      <c r="F3105" s="14" t="n">
        <v>1.56</v>
      </c>
      <c r="G3105" s="92">
        <f t="array" ref="G3105">IF(B3105="insumo",_xlfn.XLOOKUP($D3105,Insumos!$B$1:$B$996,Insumos!$D$1:$D$996),"")</f>
        <v/>
      </c>
      <c r="H3105" s="92" t="n">
        <v>4.5942</v>
      </c>
      <c r="I3105" s="2162" t="n">
        <v>0</v>
      </c>
      <c r="J3105" s="2162" t="n">
        <v>0</v>
      </c>
      <c r="K3105" s="2162" t="n"/>
    </row>
    <row r="3106" outlineLevel="3" ht="15.75" customHeight="1">
      <c r="A3106" s="10" t="n">
        <v>62</v>
      </c>
      <c r="B3106" s="10" t="inlineStr">
        <is>
          <t>Insumo</t>
        </is>
      </c>
      <c r="C3106" s="10" t="inlineStr">
        <is>
          <t>Regularização de Piso 3,00 cm - argila expansiva</t>
        </is>
      </c>
      <c r="D3106" s="10" t="inlineStr">
        <is>
          <t>Cimento Portland Composto CP II-32</t>
        </is>
      </c>
      <c r="E3106" s="11">
        <f t="array" ref="E3106">_xlfn.XLOOKUP(D3106,Insumos!B:B,Insumos!C:$C)</f>
        <v/>
      </c>
      <c r="F3106" s="14" t="n">
        <v>0.5</v>
      </c>
      <c r="G3106" s="92">
        <f t="array" ref="G3106">IF(B3106="insumo",_xlfn.XLOOKUP($D3106,Insumos!$B$1:$B$996,Insumos!$D$1:$D$996),"")</f>
        <v/>
      </c>
      <c r="H3106" s="92" t="n">
        <v>0.38</v>
      </c>
      <c r="I3106" s="2162" t="n">
        <v>0</v>
      </c>
      <c r="J3106" s="2162" t="n">
        <v>0</v>
      </c>
      <c r="K3106" s="2162" t="n"/>
    </row>
    <row r="3107" outlineLevel="1" ht="15.75" customHeight="1">
      <c r="A3107" s="1090" t="n">
        <v>1</v>
      </c>
      <c r="B3107" s="1090" t="inlineStr">
        <is>
          <t>Subetapa</t>
        </is>
      </c>
      <c r="C3107" s="1090" t="inlineStr">
        <is>
          <t>Regularização de Piso 3,00 cm - argila expansiva</t>
        </is>
      </c>
      <c r="D3107" s="1090" t="inlineStr">
        <is>
          <t>CIMENTADOS</t>
        </is>
      </c>
      <c r="E3107" s="1091" t="n"/>
      <c r="F3107" s="2160" t="n"/>
      <c r="G3107" s="1091" t="n"/>
      <c r="H3107" s="1091" t="n">
        <v>0</v>
      </c>
      <c r="I3107" s="2160" t="n">
        <v>0</v>
      </c>
      <c r="J3107" s="2160" t="n">
        <v>0</v>
      </c>
      <c r="K3107" s="2160" t="n"/>
    </row>
    <row r="3108" outlineLevel="2" ht="15.75" customHeight="1">
      <c r="A3108" s="1067" t="n">
        <v>1</v>
      </c>
      <c r="B3108" s="1067" t="inlineStr">
        <is>
          <t>Serviço</t>
        </is>
      </c>
      <c r="C3108" s="1067" t="inlineStr">
        <is>
          <t>Piso cimentado com argamassa de contrapiso usinada e acabamento vassourado</t>
        </is>
      </c>
      <c r="D3108" s="1067" t="inlineStr">
        <is>
          <t>Piso cimentado com argamassa de contrapiso usinada e acabamento vassourado</t>
        </is>
      </c>
      <c r="E3108" s="1068" t="inlineStr">
        <is>
          <t>M2</t>
        </is>
      </c>
      <c r="F3108" s="1067" t="n"/>
      <c r="G3108" s="1069">
        <f t="array" ref="G3108">IF(B3108="insumo",_xlfn.XLOOKUP($D3108,Insumos!$B$1:$B$996,Insumos!$D$1:$D$996),"")</f>
        <v/>
      </c>
      <c r="H3108" s="1069" t="n">
        <v>30.7740933333333</v>
      </c>
      <c r="I3108" s="2161" t="n">
        <v>0</v>
      </c>
      <c r="J3108" s="2161" t="n">
        <v>0</v>
      </c>
      <c r="K3108" s="2161" t="n"/>
    </row>
    <row r="3109" outlineLevel="3" ht="15.75" customHeight="1">
      <c r="A3109" s="10" t="n">
        <v>32</v>
      </c>
      <c r="B3109" s="10" t="inlineStr">
        <is>
          <t>Insumo</t>
        </is>
      </c>
      <c r="C3109" s="10" t="inlineStr">
        <is>
          <t>Piso cimentado com argamassa de contrapiso usinada e acabamento vassourado</t>
        </is>
      </c>
      <c r="D3109" s="10" t="inlineStr">
        <is>
          <t>Argamassa usninada para contrapiso</t>
        </is>
      </c>
      <c r="E3109" s="11">
        <f t="array" ref="E3109">_xlfn.XLOOKUP(D3109,Insumos!B:B,Insumos!C:$C)</f>
        <v/>
      </c>
      <c r="F3109" s="14">
        <f>0.05*1.1</f>
        <v/>
      </c>
      <c r="G3109" s="92">
        <f t="array" ref="G3109">IF(B3109="insumo",_xlfn.XLOOKUP($D3109,Insumos!$B$1:$B$996,Insumos!$D$1:$D$996),"")</f>
        <v/>
      </c>
      <c r="H3109" s="92" t="n">
        <v>30.25</v>
      </c>
      <c r="I3109" s="2162" t="n">
        <v>0</v>
      </c>
      <c r="J3109" s="2162" t="n">
        <v>0</v>
      </c>
      <c r="K3109" s="2162" t="n"/>
    </row>
    <row r="3110" outlineLevel="3" ht="15.75" customHeight="1">
      <c r="A3110" s="10" t="n">
        <v>41</v>
      </c>
      <c r="B3110" s="10" t="inlineStr">
        <is>
          <t>Insumo</t>
        </is>
      </c>
      <c r="C3110" s="10" t="inlineStr">
        <is>
          <t>Piso cimentado com argamassa de contrapiso usinada e acabamento vassourado</t>
        </is>
      </c>
      <c r="D3110" s="10" t="inlineStr">
        <is>
          <t>Aditivo Adesivo Liquido Para Argamassas De Revestimentos Cimenticios</t>
        </is>
      </c>
      <c r="E3110" s="11">
        <f t="array" ref="E3110">_xlfn.XLOOKUP(D3110,Insumos!B:B,Insumos!C:$C)</f>
        <v/>
      </c>
      <c r="F3110" s="14" t="n">
        <v>0.014</v>
      </c>
      <c r="G3110" s="92">
        <f t="array" ref="G3110">IF(B3110="insumo",_xlfn.XLOOKUP($D3110,Insumos!$B$1:$B$996,Insumos!$D$1:$D$996),"")</f>
        <v/>
      </c>
      <c r="H3110" s="92" t="n">
        <v>0.27076</v>
      </c>
      <c r="I3110" s="2162" t="n">
        <v>0</v>
      </c>
      <c r="J3110" s="2162" t="n">
        <v>0</v>
      </c>
      <c r="K3110" s="2162" t="n"/>
    </row>
    <row r="3111" outlineLevel="3" ht="15.75" customHeight="1">
      <c r="A3111" s="10" t="n">
        <v>62</v>
      </c>
      <c r="B3111" s="10" t="inlineStr">
        <is>
          <t>Insumo</t>
        </is>
      </c>
      <c r="C3111" s="10" t="inlineStr">
        <is>
          <t>Piso cimentado com argamassa de contrapiso usinada e acabamento vassourado</t>
        </is>
      </c>
      <c r="D3111" s="10" t="inlineStr">
        <is>
          <t>Cimento Portland Composto CP II-32</t>
        </is>
      </c>
      <c r="E3111" s="11">
        <f t="array" ref="E3111">_xlfn.XLOOKUP(D3111,Insumos!B:B,Insumos!C:$C)</f>
        <v/>
      </c>
      <c r="F3111" s="14" t="n">
        <v>0.3333333333333334</v>
      </c>
      <c r="G3111" s="92">
        <f t="array" ref="G3111">IF(B3111="insumo",_xlfn.XLOOKUP($D3111,Insumos!$B$1:$B$996,Insumos!$D$1:$D$996),"")</f>
        <v/>
      </c>
      <c r="H3111" s="92" t="n">
        <v>0.253333333333333</v>
      </c>
      <c r="I3111" s="2162" t="n">
        <v>0</v>
      </c>
      <c r="J3111" s="2162" t="n">
        <v>0</v>
      </c>
      <c r="K3111" s="2162" t="n"/>
    </row>
    <row r="3112" outlineLevel="2" ht="15.75" customHeight="1">
      <c r="A3112" s="1067" t="n">
        <v>1</v>
      </c>
      <c r="B3112" s="1067" t="inlineStr">
        <is>
          <t>Serviço</t>
        </is>
      </c>
      <c r="C3112" s="1067" t="inlineStr">
        <is>
          <t xml:space="preserve">Piso de concreto polido, espessura 2cm </t>
        </is>
      </c>
      <c r="D3112" s="1067" t="inlineStr">
        <is>
          <t xml:space="preserve">Piso de concreto polido, espessura 2cm </t>
        </is>
      </c>
      <c r="E3112" s="1068" t="inlineStr">
        <is>
          <t>M2</t>
        </is>
      </c>
      <c r="F3112" s="1067" t="n"/>
      <c r="G3112" s="1069">
        <f t="array" ref="G3112">IF(B3112="insumo",_xlfn.XLOOKUP($D3112,Insumos!$B$1:$B$996,Insumos!$D$1:$D$996),"")</f>
        <v/>
      </c>
      <c r="H3112" s="1069" t="n">
        <v>61.444939</v>
      </c>
      <c r="I3112" s="2161" t="e">
        <v>#REF!</v>
      </c>
      <c r="J3112" s="2161" t="e">
        <v>#REF!</v>
      </c>
      <c r="K3112" s="2161" t="n"/>
    </row>
    <row r="3113" outlineLevel="3" ht="15.75" customHeight="1">
      <c r="A3113" s="10" t="n">
        <v>6</v>
      </c>
      <c r="B3113" s="10" t="inlineStr">
        <is>
          <t>Insumo</t>
        </is>
      </c>
      <c r="C3113" s="10" t="inlineStr">
        <is>
          <t xml:space="preserve">Piso de concreto polido, espessura 2cm </t>
        </is>
      </c>
      <c r="D3113" s="10" t="inlineStr">
        <is>
          <t>Concreto Usinado bombeável 35MPa Convencional</t>
        </is>
      </c>
      <c r="E3113" s="11">
        <f t="array" ref="E3113">_xlfn.XLOOKUP(D3113,Insumos!B:B,Insumos!C:$C)</f>
        <v/>
      </c>
      <c r="F3113" s="14" t="n">
        <v>0.0243</v>
      </c>
      <c r="G3113" s="92">
        <f t="array" ref="G3113">IF(B3113="insumo",_xlfn.XLOOKUP($D3113,Insumos!$B$1:$B$996,Insumos!$D$1:$D$996),"")</f>
        <v/>
      </c>
      <c r="H3113" s="92" t="n">
        <v>14.694939</v>
      </c>
      <c r="I3113" s="2162" t="e">
        <v>#REF!</v>
      </c>
      <c r="J3113" s="2162" t="e">
        <v>#REF!</v>
      </c>
      <c r="K3113" s="2162" t="n"/>
    </row>
    <row r="3114" outlineLevel="3" ht="15.75" customHeight="1">
      <c r="A3114" s="10" t="n">
        <v>4</v>
      </c>
      <c r="B3114" s="10" t="inlineStr">
        <is>
          <t>Insumo</t>
        </is>
      </c>
      <c r="C3114" s="10" t="inlineStr">
        <is>
          <t xml:space="preserve">Piso de concreto polido, espessura 2cm </t>
        </is>
      </c>
      <c r="D3114" s="10" t="inlineStr">
        <is>
          <t>ENDURECEDOR MINERAL DE BASE CIMENTICIA PARA PISO DE CONCRETO</t>
        </is>
      </c>
      <c r="E3114" s="11">
        <f t="array" ref="E3114">_xlfn.XLOOKUP(D3114,Insumos!B:B,Insumos!C:$C)</f>
        <v/>
      </c>
      <c r="F3114" s="14" t="n">
        <v>5</v>
      </c>
      <c r="G3114" s="92">
        <f t="array" ref="G3114">IF(B3114="insumo",_xlfn.XLOOKUP($D3114,Insumos!$B$1:$B$996,Insumos!$D$1:$D$996),"")</f>
        <v/>
      </c>
      <c r="H3114" s="92" t="n">
        <v>46.75</v>
      </c>
      <c r="I3114" s="2162" t="e">
        <v>#REF!</v>
      </c>
      <c r="J3114" s="2162" t="e">
        <v>#REF!</v>
      </c>
      <c r="K3114" s="2162" t="n"/>
    </row>
    <row r="3115" outlineLevel="2" ht="15.75" customHeight="1">
      <c r="A3115" s="1067" t="n">
        <v>1</v>
      </c>
      <c r="B3115" s="1067" t="inlineStr">
        <is>
          <t>Serviço</t>
        </is>
      </c>
      <c r="C3115" s="1067" t="inlineStr">
        <is>
          <t xml:space="preserve">Piso de concreto polido, espessura 3cm </t>
        </is>
      </c>
      <c r="D3115" s="1067" t="inlineStr">
        <is>
          <t xml:space="preserve">Piso de concreto polido, espessura 3cm </t>
        </is>
      </c>
      <c r="E3115" s="1068" t="inlineStr">
        <is>
          <t>M2</t>
        </is>
      </c>
      <c r="F3115" s="1067" t="n"/>
      <c r="G3115" s="1069">
        <f t="array" ref="G3115">IF(B3115="insumo",_xlfn.XLOOKUP($D3115,Insumos!$B$1:$B$996,Insumos!$D$1:$D$996),"")</f>
        <v/>
      </c>
      <c r="H3115" s="1069" t="n">
        <v>59.4424085</v>
      </c>
      <c r="I3115" s="2161" t="n">
        <v>0</v>
      </c>
      <c r="J3115" s="2161" t="n">
        <v>0</v>
      </c>
      <c r="K3115" s="2161" t="n"/>
    </row>
    <row r="3116" outlineLevel="3" ht="15.75" customHeight="1">
      <c r="A3116" s="10" t="n">
        <v>6</v>
      </c>
      <c r="B3116" s="10" t="inlineStr">
        <is>
          <t>Insumo</t>
        </is>
      </c>
      <c r="C3116" s="10" t="inlineStr">
        <is>
          <t xml:space="preserve">Piso de concreto polido, espessura 3cm </t>
        </is>
      </c>
      <c r="D3116" s="10" t="inlineStr">
        <is>
          <t>Concreto Usinado bombeável 35MPa Convencional</t>
        </is>
      </c>
      <c r="E3116" s="11">
        <f t="array" ref="E3116">_xlfn.XLOOKUP(D3116,Insumos!B:B,Insumos!C:$C)</f>
        <v/>
      </c>
      <c r="F3116" s="14">
        <f>0.0243*3/2</f>
        <v/>
      </c>
      <c r="G3116" s="92">
        <f t="array" ref="G3116">IF(B3116="insumo",_xlfn.XLOOKUP($D3116,Insumos!$B$1:$B$996,Insumos!$D$1:$D$996),"")</f>
        <v/>
      </c>
      <c r="H3116" s="92" t="n">
        <v>22.0424085</v>
      </c>
      <c r="I3116" s="2162" t="n">
        <v>0</v>
      </c>
      <c r="J3116" s="2162" t="n">
        <v>0</v>
      </c>
      <c r="K3116" s="2162" t="n"/>
    </row>
    <row r="3117" outlineLevel="3" ht="15.75" customHeight="1">
      <c r="A3117" s="10" t="n">
        <v>4</v>
      </c>
      <c r="B3117" s="10" t="inlineStr">
        <is>
          <t>Insumo</t>
        </is>
      </c>
      <c r="C3117" s="10" t="inlineStr">
        <is>
          <t xml:space="preserve">Piso de concreto polido, espessura 3cm </t>
        </is>
      </c>
      <c r="D3117" s="10" t="inlineStr">
        <is>
          <t>ENDURECEDOR MINERAL DE BASE CIMENTICIA PARA PISO DE CONCRETO</t>
        </is>
      </c>
      <c r="E3117" s="11">
        <f t="array" ref="E3117">_xlfn.XLOOKUP(D3117,Insumos!B:B,Insumos!C:$C)</f>
        <v/>
      </c>
      <c r="F3117" s="14" t="n">
        <v>4</v>
      </c>
      <c r="G3117" s="92">
        <f t="array" ref="G3117">IF(B3117="insumo",_xlfn.XLOOKUP($D3117,Insumos!$B$1:$B$996,Insumos!$D$1:$D$996),"")</f>
        <v/>
      </c>
      <c r="H3117" s="92" t="n">
        <v>37.4</v>
      </c>
      <c r="I3117" s="2162" t="n">
        <v>0</v>
      </c>
      <c r="J3117" s="2162" t="n">
        <v>0</v>
      </c>
      <c r="K3117" s="2162" t="n"/>
    </row>
    <row r="3118" outlineLevel="2" ht="15.75" customHeight="1">
      <c r="A3118" s="1067" t="n">
        <v>1</v>
      </c>
      <c r="B3118" s="1067" t="inlineStr">
        <is>
          <t>Serviço</t>
        </is>
      </c>
      <c r="C3118" s="1067" t="inlineStr">
        <is>
          <t xml:space="preserve">Piso concreto Queimado </t>
        </is>
      </c>
      <c r="D3118" s="1067" t="inlineStr">
        <is>
          <t xml:space="preserve">Piso concreto Queimado </t>
        </is>
      </c>
      <c r="E3118" s="1068" t="inlineStr">
        <is>
          <t>M2</t>
        </is>
      </c>
      <c r="F3118" s="1067" t="n"/>
      <c r="G3118" s="1069">
        <f t="array" ref="G3118">IF(B3118="insumo",_xlfn.XLOOKUP($D3118,Insumos!$B$1:$B$996,Insumos!$D$1:$D$996),"")</f>
        <v/>
      </c>
      <c r="H3118" s="1069" t="n">
        <v>12.6240933333333</v>
      </c>
      <c r="I3118" s="2161" t="e">
        <v>#REF!</v>
      </c>
      <c r="J3118" s="2161" t="e">
        <v>#REF!</v>
      </c>
      <c r="K3118" s="2161" t="n"/>
    </row>
    <row r="3119" outlineLevel="3" ht="15.75" customHeight="1">
      <c r="A3119" s="10" t="n">
        <v>32</v>
      </c>
      <c r="B3119" s="10" t="inlineStr">
        <is>
          <t>Insumo</t>
        </is>
      </c>
      <c r="C3119" s="10" t="inlineStr">
        <is>
          <t xml:space="preserve">Piso concreto Queimado </t>
        </is>
      </c>
      <c r="D3119" s="10" t="inlineStr">
        <is>
          <t>Argamassa usninada para contrapiso</t>
        </is>
      </c>
      <c r="E3119" s="11">
        <f t="array" ref="E3119">_xlfn.XLOOKUP(D3119,Insumos!B:B,Insumos!C:$C)</f>
        <v/>
      </c>
      <c r="F3119" s="14" t="n">
        <v>0.022</v>
      </c>
      <c r="G3119" s="92">
        <f t="array" ref="G3119">IF(B3119="insumo",_xlfn.XLOOKUP($D3119,Insumos!$B$1:$B$996,Insumos!$D$1:$D$996),"")</f>
        <v/>
      </c>
      <c r="H3119" s="92" t="n">
        <v>12.1</v>
      </c>
      <c r="I3119" s="2162" t="e">
        <v>#REF!</v>
      </c>
      <c r="J3119" s="2162" t="e">
        <v>#REF!</v>
      </c>
      <c r="K3119" s="2162" t="n"/>
    </row>
    <row r="3120" outlineLevel="3" ht="15.75" customHeight="1">
      <c r="A3120" s="10" t="n">
        <v>41</v>
      </c>
      <c r="B3120" s="10" t="inlineStr">
        <is>
          <t>Insumo</t>
        </is>
      </c>
      <c r="C3120" s="10" t="inlineStr">
        <is>
          <t xml:space="preserve">Piso concreto Queimado </t>
        </is>
      </c>
      <c r="D3120" s="10" t="inlineStr">
        <is>
          <t>Aditivo Adesivo Liquido Para Argamassas De Revestimentos Cimenticios</t>
        </is>
      </c>
      <c r="E3120" s="11">
        <f t="array" ref="E3120">_xlfn.XLOOKUP(D3120,Insumos!B:B,Insumos!C:$C)</f>
        <v/>
      </c>
      <c r="F3120" s="14" t="n">
        <v>0.014</v>
      </c>
      <c r="G3120" s="92">
        <f t="array" ref="G3120">IF(B3120="insumo",_xlfn.XLOOKUP($D3120,Insumos!$B$1:$B$996,Insumos!$D$1:$D$996),"")</f>
        <v/>
      </c>
      <c r="H3120" s="92" t="n">
        <v>0.27076</v>
      </c>
      <c r="I3120" s="2162" t="e">
        <v>#REF!</v>
      </c>
      <c r="J3120" s="2162" t="e">
        <v>#REF!</v>
      </c>
      <c r="K3120" s="2162" t="n"/>
    </row>
    <row r="3121" outlineLevel="3" ht="15.75" customHeight="1">
      <c r="A3121" s="10" t="n">
        <v>62</v>
      </c>
      <c r="B3121" s="10" t="inlineStr">
        <is>
          <t>Insumo</t>
        </is>
      </c>
      <c r="C3121" s="10" t="inlineStr">
        <is>
          <t xml:space="preserve">Piso concreto Queimado </t>
        </is>
      </c>
      <c r="D3121" s="10" t="inlineStr">
        <is>
          <t>Cimento Portland Composto CP II-32</t>
        </is>
      </c>
      <c r="E3121" s="11">
        <f t="array" ref="E3121">_xlfn.XLOOKUP(D3121,Insumos!B:B,Insumos!C:$C)</f>
        <v/>
      </c>
      <c r="F3121" s="14" t="n">
        <v>0.3333333333333334</v>
      </c>
      <c r="G3121" s="92">
        <f t="array" ref="G3121">IF(B3121="insumo",_xlfn.XLOOKUP($D3121,Insumos!$B$1:$B$996,Insumos!$D$1:$D$996),"")</f>
        <v/>
      </c>
      <c r="H3121" s="92" t="n">
        <v>0.253333333333333</v>
      </c>
      <c r="I3121" s="2162" t="e">
        <v>#REF!</v>
      </c>
      <c r="J3121" s="2162" t="e">
        <v>#REF!</v>
      </c>
      <c r="K3121" s="2162" t="n"/>
    </row>
    <row r="3122" outlineLevel="2" ht="15.75" customHeight="1">
      <c r="A3122" s="1067" t="n">
        <v>1</v>
      </c>
      <c r="B3122" s="1067" t="inlineStr">
        <is>
          <t>Serviço</t>
        </is>
      </c>
      <c r="C3122" s="1067" t="inlineStr">
        <is>
          <t>Piso cimentado acabamento rústico 6cm</t>
        </is>
      </c>
      <c r="D3122" s="1067" t="inlineStr">
        <is>
          <t>Piso cimentado acabamento rústico 6cm</t>
        </is>
      </c>
      <c r="E3122" s="1068" t="inlineStr">
        <is>
          <t>M2</t>
        </is>
      </c>
      <c r="F3122" s="1067" t="n"/>
      <c r="G3122" s="1069">
        <f t="array" ref="G3122">IF(B3122="insumo",_xlfn.XLOOKUP($D3122,Insumos!$B$1:$B$996,Insumos!$D$1:$D$996),"")</f>
        <v/>
      </c>
      <c r="H3122" s="1069" t="n">
        <v>33</v>
      </c>
      <c r="I3122" s="2161" t="n">
        <v>0</v>
      </c>
      <c r="J3122" s="2161" t="n">
        <v>0</v>
      </c>
      <c r="K3122" s="2161" t="n"/>
    </row>
    <row r="3123" outlineLevel="3" ht="15.75" customHeight="1">
      <c r="A3123" s="10" t="n">
        <v>32</v>
      </c>
      <c r="B3123" s="10" t="inlineStr">
        <is>
          <t>Insumo</t>
        </is>
      </c>
      <c r="C3123" s="10" t="inlineStr">
        <is>
          <t>Piso cimentado acabamento rústico 6cm</t>
        </is>
      </c>
      <c r="D3123" s="10" t="inlineStr">
        <is>
          <t>Argamassa usninada para contrapiso</t>
        </is>
      </c>
      <c r="E3123" s="11">
        <f t="array" ref="E3123">_xlfn.XLOOKUP(D3123,Insumos!B:B,Insumos!C:$C)</f>
        <v/>
      </c>
      <c r="F3123" s="14" t="n">
        <v>0.06</v>
      </c>
      <c r="G3123" s="92">
        <f t="array" ref="G3123">IF(B3123="insumo",_xlfn.XLOOKUP($D3123,Insumos!$B$1:$B$996,Insumos!$D$1:$D$996),"")</f>
        <v/>
      </c>
      <c r="H3123" s="92" t="n">
        <v>33</v>
      </c>
      <c r="I3123" s="2162" t="n">
        <v>0</v>
      </c>
      <c r="J3123" s="2162" t="n">
        <v>0</v>
      </c>
      <c r="K3123" s="2162" t="n"/>
    </row>
    <row r="3124" outlineLevel="2" ht="15.75" customHeight="1">
      <c r="A3124" s="1067" t="n">
        <v>1</v>
      </c>
      <c r="B3124" s="1067" t="inlineStr">
        <is>
          <t>Serviço</t>
        </is>
      </c>
      <c r="C3124" s="1067" t="inlineStr">
        <is>
          <t>Piso de concreto, acabamento desempenado, espessura 6 cm</t>
        </is>
      </c>
      <c r="D3124" s="1067" t="inlineStr">
        <is>
          <t>Piso de concreto, acabamento desempenado, espessura 6 cm</t>
        </is>
      </c>
      <c r="E3124" s="1068" t="inlineStr">
        <is>
          <t>M2</t>
        </is>
      </c>
      <c r="F3124" s="1067" t="n"/>
      <c r="G3124" s="1069">
        <f t="array" ref="G3124">IF(B3124="insumo",_xlfn.XLOOKUP($D3124,Insumos!$B$1:$B$996,Insumos!$D$1:$D$996),"")</f>
        <v/>
      </c>
      <c r="H3124" s="1069" t="n">
        <v>182.796</v>
      </c>
      <c r="I3124" s="2161" t="n">
        <v>0</v>
      </c>
      <c r="J3124" s="2161" t="n">
        <v>0</v>
      </c>
      <c r="K3124" s="2161" t="n"/>
    </row>
    <row r="3125" outlineLevel="3" ht="15.75" customHeight="1">
      <c r="A3125" s="10" t="n">
        <v>19</v>
      </c>
      <c r="B3125" s="10" t="inlineStr">
        <is>
          <t>Insumo</t>
        </is>
      </c>
      <c r="C3125" s="10" t="inlineStr">
        <is>
          <t>Piso de concreto, acabamento desempenado, espessura 6 cm</t>
        </is>
      </c>
      <c r="D3125" s="10" t="inlineStr">
        <is>
          <t>SARRAFO *2,5 X 7,5* CM EM PINUS, MISTA OU EQUIVALENTE DA REGIAO - BRUTA</t>
        </is>
      </c>
      <c r="E3125" s="11">
        <f t="array" ref="E3125">_xlfn.XLOOKUP(D3125,Insumos!B:B,Insumos!C:$C)</f>
        <v/>
      </c>
      <c r="F3125" s="14" t="n">
        <v>0.01125</v>
      </c>
      <c r="G3125" s="92">
        <f t="array" ref="G3125">IF(B3125="insumo",_xlfn.XLOOKUP($D3125,Insumos!$B$1:$B$996,Insumos!$D$1:$D$996),"")</f>
        <v/>
      </c>
      <c r="H3125" s="92" t="n">
        <v>15.1875</v>
      </c>
      <c r="I3125" s="2162" t="n">
        <v>0</v>
      </c>
      <c r="J3125" s="2162" t="n">
        <v>0</v>
      </c>
      <c r="K3125" s="2162" t="n"/>
    </row>
    <row r="3126" outlineLevel="3" ht="15.75" customHeight="1">
      <c r="A3126" s="10" t="n">
        <v>9</v>
      </c>
      <c r="B3126" s="10" t="inlineStr">
        <is>
          <t>Insumo</t>
        </is>
      </c>
      <c r="C3126" s="10" t="inlineStr">
        <is>
          <t>Piso de concreto, acabamento desempenado, espessura 6 cm</t>
        </is>
      </c>
      <c r="D3126" s="10" t="inlineStr">
        <is>
          <t>Concreto Usinado bombeável 20MPa Convencional</t>
        </is>
      </c>
      <c r="E3126" s="11">
        <f t="array" ref="E3126">_xlfn.XLOOKUP(D3126,Insumos!B:B,Insumos!C:$C)</f>
        <v/>
      </c>
      <c r="F3126" s="14" t="n">
        <v>0.07290000000000001</v>
      </c>
      <c r="G3126" s="92">
        <f t="array" ref="G3126">IF(B3126="insumo",_xlfn.XLOOKUP($D3126,Insumos!$B$1:$B$996,Insumos!$D$1:$D$996),"")</f>
        <v/>
      </c>
      <c r="H3126" s="92" t="n">
        <v>35.721</v>
      </c>
      <c r="I3126" s="2162" t="n">
        <v>0</v>
      </c>
      <c r="J3126" s="2162" t="n">
        <v>0</v>
      </c>
      <c r="K3126" s="2162" t="n"/>
    </row>
    <row r="3127" outlineLevel="3" ht="15.75" customHeight="1">
      <c r="A3127" s="10" t="n">
        <v>1</v>
      </c>
      <c r="B3127" s="10" t="inlineStr">
        <is>
          <t>Insumo</t>
        </is>
      </c>
      <c r="C3127" s="10" t="inlineStr">
        <is>
          <t>Piso de concreto, acabamento desempenado, espessura 6 cm</t>
        </is>
      </c>
      <c r="D3127" s="10" t="inlineStr">
        <is>
          <t>SARRAFO 2,5X10 CM PINUS*</t>
        </is>
      </c>
      <c r="E3127" s="11">
        <f t="array" ref="E3127">_xlfn.XLOOKUP(D3127,Insumos!B:B,Insumos!C:$C)</f>
        <v/>
      </c>
      <c r="F3127" s="14" t="n">
        <v>0.01875</v>
      </c>
      <c r="G3127" s="92">
        <f t="array" ref="G3127">IF(B3127="insumo",_xlfn.XLOOKUP($D3127,Insumos!$B$1:$B$996,Insumos!$D$1:$D$996),"")</f>
        <v/>
      </c>
      <c r="H3127" s="92" t="n">
        <v>19.6875</v>
      </c>
      <c r="I3127" s="2162" t="n">
        <v>0</v>
      </c>
      <c r="J3127" s="2162" t="n">
        <v>0</v>
      </c>
      <c r="K3127" s="2162" t="n"/>
    </row>
    <row r="3128" outlineLevel="3" ht="15.75" customHeight="1">
      <c r="A3128" s="10" t="n">
        <v>4</v>
      </c>
      <c r="B3128" s="10" t="inlineStr">
        <is>
          <t>Insumo</t>
        </is>
      </c>
      <c r="C3128" s="10" t="inlineStr">
        <is>
          <t>Piso de concreto, acabamento desempenado, espessura 6 cm</t>
        </is>
      </c>
      <c r="D3128" s="10" t="inlineStr">
        <is>
          <t>ENDURECEDOR MINERAL DE BASE CIMENTICIA PARA PISO DE CONCRETO</t>
        </is>
      </c>
      <c r="E3128" s="11">
        <f t="array" ref="E3128">_xlfn.XLOOKUP(D3128,Insumos!B:B,Insumos!C:$C)</f>
        <v/>
      </c>
      <c r="F3128" s="14" t="n">
        <v>12</v>
      </c>
      <c r="G3128" s="92">
        <f t="array" ref="G3128">IF(B3128="insumo",_xlfn.XLOOKUP($D3128,Insumos!$B$1:$B$996,Insumos!$D$1:$D$996),"")</f>
        <v/>
      </c>
      <c r="H3128" s="92" t="n">
        <v>112.2</v>
      </c>
      <c r="I3128" s="2162" t="n">
        <v>0</v>
      </c>
      <c r="J3128" s="2162" t="n">
        <v>0</v>
      </c>
      <c r="K3128" s="2162" t="n"/>
    </row>
    <row r="3129" outlineLevel="2" ht="12.75" customHeight="1">
      <c r="A3129" s="1071" t="n">
        <v>1</v>
      </c>
      <c r="B3129" s="1071" t="inlineStr">
        <is>
          <t>Serviço</t>
        </is>
      </c>
      <c r="C3129" s="1071" t="inlineStr">
        <is>
          <t>Piso de concreto, acabamento estampado, espessura 6 cm</t>
        </is>
      </c>
      <c r="D3129" s="1071" t="inlineStr">
        <is>
          <t>Piso de concreto, acabamento estampado, espessura 6 cm</t>
        </is>
      </c>
      <c r="E3129" s="1072" t="inlineStr">
        <is>
          <t>M2</t>
        </is>
      </c>
      <c r="F3129" s="1071" t="n"/>
      <c r="G3129" s="1073">
        <f t="array" ref="G3129">IF(B3129="insumo",_xlfn.XLOOKUP($D3129,Insumos!$B$1:$B$996,Insumos!$D$1:$D$996),"")</f>
        <v/>
      </c>
      <c r="H3129" s="1073" t="n">
        <v>77.3668206666667</v>
      </c>
      <c r="I3129" s="2163" t="e">
        <v>#REF!</v>
      </c>
      <c r="J3129" s="2163" t="e">
        <v>#REF!</v>
      </c>
      <c r="K3129" s="2163" t="n"/>
    </row>
    <row r="3130" outlineLevel="3" ht="12.75" customHeight="1">
      <c r="A3130" s="82" t="n">
        <v>19</v>
      </c>
      <c r="B3130" s="82" t="inlineStr">
        <is>
          <t>Insumo</t>
        </is>
      </c>
      <c r="C3130" s="82" t="inlineStr">
        <is>
          <t>Piso de concreto, acabamento estampado, espessura 6 cm</t>
        </is>
      </c>
      <c r="D3130" s="82" t="inlineStr">
        <is>
          <t>SARRAFO *2,5 X 7,5* CM EM PINUS, MISTA OU EQUIVALENTE DA REGIAO - BRUTA</t>
        </is>
      </c>
      <c r="E3130" s="11">
        <f t="array" ref="E3130">_xlfn.XLOOKUP(D3130,Insumos!B:B,Insumos!C:$C)</f>
        <v/>
      </c>
      <c r="F3130" s="2164" t="n">
        <v>0.0045</v>
      </c>
      <c r="G3130" s="92">
        <f t="array" ref="G3130">IF(B3130="insumo",_xlfn.XLOOKUP($D3130,Insumos!$B$1:$B$996,Insumos!$D$1:$D$996),"")</f>
        <v/>
      </c>
      <c r="H3130" s="92" t="n">
        <v>6.075</v>
      </c>
      <c r="I3130" s="2165" t="e">
        <v>#REF!</v>
      </c>
      <c r="J3130" s="2165" t="e">
        <v>#REF!</v>
      </c>
      <c r="K3130" s="2165" t="n"/>
    </row>
    <row r="3131" outlineLevel="3" ht="12.75" customHeight="1">
      <c r="A3131" s="82" t="n">
        <v>9</v>
      </c>
      <c r="B3131" s="82" t="inlineStr">
        <is>
          <t>Insumo</t>
        </is>
      </c>
      <c r="C3131" s="82" t="inlineStr">
        <is>
          <t>Piso de concreto, acabamento estampado, espessura 6 cm</t>
        </is>
      </c>
      <c r="D3131" s="82" t="inlineStr">
        <is>
          <t>Concreto Usinado bombeável 20MPa Convencional</t>
        </is>
      </c>
      <c r="E3131" s="11">
        <f t="array" ref="E3131">_xlfn.XLOOKUP(D3131,Insumos!B:B,Insumos!C:$C)</f>
        <v/>
      </c>
      <c r="F3131" s="2164" t="n">
        <v>0.07389999999999999</v>
      </c>
      <c r="G3131" s="92">
        <f t="array" ref="G3131">IF(B3131="insumo",_xlfn.XLOOKUP($D3131,Insumos!$B$1:$B$996,Insumos!$D$1:$D$996),"")</f>
        <v/>
      </c>
      <c r="H3131" s="92" t="n">
        <v>36.211</v>
      </c>
      <c r="I3131" s="2165" t="e">
        <v>#REF!</v>
      </c>
      <c r="J3131" s="2165" t="e">
        <v>#REF!</v>
      </c>
      <c r="K3131" s="2165" t="n"/>
    </row>
    <row r="3132" outlineLevel="3" ht="12.75" customHeight="1">
      <c r="A3132" s="82" t="n">
        <v>1</v>
      </c>
      <c r="B3132" s="82" t="inlineStr">
        <is>
          <t>Insumo</t>
        </is>
      </c>
      <c r="C3132" s="82" t="inlineStr">
        <is>
          <t>Piso de concreto, acabamento estampado, espessura 6 cm</t>
        </is>
      </c>
      <c r="D3132" s="82" t="inlineStr">
        <is>
          <t>DESMOLDANTE PARA CONCRETO ESTAMPADO</t>
        </is>
      </c>
      <c r="E3132" s="11">
        <f t="array" ref="E3132">_xlfn.XLOOKUP(D3132,Insumos!B:B,Insumos!C:$C)</f>
        <v/>
      </c>
      <c r="F3132" s="2164" t="n">
        <v>0.0667</v>
      </c>
      <c r="G3132" s="92">
        <f t="array" ref="G3132">IF(B3132="insumo",_xlfn.XLOOKUP($D3132,Insumos!$B$1:$B$996,Insumos!$D$1:$D$996),"")</f>
        <v/>
      </c>
      <c r="H3132" s="92" t="n">
        <v>1.44516666666667</v>
      </c>
      <c r="I3132" s="2165" t="e">
        <v>#REF!</v>
      </c>
      <c r="J3132" s="2165" t="e">
        <v>#REF!</v>
      </c>
      <c r="K3132" s="2165" t="n"/>
    </row>
    <row r="3133" outlineLevel="3" ht="12.75" customHeight="1">
      <c r="A3133" s="82" t="n">
        <v>1</v>
      </c>
      <c r="B3133" s="82" t="inlineStr">
        <is>
          <t>Insumo</t>
        </is>
      </c>
      <c r="C3133" s="82" t="inlineStr">
        <is>
          <t>Piso de concreto, acabamento estampado, espessura 6 cm</t>
        </is>
      </c>
      <c r="D3133" s="82" t="inlineStr">
        <is>
          <t>MOLDE DE POLIURETANO, FLEXIVEL OU SEMI-FLEXIVEL, PARA ESTAMPAGEM DE PISO / PASSEIO DE CONCRETO</t>
        </is>
      </c>
      <c r="E3133" s="11">
        <f t="array" ref="E3133">_xlfn.XLOOKUP(D3133,Insumos!B:B,Insumos!C:$C)</f>
        <v/>
      </c>
      <c r="F3133" s="2164" t="n">
        <v>0.0025</v>
      </c>
      <c r="G3133" s="92">
        <f t="array" ref="G3133">IF(B3133="insumo",_xlfn.XLOOKUP($D3133,Insumos!$B$1:$B$996,Insumos!$D$1:$D$996),"")</f>
        <v/>
      </c>
      <c r="H3133" s="92" t="n">
        <v>1.625</v>
      </c>
      <c r="I3133" s="2165" t="e">
        <v>#REF!</v>
      </c>
      <c r="J3133" s="2165" t="e">
        <v>#REF!</v>
      </c>
      <c r="K3133" s="2165" t="n"/>
    </row>
    <row r="3134" outlineLevel="3" ht="12.75" customHeight="1">
      <c r="A3134" s="82" t="n">
        <v>40</v>
      </c>
      <c r="B3134" s="82" t="inlineStr">
        <is>
          <t>Insumo</t>
        </is>
      </c>
      <c r="C3134" s="82" t="inlineStr">
        <is>
          <t>Piso de concreto, acabamento estampado, espessura 6 cm</t>
        </is>
      </c>
      <c r="D3134" s="82" t="inlineStr">
        <is>
          <t>PREGO DE ACO POLIDO COM CABECA 17 X 21 (2 X 11)</t>
        </is>
      </c>
      <c r="E3134" s="11">
        <f t="array" ref="E3134">_xlfn.XLOOKUP(D3134,Insumos!B:B,Insumos!C:$C)</f>
        <v/>
      </c>
      <c r="F3134" s="2164" t="n">
        <v>0.024</v>
      </c>
      <c r="G3134" s="92">
        <f t="array" ref="G3134">IF(B3134="insumo",_xlfn.XLOOKUP($D3134,Insumos!$B$1:$B$996,Insumos!$D$1:$D$996),"")</f>
        <v/>
      </c>
      <c r="H3134" s="92" t="n">
        <v>0.43512</v>
      </c>
      <c r="I3134" s="2165" t="e">
        <v>#REF!</v>
      </c>
      <c r="J3134" s="2165" t="e">
        <v>#REF!</v>
      </c>
      <c r="K3134" s="2165" t="n"/>
    </row>
    <row r="3135" outlineLevel="3" ht="12.75" customHeight="1">
      <c r="A3135" s="82" t="n">
        <v>1</v>
      </c>
      <c r="B3135" s="82" t="inlineStr">
        <is>
          <t>Insumo</t>
        </is>
      </c>
      <c r="C3135" s="82" t="inlineStr">
        <is>
          <t>Piso de concreto, acabamento estampado, espessura 6 cm</t>
        </is>
      </c>
      <c r="D3135" s="82" t="inlineStr">
        <is>
          <t>PO ENDURECEDOR PARA CONCRETO ESTAMPADO - PIGMENTO ENDURECEDOR</t>
        </is>
      </c>
      <c r="E3135" s="11">
        <f t="array" ref="E3135">_xlfn.XLOOKUP(D3135,Insumos!B:B,Insumos!C:$C)</f>
        <v/>
      </c>
      <c r="F3135" s="2164" t="n">
        <v>1.7391</v>
      </c>
      <c r="G3135" s="92">
        <f t="array" ref="G3135">IF(B3135="insumo",_xlfn.XLOOKUP($D3135,Insumos!$B$1:$B$996,Insumos!$D$1:$D$996),"")</f>
        <v/>
      </c>
      <c r="H3135" s="92" t="n">
        <v>27.442998</v>
      </c>
      <c r="I3135" s="2165" t="e">
        <v>#REF!</v>
      </c>
      <c r="J3135" s="2165" t="e">
        <v>#REF!</v>
      </c>
      <c r="K3135" s="2165" t="n"/>
    </row>
    <row r="3136" outlineLevel="3" ht="12.75" customHeight="1">
      <c r="A3136" s="82" t="n">
        <v>1</v>
      </c>
      <c r="B3136" s="82" t="inlineStr">
        <is>
          <t>Insumo</t>
        </is>
      </c>
      <c r="C3136" s="82" t="inlineStr">
        <is>
          <t>Piso de concreto, acabamento estampado, espessura 6 cm</t>
        </is>
      </c>
      <c r="D3136" s="82" t="inlineStr">
        <is>
          <t>SELANTE ACRILICO PARA TRATAMENTO / ACABAMENTO SUPERFICIAL DE CONCRETO ESTAMPADO, APARENTE, PEDRAS E OUTROS</t>
        </is>
      </c>
      <c r="E3136" s="11">
        <f t="array" ref="E3136">_xlfn.XLOOKUP(D3136,Insumos!B:B,Insumos!C:$C)</f>
        <v/>
      </c>
      <c r="F3136" s="2164" t="n">
        <v>0.1636</v>
      </c>
      <c r="G3136" s="92">
        <f t="array" ref="G3136">IF(B3136="insumo",_xlfn.XLOOKUP($D3136,Insumos!$B$1:$B$996,Insumos!$D$1:$D$996),"")</f>
        <v/>
      </c>
      <c r="H3136" s="92" t="n">
        <v>4.132536</v>
      </c>
      <c r="I3136" s="2165" t="e">
        <v>#REF!</v>
      </c>
      <c r="J3136" s="2165" t="e">
        <v>#REF!</v>
      </c>
      <c r="K3136" s="2165" t="n"/>
    </row>
    <row r="3137" outlineLevel="2" ht="15.75" customHeight="1">
      <c r="A3137" s="1067" t="n">
        <v>1</v>
      </c>
      <c r="B3137" s="1067" t="inlineStr">
        <is>
          <t>Serviço</t>
        </is>
      </c>
      <c r="C3137" s="1067" t="inlineStr">
        <is>
          <t>Lapidação de piso com lixas diamantadas</t>
        </is>
      </c>
      <c r="D3137" s="1067" t="inlineStr">
        <is>
          <t>Lapidação de piso com lixas diamantadas</t>
        </is>
      </c>
      <c r="E3137" s="1068" t="inlineStr">
        <is>
          <t>M2</t>
        </is>
      </c>
      <c r="F3137" s="1067" t="n"/>
      <c r="G3137" s="1069">
        <f t="array" ref="G3137">IF(B3137="insumo",_xlfn.XLOOKUP($D3137,Insumos!$B$1:$B$996,Insumos!$D$1:$D$996),"")</f>
        <v/>
      </c>
      <c r="H3137" s="1069" t="n">
        <v>75</v>
      </c>
      <c r="I3137" s="2161" t="n">
        <v>0</v>
      </c>
      <c r="J3137" s="2161" t="n">
        <v>0</v>
      </c>
      <c r="K3137" s="2161" t="n"/>
    </row>
    <row r="3138" outlineLevel="3" ht="12.75" customHeight="1">
      <c r="A3138" s="10" t="n">
        <v>1</v>
      </c>
      <c r="B3138" s="10" t="inlineStr">
        <is>
          <t>Insumo</t>
        </is>
      </c>
      <c r="C3138" s="10" t="inlineStr">
        <is>
          <t>Lapidação de piso com lixas diamantadas</t>
        </is>
      </c>
      <c r="D3138" s="10" t="inlineStr">
        <is>
          <t>Lapidação de piso com lixas diamantadas</t>
        </is>
      </c>
      <c r="E3138" s="11">
        <f t="array" ref="E3138">_xlfn.XLOOKUP(D3138,Insumos!B:B,Insumos!C:$C)</f>
        <v/>
      </c>
      <c r="F3138" s="14" t="n">
        <v>1</v>
      </c>
      <c r="G3138" s="92">
        <f t="array" ref="G3138">IF(B3138="insumo",_xlfn.XLOOKUP($D3138,Insumos!$B$1:$B$996,Insumos!$D$1:$D$996),"")</f>
        <v/>
      </c>
      <c r="H3138" s="92" t="n">
        <v>75</v>
      </c>
      <c r="I3138" s="2162" t="n">
        <v>0</v>
      </c>
      <c r="J3138" s="2162" t="n">
        <v>0</v>
      </c>
      <c r="K3138" s="2162" t="n"/>
    </row>
    <row r="3139" outlineLevel="2" ht="12.75" customHeight="1">
      <c r="A3139" s="1071" t="n">
        <v>1</v>
      </c>
      <c r="B3139" s="1071" t="inlineStr">
        <is>
          <t>Serviço</t>
        </is>
      </c>
      <c r="C3139" s="1071" t="inlineStr">
        <is>
          <t>Pavimentação em Piso drenante 45x45 cm</t>
        </is>
      </c>
      <c r="D3139" s="1071" t="inlineStr">
        <is>
          <t>Pavimentação em Piso drenante 45x45 cm</t>
        </is>
      </c>
      <c r="E3139" s="1072" t="inlineStr">
        <is>
          <t>M2</t>
        </is>
      </c>
      <c r="F3139" s="1071" t="n"/>
      <c r="G3139" s="1073">
        <f t="array" ref="G3139">IF(B3139="insumo",_xlfn.XLOOKUP($D3139,Insumos!$B$1:$B$996,Insumos!$D$1:$D$996),"")</f>
        <v/>
      </c>
      <c r="H3139" s="1073" t="n">
        <v>138.044797111111</v>
      </c>
      <c r="I3139" s="2163" t="n">
        <v>0</v>
      </c>
      <c r="J3139" s="2163" t="n">
        <v>0</v>
      </c>
      <c r="K3139" s="2163" t="n"/>
    </row>
    <row r="3140" outlineLevel="3" ht="12.75" customHeight="1">
      <c r="A3140" s="82" t="n">
        <v>2</v>
      </c>
      <c r="B3140" s="82" t="inlineStr">
        <is>
          <t>Insumo</t>
        </is>
      </c>
      <c r="C3140" s="82" t="inlineStr">
        <is>
          <t>Pavimentação em Piso drenante 45x45 cm</t>
        </is>
      </c>
      <c r="D3140" s="82" t="inlineStr">
        <is>
          <t>Piso drenante - 45x45x5</t>
        </is>
      </c>
      <c r="E3140" s="11">
        <f t="array" ref="E3140">_xlfn.XLOOKUP(D3140,Insumos!B:B,Insumos!C:$C)</f>
        <v/>
      </c>
      <c r="F3140" s="2164" t="n">
        <v>1.05</v>
      </c>
      <c r="G3140" s="92">
        <f t="array" ref="G3140">IF(B3140="insumo",_xlfn.XLOOKUP($D3140,Insumos!$B$1:$B$996,Insumos!$D$1:$D$996),"")</f>
        <v/>
      </c>
      <c r="H3140" s="92" t="n">
        <v>129.111111111111</v>
      </c>
      <c r="I3140" s="2165" t="n">
        <v>0</v>
      </c>
      <c r="J3140" s="2165" t="n">
        <v>0</v>
      </c>
      <c r="K3140" s="2165" t="n"/>
    </row>
    <row r="3141" outlineLevel="3" ht="12.75" customHeight="1">
      <c r="A3141" s="82" t="n">
        <v>8</v>
      </c>
      <c r="B3141" s="82" t="inlineStr">
        <is>
          <t>Insumo</t>
        </is>
      </c>
      <c r="C3141" s="82" t="inlineStr">
        <is>
          <t>Pavimentação em Piso drenante 45x45 cm</t>
        </is>
      </c>
      <c r="D3141" s="82" t="inlineStr">
        <is>
          <t xml:space="preserve">PO DE PEDRA </t>
        </is>
      </c>
      <c r="E3141" s="11">
        <f t="array" ref="E3141">_xlfn.XLOOKUP(D3141,Insumos!B:B,Insumos!C:$C)</f>
        <v/>
      </c>
      <c r="F3141" s="2164" t="n">
        <v>0.0066</v>
      </c>
      <c r="G3141" s="92">
        <f t="array" ref="G3141">IF(B3141="insumo",_xlfn.XLOOKUP($D3141,Insumos!$B$1:$B$996,Insumos!$D$1:$D$996),"")</f>
        <v/>
      </c>
      <c r="H3141" s="92" t="n">
        <v>0.697686</v>
      </c>
      <c r="I3141" s="2165" t="n">
        <v>0</v>
      </c>
      <c r="J3141" s="2165" t="n">
        <v>0</v>
      </c>
      <c r="K3141" s="2165" t="n"/>
    </row>
    <row r="3142" outlineLevel="3" ht="12.75" customHeight="1">
      <c r="A3142" s="82" t="n">
        <v>10</v>
      </c>
      <c r="B3142" s="82" t="inlineStr">
        <is>
          <t>Insumo</t>
        </is>
      </c>
      <c r="C3142" s="82" t="inlineStr">
        <is>
          <t>Pavimentação em Piso drenante 45x45 cm</t>
        </is>
      </c>
      <c r="D3142" s="82" t="inlineStr">
        <is>
          <t>AREIA MEDIA</t>
        </is>
      </c>
      <c r="E3142" s="11">
        <f t="array" ref="E3142">_xlfn.XLOOKUP(D3142,Insumos!B:B,Insumos!C:$C)</f>
        <v/>
      </c>
      <c r="F3142" s="2164" t="n">
        <v>0.0568</v>
      </c>
      <c r="G3142" s="92">
        <f t="array" ref="G3142">IF(B3142="insumo",_xlfn.XLOOKUP($D3142,Insumos!$B$1:$B$996,Insumos!$D$1:$D$996),"")</f>
        <v/>
      </c>
      <c r="H3142" s="92" t="n">
        <v>8.236000000000001</v>
      </c>
      <c r="I3142" s="2165" t="n">
        <v>0</v>
      </c>
      <c r="J3142" s="2165" t="n">
        <v>0</v>
      </c>
      <c r="K3142" s="2165" t="n"/>
    </row>
    <row r="3143" outlineLevel="1" ht="15.75" customHeight="1">
      <c r="A3143" s="1090" t="n">
        <v>1</v>
      </c>
      <c r="B3143" s="1090" t="inlineStr">
        <is>
          <t>Subetapa</t>
        </is>
      </c>
      <c r="C3143" s="1090" t="inlineStr">
        <is>
          <t>Pavimentação em Piso drenante 45x45 cm</t>
        </is>
      </c>
      <c r="D3143" s="1090" t="inlineStr">
        <is>
          <t>PISOS ESPECIAIS</t>
        </is>
      </c>
      <c r="E3143" s="1091" t="n"/>
      <c r="F3143" s="2160" t="n"/>
      <c r="G3143" s="1091" t="n"/>
      <c r="H3143" s="1091" t="n">
        <v>0</v>
      </c>
      <c r="I3143" s="2160" t="n">
        <v>0</v>
      </c>
      <c r="J3143" s="2160" t="n">
        <v>0</v>
      </c>
      <c r="K3143" s="2160" t="n"/>
    </row>
    <row r="3144" outlineLevel="2" ht="15.75" customHeight="1">
      <c r="A3144" s="1067" t="n">
        <v>1</v>
      </c>
      <c r="B3144" s="1067" t="inlineStr">
        <is>
          <t>Serviço</t>
        </is>
      </c>
      <c r="C3144" s="1067" t="inlineStr">
        <is>
          <t xml:space="preserve">Deck de madeira - material e mão de obra </t>
        </is>
      </c>
      <c r="D3144" s="1067" t="inlineStr">
        <is>
          <t xml:space="preserve">Deck de madeira - material e mão de obra </t>
        </is>
      </c>
      <c r="E3144" s="1068" t="inlineStr">
        <is>
          <t>M2</t>
        </is>
      </c>
      <c r="F3144" s="1067" t="n"/>
      <c r="G3144" s="1069">
        <f t="array" ref="G3144">IF(B3144="insumo",_xlfn.XLOOKUP($D3144,Insumos!$B$1:$B$996,Insumos!$D$1:$D$996),"")</f>
        <v/>
      </c>
      <c r="H3144" s="1069" t="n">
        <v>822.7</v>
      </c>
      <c r="I3144" s="2161" t="n">
        <v>0</v>
      </c>
      <c r="J3144" s="2161" t="n">
        <v>0</v>
      </c>
      <c r="K3144" s="2161" t="n"/>
    </row>
    <row r="3145" outlineLevel="3" ht="15.75" customHeight="1">
      <c r="A3145" s="10" t="n">
        <v>1</v>
      </c>
      <c r="B3145" s="10" t="inlineStr">
        <is>
          <t>Insumo</t>
        </is>
      </c>
      <c r="C3145" s="10" t="inlineStr">
        <is>
          <t xml:space="preserve">Deck de madeira - material e mão de obra </t>
        </is>
      </c>
      <c r="D3145" s="10" t="inlineStr">
        <is>
          <t>DECKS COMPOSTOS DE MADEIRA ECOLÓGICA PARA EXTERIORES</t>
        </is>
      </c>
      <c r="E3145" s="11">
        <f t="array" ref="E3145">_xlfn.XLOOKUP(D3145,Insumos!B:B,Insumos!C:$C)</f>
        <v/>
      </c>
      <c r="F3145" s="14" t="n">
        <v>1.1</v>
      </c>
      <c r="G3145" s="92">
        <f t="array" ref="G3145">IF(B3145="insumo",_xlfn.XLOOKUP($D3145,Insumos!$B$1:$B$996,Insumos!$D$1:$D$996),"")</f>
        <v/>
      </c>
      <c r="H3145" s="92" t="n">
        <v>612.7</v>
      </c>
      <c r="I3145" s="2162" t="n">
        <v>0</v>
      </c>
      <c r="J3145" s="2162" t="n">
        <v>0</v>
      </c>
      <c r="K3145" s="2162" t="n"/>
    </row>
    <row r="3146" outlineLevel="3" ht="15.75" customHeight="1">
      <c r="A3146" s="10" t="n">
        <v>2</v>
      </c>
      <c r="B3146" s="10" t="inlineStr">
        <is>
          <t>Insumo</t>
        </is>
      </c>
      <c r="C3146" s="10" t="inlineStr">
        <is>
          <t xml:space="preserve">Deck de madeira - material e mão de obra </t>
        </is>
      </c>
      <c r="D3146" s="10" t="inlineStr">
        <is>
          <t>Mão de obra de instalação de deck de madeira</t>
        </is>
      </c>
      <c r="E3146" s="11">
        <f t="array" ref="E3146">_xlfn.XLOOKUP(D3146,Insumos!B:B,Insumos!C:$C)</f>
        <v/>
      </c>
      <c r="F3146" s="14" t="n">
        <v>1</v>
      </c>
      <c r="G3146" s="92">
        <f t="array" ref="G3146">IF(B3146="insumo",_xlfn.XLOOKUP($D3146,Insumos!$B$1:$B$996,Insumos!$D$1:$D$996),"")</f>
        <v/>
      </c>
      <c r="H3146" s="92" t="n">
        <v>210</v>
      </c>
      <c r="I3146" s="2162" t="n">
        <v>0</v>
      </c>
      <c r="J3146" s="2162" t="n">
        <v>0</v>
      </c>
      <c r="K3146" s="2162" t="n"/>
    </row>
    <row r="3147" outlineLevel="2" ht="15.75" customHeight="1">
      <c r="A3147" s="1067" t="n">
        <v>1</v>
      </c>
      <c r="B3147" s="1067" t="inlineStr">
        <is>
          <t>Serviço</t>
        </is>
      </c>
      <c r="C3147" s="1067" t="inlineStr">
        <is>
          <t xml:space="preserve">Deck de madeira Cumaru - Tábuas: 10 x 200 cm - material e mão de obra </t>
        </is>
      </c>
      <c r="D3147" s="1067" t="inlineStr">
        <is>
          <t xml:space="preserve">Deck de madeira Cumaru - Tábuas: 10 x 200 cm - material e mão de obra </t>
        </is>
      </c>
      <c r="E3147" s="1068" t="inlineStr">
        <is>
          <t>M2</t>
        </is>
      </c>
      <c r="F3147" s="1067" t="n"/>
      <c r="G3147" s="1069">
        <f t="array" ref="G3147">IF(B3147="insumo",_xlfn.XLOOKUP($D3147,Insumos!$B$1:$B$996,Insumos!$D$1:$D$996),"")</f>
        <v/>
      </c>
      <c r="H3147" s="1069" t="n">
        <v>935</v>
      </c>
      <c r="I3147" s="2161" t="e">
        <v>#REF!</v>
      </c>
      <c r="J3147" s="2161" t="e">
        <v>#REF!</v>
      </c>
      <c r="K3147" s="2161" t="n"/>
    </row>
    <row r="3148" outlineLevel="3" ht="15.75" customHeight="1">
      <c r="A3148" s="10" t="n">
        <v>1</v>
      </c>
      <c r="B3148" s="10" t="inlineStr">
        <is>
          <t>Insumo</t>
        </is>
      </c>
      <c r="C3148" s="10" t="inlineStr">
        <is>
          <t xml:space="preserve">Deck de madeira Cumaru - Tábuas: 10 x 200 cm - material e mão de obra </t>
        </is>
      </c>
      <c r="D3148" s="10" t="inlineStr">
        <is>
          <t>PISO DECK MADEIRA (CUMARU) - Tábuas: 10 x 200 cm - Material e Mão de Obra</t>
        </is>
      </c>
      <c r="E3148" s="11">
        <f t="array" ref="E3148">_xlfn.XLOOKUP(D3148,Insumos!B:B,Insumos!C:$C)</f>
        <v/>
      </c>
      <c r="F3148" s="14" t="n">
        <v>1.1</v>
      </c>
      <c r="G3148" s="92">
        <f t="array" ref="G3148">IF(B3148="insumo",_xlfn.XLOOKUP($D3148,Insumos!$B$1:$B$996,Insumos!$D$1:$D$996),"")</f>
        <v/>
      </c>
      <c r="H3148" s="92" t="n">
        <v>935</v>
      </c>
      <c r="I3148" s="2162" t="e">
        <v>#REF!</v>
      </c>
      <c r="J3148" s="2162" t="e">
        <v>#REF!</v>
      </c>
      <c r="K3148" s="2162" t="n"/>
    </row>
    <row r="3149" outlineLevel="2" ht="15.75" customHeight="1">
      <c r="A3149" s="1067" t="n">
        <v>1</v>
      </c>
      <c r="B3149" s="1067" t="inlineStr">
        <is>
          <t>Serviço</t>
        </is>
      </c>
      <c r="C3149" s="1067" t="inlineStr">
        <is>
          <t xml:space="preserve">Piso de madeira natural - Carvalho Europeu Prime (Engineered Oak) - material e mão de obra </t>
        </is>
      </c>
      <c r="D3149" s="1067" t="inlineStr">
        <is>
          <t xml:space="preserve">Piso de madeira natural - Carvalho Europeu Prime (Engineered Oak) - material e mão de obra </t>
        </is>
      </c>
      <c r="E3149" s="1068" t="inlineStr">
        <is>
          <t>M2</t>
        </is>
      </c>
      <c r="F3149" s="1067" t="n"/>
      <c r="G3149" s="1069">
        <f t="array" ref="G3149">IF(B3149="insumo",_xlfn.XLOOKUP($D3149,Insumos!$B$1:$B$996,Insumos!$D$1:$D$996),"")</f>
        <v/>
      </c>
      <c r="H3149" s="1069" t="n">
        <v>1155</v>
      </c>
      <c r="I3149" s="2161" t="n">
        <v>0</v>
      </c>
      <c r="J3149" s="2161" t="n">
        <v>0</v>
      </c>
      <c r="K3149" s="2161" t="n"/>
    </row>
    <row r="3150" outlineLevel="3" ht="15.75" customHeight="1">
      <c r="A3150" s="10" t="n">
        <v>1</v>
      </c>
      <c r="B3150" s="10" t="inlineStr">
        <is>
          <t>Insumo</t>
        </is>
      </c>
      <c r="C3150" s="10" t="inlineStr">
        <is>
          <t xml:space="preserve">Piso de madeira natural - Carvalho Europeu Prime (Engineered Oak) - material e mão de obra </t>
        </is>
      </c>
      <c r="D3150" s="10" t="inlineStr">
        <is>
          <t xml:space="preserve">Piso de madeira natural - Carvalho Europeu Prime (Engineered Oak) - material e mão de obra </t>
        </is>
      </c>
      <c r="E3150" s="11">
        <f t="array" ref="E3150">_xlfn.XLOOKUP(D3150,Insumos!B:B,Insumos!C:$C)</f>
        <v/>
      </c>
      <c r="F3150" s="14" t="n">
        <v>1.1</v>
      </c>
      <c r="G3150" s="92">
        <f t="array" ref="G3150">IF(B3150="insumo",_xlfn.XLOOKUP($D3150,Insumos!$B$1:$B$996,Insumos!$D$1:$D$996),"")</f>
        <v/>
      </c>
      <c r="H3150" s="92" t="n">
        <v>1155</v>
      </c>
      <c r="I3150" s="2162" t="n">
        <v>0</v>
      </c>
      <c r="J3150" s="2162" t="n">
        <v>0</v>
      </c>
      <c r="K3150" s="2162" t="n"/>
    </row>
    <row r="3151" outlineLevel="2" ht="15.75" customHeight="1">
      <c r="A3151" s="1067" t="n">
        <v>1</v>
      </c>
      <c r="B3151" s="1067" t="inlineStr">
        <is>
          <t>Serviço</t>
        </is>
      </c>
      <c r="C3151" s="1067" t="inlineStr">
        <is>
          <t xml:space="preserve">Piso de madeira natural - Carvalho Rustic Premium - material e mão de obra </t>
        </is>
      </c>
      <c r="D3151" s="1067" t="inlineStr">
        <is>
          <t xml:space="preserve">Piso de madeira natural - Carvalho Rustic Premium - material e mão de obra </t>
        </is>
      </c>
      <c r="E3151" s="1068" t="inlineStr">
        <is>
          <t>M2</t>
        </is>
      </c>
      <c r="F3151" s="1067" t="n"/>
      <c r="G3151" s="1069">
        <f t="array" ref="G3151">IF(B3151="insumo",_xlfn.XLOOKUP($D3151,Insumos!$B$1:$B$996,Insumos!$D$1:$D$996),"")</f>
        <v/>
      </c>
      <c r="H3151" s="1069" t="n">
        <v>858</v>
      </c>
      <c r="I3151" s="2161" t="n">
        <v>0</v>
      </c>
      <c r="J3151" s="2161" t="n">
        <v>0</v>
      </c>
      <c r="K3151" s="2161" t="n"/>
    </row>
    <row r="3152" outlineLevel="3" ht="15.75" customHeight="1">
      <c r="A3152" s="10" t="n">
        <v>1</v>
      </c>
      <c r="B3152" s="10" t="inlineStr">
        <is>
          <t>Insumo</t>
        </is>
      </c>
      <c r="C3152" s="10" t="inlineStr">
        <is>
          <t xml:space="preserve">Piso de madeira natural - Carvalho Rustic Premium - material e mão de obra </t>
        </is>
      </c>
      <c r="D3152" s="10" t="inlineStr">
        <is>
          <t xml:space="preserve">Piso de madeira natural - Carvalho Rustic Premium - material e mão de obra </t>
        </is>
      </c>
      <c r="E3152" s="11">
        <f t="array" ref="E3152">_xlfn.XLOOKUP(D3152,Insumos!B:B,Insumos!C:$C)</f>
        <v/>
      </c>
      <c r="F3152" s="14" t="n">
        <v>1.1</v>
      </c>
      <c r="G3152" s="92">
        <f t="array" ref="G3152">IF(B3152="insumo",_xlfn.XLOOKUP($D3152,Insumos!$B$1:$B$996,Insumos!$D$1:$D$996),"")</f>
        <v/>
      </c>
      <c r="H3152" s="92" t="n">
        <v>858</v>
      </c>
      <c r="I3152" s="2162" t="n">
        <v>0</v>
      </c>
      <c r="J3152" s="2162" t="n">
        <v>0</v>
      </c>
      <c r="K3152" s="2162" t="n"/>
    </row>
    <row r="3153" outlineLevel="2" ht="15.75" customHeight="1">
      <c r="A3153" s="1067" t="n">
        <v>1</v>
      </c>
      <c r="B3153" s="1067" t="inlineStr">
        <is>
          <t>Serviço</t>
        </is>
      </c>
      <c r="C3153" s="1067" t="inlineStr">
        <is>
          <t xml:space="preserve">Piso de madeira natural - Nogueira Americana - material e mão de obra </t>
        </is>
      </c>
      <c r="D3153" s="1067" t="inlineStr">
        <is>
          <t xml:space="preserve">Piso de madeira natural - Nogueira Americana - material e mão de obra </t>
        </is>
      </c>
      <c r="E3153" s="1068" t="inlineStr">
        <is>
          <t>M2</t>
        </is>
      </c>
      <c r="F3153" s="1067" t="n"/>
      <c r="G3153" s="1069">
        <f t="array" ref="G3153">IF(B3153="insumo",_xlfn.XLOOKUP($D3153,Insumos!$B$1:$B$996,Insumos!$D$1:$D$996),"")</f>
        <v/>
      </c>
      <c r="H3153" s="1069" t="n">
        <v>1210</v>
      </c>
      <c r="I3153" s="2161" t="n">
        <v>0</v>
      </c>
      <c r="J3153" s="2161" t="n">
        <v>0</v>
      </c>
      <c r="K3153" s="2161" t="n"/>
    </row>
    <row r="3154" outlineLevel="3" ht="15.75" customHeight="1">
      <c r="A3154" s="10" t="n">
        <v>1</v>
      </c>
      <c r="B3154" s="10" t="inlineStr">
        <is>
          <t>Insumo</t>
        </is>
      </c>
      <c r="C3154" s="10" t="inlineStr">
        <is>
          <t xml:space="preserve">Piso de madeira natural - Nogueira Americana - material e mão de obra </t>
        </is>
      </c>
      <c r="D3154" s="10" t="inlineStr">
        <is>
          <t xml:space="preserve">Piso de madeira natural - Nogueira Americana - material e mão de obra </t>
        </is>
      </c>
      <c r="E3154" s="11">
        <f t="array" ref="E3154">_xlfn.XLOOKUP(D3154,Insumos!B:B,Insumos!C:$C)</f>
        <v/>
      </c>
      <c r="F3154" s="14" t="n">
        <v>1.1</v>
      </c>
      <c r="G3154" s="92">
        <f t="array" ref="G3154">IF(B3154="insumo",_xlfn.XLOOKUP($D3154,Insumos!$B$1:$B$996,Insumos!$D$1:$D$996),"")</f>
        <v/>
      </c>
      <c r="H3154" s="92" t="n">
        <v>1210</v>
      </c>
      <c r="I3154" s="2162" t="n">
        <v>0</v>
      </c>
      <c r="J3154" s="2162" t="n">
        <v>0</v>
      </c>
      <c r="K3154" s="2162" t="n"/>
    </row>
    <row r="3155" outlineLevel="2" ht="15.75" customHeight="1">
      <c r="A3155" s="1067" t="n">
        <v>1</v>
      </c>
      <c r="B3155" s="1067" t="inlineStr">
        <is>
          <t>Serviço</t>
        </is>
      </c>
      <c r="C3155" s="1067" t="inlineStr">
        <is>
          <t xml:space="preserve">Piso de madeira natural - Cumaru engenheirado - material e mão de obra </t>
        </is>
      </c>
      <c r="D3155" s="1067" t="inlineStr">
        <is>
          <t xml:space="preserve">Piso de madeira natural - Cumaru engenheirado - material e mão de obra </t>
        </is>
      </c>
      <c r="E3155" s="1068" t="inlineStr">
        <is>
          <t>M2</t>
        </is>
      </c>
      <c r="F3155" s="1067" t="n"/>
      <c r="G3155" s="1069">
        <f t="array" ref="G3155">IF(B3155="insumo",_xlfn.XLOOKUP($D3155,Insumos!$B$1:$B$996,Insumos!$D$1:$D$996),"")</f>
        <v/>
      </c>
      <c r="H3155" s="1069" t="n">
        <v>825</v>
      </c>
      <c r="I3155" s="2161" t="e">
        <v>#REF!</v>
      </c>
      <c r="J3155" s="2161" t="e">
        <v>#REF!</v>
      </c>
      <c r="K3155" s="2161" t="n"/>
    </row>
    <row r="3156" outlineLevel="3" ht="15.75" customHeight="1">
      <c r="A3156" s="10" t="n">
        <v>1</v>
      </c>
      <c r="B3156" s="10" t="inlineStr">
        <is>
          <t>Insumo</t>
        </is>
      </c>
      <c r="C3156" s="10" t="inlineStr">
        <is>
          <t xml:space="preserve">Piso de madeira natural - Cumaru engenheirado - material e mão de obra </t>
        </is>
      </c>
      <c r="D3156" s="10" t="inlineStr">
        <is>
          <t xml:space="preserve">Piso de madeira natural - Cumaru engenheirado - material e mão de obra </t>
        </is>
      </c>
      <c r="E3156" s="11">
        <f t="array" ref="E3156">_xlfn.XLOOKUP(D3156,Insumos!B:B,Insumos!C:$C)</f>
        <v/>
      </c>
      <c r="F3156" s="14" t="n">
        <v>1.1</v>
      </c>
      <c r="G3156" s="92">
        <f t="array" ref="G3156">IF(B3156="insumo",_xlfn.XLOOKUP($D3156,Insumos!$B$1:$B$996,Insumos!$D$1:$D$996),"")</f>
        <v/>
      </c>
      <c r="H3156" s="92" t="n">
        <v>825</v>
      </c>
      <c r="I3156" s="2162" t="e">
        <v>#REF!</v>
      </c>
      <c r="J3156" s="2162" t="e">
        <v>#REF!</v>
      </c>
      <c r="K3156" s="2162" t="n"/>
    </row>
    <row r="3157" outlineLevel="2" ht="15.75" customHeight="1">
      <c r="A3157" s="1067" t="n">
        <v>1</v>
      </c>
      <c r="B3157" s="1067" t="inlineStr">
        <is>
          <t>Serviço</t>
        </is>
      </c>
      <c r="C3157" s="1067" t="inlineStr">
        <is>
          <t xml:space="preserve">Piso de madeira escura Sucupira - material e mão de obra </t>
        </is>
      </c>
      <c r="D3157" s="1067" t="inlineStr">
        <is>
          <t xml:space="preserve">Piso de madeira escura Sucupira - material e mão de obra </t>
        </is>
      </c>
      <c r="E3157" s="1068" t="inlineStr">
        <is>
          <t>M2</t>
        </is>
      </c>
      <c r="F3157" s="1067" t="n"/>
      <c r="G3157" s="1069">
        <f t="array" ref="G3157">IF(B3157="insumo",_xlfn.XLOOKUP($D3157,Insumos!$B$1:$B$996,Insumos!$D$1:$D$996),"")</f>
        <v/>
      </c>
      <c r="H3157" s="1069" t="n">
        <v>870</v>
      </c>
      <c r="I3157" s="2161" t="n">
        <v>0</v>
      </c>
      <c r="J3157" s="2161" t="n">
        <v>0</v>
      </c>
      <c r="K3157" s="2161" t="n"/>
    </row>
    <row r="3158" outlineLevel="3" ht="15.75" customHeight="1">
      <c r="A3158" s="10" t="n">
        <v>1</v>
      </c>
      <c r="B3158" s="10" t="inlineStr">
        <is>
          <t>Insumo</t>
        </is>
      </c>
      <c r="C3158" s="10" t="inlineStr">
        <is>
          <t xml:space="preserve">Piso de madeira escura Sucupira - material e mão de obra </t>
        </is>
      </c>
      <c r="D3158" s="10" t="inlineStr">
        <is>
          <t>PISO MADEIRA ESCURA - Sucupira</t>
        </is>
      </c>
      <c r="E3158" s="11">
        <f t="array" ref="E3158">_xlfn.XLOOKUP(D3158,Insumos!B:B,Insumos!C:$C)</f>
        <v/>
      </c>
      <c r="F3158" s="14" t="n">
        <v>1.1</v>
      </c>
      <c r="G3158" s="92">
        <f t="array" ref="G3158">IF(B3158="insumo",_xlfn.XLOOKUP($D3158,Insumos!$B$1:$B$996,Insumos!$D$1:$D$996),"")</f>
        <v/>
      </c>
      <c r="H3158" s="92" t="n">
        <v>660</v>
      </c>
      <c r="I3158" s="2162" t="n">
        <v>0</v>
      </c>
      <c r="J3158" s="2162" t="n">
        <v>0</v>
      </c>
      <c r="K3158" s="2162" t="n"/>
    </row>
    <row r="3159" outlineLevel="3" ht="15.75" customHeight="1">
      <c r="A3159" s="10" t="n">
        <v>5</v>
      </c>
      <c r="B3159" s="10" t="inlineStr">
        <is>
          <t>Insumo</t>
        </is>
      </c>
      <c r="C3159" s="10" t="inlineStr">
        <is>
          <t xml:space="preserve">Piso de madeira escura Sucupira - material e mão de obra </t>
        </is>
      </c>
      <c r="D3159" s="10" t="inlineStr">
        <is>
          <t>Mão de obra de instalação de Piso de madeira</t>
        </is>
      </c>
      <c r="E3159" s="11">
        <f t="array" ref="E3159">_xlfn.XLOOKUP(D3159,Insumos!B:B,Insumos!C:$C)</f>
        <v/>
      </c>
      <c r="F3159" s="14" t="n">
        <v>1</v>
      </c>
      <c r="G3159" s="92">
        <f t="array" ref="G3159">IF(B3159="insumo",_xlfn.XLOOKUP($D3159,Insumos!$B$1:$B$996,Insumos!$D$1:$D$996),"")</f>
        <v/>
      </c>
      <c r="H3159" s="92" t="n">
        <v>210</v>
      </c>
      <c r="I3159" s="2162" t="n">
        <v>0</v>
      </c>
      <c r="J3159" s="2162" t="n">
        <v>0</v>
      </c>
      <c r="K3159" s="2162" t="n"/>
    </row>
    <row r="3160" outlineLevel="2" ht="15.75" customHeight="1">
      <c r="A3160" s="1067" t="n">
        <v>1</v>
      </c>
      <c r="B3160" s="1067" t="inlineStr">
        <is>
          <t>Serviço</t>
        </is>
      </c>
      <c r="C3160" s="1067" t="inlineStr">
        <is>
          <t xml:space="preserve">Piso de madeira escura Tauari Naturalle - material e mão de obra </t>
        </is>
      </c>
      <c r="D3160" s="1067" t="inlineStr">
        <is>
          <t xml:space="preserve">Piso de madeira escura Tauari Naturalle - material e mão de obra </t>
        </is>
      </c>
      <c r="E3160" s="1068" t="inlineStr">
        <is>
          <t>M2</t>
        </is>
      </c>
      <c r="F3160" s="1067" t="n"/>
      <c r="G3160" s="1069">
        <f t="array" ref="G3160">IF(B3160="insumo",_xlfn.XLOOKUP($D3160,Insumos!$B$1:$B$996,Insumos!$D$1:$D$996),"")</f>
        <v/>
      </c>
      <c r="H3160" s="1069" t="n">
        <v>859</v>
      </c>
      <c r="I3160" s="2161" t="e">
        <v>#REF!</v>
      </c>
      <c r="J3160" s="2161" t="e">
        <v>#REF!</v>
      </c>
      <c r="K3160" s="2161" t="n"/>
    </row>
    <row r="3161" outlineLevel="3" ht="15.75" customHeight="1">
      <c r="A3161" s="10" t="n">
        <v>1</v>
      </c>
      <c r="B3161" s="10" t="inlineStr">
        <is>
          <t>Insumo</t>
        </is>
      </c>
      <c r="C3161" s="10" t="inlineStr">
        <is>
          <t xml:space="preserve">Piso de madeira escura Tauari Naturalle - material e mão de obra </t>
        </is>
      </c>
      <c r="D3161" s="10" t="inlineStr">
        <is>
          <t>PISO MADEIRA ESCURA - Tauari Naturalle</t>
        </is>
      </c>
      <c r="E3161" s="11">
        <f t="array" ref="E3161">_xlfn.XLOOKUP(D3161,Insumos!B:B,Insumos!C:$C)</f>
        <v/>
      </c>
      <c r="F3161" s="14" t="n">
        <v>1.1</v>
      </c>
      <c r="G3161" s="92">
        <f t="array" ref="G3161">IF(B3161="insumo",_xlfn.XLOOKUP($D3161,Insumos!$B$1:$B$996,Insumos!$D$1:$D$996),"")</f>
        <v/>
      </c>
      <c r="H3161" s="92" t="n">
        <v>649</v>
      </c>
      <c r="I3161" s="2162" t="e">
        <v>#REF!</v>
      </c>
      <c r="J3161" s="2162" t="e">
        <v>#REF!</v>
      </c>
      <c r="K3161" s="2162" t="n"/>
    </row>
    <row r="3162" outlineLevel="3" ht="15.75" customHeight="1">
      <c r="A3162" s="10" t="n">
        <v>5</v>
      </c>
      <c r="B3162" s="10" t="inlineStr">
        <is>
          <t>Insumo</t>
        </is>
      </c>
      <c r="C3162" s="10" t="inlineStr">
        <is>
          <t xml:space="preserve">Piso de madeira escura Tauari Naturalle - material e mão de obra </t>
        </is>
      </c>
      <c r="D3162" s="10" t="inlineStr">
        <is>
          <t>Mão de obra de instalação de Piso de madeira</t>
        </is>
      </c>
      <c r="E3162" s="11">
        <f t="array" ref="E3162">_xlfn.XLOOKUP(D3162,Insumos!B:B,Insumos!C:$C)</f>
        <v/>
      </c>
      <c r="F3162" s="14" t="n">
        <v>1</v>
      </c>
      <c r="G3162" s="92">
        <f t="array" ref="G3162">IF(B3162="insumo",_xlfn.XLOOKUP($D3162,Insumos!$B$1:$B$996,Insumos!$D$1:$D$996),"")</f>
        <v/>
      </c>
      <c r="H3162" s="92" t="n">
        <v>210</v>
      </c>
      <c r="I3162" s="2162" t="e">
        <v>#REF!</v>
      </c>
      <c r="J3162" s="2162" t="e">
        <v>#REF!</v>
      </c>
      <c r="K3162" s="2162" t="n"/>
    </row>
    <row r="3163" outlineLevel="2" ht="15.75" customHeight="1">
      <c r="A3163" s="1067" t="n">
        <v>1</v>
      </c>
      <c r="B3163" s="1067" t="inlineStr">
        <is>
          <t>Serviço</t>
        </is>
      </c>
      <c r="C3163" s="1067" t="inlineStr">
        <is>
          <t xml:space="preserve">Piso de madeira clara Tauari Naturalle Cremme - material e mão de obra </t>
        </is>
      </c>
      <c r="D3163" s="1067" t="inlineStr">
        <is>
          <t xml:space="preserve">Piso de madeira clara Tauari Naturalle Cremme - material e mão de obra </t>
        </is>
      </c>
      <c r="E3163" s="1068" t="inlineStr">
        <is>
          <t>M2</t>
        </is>
      </c>
      <c r="F3163" s="1067" t="n"/>
      <c r="G3163" s="1069">
        <f t="array" ref="G3163">IF(B3163="insumo",_xlfn.XLOOKUP($D3163,Insumos!$B$1:$B$996,Insumos!$D$1:$D$996),"")</f>
        <v/>
      </c>
      <c r="H3163" s="1069" t="n">
        <v>859</v>
      </c>
      <c r="I3163" s="2161" t="e">
        <v>#REF!</v>
      </c>
      <c r="J3163" s="2161" t="e">
        <v>#REF!</v>
      </c>
      <c r="K3163" s="2161" t="n"/>
    </row>
    <row r="3164" outlineLevel="3" ht="15.75" customHeight="1">
      <c r="A3164" s="10" t="n">
        <v>1</v>
      </c>
      <c r="B3164" s="10" t="inlineStr">
        <is>
          <t>Insumo</t>
        </is>
      </c>
      <c r="C3164" s="10" t="inlineStr">
        <is>
          <t xml:space="preserve">Piso de madeira clara Tauari Naturalle Cremme - material e mão de obra </t>
        </is>
      </c>
      <c r="D3164" s="10" t="inlineStr">
        <is>
          <t>PISO MADEIRA CLARA - Tauari Naturalle Creme</t>
        </is>
      </c>
      <c r="E3164" s="11">
        <f t="array" ref="E3164">_xlfn.XLOOKUP(D3164,Insumos!B:B,Insumos!C:$C)</f>
        <v/>
      </c>
      <c r="F3164" s="14" t="n">
        <v>1.1</v>
      </c>
      <c r="G3164" s="92">
        <f t="array" ref="G3164">IF(B3164="insumo",_xlfn.XLOOKUP($D3164,Insumos!$B$1:$B$996,Insumos!$D$1:$D$996),"")</f>
        <v/>
      </c>
      <c r="H3164" s="92" t="n">
        <v>649</v>
      </c>
      <c r="I3164" s="2162" t="e">
        <v>#REF!</v>
      </c>
      <c r="J3164" s="2162" t="e">
        <v>#REF!</v>
      </c>
      <c r="K3164" s="2162" t="n"/>
    </row>
    <row r="3165" outlineLevel="3" ht="15.75" customHeight="1">
      <c r="A3165" s="10" t="n">
        <v>5</v>
      </c>
      <c r="B3165" s="10" t="inlineStr">
        <is>
          <t>Insumo</t>
        </is>
      </c>
      <c r="C3165" s="10" t="inlineStr">
        <is>
          <t xml:space="preserve">Piso de madeira clara Tauari Naturalle Cremme - material e mão de obra </t>
        </is>
      </c>
      <c r="D3165" s="10" t="inlineStr">
        <is>
          <t>Mão de obra de instalação de Piso de madeira</t>
        </is>
      </c>
      <c r="E3165" s="11">
        <f t="array" ref="E3165">_xlfn.XLOOKUP(D3165,Insumos!B:B,Insumos!C:$C)</f>
        <v/>
      </c>
      <c r="F3165" s="14" t="n">
        <v>1</v>
      </c>
      <c r="G3165" s="92">
        <f t="array" ref="G3165">IF(B3165="insumo",_xlfn.XLOOKUP($D3165,Insumos!$B$1:$B$996,Insumos!$D$1:$D$996),"")</f>
        <v/>
      </c>
      <c r="H3165" s="92" t="n">
        <v>210</v>
      </c>
      <c r="I3165" s="2162" t="e">
        <v>#REF!</v>
      </c>
      <c r="J3165" s="2162" t="e">
        <v>#REF!</v>
      </c>
      <c r="K3165" s="2162" t="n"/>
    </row>
    <row r="3166" outlineLevel="2" ht="15.75" customHeight="1">
      <c r="A3166" s="1067" t="n">
        <v>1</v>
      </c>
      <c r="B3166" s="1067" t="inlineStr">
        <is>
          <t>Serviço</t>
        </is>
      </c>
      <c r="C3166" s="1067" t="inlineStr">
        <is>
          <t xml:space="preserve">Piso de madeira clara Carvalho Bianco - material e mão de obra </t>
        </is>
      </c>
      <c r="D3166" s="1067" t="inlineStr">
        <is>
          <t xml:space="preserve">Piso de madeira clara Carvalho Bianco - material e mão de obra </t>
        </is>
      </c>
      <c r="E3166" s="1068" t="inlineStr">
        <is>
          <t>M2</t>
        </is>
      </c>
      <c r="F3166" s="1067" t="n"/>
      <c r="G3166" s="1069">
        <f t="array" ref="G3166">IF(B3166="insumo",_xlfn.XLOOKUP($D3166,Insumos!$B$1:$B$996,Insumos!$D$1:$D$996),"")</f>
        <v/>
      </c>
      <c r="H3166" s="1069" t="n">
        <v>1145</v>
      </c>
      <c r="I3166" s="2161" t="n">
        <v>0</v>
      </c>
      <c r="J3166" s="2161" t="n">
        <v>0</v>
      </c>
      <c r="K3166" s="2161" t="n"/>
    </row>
    <row r="3167" outlineLevel="3" ht="15.75" customHeight="1">
      <c r="A3167" s="10" t="n">
        <v>1</v>
      </c>
      <c r="B3167" s="10" t="inlineStr">
        <is>
          <t>Insumo</t>
        </is>
      </c>
      <c r="C3167" s="10" t="inlineStr">
        <is>
          <t xml:space="preserve">Piso de madeira clara Carvalho Bianco - material e mão de obra </t>
        </is>
      </c>
      <c r="D3167" s="10" t="inlineStr">
        <is>
          <t>PISO MADEIRA CLARA - Carvalho Bianco</t>
        </is>
      </c>
      <c r="E3167" s="11">
        <f t="array" ref="E3167">_xlfn.XLOOKUP(D3167,Insumos!B:B,Insumos!C:$C)</f>
        <v/>
      </c>
      <c r="F3167" s="14" t="n">
        <v>1.1</v>
      </c>
      <c r="G3167" s="92">
        <f t="array" ref="G3167">IF(B3167="insumo",_xlfn.XLOOKUP($D3167,Insumos!$B$1:$B$996,Insumos!$D$1:$D$996),"")</f>
        <v/>
      </c>
      <c r="H3167" s="92" t="n">
        <v>935</v>
      </c>
      <c r="I3167" s="2162" t="n">
        <v>0</v>
      </c>
      <c r="J3167" s="2162" t="n">
        <v>0</v>
      </c>
      <c r="K3167" s="2162" t="n"/>
    </row>
    <row r="3168" outlineLevel="3" ht="15.75" customHeight="1">
      <c r="A3168" s="10" t="n">
        <v>5</v>
      </c>
      <c r="B3168" s="10" t="inlineStr">
        <is>
          <t>Insumo</t>
        </is>
      </c>
      <c r="C3168" s="10" t="inlineStr">
        <is>
          <t xml:space="preserve">Piso de madeira clara Carvalho Bianco - material e mão de obra </t>
        </is>
      </c>
      <c r="D3168" s="10" t="inlineStr">
        <is>
          <t>Mão de obra de instalação de Piso de madeira</t>
        </is>
      </c>
      <c r="E3168" s="11">
        <f t="array" ref="E3168">_xlfn.XLOOKUP(D3168,Insumos!B:B,Insumos!C:$C)</f>
        <v/>
      </c>
      <c r="F3168" s="14" t="n">
        <v>1</v>
      </c>
      <c r="G3168" s="92">
        <f t="array" ref="G3168">IF(B3168="insumo",_xlfn.XLOOKUP($D3168,Insumos!$B$1:$B$996,Insumos!$D$1:$D$996),"")</f>
        <v/>
      </c>
      <c r="H3168" s="92" t="n">
        <v>210</v>
      </c>
      <c r="I3168" s="2162" t="n">
        <v>0</v>
      </c>
      <c r="J3168" s="2162" t="n">
        <v>0</v>
      </c>
      <c r="K3168" s="2162" t="n"/>
    </row>
    <row r="3169" outlineLevel="2" ht="15.75" customHeight="1">
      <c r="A3169" s="1067" t="n">
        <v>1</v>
      </c>
      <c r="B3169" s="1067" t="inlineStr">
        <is>
          <t>Serviço</t>
        </is>
      </c>
      <c r="C3169" s="1067" t="inlineStr">
        <is>
          <t xml:space="preserve">Piso de madeira Cumaru Chevron 45°  - material e mão de obra </t>
        </is>
      </c>
      <c r="D3169" s="1067" t="inlineStr">
        <is>
          <t xml:space="preserve">Piso de madeira Cumaru Chevron 45°  - material e mão de obra </t>
        </is>
      </c>
      <c r="E3169" s="1068" t="inlineStr">
        <is>
          <t>M2</t>
        </is>
      </c>
      <c r="F3169" s="1067" t="n"/>
      <c r="G3169" s="1069">
        <f t="array" ref="G3169">IF(B3169="insumo",_xlfn.XLOOKUP($D3169,Insumos!$B$1:$B$996,Insumos!$D$1:$D$996),"")</f>
        <v/>
      </c>
      <c r="H3169" s="1069" t="n">
        <v>1200</v>
      </c>
      <c r="I3169" s="2161" t="e">
        <v>#REF!</v>
      </c>
      <c r="J3169" s="2161" t="e">
        <v>#REF!</v>
      </c>
      <c r="K3169" s="2161" t="n"/>
    </row>
    <row r="3170" outlineLevel="3" ht="15.75" customHeight="1">
      <c r="A3170" s="10" t="n">
        <v>1</v>
      </c>
      <c r="B3170" s="10" t="inlineStr">
        <is>
          <t>Insumo</t>
        </is>
      </c>
      <c r="C3170" s="10" t="inlineStr">
        <is>
          <t xml:space="preserve">Piso de madeira Cumaru Chevron 45°  - material e mão de obra </t>
        </is>
      </c>
      <c r="D3170" s="10" t="inlineStr">
        <is>
          <t>PISO MADEIRA CHEVRON (45º) - Cumaru Chevron</t>
        </is>
      </c>
      <c r="E3170" s="11">
        <f t="array" ref="E3170">_xlfn.XLOOKUP(D3170,Insumos!B:B,Insumos!C:$C)</f>
        <v/>
      </c>
      <c r="F3170" s="14" t="n">
        <v>1.1</v>
      </c>
      <c r="G3170" s="92">
        <f t="array" ref="G3170">IF(B3170="insumo",_xlfn.XLOOKUP($D3170,Insumos!$B$1:$B$996,Insumos!$D$1:$D$996),"")</f>
        <v/>
      </c>
      <c r="H3170" s="92" t="n">
        <v>990</v>
      </c>
      <c r="I3170" s="2162" t="e">
        <v>#REF!</v>
      </c>
      <c r="J3170" s="2162" t="e">
        <v>#REF!</v>
      </c>
      <c r="K3170" s="2162" t="n"/>
    </row>
    <row r="3171" outlineLevel="3" ht="15.75" customHeight="1">
      <c r="A3171" s="10" t="n">
        <v>5</v>
      </c>
      <c r="B3171" s="10" t="inlineStr">
        <is>
          <t>Insumo</t>
        </is>
      </c>
      <c r="C3171" s="10" t="inlineStr">
        <is>
          <t xml:space="preserve">Piso de madeira Cumaru Chevron 45°  - material e mão de obra </t>
        </is>
      </c>
      <c r="D3171" s="10" t="inlineStr">
        <is>
          <t>Mão de obra de instalação de Piso de madeira</t>
        </is>
      </c>
      <c r="E3171" s="11">
        <f t="array" ref="E3171">_xlfn.XLOOKUP(D3171,Insumos!B:B,Insumos!C:$C)</f>
        <v/>
      </c>
      <c r="F3171" s="14" t="n">
        <v>1</v>
      </c>
      <c r="G3171" s="92">
        <f t="array" ref="G3171">IF(B3171="insumo",_xlfn.XLOOKUP($D3171,Insumos!$B$1:$B$996,Insumos!$D$1:$D$996),"")</f>
        <v/>
      </c>
      <c r="H3171" s="92" t="n">
        <v>210</v>
      </c>
      <c r="I3171" s="2162" t="e">
        <v>#REF!</v>
      </c>
      <c r="J3171" s="2162" t="e">
        <v>#REF!</v>
      </c>
      <c r="K3171" s="2162" t="n"/>
    </row>
    <row r="3172" outlineLevel="2" ht="15.75" customHeight="1">
      <c r="A3172" s="1067" t="n">
        <v>1</v>
      </c>
      <c r="B3172" s="1067" t="inlineStr">
        <is>
          <t>Serviço</t>
        </is>
      </c>
      <c r="C3172" s="1067" t="inlineStr">
        <is>
          <t xml:space="preserve">Piso de madeira Sucupira Chevron 45°  - material e mão de obra </t>
        </is>
      </c>
      <c r="D3172" s="1067" t="inlineStr">
        <is>
          <t xml:space="preserve">Piso de madeira Sucupira Chevron 45°  - material e mão de obra </t>
        </is>
      </c>
      <c r="E3172" s="1068" t="inlineStr">
        <is>
          <t>M2</t>
        </is>
      </c>
      <c r="F3172" s="1067" t="n"/>
      <c r="G3172" s="1069">
        <f t="array" ref="G3172">IF(B3172="insumo",_xlfn.XLOOKUP($D3172,Insumos!$B$1:$B$996,Insumos!$D$1:$D$996),"")</f>
        <v/>
      </c>
      <c r="H3172" s="1069" t="n">
        <v>1145</v>
      </c>
      <c r="I3172" s="2161" t="n">
        <v>0</v>
      </c>
      <c r="J3172" s="2161" t="n">
        <v>0</v>
      </c>
      <c r="K3172" s="2161" t="n"/>
    </row>
    <row r="3173" outlineLevel="3" ht="15.75" customHeight="1">
      <c r="A3173" s="10" t="n">
        <v>1</v>
      </c>
      <c r="B3173" s="10" t="inlineStr">
        <is>
          <t>Insumo</t>
        </is>
      </c>
      <c r="C3173" s="10" t="inlineStr">
        <is>
          <t xml:space="preserve">Piso de madeira Sucupira Chevron 45°  - material e mão de obra </t>
        </is>
      </c>
      <c r="D3173" s="10" t="inlineStr">
        <is>
          <t>PISO MADEIRA CHEVRON (45º) - Sucupira Chevron</t>
        </is>
      </c>
      <c r="E3173" s="11">
        <f t="array" ref="E3173">_xlfn.XLOOKUP(D3173,Insumos!B:B,Insumos!C:$C)</f>
        <v/>
      </c>
      <c r="F3173" s="14" t="n">
        <v>1.1</v>
      </c>
      <c r="G3173" s="92">
        <f t="array" ref="G3173">IF(B3173="insumo",_xlfn.XLOOKUP($D3173,Insumos!$B$1:$B$996,Insumos!$D$1:$D$996),"")</f>
        <v/>
      </c>
      <c r="H3173" s="92" t="n">
        <v>935</v>
      </c>
      <c r="I3173" s="2162" t="n">
        <v>0</v>
      </c>
      <c r="J3173" s="2162" t="n">
        <v>0</v>
      </c>
      <c r="K3173" s="2162" t="n"/>
    </row>
    <row r="3174" outlineLevel="3" ht="15.75" customHeight="1">
      <c r="A3174" s="10" t="n">
        <v>2</v>
      </c>
      <c r="B3174" s="10" t="inlineStr">
        <is>
          <t>Insumo</t>
        </is>
      </c>
      <c r="C3174" s="10" t="inlineStr">
        <is>
          <t xml:space="preserve">Piso de madeira Sucupira Chevron 45°  - material e mão de obra </t>
        </is>
      </c>
      <c r="D3174" s="10" t="inlineStr">
        <is>
          <t>Mão de obra de instalação de deck de madeira</t>
        </is>
      </c>
      <c r="E3174" s="11">
        <f t="array" ref="E3174">_xlfn.XLOOKUP(D3174,Insumos!B:B,Insumos!C:$C)</f>
        <v/>
      </c>
      <c r="F3174" s="14" t="n">
        <v>1</v>
      </c>
      <c r="G3174" s="92">
        <f t="array" ref="G3174">IF(B3174="insumo",_xlfn.XLOOKUP($D3174,Insumos!$B$1:$B$996,Insumos!$D$1:$D$996),"")</f>
        <v/>
      </c>
      <c r="H3174" s="92" t="n">
        <v>210</v>
      </c>
      <c r="I3174" s="2162" t="n">
        <v>0</v>
      </c>
      <c r="J3174" s="2162" t="n">
        <v>0</v>
      </c>
      <c r="K3174" s="2162" t="n"/>
    </row>
    <row r="3175" outlineLevel="2" ht="15.75" customHeight="1">
      <c r="A3175" s="1067" t="n">
        <v>1</v>
      </c>
      <c r="B3175" s="1067" t="inlineStr">
        <is>
          <t>Serviço</t>
        </is>
      </c>
      <c r="C3175" s="1081" t="inlineStr">
        <is>
          <t>Pisos Para Academia Emborrachado</t>
        </is>
      </c>
      <c r="D3175" s="1081" t="inlineStr">
        <is>
          <t>Pisos Para Academia Emborrachado</t>
        </is>
      </c>
      <c r="E3175" s="1068" t="inlineStr">
        <is>
          <t>M2</t>
        </is>
      </c>
      <c r="F3175" s="1081" t="n"/>
      <c r="G3175" s="1069">
        <f t="array" ref="G3175">IF(B3175="insumo",_xlfn.XLOOKUP($D3175,Insumos!$B$1:$B$996,Insumos!$D$1:$D$996),"")</f>
        <v/>
      </c>
      <c r="H3175" s="1069" t="n">
        <v>138.4</v>
      </c>
      <c r="I3175" s="2170" t="n">
        <v>0</v>
      </c>
      <c r="J3175" s="2170" t="n">
        <v>0</v>
      </c>
      <c r="K3175" s="2170" t="n"/>
    </row>
    <row r="3176" outlineLevel="3" ht="15.75" customHeight="1">
      <c r="A3176" s="10" t="n">
        <v>1</v>
      </c>
      <c r="B3176" s="10" t="inlineStr">
        <is>
          <t>Insumo</t>
        </is>
      </c>
      <c r="C3176" s="10" t="inlineStr">
        <is>
          <t>Pisos Para Academia Emborrachado</t>
        </is>
      </c>
      <c r="D3176" s="10" t="inlineStr">
        <is>
          <t>Pisos Para Academia e Crossfit Emborrachado - 50 x 50 cm</t>
        </is>
      </c>
      <c r="E3176" s="11">
        <f t="array" ref="E3176">_xlfn.XLOOKUP(D3176,Insumos!B:B,Insumos!C:$C)</f>
        <v/>
      </c>
      <c r="F3176" s="14" t="n">
        <v>1</v>
      </c>
      <c r="G3176" s="92">
        <f t="array" ref="G3176">IF(B3176="insumo",_xlfn.XLOOKUP($D3176,Insumos!$B$1:$B$996,Insumos!$D$1:$D$996),"")</f>
        <v/>
      </c>
      <c r="H3176" s="92" t="n">
        <v>138.4</v>
      </c>
      <c r="I3176" s="2162" t="n">
        <v>0</v>
      </c>
      <c r="J3176" s="2162" t="n">
        <v>0</v>
      </c>
      <c r="K3176" s="2162" t="n"/>
    </row>
    <row r="3177" outlineLevel="2" ht="12.75" customHeight="1">
      <c r="A3177" s="1071" t="n">
        <v>1</v>
      </c>
      <c r="B3177" s="1071" t="inlineStr">
        <is>
          <t>Serviço</t>
        </is>
      </c>
      <c r="C3177" s="1071" t="inlineStr">
        <is>
          <t>Pisos Para Academia Emborrachado EPDM  20x20 cm/ Cor: azul e branco / Marca: Rubber - Material e Mão de obra</t>
        </is>
      </c>
      <c r="D3177" s="1071" t="inlineStr">
        <is>
          <t>Pisos Para Academia Emborrachado EPDM  20x20 cm/ Cor: azul e branco / Marca: Rubber - Material e Mão de obra</t>
        </is>
      </c>
      <c r="E3177" s="1072" t="inlineStr">
        <is>
          <t>M2</t>
        </is>
      </c>
      <c r="F3177" s="1071" t="n"/>
      <c r="G3177" s="1073">
        <f t="array" ref="G3177">IF(B3177="insumo",_xlfn.XLOOKUP($D3177,Insumos!$B$1:$B$996,Insumos!$D$1:$D$996),"")</f>
        <v/>
      </c>
      <c r="H3177" s="1073" t="n">
        <v>540</v>
      </c>
      <c r="I3177" s="2163" t="e">
        <v>#REF!</v>
      </c>
      <c r="J3177" s="2163" t="e">
        <v>#REF!</v>
      </c>
      <c r="K3177" s="2163" t="n"/>
    </row>
    <row r="3178" outlineLevel="3" ht="12.75" customHeight="1">
      <c r="A3178" s="82" t="n">
        <v>1</v>
      </c>
      <c r="B3178" s="82" t="inlineStr">
        <is>
          <t>Insumo</t>
        </is>
      </c>
      <c r="C3178" s="10" t="inlineStr">
        <is>
          <t>Pisos Para Academia Emborrachado EPDM  20x20 cm/ Cor: azul e branco / Marca: Rubber - Material e Mão de obra</t>
        </is>
      </c>
      <c r="D3178" s="10" t="inlineStr">
        <is>
          <t>Pisos Para Academia Emborrachado EPDM  20x20 cm/ Cor: azul e branco / Marca: Rubber - Material e Mão de obra</t>
        </is>
      </c>
      <c r="E3178" s="11">
        <f t="array" ref="E3178">_xlfn.XLOOKUP(D3178,Insumos!B:B,Insumos!C:$C)</f>
        <v/>
      </c>
      <c r="F3178" s="2164" t="n">
        <v>1</v>
      </c>
      <c r="G3178" s="92">
        <f t="array" ref="G3178">IF(B3178="insumo",_xlfn.XLOOKUP($D3178,Insumos!$B$1:$B$996,Insumos!$D$1:$D$996),"")</f>
        <v/>
      </c>
      <c r="H3178" s="92" t="n">
        <v>540</v>
      </c>
      <c r="I3178" s="2165" t="e">
        <v>#REF!</v>
      </c>
      <c r="J3178" s="2165" t="e">
        <v>#REF!</v>
      </c>
      <c r="K3178" s="2165" t="n"/>
    </row>
    <row r="3179" outlineLevel="2" ht="12.75" customHeight="1">
      <c r="A3179" s="1071" t="n">
        <v>1</v>
      </c>
      <c r="B3179" s="1071" t="inlineStr">
        <is>
          <t>Serviço</t>
        </is>
      </c>
      <c r="C3179" s="1071" t="inlineStr">
        <is>
          <t>Pisos Para Academia Emborrachado Impact Soft  100x100 cm/ Peso Livre - Material e Mão de obra</t>
        </is>
      </c>
      <c r="D3179" s="1071" t="inlineStr">
        <is>
          <t>Pisos Para Academia Emborrachado Impact Soft  100x100 cm/ Peso Livre - Material e Mão de obra</t>
        </is>
      </c>
      <c r="E3179" s="1072" t="inlineStr">
        <is>
          <t>M2</t>
        </is>
      </c>
      <c r="F3179" s="1071" t="n"/>
      <c r="G3179" s="1073">
        <f t="array" ref="G3179">IF(B3179="insumo",_xlfn.XLOOKUP($D3179,Insumos!$B$1:$B$996,Insumos!$D$1:$D$996),"")</f>
        <v/>
      </c>
      <c r="H3179" s="1073" t="n">
        <v>610</v>
      </c>
      <c r="I3179" s="2163" t="e">
        <v>#REF!</v>
      </c>
      <c r="J3179" s="2163" t="e">
        <v>#REF!</v>
      </c>
      <c r="K3179" s="2163" t="n"/>
    </row>
    <row r="3180" outlineLevel="3" ht="12.75" customHeight="1">
      <c r="A3180" s="82" t="n">
        <v>1</v>
      </c>
      <c r="B3180" s="82" t="inlineStr">
        <is>
          <t>Insumo</t>
        </is>
      </c>
      <c r="C3180" s="10" t="inlineStr">
        <is>
          <t>Pisos Para Academia Emborrachado Impact Soft  100x100 cm/ Peso Livre - Material e Mão de obra</t>
        </is>
      </c>
      <c r="D3180" s="10" t="inlineStr">
        <is>
          <t>Pisos Para Academia Emborrachado Impact Soft  100x100 cm/ Peso Livre - Material e Mão de obra</t>
        </is>
      </c>
      <c r="E3180" s="11">
        <f t="array" ref="E3180">_xlfn.XLOOKUP(D3180,Insumos!B:B,Insumos!C:$C)</f>
        <v/>
      </c>
      <c r="F3180" s="2164" t="n">
        <v>1</v>
      </c>
      <c r="G3180" s="92">
        <f t="array" ref="G3180">IF(B3180="insumo",_xlfn.XLOOKUP($D3180,Insumos!$B$1:$B$996,Insumos!$D$1:$D$996),"")</f>
        <v/>
      </c>
      <c r="H3180" s="92" t="n">
        <v>610</v>
      </c>
      <c r="I3180" s="2165" t="e">
        <v>#REF!</v>
      </c>
      <c r="J3180" s="2165" t="e">
        <v>#REF!</v>
      </c>
      <c r="K3180" s="2165" t="n"/>
    </row>
    <row r="3181" outlineLevel="2" ht="12.75" customHeight="1">
      <c r="A3181" s="1071" t="n">
        <v>1</v>
      </c>
      <c r="B3181" s="1071" t="inlineStr">
        <is>
          <t>Serviço</t>
        </is>
      </c>
      <c r="C3181" s="1071" t="inlineStr">
        <is>
          <t>Pisos Para Academia Emborrachado Aubicon Placa 25 mm, 70x70</t>
        </is>
      </c>
      <c r="D3181" s="1071" t="inlineStr">
        <is>
          <t>Pisos Para Academia Emborrachado Aubicon Placa 25 mm, 70x70</t>
        </is>
      </c>
      <c r="E3181" s="1072" t="inlineStr">
        <is>
          <t>M2</t>
        </is>
      </c>
      <c r="F3181" s="1071" t="n"/>
      <c r="G3181" s="1073">
        <f t="array" ref="G3181">IF(B3181="insumo",_xlfn.XLOOKUP($D3181,Insumos!$B$1:$B$996,Insumos!$D$1:$D$996),"")</f>
        <v/>
      </c>
      <c r="H3181" s="1073" t="n">
        <v>160</v>
      </c>
      <c r="I3181" s="2163" t="n">
        <v>0</v>
      </c>
      <c r="J3181" s="2163" t="n">
        <v>0</v>
      </c>
      <c r="K3181" s="2163" t="n"/>
    </row>
    <row r="3182" outlineLevel="3" ht="12.75" customHeight="1">
      <c r="A3182" s="82" t="n">
        <v>1</v>
      </c>
      <c r="B3182" s="82" t="inlineStr">
        <is>
          <t>Insumo</t>
        </is>
      </c>
      <c r="C3182" s="82" t="inlineStr">
        <is>
          <t>Pisos Para Academia Emborrachado Aubicon Placa 25 mm, 70x70</t>
        </is>
      </c>
      <c r="D3182" s="82" t="inlineStr">
        <is>
          <t>Pisos Para Academia Emborrachado Aubicon Placa 25 mm, 70x70</t>
        </is>
      </c>
      <c r="E3182" s="11">
        <f t="array" ref="E3182">_xlfn.XLOOKUP(D3182,Insumos!B:B,Insumos!C:$C)</f>
        <v/>
      </c>
      <c r="F3182" s="2164" t="n">
        <v>1</v>
      </c>
      <c r="G3182" s="92">
        <f t="array" ref="G3182">IF(B3182="insumo",_xlfn.XLOOKUP($D3182,Insumos!$B$1:$B$996,Insumos!$D$1:$D$996),"")</f>
        <v/>
      </c>
      <c r="H3182" s="92" t="n">
        <v>160</v>
      </c>
      <c r="I3182" s="2165" t="n">
        <v>0</v>
      </c>
      <c r="J3182" s="2165" t="n">
        <v>0</v>
      </c>
      <c r="K3182" s="2165" t="n"/>
    </row>
    <row r="3183" outlineLevel="2" ht="12.75" customHeight="1">
      <c r="A3183" s="1071" t="n">
        <v>1</v>
      </c>
      <c r="B3183" s="1071" t="inlineStr">
        <is>
          <t>Serviço</t>
        </is>
      </c>
      <c r="C3183" s="1071" t="inlineStr">
        <is>
          <t>Pisos Para Academia Emborrachado Aubicon Placa 40 mm, 70x70</t>
        </is>
      </c>
      <c r="D3183" s="1071" t="inlineStr">
        <is>
          <t>Pisos Para Academia Emborrachado Aubicon Placa 40 mm, 70x70</t>
        </is>
      </c>
      <c r="E3183" s="1072" t="inlineStr">
        <is>
          <t>M2</t>
        </is>
      </c>
      <c r="F3183" s="1071" t="n"/>
      <c r="G3183" s="1073">
        <f t="array" ref="G3183">IF(B3183="insumo",_xlfn.XLOOKUP($D3183,Insumos!$B$1:$B$996,Insumos!$D$1:$D$996),"")</f>
        <v/>
      </c>
      <c r="H3183" s="1073" t="n">
        <v>200</v>
      </c>
      <c r="I3183" s="2163" t="n">
        <v>0</v>
      </c>
      <c r="J3183" s="2163" t="n">
        <v>0</v>
      </c>
      <c r="K3183" s="2163" t="n"/>
    </row>
    <row r="3184" outlineLevel="3" ht="12.75" customHeight="1">
      <c r="A3184" s="82" t="n">
        <v>1</v>
      </c>
      <c r="B3184" s="82" t="inlineStr">
        <is>
          <t>Insumo</t>
        </is>
      </c>
      <c r="C3184" s="82" t="inlineStr">
        <is>
          <t>Pisos Para Academia Emborrachado Aubicon Placa 40 mm, 70x70</t>
        </is>
      </c>
      <c r="D3184" s="82" t="inlineStr">
        <is>
          <t>Pisos Para Academia Emborrachado Aubicon Placa 40 mm, 70x70</t>
        </is>
      </c>
      <c r="E3184" s="11">
        <f t="array" ref="E3184">_xlfn.XLOOKUP(D3184,Insumos!B:B,Insumos!C:$C)</f>
        <v/>
      </c>
      <c r="F3184" s="2164" t="n">
        <v>1</v>
      </c>
      <c r="G3184" s="92">
        <f t="array" ref="G3184">IF(B3184="insumo",_xlfn.XLOOKUP($D3184,Insumos!$B$1:$B$996,Insumos!$D$1:$D$996),"")</f>
        <v/>
      </c>
      <c r="H3184" s="92" t="n">
        <v>200</v>
      </c>
      <c r="I3184" s="2165" t="n">
        <v>0</v>
      </c>
      <c r="J3184" s="2165" t="n">
        <v>0</v>
      </c>
      <c r="K3184" s="2165" t="n"/>
    </row>
    <row r="3185" outlineLevel="2" ht="12.75" customHeight="1">
      <c r="A3185" s="1071" t="n">
        <v>1</v>
      </c>
      <c r="B3185" s="1071" t="inlineStr">
        <is>
          <t>Serviço</t>
        </is>
      </c>
      <c r="C3185" s="1071" t="inlineStr">
        <is>
          <t>Pisos Para Academia Emborrachado Aubicon Placa 50 mm, 90x90</t>
        </is>
      </c>
      <c r="D3185" s="1071" t="inlineStr">
        <is>
          <t>Pisos Para Academia Emborrachado Aubicon Placa 50 mm, 90x90</t>
        </is>
      </c>
      <c r="E3185" s="1072" t="inlineStr">
        <is>
          <t>M2</t>
        </is>
      </c>
      <c r="F3185" s="1071" t="n"/>
      <c r="G3185" s="1073">
        <f t="array" ref="G3185">IF(B3185="insumo",_xlfn.XLOOKUP($D3185,Insumos!$B$1:$B$996,Insumos!$D$1:$D$996),"")</f>
        <v/>
      </c>
      <c r="H3185" s="1073" t="n">
        <v>250</v>
      </c>
      <c r="I3185" s="2163" t="n">
        <v>0</v>
      </c>
      <c r="J3185" s="2163" t="n">
        <v>0</v>
      </c>
      <c r="K3185" s="2163" t="n"/>
    </row>
    <row r="3186" outlineLevel="3" ht="12.75" customHeight="1">
      <c r="A3186" s="82" t="n">
        <v>1</v>
      </c>
      <c r="B3186" s="82" t="inlineStr">
        <is>
          <t>Insumo</t>
        </is>
      </c>
      <c r="C3186" s="82" t="inlineStr">
        <is>
          <t>Pisos Para Academia Emborrachado Aubicon Placa 50 mm, 90x90</t>
        </is>
      </c>
      <c r="D3186" s="82" t="inlineStr">
        <is>
          <t>Pisos Para Academia Emborrachado Aubicon Placa 50 mm, 90x90</t>
        </is>
      </c>
      <c r="E3186" s="11">
        <f t="array" ref="E3186">_xlfn.XLOOKUP(D3186,Insumos!B:B,Insumos!C:$C)</f>
        <v/>
      </c>
      <c r="F3186" s="2164" t="n">
        <v>1</v>
      </c>
      <c r="G3186" s="92">
        <f t="array" ref="G3186">IF(B3186="insumo",_xlfn.XLOOKUP($D3186,Insumos!$B$1:$B$996,Insumos!$D$1:$D$996),"")</f>
        <v/>
      </c>
      <c r="H3186" s="92" t="n">
        <v>250</v>
      </c>
      <c r="I3186" s="2165" t="n">
        <v>0</v>
      </c>
      <c r="J3186" s="2165" t="n">
        <v>0</v>
      </c>
      <c r="K3186" s="2165" t="n"/>
    </row>
    <row r="3187" outlineLevel="2" ht="12.75" customHeight="1">
      <c r="A3187" s="1071" t="n">
        <v>1</v>
      </c>
      <c r="B3187" s="1071" t="inlineStr">
        <is>
          <t>Serviço</t>
        </is>
      </c>
      <c r="C3187" s="1071" t="inlineStr">
        <is>
          <t>Pisos Para Academia Emborrachado Aubicon Placa 80 mm, 90x90</t>
        </is>
      </c>
      <c r="D3187" s="1071" t="inlineStr">
        <is>
          <t>Pisos Para Academia Emborrachado Aubicon Placa 80 mm, 90x90</t>
        </is>
      </c>
      <c r="E3187" s="1072" t="inlineStr">
        <is>
          <t>M2</t>
        </is>
      </c>
      <c r="F3187" s="1071" t="n"/>
      <c r="G3187" s="1073">
        <f t="array" ref="G3187">IF(B3187="insumo",_xlfn.XLOOKUP($D3187,Insumos!$B$1:$B$996,Insumos!$D$1:$D$996),"")</f>
        <v/>
      </c>
      <c r="H3187" s="1073" t="n">
        <v>320</v>
      </c>
      <c r="I3187" s="2163" t="n">
        <v>0</v>
      </c>
      <c r="J3187" s="2163" t="n">
        <v>0</v>
      </c>
      <c r="K3187" s="2163" t="n"/>
    </row>
    <row r="3188" outlineLevel="3" ht="12.75" customHeight="1">
      <c r="A3188" s="82" t="n">
        <v>1</v>
      </c>
      <c r="B3188" s="82" t="inlineStr">
        <is>
          <t>Insumo</t>
        </is>
      </c>
      <c r="C3188" s="82" t="inlineStr">
        <is>
          <t>Pisos Para Academia Emborrachado Aubicon Placa 80 mm, 90x90</t>
        </is>
      </c>
      <c r="D3188" s="82" t="inlineStr">
        <is>
          <t>Pisos Para Academia Emborrachado Aubicon Placa 80 mm, 90x90</t>
        </is>
      </c>
      <c r="E3188" s="11">
        <f t="array" ref="E3188">_xlfn.XLOOKUP(D3188,Insumos!B:B,Insumos!C:$C)</f>
        <v/>
      </c>
      <c r="F3188" s="2164" t="n">
        <v>1</v>
      </c>
      <c r="G3188" s="92">
        <f t="array" ref="G3188">IF(B3188="insumo",_xlfn.XLOOKUP($D3188,Insumos!$B$1:$B$996,Insumos!$D$1:$D$996),"")</f>
        <v/>
      </c>
      <c r="H3188" s="92" t="n">
        <v>320</v>
      </c>
      <c r="I3188" s="2165" t="n">
        <v>0</v>
      </c>
      <c r="J3188" s="2165" t="n">
        <v>0</v>
      </c>
      <c r="K3188" s="2165" t="n"/>
    </row>
    <row r="3189" outlineLevel="2" ht="12.75" customHeight="1">
      <c r="A3189" s="1071" t="n">
        <v>1</v>
      </c>
      <c r="B3189" s="1071" t="inlineStr">
        <is>
          <t>Serviço</t>
        </is>
      </c>
      <c r="C3189" s="1071" t="inlineStr">
        <is>
          <t>Revestimento de Piso emborrachado imitando madeira</t>
        </is>
      </c>
      <c r="D3189" s="1071" t="inlineStr">
        <is>
          <t>Revestimento de Piso emborrachado imitando madeira</t>
        </is>
      </c>
      <c r="E3189" s="1072" t="inlineStr">
        <is>
          <t>M2</t>
        </is>
      </c>
      <c r="F3189" s="1071" t="n"/>
      <c r="G3189" s="1073">
        <f t="array" ref="G3189">IF(B3189="insumo",_xlfn.XLOOKUP($D3189,Insumos!$B$1:$B$996,Insumos!$D$1:$D$996),"")</f>
        <v/>
      </c>
      <c r="H3189" s="1073" t="n">
        <v>529.65</v>
      </c>
      <c r="I3189" s="2163" t="n">
        <v>0</v>
      </c>
      <c r="J3189" s="2163" t="n">
        <v>0</v>
      </c>
      <c r="K3189" s="2163" t="n"/>
    </row>
    <row r="3190" outlineLevel="3" ht="12.75" customHeight="1">
      <c r="A3190" s="82" t="n">
        <v>1</v>
      </c>
      <c r="B3190" s="82" t="inlineStr">
        <is>
          <t>Insumo</t>
        </is>
      </c>
      <c r="C3190" s="82" t="inlineStr">
        <is>
          <t>Revestimento de Piso emborrachado imitando madeira</t>
        </is>
      </c>
      <c r="D3190" s="82" t="inlineStr">
        <is>
          <t>Revestimento de Piso emborrachado imitando madeira</t>
        </is>
      </c>
      <c r="E3190" s="11">
        <f t="array" ref="E3190">_xlfn.XLOOKUP(D3190,Insumos!B:B,Insumos!C:$C)</f>
        <v/>
      </c>
      <c r="F3190" s="2171" t="n">
        <v>1.1</v>
      </c>
      <c r="G3190" s="92">
        <f t="array" ref="G3190">IF(B3190="insumo",_xlfn.XLOOKUP($D3190,Insumos!$B$1:$B$996,Insumos!$D$1:$D$996),"")</f>
        <v/>
      </c>
      <c r="H3190" s="92" t="n">
        <v>529.65</v>
      </c>
      <c r="I3190" s="2165" t="n">
        <v>0</v>
      </c>
      <c r="J3190" s="2165" t="n">
        <v>0</v>
      </c>
      <c r="K3190" s="2165" t="n"/>
    </row>
    <row r="3191" outlineLevel="2" ht="15.75" customHeight="1">
      <c r="A3191" s="1067" t="n">
        <v>1</v>
      </c>
      <c r="B3191" s="1067" t="inlineStr">
        <is>
          <t>Serviço</t>
        </is>
      </c>
      <c r="C3191" s="1081" t="inlineStr">
        <is>
          <t xml:space="preserve">Revestimento de Piso, Carpet 411 Cab Beaulieu (Sobra One Tower)  </t>
        </is>
      </c>
      <c r="D3191" s="1081" t="inlineStr">
        <is>
          <t xml:space="preserve">Revestimento de Piso, Carpet 411 Cab Beaulieu (Sobra One Tower)  </t>
        </is>
      </c>
      <c r="E3191" s="1068" t="inlineStr">
        <is>
          <t>M2</t>
        </is>
      </c>
      <c r="F3191" s="1081" t="n"/>
      <c r="G3191" s="1069">
        <f t="array" ref="G3191">IF(B3191="insumo",_xlfn.XLOOKUP($D3191,Insumos!$B$1:$B$996,Insumos!$D$1:$D$996),"")</f>
        <v/>
      </c>
      <c r="H3191" s="1069" t="n">
        <v>342.639759036145</v>
      </c>
      <c r="I3191" s="2170" t="n">
        <v>0</v>
      </c>
      <c r="J3191" s="2170" t="n">
        <v>0</v>
      </c>
      <c r="K3191" s="2170" t="n"/>
    </row>
    <row r="3192" outlineLevel="3" ht="15.75" customHeight="1">
      <c r="A3192" s="10" t="n">
        <v>1</v>
      </c>
      <c r="B3192" s="10" t="inlineStr">
        <is>
          <t>Insumo</t>
        </is>
      </c>
      <c r="C3192" s="10" t="inlineStr">
        <is>
          <t xml:space="preserve">Revestimento de Piso, Carpet 411 Cab Beaulieu (Sobra One Tower)  </t>
        </is>
      </c>
      <c r="D3192" s="10" t="inlineStr">
        <is>
          <t>Revestimento de piso carpet - Material e Mão de Obra</t>
        </is>
      </c>
      <c r="E3192" s="11">
        <f t="array" ref="E3192">_xlfn.XLOOKUP(D3192,Insumos!B:B,Insumos!C:$C)</f>
        <v/>
      </c>
      <c r="F3192" s="14" t="n">
        <v>1</v>
      </c>
      <c r="G3192" s="92">
        <f t="array" ref="G3192">IF(B3192="insumo",_xlfn.XLOOKUP($D3192,Insumos!$B$1:$B$996,Insumos!$D$1:$D$996),"")</f>
        <v/>
      </c>
      <c r="H3192" s="92" t="n">
        <v>342.639759036145</v>
      </c>
      <c r="I3192" s="2162" t="n">
        <v>0</v>
      </c>
      <c r="J3192" s="2162" t="n">
        <v>0</v>
      </c>
      <c r="K3192" s="2162" t="n"/>
    </row>
    <row r="3193" outlineLevel="2" ht="15.75" customHeight="1">
      <c r="A3193" s="1067" t="n">
        <v>1</v>
      </c>
      <c r="B3193" s="1067" t="inlineStr">
        <is>
          <t>Serviço</t>
        </is>
      </c>
      <c r="C3193" s="1081" t="inlineStr">
        <is>
          <t>Gradil metálico - Material e Mão de obra</t>
        </is>
      </c>
      <c r="D3193" s="1081" t="inlineStr">
        <is>
          <t>Gradil metálico - Material e Mão de obra</t>
        </is>
      </c>
      <c r="E3193" s="1068" t="inlineStr">
        <is>
          <t>M2</t>
        </is>
      </c>
      <c r="F3193" s="1081" t="n"/>
      <c r="G3193" s="1069">
        <f t="array" ref="G3193">IF(B3193="insumo",_xlfn.XLOOKUP($D3193,Insumos!$B$1:$B$996,Insumos!$D$1:$D$996),"")</f>
        <v/>
      </c>
      <c r="H3193" s="1069" t="n">
        <v>1036.95047489824</v>
      </c>
      <c r="I3193" s="2170" t="n">
        <v>0</v>
      </c>
      <c r="J3193" s="2170" t="n">
        <v>0</v>
      </c>
      <c r="K3193" s="2170" t="n"/>
    </row>
    <row r="3194" outlineLevel="3" ht="15.75" customHeight="1">
      <c r="A3194" s="10" t="n">
        <v>1</v>
      </c>
      <c r="B3194" s="10" t="inlineStr">
        <is>
          <t>Insumo</t>
        </is>
      </c>
      <c r="C3194" s="10" t="inlineStr">
        <is>
          <t>Gradil metálico - Material e Mão de obra</t>
        </is>
      </c>
      <c r="D3194" s="10" t="inlineStr">
        <is>
          <t>GRADE PISO ACO ASTM A36 LISO ACB. DES. PADRAO GALV A FOGO - 2,2x1,34</t>
        </is>
      </c>
      <c r="E3194" s="11">
        <f t="array" ref="E3194">_xlfn.XLOOKUP(D3194,Insumos!B:B,Insumos!C:$C)</f>
        <v/>
      </c>
      <c r="F3194" s="14" t="n">
        <v>1</v>
      </c>
      <c r="G3194" s="92">
        <f t="array" ref="G3194">IF(B3194="insumo",_xlfn.XLOOKUP($D3194,Insumos!$B$1:$B$996,Insumos!$D$1:$D$996),"")</f>
        <v/>
      </c>
      <c r="H3194" s="92" t="n">
        <v>1036.95047489824</v>
      </c>
      <c r="I3194" s="2162" t="n">
        <v>0</v>
      </c>
      <c r="J3194" s="2162" t="n">
        <v>0</v>
      </c>
      <c r="K3194" s="2162" t="n"/>
    </row>
    <row r="3195" outlineLevel="2" ht="12.75" customHeight="1">
      <c r="A3195" s="1071" t="n">
        <v>1</v>
      </c>
      <c r="B3195" s="1071" t="inlineStr">
        <is>
          <t>Serviço</t>
        </is>
      </c>
      <c r="C3195" s="1071" t="inlineStr">
        <is>
          <t>Piso elevado - Material e Mão de obra</t>
        </is>
      </c>
      <c r="D3195" s="1071" t="inlineStr">
        <is>
          <t>Piso elevado - Material e Mão de obra</t>
        </is>
      </c>
      <c r="E3195" s="1072" t="inlineStr">
        <is>
          <t>M2</t>
        </is>
      </c>
      <c r="F3195" s="1071" t="n"/>
      <c r="G3195" s="1073">
        <f t="array" ref="G3195">IF(B3195="insumo",_xlfn.XLOOKUP($D3195,Insumos!$B$1:$B$996,Insumos!$D$1:$D$996),"")</f>
        <v/>
      </c>
      <c r="H3195" s="1073" t="n">
        <v>296.7</v>
      </c>
      <c r="I3195" s="2163" t="n">
        <v>0</v>
      </c>
      <c r="J3195" s="2163" t="n">
        <v>0</v>
      </c>
      <c r="K3195" s="2163" t="n"/>
    </row>
    <row r="3196" outlineLevel="3" ht="12.75" customHeight="1">
      <c r="A3196" s="82" t="n">
        <v>2</v>
      </c>
      <c r="B3196" s="82" t="inlineStr">
        <is>
          <t>Insumo</t>
        </is>
      </c>
      <c r="C3196" s="82" t="inlineStr">
        <is>
          <t>Piso elevado - Material e Mão de obra</t>
        </is>
      </c>
      <c r="D3196" s="82" t="inlineStr">
        <is>
          <t>Piso elevado</t>
        </is>
      </c>
      <c r="E3196" s="11">
        <f t="array" ref="E3196">_xlfn.XLOOKUP(D3196,Insumos!B:B,Insumos!C:$C)</f>
        <v/>
      </c>
      <c r="F3196" s="2164" t="n">
        <v>1</v>
      </c>
      <c r="G3196" s="92">
        <f t="array" ref="G3196">IF(B3196="insumo",_xlfn.XLOOKUP($D3196,Insumos!$B$1:$B$996,Insumos!$D$1:$D$996),"")</f>
        <v/>
      </c>
      <c r="H3196" s="92" t="n">
        <v>146.7</v>
      </c>
      <c r="I3196" s="2165" t="n">
        <v>0</v>
      </c>
      <c r="J3196" s="2165" t="n">
        <v>0</v>
      </c>
      <c r="K3196" s="2165" t="n"/>
    </row>
    <row r="3197" outlineLevel="3" ht="12.75" customHeight="1">
      <c r="A3197" s="82" t="n">
        <v>3</v>
      </c>
      <c r="B3197" s="82" t="inlineStr">
        <is>
          <t>Insumo</t>
        </is>
      </c>
      <c r="C3197" s="82" t="inlineStr">
        <is>
          <t>Piso elevado - Material e Mão de obra</t>
        </is>
      </c>
      <c r="D3197" s="82" t="inlineStr">
        <is>
          <t>Mão de obra execução de piso elevado</t>
        </is>
      </c>
      <c r="E3197" s="11">
        <f t="array" ref="E3197">_xlfn.XLOOKUP(D3197,Insumos!B:B,Insumos!C:$C)</f>
        <v/>
      </c>
      <c r="F3197" s="2164" t="n">
        <v>1</v>
      </c>
      <c r="G3197" s="92">
        <f t="array" ref="G3197">IF(B3197="insumo",_xlfn.XLOOKUP($D3197,Insumos!$B$1:$B$996,Insumos!$D$1:$D$996),"")</f>
        <v/>
      </c>
      <c r="H3197" s="92" t="n">
        <v>150</v>
      </c>
      <c r="I3197" s="2165" t="n">
        <v>0</v>
      </c>
      <c r="J3197" s="2165" t="n">
        <v>0</v>
      </c>
      <c r="K3197" s="2165" t="n"/>
    </row>
    <row r="3198" outlineLevel="2" ht="12.75" customHeight="1">
      <c r="A3198" s="1071" t="n">
        <v>1</v>
      </c>
      <c r="B3198" s="1071" t="inlineStr">
        <is>
          <t>Serviço</t>
        </is>
      </c>
      <c r="C3198" s="1071" t="inlineStr">
        <is>
          <t>Laje verde intensiva sobre steel deck - Material e Mão de obra</t>
        </is>
      </c>
      <c r="D3198" s="1071" t="inlineStr">
        <is>
          <t>Laje verde intensiva sobre steel deck - Material e Mão de obra</t>
        </is>
      </c>
      <c r="E3198" s="1072" t="inlineStr">
        <is>
          <t>M2</t>
        </is>
      </c>
      <c r="F3198" s="1071" t="n"/>
      <c r="G3198" s="1073">
        <f t="array" ref="G3198">IF(B3198="insumo",_xlfn.XLOOKUP($D3198,Insumos!$B$1:$B$996,Insumos!$D$1:$D$996),"")</f>
        <v/>
      </c>
      <c r="H3198" s="1073" t="n">
        <v>1525</v>
      </c>
      <c r="I3198" s="2163" t="e">
        <v>#REF!</v>
      </c>
      <c r="J3198" s="2163" t="e">
        <v>#REF!</v>
      </c>
      <c r="K3198" s="2163" t="n"/>
    </row>
    <row r="3199" outlineLevel="3" ht="12.75" customHeight="1">
      <c r="A3199" s="82" t="n">
        <v>1</v>
      </c>
      <c r="B3199" s="82" t="inlineStr">
        <is>
          <t>Insumo</t>
        </is>
      </c>
      <c r="C3199" s="82" t="inlineStr">
        <is>
          <t>Laje verde intensiva sobre steel deck - Material e Mão de obra</t>
        </is>
      </c>
      <c r="D3199" s="82" t="inlineStr">
        <is>
          <t>Estrutura steel deck + concreto</t>
        </is>
      </c>
      <c r="E3199" s="11">
        <f t="array" ref="E3199">_xlfn.XLOOKUP(D3199,Insumos!B:B,Insumos!C:$C)</f>
        <v/>
      </c>
      <c r="F3199" s="2164" t="n">
        <v>1</v>
      </c>
      <c r="G3199" s="92">
        <f t="array" ref="G3199">IF(B3199="insumo",_xlfn.XLOOKUP($D3199,Insumos!$B$1:$B$996,Insumos!$D$1:$D$996),"")</f>
        <v/>
      </c>
      <c r="H3199" s="92" t="n">
        <v>450</v>
      </c>
      <c r="I3199" s="2165" t="e">
        <v>#REF!</v>
      </c>
      <c r="J3199" s="2165" t="e">
        <v>#REF!</v>
      </c>
      <c r="K3199" s="2165" t="n"/>
    </row>
    <row r="3200" outlineLevel="3" ht="12.75" customHeight="1">
      <c r="A3200" s="82" t="n">
        <v>1</v>
      </c>
      <c r="B3200" s="82" t="inlineStr">
        <is>
          <t>Insumo</t>
        </is>
      </c>
      <c r="C3200" s="82" t="inlineStr">
        <is>
          <t>Laje verde intensiva sobre steel deck - Material e Mão de obra</t>
        </is>
      </c>
      <c r="D3200" s="82" t="inlineStr">
        <is>
          <t>Regularização e proteção mecânica</t>
        </is>
      </c>
      <c r="E3200" s="11">
        <f t="array" ref="E3200">_xlfn.XLOOKUP(D3200,Insumos!B:B,Insumos!C:$C)</f>
        <v/>
      </c>
      <c r="F3200" s="2164" t="n">
        <v>1</v>
      </c>
      <c r="G3200" s="92">
        <f t="array" ref="G3200">IF(B3200="insumo",_xlfn.XLOOKUP($D3200,Insumos!$B$1:$B$996,Insumos!$D$1:$D$996),"")</f>
        <v/>
      </c>
      <c r="H3200" s="92" t="n">
        <v>80</v>
      </c>
      <c r="I3200" s="2165" t="e">
        <v>#REF!</v>
      </c>
      <c r="J3200" s="2165" t="e">
        <v>#REF!</v>
      </c>
      <c r="K3200" s="2165" t="n"/>
    </row>
    <row r="3201" outlineLevel="3" ht="12.75" customHeight="1">
      <c r="A3201" s="82" t="n">
        <v>1</v>
      </c>
      <c r="B3201" s="82" t="inlineStr">
        <is>
          <t>Insumo</t>
        </is>
      </c>
      <c r="C3201" s="82" t="inlineStr">
        <is>
          <t>Laje verde intensiva sobre steel deck - Material e Mão de obra</t>
        </is>
      </c>
      <c r="D3201" s="82" t="inlineStr">
        <is>
          <t>Impermeabilização antirraiz</t>
        </is>
      </c>
      <c r="E3201" s="11">
        <f t="array" ref="E3201">_xlfn.XLOOKUP(D3201,Insumos!B:B,Insumos!C:$C)</f>
        <v/>
      </c>
      <c r="F3201" s="2164" t="n">
        <v>1</v>
      </c>
      <c r="G3201" s="92">
        <f t="array" ref="G3201">IF(B3201="insumo",_xlfn.XLOOKUP($D3201,Insumos!$B$1:$B$996,Insumos!$D$1:$D$996),"")</f>
        <v/>
      </c>
      <c r="H3201" s="92" t="n">
        <v>160</v>
      </c>
      <c r="I3201" s="2165" t="e">
        <v>#REF!</v>
      </c>
      <c r="J3201" s="2165" t="e">
        <v>#REF!</v>
      </c>
      <c r="K3201" s="2165" t="n"/>
    </row>
    <row r="3202" outlineLevel="3" ht="12.75" customHeight="1">
      <c r="A3202" s="82" t="n">
        <v>1</v>
      </c>
      <c r="B3202" s="82" t="inlineStr">
        <is>
          <t>Insumo</t>
        </is>
      </c>
      <c r="C3202" s="82" t="inlineStr">
        <is>
          <t>Laje verde intensiva sobre steel deck - Material e Mão de obra</t>
        </is>
      </c>
      <c r="D3202" s="82" t="inlineStr">
        <is>
          <t>Camada drenante</t>
        </is>
      </c>
      <c r="E3202" s="11">
        <f t="array" ref="E3202">_xlfn.XLOOKUP(D3202,Insumos!B:B,Insumos!C:$C)</f>
        <v/>
      </c>
      <c r="F3202" s="2164" t="n">
        <v>1</v>
      </c>
      <c r="G3202" s="92">
        <f t="array" ref="G3202">IF(B3202="insumo",_xlfn.XLOOKUP($D3202,Insumos!$B$1:$B$996,Insumos!$D$1:$D$996),"")</f>
        <v/>
      </c>
      <c r="H3202" s="92" t="n">
        <v>140</v>
      </c>
      <c r="I3202" s="2165" t="e">
        <v>#REF!</v>
      </c>
      <c r="J3202" s="2165" t="e">
        <v>#REF!</v>
      </c>
      <c r="K3202" s="2165" t="n"/>
    </row>
    <row r="3203" outlineLevel="3" ht="12.75" customHeight="1">
      <c r="A3203" s="82" t="n">
        <v>1</v>
      </c>
      <c r="B3203" s="82" t="inlineStr">
        <is>
          <t>Insumo</t>
        </is>
      </c>
      <c r="C3203" s="82" t="inlineStr">
        <is>
          <t>Laje verde intensiva sobre steel deck - Material e Mão de obra</t>
        </is>
      </c>
      <c r="D3203" s="82" t="inlineStr">
        <is>
          <t>Manta filtrante</t>
        </is>
      </c>
      <c r="E3203" s="11">
        <f t="array" ref="E3203">_xlfn.XLOOKUP(D3203,Insumos!B:B,Insumos!C:$C)</f>
        <v/>
      </c>
      <c r="F3203" s="2164" t="n">
        <v>1</v>
      </c>
      <c r="G3203" s="92">
        <f t="array" ref="G3203">IF(B3203="insumo",_xlfn.XLOOKUP($D3203,Insumos!$B$1:$B$996,Insumos!$D$1:$D$996),"")</f>
        <v/>
      </c>
      <c r="H3203" s="92" t="n">
        <v>25</v>
      </c>
      <c r="I3203" s="2165" t="e">
        <v>#REF!</v>
      </c>
      <c r="J3203" s="2165" t="e">
        <v>#REF!</v>
      </c>
      <c r="K3203" s="2165" t="n"/>
    </row>
    <row r="3204" outlineLevel="3" ht="12.75" customHeight="1">
      <c r="A3204" s="82" t="n">
        <v>1</v>
      </c>
      <c r="B3204" s="82" t="inlineStr">
        <is>
          <t>Insumo</t>
        </is>
      </c>
      <c r="C3204" s="82" t="inlineStr">
        <is>
          <t>Laje verde intensiva sobre steel deck - Material e Mão de obra</t>
        </is>
      </c>
      <c r="D3204" s="82" t="inlineStr">
        <is>
          <t>Substrato vegetal intensivo</t>
        </is>
      </c>
      <c r="E3204" s="11">
        <f t="array" ref="E3204">_xlfn.XLOOKUP(D3204,Insumos!B:B,Insumos!C:$C)</f>
        <v/>
      </c>
      <c r="F3204" s="2164" t="n">
        <v>1</v>
      </c>
      <c r="G3204" s="92">
        <f t="array" ref="G3204">IF(B3204="insumo",_xlfn.XLOOKUP($D3204,Insumos!$B$1:$B$996,Insumos!$D$1:$D$996),"")</f>
        <v/>
      </c>
      <c r="H3204" s="92" t="n">
        <v>260</v>
      </c>
      <c r="I3204" s="2165" t="e">
        <v>#REF!</v>
      </c>
      <c r="J3204" s="2165" t="e">
        <v>#REF!</v>
      </c>
      <c r="K3204" s="2165" t="n"/>
    </row>
    <row r="3205" outlineLevel="3" ht="12.75" customHeight="1">
      <c r="A3205" s="82" t="n">
        <v>1</v>
      </c>
      <c r="B3205" s="82" t="inlineStr">
        <is>
          <t>Insumo</t>
        </is>
      </c>
      <c r="C3205" s="82" t="inlineStr">
        <is>
          <t>Laje verde intensiva sobre steel deck - Material e Mão de obra</t>
        </is>
      </c>
      <c r="D3205" s="82" t="inlineStr">
        <is>
          <t>Vegetação intensiva</t>
        </is>
      </c>
      <c r="E3205" s="11">
        <f t="array" ref="E3205">_xlfn.XLOOKUP(D3205,Insumos!B:B,Insumos!C:$C)</f>
        <v/>
      </c>
      <c r="F3205" s="2164" t="n">
        <v>1</v>
      </c>
      <c r="G3205" s="92">
        <f t="array" ref="G3205">IF(B3205="insumo",_xlfn.XLOOKUP($D3205,Insumos!$B$1:$B$996,Insumos!$D$1:$D$996),"")</f>
        <v/>
      </c>
      <c r="H3205" s="92" t="n">
        <v>320</v>
      </c>
      <c r="I3205" s="2165" t="e">
        <v>#REF!</v>
      </c>
      <c r="J3205" s="2165" t="e">
        <v>#REF!</v>
      </c>
      <c r="K3205" s="2165" t="n"/>
    </row>
    <row r="3206" outlineLevel="3" ht="12.75" customHeight="1">
      <c r="A3206" s="82" t="n">
        <v>1</v>
      </c>
      <c r="B3206" s="82" t="inlineStr">
        <is>
          <t>Insumo</t>
        </is>
      </c>
      <c r="C3206" s="82" t="inlineStr">
        <is>
          <t>Laje verde intensiva sobre steel deck - Material e Mão de obra</t>
        </is>
      </c>
      <c r="D3206" s="82" t="inlineStr">
        <is>
          <t>Sistema irrigação</t>
        </is>
      </c>
      <c r="E3206" s="11">
        <f t="array" ref="E3206">_xlfn.XLOOKUP(D3206,Insumos!B:B,Insumos!C:$C)</f>
        <v/>
      </c>
      <c r="F3206" s="2164" t="n">
        <v>1</v>
      </c>
      <c r="G3206" s="92">
        <f t="array" ref="G3206">IF(B3206="insumo",_xlfn.XLOOKUP($D3206,Insumos!$B$1:$B$996,Insumos!$D$1:$D$996),"")</f>
        <v/>
      </c>
      <c r="H3206" s="92" t="n">
        <v>90</v>
      </c>
      <c r="I3206" s="2165" t="e">
        <v>#REF!</v>
      </c>
      <c r="J3206" s="2165" t="e">
        <v>#REF!</v>
      </c>
      <c r="K3206" s="2165" t="n"/>
    </row>
    <row r="3207" outlineLevel="2" ht="15.75" customHeight="1">
      <c r="A3207" s="1067" t="n">
        <v>1</v>
      </c>
      <c r="B3207" s="1067" t="inlineStr">
        <is>
          <t>Serviço</t>
        </is>
      </c>
      <c r="C3207" s="1081" t="inlineStr">
        <is>
          <t>Friso metálico entre pisos / Largura 1,5 cm / Cor: dourado escovado - Material e Mão de obra</t>
        </is>
      </c>
      <c r="D3207" s="1081" t="inlineStr">
        <is>
          <t>Friso metálico entre pisos / Largura 1,5 cm / Cor: dourado escovado - Material e Mão de obra</t>
        </is>
      </c>
      <c r="E3207" s="1068" t="inlineStr">
        <is>
          <t>M</t>
        </is>
      </c>
      <c r="F3207" s="1081" t="n"/>
      <c r="G3207" s="1069">
        <f t="array" ref="G3207">IF(B3207="insumo",_xlfn.XLOOKUP($D3207,Insumos!$B$1:$B$996,Insumos!$D$1:$D$996),"")</f>
        <v/>
      </c>
      <c r="H3207" s="1069" t="n">
        <v>150</v>
      </c>
      <c r="I3207" s="2170" t="e">
        <v>#REF!</v>
      </c>
      <c r="J3207" s="2170" t="e">
        <v>#REF!</v>
      </c>
      <c r="K3207" s="2170" t="n"/>
    </row>
    <row r="3208" outlineLevel="3" ht="15.75" customHeight="1">
      <c r="A3208" s="10" t="n">
        <v>1</v>
      </c>
      <c r="B3208" s="10" t="inlineStr">
        <is>
          <t>Insumo</t>
        </is>
      </c>
      <c r="C3208" s="82" t="inlineStr">
        <is>
          <t>Friso metálico entre pisos / Largura 1,5 cm / Cor: dourado escovado - Material e Mão de obra</t>
        </is>
      </c>
      <c r="D3208" s="82" t="inlineStr">
        <is>
          <t>Friso metálico entre pisos / Largura 1,5 cm / Cor: dourado escovado - Material e Mão de obra</t>
        </is>
      </c>
      <c r="E3208" s="11">
        <f t="array" ref="E3208">_xlfn.XLOOKUP(D3208,Insumos!B:B,Insumos!C:$C)</f>
        <v/>
      </c>
      <c r="F3208" s="14" t="n">
        <v>1</v>
      </c>
      <c r="G3208" s="92">
        <f t="array" ref="G3208">IF(B3208="insumo",_xlfn.XLOOKUP($D3208,Insumos!$B$1:$B$996,Insumos!$D$1:$D$996),"")</f>
        <v/>
      </c>
      <c r="H3208" s="92" t="n">
        <v>150</v>
      </c>
      <c r="I3208" s="2162" t="e">
        <v>#REF!</v>
      </c>
      <c r="J3208" s="2162" t="e">
        <v>#REF!</v>
      </c>
      <c r="K3208" s="2162" t="n"/>
    </row>
    <row r="3209" outlineLevel="2" ht="15.75" customHeight="1">
      <c r="A3209" s="1067" t="n">
        <v>1</v>
      </c>
      <c r="B3209" s="1067" t="inlineStr">
        <is>
          <t>Serviço</t>
        </is>
      </c>
      <c r="C3209" s="1081" t="inlineStr">
        <is>
          <t>Gradil metálico para Piso - Material e Mão de obra</t>
        </is>
      </c>
      <c r="D3209" s="1081" t="inlineStr">
        <is>
          <t>Gradil metálico para Piso - Material e Mão de obra</t>
        </is>
      </c>
      <c r="E3209" s="1068" t="inlineStr">
        <is>
          <t>M2</t>
        </is>
      </c>
      <c r="F3209" s="1081" t="n"/>
      <c r="G3209" s="1069">
        <f t="array" ref="G3209">IF(B3209="insumo",_xlfn.XLOOKUP($D3209,Insumos!$B$1:$B$996,Insumos!$D$1:$D$996),"")</f>
        <v/>
      </c>
      <c r="H3209" s="1069" t="n">
        <v>568.926724137931</v>
      </c>
      <c r="I3209" s="2170" t="n">
        <v>0</v>
      </c>
      <c r="J3209" s="2170" t="n">
        <v>0</v>
      </c>
      <c r="K3209" s="2170" t="n"/>
    </row>
    <row r="3210" outlineLevel="3" ht="15.75" customHeight="1">
      <c r="A3210" s="10" t="n">
        <v>2</v>
      </c>
      <c r="B3210" s="10" t="inlineStr">
        <is>
          <t>Insumo</t>
        </is>
      </c>
      <c r="C3210" s="10" t="inlineStr">
        <is>
          <t>Gradil metálico para Piso - Material e Mão de obra</t>
        </is>
      </c>
      <c r="D3210" s="10" t="inlineStr">
        <is>
          <t>Gradil metálico</t>
        </is>
      </c>
      <c r="E3210" s="11">
        <f t="array" ref="E3210">_xlfn.XLOOKUP(D3210,Insumos!B:B,Insumos!C:$C)</f>
        <v/>
      </c>
      <c r="F3210" s="14" t="n">
        <v>1</v>
      </c>
      <c r="G3210" s="92">
        <f t="array" ref="G3210">IF(B3210="insumo",_xlfn.XLOOKUP($D3210,Insumos!$B$1:$B$996,Insumos!$D$1:$D$996),"")</f>
        <v/>
      </c>
      <c r="H3210" s="92" t="n">
        <v>568.926724137931</v>
      </c>
      <c r="I3210" s="2162" t="n">
        <v>0</v>
      </c>
      <c r="J3210" s="2162" t="n">
        <v>0</v>
      </c>
      <c r="K3210" s="2162" t="n"/>
    </row>
    <row r="3211" outlineLevel="2" ht="15.75" customHeight="1">
      <c r="A3211" s="1067" t="n">
        <v>1</v>
      </c>
      <c r="B3211" s="1067" t="inlineStr">
        <is>
          <t>Serviço</t>
        </is>
      </c>
      <c r="C3211" s="1067" t="inlineStr">
        <is>
          <t>Revestimento de piso vinilico, nas áreas comuns - Material e Mão de Obra</t>
        </is>
      </c>
      <c r="D3211" s="1067" t="inlineStr">
        <is>
          <t>Revestimento de piso vinilico, nas áreas comuns - Material e Mão de Obra</t>
        </is>
      </c>
      <c r="E3211" s="1068" t="inlineStr">
        <is>
          <t>M2</t>
        </is>
      </c>
      <c r="F3211" s="1067" t="n"/>
      <c r="G3211" s="1069">
        <f t="array" ref="G3211">IF(B3211="insumo",_xlfn.XLOOKUP($D3211,Insumos!$B$1:$B$996,Insumos!$D$1:$D$996),"")</f>
        <v/>
      </c>
      <c r="H3211" s="1069" t="n">
        <v>150</v>
      </c>
      <c r="I3211" s="2161" t="n">
        <v>0</v>
      </c>
      <c r="J3211" s="2161" t="n">
        <v>0</v>
      </c>
      <c r="K3211" s="2161" t="n"/>
    </row>
    <row r="3212" outlineLevel="3" ht="15.75" customHeight="1">
      <c r="A3212" s="10" t="n">
        <v>3</v>
      </c>
      <c r="B3212" s="10" t="inlineStr">
        <is>
          <t>Insumo</t>
        </is>
      </c>
      <c r="C3212" s="10" t="inlineStr">
        <is>
          <t>Revestimento de piso vinilico, nas áreas comuns - Material e Mão de Obra</t>
        </is>
      </c>
      <c r="D3212" s="10" t="inlineStr">
        <is>
          <t>PISO VINILICO RUFFINO SOFISTICATO 2MM - MATERIAL E MÃO DE OBRA</t>
        </is>
      </c>
      <c r="E3212" s="11">
        <f t="array" ref="E3212">_xlfn.XLOOKUP(D3212,Insumos!B:B,Insumos!C:$C)</f>
        <v/>
      </c>
      <c r="F3212" s="14" t="n">
        <v>1</v>
      </c>
      <c r="G3212" s="92">
        <f t="array" ref="G3212">IF(B3212="insumo",_xlfn.XLOOKUP($D3212,Insumos!$B$1:$B$996,Insumos!$D$1:$D$996),"")</f>
        <v/>
      </c>
      <c r="H3212" s="92" t="n">
        <v>150</v>
      </c>
      <c r="I3212" s="2162" t="n">
        <v>0</v>
      </c>
      <c r="J3212" s="2162" t="n">
        <v>0</v>
      </c>
      <c r="K3212" s="2162" t="n"/>
    </row>
    <row r="3213" outlineLevel="2" ht="15.75" customHeight="1">
      <c r="A3213" s="1067" t="n">
        <v>1</v>
      </c>
      <c r="B3213" s="1067" t="inlineStr">
        <is>
          <t>Serviço</t>
        </is>
      </c>
      <c r="C3213" s="1067" t="inlineStr">
        <is>
          <t>Revestimento de piso vinilico, nas áreas privativas - Material e Mão de Obra</t>
        </is>
      </c>
      <c r="D3213" s="1067" t="inlineStr">
        <is>
          <t>Revestimento de piso vinilico, nas áreas privativas - Material e Mão de Obra</t>
        </is>
      </c>
      <c r="E3213" s="1068" t="inlineStr">
        <is>
          <t>M2</t>
        </is>
      </c>
      <c r="F3213" s="1067" t="n"/>
      <c r="G3213" s="1069">
        <f t="array" ref="G3213">IF(B3213="insumo",_xlfn.XLOOKUP($D3213,Insumos!$B$1:$B$996,Insumos!$D$1:$D$996),"")</f>
        <v/>
      </c>
      <c r="H3213" s="1069" t="n">
        <v>150</v>
      </c>
      <c r="I3213" s="2161" t="n">
        <v>0</v>
      </c>
      <c r="J3213" s="2161" t="n">
        <v>0</v>
      </c>
      <c r="K3213" s="2161" t="n"/>
    </row>
    <row r="3214" outlineLevel="3" ht="15.75" customHeight="1">
      <c r="A3214" s="10" t="n">
        <v>3</v>
      </c>
      <c r="B3214" s="10" t="inlineStr">
        <is>
          <t>Insumo</t>
        </is>
      </c>
      <c r="C3214" s="10" t="inlineStr">
        <is>
          <t>Revestimento de piso vinilico, nas áreas privativas - Material e Mão de Obra</t>
        </is>
      </c>
      <c r="D3214" s="10" t="inlineStr">
        <is>
          <t>PISO VINILICO RUFFINO SOFISTICATO 2MM - MATERIAL E MÃO DE OBRA</t>
        </is>
      </c>
      <c r="E3214" s="11">
        <f t="array" ref="E3214">_xlfn.XLOOKUP(D3214,Insumos!B:B,Insumos!C:$C)</f>
        <v/>
      </c>
      <c r="F3214" s="14" t="n">
        <v>1</v>
      </c>
      <c r="G3214" s="92">
        <f t="array" ref="G3214">IF(B3214="insumo",_xlfn.XLOOKUP($D3214,Insumos!$B$1:$B$996,Insumos!$D$1:$D$996),"")</f>
        <v/>
      </c>
      <c r="H3214" s="92" t="n">
        <v>150</v>
      </c>
      <c r="I3214" s="2162" t="n">
        <v>0</v>
      </c>
      <c r="J3214" s="2162" t="n">
        <v>0</v>
      </c>
      <c r="K3214" s="2162" t="n"/>
    </row>
    <row r="3215" outlineLevel="2" ht="15.75" customHeight="1">
      <c r="A3215" s="1067" t="n">
        <v>1</v>
      </c>
      <c r="B3215" s="1067" t="inlineStr">
        <is>
          <t>Serviço</t>
        </is>
      </c>
      <c r="C3215" s="1067" t="inlineStr">
        <is>
          <t xml:space="preserve">Revestimento de Piso Vinilico Linha Ambienta Series Cedro  Tarkett  </t>
        </is>
      </c>
      <c r="D3215" s="1067" t="inlineStr">
        <is>
          <t xml:space="preserve">Revestimento de Piso Vinilico Linha Ambienta Series Cedro  Tarkett  </t>
        </is>
      </c>
      <c r="E3215" s="1068" t="inlineStr">
        <is>
          <t>M2</t>
        </is>
      </c>
      <c r="F3215" s="1081" t="n"/>
      <c r="G3215" s="1069">
        <f t="array" ref="G3215">IF(B3215="insumo",_xlfn.XLOOKUP($D3215,Insumos!$B$1:$B$996,Insumos!$D$1:$D$996),"")</f>
        <v/>
      </c>
      <c r="H3215" s="1069" t="n">
        <v>240</v>
      </c>
      <c r="I3215" s="2170" t="n">
        <v>0</v>
      </c>
      <c r="J3215" s="2170" t="n">
        <v>0</v>
      </c>
      <c r="K3215" s="2170" t="n"/>
    </row>
    <row r="3216" outlineLevel="3" ht="15.75" customHeight="1">
      <c r="A3216" s="10" t="n">
        <v>1</v>
      </c>
      <c r="B3216" s="10" t="inlineStr">
        <is>
          <t>Insumo</t>
        </is>
      </c>
      <c r="C3216" s="10" t="inlineStr">
        <is>
          <t xml:space="preserve">Revestimento de Piso Vinilico Linha Ambienta Series Cedro  Tarkett  </t>
        </is>
      </c>
      <c r="D3216" s="10" t="inlineStr">
        <is>
          <t>PISO VINILICO LINHA AMBIENTA SERIES CEDRO  TARKETT - MATERIAL E MÃO DE OBRA</t>
        </is>
      </c>
      <c r="E3216" s="11">
        <f t="array" ref="E3216">_xlfn.XLOOKUP(D3216,Insumos!B:B,Insumos!C:$C)</f>
        <v/>
      </c>
      <c r="F3216" s="14" t="n">
        <v>1</v>
      </c>
      <c r="G3216" s="92">
        <f t="array" ref="G3216">IF(B3216="insumo",_xlfn.XLOOKUP($D3216,Insumos!$B$1:$B$996,Insumos!$D$1:$D$996),"")</f>
        <v/>
      </c>
      <c r="H3216" s="92" t="n">
        <v>240</v>
      </c>
      <c r="I3216" s="2162" t="n">
        <v>0</v>
      </c>
      <c r="J3216" s="2162" t="n">
        <v>0</v>
      </c>
      <c r="K3216" s="2162" t="n"/>
    </row>
    <row r="3217" outlineLevel="2" ht="15.75" customHeight="1">
      <c r="A3217" s="1067" t="n">
        <v>1</v>
      </c>
      <c r="B3217" s="1067" t="inlineStr">
        <is>
          <t>Serviço</t>
        </is>
      </c>
      <c r="C3217" s="1067" t="inlineStr">
        <is>
          <t>Revestimento de Piso vinílico cinza e cinza claro 92x92cm / Linha Ambienta Coleção Stone / Marca: Tarkett</t>
        </is>
      </c>
      <c r="D3217" s="1067" t="inlineStr">
        <is>
          <t>Revestimento de Piso vinílico cinza e cinza claro 92x92cm / Linha Ambienta Coleção Stone / Marca: Tarkett</t>
        </is>
      </c>
      <c r="E3217" s="1068" t="inlineStr">
        <is>
          <t>M2</t>
        </is>
      </c>
      <c r="F3217" s="1067" t="n"/>
      <c r="G3217" s="1069">
        <f t="array" ref="G3217">IF(B3217="insumo",_xlfn.XLOOKUP($D3217,Insumos!$B$1:$B$996,Insumos!$D$1:$D$996),"")</f>
        <v/>
      </c>
      <c r="H3217" s="1069" t="n">
        <v>590</v>
      </c>
      <c r="I3217" s="2161" t="e">
        <v>#REF!</v>
      </c>
      <c r="J3217" s="2161" t="e">
        <v>#REF!</v>
      </c>
      <c r="K3217" s="2161" t="n"/>
    </row>
    <row r="3218" outlineLevel="3" ht="15.75" customHeight="1">
      <c r="A3218" s="10" t="n">
        <v>1</v>
      </c>
      <c r="B3218" s="10" t="inlineStr">
        <is>
          <t>Insumo</t>
        </is>
      </c>
      <c r="C3218" s="10" t="inlineStr">
        <is>
          <t>Revestimento de Piso vinílico cinza e cinza claro 92x92cm / Linha Ambienta Coleção Stone / Marca: Tarkett</t>
        </is>
      </c>
      <c r="D3218" s="10" t="inlineStr">
        <is>
          <t>Piso vinílico cinza 92x92cm / Linha Ambienta Coleção Stone / Cores: cinza claro (Beige Porcelain) e cinza (Light Porcelain) / Marca: Tarkett - MATERIAL E MÃO DE OBRA</t>
        </is>
      </c>
      <c r="E3218" s="11">
        <f t="array" ref="E3218">_xlfn.XLOOKUP(D3218,Insumos!B:B,Insumos!C:$C)</f>
        <v/>
      </c>
      <c r="F3218" s="14" t="n">
        <v>1</v>
      </c>
      <c r="G3218" s="92">
        <f t="array" ref="G3218">IF(B3218="insumo",_xlfn.XLOOKUP($D3218,Insumos!$B$1:$B$996,Insumos!$D$1:$D$996),"")</f>
        <v/>
      </c>
      <c r="H3218" s="92" t="n">
        <v>590</v>
      </c>
      <c r="I3218" s="2162" t="e">
        <v>#REF!</v>
      </c>
      <c r="J3218" s="2162" t="e">
        <v>#REF!</v>
      </c>
      <c r="K3218" s="2162" t="n"/>
    </row>
    <row r="3219" outlineLevel="2" ht="15.75" customHeight="1">
      <c r="A3219" s="1067" t="n">
        <v>1</v>
      </c>
      <c r="B3219" s="1067" t="inlineStr">
        <is>
          <t>Serviço</t>
        </is>
      </c>
      <c r="C3219" s="1067" t="inlineStr">
        <is>
          <t>Revestimento de Piso vinílico cinza 92x92cm / Linha Ambienta Coleção Stone / Marca: Tarkett</t>
        </is>
      </c>
      <c r="D3219" s="1067" t="inlineStr">
        <is>
          <t>Revestimento de Piso vinílico cinza 92x92cm / Linha Ambienta Coleção Stone / Marca: Tarkett</t>
        </is>
      </c>
      <c r="E3219" s="1068" t="inlineStr">
        <is>
          <t>M2</t>
        </is>
      </c>
      <c r="F3219" s="1067" t="n"/>
      <c r="G3219" s="1069">
        <f t="array" ref="G3219">IF(B3219="insumo",_xlfn.XLOOKUP($D3219,Insumos!$B$1:$B$996,Insumos!$D$1:$D$996),"")</f>
        <v/>
      </c>
      <c r="H3219" s="1069" t="n">
        <v>590</v>
      </c>
      <c r="I3219" s="2161" t="e">
        <v>#REF!</v>
      </c>
      <c r="J3219" s="2161" t="e">
        <v>#REF!</v>
      </c>
      <c r="K3219" s="2161" t="n"/>
    </row>
    <row r="3220" outlineLevel="3" ht="15.75" customHeight="1">
      <c r="A3220" s="10" t="n">
        <v>1</v>
      </c>
      <c r="B3220" s="10" t="inlineStr">
        <is>
          <t>Insumo</t>
        </is>
      </c>
      <c r="C3220" s="10" t="inlineStr">
        <is>
          <t>Revestimento de Piso vinílico cinza 92x92cm / Linha Ambienta Coleção Stone / Marca: Tarkett</t>
        </is>
      </c>
      <c r="D3220" s="10" t="inlineStr">
        <is>
          <t>Piso vinílico cinza 92x92cm / Linha Ambienta Coleção Stone / Cores: cinza (Light Porcelain) / Marca: Tarkett - MATERIAL E MÃO DE OBRA</t>
        </is>
      </c>
      <c r="E3220" s="11">
        <f t="array" ref="E3220">_xlfn.XLOOKUP(D3220,Insumos!B:B,Insumos!C:$C)</f>
        <v/>
      </c>
      <c r="F3220" s="14" t="n">
        <v>1</v>
      </c>
      <c r="G3220" s="92">
        <f t="array" ref="G3220">IF(B3220="insumo",_xlfn.XLOOKUP($D3220,Insumos!$B$1:$B$996,Insumos!$D$1:$D$996),"")</f>
        <v/>
      </c>
      <c r="H3220" s="92" t="n">
        <v>590</v>
      </c>
      <c r="I3220" s="2162" t="e">
        <v>#REF!</v>
      </c>
      <c r="J3220" s="2162" t="e">
        <v>#REF!</v>
      </c>
      <c r="K3220" s="2162" t="n"/>
    </row>
    <row r="3221" outlineLevel="2" ht="15.75" customHeight="1">
      <c r="A3221" s="1067" t="n">
        <v>1</v>
      </c>
      <c r="B3221" s="1067" t="inlineStr">
        <is>
          <t>Serviço</t>
        </is>
      </c>
      <c r="C3221" s="1067" t="inlineStr">
        <is>
          <t>Revestimento de Piso vinílico cinza claro 92x92cm / Linha Ambienta Coleção Stone / Marca: Tarkett</t>
        </is>
      </c>
      <c r="D3221" s="1067" t="inlineStr">
        <is>
          <t>Revestimento de Piso vinílico cinza claro 92x92cm / Linha Ambienta Coleção Stone / Marca: Tarkett</t>
        </is>
      </c>
      <c r="E3221" s="1068" t="inlineStr">
        <is>
          <t>M2</t>
        </is>
      </c>
      <c r="F3221" s="1067" t="n"/>
      <c r="G3221" s="1069">
        <f t="array" ref="G3221">IF(B3221="insumo",_xlfn.XLOOKUP($D3221,Insumos!$B$1:$B$996,Insumos!$D$1:$D$996),"")</f>
        <v/>
      </c>
      <c r="H3221" s="1069" t="n">
        <v>590</v>
      </c>
      <c r="I3221" s="2161" t="e">
        <v>#REF!</v>
      </c>
      <c r="J3221" s="2161" t="e">
        <v>#REF!</v>
      </c>
      <c r="K3221" s="2161" t="n"/>
    </row>
    <row r="3222" outlineLevel="3" ht="15.75" customHeight="1">
      <c r="A3222" s="10" t="n">
        <v>1</v>
      </c>
      <c r="B3222" s="10" t="inlineStr">
        <is>
          <t>Insumo</t>
        </is>
      </c>
      <c r="C3222" s="10" t="inlineStr">
        <is>
          <t>Revestimento de Piso vinílico cinza claro 92x92cm / Linha Ambienta Coleção Stone / Marca: Tarkett</t>
        </is>
      </c>
      <c r="D3222" s="10" t="inlineStr">
        <is>
          <t>Piso vinílico cinza 92x92cm / Linha Ambienta Coleção Stone / Cores: cinza claro (Beige Porcelain) / Marca: Tarkett - MATERIAL E MÃO DE OBRA</t>
        </is>
      </c>
      <c r="E3222" s="11">
        <f t="array" ref="E3222">_xlfn.XLOOKUP(D3222,Insumos!B:B,Insumos!C:$C)</f>
        <v/>
      </c>
      <c r="F3222" s="14" t="n">
        <v>1</v>
      </c>
      <c r="G3222" s="92">
        <f t="array" ref="G3222">IF(B3222="insumo",_xlfn.XLOOKUP($D3222,Insumos!$B$1:$B$996,Insumos!$D$1:$D$996),"")</f>
        <v/>
      </c>
      <c r="H3222" s="92" t="n">
        <v>590</v>
      </c>
      <c r="I3222" s="2162" t="e">
        <v>#REF!</v>
      </c>
      <c r="J3222" s="2162" t="e">
        <v>#REF!</v>
      </c>
      <c r="K3222" s="2162" t="n"/>
    </row>
    <row r="3223" outlineLevel="2" ht="15.75" customHeight="1">
      <c r="A3223" s="1067" t="n">
        <v>1</v>
      </c>
      <c r="B3223" s="1067" t="inlineStr">
        <is>
          <t>Serviço</t>
        </is>
      </c>
      <c r="C3223" s="1067" t="inlineStr">
        <is>
          <t xml:space="preserve">Revestimento de Piso Vinilico Flamboyant Reguá 208X1230Mm Tarkett </t>
        </is>
      </c>
      <c r="D3223" s="1067" t="inlineStr">
        <is>
          <t xml:space="preserve">Revestimento de Piso Vinilico Flamboyant Reguá 208X1230Mm Tarkett </t>
        </is>
      </c>
      <c r="E3223" s="1068" t="inlineStr">
        <is>
          <t>M2</t>
        </is>
      </c>
      <c r="F3223" s="1067" t="n"/>
      <c r="G3223" s="1069">
        <f t="array" ref="G3223">IF(B3223="insumo",_xlfn.XLOOKUP($D3223,Insumos!$B$1:$B$996,Insumos!$D$1:$D$996),"")</f>
        <v/>
      </c>
      <c r="H3223" s="1069" t="n">
        <v>269.76</v>
      </c>
      <c r="I3223" s="2161" t="n">
        <v>0</v>
      </c>
      <c r="J3223" s="2161" t="n">
        <v>0</v>
      </c>
      <c r="K3223" s="2161" t="n"/>
    </row>
    <row r="3224" outlineLevel="3" ht="15.75" customHeight="1">
      <c r="A3224" s="10" t="n">
        <v>2</v>
      </c>
      <c r="B3224" s="10" t="inlineStr">
        <is>
          <t>Insumo</t>
        </is>
      </c>
      <c r="C3224" s="10" t="inlineStr">
        <is>
          <t xml:space="preserve">Revestimento de Piso Vinilico Flamboyant Reguá 208X1230Mm Tarkett </t>
        </is>
      </c>
      <c r="D3224" s="10" t="inlineStr">
        <is>
          <t>PISO VINILICO FLAMBOYANT REGUÁ 208x1230mm TARKETT - MATERIAL E MÃO DE OBRA</t>
        </is>
      </c>
      <c r="E3224" s="11">
        <f t="array" ref="E3224">_xlfn.XLOOKUP(D3224,Insumos!B:B,Insumos!C:$C)</f>
        <v/>
      </c>
      <c r="F3224" s="14" t="n">
        <v>1</v>
      </c>
      <c r="G3224" s="92">
        <f t="array" ref="G3224">IF(B3224="insumo",_xlfn.XLOOKUP($D3224,Insumos!$B$1:$B$996,Insumos!$D$1:$D$996),"")</f>
        <v/>
      </c>
      <c r="H3224" s="92" t="n">
        <v>269.76</v>
      </c>
      <c r="I3224" s="2162" t="n">
        <v>0</v>
      </c>
      <c r="J3224" s="2162" t="n">
        <v>0</v>
      </c>
      <c r="K3224" s="2162" t="n"/>
    </row>
    <row r="3225" outlineLevel="2" ht="15.75" customHeight="1">
      <c r="A3225" s="1067" t="n">
        <v>1</v>
      </c>
      <c r="B3225" s="1067" t="inlineStr">
        <is>
          <t>Serviço</t>
        </is>
      </c>
      <c r="C3225" s="1067" t="inlineStr">
        <is>
          <t xml:space="preserve">Revestimento de Piso Vinilico Luz Do Dia Linha Vital 1219,2X228,6Mm Finotatto  </t>
        </is>
      </c>
      <c r="D3225" s="1067" t="inlineStr">
        <is>
          <t xml:space="preserve">Revestimento de Piso Vinilico Luz Do Dia Linha Vital 1219,2X228,6Mm Finotatto  </t>
        </is>
      </c>
      <c r="E3225" s="1068" t="inlineStr">
        <is>
          <t>M2</t>
        </is>
      </c>
      <c r="F3225" s="1067" t="n"/>
      <c r="G3225" s="1069">
        <f t="array" ref="G3225">IF(B3225="insumo",_xlfn.XLOOKUP($D3225,Insumos!$B$1:$B$996,Insumos!$D$1:$D$996),"")</f>
        <v/>
      </c>
      <c r="H3225" s="1069" t="n">
        <v>161.8</v>
      </c>
      <c r="I3225" s="2161" t="n">
        <v>0</v>
      </c>
      <c r="J3225" s="2161" t="n">
        <v>0</v>
      </c>
      <c r="K3225" s="2161" t="n"/>
    </row>
    <row r="3226" outlineLevel="3" ht="15.75" customHeight="1">
      <c r="A3226" s="10" t="n">
        <v>1</v>
      </c>
      <c r="B3226" s="10" t="inlineStr">
        <is>
          <t>Insumo</t>
        </is>
      </c>
      <c r="C3226" s="10" t="inlineStr">
        <is>
          <t xml:space="preserve">Revestimento de Piso Vinilico Luz Do Dia Linha Vital 1219,2X228,6Mm Finotatto  </t>
        </is>
      </c>
      <c r="D3226" s="10" t="inlineStr">
        <is>
          <t>PISO VINILICO LUZ DO DIA LINHA VITAL 1219,2x228,6mm FINOTATTO - MATERIAL E MÃO DE OBRA</t>
        </is>
      </c>
      <c r="E3226" s="11">
        <f t="array" ref="E3226">_xlfn.XLOOKUP(D3226,Insumos!B:B,Insumos!C:$C)</f>
        <v/>
      </c>
      <c r="F3226" s="14" t="n">
        <v>1</v>
      </c>
      <c r="G3226" s="92">
        <f t="array" ref="G3226">IF(B3226="insumo",_xlfn.XLOOKUP($D3226,Insumos!$B$1:$B$996,Insumos!$D$1:$D$996),"")</f>
        <v/>
      </c>
      <c r="H3226" s="92" t="n">
        <v>161.8</v>
      </c>
      <c r="I3226" s="2162" t="n">
        <v>0</v>
      </c>
      <c r="J3226" s="2162" t="n">
        <v>0</v>
      </c>
      <c r="K3226" s="2162" t="n"/>
    </row>
    <row r="3227" outlineLevel="2" ht="12.75" customHeight="1">
      <c r="A3227" s="1071" t="n">
        <v>1</v>
      </c>
      <c r="B3227" s="1071" t="inlineStr">
        <is>
          <t>Serviço</t>
        </is>
      </c>
      <c r="C3227" s="1071" t="inlineStr">
        <is>
          <t>Revestimento de piso laminado acústico, nas áreas privativas - Material e Mão de Obra</t>
        </is>
      </c>
      <c r="D3227" s="1071" t="inlineStr">
        <is>
          <t>Revestimento de piso laminado acústico, nas áreas privativas - Material e Mão de Obra</t>
        </is>
      </c>
      <c r="E3227" s="1072" t="inlineStr">
        <is>
          <t>M2</t>
        </is>
      </c>
      <c r="F3227" s="1071" t="n"/>
      <c r="G3227" s="1073">
        <f t="array" ref="G3227">IF(B3227="insumo",_xlfn.XLOOKUP($D3227,Insumos!$B$1:$B$996,Insumos!$D$1:$D$996),"")</f>
        <v/>
      </c>
      <c r="H3227" s="1073" t="n">
        <v>177</v>
      </c>
      <c r="I3227" s="2163" t="n">
        <v>0</v>
      </c>
      <c r="J3227" s="2163" t="n">
        <v>0</v>
      </c>
      <c r="K3227" s="2163" t="n"/>
    </row>
    <row r="3228" outlineLevel="3" ht="12.75" customHeight="1">
      <c r="A3228" s="82" t="n">
        <v>1</v>
      </c>
      <c r="B3228" s="82" t="inlineStr">
        <is>
          <t>Insumo</t>
        </is>
      </c>
      <c r="C3228" s="82" t="inlineStr">
        <is>
          <t>Revestimento de piso laminado acústico, nas áreas privativas - Material e Mão de Obra</t>
        </is>
      </c>
      <c r="D3228" s="82" t="inlineStr">
        <is>
          <t>Revestimento de piso laminado acústico, nas áreas privativas - Material e Mão de Obra</t>
        </is>
      </c>
      <c r="E3228" s="11">
        <f t="array" ref="E3228">_xlfn.XLOOKUP(D3228,Insumos!B:B,Insumos!C:$C)</f>
        <v/>
      </c>
      <c r="F3228" s="2164" t="n">
        <v>1</v>
      </c>
      <c r="G3228" s="92">
        <f t="array" ref="G3228">IF(B3228="insumo",_xlfn.XLOOKUP($D3228,Insumos!$B$1:$B$996,Insumos!$D$1:$D$996),"")</f>
        <v/>
      </c>
      <c r="H3228" s="92" t="n">
        <v>177</v>
      </c>
      <c r="I3228" s="2165" t="n">
        <v>0</v>
      </c>
      <c r="J3228" s="2165" t="n">
        <v>0</v>
      </c>
      <c r="K3228" s="2165" t="n"/>
    </row>
    <row r="3229" outlineLevel="2" ht="15.75" customHeight="1">
      <c r="A3229" s="1067" t="n">
        <v>1</v>
      </c>
      <c r="B3229" s="1067" t="inlineStr">
        <is>
          <t>Serviço</t>
        </is>
      </c>
      <c r="C3229" s="1067" t="inlineStr">
        <is>
          <t>Revestimento de Piso, Emborrachado Monolitico Rubber</t>
        </is>
      </c>
      <c r="D3229" s="1067" t="inlineStr">
        <is>
          <t>Revestimento de Piso, Emborrachado Monolitico Rubber</t>
        </is>
      </c>
      <c r="E3229" s="1068" t="inlineStr">
        <is>
          <t>M2</t>
        </is>
      </c>
      <c r="F3229" s="1067" t="n"/>
      <c r="G3229" s="1069">
        <f t="array" ref="G3229">IF(B3229="insumo",_xlfn.XLOOKUP($D3229,Insumos!$B$1:$B$996,Insumos!$D$1:$D$996),"")</f>
        <v/>
      </c>
      <c r="H3229" s="1069" t="n">
        <v>250</v>
      </c>
      <c r="I3229" s="2161" t="n">
        <v>0</v>
      </c>
      <c r="J3229" s="2161" t="n">
        <v>0</v>
      </c>
      <c r="K3229" s="2161" t="n"/>
    </row>
    <row r="3230" outlineLevel="3" ht="15.75" customHeight="1">
      <c r="A3230" s="10" t="n">
        <v>1</v>
      </c>
      <c r="B3230" s="10" t="inlineStr">
        <is>
          <t>Insumo</t>
        </is>
      </c>
      <c r="C3230" s="10" t="inlineStr">
        <is>
          <t>Revestimento de Piso, Emborrachado Monolitico Rubber</t>
        </is>
      </c>
      <c r="D3230" s="10" t="inlineStr">
        <is>
          <t>Piso Emborrachado Monolitico Rubber</t>
        </is>
      </c>
      <c r="E3230" s="11">
        <f t="array" ref="E3230">_xlfn.XLOOKUP(D3230,Insumos!B:B,Insumos!C:$C)</f>
        <v/>
      </c>
      <c r="F3230" s="14" t="n">
        <v>1</v>
      </c>
      <c r="G3230" s="92">
        <f t="array" ref="G3230">IF(B3230="insumo",_xlfn.XLOOKUP($D3230,Insumos!$B$1:$B$996,Insumos!$D$1:$D$996),"")</f>
        <v/>
      </c>
      <c r="H3230" s="92" t="n">
        <v>250</v>
      </c>
      <c r="I3230" s="2162" t="n">
        <v>0</v>
      </c>
      <c r="J3230" s="2162" t="n">
        <v>0</v>
      </c>
      <c r="K3230" s="2162" t="n"/>
    </row>
    <row r="3231" outlineLevel="2" ht="12.75" customHeight="1">
      <c r="A3231" s="1071" t="n">
        <v>1</v>
      </c>
      <c r="B3231" s="1071" t="inlineStr">
        <is>
          <t>Serviço</t>
        </is>
      </c>
      <c r="C3231" s="1071" t="inlineStr">
        <is>
          <t>Revestimento emborrachado piso interno (Academia)- Material e Mão de Obra</t>
        </is>
      </c>
      <c r="D3231" s="1071" t="inlineStr">
        <is>
          <t>Revestimento emborrachado piso interno (Academia)- Material e Mão de Obra</t>
        </is>
      </c>
      <c r="E3231" s="1072" t="inlineStr">
        <is>
          <t>M2</t>
        </is>
      </c>
      <c r="F3231" s="1071" t="n"/>
      <c r="G3231" s="1073">
        <f t="array" ref="G3231">IF(B3231="insumo",_xlfn.XLOOKUP($D3231,Insumos!$B$1:$B$996,Insumos!$D$1:$D$996),"")</f>
        <v/>
      </c>
      <c r="H3231" s="1073" t="n">
        <v>101.998107</v>
      </c>
      <c r="I3231" s="2163" t="n">
        <v>0</v>
      </c>
      <c r="J3231" s="2163" t="n">
        <v>0</v>
      </c>
      <c r="K3231" s="2163" t="n"/>
    </row>
    <row r="3232" outlineLevel="3" ht="12.75" customHeight="1">
      <c r="A3232" s="82" t="n">
        <v>7</v>
      </c>
      <c r="B3232" s="82" t="inlineStr">
        <is>
          <t>Insumo</t>
        </is>
      </c>
      <c r="C3232" s="82" t="inlineStr">
        <is>
          <t>Revestimento emborrachado piso interno (Academia)- Material e Mão de Obra</t>
        </is>
      </c>
      <c r="D3232" s="82" t="inlineStr">
        <is>
          <t>Adesivo Acrilico De Base Aquosa / Cola De Contato</t>
        </is>
      </c>
      <c r="E3232" s="11">
        <f t="array" ref="E3232">_xlfn.XLOOKUP(D3232,Insumos!B:B,Insumos!C:$C)</f>
        <v/>
      </c>
      <c r="F3232" s="2164" t="n">
        <v>0.5637</v>
      </c>
      <c r="G3232" s="92">
        <f t="array" ref="G3232">IF(B3232="insumo",_xlfn.XLOOKUP($D3232,Insumos!$B$1:$B$996,Insumos!$D$1:$D$996),"")</f>
        <v/>
      </c>
      <c r="H3232" s="92" t="n">
        <v>14.154507</v>
      </c>
      <c r="I3232" s="2165" t="n">
        <v>0</v>
      </c>
      <c r="J3232" s="2165" t="n">
        <v>0</v>
      </c>
      <c r="K3232" s="2165" t="n"/>
    </row>
    <row r="3233" outlineLevel="3" ht="12.75" customHeight="1">
      <c r="A3233" s="82" t="n">
        <v>1</v>
      </c>
      <c r="B3233" s="82" t="inlineStr">
        <is>
          <t>Insumo</t>
        </is>
      </c>
      <c r="C3233" s="82" t="inlineStr">
        <is>
          <t>Revestimento emborrachado piso interno (Academia)- Material e Mão de Obra</t>
        </is>
      </c>
      <c r="D3233" s="82" t="inlineStr">
        <is>
          <t>Piso de borracha Daud botão preto 3 x 500 x 500 mm</t>
        </is>
      </c>
      <c r="E3233" s="11">
        <f t="array" ref="E3233">_xlfn.XLOOKUP(D3233,Insumos!B:B,Insumos!C:$C)</f>
        <v/>
      </c>
      <c r="F3233" s="2164" t="n">
        <v>1.1</v>
      </c>
      <c r="G3233" s="92">
        <f t="array" ref="G3233">IF(B3233="insumo",_xlfn.XLOOKUP($D3233,Insumos!$B$1:$B$996,Insumos!$D$1:$D$996),"")</f>
        <v/>
      </c>
      <c r="H3233" s="92" t="n">
        <v>62.3436</v>
      </c>
      <c r="I3233" s="2165" t="n">
        <v>0</v>
      </c>
      <c r="J3233" s="2165" t="n">
        <v>0</v>
      </c>
      <c r="K3233" s="2165" t="n"/>
    </row>
    <row r="3234" outlineLevel="3" ht="12.75" customHeight="1">
      <c r="A3234" s="82" t="n">
        <v>1</v>
      </c>
      <c r="B3234" s="82" t="inlineStr">
        <is>
          <t>Insumo</t>
        </is>
      </c>
      <c r="C3234" s="82" t="inlineStr">
        <is>
          <t>Revestimento emborrachado piso interno (Academia)- Material e Mão de Obra</t>
        </is>
      </c>
      <c r="D3234" s="82" t="inlineStr">
        <is>
          <t>Instalação de piso emborrachado</t>
        </is>
      </c>
      <c r="E3234" s="11">
        <f t="array" ref="E3234">_xlfn.XLOOKUP(D3234,Insumos!B:B,Insumos!C:$C)</f>
        <v/>
      </c>
      <c r="F3234" s="2164" t="n">
        <v>1</v>
      </c>
      <c r="G3234" s="92">
        <f t="array" ref="G3234">IF(B3234="insumo",_xlfn.XLOOKUP($D3234,Insumos!$B$1:$B$996,Insumos!$D$1:$D$996),"")</f>
        <v/>
      </c>
      <c r="H3234" s="92" t="n">
        <v>25.5</v>
      </c>
      <c r="I3234" s="2165" t="n">
        <v>0</v>
      </c>
      <c r="J3234" s="2165" t="n">
        <v>0</v>
      </c>
      <c r="K3234" s="2165" t="n"/>
    </row>
    <row r="3235" outlineLevel="2" ht="15.75" customHeight="1">
      <c r="A3235" s="1067" t="n">
        <v>1</v>
      </c>
      <c r="B3235" s="1067" t="inlineStr">
        <is>
          <t>Serviço</t>
        </is>
      </c>
      <c r="C3235" s="1067" t="inlineStr">
        <is>
          <t>Revestimento de piso em grama</t>
        </is>
      </c>
      <c r="D3235" s="1067" t="inlineStr">
        <is>
          <t>Revestimento de piso em grama</t>
        </is>
      </c>
      <c r="E3235" s="1068" t="inlineStr">
        <is>
          <t>M2</t>
        </is>
      </c>
      <c r="F3235" s="1067" t="n"/>
      <c r="G3235" s="1069">
        <f t="array" ref="G3235">IF(B3235="insumo",_xlfn.XLOOKUP($D3235,Insumos!$B$1:$B$996,Insumos!$D$1:$D$996),"")</f>
        <v/>
      </c>
      <c r="H3235" s="1069" t="n">
        <v>13.476142</v>
      </c>
      <c r="I3235" s="2161" t="n">
        <v>0</v>
      </c>
      <c r="J3235" s="2161" t="n">
        <v>0</v>
      </c>
      <c r="K3235" s="2161" t="n"/>
    </row>
    <row r="3236" outlineLevel="3" ht="15.75" customHeight="1">
      <c r="A3236" s="10" t="n">
        <v>1</v>
      </c>
      <c r="B3236" s="10" t="inlineStr">
        <is>
          <t>Insumo</t>
        </is>
      </c>
      <c r="C3236" s="10" t="inlineStr">
        <is>
          <t>Revestimento de piso em grama</t>
        </is>
      </c>
      <c r="D3236" s="10" t="inlineStr">
        <is>
          <t>Terra vegetal</t>
        </is>
      </c>
      <c r="E3236" s="11">
        <f t="array" ref="E3236">_xlfn.XLOOKUP(D3236,Insumos!B:B,Insumos!C:$C)</f>
        <v/>
      </c>
      <c r="F3236" s="14" t="n">
        <v>0.0446</v>
      </c>
      <c r="G3236" s="92">
        <f t="array" ref="G3236">IF(B3236="insumo",_xlfn.XLOOKUP($D3236,Insumos!$B$1:$B$996,Insumos!$D$1:$D$996),"")</f>
        <v/>
      </c>
      <c r="H3236" s="92" t="n">
        <v>6.403222</v>
      </c>
      <c r="I3236" s="2162" t="n">
        <v>0</v>
      </c>
      <c r="J3236" s="2162" t="n">
        <v>0</v>
      </c>
      <c r="K3236" s="2162" t="n"/>
    </row>
    <row r="3237" outlineLevel="3" ht="15.75" customHeight="1">
      <c r="A3237" s="10" t="n">
        <v>1</v>
      </c>
      <c r="B3237" s="10" t="inlineStr">
        <is>
          <t>Insumo</t>
        </is>
      </c>
      <c r="C3237" s="10" t="inlineStr">
        <is>
          <t>Revestimento de piso em grama</t>
        </is>
      </c>
      <c r="D3237" s="10" t="inlineStr">
        <is>
          <t>Grama esmeralda</t>
        </is>
      </c>
      <c r="E3237" s="11">
        <f t="array" ref="E3237">_xlfn.XLOOKUP(D3237,Insumos!B:B,Insumos!C:$C)</f>
        <v/>
      </c>
      <c r="F3237" s="14" t="n">
        <v>0.6372</v>
      </c>
      <c r="G3237" s="92">
        <f t="array" ref="G3237">IF(B3237="insumo",_xlfn.XLOOKUP($D3237,Insumos!$B$1:$B$996,Insumos!$D$1:$D$996),"")</f>
        <v/>
      </c>
      <c r="H3237" s="92" t="n">
        <v>7.07292</v>
      </c>
      <c r="I3237" s="2162" t="n">
        <v>0</v>
      </c>
      <c r="J3237" s="2162" t="n">
        <v>0</v>
      </c>
      <c r="K3237" s="2162" t="n"/>
    </row>
    <row r="3238" outlineLevel="1" ht="15.75" customHeight="1">
      <c r="A3238" s="1090" t="n">
        <v>1</v>
      </c>
      <c r="B3238" s="1090" t="inlineStr">
        <is>
          <t>Subetapa</t>
        </is>
      </c>
      <c r="C3238" s="1090" t="inlineStr">
        <is>
          <t>Revestimento de piso em grama</t>
        </is>
      </c>
      <c r="D3238" s="1090" t="inlineStr">
        <is>
          <t>ACABAMENTOS PEDRAS|GRANITO</t>
        </is>
      </c>
      <c r="E3238" s="1091" t="n"/>
      <c r="F3238" s="2160" t="n"/>
      <c r="G3238" s="1091" t="n"/>
      <c r="H3238" s="1091" t="n">
        <v>0</v>
      </c>
      <c r="I3238" s="2160" t="n">
        <v>0</v>
      </c>
      <c r="J3238" s="2160" t="n">
        <v>0</v>
      </c>
      <c r="K3238" s="2160" t="n"/>
    </row>
    <row r="3239" outlineLevel="2" ht="15.75" customHeight="1">
      <c r="A3239" s="1067" t="n">
        <v>1</v>
      </c>
      <c r="B3239" s="1067" t="inlineStr">
        <is>
          <t>Serviço</t>
        </is>
      </c>
      <c r="C3239" s="1067" t="inlineStr">
        <is>
          <t>Revestimento de Piso de granito siena</t>
        </is>
      </c>
      <c r="D3239" s="1067" t="inlineStr">
        <is>
          <t>Revestimento de Piso de granito siena</t>
        </is>
      </c>
      <c r="E3239" s="1068" t="inlineStr">
        <is>
          <t>M2</t>
        </is>
      </c>
      <c r="F3239" s="1067" t="n"/>
      <c r="G3239" s="1069">
        <f t="array" ref="G3239">IF(B3239="insumo",_xlfn.XLOOKUP($D3239,Insumos!$B$1:$B$996,Insumos!$D$1:$D$996),"")</f>
        <v/>
      </c>
      <c r="H3239" s="1069" t="n">
        <v>733.0326</v>
      </c>
      <c r="I3239" s="2161" t="n">
        <v>0</v>
      </c>
      <c r="J3239" s="2161" t="n">
        <v>0</v>
      </c>
      <c r="K3239" s="2161" t="n"/>
    </row>
    <row r="3240" outlineLevel="3" ht="15.75" customHeight="1">
      <c r="A3240" s="10" t="n">
        <v>3</v>
      </c>
      <c r="B3240" s="10" t="inlineStr">
        <is>
          <t>Insumo</t>
        </is>
      </c>
      <c r="C3240" s="10" t="inlineStr">
        <is>
          <t>Revestimento de Piso de granito siena</t>
        </is>
      </c>
      <c r="D3240" s="10" t="inlineStr">
        <is>
          <t>Granito siena branco</t>
        </is>
      </c>
      <c r="E3240" s="11">
        <f t="array" ref="E3240">_xlfn.XLOOKUP(D3240,Insumos!B:B,Insumos!C:$C)</f>
        <v/>
      </c>
      <c r="F3240" s="14" t="n">
        <v>1.1</v>
      </c>
      <c r="G3240" s="92">
        <f t="array" ref="G3240">IF(B3240="insumo",_xlfn.XLOOKUP($D3240,Insumos!$B$1:$B$996,Insumos!$D$1:$D$996),"")</f>
        <v/>
      </c>
      <c r="H3240" s="92" t="n">
        <v>715</v>
      </c>
      <c r="I3240" s="2162" t="n">
        <v>0</v>
      </c>
      <c r="J3240" s="2162" t="n">
        <v>0</v>
      </c>
      <c r="K3240" s="2162" t="n"/>
    </row>
    <row r="3241" outlineLevel="3" ht="15.75" customHeight="1">
      <c r="A3241" s="10" t="n">
        <v>191</v>
      </c>
      <c r="B3241" s="10" t="inlineStr">
        <is>
          <t>Insumo</t>
        </is>
      </c>
      <c r="C3241" s="10" t="inlineStr">
        <is>
          <t>Revestimento de Piso de granito siena</t>
        </is>
      </c>
      <c r="D3241" s="10" t="inlineStr">
        <is>
          <t>Argamassa ACIII</t>
        </is>
      </c>
      <c r="E3241" s="11">
        <f t="array" ref="E3241">_xlfn.XLOOKUP(D3241,Insumos!B:B,Insumos!C:$C)</f>
        <v/>
      </c>
      <c r="F3241" s="14" t="n">
        <v>8.800000000000001</v>
      </c>
      <c r="G3241" s="92">
        <f t="array" ref="G3241">IF(B3241="insumo",_xlfn.XLOOKUP($D3241,Insumos!$B$1:$B$996,Insumos!$D$1:$D$996),"")</f>
        <v/>
      </c>
      <c r="H3241" s="92" t="n">
        <v>9.367599999999999</v>
      </c>
      <c r="I3241" s="2162" t="n">
        <v>0</v>
      </c>
      <c r="J3241" s="2162" t="n">
        <v>0</v>
      </c>
      <c r="K3241" s="2162" t="n"/>
    </row>
    <row r="3242" outlineLevel="3" ht="15.75" customHeight="1">
      <c r="A3242" s="10" t="n">
        <v>34</v>
      </c>
      <c r="B3242" s="10" t="inlineStr">
        <is>
          <t>Insumo</t>
        </is>
      </c>
      <c r="C3242" s="10" t="inlineStr">
        <is>
          <t>Revestimento de Piso de granito siena</t>
        </is>
      </c>
      <c r="D3242" s="10" t="inlineStr">
        <is>
          <t>Massa Plastica 400g</t>
        </is>
      </c>
      <c r="E3242" s="11">
        <f t="array" ref="E3242">_xlfn.XLOOKUP(D3242,Insumos!B:B,Insumos!C:$C)</f>
        <v/>
      </c>
      <c r="F3242" s="14" t="n">
        <v>0.5</v>
      </c>
      <c r="G3242" s="92">
        <f t="array" ref="G3242">IF(B3242="insumo",_xlfn.XLOOKUP($D3242,Insumos!$B$1:$B$996,Insumos!$D$1:$D$996),"")</f>
        <v/>
      </c>
      <c r="H3242" s="92" t="n">
        <v>8.664999999999999</v>
      </c>
      <c r="I3242" s="2162" t="n">
        <v>0</v>
      </c>
      <c r="J3242" s="2162" t="n">
        <v>0</v>
      </c>
      <c r="K3242" s="2162" t="n"/>
    </row>
    <row r="3243" outlineLevel="2" ht="12.75" customHeight="1">
      <c r="A3243" s="1071" t="n">
        <v>1</v>
      </c>
      <c r="B3243" s="1071" t="inlineStr">
        <is>
          <t>Serviço</t>
        </is>
      </c>
      <c r="C3243" s="1071" t="inlineStr">
        <is>
          <t>Revestimento de Piso de granito itaunas</t>
        </is>
      </c>
      <c r="D3243" s="1071" t="inlineStr">
        <is>
          <t>Revestimento de Piso de granito itaunas</t>
        </is>
      </c>
      <c r="E3243" s="1072" t="inlineStr">
        <is>
          <t>M2</t>
        </is>
      </c>
      <c r="F3243" s="1071" t="n"/>
      <c r="G3243" s="1073">
        <f t="array" ref="G3243">IF(B3243="insumo",_xlfn.XLOOKUP($D3243,Insumos!$B$1:$B$996,Insumos!$D$1:$D$996),"")</f>
        <v/>
      </c>
      <c r="H3243" s="1073" t="n">
        <v>843.0326</v>
      </c>
      <c r="I3243" s="2163" t="n">
        <v>0</v>
      </c>
      <c r="J3243" s="2163" t="n">
        <v>0</v>
      </c>
      <c r="K3243" s="2163" t="n"/>
    </row>
    <row r="3244" outlineLevel="3" ht="12.75" customHeight="1">
      <c r="A3244" s="82" t="n">
        <v>1</v>
      </c>
      <c r="B3244" s="82" t="inlineStr">
        <is>
          <t>Insumo</t>
        </is>
      </c>
      <c r="C3244" s="82" t="inlineStr">
        <is>
          <t>Revestimento de Piso de granito itaunas</t>
        </is>
      </c>
      <c r="D3244" s="82" t="inlineStr">
        <is>
          <t>Granito itaunas branco</t>
        </is>
      </c>
      <c r="E3244" s="11">
        <f t="array" ref="E3244">_xlfn.XLOOKUP(D3244,Insumos!B:B,Insumos!C:$C)</f>
        <v/>
      </c>
      <c r="F3244" s="2171" t="n">
        <v>1.1</v>
      </c>
      <c r="G3244" s="92">
        <f t="array" ref="G3244">IF(B3244="insumo",_xlfn.XLOOKUP($D3244,Insumos!$B$1:$B$996,Insumos!$D$1:$D$996),"")</f>
        <v/>
      </c>
      <c r="H3244" s="92" t="n">
        <v>825</v>
      </c>
      <c r="I3244" s="2165" t="n">
        <v>0</v>
      </c>
      <c r="J3244" s="2165" t="n">
        <v>0</v>
      </c>
      <c r="K3244" s="2165" t="n"/>
    </row>
    <row r="3245" outlineLevel="3" ht="12.75" customHeight="1">
      <c r="A3245" s="82" t="n">
        <v>191</v>
      </c>
      <c r="B3245" s="82" t="inlineStr">
        <is>
          <t>Insumo</t>
        </is>
      </c>
      <c r="C3245" s="82" t="inlineStr">
        <is>
          <t>Revestimento de Piso de granito itaunas</t>
        </is>
      </c>
      <c r="D3245" s="82" t="inlineStr">
        <is>
          <t>Argamassa ACIII</t>
        </is>
      </c>
      <c r="E3245" s="11">
        <f t="array" ref="E3245">_xlfn.XLOOKUP(D3245,Insumos!B:B,Insumos!C:$C)</f>
        <v/>
      </c>
      <c r="F3245" s="2171" t="n">
        <v>8.800000000000001</v>
      </c>
      <c r="G3245" s="92">
        <f t="array" ref="G3245">IF(B3245="insumo",_xlfn.XLOOKUP($D3245,Insumos!$B$1:$B$996,Insumos!$D$1:$D$996),"")</f>
        <v/>
      </c>
      <c r="H3245" s="92" t="n">
        <v>9.367599999999999</v>
      </c>
      <c r="I3245" s="2165" t="n">
        <v>0</v>
      </c>
      <c r="J3245" s="2165" t="n">
        <v>0</v>
      </c>
      <c r="K3245" s="2165" t="n"/>
    </row>
    <row r="3246" outlineLevel="3" ht="12.75" customHeight="1">
      <c r="A3246" s="82" t="n">
        <v>34</v>
      </c>
      <c r="B3246" s="82" t="inlineStr">
        <is>
          <t>Insumo</t>
        </is>
      </c>
      <c r="C3246" s="82" t="inlineStr">
        <is>
          <t>Revestimento de Piso de granito itaunas</t>
        </is>
      </c>
      <c r="D3246" s="82" t="inlineStr">
        <is>
          <t>Massa Plastica 400g</t>
        </is>
      </c>
      <c r="E3246" s="11">
        <f t="array" ref="E3246">_xlfn.XLOOKUP(D3246,Insumos!B:B,Insumos!C:$C)</f>
        <v/>
      </c>
      <c r="F3246" s="2171" t="n">
        <v>0.5</v>
      </c>
      <c r="G3246" s="92">
        <f t="array" ref="G3246">IF(B3246="insumo",_xlfn.XLOOKUP($D3246,Insumos!$B$1:$B$996,Insumos!$D$1:$D$996),"")</f>
        <v/>
      </c>
      <c r="H3246" s="92" t="n">
        <v>8.664999999999999</v>
      </c>
      <c r="I3246" s="2165" t="n">
        <v>0</v>
      </c>
      <c r="J3246" s="2165" t="n">
        <v>0</v>
      </c>
      <c r="K3246" s="2165" t="n"/>
    </row>
    <row r="3247" outlineLevel="2" ht="12.75" customHeight="1">
      <c r="A3247" s="1071" t="n">
        <v>1</v>
      </c>
      <c r="B3247" s="1071" t="inlineStr">
        <is>
          <t>Serviço</t>
        </is>
      </c>
      <c r="C3247" s="1071" t="inlineStr">
        <is>
          <t>Revestimento de Piso de granito preto são gabriel</t>
        </is>
      </c>
      <c r="D3247" s="1071" t="inlineStr">
        <is>
          <t>Revestimento de Piso de granito preto são gabriel</t>
        </is>
      </c>
      <c r="E3247" s="1072" t="inlineStr">
        <is>
          <t>M2</t>
        </is>
      </c>
      <c r="F3247" s="1071" t="n"/>
      <c r="G3247" s="1073">
        <f t="array" ref="G3247">IF(B3247="insumo",_xlfn.XLOOKUP($D3247,Insumos!$B$1:$B$996,Insumos!$D$1:$D$996),"")</f>
        <v/>
      </c>
      <c r="H3247" s="1073" t="n">
        <v>700.3197</v>
      </c>
      <c r="I3247" s="2163" t="n">
        <v>0</v>
      </c>
      <c r="J3247" s="2163" t="n">
        <v>0</v>
      </c>
      <c r="K3247" s="2163" t="n"/>
    </row>
    <row r="3248" outlineLevel="3" ht="12.75" customHeight="1">
      <c r="A3248" s="82" t="n">
        <v>4</v>
      </c>
      <c r="B3248" s="82" t="inlineStr">
        <is>
          <t>Insumo</t>
        </is>
      </c>
      <c r="C3248" s="82" t="inlineStr">
        <is>
          <t>Revestimento de Piso de granito preto são gabriel</t>
        </is>
      </c>
      <c r="D3248" s="82" t="inlineStr">
        <is>
          <t xml:space="preserve">Granito preto são gabriel </t>
        </is>
      </c>
      <c r="E3248" s="11">
        <f t="array" ref="E3248">_xlfn.XLOOKUP(D3248,Insumos!B:B,Insumos!C:$C)</f>
        <v/>
      </c>
      <c r="F3248" s="2164" t="n">
        <v>1.05</v>
      </c>
      <c r="G3248" s="92">
        <f t="array" ref="G3248">IF(B3248="insumo",_xlfn.XLOOKUP($D3248,Insumos!$B$1:$B$996,Insumos!$D$1:$D$996),"")</f>
        <v/>
      </c>
      <c r="H3248" s="92" t="n">
        <v>682.5</v>
      </c>
      <c r="I3248" s="2165" t="n">
        <v>0</v>
      </c>
      <c r="J3248" s="2165" t="n">
        <v>0</v>
      </c>
      <c r="K3248" s="2165" t="n"/>
    </row>
    <row r="3249" outlineLevel="3" ht="12.75" customHeight="1">
      <c r="A3249" s="82" t="n">
        <v>191</v>
      </c>
      <c r="B3249" s="82" t="inlineStr">
        <is>
          <t>Insumo</t>
        </is>
      </c>
      <c r="C3249" s="82" t="inlineStr">
        <is>
          <t>Revestimento de Piso de granito preto são gabriel</t>
        </is>
      </c>
      <c r="D3249" s="82" t="inlineStr">
        <is>
          <t>Argamassa ACIII</t>
        </is>
      </c>
      <c r="E3249" s="11">
        <f t="array" ref="E3249">_xlfn.XLOOKUP(D3249,Insumos!B:B,Insumos!C:$C)</f>
        <v/>
      </c>
      <c r="F3249" s="2164" t="n">
        <v>8.6</v>
      </c>
      <c r="G3249" s="92">
        <f t="array" ref="G3249">IF(B3249="insumo",_xlfn.XLOOKUP($D3249,Insumos!$B$1:$B$996,Insumos!$D$1:$D$996),"")</f>
        <v/>
      </c>
      <c r="H3249" s="92" t="n">
        <v>9.1547</v>
      </c>
      <c r="I3249" s="2165" t="n">
        <v>0</v>
      </c>
      <c r="J3249" s="2165" t="n">
        <v>0</v>
      </c>
      <c r="K3249" s="2165" t="n"/>
    </row>
    <row r="3250" outlineLevel="3" ht="12.75" customHeight="1">
      <c r="A3250" s="82" t="n">
        <v>34</v>
      </c>
      <c r="B3250" s="82" t="inlineStr">
        <is>
          <t>Insumo</t>
        </is>
      </c>
      <c r="C3250" s="82" t="inlineStr">
        <is>
          <t>Revestimento de Piso de granito preto são gabriel</t>
        </is>
      </c>
      <c r="D3250" s="82" t="inlineStr">
        <is>
          <t>Massa Plastica 400g</t>
        </is>
      </c>
      <c r="E3250" s="11">
        <f t="array" ref="E3250">_xlfn.XLOOKUP(D3250,Insumos!B:B,Insumos!C:$C)</f>
        <v/>
      </c>
      <c r="F3250" s="2164" t="n">
        <v>0.5</v>
      </c>
      <c r="G3250" s="92">
        <f t="array" ref="G3250">IF(B3250="insumo",_xlfn.XLOOKUP($D3250,Insumos!$B$1:$B$996,Insumos!$D$1:$D$996),"")</f>
        <v/>
      </c>
      <c r="H3250" s="92" t="n">
        <v>8.664999999999999</v>
      </c>
      <c r="I3250" s="2165" t="n">
        <v>0</v>
      </c>
      <c r="J3250" s="2165" t="n">
        <v>0</v>
      </c>
      <c r="K3250" s="2165" t="n"/>
    </row>
    <row r="3251" outlineLevel="2" ht="15.75" customHeight="1">
      <c r="A3251" s="1067" t="n">
        <v>1</v>
      </c>
      <c r="B3251" s="1067" t="inlineStr">
        <is>
          <t>Serviço</t>
        </is>
      </c>
      <c r="C3251" s="1067" t="inlineStr">
        <is>
          <t>Revestimento de Piso de mosaico granitinho branco</t>
        </is>
      </c>
      <c r="D3251" s="1067" t="inlineStr">
        <is>
          <t>Revestimento de Piso de mosaico granitinho branco</t>
        </is>
      </c>
      <c r="E3251" s="1068" t="inlineStr">
        <is>
          <t>M2</t>
        </is>
      </c>
      <c r="F3251" s="1067" t="n"/>
      <c r="G3251" s="1069">
        <f t="array" ref="G3251">IF(B3251="insumo",_xlfn.XLOOKUP($D3251,Insumos!$B$1:$B$996,Insumos!$D$1:$D$996),"")</f>
        <v/>
      </c>
      <c r="H3251" s="1069" t="n">
        <v>145.7426</v>
      </c>
      <c r="I3251" s="2161" t="n">
        <v>0</v>
      </c>
      <c r="J3251" s="2161" t="n">
        <v>0</v>
      </c>
      <c r="K3251" s="2161" t="n"/>
    </row>
    <row r="3252" outlineLevel="3" ht="15.75" customHeight="1">
      <c r="A3252" s="10" t="n">
        <v>1</v>
      </c>
      <c r="B3252" s="10" t="inlineStr">
        <is>
          <t>Insumo</t>
        </is>
      </c>
      <c r="C3252" s="10" t="inlineStr">
        <is>
          <t>Revestimento de Piso de mosaico granitinho branco</t>
        </is>
      </c>
      <c r="D3252" s="10" t="inlineStr">
        <is>
          <t>Piso de mosaico granitinho branco</t>
        </is>
      </c>
      <c r="E3252" s="11">
        <f t="array" ref="E3252">_xlfn.XLOOKUP(D3252,Insumos!B:B,Insumos!C:$C)</f>
        <v/>
      </c>
      <c r="F3252" s="14" t="n">
        <v>1.1</v>
      </c>
      <c r="G3252" s="92">
        <f t="array" ref="G3252">IF(B3252="insumo",_xlfn.XLOOKUP($D3252,Insumos!$B$1:$B$996,Insumos!$D$1:$D$996),"")</f>
        <v/>
      </c>
      <c r="H3252" s="92" t="n">
        <v>127.71</v>
      </c>
      <c r="I3252" s="2162" t="n">
        <v>0</v>
      </c>
      <c r="J3252" s="2162" t="n">
        <v>0</v>
      </c>
      <c r="K3252" s="2162" t="n"/>
    </row>
    <row r="3253" outlineLevel="3" ht="15.75" customHeight="1">
      <c r="A3253" s="10" t="n">
        <v>191</v>
      </c>
      <c r="B3253" s="10" t="inlineStr">
        <is>
          <t>Insumo</t>
        </is>
      </c>
      <c r="C3253" s="10" t="inlineStr">
        <is>
          <t>Revestimento de Piso de mosaico granitinho branco</t>
        </is>
      </c>
      <c r="D3253" s="10" t="inlineStr">
        <is>
          <t>Argamassa ACIII</t>
        </is>
      </c>
      <c r="E3253" s="11">
        <f t="array" ref="E3253">_xlfn.XLOOKUP(D3253,Insumos!B:B,Insumos!C:$C)</f>
        <v/>
      </c>
      <c r="F3253" s="14" t="n">
        <v>8.800000000000001</v>
      </c>
      <c r="G3253" s="92">
        <f t="array" ref="G3253">IF(B3253="insumo",_xlfn.XLOOKUP($D3253,Insumos!$B$1:$B$996,Insumos!$D$1:$D$996),"")</f>
        <v/>
      </c>
      <c r="H3253" s="92" t="n">
        <v>9.367599999999999</v>
      </c>
      <c r="I3253" s="2162" t="n">
        <v>0</v>
      </c>
      <c r="J3253" s="2162" t="n">
        <v>0</v>
      </c>
      <c r="K3253" s="2162" t="n"/>
    </row>
    <row r="3254" outlineLevel="3" ht="15.75" customHeight="1">
      <c r="A3254" s="10" t="n">
        <v>34</v>
      </c>
      <c r="B3254" s="10" t="inlineStr">
        <is>
          <t>Insumo</t>
        </is>
      </c>
      <c r="C3254" s="10" t="inlineStr">
        <is>
          <t>Revestimento de Piso de mosaico granitinho branco</t>
        </is>
      </c>
      <c r="D3254" s="10" t="inlineStr">
        <is>
          <t>Massa Plastica 400g</t>
        </is>
      </c>
      <c r="E3254" s="11">
        <f t="array" ref="E3254">_xlfn.XLOOKUP(D3254,Insumos!B:B,Insumos!C:$C)</f>
        <v/>
      </c>
      <c r="F3254" s="14" t="n">
        <v>0.5</v>
      </c>
      <c r="G3254" s="92">
        <f t="array" ref="G3254">IF(B3254="insumo",_xlfn.XLOOKUP($D3254,Insumos!$B$1:$B$996,Insumos!$D$1:$D$996),"")</f>
        <v/>
      </c>
      <c r="H3254" s="92" t="n">
        <v>8.664999999999999</v>
      </c>
      <c r="I3254" s="2162" t="n">
        <v>0</v>
      </c>
      <c r="J3254" s="2162" t="n">
        <v>0</v>
      </c>
      <c r="K3254" s="2162" t="n"/>
    </row>
    <row r="3255" outlineLevel="2" ht="15.75" customHeight="1">
      <c r="A3255" s="1067" t="n">
        <v>1</v>
      </c>
      <c r="B3255" s="1067" t="inlineStr">
        <is>
          <t>Serviço</t>
        </is>
      </c>
      <c r="C3255" s="1067" t="inlineStr">
        <is>
          <t>Revestimento de Piso intertravado de mosaico granitinho cinza</t>
        </is>
      </c>
      <c r="D3255" s="1067" t="inlineStr">
        <is>
          <t>Revestimento de Piso intertravado de mosaico granitinho cinza</t>
        </is>
      </c>
      <c r="E3255" s="1068" t="inlineStr">
        <is>
          <t>M2</t>
        </is>
      </c>
      <c r="F3255" s="1067" t="n"/>
      <c r="G3255" s="1069">
        <f t="array" ref="G3255">IF(B3255="insumo",_xlfn.XLOOKUP($D3255,Insumos!$B$1:$B$996,Insumos!$D$1:$D$996),"")</f>
        <v/>
      </c>
      <c r="H3255" s="1069" t="n">
        <v>58.6886</v>
      </c>
      <c r="I3255" s="2161" t="n">
        <v>0</v>
      </c>
      <c r="J3255" s="2161" t="n">
        <v>0</v>
      </c>
      <c r="K3255" s="2161" t="n"/>
    </row>
    <row r="3256" outlineLevel="3" ht="15.75" customHeight="1">
      <c r="A3256" s="10" t="n">
        <v>1</v>
      </c>
      <c r="B3256" s="10" t="inlineStr">
        <is>
          <t>Insumo</t>
        </is>
      </c>
      <c r="C3256" s="10" t="inlineStr">
        <is>
          <t>Revestimento de Piso intertravado de mosaico granitinho cinza</t>
        </is>
      </c>
      <c r="D3256" s="10" t="inlineStr">
        <is>
          <t>Piso de mosaico granitinho cinza</t>
        </is>
      </c>
      <c r="E3256" s="11">
        <f t="array" ref="E3256">_xlfn.XLOOKUP(D3256,Insumos!B:B,Insumos!C:$C)</f>
        <v/>
      </c>
      <c r="F3256" s="14" t="n">
        <v>1.1</v>
      </c>
      <c r="G3256" s="92">
        <f t="array" ref="G3256">IF(B3256="insumo",_xlfn.XLOOKUP($D3256,Insumos!$B$1:$B$996,Insumos!$D$1:$D$996),"")</f>
        <v/>
      </c>
      <c r="H3256" s="92" t="n">
        <v>40.656</v>
      </c>
      <c r="I3256" s="2162" t="n">
        <v>0</v>
      </c>
      <c r="J3256" s="2162" t="n">
        <v>0</v>
      </c>
      <c r="K3256" s="2162" t="n"/>
    </row>
    <row r="3257" outlineLevel="3" ht="15.75" customHeight="1">
      <c r="A3257" s="10" t="n">
        <v>191</v>
      </c>
      <c r="B3257" s="10" t="inlineStr">
        <is>
          <t>Insumo</t>
        </is>
      </c>
      <c r="C3257" s="10" t="inlineStr">
        <is>
          <t>Revestimento de Piso intertravado de mosaico granitinho cinza</t>
        </is>
      </c>
      <c r="D3257" s="10" t="inlineStr">
        <is>
          <t>Argamassa ACIII</t>
        </is>
      </c>
      <c r="E3257" s="11">
        <f t="array" ref="E3257">_xlfn.XLOOKUP(D3257,Insumos!B:B,Insumos!C:$C)</f>
        <v/>
      </c>
      <c r="F3257" s="14" t="n">
        <v>8.800000000000001</v>
      </c>
      <c r="G3257" s="92">
        <f t="array" ref="G3257">IF(B3257="insumo",_xlfn.XLOOKUP($D3257,Insumos!$B$1:$B$996,Insumos!$D$1:$D$996),"")</f>
        <v/>
      </c>
      <c r="H3257" s="92" t="n">
        <v>9.367599999999999</v>
      </c>
      <c r="I3257" s="2162" t="n">
        <v>0</v>
      </c>
      <c r="J3257" s="2162" t="n">
        <v>0</v>
      </c>
      <c r="K3257" s="2162" t="n"/>
    </row>
    <row r="3258" outlineLevel="3" ht="15.75" customHeight="1">
      <c r="A3258" s="10" t="n">
        <v>34</v>
      </c>
      <c r="B3258" s="10" t="inlineStr">
        <is>
          <t>Insumo</t>
        </is>
      </c>
      <c r="C3258" s="10" t="inlineStr">
        <is>
          <t>Revestimento de Piso intertravado de mosaico granitinho cinza</t>
        </is>
      </c>
      <c r="D3258" s="10" t="inlineStr">
        <is>
          <t>Massa Plastica 400g</t>
        </is>
      </c>
      <c r="E3258" s="11">
        <f t="array" ref="E3258">_xlfn.XLOOKUP(D3258,Insumos!B:B,Insumos!C:$C)</f>
        <v/>
      </c>
      <c r="F3258" s="14" t="n">
        <v>0.5</v>
      </c>
      <c r="G3258" s="92">
        <f t="array" ref="G3258">IF(B3258="insumo",_xlfn.XLOOKUP($D3258,Insumos!$B$1:$B$996,Insumos!$D$1:$D$996),"")</f>
        <v/>
      </c>
      <c r="H3258" s="92" t="n">
        <v>8.664999999999999</v>
      </c>
      <c r="I3258" s="2162" t="n">
        <v>0</v>
      </c>
      <c r="J3258" s="2162" t="n">
        <v>0</v>
      </c>
      <c r="K3258" s="2162" t="n"/>
    </row>
    <row r="3259" outlineLevel="1" ht="15.75" customHeight="1">
      <c r="A3259" s="1090" t="n">
        <v>1</v>
      </c>
      <c r="B3259" s="1090" t="inlineStr">
        <is>
          <t>Subetapa</t>
        </is>
      </c>
      <c r="C3259" s="1090" t="inlineStr">
        <is>
          <t>Revestimento de Piso intertravado de mosaico granitinho cinza</t>
        </is>
      </c>
      <c r="D3259" s="1090" t="inlineStr">
        <is>
          <t>ACABAMENTOS CERÂMICOS</t>
        </is>
      </c>
      <c r="E3259" s="1091" t="n"/>
      <c r="F3259" s="2160" t="n"/>
      <c r="G3259" s="1091" t="n"/>
      <c r="H3259" s="1091" t="n">
        <v>0</v>
      </c>
      <c r="I3259" s="2160" t="n">
        <v>0</v>
      </c>
      <c r="J3259" s="2160" t="n">
        <v>0</v>
      </c>
      <c r="K3259" s="2160" t="n"/>
    </row>
    <row r="3260" outlineLevel="2" ht="15.75" customHeight="1">
      <c r="A3260" s="1067" t="n">
        <v>1</v>
      </c>
      <c r="B3260" s="1067" t="inlineStr">
        <is>
          <t>Serviço</t>
        </is>
      </c>
      <c r="C3260" s="1067" t="inlineStr">
        <is>
          <t>Revestimento em Cerâmicas Pisos Internos, 60x 60cm com Junta de 3mm</t>
        </is>
      </c>
      <c r="D3260" s="1067" t="inlineStr">
        <is>
          <t>Revestimento em Cerâmicas Pisos Internos, 60x 60cm com Junta de 3mm</t>
        </is>
      </c>
      <c r="E3260" s="1068" t="inlineStr">
        <is>
          <t>M2</t>
        </is>
      </c>
      <c r="F3260" s="1067" t="n"/>
      <c r="G3260" s="1069">
        <f t="array" ref="G3260">IF(B3260="insumo",_xlfn.XLOOKUP($D3260,Insumos!$B$1:$B$996,Insumos!$D$1:$D$996),"")</f>
        <v/>
      </c>
      <c r="H3260" s="1069" t="n">
        <v>52.237</v>
      </c>
      <c r="I3260" s="2161" t="n">
        <v>0</v>
      </c>
      <c r="J3260" s="2161" t="n">
        <v>0</v>
      </c>
      <c r="K3260" s="2161" t="n"/>
    </row>
    <row r="3261" outlineLevel="3" ht="15.75" customHeight="1">
      <c r="A3261" s="10" t="n">
        <v>2</v>
      </c>
      <c r="B3261" s="10" t="inlineStr">
        <is>
          <t>Insumo</t>
        </is>
      </c>
      <c r="C3261" s="10" t="inlineStr">
        <is>
          <t>Revestimento em Cerâmicas Pisos Internos, 60x 60cm com Junta de 3mm</t>
        </is>
      </c>
      <c r="D3261" s="10" t="inlineStr">
        <is>
          <t>Revestimento Cerâmico de Piso Interno 58x58</t>
        </is>
      </c>
      <c r="E3261" s="11">
        <f t="array" ref="E3261">_xlfn.XLOOKUP(D3261,Insumos!B:B,Insumos!C:$C)</f>
        <v/>
      </c>
      <c r="F3261" s="14" t="n">
        <v>1.1</v>
      </c>
      <c r="G3261" s="92">
        <f t="array" ref="G3261">IF(B3261="insumo",_xlfn.XLOOKUP($D3261,Insumos!$B$1:$B$996,Insumos!$D$1:$D$996),"")</f>
        <v/>
      </c>
      <c r="H3261" s="92" t="n">
        <v>43.604</v>
      </c>
      <c r="I3261" s="2162" t="n">
        <v>0</v>
      </c>
      <c r="J3261" s="2162" t="n">
        <v>0</v>
      </c>
      <c r="K3261" s="2162" t="n"/>
    </row>
    <row r="3262" outlineLevel="3" ht="15.75" customHeight="1">
      <c r="A3262" s="10" t="n">
        <v>16</v>
      </c>
      <c r="B3262" s="10" t="inlineStr">
        <is>
          <t>Insumo</t>
        </is>
      </c>
      <c r="C3262" s="10" t="inlineStr">
        <is>
          <t>Revestimento em Cerâmicas Pisos Internos, 60x 60cm com Junta de 3mm</t>
        </is>
      </c>
      <c r="D3262" s="10" t="inlineStr">
        <is>
          <t>Argamassa ACII</t>
        </is>
      </c>
      <c r="E3262" s="11">
        <f t="array" ref="E3262">_xlfn.XLOOKUP(D3262,Insumos!B:B,Insumos!C:$C)</f>
        <v/>
      </c>
      <c r="F3262" s="14" t="n">
        <v>8.800000000000001</v>
      </c>
      <c r="G3262" s="92">
        <f t="array" ref="G3262">IF(B3262="insumo",_xlfn.XLOOKUP($D3262,Insumos!$B$1:$B$996,Insumos!$D$1:$D$996),"")</f>
        <v/>
      </c>
      <c r="H3262" s="92" t="n">
        <v>8.359999999999999</v>
      </c>
      <c r="I3262" s="2162" t="n">
        <v>0</v>
      </c>
      <c r="J3262" s="2162" t="n">
        <v>0</v>
      </c>
      <c r="K3262" s="2162" t="n"/>
    </row>
    <row r="3263" outlineLevel="3" ht="15.75" customHeight="1">
      <c r="A3263" s="10" t="n">
        <v>17</v>
      </c>
      <c r="B3263" s="10" t="inlineStr">
        <is>
          <t>Insumo</t>
        </is>
      </c>
      <c r="C3263" s="10" t="inlineStr">
        <is>
          <t>Revestimento em Cerâmicas Pisos Internos, 60x 60cm com Junta de 3mm</t>
        </is>
      </c>
      <c r="D3263" s="10" t="inlineStr">
        <is>
          <t>Espeçador junta piso 3mm</t>
        </is>
      </c>
      <c r="E3263" s="11">
        <f t="array" ref="E3263">_xlfn.XLOOKUP(D3263,Insumos!B:B,Insumos!C:$C)</f>
        <v/>
      </c>
      <c r="F3263" s="14" t="n">
        <v>1</v>
      </c>
      <c r="G3263" s="92">
        <f t="array" ref="G3263">IF(B3263="insumo",_xlfn.XLOOKUP($D3263,Insumos!$B$1:$B$996,Insumos!$D$1:$D$996),"")</f>
        <v/>
      </c>
      <c r="H3263" s="92" t="n">
        <v>0.05</v>
      </c>
      <c r="I3263" s="2162" t="n">
        <v>0</v>
      </c>
      <c r="J3263" s="2162" t="n">
        <v>0</v>
      </c>
      <c r="K3263" s="2162" t="n"/>
    </row>
    <row r="3264" outlineLevel="3" ht="15.75" customHeight="1">
      <c r="A3264" s="10" t="n">
        <v>101</v>
      </c>
      <c r="B3264" s="10" t="inlineStr">
        <is>
          <t>Insumo</t>
        </is>
      </c>
      <c r="C3264" s="10" t="inlineStr">
        <is>
          <t>Revestimento em Cerâmicas Pisos Internos, 60x 60cm com Junta de 3mm</t>
        </is>
      </c>
      <c r="D3264" s="10" t="inlineStr">
        <is>
          <t>Rejunte Cimentício</t>
        </is>
      </c>
      <c r="E3264" s="11">
        <f t="array" ref="E3264">_xlfn.XLOOKUP(D3264,Insumos!B:B,Insumos!C:$C)</f>
        <v/>
      </c>
      <c r="F3264" s="14" t="n">
        <v>0.02</v>
      </c>
      <c r="G3264" s="92">
        <f t="array" ref="G3264">IF(B3264="insumo",_xlfn.XLOOKUP($D3264,Insumos!$B$1:$B$996,Insumos!$D$1:$D$996),"")</f>
        <v/>
      </c>
      <c r="H3264" s="92" t="n">
        <v>0.223</v>
      </c>
      <c r="I3264" s="2162" t="n">
        <v>0</v>
      </c>
      <c r="J3264" s="2162" t="n">
        <v>0</v>
      </c>
      <c r="K3264" s="2162" t="n"/>
    </row>
    <row r="3265" outlineLevel="2" ht="15.75" customHeight="1">
      <c r="A3265" s="1067" t="n">
        <v>1</v>
      </c>
      <c r="B3265" s="1067" t="inlineStr">
        <is>
          <t>Serviço</t>
        </is>
      </c>
      <c r="C3265" s="1067" t="inlineStr">
        <is>
          <t>Revestimento de cerâmico retificado em Piso, Placa 60,5 x 60,5cm com Junta de 2mm</t>
        </is>
      </c>
      <c r="D3265" s="1067" t="inlineStr">
        <is>
          <t>Revestimento de cerâmico retificado em Piso, Placa 60,5 x 60,5cm com Junta de 2mm</t>
        </is>
      </c>
      <c r="E3265" s="1068" t="inlineStr">
        <is>
          <t>M2</t>
        </is>
      </c>
      <c r="F3265" s="1067" t="n"/>
      <c r="G3265" s="1069">
        <f t="array" ref="G3265">IF(B3265="insumo",_xlfn.XLOOKUP($D3265,Insumos!$B$1:$B$996,Insumos!$D$1:$D$996),"")</f>
        <v/>
      </c>
      <c r="H3265" s="1069" t="n">
        <v>61.7806</v>
      </c>
      <c r="I3265" s="2161" t="n">
        <v>0</v>
      </c>
      <c r="J3265" s="2161" t="n">
        <v>0</v>
      </c>
      <c r="K3265" s="2161" t="n"/>
    </row>
    <row r="3266" outlineLevel="3" ht="15.75" customHeight="1">
      <c r="A3266" s="10" t="n">
        <v>6</v>
      </c>
      <c r="B3266" s="10" t="inlineStr">
        <is>
          <t>Insumo</t>
        </is>
      </c>
      <c r="C3266" s="10" t="inlineStr">
        <is>
          <t>Revestimento de cerâmico retificado em Piso, Placa 60,5 x 60,5cm com Junta de 2mm</t>
        </is>
      </c>
      <c r="D3266" s="10" t="inlineStr">
        <is>
          <t>Cer. Karina Artisan 60305 Act. 60x60 Ret</t>
        </is>
      </c>
      <c r="E3266" s="11">
        <f t="array" ref="E3266">_xlfn.XLOOKUP(D3266,Insumos!B:B,Insumos!C:$C)</f>
        <v/>
      </c>
      <c r="F3266" s="14" t="n">
        <v>1.1</v>
      </c>
      <c r="G3266" s="92">
        <f t="array" ref="G3266">IF(B3266="insumo",_xlfn.XLOOKUP($D3266,Insumos!$B$1:$B$996,Insumos!$D$1:$D$996),"")</f>
        <v/>
      </c>
      <c r="H3266" s="92" t="n">
        <v>51.953</v>
      </c>
      <c r="I3266" s="2162" t="n">
        <v>0</v>
      </c>
      <c r="J3266" s="2162" t="n">
        <v>0</v>
      </c>
      <c r="K3266" s="2162" t="n"/>
    </row>
    <row r="3267" outlineLevel="3" ht="15.75" customHeight="1">
      <c r="A3267" s="10" t="n">
        <v>191</v>
      </c>
      <c r="B3267" s="10" t="inlineStr">
        <is>
          <t>Insumo</t>
        </is>
      </c>
      <c r="C3267" s="10" t="inlineStr">
        <is>
          <t>Revestimento de cerâmico retificado em Piso, Placa 60,5 x 60,5cm com Junta de 2mm</t>
        </is>
      </c>
      <c r="D3267" s="10" t="inlineStr">
        <is>
          <t>Argamassa ACIII</t>
        </is>
      </c>
      <c r="E3267" s="11">
        <f t="array" ref="E3267">_xlfn.XLOOKUP(D3267,Insumos!B:B,Insumos!C:$C)</f>
        <v/>
      </c>
      <c r="F3267" s="14" t="n">
        <v>8.800000000000001</v>
      </c>
      <c r="G3267" s="92">
        <f t="array" ref="G3267">IF(B3267="insumo",_xlfn.XLOOKUP($D3267,Insumos!$B$1:$B$996,Insumos!$D$1:$D$996),"")</f>
        <v/>
      </c>
      <c r="H3267" s="92" t="n">
        <v>9.367599999999999</v>
      </c>
      <c r="I3267" s="2162" t="n">
        <v>0</v>
      </c>
      <c r="J3267" s="2162" t="n">
        <v>0</v>
      </c>
      <c r="K3267" s="2162" t="n"/>
    </row>
    <row r="3268" outlineLevel="3" ht="15.75" customHeight="1">
      <c r="A3268" s="10" t="n">
        <v>142</v>
      </c>
      <c r="B3268" s="10" t="inlineStr">
        <is>
          <t>Insumo</t>
        </is>
      </c>
      <c r="C3268" s="10" t="inlineStr">
        <is>
          <t>Revestimento de cerâmico retificado em Piso, Placa 60,5 x 60,5cm com Junta de 2mm</t>
        </is>
      </c>
      <c r="D3268" s="10" t="inlineStr">
        <is>
          <t>Espeçador junta piso 2mm</t>
        </is>
      </c>
      <c r="E3268" s="11">
        <f t="array" ref="E3268">_xlfn.XLOOKUP(D3268,Insumos!B:B,Insumos!C:$C)</f>
        <v/>
      </c>
      <c r="F3268" s="14" t="n">
        <v>1</v>
      </c>
      <c r="G3268" s="92">
        <f t="array" ref="G3268">IF(B3268="insumo",_xlfn.XLOOKUP($D3268,Insumos!$B$1:$B$996,Insumos!$D$1:$D$996),"")</f>
        <v/>
      </c>
      <c r="H3268" s="92" t="n">
        <v>0.08</v>
      </c>
      <c r="I3268" s="2162" t="n">
        <v>0</v>
      </c>
      <c r="J3268" s="2162" t="n">
        <v>0</v>
      </c>
      <c r="K3268" s="2162" t="n"/>
    </row>
    <row r="3269" outlineLevel="3" ht="15.75" customHeight="1">
      <c r="A3269" s="10" t="n">
        <v>36</v>
      </c>
      <c r="B3269" s="10" t="inlineStr">
        <is>
          <t>Insumo</t>
        </is>
      </c>
      <c r="C3269" s="82" t="inlineStr">
        <is>
          <t>Revestimento de cerâmico retificado em Piso, Placa 60,5 x 60,5cm com Junta de 2mm</t>
        </is>
      </c>
      <c r="D3269" s="82" t="inlineStr">
        <is>
          <t>Rejunte Acrilico cinza platina</t>
        </is>
      </c>
      <c r="E3269" s="11">
        <f t="array" ref="E3269">_xlfn.XLOOKUP(D3269,Insumos!B:B,Insumos!C:$C)</f>
        <v/>
      </c>
      <c r="F3269" s="14" t="n">
        <v>0.01</v>
      </c>
      <c r="G3269" s="92">
        <f t="array" ref="G3269">IF(B3269="insumo",_xlfn.XLOOKUP($D3269,Insumos!$B$1:$B$996,Insumos!$D$1:$D$996),"")</f>
        <v/>
      </c>
      <c r="H3269" s="92" t="n">
        <v>0.38</v>
      </c>
      <c r="I3269" s="2162" t="n">
        <v>0</v>
      </c>
      <c r="J3269" s="2162" t="n">
        <v>0</v>
      </c>
      <c r="K3269" s="2162" t="n"/>
    </row>
    <row r="3270" outlineLevel="2" ht="12.75" customHeight="1">
      <c r="A3270" s="1071" t="n">
        <v>1</v>
      </c>
      <c r="B3270" s="1071" t="inlineStr">
        <is>
          <t>Serviço</t>
        </is>
      </c>
      <c r="C3270" s="1071" t="inlineStr">
        <is>
          <t>Revestimento em Cerâmicas Vulcano Cinza em Piso, 61x 61cm com Junta de 3mm</t>
        </is>
      </c>
      <c r="D3270" s="1071" t="inlineStr">
        <is>
          <t>Revestimento em Cerâmicas Vulcano Cinza em Piso, 61x 61cm com Junta de 3mm</t>
        </is>
      </c>
      <c r="E3270" s="1072" t="inlineStr">
        <is>
          <t>M2</t>
        </is>
      </c>
      <c r="F3270" s="1071" t="n"/>
      <c r="G3270" s="1073">
        <f t="array" ref="G3270">IF(B3270="insumo",_xlfn.XLOOKUP($D3270,Insumos!$B$1:$B$996,Insumos!$D$1:$D$996),"")</f>
        <v/>
      </c>
      <c r="H3270" s="1073" t="n">
        <v>79.119</v>
      </c>
      <c r="I3270" s="2163" t="n">
        <v>0</v>
      </c>
      <c r="J3270" s="2163" t="n">
        <v>0</v>
      </c>
      <c r="K3270" s="2163" t="n"/>
    </row>
    <row r="3271" outlineLevel="3" ht="12.75" customHeight="1">
      <c r="A3271" s="82" t="n">
        <v>6</v>
      </c>
      <c r="B3271" s="82" t="inlineStr">
        <is>
          <t>Insumo</t>
        </is>
      </c>
      <c r="C3271" s="82" t="inlineStr">
        <is>
          <t>Revestimento em Cerâmicas Vulcano Cinza em Piso, 61x 61cm com Junta de 3mm</t>
        </is>
      </c>
      <c r="D3271" s="82" t="inlineStr">
        <is>
          <t>Cerâmica Vulcano Cinza 61x61</t>
        </is>
      </c>
      <c r="E3271" s="11">
        <f t="array" ref="E3271">_xlfn.XLOOKUP(D3271,Insumos!B:B,Insumos!C:$C)</f>
        <v/>
      </c>
      <c r="F3271" s="2169" t="n">
        <v>1.1</v>
      </c>
      <c r="G3271" s="92">
        <f t="array" ref="G3271">IF(B3271="insumo",_xlfn.XLOOKUP($D3271,Insumos!$B$1:$B$996,Insumos!$D$1:$D$996),"")</f>
        <v/>
      </c>
      <c r="H3271" s="92" t="n">
        <v>69.949</v>
      </c>
      <c r="I3271" s="2165" t="n">
        <v>0</v>
      </c>
      <c r="J3271" s="2165" t="n">
        <v>0</v>
      </c>
      <c r="K3271" s="2165" t="n"/>
    </row>
    <row r="3272" outlineLevel="3" ht="12.75" customHeight="1">
      <c r="A3272" s="82" t="n">
        <v>16</v>
      </c>
      <c r="B3272" s="82" t="inlineStr">
        <is>
          <t>Insumo</t>
        </is>
      </c>
      <c r="C3272" s="82" t="inlineStr">
        <is>
          <t>Revestimento em Cerâmicas Vulcano Cinza em Piso, 61x 61cm com Junta de 3mm</t>
        </is>
      </c>
      <c r="D3272" s="82" t="inlineStr">
        <is>
          <t>Argamassa ACII</t>
        </is>
      </c>
      <c r="E3272" s="11">
        <f t="array" ref="E3272">_xlfn.XLOOKUP(D3272,Insumos!B:B,Insumos!C:$C)</f>
        <v/>
      </c>
      <c r="F3272" s="2169" t="n">
        <v>8.800000000000001</v>
      </c>
      <c r="G3272" s="92">
        <f t="array" ref="G3272">IF(B3272="insumo",_xlfn.XLOOKUP($D3272,Insumos!$B$1:$B$996,Insumos!$D$1:$D$996),"")</f>
        <v/>
      </c>
      <c r="H3272" s="92" t="n">
        <v>8.359999999999999</v>
      </c>
      <c r="I3272" s="2165" t="n">
        <v>0</v>
      </c>
      <c r="J3272" s="2165" t="n">
        <v>0</v>
      </c>
      <c r="K3272" s="2165" t="n"/>
    </row>
    <row r="3273" outlineLevel="3" ht="12.75" customHeight="1">
      <c r="A3273" s="82" t="n">
        <v>17</v>
      </c>
      <c r="B3273" s="82" t="inlineStr">
        <is>
          <t>Insumo</t>
        </is>
      </c>
      <c r="C3273" s="82" t="inlineStr">
        <is>
          <t>Revestimento em Cerâmicas Vulcano Cinza em Piso, 61x 61cm com Junta de 3mm</t>
        </is>
      </c>
      <c r="D3273" s="82" t="inlineStr">
        <is>
          <t>Espeçador junta piso 3mm</t>
        </is>
      </c>
      <c r="E3273" s="11">
        <f t="array" ref="E3273">_xlfn.XLOOKUP(D3273,Insumos!B:B,Insumos!C:$C)</f>
        <v/>
      </c>
      <c r="F3273" s="2169" t="n">
        <v>1</v>
      </c>
      <c r="G3273" s="92">
        <f t="array" ref="G3273">IF(B3273="insumo",_xlfn.XLOOKUP($D3273,Insumos!$B$1:$B$996,Insumos!$D$1:$D$996),"")</f>
        <v/>
      </c>
      <c r="H3273" s="92" t="n">
        <v>0.05</v>
      </c>
      <c r="I3273" s="2165" t="n">
        <v>0</v>
      </c>
      <c r="J3273" s="2165" t="n">
        <v>0</v>
      </c>
      <c r="K3273" s="2165" t="n"/>
    </row>
    <row r="3274" outlineLevel="3" ht="12.75" customHeight="1">
      <c r="A3274" s="82" t="n">
        <v>36</v>
      </c>
      <c r="B3274" s="82" t="inlineStr">
        <is>
          <t>Insumo</t>
        </is>
      </c>
      <c r="C3274" s="82" t="inlineStr">
        <is>
          <t>Revestimento em Cerâmicas Vulcano Cinza em Piso, 61x 61cm com Junta de 3mm</t>
        </is>
      </c>
      <c r="D3274" s="82" t="inlineStr">
        <is>
          <t>Rejunte Acrilico cinza platina</t>
        </is>
      </c>
      <c r="E3274" s="11">
        <f t="array" ref="E3274">_xlfn.XLOOKUP(D3274,Insumos!B:B,Insumos!C:$C)</f>
        <v/>
      </c>
      <c r="F3274" s="2169" t="n">
        <v>0.02</v>
      </c>
      <c r="G3274" s="92">
        <f t="array" ref="G3274">IF(B3274="insumo",_xlfn.XLOOKUP($D3274,Insumos!$B$1:$B$996,Insumos!$D$1:$D$996),"")</f>
        <v/>
      </c>
      <c r="H3274" s="92" t="n">
        <v>0.76</v>
      </c>
      <c r="I3274" s="2165" t="n">
        <v>0</v>
      </c>
      <c r="J3274" s="2165" t="n">
        <v>0</v>
      </c>
      <c r="K3274" s="2165" t="n"/>
    </row>
    <row r="3275" outlineLevel="2" ht="12.75" customHeight="1">
      <c r="A3275" s="1071" t="n">
        <v>1</v>
      </c>
      <c r="B3275" s="1071" t="inlineStr">
        <is>
          <t>Serviço</t>
        </is>
      </c>
      <c r="C3275" s="1071" t="inlineStr">
        <is>
          <t>Revestimento de cerâmico em Piso, Placa 31 x 54cm com Junta de 2mm e rejunte acrilico</t>
        </is>
      </c>
      <c r="D3275" s="1071" t="inlineStr">
        <is>
          <t>Revestimento de cerâmico em Piso, Placa 31 x 54cm com Junta de 2mm e rejunte acrilico</t>
        </is>
      </c>
      <c r="E3275" s="1072" t="inlineStr">
        <is>
          <t>M2</t>
        </is>
      </c>
      <c r="F3275" s="1071" t="n"/>
      <c r="G3275" s="1073">
        <f t="array" ref="G3275">IF(B3275="insumo",_xlfn.XLOOKUP($D3275,Insumos!$B$1:$B$996,Insumos!$D$1:$D$996),"")</f>
        <v/>
      </c>
      <c r="H3275" s="1073" t="n">
        <v>89.93859999999999</v>
      </c>
      <c r="I3275" s="2163" t="n">
        <v>0</v>
      </c>
      <c r="J3275" s="2163" t="n">
        <v>0</v>
      </c>
      <c r="K3275" s="2163" t="n"/>
    </row>
    <row r="3276" outlineLevel="3" ht="12.75" customHeight="1">
      <c r="A3276" s="82" t="n">
        <v>3</v>
      </c>
      <c r="B3276" s="82" t="inlineStr">
        <is>
          <t>Insumo</t>
        </is>
      </c>
      <c r="C3276" s="89" t="inlineStr">
        <is>
          <t>Revestimento de cerâmico em Piso, Placa 31 x 54cm com Junta de 2mm e rejunte acrilico</t>
        </is>
      </c>
      <c r="D3276" s="89" t="inlineStr">
        <is>
          <t>Cerâmica Brilhante Metrô 31x54cm Savane</t>
        </is>
      </c>
      <c r="E3276" s="11">
        <f t="array" ref="E3276">_xlfn.XLOOKUP(D3276,Insumos!B:B,Insumos!C:$C)</f>
        <v/>
      </c>
      <c r="F3276" s="2164" t="n">
        <v>1.1</v>
      </c>
      <c r="G3276" s="92">
        <f t="array" ref="G3276">IF(B3276="insumo",_xlfn.XLOOKUP($D3276,Insumos!$B$1:$B$996,Insumos!$D$1:$D$996),"")</f>
        <v/>
      </c>
      <c r="H3276" s="92" t="n">
        <v>79.893</v>
      </c>
      <c r="I3276" s="2165" t="n">
        <v>0</v>
      </c>
      <c r="J3276" s="2165" t="n">
        <v>0</v>
      </c>
      <c r="K3276" s="2165" t="n"/>
    </row>
    <row r="3277" outlineLevel="3" ht="12.75" customHeight="1">
      <c r="A3277" s="82" t="n">
        <v>191</v>
      </c>
      <c r="B3277" s="82" t="inlineStr">
        <is>
          <t>Insumo</t>
        </is>
      </c>
      <c r="C3277" s="82" t="inlineStr">
        <is>
          <t>Revestimento de cerâmico em Piso, Placa 31 x 54cm com Junta de 2mm e rejunte acrilico</t>
        </is>
      </c>
      <c r="D3277" s="82" t="inlineStr">
        <is>
          <t>Argamassa ACIII</t>
        </is>
      </c>
      <c r="E3277" s="11">
        <f t="array" ref="E3277">_xlfn.XLOOKUP(D3277,Insumos!B:B,Insumos!C:$C)</f>
        <v/>
      </c>
      <c r="F3277" s="2164" t="n">
        <v>8.800000000000001</v>
      </c>
      <c r="G3277" s="92">
        <f t="array" ref="G3277">IF(B3277="insumo",_xlfn.XLOOKUP($D3277,Insumos!$B$1:$B$996,Insumos!$D$1:$D$996),"")</f>
        <v/>
      </c>
      <c r="H3277" s="92" t="n">
        <v>9.367599999999999</v>
      </c>
      <c r="I3277" s="2165" t="n">
        <v>0</v>
      </c>
      <c r="J3277" s="2165" t="n">
        <v>0</v>
      </c>
      <c r="K3277" s="2165" t="n"/>
    </row>
    <row r="3278" outlineLevel="3" ht="12.75" customHeight="1">
      <c r="A3278" s="82" t="n">
        <v>142</v>
      </c>
      <c r="B3278" s="82" t="inlineStr">
        <is>
          <t>Insumo</t>
        </is>
      </c>
      <c r="C3278" s="82" t="inlineStr">
        <is>
          <t>Revestimento de cerâmico em Piso, Placa 31 x 54cm com Junta de 2mm e rejunte acrilico</t>
        </is>
      </c>
      <c r="D3278" s="82" t="inlineStr">
        <is>
          <t>Espeçador junta piso 2mm</t>
        </is>
      </c>
      <c r="E3278" s="11">
        <f t="array" ref="E3278">_xlfn.XLOOKUP(D3278,Insumos!B:B,Insumos!C:$C)</f>
        <v/>
      </c>
      <c r="F3278" s="2164" t="n">
        <v>3</v>
      </c>
      <c r="G3278" s="92">
        <f t="array" ref="G3278">IF(B3278="insumo",_xlfn.XLOOKUP($D3278,Insumos!$B$1:$B$996,Insumos!$D$1:$D$996),"")</f>
        <v/>
      </c>
      <c r="H3278" s="92" t="n">
        <v>0.24</v>
      </c>
      <c r="I3278" s="2165" t="n">
        <v>0</v>
      </c>
      <c r="J3278" s="2165" t="n">
        <v>0</v>
      </c>
      <c r="K3278" s="2165" t="n"/>
    </row>
    <row r="3279" outlineLevel="3" ht="12.75" customHeight="1">
      <c r="A3279" s="82" t="n">
        <v>22</v>
      </c>
      <c r="B3279" s="82" t="inlineStr">
        <is>
          <t>Insumo</t>
        </is>
      </c>
      <c r="C3279" s="82" t="inlineStr">
        <is>
          <t>Revestimento de cerâmico em Piso, Placa 31 x 54cm com Junta de 2mm e rejunte acrilico</t>
        </is>
      </c>
      <c r="D3279" s="82" t="inlineStr">
        <is>
          <t>Rejunte acrilico</t>
        </is>
      </c>
      <c r="E3279" s="11">
        <f t="array" ref="E3279">_xlfn.XLOOKUP(D3279,Insumos!B:B,Insumos!C:$C)</f>
        <v/>
      </c>
      <c r="F3279" s="2164" t="n">
        <v>0.01</v>
      </c>
      <c r="G3279" s="92">
        <f t="array" ref="G3279">IF(B3279="insumo",_xlfn.XLOOKUP($D3279,Insumos!$B$1:$B$996,Insumos!$D$1:$D$996),"")</f>
        <v/>
      </c>
      <c r="H3279" s="92" t="n">
        <v>0.438</v>
      </c>
      <c r="I3279" s="2165" t="n">
        <v>0</v>
      </c>
      <c r="J3279" s="2165" t="n">
        <v>0</v>
      </c>
      <c r="K3279" s="2165" t="n"/>
    </row>
    <row r="3280" outlineLevel="2" ht="12.75" customHeight="1">
      <c r="A3280" s="1071" t="n">
        <v>1</v>
      </c>
      <c r="B3280" s="1071" t="inlineStr">
        <is>
          <t>Serviço</t>
        </is>
      </c>
      <c r="C3280" s="1071" t="inlineStr">
        <is>
          <t>Revestimento de cerâmico retificado em Piso, Placa 60 x 60cm com Junta de 2mm e rejunte acrilico</t>
        </is>
      </c>
      <c r="D3280" s="1071" t="inlineStr">
        <is>
          <t>Revestimento de cerâmico retificado em Piso, Placa 60 x 60cm com Junta de 2mm e rejunte acrilico</t>
        </is>
      </c>
      <c r="E3280" s="1072" t="inlineStr">
        <is>
          <t>M2</t>
        </is>
      </c>
      <c r="F3280" s="1071" t="n"/>
      <c r="G3280" s="1073">
        <f t="array" ref="G3280">IF(B3280="insumo",_xlfn.XLOOKUP($D3280,Insumos!$B$1:$B$996,Insumos!$D$1:$D$996),"")</f>
        <v/>
      </c>
      <c r="H3280" s="1073" t="n">
        <v>61.8386</v>
      </c>
      <c r="I3280" s="2163" t="e">
        <v>#REF!</v>
      </c>
      <c r="J3280" s="2163" t="e">
        <v>#REF!</v>
      </c>
      <c r="K3280" s="2163" t="n"/>
    </row>
    <row r="3281" outlineLevel="3" ht="12.75" customHeight="1">
      <c r="A3281" s="82" t="n">
        <v>6</v>
      </c>
      <c r="B3281" s="82" t="inlineStr">
        <is>
          <t>Insumo</t>
        </is>
      </c>
      <c r="C3281" s="89" t="inlineStr">
        <is>
          <t>Revestimento de cerâmico retificado em Piso, Placa 60 x 60cm com Junta de 2mm e rejunte acrilico</t>
        </is>
      </c>
      <c r="D3281" s="89" t="inlineStr">
        <is>
          <t>Cer. Karina Artisan 60305 Act. 60x60 Ret</t>
        </is>
      </c>
      <c r="E3281" s="11">
        <f t="array" ref="E3281">_xlfn.XLOOKUP(D3281,Insumos!B:B,Insumos!C:$C)</f>
        <v/>
      </c>
      <c r="F3281" s="2164" t="n">
        <v>1.1</v>
      </c>
      <c r="G3281" s="92">
        <f t="array" ref="G3281">IF(B3281="insumo",_xlfn.XLOOKUP($D3281,Insumos!$B$1:$B$996,Insumos!$D$1:$D$996),"")</f>
        <v/>
      </c>
      <c r="H3281" s="92" t="n">
        <v>51.953</v>
      </c>
      <c r="I3281" s="2165" t="e">
        <v>#REF!</v>
      </c>
      <c r="J3281" s="2165" t="e">
        <v>#REF!</v>
      </c>
      <c r="K3281" s="2165" t="n"/>
    </row>
    <row r="3282" outlineLevel="3" ht="12.75" customHeight="1">
      <c r="A3282" s="82" t="n">
        <v>191</v>
      </c>
      <c r="B3282" s="82" t="inlineStr">
        <is>
          <t>Insumo</t>
        </is>
      </c>
      <c r="C3282" s="82" t="inlineStr">
        <is>
          <t>Revestimento de cerâmico retificado em Piso, Placa 60 x 60cm com Junta de 2mm e rejunte acrilico</t>
        </is>
      </c>
      <c r="D3282" s="82" t="inlineStr">
        <is>
          <t>Argamassa ACIII</t>
        </is>
      </c>
      <c r="E3282" s="11">
        <f t="array" ref="E3282">_xlfn.XLOOKUP(D3282,Insumos!B:B,Insumos!C:$C)</f>
        <v/>
      </c>
      <c r="F3282" s="2164" t="n">
        <v>8.800000000000001</v>
      </c>
      <c r="G3282" s="92">
        <f t="array" ref="G3282">IF(B3282="insumo",_xlfn.XLOOKUP($D3282,Insumos!$B$1:$B$996,Insumos!$D$1:$D$996),"")</f>
        <v/>
      </c>
      <c r="H3282" s="92" t="n">
        <v>9.367599999999999</v>
      </c>
      <c r="I3282" s="2165" t="e">
        <v>#REF!</v>
      </c>
      <c r="J3282" s="2165" t="e">
        <v>#REF!</v>
      </c>
      <c r="K3282" s="2165" t="n"/>
    </row>
    <row r="3283" outlineLevel="3" ht="12.75" customHeight="1">
      <c r="A3283" s="82" t="n">
        <v>142</v>
      </c>
      <c r="B3283" s="82" t="inlineStr">
        <is>
          <t>Insumo</t>
        </is>
      </c>
      <c r="C3283" s="82" t="inlineStr">
        <is>
          <t>Revestimento de cerâmico retificado em Piso, Placa 60 x 60cm com Junta de 2mm e rejunte acrilico</t>
        </is>
      </c>
      <c r="D3283" s="82" t="inlineStr">
        <is>
          <t>Espeçador junta piso 2mm</t>
        </is>
      </c>
      <c r="E3283" s="11">
        <f t="array" ref="E3283">_xlfn.XLOOKUP(D3283,Insumos!B:B,Insumos!C:$C)</f>
        <v/>
      </c>
      <c r="F3283" s="2164" t="n">
        <v>1</v>
      </c>
      <c r="G3283" s="92">
        <f t="array" ref="G3283">IF(B3283="insumo",_xlfn.XLOOKUP($D3283,Insumos!$B$1:$B$996,Insumos!$D$1:$D$996),"")</f>
        <v/>
      </c>
      <c r="H3283" s="92" t="n">
        <v>0.08</v>
      </c>
      <c r="I3283" s="2165" t="e">
        <v>#REF!</v>
      </c>
      <c r="J3283" s="2165" t="e">
        <v>#REF!</v>
      </c>
      <c r="K3283" s="2165" t="n"/>
    </row>
    <row r="3284" outlineLevel="3" ht="12.75" customHeight="1">
      <c r="A3284" s="82" t="n">
        <v>22</v>
      </c>
      <c r="B3284" s="82" t="inlineStr">
        <is>
          <t>Insumo</t>
        </is>
      </c>
      <c r="C3284" s="82" t="inlineStr">
        <is>
          <t>Revestimento de cerâmico retificado em Piso, Placa 60 x 60cm com Junta de 2mm e rejunte acrilico</t>
        </is>
      </c>
      <c r="D3284" s="82" t="inlineStr">
        <is>
          <t>Rejunte acrilico</t>
        </is>
      </c>
      <c r="E3284" s="11">
        <f t="array" ref="E3284">_xlfn.XLOOKUP(D3284,Insumos!B:B,Insumos!C:$C)</f>
        <v/>
      </c>
      <c r="F3284" s="2164" t="n">
        <v>0.01</v>
      </c>
      <c r="G3284" s="92">
        <f t="array" ref="G3284">IF(B3284="insumo",_xlfn.XLOOKUP($D3284,Insumos!$B$1:$B$996,Insumos!$D$1:$D$996),"")</f>
        <v/>
      </c>
      <c r="H3284" s="92" t="n">
        <v>0.438</v>
      </c>
      <c r="I3284" s="2165" t="e">
        <v>#REF!</v>
      </c>
      <c r="J3284" s="2165" t="e">
        <v>#REF!</v>
      </c>
      <c r="K3284" s="2165" t="n"/>
    </row>
    <row r="3285" outlineLevel="2" ht="15.75" customHeight="1">
      <c r="A3285" s="1067" t="n">
        <v>1</v>
      </c>
      <c r="B3285" s="1067" t="inlineStr">
        <is>
          <t>Serviço</t>
        </is>
      </c>
      <c r="C3285" s="1067" t="inlineStr">
        <is>
          <t>Revestimento de Piso, Cerâmico Acetinado Imperial Mt 50X50Xcm</t>
        </is>
      </c>
      <c r="D3285" s="1067" t="inlineStr">
        <is>
          <t>Revestimento de Piso, Cerâmico Acetinado Imperial Mt 50X50Xcm</t>
        </is>
      </c>
      <c r="E3285" s="1068" t="inlineStr">
        <is>
          <t>M2</t>
        </is>
      </c>
      <c r="F3285" s="1067" t="n"/>
      <c r="G3285" s="1069">
        <f t="array" ref="G3285">IF(B3285="insumo",_xlfn.XLOOKUP($D3285,Insumos!$B$1:$B$996,Insumos!$D$1:$D$996),"")</f>
        <v/>
      </c>
      <c r="H3285" s="1069" t="n">
        <v>58.073</v>
      </c>
      <c r="I3285" s="2161" t="n">
        <v>0</v>
      </c>
      <c r="J3285" s="2161" t="n">
        <v>0</v>
      </c>
      <c r="K3285" s="2161" t="n"/>
    </row>
    <row r="3286" outlineLevel="3" ht="15.75" customHeight="1">
      <c r="A3286" s="10" t="n">
        <v>4</v>
      </c>
      <c r="B3286" s="10" t="inlineStr">
        <is>
          <t>Insumo</t>
        </is>
      </c>
      <c r="C3286" s="82" t="inlineStr">
        <is>
          <t>Revestimento de Piso, Cerâmico Acetinado Imperial Mt 50X50Xcm</t>
        </is>
      </c>
      <c r="D3286" s="82" t="inlineStr">
        <is>
          <t>Piso Cargo Plus 45x45cm White Eliane</t>
        </is>
      </c>
      <c r="E3286" s="11">
        <f t="array" ref="E3286">_xlfn.XLOOKUP(D3286,Insumos!B:B,Insumos!C:$C)</f>
        <v/>
      </c>
      <c r="F3286" s="14" t="n">
        <v>1.1</v>
      </c>
      <c r="G3286" s="92">
        <f t="array" ref="G3286">IF(B3286="insumo",_xlfn.XLOOKUP($D3286,Insumos!$B$1:$B$996,Insumos!$D$1:$D$996),"")</f>
        <v/>
      </c>
      <c r="H3286" s="92" t="n">
        <v>49.39</v>
      </c>
      <c r="I3286" s="2162" t="n">
        <v>0</v>
      </c>
      <c r="J3286" s="2162" t="n">
        <v>0</v>
      </c>
      <c r="K3286" s="2162" t="n"/>
    </row>
    <row r="3287" outlineLevel="3" ht="15.75" customHeight="1">
      <c r="A3287" s="10" t="n">
        <v>16</v>
      </c>
      <c r="B3287" s="10" t="inlineStr">
        <is>
          <t>Insumo</t>
        </is>
      </c>
      <c r="C3287" s="10" t="inlineStr">
        <is>
          <t>Revestimento de Piso, Cerâmico Acetinado Imperial Mt 50X50Xcm</t>
        </is>
      </c>
      <c r="D3287" s="10" t="inlineStr">
        <is>
          <t>Argamassa ACII</t>
        </is>
      </c>
      <c r="E3287" s="11">
        <f t="array" ref="E3287">_xlfn.XLOOKUP(D3287,Insumos!B:B,Insumos!C:$C)</f>
        <v/>
      </c>
      <c r="F3287" s="14" t="n">
        <v>8.800000000000001</v>
      </c>
      <c r="G3287" s="92">
        <f t="array" ref="G3287">IF(B3287="insumo",_xlfn.XLOOKUP($D3287,Insumos!$B$1:$B$996,Insumos!$D$1:$D$996),"")</f>
        <v/>
      </c>
      <c r="H3287" s="92" t="n">
        <v>8.359999999999999</v>
      </c>
      <c r="I3287" s="2162" t="n">
        <v>0</v>
      </c>
      <c r="J3287" s="2162" t="n">
        <v>0</v>
      </c>
      <c r="K3287" s="2162" t="n"/>
    </row>
    <row r="3288" outlineLevel="3" ht="15.75" customHeight="1">
      <c r="A3288" s="10" t="n">
        <v>17</v>
      </c>
      <c r="B3288" s="10" t="inlineStr">
        <is>
          <t>Insumo</t>
        </is>
      </c>
      <c r="C3288" s="10" t="inlineStr">
        <is>
          <t>Revestimento de Piso, Cerâmico Acetinado Imperial Mt 50X50Xcm</t>
        </is>
      </c>
      <c r="D3288" s="10" t="inlineStr">
        <is>
          <t>Espeçador junta piso 3mm</t>
        </is>
      </c>
      <c r="E3288" s="11">
        <f t="array" ref="E3288">_xlfn.XLOOKUP(D3288,Insumos!B:B,Insumos!C:$C)</f>
        <v/>
      </c>
      <c r="F3288" s="14" t="n">
        <v>2</v>
      </c>
      <c r="G3288" s="92">
        <f t="array" ref="G3288">IF(B3288="insumo",_xlfn.XLOOKUP($D3288,Insumos!$B$1:$B$996,Insumos!$D$1:$D$996),"")</f>
        <v/>
      </c>
      <c r="H3288" s="92" t="n">
        <v>0.1</v>
      </c>
      <c r="I3288" s="2162" t="n">
        <v>0</v>
      </c>
      <c r="J3288" s="2162" t="n">
        <v>0</v>
      </c>
      <c r="K3288" s="2162" t="n"/>
    </row>
    <row r="3289" outlineLevel="3" ht="15.75" customHeight="1">
      <c r="A3289" s="10" t="n">
        <v>101</v>
      </c>
      <c r="B3289" s="10" t="inlineStr">
        <is>
          <t>Insumo</t>
        </is>
      </c>
      <c r="C3289" s="10" t="inlineStr">
        <is>
          <t>Revestimento de Piso, Cerâmico Acetinado Imperial Mt 50X50Xcm</t>
        </is>
      </c>
      <c r="D3289" s="10" t="inlineStr">
        <is>
          <t>Rejunte Cimentício</t>
        </is>
      </c>
      <c r="E3289" s="11">
        <f t="array" ref="E3289">_xlfn.XLOOKUP(D3289,Insumos!B:B,Insumos!C:$C)</f>
        <v/>
      </c>
      <c r="F3289" s="14" t="n">
        <v>0.02</v>
      </c>
      <c r="G3289" s="92">
        <f t="array" ref="G3289">IF(B3289="insumo",_xlfn.XLOOKUP($D3289,Insumos!$B$1:$B$996,Insumos!$D$1:$D$996),"")</f>
        <v/>
      </c>
      <c r="H3289" s="92" t="n">
        <v>0.223</v>
      </c>
      <c r="I3289" s="2162" t="n">
        <v>0</v>
      </c>
      <c r="J3289" s="2162" t="n">
        <v>0</v>
      </c>
      <c r="K3289" s="2162" t="n"/>
    </row>
    <row r="3290" outlineLevel="2" ht="12.75" customHeight="1">
      <c r="A3290" s="1071" t="n">
        <v>1</v>
      </c>
      <c r="B3290" s="1071" t="inlineStr">
        <is>
          <t>Serviço</t>
        </is>
      </c>
      <c r="C3290" s="1071" t="inlineStr">
        <is>
          <t>Revestimento em Cerâmicas Vulcano Cinza Pisos Externos, 61x 61cm com Junta de 3mm</t>
        </is>
      </c>
      <c r="D3290" s="1071" t="inlineStr">
        <is>
          <t>Revestimento em Cerâmicas Vulcano Cinza Pisos Externos, 61x 61cm com Junta de 3mm</t>
        </is>
      </c>
      <c r="E3290" s="1072" t="inlineStr">
        <is>
          <t>M2</t>
        </is>
      </c>
      <c r="F3290" s="1071" t="n"/>
      <c r="G3290" s="1073">
        <f t="array" ref="G3290">IF(B3290="insumo",_xlfn.XLOOKUP($D3290,Insumos!$B$1:$B$996,Insumos!$D$1:$D$996),"")</f>
        <v/>
      </c>
      <c r="H3290" s="1073" t="n">
        <v>79.119</v>
      </c>
      <c r="I3290" s="2163" t="n">
        <v>0</v>
      </c>
      <c r="J3290" s="2163" t="n">
        <v>0</v>
      </c>
      <c r="K3290" s="2163" t="n"/>
    </row>
    <row r="3291" outlineLevel="3" ht="12.75" customHeight="1">
      <c r="A3291" s="82" t="n">
        <v>6</v>
      </c>
      <c r="B3291" s="82" t="inlineStr">
        <is>
          <t>Insumo</t>
        </is>
      </c>
      <c r="C3291" s="82" t="inlineStr">
        <is>
          <t>Revestimento em Cerâmicas Vulcano Cinza Pisos Externos, 61x 61cm com Junta de 3mm</t>
        </is>
      </c>
      <c r="D3291" s="82" t="inlineStr">
        <is>
          <t>Cerâmica Vulcano Cinza 61x61</t>
        </is>
      </c>
      <c r="E3291" s="11">
        <f t="array" ref="E3291">_xlfn.XLOOKUP(D3291,Insumos!B:B,Insumos!C:$C)</f>
        <v/>
      </c>
      <c r="F3291" s="2171" t="n">
        <v>1.1</v>
      </c>
      <c r="G3291" s="92">
        <f t="array" ref="G3291">IF(B3291="insumo",_xlfn.XLOOKUP($D3291,Insumos!$B$1:$B$996,Insumos!$D$1:$D$996),"")</f>
        <v/>
      </c>
      <c r="H3291" s="92" t="n">
        <v>69.949</v>
      </c>
      <c r="I3291" s="2165" t="n">
        <v>0</v>
      </c>
      <c r="J3291" s="2165" t="n">
        <v>0</v>
      </c>
      <c r="K3291" s="2165" t="n"/>
    </row>
    <row r="3292" outlineLevel="3" ht="12.75" customHeight="1">
      <c r="A3292" s="82" t="n">
        <v>16</v>
      </c>
      <c r="B3292" s="82" t="inlineStr">
        <is>
          <t>Insumo</t>
        </is>
      </c>
      <c r="C3292" s="82" t="inlineStr">
        <is>
          <t>Revestimento em Cerâmicas Vulcano Cinza Pisos Externos, 61x 61cm com Junta de 3mm</t>
        </is>
      </c>
      <c r="D3292" s="82" t="inlineStr">
        <is>
          <t>Argamassa ACII</t>
        </is>
      </c>
      <c r="E3292" s="11">
        <f t="array" ref="E3292">_xlfn.XLOOKUP(D3292,Insumos!B:B,Insumos!C:$C)</f>
        <v/>
      </c>
      <c r="F3292" s="2171" t="n">
        <v>8.800000000000001</v>
      </c>
      <c r="G3292" s="92">
        <f t="array" ref="G3292">IF(B3292="insumo",_xlfn.XLOOKUP($D3292,Insumos!$B$1:$B$996,Insumos!$D$1:$D$996),"")</f>
        <v/>
      </c>
      <c r="H3292" s="92" t="n">
        <v>8.359999999999999</v>
      </c>
      <c r="I3292" s="2165" t="n">
        <v>0</v>
      </c>
      <c r="J3292" s="2165" t="n">
        <v>0</v>
      </c>
      <c r="K3292" s="2165" t="n"/>
    </row>
    <row r="3293" outlineLevel="3" ht="12.75" customHeight="1">
      <c r="A3293" s="82" t="n">
        <v>17</v>
      </c>
      <c r="B3293" s="82" t="inlineStr">
        <is>
          <t>Insumo</t>
        </is>
      </c>
      <c r="C3293" s="82" t="inlineStr">
        <is>
          <t>Revestimento em Cerâmicas Vulcano Cinza Pisos Externos, 61x 61cm com Junta de 3mm</t>
        </is>
      </c>
      <c r="D3293" s="82" t="inlineStr">
        <is>
          <t>Espeçador junta piso 3mm</t>
        </is>
      </c>
      <c r="E3293" s="11">
        <f t="array" ref="E3293">_xlfn.XLOOKUP(D3293,Insumos!B:B,Insumos!C:$C)</f>
        <v/>
      </c>
      <c r="F3293" s="2171" t="n">
        <v>1</v>
      </c>
      <c r="G3293" s="92">
        <f t="array" ref="G3293">IF(B3293="insumo",_xlfn.XLOOKUP($D3293,Insumos!$B$1:$B$996,Insumos!$D$1:$D$996),"")</f>
        <v/>
      </c>
      <c r="H3293" s="92" t="n">
        <v>0.05</v>
      </c>
      <c r="I3293" s="2165" t="n">
        <v>0</v>
      </c>
      <c r="J3293" s="2165" t="n">
        <v>0</v>
      </c>
      <c r="K3293" s="2165" t="n"/>
    </row>
    <row r="3294" outlineLevel="3" ht="12.75" customHeight="1">
      <c r="A3294" s="82" t="n">
        <v>36</v>
      </c>
      <c r="B3294" s="82" t="inlineStr">
        <is>
          <t>Insumo</t>
        </is>
      </c>
      <c r="C3294" s="82" t="inlineStr">
        <is>
          <t>Revestimento em Cerâmicas Vulcano Cinza Pisos Externos, 61x 61cm com Junta de 3mm</t>
        </is>
      </c>
      <c r="D3294" s="82" t="inlineStr">
        <is>
          <t>Rejunte Acrilico cinza platina</t>
        </is>
      </c>
      <c r="E3294" s="11">
        <f t="array" ref="E3294">_xlfn.XLOOKUP(D3294,Insumos!B:B,Insumos!C:$C)</f>
        <v/>
      </c>
      <c r="F3294" s="2171" t="n">
        <v>0.02</v>
      </c>
      <c r="G3294" s="92">
        <f t="array" ref="G3294">IF(B3294="insumo",_xlfn.XLOOKUP($D3294,Insumos!$B$1:$B$996,Insumos!$D$1:$D$996),"")</f>
        <v/>
      </c>
      <c r="H3294" s="92" t="n">
        <v>0.76</v>
      </c>
      <c r="I3294" s="2165" t="n">
        <v>0</v>
      </c>
      <c r="J3294" s="2165" t="n">
        <v>0</v>
      </c>
      <c r="K3294" s="2165" t="n"/>
    </row>
    <row r="3295" outlineLevel="2" ht="12.75" customHeight="1">
      <c r="A3295" s="1071" t="n">
        <v>1</v>
      </c>
      <c r="B3295" s="1071" t="inlineStr">
        <is>
          <t>Serviço</t>
        </is>
      </c>
      <c r="C3295" s="1071" t="inlineStr">
        <is>
          <t>Revestimento em Cerâmicas Pisos Externos, 60x 60cm com Junta de 3mm</t>
        </is>
      </c>
      <c r="D3295" s="1071" t="inlineStr">
        <is>
          <t>Revestimento em Cerâmicas Pisos Externos, 60x 60cm com Junta de 3mm</t>
        </is>
      </c>
      <c r="E3295" s="1072" t="inlineStr">
        <is>
          <t>M2</t>
        </is>
      </c>
      <c r="F3295" s="1071" t="n"/>
      <c r="G3295" s="1073">
        <f t="array" ref="G3295">IF(B3295="insumo",_xlfn.XLOOKUP($D3295,Insumos!$B$1:$B$996,Insumos!$D$1:$D$996),"")</f>
        <v/>
      </c>
      <c r="H3295" s="1073" t="n">
        <v>52.237</v>
      </c>
      <c r="I3295" s="2163" t="n">
        <v>0</v>
      </c>
      <c r="J3295" s="2163" t="n">
        <v>0</v>
      </c>
      <c r="K3295" s="2163" t="n"/>
    </row>
    <row r="3296" outlineLevel="3" ht="12.75" customHeight="1">
      <c r="A3296" s="82" t="n">
        <v>2</v>
      </c>
      <c r="B3296" s="82" t="inlineStr">
        <is>
          <t>Insumo</t>
        </is>
      </c>
      <c r="C3296" s="82" t="inlineStr">
        <is>
          <t>Revestimento em Cerâmicas Pisos Externos, 60x 60cm com Junta de 3mm</t>
        </is>
      </c>
      <c r="D3296" s="82" t="inlineStr">
        <is>
          <t>Revestimento Cerâmico de Piso Interno 58x58</t>
        </is>
      </c>
      <c r="E3296" s="11">
        <f t="array" ref="E3296">_xlfn.XLOOKUP(D3296,Insumos!B:B,Insumos!C:$C)</f>
        <v/>
      </c>
      <c r="F3296" s="2171" t="n">
        <v>1.1</v>
      </c>
      <c r="G3296" s="92">
        <f t="array" ref="G3296">IF(B3296="insumo",_xlfn.XLOOKUP($D3296,Insumos!$B$1:$B$996,Insumos!$D$1:$D$996),"")</f>
        <v/>
      </c>
      <c r="H3296" s="92" t="n">
        <v>43.604</v>
      </c>
      <c r="I3296" s="2165" t="n">
        <v>0</v>
      </c>
      <c r="J3296" s="2165" t="n">
        <v>0</v>
      </c>
      <c r="K3296" s="2165" t="n"/>
    </row>
    <row r="3297" outlineLevel="3" ht="12.75" customHeight="1">
      <c r="A3297" s="82" t="n">
        <v>16</v>
      </c>
      <c r="B3297" s="82" t="inlineStr">
        <is>
          <t>Insumo</t>
        </is>
      </c>
      <c r="C3297" s="82" t="inlineStr">
        <is>
          <t>Revestimento em Cerâmicas Pisos Externos, 60x 60cm com Junta de 3mm</t>
        </is>
      </c>
      <c r="D3297" s="82" t="inlineStr">
        <is>
          <t>Argamassa ACII</t>
        </is>
      </c>
      <c r="E3297" s="11">
        <f t="array" ref="E3297">_xlfn.XLOOKUP(D3297,Insumos!B:B,Insumos!C:$C)</f>
        <v/>
      </c>
      <c r="F3297" s="2171" t="n">
        <v>8.800000000000001</v>
      </c>
      <c r="G3297" s="92">
        <f t="array" ref="G3297">IF(B3297="insumo",_xlfn.XLOOKUP($D3297,Insumos!$B$1:$B$996,Insumos!$D$1:$D$996),"")</f>
        <v/>
      </c>
      <c r="H3297" s="92" t="n">
        <v>8.359999999999999</v>
      </c>
      <c r="I3297" s="2165" t="n">
        <v>0</v>
      </c>
      <c r="J3297" s="2165" t="n">
        <v>0</v>
      </c>
      <c r="K3297" s="2165" t="n"/>
    </row>
    <row r="3298" outlineLevel="3" ht="12.75" customHeight="1">
      <c r="A3298" s="82" t="n">
        <v>17</v>
      </c>
      <c r="B3298" s="82" t="inlineStr">
        <is>
          <t>Insumo</t>
        </is>
      </c>
      <c r="C3298" s="82" t="inlineStr">
        <is>
          <t>Revestimento em Cerâmicas Pisos Externos, 60x 60cm com Junta de 3mm</t>
        </is>
      </c>
      <c r="D3298" s="82" t="inlineStr">
        <is>
          <t>Espeçador junta piso 3mm</t>
        </is>
      </c>
      <c r="E3298" s="11">
        <f t="array" ref="E3298">_xlfn.XLOOKUP(D3298,Insumos!B:B,Insumos!C:$C)</f>
        <v/>
      </c>
      <c r="F3298" s="2171" t="n">
        <v>1</v>
      </c>
      <c r="G3298" s="92">
        <f t="array" ref="G3298">IF(B3298="insumo",_xlfn.XLOOKUP($D3298,Insumos!$B$1:$B$996,Insumos!$D$1:$D$996),"")</f>
        <v/>
      </c>
      <c r="H3298" s="92" t="n">
        <v>0.05</v>
      </c>
      <c r="I3298" s="2165" t="n">
        <v>0</v>
      </c>
      <c r="J3298" s="2165" t="n">
        <v>0</v>
      </c>
      <c r="K3298" s="2165" t="n"/>
    </row>
    <row r="3299" outlineLevel="3" ht="12.75" customHeight="1">
      <c r="A3299" s="82" t="n">
        <v>101</v>
      </c>
      <c r="B3299" s="82" t="inlineStr">
        <is>
          <t>Insumo</t>
        </is>
      </c>
      <c r="C3299" s="82" t="inlineStr">
        <is>
          <t>Revestimento em Cerâmicas Pisos Externos, 60x 60cm com Junta de 3mm</t>
        </is>
      </c>
      <c r="D3299" s="82" t="inlineStr">
        <is>
          <t>Rejunte Cimentício</t>
        </is>
      </c>
      <c r="E3299" s="11">
        <f t="array" ref="E3299">_xlfn.XLOOKUP(D3299,Insumos!B:B,Insumos!C:$C)</f>
        <v/>
      </c>
      <c r="F3299" s="2171" t="n">
        <v>0.02</v>
      </c>
      <c r="G3299" s="92">
        <f t="array" ref="G3299">IF(B3299="insumo",_xlfn.XLOOKUP($D3299,Insumos!$B$1:$B$996,Insumos!$D$1:$D$996),"")</f>
        <v/>
      </c>
      <c r="H3299" s="92" t="n">
        <v>0.223</v>
      </c>
      <c r="I3299" s="2165" t="n">
        <v>0</v>
      </c>
      <c r="J3299" s="2165" t="n">
        <v>0</v>
      </c>
      <c r="K3299" s="2165" t="n"/>
    </row>
    <row r="3300" outlineLevel="2" ht="12.75" customHeight="1">
      <c r="A3300" s="1071" t="n">
        <v>1</v>
      </c>
      <c r="B3300" s="1071" t="inlineStr">
        <is>
          <t>Serviço</t>
        </is>
      </c>
      <c r="C3300" s="1071" t="inlineStr">
        <is>
          <t>Revestimento em Cerâmicas Pisos Internos, 45x 45cm com Junta de 3mm</t>
        </is>
      </c>
      <c r="D3300" s="1071" t="inlineStr">
        <is>
          <t>Revestimento em Cerâmicas Pisos Internos, 45x 45cm com Junta de 3mm</t>
        </is>
      </c>
      <c r="E3300" s="1072" t="inlineStr">
        <is>
          <t>M2</t>
        </is>
      </c>
      <c r="F3300" s="1071" t="n"/>
      <c r="G3300" s="1073">
        <f t="array" ref="G3300">IF(B3300="insumo",_xlfn.XLOOKUP($D3300,Insumos!$B$1:$B$996,Insumos!$D$1:$D$996),"")</f>
        <v/>
      </c>
      <c r="H3300" s="1073" t="n">
        <v>58.073</v>
      </c>
      <c r="I3300" s="2163" t="e">
        <v>#REF!</v>
      </c>
      <c r="J3300" s="2163" t="e">
        <v>#REF!</v>
      </c>
      <c r="K3300" s="2163" t="n"/>
    </row>
    <row r="3301" outlineLevel="3" ht="12.75" customHeight="1">
      <c r="A3301" s="82" t="n">
        <v>4</v>
      </c>
      <c r="B3301" s="82" t="inlineStr">
        <is>
          <t>Insumo</t>
        </is>
      </c>
      <c r="C3301" s="82" t="inlineStr">
        <is>
          <t>Revestimento em Cerâmicas Pisos Internos, 45x 45cm com Junta de 3mm</t>
        </is>
      </c>
      <c r="D3301" s="82" t="inlineStr">
        <is>
          <t>Piso Cargo Plus 45x45cm White Eliane</t>
        </is>
      </c>
      <c r="E3301" s="11">
        <f t="array" ref="E3301">_xlfn.XLOOKUP(D3301,Insumos!B:B,Insumos!C:$C)</f>
        <v/>
      </c>
      <c r="F3301" s="2171" t="n">
        <v>1.1</v>
      </c>
      <c r="G3301" s="92">
        <f t="array" ref="G3301">IF(B3301="insumo",_xlfn.XLOOKUP($D3301,Insumos!$B$1:$B$996,Insumos!$D$1:$D$996),"")</f>
        <v/>
      </c>
      <c r="H3301" s="92" t="n">
        <v>49.39</v>
      </c>
      <c r="I3301" s="2165" t="e">
        <v>#REF!</v>
      </c>
      <c r="J3301" s="2165" t="e">
        <v>#REF!</v>
      </c>
      <c r="K3301" s="2165" t="n"/>
    </row>
    <row r="3302" outlineLevel="3" ht="12.75" customHeight="1">
      <c r="A3302" s="82" t="n">
        <v>16</v>
      </c>
      <c r="B3302" s="82" t="inlineStr">
        <is>
          <t>Insumo</t>
        </is>
      </c>
      <c r="C3302" s="82" t="inlineStr">
        <is>
          <t>Revestimento em Cerâmicas Pisos Internos, 45x 45cm com Junta de 3mm</t>
        </is>
      </c>
      <c r="D3302" s="82" t="inlineStr">
        <is>
          <t>Argamassa ACII</t>
        </is>
      </c>
      <c r="E3302" s="11">
        <f t="array" ref="E3302">_xlfn.XLOOKUP(D3302,Insumos!B:B,Insumos!C:$C)</f>
        <v/>
      </c>
      <c r="F3302" s="2171" t="n">
        <v>8.800000000000001</v>
      </c>
      <c r="G3302" s="92">
        <f t="array" ref="G3302">IF(B3302="insumo",_xlfn.XLOOKUP($D3302,Insumos!$B$1:$B$996,Insumos!$D$1:$D$996),"")</f>
        <v/>
      </c>
      <c r="H3302" s="92" t="n">
        <v>8.359999999999999</v>
      </c>
      <c r="I3302" s="2165" t="e">
        <v>#REF!</v>
      </c>
      <c r="J3302" s="2165" t="e">
        <v>#REF!</v>
      </c>
      <c r="K3302" s="2165" t="n"/>
    </row>
    <row r="3303" outlineLevel="3" ht="12.75" customHeight="1">
      <c r="A3303" s="82" t="n">
        <v>17</v>
      </c>
      <c r="B3303" s="82" t="inlineStr">
        <is>
          <t>Insumo</t>
        </is>
      </c>
      <c r="C3303" s="82" t="inlineStr">
        <is>
          <t>Revestimento em Cerâmicas Pisos Internos, 45x 45cm com Junta de 3mm</t>
        </is>
      </c>
      <c r="D3303" s="82" t="inlineStr">
        <is>
          <t>Espeçador junta piso 3mm</t>
        </is>
      </c>
      <c r="E3303" s="11">
        <f t="array" ref="E3303">_xlfn.XLOOKUP(D3303,Insumos!B:B,Insumos!C:$C)</f>
        <v/>
      </c>
      <c r="F3303" s="2171" t="n">
        <v>2</v>
      </c>
      <c r="G3303" s="92">
        <f t="array" ref="G3303">IF(B3303="insumo",_xlfn.XLOOKUP($D3303,Insumos!$B$1:$B$996,Insumos!$D$1:$D$996),"")</f>
        <v/>
      </c>
      <c r="H3303" s="92" t="n">
        <v>0.1</v>
      </c>
      <c r="I3303" s="2165" t="e">
        <v>#REF!</v>
      </c>
      <c r="J3303" s="2165" t="e">
        <v>#REF!</v>
      </c>
      <c r="K3303" s="2165" t="n"/>
    </row>
    <row r="3304" outlineLevel="3" ht="12.75" customHeight="1">
      <c r="A3304" s="82" t="n">
        <v>101</v>
      </c>
      <c r="B3304" s="82" t="inlineStr">
        <is>
          <t>Insumo</t>
        </is>
      </c>
      <c r="C3304" s="82" t="inlineStr">
        <is>
          <t>Revestimento em Cerâmicas Pisos Internos, 45x 45cm com Junta de 3mm</t>
        </is>
      </c>
      <c r="D3304" s="82" t="inlineStr">
        <is>
          <t>Rejunte Cimentício</t>
        </is>
      </c>
      <c r="E3304" s="11">
        <f t="array" ref="E3304">_xlfn.XLOOKUP(D3304,Insumos!B:B,Insumos!C:$C)</f>
        <v/>
      </c>
      <c r="F3304" s="2171" t="n">
        <v>0.02</v>
      </c>
      <c r="G3304" s="92">
        <f t="array" ref="G3304">IF(B3304="insumo",_xlfn.XLOOKUP($D3304,Insumos!$B$1:$B$996,Insumos!$D$1:$D$996),"")</f>
        <v/>
      </c>
      <c r="H3304" s="92" t="n">
        <v>0.223</v>
      </c>
      <c r="I3304" s="2165" t="e">
        <v>#REF!</v>
      </c>
      <c r="J3304" s="2165" t="e">
        <v>#REF!</v>
      </c>
      <c r="K3304" s="2165" t="n"/>
    </row>
    <row r="3305" outlineLevel="2" ht="12.75" customHeight="1">
      <c r="A3305" s="1071" t="n">
        <v>1</v>
      </c>
      <c r="B3305" s="1071" t="inlineStr">
        <is>
          <t>Serviço</t>
        </is>
      </c>
      <c r="C3305" s="1071" t="inlineStr">
        <is>
          <t>Revestimento em Pisos cerâmico, 61x 61cm com Junta de 3mm</t>
        </is>
      </c>
      <c r="D3305" s="1071" t="inlineStr">
        <is>
          <t>Revestimento em Pisos cerâmico, 61x 61cm com Junta de 3mm</t>
        </is>
      </c>
      <c r="E3305" s="1072" t="inlineStr">
        <is>
          <t>M2</t>
        </is>
      </c>
      <c r="F3305" s="1071" t="n"/>
      <c r="G3305" s="1073">
        <f t="array" ref="G3305">IF(B3305="insumo",_xlfn.XLOOKUP($D3305,Insumos!$B$1:$B$996,Insumos!$D$1:$D$996),"")</f>
        <v/>
      </c>
      <c r="H3305" s="1073" t="n">
        <v>78.58199999999999</v>
      </c>
      <c r="I3305" s="2163" t="n">
        <v>0</v>
      </c>
      <c r="J3305" s="2163" t="n">
        <v>0</v>
      </c>
      <c r="K3305" s="2163" t="n"/>
    </row>
    <row r="3306" outlineLevel="3" ht="12.75" customHeight="1">
      <c r="A3306" s="82" t="n">
        <v>6</v>
      </c>
      <c r="B3306" s="82" t="inlineStr">
        <is>
          <t>Insumo</t>
        </is>
      </c>
      <c r="C3306" s="82" t="inlineStr">
        <is>
          <t>Revestimento em Pisos cerâmico, 61x 61cm com Junta de 3mm</t>
        </is>
      </c>
      <c r="D3306" s="82" t="inlineStr">
        <is>
          <t>Cerâmica Vulcano Cinza 61x61</t>
        </is>
      </c>
      <c r="E3306" s="11">
        <f t="array" ref="E3306">_xlfn.XLOOKUP(D3306,Insumos!B:B,Insumos!C:$C)</f>
        <v/>
      </c>
      <c r="F3306" s="2171" t="n">
        <v>1.1</v>
      </c>
      <c r="G3306" s="92">
        <f t="array" ref="G3306">IF(B3306="insumo",_xlfn.XLOOKUP($D3306,Insumos!$B$1:$B$996,Insumos!$D$1:$D$996),"")</f>
        <v/>
      </c>
      <c r="H3306" s="92" t="n">
        <v>69.949</v>
      </c>
      <c r="I3306" s="2165" t="n">
        <v>0</v>
      </c>
      <c r="J3306" s="2165" t="n">
        <v>0</v>
      </c>
      <c r="K3306" s="2165" t="n"/>
    </row>
    <row r="3307" outlineLevel="3" ht="12.75" customHeight="1">
      <c r="A3307" s="82" t="n">
        <v>16</v>
      </c>
      <c r="B3307" s="82" t="inlineStr">
        <is>
          <t>Insumo</t>
        </is>
      </c>
      <c r="C3307" s="82" t="inlineStr">
        <is>
          <t>Revestimento em Pisos cerâmico, 61x 61cm com Junta de 3mm</t>
        </is>
      </c>
      <c r="D3307" s="82" t="inlineStr">
        <is>
          <t>Argamassa ACII</t>
        </is>
      </c>
      <c r="E3307" s="11">
        <f t="array" ref="E3307">_xlfn.XLOOKUP(D3307,Insumos!B:B,Insumos!C:$C)</f>
        <v/>
      </c>
      <c r="F3307" s="2171" t="n">
        <v>8.800000000000001</v>
      </c>
      <c r="G3307" s="92">
        <f t="array" ref="G3307">IF(B3307="insumo",_xlfn.XLOOKUP($D3307,Insumos!$B$1:$B$996,Insumos!$D$1:$D$996),"")</f>
        <v/>
      </c>
      <c r="H3307" s="92" t="n">
        <v>8.359999999999999</v>
      </c>
      <c r="I3307" s="2165" t="n">
        <v>0</v>
      </c>
      <c r="J3307" s="2165" t="n">
        <v>0</v>
      </c>
      <c r="K3307" s="2165" t="n"/>
    </row>
    <row r="3308" outlineLevel="3" ht="12.75" customHeight="1">
      <c r="A3308" s="82" t="n">
        <v>17</v>
      </c>
      <c r="B3308" s="82" t="inlineStr">
        <is>
          <t>Insumo</t>
        </is>
      </c>
      <c r="C3308" s="82" t="inlineStr">
        <is>
          <t>Revestimento em Pisos cerâmico, 61x 61cm com Junta de 3mm</t>
        </is>
      </c>
      <c r="D3308" s="82" t="inlineStr">
        <is>
          <t>Espeçador junta piso 3mm</t>
        </is>
      </c>
      <c r="E3308" s="11">
        <f t="array" ref="E3308">_xlfn.XLOOKUP(D3308,Insumos!B:B,Insumos!C:$C)</f>
        <v/>
      </c>
      <c r="F3308" s="2171" t="n">
        <v>1</v>
      </c>
      <c r="G3308" s="92">
        <f t="array" ref="G3308">IF(B3308="insumo",_xlfn.XLOOKUP($D3308,Insumos!$B$1:$B$996,Insumos!$D$1:$D$996),"")</f>
        <v/>
      </c>
      <c r="H3308" s="92" t="n">
        <v>0.05</v>
      </c>
      <c r="I3308" s="2165" t="n">
        <v>0</v>
      </c>
      <c r="J3308" s="2165" t="n">
        <v>0</v>
      </c>
      <c r="K3308" s="2165" t="n"/>
    </row>
    <row r="3309" outlineLevel="3" ht="12.75" customHeight="1">
      <c r="A3309" s="82" t="n">
        <v>101</v>
      </c>
      <c r="B3309" s="82" t="inlineStr">
        <is>
          <t>Insumo</t>
        </is>
      </c>
      <c r="C3309" s="82" t="inlineStr">
        <is>
          <t>Revestimento em Pisos cerâmico, 61x 61cm com Junta de 3mm</t>
        </is>
      </c>
      <c r="D3309" s="82" t="inlineStr">
        <is>
          <t>Rejunte Cimentício</t>
        </is>
      </c>
      <c r="E3309" s="11">
        <f t="array" ref="E3309">_xlfn.XLOOKUP(D3309,Insumos!B:B,Insumos!C:$C)</f>
        <v/>
      </c>
      <c r="F3309" s="2171" t="n">
        <v>0.02</v>
      </c>
      <c r="G3309" s="92">
        <f t="array" ref="G3309">IF(B3309="insumo",_xlfn.XLOOKUP($D3309,Insumos!$B$1:$B$996,Insumos!$D$1:$D$996),"")</f>
        <v/>
      </c>
      <c r="H3309" s="92" t="n">
        <v>0.223</v>
      </c>
      <c r="I3309" s="2165" t="n">
        <v>0</v>
      </c>
      <c r="J3309" s="2165" t="n">
        <v>0</v>
      </c>
      <c r="K3309" s="2165" t="n"/>
    </row>
    <row r="3310" outlineLevel="1" ht="15.75" customHeight="1">
      <c r="A3310" s="1090" t="n">
        <v>1</v>
      </c>
      <c r="B3310" s="1090" t="inlineStr">
        <is>
          <t>Subetapa</t>
        </is>
      </c>
      <c r="C3310" s="1090" t="inlineStr">
        <is>
          <t>Revestimento em Pisos cerâmico, 61x 61cm com Junta de 3mm</t>
        </is>
      </c>
      <c r="D3310" s="1090" t="inlineStr">
        <is>
          <t>ACABAMENTOS PORCELANATO</t>
        </is>
      </c>
      <c r="E3310" s="1091" t="n"/>
      <c r="F3310" s="2160" t="n"/>
      <c r="G3310" s="1091" t="n"/>
      <c r="H3310" s="1091" t="n">
        <v>0</v>
      </c>
      <c r="I3310" s="2160" t="n">
        <v>0</v>
      </c>
      <c r="J3310" s="2160" t="n">
        <v>0</v>
      </c>
      <c r="K3310" s="2160" t="n"/>
    </row>
    <row r="3311" outlineLevel="2" ht="15.75" customHeight="1">
      <c r="A3311" s="1067" t="n">
        <v>1</v>
      </c>
      <c r="B3311" s="1067" t="inlineStr">
        <is>
          <t>Serviço</t>
        </is>
      </c>
      <c r="C3311" s="1067" t="inlineStr">
        <is>
          <t xml:space="preserve">Revestimento De Piso, Cimenticio Tecnogran 60X60Cm Linha Lavaggio  </t>
        </is>
      </c>
      <c r="D3311" s="1067" t="inlineStr">
        <is>
          <t xml:space="preserve">Revestimento De Piso, Cimenticio Tecnogran 60X60Cm Linha Lavaggio  </t>
        </is>
      </c>
      <c r="E3311" s="1068" t="inlineStr">
        <is>
          <t>M2</t>
        </is>
      </c>
      <c r="F3311" s="1067" t="n"/>
      <c r="G3311" s="1069">
        <f t="array" ref="G3311">IF(B3311="insumo",_xlfn.XLOOKUP($D3311,Insumos!$B$1:$B$996,Insumos!$D$1:$D$996),"")</f>
        <v/>
      </c>
      <c r="H3311" s="1069" t="n">
        <v>59.0606</v>
      </c>
      <c r="I3311" s="2161" t="n">
        <v>0</v>
      </c>
      <c r="J3311" s="2161" t="n">
        <v>0</v>
      </c>
      <c r="K3311" s="2161" t="n"/>
    </row>
    <row r="3312" outlineLevel="3" ht="13.5" customHeight="1">
      <c r="A3312" s="10" t="n">
        <v>1</v>
      </c>
      <c r="B3312" s="10" t="inlineStr">
        <is>
          <t>Insumo</t>
        </is>
      </c>
      <c r="C3312" s="10" t="inlineStr">
        <is>
          <t xml:space="preserve">Revestimento De Piso, Cimenticio Tecnogran 60X60Cm Linha Lavaggio  </t>
        </is>
      </c>
      <c r="D3312" s="10" t="inlineStr">
        <is>
          <t xml:space="preserve">Piso Cimenticio Tecnogran 60X60Cm Linha Lavaggio  </t>
        </is>
      </c>
      <c r="E3312" s="11">
        <f t="array" ref="E3312">_xlfn.XLOOKUP(D3312,Insumos!B:B,Insumos!C:$C)</f>
        <v/>
      </c>
      <c r="F3312" s="14" t="n">
        <v>1.1</v>
      </c>
      <c r="G3312" s="92">
        <f t="array" ref="G3312">IF(B3312="insumo",_xlfn.XLOOKUP($D3312,Insumos!$B$1:$B$996,Insumos!$D$1:$D$996),"")</f>
        <v/>
      </c>
      <c r="H3312" s="92" t="n">
        <v>49.39</v>
      </c>
      <c r="I3312" s="2162" t="n">
        <v>0</v>
      </c>
      <c r="J3312" s="2162" t="n">
        <v>0</v>
      </c>
      <c r="K3312" s="2162" t="n"/>
    </row>
    <row r="3313" outlineLevel="3" ht="15.75" customHeight="1">
      <c r="A3313" s="10" t="n">
        <v>191</v>
      </c>
      <c r="B3313" s="10" t="inlineStr">
        <is>
          <t>Insumo</t>
        </is>
      </c>
      <c r="C3313" s="10" t="inlineStr">
        <is>
          <t xml:space="preserve">Revestimento De Piso, Cimenticio Tecnogran 60X60Cm Linha Lavaggio  </t>
        </is>
      </c>
      <c r="D3313" s="10" t="inlineStr">
        <is>
          <t>Argamassa ACIII</t>
        </is>
      </c>
      <c r="E3313" s="11">
        <f t="array" ref="E3313">_xlfn.XLOOKUP(D3313,Insumos!B:B,Insumos!C:$C)</f>
        <v/>
      </c>
      <c r="F3313" s="14" t="n">
        <v>8.800000000000001</v>
      </c>
      <c r="G3313" s="92">
        <f t="array" ref="G3313">IF(B3313="insumo",_xlfn.XLOOKUP($D3313,Insumos!$B$1:$B$996,Insumos!$D$1:$D$996),"")</f>
        <v/>
      </c>
      <c r="H3313" s="92" t="n">
        <v>9.367599999999999</v>
      </c>
      <c r="I3313" s="2162" t="n">
        <v>0</v>
      </c>
      <c r="J3313" s="2162" t="n">
        <v>0</v>
      </c>
      <c r="K3313" s="2162" t="n"/>
    </row>
    <row r="3314" outlineLevel="3" ht="15.75" customHeight="1">
      <c r="A3314" s="10" t="n">
        <v>142</v>
      </c>
      <c r="B3314" s="10" t="inlineStr">
        <is>
          <t>Insumo</t>
        </is>
      </c>
      <c r="C3314" s="10" t="inlineStr">
        <is>
          <t xml:space="preserve">Revestimento De Piso, Cimenticio Tecnogran 60X60Cm Linha Lavaggio  </t>
        </is>
      </c>
      <c r="D3314" s="10" t="inlineStr">
        <is>
          <t>Espeçador junta piso 2mm</t>
        </is>
      </c>
      <c r="E3314" s="11">
        <f t="array" ref="E3314">_xlfn.XLOOKUP(D3314,Insumos!B:B,Insumos!C:$C)</f>
        <v/>
      </c>
      <c r="F3314" s="14" t="n">
        <v>1</v>
      </c>
      <c r="G3314" s="92">
        <f t="array" ref="G3314">IF(B3314="insumo",_xlfn.XLOOKUP($D3314,Insumos!$B$1:$B$996,Insumos!$D$1:$D$996),"")</f>
        <v/>
      </c>
      <c r="H3314" s="92" t="n">
        <v>0.08</v>
      </c>
      <c r="I3314" s="2162" t="n">
        <v>0</v>
      </c>
      <c r="J3314" s="2162" t="n">
        <v>0</v>
      </c>
      <c r="K3314" s="2162" t="n"/>
    </row>
    <row r="3315" outlineLevel="3" ht="15.75" customHeight="1">
      <c r="A3315" s="10" t="n">
        <v>101</v>
      </c>
      <c r="B3315" s="10" t="inlineStr">
        <is>
          <t>Insumo</t>
        </is>
      </c>
      <c r="C3315" s="10" t="inlineStr">
        <is>
          <t xml:space="preserve">Revestimento De Piso, Cimenticio Tecnogran 60X60Cm Linha Lavaggio  </t>
        </is>
      </c>
      <c r="D3315" s="10" t="inlineStr">
        <is>
          <t>Rejunte Cimentício</t>
        </is>
      </c>
      <c r="E3315" s="11">
        <f t="array" ref="E3315">_xlfn.XLOOKUP(D3315,Insumos!B:B,Insumos!C:$C)</f>
        <v/>
      </c>
      <c r="F3315" s="14" t="n">
        <v>0.02</v>
      </c>
      <c r="G3315" s="92">
        <f t="array" ref="G3315">IF(B3315="insumo",_xlfn.XLOOKUP($D3315,Insumos!$B$1:$B$996,Insumos!$D$1:$D$996),"")</f>
        <v/>
      </c>
      <c r="H3315" s="92" t="n">
        <v>0.223</v>
      </c>
      <c r="I3315" s="2162" t="n">
        <v>0</v>
      </c>
      <c r="J3315" s="2162" t="n">
        <v>0</v>
      </c>
      <c r="K3315" s="2162" t="n"/>
    </row>
    <row r="3316" outlineLevel="2" ht="15.75" customHeight="1">
      <c r="A3316" s="1067" t="n">
        <v>1</v>
      </c>
      <c r="B3316" s="1067" t="inlineStr">
        <is>
          <t>Serviço</t>
        </is>
      </c>
      <c r="C3316" s="1067" t="inlineStr">
        <is>
          <t>Revestimento em Porcelanato amadeirado 19x117cm para Piso, rejunte cimentício, aplicação em áreas comuns internas</t>
        </is>
      </c>
      <c r="D3316" s="1067" t="inlineStr">
        <is>
          <t>Revestimento em Porcelanato amadeirado 19x117cm para Piso, rejunte cimentício, aplicação em áreas comuns internas</t>
        </is>
      </c>
      <c r="E3316" s="1068" t="inlineStr">
        <is>
          <t>M2</t>
        </is>
      </c>
      <c r="F3316" s="1067" t="n"/>
      <c r="G3316" s="1069">
        <f t="array" ref="G3316">IF(B3316="insumo",_xlfn.XLOOKUP($D3316,Insumos!$B$1:$B$996,Insumos!$D$1:$D$996),"")</f>
        <v/>
      </c>
      <c r="H3316" s="1069" t="n">
        <v>130.4066</v>
      </c>
      <c r="I3316" s="2161" t="n">
        <v>0</v>
      </c>
      <c r="J3316" s="2161" t="n">
        <v>0</v>
      </c>
      <c r="K3316" s="2161" t="n"/>
    </row>
    <row r="3317" outlineLevel="3" ht="15.75" customHeight="1">
      <c r="A3317" s="10" t="n">
        <v>2</v>
      </c>
      <c r="B3317" s="10" t="inlineStr">
        <is>
          <t>Insumo</t>
        </is>
      </c>
      <c r="C3317" s="10" t="inlineStr">
        <is>
          <t>Revestimento em Porcelanato amadeirado 19x117cm para Piso, rejunte cimentício, aplicação em áreas comuns internas</t>
        </is>
      </c>
      <c r="D3317" s="10" t="inlineStr">
        <is>
          <t>Porcelanato Amadeirado Acetinado 19x117cm</t>
        </is>
      </c>
      <c r="E3317" s="11">
        <f t="array" ref="E3317">_xlfn.XLOOKUP(D3317,Insumos!B:B,Insumos!C:$C)</f>
        <v/>
      </c>
      <c r="F3317" s="14" t="n">
        <v>1.1</v>
      </c>
      <c r="G3317" s="92">
        <f t="array" ref="G3317">IF(B3317="insumo",_xlfn.XLOOKUP($D3317,Insumos!$B$1:$B$996,Insumos!$D$1:$D$996),"")</f>
        <v/>
      </c>
      <c r="H3317" s="92" t="n">
        <v>120.879</v>
      </c>
      <c r="I3317" s="2162" t="n">
        <v>0</v>
      </c>
      <c r="J3317" s="2162" t="n">
        <v>0</v>
      </c>
      <c r="K3317" s="2162" t="n"/>
    </row>
    <row r="3318" outlineLevel="3" ht="15.75" customHeight="1">
      <c r="A3318" s="10" t="n">
        <v>191</v>
      </c>
      <c r="B3318" s="10" t="inlineStr">
        <is>
          <t>Insumo</t>
        </is>
      </c>
      <c r="C3318" s="10" t="inlineStr">
        <is>
          <t>Revestimento em Porcelanato amadeirado 19x117cm para Piso, rejunte cimentício, aplicação em áreas comuns internas</t>
        </is>
      </c>
      <c r="D3318" s="10" t="inlineStr">
        <is>
          <t>Argamassa ACIII</t>
        </is>
      </c>
      <c r="E3318" s="11">
        <f t="array" ref="E3318">_xlfn.XLOOKUP(D3318,Insumos!B:B,Insumos!C:$C)</f>
        <v/>
      </c>
      <c r="F3318" s="14" t="n">
        <v>8.800000000000001</v>
      </c>
      <c r="G3318" s="92">
        <f t="array" ref="G3318">IF(B3318="insumo",_xlfn.XLOOKUP($D3318,Insumos!$B$1:$B$996,Insumos!$D$1:$D$996),"")</f>
        <v/>
      </c>
      <c r="H3318" s="92" t="n">
        <v>9.367599999999999</v>
      </c>
      <c r="I3318" s="2162" t="n">
        <v>0</v>
      </c>
      <c r="J3318" s="2162" t="n">
        <v>0</v>
      </c>
      <c r="K3318" s="2162" t="n"/>
    </row>
    <row r="3319" outlineLevel="3" ht="15.75" customHeight="1">
      <c r="A3319" s="10" t="n">
        <v>142</v>
      </c>
      <c r="B3319" s="10" t="inlineStr">
        <is>
          <t>Insumo</t>
        </is>
      </c>
      <c r="C3319" s="10" t="inlineStr">
        <is>
          <t>Revestimento em Porcelanato amadeirado 19x117cm para Piso, rejunte cimentício, aplicação em áreas comuns internas</t>
        </is>
      </c>
      <c r="D3319" s="10" t="inlineStr">
        <is>
          <t>Espeçador junta piso 2mm</t>
        </is>
      </c>
      <c r="E3319" s="11">
        <f t="array" ref="E3319">_xlfn.XLOOKUP(D3319,Insumos!B:B,Insumos!C:$C)</f>
        <v/>
      </c>
      <c r="F3319" s="14" t="n">
        <v>2</v>
      </c>
      <c r="G3319" s="92">
        <f t="array" ref="G3319">IF(B3319="insumo",_xlfn.XLOOKUP($D3319,Insumos!$B$1:$B$996,Insumos!$D$1:$D$996),"")</f>
        <v/>
      </c>
      <c r="H3319" s="92" t="n">
        <v>0.16</v>
      </c>
      <c r="I3319" s="2162" t="n">
        <v>0</v>
      </c>
      <c r="J3319" s="2162" t="n">
        <v>0</v>
      </c>
      <c r="K3319" s="2162" t="n"/>
    </row>
    <row r="3320" outlineLevel="2" ht="15.75" customHeight="1">
      <c r="A3320" s="1067" t="n">
        <v>1</v>
      </c>
      <c r="B3320" s="1067" t="inlineStr">
        <is>
          <t>Serviço</t>
        </is>
      </c>
      <c r="C3320" s="1067" t="inlineStr">
        <is>
          <t xml:space="preserve">Revestimento de Piso, Porcelanato Botanique Melisse Mate Portobello 29X30Cm    </t>
        </is>
      </c>
      <c r="D3320" s="1067" t="inlineStr">
        <is>
          <t xml:space="preserve">Revestimento de Piso, Porcelanato Botanique Melisse Mate Portobello 29X30Cm    </t>
        </is>
      </c>
      <c r="E3320" s="1068" t="inlineStr">
        <is>
          <t>M2</t>
        </is>
      </c>
      <c r="F3320" s="1067" t="n"/>
      <c r="G3320" s="1069">
        <f t="array" ref="G3320">IF(B3320="insumo",_xlfn.XLOOKUP($D3320,Insumos!$B$1:$B$996,Insumos!$D$1:$D$996),"")</f>
        <v/>
      </c>
      <c r="H3320" s="1069" t="n">
        <v>100.373</v>
      </c>
      <c r="I3320" s="2161" t="n">
        <v>0</v>
      </c>
      <c r="J3320" s="2161" t="n">
        <v>0</v>
      </c>
      <c r="K3320" s="2161" t="n"/>
    </row>
    <row r="3321" outlineLevel="3" ht="15.75" customHeight="1">
      <c r="A3321" s="10" t="n">
        <v>1</v>
      </c>
      <c r="B3321" s="10" t="inlineStr">
        <is>
          <t>Insumo</t>
        </is>
      </c>
      <c r="C3321" s="10" t="inlineStr">
        <is>
          <t xml:space="preserve">Revestimento de Piso, Porcelanato Botanique Melisse Mate Portobello 29X30Cm    </t>
        </is>
      </c>
      <c r="D3321" s="10" t="inlineStr">
        <is>
          <t xml:space="preserve">Porcelanato Botanique Melisse Mate Portobello 29X30Cm    </t>
        </is>
      </c>
      <c r="E3321" s="11">
        <f t="array" ref="E3321">_xlfn.XLOOKUP(D3321,Insumos!B:B,Insumos!C:$C)</f>
        <v/>
      </c>
      <c r="F3321" s="14" t="n">
        <v>1.1</v>
      </c>
      <c r="G3321" s="92">
        <f t="array" ref="G3321">IF(B3321="insumo",_xlfn.XLOOKUP($D3321,Insumos!$B$1:$B$996,Insumos!$D$1:$D$996),"")</f>
        <v/>
      </c>
      <c r="H3321" s="92" t="n">
        <v>91.73999999999999</v>
      </c>
      <c r="I3321" s="2162" t="n">
        <v>0</v>
      </c>
      <c r="J3321" s="2162" t="n">
        <v>0</v>
      </c>
      <c r="K3321" s="2162" t="n"/>
    </row>
    <row r="3322" outlineLevel="3" ht="15.75" customHeight="1">
      <c r="A3322" s="10" t="n">
        <v>16</v>
      </c>
      <c r="B3322" s="10" t="inlineStr">
        <is>
          <t>Insumo</t>
        </is>
      </c>
      <c r="C3322" s="10" t="inlineStr">
        <is>
          <t xml:space="preserve">Revestimento de Piso, Porcelanato Botanique Melisse Mate Portobello 29X30Cm    </t>
        </is>
      </c>
      <c r="D3322" s="10" t="inlineStr">
        <is>
          <t>Argamassa ACII</t>
        </is>
      </c>
      <c r="E3322" s="11">
        <f t="array" ref="E3322">_xlfn.XLOOKUP(D3322,Insumos!B:B,Insumos!C:$C)</f>
        <v/>
      </c>
      <c r="F3322" s="14" t="n">
        <v>8.800000000000001</v>
      </c>
      <c r="G3322" s="92">
        <f t="array" ref="G3322">IF(B3322="insumo",_xlfn.XLOOKUP($D3322,Insumos!$B$1:$B$996,Insumos!$D$1:$D$996),"")</f>
        <v/>
      </c>
      <c r="H3322" s="92" t="n">
        <v>8.359999999999999</v>
      </c>
      <c r="I3322" s="2162" t="n">
        <v>0</v>
      </c>
      <c r="J3322" s="2162" t="n">
        <v>0</v>
      </c>
      <c r="K3322" s="2162" t="n"/>
    </row>
    <row r="3323" outlineLevel="3" ht="15.75" customHeight="1">
      <c r="A3323" s="10" t="n">
        <v>17</v>
      </c>
      <c r="B3323" s="10" t="inlineStr">
        <is>
          <t>Insumo</t>
        </is>
      </c>
      <c r="C3323" s="10" t="inlineStr">
        <is>
          <t xml:space="preserve">Revestimento de Piso, Porcelanato Botanique Melisse Mate Portobello 29X30Cm    </t>
        </is>
      </c>
      <c r="D3323" s="10" t="inlineStr">
        <is>
          <t>Espeçador junta piso 3mm</t>
        </is>
      </c>
      <c r="E3323" s="11">
        <f t="array" ref="E3323">_xlfn.XLOOKUP(D3323,Insumos!B:B,Insumos!C:$C)</f>
        <v/>
      </c>
      <c r="F3323" s="14" t="n">
        <v>1</v>
      </c>
      <c r="G3323" s="92">
        <f t="array" ref="G3323">IF(B3323="insumo",_xlfn.XLOOKUP($D3323,Insumos!$B$1:$B$996,Insumos!$D$1:$D$996),"")</f>
        <v/>
      </c>
      <c r="H3323" s="92" t="n">
        <v>0.05</v>
      </c>
      <c r="I3323" s="2162" t="n">
        <v>0</v>
      </c>
      <c r="J3323" s="2162" t="n">
        <v>0</v>
      </c>
      <c r="K3323" s="2162" t="n"/>
    </row>
    <row r="3324" outlineLevel="3" ht="15.75" customHeight="1">
      <c r="A3324" s="10" t="n">
        <v>101</v>
      </c>
      <c r="B3324" s="10" t="inlineStr">
        <is>
          <t>Insumo</t>
        </is>
      </c>
      <c r="C3324" s="10" t="inlineStr">
        <is>
          <t xml:space="preserve">Revestimento de Piso, Porcelanato Botanique Melisse Mate Portobello 29X30Cm    </t>
        </is>
      </c>
      <c r="D3324" s="10" t="inlineStr">
        <is>
          <t>Rejunte Cimentício</t>
        </is>
      </c>
      <c r="E3324" s="11">
        <f t="array" ref="E3324">_xlfn.XLOOKUP(D3324,Insumos!B:B,Insumos!C:$C)</f>
        <v/>
      </c>
      <c r="F3324" s="14" t="n">
        <v>0.02</v>
      </c>
      <c r="G3324" s="92">
        <f t="array" ref="G3324">IF(B3324="insumo",_xlfn.XLOOKUP($D3324,Insumos!$B$1:$B$996,Insumos!$D$1:$D$996),"")</f>
        <v/>
      </c>
      <c r="H3324" s="92" t="n">
        <v>0.223</v>
      </c>
      <c r="I3324" s="2162" t="n">
        <v>0</v>
      </c>
      <c r="J3324" s="2162" t="n">
        <v>0</v>
      </c>
      <c r="K3324" s="2162" t="n"/>
    </row>
    <row r="3325" outlineLevel="2" ht="15.75" customHeight="1">
      <c r="A3325" s="1067" t="n">
        <v>1</v>
      </c>
      <c r="B3325" s="1067" t="inlineStr">
        <is>
          <t>Serviço</t>
        </is>
      </c>
      <c r="C3325" s="1067" t="inlineStr">
        <is>
          <t>Revestimento de Piso, Porcelanato Portobello –  90x90 - Padrão Econômico</t>
        </is>
      </c>
      <c r="D3325" s="1067" t="inlineStr">
        <is>
          <t>Revestimento de Piso, Porcelanato Portobello –  90x90 - Padrão Econômico</t>
        </is>
      </c>
      <c r="E3325" s="1068" t="inlineStr">
        <is>
          <t>M2</t>
        </is>
      </c>
      <c r="F3325" s="1067" t="n"/>
      <c r="G3325" s="1069">
        <f t="array" ref="G3325">IF(B3325="insumo",_xlfn.XLOOKUP($D3325,Insumos!$B$1:$B$996,Insumos!$D$1:$D$996),"")</f>
        <v/>
      </c>
      <c r="H3325" s="1069" t="n">
        <v>117.6276</v>
      </c>
      <c r="I3325" s="2161" t="e">
        <v>#REF!</v>
      </c>
      <c r="J3325" s="2161" t="e">
        <v>#REF!</v>
      </c>
      <c r="K3325" s="2161" t="n"/>
    </row>
    <row r="3326" outlineLevel="3" ht="15.75" customHeight="1">
      <c r="A3326" s="10" t="n">
        <v>2</v>
      </c>
      <c r="B3326" s="10" t="inlineStr">
        <is>
          <t>Insumo</t>
        </is>
      </c>
      <c r="C3326" s="10" t="inlineStr">
        <is>
          <t>Revestimento de Piso, Porcelanato Portobello –  90x90 - Padrão Econômico</t>
        </is>
      </c>
      <c r="D3326" s="10" t="inlineStr">
        <is>
          <t>Porcelanato Portobello –  90x90 - Padrão Econômico</t>
        </is>
      </c>
      <c r="E3326" s="11">
        <f t="array" ref="E3326">_xlfn.XLOOKUP(D3326,Insumos!B:B,Insumos!C:$C)</f>
        <v/>
      </c>
      <c r="F3326" s="14" t="n">
        <v>1.1</v>
      </c>
      <c r="G3326" s="92">
        <f t="array" ref="G3326">IF(B3326="insumo",_xlfn.XLOOKUP($D3326,Insumos!$B$1:$B$996,Insumos!$D$1:$D$996),"")</f>
        <v/>
      </c>
      <c r="H3326" s="92" t="n">
        <v>107.8</v>
      </c>
      <c r="I3326" s="2162" t="e">
        <v>#REF!</v>
      </c>
      <c r="J3326" s="2162" t="e">
        <v>#REF!</v>
      </c>
      <c r="K3326" s="2162" t="n"/>
    </row>
    <row r="3327" outlineLevel="3" ht="15.75" customHeight="1">
      <c r="A3327" s="10" t="n">
        <v>191</v>
      </c>
      <c r="B3327" s="10" t="inlineStr">
        <is>
          <t>Insumo</t>
        </is>
      </c>
      <c r="C3327" s="10" t="inlineStr">
        <is>
          <t>Revestimento de Piso, Porcelanato Portobello –  90x90 - Padrão Econômico</t>
        </is>
      </c>
      <c r="D3327" s="10" t="inlineStr">
        <is>
          <t>Argamassa ACIII</t>
        </is>
      </c>
      <c r="E3327" s="11">
        <f t="array" ref="E3327">_xlfn.XLOOKUP(D3327,Insumos!B:B,Insumos!C:$C)</f>
        <v/>
      </c>
      <c r="F3327" s="14" t="n">
        <v>8.800000000000001</v>
      </c>
      <c r="G3327" s="92">
        <f t="array" ref="G3327">IF(B3327="insumo",_xlfn.XLOOKUP($D3327,Insumos!$B$1:$B$996,Insumos!$D$1:$D$996),"")</f>
        <v/>
      </c>
      <c r="H3327" s="92" t="n">
        <v>9.367599999999999</v>
      </c>
      <c r="I3327" s="2162" t="e">
        <v>#REF!</v>
      </c>
      <c r="J3327" s="2162" t="e">
        <v>#REF!</v>
      </c>
      <c r="K3327" s="2162" t="n"/>
    </row>
    <row r="3328" outlineLevel="3" ht="15.75" customHeight="1">
      <c r="A3328" s="10" t="n">
        <v>142</v>
      </c>
      <c r="B3328" s="10" t="inlineStr">
        <is>
          <t>Insumo</t>
        </is>
      </c>
      <c r="C3328" s="10" t="inlineStr">
        <is>
          <t>Revestimento de Piso, Porcelanato Portobello –  90x90 - Padrão Econômico</t>
        </is>
      </c>
      <c r="D3328" s="10" t="inlineStr">
        <is>
          <t>Espeçador junta piso 2mm</t>
        </is>
      </c>
      <c r="E3328" s="11">
        <f t="array" ref="E3328">_xlfn.XLOOKUP(D3328,Insumos!B:B,Insumos!C:$C)</f>
        <v/>
      </c>
      <c r="F3328" s="14" t="n">
        <v>1</v>
      </c>
      <c r="G3328" s="92">
        <f t="array" ref="G3328">IF(B3328="insumo",_xlfn.XLOOKUP($D3328,Insumos!$B$1:$B$996,Insumos!$D$1:$D$996),"")</f>
        <v/>
      </c>
      <c r="H3328" s="92" t="n">
        <v>0.08</v>
      </c>
      <c r="I3328" s="2162" t="e">
        <v>#REF!</v>
      </c>
      <c r="J3328" s="2162" t="e">
        <v>#REF!</v>
      </c>
      <c r="K3328" s="2162" t="n"/>
    </row>
    <row r="3329" outlineLevel="3" ht="15.75" customHeight="1">
      <c r="A3329" s="10" t="n">
        <v>36</v>
      </c>
      <c r="B3329" s="10" t="inlineStr">
        <is>
          <t>Insumo</t>
        </is>
      </c>
      <c r="C3329" s="82" t="inlineStr">
        <is>
          <t>Revestimento de Piso, Porcelanato Portobello –  90x90 - Padrão Econômico</t>
        </is>
      </c>
      <c r="D3329" s="82" t="inlineStr">
        <is>
          <t>Rejunte Acrilico cinza platina</t>
        </is>
      </c>
      <c r="E3329" s="11">
        <f t="array" ref="E3329">_xlfn.XLOOKUP(D3329,Insumos!B:B,Insumos!C:$C)</f>
        <v/>
      </c>
      <c r="F3329" s="14" t="n">
        <v>0.01</v>
      </c>
      <c r="G3329" s="92">
        <f t="array" ref="G3329">IF(B3329="insumo",_xlfn.XLOOKUP($D3329,Insumos!$B$1:$B$996,Insumos!$D$1:$D$996),"")</f>
        <v/>
      </c>
      <c r="H3329" s="92" t="n">
        <v>0.38</v>
      </c>
      <c r="I3329" s="2162" t="e">
        <v>#REF!</v>
      </c>
      <c r="J3329" s="2162" t="e">
        <v>#REF!</v>
      </c>
      <c r="K3329" s="2162" t="n"/>
    </row>
    <row r="3330" outlineLevel="2" ht="15.75" customHeight="1">
      <c r="A3330" s="1067" t="n">
        <v>1</v>
      </c>
      <c r="B3330" s="1067" t="inlineStr">
        <is>
          <t>Serviço</t>
        </is>
      </c>
      <c r="C3330" s="1067" t="inlineStr">
        <is>
          <t>Revestimento de Piso, Porcelanato Portobello – Posto 10 90x90 Externo Retificado - Linha Ipanema - Padrão Alto</t>
        </is>
      </c>
      <c r="D3330" s="1067" t="inlineStr">
        <is>
          <t>Revestimento de Piso, Porcelanato Portobello – Posto 10 90x90 Externo Retificado - Linha Ipanema - Padrão Alto</t>
        </is>
      </c>
      <c r="E3330" s="1068" t="inlineStr">
        <is>
          <t>M2</t>
        </is>
      </c>
      <c r="F3330" s="1067" t="n"/>
      <c r="G3330" s="1069">
        <f t="array" ref="G3330">IF(B3330="insumo",_xlfn.XLOOKUP($D3330,Insumos!$B$1:$B$996,Insumos!$D$1:$D$996),"")</f>
        <v/>
      </c>
      <c r="H3330" s="1069" t="n">
        <v>229.8276</v>
      </c>
      <c r="I3330" s="2161" t="e">
        <v>#REF!</v>
      </c>
      <c r="J3330" s="2161" t="e">
        <v>#REF!</v>
      </c>
      <c r="K3330" s="2161" t="n"/>
    </row>
    <row r="3331" outlineLevel="3" ht="15.75" customHeight="1">
      <c r="A3331" s="10" t="n">
        <v>2</v>
      </c>
      <c r="B3331" s="10" t="inlineStr">
        <is>
          <t>Insumo</t>
        </is>
      </c>
      <c r="C3331" s="10" t="inlineStr">
        <is>
          <t>Revestimento de Piso, Porcelanato Portobello – Posto 10 90x90 Externo Retificado - Linha Ipanema - Padrão Alto</t>
        </is>
      </c>
      <c r="D3331" s="10" t="inlineStr">
        <is>
          <t>Porcelanato Portobello – Posto 10 90x90 Externo Retificado - Linha Ipanema - Padrão Alto</t>
        </is>
      </c>
      <c r="E3331" s="11">
        <f t="array" ref="E3331">_xlfn.XLOOKUP(D3331,Insumos!B:B,Insumos!C:$C)</f>
        <v/>
      </c>
      <c r="F3331" s="14" t="n">
        <v>1.1</v>
      </c>
      <c r="G3331" s="92">
        <f t="array" ref="G3331">IF(B3331="insumo",_xlfn.XLOOKUP($D3331,Insumos!$B$1:$B$996,Insumos!$D$1:$D$996),"")</f>
        <v/>
      </c>
      <c r="H3331" s="92" t="n">
        <v>220</v>
      </c>
      <c r="I3331" s="2162" t="e">
        <v>#REF!</v>
      </c>
      <c r="J3331" s="2162" t="e">
        <v>#REF!</v>
      </c>
      <c r="K3331" s="2162" t="n"/>
    </row>
    <row r="3332" outlineLevel="3" ht="15.75" customHeight="1">
      <c r="A3332" s="10" t="n">
        <v>191</v>
      </c>
      <c r="B3332" s="10" t="inlineStr">
        <is>
          <t>Insumo</t>
        </is>
      </c>
      <c r="C3332" s="10" t="inlineStr">
        <is>
          <t>Revestimento de Piso, Porcelanato Portobello – Posto 10 90x90 Externo Retificado - Linha Ipanema - Padrão Alto</t>
        </is>
      </c>
      <c r="D3332" s="10" t="inlineStr">
        <is>
          <t>Argamassa ACIII</t>
        </is>
      </c>
      <c r="E3332" s="11">
        <f t="array" ref="E3332">_xlfn.XLOOKUP(D3332,Insumos!B:B,Insumos!C:$C)</f>
        <v/>
      </c>
      <c r="F3332" s="14" t="n">
        <v>8.800000000000001</v>
      </c>
      <c r="G3332" s="92">
        <f t="array" ref="G3332">IF(B3332="insumo",_xlfn.XLOOKUP($D3332,Insumos!$B$1:$B$996,Insumos!$D$1:$D$996),"")</f>
        <v/>
      </c>
      <c r="H3332" s="92" t="n">
        <v>9.367599999999999</v>
      </c>
      <c r="I3332" s="2162" t="e">
        <v>#REF!</v>
      </c>
      <c r="J3332" s="2162" t="e">
        <v>#REF!</v>
      </c>
      <c r="K3332" s="2162" t="n"/>
    </row>
    <row r="3333" outlineLevel="3" ht="15.75" customHeight="1">
      <c r="A3333" s="10" t="n">
        <v>142</v>
      </c>
      <c r="B3333" s="10" t="inlineStr">
        <is>
          <t>Insumo</t>
        </is>
      </c>
      <c r="C3333" s="10" t="inlineStr">
        <is>
          <t>Revestimento de Piso, Porcelanato Portobello – Posto 10 90x90 Externo Retificado - Linha Ipanema - Padrão Alto</t>
        </is>
      </c>
      <c r="D3333" s="10" t="inlineStr">
        <is>
          <t>Espeçador junta piso 2mm</t>
        </is>
      </c>
      <c r="E3333" s="11">
        <f t="array" ref="E3333">_xlfn.XLOOKUP(D3333,Insumos!B:B,Insumos!C:$C)</f>
        <v/>
      </c>
      <c r="F3333" s="14" t="n">
        <v>1</v>
      </c>
      <c r="G3333" s="92">
        <f t="array" ref="G3333">IF(B3333="insumo",_xlfn.XLOOKUP($D3333,Insumos!$B$1:$B$996,Insumos!$D$1:$D$996),"")</f>
        <v/>
      </c>
      <c r="H3333" s="92" t="n">
        <v>0.08</v>
      </c>
      <c r="I3333" s="2162" t="e">
        <v>#REF!</v>
      </c>
      <c r="J3333" s="2162" t="e">
        <v>#REF!</v>
      </c>
      <c r="K3333" s="2162" t="n"/>
    </row>
    <row r="3334" outlineLevel="3" ht="15.75" customHeight="1">
      <c r="A3334" s="10" t="n">
        <v>36</v>
      </c>
      <c r="B3334" s="10" t="inlineStr">
        <is>
          <t>Insumo</t>
        </is>
      </c>
      <c r="C3334" s="82" t="inlineStr">
        <is>
          <t>Revestimento de Piso, Porcelanato Portobello – Posto 10 90x90 Externo Retificado - Linha Ipanema - Padrão Alto</t>
        </is>
      </c>
      <c r="D3334" s="82" t="inlineStr">
        <is>
          <t>Rejunte Acrilico cinza platina</t>
        </is>
      </c>
      <c r="E3334" s="11">
        <f t="array" ref="E3334">_xlfn.XLOOKUP(D3334,Insumos!B:B,Insumos!C:$C)</f>
        <v/>
      </c>
      <c r="F3334" s="14" t="n">
        <v>0.01</v>
      </c>
      <c r="G3334" s="92">
        <f t="array" ref="G3334">IF(B3334="insumo",_xlfn.XLOOKUP($D3334,Insumos!$B$1:$B$996,Insumos!$D$1:$D$996),"")</f>
        <v/>
      </c>
      <c r="H3334" s="92" t="n">
        <v>0.38</v>
      </c>
      <c r="I3334" s="2162" t="e">
        <v>#REF!</v>
      </c>
      <c r="J3334" s="2162" t="e">
        <v>#REF!</v>
      </c>
      <c r="K3334" s="2162" t="n"/>
    </row>
    <row r="3335" outlineLevel="2" ht="15.75" customHeight="1">
      <c r="A3335" s="1067" t="n">
        <v>1</v>
      </c>
      <c r="B3335" s="1067" t="inlineStr">
        <is>
          <t>Serviço</t>
        </is>
      </c>
      <c r="C3335" s="1067" t="inlineStr">
        <is>
          <t>Revestimento de Piso, Porcelanato Portobello –  90x90 - Padrão Alto</t>
        </is>
      </c>
      <c r="D3335" s="1067" t="inlineStr">
        <is>
          <t>Revestimento de Piso, Porcelanato Portobello –  90x90 - Padrão Alto</t>
        </is>
      </c>
      <c r="E3335" s="1068" t="inlineStr">
        <is>
          <t>M2</t>
        </is>
      </c>
      <c r="F3335" s="1067" t="n"/>
      <c r="G3335" s="1069">
        <f t="array" ref="G3335">IF(B3335="insumo",_xlfn.XLOOKUP($D3335,Insumos!$B$1:$B$996,Insumos!$D$1:$D$996),"")</f>
        <v/>
      </c>
      <c r="H3335" s="1069" t="n">
        <v>141.8276</v>
      </c>
      <c r="I3335" s="2161" t="e">
        <v>#REF!</v>
      </c>
      <c r="J3335" s="2161" t="e">
        <v>#REF!</v>
      </c>
      <c r="K3335" s="2161" t="n"/>
    </row>
    <row r="3336" outlineLevel="3" ht="15.75" customHeight="1">
      <c r="A3336" s="10" t="n">
        <v>3</v>
      </c>
      <c r="B3336" s="10" t="inlineStr">
        <is>
          <t>Insumo</t>
        </is>
      </c>
      <c r="C3336" s="10" t="inlineStr">
        <is>
          <t>Revestimento de Piso, Porcelanato Portobello –  90x90 - Padrão Alto</t>
        </is>
      </c>
      <c r="D3336" s="10" t="inlineStr">
        <is>
          <t>Porcelanato Portobello –  90x90 - Padrão Alto</t>
        </is>
      </c>
      <c r="E3336" s="11">
        <f t="array" ref="E3336">_xlfn.XLOOKUP(D3336,Insumos!B:B,Insumos!C:$C)</f>
        <v/>
      </c>
      <c r="F3336" s="14" t="n">
        <v>1.1</v>
      </c>
      <c r="G3336" s="92">
        <f t="array" ref="G3336">IF(B3336="insumo",_xlfn.XLOOKUP($D3336,Insumos!$B$1:$B$996,Insumos!$D$1:$D$996),"")</f>
        <v/>
      </c>
      <c r="H3336" s="92" t="n">
        <v>132</v>
      </c>
      <c r="I3336" s="2162" t="e">
        <v>#REF!</v>
      </c>
      <c r="J3336" s="2162" t="e">
        <v>#REF!</v>
      </c>
      <c r="K3336" s="2162" t="n"/>
    </row>
    <row r="3337" outlineLevel="3" ht="15.75" customHeight="1">
      <c r="A3337" s="10" t="n">
        <v>191</v>
      </c>
      <c r="B3337" s="10" t="inlineStr">
        <is>
          <t>Insumo</t>
        </is>
      </c>
      <c r="C3337" s="10" t="inlineStr">
        <is>
          <t>Revestimento de Piso, Porcelanato Portobello –  90x90 - Padrão Alto</t>
        </is>
      </c>
      <c r="D3337" s="10" t="inlineStr">
        <is>
          <t>Argamassa ACIII</t>
        </is>
      </c>
      <c r="E3337" s="11">
        <f t="array" ref="E3337">_xlfn.XLOOKUP(D3337,Insumos!B:B,Insumos!C:$C)</f>
        <v/>
      </c>
      <c r="F3337" s="14" t="n">
        <v>8.800000000000001</v>
      </c>
      <c r="G3337" s="92">
        <f t="array" ref="G3337">IF(B3337="insumo",_xlfn.XLOOKUP($D3337,Insumos!$B$1:$B$996,Insumos!$D$1:$D$996),"")</f>
        <v/>
      </c>
      <c r="H3337" s="92" t="n">
        <v>9.367599999999999</v>
      </c>
      <c r="I3337" s="2162" t="e">
        <v>#REF!</v>
      </c>
      <c r="J3337" s="2162" t="e">
        <v>#REF!</v>
      </c>
      <c r="K3337" s="2162" t="n"/>
    </row>
    <row r="3338" outlineLevel="3" ht="15.75" customHeight="1">
      <c r="A3338" s="10" t="n">
        <v>142</v>
      </c>
      <c r="B3338" s="10" t="inlineStr">
        <is>
          <t>Insumo</t>
        </is>
      </c>
      <c r="C3338" s="10" t="inlineStr">
        <is>
          <t>Revestimento de Piso, Porcelanato Portobello –  90x90 - Padrão Alto</t>
        </is>
      </c>
      <c r="D3338" s="10" t="inlineStr">
        <is>
          <t>Espeçador junta piso 2mm</t>
        </is>
      </c>
      <c r="E3338" s="11">
        <f t="array" ref="E3338">_xlfn.XLOOKUP(D3338,Insumos!B:B,Insumos!C:$C)</f>
        <v/>
      </c>
      <c r="F3338" s="14" t="n">
        <v>1</v>
      </c>
      <c r="G3338" s="92">
        <f t="array" ref="G3338">IF(B3338="insumo",_xlfn.XLOOKUP($D3338,Insumos!$B$1:$B$996,Insumos!$D$1:$D$996),"")</f>
        <v/>
      </c>
      <c r="H3338" s="92" t="n">
        <v>0.08</v>
      </c>
      <c r="I3338" s="2162" t="e">
        <v>#REF!</v>
      </c>
      <c r="J3338" s="2162" t="e">
        <v>#REF!</v>
      </c>
      <c r="K3338" s="2162" t="n"/>
    </row>
    <row r="3339" outlineLevel="3" ht="15.75" customHeight="1">
      <c r="A3339" s="10" t="n">
        <v>36</v>
      </c>
      <c r="B3339" s="10" t="inlineStr">
        <is>
          <t>Insumo</t>
        </is>
      </c>
      <c r="C3339" s="82" t="inlineStr">
        <is>
          <t>Revestimento de Piso, Porcelanato Portobello –  90x90 - Padrão Alto</t>
        </is>
      </c>
      <c r="D3339" s="82" t="inlineStr">
        <is>
          <t>Rejunte Acrilico cinza platina</t>
        </is>
      </c>
      <c r="E3339" s="11">
        <f t="array" ref="E3339">_xlfn.XLOOKUP(D3339,Insumos!B:B,Insumos!C:$C)</f>
        <v/>
      </c>
      <c r="F3339" s="14" t="n">
        <v>0.01</v>
      </c>
      <c r="G3339" s="92">
        <f t="array" ref="G3339">IF(B3339="insumo",_xlfn.XLOOKUP($D3339,Insumos!$B$1:$B$996,Insumos!$D$1:$D$996),"")</f>
        <v/>
      </c>
      <c r="H3339" s="92" t="n">
        <v>0.38</v>
      </c>
      <c r="I3339" s="2162" t="e">
        <v>#REF!</v>
      </c>
      <c r="J3339" s="2162" t="e">
        <v>#REF!</v>
      </c>
      <c r="K3339" s="2162" t="n"/>
    </row>
    <row r="3340" outlineLevel="2" ht="15.75" customHeight="1">
      <c r="A3340" s="1067" t="n">
        <v>1</v>
      </c>
      <c r="B3340" s="1067" t="inlineStr">
        <is>
          <t>Serviço</t>
        </is>
      </c>
      <c r="C3340" s="1067" t="inlineStr">
        <is>
          <t>Revestimento de Piso Externo de Porcelanato Polido, Placa 60x60cm</t>
        </is>
      </c>
      <c r="D3340" s="1067" t="inlineStr">
        <is>
          <t>Revestimento de Piso Externo de Porcelanato Polido, Placa 60x60cm</t>
        </is>
      </c>
      <c r="E3340" s="1068" t="inlineStr">
        <is>
          <t>M2</t>
        </is>
      </c>
      <c r="F3340" s="1067" t="n"/>
      <c r="G3340" s="1069">
        <f t="array" ref="G3340">IF(B3340="insumo",_xlfn.XLOOKUP($D3340,Insumos!$B$1:$B$996,Insumos!$D$1:$D$996),"")</f>
        <v/>
      </c>
      <c r="H3340" s="1069" t="n">
        <v>108.5606</v>
      </c>
      <c r="I3340" s="2161" t="n">
        <v>0</v>
      </c>
      <c r="J3340" s="2161" t="n">
        <v>0</v>
      </c>
      <c r="K3340" s="2161" t="n"/>
    </row>
    <row r="3341" outlineLevel="3" ht="15.75" customHeight="1">
      <c r="A3341" s="10" t="n">
        <v>2</v>
      </c>
      <c r="B3341" s="10" t="inlineStr">
        <is>
          <t>Insumo</t>
        </is>
      </c>
      <c r="C3341" s="10" t="inlineStr">
        <is>
          <t>Revestimento de Piso Externo de Porcelanato Polido, Placa 60x60cm</t>
        </is>
      </c>
      <c r="D3341" s="10" t="inlineStr">
        <is>
          <t>Porcelanato "A" 60x60 Place Polido 8058873 Eliane</t>
        </is>
      </c>
      <c r="E3341" s="11">
        <f t="array" ref="E3341">_xlfn.XLOOKUP(D3341,Insumos!B:B,Insumos!C:$C)</f>
        <v/>
      </c>
      <c r="F3341" s="14" t="n">
        <v>1.1</v>
      </c>
      <c r="G3341" s="92">
        <f t="array" ref="G3341">IF(B3341="insumo",_xlfn.XLOOKUP($D3341,Insumos!$B$1:$B$996,Insumos!$D$1:$D$996),"")</f>
        <v/>
      </c>
      <c r="H3341" s="92" t="n">
        <v>98.89</v>
      </c>
      <c r="I3341" s="2162" t="n">
        <v>0</v>
      </c>
      <c r="J3341" s="2162" t="n">
        <v>0</v>
      </c>
      <c r="K3341" s="2162" t="n"/>
    </row>
    <row r="3342" outlineLevel="3" ht="15.75" customHeight="1">
      <c r="A3342" s="10" t="n">
        <v>191</v>
      </c>
      <c r="B3342" s="10" t="inlineStr">
        <is>
          <t>Insumo</t>
        </is>
      </c>
      <c r="C3342" s="10" t="inlineStr">
        <is>
          <t>Revestimento de Piso Externo de Porcelanato Polido, Placa 60x60cm</t>
        </is>
      </c>
      <c r="D3342" s="10" t="inlineStr">
        <is>
          <t>Argamassa ACIII</t>
        </is>
      </c>
      <c r="E3342" s="11">
        <f t="array" ref="E3342">_xlfn.XLOOKUP(D3342,Insumos!B:B,Insumos!C:$C)</f>
        <v/>
      </c>
      <c r="F3342" s="14" t="n">
        <v>8.800000000000001</v>
      </c>
      <c r="G3342" s="92">
        <f t="array" ref="G3342">IF(B3342="insumo",_xlfn.XLOOKUP($D3342,Insumos!$B$1:$B$996,Insumos!$D$1:$D$996),"")</f>
        <v/>
      </c>
      <c r="H3342" s="92" t="n">
        <v>9.367599999999999</v>
      </c>
      <c r="I3342" s="2162" t="n">
        <v>0</v>
      </c>
      <c r="J3342" s="2162" t="n">
        <v>0</v>
      </c>
      <c r="K3342" s="2162" t="n"/>
    </row>
    <row r="3343" outlineLevel="3" ht="15.75" customHeight="1">
      <c r="A3343" s="10" t="n">
        <v>142</v>
      </c>
      <c r="B3343" s="10" t="inlineStr">
        <is>
          <t>Insumo</t>
        </is>
      </c>
      <c r="C3343" s="10" t="inlineStr">
        <is>
          <t>Revestimento de Piso Externo de Porcelanato Polido, Placa 60x60cm</t>
        </is>
      </c>
      <c r="D3343" s="10" t="inlineStr">
        <is>
          <t>Espeçador junta piso 2mm</t>
        </is>
      </c>
      <c r="E3343" s="11">
        <f t="array" ref="E3343">_xlfn.XLOOKUP(D3343,Insumos!B:B,Insumos!C:$C)</f>
        <v/>
      </c>
      <c r="F3343" s="14" t="n">
        <v>1</v>
      </c>
      <c r="G3343" s="92">
        <f t="array" ref="G3343">IF(B3343="insumo",_xlfn.XLOOKUP($D3343,Insumos!$B$1:$B$996,Insumos!$D$1:$D$996),"")</f>
        <v/>
      </c>
      <c r="H3343" s="92" t="n">
        <v>0.08</v>
      </c>
      <c r="I3343" s="2162" t="n">
        <v>0</v>
      </c>
      <c r="J3343" s="2162" t="n">
        <v>0</v>
      </c>
      <c r="K3343" s="2162" t="n"/>
    </row>
    <row r="3344" outlineLevel="3" ht="15.75" customHeight="1">
      <c r="A3344" s="10" t="n">
        <v>101</v>
      </c>
      <c r="B3344" s="10" t="inlineStr">
        <is>
          <t>Insumo</t>
        </is>
      </c>
      <c r="C3344" s="10" t="inlineStr">
        <is>
          <t>Revestimento de Piso Externo de Porcelanato Polido, Placa 60x60cm</t>
        </is>
      </c>
      <c r="D3344" s="10" t="inlineStr">
        <is>
          <t>Rejunte Cimentício</t>
        </is>
      </c>
      <c r="E3344" s="11">
        <f t="array" ref="E3344">_xlfn.XLOOKUP(D3344,Insumos!B:B,Insumos!C:$C)</f>
        <v/>
      </c>
      <c r="F3344" s="14" t="n">
        <v>0.02</v>
      </c>
      <c r="G3344" s="92">
        <f t="array" ref="G3344">IF(B3344="insumo",_xlfn.XLOOKUP($D3344,Insumos!$B$1:$B$996,Insumos!$D$1:$D$996),"")</f>
        <v/>
      </c>
      <c r="H3344" s="92" t="n">
        <v>0.223</v>
      </c>
      <c r="I3344" s="2162" t="n">
        <v>0</v>
      </c>
      <c r="J3344" s="2162" t="n">
        <v>0</v>
      </c>
      <c r="K3344" s="2162" t="n"/>
    </row>
    <row r="3345" outlineLevel="2" ht="15.75" customHeight="1">
      <c r="A3345" s="1067" t="n">
        <v>1</v>
      </c>
      <c r="B3345" s="1067" t="inlineStr">
        <is>
          <t>Serviço</t>
        </is>
      </c>
      <c r="C3345" s="1067" t="inlineStr">
        <is>
          <t>Revestimento em Piso,  Porcelanato Pp Pro Nude Gp 60X60Cm Retificado</t>
        </is>
      </c>
      <c r="D3345" s="1067" t="inlineStr">
        <is>
          <t>Revestimento em Piso,  Porcelanato Pp Pro Nude Gp 60X60Cm Retificado</t>
        </is>
      </c>
      <c r="E3345" s="1068" t="inlineStr">
        <is>
          <t>M2</t>
        </is>
      </c>
      <c r="F3345" s="1067" t="n"/>
      <c r="G3345" s="1069">
        <f t="array" ref="G3345">IF(B3345="insumo",_xlfn.XLOOKUP($D3345,Insumos!$B$1:$B$996,Insumos!$D$1:$D$996),"")</f>
        <v/>
      </c>
      <c r="H3345" s="1069" t="n">
        <v>57.8051</v>
      </c>
      <c r="I3345" s="2161" t="n">
        <v>0</v>
      </c>
      <c r="J3345" s="2161" t="n">
        <v>0</v>
      </c>
      <c r="K3345" s="2161" t="n"/>
    </row>
    <row r="3346" outlineLevel="3" ht="15.75" customHeight="1">
      <c r="A3346" s="10" t="n">
        <v>3</v>
      </c>
      <c r="B3346" s="10" t="inlineStr">
        <is>
          <t>Insumo</t>
        </is>
      </c>
      <c r="C3346" s="10" t="inlineStr">
        <is>
          <t>Revestimento em Piso,  Porcelanato Pp Pro Nude Gp 60X60Cm Retificado</t>
        </is>
      </c>
      <c r="D3346" s="10" t="inlineStr">
        <is>
          <t>Porcelanato Pp Pro Nude Gp 60X60Cm Retificado</t>
        </is>
      </c>
      <c r="E3346" s="11">
        <f t="array" ref="E3346">_xlfn.XLOOKUP(D3346,Insumos!B:B,Insumos!C:$C)</f>
        <v/>
      </c>
      <c r="F3346" s="14" t="n">
        <v>1.1</v>
      </c>
      <c r="G3346" s="92">
        <f t="array" ref="G3346">IF(B3346="insumo",_xlfn.XLOOKUP($D3346,Insumos!$B$1:$B$996,Insumos!$D$1:$D$996),"")</f>
        <v/>
      </c>
      <c r="H3346" s="92" t="n">
        <v>48.246</v>
      </c>
      <c r="I3346" s="2162" t="n">
        <v>0</v>
      </c>
      <c r="J3346" s="2162" t="n">
        <v>0</v>
      </c>
      <c r="K3346" s="2162" t="n"/>
    </row>
    <row r="3347" outlineLevel="3" ht="15.75" customHeight="1">
      <c r="A3347" s="10" t="n">
        <v>191</v>
      </c>
      <c r="B3347" s="10" t="inlineStr">
        <is>
          <t>Insumo</t>
        </is>
      </c>
      <c r="C3347" s="10" t="inlineStr">
        <is>
          <t>Revestimento em Piso,  Porcelanato Pp Pro Nude Gp 60X60Cm Retificado</t>
        </is>
      </c>
      <c r="D3347" s="10" t="inlineStr">
        <is>
          <t>Argamassa ACIII</t>
        </is>
      </c>
      <c r="E3347" s="11">
        <f t="array" ref="E3347">_xlfn.XLOOKUP(D3347,Insumos!B:B,Insumos!C:$C)</f>
        <v/>
      </c>
      <c r="F3347" s="14" t="n">
        <v>8.800000000000001</v>
      </c>
      <c r="G3347" s="92">
        <f t="array" ref="G3347">IF(B3347="insumo",_xlfn.XLOOKUP($D3347,Insumos!$B$1:$B$996,Insumos!$D$1:$D$996),"")</f>
        <v/>
      </c>
      <c r="H3347" s="92" t="n">
        <v>9.367599999999999</v>
      </c>
      <c r="I3347" s="2162" t="n">
        <v>0</v>
      </c>
      <c r="J3347" s="2162" t="n">
        <v>0</v>
      </c>
      <c r="K3347" s="2162" t="n"/>
    </row>
    <row r="3348" outlineLevel="3" ht="15.75" customHeight="1">
      <c r="A3348" s="10" t="n">
        <v>142</v>
      </c>
      <c r="B3348" s="10" t="inlineStr">
        <is>
          <t>Insumo</t>
        </is>
      </c>
      <c r="C3348" s="10" t="inlineStr">
        <is>
          <t>Revestimento em Piso,  Porcelanato Pp Pro Nude Gp 60X60Cm Retificado</t>
        </is>
      </c>
      <c r="D3348" s="10" t="inlineStr">
        <is>
          <t>Espeçador junta piso 2mm</t>
        </is>
      </c>
      <c r="E3348" s="11">
        <f t="array" ref="E3348">_xlfn.XLOOKUP(D3348,Insumos!B:B,Insumos!C:$C)</f>
        <v/>
      </c>
      <c r="F3348" s="14" t="n">
        <v>1</v>
      </c>
      <c r="G3348" s="92">
        <f t="array" ref="G3348">IF(B3348="insumo",_xlfn.XLOOKUP($D3348,Insumos!$B$1:$B$996,Insumos!$D$1:$D$996),"")</f>
        <v/>
      </c>
      <c r="H3348" s="92" t="n">
        <v>0.08</v>
      </c>
      <c r="I3348" s="2162" t="n">
        <v>0</v>
      </c>
      <c r="J3348" s="2162" t="n">
        <v>0</v>
      </c>
      <c r="K3348" s="2162" t="n"/>
    </row>
    <row r="3349" outlineLevel="3" ht="15.75" customHeight="1">
      <c r="A3349" s="10" t="n">
        <v>101</v>
      </c>
      <c r="B3349" s="10" t="inlineStr">
        <is>
          <t>Insumo</t>
        </is>
      </c>
      <c r="C3349" s="10" t="inlineStr">
        <is>
          <t>Revestimento em Piso,  Porcelanato Pp Pro Nude Gp 60X60Cm Retificado</t>
        </is>
      </c>
      <c r="D3349" s="10" t="inlineStr">
        <is>
          <t>Rejunte Cimentício</t>
        </is>
      </c>
      <c r="E3349" s="11">
        <f t="array" ref="E3349">_xlfn.XLOOKUP(D3349,Insumos!B:B,Insumos!C:$C)</f>
        <v/>
      </c>
      <c r="F3349" s="14" t="n">
        <v>0.01</v>
      </c>
      <c r="G3349" s="92">
        <f t="array" ref="G3349">IF(B3349="insumo",_xlfn.XLOOKUP($D3349,Insumos!$B$1:$B$996,Insumos!$D$1:$D$996),"")</f>
        <v/>
      </c>
      <c r="H3349" s="92" t="n">
        <v>0.1115</v>
      </c>
      <c r="I3349" s="2162" t="n">
        <v>0</v>
      </c>
      <c r="J3349" s="2162" t="n">
        <v>0</v>
      </c>
      <c r="K3349" s="2162" t="n"/>
    </row>
    <row r="3350" outlineLevel="2" ht="15.75" customHeight="1">
      <c r="A3350" s="1067" t="n">
        <v>1</v>
      </c>
      <c r="B3350" s="1067" t="inlineStr">
        <is>
          <t>Serviço</t>
        </is>
      </c>
      <c r="C3350" s="1067" t="inlineStr">
        <is>
          <t>Revestimento de Piso Porcelanato Polido, Placa 60x60cm</t>
        </is>
      </c>
      <c r="D3350" s="1067" t="inlineStr">
        <is>
          <t>Revestimento de Piso Porcelanato Polido, Placa 60x60cm</t>
        </is>
      </c>
      <c r="E3350" s="1068" t="inlineStr">
        <is>
          <t>M2</t>
        </is>
      </c>
      <c r="F3350" s="1067" t="n"/>
      <c r="G3350" s="1069">
        <f t="array" ref="G3350">IF(B3350="insumo",_xlfn.XLOOKUP($D3350,Insumos!$B$1:$B$996,Insumos!$D$1:$D$996),"")</f>
        <v/>
      </c>
      <c r="H3350" s="1069" t="n">
        <v>108.5606</v>
      </c>
      <c r="I3350" s="2161" t="n">
        <v>0</v>
      </c>
      <c r="J3350" s="2161" t="n">
        <v>0</v>
      </c>
      <c r="K3350" s="2161" t="n"/>
    </row>
    <row r="3351" outlineLevel="3" ht="15.75" customHeight="1">
      <c r="A3351" s="10" t="n">
        <v>2</v>
      </c>
      <c r="B3351" s="10" t="inlineStr">
        <is>
          <t>Insumo</t>
        </is>
      </c>
      <c r="C3351" s="10" t="inlineStr">
        <is>
          <t>Revestimento de Piso Porcelanato Polido, Placa 60x60cm</t>
        </is>
      </c>
      <c r="D3351" s="10" t="inlineStr">
        <is>
          <t>Porcelanato "A" 60x60 Place Polido 8058873 Eliane</t>
        </is>
      </c>
      <c r="E3351" s="11">
        <f t="array" ref="E3351">_xlfn.XLOOKUP(D3351,Insumos!B:B,Insumos!C:$C)</f>
        <v/>
      </c>
      <c r="F3351" s="14" t="n">
        <v>1.1</v>
      </c>
      <c r="G3351" s="92">
        <f t="array" ref="G3351">IF(B3351="insumo",_xlfn.XLOOKUP($D3351,Insumos!$B$1:$B$996,Insumos!$D$1:$D$996),"")</f>
        <v/>
      </c>
      <c r="H3351" s="92" t="n">
        <v>98.89</v>
      </c>
      <c r="I3351" s="2162" t="n">
        <v>0</v>
      </c>
      <c r="J3351" s="2162" t="n">
        <v>0</v>
      </c>
      <c r="K3351" s="2162" t="n"/>
    </row>
    <row r="3352" outlineLevel="3" ht="15.75" customHeight="1">
      <c r="A3352" s="10" t="n">
        <v>191</v>
      </c>
      <c r="B3352" s="10" t="inlineStr">
        <is>
          <t>Insumo</t>
        </is>
      </c>
      <c r="C3352" s="10" t="inlineStr">
        <is>
          <t>Revestimento de Piso Porcelanato Polido, Placa 60x60cm</t>
        </is>
      </c>
      <c r="D3352" s="10" t="inlineStr">
        <is>
          <t>Argamassa ACIII</t>
        </is>
      </c>
      <c r="E3352" s="11">
        <f t="array" ref="E3352">_xlfn.XLOOKUP(D3352,Insumos!B:B,Insumos!C:$C)</f>
        <v/>
      </c>
      <c r="F3352" s="14" t="n">
        <v>8.800000000000001</v>
      </c>
      <c r="G3352" s="92">
        <f t="array" ref="G3352">IF(B3352="insumo",_xlfn.XLOOKUP($D3352,Insumos!$B$1:$B$996,Insumos!$D$1:$D$996),"")</f>
        <v/>
      </c>
      <c r="H3352" s="92" t="n">
        <v>9.367599999999999</v>
      </c>
      <c r="I3352" s="2162" t="n">
        <v>0</v>
      </c>
      <c r="J3352" s="2162" t="n">
        <v>0</v>
      </c>
      <c r="K3352" s="2162" t="n"/>
    </row>
    <row r="3353" outlineLevel="3" ht="15.75" customHeight="1">
      <c r="A3353" s="10" t="n">
        <v>142</v>
      </c>
      <c r="B3353" s="10" t="inlineStr">
        <is>
          <t>Insumo</t>
        </is>
      </c>
      <c r="C3353" s="10" t="inlineStr">
        <is>
          <t>Revestimento de Piso Porcelanato Polido, Placa 60x60cm</t>
        </is>
      </c>
      <c r="D3353" s="10" t="inlineStr">
        <is>
          <t>Espeçador junta piso 2mm</t>
        </is>
      </c>
      <c r="E3353" s="11">
        <f t="array" ref="E3353">_xlfn.XLOOKUP(D3353,Insumos!B:B,Insumos!C:$C)</f>
        <v/>
      </c>
      <c r="F3353" s="14" t="n">
        <v>1</v>
      </c>
      <c r="G3353" s="92">
        <f t="array" ref="G3353">IF(B3353="insumo",_xlfn.XLOOKUP($D3353,Insumos!$B$1:$B$996,Insumos!$D$1:$D$996),"")</f>
        <v/>
      </c>
      <c r="H3353" s="92" t="n">
        <v>0.08</v>
      </c>
      <c r="I3353" s="2162" t="n">
        <v>0</v>
      </c>
      <c r="J3353" s="2162" t="n">
        <v>0</v>
      </c>
      <c r="K3353" s="2162" t="n"/>
    </row>
    <row r="3354" outlineLevel="3" ht="15.75" customHeight="1">
      <c r="A3354" s="10" t="n">
        <v>101</v>
      </c>
      <c r="B3354" s="10" t="inlineStr">
        <is>
          <t>Insumo</t>
        </is>
      </c>
      <c r="C3354" s="10" t="inlineStr">
        <is>
          <t>Revestimento de Piso Porcelanato Polido, Placa 60x60cm</t>
        </is>
      </c>
      <c r="D3354" s="10" t="inlineStr">
        <is>
          <t>Rejunte Cimentício</t>
        </is>
      </c>
      <c r="E3354" s="11">
        <f t="array" ref="E3354">_xlfn.XLOOKUP(D3354,Insumos!B:B,Insumos!C:$C)</f>
        <v/>
      </c>
      <c r="F3354" s="14" t="n">
        <v>0.02</v>
      </c>
      <c r="G3354" s="92">
        <f t="array" ref="G3354">IF(B3354="insumo",_xlfn.XLOOKUP($D3354,Insumos!$B$1:$B$996,Insumos!$D$1:$D$996),"")</f>
        <v/>
      </c>
      <c r="H3354" s="92" t="n">
        <v>0.223</v>
      </c>
      <c r="I3354" s="2162" t="n">
        <v>0</v>
      </c>
      <c r="J3354" s="2162" t="n">
        <v>0</v>
      </c>
      <c r="K3354" s="2162" t="n"/>
    </row>
    <row r="3355" outlineLevel="2" ht="15.75" customHeight="1">
      <c r="A3355" s="1067" t="n">
        <v>1</v>
      </c>
      <c r="B3355" s="1067" t="inlineStr">
        <is>
          <t>Serviço</t>
        </is>
      </c>
      <c r="C3355" s="1067" t="inlineStr">
        <is>
          <t>Revestimento de Piso Porcelanato Acetinado, Placa 60x60cm</t>
        </is>
      </c>
      <c r="D3355" s="1067" t="inlineStr">
        <is>
          <t>Revestimento de Piso Porcelanato Acetinado, Placa 60x60cm</t>
        </is>
      </c>
      <c r="E3355" s="1068" t="inlineStr">
        <is>
          <t>M2</t>
        </is>
      </c>
      <c r="F3355" s="1067" t="n"/>
      <c r="G3355" s="1069">
        <f t="array" ref="G3355">IF(B3355="insumo",_xlfn.XLOOKUP($D3355,Insumos!$B$1:$B$996,Insumos!$D$1:$D$996),"")</f>
        <v/>
      </c>
      <c r="H3355" s="1069" t="n">
        <v>93.0506</v>
      </c>
      <c r="I3355" s="2161" t="n">
        <v>0</v>
      </c>
      <c r="J3355" s="2161" t="n">
        <v>0</v>
      </c>
      <c r="K3355" s="2161" t="n"/>
    </row>
    <row r="3356" outlineLevel="3" ht="15.75" customHeight="1">
      <c r="A3356" s="10" t="n">
        <v>2</v>
      </c>
      <c r="B3356" s="10" t="inlineStr">
        <is>
          <t>Insumo</t>
        </is>
      </c>
      <c r="C3356" s="10" t="inlineStr">
        <is>
          <t>Revestimento de Piso Porcelanato Acetinado, Placa 60x60cm</t>
        </is>
      </c>
      <c r="D3356" s="10" t="inlineStr">
        <is>
          <t xml:space="preserve">Porcelanato A 90x90cm acetinado </t>
        </is>
      </c>
      <c r="E3356" s="11">
        <f t="array" ref="E3356">_xlfn.XLOOKUP(D3356,Insumos!B:B,Insumos!C:$C)</f>
        <v/>
      </c>
      <c r="F3356" s="14" t="n">
        <v>1.1</v>
      </c>
      <c r="G3356" s="92">
        <f t="array" ref="G3356">IF(B3356="insumo",_xlfn.XLOOKUP($D3356,Insumos!$B$1:$B$996,Insumos!$D$1:$D$996),"")</f>
        <v/>
      </c>
      <c r="H3356" s="92" t="n">
        <v>83.38</v>
      </c>
      <c r="I3356" s="2162" t="n">
        <v>0</v>
      </c>
      <c r="J3356" s="2162" t="n">
        <v>0</v>
      </c>
      <c r="K3356" s="2162" t="n"/>
    </row>
    <row r="3357" outlineLevel="3" ht="15.75" customHeight="1">
      <c r="A3357" s="10" t="n">
        <v>191</v>
      </c>
      <c r="B3357" s="10" t="inlineStr">
        <is>
          <t>Insumo</t>
        </is>
      </c>
      <c r="C3357" s="10" t="inlineStr">
        <is>
          <t>Revestimento de Piso Porcelanato Acetinado, Placa 60x60cm</t>
        </is>
      </c>
      <c r="D3357" s="10" t="inlineStr">
        <is>
          <t>Argamassa ACIII</t>
        </is>
      </c>
      <c r="E3357" s="11">
        <f t="array" ref="E3357">_xlfn.XLOOKUP(D3357,Insumos!B:B,Insumos!C:$C)</f>
        <v/>
      </c>
      <c r="F3357" s="14" t="n">
        <v>8.800000000000001</v>
      </c>
      <c r="G3357" s="92">
        <f t="array" ref="G3357">IF(B3357="insumo",_xlfn.XLOOKUP($D3357,Insumos!$B$1:$B$996,Insumos!$D$1:$D$996),"")</f>
        <v/>
      </c>
      <c r="H3357" s="92" t="n">
        <v>9.367599999999999</v>
      </c>
      <c r="I3357" s="2162" t="n">
        <v>0</v>
      </c>
      <c r="J3357" s="2162" t="n">
        <v>0</v>
      </c>
      <c r="K3357" s="2162" t="n"/>
    </row>
    <row r="3358" outlineLevel="3" ht="15.75" customHeight="1">
      <c r="A3358" s="10" t="n">
        <v>142</v>
      </c>
      <c r="B3358" s="10" t="inlineStr">
        <is>
          <t>Insumo</t>
        </is>
      </c>
      <c r="C3358" s="10" t="inlineStr">
        <is>
          <t>Revestimento de Piso Porcelanato Acetinado, Placa 60x60cm</t>
        </is>
      </c>
      <c r="D3358" s="10" t="inlineStr">
        <is>
          <t>Espeçador junta piso 2mm</t>
        </is>
      </c>
      <c r="E3358" s="11">
        <f t="array" ref="E3358">_xlfn.XLOOKUP(D3358,Insumos!B:B,Insumos!C:$C)</f>
        <v/>
      </c>
      <c r="F3358" s="14" t="n">
        <v>1</v>
      </c>
      <c r="G3358" s="92">
        <f t="array" ref="G3358">IF(B3358="insumo",_xlfn.XLOOKUP($D3358,Insumos!$B$1:$B$996,Insumos!$D$1:$D$996),"")</f>
        <v/>
      </c>
      <c r="H3358" s="92" t="n">
        <v>0.08</v>
      </c>
      <c r="I3358" s="2162" t="n">
        <v>0</v>
      </c>
      <c r="J3358" s="2162" t="n">
        <v>0</v>
      </c>
      <c r="K3358" s="2162" t="n"/>
    </row>
    <row r="3359" outlineLevel="3" ht="15.75" customHeight="1">
      <c r="A3359" s="10" t="n">
        <v>101</v>
      </c>
      <c r="B3359" s="10" t="inlineStr">
        <is>
          <t>Insumo</t>
        </is>
      </c>
      <c r="C3359" s="10" t="inlineStr">
        <is>
          <t>Revestimento de Piso Porcelanato Acetinado, Placa 60x60cm</t>
        </is>
      </c>
      <c r="D3359" s="10" t="inlineStr">
        <is>
          <t>Rejunte Cimentício</t>
        </is>
      </c>
      <c r="E3359" s="11">
        <f t="array" ref="E3359">_xlfn.XLOOKUP(D3359,Insumos!B:B,Insumos!C:$C)</f>
        <v/>
      </c>
      <c r="F3359" s="14" t="n">
        <v>0.02</v>
      </c>
      <c r="G3359" s="92">
        <f t="array" ref="G3359">IF(B3359="insumo",_xlfn.XLOOKUP($D3359,Insumos!$B$1:$B$996,Insumos!$D$1:$D$996),"")</f>
        <v/>
      </c>
      <c r="H3359" s="92" t="n">
        <v>0.223</v>
      </c>
      <c r="I3359" s="2162" t="n">
        <v>0</v>
      </c>
      <c r="J3359" s="2162" t="n">
        <v>0</v>
      </c>
      <c r="K3359" s="2162" t="n"/>
    </row>
    <row r="3360" outlineLevel="2" ht="15.75" customHeight="1">
      <c r="A3360" s="1067" t="n">
        <v>1</v>
      </c>
      <c r="B3360" s="1067" t="inlineStr">
        <is>
          <t>Serviço</t>
        </is>
      </c>
      <c r="C3360" s="1067" t="inlineStr">
        <is>
          <t>Revestimento em Porcelanato Piso Externo, 60x 60cm com Junta de 3mm</t>
        </is>
      </c>
      <c r="D3360" s="1067" t="inlineStr">
        <is>
          <t>Revestimento em Porcelanato Piso Externo, 60x 60cm com Junta de 3mm</t>
        </is>
      </c>
      <c r="E3360" s="1068" t="inlineStr">
        <is>
          <t>M2</t>
        </is>
      </c>
      <c r="F3360" s="1067" t="n"/>
      <c r="G3360" s="1069">
        <f t="array" ref="G3360">IF(B3360="insumo",_xlfn.XLOOKUP($D3360,Insumos!$B$1:$B$996,Insumos!$D$1:$D$996),"")</f>
        <v/>
      </c>
      <c r="H3360" s="1069" t="n">
        <v>133.175</v>
      </c>
      <c r="I3360" s="2161" t="n">
        <v>0</v>
      </c>
      <c r="J3360" s="2161" t="n">
        <v>0</v>
      </c>
      <c r="K3360" s="2161" t="n"/>
    </row>
    <row r="3361" outlineLevel="3" ht="15.75" customHeight="1">
      <c r="A3361" s="10" t="n">
        <v>1</v>
      </c>
      <c r="B3361" s="10" t="inlineStr">
        <is>
          <t>Insumo</t>
        </is>
      </c>
      <c r="C3361" s="10" t="inlineStr">
        <is>
          <t>Revestimento em Porcelanato Piso Externo, 60x 60cm com Junta de 3mm</t>
        </is>
      </c>
      <c r="D3361" s="10" t="inlineStr">
        <is>
          <t>Porcelanato Arena Cinza Bold Externo 60x60 Eliane</t>
        </is>
      </c>
      <c r="E3361" s="11">
        <f t="array" ref="E3361">_xlfn.XLOOKUP(D3361,Insumos!B:B,Insumos!C:$C)</f>
        <v/>
      </c>
      <c r="F3361" s="14" t="n">
        <v>1.1</v>
      </c>
      <c r="G3361" s="92">
        <f t="array" ref="G3361">IF(B3361="insumo",_xlfn.XLOOKUP($D3361,Insumos!$B$1:$B$996,Insumos!$D$1:$D$996),"")</f>
        <v/>
      </c>
      <c r="H3361" s="92" t="n">
        <v>124.542</v>
      </c>
      <c r="I3361" s="2162" t="n">
        <v>0</v>
      </c>
      <c r="J3361" s="2162" t="n">
        <v>0</v>
      </c>
      <c r="K3361" s="2162" t="n"/>
    </row>
    <row r="3362" outlineLevel="3" ht="15.75" customHeight="1">
      <c r="A3362" s="10" t="n">
        <v>16</v>
      </c>
      <c r="B3362" s="10" t="inlineStr">
        <is>
          <t>Insumo</t>
        </is>
      </c>
      <c r="C3362" s="10" t="inlineStr">
        <is>
          <t>Revestimento em Porcelanato Piso Externo, 60x 60cm com Junta de 3mm</t>
        </is>
      </c>
      <c r="D3362" s="10" t="inlineStr">
        <is>
          <t>Argamassa ACII</t>
        </is>
      </c>
      <c r="E3362" s="11">
        <f t="array" ref="E3362">_xlfn.XLOOKUP(D3362,Insumos!B:B,Insumos!C:$C)</f>
        <v/>
      </c>
      <c r="F3362" s="14" t="n">
        <v>8.800000000000001</v>
      </c>
      <c r="G3362" s="92">
        <f t="array" ref="G3362">IF(B3362="insumo",_xlfn.XLOOKUP($D3362,Insumos!$B$1:$B$996,Insumos!$D$1:$D$996),"")</f>
        <v/>
      </c>
      <c r="H3362" s="92" t="n">
        <v>8.359999999999999</v>
      </c>
      <c r="I3362" s="2162" t="n">
        <v>0</v>
      </c>
      <c r="J3362" s="2162" t="n">
        <v>0</v>
      </c>
      <c r="K3362" s="2162" t="n"/>
    </row>
    <row r="3363" outlineLevel="3" ht="15.75" customHeight="1">
      <c r="A3363" s="10" t="n">
        <v>17</v>
      </c>
      <c r="B3363" s="10" t="inlineStr">
        <is>
          <t>Insumo</t>
        </is>
      </c>
      <c r="C3363" s="10" t="inlineStr">
        <is>
          <t>Revestimento em Porcelanato Piso Externo, 60x 60cm com Junta de 3mm</t>
        </is>
      </c>
      <c r="D3363" s="10" t="inlineStr">
        <is>
          <t>Espeçador junta piso 3mm</t>
        </is>
      </c>
      <c r="E3363" s="11">
        <f t="array" ref="E3363">_xlfn.XLOOKUP(D3363,Insumos!B:B,Insumos!C:$C)</f>
        <v/>
      </c>
      <c r="F3363" s="14" t="n">
        <v>1</v>
      </c>
      <c r="G3363" s="92">
        <f t="array" ref="G3363">IF(B3363="insumo",_xlfn.XLOOKUP($D3363,Insumos!$B$1:$B$996,Insumos!$D$1:$D$996),"")</f>
        <v/>
      </c>
      <c r="H3363" s="92" t="n">
        <v>0.05</v>
      </c>
      <c r="I3363" s="2162" t="n">
        <v>0</v>
      </c>
      <c r="J3363" s="2162" t="n">
        <v>0</v>
      </c>
      <c r="K3363" s="2162" t="n"/>
    </row>
    <row r="3364" outlineLevel="3" ht="15.75" customHeight="1">
      <c r="A3364" s="10" t="n">
        <v>101</v>
      </c>
      <c r="B3364" s="10" t="inlineStr">
        <is>
          <t>Insumo</t>
        </is>
      </c>
      <c r="C3364" s="10" t="inlineStr">
        <is>
          <t>Revestimento em Porcelanato Piso Externo, 60x 60cm com Junta de 3mm</t>
        </is>
      </c>
      <c r="D3364" s="10" t="inlineStr">
        <is>
          <t>Rejunte Cimentício</t>
        </is>
      </c>
      <c r="E3364" s="11">
        <f t="array" ref="E3364">_xlfn.XLOOKUP(D3364,Insumos!B:B,Insumos!C:$C)</f>
        <v/>
      </c>
      <c r="F3364" s="14" t="n">
        <v>0.02</v>
      </c>
      <c r="G3364" s="92">
        <f t="array" ref="G3364">IF(B3364="insumo",_xlfn.XLOOKUP($D3364,Insumos!$B$1:$B$996,Insumos!$D$1:$D$996),"")</f>
        <v/>
      </c>
      <c r="H3364" s="92" t="n">
        <v>0.223</v>
      </c>
      <c r="I3364" s="2162" t="n">
        <v>0</v>
      </c>
      <c r="J3364" s="2162" t="n">
        <v>0</v>
      </c>
      <c r="K3364" s="2162" t="n"/>
    </row>
    <row r="3365" outlineLevel="2" ht="15.75" customHeight="1">
      <c r="A3365" s="1067" t="n">
        <v>1</v>
      </c>
      <c r="B3365" s="1067" t="inlineStr">
        <is>
          <t>Serviço</t>
        </is>
      </c>
      <c r="C3365" s="1067" t="inlineStr">
        <is>
          <t>Revestimento em Porcelanato Piso Interno,ELIANE 60X60 BOLD ACETINADO BLEND PLUS GREY, com Junta de 3mm</t>
        </is>
      </c>
      <c r="D3365" s="1067" t="inlineStr">
        <is>
          <t>Revestimento em Porcelanato Piso Interno,ELIANE 60X60 BOLD ACETINADO BLEND PLUS GREY, com Junta de 3mm</t>
        </is>
      </c>
      <c r="E3365" s="1068" t="inlineStr">
        <is>
          <t>M2</t>
        </is>
      </c>
      <c r="F3365" s="1067" t="n"/>
      <c r="G3365" s="1069">
        <f t="array" ref="G3365">IF(B3365="insumo",_xlfn.XLOOKUP($D3365,Insumos!$B$1:$B$996,Insumos!$D$1:$D$996),"")</f>
        <v/>
      </c>
      <c r="H3365" s="1069" t="n">
        <v>127.323</v>
      </c>
      <c r="I3365" s="2161" t="n">
        <v>0</v>
      </c>
      <c r="J3365" s="2161" t="n">
        <v>0</v>
      </c>
      <c r="K3365" s="2161" t="n"/>
    </row>
    <row r="3366" outlineLevel="3" ht="15.75" customHeight="1">
      <c r="A3366" s="10" t="n">
        <v>2</v>
      </c>
      <c r="B3366" s="10" t="inlineStr">
        <is>
          <t>Insumo</t>
        </is>
      </c>
      <c r="C3366" s="10" t="inlineStr">
        <is>
          <t>Revestimento em Porcelanato Piso Interno,ELIANE 60X60 BOLD ACETINADO BLEND PLUS GREY, com Junta de 3mm</t>
        </is>
      </c>
      <c r="D3366" s="10" t="inlineStr">
        <is>
          <t>Porcelanato ELIANE 60X60 BOLD ACETINADO BLEND PLUS GREY</t>
        </is>
      </c>
      <c r="E3366" s="11">
        <f t="array" ref="E3366">_xlfn.XLOOKUP(D3366,Insumos!B:B,Insumos!C:$C)</f>
        <v/>
      </c>
      <c r="F3366" s="14" t="n">
        <v>1.1</v>
      </c>
      <c r="G3366" s="92">
        <f t="array" ref="G3366">IF(B3366="insumo",_xlfn.XLOOKUP($D3366,Insumos!$B$1:$B$996,Insumos!$D$1:$D$996),"")</f>
        <v/>
      </c>
      <c r="H3366" s="92" t="n">
        <v>118.69</v>
      </c>
      <c r="I3366" s="2162" t="n">
        <v>0</v>
      </c>
      <c r="J3366" s="2162" t="n">
        <v>0</v>
      </c>
      <c r="K3366" s="2162" t="n"/>
    </row>
    <row r="3367" outlineLevel="3" ht="15.75" customHeight="1">
      <c r="A3367" s="10" t="n">
        <v>16</v>
      </c>
      <c r="B3367" s="10" t="inlineStr">
        <is>
          <t>Insumo</t>
        </is>
      </c>
      <c r="C3367" s="10" t="inlineStr">
        <is>
          <t>Revestimento em Porcelanato Piso Interno,ELIANE 60X60 BOLD ACETINADO BLEND PLUS GREY, com Junta de 3mm</t>
        </is>
      </c>
      <c r="D3367" s="10" t="inlineStr">
        <is>
          <t>Argamassa ACII</t>
        </is>
      </c>
      <c r="E3367" s="11">
        <f t="array" ref="E3367">_xlfn.XLOOKUP(D3367,Insumos!B:B,Insumos!C:$C)</f>
        <v/>
      </c>
      <c r="F3367" s="14" t="n">
        <v>8.800000000000001</v>
      </c>
      <c r="G3367" s="92">
        <f t="array" ref="G3367">IF(B3367="insumo",_xlfn.XLOOKUP($D3367,Insumos!$B$1:$B$996,Insumos!$D$1:$D$996),"")</f>
        <v/>
      </c>
      <c r="H3367" s="92" t="n">
        <v>8.359999999999999</v>
      </c>
      <c r="I3367" s="2162" t="n">
        <v>0</v>
      </c>
      <c r="J3367" s="2162" t="n">
        <v>0</v>
      </c>
      <c r="K3367" s="2162" t="n"/>
    </row>
    <row r="3368" outlineLevel="3" ht="15.75" customHeight="1">
      <c r="A3368" s="10" t="n">
        <v>17</v>
      </c>
      <c r="B3368" s="10" t="inlineStr">
        <is>
          <t>Insumo</t>
        </is>
      </c>
      <c r="C3368" s="10" t="inlineStr">
        <is>
          <t>Revestimento em Porcelanato Piso Interno,ELIANE 60X60 BOLD ACETINADO BLEND PLUS GREY, com Junta de 3mm</t>
        </is>
      </c>
      <c r="D3368" s="10" t="inlineStr">
        <is>
          <t>Espeçador junta piso 3mm</t>
        </is>
      </c>
      <c r="E3368" s="11">
        <f t="array" ref="E3368">_xlfn.XLOOKUP(D3368,Insumos!B:B,Insumos!C:$C)</f>
        <v/>
      </c>
      <c r="F3368" s="14" t="n">
        <v>1</v>
      </c>
      <c r="G3368" s="92">
        <f t="array" ref="G3368">IF(B3368="insumo",_xlfn.XLOOKUP($D3368,Insumos!$B$1:$B$996,Insumos!$D$1:$D$996),"")</f>
        <v/>
      </c>
      <c r="H3368" s="92" t="n">
        <v>0.05</v>
      </c>
      <c r="I3368" s="2162" t="n">
        <v>0</v>
      </c>
      <c r="J3368" s="2162" t="n">
        <v>0</v>
      </c>
      <c r="K3368" s="2162" t="n"/>
    </row>
    <row r="3369" outlineLevel="3" ht="15.75" customHeight="1">
      <c r="A3369" s="10" t="n">
        <v>101</v>
      </c>
      <c r="B3369" s="10" t="inlineStr">
        <is>
          <t>Insumo</t>
        </is>
      </c>
      <c r="C3369" s="10" t="inlineStr">
        <is>
          <t>Revestimento em Porcelanato Piso Interno,ELIANE 60X60 BOLD ACETINADO BLEND PLUS GREY, com Junta de 3mm</t>
        </is>
      </c>
      <c r="D3369" s="10" t="inlineStr">
        <is>
          <t>Rejunte Cimentício</t>
        </is>
      </c>
      <c r="E3369" s="11">
        <f t="array" ref="E3369">_xlfn.XLOOKUP(D3369,Insumos!B:B,Insumos!C:$C)</f>
        <v/>
      </c>
      <c r="F3369" s="14" t="n">
        <v>0.02</v>
      </c>
      <c r="G3369" s="92">
        <f t="array" ref="G3369">IF(B3369="insumo",_xlfn.XLOOKUP($D3369,Insumos!$B$1:$B$996,Insumos!$D$1:$D$996),"")</f>
        <v/>
      </c>
      <c r="H3369" s="92" t="n">
        <v>0.223</v>
      </c>
      <c r="I3369" s="2162" t="n">
        <v>0</v>
      </c>
      <c r="J3369" s="2162" t="n">
        <v>0</v>
      </c>
      <c r="K3369" s="2162" t="n"/>
    </row>
    <row r="3370" outlineLevel="2" ht="15.75" customHeight="1">
      <c r="A3370" s="1067" t="n">
        <v>1</v>
      </c>
      <c r="B3370" s="1067" t="inlineStr">
        <is>
          <t>Serviço</t>
        </is>
      </c>
      <c r="C3370" s="1067" t="inlineStr">
        <is>
          <t>Revestimento em Porcelanato Piso Externo,ELIANE 60X60 BOLD ACETINADO BLEND PLUS GREY, com Junta de 3mm</t>
        </is>
      </c>
      <c r="D3370" s="1067" t="inlineStr">
        <is>
          <t>Revestimento em Porcelanato Piso Externo,ELIANE 60X60 BOLD ACETINADO BLEND PLUS GREY, com Junta de 3mm</t>
        </is>
      </c>
      <c r="E3370" s="1068" t="inlineStr">
        <is>
          <t>M2</t>
        </is>
      </c>
      <c r="F3370" s="1067" t="n"/>
      <c r="G3370" s="1069">
        <f t="array" ref="G3370">IF(B3370="insumo",_xlfn.XLOOKUP($D3370,Insumos!$B$1:$B$996,Insumos!$D$1:$D$996),"")</f>
        <v/>
      </c>
      <c r="H3370" s="1069" t="n">
        <v>127.323</v>
      </c>
      <c r="I3370" s="2161" t="n">
        <v>0</v>
      </c>
      <c r="J3370" s="2161" t="n">
        <v>0</v>
      </c>
      <c r="K3370" s="2161" t="n"/>
    </row>
    <row r="3371" outlineLevel="3" ht="15.75" customHeight="1">
      <c r="A3371" s="10" t="n">
        <v>2</v>
      </c>
      <c r="B3371" s="10" t="inlineStr">
        <is>
          <t>Insumo</t>
        </is>
      </c>
      <c r="C3371" s="10" t="inlineStr">
        <is>
          <t>Revestimento em Porcelanato Piso Externo,ELIANE 60X60 BOLD ACETINADO BLEND PLUS GREY, com Junta de 3mm</t>
        </is>
      </c>
      <c r="D3371" s="10" t="inlineStr">
        <is>
          <t>Porcelanato ELIANE 60X60 BOLD ACETINADO BLEND PLUS GREY</t>
        </is>
      </c>
      <c r="E3371" s="11">
        <f t="array" ref="E3371">_xlfn.XLOOKUP(D3371,Insumos!B:B,Insumos!C:$C)</f>
        <v/>
      </c>
      <c r="F3371" s="14" t="n">
        <v>1.1</v>
      </c>
      <c r="G3371" s="92">
        <f t="array" ref="G3371">IF(B3371="insumo",_xlfn.XLOOKUP($D3371,Insumos!$B$1:$B$996,Insumos!$D$1:$D$996),"")</f>
        <v/>
      </c>
      <c r="H3371" s="92" t="n">
        <v>118.69</v>
      </c>
      <c r="I3371" s="2162" t="n">
        <v>0</v>
      </c>
      <c r="J3371" s="2162" t="n">
        <v>0</v>
      </c>
      <c r="K3371" s="2162" t="n"/>
    </row>
    <row r="3372" outlineLevel="3" ht="15.75" customHeight="1">
      <c r="A3372" s="10" t="n">
        <v>16</v>
      </c>
      <c r="B3372" s="10" t="inlineStr">
        <is>
          <t>Insumo</t>
        </is>
      </c>
      <c r="C3372" s="10" t="inlineStr">
        <is>
          <t>Revestimento em Porcelanato Piso Externo,ELIANE 60X60 BOLD ACETINADO BLEND PLUS GREY, com Junta de 3mm</t>
        </is>
      </c>
      <c r="D3372" s="10" t="inlineStr">
        <is>
          <t>Argamassa ACII</t>
        </is>
      </c>
      <c r="E3372" s="11">
        <f t="array" ref="E3372">_xlfn.XLOOKUP(D3372,Insumos!B:B,Insumos!C:$C)</f>
        <v/>
      </c>
      <c r="F3372" s="14" t="n">
        <v>8.800000000000001</v>
      </c>
      <c r="G3372" s="92">
        <f t="array" ref="G3372">IF(B3372="insumo",_xlfn.XLOOKUP($D3372,Insumos!$B$1:$B$996,Insumos!$D$1:$D$996),"")</f>
        <v/>
      </c>
      <c r="H3372" s="92" t="n">
        <v>8.359999999999999</v>
      </c>
      <c r="I3372" s="2162" t="n">
        <v>0</v>
      </c>
      <c r="J3372" s="2162" t="n">
        <v>0</v>
      </c>
      <c r="K3372" s="2162" t="n"/>
    </row>
    <row r="3373" outlineLevel="3" ht="15.75" customHeight="1">
      <c r="A3373" s="10" t="n">
        <v>17</v>
      </c>
      <c r="B3373" s="10" t="inlineStr">
        <is>
          <t>Insumo</t>
        </is>
      </c>
      <c r="C3373" s="10" t="inlineStr">
        <is>
          <t>Revestimento em Porcelanato Piso Externo,ELIANE 60X60 BOLD ACETINADO BLEND PLUS GREY, com Junta de 3mm</t>
        </is>
      </c>
      <c r="D3373" s="10" t="inlineStr">
        <is>
          <t>Espeçador junta piso 3mm</t>
        </is>
      </c>
      <c r="E3373" s="11">
        <f t="array" ref="E3373">_xlfn.XLOOKUP(D3373,Insumos!B:B,Insumos!C:$C)</f>
        <v/>
      </c>
      <c r="F3373" s="14" t="n">
        <v>1</v>
      </c>
      <c r="G3373" s="92">
        <f t="array" ref="G3373">IF(B3373="insumo",_xlfn.XLOOKUP($D3373,Insumos!$B$1:$B$996,Insumos!$D$1:$D$996),"")</f>
        <v/>
      </c>
      <c r="H3373" s="92" t="n">
        <v>0.05</v>
      </c>
      <c r="I3373" s="2162" t="n">
        <v>0</v>
      </c>
      <c r="J3373" s="2162" t="n">
        <v>0</v>
      </c>
      <c r="K3373" s="2162" t="n"/>
    </row>
    <row r="3374" outlineLevel="3" ht="15.75" customHeight="1">
      <c r="A3374" s="10" t="n">
        <v>101</v>
      </c>
      <c r="B3374" s="10" t="inlineStr">
        <is>
          <t>Insumo</t>
        </is>
      </c>
      <c r="C3374" s="10" t="inlineStr">
        <is>
          <t>Revestimento em Porcelanato Piso Externo,ELIANE 60X60 BOLD ACETINADO BLEND PLUS GREY, com Junta de 3mm</t>
        </is>
      </c>
      <c r="D3374" s="10" t="inlineStr">
        <is>
          <t>Rejunte Cimentício</t>
        </is>
      </c>
      <c r="E3374" s="11">
        <f t="array" ref="E3374">_xlfn.XLOOKUP(D3374,Insumos!B:B,Insumos!C:$C)</f>
        <v/>
      </c>
      <c r="F3374" s="14" t="n">
        <v>0.02</v>
      </c>
      <c r="G3374" s="92">
        <f t="array" ref="G3374">IF(B3374="insumo",_xlfn.XLOOKUP($D3374,Insumos!$B$1:$B$996,Insumos!$D$1:$D$996),"")</f>
        <v/>
      </c>
      <c r="H3374" s="92" t="n">
        <v>0.223</v>
      </c>
      <c r="I3374" s="2162" t="n">
        <v>0</v>
      </c>
      <c r="J3374" s="2162" t="n">
        <v>0</v>
      </c>
      <c r="K3374" s="2162" t="n"/>
    </row>
    <row r="3375" outlineLevel="2" ht="15.75" customHeight="1">
      <c r="A3375" s="1067" t="n">
        <v>1</v>
      </c>
      <c r="B3375" s="1067" t="inlineStr">
        <is>
          <t>Serviço</t>
        </is>
      </c>
      <c r="C3375" s="1067" t="inlineStr">
        <is>
          <t>Revestimento em Piso ,  Porcelanato Pp Pro Nude Gp 60X60Cm Retificado</t>
        </is>
      </c>
      <c r="D3375" s="1067" t="inlineStr">
        <is>
          <t>Revestimento em Piso ,  Porcelanato Pp Pro Nude Gp 60X60Cm Retificado</t>
        </is>
      </c>
      <c r="E3375" s="1068" t="inlineStr">
        <is>
          <t>M2</t>
        </is>
      </c>
      <c r="F3375" s="1067" t="n"/>
      <c r="G3375" s="1069">
        <f t="array" ref="G3375">IF(B3375="insumo",_xlfn.XLOOKUP($D3375,Insumos!$B$1:$B$996,Insumos!$D$1:$D$996),"")</f>
        <v/>
      </c>
      <c r="H3375" s="1069" t="n">
        <v>57.8051</v>
      </c>
      <c r="I3375" s="2161" t="n">
        <v>0</v>
      </c>
      <c r="J3375" s="2161" t="n">
        <v>0</v>
      </c>
      <c r="K3375" s="2161" t="n"/>
    </row>
    <row r="3376" outlineLevel="3" ht="15.75" customHeight="1">
      <c r="A3376" s="10" t="n">
        <v>3</v>
      </c>
      <c r="B3376" s="10" t="inlineStr">
        <is>
          <t>Insumo</t>
        </is>
      </c>
      <c r="C3376" s="10" t="inlineStr">
        <is>
          <t>Revestimento em Piso ,  Porcelanato Pp Pro Nude Gp 60X60Cm Retificado</t>
        </is>
      </c>
      <c r="D3376" s="10" t="inlineStr">
        <is>
          <t>Porcelanato Pp Pro Nude Gp 60X60Cm Retificado</t>
        </is>
      </c>
      <c r="E3376" s="11">
        <f t="array" ref="E3376">_xlfn.XLOOKUP(D3376,Insumos!B:B,Insumos!C:$C)</f>
        <v/>
      </c>
      <c r="F3376" s="14" t="n">
        <v>1.1</v>
      </c>
      <c r="G3376" s="92">
        <f t="array" ref="G3376">IF(B3376="insumo",_xlfn.XLOOKUP($D3376,Insumos!$B$1:$B$996,Insumos!$D$1:$D$996),"")</f>
        <v/>
      </c>
      <c r="H3376" s="92" t="n">
        <v>48.246</v>
      </c>
      <c r="I3376" s="2162" t="n">
        <v>0</v>
      </c>
      <c r="J3376" s="2162" t="n">
        <v>0</v>
      </c>
      <c r="K3376" s="2162" t="n"/>
    </row>
    <row r="3377" outlineLevel="3" ht="15.75" customHeight="1">
      <c r="A3377" s="10" t="n">
        <v>191</v>
      </c>
      <c r="B3377" s="10" t="inlineStr">
        <is>
          <t>Insumo</t>
        </is>
      </c>
      <c r="C3377" s="10" t="inlineStr">
        <is>
          <t>Revestimento em Piso ,  Porcelanato Pp Pro Nude Gp 60X60Cm Retificado</t>
        </is>
      </c>
      <c r="D3377" s="10" t="inlineStr">
        <is>
          <t>Argamassa ACIII</t>
        </is>
      </c>
      <c r="E3377" s="11">
        <f t="array" ref="E3377">_xlfn.XLOOKUP(D3377,Insumos!B:B,Insumos!C:$C)</f>
        <v/>
      </c>
      <c r="F3377" s="14" t="n">
        <v>8.800000000000001</v>
      </c>
      <c r="G3377" s="92">
        <f t="array" ref="G3377">IF(B3377="insumo",_xlfn.XLOOKUP($D3377,Insumos!$B$1:$B$996,Insumos!$D$1:$D$996),"")</f>
        <v/>
      </c>
      <c r="H3377" s="92" t="n">
        <v>9.367599999999999</v>
      </c>
      <c r="I3377" s="2162" t="n">
        <v>0</v>
      </c>
      <c r="J3377" s="2162" t="n">
        <v>0</v>
      </c>
      <c r="K3377" s="2162" t="n"/>
    </row>
    <row r="3378" outlineLevel="3" ht="15.75" customHeight="1">
      <c r="A3378" s="10" t="n">
        <v>142</v>
      </c>
      <c r="B3378" s="10" t="inlineStr">
        <is>
          <t>Insumo</t>
        </is>
      </c>
      <c r="C3378" s="10" t="inlineStr">
        <is>
          <t>Revestimento em Piso ,  Porcelanato Pp Pro Nude Gp 60X60Cm Retificado</t>
        </is>
      </c>
      <c r="D3378" s="10" t="inlineStr">
        <is>
          <t>Espeçador junta piso 2mm</t>
        </is>
      </c>
      <c r="E3378" s="11">
        <f t="array" ref="E3378">_xlfn.XLOOKUP(D3378,Insumos!B:B,Insumos!C:$C)</f>
        <v/>
      </c>
      <c r="F3378" s="14" t="n">
        <v>1</v>
      </c>
      <c r="G3378" s="92">
        <f t="array" ref="G3378">IF(B3378="insumo",_xlfn.XLOOKUP($D3378,Insumos!$B$1:$B$996,Insumos!$D$1:$D$996),"")</f>
        <v/>
      </c>
      <c r="H3378" s="92" t="n">
        <v>0.08</v>
      </c>
      <c r="I3378" s="2162" t="n">
        <v>0</v>
      </c>
      <c r="J3378" s="2162" t="n">
        <v>0</v>
      </c>
      <c r="K3378" s="2162" t="n"/>
    </row>
    <row r="3379" outlineLevel="3" ht="15.75" customHeight="1">
      <c r="A3379" s="10" t="n">
        <v>101</v>
      </c>
      <c r="B3379" s="10" t="inlineStr">
        <is>
          <t>Insumo</t>
        </is>
      </c>
      <c r="C3379" s="10" t="inlineStr">
        <is>
          <t>Revestimento em Piso ,  Porcelanato Pp Pro Nude Gp 60X60Cm Retificado</t>
        </is>
      </c>
      <c r="D3379" s="10" t="inlineStr">
        <is>
          <t>Rejunte Cimentício</t>
        </is>
      </c>
      <c r="E3379" s="11">
        <f t="array" ref="E3379">_xlfn.XLOOKUP(D3379,Insumos!B:B,Insumos!C:$C)</f>
        <v/>
      </c>
      <c r="F3379" s="14" t="n">
        <v>0.01</v>
      </c>
      <c r="G3379" s="92">
        <f t="array" ref="G3379">IF(B3379="insumo",_xlfn.XLOOKUP($D3379,Insumos!$B$1:$B$996,Insumos!$D$1:$D$996),"")</f>
        <v/>
      </c>
      <c r="H3379" s="92" t="n">
        <v>0.1115</v>
      </c>
      <c r="I3379" s="2162" t="n">
        <v>0</v>
      </c>
      <c r="J3379" s="2162" t="n">
        <v>0</v>
      </c>
      <c r="K3379" s="2162" t="n"/>
    </row>
    <row r="3380" outlineLevel="2" ht="15.75" customHeight="1">
      <c r="A3380" s="1067" t="n">
        <v>1</v>
      </c>
      <c r="B3380" s="1067" t="inlineStr">
        <is>
          <t>Serviço</t>
        </is>
      </c>
      <c r="C3380" s="1067" t="inlineStr">
        <is>
          <t>Revestimento de Piso Externo PORCELANATO VILLAGRES 71X71 RETIFICADO ACETINADO MONTREAL FENDI</t>
        </is>
      </c>
      <c r="D3380" s="1067" t="inlineStr">
        <is>
          <t>Revestimento de Piso Externo PORCELANATO VILLAGRES 71X71 RETIFICADO ACETINADO MONTREAL FENDI</t>
        </is>
      </c>
      <c r="E3380" s="1068" t="inlineStr">
        <is>
          <t>M2</t>
        </is>
      </c>
      <c r="F3380" s="1067" t="n"/>
      <c r="G3380" s="1069">
        <f t="array" ref="G3380">IF(B3380="insumo",_xlfn.XLOOKUP($D3380,Insumos!$B$1:$B$996,Insumos!$D$1:$D$996),"")</f>
        <v/>
      </c>
      <c r="H3380" s="1069" t="n">
        <v>93.48909999999999</v>
      </c>
      <c r="I3380" s="2161" t="n">
        <v>0</v>
      </c>
      <c r="J3380" s="2161" t="n">
        <v>0</v>
      </c>
      <c r="K3380" s="2161" t="n"/>
    </row>
    <row r="3381" outlineLevel="3" ht="15.75" customHeight="1">
      <c r="A3381" s="10" t="n">
        <v>1</v>
      </c>
      <c r="B3381" s="10" t="inlineStr">
        <is>
          <t>Insumo</t>
        </is>
      </c>
      <c r="C3381" s="10" t="inlineStr">
        <is>
          <t>Revestimento de Piso Externo PORCELANATO VILLAGRES 71X71 RETIFICADO ACETINADO MONTREAL FENDI</t>
        </is>
      </c>
      <c r="D3381" s="10" t="inlineStr">
        <is>
          <t>PORCELANATO VILLAGRES 71X71 RETIFICADO ACETINADO MONTREAL FENDI</t>
        </is>
      </c>
      <c r="E3381" s="11">
        <f t="array" ref="E3381">_xlfn.XLOOKUP(D3381,Insumos!B:B,Insumos!C:$C)</f>
        <v/>
      </c>
      <c r="F3381" s="14" t="n">
        <v>1.1</v>
      </c>
      <c r="G3381" s="92">
        <f t="array" ref="G3381">IF(B3381="insumo",_xlfn.XLOOKUP($D3381,Insumos!$B$1:$B$996,Insumos!$D$1:$D$996),"")</f>
        <v/>
      </c>
      <c r="H3381" s="92" t="n">
        <v>83.93000000000001</v>
      </c>
      <c r="I3381" s="2162" t="n">
        <v>0</v>
      </c>
      <c r="J3381" s="2162" t="n">
        <v>0</v>
      </c>
      <c r="K3381" s="2162" t="n"/>
    </row>
    <row r="3382" outlineLevel="3" ht="15.75" customHeight="1">
      <c r="A3382" s="10" t="n">
        <v>191</v>
      </c>
      <c r="B3382" s="10" t="inlineStr">
        <is>
          <t>Insumo</t>
        </is>
      </c>
      <c r="C3382" s="10" t="inlineStr">
        <is>
          <t>Revestimento de Piso Externo PORCELANATO VILLAGRES 71X71 RETIFICADO ACETINADO MONTREAL FENDI</t>
        </is>
      </c>
      <c r="D3382" s="10" t="inlineStr">
        <is>
          <t>Argamassa ACIII</t>
        </is>
      </c>
      <c r="E3382" s="11">
        <f t="array" ref="E3382">_xlfn.XLOOKUP(D3382,Insumos!B:B,Insumos!C:$C)</f>
        <v/>
      </c>
      <c r="F3382" s="14" t="n">
        <v>8.800000000000001</v>
      </c>
      <c r="G3382" s="92">
        <f t="array" ref="G3382">IF(B3382="insumo",_xlfn.XLOOKUP($D3382,Insumos!$B$1:$B$996,Insumos!$D$1:$D$996),"")</f>
        <v/>
      </c>
      <c r="H3382" s="92" t="n">
        <v>9.367599999999999</v>
      </c>
      <c r="I3382" s="2162" t="n">
        <v>0</v>
      </c>
      <c r="J3382" s="2162" t="n">
        <v>0</v>
      </c>
      <c r="K3382" s="2162" t="n"/>
    </row>
    <row r="3383" outlineLevel="3" ht="15.75" customHeight="1">
      <c r="A3383" s="10" t="n">
        <v>142</v>
      </c>
      <c r="B3383" s="10" t="inlineStr">
        <is>
          <t>Insumo</t>
        </is>
      </c>
      <c r="C3383" s="10" t="inlineStr">
        <is>
          <t>Revestimento de Piso Externo PORCELANATO VILLAGRES 71X71 RETIFICADO ACETINADO MONTREAL FENDI</t>
        </is>
      </c>
      <c r="D3383" s="10" t="inlineStr">
        <is>
          <t>Espeçador junta piso 2mm</t>
        </is>
      </c>
      <c r="E3383" s="11">
        <f t="array" ref="E3383">_xlfn.XLOOKUP(D3383,Insumos!B:B,Insumos!C:$C)</f>
        <v/>
      </c>
      <c r="F3383" s="14" t="n">
        <v>1</v>
      </c>
      <c r="G3383" s="92">
        <f t="array" ref="G3383">IF(B3383="insumo",_xlfn.XLOOKUP($D3383,Insumos!$B$1:$B$996,Insumos!$D$1:$D$996),"")</f>
        <v/>
      </c>
      <c r="H3383" s="92" t="n">
        <v>0.08</v>
      </c>
      <c r="I3383" s="2162" t="n">
        <v>0</v>
      </c>
      <c r="J3383" s="2162" t="n">
        <v>0</v>
      </c>
      <c r="K3383" s="2162" t="n"/>
    </row>
    <row r="3384" outlineLevel="3" ht="15.75" customHeight="1">
      <c r="A3384" s="10" t="n">
        <v>101</v>
      </c>
      <c r="B3384" s="10" t="inlineStr">
        <is>
          <t>Insumo</t>
        </is>
      </c>
      <c r="C3384" s="10" t="inlineStr">
        <is>
          <t>Revestimento de Piso Externo PORCELANATO VILLAGRES 71X71 RETIFICADO ACETINADO MONTREAL FENDI</t>
        </is>
      </c>
      <c r="D3384" s="10" t="inlineStr">
        <is>
          <t>Rejunte Cimentício</t>
        </is>
      </c>
      <c r="E3384" s="11">
        <f t="array" ref="E3384">_xlfn.XLOOKUP(D3384,Insumos!B:B,Insumos!C:$C)</f>
        <v/>
      </c>
      <c r="F3384" s="14" t="n">
        <v>0.01</v>
      </c>
      <c r="G3384" s="92">
        <f t="array" ref="G3384">IF(B3384="insumo",_xlfn.XLOOKUP($D3384,Insumos!$B$1:$B$996,Insumos!$D$1:$D$996),"")</f>
        <v/>
      </c>
      <c r="H3384" s="92" t="n">
        <v>0.1115</v>
      </c>
      <c r="I3384" s="2162" t="n">
        <v>0</v>
      </c>
      <c r="J3384" s="2162" t="n">
        <v>0</v>
      </c>
      <c r="K3384" s="2162" t="n"/>
    </row>
    <row r="3385" outlineLevel="2" ht="15.75" customHeight="1">
      <c r="A3385" s="1067" t="n">
        <v>1</v>
      </c>
      <c r="B3385" s="1067" t="inlineStr">
        <is>
          <t>Serviço</t>
        </is>
      </c>
      <c r="C3385" s="1067" t="inlineStr">
        <is>
          <t>Revestimento de Piso Externo PORCELANATO DELTA 73X73 RETIFICADO ACETINADO JUA CLARO 2280-A</t>
        </is>
      </c>
      <c r="D3385" s="1067" t="inlineStr">
        <is>
          <t>Revestimento de Piso Externo PORCELANATO DELTA 73X73 RETIFICADO ACETINADO JUA CLARO 2280-A</t>
        </is>
      </c>
      <c r="E3385" s="1068" t="inlineStr">
        <is>
          <t>M2</t>
        </is>
      </c>
      <c r="F3385" s="1067" t="n"/>
      <c r="G3385" s="1069">
        <f t="array" ref="G3385">IF(B3385="insumo",_xlfn.XLOOKUP($D3385,Insumos!$B$1:$B$996,Insumos!$D$1:$D$996),"")</f>
        <v/>
      </c>
      <c r="H3385" s="1069" t="n">
        <v>85.34910000000001</v>
      </c>
      <c r="I3385" s="2161" t="n">
        <v>0</v>
      </c>
      <c r="J3385" s="2161" t="n">
        <v>0</v>
      </c>
      <c r="K3385" s="2161" t="n"/>
    </row>
    <row r="3386" outlineLevel="3" ht="15.75" customHeight="1">
      <c r="A3386" s="10" t="n">
        <v>1</v>
      </c>
      <c r="B3386" s="10" t="inlineStr">
        <is>
          <t>Insumo</t>
        </is>
      </c>
      <c r="C3386" s="10" t="inlineStr">
        <is>
          <t>Revestimento de Piso Externo PORCELANATO DELTA 73X73 RETIFICADO ACETINADO JUA CLARO 2280-A</t>
        </is>
      </c>
      <c r="D3386" s="10" t="inlineStr">
        <is>
          <t>PORCELANATO DELTA 73X73 RETIFICADO ACETINADO JUA CLARO 2280-A</t>
        </is>
      </c>
      <c r="E3386" s="11">
        <f t="array" ref="E3386">_xlfn.XLOOKUP(D3386,Insumos!B:B,Insumos!C:$C)</f>
        <v/>
      </c>
      <c r="F3386" s="14" t="n">
        <v>1.1</v>
      </c>
      <c r="G3386" s="92">
        <f t="array" ref="G3386">IF(B3386="insumo",_xlfn.XLOOKUP($D3386,Insumos!$B$1:$B$996,Insumos!$D$1:$D$996),"")</f>
        <v/>
      </c>
      <c r="H3386" s="92" t="n">
        <v>75.79000000000001</v>
      </c>
      <c r="I3386" s="2162" t="n">
        <v>0</v>
      </c>
      <c r="J3386" s="2162" t="n">
        <v>0</v>
      </c>
      <c r="K3386" s="2162" t="n"/>
    </row>
    <row r="3387" outlineLevel="3" ht="15.75" customHeight="1">
      <c r="A3387" s="10" t="n">
        <v>191</v>
      </c>
      <c r="B3387" s="10" t="inlineStr">
        <is>
          <t>Insumo</t>
        </is>
      </c>
      <c r="C3387" s="10" t="inlineStr">
        <is>
          <t>Revestimento de Piso Externo PORCELANATO DELTA 73X73 RETIFICADO ACETINADO JUA CLARO 2280-A</t>
        </is>
      </c>
      <c r="D3387" s="10" t="inlineStr">
        <is>
          <t>Argamassa ACIII</t>
        </is>
      </c>
      <c r="E3387" s="11">
        <f t="array" ref="E3387">_xlfn.XLOOKUP(D3387,Insumos!B:B,Insumos!C:$C)</f>
        <v/>
      </c>
      <c r="F3387" s="14" t="n">
        <v>8.800000000000001</v>
      </c>
      <c r="G3387" s="92">
        <f t="array" ref="G3387">IF(B3387="insumo",_xlfn.XLOOKUP($D3387,Insumos!$B$1:$B$996,Insumos!$D$1:$D$996),"")</f>
        <v/>
      </c>
      <c r="H3387" s="92" t="n">
        <v>9.367599999999999</v>
      </c>
      <c r="I3387" s="2162" t="n">
        <v>0</v>
      </c>
      <c r="J3387" s="2162" t="n">
        <v>0</v>
      </c>
      <c r="K3387" s="2162" t="n"/>
    </row>
    <row r="3388" outlineLevel="3" ht="15.75" customHeight="1">
      <c r="A3388" s="10" t="n">
        <v>142</v>
      </c>
      <c r="B3388" s="10" t="inlineStr">
        <is>
          <t>Insumo</t>
        </is>
      </c>
      <c r="C3388" s="10" t="inlineStr">
        <is>
          <t>Revestimento de Piso Externo PORCELANATO DELTA 73X73 RETIFICADO ACETINADO JUA CLARO 2280-A</t>
        </is>
      </c>
      <c r="D3388" s="10" t="inlineStr">
        <is>
          <t>Espeçador junta piso 2mm</t>
        </is>
      </c>
      <c r="E3388" s="11">
        <f t="array" ref="E3388">_xlfn.XLOOKUP(D3388,Insumos!B:B,Insumos!C:$C)</f>
        <v/>
      </c>
      <c r="F3388" s="14" t="n">
        <v>1</v>
      </c>
      <c r="G3388" s="92">
        <f t="array" ref="G3388">IF(B3388="insumo",_xlfn.XLOOKUP($D3388,Insumos!$B$1:$B$996,Insumos!$D$1:$D$996),"")</f>
        <v/>
      </c>
      <c r="H3388" s="92" t="n">
        <v>0.08</v>
      </c>
      <c r="I3388" s="2162" t="n">
        <v>0</v>
      </c>
      <c r="J3388" s="2162" t="n">
        <v>0</v>
      </c>
      <c r="K3388" s="2162" t="n"/>
    </row>
    <row r="3389" outlineLevel="3" ht="15.75" customHeight="1">
      <c r="A3389" s="10" t="n">
        <v>101</v>
      </c>
      <c r="B3389" s="10" t="inlineStr">
        <is>
          <t>Insumo</t>
        </is>
      </c>
      <c r="C3389" s="10" t="inlineStr">
        <is>
          <t>Revestimento de Piso Externo PORCELANATO DELTA 73X73 RETIFICADO ACETINADO JUA CLARO 2280-A</t>
        </is>
      </c>
      <c r="D3389" s="10" t="inlineStr">
        <is>
          <t>Rejunte Cimentício</t>
        </is>
      </c>
      <c r="E3389" s="11">
        <f t="array" ref="E3389">_xlfn.XLOOKUP(D3389,Insumos!B:B,Insumos!C:$C)</f>
        <v/>
      </c>
      <c r="F3389" s="14" t="n">
        <v>0.01</v>
      </c>
      <c r="G3389" s="92">
        <f t="array" ref="G3389">IF(B3389="insumo",_xlfn.XLOOKUP($D3389,Insumos!$B$1:$B$996,Insumos!$D$1:$D$996),"")</f>
        <v/>
      </c>
      <c r="H3389" s="92" t="n">
        <v>0.1115</v>
      </c>
      <c r="I3389" s="2162" t="n">
        <v>0</v>
      </c>
      <c r="J3389" s="2162" t="n">
        <v>0</v>
      </c>
      <c r="K3389" s="2162" t="n"/>
    </row>
    <row r="3390" outlineLevel="2" ht="15.75" customHeight="1">
      <c r="A3390" s="1067" t="n">
        <v>1</v>
      </c>
      <c r="B3390" s="1067" t="inlineStr">
        <is>
          <t>Serviço</t>
        </is>
      </c>
      <c r="C3390" s="1067" t="inlineStr">
        <is>
          <t>Revestimento de Piso Porcelanato Interno ELIZABETH EGEU SAND 74x74 A</t>
        </is>
      </c>
      <c r="D3390" s="1067" t="inlineStr">
        <is>
          <t>Revestimento de Piso Porcelanato Interno ELIZABETH EGEU SAND 74x74 A</t>
        </is>
      </c>
      <c r="E3390" s="1068" t="inlineStr">
        <is>
          <t>M2</t>
        </is>
      </c>
      <c r="F3390" s="1067" t="n"/>
      <c r="G3390" s="1069">
        <f t="array" ref="G3390">IF(B3390="insumo",_xlfn.XLOOKUP($D3390,Insumos!$B$1:$B$996,Insumos!$D$1:$D$996),"")</f>
        <v/>
      </c>
      <c r="H3390" s="1069" t="n">
        <v>108.4491</v>
      </c>
      <c r="I3390" s="2161" t="n">
        <v>0</v>
      </c>
      <c r="J3390" s="2161" t="n">
        <v>0</v>
      </c>
      <c r="K3390" s="2161" t="n"/>
    </row>
    <row r="3391" outlineLevel="3" ht="15.75" customHeight="1">
      <c r="A3391" s="10" t="n">
        <v>1</v>
      </c>
      <c r="B3391" s="10" t="inlineStr">
        <is>
          <t>Insumo</t>
        </is>
      </c>
      <c r="C3391" s="10" t="inlineStr">
        <is>
          <t>Revestimento de Piso Porcelanato Interno ELIZABETH EGEU SAND 74x74 A</t>
        </is>
      </c>
      <c r="D3391" s="10" t="inlineStr">
        <is>
          <t>PORCELANATO ELIZABETH EGEU SAND 74x74 A</t>
        </is>
      </c>
      <c r="E3391" s="11">
        <f t="array" ref="E3391">_xlfn.XLOOKUP(D3391,Insumos!B:B,Insumos!C:$C)</f>
        <v/>
      </c>
      <c r="F3391" s="14" t="n">
        <v>1.1</v>
      </c>
      <c r="G3391" s="92">
        <f t="array" ref="G3391">IF(B3391="insumo",_xlfn.XLOOKUP($D3391,Insumos!$B$1:$B$996,Insumos!$D$1:$D$996),"")</f>
        <v/>
      </c>
      <c r="H3391" s="92" t="n">
        <v>98.89</v>
      </c>
      <c r="I3391" s="2162" t="n">
        <v>0</v>
      </c>
      <c r="J3391" s="2162" t="n">
        <v>0</v>
      </c>
      <c r="K3391" s="2162" t="n"/>
    </row>
    <row r="3392" outlineLevel="3" ht="15.75" customHeight="1">
      <c r="A3392" s="10" t="n">
        <v>191</v>
      </c>
      <c r="B3392" s="10" t="inlineStr">
        <is>
          <t>Insumo</t>
        </is>
      </c>
      <c r="C3392" s="10" t="inlineStr">
        <is>
          <t>Revestimento de Piso Porcelanato Interno ELIZABETH EGEU SAND 74x74 A</t>
        </is>
      </c>
      <c r="D3392" s="10" t="inlineStr">
        <is>
          <t>Argamassa ACIII</t>
        </is>
      </c>
      <c r="E3392" s="11">
        <f t="array" ref="E3392">_xlfn.XLOOKUP(D3392,Insumos!B:B,Insumos!C:$C)</f>
        <v/>
      </c>
      <c r="F3392" s="14" t="n">
        <v>8.800000000000001</v>
      </c>
      <c r="G3392" s="92">
        <f t="array" ref="G3392">IF(B3392="insumo",_xlfn.XLOOKUP($D3392,Insumos!$B$1:$B$996,Insumos!$D$1:$D$996),"")</f>
        <v/>
      </c>
      <c r="H3392" s="92" t="n">
        <v>9.367599999999999</v>
      </c>
      <c r="I3392" s="2162" t="n">
        <v>0</v>
      </c>
      <c r="J3392" s="2162" t="n">
        <v>0</v>
      </c>
      <c r="K3392" s="2162" t="n"/>
    </row>
    <row r="3393" outlineLevel="3" ht="15.75" customHeight="1">
      <c r="A3393" s="10" t="n">
        <v>142</v>
      </c>
      <c r="B3393" s="10" t="inlineStr">
        <is>
          <t>Insumo</t>
        </is>
      </c>
      <c r="C3393" s="10" t="inlineStr">
        <is>
          <t>Revestimento de Piso Porcelanato Interno ELIZABETH EGEU SAND 74x74 A</t>
        </is>
      </c>
      <c r="D3393" s="10" t="inlineStr">
        <is>
          <t>Espeçador junta piso 2mm</t>
        </is>
      </c>
      <c r="E3393" s="11">
        <f t="array" ref="E3393">_xlfn.XLOOKUP(D3393,Insumos!B:B,Insumos!C:$C)</f>
        <v/>
      </c>
      <c r="F3393" s="14" t="n">
        <v>1</v>
      </c>
      <c r="G3393" s="92">
        <f t="array" ref="G3393">IF(B3393="insumo",_xlfn.XLOOKUP($D3393,Insumos!$B$1:$B$996,Insumos!$D$1:$D$996),"")</f>
        <v/>
      </c>
      <c r="H3393" s="92" t="n">
        <v>0.08</v>
      </c>
      <c r="I3393" s="2162" t="n">
        <v>0</v>
      </c>
      <c r="J3393" s="2162" t="n">
        <v>0</v>
      </c>
      <c r="K3393" s="2162" t="n"/>
    </row>
    <row r="3394" outlineLevel="3" ht="15.75" customHeight="1">
      <c r="A3394" s="10" t="n">
        <v>101</v>
      </c>
      <c r="B3394" s="10" t="inlineStr">
        <is>
          <t>Insumo</t>
        </is>
      </c>
      <c r="C3394" s="10" t="inlineStr">
        <is>
          <t>Revestimento de Piso Porcelanato Interno ELIZABETH EGEU SAND 74x74 A</t>
        </is>
      </c>
      <c r="D3394" s="10" t="inlineStr">
        <is>
          <t>Rejunte Cimentício</t>
        </is>
      </c>
      <c r="E3394" s="11">
        <f t="array" ref="E3394">_xlfn.XLOOKUP(D3394,Insumos!B:B,Insumos!C:$C)</f>
        <v/>
      </c>
      <c r="F3394" s="14" t="n">
        <v>0.01</v>
      </c>
      <c r="G3394" s="92">
        <f t="array" ref="G3394">IF(B3394="insumo",_xlfn.XLOOKUP($D3394,Insumos!$B$1:$B$996,Insumos!$D$1:$D$996),"")</f>
        <v/>
      </c>
      <c r="H3394" s="92" t="n">
        <v>0.1115</v>
      </c>
      <c r="I3394" s="2162" t="n">
        <v>0</v>
      </c>
      <c r="J3394" s="2162" t="n">
        <v>0</v>
      </c>
      <c r="K3394" s="2162" t="n"/>
    </row>
    <row r="3395" outlineLevel="2" ht="15.75" customHeight="1">
      <c r="A3395" s="1067" t="n">
        <v>1</v>
      </c>
      <c r="B3395" s="1067" t="inlineStr">
        <is>
          <t>Serviço</t>
        </is>
      </c>
      <c r="C3395" s="1067" t="inlineStr">
        <is>
          <t>Revestimento de Piso Porcelanato Interno Piso 75x75cm Cedasa Retificado Evidence Polido</t>
        </is>
      </c>
      <c r="D3395" s="1067" t="inlineStr">
        <is>
          <t>Revestimento de Piso Porcelanato Interno Piso 75x75cm Cedasa Retificado Evidence Polido</t>
        </is>
      </c>
      <c r="E3395" s="1068" t="inlineStr">
        <is>
          <t>M2</t>
        </is>
      </c>
      <c r="F3395" s="1067" t="n"/>
      <c r="G3395" s="1069">
        <f t="array" ref="G3395">IF(B3395="insumo",_xlfn.XLOOKUP($D3395,Insumos!$B$1:$B$996,Insumos!$D$1:$D$996),"")</f>
        <v/>
      </c>
      <c r="H3395" s="1069" t="n">
        <v>167.4641</v>
      </c>
      <c r="I3395" s="2161" t="n">
        <v>0</v>
      </c>
      <c r="J3395" s="2161" t="n">
        <v>0</v>
      </c>
      <c r="K3395" s="2161" t="n"/>
    </row>
    <row r="3396" outlineLevel="3" ht="15.75" customHeight="1">
      <c r="A3396" s="10" t="n">
        <v>2</v>
      </c>
      <c r="B3396" s="10" t="inlineStr">
        <is>
          <t>Insumo</t>
        </is>
      </c>
      <c r="C3396" s="10" t="inlineStr">
        <is>
          <t>Revestimento de Piso Porcelanato Interno Piso 75x75cm Cedasa Retificado Evidence Polido</t>
        </is>
      </c>
      <c r="D3396" s="10" t="inlineStr">
        <is>
          <t>Piso 75x75cm Cedasa Retificado Evidence Polido</t>
        </is>
      </c>
      <c r="E3396" s="11">
        <f t="array" ref="E3396">_xlfn.XLOOKUP(D3396,Insumos!B:B,Insumos!C:$C)</f>
        <v/>
      </c>
      <c r="F3396" s="14" t="n">
        <v>1.1</v>
      </c>
      <c r="G3396" s="92">
        <f t="array" ref="G3396">IF(B3396="insumo",_xlfn.XLOOKUP($D3396,Insumos!$B$1:$B$996,Insumos!$D$1:$D$996),"")</f>
        <v/>
      </c>
      <c r="H3396" s="92" t="n">
        <v>157.905</v>
      </c>
      <c r="I3396" s="2162" t="n">
        <v>0</v>
      </c>
      <c r="J3396" s="2162" t="n">
        <v>0</v>
      </c>
      <c r="K3396" s="2162" t="n"/>
    </row>
    <row r="3397" outlineLevel="3" ht="15.75" customHeight="1">
      <c r="A3397" s="10" t="n">
        <v>191</v>
      </c>
      <c r="B3397" s="10" t="inlineStr">
        <is>
          <t>Insumo</t>
        </is>
      </c>
      <c r="C3397" s="10" t="inlineStr">
        <is>
          <t>Revestimento de Piso Porcelanato Interno Piso 75x75cm Cedasa Retificado Evidence Polido</t>
        </is>
      </c>
      <c r="D3397" s="10" t="inlineStr">
        <is>
          <t>Argamassa ACIII</t>
        </is>
      </c>
      <c r="E3397" s="11">
        <f t="array" ref="E3397">_xlfn.XLOOKUP(D3397,Insumos!B:B,Insumos!C:$C)</f>
        <v/>
      </c>
      <c r="F3397" s="14" t="n">
        <v>8.800000000000001</v>
      </c>
      <c r="G3397" s="92">
        <f t="array" ref="G3397">IF(B3397="insumo",_xlfn.XLOOKUP($D3397,Insumos!$B$1:$B$996,Insumos!$D$1:$D$996),"")</f>
        <v/>
      </c>
      <c r="H3397" s="92" t="n">
        <v>9.367599999999999</v>
      </c>
      <c r="I3397" s="2162" t="n">
        <v>0</v>
      </c>
      <c r="J3397" s="2162" t="n">
        <v>0</v>
      </c>
      <c r="K3397" s="2162" t="n"/>
    </row>
    <row r="3398" outlineLevel="3" ht="15.75" customHeight="1">
      <c r="A3398" s="10" t="n">
        <v>142</v>
      </c>
      <c r="B3398" s="10" t="inlineStr">
        <is>
          <t>Insumo</t>
        </is>
      </c>
      <c r="C3398" s="10" t="inlineStr">
        <is>
          <t>Revestimento de Piso Porcelanato Interno Piso 75x75cm Cedasa Retificado Evidence Polido</t>
        </is>
      </c>
      <c r="D3398" s="10" t="inlineStr">
        <is>
          <t>Espeçador junta piso 2mm</t>
        </is>
      </c>
      <c r="E3398" s="11">
        <f t="array" ref="E3398">_xlfn.XLOOKUP(D3398,Insumos!B:B,Insumos!C:$C)</f>
        <v/>
      </c>
      <c r="F3398" s="14" t="n">
        <v>1</v>
      </c>
      <c r="G3398" s="92">
        <f t="array" ref="G3398">IF(B3398="insumo",_xlfn.XLOOKUP($D3398,Insumos!$B$1:$B$996,Insumos!$D$1:$D$996),"")</f>
        <v/>
      </c>
      <c r="H3398" s="92" t="n">
        <v>0.08</v>
      </c>
      <c r="I3398" s="2162" t="n">
        <v>0</v>
      </c>
      <c r="J3398" s="2162" t="n">
        <v>0</v>
      </c>
      <c r="K3398" s="2162" t="n"/>
    </row>
    <row r="3399" outlineLevel="3" ht="15.75" customHeight="1">
      <c r="A3399" s="10" t="n">
        <v>101</v>
      </c>
      <c r="B3399" s="10" t="inlineStr">
        <is>
          <t>Insumo</t>
        </is>
      </c>
      <c r="C3399" s="10" t="inlineStr">
        <is>
          <t>Revestimento de Piso Porcelanato Interno Piso 75x75cm Cedasa Retificado Evidence Polido</t>
        </is>
      </c>
      <c r="D3399" s="10" t="inlineStr">
        <is>
          <t>Rejunte Cimentício</t>
        </is>
      </c>
      <c r="E3399" s="11">
        <f t="array" ref="E3399">_xlfn.XLOOKUP(D3399,Insumos!B:B,Insumos!C:$C)</f>
        <v/>
      </c>
      <c r="F3399" s="14" t="n">
        <v>0.01</v>
      </c>
      <c r="G3399" s="92">
        <f t="array" ref="G3399">IF(B3399="insumo",_xlfn.XLOOKUP($D3399,Insumos!$B$1:$B$996,Insumos!$D$1:$D$996),"")</f>
        <v/>
      </c>
      <c r="H3399" s="92" t="n">
        <v>0.1115</v>
      </c>
      <c r="I3399" s="2162" t="n">
        <v>0</v>
      </c>
      <c r="J3399" s="2162" t="n">
        <v>0</v>
      </c>
      <c r="K3399" s="2162" t="n"/>
    </row>
    <row r="3400" outlineLevel="2" ht="15.75" customHeight="1">
      <c r="A3400" s="1067" t="n">
        <v>1</v>
      </c>
      <c r="B3400" s="1067" t="inlineStr">
        <is>
          <t>Serviço</t>
        </is>
      </c>
      <c r="C3400" s="1067" t="inlineStr">
        <is>
          <t>Revestimento de Piso Porcelanato Interno Retificado Embramaco 76x76cm Acetinado Nevada Mate Plus Retificado</t>
        </is>
      </c>
      <c r="D3400" s="1067" t="inlineStr">
        <is>
          <t>Revestimento de Piso Porcelanato Interno Retificado Embramaco 76x76cm Acetinado Nevada Mate Plus Retificado</t>
        </is>
      </c>
      <c r="E3400" s="1068" t="inlineStr">
        <is>
          <t>M2</t>
        </is>
      </c>
      <c r="F3400" s="1067" t="n"/>
      <c r="G3400" s="1069">
        <f t="array" ref="G3400">IF(B3400="insumo",_xlfn.XLOOKUP($D3400,Insumos!$B$1:$B$996,Insumos!$D$1:$D$996),"")</f>
        <v/>
      </c>
      <c r="H3400" s="1069" t="n">
        <v>47.9491</v>
      </c>
      <c r="I3400" s="2161" t="n">
        <v>0</v>
      </c>
      <c r="J3400" s="2161" t="n">
        <v>0</v>
      </c>
      <c r="K3400" s="2161" t="n"/>
    </row>
    <row r="3401" outlineLevel="3" ht="15.75" customHeight="1">
      <c r="A3401" s="10" t="n">
        <v>2</v>
      </c>
      <c r="B3401" s="10" t="inlineStr">
        <is>
          <t>Insumo</t>
        </is>
      </c>
      <c r="C3401" s="10" t="inlineStr">
        <is>
          <t>Revestimento de Piso Porcelanato Interno Retificado Embramaco 76x76cm Acetinado Nevada Mate Plus Retificado</t>
        </is>
      </c>
      <c r="D3401" s="10" t="inlineStr">
        <is>
          <t>Porcelanato Piso Retificado Embramaco 76x76cm Acetinado Nevada Mate Plus Retificado</t>
        </is>
      </c>
      <c r="E3401" s="11">
        <f t="array" ref="E3401">_xlfn.XLOOKUP(D3401,Insumos!B:B,Insumos!C:$C)</f>
        <v/>
      </c>
      <c r="F3401" s="14" t="n">
        <v>1.1</v>
      </c>
      <c r="G3401" s="92">
        <f t="array" ref="G3401">IF(B3401="insumo",_xlfn.XLOOKUP($D3401,Insumos!$B$1:$B$996,Insumos!$D$1:$D$996),"")</f>
        <v/>
      </c>
      <c r="H3401" s="92" t="n">
        <v>38.39</v>
      </c>
      <c r="I3401" s="2162" t="n">
        <v>0</v>
      </c>
      <c r="J3401" s="2162" t="n">
        <v>0</v>
      </c>
      <c r="K3401" s="2162" t="n"/>
    </row>
    <row r="3402" outlineLevel="3" ht="15.75" customHeight="1">
      <c r="A3402" s="10" t="n">
        <v>191</v>
      </c>
      <c r="B3402" s="10" t="inlineStr">
        <is>
          <t>Insumo</t>
        </is>
      </c>
      <c r="C3402" s="10" t="inlineStr">
        <is>
          <t>Revestimento de Piso Porcelanato Interno Retificado Embramaco 76x76cm Acetinado Nevada Mate Plus Retificado</t>
        </is>
      </c>
      <c r="D3402" s="10" t="inlineStr">
        <is>
          <t>Argamassa ACIII</t>
        </is>
      </c>
      <c r="E3402" s="11">
        <f t="array" ref="E3402">_xlfn.XLOOKUP(D3402,Insumos!B:B,Insumos!C:$C)</f>
        <v/>
      </c>
      <c r="F3402" s="14" t="n">
        <v>8.800000000000001</v>
      </c>
      <c r="G3402" s="92">
        <f t="array" ref="G3402">IF(B3402="insumo",_xlfn.XLOOKUP($D3402,Insumos!$B$1:$B$996,Insumos!$D$1:$D$996),"")</f>
        <v/>
      </c>
      <c r="H3402" s="92" t="n">
        <v>9.367599999999999</v>
      </c>
      <c r="I3402" s="2162" t="n">
        <v>0</v>
      </c>
      <c r="J3402" s="2162" t="n">
        <v>0</v>
      </c>
      <c r="K3402" s="2162" t="n"/>
    </row>
    <row r="3403" outlineLevel="3" ht="15.75" customHeight="1">
      <c r="A3403" s="10" t="n">
        <v>142</v>
      </c>
      <c r="B3403" s="10" t="inlineStr">
        <is>
          <t>Insumo</t>
        </is>
      </c>
      <c r="C3403" s="10" t="inlineStr">
        <is>
          <t>Revestimento de Piso Porcelanato Interno Retificado Embramaco 76x76cm Acetinado Nevada Mate Plus Retificado</t>
        </is>
      </c>
      <c r="D3403" s="10" t="inlineStr">
        <is>
          <t>Espeçador junta piso 2mm</t>
        </is>
      </c>
      <c r="E3403" s="11">
        <f t="array" ref="E3403">_xlfn.XLOOKUP(D3403,Insumos!B:B,Insumos!C:$C)</f>
        <v/>
      </c>
      <c r="F3403" s="14" t="n">
        <v>1</v>
      </c>
      <c r="G3403" s="92">
        <f t="array" ref="G3403">IF(B3403="insumo",_xlfn.XLOOKUP($D3403,Insumos!$B$1:$B$996,Insumos!$D$1:$D$996),"")</f>
        <v/>
      </c>
      <c r="H3403" s="92" t="n">
        <v>0.08</v>
      </c>
      <c r="I3403" s="2162" t="n">
        <v>0</v>
      </c>
      <c r="J3403" s="2162" t="n">
        <v>0</v>
      </c>
      <c r="K3403" s="2162" t="n"/>
    </row>
    <row r="3404" outlineLevel="3" ht="15.75" customHeight="1">
      <c r="A3404" s="10" t="n">
        <v>101</v>
      </c>
      <c r="B3404" s="10" t="inlineStr">
        <is>
          <t>Insumo</t>
        </is>
      </c>
      <c r="C3404" s="10" t="inlineStr">
        <is>
          <t>Revestimento de Piso Porcelanato Interno Retificado Embramaco 76x76cm Acetinado Nevada Mate Plus Retificado</t>
        </is>
      </c>
      <c r="D3404" s="10" t="inlineStr">
        <is>
          <t>Rejunte Cimentício</t>
        </is>
      </c>
      <c r="E3404" s="11">
        <f t="array" ref="E3404">_xlfn.XLOOKUP(D3404,Insumos!B:B,Insumos!C:$C)</f>
        <v/>
      </c>
      <c r="F3404" s="14" t="n">
        <v>0.01</v>
      </c>
      <c r="G3404" s="92">
        <f t="array" ref="G3404">IF(B3404="insumo",_xlfn.XLOOKUP($D3404,Insumos!$B$1:$B$996,Insumos!$D$1:$D$996),"")</f>
        <v/>
      </c>
      <c r="H3404" s="92" t="n">
        <v>0.1115</v>
      </c>
      <c r="I3404" s="2162" t="n">
        <v>0</v>
      </c>
      <c r="J3404" s="2162" t="n">
        <v>0</v>
      </c>
      <c r="K3404" s="2162" t="n"/>
    </row>
    <row r="3405" outlineLevel="2" ht="15.75" customHeight="1">
      <c r="A3405" s="1067" t="n">
        <v>1</v>
      </c>
      <c r="B3405" s="1067" t="inlineStr">
        <is>
          <t>Serviço</t>
        </is>
      </c>
      <c r="C3405" s="1067" t="inlineStr">
        <is>
          <t>Revestimento de Piso Porcelanato Externo Portobello Deck Parquet D Olivier Externo "A" 81x81cm</t>
        </is>
      </c>
      <c r="D3405" s="1067" t="inlineStr">
        <is>
          <t>Revestimento de Piso Porcelanato Externo Portobello Deck Parquet D Olivier Externo "A" 81x81cm</t>
        </is>
      </c>
      <c r="E3405" s="1068" t="inlineStr">
        <is>
          <t>M2</t>
        </is>
      </c>
      <c r="F3405" s="1067" t="n"/>
      <c r="G3405" s="1069">
        <f t="array" ref="G3405">IF(B3405="insumo",_xlfn.XLOOKUP($D3405,Insumos!$B$1:$B$996,Insumos!$D$1:$D$996),"")</f>
        <v/>
      </c>
      <c r="H3405" s="1069" t="n">
        <v>102.9491</v>
      </c>
      <c r="I3405" s="2161" t="n">
        <v>0</v>
      </c>
      <c r="J3405" s="2161" t="n">
        <v>0</v>
      </c>
      <c r="K3405" s="2161" t="n"/>
    </row>
    <row r="3406" outlineLevel="3" ht="15.75" customHeight="1">
      <c r="A3406" s="10" t="n">
        <v>1</v>
      </c>
      <c r="B3406" s="10" t="inlineStr">
        <is>
          <t>Insumo</t>
        </is>
      </c>
      <c r="C3406" s="10" t="inlineStr">
        <is>
          <t>Revestimento de Piso Porcelanato Externo Portobello Deck Parquet D Olivier Externo "A" 81x81cm</t>
        </is>
      </c>
      <c r="D3406" s="10" t="inlineStr">
        <is>
          <t>Porcelanato Portobello Deck Parquet D Olivier Externo "A" 81x81cm</t>
        </is>
      </c>
      <c r="E3406" s="11">
        <f t="array" ref="E3406">_xlfn.XLOOKUP(D3406,Insumos!B:B,Insumos!C:$C)</f>
        <v/>
      </c>
      <c r="F3406" s="14" t="n">
        <v>1.1</v>
      </c>
      <c r="G3406" s="92">
        <f t="array" ref="G3406">IF(B3406="insumo",_xlfn.XLOOKUP($D3406,Insumos!$B$1:$B$996,Insumos!$D$1:$D$996),"")</f>
        <v/>
      </c>
      <c r="H3406" s="92" t="n">
        <v>93.39</v>
      </c>
      <c r="I3406" s="2162" t="n">
        <v>0</v>
      </c>
      <c r="J3406" s="2162" t="n">
        <v>0</v>
      </c>
      <c r="K3406" s="2162" t="n"/>
    </row>
    <row r="3407" outlineLevel="3" ht="15.75" customHeight="1">
      <c r="A3407" s="10" t="n">
        <v>191</v>
      </c>
      <c r="B3407" s="10" t="inlineStr">
        <is>
          <t>Insumo</t>
        </is>
      </c>
      <c r="C3407" s="10" t="inlineStr">
        <is>
          <t>Revestimento de Piso Porcelanato Externo Portobello Deck Parquet D Olivier Externo "A" 81x81cm</t>
        </is>
      </c>
      <c r="D3407" s="10" t="inlineStr">
        <is>
          <t>Argamassa ACIII</t>
        </is>
      </c>
      <c r="E3407" s="11">
        <f t="array" ref="E3407">_xlfn.XLOOKUP(D3407,Insumos!B:B,Insumos!C:$C)</f>
        <v/>
      </c>
      <c r="F3407" s="14" t="n">
        <v>8.800000000000001</v>
      </c>
      <c r="G3407" s="92">
        <f t="array" ref="G3407">IF(B3407="insumo",_xlfn.XLOOKUP($D3407,Insumos!$B$1:$B$996,Insumos!$D$1:$D$996),"")</f>
        <v/>
      </c>
      <c r="H3407" s="92" t="n">
        <v>9.367599999999999</v>
      </c>
      <c r="I3407" s="2162" t="n">
        <v>0</v>
      </c>
      <c r="J3407" s="2162" t="n">
        <v>0</v>
      </c>
      <c r="K3407" s="2162" t="n"/>
    </row>
    <row r="3408" outlineLevel="3" ht="15.75" customHeight="1">
      <c r="A3408" s="10" t="n">
        <v>142</v>
      </c>
      <c r="B3408" s="10" t="inlineStr">
        <is>
          <t>Insumo</t>
        </is>
      </c>
      <c r="C3408" s="10" t="inlineStr">
        <is>
          <t>Revestimento de Piso Porcelanato Externo Portobello Deck Parquet D Olivier Externo "A" 81x81cm</t>
        </is>
      </c>
      <c r="D3408" s="10" t="inlineStr">
        <is>
          <t>Espeçador junta piso 2mm</t>
        </is>
      </c>
      <c r="E3408" s="11">
        <f t="array" ref="E3408">_xlfn.XLOOKUP(D3408,Insumos!B:B,Insumos!C:$C)</f>
        <v/>
      </c>
      <c r="F3408" s="14" t="n">
        <v>1</v>
      </c>
      <c r="G3408" s="92">
        <f t="array" ref="G3408">IF(B3408="insumo",_xlfn.XLOOKUP($D3408,Insumos!$B$1:$B$996,Insumos!$D$1:$D$996),"")</f>
        <v/>
      </c>
      <c r="H3408" s="92" t="n">
        <v>0.08</v>
      </c>
      <c r="I3408" s="2162" t="n">
        <v>0</v>
      </c>
      <c r="J3408" s="2162" t="n">
        <v>0</v>
      </c>
      <c r="K3408" s="2162" t="n"/>
    </row>
    <row r="3409" outlineLevel="3" ht="15.75" customHeight="1">
      <c r="A3409" s="10" t="n">
        <v>101</v>
      </c>
      <c r="B3409" s="10" t="inlineStr">
        <is>
          <t>Insumo</t>
        </is>
      </c>
      <c r="C3409" s="10" t="inlineStr">
        <is>
          <t>Revestimento de Piso Porcelanato Externo Portobello Deck Parquet D Olivier Externo "A" 81x81cm</t>
        </is>
      </c>
      <c r="D3409" s="10" t="inlineStr">
        <is>
          <t>Rejunte Cimentício</t>
        </is>
      </c>
      <c r="E3409" s="11">
        <f t="array" ref="E3409">_xlfn.XLOOKUP(D3409,Insumos!B:B,Insumos!C:$C)</f>
        <v/>
      </c>
      <c r="F3409" s="14" t="n">
        <v>0.01</v>
      </c>
      <c r="G3409" s="92">
        <f t="array" ref="G3409">IF(B3409="insumo",_xlfn.XLOOKUP($D3409,Insumos!$B$1:$B$996,Insumos!$D$1:$D$996),"")</f>
        <v/>
      </c>
      <c r="H3409" s="92" t="n">
        <v>0.1115</v>
      </c>
      <c r="I3409" s="2162" t="n">
        <v>0</v>
      </c>
      <c r="J3409" s="2162" t="n">
        <v>0</v>
      </c>
      <c r="K3409" s="2162" t="n"/>
    </row>
    <row r="3410" outlineLevel="2" ht="15.75" customHeight="1">
      <c r="A3410" s="1067" t="n">
        <v>1</v>
      </c>
      <c r="B3410" s="1067" t="inlineStr">
        <is>
          <t>Serviço</t>
        </is>
      </c>
      <c r="C3410" s="1067" t="inlineStr">
        <is>
          <t>Revestimento de Piso Porcelanato Acetinado, Placa 84x84cm (Porcelanato, rejunte, argamassa e espaçador)</t>
        </is>
      </c>
      <c r="D3410" s="1067" t="inlineStr">
        <is>
          <t>Revestimento de Piso Porcelanato Acetinado, Placa 84x84cm (Porcelanato, rejunte, argamassa e espaçador)</t>
        </is>
      </c>
      <c r="E3410" s="1068" t="inlineStr">
        <is>
          <t>M2</t>
        </is>
      </c>
      <c r="F3410" s="1067" t="n"/>
      <c r="G3410" s="1069">
        <f t="array" ref="G3410">IF(B3410="insumo",_xlfn.XLOOKUP($D3410,Insumos!$B$1:$B$996,Insumos!$D$1:$D$996),"")</f>
        <v/>
      </c>
      <c r="H3410" s="1069" t="n">
        <v>97.5591</v>
      </c>
      <c r="I3410" s="2161" t="n">
        <v>0</v>
      </c>
      <c r="J3410" s="2161" t="n">
        <v>0</v>
      </c>
      <c r="K3410" s="2161" t="n"/>
    </row>
    <row r="3411" outlineLevel="3" ht="15.75" customHeight="1">
      <c r="A3411" s="10" t="n">
        <v>1</v>
      </c>
      <c r="B3411" s="10" t="inlineStr">
        <is>
          <t>Insumo</t>
        </is>
      </c>
      <c r="C3411" s="10" t="inlineStr">
        <is>
          <t>Revestimento de Piso Porcelanato Acetinado, Placa 84x84cm (Porcelanato, rejunte, argamassa e espaçador)</t>
        </is>
      </c>
      <c r="D3411" s="10" t="inlineStr">
        <is>
          <t xml:space="preserve">Porcelanato A 84x84cm acetinado </t>
        </is>
      </c>
      <c r="E3411" s="11">
        <f t="array" ref="E3411">_xlfn.XLOOKUP(D3411,Insumos!B:B,Insumos!C:$C)</f>
        <v/>
      </c>
      <c r="F3411" s="14" t="n">
        <v>1.1</v>
      </c>
      <c r="G3411" s="92">
        <f t="array" ref="G3411">IF(B3411="insumo",_xlfn.XLOOKUP($D3411,Insumos!$B$1:$B$996,Insumos!$D$1:$D$996),"")</f>
        <v/>
      </c>
      <c r="H3411" s="92" t="n">
        <v>88</v>
      </c>
      <c r="I3411" s="2162" t="n">
        <v>0</v>
      </c>
      <c r="J3411" s="2162" t="n">
        <v>0</v>
      </c>
      <c r="K3411" s="2162" t="n"/>
    </row>
    <row r="3412" outlineLevel="3" ht="15.75" customHeight="1">
      <c r="A3412" s="10" t="n">
        <v>191</v>
      </c>
      <c r="B3412" s="10" t="inlineStr">
        <is>
          <t>Insumo</t>
        </is>
      </c>
      <c r="C3412" s="10" t="inlineStr">
        <is>
          <t>Revestimento de Piso Porcelanato Acetinado, Placa 84x84cm (Porcelanato, rejunte, argamassa e espaçador)</t>
        </is>
      </c>
      <c r="D3412" s="10" t="inlineStr">
        <is>
          <t>Argamassa ACIII</t>
        </is>
      </c>
      <c r="E3412" s="11">
        <f t="array" ref="E3412">_xlfn.XLOOKUP(D3412,Insumos!B:B,Insumos!C:$C)</f>
        <v/>
      </c>
      <c r="F3412" s="14" t="n">
        <v>8.800000000000001</v>
      </c>
      <c r="G3412" s="92">
        <f t="array" ref="G3412">IF(B3412="insumo",_xlfn.XLOOKUP($D3412,Insumos!$B$1:$B$996,Insumos!$D$1:$D$996),"")</f>
        <v/>
      </c>
      <c r="H3412" s="92" t="n">
        <v>9.367599999999999</v>
      </c>
      <c r="I3412" s="2162" t="n">
        <v>0</v>
      </c>
      <c r="J3412" s="2162" t="n">
        <v>0</v>
      </c>
      <c r="K3412" s="2162" t="n"/>
    </row>
    <row r="3413" outlineLevel="3" ht="15.75" customHeight="1">
      <c r="A3413" s="10" t="n">
        <v>142</v>
      </c>
      <c r="B3413" s="10" t="inlineStr">
        <is>
          <t>Insumo</t>
        </is>
      </c>
      <c r="C3413" s="10" t="inlineStr">
        <is>
          <t>Revestimento de Piso Porcelanato Acetinado, Placa 84x84cm (Porcelanato, rejunte, argamassa e espaçador)</t>
        </is>
      </c>
      <c r="D3413" s="10" t="inlineStr">
        <is>
          <t>Espeçador junta piso 2mm</t>
        </is>
      </c>
      <c r="E3413" s="11">
        <f t="array" ref="E3413">_xlfn.XLOOKUP(D3413,Insumos!B:B,Insumos!C:$C)</f>
        <v/>
      </c>
      <c r="F3413" s="14" t="n">
        <v>1</v>
      </c>
      <c r="G3413" s="92">
        <f t="array" ref="G3413">IF(B3413="insumo",_xlfn.XLOOKUP($D3413,Insumos!$B$1:$B$996,Insumos!$D$1:$D$996),"")</f>
        <v/>
      </c>
      <c r="H3413" s="92" t="n">
        <v>0.08</v>
      </c>
      <c r="I3413" s="2162" t="n">
        <v>0</v>
      </c>
      <c r="J3413" s="2162" t="n">
        <v>0</v>
      </c>
      <c r="K3413" s="2162" t="n"/>
    </row>
    <row r="3414" outlineLevel="3" ht="15.75" customHeight="1">
      <c r="A3414" s="10" t="n">
        <v>101</v>
      </c>
      <c r="B3414" s="10" t="inlineStr">
        <is>
          <t>Insumo</t>
        </is>
      </c>
      <c r="C3414" s="10" t="inlineStr">
        <is>
          <t>Revestimento de Piso Porcelanato Acetinado, Placa 84x84cm (Porcelanato, rejunte, argamassa e espaçador)</t>
        </is>
      </c>
      <c r="D3414" s="10" t="inlineStr">
        <is>
          <t>Rejunte Cimentício</t>
        </is>
      </c>
      <c r="E3414" s="11">
        <f t="array" ref="E3414">_xlfn.XLOOKUP(D3414,Insumos!B:B,Insumos!C:$C)</f>
        <v/>
      </c>
      <c r="F3414" s="14" t="n">
        <v>0.01</v>
      </c>
      <c r="G3414" s="92">
        <f t="array" ref="G3414">IF(B3414="insumo",_xlfn.XLOOKUP($D3414,Insumos!$B$1:$B$996,Insumos!$D$1:$D$996),"")</f>
        <v/>
      </c>
      <c r="H3414" s="92" t="n">
        <v>0.1115</v>
      </c>
      <c r="I3414" s="2162" t="n">
        <v>0</v>
      </c>
      <c r="J3414" s="2162" t="n">
        <v>0</v>
      </c>
      <c r="K3414" s="2162" t="n"/>
    </row>
    <row r="3415" outlineLevel="2" ht="15.75" customHeight="1">
      <c r="A3415" s="1067" t="n">
        <v>1</v>
      </c>
      <c r="B3415" s="1067" t="inlineStr">
        <is>
          <t>Serviço</t>
        </is>
      </c>
      <c r="C3415" s="1067" t="inlineStr">
        <is>
          <t>Revestimento de Piso Porcelanato Externo Porcelanato Pro Concrete Abs 89,5X89,5cm</t>
        </is>
      </c>
      <c r="D3415" s="1067" t="inlineStr">
        <is>
          <t>Revestimento de Piso Porcelanato Externo Porcelanato Pro Concrete Abs 89,5X89,5cm</t>
        </is>
      </c>
      <c r="E3415" s="1068" t="inlineStr">
        <is>
          <t>M2</t>
        </is>
      </c>
      <c r="F3415" s="1067" t="n"/>
      <c r="G3415" s="1069">
        <f t="array" ref="G3415">IF(B3415="insumo",_xlfn.XLOOKUP($D3415,Insumos!$B$1:$B$996,Insumos!$D$1:$D$996),"")</f>
        <v/>
      </c>
      <c r="H3415" s="1069" t="n">
        <v>168.9491</v>
      </c>
      <c r="I3415" s="2161" t="n">
        <v>0</v>
      </c>
      <c r="J3415" s="2161" t="n">
        <v>0</v>
      </c>
      <c r="K3415" s="2161" t="n"/>
    </row>
    <row r="3416" outlineLevel="3" ht="15.75" customHeight="1">
      <c r="A3416" s="10" t="n">
        <v>1</v>
      </c>
      <c r="B3416" s="10" t="inlineStr">
        <is>
          <t>Insumo</t>
        </is>
      </c>
      <c r="C3416" s="10" t="inlineStr">
        <is>
          <t>Revestimento de Piso Porcelanato Externo Porcelanato Pro Concrete Abs 89,5X89,5cm</t>
        </is>
      </c>
      <c r="D3416" s="10" t="inlineStr">
        <is>
          <t>Porcelanato Pro Concrete Abs 89,5X89,5cm</t>
        </is>
      </c>
      <c r="E3416" s="11">
        <f t="array" ref="E3416">_xlfn.XLOOKUP(D3416,Insumos!B:B,Insumos!C:$C)</f>
        <v/>
      </c>
      <c r="F3416" s="14" t="n">
        <v>1.1</v>
      </c>
      <c r="G3416" s="92">
        <f t="array" ref="G3416">IF(B3416="insumo",_xlfn.XLOOKUP($D3416,Insumos!$B$1:$B$996,Insumos!$D$1:$D$996),"")</f>
        <v/>
      </c>
      <c r="H3416" s="92" t="n">
        <v>159.39</v>
      </c>
      <c r="I3416" s="2162" t="n">
        <v>0</v>
      </c>
      <c r="J3416" s="2162" t="n">
        <v>0</v>
      </c>
      <c r="K3416" s="2162" t="n"/>
    </row>
    <row r="3417" outlineLevel="3" ht="15.75" customHeight="1">
      <c r="A3417" s="10" t="n">
        <v>191</v>
      </c>
      <c r="B3417" s="10" t="inlineStr">
        <is>
          <t>Insumo</t>
        </is>
      </c>
      <c r="C3417" s="10" t="inlineStr">
        <is>
          <t>Revestimento de Piso Porcelanato Externo Porcelanato Pro Concrete Abs 89,5X89,5cm</t>
        </is>
      </c>
      <c r="D3417" s="10" t="inlineStr">
        <is>
          <t>Argamassa ACIII</t>
        </is>
      </c>
      <c r="E3417" s="11">
        <f t="array" ref="E3417">_xlfn.XLOOKUP(D3417,Insumos!B:B,Insumos!C:$C)</f>
        <v/>
      </c>
      <c r="F3417" s="14" t="n">
        <v>8.800000000000001</v>
      </c>
      <c r="G3417" s="92">
        <f t="array" ref="G3417">IF(B3417="insumo",_xlfn.XLOOKUP($D3417,Insumos!$B$1:$B$996,Insumos!$D$1:$D$996),"")</f>
        <v/>
      </c>
      <c r="H3417" s="92" t="n">
        <v>9.367599999999999</v>
      </c>
      <c r="I3417" s="2162" t="n">
        <v>0</v>
      </c>
      <c r="J3417" s="2162" t="n">
        <v>0</v>
      </c>
      <c r="K3417" s="2162" t="n"/>
    </row>
    <row r="3418" outlineLevel="3" ht="15.75" customHeight="1">
      <c r="A3418" s="10" t="n">
        <v>142</v>
      </c>
      <c r="B3418" s="10" t="inlineStr">
        <is>
          <t>Insumo</t>
        </is>
      </c>
      <c r="C3418" s="10" t="inlineStr">
        <is>
          <t>Revestimento de Piso Porcelanato Externo Porcelanato Pro Concrete Abs 89,5X89,5cm</t>
        </is>
      </c>
      <c r="D3418" s="10" t="inlineStr">
        <is>
          <t>Espeçador junta piso 2mm</t>
        </is>
      </c>
      <c r="E3418" s="11">
        <f t="array" ref="E3418">_xlfn.XLOOKUP(D3418,Insumos!B:B,Insumos!C:$C)</f>
        <v/>
      </c>
      <c r="F3418" s="14" t="n">
        <v>1</v>
      </c>
      <c r="G3418" s="92">
        <f t="array" ref="G3418">IF(B3418="insumo",_xlfn.XLOOKUP($D3418,Insumos!$B$1:$B$996,Insumos!$D$1:$D$996),"")</f>
        <v/>
      </c>
      <c r="H3418" s="92" t="n">
        <v>0.08</v>
      </c>
      <c r="I3418" s="2162" t="n">
        <v>0</v>
      </c>
      <c r="J3418" s="2162" t="n">
        <v>0</v>
      </c>
      <c r="K3418" s="2162" t="n"/>
    </row>
    <row r="3419" outlineLevel="3" ht="15.75" customHeight="1">
      <c r="A3419" s="10" t="n">
        <v>101</v>
      </c>
      <c r="B3419" s="10" t="inlineStr">
        <is>
          <t>Insumo</t>
        </is>
      </c>
      <c r="C3419" s="10" t="inlineStr">
        <is>
          <t>Revestimento de Piso Porcelanato Externo Porcelanato Pro Concrete Abs 89,5X89,5cm</t>
        </is>
      </c>
      <c r="D3419" s="10" t="inlineStr">
        <is>
          <t>Rejunte Cimentício</t>
        </is>
      </c>
      <c r="E3419" s="11">
        <f t="array" ref="E3419">_xlfn.XLOOKUP(D3419,Insumos!B:B,Insumos!C:$C)</f>
        <v/>
      </c>
      <c r="F3419" s="14" t="n">
        <v>0.01</v>
      </c>
      <c r="G3419" s="92">
        <f t="array" ref="G3419">IF(B3419="insumo",_xlfn.XLOOKUP($D3419,Insumos!$B$1:$B$996,Insumos!$D$1:$D$996),"")</f>
        <v/>
      </c>
      <c r="H3419" s="92" t="n">
        <v>0.1115</v>
      </c>
      <c r="I3419" s="2162" t="n">
        <v>0</v>
      </c>
      <c r="J3419" s="2162" t="n">
        <v>0</v>
      </c>
      <c r="K3419" s="2162" t="n"/>
    </row>
    <row r="3420" outlineLevel="2" ht="15.75" customHeight="1">
      <c r="A3420" s="1067" t="n">
        <v>1</v>
      </c>
      <c r="B3420" s="1067" t="inlineStr">
        <is>
          <t>Serviço</t>
        </is>
      </c>
      <c r="C3420" s="1067" t="inlineStr">
        <is>
          <t>Revestimento de Piso Porcelanato Acetinado, Placa 90x90cm</t>
        </is>
      </c>
      <c r="D3420" s="1067" t="inlineStr">
        <is>
          <t>Revestimento de Piso Porcelanato Acetinado, Placa 90x90cm</t>
        </is>
      </c>
      <c r="E3420" s="1068" t="inlineStr">
        <is>
          <t>M2</t>
        </is>
      </c>
      <c r="F3420" s="1067" t="n"/>
      <c r="G3420" s="1069">
        <f t="array" ref="G3420">IF(B3420="insumo",_xlfn.XLOOKUP($D3420,Insumos!$B$1:$B$996,Insumos!$D$1:$D$996),"")</f>
        <v/>
      </c>
      <c r="H3420" s="1069" t="n">
        <v>92.9391</v>
      </c>
      <c r="I3420" s="2161" t="n">
        <v>0</v>
      </c>
      <c r="J3420" s="2161" t="n">
        <v>0</v>
      </c>
      <c r="K3420" s="2161" t="n"/>
    </row>
    <row r="3421" outlineLevel="3" ht="15.75" customHeight="1">
      <c r="A3421" s="10" t="n">
        <v>2</v>
      </c>
      <c r="B3421" s="10" t="inlineStr">
        <is>
          <t>Insumo</t>
        </is>
      </c>
      <c r="C3421" s="10" t="inlineStr">
        <is>
          <t>Revestimento de Piso Porcelanato Acetinado, Placa 90x90cm</t>
        </is>
      </c>
      <c r="D3421" s="10" t="inlineStr">
        <is>
          <t xml:space="preserve">Porcelanato A 90x90cm acetinado </t>
        </is>
      </c>
      <c r="E3421" s="11">
        <f t="array" ref="E3421">_xlfn.XLOOKUP(D3421,Insumos!B:B,Insumos!C:$C)</f>
        <v/>
      </c>
      <c r="F3421" s="14" t="n">
        <v>1.1</v>
      </c>
      <c r="G3421" s="92">
        <f t="array" ref="G3421">IF(B3421="insumo",_xlfn.XLOOKUP($D3421,Insumos!$B$1:$B$996,Insumos!$D$1:$D$996),"")</f>
        <v/>
      </c>
      <c r="H3421" s="92" t="n">
        <v>83.38</v>
      </c>
      <c r="I3421" s="2162" t="n">
        <v>0</v>
      </c>
      <c r="J3421" s="2162" t="n">
        <v>0</v>
      </c>
      <c r="K3421" s="2162" t="n"/>
    </row>
    <row r="3422" outlineLevel="3" ht="15.75" customHeight="1">
      <c r="A3422" s="10" t="n">
        <v>191</v>
      </c>
      <c r="B3422" s="10" t="inlineStr">
        <is>
          <t>Insumo</t>
        </is>
      </c>
      <c r="C3422" s="10" t="inlineStr">
        <is>
          <t>Revestimento de Piso Porcelanato Acetinado, Placa 90x90cm</t>
        </is>
      </c>
      <c r="D3422" s="10" t="inlineStr">
        <is>
          <t>Argamassa ACIII</t>
        </is>
      </c>
      <c r="E3422" s="11">
        <f t="array" ref="E3422">_xlfn.XLOOKUP(D3422,Insumos!B:B,Insumos!C:$C)</f>
        <v/>
      </c>
      <c r="F3422" s="14" t="n">
        <v>8.800000000000001</v>
      </c>
      <c r="G3422" s="92">
        <f t="array" ref="G3422">IF(B3422="insumo",_xlfn.XLOOKUP($D3422,Insumos!$B$1:$B$996,Insumos!$D$1:$D$996),"")</f>
        <v/>
      </c>
      <c r="H3422" s="92" t="n">
        <v>9.367599999999999</v>
      </c>
      <c r="I3422" s="2162" t="n">
        <v>0</v>
      </c>
      <c r="J3422" s="2162" t="n">
        <v>0</v>
      </c>
      <c r="K3422" s="2162" t="n"/>
    </row>
    <row r="3423" outlineLevel="3" ht="15.75" customHeight="1">
      <c r="A3423" s="10" t="n">
        <v>142</v>
      </c>
      <c r="B3423" s="10" t="inlineStr">
        <is>
          <t>Insumo</t>
        </is>
      </c>
      <c r="C3423" s="10" t="inlineStr">
        <is>
          <t>Revestimento de Piso Porcelanato Acetinado, Placa 90x90cm</t>
        </is>
      </c>
      <c r="D3423" s="10" t="inlineStr">
        <is>
          <t>Espeçador junta piso 2mm</t>
        </is>
      </c>
      <c r="E3423" s="11">
        <f t="array" ref="E3423">_xlfn.XLOOKUP(D3423,Insumos!B:B,Insumos!C:$C)</f>
        <v/>
      </c>
      <c r="F3423" s="14" t="n">
        <v>1</v>
      </c>
      <c r="G3423" s="92">
        <f t="array" ref="G3423">IF(B3423="insumo",_xlfn.XLOOKUP($D3423,Insumos!$B$1:$B$996,Insumos!$D$1:$D$996),"")</f>
        <v/>
      </c>
      <c r="H3423" s="92" t="n">
        <v>0.08</v>
      </c>
      <c r="I3423" s="2162" t="n">
        <v>0</v>
      </c>
      <c r="J3423" s="2162" t="n">
        <v>0</v>
      </c>
      <c r="K3423" s="2162" t="n"/>
    </row>
    <row r="3424" outlineLevel="3" ht="15.75" customHeight="1">
      <c r="A3424" s="10" t="n">
        <v>101</v>
      </c>
      <c r="B3424" s="10" t="inlineStr">
        <is>
          <t>Insumo</t>
        </is>
      </c>
      <c r="C3424" s="10" t="inlineStr">
        <is>
          <t>Revestimento de Piso Porcelanato Acetinado, Placa 90x90cm</t>
        </is>
      </c>
      <c r="D3424" s="10" t="inlineStr">
        <is>
          <t>Rejunte Cimentício</t>
        </is>
      </c>
      <c r="E3424" s="11">
        <f t="array" ref="E3424">_xlfn.XLOOKUP(D3424,Insumos!B:B,Insumos!C:$C)</f>
        <v/>
      </c>
      <c r="F3424" s="14" t="n">
        <v>0.01</v>
      </c>
      <c r="G3424" s="92">
        <f t="array" ref="G3424">IF(B3424="insumo",_xlfn.XLOOKUP($D3424,Insumos!$B$1:$B$996,Insumos!$D$1:$D$996),"")</f>
        <v/>
      </c>
      <c r="H3424" s="92" t="n">
        <v>0.1115</v>
      </c>
      <c r="I3424" s="2162" t="n">
        <v>0</v>
      </c>
      <c r="J3424" s="2162" t="n">
        <v>0</v>
      </c>
      <c r="K3424" s="2162" t="n"/>
    </row>
    <row r="3425" outlineLevel="2" ht="15.75" customHeight="1">
      <c r="A3425" s="1067" t="n">
        <v>1</v>
      </c>
      <c r="B3425" s="1067" t="inlineStr">
        <is>
          <t>Serviço</t>
        </is>
      </c>
      <c r="C3425" s="1067" t="inlineStr">
        <is>
          <t>Revestimento em Porcelanato Piso Externo, 90x 90cm com Junta de 3mm</t>
        </is>
      </c>
      <c r="D3425" s="1067" t="inlineStr">
        <is>
          <t>Revestimento em Porcelanato Piso Externo, 90x 90cm com Junta de 3mm</t>
        </is>
      </c>
      <c r="E3425" s="1068" t="inlineStr">
        <is>
          <t>M2</t>
        </is>
      </c>
      <c r="F3425" s="1067" t="n"/>
      <c r="G3425" s="1069">
        <f t="array" ref="G3425">IF(B3425="insumo",_xlfn.XLOOKUP($D3425,Insumos!$B$1:$B$996,Insumos!$D$1:$D$996),"")</f>
        <v/>
      </c>
      <c r="H3425" s="1069" t="n">
        <v>206.5356</v>
      </c>
      <c r="I3425" s="2161" t="n">
        <v>0</v>
      </c>
      <c r="J3425" s="2161" t="n">
        <v>0</v>
      </c>
      <c r="K3425" s="2161" t="n"/>
    </row>
    <row r="3426" outlineLevel="3" ht="15.75" customHeight="1">
      <c r="A3426" s="10" t="n">
        <v>1</v>
      </c>
      <c r="B3426" s="10" t="inlineStr">
        <is>
          <t>Insumo</t>
        </is>
      </c>
      <c r="C3426" s="10" t="inlineStr">
        <is>
          <t>Revestimento em Porcelanato Piso Externo, 90x 90cm com Junta de 3mm</t>
        </is>
      </c>
      <c r="D3426" s="10" t="inlineStr">
        <is>
          <t>Porcelanato Minimum cimento eliane A 90x90 ext</t>
        </is>
      </c>
      <c r="E3426" s="11">
        <f t="array" ref="E3426">_xlfn.XLOOKUP(D3426,Insumos!B:B,Insumos!C:$C)</f>
        <v/>
      </c>
      <c r="F3426" s="14" t="n">
        <v>1.1</v>
      </c>
      <c r="G3426" s="92">
        <f t="array" ref="G3426">IF(B3426="insumo",_xlfn.XLOOKUP($D3426,Insumos!$B$1:$B$996,Insumos!$D$1:$D$996),"")</f>
        <v/>
      </c>
      <c r="H3426" s="92" t="n">
        <v>196.68</v>
      </c>
      <c r="I3426" s="2162" t="n">
        <v>0</v>
      </c>
      <c r="J3426" s="2162" t="n">
        <v>0</v>
      </c>
      <c r="K3426" s="2162" t="n"/>
    </row>
    <row r="3427" outlineLevel="3" ht="15.75" customHeight="1">
      <c r="A3427" s="10" t="n">
        <v>191</v>
      </c>
      <c r="B3427" s="10" t="inlineStr">
        <is>
          <t>Insumo</t>
        </is>
      </c>
      <c r="C3427" s="10" t="inlineStr">
        <is>
          <t>Revestimento em Porcelanato Piso Externo, 90x 90cm com Junta de 3mm</t>
        </is>
      </c>
      <c r="D3427" s="10" t="inlineStr">
        <is>
          <t>Argamassa ACIII</t>
        </is>
      </c>
      <c r="E3427" s="11">
        <f t="array" ref="E3427">_xlfn.XLOOKUP(D3427,Insumos!B:B,Insumos!C:$C)</f>
        <v/>
      </c>
      <c r="F3427" s="14" t="n">
        <v>8.800000000000001</v>
      </c>
      <c r="G3427" s="92">
        <f t="array" ref="G3427">IF(B3427="insumo",_xlfn.XLOOKUP($D3427,Insumos!$B$1:$B$996,Insumos!$D$1:$D$996),"")</f>
        <v/>
      </c>
      <c r="H3427" s="92" t="n">
        <v>9.367599999999999</v>
      </c>
      <c r="I3427" s="2162" t="n">
        <v>0</v>
      </c>
      <c r="J3427" s="2162" t="n">
        <v>0</v>
      </c>
      <c r="K3427" s="2162" t="n"/>
    </row>
    <row r="3428" outlineLevel="3" ht="15.75" customHeight="1">
      <c r="A3428" s="10" t="n">
        <v>17</v>
      </c>
      <c r="B3428" s="10" t="inlineStr">
        <is>
          <t>Insumo</t>
        </is>
      </c>
      <c r="C3428" s="10" t="inlineStr">
        <is>
          <t>Revestimento em Porcelanato Piso Externo, 90x 90cm com Junta de 3mm</t>
        </is>
      </c>
      <c r="D3428" s="10" t="inlineStr">
        <is>
          <t>Espeçador junta piso 3mm</t>
        </is>
      </c>
      <c r="E3428" s="11">
        <f t="array" ref="E3428">_xlfn.XLOOKUP(D3428,Insumos!B:B,Insumos!C:$C)</f>
        <v/>
      </c>
      <c r="F3428" s="14" t="n">
        <v>1</v>
      </c>
      <c r="G3428" s="92">
        <f t="array" ref="G3428">IF(B3428="insumo",_xlfn.XLOOKUP($D3428,Insumos!$B$1:$B$996,Insumos!$D$1:$D$996),"")</f>
        <v/>
      </c>
      <c r="H3428" s="92" t="n">
        <v>0.05</v>
      </c>
      <c r="I3428" s="2162" t="n">
        <v>0</v>
      </c>
      <c r="J3428" s="2162" t="n">
        <v>0</v>
      </c>
      <c r="K3428" s="2162" t="n"/>
    </row>
    <row r="3429" outlineLevel="3" ht="15.75" customHeight="1">
      <c r="A3429" s="10" t="n">
        <v>22</v>
      </c>
      <c r="B3429" s="10" t="inlineStr">
        <is>
          <t>Insumo</t>
        </is>
      </c>
      <c r="C3429" s="10" t="inlineStr">
        <is>
          <t>Revestimento em Porcelanato Piso Externo, 90x 90cm com Junta de 3mm</t>
        </is>
      </c>
      <c r="D3429" s="10" t="inlineStr">
        <is>
          <t>Rejunte Acrilico</t>
        </is>
      </c>
      <c r="E3429" s="11">
        <f t="array" ref="E3429">_xlfn.XLOOKUP(D3429,Insumos!B:B,Insumos!C:$C)</f>
        <v/>
      </c>
      <c r="F3429" s="14" t="n">
        <v>0.01</v>
      </c>
      <c r="G3429" s="92">
        <f t="array" ref="G3429">IF(B3429="insumo",_xlfn.XLOOKUP($D3429,Insumos!$B$1:$B$996,Insumos!$D$1:$D$996),"")</f>
        <v/>
      </c>
      <c r="H3429" s="92" t="n">
        <v>0.438</v>
      </c>
      <c r="I3429" s="2162" t="n">
        <v>0</v>
      </c>
      <c r="J3429" s="2162" t="n">
        <v>0</v>
      </c>
      <c r="K3429" s="2162" t="n"/>
    </row>
    <row r="3430" outlineLevel="2" ht="15.75" customHeight="1">
      <c r="A3430" s="1067" t="n">
        <v>1</v>
      </c>
      <c r="B3430" s="1067" t="inlineStr">
        <is>
          <t>Serviço</t>
        </is>
      </c>
      <c r="C3430" s="1067" t="inlineStr">
        <is>
          <t xml:space="preserve">Revestimento de Piso, Porcelanato Mont Blanc Acetinado 90X90 Eliane    </t>
        </is>
      </c>
      <c r="D3430" s="1067" t="inlineStr">
        <is>
          <t xml:space="preserve">Revestimento de Piso, Porcelanato Mont Blanc Acetinado 90X90 Eliane    </t>
        </is>
      </c>
      <c r="E3430" s="1068" t="inlineStr">
        <is>
          <t>M2</t>
        </is>
      </c>
      <c r="F3430" s="1067" t="n"/>
      <c r="G3430" s="1069">
        <f t="array" ref="G3430">IF(B3430="insumo",_xlfn.XLOOKUP($D3430,Insumos!$B$1:$B$996,Insumos!$D$1:$D$996),"")</f>
        <v/>
      </c>
      <c r="H3430" s="1069" t="n">
        <v>128.2491</v>
      </c>
      <c r="I3430" s="2161" t="n">
        <v>0</v>
      </c>
      <c r="J3430" s="2161" t="n">
        <v>0</v>
      </c>
      <c r="K3430" s="2161" t="n"/>
    </row>
    <row r="3431" outlineLevel="3" ht="15.75" customHeight="1">
      <c r="A3431" s="10" t="n">
        <v>1</v>
      </c>
      <c r="B3431" s="10" t="inlineStr">
        <is>
          <t>Insumo</t>
        </is>
      </c>
      <c r="C3431" s="10" t="inlineStr">
        <is>
          <t xml:space="preserve">Revestimento de Piso, Porcelanato Mont Blanc Acetinado 90X90 Eliane    </t>
        </is>
      </c>
      <c r="D3431" s="10" t="inlineStr">
        <is>
          <t xml:space="preserve">Porcelanato Mont Blanc Acetinado 90X90 Eliane    </t>
        </is>
      </c>
      <c r="E3431" s="11">
        <f t="array" ref="E3431">_xlfn.XLOOKUP(D3431,Insumos!B:B,Insumos!C:$C)</f>
        <v/>
      </c>
      <c r="F3431" s="14" t="n">
        <v>1.1</v>
      </c>
      <c r="G3431" s="92">
        <f t="array" ref="G3431">IF(B3431="insumo",_xlfn.XLOOKUP($D3431,Insumos!$B$1:$B$996,Insumos!$D$1:$D$996),"")</f>
        <v/>
      </c>
      <c r="H3431" s="92" t="n">
        <v>118.69</v>
      </c>
      <c r="I3431" s="2162" t="n">
        <v>0</v>
      </c>
      <c r="J3431" s="2162" t="n">
        <v>0</v>
      </c>
      <c r="K3431" s="2162" t="n"/>
    </row>
    <row r="3432" outlineLevel="3" ht="15.75" customHeight="1">
      <c r="A3432" s="10" t="n">
        <v>191</v>
      </c>
      <c r="B3432" s="10" t="inlineStr">
        <is>
          <t>Insumo</t>
        </is>
      </c>
      <c r="C3432" s="10" t="inlineStr">
        <is>
          <t xml:space="preserve">Revestimento de Piso, Porcelanato Mont Blanc Acetinado 90X90 Eliane    </t>
        </is>
      </c>
      <c r="D3432" s="10" t="inlineStr">
        <is>
          <t>Argamassa ACIII</t>
        </is>
      </c>
      <c r="E3432" s="11">
        <f t="array" ref="E3432">_xlfn.XLOOKUP(D3432,Insumos!B:B,Insumos!C:$C)</f>
        <v/>
      </c>
      <c r="F3432" s="14" t="n">
        <v>8.800000000000001</v>
      </c>
      <c r="G3432" s="92">
        <f t="array" ref="G3432">IF(B3432="insumo",_xlfn.XLOOKUP($D3432,Insumos!$B$1:$B$996,Insumos!$D$1:$D$996),"")</f>
        <v/>
      </c>
      <c r="H3432" s="92" t="n">
        <v>9.367599999999999</v>
      </c>
      <c r="I3432" s="2162" t="n">
        <v>0</v>
      </c>
      <c r="J3432" s="2162" t="n">
        <v>0</v>
      </c>
      <c r="K3432" s="2162" t="n"/>
    </row>
    <row r="3433" outlineLevel="3" ht="15.75" customHeight="1">
      <c r="A3433" s="10" t="n">
        <v>142</v>
      </c>
      <c r="B3433" s="10" t="inlineStr">
        <is>
          <t>Insumo</t>
        </is>
      </c>
      <c r="C3433" s="10" t="inlineStr">
        <is>
          <t xml:space="preserve">Revestimento de Piso, Porcelanato Mont Blanc Acetinado 90X90 Eliane    </t>
        </is>
      </c>
      <c r="D3433" s="10" t="inlineStr">
        <is>
          <t>Espeçador junta piso 2mm</t>
        </is>
      </c>
      <c r="E3433" s="11">
        <f t="array" ref="E3433">_xlfn.XLOOKUP(D3433,Insumos!B:B,Insumos!C:$C)</f>
        <v/>
      </c>
      <c r="F3433" s="14" t="n">
        <v>1</v>
      </c>
      <c r="G3433" s="92">
        <f t="array" ref="G3433">IF(B3433="insumo",_xlfn.XLOOKUP($D3433,Insumos!$B$1:$B$996,Insumos!$D$1:$D$996),"")</f>
        <v/>
      </c>
      <c r="H3433" s="92" t="n">
        <v>0.08</v>
      </c>
      <c r="I3433" s="2162" t="n">
        <v>0</v>
      </c>
      <c r="J3433" s="2162" t="n">
        <v>0</v>
      </c>
      <c r="K3433" s="2162" t="n"/>
    </row>
    <row r="3434" outlineLevel="3" ht="15.75" customHeight="1">
      <c r="A3434" s="10" t="n">
        <v>101</v>
      </c>
      <c r="B3434" s="10" t="inlineStr">
        <is>
          <t>Insumo</t>
        </is>
      </c>
      <c r="C3434" s="10" t="inlineStr">
        <is>
          <t xml:space="preserve">Revestimento de Piso, Porcelanato Mont Blanc Acetinado 90X90 Eliane    </t>
        </is>
      </c>
      <c r="D3434" s="10" t="inlineStr">
        <is>
          <t>Rejunte Cimentício</t>
        </is>
      </c>
      <c r="E3434" s="11">
        <f t="array" ref="E3434">_xlfn.XLOOKUP(D3434,Insumos!B:B,Insumos!C:$C)</f>
        <v/>
      </c>
      <c r="F3434" s="14" t="n">
        <v>0.01</v>
      </c>
      <c r="G3434" s="92">
        <f t="array" ref="G3434">IF(B3434="insumo",_xlfn.XLOOKUP($D3434,Insumos!$B$1:$B$996,Insumos!$D$1:$D$996),"")</f>
        <v/>
      </c>
      <c r="H3434" s="92" t="n">
        <v>0.1115</v>
      </c>
      <c r="I3434" s="2162" t="n">
        <v>0</v>
      </c>
      <c r="J3434" s="2162" t="n">
        <v>0</v>
      </c>
      <c r="K3434" s="2162" t="n"/>
    </row>
    <row r="3435" outlineLevel="2" ht="15.75" customHeight="1">
      <c r="A3435" s="1067" t="n">
        <v>1</v>
      </c>
      <c r="B3435" s="1067" t="inlineStr">
        <is>
          <t>Serviço</t>
        </is>
      </c>
      <c r="C3435" s="1067" t="inlineStr">
        <is>
          <t xml:space="preserve">Revestimento de Piso, Porcelanato Mont Blanc Polido 90X90 Eliane    </t>
        </is>
      </c>
      <c r="D3435" s="1067" t="inlineStr">
        <is>
          <t xml:space="preserve">Revestimento de Piso, Porcelanato Mont Blanc Polido 90X90 Eliane    </t>
        </is>
      </c>
      <c r="E3435" s="1068" t="inlineStr">
        <is>
          <t>M2</t>
        </is>
      </c>
      <c r="F3435" s="1067" t="n"/>
      <c r="G3435" s="1069">
        <f t="array" ref="G3435">IF(B3435="insumo",_xlfn.XLOOKUP($D3435,Insumos!$B$1:$B$996,Insumos!$D$1:$D$996),"")</f>
        <v/>
      </c>
      <c r="H3435" s="1069" t="n">
        <v>93.5441</v>
      </c>
      <c r="I3435" s="2161" t="n">
        <v>0</v>
      </c>
      <c r="J3435" s="2161" t="n">
        <v>0</v>
      </c>
      <c r="K3435" s="2161" t="n"/>
    </row>
    <row r="3436" outlineLevel="3" ht="15.75" customHeight="1">
      <c r="A3436" s="10" t="n">
        <v>1</v>
      </c>
      <c r="B3436" s="10" t="inlineStr">
        <is>
          <t>Insumo</t>
        </is>
      </c>
      <c r="C3436" s="10" t="inlineStr">
        <is>
          <t xml:space="preserve">Revestimento de Piso, Porcelanato Mont Blanc Polido 90X90 Eliane    </t>
        </is>
      </c>
      <c r="D3436" s="10" t="inlineStr">
        <is>
          <t xml:space="preserve">Porcelanato Mont Blanc Polido 90X90 Eliane    </t>
        </is>
      </c>
      <c r="E3436" s="11">
        <f t="array" ref="E3436">_xlfn.XLOOKUP(D3436,Insumos!B:B,Insumos!C:$C)</f>
        <v/>
      </c>
      <c r="F3436" s="14" t="n">
        <v>1.1</v>
      </c>
      <c r="G3436" s="92">
        <f t="array" ref="G3436">IF(B3436="insumo",_xlfn.XLOOKUP($D3436,Insumos!$B$1:$B$996,Insumos!$D$1:$D$996),"")</f>
        <v/>
      </c>
      <c r="H3436" s="92" t="n">
        <v>83.985</v>
      </c>
      <c r="I3436" s="2162" t="n">
        <v>0</v>
      </c>
      <c r="J3436" s="2162" t="n">
        <v>0</v>
      </c>
      <c r="K3436" s="2162" t="n"/>
    </row>
    <row r="3437" outlineLevel="3" ht="15.75" customHeight="1">
      <c r="A3437" s="10" t="n">
        <v>191</v>
      </c>
      <c r="B3437" s="10" t="inlineStr">
        <is>
          <t>Insumo</t>
        </is>
      </c>
      <c r="C3437" s="10" t="inlineStr">
        <is>
          <t xml:space="preserve">Revestimento de Piso, Porcelanato Mont Blanc Polido 90X90 Eliane    </t>
        </is>
      </c>
      <c r="D3437" s="10" t="inlineStr">
        <is>
          <t>Argamassa ACIII</t>
        </is>
      </c>
      <c r="E3437" s="11">
        <f t="array" ref="E3437">_xlfn.XLOOKUP(D3437,Insumos!B:B,Insumos!C:$C)</f>
        <v/>
      </c>
      <c r="F3437" s="14" t="n">
        <v>8.800000000000001</v>
      </c>
      <c r="G3437" s="92">
        <f t="array" ref="G3437">IF(B3437="insumo",_xlfn.XLOOKUP($D3437,Insumos!$B$1:$B$996,Insumos!$D$1:$D$996),"")</f>
        <v/>
      </c>
      <c r="H3437" s="92" t="n">
        <v>9.367599999999999</v>
      </c>
      <c r="I3437" s="2162" t="n">
        <v>0</v>
      </c>
      <c r="J3437" s="2162" t="n">
        <v>0</v>
      </c>
      <c r="K3437" s="2162" t="n"/>
    </row>
    <row r="3438" outlineLevel="3" ht="15.75" customHeight="1">
      <c r="A3438" s="10" t="n">
        <v>142</v>
      </c>
      <c r="B3438" s="10" t="inlineStr">
        <is>
          <t>Insumo</t>
        </is>
      </c>
      <c r="C3438" s="10" t="inlineStr">
        <is>
          <t xml:space="preserve">Revestimento de Piso, Porcelanato Mont Blanc Polido 90X90 Eliane    </t>
        </is>
      </c>
      <c r="D3438" s="10" t="inlineStr">
        <is>
          <t>Espeçador junta piso 2mm</t>
        </is>
      </c>
      <c r="E3438" s="11">
        <f t="array" ref="E3438">_xlfn.XLOOKUP(D3438,Insumos!B:B,Insumos!C:$C)</f>
        <v/>
      </c>
      <c r="F3438" s="14" t="n">
        <v>1</v>
      </c>
      <c r="G3438" s="92">
        <f t="array" ref="G3438">IF(B3438="insumo",_xlfn.XLOOKUP($D3438,Insumos!$B$1:$B$996,Insumos!$D$1:$D$996),"")</f>
        <v/>
      </c>
      <c r="H3438" s="92" t="n">
        <v>0.08</v>
      </c>
      <c r="I3438" s="2162" t="n">
        <v>0</v>
      </c>
      <c r="J3438" s="2162" t="n">
        <v>0</v>
      </c>
      <c r="K3438" s="2162" t="n"/>
    </row>
    <row r="3439" outlineLevel="3" ht="15.75" customHeight="1">
      <c r="A3439" s="10" t="n">
        <v>101</v>
      </c>
      <c r="B3439" s="10" t="inlineStr">
        <is>
          <t>Insumo</t>
        </is>
      </c>
      <c r="C3439" s="10" t="inlineStr">
        <is>
          <t xml:space="preserve">Revestimento de Piso, Porcelanato Mont Blanc Polido 90X90 Eliane    </t>
        </is>
      </c>
      <c r="D3439" s="10" t="inlineStr">
        <is>
          <t>Rejunte Cimentício</t>
        </is>
      </c>
      <c r="E3439" s="11">
        <f t="array" ref="E3439">_xlfn.XLOOKUP(D3439,Insumos!B:B,Insumos!C:$C)</f>
        <v/>
      </c>
      <c r="F3439" s="14" t="n">
        <v>0.01</v>
      </c>
      <c r="G3439" s="92">
        <f t="array" ref="G3439">IF(B3439="insumo",_xlfn.XLOOKUP($D3439,Insumos!$B$1:$B$996,Insumos!$D$1:$D$996),"")</f>
        <v/>
      </c>
      <c r="H3439" s="92" t="n">
        <v>0.1115</v>
      </c>
      <c r="I3439" s="2162" t="n">
        <v>0</v>
      </c>
      <c r="J3439" s="2162" t="n">
        <v>0</v>
      </c>
      <c r="K3439" s="2162" t="n"/>
    </row>
    <row r="3440" outlineLevel="2" ht="15.75" customHeight="1">
      <c r="A3440" s="1067" t="n">
        <v>1</v>
      </c>
      <c r="B3440" s="1067" t="inlineStr">
        <is>
          <t>Serviço</t>
        </is>
      </c>
      <c r="C3440" s="1067" t="inlineStr">
        <is>
          <t>Revestimento de Piso Porcelanato Acetinado, Placa 100x100cm</t>
        </is>
      </c>
      <c r="D3440" s="1067" t="inlineStr">
        <is>
          <t>Revestimento de Piso Porcelanato Acetinado, Placa 100x100cm</t>
        </is>
      </c>
      <c r="E3440" s="1068" t="inlineStr">
        <is>
          <t>M2</t>
        </is>
      </c>
      <c r="F3440" s="1067" t="n"/>
      <c r="G3440" s="1069">
        <f t="array" ref="G3440">IF(B3440="insumo",_xlfn.XLOOKUP($D3440,Insumos!$B$1:$B$996,Insumos!$D$1:$D$996),"")</f>
        <v/>
      </c>
      <c r="H3440" s="1069" t="n">
        <v>117.683833333333</v>
      </c>
      <c r="I3440" s="2161" t="n">
        <v>0</v>
      </c>
      <c r="J3440" s="2161" t="n">
        <v>0</v>
      </c>
      <c r="K3440" s="2161" t="n"/>
    </row>
    <row r="3441" outlineLevel="3" ht="15.75" customHeight="1">
      <c r="A3441" s="10" t="n">
        <v>1</v>
      </c>
      <c r="B3441" s="10" t="inlineStr">
        <is>
          <t>Insumo</t>
        </is>
      </c>
      <c r="C3441" s="10" t="inlineStr">
        <is>
          <t>Revestimento de Piso Porcelanato Acetinado, Placa 100x100cm</t>
        </is>
      </c>
      <c r="D3441" s="10" t="inlineStr">
        <is>
          <t>Porcelanato Polido 100x100</t>
        </is>
      </c>
      <c r="E3441" s="11">
        <f t="array" ref="E3441">_xlfn.XLOOKUP(D3441,Insumos!B:B,Insumos!C:$C)</f>
        <v/>
      </c>
      <c r="F3441" s="14" t="n">
        <v>1.1</v>
      </c>
      <c r="G3441" s="92">
        <f t="array" ref="G3441">IF(B3441="insumo",_xlfn.XLOOKUP($D3441,Insumos!$B$1:$B$996,Insumos!$D$1:$D$996),"")</f>
        <v/>
      </c>
      <c r="H3441" s="92" t="n">
        <v>102.208333333333</v>
      </c>
      <c r="I3441" s="2162" t="n">
        <v>0</v>
      </c>
      <c r="J3441" s="2162" t="n">
        <v>0</v>
      </c>
      <c r="K3441" s="2162" t="n"/>
    </row>
    <row r="3442" outlineLevel="3" ht="15.75" customHeight="1">
      <c r="A3442" s="10" t="n">
        <v>191</v>
      </c>
      <c r="B3442" s="10" t="inlineStr">
        <is>
          <t>Insumo</t>
        </is>
      </c>
      <c r="C3442" s="10" t="inlineStr">
        <is>
          <t>Revestimento de Piso Porcelanato Acetinado, Placa 100x100cm</t>
        </is>
      </c>
      <c r="D3442" s="10" t="inlineStr">
        <is>
          <t>Argamassa ACIII</t>
        </is>
      </c>
      <c r="E3442" s="11">
        <f t="array" ref="E3442">_xlfn.XLOOKUP(D3442,Insumos!B:B,Insumos!C:$C)</f>
        <v/>
      </c>
      <c r="F3442" s="14" t="n">
        <v>9</v>
      </c>
      <c r="G3442" s="92">
        <f t="array" ref="G3442">IF(B3442="insumo",_xlfn.XLOOKUP($D3442,Insumos!$B$1:$B$996,Insumos!$D$1:$D$996),"")</f>
        <v/>
      </c>
      <c r="H3442" s="92" t="n">
        <v>9.580500000000001</v>
      </c>
      <c r="I3442" s="2162" t="n">
        <v>0</v>
      </c>
      <c r="J3442" s="2162" t="n">
        <v>0</v>
      </c>
      <c r="K3442" s="2162" t="n"/>
    </row>
    <row r="3443" outlineLevel="3" ht="15.75" customHeight="1">
      <c r="A3443" s="10" t="n">
        <v>142</v>
      </c>
      <c r="B3443" s="10" t="inlineStr">
        <is>
          <t>Insumo</t>
        </is>
      </c>
      <c r="C3443" s="10" t="inlineStr">
        <is>
          <t>Revestimento de Piso Porcelanato Acetinado, Placa 100x100cm</t>
        </is>
      </c>
      <c r="D3443" s="10" t="inlineStr">
        <is>
          <t>Espeçador junta piso 2mm</t>
        </is>
      </c>
      <c r="E3443" s="11">
        <f t="array" ref="E3443">_xlfn.XLOOKUP(D3443,Insumos!B:B,Insumos!C:$C)</f>
        <v/>
      </c>
      <c r="F3443" s="14" t="n">
        <v>4</v>
      </c>
      <c r="G3443" s="92">
        <f t="array" ref="G3443">IF(B3443="insumo",_xlfn.XLOOKUP($D3443,Insumos!$B$1:$B$996,Insumos!$D$1:$D$996),"")</f>
        <v/>
      </c>
      <c r="H3443" s="92" t="n">
        <v>0.32</v>
      </c>
      <c r="I3443" s="2162" t="n">
        <v>0</v>
      </c>
      <c r="J3443" s="2162" t="n">
        <v>0</v>
      </c>
      <c r="K3443" s="2162" t="n"/>
    </row>
    <row r="3444" outlineLevel="3" ht="15.75" customHeight="1">
      <c r="A3444" s="10" t="n">
        <v>101</v>
      </c>
      <c r="B3444" s="10" t="inlineStr">
        <is>
          <t>Insumo</t>
        </is>
      </c>
      <c r="C3444" s="10" t="inlineStr">
        <is>
          <t>Revestimento de Piso Porcelanato Acetinado, Placa 100x100cm</t>
        </is>
      </c>
      <c r="D3444" s="10" t="inlineStr">
        <is>
          <t>Rejunte Cimentício</t>
        </is>
      </c>
      <c r="E3444" s="11">
        <f t="array" ref="E3444">_xlfn.XLOOKUP(D3444,Insumos!B:B,Insumos!C:$C)</f>
        <v/>
      </c>
      <c r="F3444" s="14" t="n">
        <v>0.5</v>
      </c>
      <c r="G3444" s="92">
        <f t="array" ref="G3444">IF(B3444="insumo",_xlfn.XLOOKUP($D3444,Insumos!$B$1:$B$996,Insumos!$D$1:$D$996),"")</f>
        <v/>
      </c>
      <c r="H3444" s="92" t="n">
        <v>5.575</v>
      </c>
      <c r="I3444" s="2162" t="n">
        <v>0</v>
      </c>
      <c r="J3444" s="2162" t="n">
        <v>0</v>
      </c>
      <c r="K3444" s="2162" t="n"/>
    </row>
    <row r="3445" outlineLevel="2" ht="15.75" customHeight="1">
      <c r="A3445" s="1067" t="n">
        <v>1</v>
      </c>
      <c r="B3445" s="1067" t="inlineStr">
        <is>
          <t>Serviço</t>
        </is>
      </c>
      <c r="C3445" s="1067" t="inlineStr">
        <is>
          <t>Revestimento de Piso Externo de Porcelanato Polido, Placa 120x120cm</t>
        </is>
      </c>
      <c r="D3445" s="1067" t="inlineStr">
        <is>
          <t>Revestimento de Piso Externo de Porcelanato Polido, Placa 120x120cm</t>
        </is>
      </c>
      <c r="E3445" s="1068" t="inlineStr">
        <is>
          <t>M2</t>
        </is>
      </c>
      <c r="F3445" s="1067" t="n"/>
      <c r="G3445" s="1069">
        <f t="array" ref="G3445">IF(B3445="insumo",_xlfn.XLOOKUP($D3445,Insumos!$B$1:$B$996,Insumos!$D$1:$D$996),"")</f>
        <v/>
      </c>
      <c r="H3445" s="1069" t="n">
        <v>166.0545</v>
      </c>
      <c r="I3445" s="2161" t="n">
        <v>0</v>
      </c>
      <c r="J3445" s="2161" t="n">
        <v>0</v>
      </c>
      <c r="K3445" s="2161" t="n"/>
    </row>
    <row r="3446" outlineLevel="3" ht="15.75" customHeight="1">
      <c r="A3446" s="10" t="n">
        <v>3</v>
      </c>
      <c r="B3446" s="10" t="inlineStr">
        <is>
          <t>Insumo</t>
        </is>
      </c>
      <c r="C3446" s="10" t="inlineStr">
        <is>
          <t>Revestimento de Piso Externo de Porcelanato Polido, Placa 120x120cm</t>
        </is>
      </c>
      <c r="D3446" s="10" t="inlineStr">
        <is>
          <t>Porcelanato Polido Eliane Place "A" 120x120</t>
        </is>
      </c>
      <c r="E3446" s="11">
        <f t="array" ref="E3446">_xlfn.XLOOKUP(D3446,Insumos!B:B,Insumos!C:$C)</f>
        <v/>
      </c>
      <c r="F3446" s="14" t="n">
        <v>1.1</v>
      </c>
      <c r="G3446" s="92">
        <f t="array" ref="G3446">IF(B3446="insumo",_xlfn.XLOOKUP($D3446,Insumos!$B$1:$B$996,Insumos!$D$1:$D$996),"")</f>
        <v/>
      </c>
      <c r="H3446" s="92" t="n">
        <v>150.579</v>
      </c>
      <c r="I3446" s="2162" t="n">
        <v>0</v>
      </c>
      <c r="J3446" s="2162" t="n">
        <v>0</v>
      </c>
      <c r="K3446" s="2162" t="n"/>
    </row>
    <row r="3447" outlineLevel="3" ht="15.75" customHeight="1">
      <c r="A3447" s="10" t="n">
        <v>191</v>
      </c>
      <c r="B3447" s="10" t="inlineStr">
        <is>
          <t>Insumo</t>
        </is>
      </c>
      <c r="C3447" s="10" t="inlineStr">
        <is>
          <t>Revestimento de Piso Externo de Porcelanato Polido, Placa 120x120cm</t>
        </is>
      </c>
      <c r="D3447" s="10" t="inlineStr">
        <is>
          <t>Argamassa ACIII</t>
        </is>
      </c>
      <c r="E3447" s="11">
        <f t="array" ref="E3447">_xlfn.XLOOKUP(D3447,Insumos!B:B,Insumos!C:$C)</f>
        <v/>
      </c>
      <c r="F3447" s="14" t="n">
        <v>9</v>
      </c>
      <c r="G3447" s="92">
        <f t="array" ref="G3447">IF(B3447="insumo",_xlfn.XLOOKUP($D3447,Insumos!$B$1:$B$996,Insumos!$D$1:$D$996),"")</f>
        <v/>
      </c>
      <c r="H3447" s="92" t="n">
        <v>9.580500000000001</v>
      </c>
      <c r="I3447" s="2162" t="n">
        <v>0</v>
      </c>
      <c r="J3447" s="2162" t="n">
        <v>0</v>
      </c>
      <c r="K3447" s="2162" t="n"/>
    </row>
    <row r="3448" outlineLevel="3" ht="15.75" customHeight="1">
      <c r="A3448" s="10" t="n">
        <v>142</v>
      </c>
      <c r="B3448" s="10" t="inlineStr">
        <is>
          <t>Insumo</t>
        </is>
      </c>
      <c r="C3448" s="10" t="inlineStr">
        <is>
          <t>Revestimento de Piso Externo de Porcelanato Polido, Placa 120x120cm</t>
        </is>
      </c>
      <c r="D3448" s="10" t="inlineStr">
        <is>
          <t>Espeçador junta piso 2mm</t>
        </is>
      </c>
      <c r="E3448" s="11">
        <f t="array" ref="E3448">_xlfn.XLOOKUP(D3448,Insumos!B:B,Insumos!C:$C)</f>
        <v/>
      </c>
      <c r="F3448" s="14" t="n">
        <v>4</v>
      </c>
      <c r="G3448" s="92">
        <f t="array" ref="G3448">IF(B3448="insumo",_xlfn.XLOOKUP($D3448,Insumos!$B$1:$B$996,Insumos!$D$1:$D$996),"")</f>
        <v/>
      </c>
      <c r="H3448" s="92" t="n">
        <v>0.32</v>
      </c>
      <c r="I3448" s="2162" t="n">
        <v>0</v>
      </c>
      <c r="J3448" s="2162" t="n">
        <v>0</v>
      </c>
      <c r="K3448" s="2162" t="n"/>
    </row>
    <row r="3449" outlineLevel="3" ht="15.75" customHeight="1">
      <c r="A3449" s="10" t="n">
        <v>101</v>
      </c>
      <c r="B3449" s="10" t="inlineStr">
        <is>
          <t>Insumo</t>
        </is>
      </c>
      <c r="C3449" s="10" t="inlineStr">
        <is>
          <t>Revestimento de Piso Externo de Porcelanato Polido, Placa 120x120cm</t>
        </is>
      </c>
      <c r="D3449" s="10" t="inlineStr">
        <is>
          <t>Rejunte Cimentício</t>
        </is>
      </c>
      <c r="E3449" s="11">
        <f t="array" ref="E3449">_xlfn.XLOOKUP(D3449,Insumos!B:B,Insumos!C:$C)</f>
        <v/>
      </c>
      <c r="F3449" s="14" t="n">
        <v>0.5</v>
      </c>
      <c r="G3449" s="92">
        <f t="array" ref="G3449">IF(B3449="insumo",_xlfn.XLOOKUP($D3449,Insumos!$B$1:$B$996,Insumos!$D$1:$D$996),"")</f>
        <v/>
      </c>
      <c r="H3449" s="92" t="n">
        <v>5.575</v>
      </c>
      <c r="I3449" s="2162" t="n">
        <v>0</v>
      </c>
      <c r="J3449" s="2162" t="n">
        <v>0</v>
      </c>
      <c r="K3449" s="2162" t="n"/>
    </row>
    <row r="3450" outlineLevel="2" ht="15.75" customHeight="1">
      <c r="A3450" s="1067" t="n">
        <v>1</v>
      </c>
      <c r="B3450" s="1067" t="inlineStr">
        <is>
          <t>Serviço</t>
        </is>
      </c>
      <c r="C3450" s="1067" t="inlineStr">
        <is>
          <t>Revestimento de Piso Porcelanato Acetinado, Placa 120x120cm</t>
        </is>
      </c>
      <c r="D3450" s="1067" t="inlineStr">
        <is>
          <t>Revestimento de Piso Porcelanato Acetinado, Placa 120x120cm</t>
        </is>
      </c>
      <c r="E3450" s="1068" t="inlineStr">
        <is>
          <t>M2</t>
        </is>
      </c>
      <c r="F3450" s="1067" t="n"/>
      <c r="G3450" s="1069">
        <f t="array" ref="G3450">IF(B3450="insumo",_xlfn.XLOOKUP($D3450,Insumos!$B$1:$B$996,Insumos!$D$1:$D$996),"")</f>
        <v/>
      </c>
      <c r="H3450" s="1069" t="n">
        <v>169.4755</v>
      </c>
      <c r="I3450" s="2161" t="n">
        <v>0</v>
      </c>
      <c r="J3450" s="2161" t="n">
        <v>0</v>
      </c>
      <c r="K3450" s="2161" t="n"/>
    </row>
    <row r="3451" outlineLevel="3" ht="15.75" customHeight="1">
      <c r="A3451" s="10" t="n">
        <v>1</v>
      </c>
      <c r="B3451" s="10" t="inlineStr">
        <is>
          <t>Insumo</t>
        </is>
      </c>
      <c r="C3451" s="10" t="inlineStr">
        <is>
          <t>Revestimento de Piso Porcelanato Acetinado, Placa 120x120cm</t>
        </is>
      </c>
      <c r="D3451" s="10" t="inlineStr">
        <is>
          <t>Porcelanato Acetinado 120x120cm</t>
        </is>
      </c>
      <c r="E3451" s="11">
        <f t="array" ref="E3451">_xlfn.XLOOKUP(D3451,Insumos!B:B,Insumos!C:$C)</f>
        <v/>
      </c>
      <c r="F3451" s="14" t="n">
        <v>1.1</v>
      </c>
      <c r="G3451" s="92">
        <f t="array" ref="G3451">IF(B3451="insumo",_xlfn.XLOOKUP($D3451,Insumos!$B$1:$B$996,Insumos!$D$1:$D$996),"")</f>
        <v/>
      </c>
      <c r="H3451" s="92" t="n">
        <v>154</v>
      </c>
      <c r="I3451" s="2162" t="n">
        <v>0</v>
      </c>
      <c r="J3451" s="2162" t="n">
        <v>0</v>
      </c>
      <c r="K3451" s="2162" t="n"/>
    </row>
    <row r="3452" outlineLevel="3" ht="15.75" customHeight="1">
      <c r="A3452" s="10" t="n">
        <v>191</v>
      </c>
      <c r="B3452" s="10" t="inlineStr">
        <is>
          <t>Insumo</t>
        </is>
      </c>
      <c r="C3452" s="10" t="inlineStr">
        <is>
          <t>Revestimento de Piso Porcelanato Acetinado, Placa 120x120cm</t>
        </is>
      </c>
      <c r="D3452" s="10" t="inlineStr">
        <is>
          <t>Argamassa ACIII</t>
        </is>
      </c>
      <c r="E3452" s="11">
        <f t="array" ref="E3452">_xlfn.XLOOKUP(D3452,Insumos!B:B,Insumos!C:$C)</f>
        <v/>
      </c>
      <c r="F3452" s="14" t="n">
        <v>9</v>
      </c>
      <c r="G3452" s="92">
        <f t="array" ref="G3452">IF(B3452="insumo",_xlfn.XLOOKUP($D3452,Insumos!$B$1:$B$996,Insumos!$D$1:$D$996),"")</f>
        <v/>
      </c>
      <c r="H3452" s="92" t="n">
        <v>9.580500000000001</v>
      </c>
      <c r="I3452" s="2162" t="n">
        <v>0</v>
      </c>
      <c r="J3452" s="2162" t="n">
        <v>0</v>
      </c>
      <c r="K3452" s="2162" t="n"/>
    </row>
    <row r="3453" outlineLevel="3" ht="15.75" customHeight="1">
      <c r="A3453" s="10" t="n">
        <v>142</v>
      </c>
      <c r="B3453" s="10" t="inlineStr">
        <is>
          <t>Insumo</t>
        </is>
      </c>
      <c r="C3453" s="10" t="inlineStr">
        <is>
          <t>Revestimento de Piso Porcelanato Acetinado, Placa 120x120cm</t>
        </is>
      </c>
      <c r="D3453" s="10" t="inlineStr">
        <is>
          <t>Espeçador junta piso 2mm</t>
        </is>
      </c>
      <c r="E3453" s="11">
        <f t="array" ref="E3453">_xlfn.XLOOKUP(D3453,Insumos!B:B,Insumos!C:$C)</f>
        <v/>
      </c>
      <c r="F3453" s="14" t="n">
        <v>4</v>
      </c>
      <c r="G3453" s="92">
        <f t="array" ref="G3453">IF(B3453="insumo",_xlfn.XLOOKUP($D3453,Insumos!$B$1:$B$996,Insumos!$D$1:$D$996),"")</f>
        <v/>
      </c>
      <c r="H3453" s="92" t="n">
        <v>0.32</v>
      </c>
      <c r="I3453" s="2162" t="n">
        <v>0</v>
      </c>
      <c r="J3453" s="2162" t="n">
        <v>0</v>
      </c>
      <c r="K3453" s="2162" t="n"/>
    </row>
    <row r="3454" outlineLevel="3" ht="15.75" customHeight="1">
      <c r="A3454" s="10" t="n">
        <v>101</v>
      </c>
      <c r="B3454" s="10" t="inlineStr">
        <is>
          <t>Insumo</t>
        </is>
      </c>
      <c r="C3454" s="10" t="inlineStr">
        <is>
          <t>Revestimento de Piso Porcelanato Acetinado, Placa 120x120cm</t>
        </is>
      </c>
      <c r="D3454" s="10" t="inlineStr">
        <is>
          <t>Rejunte Cimentício</t>
        </is>
      </c>
      <c r="E3454" s="11">
        <f t="array" ref="E3454">_xlfn.XLOOKUP(D3454,Insumos!B:B,Insumos!C:$C)</f>
        <v/>
      </c>
      <c r="F3454" s="14" t="n">
        <v>0.5</v>
      </c>
      <c r="G3454" s="92">
        <f t="array" ref="G3454">IF(B3454="insumo",_xlfn.XLOOKUP($D3454,Insumos!$B$1:$B$996,Insumos!$D$1:$D$996),"")</f>
        <v/>
      </c>
      <c r="H3454" s="92" t="n">
        <v>5.575</v>
      </c>
      <c r="I3454" s="2162" t="n">
        <v>0</v>
      </c>
      <c r="J3454" s="2162" t="n">
        <v>0</v>
      </c>
      <c r="K3454" s="2162" t="n"/>
    </row>
    <row r="3455" outlineLevel="2" ht="15.75" customHeight="1">
      <c r="A3455" s="1067" t="n">
        <v>1</v>
      </c>
      <c r="B3455" s="1067" t="inlineStr">
        <is>
          <t>Serviço</t>
        </is>
      </c>
      <c r="C3455" s="1067" t="inlineStr">
        <is>
          <t>Revestimento em Piso,  Porcelanato Onyx Unique Ret. Acetinado 120X120Cm - Portobello</t>
        </is>
      </c>
      <c r="D3455" s="1067" t="inlineStr">
        <is>
          <t>Revestimento em Piso,  Porcelanato Onyx Unique Ret. Acetinado 120X120Cm - Portobello</t>
        </is>
      </c>
      <c r="E3455" s="1068" t="inlineStr">
        <is>
          <t>M2</t>
        </is>
      </c>
      <c r="F3455" s="1067" t="n"/>
      <c r="G3455" s="1069">
        <f t="array" ref="G3455">IF(B3455="insumo",_xlfn.XLOOKUP($D3455,Insumos!$B$1:$B$996,Insumos!$D$1:$D$996),"")</f>
        <v/>
      </c>
      <c r="H3455" s="1069" t="n">
        <v>156.7391</v>
      </c>
      <c r="I3455" s="2161" t="n">
        <v>0</v>
      </c>
      <c r="J3455" s="2161" t="n">
        <v>0</v>
      </c>
      <c r="K3455" s="2161" t="n"/>
    </row>
    <row r="3456" outlineLevel="3" ht="15.75" customHeight="1">
      <c r="A3456" s="10" t="n">
        <v>2</v>
      </c>
      <c r="B3456" s="10" t="inlineStr">
        <is>
          <t>Insumo</t>
        </is>
      </c>
      <c r="C3456" s="10" t="inlineStr">
        <is>
          <t>Revestimento em Piso,  Porcelanato Onyx Unique Ret. Acetinado 120X120Cm - Portobello</t>
        </is>
      </c>
      <c r="D3456" s="10" t="inlineStr">
        <is>
          <t>Porcelanato Onyx Unique Ret. Acetinado 120X120Cm - Portobello</t>
        </is>
      </c>
      <c r="E3456" s="11">
        <f t="array" ref="E3456">_xlfn.XLOOKUP(D3456,Insumos!B:B,Insumos!C:$C)</f>
        <v/>
      </c>
      <c r="F3456" s="14" t="n">
        <v>1.1</v>
      </c>
      <c r="G3456" s="92">
        <f t="array" ref="G3456">IF(B3456="insumo",_xlfn.XLOOKUP($D3456,Insumos!$B$1:$B$996,Insumos!$D$1:$D$996),"")</f>
        <v/>
      </c>
      <c r="H3456" s="92" t="n">
        <v>147.18</v>
      </c>
      <c r="I3456" s="2162" t="n">
        <v>0</v>
      </c>
      <c r="J3456" s="2162" t="n">
        <v>0</v>
      </c>
      <c r="K3456" s="2162" t="n"/>
    </row>
    <row r="3457" outlineLevel="3" ht="15.75" customHeight="1">
      <c r="A3457" s="10" t="n">
        <v>191</v>
      </c>
      <c r="B3457" s="10" t="inlineStr">
        <is>
          <t>Insumo</t>
        </is>
      </c>
      <c r="C3457" s="10" t="inlineStr">
        <is>
          <t>Revestimento em Piso,  Porcelanato Onyx Unique Ret. Acetinado 120X120Cm - Portobello</t>
        </is>
      </c>
      <c r="D3457" s="10" t="inlineStr">
        <is>
          <t>Argamassa ACIII</t>
        </is>
      </c>
      <c r="E3457" s="11">
        <f t="array" ref="E3457">_xlfn.XLOOKUP(D3457,Insumos!B:B,Insumos!C:$C)</f>
        <v/>
      </c>
      <c r="F3457" s="14" t="n">
        <v>8.800000000000001</v>
      </c>
      <c r="G3457" s="92">
        <f t="array" ref="G3457">IF(B3457="insumo",_xlfn.XLOOKUP($D3457,Insumos!$B$1:$B$996,Insumos!$D$1:$D$996),"")</f>
        <v/>
      </c>
      <c r="H3457" s="92" t="n">
        <v>9.367599999999999</v>
      </c>
      <c r="I3457" s="2162" t="n">
        <v>0</v>
      </c>
      <c r="J3457" s="2162" t="n">
        <v>0</v>
      </c>
      <c r="K3457" s="2162" t="n"/>
    </row>
    <row r="3458" outlineLevel="3" ht="15.75" customHeight="1">
      <c r="A3458" s="10" t="n">
        <v>142</v>
      </c>
      <c r="B3458" s="10" t="inlineStr">
        <is>
          <t>Insumo</t>
        </is>
      </c>
      <c r="C3458" s="10" t="inlineStr">
        <is>
          <t>Revestimento em Piso,  Porcelanato Onyx Unique Ret. Acetinado 120X120Cm - Portobello</t>
        </is>
      </c>
      <c r="D3458" s="10" t="inlineStr">
        <is>
          <t>Espeçador junta piso 2mm</t>
        </is>
      </c>
      <c r="E3458" s="11">
        <f t="array" ref="E3458">_xlfn.XLOOKUP(D3458,Insumos!B:B,Insumos!C:$C)</f>
        <v/>
      </c>
      <c r="F3458" s="14" t="n">
        <v>1</v>
      </c>
      <c r="G3458" s="92">
        <f t="array" ref="G3458">IF(B3458="insumo",_xlfn.XLOOKUP($D3458,Insumos!$B$1:$B$996,Insumos!$D$1:$D$996),"")</f>
        <v/>
      </c>
      <c r="H3458" s="92" t="n">
        <v>0.08</v>
      </c>
      <c r="I3458" s="2162" t="n">
        <v>0</v>
      </c>
      <c r="J3458" s="2162" t="n">
        <v>0</v>
      </c>
      <c r="K3458" s="2162" t="n"/>
    </row>
    <row r="3459" outlineLevel="3" ht="15.75" customHeight="1">
      <c r="A3459" s="10" t="n">
        <v>101</v>
      </c>
      <c r="B3459" s="10" t="inlineStr">
        <is>
          <t>Insumo</t>
        </is>
      </c>
      <c r="C3459" s="10" t="inlineStr">
        <is>
          <t>Revestimento em Piso,  Porcelanato Onyx Unique Ret. Acetinado 120X120Cm - Portobello</t>
        </is>
      </c>
      <c r="D3459" s="10" t="inlineStr">
        <is>
          <t>Rejunte Cimentício</t>
        </is>
      </c>
      <c r="E3459" s="11">
        <f t="array" ref="E3459">_xlfn.XLOOKUP(D3459,Insumos!B:B,Insumos!C:$C)</f>
        <v/>
      </c>
      <c r="F3459" s="14" t="n">
        <v>0.01</v>
      </c>
      <c r="G3459" s="92">
        <f t="array" ref="G3459">IF(B3459="insumo",_xlfn.XLOOKUP($D3459,Insumos!$B$1:$B$996,Insumos!$D$1:$D$996),"")</f>
        <v/>
      </c>
      <c r="H3459" s="92" t="n">
        <v>0.1115</v>
      </c>
      <c r="I3459" s="2162" t="n">
        <v>0</v>
      </c>
      <c r="J3459" s="2162" t="n">
        <v>0</v>
      </c>
      <c r="K3459" s="2162" t="n"/>
    </row>
    <row r="3460" outlineLevel="2" ht="15.75" customHeight="1">
      <c r="A3460" s="1067" t="n">
        <v>1</v>
      </c>
      <c r="B3460" s="1067" t="inlineStr">
        <is>
          <t>Serviço</t>
        </is>
      </c>
      <c r="C3460" s="1067" t="inlineStr">
        <is>
          <t>Revestimento em Piso,  Porcelanato Onyx Unique Ret. Polido 120X120Cm - Portobello</t>
        </is>
      </c>
      <c r="D3460" s="1067" t="inlineStr">
        <is>
          <t>Revestimento em Piso,  Porcelanato Onyx Unique Ret. Polido 120X120Cm - Portobello</t>
        </is>
      </c>
      <c r="E3460" s="1068" t="inlineStr">
        <is>
          <t>M2</t>
        </is>
      </c>
      <c r="F3460" s="1067" t="n"/>
      <c r="G3460" s="1069">
        <f t="array" ref="G3460">IF(B3460="insumo",_xlfn.XLOOKUP($D3460,Insumos!$B$1:$B$996,Insumos!$D$1:$D$996),"")</f>
        <v/>
      </c>
      <c r="H3460" s="1069" t="n">
        <v>156.7391</v>
      </c>
      <c r="I3460" s="2161" t="n">
        <v>0</v>
      </c>
      <c r="J3460" s="2161" t="n">
        <v>0</v>
      </c>
      <c r="K3460" s="2161" t="n"/>
    </row>
    <row r="3461" outlineLevel="3" ht="15.75" customHeight="1">
      <c r="A3461" s="10" t="n">
        <v>2</v>
      </c>
      <c r="B3461" s="10" t="inlineStr">
        <is>
          <t>Insumo</t>
        </is>
      </c>
      <c r="C3461" s="10" t="inlineStr">
        <is>
          <t>Revestimento em Piso,  Porcelanato Onyx Unique Ret. Polido 120X120Cm - Portobello</t>
        </is>
      </c>
      <c r="D3461" s="10" t="inlineStr">
        <is>
          <t>Porcelanato Onyx Unique Ret. Polido 120X120Cm - Portobello</t>
        </is>
      </c>
      <c r="E3461" s="11">
        <f t="array" ref="E3461">_xlfn.XLOOKUP(D3461,Insumos!B:B,Insumos!C:$C)</f>
        <v/>
      </c>
      <c r="F3461" s="14" t="n">
        <v>1.1</v>
      </c>
      <c r="G3461" s="92">
        <f t="array" ref="G3461">IF(B3461="insumo",_xlfn.XLOOKUP($D3461,Insumos!$B$1:$B$996,Insumos!$D$1:$D$996),"")</f>
        <v/>
      </c>
      <c r="H3461" s="92" t="n">
        <v>147.18</v>
      </c>
      <c r="I3461" s="2162" t="n">
        <v>0</v>
      </c>
      <c r="J3461" s="2162" t="n">
        <v>0</v>
      </c>
      <c r="K3461" s="2162" t="n"/>
    </row>
    <row r="3462" outlineLevel="3" ht="15.75" customHeight="1">
      <c r="A3462" s="10" t="n">
        <v>191</v>
      </c>
      <c r="B3462" s="10" t="inlineStr">
        <is>
          <t>Insumo</t>
        </is>
      </c>
      <c r="C3462" s="10" t="inlineStr">
        <is>
          <t>Revestimento em Piso,  Porcelanato Onyx Unique Ret. Polido 120X120Cm - Portobello</t>
        </is>
      </c>
      <c r="D3462" s="10" t="inlineStr">
        <is>
          <t>Argamassa ACIII</t>
        </is>
      </c>
      <c r="E3462" s="11">
        <f t="array" ref="E3462">_xlfn.XLOOKUP(D3462,Insumos!B:B,Insumos!C:$C)</f>
        <v/>
      </c>
      <c r="F3462" s="14" t="n">
        <v>8.800000000000001</v>
      </c>
      <c r="G3462" s="92">
        <f t="array" ref="G3462">IF(B3462="insumo",_xlfn.XLOOKUP($D3462,Insumos!$B$1:$B$996,Insumos!$D$1:$D$996),"")</f>
        <v/>
      </c>
      <c r="H3462" s="92" t="n">
        <v>9.367599999999999</v>
      </c>
      <c r="I3462" s="2162" t="n">
        <v>0</v>
      </c>
      <c r="J3462" s="2162" t="n">
        <v>0</v>
      </c>
      <c r="K3462" s="2162" t="n"/>
    </row>
    <row r="3463" outlineLevel="3" ht="15.75" customHeight="1">
      <c r="A3463" s="10" t="n">
        <v>142</v>
      </c>
      <c r="B3463" s="10" t="inlineStr">
        <is>
          <t>Insumo</t>
        </is>
      </c>
      <c r="C3463" s="10" t="inlineStr">
        <is>
          <t>Revestimento em Piso,  Porcelanato Onyx Unique Ret. Polido 120X120Cm - Portobello</t>
        </is>
      </c>
      <c r="D3463" s="10" t="inlineStr">
        <is>
          <t>Espeçador junta piso 2mm</t>
        </is>
      </c>
      <c r="E3463" s="11">
        <f t="array" ref="E3463">_xlfn.XLOOKUP(D3463,Insumos!B:B,Insumos!C:$C)</f>
        <v/>
      </c>
      <c r="F3463" s="14" t="n">
        <v>1</v>
      </c>
      <c r="G3463" s="92">
        <f t="array" ref="G3463">IF(B3463="insumo",_xlfn.XLOOKUP($D3463,Insumos!$B$1:$B$996,Insumos!$D$1:$D$996),"")</f>
        <v/>
      </c>
      <c r="H3463" s="92" t="n">
        <v>0.08</v>
      </c>
      <c r="I3463" s="2162" t="n">
        <v>0</v>
      </c>
      <c r="J3463" s="2162" t="n">
        <v>0</v>
      </c>
      <c r="K3463" s="2162" t="n"/>
    </row>
    <row r="3464" outlineLevel="3" ht="15.75" customHeight="1">
      <c r="A3464" s="10" t="n">
        <v>101</v>
      </c>
      <c r="B3464" s="10" t="inlineStr">
        <is>
          <t>Insumo</t>
        </is>
      </c>
      <c r="C3464" s="10" t="inlineStr">
        <is>
          <t>Revestimento em Piso,  Porcelanato Onyx Unique Ret. Polido 120X120Cm - Portobello</t>
        </is>
      </c>
      <c r="D3464" s="10" t="inlineStr">
        <is>
          <t>Rejunte Cimentício</t>
        </is>
      </c>
      <c r="E3464" s="11">
        <f t="array" ref="E3464">_xlfn.XLOOKUP(D3464,Insumos!B:B,Insumos!C:$C)</f>
        <v/>
      </c>
      <c r="F3464" s="14" t="n">
        <v>0.01</v>
      </c>
      <c r="G3464" s="92">
        <f t="array" ref="G3464">IF(B3464="insumo",_xlfn.XLOOKUP($D3464,Insumos!$B$1:$B$996,Insumos!$D$1:$D$996),"")</f>
        <v/>
      </c>
      <c r="H3464" s="92" t="n">
        <v>0.1115</v>
      </c>
      <c r="I3464" s="2162" t="n">
        <v>0</v>
      </c>
      <c r="J3464" s="2162" t="n">
        <v>0</v>
      </c>
      <c r="K3464" s="2162" t="n"/>
    </row>
    <row r="3465" outlineLevel="2" ht="15.75" customHeight="1">
      <c r="A3465" s="1067" t="n">
        <v>1</v>
      </c>
      <c r="B3465" s="1067" t="inlineStr">
        <is>
          <t>Serviço</t>
        </is>
      </c>
      <c r="C3465" s="1067" t="inlineStr">
        <is>
          <t>Revestimento em Piso,  Porcelanato Travertino Navona Bianco 120X120Cm Ret. Natural Portobello</t>
        </is>
      </c>
      <c r="D3465" s="1067" t="inlineStr">
        <is>
          <t>Revestimento em Piso,  Porcelanato Travertino Navona Bianco 120X120Cm Ret. Natural Portobello</t>
        </is>
      </c>
      <c r="E3465" s="1068" t="inlineStr">
        <is>
          <t>M2</t>
        </is>
      </c>
      <c r="F3465" s="1067" t="n"/>
      <c r="G3465" s="1069">
        <f t="array" ref="G3465">IF(B3465="insumo",_xlfn.XLOOKUP($D3465,Insumos!$B$1:$B$996,Insumos!$D$1:$D$996),"")</f>
        <v/>
      </c>
      <c r="H3465" s="1069" t="n">
        <v>156.7391</v>
      </c>
      <c r="I3465" s="2161" t="n">
        <v>0</v>
      </c>
      <c r="J3465" s="2161" t="n">
        <v>0</v>
      </c>
      <c r="K3465" s="2161" t="n"/>
    </row>
    <row r="3466" outlineLevel="3" ht="15.75" customHeight="1">
      <c r="A3466" s="10" t="n">
        <v>2</v>
      </c>
      <c r="B3466" s="10" t="inlineStr">
        <is>
          <t>Insumo</t>
        </is>
      </c>
      <c r="C3466" s="10" t="inlineStr">
        <is>
          <t>Revestimento em Piso,  Porcelanato Travertino Navona Bianco 120X120Cm Ret. Natural Portobello</t>
        </is>
      </c>
      <c r="D3466" s="10" t="inlineStr">
        <is>
          <t>Porcelanato Travertino Navona Bianco 120X120Cm Ret. Natural Portobello</t>
        </is>
      </c>
      <c r="E3466" s="11">
        <f t="array" ref="E3466">_xlfn.XLOOKUP(D3466,Insumos!B:B,Insumos!C:$C)</f>
        <v/>
      </c>
      <c r="F3466" s="14" t="n">
        <v>1.1</v>
      </c>
      <c r="G3466" s="92">
        <f t="array" ref="G3466">IF(B3466="insumo",_xlfn.XLOOKUP($D3466,Insumos!$B$1:$B$996,Insumos!$D$1:$D$996),"")</f>
        <v/>
      </c>
      <c r="H3466" s="92" t="n">
        <v>147.18</v>
      </c>
      <c r="I3466" s="2162" t="n">
        <v>0</v>
      </c>
      <c r="J3466" s="2162" t="n">
        <v>0</v>
      </c>
      <c r="K3466" s="2162" t="n"/>
    </row>
    <row r="3467" outlineLevel="3" ht="15.75" customHeight="1">
      <c r="A3467" s="10" t="n">
        <v>191</v>
      </c>
      <c r="B3467" s="10" t="inlineStr">
        <is>
          <t>Insumo</t>
        </is>
      </c>
      <c r="C3467" s="10" t="inlineStr">
        <is>
          <t>Revestimento em Piso,  Porcelanato Travertino Navona Bianco 120X120Cm Ret. Natural Portobello</t>
        </is>
      </c>
      <c r="D3467" s="10" t="inlineStr">
        <is>
          <t>Argamassa ACIII</t>
        </is>
      </c>
      <c r="E3467" s="11">
        <f t="array" ref="E3467">_xlfn.XLOOKUP(D3467,Insumos!B:B,Insumos!C:$C)</f>
        <v/>
      </c>
      <c r="F3467" s="14" t="n">
        <v>8.800000000000001</v>
      </c>
      <c r="G3467" s="92">
        <f t="array" ref="G3467">IF(B3467="insumo",_xlfn.XLOOKUP($D3467,Insumos!$B$1:$B$996,Insumos!$D$1:$D$996),"")</f>
        <v/>
      </c>
      <c r="H3467" s="92" t="n">
        <v>9.367599999999999</v>
      </c>
      <c r="I3467" s="2162" t="n">
        <v>0</v>
      </c>
      <c r="J3467" s="2162" t="n">
        <v>0</v>
      </c>
      <c r="K3467" s="2162" t="n"/>
    </row>
    <row r="3468" outlineLevel="3" ht="15.75" customHeight="1">
      <c r="A3468" s="10" t="n">
        <v>142</v>
      </c>
      <c r="B3468" s="10" t="inlineStr">
        <is>
          <t>Insumo</t>
        </is>
      </c>
      <c r="C3468" s="10" t="inlineStr">
        <is>
          <t>Revestimento em Piso,  Porcelanato Travertino Navona Bianco 120X120Cm Ret. Natural Portobello</t>
        </is>
      </c>
      <c r="D3468" s="10" t="inlineStr">
        <is>
          <t>Espeçador junta piso 2mm</t>
        </is>
      </c>
      <c r="E3468" s="11">
        <f t="array" ref="E3468">_xlfn.XLOOKUP(D3468,Insumos!B:B,Insumos!C:$C)</f>
        <v/>
      </c>
      <c r="F3468" s="14" t="n">
        <v>1</v>
      </c>
      <c r="G3468" s="92">
        <f t="array" ref="G3468">IF(B3468="insumo",_xlfn.XLOOKUP($D3468,Insumos!$B$1:$B$996,Insumos!$D$1:$D$996),"")</f>
        <v/>
      </c>
      <c r="H3468" s="92" t="n">
        <v>0.08</v>
      </c>
      <c r="I3468" s="2162" t="n">
        <v>0</v>
      </c>
      <c r="J3468" s="2162" t="n">
        <v>0</v>
      </c>
      <c r="K3468" s="2162" t="n"/>
    </row>
    <row r="3469" outlineLevel="3" ht="15.75" customHeight="1">
      <c r="A3469" s="10" t="n">
        <v>101</v>
      </c>
      <c r="B3469" s="10" t="inlineStr">
        <is>
          <t>Insumo</t>
        </is>
      </c>
      <c r="C3469" s="10" t="inlineStr">
        <is>
          <t>Revestimento em Piso,  Porcelanato Travertino Navona Bianco 120X120Cm Ret. Natural Portobello</t>
        </is>
      </c>
      <c r="D3469" s="10" t="inlineStr">
        <is>
          <t>Rejunte Cimentício</t>
        </is>
      </c>
      <c r="E3469" s="11">
        <f t="array" ref="E3469">_xlfn.XLOOKUP(D3469,Insumos!B:B,Insumos!C:$C)</f>
        <v/>
      </c>
      <c r="F3469" s="14" t="n">
        <v>0.01</v>
      </c>
      <c r="G3469" s="92">
        <f t="array" ref="G3469">IF(B3469="insumo",_xlfn.XLOOKUP($D3469,Insumos!$B$1:$B$996,Insumos!$D$1:$D$996),"")</f>
        <v/>
      </c>
      <c r="H3469" s="92" t="n">
        <v>0.1115</v>
      </c>
      <c r="I3469" s="2162" t="n">
        <v>0</v>
      </c>
      <c r="J3469" s="2162" t="n">
        <v>0</v>
      </c>
      <c r="K3469" s="2162" t="n"/>
    </row>
    <row r="3470" outlineLevel="2" ht="15.75" customHeight="1">
      <c r="A3470" s="1067" t="n">
        <v>1</v>
      </c>
      <c r="B3470" s="1067" t="inlineStr">
        <is>
          <t>Serviço</t>
        </is>
      </c>
      <c r="C3470" s="1067" t="inlineStr">
        <is>
          <t>Revestimento de Piso, Porcelanato 160X320 Cm</t>
        </is>
      </c>
      <c r="D3470" s="1067" t="inlineStr">
        <is>
          <t>Revestimento de Piso, Porcelanato 160X320 Cm</t>
        </is>
      </c>
      <c r="E3470" s="1068" t="inlineStr">
        <is>
          <t>M2</t>
        </is>
      </c>
      <c r="F3470" s="1067" t="n"/>
      <c r="G3470" s="1069">
        <f t="array" ref="G3470">IF(B3470="insumo",_xlfn.XLOOKUP($D3470,Insumos!$B$1:$B$996,Insumos!$D$1:$D$996),"")</f>
        <v/>
      </c>
      <c r="H3470" s="1069" t="n">
        <v>217.0065</v>
      </c>
      <c r="I3470" s="2161" t="n">
        <v>0</v>
      </c>
      <c r="J3470" s="2161" t="n">
        <v>0</v>
      </c>
      <c r="K3470" s="2161" t="n"/>
    </row>
    <row r="3471" outlineLevel="3" ht="15.75" customHeight="1">
      <c r="A3471" s="10" t="n">
        <v>1</v>
      </c>
      <c r="B3471" s="10" t="inlineStr">
        <is>
          <t>Insumo</t>
        </is>
      </c>
      <c r="C3471" s="10" t="inlineStr">
        <is>
          <t>Revestimento de Piso, Porcelanato 160X320 Cm</t>
        </is>
      </c>
      <c r="D3471" s="10" t="inlineStr">
        <is>
          <t>Porcelanato 160X320 Cm</t>
        </is>
      </c>
      <c r="E3471" s="11">
        <f t="array" ref="E3471">_xlfn.XLOOKUP(D3471,Insumos!B:B,Insumos!C:$C)</f>
        <v/>
      </c>
      <c r="F3471" s="14" t="n">
        <v>1.1</v>
      </c>
      <c r="G3471" s="92">
        <f t="array" ref="G3471">IF(B3471="insumo",_xlfn.XLOOKUP($D3471,Insumos!$B$1:$B$996,Insumos!$D$1:$D$996),"")</f>
        <v/>
      </c>
      <c r="H3471" s="92" t="n">
        <v>201.531</v>
      </c>
      <c r="I3471" s="2162" t="n">
        <v>0</v>
      </c>
      <c r="J3471" s="2162" t="n">
        <v>0</v>
      </c>
      <c r="K3471" s="2162" t="n"/>
    </row>
    <row r="3472" outlineLevel="3" ht="15.75" customHeight="1">
      <c r="A3472" s="10" t="n">
        <v>191</v>
      </c>
      <c r="B3472" s="10" t="inlineStr">
        <is>
          <t>Insumo</t>
        </is>
      </c>
      <c r="C3472" s="10" t="inlineStr">
        <is>
          <t>Revestimento de Piso, Porcelanato 160X320 Cm</t>
        </is>
      </c>
      <c r="D3472" s="10" t="inlineStr">
        <is>
          <t>Argamassa ACIII</t>
        </is>
      </c>
      <c r="E3472" s="11">
        <f t="array" ref="E3472">_xlfn.XLOOKUP(D3472,Insumos!B:B,Insumos!C:$C)</f>
        <v/>
      </c>
      <c r="F3472" s="14" t="n">
        <v>9</v>
      </c>
      <c r="G3472" s="92">
        <f t="array" ref="G3472">IF(B3472="insumo",_xlfn.XLOOKUP($D3472,Insumos!$B$1:$B$996,Insumos!$D$1:$D$996),"")</f>
        <v/>
      </c>
      <c r="H3472" s="92" t="n">
        <v>9.580500000000001</v>
      </c>
      <c r="I3472" s="2162" t="n">
        <v>0</v>
      </c>
      <c r="J3472" s="2162" t="n">
        <v>0</v>
      </c>
      <c r="K3472" s="2162" t="n"/>
    </row>
    <row r="3473" outlineLevel="3" ht="15.75" customHeight="1">
      <c r="A3473" s="10" t="n">
        <v>142</v>
      </c>
      <c r="B3473" s="10" t="inlineStr">
        <is>
          <t>Insumo</t>
        </is>
      </c>
      <c r="C3473" s="10" t="inlineStr">
        <is>
          <t>Revestimento de Piso, Porcelanato 160X320 Cm</t>
        </is>
      </c>
      <c r="D3473" s="10" t="inlineStr">
        <is>
          <t>Espeçador junta piso 2mm</t>
        </is>
      </c>
      <c r="E3473" s="11">
        <f t="array" ref="E3473">_xlfn.XLOOKUP(D3473,Insumos!B:B,Insumos!C:$C)</f>
        <v/>
      </c>
      <c r="F3473" s="14" t="n">
        <v>4</v>
      </c>
      <c r="G3473" s="92">
        <f t="array" ref="G3473">IF(B3473="insumo",_xlfn.XLOOKUP($D3473,Insumos!$B$1:$B$996,Insumos!$D$1:$D$996),"")</f>
        <v/>
      </c>
      <c r="H3473" s="92" t="n">
        <v>0.32</v>
      </c>
      <c r="I3473" s="2162" t="n">
        <v>0</v>
      </c>
      <c r="J3473" s="2162" t="n">
        <v>0</v>
      </c>
      <c r="K3473" s="2162" t="n"/>
    </row>
    <row r="3474" outlineLevel="3" ht="15.75" customHeight="1">
      <c r="A3474" s="10" t="n">
        <v>101</v>
      </c>
      <c r="B3474" s="10" t="inlineStr">
        <is>
          <t>Insumo</t>
        </is>
      </c>
      <c r="C3474" s="10" t="inlineStr">
        <is>
          <t>Revestimento de Piso, Porcelanato 160X320 Cm</t>
        </is>
      </c>
      <c r="D3474" s="10" t="inlineStr">
        <is>
          <t>Rejunte Cimentício</t>
        </is>
      </c>
      <c r="E3474" s="11">
        <f t="array" ref="E3474">_xlfn.XLOOKUP(D3474,Insumos!B:B,Insumos!C:$C)</f>
        <v/>
      </c>
      <c r="F3474" s="14" t="n">
        <v>0.5</v>
      </c>
      <c r="G3474" s="92">
        <f t="array" ref="G3474">IF(B3474="insumo",_xlfn.XLOOKUP($D3474,Insumos!$B$1:$B$996,Insumos!$D$1:$D$996),"")</f>
        <v/>
      </c>
      <c r="H3474" s="92" t="n">
        <v>5.575</v>
      </c>
      <c r="I3474" s="2162" t="n">
        <v>0</v>
      </c>
      <c r="J3474" s="2162" t="n">
        <v>0</v>
      </c>
      <c r="K3474" s="2162" t="n"/>
    </row>
    <row r="3475" outlineLevel="2" ht="15.75" customHeight="1">
      <c r="A3475" s="1067" t="n">
        <v>1</v>
      </c>
      <c r="B3475" s="1067" t="inlineStr">
        <is>
          <t>Serviço</t>
        </is>
      </c>
      <c r="C3475" s="1067" t="inlineStr">
        <is>
          <t>Revestimento em Porcelanato Biancogres 20x120 Scala Beige-a Ret , rejunte cimentício, aplicação em áreas comuns internas</t>
        </is>
      </c>
      <c r="D3475" s="1067" t="inlineStr">
        <is>
          <t>Revestimento em Porcelanato Biancogres 20x120 Scala Beige-a Ret , rejunte cimentício, aplicação em áreas comuns internas</t>
        </is>
      </c>
      <c r="E3475" s="1068" t="inlineStr">
        <is>
          <t>M2</t>
        </is>
      </c>
      <c r="F3475" s="1067" t="n"/>
      <c r="G3475" s="1069">
        <f t="array" ref="G3475">IF(B3475="insumo",_xlfn.XLOOKUP($D3475,Insumos!$B$1:$B$996,Insumos!$D$1:$D$996),"")</f>
        <v/>
      </c>
      <c r="H3475" s="1069" t="n">
        <v>119.4206</v>
      </c>
      <c r="I3475" s="2161" t="n">
        <v>0</v>
      </c>
      <c r="J3475" s="2161" t="n">
        <v>0</v>
      </c>
      <c r="K3475" s="2161" t="n"/>
    </row>
    <row r="3476" outlineLevel="3" ht="15.75" customHeight="1">
      <c r="A3476" s="10" t="n">
        <v>1</v>
      </c>
      <c r="B3476" s="10" t="inlineStr">
        <is>
          <t>Insumo</t>
        </is>
      </c>
      <c r="C3476" s="10" t="inlineStr">
        <is>
          <t>Revestimento em Porcelanato Biancogres 20x120 Scala Beige-a Ret , rejunte cimentício, aplicação em áreas comuns internas</t>
        </is>
      </c>
      <c r="D3476" s="10" t="inlineStr">
        <is>
          <t xml:space="preserve">Porcelanato Biancogres 20x120 Scala Beige-a Ret </t>
        </is>
      </c>
      <c r="E3476" s="11">
        <f t="array" ref="E3476">_xlfn.XLOOKUP(D3476,Insumos!B:B,Insumos!C:$C)</f>
        <v/>
      </c>
      <c r="F3476" s="14" t="n">
        <v>1.1</v>
      </c>
      <c r="G3476" s="92">
        <f t="array" ref="G3476">IF(B3476="insumo",_xlfn.XLOOKUP($D3476,Insumos!$B$1:$B$996,Insumos!$D$1:$D$996),"")</f>
        <v/>
      </c>
      <c r="H3476" s="92" t="n">
        <v>109.67</v>
      </c>
      <c r="I3476" s="2162" t="n">
        <v>0</v>
      </c>
      <c r="J3476" s="2162" t="n">
        <v>0</v>
      </c>
      <c r="K3476" s="2162" t="n"/>
    </row>
    <row r="3477" outlineLevel="3" ht="15.75" customHeight="1">
      <c r="A3477" s="10" t="n">
        <v>191</v>
      </c>
      <c r="B3477" s="10" t="inlineStr">
        <is>
          <t>Insumo</t>
        </is>
      </c>
      <c r="C3477" s="10" t="inlineStr">
        <is>
          <t>Revestimento em Porcelanato Biancogres 20x120 Scala Beige-a Ret , rejunte cimentício, aplicação em áreas comuns internas</t>
        </is>
      </c>
      <c r="D3477" s="10" t="inlineStr">
        <is>
          <t>Argamassa ACIII</t>
        </is>
      </c>
      <c r="E3477" s="11">
        <f t="array" ref="E3477">_xlfn.XLOOKUP(D3477,Insumos!B:B,Insumos!C:$C)</f>
        <v/>
      </c>
      <c r="F3477" s="14" t="n">
        <v>8.800000000000001</v>
      </c>
      <c r="G3477" s="92">
        <f t="array" ref="G3477">IF(B3477="insumo",_xlfn.XLOOKUP($D3477,Insumos!$B$1:$B$996,Insumos!$D$1:$D$996),"")</f>
        <v/>
      </c>
      <c r="H3477" s="92" t="n">
        <v>9.367599999999999</v>
      </c>
      <c r="I3477" s="2162" t="n">
        <v>0</v>
      </c>
      <c r="J3477" s="2162" t="n">
        <v>0</v>
      </c>
      <c r="K3477" s="2162" t="n"/>
    </row>
    <row r="3478" outlineLevel="3" ht="15.75" customHeight="1">
      <c r="A3478" s="10" t="n">
        <v>142</v>
      </c>
      <c r="B3478" s="10" t="inlineStr">
        <is>
          <t>Insumo</t>
        </is>
      </c>
      <c r="C3478" s="10" t="inlineStr">
        <is>
          <t>Revestimento em Porcelanato Biancogres 20x120 Scala Beige-a Ret , rejunte cimentício, aplicação em áreas comuns internas</t>
        </is>
      </c>
      <c r="D3478" s="10" t="inlineStr">
        <is>
          <t>Espeçador junta piso 2mm</t>
        </is>
      </c>
      <c r="E3478" s="11">
        <f t="array" ref="E3478">_xlfn.XLOOKUP(D3478,Insumos!B:B,Insumos!C:$C)</f>
        <v/>
      </c>
      <c r="F3478" s="14" t="n">
        <v>2</v>
      </c>
      <c r="G3478" s="92">
        <f t="array" ref="G3478">IF(B3478="insumo",_xlfn.XLOOKUP($D3478,Insumos!$B$1:$B$996,Insumos!$D$1:$D$996),"")</f>
        <v/>
      </c>
      <c r="H3478" s="92" t="n">
        <v>0.16</v>
      </c>
      <c r="I3478" s="2162" t="n">
        <v>0</v>
      </c>
      <c r="J3478" s="2162" t="n">
        <v>0</v>
      </c>
      <c r="K3478" s="2162" t="n"/>
    </row>
    <row r="3479" outlineLevel="3" ht="15.75" customHeight="1">
      <c r="A3479" s="10" t="n">
        <v>101</v>
      </c>
      <c r="B3479" s="10" t="inlineStr">
        <is>
          <t>Insumo</t>
        </is>
      </c>
      <c r="C3479" s="10" t="inlineStr">
        <is>
          <t>Revestimento em Porcelanato Biancogres 20x120 Scala Beige-a Ret , rejunte cimentício, aplicação em áreas comuns internas</t>
        </is>
      </c>
      <c r="D3479" s="10" t="inlineStr">
        <is>
          <t>Rejunte Cimentício</t>
        </is>
      </c>
      <c r="E3479" s="11">
        <f t="array" ref="E3479">_xlfn.XLOOKUP(D3479,Insumos!B:B,Insumos!C:$C)</f>
        <v/>
      </c>
      <c r="F3479" s="14" t="n">
        <v>0.02</v>
      </c>
      <c r="G3479" s="92">
        <f t="array" ref="G3479">IF(B3479="insumo",_xlfn.XLOOKUP($D3479,Insumos!$B$1:$B$996,Insumos!$D$1:$D$996),"")</f>
        <v/>
      </c>
      <c r="H3479" s="92" t="n">
        <v>0.223</v>
      </c>
      <c r="I3479" s="2162" t="n">
        <v>0</v>
      </c>
      <c r="J3479" s="2162" t="n">
        <v>0</v>
      </c>
      <c r="K3479" s="2162" t="n"/>
    </row>
    <row r="3480" outlineLevel="2" ht="15.75" customHeight="1">
      <c r="A3480" s="1067" t="n">
        <v>1</v>
      </c>
      <c r="B3480" s="1067" t="inlineStr">
        <is>
          <t>Serviço</t>
        </is>
      </c>
      <c r="C3480" s="1067" t="inlineStr">
        <is>
          <t>Revestimento em Porcelanato Tipo Argila | Portobello - 120x20 cm, rejunte cimentício, aplicação em áreas comuns internas</t>
        </is>
      </c>
      <c r="D3480" s="1067" t="inlineStr">
        <is>
          <t>Revestimento em Porcelanato Tipo Argila | Portobello - 120x20 cm, rejunte cimentício, aplicação em áreas comuns internas</t>
        </is>
      </c>
      <c r="E3480" s="1068" t="inlineStr">
        <is>
          <t>M2</t>
        </is>
      </c>
      <c r="F3480" s="1067" t="n"/>
      <c r="G3480" s="1069">
        <f t="array" ref="G3480">IF(B3480="insumo",_xlfn.XLOOKUP($D3480,Insumos!$B$1:$B$996,Insumos!$D$1:$D$996),"")</f>
        <v/>
      </c>
      <c r="H3480" s="1069" t="n">
        <v>185.7506</v>
      </c>
      <c r="I3480" s="2161" t="n">
        <v>0</v>
      </c>
      <c r="J3480" s="2161" t="n">
        <v>0</v>
      </c>
      <c r="K3480" s="2161" t="n"/>
    </row>
    <row r="3481" outlineLevel="3" ht="15.75" customHeight="1">
      <c r="A3481" s="10" t="n">
        <v>1</v>
      </c>
      <c r="B3481" s="10" t="inlineStr">
        <is>
          <t>Insumo</t>
        </is>
      </c>
      <c r="C3481" s="10" t="inlineStr">
        <is>
          <t>Revestimento em Porcelanato Tipo Argila | Portobello - 120x20 cm, rejunte cimentício, aplicação em áreas comuns internas</t>
        </is>
      </c>
      <c r="D3481" s="10" t="inlineStr">
        <is>
          <t>Porcelanato Tipo Argila | Portobello - 120x20 cm</t>
        </is>
      </c>
      <c r="E3481" s="11">
        <f t="array" ref="E3481">_xlfn.XLOOKUP(D3481,Insumos!B:B,Insumos!C:$C)</f>
        <v/>
      </c>
      <c r="F3481" s="14" t="n">
        <v>1.1</v>
      </c>
      <c r="G3481" s="92">
        <f t="array" ref="G3481">IF(B3481="insumo",_xlfn.XLOOKUP($D3481,Insumos!$B$1:$B$996,Insumos!$D$1:$D$996),"")</f>
        <v/>
      </c>
      <c r="H3481" s="92" t="n">
        <v>176</v>
      </c>
      <c r="I3481" s="2162" t="n">
        <v>0</v>
      </c>
      <c r="J3481" s="2162" t="n">
        <v>0</v>
      </c>
      <c r="K3481" s="2162" t="n"/>
    </row>
    <row r="3482" outlineLevel="3" ht="15.75" customHeight="1">
      <c r="A3482" s="10" t="n">
        <v>191</v>
      </c>
      <c r="B3482" s="10" t="inlineStr">
        <is>
          <t>Insumo</t>
        </is>
      </c>
      <c r="C3482" s="10" t="inlineStr">
        <is>
          <t>Revestimento em Porcelanato Tipo Argila | Portobello - 120x20 cm, rejunte cimentício, aplicação em áreas comuns internas</t>
        </is>
      </c>
      <c r="D3482" s="10" t="inlineStr">
        <is>
          <t>Argamassa ACIII</t>
        </is>
      </c>
      <c r="E3482" s="11">
        <f t="array" ref="E3482">_xlfn.XLOOKUP(D3482,Insumos!B:B,Insumos!C:$C)</f>
        <v/>
      </c>
      <c r="F3482" s="14" t="n">
        <v>8.800000000000001</v>
      </c>
      <c r="G3482" s="92">
        <f t="array" ref="G3482">IF(B3482="insumo",_xlfn.XLOOKUP($D3482,Insumos!$B$1:$B$996,Insumos!$D$1:$D$996),"")</f>
        <v/>
      </c>
      <c r="H3482" s="92" t="n">
        <v>9.367599999999999</v>
      </c>
      <c r="I3482" s="2162" t="n">
        <v>0</v>
      </c>
      <c r="J3482" s="2162" t="n">
        <v>0</v>
      </c>
      <c r="K3482" s="2162" t="n"/>
    </row>
    <row r="3483" outlineLevel="3" ht="15.75" customHeight="1">
      <c r="A3483" s="10" t="n">
        <v>142</v>
      </c>
      <c r="B3483" s="10" t="inlineStr">
        <is>
          <t>Insumo</t>
        </is>
      </c>
      <c r="C3483" s="10" t="inlineStr">
        <is>
          <t>Revestimento em Porcelanato Tipo Argila | Portobello - 120x20 cm, rejunte cimentício, aplicação em áreas comuns internas</t>
        </is>
      </c>
      <c r="D3483" s="10" t="inlineStr">
        <is>
          <t>Espeçador junta piso 2mm</t>
        </is>
      </c>
      <c r="E3483" s="11">
        <f t="array" ref="E3483">_xlfn.XLOOKUP(D3483,Insumos!B:B,Insumos!C:$C)</f>
        <v/>
      </c>
      <c r="F3483" s="14" t="n">
        <v>2</v>
      </c>
      <c r="G3483" s="92">
        <f t="array" ref="G3483">IF(B3483="insumo",_xlfn.XLOOKUP($D3483,Insumos!$B$1:$B$996,Insumos!$D$1:$D$996),"")</f>
        <v/>
      </c>
      <c r="H3483" s="92" t="n">
        <v>0.16</v>
      </c>
      <c r="I3483" s="2162" t="n">
        <v>0</v>
      </c>
      <c r="J3483" s="2162" t="n">
        <v>0</v>
      </c>
      <c r="K3483" s="2162" t="n"/>
    </row>
    <row r="3484" outlineLevel="3" ht="15.75" customHeight="1">
      <c r="A3484" s="10" t="n">
        <v>101</v>
      </c>
      <c r="B3484" s="10" t="inlineStr">
        <is>
          <t>Insumo</t>
        </is>
      </c>
      <c r="C3484" s="10" t="inlineStr">
        <is>
          <t>Revestimento em Porcelanato Tipo Argila | Portobello - 120x20 cm, rejunte cimentício, aplicação em áreas comuns internas</t>
        </is>
      </c>
      <c r="D3484" s="10" t="inlineStr">
        <is>
          <t>Rejunte Cimentício</t>
        </is>
      </c>
      <c r="E3484" s="11">
        <f t="array" ref="E3484">_xlfn.XLOOKUP(D3484,Insumos!B:B,Insumos!C:$C)</f>
        <v/>
      </c>
      <c r="F3484" s="14" t="n">
        <v>0.02</v>
      </c>
      <c r="G3484" s="92">
        <f t="array" ref="G3484">IF(B3484="insumo",_xlfn.XLOOKUP($D3484,Insumos!$B$1:$B$996,Insumos!$D$1:$D$996),"")</f>
        <v/>
      </c>
      <c r="H3484" s="92" t="n">
        <v>0.223</v>
      </c>
      <c r="I3484" s="2162" t="n">
        <v>0</v>
      </c>
      <c r="J3484" s="2162" t="n">
        <v>0</v>
      </c>
      <c r="K3484" s="2162" t="n"/>
    </row>
    <row r="3485" outlineLevel="2" ht="12.75" customHeight="1">
      <c r="A3485" s="1071" t="n">
        <v>1</v>
      </c>
      <c r="B3485" s="1071" t="inlineStr">
        <is>
          <t>Serviço</t>
        </is>
      </c>
      <c r="C3485" s="1071" t="inlineStr">
        <is>
          <t>Revestimento em Pisos porcelanato, 61x 61cm com Junta de 3mm</t>
        </is>
      </c>
      <c r="D3485" s="1071" t="inlineStr">
        <is>
          <t>Revestimento em Pisos porcelanato, 61x 61cm com Junta de 3mm</t>
        </is>
      </c>
      <c r="E3485" s="1072" t="inlineStr">
        <is>
          <t>M2</t>
        </is>
      </c>
      <c r="F3485" s="1071" t="n"/>
      <c r="G3485" s="1073">
        <f t="array" ref="G3485">IF(B3485="insumo",_xlfn.XLOOKUP($D3485,Insumos!$B$1:$B$996,Insumos!$D$1:$D$996),"")</f>
        <v/>
      </c>
      <c r="H3485" s="1073" t="n">
        <v>95.456</v>
      </c>
      <c r="I3485" s="2163" t="n">
        <v>0</v>
      </c>
      <c r="J3485" s="2163" t="n">
        <v>0</v>
      </c>
      <c r="K3485" s="2163" t="n"/>
    </row>
    <row r="3486" outlineLevel="3" ht="12.75" customHeight="1">
      <c r="A3486" s="82" t="n">
        <v>1</v>
      </c>
      <c r="B3486" s="82" t="inlineStr">
        <is>
          <t>Insumo</t>
        </is>
      </c>
      <c r="C3486" s="82" t="inlineStr">
        <is>
          <t>Revestimento em Pisos porcelanato, 61x 61cm com Junta de 3mm</t>
        </is>
      </c>
      <c r="D3486" s="82" t="inlineStr">
        <is>
          <t>Porcelanato 61,1x61,1cm Cement Grigio Pure 61024 Acetinado Extra</t>
        </is>
      </c>
      <c r="E3486" s="11">
        <f t="array" ref="E3486">_xlfn.XLOOKUP(D3486,Insumos!B:B,Insumos!C:$C)</f>
        <v/>
      </c>
      <c r="F3486" s="2171" t="n">
        <v>1.1</v>
      </c>
      <c r="G3486" s="92">
        <f t="array" ref="G3486">IF(B3486="insumo",_xlfn.XLOOKUP($D3486,Insumos!$B$1:$B$996,Insumos!$D$1:$D$996),"")</f>
        <v/>
      </c>
      <c r="H3486" s="92" t="n">
        <v>86.82299999999999</v>
      </c>
      <c r="I3486" s="2165" t="n">
        <v>0</v>
      </c>
      <c r="J3486" s="2165" t="n">
        <v>0</v>
      </c>
      <c r="K3486" s="2165" t="n"/>
    </row>
    <row r="3487" outlineLevel="3" ht="12.75" customHeight="1">
      <c r="A3487" s="82" t="n">
        <v>16</v>
      </c>
      <c r="B3487" s="82" t="inlineStr">
        <is>
          <t>Insumo</t>
        </is>
      </c>
      <c r="C3487" s="82" t="inlineStr">
        <is>
          <t>Revestimento em Pisos porcelanato, 61x 61cm com Junta de 3mm</t>
        </is>
      </c>
      <c r="D3487" s="82" t="inlineStr">
        <is>
          <t>Argamassa ACII</t>
        </is>
      </c>
      <c r="E3487" s="11">
        <f t="array" ref="E3487">_xlfn.XLOOKUP(D3487,Insumos!B:B,Insumos!C:$C)</f>
        <v/>
      </c>
      <c r="F3487" s="2171" t="n">
        <v>8.800000000000001</v>
      </c>
      <c r="G3487" s="92">
        <f t="array" ref="G3487">IF(B3487="insumo",_xlfn.XLOOKUP($D3487,Insumos!$B$1:$B$996,Insumos!$D$1:$D$996),"")</f>
        <v/>
      </c>
      <c r="H3487" s="92" t="n">
        <v>8.359999999999999</v>
      </c>
      <c r="I3487" s="2165" t="n">
        <v>0</v>
      </c>
      <c r="J3487" s="2165" t="n">
        <v>0</v>
      </c>
      <c r="K3487" s="2165" t="n"/>
    </row>
    <row r="3488" outlineLevel="3" ht="12.75" customHeight="1">
      <c r="A3488" s="82" t="n">
        <v>17</v>
      </c>
      <c r="B3488" s="82" t="inlineStr">
        <is>
          <t>Insumo</t>
        </is>
      </c>
      <c r="C3488" s="82" t="inlineStr">
        <is>
          <t>Revestimento em Pisos porcelanato, 61x 61cm com Junta de 3mm</t>
        </is>
      </c>
      <c r="D3488" s="82" t="inlineStr">
        <is>
          <t>Espeçador junta piso 3mm</t>
        </is>
      </c>
      <c r="E3488" s="11">
        <f t="array" ref="E3488">_xlfn.XLOOKUP(D3488,Insumos!B:B,Insumos!C:$C)</f>
        <v/>
      </c>
      <c r="F3488" s="2171" t="n">
        <v>1</v>
      </c>
      <c r="G3488" s="92">
        <f t="array" ref="G3488">IF(B3488="insumo",_xlfn.XLOOKUP($D3488,Insumos!$B$1:$B$996,Insumos!$D$1:$D$996),"")</f>
        <v/>
      </c>
      <c r="H3488" s="92" t="n">
        <v>0.05</v>
      </c>
      <c r="I3488" s="2165" t="n">
        <v>0</v>
      </c>
      <c r="J3488" s="2165" t="n">
        <v>0</v>
      </c>
      <c r="K3488" s="2165" t="n"/>
    </row>
    <row r="3489" outlineLevel="3" ht="12.75" customHeight="1">
      <c r="A3489" s="82" t="n">
        <v>101</v>
      </c>
      <c r="B3489" s="82" t="inlineStr">
        <is>
          <t>Insumo</t>
        </is>
      </c>
      <c r="C3489" s="82" t="inlineStr">
        <is>
          <t>Revestimento em Pisos porcelanato, 61x 61cm com Junta de 3mm</t>
        </is>
      </c>
      <c r="D3489" s="82" t="inlineStr">
        <is>
          <t>Rejunte Cimentício</t>
        </is>
      </c>
      <c r="E3489" s="11">
        <f t="array" ref="E3489">_xlfn.XLOOKUP(D3489,Insumos!B:B,Insumos!C:$C)</f>
        <v/>
      </c>
      <c r="F3489" s="2171" t="n">
        <v>0.02</v>
      </c>
      <c r="G3489" s="92">
        <f t="array" ref="G3489">IF(B3489="insumo",_xlfn.XLOOKUP($D3489,Insumos!$B$1:$B$996,Insumos!$D$1:$D$996),"")</f>
        <v/>
      </c>
      <c r="H3489" s="92" t="n">
        <v>0.223</v>
      </c>
      <c r="I3489" s="2165" t="n">
        <v>0</v>
      </c>
      <c r="J3489" s="2165" t="n">
        <v>0</v>
      </c>
      <c r="K3489" s="2165" t="n"/>
    </row>
    <row r="3490" outlineLevel="2" ht="12.75" customHeight="1">
      <c r="A3490" s="1071" t="n">
        <v>1</v>
      </c>
      <c r="B3490" s="1071" t="inlineStr">
        <is>
          <t>Serviço</t>
        </is>
      </c>
      <c r="C3490" s="1071" t="inlineStr">
        <is>
          <t>Revestimento de Piso Porcelanato Polido, Padrão Nobre, Placa 90x90cm</t>
        </is>
      </c>
      <c r="D3490" s="1071" t="inlineStr">
        <is>
          <t>Revestimento de Piso Porcelanato Polido, Padrão Nobre, Placa 90x90cm</t>
        </is>
      </c>
      <c r="E3490" s="1072" t="inlineStr">
        <is>
          <t>M2</t>
        </is>
      </c>
      <c r="F3490" s="1071" t="n"/>
      <c r="G3490" s="1073">
        <f t="array" ref="G3490">IF(B3490="insumo",_xlfn.XLOOKUP($D3490,Insumos!$B$1:$B$996,Insumos!$D$1:$D$996),"")</f>
        <v/>
      </c>
      <c r="H3490" s="1073" t="n">
        <v>141.5481</v>
      </c>
      <c r="I3490" s="2163" t="n">
        <v>0</v>
      </c>
      <c r="J3490" s="2163" t="n">
        <v>0</v>
      </c>
      <c r="K3490" s="2163" t="n"/>
    </row>
    <row r="3491" outlineLevel="3" ht="12.75" customHeight="1">
      <c r="A3491" s="82" t="n">
        <v>2</v>
      </c>
      <c r="B3491" s="82" t="inlineStr">
        <is>
          <t>Insumo</t>
        </is>
      </c>
      <c r="C3491" s="82" t="inlineStr">
        <is>
          <t>Revestimento de Piso Porcelanato Polido, Padrão Nobre, Placa 90x90cm</t>
        </is>
      </c>
      <c r="D3491" s="82" t="inlineStr">
        <is>
          <t>PORCELANATO 90X90 PORTOBELLO CHIARO DI VERSILIA NATURAL</t>
        </is>
      </c>
      <c r="E3491" s="11">
        <f t="array" ref="E3491">_xlfn.XLOOKUP(D3491,Insumos!B:B,Insumos!C:$C)</f>
        <v/>
      </c>
      <c r="F3491" s="2171" t="n">
        <v>1.1</v>
      </c>
      <c r="G3491" s="92">
        <f t="array" ref="G3491">IF(B3491="insumo",_xlfn.XLOOKUP($D3491,Insumos!$B$1:$B$996,Insumos!$D$1:$D$996),"")</f>
        <v/>
      </c>
      <c r="H3491" s="92" t="n">
        <v>131.989</v>
      </c>
      <c r="I3491" s="2165" t="n">
        <v>0</v>
      </c>
      <c r="J3491" s="2165" t="n">
        <v>0</v>
      </c>
      <c r="K3491" s="2165" t="n"/>
    </row>
    <row r="3492" outlineLevel="3" ht="12.75" customHeight="1">
      <c r="A3492" s="82" t="n">
        <v>191</v>
      </c>
      <c r="B3492" s="82" t="inlineStr">
        <is>
          <t>Insumo</t>
        </is>
      </c>
      <c r="C3492" s="82" t="inlineStr">
        <is>
          <t>Revestimento de Piso Porcelanato Polido, Padrão Nobre, Placa 90x90cm</t>
        </is>
      </c>
      <c r="D3492" s="82" t="inlineStr">
        <is>
          <t>Argamassa ACIII</t>
        </is>
      </c>
      <c r="E3492" s="11">
        <f t="array" ref="E3492">_xlfn.XLOOKUP(D3492,Insumos!B:B,Insumos!C:$C)</f>
        <v/>
      </c>
      <c r="F3492" s="2171" t="n">
        <v>8.800000000000001</v>
      </c>
      <c r="G3492" s="92">
        <f t="array" ref="G3492">IF(B3492="insumo",_xlfn.XLOOKUP($D3492,Insumos!$B$1:$B$996,Insumos!$D$1:$D$996),"")</f>
        <v/>
      </c>
      <c r="H3492" s="92" t="n">
        <v>9.367599999999999</v>
      </c>
      <c r="I3492" s="2165" t="n">
        <v>0</v>
      </c>
      <c r="J3492" s="2165" t="n">
        <v>0</v>
      </c>
      <c r="K3492" s="2165" t="n"/>
    </row>
    <row r="3493" outlineLevel="3" ht="12.75" customHeight="1">
      <c r="A3493" s="82" t="n">
        <v>142</v>
      </c>
      <c r="B3493" s="82" t="inlineStr">
        <is>
          <t>Insumo</t>
        </is>
      </c>
      <c r="C3493" s="82" t="inlineStr">
        <is>
          <t>Revestimento de Piso Porcelanato Polido, Padrão Nobre, Placa 90x90cm</t>
        </is>
      </c>
      <c r="D3493" s="82" t="inlineStr">
        <is>
          <t>Espeçador junta piso 2mm</t>
        </is>
      </c>
      <c r="E3493" s="11">
        <f t="array" ref="E3493">_xlfn.XLOOKUP(D3493,Insumos!B:B,Insumos!C:$C)</f>
        <v/>
      </c>
      <c r="F3493" s="2171" t="n">
        <v>1</v>
      </c>
      <c r="G3493" s="92">
        <f t="array" ref="G3493">IF(B3493="insumo",_xlfn.XLOOKUP($D3493,Insumos!$B$1:$B$996,Insumos!$D$1:$D$996),"")</f>
        <v/>
      </c>
      <c r="H3493" s="92" t="n">
        <v>0.08</v>
      </c>
      <c r="I3493" s="2165" t="n">
        <v>0</v>
      </c>
      <c r="J3493" s="2165" t="n">
        <v>0</v>
      </c>
      <c r="K3493" s="2165" t="n"/>
    </row>
    <row r="3494" outlineLevel="3" ht="12.75" customHeight="1">
      <c r="A3494" s="82" t="n">
        <v>101</v>
      </c>
      <c r="B3494" s="82" t="inlineStr">
        <is>
          <t>Insumo</t>
        </is>
      </c>
      <c r="C3494" s="82" t="inlineStr">
        <is>
          <t>Revestimento de Piso Porcelanato Polido, Padrão Nobre, Placa 90x90cm</t>
        </is>
      </c>
      <c r="D3494" s="82" t="inlineStr">
        <is>
          <t>Rejunte Cimentício</t>
        </is>
      </c>
      <c r="E3494" s="11">
        <f t="array" ref="E3494">_xlfn.XLOOKUP(D3494,Insumos!B:B,Insumos!C:$C)</f>
        <v/>
      </c>
      <c r="F3494" s="2171" t="n">
        <v>0.01</v>
      </c>
      <c r="G3494" s="92">
        <f t="array" ref="G3494">IF(B3494="insumo",_xlfn.XLOOKUP($D3494,Insumos!$B$1:$B$996,Insumos!$D$1:$D$996),"")</f>
        <v/>
      </c>
      <c r="H3494" s="92" t="n">
        <v>0.1115</v>
      </c>
      <c r="I3494" s="2165" t="n">
        <v>0</v>
      </c>
      <c r="J3494" s="2165" t="n">
        <v>0</v>
      </c>
      <c r="K3494" s="2165" t="n"/>
    </row>
    <row r="3495" outlineLevel="2" ht="12.75" customHeight="1">
      <c r="A3495" s="1071" t="n">
        <v>1</v>
      </c>
      <c r="B3495" s="1071" t="inlineStr">
        <is>
          <t>Serviço</t>
        </is>
      </c>
      <c r="C3495" s="1071" t="inlineStr">
        <is>
          <t>Revestimento de Piso Porcelanato Polido, Placa 90x90cm</t>
        </is>
      </c>
      <c r="D3495" s="1071" t="inlineStr">
        <is>
          <t>Revestimento de Piso Porcelanato Polido, Placa 90x90cm</t>
        </is>
      </c>
      <c r="E3495" s="1072" t="inlineStr">
        <is>
          <t>M2</t>
        </is>
      </c>
      <c r="F3495" s="1071" t="n"/>
      <c r="G3495" s="1073">
        <f t="array" ref="G3495">IF(B3495="insumo",_xlfn.XLOOKUP($D3495,Insumos!$B$1:$B$996,Insumos!$D$1:$D$996),"")</f>
        <v/>
      </c>
      <c r="H3495" s="1073" t="n">
        <v>99.7591</v>
      </c>
      <c r="I3495" s="2163" t="n">
        <v>0</v>
      </c>
      <c r="J3495" s="2163" t="n">
        <v>0</v>
      </c>
      <c r="K3495" s="2163" t="n"/>
    </row>
    <row r="3496" outlineLevel="3" ht="12.75" customHeight="1">
      <c r="A3496" s="82" t="n">
        <v>5</v>
      </c>
      <c r="B3496" s="82" t="inlineStr">
        <is>
          <t>Insumo</t>
        </is>
      </c>
      <c r="C3496" s="82" t="inlineStr">
        <is>
          <t>Revestimento de Piso Porcelanato Polido, Placa 90x90cm</t>
        </is>
      </c>
      <c r="D3496" s="82" t="inlineStr">
        <is>
          <t xml:space="preserve">Porcelanato A 90x90 Polido </t>
        </is>
      </c>
      <c r="E3496" s="11">
        <f t="array" ref="E3496">_xlfn.XLOOKUP(D3496,Insumos!B:B,Insumos!C:$C)</f>
        <v/>
      </c>
      <c r="F3496" s="2171" t="n">
        <v>1.1</v>
      </c>
      <c r="G3496" s="92">
        <f t="array" ref="G3496">IF(B3496="insumo",_xlfn.XLOOKUP($D3496,Insumos!$B$1:$B$996,Insumos!$D$1:$D$996),"")</f>
        <v/>
      </c>
      <c r="H3496" s="92" t="n">
        <v>90.2</v>
      </c>
      <c r="I3496" s="2165" t="n">
        <v>0</v>
      </c>
      <c r="J3496" s="2165" t="n">
        <v>0</v>
      </c>
      <c r="K3496" s="2165" t="n"/>
    </row>
    <row r="3497" outlineLevel="3" ht="12.75" customHeight="1">
      <c r="A3497" s="82" t="n">
        <v>191</v>
      </c>
      <c r="B3497" s="82" t="inlineStr">
        <is>
          <t>Insumo</t>
        </is>
      </c>
      <c r="C3497" s="82" t="inlineStr">
        <is>
          <t>Revestimento de Piso Porcelanato Polido, Placa 90x90cm</t>
        </is>
      </c>
      <c r="D3497" s="82" t="inlineStr">
        <is>
          <t>Argamassa ACIII</t>
        </is>
      </c>
      <c r="E3497" s="11">
        <f t="array" ref="E3497">_xlfn.XLOOKUP(D3497,Insumos!B:B,Insumos!C:$C)</f>
        <v/>
      </c>
      <c r="F3497" s="2171" t="n">
        <v>8.800000000000001</v>
      </c>
      <c r="G3497" s="92">
        <f t="array" ref="G3497">IF(B3497="insumo",_xlfn.XLOOKUP($D3497,Insumos!$B$1:$B$996,Insumos!$D$1:$D$996),"")</f>
        <v/>
      </c>
      <c r="H3497" s="92" t="n">
        <v>9.367599999999999</v>
      </c>
      <c r="I3497" s="2165" t="n">
        <v>0</v>
      </c>
      <c r="J3497" s="2165" t="n">
        <v>0</v>
      </c>
      <c r="K3497" s="2165" t="n"/>
    </row>
    <row r="3498" outlineLevel="3" ht="12.75" customHeight="1">
      <c r="A3498" s="82" t="n">
        <v>142</v>
      </c>
      <c r="B3498" s="82" t="inlineStr">
        <is>
          <t>Insumo</t>
        </is>
      </c>
      <c r="C3498" s="82" t="inlineStr">
        <is>
          <t>Revestimento de Piso Porcelanato Polido, Placa 90x90cm</t>
        </is>
      </c>
      <c r="D3498" s="82" t="inlineStr">
        <is>
          <t>Espeçador junta piso 2mm</t>
        </is>
      </c>
      <c r="E3498" s="11">
        <f t="array" ref="E3498">_xlfn.XLOOKUP(D3498,Insumos!B:B,Insumos!C:$C)</f>
        <v/>
      </c>
      <c r="F3498" s="2171" t="n">
        <v>1</v>
      </c>
      <c r="G3498" s="92">
        <f t="array" ref="G3498">IF(B3498="insumo",_xlfn.XLOOKUP($D3498,Insumos!$B$1:$B$996,Insumos!$D$1:$D$996),"")</f>
        <v/>
      </c>
      <c r="H3498" s="92" t="n">
        <v>0.08</v>
      </c>
      <c r="I3498" s="2165" t="n">
        <v>0</v>
      </c>
      <c r="J3498" s="2165" t="n">
        <v>0</v>
      </c>
      <c r="K3498" s="2165" t="n"/>
    </row>
    <row r="3499" outlineLevel="3" ht="12.75" customHeight="1">
      <c r="A3499" s="82" t="n">
        <v>101</v>
      </c>
      <c r="B3499" s="82" t="inlineStr">
        <is>
          <t>Insumo</t>
        </is>
      </c>
      <c r="C3499" s="82" t="inlineStr">
        <is>
          <t>Revestimento de Piso Porcelanato Polido, Placa 90x90cm</t>
        </is>
      </c>
      <c r="D3499" s="82" t="inlineStr">
        <is>
          <t>Rejunte Cimentício</t>
        </is>
      </c>
      <c r="E3499" s="11">
        <f t="array" ref="E3499">_xlfn.XLOOKUP(D3499,Insumos!B:B,Insumos!C:$C)</f>
        <v/>
      </c>
      <c r="F3499" s="2171" t="n">
        <v>0.01</v>
      </c>
      <c r="G3499" s="92">
        <f t="array" ref="G3499">IF(B3499="insumo",_xlfn.XLOOKUP($D3499,Insumos!$B$1:$B$996,Insumos!$D$1:$D$996),"")</f>
        <v/>
      </c>
      <c r="H3499" s="92" t="n">
        <v>0.1115</v>
      </c>
      <c r="I3499" s="2165" t="n">
        <v>0</v>
      </c>
      <c r="J3499" s="2165" t="n">
        <v>0</v>
      </c>
      <c r="K3499" s="2165" t="n"/>
    </row>
    <row r="3500" outlineLevel="2" ht="12.75" customHeight="1">
      <c r="A3500" s="1071" t="n">
        <v>1</v>
      </c>
      <c r="B3500" s="1071" t="inlineStr">
        <is>
          <t>Serviço</t>
        </is>
      </c>
      <c r="C3500" s="1071" t="inlineStr">
        <is>
          <t>Revestimento de Piso Porcelanato, Placa 90x90cm, antiderrapante com junta 5mm e rejunte acrilico cinza platina</t>
        </is>
      </c>
      <c r="D3500" s="1071" t="inlineStr">
        <is>
          <t>Revestimento de Piso Porcelanato, Placa 90x90cm, antiderrapante com junta 5mm e rejunte acrilico cinza platina</t>
        </is>
      </c>
      <c r="E3500" s="1072" t="inlineStr">
        <is>
          <t>M2</t>
        </is>
      </c>
      <c r="F3500" s="1071" t="n"/>
      <c r="G3500" s="1073">
        <f t="array" ref="G3500">IF(B3500="insumo",_xlfn.XLOOKUP($D3500,Insumos!$B$1:$B$996,Insumos!$D$1:$D$996),"")</f>
        <v/>
      </c>
      <c r="H3500" s="1073" t="n">
        <v>102.7886</v>
      </c>
      <c r="I3500" s="2163" t="e">
        <v>#REF!</v>
      </c>
      <c r="J3500" s="2163" t="e">
        <v>#REF!</v>
      </c>
      <c r="K3500" s="2163" t="n"/>
    </row>
    <row r="3501" outlineLevel="3" ht="12.75" customHeight="1">
      <c r="A3501" s="82" t="n">
        <v>1</v>
      </c>
      <c r="B3501" s="82" t="inlineStr">
        <is>
          <t>Insumo</t>
        </is>
      </c>
      <c r="C3501" s="82" t="inlineStr">
        <is>
          <t>Revestimento de Piso Porcelanato, Placa 90x90cm, antiderrapante com junta 5mm e rejunte acrilico cinza platina</t>
        </is>
      </c>
      <c r="D3501" s="82" t="inlineStr">
        <is>
          <t>Porcelanato Pedra Granilhado 90x90cm Travertino Tivoli Bege</t>
        </is>
      </c>
      <c r="E3501" s="11">
        <f t="array" ref="E3501">_xlfn.XLOOKUP(D3501,Insumos!B:B,Insumos!C:$C)</f>
        <v/>
      </c>
      <c r="F3501" s="2171" t="n">
        <v>1.1</v>
      </c>
      <c r="G3501" s="92">
        <f t="array" ref="G3501">IF(B3501="insumo",_xlfn.XLOOKUP($D3501,Insumos!$B$1:$B$996,Insumos!$D$1:$D$996),"")</f>
        <v/>
      </c>
      <c r="H3501" s="92" t="n">
        <v>92.961</v>
      </c>
      <c r="I3501" s="2165" t="e">
        <v>#REF!</v>
      </c>
      <c r="J3501" s="2165" t="e">
        <v>#REF!</v>
      </c>
      <c r="K3501" s="2165" t="n"/>
    </row>
    <row r="3502" outlineLevel="3" ht="12.75" customHeight="1">
      <c r="A3502" s="82" t="n">
        <v>191</v>
      </c>
      <c r="B3502" s="82" t="inlineStr">
        <is>
          <t>Insumo</t>
        </is>
      </c>
      <c r="C3502" s="82" t="inlineStr">
        <is>
          <t>Revestimento de Piso Porcelanato, Placa 90x90cm, antiderrapante com junta 5mm e rejunte acrilico cinza platina</t>
        </is>
      </c>
      <c r="D3502" s="82" t="inlineStr">
        <is>
          <t>Argamassa ACIII</t>
        </is>
      </c>
      <c r="E3502" s="11">
        <f t="array" ref="E3502">_xlfn.XLOOKUP(D3502,Insumos!B:B,Insumos!C:$C)</f>
        <v/>
      </c>
      <c r="F3502" s="2171" t="n">
        <v>8.800000000000001</v>
      </c>
      <c r="G3502" s="92">
        <f t="array" ref="G3502">IF(B3502="insumo",_xlfn.XLOOKUP($D3502,Insumos!$B$1:$B$996,Insumos!$D$1:$D$996),"")</f>
        <v/>
      </c>
      <c r="H3502" s="92" t="n">
        <v>9.367599999999999</v>
      </c>
      <c r="I3502" s="2165" t="e">
        <v>#REF!</v>
      </c>
      <c r="J3502" s="2165" t="e">
        <v>#REF!</v>
      </c>
      <c r="K3502" s="2165" t="n"/>
    </row>
    <row r="3503" outlineLevel="3" ht="12.75" customHeight="1">
      <c r="A3503" s="82" t="n">
        <v>142</v>
      </c>
      <c r="B3503" s="82" t="inlineStr">
        <is>
          <t>Insumo</t>
        </is>
      </c>
      <c r="C3503" s="82" t="inlineStr">
        <is>
          <t>Revestimento de Piso Porcelanato, Placa 90x90cm, antiderrapante com junta 5mm e rejunte acrilico cinza platina</t>
        </is>
      </c>
      <c r="D3503" s="82" t="inlineStr">
        <is>
          <t>Espeçador junta piso 2mm</t>
        </is>
      </c>
      <c r="E3503" s="11">
        <f t="array" ref="E3503">_xlfn.XLOOKUP(D3503,Insumos!B:B,Insumos!C:$C)</f>
        <v/>
      </c>
      <c r="F3503" s="2171" t="n">
        <v>1</v>
      </c>
      <c r="G3503" s="92">
        <f t="array" ref="G3503">IF(B3503="insumo",_xlfn.XLOOKUP($D3503,Insumos!$B$1:$B$996,Insumos!$D$1:$D$996),"")</f>
        <v/>
      </c>
      <c r="H3503" s="92" t="n">
        <v>0.08</v>
      </c>
      <c r="I3503" s="2165" t="e">
        <v>#REF!</v>
      </c>
      <c r="J3503" s="2165" t="e">
        <v>#REF!</v>
      </c>
      <c r="K3503" s="2165" t="n"/>
    </row>
    <row r="3504" outlineLevel="3" ht="12.75" customHeight="1">
      <c r="A3504" s="82" t="n">
        <v>36</v>
      </c>
      <c r="B3504" s="82" t="inlineStr">
        <is>
          <t>Insumo</t>
        </is>
      </c>
      <c r="C3504" s="82" t="inlineStr">
        <is>
          <t>Revestimento de Piso Porcelanato, Placa 90x90cm, antiderrapante com junta 5mm e rejunte acrilico cinza platina</t>
        </is>
      </c>
      <c r="D3504" s="82" t="inlineStr">
        <is>
          <t>Rejunte Acrilico cinza platina</t>
        </is>
      </c>
      <c r="E3504" s="11">
        <f t="array" ref="E3504">_xlfn.XLOOKUP(D3504,Insumos!B:B,Insumos!C:$C)</f>
        <v/>
      </c>
      <c r="F3504" s="2171" t="n">
        <v>0.01</v>
      </c>
      <c r="G3504" s="92">
        <f t="array" ref="G3504">IF(B3504="insumo",_xlfn.XLOOKUP($D3504,Insumos!$B$1:$B$996,Insumos!$D$1:$D$996),"")</f>
        <v/>
      </c>
      <c r="H3504" s="92" t="n">
        <v>0.38</v>
      </c>
      <c r="I3504" s="2165" t="e">
        <v>#REF!</v>
      </c>
      <c r="J3504" s="2165" t="e">
        <v>#REF!</v>
      </c>
      <c r="K3504" s="2165" t="n"/>
    </row>
    <row r="3505" outlineLevel="2" ht="12.75" customHeight="1">
      <c r="A3505" s="1071" t="n">
        <v>1</v>
      </c>
      <c r="B3505" s="1071" t="inlineStr">
        <is>
          <t>Serviço</t>
        </is>
      </c>
      <c r="C3505" s="1071" t="inlineStr">
        <is>
          <t>Revestimento de Piso Porcelanato, Placa 90x90cm, com coeficiente de atrito 0,4</t>
        </is>
      </c>
      <c r="D3505" s="1071" t="inlineStr">
        <is>
          <t>Revestimento de Piso Porcelanato, Placa 90x90cm, com coeficiente de atrito 0,4</t>
        </is>
      </c>
      <c r="E3505" s="1072" t="inlineStr">
        <is>
          <t>M2</t>
        </is>
      </c>
      <c r="F3505" s="1071" t="n"/>
      <c r="G3505" s="1073">
        <f t="array" ref="G3505">IF(B3505="insumo",_xlfn.XLOOKUP($D3505,Insumos!$B$1:$B$996,Insumos!$D$1:$D$996),"")</f>
        <v/>
      </c>
      <c r="H3505" s="1073" t="n">
        <v>83.8201</v>
      </c>
      <c r="I3505" s="2163" t="n">
        <v>0</v>
      </c>
      <c r="J3505" s="2163" t="n">
        <v>0</v>
      </c>
      <c r="K3505" s="2163" t="n"/>
    </row>
    <row r="3506" outlineLevel="3" ht="12.75" customHeight="1">
      <c r="A3506" s="82" t="n">
        <v>1</v>
      </c>
      <c r="B3506" s="82" t="inlineStr">
        <is>
          <t>Insumo</t>
        </is>
      </c>
      <c r="C3506" s="82" t="inlineStr">
        <is>
          <t>Revestimento de Piso Porcelanato, Placa 90x90cm, com coeficiente de atrito 0,4</t>
        </is>
      </c>
      <c r="D3506" s="82" t="inlineStr">
        <is>
          <t>Porcelanato Esmaltado 90x90cm Cinza Cemento Grigio Biancogres</t>
        </is>
      </c>
      <c r="E3506" s="11">
        <f t="array" ref="E3506">_xlfn.XLOOKUP(D3506,Insumos!B:B,Insumos!C:$C)</f>
        <v/>
      </c>
      <c r="F3506" s="2171" t="n">
        <v>1.1</v>
      </c>
      <c r="G3506" s="92">
        <f t="array" ref="G3506">IF(B3506="insumo",_xlfn.XLOOKUP($D3506,Insumos!$B$1:$B$996,Insumos!$D$1:$D$996),"")</f>
        <v/>
      </c>
      <c r="H3506" s="92" t="n">
        <v>74.261</v>
      </c>
      <c r="I3506" s="2165" t="n">
        <v>0</v>
      </c>
      <c r="J3506" s="2165" t="n">
        <v>0</v>
      </c>
      <c r="K3506" s="2165" t="n"/>
    </row>
    <row r="3507" outlineLevel="3" ht="12.75" customHeight="1">
      <c r="A3507" s="82" t="n">
        <v>191</v>
      </c>
      <c r="B3507" s="82" t="inlineStr">
        <is>
          <t>Insumo</t>
        </is>
      </c>
      <c r="C3507" s="82" t="inlineStr">
        <is>
          <t>Revestimento de Piso Porcelanato, Placa 90x90cm, com coeficiente de atrito 0,4</t>
        </is>
      </c>
      <c r="D3507" s="82" t="inlineStr">
        <is>
          <t>Argamassa ACIII</t>
        </is>
      </c>
      <c r="E3507" s="11">
        <f t="array" ref="E3507">_xlfn.XLOOKUP(D3507,Insumos!B:B,Insumos!C:$C)</f>
        <v/>
      </c>
      <c r="F3507" s="2171" t="n">
        <v>8.800000000000001</v>
      </c>
      <c r="G3507" s="92">
        <f t="array" ref="G3507">IF(B3507="insumo",_xlfn.XLOOKUP($D3507,Insumos!$B$1:$B$996,Insumos!$D$1:$D$996),"")</f>
        <v/>
      </c>
      <c r="H3507" s="92" t="n">
        <v>9.367599999999999</v>
      </c>
      <c r="I3507" s="2165" t="n">
        <v>0</v>
      </c>
      <c r="J3507" s="2165" t="n">
        <v>0</v>
      </c>
      <c r="K3507" s="2165" t="n"/>
    </row>
    <row r="3508" outlineLevel="3" ht="12.75" customHeight="1">
      <c r="A3508" s="82" t="n">
        <v>142</v>
      </c>
      <c r="B3508" s="82" t="inlineStr">
        <is>
          <t>Insumo</t>
        </is>
      </c>
      <c r="C3508" s="82" t="inlineStr">
        <is>
          <t>Revestimento de Piso Porcelanato, Placa 90x90cm, com coeficiente de atrito 0,4</t>
        </is>
      </c>
      <c r="D3508" s="82" t="inlineStr">
        <is>
          <t>Espeçador junta piso 2mm</t>
        </is>
      </c>
      <c r="E3508" s="11">
        <f t="array" ref="E3508">_xlfn.XLOOKUP(D3508,Insumos!B:B,Insumos!C:$C)</f>
        <v/>
      </c>
      <c r="F3508" s="2171" t="n">
        <v>1</v>
      </c>
      <c r="G3508" s="92">
        <f t="array" ref="G3508">IF(B3508="insumo",_xlfn.XLOOKUP($D3508,Insumos!$B$1:$B$996,Insumos!$D$1:$D$996),"")</f>
        <v/>
      </c>
      <c r="H3508" s="92" t="n">
        <v>0.08</v>
      </c>
      <c r="I3508" s="2165" t="n">
        <v>0</v>
      </c>
      <c r="J3508" s="2165" t="n">
        <v>0</v>
      </c>
      <c r="K3508" s="2165" t="n"/>
    </row>
    <row r="3509" outlineLevel="3" ht="12.75" customHeight="1">
      <c r="A3509" s="82" t="n">
        <v>101</v>
      </c>
      <c r="B3509" s="82" t="inlineStr">
        <is>
          <t>Insumo</t>
        </is>
      </c>
      <c r="C3509" s="82" t="inlineStr">
        <is>
          <t>Revestimento de Piso Porcelanato, Placa 90x90cm, com coeficiente de atrito 0,4</t>
        </is>
      </c>
      <c r="D3509" s="82" t="inlineStr">
        <is>
          <t>Rejunte Cimentício</t>
        </is>
      </c>
      <c r="E3509" s="11">
        <f t="array" ref="E3509">_xlfn.XLOOKUP(D3509,Insumos!B:B,Insumos!C:$C)</f>
        <v/>
      </c>
      <c r="F3509" s="2171" t="n">
        <v>0.01</v>
      </c>
      <c r="G3509" s="92">
        <f t="array" ref="G3509">IF(B3509="insumo",_xlfn.XLOOKUP($D3509,Insumos!$B$1:$B$996,Insumos!$D$1:$D$996),"")</f>
        <v/>
      </c>
      <c r="H3509" s="92" t="n">
        <v>0.1115</v>
      </c>
      <c r="I3509" s="2165" t="n">
        <v>0</v>
      </c>
      <c r="J3509" s="2165" t="n">
        <v>0</v>
      </c>
      <c r="K3509" s="2165" t="n"/>
    </row>
    <row r="3510" outlineLevel="2" ht="12.75" customHeight="1">
      <c r="A3510" s="1071" t="n">
        <v>1</v>
      </c>
      <c r="B3510" s="1071" t="inlineStr">
        <is>
          <t>Serviço</t>
        </is>
      </c>
      <c r="C3510" s="1071" t="inlineStr">
        <is>
          <t>Revestimento de Piso Porcelanato Polido, Placa 120x120cm</t>
        </is>
      </c>
      <c r="D3510" s="1071" t="inlineStr">
        <is>
          <t>Revestimento de Piso Porcelanato Polido, Placa 120x120cm</t>
        </is>
      </c>
      <c r="E3510" s="1072" t="inlineStr">
        <is>
          <t>M2</t>
        </is>
      </c>
      <c r="F3510" s="1071" t="n"/>
      <c r="G3510" s="1073">
        <f t="array" ref="G3510">IF(B3510="insumo",_xlfn.XLOOKUP($D3510,Insumos!$B$1:$B$996,Insumos!$D$1:$D$996),"")</f>
        <v/>
      </c>
      <c r="H3510" s="1073" t="n">
        <v>166.0545</v>
      </c>
      <c r="I3510" s="2163" t="n">
        <v>0</v>
      </c>
      <c r="J3510" s="2163" t="n">
        <v>0</v>
      </c>
      <c r="K3510" s="2163" t="n"/>
    </row>
    <row r="3511" outlineLevel="3" ht="12.75" customHeight="1">
      <c r="A3511" s="82" t="n">
        <v>3</v>
      </c>
      <c r="B3511" s="82" t="inlineStr">
        <is>
          <t>Insumo</t>
        </is>
      </c>
      <c r="C3511" s="82" t="inlineStr">
        <is>
          <t>Revestimento de Piso Porcelanato Polido, Placa 120x120cm</t>
        </is>
      </c>
      <c r="D3511" s="82" t="inlineStr">
        <is>
          <t>Porcelanato Polido Eliane Place "A" 120x120</t>
        </is>
      </c>
      <c r="E3511" s="11">
        <f t="array" ref="E3511">_xlfn.XLOOKUP(D3511,Insumos!B:B,Insumos!C:$C)</f>
        <v/>
      </c>
      <c r="F3511" s="2164" t="n">
        <v>1.1</v>
      </c>
      <c r="G3511" s="92">
        <f t="array" ref="G3511">IF(B3511="insumo",_xlfn.XLOOKUP($D3511,Insumos!$B$1:$B$996,Insumos!$D$1:$D$996),"")</f>
        <v/>
      </c>
      <c r="H3511" s="92" t="n">
        <v>150.579</v>
      </c>
      <c r="I3511" s="2165" t="n">
        <v>0</v>
      </c>
      <c r="J3511" s="2165" t="n">
        <v>0</v>
      </c>
      <c r="K3511" s="2165" t="n"/>
    </row>
    <row r="3512" outlineLevel="3" ht="12.75" customHeight="1">
      <c r="A3512" s="82" t="n">
        <v>191</v>
      </c>
      <c r="B3512" s="82" t="inlineStr">
        <is>
          <t>Insumo</t>
        </is>
      </c>
      <c r="C3512" s="82" t="inlineStr">
        <is>
          <t>Revestimento de Piso Porcelanato Polido, Placa 120x120cm</t>
        </is>
      </c>
      <c r="D3512" s="82" t="inlineStr">
        <is>
          <t>Argamassa ACIII</t>
        </is>
      </c>
      <c r="E3512" s="11">
        <f t="array" ref="E3512">_xlfn.XLOOKUP(D3512,Insumos!B:B,Insumos!C:$C)</f>
        <v/>
      </c>
      <c r="F3512" s="2164" t="n">
        <v>9</v>
      </c>
      <c r="G3512" s="92">
        <f t="array" ref="G3512">IF(B3512="insumo",_xlfn.XLOOKUP($D3512,Insumos!$B$1:$B$996,Insumos!$D$1:$D$996),"")</f>
        <v/>
      </c>
      <c r="H3512" s="92" t="n">
        <v>9.580500000000001</v>
      </c>
      <c r="I3512" s="2165" t="n">
        <v>0</v>
      </c>
      <c r="J3512" s="2165" t="n">
        <v>0</v>
      </c>
      <c r="K3512" s="2165" t="n"/>
    </row>
    <row r="3513" outlineLevel="3" ht="12.75" customHeight="1">
      <c r="A3513" s="82" t="n">
        <v>142</v>
      </c>
      <c r="B3513" s="82" t="inlineStr">
        <is>
          <t>Insumo</t>
        </is>
      </c>
      <c r="C3513" s="82" t="inlineStr">
        <is>
          <t>Revestimento de Piso Porcelanato Polido, Placa 120x120cm</t>
        </is>
      </c>
      <c r="D3513" s="82" t="inlineStr">
        <is>
          <t>Espeçador junta piso 2mm</t>
        </is>
      </c>
      <c r="E3513" s="11">
        <f t="array" ref="E3513">_xlfn.XLOOKUP(D3513,Insumos!B:B,Insumos!C:$C)</f>
        <v/>
      </c>
      <c r="F3513" s="2164" t="n">
        <v>4</v>
      </c>
      <c r="G3513" s="92">
        <f t="array" ref="G3513">IF(B3513="insumo",_xlfn.XLOOKUP($D3513,Insumos!$B$1:$B$996,Insumos!$D$1:$D$996),"")</f>
        <v/>
      </c>
      <c r="H3513" s="92" t="n">
        <v>0.32</v>
      </c>
      <c r="I3513" s="2165" t="n">
        <v>0</v>
      </c>
      <c r="J3513" s="2165" t="n">
        <v>0</v>
      </c>
      <c r="K3513" s="2165" t="n"/>
    </row>
    <row r="3514" outlineLevel="3" ht="12.75" customHeight="1">
      <c r="A3514" s="82" t="n">
        <v>101</v>
      </c>
      <c r="B3514" s="82" t="inlineStr">
        <is>
          <t>Insumo</t>
        </is>
      </c>
      <c r="C3514" s="82" t="inlineStr">
        <is>
          <t>Revestimento de Piso Porcelanato Polido, Placa 120x120cm</t>
        </is>
      </c>
      <c r="D3514" s="82" t="inlineStr">
        <is>
          <t>Rejunte Cimentício</t>
        </is>
      </c>
      <c r="E3514" s="11">
        <f t="array" ref="E3514">_xlfn.XLOOKUP(D3514,Insumos!B:B,Insumos!C:$C)</f>
        <v/>
      </c>
      <c r="F3514" s="2164" t="n">
        <v>0.5</v>
      </c>
      <c r="G3514" s="92">
        <f t="array" ref="G3514">IF(B3514="insumo",_xlfn.XLOOKUP($D3514,Insumos!$B$1:$B$996,Insumos!$D$1:$D$996),"")</f>
        <v/>
      </c>
      <c r="H3514" s="92" t="n">
        <v>5.575</v>
      </c>
      <c r="I3514" s="2165" t="n">
        <v>0</v>
      </c>
      <c r="J3514" s="2165" t="n">
        <v>0</v>
      </c>
      <c r="K3514" s="2165" t="n"/>
    </row>
    <row r="3515" outlineLevel="2" ht="12.75" customHeight="1">
      <c r="A3515" s="1071" t="n">
        <v>1</v>
      </c>
      <c r="B3515" s="1071" t="inlineStr">
        <is>
          <t>Serviço</t>
        </is>
      </c>
      <c r="C3515" s="1071" t="inlineStr">
        <is>
          <t>Revestimento de Piso Porcelanato Matiz Agave MT 30x90 - Eliane Revestimentos</t>
        </is>
      </c>
      <c r="D3515" s="1071" t="inlineStr">
        <is>
          <t>Revestimento de Piso Porcelanato Matiz Agave MT 30x90 - Eliane Revestimentos</t>
        </is>
      </c>
      <c r="E3515" s="1072" t="inlineStr">
        <is>
          <t>M2</t>
        </is>
      </c>
      <c r="F3515" s="1071" t="n"/>
      <c r="G3515" s="1073">
        <f t="array" ref="G3515">IF(B3515="insumo",_xlfn.XLOOKUP($D3515,Insumos!$B$1:$B$996,Insumos!$D$1:$D$996),"")</f>
        <v/>
      </c>
      <c r="H3515" s="1073" t="n">
        <v>268.0591</v>
      </c>
      <c r="I3515" s="2163" t="n">
        <v>0</v>
      </c>
      <c r="J3515" s="2163" t="n">
        <v>0</v>
      </c>
      <c r="K3515" s="2163" t="n"/>
    </row>
    <row r="3516" outlineLevel="3" ht="12.75" customHeight="1">
      <c r="A3516" s="82" t="n">
        <v>1</v>
      </c>
      <c r="B3516" s="82" t="inlineStr">
        <is>
          <t>Insumo</t>
        </is>
      </c>
      <c r="C3516" s="82" t="inlineStr">
        <is>
          <t>Revestimento de Piso Porcelanato Matiz Agave MT 30x90 - Eliane Revestimentos</t>
        </is>
      </c>
      <c r="D3516" s="82" t="inlineStr">
        <is>
          <t>Porcelanato Matiz Agave MT 30x90 - Eliane Revestimentos</t>
        </is>
      </c>
      <c r="E3516" s="11">
        <f t="array" ref="E3516">_xlfn.XLOOKUP(D3516,Insumos!B:B,Insumos!C:$C)</f>
        <v/>
      </c>
      <c r="F3516" s="2171" t="n">
        <v>1.1</v>
      </c>
      <c r="G3516" s="92">
        <f t="array" ref="G3516">IF(B3516="insumo",_xlfn.XLOOKUP($D3516,Insumos!$B$1:$B$996,Insumos!$D$1:$D$996),"")</f>
        <v/>
      </c>
      <c r="H3516" s="92" t="n">
        <v>258.5</v>
      </c>
      <c r="I3516" s="2165" t="n">
        <v>0</v>
      </c>
      <c r="J3516" s="2165" t="n">
        <v>0</v>
      </c>
      <c r="K3516" s="2165" t="n"/>
    </row>
    <row r="3517" outlineLevel="3" ht="12.75" customHeight="1">
      <c r="A3517" s="82" t="n">
        <v>191</v>
      </c>
      <c r="B3517" s="82" t="inlineStr">
        <is>
          <t>Insumo</t>
        </is>
      </c>
      <c r="C3517" s="82" t="inlineStr">
        <is>
          <t>Revestimento de Piso Porcelanato Matiz Agave MT 30x90 - Eliane Revestimentos</t>
        </is>
      </c>
      <c r="D3517" s="82" t="inlineStr">
        <is>
          <t>Argamassa ACIII</t>
        </is>
      </c>
      <c r="E3517" s="11">
        <f t="array" ref="E3517">_xlfn.XLOOKUP(D3517,Insumos!B:B,Insumos!C:$C)</f>
        <v/>
      </c>
      <c r="F3517" s="2171" t="n">
        <v>8.800000000000001</v>
      </c>
      <c r="G3517" s="92">
        <f t="array" ref="G3517">IF(B3517="insumo",_xlfn.XLOOKUP($D3517,Insumos!$B$1:$B$996,Insumos!$D$1:$D$996),"")</f>
        <v/>
      </c>
      <c r="H3517" s="92" t="n">
        <v>9.367599999999999</v>
      </c>
      <c r="I3517" s="2165" t="n">
        <v>0</v>
      </c>
      <c r="J3517" s="2165" t="n">
        <v>0</v>
      </c>
      <c r="K3517" s="2165" t="n"/>
    </row>
    <row r="3518" outlineLevel="3" ht="12.75" customHeight="1">
      <c r="A3518" s="82" t="n">
        <v>142</v>
      </c>
      <c r="B3518" s="82" t="inlineStr">
        <is>
          <t>Insumo</t>
        </is>
      </c>
      <c r="C3518" s="82" t="inlineStr">
        <is>
          <t>Revestimento de Piso Porcelanato Matiz Agave MT 30x90 - Eliane Revestimentos</t>
        </is>
      </c>
      <c r="D3518" s="82" t="inlineStr">
        <is>
          <t>Espeçador junta piso 2mm</t>
        </is>
      </c>
      <c r="E3518" s="11">
        <f t="array" ref="E3518">_xlfn.XLOOKUP(D3518,Insumos!B:B,Insumos!C:$C)</f>
        <v/>
      </c>
      <c r="F3518" s="2171" t="n">
        <v>1</v>
      </c>
      <c r="G3518" s="92">
        <f t="array" ref="G3518">IF(B3518="insumo",_xlfn.XLOOKUP($D3518,Insumos!$B$1:$B$996,Insumos!$D$1:$D$996),"")</f>
        <v/>
      </c>
      <c r="H3518" s="92" t="n">
        <v>0.08</v>
      </c>
      <c r="I3518" s="2165" t="n">
        <v>0</v>
      </c>
      <c r="J3518" s="2165" t="n">
        <v>0</v>
      </c>
      <c r="K3518" s="2165" t="n"/>
    </row>
    <row r="3519" outlineLevel="3" ht="12.75" customHeight="1">
      <c r="A3519" s="82" t="n">
        <v>101</v>
      </c>
      <c r="B3519" s="82" t="inlineStr">
        <is>
          <t>Insumo</t>
        </is>
      </c>
      <c r="C3519" s="82" t="inlineStr">
        <is>
          <t>Revestimento de Piso Porcelanato Matiz Agave MT 30x90 - Eliane Revestimentos</t>
        </is>
      </c>
      <c r="D3519" s="82" t="inlineStr">
        <is>
          <t>Rejunte Cimentício</t>
        </is>
      </c>
      <c r="E3519" s="11">
        <f t="array" ref="E3519">_xlfn.XLOOKUP(D3519,Insumos!B:B,Insumos!C:$C)</f>
        <v/>
      </c>
      <c r="F3519" s="2171" t="n">
        <v>0.01</v>
      </c>
      <c r="G3519" s="92">
        <f t="array" ref="G3519">IF(B3519="insumo",_xlfn.XLOOKUP($D3519,Insumos!$B$1:$B$996,Insumos!$D$1:$D$996),"")</f>
        <v/>
      </c>
      <c r="H3519" s="92" t="n">
        <v>0.1115</v>
      </c>
      <c r="I3519" s="2165" t="n">
        <v>0</v>
      </c>
      <c r="J3519" s="2165" t="n">
        <v>0</v>
      </c>
      <c r="K3519" s="2165" t="n"/>
    </row>
    <row r="3520" outlineLevel="2" ht="12.75" customHeight="1">
      <c r="A3520" s="1071" t="n">
        <v>1</v>
      </c>
      <c r="B3520" s="1071" t="inlineStr">
        <is>
          <t>Serviço</t>
        </is>
      </c>
      <c r="C3520" s="1071" t="inlineStr">
        <is>
          <t>Revestimento de Piso Porcelanato preto e branco, Placa 90x90cm</t>
        </is>
      </c>
      <c r="D3520" s="1071" t="inlineStr">
        <is>
          <t>Revestimento de Piso Porcelanato preto e branco, Placa 90x90cm</t>
        </is>
      </c>
      <c r="E3520" s="1072" t="inlineStr">
        <is>
          <t>M2</t>
        </is>
      </c>
      <c r="F3520" s="1071" t="n"/>
      <c r="G3520" s="1073">
        <f t="array" ref="G3520">IF(B3520="insumo",_xlfn.XLOOKUP($D3520,Insumos!$B$1:$B$996,Insumos!$D$1:$D$996),"")</f>
        <v/>
      </c>
      <c r="H3520" s="1073" t="n">
        <v>158.0591</v>
      </c>
      <c r="I3520" s="2163" t="n">
        <v>0</v>
      </c>
      <c r="J3520" s="2163" t="n">
        <v>0</v>
      </c>
      <c r="K3520" s="2163" t="n"/>
    </row>
    <row r="3521" outlineLevel="3" ht="12.75" customHeight="1">
      <c r="A3521" s="82" t="n">
        <v>1</v>
      </c>
      <c r="B3521" s="82" t="inlineStr">
        <is>
          <t>Insumo</t>
        </is>
      </c>
      <c r="C3521" s="82" t="inlineStr">
        <is>
          <t>Revestimento de Piso Porcelanato preto e branco, Placa 90x90cm</t>
        </is>
      </c>
      <c r="D3521" s="82" t="inlineStr">
        <is>
          <t>Porcenalato Interno 90x90cm preto e branco</t>
        </is>
      </c>
      <c r="E3521" s="11">
        <f t="array" ref="E3521">_xlfn.XLOOKUP(D3521,Insumos!B:B,Insumos!C:$C)</f>
        <v/>
      </c>
      <c r="F3521" s="2171" t="n">
        <v>1.1</v>
      </c>
      <c r="G3521" s="92">
        <f t="array" ref="G3521">IF(B3521="insumo",_xlfn.XLOOKUP($D3521,Insumos!$B$1:$B$996,Insumos!$D$1:$D$996),"")</f>
        <v/>
      </c>
      <c r="H3521" s="92" t="n">
        <v>148.5</v>
      </c>
      <c r="I3521" s="2165" t="n">
        <v>0</v>
      </c>
      <c r="J3521" s="2165" t="n">
        <v>0</v>
      </c>
      <c r="K3521" s="2165" t="n"/>
    </row>
    <row r="3522" outlineLevel="3" ht="12.75" customHeight="1">
      <c r="A3522" s="82" t="n">
        <v>191</v>
      </c>
      <c r="B3522" s="82" t="inlineStr">
        <is>
          <t>Insumo</t>
        </is>
      </c>
      <c r="C3522" s="82" t="inlineStr">
        <is>
          <t>Revestimento de Piso Porcelanato preto e branco, Placa 90x90cm</t>
        </is>
      </c>
      <c r="D3522" s="82" t="inlineStr">
        <is>
          <t>Argamassa ACIII</t>
        </is>
      </c>
      <c r="E3522" s="11">
        <f t="array" ref="E3522">_xlfn.XLOOKUP(D3522,Insumos!B:B,Insumos!C:$C)</f>
        <v/>
      </c>
      <c r="F3522" s="2171" t="n">
        <v>8.800000000000001</v>
      </c>
      <c r="G3522" s="92">
        <f t="array" ref="G3522">IF(B3522="insumo",_xlfn.XLOOKUP($D3522,Insumos!$B$1:$B$996,Insumos!$D$1:$D$996),"")</f>
        <v/>
      </c>
      <c r="H3522" s="92" t="n">
        <v>9.367599999999999</v>
      </c>
      <c r="I3522" s="2165" t="n">
        <v>0</v>
      </c>
      <c r="J3522" s="2165" t="n">
        <v>0</v>
      </c>
      <c r="K3522" s="2165" t="n"/>
    </row>
    <row r="3523" outlineLevel="3" ht="12.75" customHeight="1">
      <c r="A3523" s="82" t="n">
        <v>142</v>
      </c>
      <c r="B3523" s="82" t="inlineStr">
        <is>
          <t>Insumo</t>
        </is>
      </c>
      <c r="C3523" s="82" t="inlineStr">
        <is>
          <t>Revestimento de Piso Porcelanato preto e branco, Placa 90x90cm</t>
        </is>
      </c>
      <c r="D3523" s="82" t="inlineStr">
        <is>
          <t>Espeçador junta piso 2mm</t>
        </is>
      </c>
      <c r="E3523" s="11">
        <f t="array" ref="E3523">_xlfn.XLOOKUP(D3523,Insumos!B:B,Insumos!C:$C)</f>
        <v/>
      </c>
      <c r="F3523" s="2171" t="n">
        <v>1</v>
      </c>
      <c r="G3523" s="92">
        <f t="array" ref="G3523">IF(B3523="insumo",_xlfn.XLOOKUP($D3523,Insumos!$B$1:$B$996,Insumos!$D$1:$D$996),"")</f>
        <v/>
      </c>
      <c r="H3523" s="92" t="n">
        <v>0.08</v>
      </c>
      <c r="I3523" s="2165" t="n">
        <v>0</v>
      </c>
      <c r="J3523" s="2165" t="n">
        <v>0</v>
      </c>
      <c r="K3523" s="2165" t="n"/>
    </row>
    <row r="3524" outlineLevel="3" ht="12.75" customHeight="1">
      <c r="A3524" s="82" t="n">
        <v>101</v>
      </c>
      <c r="B3524" s="82" t="inlineStr">
        <is>
          <t>Insumo</t>
        </is>
      </c>
      <c r="C3524" s="82" t="inlineStr">
        <is>
          <t>Revestimento de Piso Porcelanato preto e branco, Placa 90x90cm</t>
        </is>
      </c>
      <c r="D3524" s="82" t="inlineStr">
        <is>
          <t>Rejunte Cimentício</t>
        </is>
      </c>
      <c r="E3524" s="11">
        <f t="array" ref="E3524">_xlfn.XLOOKUP(D3524,Insumos!B:B,Insumos!C:$C)</f>
        <v/>
      </c>
      <c r="F3524" s="2171" t="n">
        <v>0.01</v>
      </c>
      <c r="G3524" s="92">
        <f t="array" ref="G3524">IF(B3524="insumo",_xlfn.XLOOKUP($D3524,Insumos!$B$1:$B$996,Insumos!$D$1:$D$996),"")</f>
        <v/>
      </c>
      <c r="H3524" s="92" t="n">
        <v>0.1115</v>
      </c>
      <c r="I3524" s="2165" t="n">
        <v>0</v>
      </c>
      <c r="J3524" s="2165" t="n">
        <v>0</v>
      </c>
      <c r="K3524" s="2165" t="n"/>
    </row>
    <row r="3525" outlineLevel="2" ht="12.75" customHeight="1">
      <c r="A3525" s="1071" t="n">
        <v>1</v>
      </c>
      <c r="B3525" s="1071" t="inlineStr">
        <is>
          <t>Serviço</t>
        </is>
      </c>
      <c r="C3525" s="1071" t="inlineStr">
        <is>
          <t>Revestimento de Piso Porcelanato Acetinado Mirage, Placa 90x90cm</t>
        </is>
      </c>
      <c r="D3525" s="1071" t="inlineStr">
        <is>
          <t>Revestimento de Piso Porcelanato Acetinado Mirage, Placa 90x90cm</t>
        </is>
      </c>
      <c r="E3525" s="1072" t="inlineStr">
        <is>
          <t>M2</t>
        </is>
      </c>
      <c r="F3525" s="1071" t="n"/>
      <c r="G3525" s="1073">
        <f t="array" ref="G3525">IF(B3525="insumo",_xlfn.XLOOKUP($D3525,Insumos!$B$1:$B$996,Insumos!$D$1:$D$996),"")</f>
        <v/>
      </c>
      <c r="H3525" s="1073" t="n">
        <v>167.6951</v>
      </c>
      <c r="I3525" s="2163" t="n">
        <v>0</v>
      </c>
      <c r="J3525" s="2163" t="n">
        <v>0</v>
      </c>
      <c r="K3525" s="2163" t="n"/>
    </row>
    <row r="3526" outlineLevel="3" ht="12.75" customHeight="1">
      <c r="A3526" s="82" t="n">
        <v>1</v>
      </c>
      <c r="B3526" s="82" t="inlineStr">
        <is>
          <t>Insumo</t>
        </is>
      </c>
      <c r="C3526" s="82" t="inlineStr">
        <is>
          <t>Revestimento de Piso Porcelanato Acetinado Mirage, Placa 90x90cm</t>
        </is>
      </c>
      <c r="D3526" s="82" t="inlineStr">
        <is>
          <t>Porcenalato Interno Acetinado 90x90cm Mirage CTM Incesa</t>
        </is>
      </c>
      <c r="E3526" s="11">
        <f t="array" ref="E3526">_xlfn.XLOOKUP(D3526,Insumos!B:B,Insumos!C:$C)</f>
        <v/>
      </c>
      <c r="F3526" s="2171" t="n">
        <v>1.1</v>
      </c>
      <c r="G3526" s="92">
        <f t="array" ref="G3526">IF(B3526="insumo",_xlfn.XLOOKUP($D3526,Insumos!$B$1:$B$996,Insumos!$D$1:$D$996),"")</f>
        <v/>
      </c>
      <c r="H3526" s="92" t="n">
        <v>158.136</v>
      </c>
      <c r="I3526" s="2165" t="n">
        <v>0</v>
      </c>
      <c r="J3526" s="2165" t="n">
        <v>0</v>
      </c>
      <c r="K3526" s="2165" t="n"/>
    </row>
    <row r="3527" outlineLevel="3" ht="12.75" customHeight="1">
      <c r="A3527" s="82" t="n">
        <v>191</v>
      </c>
      <c r="B3527" s="82" t="inlineStr">
        <is>
          <t>Insumo</t>
        </is>
      </c>
      <c r="C3527" s="82" t="inlineStr">
        <is>
          <t>Revestimento de Piso Porcelanato Acetinado Mirage, Placa 90x90cm</t>
        </is>
      </c>
      <c r="D3527" s="82" t="inlineStr">
        <is>
          <t>Argamassa ACIII</t>
        </is>
      </c>
      <c r="E3527" s="11">
        <f t="array" ref="E3527">_xlfn.XLOOKUP(D3527,Insumos!B:B,Insumos!C:$C)</f>
        <v/>
      </c>
      <c r="F3527" s="2171" t="n">
        <v>8.800000000000001</v>
      </c>
      <c r="G3527" s="92">
        <f t="array" ref="G3527">IF(B3527="insumo",_xlfn.XLOOKUP($D3527,Insumos!$B$1:$B$996,Insumos!$D$1:$D$996),"")</f>
        <v/>
      </c>
      <c r="H3527" s="92" t="n">
        <v>9.367599999999999</v>
      </c>
      <c r="I3527" s="2165" t="n">
        <v>0</v>
      </c>
      <c r="J3527" s="2165" t="n">
        <v>0</v>
      </c>
      <c r="K3527" s="2165" t="n"/>
    </row>
    <row r="3528" outlineLevel="3" ht="12.75" customHeight="1">
      <c r="A3528" s="82" t="n">
        <v>142</v>
      </c>
      <c r="B3528" s="82" t="inlineStr">
        <is>
          <t>Insumo</t>
        </is>
      </c>
      <c r="C3528" s="82" t="inlineStr">
        <is>
          <t>Revestimento de Piso Porcelanato Acetinado Mirage, Placa 90x90cm</t>
        </is>
      </c>
      <c r="D3528" s="82" t="inlineStr">
        <is>
          <t>Espeçador junta piso 2mm</t>
        </is>
      </c>
      <c r="E3528" s="11">
        <f t="array" ref="E3528">_xlfn.XLOOKUP(D3528,Insumos!B:B,Insumos!C:$C)</f>
        <v/>
      </c>
      <c r="F3528" s="2171" t="n">
        <v>1</v>
      </c>
      <c r="G3528" s="92">
        <f t="array" ref="G3528">IF(B3528="insumo",_xlfn.XLOOKUP($D3528,Insumos!$B$1:$B$996,Insumos!$D$1:$D$996),"")</f>
        <v/>
      </c>
      <c r="H3528" s="92" t="n">
        <v>0.08</v>
      </c>
      <c r="I3528" s="2165" t="n">
        <v>0</v>
      </c>
      <c r="J3528" s="2165" t="n">
        <v>0</v>
      </c>
      <c r="K3528" s="2165" t="n"/>
    </row>
    <row r="3529" outlineLevel="3" ht="12.75" customHeight="1">
      <c r="A3529" s="82" t="n">
        <v>101</v>
      </c>
      <c r="B3529" s="82" t="inlineStr">
        <is>
          <t>Insumo</t>
        </is>
      </c>
      <c r="C3529" s="82" t="inlineStr">
        <is>
          <t>Revestimento de Piso Porcelanato Acetinado Mirage, Placa 90x90cm</t>
        </is>
      </c>
      <c r="D3529" s="82" t="inlineStr">
        <is>
          <t>Rejunte Cimentício</t>
        </is>
      </c>
      <c r="E3529" s="11">
        <f t="array" ref="E3529">_xlfn.XLOOKUP(D3529,Insumos!B:B,Insumos!C:$C)</f>
        <v/>
      </c>
      <c r="F3529" s="2171" t="n">
        <v>0.01</v>
      </c>
      <c r="G3529" s="92">
        <f t="array" ref="G3529">IF(B3529="insumo",_xlfn.XLOOKUP($D3529,Insumos!$B$1:$B$996,Insumos!$D$1:$D$996),"")</f>
        <v/>
      </c>
      <c r="H3529" s="92" t="n">
        <v>0.1115</v>
      </c>
      <c r="I3529" s="2165" t="n">
        <v>0</v>
      </c>
      <c r="J3529" s="2165" t="n">
        <v>0</v>
      </c>
      <c r="K3529" s="2165" t="n"/>
    </row>
    <row r="3530" outlineLevel="2" ht="12.75" customHeight="1">
      <c r="A3530" s="1071" t="n">
        <v>1</v>
      </c>
      <c r="B3530" s="1071" t="inlineStr">
        <is>
          <t>Serviço</t>
        </is>
      </c>
      <c r="C3530" s="1071" t="inlineStr">
        <is>
          <t>Revestimento de Piso Porcelanato externo ceres plus pisoforte, 76x76cm, simples</t>
        </is>
      </c>
      <c r="D3530" s="1071" t="inlineStr">
        <is>
          <t>Revestimento de Piso Porcelanato externo ceres plus pisoforte, 76x76cm, simples</t>
        </is>
      </c>
      <c r="E3530" s="1072" t="inlineStr">
        <is>
          <t>M2</t>
        </is>
      </c>
      <c r="F3530" s="1071" t="n"/>
      <c r="G3530" s="1073">
        <f t="array" ref="G3530">IF(B3530="insumo",_xlfn.XLOOKUP($D3530,Insumos!$B$1:$B$996,Insumos!$D$1:$D$996),"")</f>
        <v/>
      </c>
      <c r="H3530" s="1073" t="n">
        <v>123.9591</v>
      </c>
      <c r="I3530" s="2163" t="n">
        <v>0</v>
      </c>
      <c r="J3530" s="2163" t="n">
        <v>0</v>
      </c>
      <c r="K3530" s="2163" t="n"/>
    </row>
    <row r="3531" outlineLevel="3" ht="12.75" customHeight="1">
      <c r="A3531" s="82" t="n">
        <v>1</v>
      </c>
      <c r="B3531" s="82" t="inlineStr">
        <is>
          <t>Insumo</t>
        </is>
      </c>
      <c r="C3531" s="82" t="inlineStr">
        <is>
          <t>Revestimento de Piso Porcelanato externo ceres plus pisoforte, 76x76cm, simples</t>
        </is>
      </c>
      <c r="D3531" s="82" t="inlineStr">
        <is>
          <t>Piso Cerâmico Externo Ceres Plus Pisoforte | G-Haus</t>
        </is>
      </c>
      <c r="E3531" s="11">
        <f t="array" ref="E3531">_xlfn.XLOOKUP(D3531,Insumos!B:B,Insumos!C:$C)</f>
        <v/>
      </c>
      <c r="F3531" s="2171" t="n">
        <v>1.1</v>
      </c>
      <c r="G3531" s="92">
        <f t="array" ref="G3531">IF(B3531="insumo",_xlfn.XLOOKUP($D3531,Insumos!$B$1:$B$996,Insumos!$D$1:$D$996),"")</f>
        <v/>
      </c>
      <c r="H3531" s="92" t="n">
        <v>114.4</v>
      </c>
      <c r="I3531" s="2165" t="n">
        <v>0</v>
      </c>
      <c r="J3531" s="2165" t="n">
        <v>0</v>
      </c>
      <c r="K3531" s="2165" t="n"/>
    </row>
    <row r="3532" outlineLevel="3" ht="12.75" customHeight="1">
      <c r="A3532" s="82" t="n">
        <v>191</v>
      </c>
      <c r="B3532" s="82" t="inlineStr">
        <is>
          <t>Insumo</t>
        </is>
      </c>
      <c r="C3532" s="82" t="inlineStr">
        <is>
          <t>Revestimento de Piso Porcelanato externo ceres plus pisoforte, 76x76cm, simples</t>
        </is>
      </c>
      <c r="D3532" s="82" t="inlineStr">
        <is>
          <t>Argamassa ACIII</t>
        </is>
      </c>
      <c r="E3532" s="11">
        <f t="array" ref="E3532">_xlfn.XLOOKUP(D3532,Insumos!B:B,Insumos!C:$C)</f>
        <v/>
      </c>
      <c r="F3532" s="2171" t="n">
        <v>8.800000000000001</v>
      </c>
      <c r="G3532" s="92">
        <f t="array" ref="G3532">IF(B3532="insumo",_xlfn.XLOOKUP($D3532,Insumos!$B$1:$B$996,Insumos!$D$1:$D$996),"")</f>
        <v/>
      </c>
      <c r="H3532" s="92" t="n">
        <v>9.367599999999999</v>
      </c>
      <c r="I3532" s="2165" t="n">
        <v>0</v>
      </c>
      <c r="J3532" s="2165" t="n">
        <v>0</v>
      </c>
      <c r="K3532" s="2165" t="n"/>
    </row>
    <row r="3533" outlineLevel="3" ht="12.75" customHeight="1">
      <c r="A3533" s="82" t="n">
        <v>142</v>
      </c>
      <c r="B3533" s="82" t="inlineStr">
        <is>
          <t>Insumo</t>
        </is>
      </c>
      <c r="C3533" s="82" t="inlineStr">
        <is>
          <t>Revestimento de Piso Porcelanato externo ceres plus pisoforte, 76x76cm, simples</t>
        </is>
      </c>
      <c r="D3533" s="82" t="inlineStr">
        <is>
          <t>Espeçador junta piso 2mm</t>
        </is>
      </c>
      <c r="E3533" s="11">
        <f t="array" ref="E3533">_xlfn.XLOOKUP(D3533,Insumos!B:B,Insumos!C:$C)</f>
        <v/>
      </c>
      <c r="F3533" s="2171" t="n">
        <v>1</v>
      </c>
      <c r="G3533" s="92">
        <f t="array" ref="G3533">IF(B3533="insumo",_xlfn.XLOOKUP($D3533,Insumos!$B$1:$B$996,Insumos!$D$1:$D$996),"")</f>
        <v/>
      </c>
      <c r="H3533" s="92" t="n">
        <v>0.08</v>
      </c>
      <c r="I3533" s="2165" t="n">
        <v>0</v>
      </c>
      <c r="J3533" s="2165" t="n">
        <v>0</v>
      </c>
      <c r="K3533" s="2165" t="n"/>
    </row>
    <row r="3534" outlineLevel="3" ht="12.75" customHeight="1">
      <c r="A3534" s="82" t="n">
        <v>101</v>
      </c>
      <c r="B3534" s="82" t="inlineStr">
        <is>
          <t>Insumo</t>
        </is>
      </c>
      <c r="C3534" s="82" t="inlineStr">
        <is>
          <t>Revestimento de Piso Porcelanato externo ceres plus pisoforte, 76x76cm, simples</t>
        </is>
      </c>
      <c r="D3534" s="82" t="inlineStr">
        <is>
          <t>Rejunte Cimentício</t>
        </is>
      </c>
      <c r="E3534" s="11">
        <f t="array" ref="E3534">_xlfn.XLOOKUP(D3534,Insumos!B:B,Insumos!C:$C)</f>
        <v/>
      </c>
      <c r="F3534" s="2171" t="n">
        <v>0.01</v>
      </c>
      <c r="G3534" s="92">
        <f t="array" ref="G3534">IF(B3534="insumo",_xlfn.XLOOKUP($D3534,Insumos!$B$1:$B$996,Insumos!$D$1:$D$996),"")</f>
        <v/>
      </c>
      <c r="H3534" s="92" t="n">
        <v>0.1115</v>
      </c>
      <c r="I3534" s="2165" t="n">
        <v>0</v>
      </c>
      <c r="J3534" s="2165" t="n">
        <v>0</v>
      </c>
      <c r="K3534" s="2165" t="n"/>
    </row>
    <row r="3535" outlineLevel="2" ht="12.75" customHeight="1">
      <c r="A3535" s="1071" t="n">
        <v>1</v>
      </c>
      <c r="B3535" s="1071" t="inlineStr">
        <is>
          <t>Serviço</t>
        </is>
      </c>
      <c r="C3535" s="1071" t="inlineStr">
        <is>
          <t>Revestimento de Piso Porcelanato externo granilhado, 76x76cm, simples</t>
        </is>
      </c>
      <c r="D3535" s="1071" t="inlineStr">
        <is>
          <t>Revestimento de Piso Porcelanato externo granilhado, 76x76cm, simples</t>
        </is>
      </c>
      <c r="E3535" s="1072" t="inlineStr">
        <is>
          <t>M2</t>
        </is>
      </c>
      <c r="F3535" s="1071" t="n"/>
      <c r="G3535" s="1073">
        <f t="array" ref="G3535">IF(B3535="insumo",_xlfn.XLOOKUP($D3535,Insumos!$B$1:$B$996,Insumos!$D$1:$D$996),"")</f>
        <v/>
      </c>
      <c r="H3535" s="1073" t="n">
        <v>107.4591</v>
      </c>
      <c r="I3535" s="2163" t="n">
        <v>0</v>
      </c>
      <c r="J3535" s="2163" t="n">
        <v>0</v>
      </c>
      <c r="K3535" s="2163" t="n"/>
    </row>
    <row r="3536" outlineLevel="3" ht="12.75" customHeight="1">
      <c r="A3536" s="82" t="n">
        <v>1</v>
      </c>
      <c r="B3536" s="82" t="inlineStr">
        <is>
          <t>Insumo</t>
        </is>
      </c>
      <c r="C3536" s="82" t="inlineStr">
        <is>
          <t>Revestimento de Piso Porcelanato externo granilhado, 76x76cm, simples</t>
        </is>
      </c>
      <c r="D3536" s="82" t="inlineStr">
        <is>
          <t>Piso Cerâmico Externo Granilhado Pietra 75x75cm</t>
        </is>
      </c>
      <c r="E3536" s="11">
        <f t="array" ref="E3536">_xlfn.XLOOKUP(D3536,Insumos!B:B,Insumos!C:$C)</f>
        <v/>
      </c>
      <c r="F3536" s="2171" t="n">
        <v>1.1</v>
      </c>
      <c r="G3536" s="92">
        <f t="array" ref="G3536">IF(B3536="insumo",_xlfn.XLOOKUP($D3536,Insumos!$B$1:$B$996,Insumos!$D$1:$D$996),"")</f>
        <v/>
      </c>
      <c r="H3536" s="92" t="n">
        <v>97.90000000000001</v>
      </c>
      <c r="I3536" s="2165" t="n">
        <v>0</v>
      </c>
      <c r="J3536" s="2165" t="n">
        <v>0</v>
      </c>
      <c r="K3536" s="2165" t="n"/>
    </row>
    <row r="3537" outlineLevel="3" ht="12.75" customHeight="1">
      <c r="A3537" s="82" t="n">
        <v>191</v>
      </c>
      <c r="B3537" s="82" t="inlineStr">
        <is>
          <t>Insumo</t>
        </is>
      </c>
      <c r="C3537" s="82" t="inlineStr">
        <is>
          <t>Revestimento de Piso Porcelanato externo granilhado, 76x76cm, simples</t>
        </is>
      </c>
      <c r="D3537" s="82" t="inlineStr">
        <is>
          <t>Argamassa ACIII</t>
        </is>
      </c>
      <c r="E3537" s="11">
        <f t="array" ref="E3537">_xlfn.XLOOKUP(D3537,Insumos!B:B,Insumos!C:$C)</f>
        <v/>
      </c>
      <c r="F3537" s="2171" t="n">
        <v>8.800000000000001</v>
      </c>
      <c r="G3537" s="92">
        <f t="array" ref="G3537">IF(B3537="insumo",_xlfn.XLOOKUP($D3537,Insumos!$B$1:$B$996,Insumos!$D$1:$D$996),"")</f>
        <v/>
      </c>
      <c r="H3537" s="92" t="n">
        <v>9.367599999999999</v>
      </c>
      <c r="I3537" s="2165" t="n">
        <v>0</v>
      </c>
      <c r="J3537" s="2165" t="n">
        <v>0</v>
      </c>
      <c r="K3537" s="2165" t="n"/>
    </row>
    <row r="3538" outlineLevel="3" ht="12.75" customHeight="1">
      <c r="A3538" s="82" t="n">
        <v>142</v>
      </c>
      <c r="B3538" s="82" t="inlineStr">
        <is>
          <t>Insumo</t>
        </is>
      </c>
      <c r="C3538" s="82" t="inlineStr">
        <is>
          <t>Revestimento de Piso Porcelanato externo granilhado, 76x76cm, simples</t>
        </is>
      </c>
      <c r="D3538" s="82" t="inlineStr">
        <is>
          <t>Espeçador junta piso 2mm</t>
        </is>
      </c>
      <c r="E3538" s="11">
        <f t="array" ref="E3538">_xlfn.XLOOKUP(D3538,Insumos!B:B,Insumos!C:$C)</f>
        <v/>
      </c>
      <c r="F3538" s="2171" t="n">
        <v>1</v>
      </c>
      <c r="G3538" s="92">
        <f t="array" ref="G3538">IF(B3538="insumo",_xlfn.XLOOKUP($D3538,Insumos!$B$1:$B$996,Insumos!$D$1:$D$996),"")</f>
        <v/>
      </c>
      <c r="H3538" s="92" t="n">
        <v>0.08</v>
      </c>
      <c r="I3538" s="2165" t="n">
        <v>0</v>
      </c>
      <c r="J3538" s="2165" t="n">
        <v>0</v>
      </c>
      <c r="K3538" s="2165" t="n"/>
    </row>
    <row r="3539" outlineLevel="3" ht="12.75" customHeight="1">
      <c r="A3539" s="82" t="n">
        <v>101</v>
      </c>
      <c r="B3539" s="82" t="inlineStr">
        <is>
          <t>Insumo</t>
        </is>
      </c>
      <c r="C3539" s="82" t="inlineStr">
        <is>
          <t>Revestimento de Piso Porcelanato externo granilhado, 76x76cm, simples</t>
        </is>
      </c>
      <c r="D3539" s="82" t="inlineStr">
        <is>
          <t>Rejunte Cimentício</t>
        </is>
      </c>
      <c r="E3539" s="11">
        <f t="array" ref="E3539">_xlfn.XLOOKUP(D3539,Insumos!B:B,Insumos!C:$C)</f>
        <v/>
      </c>
      <c r="F3539" s="2171" t="n">
        <v>0.01</v>
      </c>
      <c r="G3539" s="92">
        <f t="array" ref="G3539">IF(B3539="insumo",_xlfn.XLOOKUP($D3539,Insumos!$B$1:$B$996,Insumos!$D$1:$D$996),"")</f>
        <v/>
      </c>
      <c r="H3539" s="92" t="n">
        <v>0.1115</v>
      </c>
      <c r="I3539" s="2165" t="n">
        <v>0</v>
      </c>
      <c r="J3539" s="2165" t="n">
        <v>0</v>
      </c>
      <c r="K3539" s="2165" t="n"/>
    </row>
    <row r="3540" outlineLevel="2" ht="12.75" customHeight="1">
      <c r="A3540" s="1071" t="n">
        <v>1</v>
      </c>
      <c r="B3540" s="1071" t="inlineStr">
        <is>
          <t>Serviço</t>
        </is>
      </c>
      <c r="C3540" s="1071" t="inlineStr">
        <is>
          <t>Revestimento de Piso Porcelanato, 76x76cm, simples</t>
        </is>
      </c>
      <c r="D3540" s="1071" t="inlineStr">
        <is>
          <t>Revestimento de Piso Porcelanato, 76x76cm, simples</t>
        </is>
      </c>
      <c r="E3540" s="1072" t="inlineStr">
        <is>
          <t>M2</t>
        </is>
      </c>
      <c r="F3540" s="1071" t="n"/>
      <c r="G3540" s="1073">
        <f t="array" ref="G3540">IF(B3540="insumo",_xlfn.XLOOKUP($D3540,Insumos!$B$1:$B$996,Insumos!$D$1:$D$996),"")</f>
        <v/>
      </c>
      <c r="H3540" s="1073" t="n">
        <v>47.9491</v>
      </c>
      <c r="I3540" s="2163" t="n">
        <v>0</v>
      </c>
      <c r="J3540" s="2163" t="n">
        <v>0</v>
      </c>
      <c r="K3540" s="2163" t="n"/>
    </row>
    <row r="3541" outlineLevel="3" ht="12.75" customHeight="1">
      <c r="A3541" s="82" t="n">
        <v>2</v>
      </c>
      <c r="B3541" s="82" t="inlineStr">
        <is>
          <t>Insumo</t>
        </is>
      </c>
      <c r="C3541" s="82" t="inlineStr">
        <is>
          <t>Revestimento de Piso Porcelanato, 76x76cm, simples</t>
        </is>
      </c>
      <c r="D3541" s="82" t="inlineStr">
        <is>
          <t>Porcelanato Piso Retificado Embramaco 76x76cm Acetinado Nevada Mate Plus Retificado</t>
        </is>
      </c>
      <c r="E3541" s="11">
        <f t="array" ref="E3541">_xlfn.XLOOKUP(D3541,Insumos!B:B,Insumos!C:$C)</f>
        <v/>
      </c>
      <c r="F3541" s="2171" t="n">
        <v>1.1</v>
      </c>
      <c r="G3541" s="92">
        <f t="array" ref="G3541">IF(B3541="insumo",_xlfn.XLOOKUP($D3541,Insumos!$B$1:$B$996,Insumos!$D$1:$D$996),"")</f>
        <v/>
      </c>
      <c r="H3541" s="92" t="n">
        <v>38.39</v>
      </c>
      <c r="I3541" s="2165" t="n">
        <v>0</v>
      </c>
      <c r="J3541" s="2165" t="n">
        <v>0</v>
      </c>
      <c r="K3541" s="2165" t="n"/>
    </row>
    <row r="3542" outlineLevel="3" ht="12.75" customHeight="1">
      <c r="A3542" s="82" t="n">
        <v>191</v>
      </c>
      <c r="B3542" s="82" t="inlineStr">
        <is>
          <t>Insumo</t>
        </is>
      </c>
      <c r="C3542" s="82" t="inlineStr">
        <is>
          <t>Revestimento de Piso Porcelanato, 76x76cm, simples</t>
        </is>
      </c>
      <c r="D3542" s="82" t="inlineStr">
        <is>
          <t>Argamassa ACIII</t>
        </is>
      </c>
      <c r="E3542" s="11">
        <f t="array" ref="E3542">_xlfn.XLOOKUP(D3542,Insumos!B:B,Insumos!C:$C)</f>
        <v/>
      </c>
      <c r="F3542" s="2171" t="n">
        <v>8.800000000000001</v>
      </c>
      <c r="G3542" s="92">
        <f t="array" ref="G3542">IF(B3542="insumo",_xlfn.XLOOKUP($D3542,Insumos!$B$1:$B$996,Insumos!$D$1:$D$996),"")</f>
        <v/>
      </c>
      <c r="H3542" s="92" t="n">
        <v>9.367599999999999</v>
      </c>
      <c r="I3542" s="2165" t="n">
        <v>0</v>
      </c>
      <c r="J3542" s="2165" t="n">
        <v>0</v>
      </c>
      <c r="K3542" s="2165" t="n"/>
    </row>
    <row r="3543" outlineLevel="3" ht="12.75" customHeight="1">
      <c r="A3543" s="82" t="n">
        <v>142</v>
      </c>
      <c r="B3543" s="82" t="inlineStr">
        <is>
          <t>Insumo</t>
        </is>
      </c>
      <c r="C3543" s="82" t="inlineStr">
        <is>
          <t>Revestimento de Piso Porcelanato, 76x76cm, simples</t>
        </is>
      </c>
      <c r="D3543" s="82" t="inlineStr">
        <is>
          <t>Espeçador junta piso 2mm</t>
        </is>
      </c>
      <c r="E3543" s="11">
        <f t="array" ref="E3543">_xlfn.XLOOKUP(D3543,Insumos!B:B,Insumos!C:$C)</f>
        <v/>
      </c>
      <c r="F3543" s="2171" t="n">
        <v>1</v>
      </c>
      <c r="G3543" s="92">
        <f t="array" ref="G3543">IF(B3543="insumo",_xlfn.XLOOKUP($D3543,Insumos!$B$1:$B$996,Insumos!$D$1:$D$996),"")</f>
        <v/>
      </c>
      <c r="H3543" s="92" t="n">
        <v>0.08</v>
      </c>
      <c r="I3543" s="2165" t="n">
        <v>0</v>
      </c>
      <c r="J3543" s="2165" t="n">
        <v>0</v>
      </c>
      <c r="K3543" s="2165" t="n"/>
    </row>
    <row r="3544" outlineLevel="3" ht="12.75" customHeight="1">
      <c r="A3544" s="82" t="n">
        <v>101</v>
      </c>
      <c r="B3544" s="82" t="inlineStr">
        <is>
          <t>Insumo</t>
        </is>
      </c>
      <c r="C3544" s="82" t="inlineStr">
        <is>
          <t>Revestimento de Piso Porcelanato, 76x76cm, simples</t>
        </is>
      </c>
      <c r="D3544" s="82" t="inlineStr">
        <is>
          <t>Rejunte Cimentício</t>
        </is>
      </c>
      <c r="E3544" s="11">
        <f t="array" ref="E3544">_xlfn.XLOOKUP(D3544,Insumos!B:B,Insumos!C:$C)</f>
        <v/>
      </c>
      <c r="F3544" s="2171" t="n">
        <v>0.01</v>
      </c>
      <c r="G3544" s="92">
        <f t="array" ref="G3544">IF(B3544="insumo",_xlfn.XLOOKUP($D3544,Insumos!$B$1:$B$996,Insumos!$D$1:$D$996),"")</f>
        <v/>
      </c>
      <c r="H3544" s="92" t="n">
        <v>0.1115</v>
      </c>
      <c r="I3544" s="2165" t="n">
        <v>0</v>
      </c>
      <c r="J3544" s="2165" t="n">
        <v>0</v>
      </c>
      <c r="K3544" s="2165" t="n"/>
    </row>
    <row r="3545" outlineLevel="2" ht="12.75" customHeight="1">
      <c r="A3545" s="1071" t="n">
        <v>1</v>
      </c>
      <c r="B3545" s="1071" t="inlineStr">
        <is>
          <t>Serviço</t>
        </is>
      </c>
      <c r="C3545" s="1071" t="inlineStr">
        <is>
          <t>Revestimento de Piso Porcelanato Interno Cimentício Acetinado Borda Reta Interno 120x120cm Munari Branco Eliane</t>
        </is>
      </c>
      <c r="D3545" s="1071" t="inlineStr">
        <is>
          <t>Revestimento de Piso Porcelanato Interno Cimentício Acetinado Borda Reta Interno 120x120cm Munari Branco Eliane</t>
        </is>
      </c>
      <c r="E3545" s="1072" t="inlineStr">
        <is>
          <t>M2</t>
        </is>
      </c>
      <c r="F3545" s="1071" t="n"/>
      <c r="G3545" s="1073">
        <f t="array" ref="G3545">IF(B3545="insumo",_xlfn.XLOOKUP($D3545,Insumos!$B$1:$B$996,Insumos!$D$1:$D$996),"")</f>
        <v/>
      </c>
      <c r="H3545" s="1073" t="n">
        <v>217.0065</v>
      </c>
      <c r="I3545" s="2163" t="n">
        <v>0</v>
      </c>
      <c r="J3545" s="2163" t="n">
        <v>0</v>
      </c>
      <c r="K3545" s="2163" t="n"/>
    </row>
    <row r="3546" outlineLevel="3" ht="12.75" customHeight="1">
      <c r="A3546" s="82" t="n">
        <v>1</v>
      </c>
      <c r="B3546" s="82" t="inlineStr">
        <is>
          <t>Insumo</t>
        </is>
      </c>
      <c r="C3546" s="82" t="inlineStr">
        <is>
          <t>Revestimento de Piso Porcelanato Interno Cimentício Acetinado Borda Reta Interno 120x120cm Munari Branco Eliane</t>
        </is>
      </c>
      <c r="D3546" s="82" t="inlineStr">
        <is>
          <t>Porcelanato Cimentício Acetinado Borda Reta Interno 120x120cm Munari Branco Eliane</t>
        </is>
      </c>
      <c r="E3546" s="11">
        <f t="array" ref="E3546">_xlfn.XLOOKUP(D3546,Insumos!B:B,Insumos!C:$C)</f>
        <v/>
      </c>
      <c r="F3546" s="2164" t="n">
        <v>1.1</v>
      </c>
      <c r="G3546" s="92">
        <f t="array" ref="G3546">IF(B3546="insumo",_xlfn.XLOOKUP($D3546,Insumos!$B$1:$B$996,Insumos!$D$1:$D$996),"")</f>
        <v/>
      </c>
      <c r="H3546" s="92" t="n">
        <v>201.531</v>
      </c>
      <c r="I3546" s="2165" t="n">
        <v>0</v>
      </c>
      <c r="J3546" s="2165" t="n">
        <v>0</v>
      </c>
      <c r="K3546" s="2165" t="n"/>
    </row>
    <row r="3547" outlineLevel="3" ht="12.75" customHeight="1">
      <c r="A3547" s="82" t="n">
        <v>191</v>
      </c>
      <c r="B3547" s="82" t="inlineStr">
        <is>
          <t>Insumo</t>
        </is>
      </c>
      <c r="C3547" s="82" t="inlineStr">
        <is>
          <t>Revestimento de Piso Porcelanato Interno Cimentício Acetinado Borda Reta Interno 120x120cm Munari Branco Eliane</t>
        </is>
      </c>
      <c r="D3547" s="82" t="inlineStr">
        <is>
          <t>Argamassa ACIII</t>
        </is>
      </c>
      <c r="E3547" s="11">
        <f t="array" ref="E3547">_xlfn.XLOOKUP(D3547,Insumos!B:B,Insumos!C:$C)</f>
        <v/>
      </c>
      <c r="F3547" s="2164" t="n">
        <v>9</v>
      </c>
      <c r="G3547" s="92">
        <f t="array" ref="G3547">IF(B3547="insumo",_xlfn.XLOOKUP($D3547,Insumos!$B$1:$B$996,Insumos!$D$1:$D$996),"")</f>
        <v/>
      </c>
      <c r="H3547" s="92" t="n">
        <v>9.580500000000001</v>
      </c>
      <c r="I3547" s="2165" t="n">
        <v>0</v>
      </c>
      <c r="J3547" s="2165" t="n">
        <v>0</v>
      </c>
      <c r="K3547" s="2165" t="n"/>
    </row>
    <row r="3548" outlineLevel="3" ht="12.75" customHeight="1">
      <c r="A3548" s="82" t="n">
        <v>142</v>
      </c>
      <c r="B3548" s="82" t="inlineStr">
        <is>
          <t>Insumo</t>
        </is>
      </c>
      <c r="C3548" s="82" t="inlineStr">
        <is>
          <t>Revestimento de Piso Porcelanato Interno Cimentício Acetinado Borda Reta Interno 120x120cm Munari Branco Eliane</t>
        </is>
      </c>
      <c r="D3548" s="82" t="inlineStr">
        <is>
          <t>Espeçador junta piso 2mm</t>
        </is>
      </c>
      <c r="E3548" s="11">
        <f t="array" ref="E3548">_xlfn.XLOOKUP(D3548,Insumos!B:B,Insumos!C:$C)</f>
        <v/>
      </c>
      <c r="F3548" s="2164" t="n">
        <v>4</v>
      </c>
      <c r="G3548" s="92">
        <f t="array" ref="G3548">IF(B3548="insumo",_xlfn.XLOOKUP($D3548,Insumos!$B$1:$B$996,Insumos!$D$1:$D$996),"")</f>
        <v/>
      </c>
      <c r="H3548" s="92" t="n">
        <v>0.32</v>
      </c>
      <c r="I3548" s="2165" t="n">
        <v>0</v>
      </c>
      <c r="J3548" s="2165" t="n">
        <v>0</v>
      </c>
      <c r="K3548" s="2165" t="n"/>
    </row>
    <row r="3549" outlineLevel="3" ht="12.75" customHeight="1">
      <c r="A3549" s="82" t="n">
        <v>101</v>
      </c>
      <c r="B3549" s="82" t="inlineStr">
        <is>
          <t>Insumo</t>
        </is>
      </c>
      <c r="C3549" s="82" t="inlineStr">
        <is>
          <t>Revestimento de Piso Porcelanato Interno Cimentício Acetinado Borda Reta Interno 120x120cm Munari Branco Eliane</t>
        </is>
      </c>
      <c r="D3549" s="82" t="inlineStr">
        <is>
          <t>Rejunte Cimentício</t>
        </is>
      </c>
      <c r="E3549" s="11">
        <f t="array" ref="E3549">_xlfn.XLOOKUP(D3549,Insumos!B:B,Insumos!C:$C)</f>
        <v/>
      </c>
      <c r="F3549" s="2164" t="n">
        <v>0.5</v>
      </c>
      <c r="G3549" s="92">
        <f t="array" ref="G3549">IF(B3549="insumo",_xlfn.XLOOKUP($D3549,Insumos!$B$1:$B$996,Insumos!$D$1:$D$996),"")</f>
        <v/>
      </c>
      <c r="H3549" s="92" t="n">
        <v>5.575</v>
      </c>
      <c r="I3549" s="2165" t="n">
        <v>0</v>
      </c>
      <c r="J3549" s="2165" t="n">
        <v>0</v>
      </c>
      <c r="K3549" s="2165" t="n"/>
    </row>
    <row r="3550" outlineLevel="1" ht="15.75" customHeight="1">
      <c r="A3550" s="1090" t="n">
        <v>1</v>
      </c>
      <c r="B3550" s="1090" t="inlineStr">
        <is>
          <t>Subetapa</t>
        </is>
      </c>
      <c r="C3550" s="1090" t="inlineStr">
        <is>
          <t>Revestimento de Piso Porcelanato Interno Cimentício Acetinado Borda Reta Interno 120x120cm Munari Branco Eliane</t>
        </is>
      </c>
      <c r="D3550" s="1090" t="inlineStr">
        <is>
          <t>PASTILHAS CERÂMICAS</t>
        </is>
      </c>
      <c r="E3550" s="1091" t="n"/>
      <c r="F3550" s="2160" t="n"/>
      <c r="G3550" s="1091" t="n"/>
      <c r="H3550" s="1091" t="n">
        <v>0</v>
      </c>
      <c r="I3550" s="2160" t="n">
        <v>0</v>
      </c>
      <c r="J3550" s="2160" t="n">
        <v>0</v>
      </c>
      <c r="K3550" s="2160" t="n"/>
    </row>
    <row r="3551" outlineLevel="2" ht="15.75" customHeight="1">
      <c r="A3551" s="1067" t="n">
        <v>1</v>
      </c>
      <c r="B3551" s="1067" t="inlineStr">
        <is>
          <t>Serviço</t>
        </is>
      </c>
      <c r="C3551" s="1067" t="inlineStr">
        <is>
          <t xml:space="preserve">Revestimento em Pastilhas Cerâmicas Para Piscinas , 14,5 x 14,5cm com Junta de 2mm </t>
        </is>
      </c>
      <c r="D3551" s="1067" t="inlineStr">
        <is>
          <t xml:space="preserve">Revestimento em Pastilhas Cerâmicas Para Piscinas , 14,5 x 14,5cm com Junta de 2mm </t>
        </is>
      </c>
      <c r="E3551" s="1068" t="inlineStr">
        <is>
          <t>M2</t>
        </is>
      </c>
      <c r="F3551" s="1067" t="n"/>
      <c r="G3551" s="1069">
        <f t="array" ref="G3551">IF(B3551="insumo",_xlfn.XLOOKUP($D3551,Insumos!$B$1:$B$996,Insumos!$D$1:$D$996),"")</f>
        <v/>
      </c>
      <c r="H3551" s="1069" t="n">
        <v>156.1655</v>
      </c>
      <c r="I3551" s="2161" t="n">
        <v>0</v>
      </c>
      <c r="J3551" s="2161" t="n">
        <v>0</v>
      </c>
      <c r="K3551" s="2161" t="n"/>
    </row>
    <row r="3552" outlineLevel="3" ht="15.75" customHeight="1">
      <c r="A3552" s="10" t="n">
        <v>3</v>
      </c>
      <c r="B3552" s="10" t="inlineStr">
        <is>
          <t>Insumo</t>
        </is>
      </c>
      <c r="C3552" s="10" t="inlineStr">
        <is>
          <t xml:space="preserve">Revestimento em Pastilhas Cerâmicas Para Piscinas , 14,5 x 14,5cm com Junta de 2mm </t>
        </is>
      </c>
      <c r="D3552" s="10" t="inlineStr">
        <is>
          <t>Revestimento Pastilha 14,5x14,5cm</t>
        </is>
      </c>
      <c r="E3552" s="11">
        <f t="array" ref="E3552">_xlfn.XLOOKUP(D3552,Insumos!B:B,Insumos!C:$C)</f>
        <v/>
      </c>
      <c r="F3552" s="14" t="n">
        <v>1.1</v>
      </c>
      <c r="G3552" s="92">
        <f t="array" ref="G3552">IF(B3552="insumo",_xlfn.XLOOKUP($D3552,Insumos!$B$1:$B$996,Insumos!$D$1:$D$996),"")</f>
        <v/>
      </c>
      <c r="H3552" s="92" t="n">
        <v>140.69</v>
      </c>
      <c r="I3552" s="2162" t="n">
        <v>0</v>
      </c>
      <c r="J3552" s="2162" t="n">
        <v>0</v>
      </c>
      <c r="K3552" s="2162" t="n"/>
    </row>
    <row r="3553" outlineLevel="3" ht="15.75" customHeight="1">
      <c r="A3553" s="10" t="n">
        <v>191</v>
      </c>
      <c r="B3553" s="10" t="inlineStr">
        <is>
          <t>Insumo</t>
        </is>
      </c>
      <c r="C3553" s="10" t="inlineStr">
        <is>
          <t xml:space="preserve">Revestimento em Pastilhas Cerâmicas Para Piscinas , 14,5 x 14,5cm com Junta de 2mm </t>
        </is>
      </c>
      <c r="D3553" s="10" t="inlineStr">
        <is>
          <t>Argamassa ACIII</t>
        </is>
      </c>
      <c r="E3553" s="11">
        <f t="array" ref="E3553">_xlfn.XLOOKUP(D3553,Insumos!B:B,Insumos!C:$C)</f>
        <v/>
      </c>
      <c r="F3553" s="14" t="n">
        <v>9</v>
      </c>
      <c r="G3553" s="92">
        <f t="array" ref="G3553">IF(B3553="insumo",_xlfn.XLOOKUP($D3553,Insumos!$B$1:$B$996,Insumos!$D$1:$D$996),"")</f>
        <v/>
      </c>
      <c r="H3553" s="92" t="n">
        <v>9.580500000000001</v>
      </c>
      <c r="I3553" s="2162" t="n">
        <v>0</v>
      </c>
      <c r="J3553" s="2162" t="n">
        <v>0</v>
      </c>
      <c r="K3553" s="2162" t="n"/>
    </row>
    <row r="3554" outlineLevel="3" ht="15.75" customHeight="1">
      <c r="A3554" s="10" t="n">
        <v>142</v>
      </c>
      <c r="B3554" s="10" t="inlineStr">
        <is>
          <t>Insumo</t>
        </is>
      </c>
      <c r="C3554" s="10" t="inlineStr">
        <is>
          <t xml:space="preserve">Revestimento em Pastilhas Cerâmicas Para Piscinas , 14,5 x 14,5cm com Junta de 2mm </t>
        </is>
      </c>
      <c r="D3554" s="10" t="inlineStr">
        <is>
          <t>Espeçador junta piso 2mm</t>
        </is>
      </c>
      <c r="E3554" s="11">
        <f t="array" ref="E3554">_xlfn.XLOOKUP(D3554,Insumos!B:B,Insumos!C:$C)</f>
        <v/>
      </c>
      <c r="F3554" s="14" t="n">
        <v>4</v>
      </c>
      <c r="G3554" s="92">
        <f t="array" ref="G3554">IF(B3554="insumo",_xlfn.XLOOKUP($D3554,Insumos!$B$1:$B$996,Insumos!$D$1:$D$996),"")</f>
        <v/>
      </c>
      <c r="H3554" s="92" t="n">
        <v>0.32</v>
      </c>
      <c r="I3554" s="2162" t="n">
        <v>0</v>
      </c>
      <c r="J3554" s="2162" t="n">
        <v>0</v>
      </c>
      <c r="K3554" s="2162" t="n"/>
    </row>
    <row r="3555" outlineLevel="3" ht="15.75" customHeight="1">
      <c r="A3555" s="10" t="n">
        <v>101</v>
      </c>
      <c r="B3555" s="10" t="inlineStr">
        <is>
          <t>Insumo</t>
        </is>
      </c>
      <c r="C3555" s="10" t="inlineStr">
        <is>
          <t xml:space="preserve">Revestimento em Pastilhas Cerâmicas Para Piscinas , 14,5 x 14,5cm com Junta de 2mm </t>
        </is>
      </c>
      <c r="D3555" s="10" t="inlineStr">
        <is>
          <t>Rejunte Cimentício</t>
        </is>
      </c>
      <c r="E3555" s="11">
        <f t="array" ref="E3555">_xlfn.XLOOKUP(D3555,Insumos!B:B,Insumos!C:$C)</f>
        <v/>
      </c>
      <c r="F3555" s="14" t="n">
        <v>0.5</v>
      </c>
      <c r="G3555" s="92">
        <f t="array" ref="G3555">IF(B3555="insumo",_xlfn.XLOOKUP($D3555,Insumos!$B$1:$B$996,Insumos!$D$1:$D$996),"")</f>
        <v/>
      </c>
      <c r="H3555" s="92" t="n">
        <v>5.575</v>
      </c>
      <c r="I3555" s="2162" t="n">
        <v>0</v>
      </c>
      <c r="J3555" s="2162" t="n">
        <v>0</v>
      </c>
      <c r="K3555" s="2162" t="n"/>
    </row>
    <row r="3556" outlineLevel="2" ht="12.75" customHeight="1">
      <c r="A3556" s="1071" t="n">
        <v>1</v>
      </c>
      <c r="B3556" s="1071" t="inlineStr">
        <is>
          <t>Serviço</t>
        </is>
      </c>
      <c r="C3556" s="1071" t="inlineStr">
        <is>
          <t>Revestimento em Pastilha vítrea decorada, padrão customizado, placa 30x30 cm</t>
        </is>
      </c>
      <c r="D3556" s="1071" t="inlineStr">
        <is>
          <t>Revestimento em Pastilha vítrea decorada, padrão customizado, placa 30x30 cm</t>
        </is>
      </c>
      <c r="E3556" s="1072" t="inlineStr">
        <is>
          <t>M2</t>
        </is>
      </c>
      <c r="F3556" s="1071" t="n"/>
      <c r="G3556" s="1073">
        <f t="array" ref="G3556">IF(B3556="insumo",_xlfn.XLOOKUP($D3556,Insumos!$B$1:$B$996,Insumos!$D$1:$D$996),"")</f>
        <v/>
      </c>
      <c r="H3556" s="1073" t="n">
        <v>533.955275</v>
      </c>
      <c r="I3556" s="2163" t="n">
        <v>0</v>
      </c>
      <c r="J3556" s="2163" t="n">
        <v>0</v>
      </c>
      <c r="K3556" s="2163" t="n"/>
    </row>
    <row r="3557" outlineLevel="3" ht="12.75" customHeight="1">
      <c r="A3557" s="82" t="n">
        <v>1</v>
      </c>
      <c r="B3557" s="82" t="inlineStr">
        <is>
          <t>Insumo</t>
        </is>
      </c>
      <c r="C3557" s="82" t="inlineStr">
        <is>
          <t>Revestimento em Pastilha vítrea decorada, padrão customizado, placa 30x30 cm</t>
        </is>
      </c>
      <c r="D3557" s="82" t="inlineStr">
        <is>
          <t>Pastilha vítrea decorada, padrão customizado, placa 30x30 cm - Jatobá / NGK Pastilhas</t>
        </is>
      </c>
      <c r="E3557" s="11">
        <f t="array" ref="E3557">_xlfn.XLOOKUP(D3557,Insumos!B:B,Insumos!C:$C)</f>
        <v/>
      </c>
      <c r="F3557" s="2171" t="n">
        <v>1.1</v>
      </c>
      <c r="G3557" s="92">
        <f t="array" ref="G3557">IF(B3557="insumo",_xlfn.XLOOKUP($D3557,Insumos!$B$1:$B$996,Insumos!$D$1:$D$996),"")</f>
        <v/>
      </c>
      <c r="H3557" s="92" t="n">
        <v>528</v>
      </c>
      <c r="I3557" s="2165" t="n">
        <v>0</v>
      </c>
      <c r="J3557" s="2165" t="n">
        <v>0</v>
      </c>
      <c r="K3557" s="2165" t="n"/>
    </row>
    <row r="3558" outlineLevel="3" ht="12.75" customHeight="1">
      <c r="A3558" s="82" t="n">
        <v>191</v>
      </c>
      <c r="B3558" s="82" t="inlineStr">
        <is>
          <t>Insumo</t>
        </is>
      </c>
      <c r="C3558" s="82" t="inlineStr">
        <is>
          <t>Revestimento em Pastilha vítrea decorada, padrão customizado, placa 30x30 cm</t>
        </is>
      </c>
      <c r="D3558" s="82" t="inlineStr">
        <is>
          <t>Argamassa ACIII</t>
        </is>
      </c>
      <c r="E3558" s="11">
        <f t="array" ref="E3558">_xlfn.XLOOKUP(D3558,Insumos!B:B,Insumos!C:$C)</f>
        <v/>
      </c>
      <c r="F3558" s="2171" t="n">
        <v>4.95</v>
      </c>
      <c r="G3558" s="92">
        <f t="array" ref="G3558">IF(B3558="insumo",_xlfn.XLOOKUP($D3558,Insumos!$B$1:$B$996,Insumos!$D$1:$D$996),"")</f>
        <v/>
      </c>
      <c r="H3558" s="92" t="n">
        <v>5.269275</v>
      </c>
      <c r="I3558" s="2165" t="n">
        <v>0</v>
      </c>
      <c r="J3558" s="2165" t="n">
        <v>0</v>
      </c>
      <c r="K3558" s="2165" t="n"/>
    </row>
    <row r="3559" outlineLevel="3" ht="12.75" customHeight="1">
      <c r="A3559" s="82" t="n">
        <v>142</v>
      </c>
      <c r="B3559" s="82" t="inlineStr">
        <is>
          <t>Insumo</t>
        </is>
      </c>
      <c r="C3559" s="82" t="inlineStr">
        <is>
          <t>Revestimento em Pastilha vítrea decorada, padrão customizado, placa 30x30 cm</t>
        </is>
      </c>
      <c r="D3559" s="82" t="inlineStr">
        <is>
          <t>Espeçador junta piso 2mm</t>
        </is>
      </c>
      <c r="E3559" s="11">
        <f t="array" ref="E3559">_xlfn.XLOOKUP(D3559,Insumos!B:B,Insumos!C:$C)</f>
        <v/>
      </c>
      <c r="F3559" s="2171" t="n">
        <v>3</v>
      </c>
      <c r="G3559" s="92">
        <f t="array" ref="G3559">IF(B3559="insumo",_xlfn.XLOOKUP($D3559,Insumos!$B$1:$B$996,Insumos!$D$1:$D$996),"")</f>
        <v/>
      </c>
      <c r="H3559" s="92" t="n">
        <v>0.24</v>
      </c>
      <c r="I3559" s="2165" t="n">
        <v>0</v>
      </c>
      <c r="J3559" s="2165" t="n">
        <v>0</v>
      </c>
      <c r="K3559" s="2165" t="n"/>
    </row>
    <row r="3560" outlineLevel="3" ht="12.75" customHeight="1">
      <c r="A3560" s="82" t="n">
        <v>101</v>
      </c>
      <c r="B3560" s="82" t="inlineStr">
        <is>
          <t>Insumo</t>
        </is>
      </c>
      <c r="C3560" s="82" t="inlineStr">
        <is>
          <t>Revestimento em Pastilha vítrea decorada, padrão customizado, placa 30x30 cm</t>
        </is>
      </c>
      <c r="D3560" s="82" t="inlineStr">
        <is>
          <t>Rejunte Cimentício</t>
        </is>
      </c>
      <c r="E3560" s="11">
        <f t="array" ref="E3560">_xlfn.XLOOKUP(D3560,Insumos!B:B,Insumos!C:$C)</f>
        <v/>
      </c>
      <c r="F3560" s="2171" t="n">
        <v>0.04</v>
      </c>
      <c r="G3560" s="92">
        <f t="array" ref="G3560">IF(B3560="insumo",_xlfn.XLOOKUP($D3560,Insumos!$B$1:$B$996,Insumos!$D$1:$D$996),"")</f>
        <v/>
      </c>
      <c r="H3560" s="92" t="n">
        <v>0.446</v>
      </c>
      <c r="I3560" s="2165" t="n">
        <v>0</v>
      </c>
      <c r="J3560" s="2165" t="n">
        <v>0</v>
      </c>
      <c r="K3560" s="2165" t="n"/>
    </row>
    <row r="3561" outlineLevel="2" ht="15.75" customHeight="1">
      <c r="A3561" s="1067" t="n">
        <v>1</v>
      </c>
      <c r="B3561" s="1067" t="inlineStr">
        <is>
          <t>Serviço</t>
        </is>
      </c>
      <c r="C3561" s="1067" t="inlineStr">
        <is>
          <t xml:space="preserve">Revestimento em Pastilhas Cerâmicas Para Piscinas , 20 x 20cm com Junta de 2mm </t>
        </is>
      </c>
      <c r="D3561" s="1067" t="inlineStr">
        <is>
          <t xml:space="preserve">Revestimento em Pastilhas Cerâmicas Para Piscinas , 20 x 20cm com Junta de 2mm </t>
        </is>
      </c>
      <c r="E3561" s="1068" t="inlineStr">
        <is>
          <t>M2</t>
        </is>
      </c>
      <c r="F3561" s="1067" t="n"/>
      <c r="G3561" s="1069">
        <f t="array" ref="G3561">IF(B3561="insumo",_xlfn.XLOOKUP($D3561,Insumos!$B$1:$B$996,Insumos!$D$1:$D$996),"")</f>
        <v/>
      </c>
      <c r="H3561" s="1069" t="n">
        <v>206.650275</v>
      </c>
      <c r="I3561" s="2161" t="n">
        <v>0</v>
      </c>
      <c r="J3561" s="2161" t="n">
        <v>0</v>
      </c>
      <c r="K3561" s="2161" t="n"/>
    </row>
    <row r="3562" outlineLevel="3" ht="15.75" customHeight="1">
      <c r="A3562" s="10" t="n">
        <v>1</v>
      </c>
      <c r="B3562" s="10" t="inlineStr">
        <is>
          <t>Insumo</t>
        </is>
      </c>
      <c r="C3562" s="10" t="inlineStr">
        <is>
          <t xml:space="preserve">Revestimento em Pastilhas Cerâmicas Para Piscinas , 20 x 20cm com Junta de 2mm </t>
        </is>
      </c>
      <c r="D3562" s="10" t="inlineStr">
        <is>
          <t>Revestimento Portinari Pacific Bl Lux Bold 20x20</t>
        </is>
      </c>
      <c r="E3562" s="11">
        <f t="array" ref="E3562">_xlfn.XLOOKUP(D3562,Insumos!B:B,Insumos!C:$C)</f>
        <v/>
      </c>
      <c r="F3562" s="14" t="n">
        <v>1.1</v>
      </c>
      <c r="G3562" s="92">
        <f t="array" ref="G3562">IF(B3562="insumo",_xlfn.XLOOKUP($D3562,Insumos!$B$1:$B$996,Insumos!$D$1:$D$996),"")</f>
        <v/>
      </c>
      <c r="H3562" s="92" t="n">
        <v>200.695</v>
      </c>
      <c r="I3562" s="2162" t="n">
        <v>0</v>
      </c>
      <c r="J3562" s="2162" t="n">
        <v>0</v>
      </c>
      <c r="K3562" s="2162" t="n"/>
    </row>
    <row r="3563" outlineLevel="3" ht="15.75" customHeight="1">
      <c r="A3563" s="10" t="n">
        <v>191</v>
      </c>
      <c r="B3563" s="10" t="inlineStr">
        <is>
          <t>Insumo</t>
        </is>
      </c>
      <c r="C3563" s="10" t="inlineStr">
        <is>
          <t xml:space="preserve">Revestimento em Pastilhas Cerâmicas Para Piscinas , 20 x 20cm com Junta de 2mm </t>
        </is>
      </c>
      <c r="D3563" s="10" t="inlineStr">
        <is>
          <t>Argamassa ACIII</t>
        </is>
      </c>
      <c r="E3563" s="11">
        <f t="array" ref="E3563">_xlfn.XLOOKUP(D3563,Insumos!B:B,Insumos!C:$C)</f>
        <v/>
      </c>
      <c r="F3563" s="14" t="n">
        <v>4.95</v>
      </c>
      <c r="G3563" s="92">
        <f t="array" ref="G3563">IF(B3563="insumo",_xlfn.XLOOKUP($D3563,Insumos!$B$1:$B$996,Insumos!$D$1:$D$996),"")</f>
        <v/>
      </c>
      <c r="H3563" s="92" t="n">
        <v>5.269275</v>
      </c>
      <c r="I3563" s="2162" t="n">
        <v>0</v>
      </c>
      <c r="J3563" s="2162" t="n">
        <v>0</v>
      </c>
      <c r="K3563" s="2162" t="n"/>
    </row>
    <row r="3564" outlineLevel="3" ht="15.75" customHeight="1">
      <c r="A3564" s="10" t="n">
        <v>142</v>
      </c>
      <c r="B3564" s="10" t="inlineStr">
        <is>
          <t>Insumo</t>
        </is>
      </c>
      <c r="C3564" s="10" t="inlineStr">
        <is>
          <t xml:space="preserve">Revestimento em Pastilhas Cerâmicas Para Piscinas , 20 x 20cm com Junta de 2mm </t>
        </is>
      </c>
      <c r="D3564" s="10" t="inlineStr">
        <is>
          <t>Espeçador junta piso 2mm</t>
        </is>
      </c>
      <c r="E3564" s="11">
        <f t="array" ref="E3564">_xlfn.XLOOKUP(D3564,Insumos!B:B,Insumos!C:$C)</f>
        <v/>
      </c>
      <c r="F3564" s="14" t="n">
        <v>3</v>
      </c>
      <c r="G3564" s="92">
        <f t="array" ref="G3564">IF(B3564="insumo",_xlfn.XLOOKUP($D3564,Insumos!$B$1:$B$996,Insumos!$D$1:$D$996),"")</f>
        <v/>
      </c>
      <c r="H3564" s="92" t="n">
        <v>0.24</v>
      </c>
      <c r="I3564" s="2162" t="n">
        <v>0</v>
      </c>
      <c r="J3564" s="2162" t="n">
        <v>0</v>
      </c>
      <c r="K3564" s="2162" t="n"/>
    </row>
    <row r="3565" outlineLevel="3" ht="15.75" customHeight="1">
      <c r="A3565" s="10" t="n">
        <v>101</v>
      </c>
      <c r="B3565" s="10" t="inlineStr">
        <is>
          <t>Insumo</t>
        </is>
      </c>
      <c r="C3565" s="10" t="inlineStr">
        <is>
          <t xml:space="preserve">Revestimento em Pastilhas Cerâmicas Para Piscinas , 20 x 20cm com Junta de 2mm </t>
        </is>
      </c>
      <c r="D3565" s="10" t="inlineStr">
        <is>
          <t>Rejunte Cimentício</t>
        </is>
      </c>
      <c r="E3565" s="11">
        <f t="array" ref="E3565">_xlfn.XLOOKUP(D3565,Insumos!B:B,Insumos!C:$C)</f>
        <v/>
      </c>
      <c r="F3565" s="14" t="n">
        <v>0.04</v>
      </c>
      <c r="G3565" s="92">
        <f t="array" ref="G3565">IF(B3565="insumo",_xlfn.XLOOKUP($D3565,Insumos!$B$1:$B$996,Insumos!$D$1:$D$996),"")</f>
        <v/>
      </c>
      <c r="H3565" s="92" t="n">
        <v>0.446</v>
      </c>
      <c r="I3565" s="2162" t="n">
        <v>0</v>
      </c>
      <c r="J3565" s="2162" t="n">
        <v>0</v>
      </c>
      <c r="K3565" s="2162" t="n"/>
    </row>
    <row r="3566" outlineLevel="2" ht="15.75" customHeight="1">
      <c r="A3566" s="1067" t="n">
        <v>1</v>
      </c>
      <c r="B3566" s="1067" t="inlineStr">
        <is>
          <t>Serviço</t>
        </is>
      </c>
      <c r="C3566" s="1067" t="inlineStr">
        <is>
          <t>Revestimento em Piso,  Pastilha Bege 2,5X2,5Cm</t>
        </is>
      </c>
      <c r="D3566" s="1067" t="inlineStr">
        <is>
          <t>Revestimento em Piso,  Pastilha Bege 2,5X2,5Cm</t>
        </is>
      </c>
      <c r="E3566" s="1068" t="inlineStr">
        <is>
          <t>M2</t>
        </is>
      </c>
      <c r="F3566" s="1067" t="n"/>
      <c r="G3566" s="1069">
        <f t="array" ref="G3566">IF(B3566="insumo",_xlfn.XLOOKUP($D3566,Insumos!$B$1:$B$996,Insumos!$D$1:$D$996),"")</f>
        <v/>
      </c>
      <c r="H3566" s="1069" t="n">
        <v>262.853775</v>
      </c>
      <c r="I3566" s="2161" t="n">
        <v>0</v>
      </c>
      <c r="J3566" s="2161" t="n">
        <v>0</v>
      </c>
      <c r="K3566" s="2161" t="n"/>
    </row>
    <row r="3567" outlineLevel="3" ht="15.75" customHeight="1">
      <c r="A3567" s="10" t="n">
        <v>3</v>
      </c>
      <c r="B3567" s="10" t="inlineStr">
        <is>
          <t>Insumo</t>
        </is>
      </c>
      <c r="C3567" s="10" t="inlineStr">
        <is>
          <t>Revestimento em Piso,  Pastilha Bege 2,5X2,5Cm</t>
        </is>
      </c>
      <c r="D3567" s="10" t="inlineStr">
        <is>
          <t>Revestimento Pastilha 2,5x2,5cm</t>
        </is>
      </c>
      <c r="E3567" s="11">
        <f t="array" ref="E3567">_xlfn.XLOOKUP(D3567,Insumos!B:B,Insumos!C:$C)</f>
        <v/>
      </c>
      <c r="F3567" s="14" t="n">
        <v>1.1</v>
      </c>
      <c r="G3567" s="92">
        <f t="array" ref="G3567">IF(B3567="insumo",_xlfn.XLOOKUP($D3567,Insumos!$B$1:$B$996,Insumos!$D$1:$D$996),"")</f>
        <v/>
      </c>
      <c r="H3567" s="92" t="n">
        <v>256.707</v>
      </c>
      <c r="I3567" s="2162" t="n">
        <v>0</v>
      </c>
      <c r="J3567" s="2162" t="n">
        <v>0</v>
      </c>
      <c r="K3567" s="2162" t="n"/>
    </row>
    <row r="3568" outlineLevel="3" ht="15.75" customHeight="1">
      <c r="A3568" s="10" t="n">
        <v>191</v>
      </c>
      <c r="B3568" s="10" t="inlineStr">
        <is>
          <t>Insumo</t>
        </is>
      </c>
      <c r="C3568" s="10" t="inlineStr">
        <is>
          <t>Revestimento em Piso,  Pastilha Bege 2,5X2,5Cm</t>
        </is>
      </c>
      <c r="D3568" s="10" t="inlineStr">
        <is>
          <t>Argamassa ACIII</t>
        </is>
      </c>
      <c r="E3568" s="11">
        <f t="array" ref="E3568">_xlfn.XLOOKUP(D3568,Insumos!B:B,Insumos!C:$C)</f>
        <v/>
      </c>
      <c r="F3568" s="14" t="n">
        <v>4.95</v>
      </c>
      <c r="G3568" s="92">
        <f t="array" ref="G3568">IF(B3568="insumo",_xlfn.XLOOKUP($D3568,Insumos!$B$1:$B$996,Insumos!$D$1:$D$996),"")</f>
        <v/>
      </c>
      <c r="H3568" s="92" t="n">
        <v>5.269275</v>
      </c>
      <c r="I3568" s="2162" t="n">
        <v>0</v>
      </c>
      <c r="J3568" s="2162" t="n">
        <v>0</v>
      </c>
      <c r="K3568" s="2162" t="n"/>
    </row>
    <row r="3569" outlineLevel="3" ht="15.75" customHeight="1">
      <c r="A3569" s="10" t="n">
        <v>142</v>
      </c>
      <c r="B3569" s="10" t="inlineStr">
        <is>
          <t>Insumo</t>
        </is>
      </c>
      <c r="C3569" s="10" t="inlineStr">
        <is>
          <t>Revestimento em Piso,  Pastilha Bege 2,5X2,5Cm</t>
        </is>
      </c>
      <c r="D3569" s="10" t="inlineStr">
        <is>
          <t>Espeçador junta piso 2mm</t>
        </is>
      </c>
      <c r="E3569" s="11">
        <f t="array" ref="E3569">_xlfn.XLOOKUP(D3569,Insumos!B:B,Insumos!C:$C)</f>
        <v/>
      </c>
      <c r="F3569" s="14" t="n">
        <v>4</v>
      </c>
      <c r="G3569" s="92">
        <f t="array" ref="G3569">IF(B3569="insumo",_xlfn.XLOOKUP($D3569,Insumos!$B$1:$B$996,Insumos!$D$1:$D$996),"")</f>
        <v/>
      </c>
      <c r="H3569" s="92" t="n">
        <v>0.32</v>
      </c>
      <c r="I3569" s="2162" t="n">
        <v>0</v>
      </c>
      <c r="J3569" s="2162" t="n">
        <v>0</v>
      </c>
      <c r="K3569" s="2162" t="n"/>
    </row>
    <row r="3570" outlineLevel="3" ht="15.75" customHeight="1">
      <c r="A3570" s="10" t="n">
        <v>101</v>
      </c>
      <c r="B3570" s="10" t="inlineStr">
        <is>
          <t>Insumo</t>
        </is>
      </c>
      <c r="C3570" s="10" t="inlineStr">
        <is>
          <t>Revestimento em Piso,  Pastilha Bege 2,5X2,5Cm</t>
        </is>
      </c>
      <c r="D3570" s="10" t="inlineStr">
        <is>
          <t>Rejunte Cimentício</t>
        </is>
      </c>
      <c r="E3570" s="11">
        <f t="array" ref="E3570">_xlfn.XLOOKUP(D3570,Insumos!B:B,Insumos!C:$C)</f>
        <v/>
      </c>
      <c r="F3570" s="14" t="n">
        <v>0.05</v>
      </c>
      <c r="G3570" s="92">
        <f t="array" ref="G3570">IF(B3570="insumo",_xlfn.XLOOKUP($D3570,Insumos!$B$1:$B$996,Insumos!$D$1:$D$996),"")</f>
        <v/>
      </c>
      <c r="H3570" s="92" t="n">
        <v>0.5575</v>
      </c>
      <c r="I3570" s="2162" t="n">
        <v>0</v>
      </c>
      <c r="J3570" s="2162" t="n">
        <v>0</v>
      </c>
      <c r="K3570" s="2162" t="n"/>
    </row>
    <row r="3571" outlineLevel="2" ht="15.75" customHeight="1">
      <c r="A3571" s="1067" t="n">
        <v>1</v>
      </c>
      <c r="B3571" s="1067" t="inlineStr">
        <is>
          <t>Serviço</t>
        </is>
      </c>
      <c r="C3571" s="1067" t="inlineStr">
        <is>
          <t>Revestimento em Piso,  Pastilha 20X20 Cm</t>
        </is>
      </c>
      <c r="D3571" s="1067" t="inlineStr">
        <is>
          <t>Revestimento em Piso,  Pastilha 20X20 Cm</t>
        </is>
      </c>
      <c r="E3571" s="1068" t="inlineStr">
        <is>
          <t>M2</t>
        </is>
      </c>
      <c r="F3571" s="1067" t="n"/>
      <c r="G3571" s="1069">
        <f t="array" ref="G3571">IF(B3571="insumo",_xlfn.XLOOKUP($D3571,Insumos!$B$1:$B$996,Insumos!$D$1:$D$996),"")</f>
        <v/>
      </c>
      <c r="H3571" s="1069" t="n">
        <v>186.172775</v>
      </c>
      <c r="I3571" s="2161" t="n">
        <v>0</v>
      </c>
      <c r="J3571" s="2161" t="n">
        <v>0</v>
      </c>
      <c r="K3571" s="2161" t="n"/>
    </row>
    <row r="3572" outlineLevel="3" ht="15.75" customHeight="1">
      <c r="A3572" s="10" t="n">
        <v>2</v>
      </c>
      <c r="B3572" s="10" t="inlineStr">
        <is>
          <t>Insumo</t>
        </is>
      </c>
      <c r="C3572" s="10" t="inlineStr">
        <is>
          <t>Revestimento em Piso,  Pastilha 20X20 Cm</t>
        </is>
      </c>
      <c r="D3572" s="10" t="inlineStr">
        <is>
          <t>Revestimento Pastilha 20x20cm</t>
        </is>
      </c>
      <c r="E3572" s="11">
        <f t="array" ref="E3572">_xlfn.XLOOKUP(D3572,Insumos!B:B,Insumos!C:$C)</f>
        <v/>
      </c>
      <c r="F3572" s="14" t="n">
        <v>1.1</v>
      </c>
      <c r="G3572" s="92">
        <f t="array" ref="G3572">IF(B3572="insumo",_xlfn.XLOOKUP($D3572,Insumos!$B$1:$B$996,Insumos!$D$1:$D$996),"")</f>
        <v/>
      </c>
      <c r="H3572" s="92" t="n">
        <v>180.026</v>
      </c>
      <c r="I3572" s="2162" t="n">
        <v>0</v>
      </c>
      <c r="J3572" s="2162" t="n">
        <v>0</v>
      </c>
      <c r="K3572" s="2162" t="n"/>
    </row>
    <row r="3573" outlineLevel="3" ht="15.75" customHeight="1">
      <c r="A3573" s="10" t="n">
        <v>191</v>
      </c>
      <c r="B3573" s="10" t="inlineStr">
        <is>
          <t>Insumo</t>
        </is>
      </c>
      <c r="C3573" s="10" t="inlineStr">
        <is>
          <t>Revestimento em Piso,  Pastilha 20X20 Cm</t>
        </is>
      </c>
      <c r="D3573" s="10" t="inlineStr">
        <is>
          <t>Argamassa ACIII</t>
        </is>
      </c>
      <c r="E3573" s="11">
        <f t="array" ref="E3573">_xlfn.XLOOKUP(D3573,Insumos!B:B,Insumos!C:$C)</f>
        <v/>
      </c>
      <c r="F3573" s="14" t="n">
        <v>4.95</v>
      </c>
      <c r="G3573" s="92">
        <f t="array" ref="G3573">IF(B3573="insumo",_xlfn.XLOOKUP($D3573,Insumos!$B$1:$B$996,Insumos!$D$1:$D$996),"")</f>
        <v/>
      </c>
      <c r="H3573" s="92" t="n">
        <v>5.269275</v>
      </c>
      <c r="I3573" s="2162" t="n">
        <v>0</v>
      </c>
      <c r="J3573" s="2162" t="n">
        <v>0</v>
      </c>
      <c r="K3573" s="2162" t="n"/>
    </row>
    <row r="3574" outlineLevel="3" ht="15.75" customHeight="1">
      <c r="A3574" s="10" t="n">
        <v>142</v>
      </c>
      <c r="B3574" s="10" t="inlineStr">
        <is>
          <t>Insumo</t>
        </is>
      </c>
      <c r="C3574" s="10" t="inlineStr">
        <is>
          <t>Revestimento em Piso,  Pastilha 20X20 Cm</t>
        </is>
      </c>
      <c r="D3574" s="10" t="inlineStr">
        <is>
          <t>Espeçador junta piso 2mm</t>
        </is>
      </c>
      <c r="E3574" s="11">
        <f t="array" ref="E3574">_xlfn.XLOOKUP(D3574,Insumos!B:B,Insumos!C:$C)</f>
        <v/>
      </c>
      <c r="F3574" s="14" t="n">
        <v>4</v>
      </c>
      <c r="G3574" s="92">
        <f t="array" ref="G3574">IF(B3574="insumo",_xlfn.XLOOKUP($D3574,Insumos!$B$1:$B$996,Insumos!$D$1:$D$996),"")</f>
        <v/>
      </c>
      <c r="H3574" s="92" t="n">
        <v>0.32</v>
      </c>
      <c r="I3574" s="2162" t="n">
        <v>0</v>
      </c>
      <c r="J3574" s="2162" t="n">
        <v>0</v>
      </c>
      <c r="K3574" s="2162" t="n"/>
    </row>
    <row r="3575" outlineLevel="3" ht="15.75" customHeight="1">
      <c r="A3575" s="10" t="n">
        <v>101</v>
      </c>
      <c r="B3575" s="10" t="inlineStr">
        <is>
          <t>Insumo</t>
        </is>
      </c>
      <c r="C3575" s="10" t="inlineStr">
        <is>
          <t>Revestimento em Piso,  Pastilha 20X20 Cm</t>
        </is>
      </c>
      <c r="D3575" s="10" t="inlineStr">
        <is>
          <t>Rejunte Cimentício</t>
        </is>
      </c>
      <c r="E3575" s="11">
        <f t="array" ref="E3575">_xlfn.XLOOKUP(D3575,Insumos!B:B,Insumos!C:$C)</f>
        <v/>
      </c>
      <c r="F3575" s="14" t="n">
        <v>0.05</v>
      </c>
      <c r="G3575" s="92">
        <f t="array" ref="G3575">IF(B3575="insumo",_xlfn.XLOOKUP($D3575,Insumos!$B$1:$B$996,Insumos!$D$1:$D$996),"")</f>
        <v/>
      </c>
      <c r="H3575" s="92" t="n">
        <v>0.5575</v>
      </c>
      <c r="I3575" s="2162" t="n">
        <v>0</v>
      </c>
      <c r="J3575" s="2162" t="n">
        <v>0</v>
      </c>
      <c r="K3575" s="2162" t="n"/>
    </row>
    <row r="3576" outlineLevel="1" ht="15.75" customHeight="1">
      <c r="A3576" s="1090" t="n">
        <v>1</v>
      </c>
      <c r="B3576" s="1090" t="inlineStr">
        <is>
          <t>Subetapa</t>
        </is>
      </c>
      <c r="C3576" s="1090" t="inlineStr">
        <is>
          <t>Revestimento em Piso,  Pastilha 20X20 Cm</t>
        </is>
      </c>
      <c r="D3576" s="1090" t="inlineStr">
        <is>
          <t>PEDRAS E GRANITOS</t>
        </is>
      </c>
      <c r="E3576" s="1091" t="n"/>
      <c r="F3576" s="2160" t="n"/>
      <c r="G3576" s="1091" t="n"/>
      <c r="H3576" s="1091" t="n">
        <v>0</v>
      </c>
      <c r="I3576" s="2160" t="n">
        <v>0</v>
      </c>
      <c r="J3576" s="2160" t="n">
        <v>0</v>
      </c>
      <c r="K3576" s="2160" t="n"/>
    </row>
    <row r="3577" outlineLevel="2" ht="15.75" customHeight="1">
      <c r="A3577" s="1067" t="n">
        <v>1</v>
      </c>
      <c r="B3577" s="1067" t="inlineStr">
        <is>
          <t>Serviço</t>
        </is>
      </c>
      <c r="C3577" s="1067" t="inlineStr">
        <is>
          <t>Revestimento De Granito Branco Ceará Flameado</t>
        </is>
      </c>
      <c r="D3577" s="1067" t="inlineStr">
        <is>
          <t>Revestimento De Granito Branco Ceará Flameado</t>
        </is>
      </c>
      <c r="E3577" s="1068" t="inlineStr">
        <is>
          <t>M2</t>
        </is>
      </c>
      <c r="F3577" s="1067" t="n"/>
      <c r="G3577" s="1069">
        <f t="array" ref="G3577">IF(B3577="insumo",_xlfn.XLOOKUP($D3577,Insumos!$B$1:$B$996,Insumos!$D$1:$D$996),"")</f>
        <v/>
      </c>
      <c r="H3577" s="1069" t="n">
        <v>997.2455</v>
      </c>
      <c r="I3577" s="2161" t="n">
        <v>0</v>
      </c>
      <c r="J3577" s="2161" t="n">
        <v>0</v>
      </c>
      <c r="K3577" s="2161" t="n"/>
    </row>
    <row r="3578" outlineLevel="3" ht="15.75" customHeight="1">
      <c r="A3578" s="10" t="n">
        <v>1</v>
      </c>
      <c r="B3578" s="10" t="inlineStr">
        <is>
          <t>Insumo</t>
        </is>
      </c>
      <c r="C3578" s="10" t="inlineStr">
        <is>
          <t>Revestimento De Granito Branco Ceará Flameado</t>
        </is>
      </c>
      <c r="D3578" s="10" t="inlineStr">
        <is>
          <t>Granito Branco Ceará Flameado</t>
        </is>
      </c>
      <c r="E3578" s="11">
        <f t="array" ref="E3578">_xlfn.XLOOKUP(D3578,Insumos!B:B,Insumos!C:$C)</f>
        <v/>
      </c>
      <c r="F3578" s="14" t="n">
        <v>1.1</v>
      </c>
      <c r="G3578" s="92">
        <f t="array" ref="G3578">IF(B3578="insumo",_xlfn.XLOOKUP($D3578,Insumos!$B$1:$B$996,Insumos!$D$1:$D$996),"")</f>
        <v/>
      </c>
      <c r="H3578" s="92" t="n">
        <v>979</v>
      </c>
      <c r="I3578" s="2162" t="n">
        <v>0</v>
      </c>
      <c r="J3578" s="2162" t="n">
        <v>0</v>
      </c>
      <c r="K3578" s="2162" t="n"/>
    </row>
    <row r="3579" outlineLevel="3" ht="15.75" customHeight="1">
      <c r="A3579" s="10" t="n">
        <v>191</v>
      </c>
      <c r="B3579" s="10" t="inlineStr">
        <is>
          <t>Insumo</t>
        </is>
      </c>
      <c r="C3579" s="10" t="inlineStr">
        <is>
          <t>Revestimento De Granito Branco Ceará Flameado</t>
        </is>
      </c>
      <c r="D3579" s="10" t="inlineStr">
        <is>
          <t>Argamassa ACIII</t>
        </is>
      </c>
      <c r="E3579" s="11">
        <f t="array" ref="E3579">_xlfn.XLOOKUP(D3579,Insumos!B:B,Insumos!C:$C)</f>
        <v/>
      </c>
      <c r="F3579" s="14" t="n">
        <v>9</v>
      </c>
      <c r="G3579" s="92">
        <f t="array" ref="G3579">IF(B3579="insumo",_xlfn.XLOOKUP($D3579,Insumos!$B$1:$B$996,Insumos!$D$1:$D$996),"")</f>
        <v/>
      </c>
      <c r="H3579" s="92" t="n">
        <v>9.580500000000001</v>
      </c>
      <c r="I3579" s="2162" t="n">
        <v>0</v>
      </c>
      <c r="J3579" s="2162" t="n">
        <v>0</v>
      </c>
      <c r="K3579" s="2162" t="n"/>
    </row>
    <row r="3580" outlineLevel="3" ht="15.75" customHeight="1">
      <c r="A3580" s="10" t="n">
        <v>34</v>
      </c>
      <c r="B3580" s="10" t="inlineStr">
        <is>
          <t>Insumo</t>
        </is>
      </c>
      <c r="C3580" s="10" t="inlineStr">
        <is>
          <t>Revestimento De Granito Branco Ceará Flameado</t>
        </is>
      </c>
      <c r="D3580" s="10" t="inlineStr">
        <is>
          <t>Massa Plastica 400g</t>
        </is>
      </c>
      <c r="E3580" s="11">
        <f t="array" ref="E3580">_xlfn.XLOOKUP(D3580,Insumos!B:B,Insumos!C:$C)</f>
        <v/>
      </c>
      <c r="F3580" s="14" t="n">
        <v>0.5</v>
      </c>
      <c r="G3580" s="92">
        <f t="array" ref="G3580">IF(B3580="insumo",_xlfn.XLOOKUP($D3580,Insumos!$B$1:$B$996,Insumos!$D$1:$D$996),"")</f>
        <v/>
      </c>
      <c r="H3580" s="92" t="n">
        <v>8.664999999999999</v>
      </c>
      <c r="I3580" s="2162" t="n">
        <v>0</v>
      </c>
      <c r="J3580" s="2162" t="n">
        <v>0</v>
      </c>
      <c r="K3580" s="2162" t="n"/>
    </row>
    <row r="3581" outlineLevel="2" ht="15.75" customHeight="1">
      <c r="A3581" s="1067" t="n">
        <v>1</v>
      </c>
      <c r="B3581" s="1067" t="inlineStr">
        <is>
          <t>Serviço</t>
        </is>
      </c>
      <c r="C3581" s="1067" t="inlineStr">
        <is>
          <t>Revestimento de Granito cinza em Pisos</t>
        </is>
      </c>
      <c r="D3581" s="1067" t="inlineStr">
        <is>
          <t>Revestimento de Granito cinza em Pisos</t>
        </is>
      </c>
      <c r="E3581" s="1068" t="inlineStr">
        <is>
          <t>M2</t>
        </is>
      </c>
      <c r="F3581" s="1067" t="n"/>
      <c r="G3581" s="1069">
        <f t="array" ref="G3581">IF(B3581="insumo",_xlfn.XLOOKUP($D3581,Insumos!$B$1:$B$996,Insumos!$D$1:$D$996),"")</f>
        <v/>
      </c>
      <c r="H3581" s="1069" t="n">
        <v>546.2455</v>
      </c>
      <c r="I3581" s="2161" t="n">
        <v>0</v>
      </c>
      <c r="J3581" s="2161" t="n">
        <v>0</v>
      </c>
      <c r="K3581" s="2161" t="n"/>
    </row>
    <row r="3582" outlineLevel="3" ht="15.75" customHeight="1">
      <c r="A3582" s="10" t="n">
        <v>3</v>
      </c>
      <c r="B3582" s="10" t="inlineStr">
        <is>
          <t>Insumo</t>
        </is>
      </c>
      <c r="C3582" s="10" t="inlineStr">
        <is>
          <t>Revestimento de Granito cinza em Pisos</t>
        </is>
      </c>
      <c r="D3582" s="10" t="inlineStr">
        <is>
          <t>Marmore Cinza</t>
        </is>
      </c>
      <c r="E3582" s="11">
        <f t="array" ref="E3582">_xlfn.XLOOKUP(D3582,Insumos!B:B,Insumos!C:$C)</f>
        <v/>
      </c>
      <c r="F3582" s="14" t="n">
        <v>1.1</v>
      </c>
      <c r="G3582" s="92">
        <f t="array" ref="G3582">IF(B3582="insumo",_xlfn.XLOOKUP($D3582,Insumos!$B$1:$B$996,Insumos!$D$1:$D$996),"")</f>
        <v/>
      </c>
      <c r="H3582" s="92" t="n">
        <v>528</v>
      </c>
      <c r="I3582" s="2162" t="n">
        <v>0</v>
      </c>
      <c r="J3582" s="2162" t="n">
        <v>0</v>
      </c>
      <c r="K3582" s="2162" t="n"/>
    </row>
    <row r="3583" outlineLevel="3" ht="15.75" customHeight="1">
      <c r="A3583" s="10" t="n">
        <v>191</v>
      </c>
      <c r="B3583" s="10" t="inlineStr">
        <is>
          <t>Insumo</t>
        </is>
      </c>
      <c r="C3583" s="10" t="inlineStr">
        <is>
          <t>Revestimento de Granito cinza em Pisos</t>
        </is>
      </c>
      <c r="D3583" s="10" t="inlineStr">
        <is>
          <t>Argamassa ACIII</t>
        </is>
      </c>
      <c r="E3583" s="11">
        <f t="array" ref="E3583">_xlfn.XLOOKUP(D3583,Insumos!B:B,Insumos!C:$C)</f>
        <v/>
      </c>
      <c r="F3583" s="14" t="n">
        <v>9</v>
      </c>
      <c r="G3583" s="92">
        <f t="array" ref="G3583">IF(B3583="insumo",_xlfn.XLOOKUP($D3583,Insumos!$B$1:$B$996,Insumos!$D$1:$D$996),"")</f>
        <v/>
      </c>
      <c r="H3583" s="92" t="n">
        <v>9.580500000000001</v>
      </c>
      <c r="I3583" s="2162" t="n">
        <v>0</v>
      </c>
      <c r="J3583" s="2162" t="n">
        <v>0</v>
      </c>
      <c r="K3583" s="2162" t="n"/>
    </row>
    <row r="3584" outlineLevel="3" ht="15.75" customHeight="1">
      <c r="A3584" s="10" t="n">
        <v>34</v>
      </c>
      <c r="B3584" s="10" t="inlineStr">
        <is>
          <t>Insumo</t>
        </is>
      </c>
      <c r="C3584" s="10" t="inlineStr">
        <is>
          <t>Revestimento de Granito cinza em Pisos</t>
        </is>
      </c>
      <c r="D3584" s="10" t="inlineStr">
        <is>
          <t>Massa Plastica 400g</t>
        </is>
      </c>
      <c r="E3584" s="11">
        <f t="array" ref="E3584">_xlfn.XLOOKUP(D3584,Insumos!B:B,Insumos!C:$C)</f>
        <v/>
      </c>
      <c r="F3584" s="14" t="n">
        <v>0.5</v>
      </c>
      <c r="G3584" s="92">
        <f t="array" ref="G3584">IF(B3584="insumo",_xlfn.XLOOKUP($D3584,Insumos!$B$1:$B$996,Insumos!$D$1:$D$996),"")</f>
        <v/>
      </c>
      <c r="H3584" s="92" t="n">
        <v>8.664999999999999</v>
      </c>
      <c r="I3584" s="2162" t="n">
        <v>0</v>
      </c>
      <c r="J3584" s="2162" t="n">
        <v>0</v>
      </c>
      <c r="K3584" s="2162" t="n"/>
    </row>
    <row r="3585" outlineLevel="2" ht="15.75" customHeight="1">
      <c r="A3585" s="1067" t="n">
        <v>1</v>
      </c>
      <c r="B3585" s="1067" t="inlineStr">
        <is>
          <t>Serviço</t>
        </is>
      </c>
      <c r="C3585" s="1067" t="inlineStr">
        <is>
          <t>Revestimento de Pedras Naturais em Pisos</t>
        </is>
      </c>
      <c r="D3585" s="1067" t="inlineStr">
        <is>
          <t>Revestimento de Pedras Naturais em Pisos</t>
        </is>
      </c>
      <c r="E3585" s="1068" t="inlineStr">
        <is>
          <t>M2</t>
        </is>
      </c>
      <c r="F3585" s="1067" t="n"/>
      <c r="G3585" s="1069">
        <f t="array" ref="G3585">IF(B3585="insumo",_xlfn.XLOOKUP($D3585,Insumos!$B$1:$B$996,Insumos!$D$1:$D$996),"")</f>
        <v/>
      </c>
      <c r="H3585" s="1069" t="n">
        <v>898.2455</v>
      </c>
      <c r="I3585" s="2161" t="n">
        <v>0</v>
      </c>
      <c r="J3585" s="2161" t="n">
        <v>0</v>
      </c>
      <c r="K3585" s="2161" t="n"/>
    </row>
    <row r="3586" outlineLevel="3" ht="15.75" customHeight="1">
      <c r="A3586" s="10" t="n">
        <v>10</v>
      </c>
      <c r="B3586" s="10" t="inlineStr">
        <is>
          <t>Insumo</t>
        </is>
      </c>
      <c r="C3586" s="10" t="inlineStr">
        <is>
          <t>Revestimento de Pedras Naturais em Pisos</t>
        </is>
      </c>
      <c r="D3586" s="10" t="inlineStr">
        <is>
          <t>Pedra Natural  para Revestimento</t>
        </is>
      </c>
      <c r="E3586" s="11">
        <f t="array" ref="E3586">_xlfn.XLOOKUP(D3586,Insumos!B:B,Insumos!C:$C)</f>
        <v/>
      </c>
      <c r="F3586" s="14" t="n">
        <v>1.1</v>
      </c>
      <c r="G3586" s="92">
        <f t="array" ref="G3586">IF(B3586="insumo",_xlfn.XLOOKUP($D3586,Insumos!$B$1:$B$996,Insumos!$D$1:$D$996),"")</f>
        <v/>
      </c>
      <c r="H3586" s="92" t="n">
        <v>880</v>
      </c>
      <c r="I3586" s="2162" t="n">
        <v>0</v>
      </c>
      <c r="J3586" s="2162" t="n">
        <v>0</v>
      </c>
      <c r="K3586" s="2162" t="n"/>
    </row>
    <row r="3587" outlineLevel="3" ht="15.75" customHeight="1">
      <c r="A3587" s="10" t="n">
        <v>191</v>
      </c>
      <c r="B3587" s="10" t="inlineStr">
        <is>
          <t>Insumo</t>
        </is>
      </c>
      <c r="C3587" s="10" t="inlineStr">
        <is>
          <t>Revestimento de Pedras Naturais em Pisos</t>
        </is>
      </c>
      <c r="D3587" s="10" t="inlineStr">
        <is>
          <t>Argamassa ACIII</t>
        </is>
      </c>
      <c r="E3587" s="11">
        <f t="array" ref="E3587">_xlfn.XLOOKUP(D3587,Insumos!B:B,Insumos!C:$C)</f>
        <v/>
      </c>
      <c r="F3587" s="14" t="n">
        <v>9</v>
      </c>
      <c r="G3587" s="92">
        <f t="array" ref="G3587">IF(B3587="insumo",_xlfn.XLOOKUP($D3587,Insumos!$B$1:$B$996,Insumos!$D$1:$D$996),"")</f>
        <v/>
      </c>
      <c r="H3587" s="92" t="n">
        <v>9.580500000000001</v>
      </c>
      <c r="I3587" s="2162" t="n">
        <v>0</v>
      </c>
      <c r="J3587" s="2162" t="n">
        <v>0</v>
      </c>
      <c r="K3587" s="2162" t="n"/>
    </row>
    <row r="3588" outlineLevel="3" ht="15.75" customHeight="1">
      <c r="A3588" s="10" t="n">
        <v>34</v>
      </c>
      <c r="B3588" s="10" t="inlineStr">
        <is>
          <t>Insumo</t>
        </is>
      </c>
      <c r="C3588" s="10" t="inlineStr">
        <is>
          <t>Revestimento de Pedras Naturais em Pisos</t>
        </is>
      </c>
      <c r="D3588" s="10" t="inlineStr">
        <is>
          <t>Massa Plastica 400g</t>
        </is>
      </c>
      <c r="E3588" s="11">
        <f t="array" ref="E3588">_xlfn.XLOOKUP(D3588,Insumos!B:B,Insumos!C:$C)</f>
        <v/>
      </c>
      <c r="F3588" s="14" t="n">
        <v>0.5</v>
      </c>
      <c r="G3588" s="92">
        <f t="array" ref="G3588">IF(B3588="insumo",_xlfn.XLOOKUP($D3588,Insumos!$B$1:$B$996,Insumos!$D$1:$D$996),"")</f>
        <v/>
      </c>
      <c r="H3588" s="92" t="n">
        <v>8.664999999999999</v>
      </c>
      <c r="I3588" s="2162" t="n">
        <v>0</v>
      </c>
      <c r="J3588" s="2162" t="n">
        <v>0</v>
      </c>
      <c r="K3588" s="2162" t="n"/>
    </row>
    <row r="3589" outlineLevel="2" ht="15.75" customHeight="1">
      <c r="A3589" s="1067" t="n">
        <v>1</v>
      </c>
      <c r="B3589" s="1067" t="inlineStr">
        <is>
          <t>Serviço</t>
        </is>
      </c>
      <c r="C3589" s="1067" t="inlineStr">
        <is>
          <t>Revestimento de Mármore Natural  Aquecido em Piso</t>
        </is>
      </c>
      <c r="D3589" s="1067" t="inlineStr">
        <is>
          <t>Revestimento de Mármore Natural  Aquecido em Piso</t>
        </is>
      </c>
      <c r="E3589" s="1068" t="inlineStr">
        <is>
          <t>M2</t>
        </is>
      </c>
      <c r="F3589" s="1067" t="n"/>
      <c r="G3589" s="1069">
        <f t="array" ref="G3589">IF(B3589="insumo",_xlfn.XLOOKUP($D3589,Insumos!$B$1:$B$996,Insumos!$D$1:$D$996),"")</f>
        <v/>
      </c>
      <c r="H3589" s="1069" t="n">
        <v>1498.2455</v>
      </c>
      <c r="I3589" s="2161" t="e">
        <v>#REF!</v>
      </c>
      <c r="J3589" s="2161" t="e">
        <v>#REF!</v>
      </c>
      <c r="K3589" s="2161" t="n"/>
    </row>
    <row r="3590" outlineLevel="3" ht="15.75" customHeight="1">
      <c r="A3590" s="10" t="n">
        <v>4</v>
      </c>
      <c r="B3590" s="10" t="inlineStr">
        <is>
          <t>Insumo</t>
        </is>
      </c>
      <c r="C3590" s="10" t="inlineStr">
        <is>
          <t>Revestimento de Mármore Natural  Aquecido em Piso</t>
        </is>
      </c>
      <c r="D3590" s="10" t="inlineStr">
        <is>
          <t>Mármore Natural</t>
        </is>
      </c>
      <c r="E3590" s="11">
        <f t="array" ref="E3590">_xlfn.XLOOKUP(D3590,Insumos!B:B,Insumos!C:$C)</f>
        <v/>
      </c>
      <c r="F3590" s="14" t="n">
        <v>1.1</v>
      </c>
      <c r="G3590" s="92">
        <f t="array" ref="G3590">IF(B3590="insumo",_xlfn.XLOOKUP($D3590,Insumos!$B$1:$B$996,Insumos!$D$1:$D$996),"")</f>
        <v/>
      </c>
      <c r="H3590" s="92" t="n">
        <v>880</v>
      </c>
      <c r="I3590" s="2162" t="e">
        <v>#REF!</v>
      </c>
      <c r="J3590" s="2162" t="e">
        <v>#REF!</v>
      </c>
      <c r="K3590" s="2162" t="n"/>
    </row>
    <row r="3591" outlineLevel="3" ht="15.75" customHeight="1">
      <c r="A3591" s="10" t="n">
        <v>1</v>
      </c>
      <c r="B3591" s="10" t="inlineStr">
        <is>
          <t>Insumo</t>
        </is>
      </c>
      <c r="C3591" s="10" t="inlineStr">
        <is>
          <t>Revestimento de Mármore Natural  Aquecido em Piso</t>
        </is>
      </c>
      <c r="D3591" s="10" t="inlineStr">
        <is>
          <t>SISTEMA DE PISO AQUECIDO</t>
        </is>
      </c>
      <c r="E3591" s="11">
        <f t="array" ref="E3591">_xlfn.XLOOKUP(D3591,Insumos!B:B,Insumos!C:$C)</f>
        <v/>
      </c>
      <c r="F3591" s="14" t="n">
        <v>1</v>
      </c>
      <c r="G3591" s="92">
        <f t="array" ref="G3591">IF(B3591="insumo",_xlfn.XLOOKUP($D3591,Insumos!$B$1:$B$996,Insumos!$D$1:$D$996),"")</f>
        <v/>
      </c>
      <c r="H3591" s="92" t="n">
        <v>600</v>
      </c>
      <c r="I3591" s="2162" t="e">
        <v>#REF!</v>
      </c>
      <c r="J3591" s="2162" t="e">
        <v>#REF!</v>
      </c>
      <c r="K3591" s="2162" t="n"/>
    </row>
    <row r="3592" outlineLevel="3" ht="15.75" customHeight="1">
      <c r="A3592" s="10" t="n">
        <v>191</v>
      </c>
      <c r="B3592" s="10" t="inlineStr">
        <is>
          <t>Insumo</t>
        </is>
      </c>
      <c r="C3592" s="10" t="inlineStr">
        <is>
          <t>Revestimento de Mármore Natural  Aquecido em Piso</t>
        </is>
      </c>
      <c r="D3592" s="10" t="inlineStr">
        <is>
          <t>Argamassa ACIII</t>
        </is>
      </c>
      <c r="E3592" s="11">
        <f t="array" ref="E3592">_xlfn.XLOOKUP(D3592,Insumos!B:B,Insumos!C:$C)</f>
        <v/>
      </c>
      <c r="F3592" s="14" t="n">
        <v>9</v>
      </c>
      <c r="G3592" s="92">
        <f t="array" ref="G3592">IF(B3592="insumo",_xlfn.XLOOKUP($D3592,Insumos!$B$1:$B$996,Insumos!$D$1:$D$996),"")</f>
        <v/>
      </c>
      <c r="H3592" s="92" t="n">
        <v>9.580500000000001</v>
      </c>
      <c r="I3592" s="2162" t="e">
        <v>#REF!</v>
      </c>
      <c r="J3592" s="2162" t="e">
        <v>#REF!</v>
      </c>
      <c r="K3592" s="2162" t="n"/>
    </row>
    <row r="3593" outlineLevel="3" ht="15.75" customHeight="1">
      <c r="A3593" s="10" t="n">
        <v>34</v>
      </c>
      <c r="B3593" s="10" t="inlineStr">
        <is>
          <t>Insumo</t>
        </is>
      </c>
      <c r="C3593" s="10" t="inlineStr">
        <is>
          <t>Revestimento de Mármore Natural  Aquecido em Piso</t>
        </is>
      </c>
      <c r="D3593" s="10" t="inlineStr">
        <is>
          <t>Massa Plastica 400g</t>
        </is>
      </c>
      <c r="E3593" s="11">
        <f t="array" ref="E3593">_xlfn.XLOOKUP(D3593,Insumos!B:B,Insumos!C:$C)</f>
        <v/>
      </c>
      <c r="F3593" s="14" t="n">
        <v>0.5</v>
      </c>
      <c r="G3593" s="92">
        <f t="array" ref="G3593">IF(B3593="insumo",_xlfn.XLOOKUP($D3593,Insumos!$B$1:$B$996,Insumos!$D$1:$D$996),"")</f>
        <v/>
      </c>
      <c r="H3593" s="92" t="n">
        <v>8.664999999999999</v>
      </c>
      <c r="I3593" s="2162" t="e">
        <v>#REF!</v>
      </c>
      <c r="J3593" s="2162" t="e">
        <v>#REF!</v>
      </c>
      <c r="K3593" s="2162" t="n"/>
    </row>
    <row r="3594" outlineLevel="2" ht="15.75" customHeight="1">
      <c r="A3594" s="1067" t="n">
        <v>1</v>
      </c>
      <c r="B3594" s="1067" t="inlineStr">
        <is>
          <t>Serviço</t>
        </is>
      </c>
      <c r="C3594" s="1067" t="inlineStr">
        <is>
          <t>Revestimento de Mármore Natural em Piso</t>
        </is>
      </c>
      <c r="D3594" s="1067" t="inlineStr">
        <is>
          <t>Revestimento de Mármore Natural em Piso</t>
        </is>
      </c>
      <c r="E3594" s="1068" t="inlineStr">
        <is>
          <t>M2</t>
        </is>
      </c>
      <c r="F3594" s="1067" t="n"/>
      <c r="G3594" s="1069">
        <f t="array" ref="G3594">IF(B3594="insumo",_xlfn.XLOOKUP($D3594,Insumos!$B$1:$B$996,Insumos!$D$1:$D$996),"")</f>
        <v/>
      </c>
      <c r="H3594" s="1069" t="n">
        <v>898.2455</v>
      </c>
      <c r="I3594" s="2161" t="e">
        <v>#REF!</v>
      </c>
      <c r="J3594" s="2161" t="e">
        <v>#REF!</v>
      </c>
      <c r="K3594" s="2161" t="n"/>
    </row>
    <row r="3595" outlineLevel="3" ht="15.75" customHeight="1">
      <c r="A3595" s="10" t="n">
        <v>4</v>
      </c>
      <c r="B3595" s="10" t="inlineStr">
        <is>
          <t>Insumo</t>
        </is>
      </c>
      <c r="C3595" s="10" t="inlineStr">
        <is>
          <t>Revestimento de Mármore Natural em Piso</t>
        </is>
      </c>
      <c r="D3595" s="10" t="inlineStr">
        <is>
          <t>Mármore Natural</t>
        </is>
      </c>
      <c r="E3595" s="11">
        <f t="array" ref="E3595">_xlfn.XLOOKUP(D3595,Insumos!B:B,Insumos!C:$C)</f>
        <v/>
      </c>
      <c r="F3595" s="14" t="n">
        <v>1.1</v>
      </c>
      <c r="G3595" s="92">
        <f t="array" ref="G3595">IF(B3595="insumo",_xlfn.XLOOKUP($D3595,Insumos!$B$1:$B$996,Insumos!$D$1:$D$996),"")</f>
        <v/>
      </c>
      <c r="H3595" s="92" t="n">
        <v>880</v>
      </c>
      <c r="I3595" s="2162" t="e">
        <v>#REF!</v>
      </c>
      <c r="J3595" s="2162" t="e">
        <v>#REF!</v>
      </c>
      <c r="K3595" s="2162" t="n"/>
    </row>
    <row r="3596" outlineLevel="3" ht="15.75" customHeight="1">
      <c r="A3596" s="10" t="n">
        <v>191</v>
      </c>
      <c r="B3596" s="10" t="inlineStr">
        <is>
          <t>Insumo</t>
        </is>
      </c>
      <c r="C3596" s="10" t="inlineStr">
        <is>
          <t>Revestimento de Mármore Natural em Piso</t>
        </is>
      </c>
      <c r="D3596" s="10" t="inlineStr">
        <is>
          <t>Argamassa ACIII</t>
        </is>
      </c>
      <c r="E3596" s="11">
        <f t="array" ref="E3596">_xlfn.XLOOKUP(D3596,Insumos!B:B,Insumos!C:$C)</f>
        <v/>
      </c>
      <c r="F3596" s="14" t="n">
        <v>9</v>
      </c>
      <c r="G3596" s="92">
        <f t="array" ref="G3596">IF(B3596="insumo",_xlfn.XLOOKUP($D3596,Insumos!$B$1:$B$996,Insumos!$D$1:$D$996),"")</f>
        <v/>
      </c>
      <c r="H3596" s="92" t="n">
        <v>9.580500000000001</v>
      </c>
      <c r="I3596" s="2162" t="e">
        <v>#REF!</v>
      </c>
      <c r="J3596" s="2162" t="e">
        <v>#REF!</v>
      </c>
      <c r="K3596" s="2162" t="n"/>
    </row>
    <row r="3597" outlineLevel="3" ht="15.75" customHeight="1">
      <c r="A3597" s="10" t="n">
        <v>34</v>
      </c>
      <c r="B3597" s="10" t="inlineStr">
        <is>
          <t>Insumo</t>
        </is>
      </c>
      <c r="C3597" s="10" t="inlineStr">
        <is>
          <t>Revestimento de Mármore Natural em Piso</t>
        </is>
      </c>
      <c r="D3597" s="10" t="inlineStr">
        <is>
          <t>Massa Plastica 400g</t>
        </is>
      </c>
      <c r="E3597" s="11">
        <f t="array" ref="E3597">_xlfn.XLOOKUP(D3597,Insumos!B:B,Insumos!C:$C)</f>
        <v/>
      </c>
      <c r="F3597" s="14" t="n">
        <v>0.5</v>
      </c>
      <c r="G3597" s="92">
        <f t="array" ref="G3597">IF(B3597="insumo",_xlfn.XLOOKUP($D3597,Insumos!$B$1:$B$996,Insumos!$D$1:$D$996),"")</f>
        <v/>
      </c>
      <c r="H3597" s="92" t="n">
        <v>8.664999999999999</v>
      </c>
      <c r="I3597" s="2162" t="e">
        <v>#REF!</v>
      </c>
      <c r="J3597" s="2162" t="e">
        <v>#REF!</v>
      </c>
      <c r="K3597" s="2162" t="n"/>
    </row>
    <row r="3598" outlineLevel="2" ht="15.75" customHeight="1">
      <c r="A3598" s="1067" t="n">
        <v>1</v>
      </c>
      <c r="B3598" s="1067" t="inlineStr">
        <is>
          <t>Serviço</t>
        </is>
      </c>
      <c r="C3598" s="1067" t="inlineStr">
        <is>
          <t>Revestimento de Mármore Travertino Nacional em Piso</t>
        </is>
      </c>
      <c r="D3598" s="1067" t="inlineStr">
        <is>
          <t>Revestimento de Mármore Travertino Nacional em Piso</t>
        </is>
      </c>
      <c r="E3598" s="1068" t="inlineStr">
        <is>
          <t>M2</t>
        </is>
      </c>
      <c r="F3598" s="1067" t="n"/>
      <c r="G3598" s="1069">
        <f t="array" ref="G3598">IF(B3598="insumo",_xlfn.XLOOKUP($D3598,Insumos!$B$1:$B$996,Insumos!$D$1:$D$996),"")</f>
        <v/>
      </c>
      <c r="H3598" s="1069" t="n">
        <v>1008.2455</v>
      </c>
      <c r="I3598" s="2161" t="n">
        <v>0</v>
      </c>
      <c r="J3598" s="2161" t="n">
        <v>0</v>
      </c>
      <c r="K3598" s="2161" t="n"/>
    </row>
    <row r="3599" outlineLevel="3" ht="15.75" customHeight="1">
      <c r="A3599" s="10" t="n">
        <v>2</v>
      </c>
      <c r="B3599" s="10" t="inlineStr">
        <is>
          <t>Insumo</t>
        </is>
      </c>
      <c r="C3599" s="10" t="inlineStr">
        <is>
          <t>Revestimento de Mármore Travertino Nacional em Piso</t>
        </is>
      </c>
      <c r="D3599" s="10" t="inlineStr">
        <is>
          <t>Mármore Travertino Nacional</t>
        </is>
      </c>
      <c r="E3599" s="11">
        <f t="array" ref="E3599">_xlfn.XLOOKUP(D3599,Insumos!B:B,Insumos!C:$C)</f>
        <v/>
      </c>
      <c r="F3599" s="14" t="n">
        <v>1.1</v>
      </c>
      <c r="G3599" s="92">
        <f t="array" ref="G3599">IF(B3599="insumo",_xlfn.XLOOKUP($D3599,Insumos!$B$1:$B$996,Insumos!$D$1:$D$996),"")</f>
        <v/>
      </c>
      <c r="H3599" s="92" t="n">
        <v>990</v>
      </c>
      <c r="I3599" s="2162" t="n">
        <v>0</v>
      </c>
      <c r="J3599" s="2162" t="n">
        <v>0</v>
      </c>
      <c r="K3599" s="2162" t="n"/>
    </row>
    <row r="3600" outlineLevel="3" ht="15.75" customHeight="1">
      <c r="A3600" s="10" t="n">
        <v>191</v>
      </c>
      <c r="B3600" s="10" t="inlineStr">
        <is>
          <t>Insumo</t>
        </is>
      </c>
      <c r="C3600" s="10" t="inlineStr">
        <is>
          <t>Revestimento de Mármore Travertino Nacional em Piso</t>
        </is>
      </c>
      <c r="D3600" s="10" t="inlineStr">
        <is>
          <t>Argamassa ACIII</t>
        </is>
      </c>
      <c r="E3600" s="11">
        <f t="array" ref="E3600">_xlfn.XLOOKUP(D3600,Insumos!B:B,Insumos!C:$C)</f>
        <v/>
      </c>
      <c r="F3600" s="14" t="n">
        <v>9</v>
      </c>
      <c r="G3600" s="92">
        <f t="array" ref="G3600">IF(B3600="insumo",_xlfn.XLOOKUP($D3600,Insumos!$B$1:$B$996,Insumos!$D$1:$D$996),"")</f>
        <v/>
      </c>
      <c r="H3600" s="92" t="n">
        <v>9.580500000000001</v>
      </c>
      <c r="I3600" s="2162" t="n">
        <v>0</v>
      </c>
      <c r="J3600" s="2162" t="n">
        <v>0</v>
      </c>
      <c r="K3600" s="2162" t="n"/>
    </row>
    <row r="3601" outlineLevel="3" ht="15.75" customHeight="1">
      <c r="A3601" s="10" t="n">
        <v>34</v>
      </c>
      <c r="B3601" s="10" t="inlineStr">
        <is>
          <t>Insumo</t>
        </is>
      </c>
      <c r="C3601" s="10" t="inlineStr">
        <is>
          <t>Revestimento de Mármore Travertino Nacional em Piso</t>
        </is>
      </c>
      <c r="D3601" s="10" t="inlineStr">
        <is>
          <t>Massa Plastica 400g</t>
        </is>
      </c>
      <c r="E3601" s="11">
        <f t="array" ref="E3601">_xlfn.XLOOKUP(D3601,Insumos!B:B,Insumos!C:$C)</f>
        <v/>
      </c>
      <c r="F3601" s="14" t="n">
        <v>0.5</v>
      </c>
      <c r="G3601" s="92">
        <f t="array" ref="G3601">IF(B3601="insumo",_xlfn.XLOOKUP($D3601,Insumos!$B$1:$B$996,Insumos!$D$1:$D$996),"")</f>
        <v/>
      </c>
      <c r="H3601" s="92" t="n">
        <v>8.664999999999999</v>
      </c>
      <c r="I3601" s="2162" t="n">
        <v>0</v>
      </c>
      <c r="J3601" s="2162" t="n">
        <v>0</v>
      </c>
      <c r="K3601" s="2162" t="n"/>
    </row>
    <row r="3602" outlineLevel="2" ht="15.75" customHeight="1">
      <c r="A3602" s="1067" t="n">
        <v>1</v>
      </c>
      <c r="B3602" s="1067" t="inlineStr">
        <is>
          <t>Serviço</t>
        </is>
      </c>
      <c r="C3602" s="1067" t="inlineStr">
        <is>
          <t>Revestimento de Mármore Travertino Navona em Piso</t>
        </is>
      </c>
      <c r="D3602" s="1067" t="inlineStr">
        <is>
          <t>Revestimento de Mármore Travertino Navona em Piso</t>
        </is>
      </c>
      <c r="E3602" s="1068" t="inlineStr">
        <is>
          <t>M2</t>
        </is>
      </c>
      <c r="F3602" s="1067" t="n"/>
      <c r="G3602" s="1069">
        <f t="array" ref="G3602">IF(B3602="insumo",_xlfn.XLOOKUP($D3602,Insumos!$B$1:$B$996,Insumos!$D$1:$D$996),"")</f>
        <v/>
      </c>
      <c r="H3602" s="1069" t="n">
        <v>1448.2455</v>
      </c>
      <c r="I3602" s="2161" t="n">
        <v>0</v>
      </c>
      <c r="J3602" s="2161" t="n">
        <v>0</v>
      </c>
      <c r="K3602" s="2161" t="n"/>
    </row>
    <row r="3603" outlineLevel="3" ht="15.75" customHeight="1">
      <c r="A3603" s="10" t="n">
        <v>2</v>
      </c>
      <c r="B3603" s="10" t="inlineStr">
        <is>
          <t>Insumo</t>
        </is>
      </c>
      <c r="C3603" s="10" t="inlineStr">
        <is>
          <t>Revestimento de Mármore Travertino Navona em Piso</t>
        </is>
      </c>
      <c r="D3603" s="10" t="inlineStr">
        <is>
          <t>Mármore Travertino Navona</t>
        </is>
      </c>
      <c r="E3603" s="11">
        <f t="array" ref="E3603">_xlfn.XLOOKUP(D3603,Insumos!B:B,Insumos!C:$C)</f>
        <v/>
      </c>
      <c r="F3603" s="14" t="n">
        <v>1.1</v>
      </c>
      <c r="G3603" s="92">
        <f t="array" ref="G3603">IF(B3603="insumo",_xlfn.XLOOKUP($D3603,Insumos!$B$1:$B$996,Insumos!$D$1:$D$996),"")</f>
        <v/>
      </c>
      <c r="H3603" s="92" t="n">
        <v>1430</v>
      </c>
      <c r="I3603" s="2162" t="n">
        <v>0</v>
      </c>
      <c r="J3603" s="2162" t="n">
        <v>0</v>
      </c>
      <c r="K3603" s="2162" t="n"/>
    </row>
    <row r="3604" outlineLevel="3" ht="15.75" customHeight="1">
      <c r="A3604" s="10" t="n">
        <v>191</v>
      </c>
      <c r="B3604" s="10" t="inlineStr">
        <is>
          <t>Insumo</t>
        </is>
      </c>
      <c r="C3604" s="10" t="inlineStr">
        <is>
          <t>Revestimento de Mármore Travertino Navona em Piso</t>
        </is>
      </c>
      <c r="D3604" s="10" t="inlineStr">
        <is>
          <t>Argamassa ACIII</t>
        </is>
      </c>
      <c r="E3604" s="11">
        <f t="array" ref="E3604">_xlfn.XLOOKUP(D3604,Insumos!B:B,Insumos!C:$C)</f>
        <v/>
      </c>
      <c r="F3604" s="14" t="n">
        <v>9</v>
      </c>
      <c r="G3604" s="92">
        <f t="array" ref="G3604">IF(B3604="insumo",_xlfn.XLOOKUP($D3604,Insumos!$B$1:$B$996,Insumos!$D$1:$D$996),"")</f>
        <v/>
      </c>
      <c r="H3604" s="92" t="n">
        <v>9.580500000000001</v>
      </c>
      <c r="I3604" s="2162" t="n">
        <v>0</v>
      </c>
      <c r="J3604" s="2162" t="n">
        <v>0</v>
      </c>
      <c r="K3604" s="2162" t="n"/>
    </row>
    <row r="3605" outlineLevel="3" ht="15.75" customHeight="1">
      <c r="A3605" s="10" t="n">
        <v>34</v>
      </c>
      <c r="B3605" s="10" t="inlineStr">
        <is>
          <t>Insumo</t>
        </is>
      </c>
      <c r="C3605" s="10" t="inlineStr">
        <is>
          <t>Revestimento de Mármore Travertino Navona em Piso</t>
        </is>
      </c>
      <c r="D3605" s="10" t="inlineStr">
        <is>
          <t>Massa Plastica 400g</t>
        </is>
      </c>
      <c r="E3605" s="11">
        <f t="array" ref="E3605">_xlfn.XLOOKUP(D3605,Insumos!B:B,Insumos!C:$C)</f>
        <v/>
      </c>
      <c r="F3605" s="14" t="n">
        <v>0.5</v>
      </c>
      <c r="G3605" s="92">
        <f t="array" ref="G3605">IF(B3605="insumo",_xlfn.XLOOKUP($D3605,Insumos!$B$1:$B$996,Insumos!$D$1:$D$996),"")</f>
        <v/>
      </c>
      <c r="H3605" s="92" t="n">
        <v>8.664999999999999</v>
      </c>
      <c r="I3605" s="2162" t="n">
        <v>0</v>
      </c>
      <c r="J3605" s="2162" t="n">
        <v>0</v>
      </c>
      <c r="K3605" s="2162" t="n"/>
    </row>
    <row r="3606" outlineLevel="2" ht="15.75" customHeight="1">
      <c r="A3606" s="1067" t="n">
        <v>1</v>
      </c>
      <c r="B3606" s="1067" t="inlineStr">
        <is>
          <t>Serviço</t>
        </is>
      </c>
      <c r="C3606" s="1067" t="inlineStr">
        <is>
          <t>Revestimento de Mármore Travertino Importado em Piso</t>
        </is>
      </c>
      <c r="D3606" s="1067" t="inlineStr">
        <is>
          <t>Revestimento de Mármore Travertino Importado em Piso</t>
        </is>
      </c>
      <c r="E3606" s="1068" t="inlineStr">
        <is>
          <t>M2</t>
        </is>
      </c>
      <c r="F3606" s="1067" t="n"/>
      <c r="G3606" s="1069">
        <f t="array" ref="G3606">IF(B3606="insumo",_xlfn.XLOOKUP($D3606,Insumos!$B$1:$B$996,Insumos!$D$1:$D$996),"")</f>
        <v/>
      </c>
      <c r="H3606" s="1069" t="n">
        <v>2438.2455</v>
      </c>
      <c r="I3606" s="2161" t="n">
        <v>0</v>
      </c>
      <c r="J3606" s="2161" t="n">
        <v>0</v>
      </c>
      <c r="K3606" s="2161" t="n"/>
    </row>
    <row r="3607" outlineLevel="3" ht="15.75" customHeight="1">
      <c r="A3607" s="10" t="n">
        <v>2</v>
      </c>
      <c r="B3607" s="10" t="inlineStr">
        <is>
          <t>Insumo</t>
        </is>
      </c>
      <c r="C3607" s="10" t="inlineStr">
        <is>
          <t>Revestimento de Mármore Travertino Importado em Piso</t>
        </is>
      </c>
      <c r="D3607" s="10" t="inlineStr">
        <is>
          <t>Mármore Travertino Importado</t>
        </is>
      </c>
      <c r="E3607" s="11">
        <f t="array" ref="E3607">_xlfn.XLOOKUP(D3607,Insumos!B:B,Insumos!C:$C)</f>
        <v/>
      </c>
      <c r="F3607" s="14" t="n">
        <v>1.1</v>
      </c>
      <c r="G3607" s="92">
        <f t="array" ref="G3607">IF(B3607="insumo",_xlfn.XLOOKUP($D3607,Insumos!$B$1:$B$996,Insumos!$D$1:$D$996),"")</f>
        <v/>
      </c>
      <c r="H3607" s="92" t="n">
        <v>2420</v>
      </c>
      <c r="I3607" s="2162" t="n">
        <v>0</v>
      </c>
      <c r="J3607" s="2162" t="n">
        <v>0</v>
      </c>
      <c r="K3607" s="2162" t="n"/>
    </row>
    <row r="3608" outlineLevel="3" ht="15.75" customHeight="1">
      <c r="A3608" s="10" t="n">
        <v>191</v>
      </c>
      <c r="B3608" s="10" t="inlineStr">
        <is>
          <t>Insumo</t>
        </is>
      </c>
      <c r="C3608" s="10" t="inlineStr">
        <is>
          <t>Revestimento de Mármore Travertino Importado em Piso</t>
        </is>
      </c>
      <c r="D3608" s="10" t="inlineStr">
        <is>
          <t>Argamassa ACIII</t>
        </is>
      </c>
      <c r="E3608" s="11">
        <f t="array" ref="E3608">_xlfn.XLOOKUP(D3608,Insumos!B:B,Insumos!C:$C)</f>
        <v/>
      </c>
      <c r="F3608" s="14" t="n">
        <v>9</v>
      </c>
      <c r="G3608" s="92">
        <f t="array" ref="G3608">IF(B3608="insumo",_xlfn.XLOOKUP($D3608,Insumos!$B$1:$B$996,Insumos!$D$1:$D$996),"")</f>
        <v/>
      </c>
      <c r="H3608" s="92" t="n">
        <v>9.580500000000001</v>
      </c>
      <c r="I3608" s="2162" t="n">
        <v>0</v>
      </c>
      <c r="J3608" s="2162" t="n">
        <v>0</v>
      </c>
      <c r="K3608" s="2162" t="n"/>
    </row>
    <row r="3609" outlineLevel="3" ht="15.75" customHeight="1">
      <c r="A3609" s="10" t="n">
        <v>34</v>
      </c>
      <c r="B3609" s="10" t="inlineStr">
        <is>
          <t>Insumo</t>
        </is>
      </c>
      <c r="C3609" s="10" t="inlineStr">
        <is>
          <t>Revestimento de Mármore Travertino Importado em Piso</t>
        </is>
      </c>
      <c r="D3609" s="10" t="inlineStr">
        <is>
          <t>Massa Plastica 400g</t>
        </is>
      </c>
      <c r="E3609" s="11">
        <f t="array" ref="E3609">_xlfn.XLOOKUP(D3609,Insumos!B:B,Insumos!C:$C)</f>
        <v/>
      </c>
      <c r="F3609" s="14" t="n">
        <v>0.5</v>
      </c>
      <c r="G3609" s="92">
        <f t="array" ref="G3609">IF(B3609="insumo",_xlfn.XLOOKUP($D3609,Insumos!$B$1:$B$996,Insumos!$D$1:$D$996),"")</f>
        <v/>
      </c>
      <c r="H3609" s="92" t="n">
        <v>8.664999999999999</v>
      </c>
      <c r="I3609" s="2162" t="n">
        <v>0</v>
      </c>
      <c r="J3609" s="2162" t="n">
        <v>0</v>
      </c>
      <c r="K3609" s="2162" t="n"/>
    </row>
    <row r="3610" outlineLevel="2" ht="15.75" customHeight="1">
      <c r="A3610" s="1067" t="n">
        <v>1</v>
      </c>
      <c r="B3610" s="1067" t="inlineStr">
        <is>
          <t>Serviço</t>
        </is>
      </c>
      <c r="C3610" s="1067" t="inlineStr">
        <is>
          <t>Revestimento de Mármore Travertino Romano em Piso</t>
        </is>
      </c>
      <c r="D3610" s="1067" t="inlineStr">
        <is>
          <t>Revestimento de Mármore Travertino Romano em Piso</t>
        </is>
      </c>
      <c r="E3610" s="1068" t="inlineStr">
        <is>
          <t>M2</t>
        </is>
      </c>
      <c r="F3610" s="1067" t="n"/>
      <c r="G3610" s="1069">
        <f t="array" ref="G3610">IF(B3610="insumo",_xlfn.XLOOKUP($D3610,Insumos!$B$1:$B$996,Insumos!$D$1:$D$996),"")</f>
        <v/>
      </c>
      <c r="H3610" s="1069" t="n">
        <v>1448.2455</v>
      </c>
      <c r="I3610" s="2161" t="e">
        <v>#REF!</v>
      </c>
      <c r="J3610" s="2161" t="e">
        <v>#REF!</v>
      </c>
      <c r="K3610" s="2161" t="n"/>
    </row>
    <row r="3611" outlineLevel="3" ht="15.75" customHeight="1">
      <c r="A3611" s="10" t="n">
        <v>5</v>
      </c>
      <c r="B3611" s="10" t="inlineStr">
        <is>
          <t>Insumo</t>
        </is>
      </c>
      <c r="C3611" s="10" t="inlineStr">
        <is>
          <t>Revestimento de Mármore Travertino Romano em Piso</t>
        </is>
      </c>
      <c r="D3611" s="10" t="inlineStr">
        <is>
          <t>Mármore Travertino Romano</t>
        </is>
      </c>
      <c r="E3611" s="11">
        <f t="array" ref="E3611">_xlfn.XLOOKUP(D3611,Insumos!B:B,Insumos!C:$C)</f>
        <v/>
      </c>
      <c r="F3611" s="14" t="n">
        <v>1.1</v>
      </c>
      <c r="G3611" s="92">
        <f t="array" ref="G3611">IF(B3611="insumo",_xlfn.XLOOKUP($D3611,Insumos!$B$1:$B$996,Insumos!$D$1:$D$996),"")</f>
        <v/>
      </c>
      <c r="H3611" s="92" t="n">
        <v>1430</v>
      </c>
      <c r="I3611" s="2162" t="e">
        <v>#REF!</v>
      </c>
      <c r="J3611" s="2162" t="e">
        <v>#REF!</v>
      </c>
      <c r="K3611" s="2162" t="n"/>
    </row>
    <row r="3612" outlineLevel="3" ht="15.75" customHeight="1">
      <c r="A3612" s="10" t="n">
        <v>191</v>
      </c>
      <c r="B3612" s="10" t="inlineStr">
        <is>
          <t>Insumo</t>
        </is>
      </c>
      <c r="C3612" s="10" t="inlineStr">
        <is>
          <t>Revestimento de Mármore Travertino Romano em Piso</t>
        </is>
      </c>
      <c r="D3612" s="10" t="inlineStr">
        <is>
          <t>Argamassa ACIII</t>
        </is>
      </c>
      <c r="E3612" s="11">
        <f t="array" ref="E3612">_xlfn.XLOOKUP(D3612,Insumos!B:B,Insumos!C:$C)</f>
        <v/>
      </c>
      <c r="F3612" s="14" t="n">
        <v>9</v>
      </c>
      <c r="G3612" s="92">
        <f t="array" ref="G3612">IF(B3612="insumo",_xlfn.XLOOKUP($D3612,Insumos!$B$1:$B$996,Insumos!$D$1:$D$996),"")</f>
        <v/>
      </c>
      <c r="H3612" s="92" t="n">
        <v>9.580500000000001</v>
      </c>
      <c r="I3612" s="2162" t="e">
        <v>#REF!</v>
      </c>
      <c r="J3612" s="2162" t="e">
        <v>#REF!</v>
      </c>
      <c r="K3612" s="2162" t="n"/>
    </row>
    <row r="3613" outlineLevel="3" ht="15.75" customHeight="1">
      <c r="A3613" s="10" t="n">
        <v>34</v>
      </c>
      <c r="B3613" s="10" t="inlineStr">
        <is>
          <t>Insumo</t>
        </is>
      </c>
      <c r="C3613" s="10" t="inlineStr">
        <is>
          <t>Revestimento de Mármore Travertino Romano em Piso</t>
        </is>
      </c>
      <c r="D3613" s="10" t="inlineStr">
        <is>
          <t>Massa Plastica 400g</t>
        </is>
      </c>
      <c r="E3613" s="11">
        <f t="array" ref="E3613">_xlfn.XLOOKUP(D3613,Insumos!B:B,Insumos!C:$C)</f>
        <v/>
      </c>
      <c r="F3613" s="14" t="n">
        <v>0.5</v>
      </c>
      <c r="G3613" s="92">
        <f t="array" ref="G3613">IF(B3613="insumo",_xlfn.XLOOKUP($D3613,Insumos!$B$1:$B$996,Insumos!$D$1:$D$996),"")</f>
        <v/>
      </c>
      <c r="H3613" s="92" t="n">
        <v>8.664999999999999</v>
      </c>
      <c r="I3613" s="2162" t="e">
        <v>#REF!</v>
      </c>
      <c r="J3613" s="2162" t="e">
        <v>#REF!</v>
      </c>
      <c r="K3613" s="2162" t="n"/>
    </row>
    <row r="3614" outlineLevel="2" ht="15.75" customHeight="1">
      <c r="A3614" s="1067" t="n">
        <v>1</v>
      </c>
      <c r="B3614" s="1067" t="inlineStr">
        <is>
          <t>Serviço</t>
        </is>
      </c>
      <c r="C3614" s="1067" t="inlineStr">
        <is>
          <t>Revestimento de Pedras Quartzito Van Gogh em Piso</t>
        </is>
      </c>
      <c r="D3614" s="1067" t="inlineStr">
        <is>
          <t>Revestimento de Pedras Quartzito Van Gogh em Piso</t>
        </is>
      </c>
      <c r="E3614" s="1068" t="inlineStr">
        <is>
          <t>M2</t>
        </is>
      </c>
      <c r="F3614" s="1067" t="n"/>
      <c r="G3614" s="1069">
        <f t="array" ref="G3614">IF(B3614="insumo",_xlfn.XLOOKUP($D3614,Insumos!$B$1:$B$996,Insumos!$D$1:$D$996),"")</f>
        <v/>
      </c>
      <c r="H3614" s="1069" t="n">
        <v>3538.2455</v>
      </c>
      <c r="I3614" s="2161" t="e">
        <v>#REF!</v>
      </c>
      <c r="J3614" s="2161" t="e">
        <v>#REF!</v>
      </c>
      <c r="K3614" s="2161" t="n"/>
    </row>
    <row r="3615" outlineLevel="3" ht="15.75" customHeight="1">
      <c r="A3615" s="10" t="n">
        <v>2</v>
      </c>
      <c r="B3615" s="10" t="inlineStr">
        <is>
          <t>Insumo</t>
        </is>
      </c>
      <c r="C3615" s="10" t="inlineStr">
        <is>
          <t>Revestimento de Pedras Quartzito Van Gogh em Piso</t>
        </is>
      </c>
      <c r="D3615" s="10" t="inlineStr">
        <is>
          <t>Pedras Quartzito Van Gogh</t>
        </is>
      </c>
      <c r="E3615" s="11">
        <f t="array" ref="E3615">_xlfn.XLOOKUP(D3615,Insumos!B:B,Insumos!C:$C)</f>
        <v/>
      </c>
      <c r="F3615" s="14" t="n">
        <v>1.1</v>
      </c>
      <c r="G3615" s="92">
        <f t="array" ref="G3615">IF(B3615="insumo",_xlfn.XLOOKUP($D3615,Insumos!$B$1:$B$996,Insumos!$D$1:$D$996),"")</f>
        <v/>
      </c>
      <c r="H3615" s="92" t="n">
        <v>3520</v>
      </c>
      <c r="I3615" s="2162" t="e">
        <v>#REF!</v>
      </c>
      <c r="J3615" s="2162" t="e">
        <v>#REF!</v>
      </c>
      <c r="K3615" s="2162" t="n"/>
    </row>
    <row r="3616" outlineLevel="3" ht="15.75" customHeight="1">
      <c r="A3616" s="10" t="n">
        <v>191</v>
      </c>
      <c r="B3616" s="10" t="inlineStr">
        <is>
          <t>Insumo</t>
        </is>
      </c>
      <c r="C3616" s="10" t="inlineStr">
        <is>
          <t>Revestimento de Pedras Quartzito Van Gogh em Piso</t>
        </is>
      </c>
      <c r="D3616" s="10" t="inlineStr">
        <is>
          <t>Argamassa ACIII</t>
        </is>
      </c>
      <c r="E3616" s="11">
        <f t="array" ref="E3616">_xlfn.XLOOKUP(D3616,Insumos!B:B,Insumos!C:$C)</f>
        <v/>
      </c>
      <c r="F3616" s="14" t="n">
        <v>9</v>
      </c>
      <c r="G3616" s="92">
        <f t="array" ref="G3616">IF(B3616="insumo",_xlfn.XLOOKUP($D3616,Insumos!$B$1:$B$996,Insumos!$D$1:$D$996),"")</f>
        <v/>
      </c>
      <c r="H3616" s="92" t="n">
        <v>9.580500000000001</v>
      </c>
      <c r="I3616" s="2162" t="e">
        <v>#REF!</v>
      </c>
      <c r="J3616" s="2162" t="e">
        <v>#REF!</v>
      </c>
      <c r="K3616" s="2162" t="n"/>
    </row>
    <row r="3617" outlineLevel="3" ht="15.75" customHeight="1">
      <c r="A3617" s="10" t="n">
        <v>34</v>
      </c>
      <c r="B3617" s="10" t="inlineStr">
        <is>
          <t>Insumo</t>
        </is>
      </c>
      <c r="C3617" s="10" t="inlineStr">
        <is>
          <t>Revestimento de Pedras Quartzito Van Gogh em Piso</t>
        </is>
      </c>
      <c r="D3617" s="10" t="inlineStr">
        <is>
          <t>Massa Plastica 400g</t>
        </is>
      </c>
      <c r="E3617" s="11">
        <f t="array" ref="E3617">_xlfn.XLOOKUP(D3617,Insumos!B:B,Insumos!C:$C)</f>
        <v/>
      </c>
      <c r="F3617" s="14" t="n">
        <v>0.5</v>
      </c>
      <c r="G3617" s="92">
        <f t="array" ref="G3617">IF(B3617="insumo",_xlfn.XLOOKUP($D3617,Insumos!$B$1:$B$996,Insumos!$D$1:$D$996),"")</f>
        <v/>
      </c>
      <c r="H3617" s="92" t="n">
        <v>8.664999999999999</v>
      </c>
      <c r="I3617" s="2162" t="e">
        <v>#REF!</v>
      </c>
      <c r="J3617" s="2162" t="e">
        <v>#REF!</v>
      </c>
      <c r="K3617" s="2162" t="n"/>
    </row>
    <row r="3618" outlineLevel="2" ht="15.75" customHeight="1">
      <c r="A3618" s="1067" t="n">
        <v>1</v>
      </c>
      <c r="B3618" s="1067" t="inlineStr">
        <is>
          <t>Serviço</t>
        </is>
      </c>
      <c r="C3618" s="1067" t="inlineStr">
        <is>
          <t>Revestimento de Pedra natural em batente de elevador</t>
        </is>
      </c>
      <c r="D3618" s="1067" t="inlineStr">
        <is>
          <t>Revestimento de Pedra natural em batente de elevador</t>
        </is>
      </c>
      <c r="E3618" s="1068" t="inlineStr">
        <is>
          <t>M</t>
        </is>
      </c>
      <c r="F3618" s="1067" t="n"/>
      <c r="G3618" s="1069">
        <f t="array" ref="G3618">IF(B3618="insumo",_xlfn.XLOOKUP($D3618,Insumos!$B$1:$B$996,Insumos!$D$1:$D$996),"")</f>
        <v/>
      </c>
      <c r="H3618" s="1069" t="n">
        <v>898.0326</v>
      </c>
      <c r="I3618" s="2161" t="n">
        <v>0</v>
      </c>
      <c r="J3618" s="2161" t="n">
        <v>0</v>
      </c>
      <c r="K3618" s="2161" t="n"/>
    </row>
    <row r="3619" outlineLevel="3" ht="15.75" customHeight="1">
      <c r="A3619" s="10" t="n">
        <v>10</v>
      </c>
      <c r="B3619" s="10" t="inlineStr">
        <is>
          <t>Insumo</t>
        </is>
      </c>
      <c r="C3619" s="10" t="inlineStr">
        <is>
          <t>Revestimento de Pedra natural em batente de elevador</t>
        </is>
      </c>
      <c r="D3619" s="10" t="inlineStr">
        <is>
          <t>Pedra Natural  para Revestimento</t>
        </is>
      </c>
      <c r="E3619" s="11">
        <f t="array" ref="E3619">_xlfn.XLOOKUP(D3619,Insumos!B:B,Insumos!C:$C)</f>
        <v/>
      </c>
      <c r="F3619" s="14" t="n">
        <v>1.1</v>
      </c>
      <c r="G3619" s="92">
        <f t="array" ref="G3619">IF(B3619="insumo",_xlfn.XLOOKUP($D3619,Insumos!$B$1:$B$996,Insumos!$D$1:$D$996),"")</f>
        <v/>
      </c>
      <c r="H3619" s="92" t="n">
        <v>880</v>
      </c>
      <c r="I3619" s="2162" t="n">
        <v>0</v>
      </c>
      <c r="J3619" s="2162" t="n">
        <v>0</v>
      </c>
      <c r="K3619" s="2162" t="n"/>
    </row>
    <row r="3620" outlineLevel="3" ht="15.75" customHeight="1">
      <c r="A3620" s="10" t="n">
        <v>191</v>
      </c>
      <c r="B3620" s="10" t="inlineStr">
        <is>
          <t>Insumo</t>
        </is>
      </c>
      <c r="C3620" s="10" t="inlineStr">
        <is>
          <t>Revestimento de Pedra natural em batente de elevador</t>
        </is>
      </c>
      <c r="D3620" s="10" t="inlineStr">
        <is>
          <t>Argamassa ACIII</t>
        </is>
      </c>
      <c r="E3620" s="11">
        <f t="array" ref="E3620">_xlfn.XLOOKUP(D3620,Insumos!B:B,Insumos!C:$C)</f>
        <v/>
      </c>
      <c r="F3620" s="14" t="n">
        <v>8.800000000000001</v>
      </c>
      <c r="G3620" s="92">
        <f t="array" ref="G3620">IF(B3620="insumo",_xlfn.XLOOKUP($D3620,Insumos!$B$1:$B$996,Insumos!$D$1:$D$996),"")</f>
        <v/>
      </c>
      <c r="H3620" s="92" t="n">
        <v>9.367599999999999</v>
      </c>
      <c r="I3620" s="2162" t="n">
        <v>0</v>
      </c>
      <c r="J3620" s="2162" t="n">
        <v>0</v>
      </c>
      <c r="K3620" s="2162" t="n"/>
    </row>
    <row r="3621" outlineLevel="3" ht="15.75" customHeight="1">
      <c r="A3621" s="10" t="n">
        <v>34</v>
      </c>
      <c r="B3621" s="10" t="inlineStr">
        <is>
          <t>Insumo</t>
        </is>
      </c>
      <c r="C3621" s="10" t="inlineStr">
        <is>
          <t>Revestimento de Pedra natural em batente de elevador</t>
        </is>
      </c>
      <c r="D3621" s="10" t="inlineStr">
        <is>
          <t>Massa Plastica 400g</t>
        </is>
      </c>
      <c r="E3621" s="11">
        <f t="array" ref="E3621">_xlfn.XLOOKUP(D3621,Insumos!B:B,Insumos!C:$C)</f>
        <v/>
      </c>
      <c r="F3621" s="14" t="n">
        <v>0.5</v>
      </c>
      <c r="G3621" s="92">
        <f t="array" ref="G3621">IF(B3621="insumo",_xlfn.XLOOKUP($D3621,Insumos!$B$1:$B$996,Insumos!$D$1:$D$996),"")</f>
        <v/>
      </c>
      <c r="H3621" s="92" t="n">
        <v>8.664999999999999</v>
      </c>
      <c r="I3621" s="2162" t="n">
        <v>0</v>
      </c>
      <c r="J3621" s="2162" t="n">
        <v>0</v>
      </c>
      <c r="K3621" s="2162" t="n"/>
    </row>
    <row r="3622" outlineLevel="1" ht="15.75" customHeight="1">
      <c r="A3622" s="1090" t="n">
        <v>1</v>
      </c>
      <c r="B3622" s="1090" t="inlineStr">
        <is>
          <t>Subetapa</t>
        </is>
      </c>
      <c r="C3622" s="1090" t="inlineStr">
        <is>
          <t>Revestimento de Pedra natural em batente de elevador</t>
        </is>
      </c>
      <c r="D3622" s="1090" t="inlineStr">
        <is>
          <t>RODAPÉS</t>
        </is>
      </c>
      <c r="E3622" s="1091" t="n"/>
      <c r="F3622" s="2160" t="n"/>
      <c r="G3622" s="1091" t="n"/>
      <c r="H3622" s="1091" t="n">
        <v>0</v>
      </c>
      <c r="I3622" s="2160" t="n">
        <v>0</v>
      </c>
      <c r="J3622" s="2160" t="n">
        <v>0</v>
      </c>
      <c r="K3622" s="2160" t="n"/>
    </row>
    <row r="3623" outlineLevel="2" ht="15.75" customHeight="1">
      <c r="A3623" s="1067" t="n">
        <v>1</v>
      </c>
      <c r="B3623" s="1067" t="inlineStr">
        <is>
          <t>Serviço</t>
        </is>
      </c>
      <c r="C3623" s="1067" t="inlineStr">
        <is>
          <t>Rodape Madeira - 20Cm</t>
        </is>
      </c>
      <c r="D3623" s="1067" t="inlineStr">
        <is>
          <t>Rodape Madeira - 20Cm</t>
        </is>
      </c>
      <c r="E3623" s="1068" t="inlineStr">
        <is>
          <t>M</t>
        </is>
      </c>
      <c r="F3623" s="1067" t="n"/>
      <c r="G3623" s="1069">
        <f t="array" ref="G3623">IF(B3623="insumo",_xlfn.XLOOKUP($D3623,Insumos!$B$1:$B$996,Insumos!$D$1:$D$996),"")</f>
        <v/>
      </c>
      <c r="H3623" s="1069" t="n">
        <v>19.960489</v>
      </c>
      <c r="I3623" s="2161" t="n">
        <v>0</v>
      </c>
      <c r="J3623" s="2161" t="n">
        <v>0</v>
      </c>
      <c r="K3623" s="2161" t="n"/>
    </row>
    <row r="3624" outlineLevel="3" ht="15.75" customHeight="1">
      <c r="A3624" s="10" t="n">
        <v>3</v>
      </c>
      <c r="B3624" s="10" t="inlineStr">
        <is>
          <t>Insumo</t>
        </is>
      </c>
      <c r="C3624" s="10" t="inlineStr">
        <is>
          <t>Rodape Madeira - 20Cm</t>
        </is>
      </c>
      <c r="D3624" s="10" t="inlineStr">
        <is>
          <t>PREGO DE ACO POLIDO COM CABECA 15 X 15 (1 1/4 X 13)</t>
        </is>
      </c>
      <c r="E3624" s="11">
        <f t="array" ref="E3624">_xlfn.XLOOKUP(D3624,Insumos!B:B,Insumos!C:$C)</f>
        <v/>
      </c>
      <c r="F3624" s="14" t="n">
        <v>0.0403</v>
      </c>
      <c r="G3624" s="92">
        <f t="array" ref="G3624">IF(B3624="insumo",_xlfn.XLOOKUP($D3624,Insumos!$B$1:$B$996,Insumos!$D$1:$D$996),"")</f>
        <v/>
      </c>
      <c r="H3624" s="92" t="n">
        <v>0.710489</v>
      </c>
      <c r="I3624" s="2162" t="n">
        <v>0</v>
      </c>
      <c r="J3624" s="2162" t="n">
        <v>0</v>
      </c>
      <c r="K3624" s="2162" t="n"/>
    </row>
    <row r="3625" outlineLevel="3" ht="15.75" customHeight="1">
      <c r="A3625" s="10" t="n">
        <v>2</v>
      </c>
      <c r="B3625" s="10" t="inlineStr">
        <is>
          <t>Insumo</t>
        </is>
      </c>
      <c r="C3625" s="10" t="inlineStr">
        <is>
          <t>Rodape Madeira - 20Cm</t>
        </is>
      </c>
      <c r="D3625" s="10" t="inlineStr">
        <is>
          <t>Rodapé de MDF h=5cm</t>
        </is>
      </c>
      <c r="E3625" s="11">
        <f t="array" ref="E3625">_xlfn.XLOOKUP(D3625,Insumos!B:B,Insumos!C:$C)</f>
        <v/>
      </c>
      <c r="F3625" s="14" t="n">
        <v>1</v>
      </c>
      <c r="G3625" s="92">
        <f t="array" ref="G3625">IF(B3625="insumo",_xlfn.XLOOKUP($D3625,Insumos!$B$1:$B$996,Insumos!$D$1:$D$996),"")</f>
        <v/>
      </c>
      <c r="H3625" s="92" t="n">
        <v>19.25</v>
      </c>
      <c r="I3625" s="2162" t="n">
        <v>0</v>
      </c>
      <c r="J3625" s="2162" t="n">
        <v>0</v>
      </c>
      <c r="K3625" s="2162" t="n"/>
    </row>
    <row r="3626" outlineLevel="2" ht="15.75" customHeight="1">
      <c r="A3626" s="1067" t="n">
        <v>1</v>
      </c>
      <c r="B3626" s="1067" t="inlineStr">
        <is>
          <t>Serviço</t>
        </is>
      </c>
      <c r="C3626" s="1067" t="inlineStr">
        <is>
          <t>Rodapé de MDF h=5cm</t>
        </is>
      </c>
      <c r="D3626" s="1067" t="inlineStr">
        <is>
          <t>Rodapé de MDF h=5cm</t>
        </is>
      </c>
      <c r="E3626" s="1068" t="inlineStr">
        <is>
          <t>M</t>
        </is>
      </c>
      <c r="F3626" s="1067" t="n"/>
      <c r="G3626" s="1069">
        <f t="array" ref="G3626">IF(B3626="insumo",_xlfn.XLOOKUP($D3626,Insumos!$B$1:$B$996,Insumos!$D$1:$D$996),"")</f>
        <v/>
      </c>
      <c r="H3626" s="1069" t="n">
        <v>2.136439</v>
      </c>
      <c r="I3626" s="2161" t="n">
        <v>0</v>
      </c>
      <c r="J3626" s="2161" t="n">
        <v>0</v>
      </c>
      <c r="K3626" s="2161" t="n"/>
    </row>
    <row r="3627" outlineLevel="3" ht="15.75" customHeight="1">
      <c r="A3627" s="10" t="n">
        <v>2</v>
      </c>
      <c r="B3627" s="10" t="inlineStr">
        <is>
          <t>Insumo</t>
        </is>
      </c>
      <c r="C3627" s="10" t="inlineStr">
        <is>
          <t>Rodapé de MDF h=5cm</t>
        </is>
      </c>
      <c r="D3627" s="10" t="inlineStr">
        <is>
          <t>Cola Branca base PVA</t>
        </is>
      </c>
      <c r="E3627" s="11">
        <f t="array" ref="E3627">_xlfn.XLOOKUP(D3627,Insumos!B:B,Insumos!C:$C)</f>
        <v/>
      </c>
      <c r="F3627" s="14" t="n">
        <v>0.0403</v>
      </c>
      <c r="G3627" s="92">
        <f t="array" ref="G3627">IF(B3627="insumo",_xlfn.XLOOKUP($D3627,Insumos!$B$1:$B$996,Insumos!$D$1:$D$996),"")</f>
        <v/>
      </c>
      <c r="H3627" s="92" t="n">
        <v>1.173939</v>
      </c>
      <c r="I3627" s="2162" t="n">
        <v>0</v>
      </c>
      <c r="J3627" s="2162" t="n">
        <v>0</v>
      </c>
      <c r="K3627" s="2162" t="n"/>
    </row>
    <row r="3628" outlineLevel="3" ht="15.75" customHeight="1">
      <c r="A3628" s="10" t="n">
        <v>2</v>
      </c>
      <c r="B3628" s="10" t="inlineStr">
        <is>
          <t>Insumo</t>
        </is>
      </c>
      <c r="C3628" s="10" t="inlineStr">
        <is>
          <t>Rodapé de MDF h=5cm</t>
        </is>
      </c>
      <c r="D3628" s="10" t="inlineStr">
        <is>
          <t>Rodapé de MDF h=5cm</t>
        </is>
      </c>
      <c r="E3628" s="11">
        <f t="array" ref="E3628">_xlfn.XLOOKUP(D3628,Insumos!B:B,Insumos!C:$C)</f>
        <v/>
      </c>
      <c r="F3628" s="14" t="n">
        <v>0.05</v>
      </c>
      <c r="G3628" s="92">
        <f t="array" ref="G3628">IF(B3628="insumo",_xlfn.XLOOKUP($D3628,Insumos!$B$1:$B$996,Insumos!$D$1:$D$996),"")</f>
        <v/>
      </c>
      <c r="H3628" s="92" t="n">
        <v>0.9625</v>
      </c>
      <c r="I3628" s="2162" t="n">
        <v>0</v>
      </c>
      <c r="J3628" s="2162" t="n">
        <v>0</v>
      </c>
      <c r="K3628" s="2162" t="n"/>
    </row>
    <row r="3629" outlineLevel="2" ht="15.75" customHeight="1">
      <c r="A3629" s="1067" t="n">
        <v>1</v>
      </c>
      <c r="B3629" s="1067" t="inlineStr">
        <is>
          <t>Serviço</t>
        </is>
      </c>
      <c r="C3629" s="1067" t="inlineStr">
        <is>
          <t>Rodapé de MDF h=20cm</t>
        </is>
      </c>
      <c r="D3629" s="1067" t="inlineStr">
        <is>
          <t>Rodapé de MDF h=20cm</t>
        </is>
      </c>
      <c r="E3629" s="1068" t="inlineStr">
        <is>
          <t>M</t>
        </is>
      </c>
      <c r="F3629" s="1067" t="n"/>
      <c r="G3629" s="1069">
        <f t="array" ref="G3629">IF(B3629="insumo",_xlfn.XLOOKUP($D3629,Insumos!$B$1:$B$996,Insumos!$D$1:$D$996),"")</f>
        <v/>
      </c>
      <c r="H3629" s="1069" t="n">
        <v>16.573939</v>
      </c>
      <c r="I3629" s="2161" t="n">
        <v>0</v>
      </c>
      <c r="J3629" s="2161" t="n">
        <v>0</v>
      </c>
      <c r="K3629" s="2161" t="n"/>
    </row>
    <row r="3630" outlineLevel="3" ht="15.75" customHeight="1">
      <c r="A3630" s="10" t="n">
        <v>2</v>
      </c>
      <c r="B3630" s="10" t="inlineStr">
        <is>
          <t>Insumo</t>
        </is>
      </c>
      <c r="C3630" s="10" t="inlineStr">
        <is>
          <t>Rodapé de MDF h=20cm</t>
        </is>
      </c>
      <c r="D3630" s="10" t="inlineStr">
        <is>
          <t>Cola Branca base PVA</t>
        </is>
      </c>
      <c r="E3630" s="11">
        <f t="array" ref="E3630">_xlfn.XLOOKUP(D3630,Insumos!B:B,Insumos!C:$C)</f>
        <v/>
      </c>
      <c r="F3630" s="14" t="n">
        <v>0.0403</v>
      </c>
      <c r="G3630" s="92">
        <f t="array" ref="G3630">IF(B3630="insumo",_xlfn.XLOOKUP($D3630,Insumos!$B$1:$B$996,Insumos!$D$1:$D$996),"")</f>
        <v/>
      </c>
      <c r="H3630" s="92" t="n">
        <v>1.173939</v>
      </c>
      <c r="I3630" s="2162" t="n">
        <v>0</v>
      </c>
      <c r="J3630" s="2162" t="n">
        <v>0</v>
      </c>
      <c r="K3630" s="2162" t="n"/>
    </row>
    <row r="3631" outlineLevel="3" ht="15.75" customHeight="1">
      <c r="A3631" s="10" t="n">
        <v>1</v>
      </c>
      <c r="B3631" s="10" t="inlineStr">
        <is>
          <t>Insumo</t>
        </is>
      </c>
      <c r="C3631" s="10" t="inlineStr">
        <is>
          <t>Rodapé de MDF h=20cm</t>
        </is>
      </c>
      <c r="D3631" s="10" t="inlineStr">
        <is>
          <t>Rodapé de MDF h=20cm</t>
        </is>
      </c>
      <c r="E3631" s="11">
        <f t="array" ref="E3631">_xlfn.XLOOKUP(D3631,Insumos!B:B,Insumos!C:$C)</f>
        <v/>
      </c>
      <c r="F3631" s="14" t="n">
        <v>0.2</v>
      </c>
      <c r="G3631" s="92">
        <f t="array" ref="G3631">IF(B3631="insumo",_xlfn.XLOOKUP($D3631,Insumos!$B$1:$B$996,Insumos!$D$1:$D$996),"")</f>
        <v/>
      </c>
      <c r="H3631" s="92" t="n">
        <v>15.4</v>
      </c>
      <c r="I3631" s="2162" t="n">
        <v>0</v>
      </c>
      <c r="J3631" s="2162" t="n">
        <v>0</v>
      </c>
      <c r="K3631" s="2162" t="n"/>
    </row>
    <row r="3632" outlineLevel="2" ht="15.75" customHeight="1">
      <c r="A3632" s="1067" t="n">
        <v>1</v>
      </c>
      <c r="B3632" s="1067" t="inlineStr">
        <is>
          <t>Serviço</t>
        </is>
      </c>
      <c r="C3632" s="1067" t="inlineStr">
        <is>
          <t>Rodapé de Pedra Natural h=5cm</t>
        </is>
      </c>
      <c r="D3632" s="1067" t="inlineStr">
        <is>
          <t>Rodapé de Pedra Natural h=5cm</t>
        </is>
      </c>
      <c r="E3632" s="1068" t="inlineStr">
        <is>
          <t>M</t>
        </is>
      </c>
      <c r="F3632" s="1067" t="n"/>
      <c r="G3632" s="1069">
        <f t="array" ref="G3632">IF(B3632="insumo",_xlfn.XLOOKUP($D3632,Insumos!$B$1:$B$996,Insumos!$D$1:$D$996),"")</f>
        <v/>
      </c>
      <c r="H3632" s="1069" t="n">
        <v>44.912275</v>
      </c>
      <c r="I3632" s="2161" t="n">
        <v>0</v>
      </c>
      <c r="J3632" s="2161" t="n">
        <v>0</v>
      </c>
      <c r="K3632" s="2161" t="n"/>
    </row>
    <row r="3633" outlineLevel="3" ht="15.75" customHeight="1">
      <c r="A3633" s="10" t="n">
        <v>10</v>
      </c>
      <c r="B3633" s="10" t="inlineStr">
        <is>
          <t>Insumo</t>
        </is>
      </c>
      <c r="C3633" s="10" t="inlineStr">
        <is>
          <t>Rodapé de Pedra Natural h=5cm</t>
        </is>
      </c>
      <c r="D3633" s="10" t="inlineStr">
        <is>
          <t>Pedra Natural  para Revestimento</t>
        </is>
      </c>
      <c r="E3633" s="11">
        <f t="array" ref="E3633">_xlfn.XLOOKUP(D3633,Insumos!B:B,Insumos!C:$C)</f>
        <v/>
      </c>
      <c r="F3633" s="14" t="n">
        <v>0.05500000000000001</v>
      </c>
      <c r="G3633" s="92">
        <f t="array" ref="G3633">IF(B3633="insumo",_xlfn.XLOOKUP($D3633,Insumos!$B$1:$B$996,Insumos!$D$1:$D$996),"")</f>
        <v/>
      </c>
      <c r="H3633" s="92" t="n">
        <v>44</v>
      </c>
      <c r="I3633" s="2162" t="n">
        <v>0</v>
      </c>
      <c r="J3633" s="2162" t="n">
        <v>0</v>
      </c>
      <c r="K3633" s="2162" t="n"/>
    </row>
    <row r="3634" outlineLevel="3" ht="15.75" customHeight="1">
      <c r="A3634" s="10" t="n">
        <v>191</v>
      </c>
      <c r="B3634" s="10" t="inlineStr">
        <is>
          <t>Insumo</t>
        </is>
      </c>
      <c r="C3634" s="10" t="inlineStr">
        <is>
          <t>Rodapé de Pedra Natural h=5cm</t>
        </is>
      </c>
      <c r="D3634" s="10" t="inlineStr">
        <is>
          <t>Argamassa ACIII</t>
        </is>
      </c>
      <c r="E3634" s="11">
        <f t="array" ref="E3634">_xlfn.XLOOKUP(D3634,Insumos!B:B,Insumos!C:$C)</f>
        <v/>
      </c>
      <c r="F3634" s="14" t="n">
        <v>0.45</v>
      </c>
      <c r="G3634" s="92">
        <f t="array" ref="G3634">IF(B3634="insumo",_xlfn.XLOOKUP($D3634,Insumos!$B$1:$B$996,Insumos!$D$1:$D$996),"")</f>
        <v/>
      </c>
      <c r="H3634" s="92" t="n">
        <v>0.479025</v>
      </c>
      <c r="I3634" s="2162" t="n">
        <v>0</v>
      </c>
      <c r="J3634" s="2162" t="n">
        <v>0</v>
      </c>
      <c r="K3634" s="2162" t="n"/>
    </row>
    <row r="3635" outlineLevel="3" ht="15.75" customHeight="1">
      <c r="A3635" s="10" t="n">
        <v>34</v>
      </c>
      <c r="B3635" s="10" t="inlineStr">
        <is>
          <t>Insumo</t>
        </is>
      </c>
      <c r="C3635" s="10" t="inlineStr">
        <is>
          <t>Rodapé de Pedra Natural h=5cm</t>
        </is>
      </c>
      <c r="D3635" s="10" t="inlineStr">
        <is>
          <t>Massa Plastica 400g</t>
        </is>
      </c>
      <c r="E3635" s="11">
        <f t="array" ref="E3635">_xlfn.XLOOKUP(D3635,Insumos!B:B,Insumos!C:$C)</f>
        <v/>
      </c>
      <c r="F3635" s="14" t="n">
        <v>0.025</v>
      </c>
      <c r="G3635" s="92">
        <f t="array" ref="G3635">IF(B3635="insumo",_xlfn.XLOOKUP($D3635,Insumos!$B$1:$B$996,Insumos!$D$1:$D$996),"")</f>
        <v/>
      </c>
      <c r="H3635" s="92" t="n">
        <v>0.43325</v>
      </c>
      <c r="I3635" s="2162" t="n">
        <v>0</v>
      </c>
      <c r="J3635" s="2162" t="n">
        <v>0</v>
      </c>
      <c r="K3635" s="2162" t="n"/>
    </row>
    <row r="3636" outlineLevel="2" ht="15.75" customHeight="1">
      <c r="A3636" s="1067" t="n">
        <v>1</v>
      </c>
      <c r="B3636" s="1067" t="inlineStr">
        <is>
          <t>Serviço</t>
        </is>
      </c>
      <c r="C3636" s="1067" t="inlineStr">
        <is>
          <t>Rodapé de Pedra Natural h=15cm</t>
        </is>
      </c>
      <c r="D3636" s="1067" t="inlineStr">
        <is>
          <t>Rodapé de Pedra Natural h=15cm</t>
        </is>
      </c>
      <c r="E3636" s="1068" t="inlineStr">
        <is>
          <t>M</t>
        </is>
      </c>
      <c r="F3636" s="1067" t="n"/>
      <c r="G3636" s="1069">
        <f t="array" ref="G3636">IF(B3636="insumo",_xlfn.XLOOKUP($D3636,Insumos!$B$1:$B$996,Insumos!$D$1:$D$996),"")</f>
        <v/>
      </c>
      <c r="H3636" s="1069" t="n">
        <v>134.736825</v>
      </c>
      <c r="I3636" s="2161" t="n">
        <v>0</v>
      </c>
      <c r="J3636" s="2161" t="n">
        <v>0</v>
      </c>
      <c r="K3636" s="2161" t="n"/>
    </row>
    <row r="3637" outlineLevel="3" ht="15.75" customHeight="1">
      <c r="A3637" s="10" t="n">
        <v>10</v>
      </c>
      <c r="B3637" s="10" t="inlineStr">
        <is>
          <t>Insumo</t>
        </is>
      </c>
      <c r="C3637" s="10" t="inlineStr">
        <is>
          <t>Rodapé de Pedra Natural h=15cm</t>
        </is>
      </c>
      <c r="D3637" s="10" t="inlineStr">
        <is>
          <t>Pedra Natural  para Revestimento</t>
        </is>
      </c>
      <c r="E3637" s="11">
        <f t="array" ref="E3637">_xlfn.XLOOKUP(D3637,Insumos!B:B,Insumos!C:$C)</f>
        <v/>
      </c>
      <c r="F3637" s="14" t="n">
        <v>0.165</v>
      </c>
      <c r="G3637" s="92">
        <f t="array" ref="G3637">IF(B3637="insumo",_xlfn.XLOOKUP($D3637,Insumos!$B$1:$B$996,Insumos!$D$1:$D$996),"")</f>
        <v/>
      </c>
      <c r="H3637" s="92" t="n">
        <v>132</v>
      </c>
      <c r="I3637" s="2162" t="n">
        <v>0</v>
      </c>
      <c r="J3637" s="2162" t="n">
        <v>0</v>
      </c>
      <c r="K3637" s="2162" t="n"/>
    </row>
    <row r="3638" outlineLevel="3" ht="15.75" customHeight="1">
      <c r="A3638" s="10" t="n">
        <v>191</v>
      </c>
      <c r="B3638" s="10" t="inlineStr">
        <is>
          <t>Insumo</t>
        </is>
      </c>
      <c r="C3638" s="10" t="inlineStr">
        <is>
          <t>Rodapé de Pedra Natural h=15cm</t>
        </is>
      </c>
      <c r="D3638" s="10" t="inlineStr">
        <is>
          <t>Argamassa ACIII</t>
        </is>
      </c>
      <c r="E3638" s="11">
        <f t="array" ref="E3638">_xlfn.XLOOKUP(D3638,Insumos!B:B,Insumos!C:$C)</f>
        <v/>
      </c>
      <c r="F3638" s="14" t="n">
        <v>1.35</v>
      </c>
      <c r="G3638" s="92">
        <f t="array" ref="G3638">IF(B3638="insumo",_xlfn.XLOOKUP($D3638,Insumos!$B$1:$B$996,Insumos!$D$1:$D$996),"")</f>
        <v/>
      </c>
      <c r="H3638" s="92" t="n">
        <v>1.437075</v>
      </c>
      <c r="I3638" s="2162" t="n">
        <v>0</v>
      </c>
      <c r="J3638" s="2162" t="n">
        <v>0</v>
      </c>
      <c r="K3638" s="2162" t="n"/>
    </row>
    <row r="3639" outlineLevel="3" ht="15.75" customHeight="1">
      <c r="A3639" s="10" t="n">
        <v>34</v>
      </c>
      <c r="B3639" s="10" t="inlineStr">
        <is>
          <t>Insumo</t>
        </is>
      </c>
      <c r="C3639" s="10" t="inlineStr">
        <is>
          <t>Rodapé de Pedra Natural h=15cm</t>
        </is>
      </c>
      <c r="D3639" s="10" t="inlineStr">
        <is>
          <t>Massa Plastica 400g</t>
        </is>
      </c>
      <c r="E3639" s="11">
        <f t="array" ref="E3639">_xlfn.XLOOKUP(D3639,Insumos!B:B,Insumos!C:$C)</f>
        <v/>
      </c>
      <c r="F3639" s="14" t="n">
        <v>0.075</v>
      </c>
      <c r="G3639" s="92">
        <f t="array" ref="G3639">IF(B3639="insumo",_xlfn.XLOOKUP($D3639,Insumos!$B$1:$B$996,Insumos!$D$1:$D$996),"")</f>
        <v/>
      </c>
      <c r="H3639" s="92" t="n">
        <v>1.29975</v>
      </c>
      <c r="I3639" s="2162" t="n">
        <v>0</v>
      </c>
      <c r="J3639" s="2162" t="n">
        <v>0</v>
      </c>
      <c r="K3639" s="2162" t="n"/>
    </row>
    <row r="3640" outlineLevel="2" ht="15.75" customHeight="1">
      <c r="A3640" s="1067" t="n">
        <v>1</v>
      </c>
      <c r="B3640" s="1067" t="inlineStr">
        <is>
          <t>Serviço</t>
        </is>
      </c>
      <c r="C3640" s="1067" t="inlineStr">
        <is>
          <t>Rodapé de Pedra h=20cm</t>
        </is>
      </c>
      <c r="D3640" s="1067" t="inlineStr">
        <is>
          <t>Rodapé de Pedra h=20cm</t>
        </is>
      </c>
      <c r="E3640" s="1068" t="inlineStr">
        <is>
          <t>M</t>
        </is>
      </c>
      <c r="F3640" s="1067" t="n"/>
      <c r="G3640" s="1069">
        <f t="array" ref="G3640">IF(B3640="insumo",_xlfn.XLOOKUP($D3640,Insumos!$B$1:$B$996,Insumos!$D$1:$D$996),"")</f>
        <v/>
      </c>
      <c r="H3640" s="1069" t="n">
        <v>170.736825</v>
      </c>
      <c r="I3640" s="2161" t="n">
        <v>0</v>
      </c>
      <c r="J3640" s="2161" t="n">
        <v>0</v>
      </c>
      <c r="K3640" s="2161" t="n"/>
    </row>
    <row r="3641" outlineLevel="3" ht="15.75" customHeight="1">
      <c r="A3641" s="10" t="n">
        <v>10</v>
      </c>
      <c r="B3641" s="10" t="inlineStr">
        <is>
          <t>Insumo</t>
        </is>
      </c>
      <c r="C3641" s="10" t="inlineStr">
        <is>
          <t>Rodapé de Pedra h=20cm</t>
        </is>
      </c>
      <c r="D3641" s="10" t="inlineStr">
        <is>
          <t>Pedra Natural  para Revestimento</t>
        </is>
      </c>
      <c r="E3641" s="11">
        <f t="array" ref="E3641">_xlfn.XLOOKUP(D3641,Insumos!B:B,Insumos!C:$C)</f>
        <v/>
      </c>
      <c r="F3641" s="14">
        <f>0.2*1.05</f>
        <v/>
      </c>
      <c r="G3641" s="92">
        <f t="array" ref="G3641">IF(B3641="insumo",_xlfn.XLOOKUP($D3641,Insumos!$B$1:$B$996,Insumos!$D$1:$D$996),"")</f>
        <v/>
      </c>
      <c r="H3641" s="92" t="n">
        <v>168</v>
      </c>
      <c r="I3641" s="2162" t="n">
        <v>0</v>
      </c>
      <c r="J3641" s="2162" t="n">
        <v>0</v>
      </c>
      <c r="K3641" s="2162" t="n"/>
    </row>
    <row r="3642" outlineLevel="3" ht="15.75" customHeight="1">
      <c r="A3642" s="10" t="n">
        <v>191</v>
      </c>
      <c r="B3642" s="10" t="inlineStr">
        <is>
          <t>Insumo</t>
        </is>
      </c>
      <c r="C3642" s="10" t="inlineStr">
        <is>
          <t>Rodapé de Pedra h=20cm</t>
        </is>
      </c>
      <c r="D3642" s="10" t="inlineStr">
        <is>
          <t>Argamassa ACIII</t>
        </is>
      </c>
      <c r="E3642" s="11">
        <f t="array" ref="E3642">_xlfn.XLOOKUP(D3642,Insumos!B:B,Insumos!C:$C)</f>
        <v/>
      </c>
      <c r="F3642" s="14" t="n">
        <v>1.35</v>
      </c>
      <c r="G3642" s="92">
        <f t="array" ref="G3642">IF(B3642="insumo",_xlfn.XLOOKUP($D3642,Insumos!$B$1:$B$996,Insumos!$D$1:$D$996),"")</f>
        <v/>
      </c>
      <c r="H3642" s="92" t="n">
        <v>1.437075</v>
      </c>
      <c r="I3642" s="2162" t="n">
        <v>0</v>
      </c>
      <c r="J3642" s="2162" t="n">
        <v>0</v>
      </c>
      <c r="K3642" s="2162" t="n"/>
    </row>
    <row r="3643" outlineLevel="3" ht="15.75" customHeight="1">
      <c r="A3643" s="10" t="n">
        <v>34</v>
      </c>
      <c r="B3643" s="10" t="inlineStr">
        <is>
          <t>Insumo</t>
        </is>
      </c>
      <c r="C3643" s="10" t="inlineStr">
        <is>
          <t>Rodapé de Pedra h=20cm</t>
        </is>
      </c>
      <c r="D3643" s="10" t="inlineStr">
        <is>
          <t>Massa Plastica 400g</t>
        </is>
      </c>
      <c r="E3643" s="11">
        <f t="array" ref="E3643">_xlfn.XLOOKUP(D3643,Insumos!B:B,Insumos!C:$C)</f>
        <v/>
      </c>
      <c r="F3643" s="14" t="n">
        <v>0.075</v>
      </c>
      <c r="G3643" s="92">
        <f t="array" ref="G3643">IF(B3643="insumo",_xlfn.XLOOKUP($D3643,Insumos!$B$1:$B$996,Insumos!$D$1:$D$996),"")</f>
        <v/>
      </c>
      <c r="H3643" s="92" t="n">
        <v>1.29975</v>
      </c>
      <c r="I3643" s="2162" t="n">
        <v>0</v>
      </c>
      <c r="J3643" s="2162" t="n">
        <v>0</v>
      </c>
      <c r="K3643" s="2162" t="n"/>
    </row>
    <row r="3644" outlineLevel="2" ht="15.75" customHeight="1">
      <c r="A3644" s="1067" t="n">
        <v>1</v>
      </c>
      <c r="B3644" s="1067" t="inlineStr">
        <is>
          <t>Serviço</t>
        </is>
      </c>
      <c r="C3644" s="1067" t="inlineStr">
        <is>
          <t>Rodapé de Pedra Natural h=30cm</t>
        </is>
      </c>
      <c r="D3644" s="1067" t="inlineStr">
        <is>
          <t>Rodapé de Pedra Natural h=30cm</t>
        </is>
      </c>
      <c r="E3644" s="1068" t="inlineStr">
        <is>
          <t>M</t>
        </is>
      </c>
      <c r="F3644" s="1067" t="n"/>
      <c r="G3644" s="1069">
        <f t="array" ref="G3644">IF(B3644="insumo",_xlfn.XLOOKUP($D3644,Insumos!$B$1:$B$996,Insumos!$D$1:$D$996),"")</f>
        <v/>
      </c>
      <c r="H3644" s="1069" t="n">
        <v>256.1739</v>
      </c>
      <c r="I3644" s="2161" t="n">
        <v>0</v>
      </c>
      <c r="J3644" s="2161" t="n">
        <v>0</v>
      </c>
      <c r="K3644" s="2161" t="n"/>
    </row>
    <row r="3645" outlineLevel="3" ht="15.75" customHeight="1">
      <c r="A3645" s="10" t="n">
        <v>10</v>
      </c>
      <c r="B3645" s="10" t="inlineStr">
        <is>
          <t>Insumo</t>
        </is>
      </c>
      <c r="C3645" s="10" t="inlineStr">
        <is>
          <t>Rodapé de Pedra Natural h=30cm</t>
        </is>
      </c>
      <c r="D3645" s="10" t="inlineStr">
        <is>
          <t>Pedra Natural  para Revestimento</t>
        </is>
      </c>
      <c r="E3645" s="11">
        <f t="array" ref="E3645">_xlfn.XLOOKUP(D3645,Insumos!B:B,Insumos!C:$C)</f>
        <v/>
      </c>
      <c r="F3645" s="14">
        <f>0.3*1.05</f>
        <v/>
      </c>
      <c r="G3645" s="92">
        <f t="array" ref="G3645">IF(B3645="insumo",_xlfn.XLOOKUP($D3645,Insumos!$B$1:$B$996,Insumos!$D$1:$D$996),"")</f>
        <v/>
      </c>
      <c r="H3645" s="92" t="n">
        <v>252</v>
      </c>
      <c r="I3645" s="2162" t="n">
        <v>0</v>
      </c>
      <c r="J3645" s="2162" t="n">
        <v>0</v>
      </c>
      <c r="K3645" s="2162" t="n"/>
    </row>
    <row r="3646" outlineLevel="3" ht="15.75" customHeight="1">
      <c r="A3646" s="10" t="n">
        <v>191</v>
      </c>
      <c r="B3646" s="10" t="inlineStr">
        <is>
          <t>Insumo</t>
        </is>
      </c>
      <c r="C3646" s="10" t="inlineStr">
        <is>
          <t>Rodapé de Pedra Natural h=30cm</t>
        </is>
      </c>
      <c r="D3646" s="10" t="inlineStr">
        <is>
          <t>Argamassa ACIII</t>
        </is>
      </c>
      <c r="E3646" s="11">
        <f t="array" ref="E3646">_xlfn.XLOOKUP(D3646,Insumos!B:B,Insumos!C:$C)</f>
        <v/>
      </c>
      <c r="F3646" s="14">
        <f>9*0.3</f>
        <v/>
      </c>
      <c r="G3646" s="92">
        <f t="array" ref="G3646">IF(B3646="insumo",_xlfn.XLOOKUP($D3646,Insumos!$B$1:$B$996,Insumos!$D$1:$D$996),"")</f>
        <v/>
      </c>
      <c r="H3646" s="92" t="n">
        <v>2.87415</v>
      </c>
      <c r="I3646" s="2162" t="n">
        <v>0</v>
      </c>
      <c r="J3646" s="2162" t="n">
        <v>0</v>
      </c>
      <c r="K3646" s="2162" t="n"/>
    </row>
    <row r="3647" outlineLevel="3" ht="15.75" customHeight="1">
      <c r="A3647" s="10" t="n">
        <v>34</v>
      </c>
      <c r="B3647" s="10" t="inlineStr">
        <is>
          <t>Insumo</t>
        </is>
      </c>
      <c r="C3647" s="10" t="inlineStr">
        <is>
          <t>Rodapé de Pedra Natural h=30cm</t>
        </is>
      </c>
      <c r="D3647" s="10" t="inlineStr">
        <is>
          <t>Massa Plastica 400g</t>
        </is>
      </c>
      <c r="E3647" s="11">
        <f t="array" ref="E3647">_xlfn.XLOOKUP(D3647,Insumos!B:B,Insumos!C:$C)</f>
        <v/>
      </c>
      <c r="F3647" s="14" t="n">
        <v>0.075</v>
      </c>
      <c r="G3647" s="92">
        <f t="array" ref="G3647">IF(B3647="insumo",_xlfn.XLOOKUP($D3647,Insumos!$B$1:$B$996,Insumos!$D$1:$D$996),"")</f>
        <v/>
      </c>
      <c r="H3647" s="92" t="n">
        <v>1.29975</v>
      </c>
      <c r="I3647" s="2162" t="n">
        <v>0</v>
      </c>
      <c r="J3647" s="2162" t="n">
        <v>0</v>
      </c>
      <c r="K3647" s="2162" t="n"/>
    </row>
    <row r="3648" outlineLevel="2" ht="15.75" customHeight="1">
      <c r="A3648" s="1067" t="n">
        <v>1</v>
      </c>
      <c r="B3648" s="1067" t="inlineStr">
        <is>
          <t>Serviço</t>
        </is>
      </c>
      <c r="C3648" s="1067" t="inlineStr">
        <is>
          <t>Rodapé de Poliestireno h=15cm</t>
        </is>
      </c>
      <c r="D3648" s="1067" t="inlineStr">
        <is>
          <t>Rodapé de Poliestireno h=15cm</t>
        </is>
      </c>
      <c r="E3648" s="1068" t="inlineStr">
        <is>
          <t>M</t>
        </is>
      </c>
      <c r="F3648" s="1067" t="n"/>
      <c r="G3648" s="1069">
        <f t="array" ref="G3648">IF(B3648="insumo",_xlfn.XLOOKUP($D3648,Insumos!$B$1:$B$996,Insumos!$D$1:$D$996),"")</f>
        <v/>
      </c>
      <c r="H3648" s="1069" t="n">
        <v>43.8205833333333</v>
      </c>
      <c r="I3648" s="2161" t="e">
        <v>#REF!</v>
      </c>
      <c r="J3648" s="2161" t="e">
        <v>#REF!</v>
      </c>
      <c r="K3648" s="2161" t="n"/>
    </row>
    <row r="3649" outlineLevel="3" ht="15.75" customHeight="1">
      <c r="A3649" s="10" t="n">
        <v>1</v>
      </c>
      <c r="B3649" s="10" t="inlineStr">
        <is>
          <t>Insumo</t>
        </is>
      </c>
      <c r="C3649" s="10" t="inlineStr">
        <is>
          <t>Rodapé de Poliestireno h=15cm</t>
        </is>
      </c>
      <c r="D3649" s="10" t="inlineStr">
        <is>
          <t>Rodape Em Poliestireno, H = 15cm</t>
        </is>
      </c>
      <c r="E3649" s="11">
        <f t="array" ref="E3649">_xlfn.XLOOKUP(D3649,Insumos!B:B,Insumos!C:$C)</f>
        <v/>
      </c>
      <c r="F3649" s="14" t="n">
        <v>1.34</v>
      </c>
      <c r="G3649" s="92">
        <f t="array" ref="G3649">IF(B3649="insumo",_xlfn.XLOOKUP($D3649,Insumos!$B$1:$B$996,Insumos!$D$1:$D$996),"")</f>
        <v/>
      </c>
      <c r="H3649" s="92" t="n">
        <v>38.7985833333333</v>
      </c>
      <c r="I3649" s="2162" t="e">
        <v>#REF!</v>
      </c>
      <c r="J3649" s="2162" t="e">
        <v>#REF!</v>
      </c>
      <c r="K3649" s="2162" t="n"/>
    </row>
    <row r="3650" outlineLevel="3" ht="15.75" customHeight="1">
      <c r="A3650" s="10" t="n">
        <v>7</v>
      </c>
      <c r="B3650" s="10" t="inlineStr">
        <is>
          <t>Insumo</t>
        </is>
      </c>
      <c r="C3650" s="10" t="inlineStr">
        <is>
          <t>Rodapé de Poliestireno h=15cm</t>
        </is>
      </c>
      <c r="D3650" s="10" t="inlineStr">
        <is>
          <t>Adesivo Acrilico De Base Aquosa / Cola De Contato</t>
        </is>
      </c>
      <c r="E3650" s="11">
        <f t="array" ref="E3650">_xlfn.XLOOKUP(D3650,Insumos!B:B,Insumos!C:$C)</f>
        <v/>
      </c>
      <c r="F3650" s="14" t="n">
        <v>0.2</v>
      </c>
      <c r="G3650" s="92">
        <f t="array" ref="G3650">IF(B3650="insumo",_xlfn.XLOOKUP($D3650,Insumos!$B$1:$B$996,Insumos!$D$1:$D$996),"")</f>
        <v/>
      </c>
      <c r="H3650" s="92" t="n">
        <v>5.022</v>
      </c>
      <c r="I3650" s="2162" t="e">
        <v>#REF!</v>
      </c>
      <c r="J3650" s="2162" t="e">
        <v>#REF!</v>
      </c>
      <c r="K3650" s="2162" t="n"/>
    </row>
    <row r="3651" outlineLevel="2" ht="15.75" customHeight="1">
      <c r="A3651" s="1067" t="n">
        <v>1</v>
      </c>
      <c r="B3651" s="1067" t="inlineStr">
        <is>
          <t>Serviço</t>
        </is>
      </c>
      <c r="C3651" s="1067" t="inlineStr">
        <is>
          <t>Rodapé de Poliestireno h=20cm</t>
        </is>
      </c>
      <c r="D3651" s="1067" t="inlineStr">
        <is>
          <t>Rodapé de Poliestireno h=20cm</t>
        </is>
      </c>
      <c r="E3651" s="1068" t="inlineStr">
        <is>
          <t>M</t>
        </is>
      </c>
      <c r="F3651" s="1067" t="n"/>
      <c r="G3651" s="1069">
        <f t="array" ref="G3651">IF(B3651="insumo",_xlfn.XLOOKUP($D3651,Insumos!$B$1:$B$996,Insumos!$D$1:$D$996),"")</f>
        <v/>
      </c>
      <c r="H3651" s="1069" t="n">
        <v>72.357</v>
      </c>
      <c r="I3651" s="2161" t="n">
        <v>0</v>
      </c>
      <c r="J3651" s="2161" t="n">
        <v>0</v>
      </c>
      <c r="K3651" s="2161" t="n"/>
    </row>
    <row r="3652" outlineLevel="3" ht="15.75" customHeight="1">
      <c r="A3652" s="10" t="n">
        <v>1</v>
      </c>
      <c r="B3652" s="10" t="inlineStr">
        <is>
          <t>Insumo</t>
        </is>
      </c>
      <c r="C3652" s="10" t="inlineStr">
        <is>
          <t>Rodapé de Poliestireno h=20cm</t>
        </is>
      </c>
      <c r="D3652" s="10" t="inlineStr">
        <is>
          <t>Rodape Em Poliestireno, H = 20cm</t>
        </is>
      </c>
      <c r="E3652" s="11">
        <f t="array" ref="E3652">_xlfn.XLOOKUP(D3652,Insumos!B:B,Insumos!C:$C)</f>
        <v/>
      </c>
      <c r="F3652" s="14" t="n">
        <v>1.34</v>
      </c>
      <c r="G3652" s="92">
        <f t="array" ref="G3652">IF(B3652="insumo",_xlfn.XLOOKUP($D3652,Insumos!$B$1:$B$996,Insumos!$D$1:$D$996),"")</f>
        <v/>
      </c>
      <c r="H3652" s="92" t="n">
        <v>67.33499999999999</v>
      </c>
      <c r="I3652" s="2162" t="n">
        <v>0</v>
      </c>
      <c r="J3652" s="2162" t="n">
        <v>0</v>
      </c>
      <c r="K3652" s="2162" t="n"/>
    </row>
    <row r="3653" outlineLevel="3" ht="15.75" customHeight="1">
      <c r="A3653" s="10" t="n">
        <v>7</v>
      </c>
      <c r="B3653" s="10" t="inlineStr">
        <is>
          <t>Insumo</t>
        </is>
      </c>
      <c r="C3653" s="10" t="inlineStr">
        <is>
          <t>Rodapé de Poliestireno h=20cm</t>
        </is>
      </c>
      <c r="D3653" s="10" t="inlineStr">
        <is>
          <t>Adesivo Acrilico De Base Aquosa / Cola De Contato</t>
        </is>
      </c>
      <c r="E3653" s="11">
        <f t="array" ref="E3653">_xlfn.XLOOKUP(D3653,Insumos!B:B,Insumos!C:$C)</f>
        <v/>
      </c>
      <c r="F3653" s="14" t="n">
        <v>0.2</v>
      </c>
      <c r="G3653" s="92">
        <f t="array" ref="G3653">IF(B3653="insumo",_xlfn.XLOOKUP($D3653,Insumos!$B$1:$B$996,Insumos!$D$1:$D$996),"")</f>
        <v/>
      </c>
      <c r="H3653" s="92" t="n">
        <v>5.022</v>
      </c>
      <c r="I3653" s="2162" t="n">
        <v>0</v>
      </c>
      <c r="J3653" s="2162" t="n">
        <v>0</v>
      </c>
      <c r="K3653" s="2162" t="n"/>
    </row>
    <row r="3654" outlineLevel="2" ht="15.75" customHeight="1">
      <c r="A3654" s="1067" t="n">
        <v>1</v>
      </c>
      <c r="B3654" s="1067" t="inlineStr">
        <is>
          <t>Serviço</t>
        </is>
      </c>
      <c r="C3654" s="1067" t="inlineStr">
        <is>
          <t>Rodapé de Pedra Ônix Cristal Rose h=35cm</t>
        </is>
      </c>
      <c r="D3654" s="1067" t="inlineStr">
        <is>
          <t>Rodapé de Pedra Ônix Cristal Rose h=35cm</t>
        </is>
      </c>
      <c r="E3654" s="1068" t="inlineStr">
        <is>
          <t>M</t>
        </is>
      </c>
      <c r="F3654" s="1067" t="n"/>
      <c r="G3654" s="1069">
        <f t="array" ref="G3654">IF(B3654="insumo",_xlfn.XLOOKUP($D3654,Insumos!$B$1:$B$996,Insumos!$D$1:$D$996),"")</f>
        <v/>
      </c>
      <c r="H3654" s="1069" t="n">
        <v>1768.652925</v>
      </c>
      <c r="I3654" s="2161" t="e">
        <v>#REF!</v>
      </c>
      <c r="J3654" s="2161" t="e">
        <v>#REF!</v>
      </c>
      <c r="K3654" s="2161" t="n"/>
    </row>
    <row r="3655" outlineLevel="3" ht="15.75" customHeight="1">
      <c r="A3655" s="10" t="n">
        <v>1</v>
      </c>
      <c r="B3655" s="10" t="inlineStr">
        <is>
          <t>Insumo</t>
        </is>
      </c>
      <c r="C3655" s="10" t="inlineStr">
        <is>
          <t>Rodapé de Pedra Ônix Cristal Rose h=35cm</t>
        </is>
      </c>
      <c r="D3655" s="10" t="inlineStr">
        <is>
          <t>Pedra Ônix Cristal Rose</t>
        </is>
      </c>
      <c r="E3655" s="11">
        <f t="array" ref="E3655">_xlfn.XLOOKUP(D3655,Insumos!B:B,Insumos!C:$C)</f>
        <v/>
      </c>
      <c r="F3655" s="14">
        <f>0.35*1.05</f>
        <v/>
      </c>
      <c r="G3655" s="92">
        <f t="array" ref="G3655">IF(B3655="insumo",_xlfn.XLOOKUP($D3655,Insumos!$B$1:$B$996,Insumos!$D$1:$D$996),"")</f>
        <v/>
      </c>
      <c r="H3655" s="92" t="n">
        <v>1764</v>
      </c>
      <c r="I3655" s="2162" t="e">
        <v>#REF!</v>
      </c>
      <c r="J3655" s="2162" t="e">
        <v>#REF!</v>
      </c>
      <c r="K3655" s="2162" t="n"/>
    </row>
    <row r="3656" outlineLevel="3" ht="15.75" customHeight="1">
      <c r="A3656" s="10" t="n">
        <v>191</v>
      </c>
      <c r="B3656" s="10" t="inlineStr">
        <is>
          <t>Insumo</t>
        </is>
      </c>
      <c r="C3656" s="10" t="inlineStr">
        <is>
          <t>Rodapé de Pedra Ônix Cristal Rose h=35cm</t>
        </is>
      </c>
      <c r="D3656" s="10" t="inlineStr">
        <is>
          <t>Argamassa ACIII</t>
        </is>
      </c>
      <c r="E3656" s="11">
        <f t="array" ref="E3656">_xlfn.XLOOKUP(D3656,Insumos!B:B,Insumos!C:$C)</f>
        <v/>
      </c>
      <c r="F3656" s="14">
        <f>9*0.35</f>
        <v/>
      </c>
      <c r="G3656" s="92">
        <f t="array" ref="G3656">IF(B3656="insumo",_xlfn.XLOOKUP($D3656,Insumos!$B$1:$B$996,Insumos!$D$1:$D$996),"")</f>
        <v/>
      </c>
      <c r="H3656" s="92" t="n">
        <v>3.353175</v>
      </c>
      <c r="I3656" s="2162" t="e">
        <v>#REF!</v>
      </c>
      <c r="J3656" s="2162" t="e">
        <v>#REF!</v>
      </c>
      <c r="K3656" s="2162" t="n"/>
    </row>
    <row r="3657" outlineLevel="3" ht="15.75" customHeight="1">
      <c r="A3657" s="10" t="n">
        <v>34</v>
      </c>
      <c r="B3657" s="10" t="inlineStr">
        <is>
          <t>Insumo</t>
        </is>
      </c>
      <c r="C3657" s="10" t="inlineStr">
        <is>
          <t>Rodapé de Pedra Ônix Cristal Rose h=35cm</t>
        </is>
      </c>
      <c r="D3657" s="10" t="inlineStr">
        <is>
          <t>Massa Plastica 400g</t>
        </is>
      </c>
      <c r="E3657" s="11">
        <f t="array" ref="E3657">_xlfn.XLOOKUP(D3657,Insumos!B:B,Insumos!C:$C)</f>
        <v/>
      </c>
      <c r="F3657" s="14" t="n">
        <v>0.075</v>
      </c>
      <c r="G3657" s="92">
        <f t="array" ref="G3657">IF(B3657="insumo",_xlfn.XLOOKUP($D3657,Insumos!$B$1:$B$996,Insumos!$D$1:$D$996),"")</f>
        <v/>
      </c>
      <c r="H3657" s="92" t="n">
        <v>1.29975</v>
      </c>
      <c r="I3657" s="2162" t="e">
        <v>#REF!</v>
      </c>
      <c r="J3657" s="2162" t="e">
        <v>#REF!</v>
      </c>
      <c r="K3657" s="2162" t="n"/>
    </row>
    <row r="3658" outlineLevel="2" ht="15.75" customHeight="1">
      <c r="A3658" s="1067" t="n">
        <v>1</v>
      </c>
      <c r="B3658" s="1067" t="inlineStr">
        <is>
          <t>Serviço</t>
        </is>
      </c>
      <c r="C3658" s="1067" t="inlineStr">
        <is>
          <t>Rodapé de Marmore cinza h=15cm</t>
        </is>
      </c>
      <c r="D3658" s="1067" t="inlineStr">
        <is>
          <t>Rodapé de Marmore cinza h=15cm</t>
        </is>
      </c>
      <c r="E3658" s="1068" t="inlineStr">
        <is>
          <t>M</t>
        </is>
      </c>
      <c r="F3658" s="1067" t="n"/>
      <c r="G3658" s="1069">
        <f t="array" ref="G3658">IF(B3658="insumo",_xlfn.XLOOKUP($D3658,Insumos!$B$1:$B$996,Insumos!$D$1:$D$996),"")</f>
        <v/>
      </c>
      <c r="H3658" s="1069" t="n">
        <v>81.936825</v>
      </c>
      <c r="I3658" s="2161" t="n">
        <v>0</v>
      </c>
      <c r="J3658" s="2161" t="n">
        <v>0</v>
      </c>
      <c r="K3658" s="2161" t="n"/>
    </row>
    <row r="3659" outlineLevel="3" ht="15.75" customHeight="1">
      <c r="A3659" s="10" t="n">
        <v>3</v>
      </c>
      <c r="B3659" s="10" t="inlineStr">
        <is>
          <t>Insumo</t>
        </is>
      </c>
      <c r="C3659" s="10" t="inlineStr">
        <is>
          <t>Rodapé de Marmore cinza h=15cm</t>
        </is>
      </c>
      <c r="D3659" s="10" t="inlineStr">
        <is>
          <t>Marmore Cinza</t>
        </is>
      </c>
      <c r="E3659" s="11">
        <f t="array" ref="E3659">_xlfn.XLOOKUP(D3659,Insumos!B:B,Insumos!C:$C)</f>
        <v/>
      </c>
      <c r="F3659" s="14" t="n">
        <v>0.165</v>
      </c>
      <c r="G3659" s="92">
        <f t="array" ref="G3659">IF(B3659="insumo",_xlfn.XLOOKUP($D3659,Insumos!$B$1:$B$996,Insumos!$D$1:$D$996),"")</f>
        <v/>
      </c>
      <c r="H3659" s="92" t="n">
        <v>79.2</v>
      </c>
      <c r="I3659" s="2162" t="n">
        <v>0</v>
      </c>
      <c r="J3659" s="2162" t="n">
        <v>0</v>
      </c>
      <c r="K3659" s="2162" t="n"/>
    </row>
    <row r="3660" outlineLevel="3" ht="15.75" customHeight="1">
      <c r="A3660" s="10" t="n">
        <v>191</v>
      </c>
      <c r="B3660" s="10" t="inlineStr">
        <is>
          <t>Insumo</t>
        </is>
      </c>
      <c r="C3660" s="10" t="inlineStr">
        <is>
          <t>Rodapé de Marmore cinza h=15cm</t>
        </is>
      </c>
      <c r="D3660" s="10" t="inlineStr">
        <is>
          <t>Argamassa ACIII</t>
        </is>
      </c>
      <c r="E3660" s="11">
        <f t="array" ref="E3660">_xlfn.XLOOKUP(D3660,Insumos!B:B,Insumos!C:$C)</f>
        <v/>
      </c>
      <c r="F3660" s="14" t="n">
        <v>1.35</v>
      </c>
      <c r="G3660" s="92">
        <f t="array" ref="G3660">IF(B3660="insumo",_xlfn.XLOOKUP($D3660,Insumos!$B$1:$B$996,Insumos!$D$1:$D$996),"")</f>
        <v/>
      </c>
      <c r="H3660" s="92" t="n">
        <v>1.437075</v>
      </c>
      <c r="I3660" s="2162" t="n">
        <v>0</v>
      </c>
      <c r="J3660" s="2162" t="n">
        <v>0</v>
      </c>
      <c r="K3660" s="2162" t="n"/>
    </row>
    <row r="3661" outlineLevel="3" ht="15.75" customHeight="1">
      <c r="A3661" s="10" t="n">
        <v>34</v>
      </c>
      <c r="B3661" s="10" t="inlineStr">
        <is>
          <t>Insumo</t>
        </is>
      </c>
      <c r="C3661" s="10" t="inlineStr">
        <is>
          <t>Rodapé de Marmore cinza h=15cm</t>
        </is>
      </c>
      <c r="D3661" s="10" t="inlineStr">
        <is>
          <t>Massa Plastica 400g</t>
        </is>
      </c>
      <c r="E3661" s="11">
        <f t="array" ref="E3661">_xlfn.XLOOKUP(D3661,Insumos!B:B,Insumos!C:$C)</f>
        <v/>
      </c>
      <c r="F3661" s="14" t="n">
        <v>0.075</v>
      </c>
      <c r="G3661" s="92">
        <f t="array" ref="G3661">IF(B3661="insumo",_xlfn.XLOOKUP($D3661,Insumos!$B$1:$B$996,Insumos!$D$1:$D$996),"")</f>
        <v/>
      </c>
      <c r="H3661" s="92" t="n">
        <v>1.29975</v>
      </c>
      <c r="I3661" s="2162" t="n">
        <v>0</v>
      </c>
      <c r="J3661" s="2162" t="n">
        <v>0</v>
      </c>
      <c r="K3661" s="2162" t="n"/>
    </row>
    <row r="3662" outlineLevel="2" ht="15.75" customHeight="1">
      <c r="A3662" s="1067" t="n">
        <v>1</v>
      </c>
      <c r="B3662" s="1067" t="inlineStr">
        <is>
          <t>Serviço</t>
        </is>
      </c>
      <c r="C3662" s="1067" t="inlineStr">
        <is>
          <t>Rodapé de Poliestireno Santa Luzia h=5cm</t>
        </is>
      </c>
      <c r="D3662" s="1067" t="inlineStr">
        <is>
          <t>Rodapé de Poliestireno Santa Luzia h=5cm</t>
        </is>
      </c>
      <c r="E3662" s="1068" t="inlineStr">
        <is>
          <t>M</t>
        </is>
      </c>
      <c r="F3662" s="1067" t="n"/>
      <c r="G3662" s="1069">
        <f t="array" ref="G3662">IF(B3662="insumo",_xlfn.XLOOKUP($D3662,Insumos!$B$1:$B$996,Insumos!$D$1:$D$996),"")</f>
        <v/>
      </c>
      <c r="H3662" s="1069" t="n">
        <v>34.1111666666667</v>
      </c>
      <c r="I3662" s="2161" t="n">
        <v>0</v>
      </c>
      <c r="J3662" s="2161" t="n">
        <v>0</v>
      </c>
      <c r="K3662" s="2161" t="n"/>
    </row>
    <row r="3663" outlineLevel="3" ht="15.75" customHeight="1">
      <c r="A3663" s="10" t="n">
        <v>7</v>
      </c>
      <c r="B3663" s="10" t="inlineStr">
        <is>
          <t>Insumo</t>
        </is>
      </c>
      <c r="C3663" s="10" t="inlineStr">
        <is>
          <t>Rodapé de Poliestireno Santa Luzia h=5cm</t>
        </is>
      </c>
      <c r="D3663" s="10" t="inlineStr">
        <is>
          <t>Adesivo Acrilico De Base Aquosa / Cola De Contato</t>
        </is>
      </c>
      <c r="E3663" s="11">
        <f t="array" ref="E3663">_xlfn.XLOOKUP(D3663,Insumos!B:B,Insumos!C:$C)</f>
        <v/>
      </c>
      <c r="F3663" s="14" t="n">
        <v>0.2</v>
      </c>
      <c r="G3663" s="92">
        <f t="array" ref="G3663">IF(B3663="insumo",_xlfn.XLOOKUP($D3663,Insumos!$B$1:$B$996,Insumos!$D$1:$D$996),"")</f>
        <v/>
      </c>
      <c r="H3663" s="92" t="n">
        <v>5.022</v>
      </c>
      <c r="I3663" s="2162" t="n">
        <v>0</v>
      </c>
      <c r="J3663" s="2162" t="n">
        <v>0</v>
      </c>
      <c r="K3663" s="2162" t="n"/>
    </row>
    <row r="3664" outlineLevel="3" ht="15.75" customHeight="1">
      <c r="A3664" s="10" t="n">
        <v>1</v>
      </c>
      <c r="B3664" s="10" t="inlineStr">
        <is>
          <t>Insumo</t>
        </is>
      </c>
      <c r="C3664" s="10" t="inlineStr">
        <is>
          <t>Rodapé de Poliestireno Santa Luzia h=5cm</t>
        </is>
      </c>
      <c r="D3664" s="10" t="inlineStr">
        <is>
          <t xml:space="preserve">Rodapé De Poliestireno Santa Luzia Moderna 473 Branco 5cm </t>
        </is>
      </c>
      <c r="E3664" s="11">
        <f t="array" ref="E3664">_xlfn.XLOOKUP(D3664,Insumos!B:B,Insumos!C:$C)</f>
        <v/>
      </c>
      <c r="F3664" s="14" t="n">
        <v>1.34</v>
      </c>
      <c r="G3664" s="92">
        <f t="array" ref="G3664">IF(B3664="insumo",_xlfn.XLOOKUP($D3664,Insumos!$B$1:$B$996,Insumos!$D$1:$D$996),"")</f>
        <v/>
      </c>
      <c r="H3664" s="92" t="n">
        <v>29.0891666666667</v>
      </c>
      <c r="I3664" s="2162" t="n">
        <v>0</v>
      </c>
      <c r="J3664" s="2162" t="n">
        <v>0</v>
      </c>
      <c r="K3664" s="2162" t="n"/>
    </row>
    <row r="3665" outlineLevel="2" ht="15.75" customHeight="1">
      <c r="A3665" s="1067" t="n">
        <v>1</v>
      </c>
      <c r="B3665" s="1067" t="inlineStr">
        <is>
          <t>Serviço</t>
        </is>
      </c>
      <c r="C3665" s="1067" t="inlineStr">
        <is>
          <t>Rodape Branco Zeus - 20Cm</t>
        </is>
      </c>
      <c r="D3665" s="1067" t="inlineStr">
        <is>
          <t>Rodape Branco Zeus - 20Cm</t>
        </is>
      </c>
      <c r="E3665" s="1068" t="inlineStr">
        <is>
          <t>M</t>
        </is>
      </c>
      <c r="F3665" s="1067" t="n"/>
      <c r="G3665" s="1069">
        <f t="array" ref="G3665">IF(B3665="insumo",_xlfn.XLOOKUP($D3665,Insumos!$B$1:$B$996,Insumos!$D$1:$D$996),"")</f>
        <v/>
      </c>
      <c r="H3665" s="1069" t="n">
        <v>51.922</v>
      </c>
      <c r="I3665" s="2161" t="n">
        <v>0</v>
      </c>
      <c r="J3665" s="2161" t="n">
        <v>0</v>
      </c>
      <c r="K3665" s="2161" t="n"/>
    </row>
    <row r="3666" outlineLevel="3" ht="15.75" customHeight="1">
      <c r="A3666" s="10" t="n">
        <v>7</v>
      </c>
      <c r="B3666" s="10" t="inlineStr">
        <is>
          <t>Insumo</t>
        </is>
      </c>
      <c r="C3666" s="10" t="inlineStr">
        <is>
          <t>Rodape Branco Zeus - 20Cm</t>
        </is>
      </c>
      <c r="D3666" s="10" t="inlineStr">
        <is>
          <t>Adesivo Acrilico De Base Aquosa / Cola De Contato</t>
        </is>
      </c>
      <c r="E3666" s="11">
        <f t="array" ref="E3666">_xlfn.XLOOKUP(D3666,Insumos!B:B,Insumos!C:$C)</f>
        <v/>
      </c>
      <c r="F3666" s="14" t="n">
        <v>0.2</v>
      </c>
      <c r="G3666" s="92">
        <f t="array" ref="G3666">IF(B3666="insumo",_xlfn.XLOOKUP($D3666,Insumos!$B$1:$B$996,Insumos!$D$1:$D$996),"")</f>
        <v/>
      </c>
      <c r="H3666" s="92" t="n">
        <v>5.022</v>
      </c>
      <c r="I3666" s="2162" t="n">
        <v>0</v>
      </c>
      <c r="J3666" s="2162" t="n">
        <v>0</v>
      </c>
      <c r="K3666" s="2162" t="n"/>
    </row>
    <row r="3667" outlineLevel="3" ht="15.75" customHeight="1">
      <c r="A3667" s="10" t="n">
        <v>1</v>
      </c>
      <c r="B3667" s="10" t="inlineStr">
        <is>
          <t>Insumo</t>
        </is>
      </c>
      <c r="C3667" s="10" t="inlineStr">
        <is>
          <t>Rodape Branco Zeus - 20Cm</t>
        </is>
      </c>
      <c r="D3667" s="10" t="inlineStr">
        <is>
          <t>Rodape Branco Zeus - 20Cm</t>
        </is>
      </c>
      <c r="E3667" s="11">
        <f t="array" ref="E3667">_xlfn.XLOOKUP(D3667,Insumos!B:B,Insumos!C:$C)</f>
        <v/>
      </c>
      <c r="F3667" s="14" t="n">
        <v>1.34</v>
      </c>
      <c r="G3667" s="92">
        <f t="array" ref="G3667">IF(B3667="insumo",_xlfn.XLOOKUP($D3667,Insumos!$B$1:$B$996,Insumos!$D$1:$D$996),"")</f>
        <v/>
      </c>
      <c r="H3667" s="92" t="n">
        <v>46.9</v>
      </c>
      <c r="I3667" s="2162" t="n">
        <v>0</v>
      </c>
      <c r="J3667" s="2162" t="n">
        <v>0</v>
      </c>
      <c r="K3667" s="2162" t="n"/>
    </row>
    <row r="3668" outlineLevel="2" ht="15.75" customHeight="1">
      <c r="A3668" s="1067" t="n">
        <v>1</v>
      </c>
      <c r="B3668" s="1067" t="inlineStr">
        <is>
          <t>Serviço</t>
        </is>
      </c>
      <c r="C3668" s="1067" t="inlineStr">
        <is>
          <t>Rodapé de poliestireno h=10cm</t>
        </is>
      </c>
      <c r="D3668" s="1067" t="inlineStr">
        <is>
          <t>Rodapé de poliestireno h=10cm</t>
        </is>
      </c>
      <c r="E3668" s="1068" t="inlineStr">
        <is>
          <t>M</t>
        </is>
      </c>
      <c r="F3668" s="1067" t="n"/>
      <c r="G3668" s="1069">
        <f t="array" ref="G3668">IF(B3668="insumo",_xlfn.XLOOKUP($D3668,Insumos!$B$1:$B$996,Insumos!$D$1:$D$996),"")</f>
        <v/>
      </c>
      <c r="H3668" s="1069" t="n">
        <v>33.8722</v>
      </c>
      <c r="I3668" s="2161" t="n">
        <v>0</v>
      </c>
      <c r="J3668" s="2161" t="n">
        <v>0</v>
      </c>
      <c r="K3668" s="2161" t="n"/>
    </row>
    <row r="3669" outlineLevel="3" ht="15.75" customHeight="1">
      <c r="A3669" s="10" t="n">
        <v>7</v>
      </c>
      <c r="B3669" s="10" t="inlineStr">
        <is>
          <t>Insumo</t>
        </is>
      </c>
      <c r="C3669" s="10" t="inlineStr">
        <is>
          <t>Rodapé de poliestireno h=10cm</t>
        </is>
      </c>
      <c r="D3669" s="10" t="inlineStr">
        <is>
          <t>Adesivo Acrilico De Base Aquosa / Cola De Contato</t>
        </is>
      </c>
      <c r="E3669" s="11">
        <f t="array" ref="E3669">_xlfn.XLOOKUP(D3669,Insumos!B:B,Insumos!C:$C)</f>
        <v/>
      </c>
      <c r="F3669" s="14" t="n">
        <v>0.2</v>
      </c>
      <c r="G3669" s="92">
        <f t="array" ref="G3669">IF(B3669="insumo",_xlfn.XLOOKUP($D3669,Insumos!$B$1:$B$996,Insumos!$D$1:$D$996),"")</f>
        <v/>
      </c>
      <c r="H3669" s="92" t="n">
        <v>5.022</v>
      </c>
      <c r="I3669" s="2162" t="n">
        <v>0</v>
      </c>
      <c r="J3669" s="2162" t="n">
        <v>0</v>
      </c>
      <c r="K3669" s="2162" t="n"/>
    </row>
    <row r="3670" outlineLevel="3" ht="15.75" customHeight="1">
      <c r="A3670" s="10" t="n">
        <v>1</v>
      </c>
      <c r="B3670" s="10" t="inlineStr">
        <is>
          <t>Insumo</t>
        </is>
      </c>
      <c r="C3670" s="10" t="inlineStr">
        <is>
          <t>Rodapé de poliestireno h=10cm</t>
        </is>
      </c>
      <c r="D3670" s="10" t="inlineStr">
        <is>
          <t>Rodape Em Poliestireno, H = 10cm</t>
        </is>
      </c>
      <c r="E3670" s="11">
        <f t="array" ref="E3670">_xlfn.XLOOKUP(D3670,Insumos!B:B,Insumos!C:$C)</f>
        <v/>
      </c>
      <c r="F3670" s="14" t="n">
        <v>1.34</v>
      </c>
      <c r="G3670" s="92">
        <f t="array" ref="G3670">IF(B3670="insumo",_xlfn.XLOOKUP($D3670,Insumos!$B$1:$B$996,Insumos!$D$1:$D$996),"")</f>
        <v/>
      </c>
      <c r="H3670" s="92" t="n">
        <v>28.8502</v>
      </c>
      <c r="I3670" s="2162" t="n">
        <v>0</v>
      </c>
      <c r="J3670" s="2162" t="n">
        <v>0</v>
      </c>
      <c r="K3670" s="2162" t="n"/>
    </row>
    <row r="3671" outlineLevel="2" ht="16.5" customHeight="1">
      <c r="A3671" s="1067" t="n">
        <v>1</v>
      </c>
      <c r="B3671" s="1067" t="inlineStr">
        <is>
          <t>Serviço</t>
        </is>
      </c>
      <c r="C3671" s="1067" t="inlineStr">
        <is>
          <t>Rodapé de poliestireno h=7cm</t>
        </is>
      </c>
      <c r="D3671" s="1067" t="inlineStr">
        <is>
          <t>Rodapé de poliestireno h=7cm</t>
        </is>
      </c>
      <c r="E3671" s="1068" t="inlineStr">
        <is>
          <t>M</t>
        </is>
      </c>
      <c r="F3671" s="1067" t="n"/>
      <c r="G3671" s="1069">
        <f t="array" ref="G3671">IF(B3671="insumo",_xlfn.XLOOKUP($D3671,Insumos!$B$1:$B$996,Insumos!$D$1:$D$996),"")</f>
        <v/>
      </c>
      <c r="H3671" s="1069" t="n">
        <v>27.926352</v>
      </c>
      <c r="I3671" s="2161" t="n">
        <v>0</v>
      </c>
      <c r="J3671" s="2161" t="n">
        <v>0</v>
      </c>
      <c r="K3671" s="2161" t="n"/>
    </row>
    <row r="3672" outlineLevel="3" ht="15.75" customHeight="1">
      <c r="A3672" s="10" t="n">
        <v>7</v>
      </c>
      <c r="B3672" s="10" t="inlineStr">
        <is>
          <t>Insumo</t>
        </is>
      </c>
      <c r="C3672" s="10" t="inlineStr">
        <is>
          <t>Rodapé de poliestireno h=7cm</t>
        </is>
      </c>
      <c r="D3672" s="10" t="inlineStr">
        <is>
          <t>Adesivo Acrilico De Base Aquosa / Cola De Contato</t>
        </is>
      </c>
      <c r="E3672" s="11">
        <f t="array" ref="E3672">_xlfn.XLOOKUP(D3672,Insumos!B:B,Insumos!C:$C)</f>
        <v/>
      </c>
      <c r="F3672" s="14" t="n">
        <v>0.2</v>
      </c>
      <c r="G3672" s="92">
        <f t="array" ref="G3672">IF(B3672="insumo",_xlfn.XLOOKUP($D3672,Insumos!$B$1:$B$996,Insumos!$D$1:$D$996),"")</f>
        <v/>
      </c>
      <c r="H3672" s="92" t="n">
        <v>5.022</v>
      </c>
      <c r="I3672" s="2162" t="n">
        <v>0</v>
      </c>
      <c r="J3672" s="2162" t="n">
        <v>0</v>
      </c>
      <c r="K3672" s="2162" t="n"/>
    </row>
    <row r="3673" outlineLevel="3" ht="15.75" customHeight="1">
      <c r="A3673" s="10" t="n">
        <v>1</v>
      </c>
      <c r="B3673" s="10" t="inlineStr">
        <is>
          <t>Insumo</t>
        </is>
      </c>
      <c r="C3673" s="10" t="inlineStr">
        <is>
          <t>Rodapé de poliestireno h=7cm</t>
        </is>
      </c>
      <c r="D3673" s="10" t="inlineStr">
        <is>
          <t>Rodape Em Poliestireno, H = 7cm</t>
        </is>
      </c>
      <c r="E3673" s="11">
        <f t="array" ref="E3673">_xlfn.XLOOKUP(D3673,Insumos!B:B,Insumos!C:$C)</f>
        <v/>
      </c>
      <c r="F3673" s="14" t="n">
        <v>1.34</v>
      </c>
      <c r="G3673" s="92">
        <f t="array" ref="G3673">IF(B3673="insumo",_xlfn.XLOOKUP($D3673,Insumos!$B$1:$B$996,Insumos!$D$1:$D$996),"")</f>
        <v/>
      </c>
      <c r="H3673" s="92" t="n">
        <v>22.904352</v>
      </c>
      <c r="I3673" s="2162" t="n">
        <v>0</v>
      </c>
      <c r="J3673" s="2162" t="n">
        <v>0</v>
      </c>
      <c r="K3673" s="2162" t="n"/>
    </row>
    <row r="3674" outlineLevel="2" ht="12.75" customHeight="1">
      <c r="A3674" s="1071" t="n">
        <v>1</v>
      </c>
      <c r="B3674" s="1071" t="inlineStr">
        <is>
          <t>Serviço</t>
        </is>
      </c>
      <c r="C3674" s="1071" t="inlineStr">
        <is>
          <t>Rodapé de cerâmico h=10cm</t>
        </is>
      </c>
      <c r="D3674" s="1071" t="inlineStr">
        <is>
          <t>Rodapé de cerâmico h=10cm</t>
        </is>
      </c>
      <c r="E3674" s="1072" t="inlineStr">
        <is>
          <t>M</t>
        </is>
      </c>
      <c r="F3674" s="1071" t="n"/>
      <c r="G3674" s="1073">
        <f t="array" ref="G3674">IF(B3674="insumo",_xlfn.XLOOKUP($D3674,Insumos!$B$1:$B$996,Insumos!$D$1:$D$996),"")</f>
        <v/>
      </c>
      <c r="H3674" s="1073" t="n">
        <v>8.11905</v>
      </c>
      <c r="I3674" s="2163" t="n">
        <v>0</v>
      </c>
      <c r="J3674" s="2163" t="n">
        <v>0</v>
      </c>
      <c r="K3674" s="2163" t="n"/>
    </row>
    <row r="3675" outlineLevel="3" ht="12.75" customHeight="1">
      <c r="A3675" s="82" t="n">
        <v>4</v>
      </c>
      <c r="B3675" s="82" t="inlineStr">
        <is>
          <t>Insumo</t>
        </is>
      </c>
      <c r="C3675" s="82" t="inlineStr">
        <is>
          <t>Rodapé de cerâmico h=10cm</t>
        </is>
      </c>
      <c r="D3675" s="82" t="inlineStr">
        <is>
          <t>Piso Cargo Plus 45x45cm White Eliane</t>
        </is>
      </c>
      <c r="E3675" s="11">
        <f t="array" ref="E3675">_xlfn.XLOOKUP(D3675,Insumos!B:B,Insumos!C:$C)</f>
        <v/>
      </c>
      <c r="F3675" s="2164" t="n">
        <v>0.11</v>
      </c>
      <c r="G3675" s="92">
        <f t="array" ref="G3675">IF(B3675="insumo",_xlfn.XLOOKUP($D3675,Insumos!$B$1:$B$996,Insumos!$D$1:$D$996),"")</f>
        <v/>
      </c>
      <c r="H3675" s="92" t="n">
        <v>4.939</v>
      </c>
      <c r="I3675" s="2165" t="n">
        <v>0</v>
      </c>
      <c r="J3675" s="2165" t="n">
        <v>0</v>
      </c>
      <c r="K3675" s="2165" t="n"/>
    </row>
    <row r="3676" outlineLevel="3" ht="12.75" customHeight="1">
      <c r="A3676" s="82" t="n">
        <v>191</v>
      </c>
      <c r="B3676" s="82" t="inlineStr">
        <is>
          <t>Insumo</t>
        </is>
      </c>
      <c r="C3676" s="82" t="inlineStr">
        <is>
          <t>Rodapé de cerâmico h=10cm</t>
        </is>
      </c>
      <c r="D3676" s="82" t="inlineStr">
        <is>
          <t>Argamassa ACIII</t>
        </is>
      </c>
      <c r="E3676" s="11">
        <f t="array" ref="E3676">_xlfn.XLOOKUP(D3676,Insumos!B:B,Insumos!C:$C)</f>
        <v/>
      </c>
      <c r="F3676" s="2164" t="n">
        <v>0.9</v>
      </c>
      <c r="G3676" s="92">
        <f t="array" ref="G3676">IF(B3676="insumo",_xlfn.XLOOKUP($D3676,Insumos!$B$1:$B$996,Insumos!$D$1:$D$996),"")</f>
        <v/>
      </c>
      <c r="H3676" s="92" t="n">
        <v>0.95805</v>
      </c>
      <c r="I3676" s="2165" t="n">
        <v>0</v>
      </c>
      <c r="J3676" s="2165" t="n">
        <v>0</v>
      </c>
      <c r="K3676" s="2165" t="n"/>
    </row>
    <row r="3677" outlineLevel="3" ht="12.75" customHeight="1">
      <c r="A3677" s="82" t="n">
        <v>142</v>
      </c>
      <c r="B3677" s="82" t="inlineStr">
        <is>
          <t>Insumo</t>
        </is>
      </c>
      <c r="C3677" s="82" t="inlineStr">
        <is>
          <t>Rodapé de cerâmico h=10cm</t>
        </is>
      </c>
      <c r="D3677" s="82" t="inlineStr">
        <is>
          <t>Espeçador junta piso 2mm</t>
        </is>
      </c>
      <c r="E3677" s="11">
        <f t="array" ref="E3677">_xlfn.XLOOKUP(D3677,Insumos!B:B,Insumos!C:$C)</f>
        <v/>
      </c>
      <c r="F3677" s="2164" t="n">
        <v>0.4</v>
      </c>
      <c r="G3677" s="92">
        <f t="array" ref="G3677">IF(B3677="insumo",_xlfn.XLOOKUP($D3677,Insumos!$B$1:$B$996,Insumos!$D$1:$D$996),"")</f>
        <v/>
      </c>
      <c r="H3677" s="92" t="n">
        <v>0.032</v>
      </c>
      <c r="I3677" s="2165" t="n">
        <v>0</v>
      </c>
      <c r="J3677" s="2165" t="n">
        <v>0</v>
      </c>
      <c r="K3677" s="2165" t="n"/>
    </row>
    <row r="3678" outlineLevel="3" ht="12.75" customHeight="1">
      <c r="A3678" s="82" t="n">
        <v>22</v>
      </c>
      <c r="B3678" s="82" t="inlineStr">
        <is>
          <t>Insumo</t>
        </is>
      </c>
      <c r="C3678" s="82" t="inlineStr">
        <is>
          <t>Rodapé de cerâmico h=10cm</t>
        </is>
      </c>
      <c r="D3678" s="82" t="inlineStr">
        <is>
          <t>Rejunte acrilico</t>
        </is>
      </c>
      <c r="E3678" s="11">
        <f t="array" ref="E3678">_xlfn.XLOOKUP(D3678,Insumos!B:B,Insumos!C:$C)</f>
        <v/>
      </c>
      <c r="F3678" s="2164" t="n">
        <v>0.05</v>
      </c>
      <c r="G3678" s="92">
        <f t="array" ref="G3678">IF(B3678="insumo",_xlfn.XLOOKUP($D3678,Insumos!$B$1:$B$996,Insumos!$D$1:$D$996),"")</f>
        <v/>
      </c>
      <c r="H3678" s="92" t="n">
        <v>2.19</v>
      </c>
      <c r="I3678" s="2165" t="n">
        <v>0</v>
      </c>
      <c r="J3678" s="2165" t="n">
        <v>0</v>
      </c>
      <c r="K3678" s="2165" t="n"/>
    </row>
    <row r="3679" outlineLevel="2" ht="15.75" customHeight="1">
      <c r="A3679" s="1067" t="n">
        <v>1</v>
      </c>
      <c r="B3679" s="1067" t="inlineStr">
        <is>
          <t>Serviço</t>
        </is>
      </c>
      <c r="C3679" s="1067" t="inlineStr">
        <is>
          <t>Rodapé de Cerâmico h=15cm</t>
        </is>
      </c>
      <c r="D3679" s="1067" t="inlineStr">
        <is>
          <t>Rodapé de Cerâmico h=15cm</t>
        </is>
      </c>
      <c r="E3679" s="1068" t="inlineStr">
        <is>
          <t>M</t>
        </is>
      </c>
      <c r="F3679" s="1067" t="n"/>
      <c r="G3679" s="1069">
        <f t="array" ref="G3679">IF(B3679="insumo",_xlfn.XLOOKUP($D3679,Insumos!$B$1:$B$996,Insumos!$D$1:$D$996),"")</f>
        <v/>
      </c>
      <c r="H3679" s="1069" t="n">
        <v>10.114275</v>
      </c>
      <c r="I3679" s="2161" t="e">
        <v>#REF!</v>
      </c>
      <c r="J3679" s="2161" t="e">
        <v>#REF!</v>
      </c>
      <c r="K3679" s="2161" t="n"/>
    </row>
    <row r="3680" outlineLevel="3" ht="15.75" customHeight="1">
      <c r="A3680" s="10" t="n">
        <v>6</v>
      </c>
      <c r="B3680" s="10" t="inlineStr">
        <is>
          <t>Insumo</t>
        </is>
      </c>
      <c r="C3680" s="10" t="inlineStr">
        <is>
          <t>Rodapé de Cerâmico h=15cm</t>
        </is>
      </c>
      <c r="D3680" s="10" t="inlineStr">
        <is>
          <t>Cer. Karina Artisan 60305 Act. 60x60 Ret</t>
        </is>
      </c>
      <c r="E3680" s="11">
        <f t="array" ref="E3680">_xlfn.XLOOKUP(D3680,Insumos!B:B,Insumos!C:$C)</f>
        <v/>
      </c>
      <c r="F3680" s="14" t="n">
        <v>0.165</v>
      </c>
      <c r="G3680" s="92">
        <f t="array" ref="G3680">IF(B3680="insumo",_xlfn.XLOOKUP($D3680,Insumos!$B$1:$B$996,Insumos!$D$1:$D$996),"")</f>
        <v/>
      </c>
      <c r="H3680" s="92" t="n">
        <v>7.79295</v>
      </c>
      <c r="I3680" s="2162" t="e">
        <v>#REF!</v>
      </c>
      <c r="J3680" s="2162" t="e">
        <v>#REF!</v>
      </c>
      <c r="K3680" s="2162" t="n"/>
    </row>
    <row r="3681" outlineLevel="3" ht="15.75" customHeight="1">
      <c r="A3681" s="10" t="n">
        <v>191</v>
      </c>
      <c r="B3681" s="10" t="inlineStr">
        <is>
          <t>Insumo</t>
        </is>
      </c>
      <c r="C3681" s="10" t="inlineStr">
        <is>
          <t>Rodapé de Cerâmico h=15cm</t>
        </is>
      </c>
      <c r="D3681" s="10" t="inlineStr">
        <is>
          <t>Argamassa ACIII</t>
        </is>
      </c>
      <c r="E3681" s="11">
        <f t="array" ref="E3681">_xlfn.XLOOKUP(D3681,Insumos!B:B,Insumos!C:$C)</f>
        <v/>
      </c>
      <c r="F3681" s="14" t="n">
        <v>1.35</v>
      </c>
      <c r="G3681" s="92">
        <f t="array" ref="G3681">IF(B3681="insumo",_xlfn.XLOOKUP($D3681,Insumos!$B$1:$B$996,Insumos!$D$1:$D$996),"")</f>
        <v/>
      </c>
      <c r="H3681" s="92" t="n">
        <v>1.437075</v>
      </c>
      <c r="I3681" s="2162" t="e">
        <v>#REF!</v>
      </c>
      <c r="J3681" s="2162" t="e">
        <v>#REF!</v>
      </c>
      <c r="K3681" s="2162" t="n"/>
    </row>
    <row r="3682" outlineLevel="3" ht="15.75" customHeight="1">
      <c r="A3682" s="10" t="n">
        <v>142</v>
      </c>
      <c r="B3682" s="10" t="inlineStr">
        <is>
          <t>Insumo</t>
        </is>
      </c>
      <c r="C3682" s="10" t="inlineStr">
        <is>
          <t>Rodapé de Cerâmico h=15cm</t>
        </is>
      </c>
      <c r="D3682" s="10" t="inlineStr">
        <is>
          <t>Espeçador junta piso 2mm</t>
        </is>
      </c>
      <c r="E3682" s="11">
        <f t="array" ref="E3682">_xlfn.XLOOKUP(D3682,Insumos!B:B,Insumos!C:$C)</f>
        <v/>
      </c>
      <c r="F3682" s="14" t="n">
        <v>0.6</v>
      </c>
      <c r="G3682" s="92">
        <f t="array" ref="G3682">IF(B3682="insumo",_xlfn.XLOOKUP($D3682,Insumos!$B$1:$B$996,Insumos!$D$1:$D$996),"")</f>
        <v/>
      </c>
      <c r="H3682" s="92" t="n">
        <v>0.048</v>
      </c>
      <c r="I3682" s="2162" t="e">
        <v>#REF!</v>
      </c>
      <c r="J3682" s="2162" t="e">
        <v>#REF!</v>
      </c>
      <c r="K3682" s="2162" t="n"/>
    </row>
    <row r="3683" outlineLevel="3" ht="15.75" customHeight="1">
      <c r="A3683" s="10" t="n">
        <v>101</v>
      </c>
      <c r="B3683" s="10" t="inlineStr">
        <is>
          <t>Insumo</t>
        </is>
      </c>
      <c r="C3683" s="10" t="inlineStr">
        <is>
          <t>Rodapé de Cerâmico h=15cm</t>
        </is>
      </c>
      <c r="D3683" s="10" t="inlineStr">
        <is>
          <t>Rejunte Cimentício</t>
        </is>
      </c>
      <c r="E3683" s="11">
        <f t="array" ref="E3683">_xlfn.XLOOKUP(D3683,Insumos!B:B,Insumos!C:$C)</f>
        <v/>
      </c>
      <c r="F3683" s="14" t="n">
        <v>0.075</v>
      </c>
      <c r="G3683" s="92">
        <f t="array" ref="G3683">IF(B3683="insumo",_xlfn.XLOOKUP($D3683,Insumos!$B$1:$B$996,Insumos!$D$1:$D$996),"")</f>
        <v/>
      </c>
      <c r="H3683" s="92" t="n">
        <v>0.83625</v>
      </c>
      <c r="I3683" s="2162" t="e">
        <v>#REF!</v>
      </c>
      <c r="J3683" s="2162" t="e">
        <v>#REF!</v>
      </c>
      <c r="K3683" s="2162" t="n"/>
    </row>
    <row r="3684" outlineLevel="2" ht="12.75" customHeight="1">
      <c r="A3684" s="1071" t="n">
        <v>1</v>
      </c>
      <c r="B3684" s="1071" t="inlineStr">
        <is>
          <t>Serviço</t>
        </is>
      </c>
      <c r="C3684" s="1071" t="inlineStr">
        <is>
          <t>Rodapé de cerâmico h=43cm</t>
        </is>
      </c>
      <c r="D3684" s="1071" t="inlineStr">
        <is>
          <t>Rodapé de cerâmico h=43cm</t>
        </is>
      </c>
      <c r="E3684" s="1072" t="inlineStr">
        <is>
          <t>M</t>
        </is>
      </c>
      <c r="F3684" s="1071" t="n"/>
      <c r="G3684" s="1073">
        <f t="array" ref="G3684">IF(B3684="insumo",_xlfn.XLOOKUP($D3684,Insumos!$B$1:$B$996,Insumos!$D$1:$D$996),"")</f>
        <v/>
      </c>
      <c r="H3684" s="1073" t="n">
        <v>22.48705</v>
      </c>
      <c r="I3684" s="2163" t="n">
        <v>0</v>
      </c>
      <c r="J3684" s="2163" t="n">
        <v>0</v>
      </c>
      <c r="K3684" s="2163" t="n"/>
    </row>
    <row r="3685" outlineLevel="3" ht="12.75" customHeight="1">
      <c r="A3685" s="82" t="n">
        <v>4</v>
      </c>
      <c r="B3685" s="82" t="inlineStr">
        <is>
          <t>Insumo</t>
        </is>
      </c>
      <c r="C3685" s="82" t="inlineStr">
        <is>
          <t>Rodapé de cerâmico h=43cm</t>
        </is>
      </c>
      <c r="D3685" s="82" t="inlineStr">
        <is>
          <t>Piso Cargo Plus 45x45cm White Eliane</t>
        </is>
      </c>
      <c r="E3685" s="11">
        <f t="array" ref="E3685">_xlfn.XLOOKUP(D3685,Insumos!B:B,Insumos!C:$C)</f>
        <v/>
      </c>
      <c r="F3685" s="2164">
        <f>1*0.43</f>
        <v/>
      </c>
      <c r="G3685" s="92">
        <f t="array" ref="G3685">IF(B3685="insumo",_xlfn.XLOOKUP($D3685,Insumos!$B$1:$B$996,Insumos!$D$1:$D$996),"")</f>
        <v/>
      </c>
      <c r="H3685" s="92" t="n">
        <v>19.307</v>
      </c>
      <c r="I3685" s="2165" t="n">
        <v>0</v>
      </c>
      <c r="J3685" s="2165" t="n">
        <v>0</v>
      </c>
      <c r="K3685" s="2165" t="n"/>
    </row>
    <row r="3686" outlineLevel="3" ht="12.75" customHeight="1">
      <c r="A3686" s="82" t="n">
        <v>191</v>
      </c>
      <c r="B3686" s="82" t="inlineStr">
        <is>
          <t>Insumo</t>
        </is>
      </c>
      <c r="C3686" s="82" t="inlineStr">
        <is>
          <t>Rodapé de cerâmico h=43cm</t>
        </is>
      </c>
      <c r="D3686" s="82" t="inlineStr">
        <is>
          <t>Argamassa ACIII</t>
        </is>
      </c>
      <c r="E3686" s="11">
        <f t="array" ref="E3686">_xlfn.XLOOKUP(D3686,Insumos!B:B,Insumos!C:$C)</f>
        <v/>
      </c>
      <c r="F3686" s="2164" t="n">
        <v>0.9</v>
      </c>
      <c r="G3686" s="92">
        <f t="array" ref="G3686">IF(B3686="insumo",_xlfn.XLOOKUP($D3686,Insumos!$B$1:$B$996,Insumos!$D$1:$D$996),"")</f>
        <v/>
      </c>
      <c r="H3686" s="92" t="n">
        <v>0.95805</v>
      </c>
      <c r="I3686" s="2165" t="n">
        <v>0</v>
      </c>
      <c r="J3686" s="2165" t="n">
        <v>0</v>
      </c>
      <c r="K3686" s="2165" t="n"/>
    </row>
    <row r="3687" outlineLevel="3" ht="12.75" customHeight="1">
      <c r="A3687" s="82" t="n">
        <v>142</v>
      </c>
      <c r="B3687" s="82" t="inlineStr">
        <is>
          <t>Insumo</t>
        </is>
      </c>
      <c r="C3687" s="82" t="inlineStr">
        <is>
          <t>Rodapé de cerâmico h=43cm</t>
        </is>
      </c>
      <c r="D3687" s="82" t="inlineStr">
        <is>
          <t>Espeçador junta piso 2mm</t>
        </is>
      </c>
      <c r="E3687" s="11">
        <f t="array" ref="E3687">_xlfn.XLOOKUP(D3687,Insumos!B:B,Insumos!C:$C)</f>
        <v/>
      </c>
      <c r="F3687" s="2164" t="n">
        <v>0.4</v>
      </c>
      <c r="G3687" s="92">
        <f t="array" ref="G3687">IF(B3687="insumo",_xlfn.XLOOKUP($D3687,Insumos!$B$1:$B$996,Insumos!$D$1:$D$996),"")</f>
        <v/>
      </c>
      <c r="H3687" s="92" t="n">
        <v>0.032</v>
      </c>
      <c r="I3687" s="2165" t="n">
        <v>0</v>
      </c>
      <c r="J3687" s="2165" t="n">
        <v>0</v>
      </c>
      <c r="K3687" s="2165" t="n"/>
    </row>
    <row r="3688" outlineLevel="3" ht="12.75" customHeight="1">
      <c r="A3688" s="82" t="n">
        <v>22</v>
      </c>
      <c r="B3688" s="82" t="inlineStr">
        <is>
          <t>Insumo</t>
        </is>
      </c>
      <c r="C3688" s="82" t="inlineStr">
        <is>
          <t>Rodapé de cerâmico h=43cm</t>
        </is>
      </c>
      <c r="D3688" s="82" t="inlineStr">
        <is>
          <t>Rejunte acrilico</t>
        </is>
      </c>
      <c r="E3688" s="11">
        <f t="array" ref="E3688">_xlfn.XLOOKUP(D3688,Insumos!B:B,Insumos!C:$C)</f>
        <v/>
      </c>
      <c r="F3688" s="2164" t="n">
        <v>0.05</v>
      </c>
      <c r="G3688" s="92">
        <f t="array" ref="G3688">IF(B3688="insumo",_xlfn.XLOOKUP($D3688,Insumos!$B$1:$B$996,Insumos!$D$1:$D$996),"")</f>
        <v/>
      </c>
      <c r="H3688" s="92" t="n">
        <v>2.19</v>
      </c>
      <c r="I3688" s="2165" t="n">
        <v>0</v>
      </c>
      <c r="J3688" s="2165" t="n">
        <v>0</v>
      </c>
      <c r="K3688" s="2165" t="n"/>
    </row>
    <row r="3689" outlineLevel="2" ht="15.75" customHeight="1">
      <c r="A3689" s="1067" t="n">
        <v>1</v>
      </c>
      <c r="B3689" s="1067" t="inlineStr">
        <is>
          <t>Serviço</t>
        </is>
      </c>
      <c r="C3689" s="1067" t="inlineStr">
        <is>
          <t>Rodapé de porcelanato h=10cm</t>
        </is>
      </c>
      <c r="D3689" s="1067" t="inlineStr">
        <is>
          <t>Rodapé de porcelanato h=10cm</t>
        </is>
      </c>
      <c r="E3689" s="1068" t="inlineStr">
        <is>
          <t>M</t>
        </is>
      </c>
      <c r="F3689" s="1067" t="n"/>
      <c r="G3689" s="1069">
        <f t="array" ref="G3689">IF(B3689="insumo",_xlfn.XLOOKUP($D3689,Insumos!$B$1:$B$996,Insumos!$D$1:$D$996),"")</f>
        <v/>
      </c>
      <c r="H3689" s="1069" t="n">
        <v>10.56755</v>
      </c>
      <c r="I3689" s="2161" t="n">
        <v>0</v>
      </c>
      <c r="J3689" s="2161" t="n">
        <v>0</v>
      </c>
      <c r="K3689" s="2161" t="n"/>
    </row>
    <row r="3690" outlineLevel="3" ht="15.75" customHeight="1">
      <c r="A3690" s="10" t="n">
        <v>5</v>
      </c>
      <c r="B3690" s="10" t="inlineStr">
        <is>
          <t>Insumo</t>
        </is>
      </c>
      <c r="C3690" s="10" t="inlineStr">
        <is>
          <t>Rodapé de porcelanato h=10cm</t>
        </is>
      </c>
      <c r="D3690" s="10" t="inlineStr">
        <is>
          <t xml:space="preserve">Porcelanato A 90x90 Polido </t>
        </is>
      </c>
      <c r="E3690" s="11">
        <f t="array" ref="E3690">_xlfn.XLOOKUP(D3690,Insumos!B:B,Insumos!C:$C)</f>
        <v/>
      </c>
      <c r="F3690" s="14" t="n">
        <v>0.11</v>
      </c>
      <c r="G3690" s="92">
        <f t="array" ref="G3690">IF(B3690="insumo",_xlfn.XLOOKUP($D3690,Insumos!$B$1:$B$996,Insumos!$D$1:$D$996),"")</f>
        <v/>
      </c>
      <c r="H3690" s="92" t="n">
        <v>9.02</v>
      </c>
      <c r="I3690" s="2162" t="n">
        <v>0</v>
      </c>
      <c r="J3690" s="2162" t="n">
        <v>0</v>
      </c>
      <c r="K3690" s="2162" t="n"/>
    </row>
    <row r="3691" outlineLevel="3" ht="15.75" customHeight="1">
      <c r="A3691" s="10" t="n">
        <v>191</v>
      </c>
      <c r="B3691" s="10" t="inlineStr">
        <is>
          <t>Insumo</t>
        </is>
      </c>
      <c r="C3691" s="10" t="inlineStr">
        <is>
          <t>Rodapé de porcelanato h=10cm</t>
        </is>
      </c>
      <c r="D3691" s="10" t="inlineStr">
        <is>
          <t>Argamassa ACIII</t>
        </is>
      </c>
      <c r="E3691" s="11">
        <f t="array" ref="E3691">_xlfn.XLOOKUP(D3691,Insumos!B:B,Insumos!C:$C)</f>
        <v/>
      </c>
      <c r="F3691" s="14" t="n">
        <v>0.9</v>
      </c>
      <c r="G3691" s="92">
        <f t="array" ref="G3691">IF(B3691="insumo",_xlfn.XLOOKUP($D3691,Insumos!$B$1:$B$996,Insumos!$D$1:$D$996),"")</f>
        <v/>
      </c>
      <c r="H3691" s="92" t="n">
        <v>0.95805</v>
      </c>
      <c r="I3691" s="2162" t="n">
        <v>0</v>
      </c>
      <c r="J3691" s="2162" t="n">
        <v>0</v>
      </c>
      <c r="K3691" s="2162" t="n"/>
    </row>
    <row r="3692" outlineLevel="3" ht="15.75" customHeight="1">
      <c r="A3692" s="10" t="n">
        <v>142</v>
      </c>
      <c r="B3692" s="10" t="inlineStr">
        <is>
          <t>Insumo</t>
        </is>
      </c>
      <c r="C3692" s="10" t="inlineStr">
        <is>
          <t>Rodapé de porcelanato h=10cm</t>
        </is>
      </c>
      <c r="D3692" s="10" t="inlineStr">
        <is>
          <t>Espeçador junta piso 2mm</t>
        </is>
      </c>
      <c r="E3692" s="11">
        <f t="array" ref="E3692">_xlfn.XLOOKUP(D3692,Insumos!B:B,Insumos!C:$C)</f>
        <v/>
      </c>
      <c r="F3692" s="14" t="n">
        <v>0.4</v>
      </c>
      <c r="G3692" s="92">
        <f t="array" ref="G3692">IF(B3692="insumo",_xlfn.XLOOKUP($D3692,Insumos!$B$1:$B$996,Insumos!$D$1:$D$996),"")</f>
        <v/>
      </c>
      <c r="H3692" s="92" t="n">
        <v>0.032</v>
      </c>
      <c r="I3692" s="2162" t="n">
        <v>0</v>
      </c>
      <c r="J3692" s="2162" t="n">
        <v>0</v>
      </c>
      <c r="K3692" s="2162" t="n"/>
    </row>
    <row r="3693" outlineLevel="3" ht="15.75" customHeight="1">
      <c r="A3693" s="10" t="n">
        <v>101</v>
      </c>
      <c r="B3693" s="10" t="inlineStr">
        <is>
          <t>Insumo</t>
        </is>
      </c>
      <c r="C3693" s="10" t="inlineStr">
        <is>
          <t>Rodapé de porcelanato h=10cm</t>
        </is>
      </c>
      <c r="D3693" s="10" t="inlineStr">
        <is>
          <t>Rejunte Cimentício</t>
        </is>
      </c>
      <c r="E3693" s="11">
        <f t="array" ref="E3693">_xlfn.XLOOKUP(D3693,Insumos!B:B,Insumos!C:$C)</f>
        <v/>
      </c>
      <c r="F3693" s="14" t="n">
        <v>0.05</v>
      </c>
      <c r="G3693" s="92">
        <f t="array" ref="G3693">IF(B3693="insumo",_xlfn.XLOOKUP($D3693,Insumos!$B$1:$B$996,Insumos!$D$1:$D$996),"")</f>
        <v/>
      </c>
      <c r="H3693" s="92" t="n">
        <v>0.5575</v>
      </c>
      <c r="I3693" s="2162" t="n">
        <v>0</v>
      </c>
      <c r="J3693" s="2162" t="n">
        <v>0</v>
      </c>
      <c r="K3693" s="2162" t="n"/>
    </row>
    <row r="3694" outlineLevel="2" ht="15.75" customHeight="1">
      <c r="A3694" s="1067" t="n">
        <v>1</v>
      </c>
      <c r="B3694" s="1067" t="inlineStr">
        <is>
          <t>Serviço</t>
        </is>
      </c>
      <c r="C3694" s="1067" t="inlineStr">
        <is>
          <t>Rodapé de porcelanato h=15cm</t>
        </is>
      </c>
      <c r="D3694" s="1067" t="inlineStr">
        <is>
          <t>Rodapé de porcelanato h=15cm</t>
        </is>
      </c>
      <c r="E3694" s="1068" t="inlineStr">
        <is>
          <t>M</t>
        </is>
      </c>
      <c r="F3694" s="1067" t="n"/>
      <c r="G3694" s="1069">
        <f t="array" ref="G3694">IF(B3694="insumo",_xlfn.XLOOKUP($D3694,Insumos!$B$1:$B$996,Insumos!$D$1:$D$996),"")</f>
        <v/>
      </c>
      <c r="H3694" s="1069" t="n">
        <v>15.851325</v>
      </c>
      <c r="I3694" s="2161" t="n">
        <v>0</v>
      </c>
      <c r="J3694" s="2161" t="n">
        <v>0</v>
      </c>
      <c r="K3694" s="2161" t="n"/>
    </row>
    <row r="3695" outlineLevel="3" ht="15.75" customHeight="1">
      <c r="A3695" s="10" t="n">
        <v>5</v>
      </c>
      <c r="B3695" s="10" t="inlineStr">
        <is>
          <t>Insumo</t>
        </is>
      </c>
      <c r="C3695" s="10" t="inlineStr">
        <is>
          <t>Rodapé de porcelanato h=15cm</t>
        </is>
      </c>
      <c r="D3695" s="10" t="inlineStr">
        <is>
          <t xml:space="preserve">Porcelanato A 90x90 Polido </t>
        </is>
      </c>
      <c r="E3695" s="11">
        <f t="array" ref="E3695">_xlfn.XLOOKUP(D3695,Insumos!B:B,Insumos!C:$C)</f>
        <v/>
      </c>
      <c r="F3695" s="14" t="n">
        <v>0.165</v>
      </c>
      <c r="G3695" s="92">
        <f t="array" ref="G3695">IF(B3695="insumo",_xlfn.XLOOKUP($D3695,Insumos!$B$1:$B$996,Insumos!$D$1:$D$996),"")</f>
        <v/>
      </c>
      <c r="H3695" s="92" t="n">
        <v>13.53</v>
      </c>
      <c r="I3695" s="2162" t="n">
        <v>0</v>
      </c>
      <c r="J3695" s="2162" t="n">
        <v>0</v>
      </c>
      <c r="K3695" s="2162" t="n"/>
    </row>
    <row r="3696" outlineLevel="3" ht="15.75" customHeight="1">
      <c r="A3696" s="10" t="n">
        <v>191</v>
      </c>
      <c r="B3696" s="10" t="inlineStr">
        <is>
          <t>Insumo</t>
        </is>
      </c>
      <c r="C3696" s="10" t="inlineStr">
        <is>
          <t>Rodapé de porcelanato h=15cm</t>
        </is>
      </c>
      <c r="D3696" s="10" t="inlineStr">
        <is>
          <t>Argamassa ACIII</t>
        </is>
      </c>
      <c r="E3696" s="11">
        <f t="array" ref="E3696">_xlfn.XLOOKUP(D3696,Insumos!B:B,Insumos!C:$C)</f>
        <v/>
      </c>
      <c r="F3696" s="14" t="n">
        <v>1.35</v>
      </c>
      <c r="G3696" s="92">
        <f t="array" ref="G3696">IF(B3696="insumo",_xlfn.XLOOKUP($D3696,Insumos!$B$1:$B$996,Insumos!$D$1:$D$996),"")</f>
        <v/>
      </c>
      <c r="H3696" s="92" t="n">
        <v>1.437075</v>
      </c>
      <c r="I3696" s="2162" t="n">
        <v>0</v>
      </c>
      <c r="J3696" s="2162" t="n">
        <v>0</v>
      </c>
      <c r="K3696" s="2162" t="n"/>
    </row>
    <row r="3697" outlineLevel="3" ht="15.75" customHeight="1">
      <c r="A3697" s="10" t="n">
        <v>142</v>
      </c>
      <c r="B3697" s="10" t="inlineStr">
        <is>
          <t>Insumo</t>
        </is>
      </c>
      <c r="C3697" s="10" t="inlineStr">
        <is>
          <t>Rodapé de porcelanato h=15cm</t>
        </is>
      </c>
      <c r="D3697" s="10" t="inlineStr">
        <is>
          <t>Espeçador junta piso 2mm</t>
        </is>
      </c>
      <c r="E3697" s="11">
        <f t="array" ref="E3697">_xlfn.XLOOKUP(D3697,Insumos!B:B,Insumos!C:$C)</f>
        <v/>
      </c>
      <c r="F3697" s="14" t="n">
        <v>0.6</v>
      </c>
      <c r="G3697" s="92">
        <f t="array" ref="G3697">IF(B3697="insumo",_xlfn.XLOOKUP($D3697,Insumos!$B$1:$B$996,Insumos!$D$1:$D$996),"")</f>
        <v/>
      </c>
      <c r="H3697" s="92" t="n">
        <v>0.048</v>
      </c>
      <c r="I3697" s="2162" t="n">
        <v>0</v>
      </c>
      <c r="J3697" s="2162" t="n">
        <v>0</v>
      </c>
      <c r="K3697" s="2162" t="n"/>
    </row>
    <row r="3698" outlineLevel="3" ht="15.75" customHeight="1">
      <c r="A3698" s="10" t="n">
        <v>101</v>
      </c>
      <c r="B3698" s="10" t="inlineStr">
        <is>
          <t>Insumo</t>
        </is>
      </c>
      <c r="C3698" s="10" t="inlineStr">
        <is>
          <t>Rodapé de porcelanato h=15cm</t>
        </is>
      </c>
      <c r="D3698" s="10" t="inlineStr">
        <is>
          <t>Rejunte Cimentício</t>
        </is>
      </c>
      <c r="E3698" s="11">
        <f t="array" ref="E3698">_xlfn.XLOOKUP(D3698,Insumos!B:B,Insumos!C:$C)</f>
        <v/>
      </c>
      <c r="F3698" s="14" t="n">
        <v>0.075</v>
      </c>
      <c r="G3698" s="92">
        <f t="array" ref="G3698">IF(B3698="insumo",_xlfn.XLOOKUP($D3698,Insumos!$B$1:$B$996,Insumos!$D$1:$D$996),"")</f>
        <v/>
      </c>
      <c r="H3698" s="92" t="n">
        <v>0.83625</v>
      </c>
      <c r="I3698" s="2162" t="n">
        <v>0</v>
      </c>
      <c r="J3698" s="2162" t="n">
        <v>0</v>
      </c>
      <c r="K3698" s="2162" t="n"/>
    </row>
    <row r="3699" outlineLevel="2" ht="12.75" customHeight="1">
      <c r="A3699" s="1071" t="n">
        <v>1</v>
      </c>
      <c r="B3699" s="1071" t="inlineStr">
        <is>
          <t>Serviço</t>
        </is>
      </c>
      <c r="C3699" s="1071" t="inlineStr">
        <is>
          <t>Rodapé de porcelanato h=15cm, Padrão Alto</t>
        </is>
      </c>
      <c r="D3699" s="1071" t="inlineStr">
        <is>
          <t>Rodapé de porcelanato h=15cm, Padrão Alto</t>
        </is>
      </c>
      <c r="E3699" s="1072" t="inlineStr">
        <is>
          <t>M</t>
        </is>
      </c>
      <c r="F3699" s="1071" t="n"/>
      <c r="G3699" s="1073">
        <f t="array" ref="G3699">IF(B3699="insumo",_xlfn.XLOOKUP($D3699,Insumos!$B$1:$B$996,Insumos!$D$1:$D$996),"")</f>
        <v/>
      </c>
      <c r="H3699" s="1073" t="n">
        <v>22.121325</v>
      </c>
      <c r="I3699" s="2163" t="e">
        <v>#REF!</v>
      </c>
      <c r="J3699" s="2163" t="e">
        <v>#REF!</v>
      </c>
      <c r="K3699" s="2163" t="n"/>
    </row>
    <row r="3700" outlineLevel="3" ht="12.75" customHeight="1">
      <c r="A3700" s="82" t="n">
        <v>3</v>
      </c>
      <c r="B3700" s="82" t="inlineStr">
        <is>
          <t>Insumo</t>
        </is>
      </c>
      <c r="C3700" s="82" t="inlineStr">
        <is>
          <t>Rodapé de porcelanato h=15cm, Padrão Alto</t>
        </is>
      </c>
      <c r="D3700" s="82" t="inlineStr">
        <is>
          <t>Porcelanato Portobello –  90x90 - Padrão Alto</t>
        </is>
      </c>
      <c r="E3700" s="11">
        <f t="array" ref="E3700">_xlfn.XLOOKUP(D3700,Insumos!B:B,Insumos!C:$C)</f>
        <v/>
      </c>
      <c r="F3700" s="2164" t="n">
        <v>0.165</v>
      </c>
      <c r="G3700" s="92">
        <f t="array" ref="G3700">IF(B3700="insumo",_xlfn.XLOOKUP($D3700,Insumos!$B$1:$B$996,Insumos!$D$1:$D$996),"")</f>
        <v/>
      </c>
      <c r="H3700" s="92" t="n">
        <v>19.8</v>
      </c>
      <c r="I3700" s="2165" t="e">
        <v>#REF!</v>
      </c>
      <c r="J3700" s="2165" t="e">
        <v>#REF!</v>
      </c>
      <c r="K3700" s="2165" t="n"/>
    </row>
    <row r="3701" outlineLevel="3" ht="12.75" customHeight="1">
      <c r="A3701" s="82" t="n">
        <v>191</v>
      </c>
      <c r="B3701" s="82" t="inlineStr">
        <is>
          <t>Insumo</t>
        </is>
      </c>
      <c r="C3701" s="82" t="inlineStr">
        <is>
          <t>Rodapé de porcelanato h=15cm, Padrão Alto</t>
        </is>
      </c>
      <c r="D3701" s="82" t="inlineStr">
        <is>
          <t>Argamassa ACIII</t>
        </is>
      </c>
      <c r="E3701" s="11">
        <f t="array" ref="E3701">_xlfn.XLOOKUP(D3701,Insumos!B:B,Insumos!C:$C)</f>
        <v/>
      </c>
      <c r="F3701" s="2164" t="n">
        <v>1.35</v>
      </c>
      <c r="G3701" s="92">
        <f t="array" ref="G3701">IF(B3701="insumo",_xlfn.XLOOKUP($D3701,Insumos!$B$1:$B$996,Insumos!$D$1:$D$996),"")</f>
        <v/>
      </c>
      <c r="H3701" s="92" t="n">
        <v>1.437075</v>
      </c>
      <c r="I3701" s="2165" t="e">
        <v>#REF!</v>
      </c>
      <c r="J3701" s="2165" t="e">
        <v>#REF!</v>
      </c>
      <c r="K3701" s="2165" t="n"/>
    </row>
    <row r="3702" outlineLevel="3" ht="12.75" customHeight="1">
      <c r="A3702" s="82" t="n">
        <v>142</v>
      </c>
      <c r="B3702" s="82" t="inlineStr">
        <is>
          <t>Insumo</t>
        </is>
      </c>
      <c r="C3702" s="82" t="inlineStr">
        <is>
          <t>Rodapé de porcelanato h=15cm, Padrão Alto</t>
        </is>
      </c>
      <c r="D3702" s="82" t="inlineStr">
        <is>
          <t>Espeçador junta piso 2mm</t>
        </is>
      </c>
      <c r="E3702" s="11">
        <f t="array" ref="E3702">_xlfn.XLOOKUP(D3702,Insumos!B:B,Insumos!C:$C)</f>
        <v/>
      </c>
      <c r="F3702" s="2164" t="n">
        <v>0.6</v>
      </c>
      <c r="G3702" s="92">
        <f t="array" ref="G3702">IF(B3702="insumo",_xlfn.XLOOKUP($D3702,Insumos!$B$1:$B$996,Insumos!$D$1:$D$996),"")</f>
        <v/>
      </c>
      <c r="H3702" s="92" t="n">
        <v>0.048</v>
      </c>
      <c r="I3702" s="2165" t="e">
        <v>#REF!</v>
      </c>
      <c r="J3702" s="2165" t="e">
        <v>#REF!</v>
      </c>
      <c r="K3702" s="2165" t="n"/>
    </row>
    <row r="3703" outlineLevel="3" ht="12.75" customHeight="1">
      <c r="A3703" s="82" t="n">
        <v>101</v>
      </c>
      <c r="B3703" s="82" t="inlineStr">
        <is>
          <t>Insumo</t>
        </is>
      </c>
      <c r="C3703" s="82" t="inlineStr">
        <is>
          <t>Rodapé de porcelanato h=15cm, Padrão Alto</t>
        </is>
      </c>
      <c r="D3703" s="82" t="inlineStr">
        <is>
          <t>Rejunte Cimentício</t>
        </is>
      </c>
      <c r="E3703" s="11">
        <f t="array" ref="E3703">_xlfn.XLOOKUP(D3703,Insumos!B:B,Insumos!C:$C)</f>
        <v/>
      </c>
      <c r="F3703" s="2164" t="n">
        <v>0.075</v>
      </c>
      <c r="G3703" s="92">
        <f t="array" ref="G3703">IF(B3703="insumo",_xlfn.XLOOKUP($D3703,Insumos!$B$1:$B$996,Insumos!$D$1:$D$996),"")</f>
        <v/>
      </c>
      <c r="H3703" s="92" t="n">
        <v>0.83625</v>
      </c>
      <c r="I3703" s="2165" t="e">
        <v>#REF!</v>
      </c>
      <c r="J3703" s="2165" t="e">
        <v>#REF!</v>
      </c>
      <c r="K3703" s="2165" t="n"/>
    </row>
    <row r="3704" outlineLevel="2" ht="12.75" customHeight="1">
      <c r="A3704" s="1071" t="n">
        <v>1</v>
      </c>
      <c r="B3704" s="1071" t="inlineStr">
        <is>
          <t>Serviço</t>
        </is>
      </c>
      <c r="C3704" s="1071" t="inlineStr">
        <is>
          <t>Rodapé de porcelanato h=15cm, Padrão Nobre</t>
        </is>
      </c>
      <c r="D3704" s="1071" t="inlineStr">
        <is>
          <t>Rodapé de porcelanato h=15cm, Padrão Nobre</t>
        </is>
      </c>
      <c r="E3704" s="1072" t="inlineStr">
        <is>
          <t>M</t>
        </is>
      </c>
      <c r="F3704" s="1071" t="n"/>
      <c r="G3704" s="1073">
        <f t="array" ref="G3704">IF(B3704="insumo",_xlfn.XLOOKUP($D3704,Insumos!$B$1:$B$996,Insumos!$D$1:$D$996),"")</f>
        <v/>
      </c>
      <c r="H3704" s="1073" t="n">
        <v>22.119675</v>
      </c>
      <c r="I3704" s="2163" t="n">
        <v>0</v>
      </c>
      <c r="J3704" s="2163" t="n">
        <v>0</v>
      </c>
      <c r="K3704" s="2163" t="n"/>
    </row>
    <row r="3705" outlineLevel="3" ht="12.75" customHeight="1">
      <c r="A3705" s="82" t="n">
        <v>2</v>
      </c>
      <c r="B3705" s="82" t="inlineStr">
        <is>
          <t>Insumo</t>
        </is>
      </c>
      <c r="C3705" s="82" t="inlineStr">
        <is>
          <t>Rodapé de porcelanato h=15cm, Padrão Nobre</t>
        </is>
      </c>
      <c r="D3705" s="82" t="inlineStr">
        <is>
          <t>PORCELANATO 90X90 PORTOBELLO CHIARO DI VERSILIA NATURAL</t>
        </is>
      </c>
      <c r="E3705" s="11">
        <f t="array" ref="E3705">_xlfn.XLOOKUP(D3705,Insumos!B:B,Insumos!C:$C)</f>
        <v/>
      </c>
      <c r="F3705" s="2164" t="n">
        <v>0.165</v>
      </c>
      <c r="G3705" s="92">
        <f t="array" ref="G3705">IF(B3705="insumo",_xlfn.XLOOKUP($D3705,Insumos!$B$1:$B$996,Insumos!$D$1:$D$996),"")</f>
        <v/>
      </c>
      <c r="H3705" s="92" t="n">
        <v>19.79835</v>
      </c>
      <c r="I3705" s="2165" t="n">
        <v>0</v>
      </c>
      <c r="J3705" s="2165" t="n">
        <v>0</v>
      </c>
      <c r="K3705" s="2165" t="n"/>
    </row>
    <row r="3706" outlineLevel="3" ht="12.75" customHeight="1">
      <c r="A3706" s="82" t="n">
        <v>191</v>
      </c>
      <c r="B3706" s="82" t="inlineStr">
        <is>
          <t>Insumo</t>
        </is>
      </c>
      <c r="C3706" s="82" t="inlineStr">
        <is>
          <t>Rodapé de porcelanato h=15cm, Padrão Nobre</t>
        </is>
      </c>
      <c r="D3706" s="82" t="inlineStr">
        <is>
          <t>Argamassa ACIII</t>
        </is>
      </c>
      <c r="E3706" s="11">
        <f t="array" ref="E3706">_xlfn.XLOOKUP(D3706,Insumos!B:B,Insumos!C:$C)</f>
        <v/>
      </c>
      <c r="F3706" s="2164" t="n">
        <v>1.35</v>
      </c>
      <c r="G3706" s="92">
        <f t="array" ref="G3706">IF(B3706="insumo",_xlfn.XLOOKUP($D3706,Insumos!$B$1:$B$996,Insumos!$D$1:$D$996),"")</f>
        <v/>
      </c>
      <c r="H3706" s="92" t="n">
        <v>1.437075</v>
      </c>
      <c r="I3706" s="2165" t="n">
        <v>0</v>
      </c>
      <c r="J3706" s="2165" t="n">
        <v>0</v>
      </c>
      <c r="K3706" s="2165" t="n"/>
    </row>
    <row r="3707" outlineLevel="3" ht="12.75" customHeight="1">
      <c r="A3707" s="82" t="n">
        <v>142</v>
      </c>
      <c r="B3707" s="82" t="inlineStr">
        <is>
          <t>Insumo</t>
        </is>
      </c>
      <c r="C3707" s="82" t="inlineStr">
        <is>
          <t>Rodapé de porcelanato h=15cm, Padrão Nobre</t>
        </is>
      </c>
      <c r="D3707" s="82" t="inlineStr">
        <is>
          <t>Espeçador junta piso 2mm</t>
        </is>
      </c>
      <c r="E3707" s="11">
        <f t="array" ref="E3707">_xlfn.XLOOKUP(D3707,Insumos!B:B,Insumos!C:$C)</f>
        <v/>
      </c>
      <c r="F3707" s="2164" t="n">
        <v>0.6</v>
      </c>
      <c r="G3707" s="92">
        <f t="array" ref="G3707">IF(B3707="insumo",_xlfn.XLOOKUP($D3707,Insumos!$B$1:$B$996,Insumos!$D$1:$D$996),"")</f>
        <v/>
      </c>
      <c r="H3707" s="92" t="n">
        <v>0.048</v>
      </c>
      <c r="I3707" s="2165" t="n">
        <v>0</v>
      </c>
      <c r="J3707" s="2165" t="n">
        <v>0</v>
      </c>
      <c r="K3707" s="2165" t="n"/>
    </row>
    <row r="3708" outlineLevel="3" ht="12.75" customHeight="1">
      <c r="A3708" s="82" t="n">
        <v>101</v>
      </c>
      <c r="B3708" s="82" t="inlineStr">
        <is>
          <t>Insumo</t>
        </is>
      </c>
      <c r="C3708" s="82" t="inlineStr">
        <is>
          <t>Rodapé de porcelanato h=15cm, Padrão Nobre</t>
        </is>
      </c>
      <c r="D3708" s="82" t="inlineStr">
        <is>
          <t>Rejunte Cimentício</t>
        </is>
      </c>
      <c r="E3708" s="11">
        <f t="array" ref="E3708">_xlfn.XLOOKUP(D3708,Insumos!B:B,Insumos!C:$C)</f>
        <v/>
      </c>
      <c r="F3708" s="2164" t="n">
        <v>0.075</v>
      </c>
      <c r="G3708" s="92">
        <f t="array" ref="G3708">IF(B3708="insumo",_xlfn.XLOOKUP($D3708,Insumos!$B$1:$B$996,Insumos!$D$1:$D$996),"")</f>
        <v/>
      </c>
      <c r="H3708" s="92" t="n">
        <v>0.83625</v>
      </c>
      <c r="I3708" s="2165" t="n">
        <v>0</v>
      </c>
      <c r="J3708" s="2165" t="n">
        <v>0</v>
      </c>
      <c r="K3708" s="2165" t="n"/>
    </row>
    <row r="3709" outlineLevel="2" ht="15.75" customHeight="1">
      <c r="A3709" s="1067" t="n">
        <v>1</v>
      </c>
      <c r="B3709" s="1067" t="inlineStr">
        <is>
          <t>Serviço</t>
        </is>
      </c>
      <c r="C3709" s="1067" t="inlineStr">
        <is>
          <t>Rodapé de porcelanato h=16,5cm</t>
        </is>
      </c>
      <c r="D3709" s="1067" t="inlineStr">
        <is>
          <t>Rodapé de porcelanato h=16,5cm</t>
        </is>
      </c>
      <c r="E3709" s="1068" t="inlineStr">
        <is>
          <t>M</t>
        </is>
      </c>
      <c r="F3709" s="1067" t="n"/>
      <c r="G3709" s="1069">
        <f t="array" ref="G3709">IF(B3709="insumo",_xlfn.XLOOKUP($D3709,Insumos!$B$1:$B$996,Insumos!$D$1:$D$996),"")</f>
        <v/>
      </c>
      <c r="H3709" s="1069" t="n">
        <v>17.4364575</v>
      </c>
      <c r="I3709" s="2161" t="n">
        <v>0</v>
      </c>
      <c r="J3709" s="2161" t="n">
        <v>0</v>
      </c>
      <c r="K3709" s="2161" t="n"/>
    </row>
    <row r="3710" outlineLevel="3" ht="15.75" customHeight="1">
      <c r="A3710" s="10" t="n">
        <v>5</v>
      </c>
      <c r="B3710" s="10" t="inlineStr">
        <is>
          <t>Insumo</t>
        </is>
      </c>
      <c r="C3710" s="10" t="inlineStr">
        <is>
          <t>Rodapé de porcelanato h=16,5cm</t>
        </is>
      </c>
      <c r="D3710" s="10" t="inlineStr">
        <is>
          <t xml:space="preserve">Porcelanato A 90x90 Polido </t>
        </is>
      </c>
      <c r="E3710" s="11">
        <f t="array" ref="E3710">_xlfn.XLOOKUP(D3710,Insumos!B:B,Insumos!C:$C)</f>
        <v/>
      </c>
      <c r="F3710" s="14" t="n">
        <v>0.1815</v>
      </c>
      <c r="G3710" s="92">
        <f t="array" ref="G3710">IF(B3710="insumo",_xlfn.XLOOKUP($D3710,Insumos!$B$1:$B$996,Insumos!$D$1:$D$996),"")</f>
        <v/>
      </c>
      <c r="H3710" s="92" t="n">
        <v>14.883</v>
      </c>
      <c r="I3710" s="2162" t="n">
        <v>0</v>
      </c>
      <c r="J3710" s="2162" t="n">
        <v>0</v>
      </c>
      <c r="K3710" s="2162" t="n"/>
    </row>
    <row r="3711" outlineLevel="3" ht="15.75" customHeight="1">
      <c r="A3711" s="10" t="n">
        <v>191</v>
      </c>
      <c r="B3711" s="10" t="inlineStr">
        <is>
          <t>Insumo</t>
        </is>
      </c>
      <c r="C3711" s="10" t="inlineStr">
        <is>
          <t>Rodapé de porcelanato h=16,5cm</t>
        </is>
      </c>
      <c r="D3711" s="10" t="inlineStr">
        <is>
          <t>Argamassa ACIII</t>
        </is>
      </c>
      <c r="E3711" s="11">
        <f t="array" ref="E3711">_xlfn.XLOOKUP(D3711,Insumos!B:B,Insumos!C:$C)</f>
        <v/>
      </c>
      <c r="F3711" s="14" t="n">
        <v>1.485</v>
      </c>
      <c r="G3711" s="92">
        <f t="array" ref="G3711">IF(B3711="insumo",_xlfn.XLOOKUP($D3711,Insumos!$B$1:$B$996,Insumos!$D$1:$D$996),"")</f>
        <v/>
      </c>
      <c r="H3711" s="92" t="n">
        <v>1.5807825</v>
      </c>
      <c r="I3711" s="2162" t="n">
        <v>0</v>
      </c>
      <c r="J3711" s="2162" t="n">
        <v>0</v>
      </c>
      <c r="K3711" s="2162" t="n"/>
    </row>
    <row r="3712" outlineLevel="3" ht="15.75" customHeight="1">
      <c r="A3712" s="10" t="n">
        <v>142</v>
      </c>
      <c r="B3712" s="10" t="inlineStr">
        <is>
          <t>Insumo</t>
        </is>
      </c>
      <c r="C3712" s="10" t="inlineStr">
        <is>
          <t>Rodapé de porcelanato h=16,5cm</t>
        </is>
      </c>
      <c r="D3712" s="10" t="inlineStr">
        <is>
          <t>Espeçador junta piso 2mm</t>
        </is>
      </c>
      <c r="E3712" s="11">
        <f t="array" ref="E3712">_xlfn.XLOOKUP(D3712,Insumos!B:B,Insumos!C:$C)</f>
        <v/>
      </c>
      <c r="F3712" s="14" t="n">
        <v>0.66</v>
      </c>
      <c r="G3712" s="92">
        <f t="array" ref="G3712">IF(B3712="insumo",_xlfn.XLOOKUP($D3712,Insumos!$B$1:$B$996,Insumos!$D$1:$D$996),"")</f>
        <v/>
      </c>
      <c r="H3712" s="92" t="n">
        <v>0.0528</v>
      </c>
      <c r="I3712" s="2162" t="n">
        <v>0</v>
      </c>
      <c r="J3712" s="2162" t="n">
        <v>0</v>
      </c>
      <c r="K3712" s="2162" t="n"/>
    </row>
    <row r="3713" outlineLevel="3" ht="15.75" customHeight="1">
      <c r="A3713" s="10" t="n">
        <v>101</v>
      </c>
      <c r="B3713" s="10" t="inlineStr">
        <is>
          <t>Insumo</t>
        </is>
      </c>
      <c r="C3713" s="10" t="inlineStr">
        <is>
          <t>Rodapé de porcelanato h=16,5cm</t>
        </is>
      </c>
      <c r="D3713" s="10" t="inlineStr">
        <is>
          <t>Rejunte Cimentício</t>
        </is>
      </c>
      <c r="E3713" s="11">
        <f t="array" ref="E3713">_xlfn.XLOOKUP(D3713,Insumos!B:B,Insumos!C:$C)</f>
        <v/>
      </c>
      <c r="F3713" s="14" t="n">
        <v>0.0825</v>
      </c>
      <c r="G3713" s="92">
        <f t="array" ref="G3713">IF(B3713="insumo",_xlfn.XLOOKUP($D3713,Insumos!$B$1:$B$996,Insumos!$D$1:$D$996),"")</f>
        <v/>
      </c>
      <c r="H3713" s="92" t="n">
        <v>0.919875</v>
      </c>
      <c r="I3713" s="2162" t="n">
        <v>0</v>
      </c>
      <c r="J3713" s="2162" t="n">
        <v>0</v>
      </c>
      <c r="K3713" s="2162" t="n"/>
    </row>
    <row r="3714" outlineLevel="1" ht="15.75" customHeight="1">
      <c r="A3714" s="1090" t="n">
        <v>1</v>
      </c>
      <c r="B3714" s="1090" t="inlineStr">
        <is>
          <t>Subetapa</t>
        </is>
      </c>
      <c r="C3714" s="1090" t="inlineStr">
        <is>
          <t>Rodapé de porcelanato h=16,5cm</t>
        </is>
      </c>
      <c r="D3714" s="1090" t="inlineStr">
        <is>
          <t>SOLEIRAS E FILETES</t>
        </is>
      </c>
      <c r="E3714" s="1091" t="n"/>
      <c r="F3714" s="2160" t="n"/>
      <c r="G3714" s="1091" t="n"/>
      <c r="H3714" s="1091" t="n">
        <v>0</v>
      </c>
      <c r="I3714" s="2160" t="n">
        <v>0</v>
      </c>
      <c r="J3714" s="2160" t="n">
        <v>0</v>
      </c>
      <c r="K3714" s="2160" t="n"/>
    </row>
    <row r="3715" outlineLevel="2" ht="15.75" customHeight="1">
      <c r="A3715" s="1067" t="n">
        <v>1</v>
      </c>
      <c r="B3715" s="1067" t="inlineStr">
        <is>
          <t>Serviço</t>
        </is>
      </c>
      <c r="C3715" s="1067" t="inlineStr">
        <is>
          <t>Filete metálico - divisória entre pisos</t>
        </is>
      </c>
      <c r="D3715" s="1067" t="inlineStr">
        <is>
          <t>Filete metálico - divisória entre pisos</t>
        </is>
      </c>
      <c r="E3715" s="1068" t="inlineStr">
        <is>
          <t>M</t>
        </is>
      </c>
      <c r="F3715" s="1067" t="n"/>
      <c r="G3715" s="1069">
        <f t="array" ref="G3715">IF(B3715="insumo",_xlfn.XLOOKUP($D3715,Insumos!$B$1:$B$996,Insumos!$D$1:$D$996),"")</f>
        <v/>
      </c>
      <c r="H3715" s="1069" t="n">
        <v>133.333333333333</v>
      </c>
      <c r="I3715" s="2161" t="n">
        <v>0</v>
      </c>
      <c r="J3715" s="2161" t="n">
        <v>0</v>
      </c>
      <c r="K3715" s="2161" t="n"/>
    </row>
    <row r="3716" outlineLevel="3" ht="15.75" customHeight="1">
      <c r="A3716" s="10" t="n">
        <v>1</v>
      </c>
      <c r="B3716" s="10" t="inlineStr">
        <is>
          <t>Insumo</t>
        </is>
      </c>
      <c r="C3716" s="10" t="inlineStr">
        <is>
          <t>Filete metálico - divisória entre pisos</t>
        </is>
      </c>
      <c r="D3716" s="10" t="inlineStr">
        <is>
          <t>Filete metálico - divisória entre pisos</t>
        </is>
      </c>
      <c r="E3716" s="11">
        <f t="array" ref="E3716">_xlfn.XLOOKUP(D3716,Insumos!B:B,Insumos!C:$C)</f>
        <v/>
      </c>
      <c r="F3716" s="14" t="n">
        <v>1</v>
      </c>
      <c r="G3716" s="92">
        <f t="array" ref="G3716">IF(B3716="insumo",_xlfn.XLOOKUP($D3716,Insumos!$B$1:$B$996,Insumos!$D$1:$D$996),"")</f>
        <v/>
      </c>
      <c r="H3716" s="92" t="n">
        <v>133.333333333333</v>
      </c>
      <c r="I3716" s="2162" t="n">
        <v>0</v>
      </c>
      <c r="J3716" s="2162" t="n">
        <v>0</v>
      </c>
      <c r="K3716" s="2162" t="n"/>
    </row>
    <row r="3717" outlineLevel="2" ht="15.75" customHeight="1">
      <c r="A3717" s="1067" t="n">
        <v>1</v>
      </c>
      <c r="B3717" s="1067" t="inlineStr">
        <is>
          <t>Serviço</t>
        </is>
      </c>
      <c r="C3717" s="1067" t="inlineStr">
        <is>
          <t>Filete metálico - divisória entre pisos - aluminio escovado</t>
        </is>
      </c>
      <c r="D3717" s="1067" t="inlineStr">
        <is>
          <t>Filete metálico - divisória entre pisos - aluminio escovado</t>
        </is>
      </c>
      <c r="E3717" s="1068" t="inlineStr">
        <is>
          <t>m2</t>
        </is>
      </c>
      <c r="F3717" s="1067" t="n"/>
      <c r="G3717" s="1069">
        <f t="array" ref="G3717">IF(B3717="insumo",_xlfn.XLOOKUP($D3717,Insumos!$B$1:$B$996,Insumos!$D$1:$D$996),"")</f>
        <v/>
      </c>
      <c r="H3717" s="1069" t="n">
        <v>133.333333333333</v>
      </c>
      <c r="I3717" s="2161" t="n">
        <v>0</v>
      </c>
      <c r="J3717" s="2161" t="n">
        <v>0</v>
      </c>
      <c r="K3717" s="2161" t="n"/>
    </row>
    <row r="3718" outlineLevel="3" ht="15.75" customHeight="1">
      <c r="A3718" s="10" t="n">
        <v>1</v>
      </c>
      <c r="B3718" s="10" t="inlineStr">
        <is>
          <t>Insumo</t>
        </is>
      </c>
      <c r="C3718" s="10" t="inlineStr">
        <is>
          <t>Filete metálico - divisória entre pisos - aluminio escovado</t>
        </is>
      </c>
      <c r="D3718" s="10" t="inlineStr">
        <is>
          <t>Filete metálico - divisória entre pisos - aluminio escovado</t>
        </is>
      </c>
      <c r="E3718" s="11">
        <f t="array" ref="E3718">_xlfn.XLOOKUP(D3718,Insumos!B:B,Insumos!C:$C)</f>
        <v/>
      </c>
      <c r="F3718" s="14">
        <f>1*0.07</f>
        <v/>
      </c>
      <c r="G3718" s="92">
        <f t="array" ref="G3718">IF(B3718="insumo",_xlfn.XLOOKUP($D3718,Insumos!$B$1:$B$996,Insumos!$D$1:$D$996),"")</f>
        <v/>
      </c>
      <c r="H3718" s="92" t="n">
        <v>133.333333333333</v>
      </c>
      <c r="I3718" s="2162" t="n">
        <v>0</v>
      </c>
      <c r="J3718" s="2162" t="n">
        <v>0</v>
      </c>
      <c r="K3718" s="2162" t="n"/>
    </row>
    <row r="3719" outlineLevel="2" ht="15.75" customHeight="1">
      <c r="A3719" s="1067" t="n">
        <v>1</v>
      </c>
      <c r="B3719" s="1067" t="inlineStr">
        <is>
          <t>Serviço</t>
        </is>
      </c>
      <c r="C3719" s="1067" t="inlineStr">
        <is>
          <t>Soleira em Porcelanato, largura 7cm - espessura 2cm</t>
        </is>
      </c>
      <c r="D3719" s="1067" t="inlineStr">
        <is>
          <t>Soleira em Porcelanato, largura 7cm - espessura 2cm</t>
        </is>
      </c>
      <c r="E3719" s="1068" t="inlineStr">
        <is>
          <t>m2</t>
        </is>
      </c>
      <c r="F3719" s="1067" t="n"/>
      <c r="G3719" s="1069">
        <f t="array" ref="G3719">IF(B3719="insumo",_xlfn.XLOOKUP($D3719,Insumos!$B$1:$B$996,Insumos!$D$1:$D$996),"")</f>
        <v/>
      </c>
      <c r="H3719" s="1069" t="n">
        <v>153.1021</v>
      </c>
      <c r="I3719" s="2161" t="n">
        <v>0</v>
      </c>
      <c r="J3719" s="2161" t="n">
        <v>0</v>
      </c>
      <c r="K3719" s="2161" t="n"/>
    </row>
    <row r="3720" outlineLevel="3" ht="15.75" customHeight="1">
      <c r="A3720" s="10" t="n">
        <v>3</v>
      </c>
      <c r="B3720" s="10" t="inlineStr">
        <is>
          <t>Insumo</t>
        </is>
      </c>
      <c r="C3720" s="10" t="inlineStr">
        <is>
          <t>Soleira em Porcelanato, largura 7cm - espessura 2cm</t>
        </is>
      </c>
      <c r="D3720" s="10" t="inlineStr">
        <is>
          <t>Porcelanato Polido Eliane Place "A" 120x120</t>
        </is>
      </c>
      <c r="E3720" s="11">
        <f t="array" ref="E3720">_xlfn.XLOOKUP(D3720,Insumos!B:B,Insumos!C:$C)</f>
        <v/>
      </c>
      <c r="F3720" s="14">
        <f>1.05</f>
        <v/>
      </c>
      <c r="G3720" s="92">
        <f t="array" ref="G3720">IF(B3720="insumo",_xlfn.XLOOKUP($D3720,Insumos!$B$1:$B$996,Insumos!$D$1:$D$996),"")</f>
        <v/>
      </c>
      <c r="H3720" s="92" t="n">
        <v>143.7345</v>
      </c>
      <c r="I3720" s="2162" t="n">
        <v>0</v>
      </c>
      <c r="J3720" s="2162" t="n">
        <v>0</v>
      </c>
      <c r="K3720" s="2162" t="n"/>
    </row>
    <row r="3721" outlineLevel="3" ht="15.75" customHeight="1">
      <c r="A3721" s="10" t="n">
        <v>191</v>
      </c>
      <c r="B3721" s="10" t="inlineStr">
        <is>
          <t>Insumo</t>
        </is>
      </c>
      <c r="C3721" s="10" t="inlineStr">
        <is>
          <t>Soleira em Porcelanato, largura 7cm - espessura 2cm</t>
        </is>
      </c>
      <c r="D3721" s="10" t="inlineStr">
        <is>
          <t>Argamassa ACIII</t>
        </is>
      </c>
      <c r="E3721" s="11">
        <f t="array" ref="E3721">_xlfn.XLOOKUP(D3721,Insumos!B:B,Insumos!C:$C)</f>
        <v/>
      </c>
      <c r="F3721" s="14" t="n">
        <v>8.800000000000001</v>
      </c>
      <c r="G3721" s="92">
        <f t="array" ref="G3721">IF(B3721="insumo",_xlfn.XLOOKUP($D3721,Insumos!$B$1:$B$996,Insumos!$D$1:$D$996),"")</f>
        <v/>
      </c>
      <c r="H3721" s="92" t="n">
        <v>9.367599999999999</v>
      </c>
      <c r="I3721" s="2162" t="n">
        <v>0</v>
      </c>
      <c r="J3721" s="2162" t="n">
        <v>0</v>
      </c>
      <c r="K3721" s="2162" t="n"/>
    </row>
    <row r="3722" outlineLevel="2" ht="12.75" customHeight="1">
      <c r="A3722" s="1071" t="n">
        <v>1</v>
      </c>
      <c r="B3722" s="1071" t="inlineStr">
        <is>
          <t>Serviço</t>
        </is>
      </c>
      <c r="C3722" s="1071" t="inlineStr">
        <is>
          <t>Soleira em granito preto são gabriel</t>
        </is>
      </c>
      <c r="D3722" s="1071" t="inlineStr">
        <is>
          <t>Soleira em granito preto são gabriel</t>
        </is>
      </c>
      <c r="E3722" s="1072" t="inlineStr">
        <is>
          <t>m2</t>
        </is>
      </c>
      <c r="F3722" s="1071" t="n"/>
      <c r="G3722" s="1073">
        <f t="array" ref="G3722">IF(B3722="insumo",_xlfn.XLOOKUP($D3722,Insumos!$B$1:$B$996,Insumos!$D$1:$D$996),"")</f>
        <v/>
      </c>
      <c r="H3722" s="1073" t="n">
        <v>691.8676</v>
      </c>
      <c r="I3722" s="2163" t="n">
        <v>0</v>
      </c>
      <c r="J3722" s="2163" t="n">
        <v>0</v>
      </c>
      <c r="K3722" s="2163" t="n"/>
    </row>
    <row r="3723" outlineLevel="3" ht="12.75" customHeight="1">
      <c r="A3723" s="82" t="n">
        <v>4</v>
      </c>
      <c r="B3723" s="82" t="inlineStr">
        <is>
          <t>Insumo</t>
        </is>
      </c>
      <c r="C3723" s="82" t="inlineStr">
        <is>
          <t>Soleira em granito preto são gabriel</t>
        </is>
      </c>
      <c r="D3723" s="82" t="inlineStr">
        <is>
          <t xml:space="preserve">Granito preto são gabriel </t>
        </is>
      </c>
      <c r="E3723" s="11">
        <f t="array" ref="E3723">_xlfn.XLOOKUP(D3723,Insumos!B:B,Insumos!C:$C)</f>
        <v/>
      </c>
      <c r="F3723" s="2164">
        <f>1.05</f>
        <v/>
      </c>
      <c r="G3723" s="92">
        <f t="array" ref="G3723">IF(B3723="insumo",_xlfn.XLOOKUP($D3723,Insumos!$B$1:$B$996,Insumos!$D$1:$D$996),"")</f>
        <v/>
      </c>
      <c r="H3723" s="92" t="n">
        <v>682.5</v>
      </c>
      <c r="I3723" s="2165" t="n">
        <v>0</v>
      </c>
      <c r="J3723" s="2165" t="n">
        <v>0</v>
      </c>
      <c r="K3723" s="2165" t="n"/>
    </row>
    <row r="3724" outlineLevel="3" ht="12.75" customHeight="1">
      <c r="A3724" s="82" t="n">
        <v>191</v>
      </c>
      <c r="B3724" s="82" t="inlineStr">
        <is>
          <t>Insumo</t>
        </is>
      </c>
      <c r="C3724" s="82" t="inlineStr">
        <is>
          <t>Soleira em granito preto são gabriel</t>
        </is>
      </c>
      <c r="D3724" s="82" t="inlineStr">
        <is>
          <t>Argamassa ACIII</t>
        </is>
      </c>
      <c r="E3724" s="11">
        <f t="array" ref="E3724">_xlfn.XLOOKUP(D3724,Insumos!B:B,Insumos!C:$C)</f>
        <v/>
      </c>
      <c r="F3724" s="2164" t="n">
        <v>8.800000000000001</v>
      </c>
      <c r="G3724" s="92">
        <f t="array" ref="G3724">IF(B3724="insumo",_xlfn.XLOOKUP($D3724,Insumos!$B$1:$B$996,Insumos!$D$1:$D$996),"")</f>
        <v/>
      </c>
      <c r="H3724" s="92" t="n">
        <v>9.367599999999999</v>
      </c>
      <c r="I3724" s="2165" t="n">
        <v>0</v>
      </c>
      <c r="J3724" s="2165" t="n">
        <v>0</v>
      </c>
      <c r="K3724" s="2165" t="n"/>
    </row>
    <row r="3725" outlineLevel="2" ht="15.75" customHeight="1">
      <c r="A3725" s="1067" t="n">
        <v>1</v>
      </c>
      <c r="B3725" s="1067" t="inlineStr">
        <is>
          <t>Serviço</t>
        </is>
      </c>
      <c r="C3725" s="1067" t="inlineStr">
        <is>
          <t>Soleira em pedra natural, largura 15cm - Branco Ceara, esp. 2cm</t>
        </is>
      </c>
      <c r="D3725" s="1067" t="inlineStr">
        <is>
          <t>Soleira em pedra natural, largura 15cm - Branco Ceara, esp. 2cm</t>
        </is>
      </c>
      <c r="E3725" s="1068" t="inlineStr">
        <is>
          <t>m2</t>
        </is>
      </c>
      <c r="F3725" s="1067" t="n"/>
      <c r="G3725" s="1069">
        <f t="array" ref="G3725">IF(B3725="insumo",_xlfn.XLOOKUP($D3725,Insumos!$B$1:$B$996,Insumos!$D$1:$D$996),"")</f>
        <v/>
      </c>
      <c r="H3725" s="1069" t="n">
        <v>691.8676</v>
      </c>
      <c r="I3725" s="2161" t="n">
        <v>0</v>
      </c>
      <c r="J3725" s="2161" t="n">
        <v>0</v>
      </c>
      <c r="K3725" s="2161" t="n"/>
    </row>
    <row r="3726" outlineLevel="3" ht="15.75" customHeight="1">
      <c r="A3726" s="10" t="n">
        <v>2</v>
      </c>
      <c r="B3726" s="10" t="inlineStr">
        <is>
          <t>Insumo</t>
        </is>
      </c>
      <c r="C3726" s="10" t="inlineStr">
        <is>
          <t>Soleira em pedra natural, largura 15cm - Branco Ceara, esp. 2cm</t>
        </is>
      </c>
      <c r="D3726" s="10" t="inlineStr">
        <is>
          <t>Granito branco Ceará</t>
        </is>
      </c>
      <c r="E3726" s="11">
        <f t="array" ref="E3726">_xlfn.XLOOKUP(D3726,Insumos!B:B,Insumos!C:$C)</f>
        <v/>
      </c>
      <c r="F3726" s="14">
        <f>1.05</f>
        <v/>
      </c>
      <c r="G3726" s="92">
        <f t="array" ref="G3726">IF(B3726="insumo",_xlfn.XLOOKUP($D3726,Insumos!$B$1:$B$996,Insumos!$D$1:$D$996),"")</f>
        <v/>
      </c>
      <c r="H3726" s="92" t="n">
        <v>682.5</v>
      </c>
      <c r="I3726" s="2162" t="n">
        <v>0</v>
      </c>
      <c r="J3726" s="2162" t="n">
        <v>0</v>
      </c>
      <c r="K3726" s="2162" t="n"/>
    </row>
    <row r="3727" outlineLevel="3" ht="15.75" customHeight="1">
      <c r="A3727" s="10" t="n">
        <v>191</v>
      </c>
      <c r="B3727" s="10" t="inlineStr">
        <is>
          <t>Insumo</t>
        </is>
      </c>
      <c r="C3727" s="10" t="inlineStr">
        <is>
          <t>Soleira em pedra natural, largura 15cm - Branco Ceara, esp. 2cm</t>
        </is>
      </c>
      <c r="D3727" s="10" t="inlineStr">
        <is>
          <t>Argamassa ACIII</t>
        </is>
      </c>
      <c r="E3727" s="11">
        <f t="array" ref="E3727">_xlfn.XLOOKUP(D3727,Insumos!B:B,Insumos!C:$C)</f>
        <v/>
      </c>
      <c r="F3727" s="14" t="n">
        <v>8.800000000000001</v>
      </c>
      <c r="G3727" s="92">
        <f t="array" ref="G3727">IF(B3727="insumo",_xlfn.XLOOKUP($D3727,Insumos!$B$1:$B$996,Insumos!$D$1:$D$996),"")</f>
        <v/>
      </c>
      <c r="H3727" s="92" t="n">
        <v>9.367599999999999</v>
      </c>
      <c r="I3727" s="2162" t="n">
        <v>0</v>
      </c>
      <c r="J3727" s="2162" t="n">
        <v>0</v>
      </c>
      <c r="K3727" s="2162" t="n"/>
    </row>
    <row r="3728" outlineLevel="2" ht="15.75" customHeight="1">
      <c r="A3728" s="1067" t="n">
        <v>1</v>
      </c>
      <c r="B3728" s="1067" t="inlineStr">
        <is>
          <t>Serviço</t>
        </is>
      </c>
      <c r="C3728" s="1067" t="inlineStr">
        <is>
          <t>Soleira em pedra natural, largura 15cm - Silestone, esp. 2cm</t>
        </is>
      </c>
      <c r="D3728" s="1067" t="inlineStr">
        <is>
          <t>Soleira em pedra natural, largura 15cm - Silestone, esp. 2cm</t>
        </is>
      </c>
      <c r="E3728" s="1068" t="inlineStr">
        <is>
          <t>m2</t>
        </is>
      </c>
      <c r="F3728" s="1067" t="n"/>
      <c r="G3728" s="1069">
        <f t="array" ref="G3728">IF(B3728="insumo",_xlfn.XLOOKUP($D3728,Insumos!$B$1:$B$996,Insumos!$D$1:$D$996),"")</f>
        <v/>
      </c>
      <c r="H3728" s="1069" t="n">
        <v>1951.8676</v>
      </c>
      <c r="I3728" s="2161" t="n">
        <v>0</v>
      </c>
      <c r="J3728" s="2161" t="n">
        <v>0</v>
      </c>
      <c r="K3728" s="2161" t="n"/>
    </row>
    <row r="3729" outlineLevel="3" ht="15.75" customHeight="1">
      <c r="A3729" s="10" t="n">
        <v>1</v>
      </c>
      <c r="B3729" s="10" t="inlineStr">
        <is>
          <t>Insumo</t>
        </is>
      </c>
      <c r="C3729" s="10" t="inlineStr">
        <is>
          <t>Soleira em pedra natural, largura 15cm - Silestone, esp. 2cm</t>
        </is>
      </c>
      <c r="D3729" s="10" t="inlineStr">
        <is>
          <t>Quartzo Silestone</t>
        </is>
      </c>
      <c r="E3729" s="11">
        <f t="array" ref="E3729">_xlfn.XLOOKUP(D3729,Insumos!B:B,Insumos!C:$C)</f>
        <v/>
      </c>
      <c r="F3729" s="14">
        <f>1.05</f>
        <v/>
      </c>
      <c r="G3729" s="92">
        <f t="array" ref="G3729">IF(B3729="insumo",_xlfn.XLOOKUP($D3729,Insumos!$B$1:$B$996,Insumos!$D$1:$D$996),"")</f>
        <v/>
      </c>
      <c r="H3729" s="92" t="n">
        <v>1942.5</v>
      </c>
      <c r="I3729" s="2162" t="n">
        <v>0</v>
      </c>
      <c r="J3729" s="2162" t="n">
        <v>0</v>
      </c>
      <c r="K3729" s="2162" t="n"/>
    </row>
    <row r="3730" outlineLevel="3" ht="15.75" customHeight="1">
      <c r="A3730" s="10" t="n">
        <v>191</v>
      </c>
      <c r="B3730" s="10" t="inlineStr">
        <is>
          <t>Insumo</t>
        </is>
      </c>
      <c r="C3730" s="10" t="inlineStr">
        <is>
          <t>Soleira em pedra natural, largura 15cm - Silestone, esp. 2cm</t>
        </is>
      </c>
      <c r="D3730" s="10" t="inlineStr">
        <is>
          <t>Argamassa ACIII</t>
        </is>
      </c>
      <c r="E3730" s="11">
        <f t="array" ref="E3730">_xlfn.XLOOKUP(D3730,Insumos!B:B,Insumos!C:$C)</f>
        <v/>
      </c>
      <c r="F3730" s="14" t="n">
        <v>8.800000000000001</v>
      </c>
      <c r="G3730" s="92">
        <f t="array" ref="G3730">IF(B3730="insumo",_xlfn.XLOOKUP($D3730,Insumos!$B$1:$B$996,Insumos!$D$1:$D$996),"")</f>
        <v/>
      </c>
      <c r="H3730" s="92" t="n">
        <v>9.367599999999999</v>
      </c>
      <c r="I3730" s="2162" t="n">
        <v>0</v>
      </c>
      <c r="J3730" s="2162" t="n">
        <v>0</v>
      </c>
      <c r="K3730" s="2162" t="n"/>
    </row>
    <row r="3731" outlineLevel="1" ht="15.75" customHeight="1">
      <c r="A3731" s="1090" t="n">
        <v>1</v>
      </c>
      <c r="B3731" s="1090" t="inlineStr">
        <is>
          <t>Subetapa</t>
        </is>
      </c>
      <c r="C3731" s="1090" t="inlineStr">
        <is>
          <t>Soleira em pedra natural, largura 15cm - Silestone, esp. 2cm</t>
        </is>
      </c>
      <c r="D3731" s="1090" t="inlineStr">
        <is>
          <t>PISOS PRÉ FABRICADOS</t>
        </is>
      </c>
      <c r="E3731" s="1091" t="n"/>
      <c r="F3731" s="2160" t="n"/>
      <c r="G3731" s="1091" t="n"/>
      <c r="H3731" s="1091" t="n">
        <v>0</v>
      </c>
      <c r="I3731" s="2160" t="n">
        <v>0</v>
      </c>
      <c r="J3731" s="2160" t="n">
        <v>0</v>
      </c>
      <c r="K3731" s="2160" t="n"/>
    </row>
    <row r="3732" outlineLevel="2" ht="15.75" customHeight="1">
      <c r="A3732" s="1067" t="n">
        <v>1</v>
      </c>
      <c r="B3732" s="1067" t="inlineStr">
        <is>
          <t>Serviço</t>
        </is>
      </c>
      <c r="C3732" s="1067" t="inlineStr">
        <is>
          <t>Piso Petit Pave</t>
        </is>
      </c>
      <c r="D3732" s="1067" t="inlineStr">
        <is>
          <t>Piso Petit Pave</t>
        </is>
      </c>
      <c r="E3732" s="1068" t="inlineStr">
        <is>
          <t>M2</t>
        </is>
      </c>
      <c r="F3732" s="1067" t="n"/>
      <c r="G3732" s="1069">
        <f t="array" ref="G3732">IF(B3732="insumo",_xlfn.XLOOKUP($D3732,Insumos!$B$1:$B$996,Insumos!$D$1:$D$996),"")</f>
        <v/>
      </c>
      <c r="H3732" s="1069" t="n">
        <v>91.883686</v>
      </c>
      <c r="I3732" s="2161" t="n">
        <v>0</v>
      </c>
      <c r="J3732" s="2161" t="n">
        <v>0</v>
      </c>
      <c r="K3732" s="2161" t="n"/>
    </row>
    <row r="3733" outlineLevel="3" ht="15.75" customHeight="1">
      <c r="A3733" s="10" t="n">
        <v>1</v>
      </c>
      <c r="B3733" s="10" t="inlineStr">
        <is>
          <t>Insumo</t>
        </is>
      </c>
      <c r="C3733" s="10" t="inlineStr">
        <is>
          <t>Piso Petit Pave</t>
        </is>
      </c>
      <c r="D3733" s="10" t="inlineStr">
        <is>
          <t>Petit Pavé Branco Pedra Portuguesa</t>
        </is>
      </c>
      <c r="E3733" s="11">
        <f t="array" ref="E3733">_xlfn.XLOOKUP(D3733,Insumos!B:B,Insumos!C:$C)</f>
        <v/>
      </c>
      <c r="F3733" s="14" t="n">
        <v>1.05</v>
      </c>
      <c r="G3733" s="92">
        <f t="array" ref="G3733">IF(B3733="insumo",_xlfn.XLOOKUP($D3733,Insumos!$B$1:$B$996,Insumos!$D$1:$D$996),"")</f>
        <v/>
      </c>
      <c r="H3733" s="92" t="n">
        <v>82.95</v>
      </c>
      <c r="I3733" s="2162" t="n">
        <v>0</v>
      </c>
      <c r="J3733" s="2162" t="n">
        <v>0</v>
      </c>
      <c r="K3733" s="2162" t="n"/>
    </row>
    <row r="3734" outlineLevel="3" ht="15.75" customHeight="1">
      <c r="A3734" s="10" t="n">
        <v>8</v>
      </c>
      <c r="B3734" s="10" t="inlineStr">
        <is>
          <t>Insumo</t>
        </is>
      </c>
      <c r="C3734" s="10" t="inlineStr">
        <is>
          <t>Piso Petit Pave</t>
        </is>
      </c>
      <c r="D3734" s="10" t="inlineStr">
        <is>
          <t xml:space="preserve">PO DE PEDRA </t>
        </is>
      </c>
      <c r="E3734" s="11">
        <f t="array" ref="E3734">_xlfn.XLOOKUP(D3734,Insumos!B:B,Insumos!C:$C)</f>
        <v/>
      </c>
      <c r="F3734" s="14" t="n">
        <v>0.0066</v>
      </c>
      <c r="G3734" s="92">
        <f t="array" ref="G3734">IF(B3734="insumo",_xlfn.XLOOKUP($D3734,Insumos!$B$1:$B$996,Insumos!$D$1:$D$996),"")</f>
        <v/>
      </c>
      <c r="H3734" s="92" t="n">
        <v>0.697686</v>
      </c>
      <c r="I3734" s="2162" t="n">
        <v>0</v>
      </c>
      <c r="J3734" s="2162" t="n">
        <v>0</v>
      </c>
      <c r="K3734" s="2162" t="n"/>
    </row>
    <row r="3735" outlineLevel="3" ht="15.75" customHeight="1">
      <c r="A3735" s="10" t="n">
        <v>10</v>
      </c>
      <c r="B3735" s="10" t="inlineStr">
        <is>
          <t>Insumo</t>
        </is>
      </c>
      <c r="C3735" s="10" t="inlineStr">
        <is>
          <t>Piso Petit Pave</t>
        </is>
      </c>
      <c r="D3735" s="10" t="inlineStr">
        <is>
          <t>AREIA MEDIA</t>
        </is>
      </c>
      <c r="E3735" s="11">
        <f t="array" ref="E3735">_xlfn.XLOOKUP(D3735,Insumos!B:B,Insumos!C:$C)</f>
        <v/>
      </c>
      <c r="F3735" s="14" t="n">
        <v>0.0568</v>
      </c>
      <c r="G3735" s="92">
        <f t="array" ref="G3735">IF(B3735="insumo",_xlfn.XLOOKUP($D3735,Insumos!$B$1:$B$996,Insumos!$D$1:$D$996),"")</f>
        <v/>
      </c>
      <c r="H3735" s="92" t="n">
        <v>8.236000000000001</v>
      </c>
      <c r="I3735" s="2162" t="n">
        <v>0</v>
      </c>
      <c r="J3735" s="2162" t="n">
        <v>0</v>
      </c>
      <c r="K3735" s="2162" t="n"/>
    </row>
    <row r="3736" outlineLevel="2" ht="15.75" customHeight="1">
      <c r="A3736" s="1067" t="n">
        <v>1</v>
      </c>
      <c r="B3736" s="1067" t="inlineStr">
        <is>
          <t>Serviço</t>
        </is>
      </c>
      <c r="C3736" s="1067" t="inlineStr">
        <is>
          <t>Piso drenante</t>
        </is>
      </c>
      <c r="D3736" s="1067" t="inlineStr">
        <is>
          <t>Piso drenante</t>
        </is>
      </c>
      <c r="E3736" s="1068" t="inlineStr">
        <is>
          <t>M2</t>
        </is>
      </c>
      <c r="F3736" s="1067" t="n"/>
      <c r="G3736" s="1069">
        <f t="array" ref="G3736">IF(B3736="insumo",_xlfn.XLOOKUP($D3736,Insumos!$B$1:$B$996,Insumos!$D$1:$D$996),"")</f>
        <v/>
      </c>
      <c r="H3736" s="1069" t="n">
        <v>138.044797111111</v>
      </c>
      <c r="I3736" s="2161" t="n">
        <v>0</v>
      </c>
      <c r="J3736" s="2161" t="n">
        <v>0</v>
      </c>
      <c r="K3736" s="2161" t="n"/>
    </row>
    <row r="3737" outlineLevel="3" ht="15.75" customHeight="1">
      <c r="A3737" s="10" t="n">
        <v>2</v>
      </c>
      <c r="B3737" s="10" t="inlineStr">
        <is>
          <t>Insumo</t>
        </is>
      </c>
      <c r="C3737" s="10" t="inlineStr">
        <is>
          <t>Piso drenante</t>
        </is>
      </c>
      <c r="D3737" s="10" t="inlineStr">
        <is>
          <t>Piso drenante - 45x45x5</t>
        </is>
      </c>
      <c r="E3737" s="11">
        <f t="array" ref="E3737">_xlfn.XLOOKUP(D3737,Insumos!B:B,Insumos!C:$C)</f>
        <v/>
      </c>
      <c r="F3737" s="14" t="n">
        <v>1.05</v>
      </c>
      <c r="G3737" s="92">
        <f t="array" ref="G3737">IF(B3737="insumo",_xlfn.XLOOKUP($D3737,Insumos!$B$1:$B$996,Insumos!$D$1:$D$996),"")</f>
        <v/>
      </c>
      <c r="H3737" s="92" t="n">
        <v>129.111111111111</v>
      </c>
      <c r="I3737" s="2162" t="n">
        <v>0</v>
      </c>
      <c r="J3737" s="2162" t="n">
        <v>0</v>
      </c>
      <c r="K3737" s="2162" t="n"/>
    </row>
    <row r="3738" outlineLevel="3" ht="15.75" customHeight="1">
      <c r="A3738" s="10" t="n">
        <v>8</v>
      </c>
      <c r="B3738" s="10" t="inlineStr">
        <is>
          <t>Insumo</t>
        </is>
      </c>
      <c r="C3738" s="10" t="inlineStr">
        <is>
          <t>Piso drenante</t>
        </is>
      </c>
      <c r="D3738" s="10" t="inlineStr">
        <is>
          <t xml:space="preserve">PO DE PEDRA </t>
        </is>
      </c>
      <c r="E3738" s="11">
        <f t="array" ref="E3738">_xlfn.XLOOKUP(D3738,Insumos!B:B,Insumos!C:$C)</f>
        <v/>
      </c>
      <c r="F3738" s="14" t="n">
        <v>0.0066</v>
      </c>
      <c r="G3738" s="92">
        <f t="array" ref="G3738">IF(B3738="insumo",_xlfn.XLOOKUP($D3738,Insumos!$B$1:$B$996,Insumos!$D$1:$D$996),"")</f>
        <v/>
      </c>
      <c r="H3738" s="92" t="n">
        <v>0.697686</v>
      </c>
      <c r="I3738" s="2162" t="n">
        <v>0</v>
      </c>
      <c r="J3738" s="2162" t="n">
        <v>0</v>
      </c>
      <c r="K3738" s="2162" t="n"/>
    </row>
    <row r="3739" outlineLevel="3" ht="15.75" customHeight="1">
      <c r="A3739" s="10" t="n">
        <v>10</v>
      </c>
      <c r="B3739" s="10" t="inlineStr">
        <is>
          <t>Insumo</t>
        </is>
      </c>
      <c r="C3739" s="10" t="inlineStr">
        <is>
          <t>Piso drenante</t>
        </is>
      </c>
      <c r="D3739" s="10" t="inlineStr">
        <is>
          <t>AREIA MEDIA</t>
        </is>
      </c>
      <c r="E3739" s="11">
        <f t="array" ref="E3739">_xlfn.XLOOKUP(D3739,Insumos!B:B,Insumos!C:$C)</f>
        <v/>
      </c>
      <c r="F3739" s="14" t="n">
        <v>0.0568</v>
      </c>
      <c r="G3739" s="92">
        <f t="array" ref="G3739">IF(B3739="insumo",_xlfn.XLOOKUP($D3739,Insumos!$B$1:$B$996,Insumos!$D$1:$D$996),"")</f>
        <v/>
      </c>
      <c r="H3739" s="92" t="n">
        <v>8.236000000000001</v>
      </c>
      <c r="I3739" s="2162" t="n">
        <v>0</v>
      </c>
      <c r="J3739" s="2162" t="n">
        <v>0</v>
      </c>
      <c r="K3739" s="2162" t="n"/>
    </row>
    <row r="3740" outlineLevel="2" ht="15.75" customHeight="1">
      <c r="A3740" s="1067" t="n">
        <v>1</v>
      </c>
      <c r="B3740" s="1067" t="inlineStr">
        <is>
          <t>Serviço</t>
        </is>
      </c>
      <c r="C3740" s="1067" t="inlineStr">
        <is>
          <t>Piso em concreto intertravado</t>
        </is>
      </c>
      <c r="D3740" s="1067" t="inlineStr">
        <is>
          <t>Piso em concreto intertravado</t>
        </is>
      </c>
      <c r="E3740" s="1068" t="inlineStr">
        <is>
          <t>M2</t>
        </is>
      </c>
      <c r="F3740" s="1067" t="n"/>
      <c r="G3740" s="1069">
        <f t="array" ref="G3740">IF(B3740="insumo",_xlfn.XLOOKUP($D3740,Insumos!$B$1:$B$996,Insumos!$D$1:$D$996),"")</f>
        <v/>
      </c>
      <c r="H3740" s="1069" t="n">
        <v>78.128686</v>
      </c>
      <c r="I3740" s="2161" t="n">
        <v>0</v>
      </c>
      <c r="J3740" s="2161" t="n">
        <v>0</v>
      </c>
      <c r="K3740" s="2161" t="n"/>
    </row>
    <row r="3741" outlineLevel="3" ht="15.75" customHeight="1">
      <c r="A3741" s="10" t="n">
        <v>3</v>
      </c>
      <c r="B3741" s="10" t="inlineStr">
        <is>
          <t>Insumo</t>
        </is>
      </c>
      <c r="C3741" s="10" t="inlineStr">
        <is>
          <t>Piso em concreto intertravado</t>
        </is>
      </c>
      <c r="D3741" s="10" t="inlineStr">
        <is>
          <t xml:space="preserve">Piso Intertravado Retangular 10x20x08 </t>
        </is>
      </c>
      <c r="E3741" s="11">
        <f t="array" ref="E3741">_xlfn.XLOOKUP(D3741,Insumos!B:B,Insumos!C:$C)</f>
        <v/>
      </c>
      <c r="F3741" s="14" t="n">
        <v>1.05</v>
      </c>
      <c r="G3741" s="92">
        <f t="array" ref="G3741">IF(B3741="insumo",_xlfn.XLOOKUP($D3741,Insumos!$B$1:$B$996,Insumos!$D$1:$D$996),"")</f>
        <v/>
      </c>
      <c r="H3741" s="92" t="n">
        <v>69.19499999999999</v>
      </c>
      <c r="I3741" s="2162" t="n">
        <v>0</v>
      </c>
      <c r="J3741" s="2162" t="n">
        <v>0</v>
      </c>
      <c r="K3741" s="2162" t="n"/>
    </row>
    <row r="3742" outlineLevel="3" ht="15.75" customHeight="1">
      <c r="A3742" s="10" t="n">
        <v>8</v>
      </c>
      <c r="B3742" s="10" t="inlineStr">
        <is>
          <t>Insumo</t>
        </is>
      </c>
      <c r="C3742" s="10" t="inlineStr">
        <is>
          <t>Piso em concreto intertravado</t>
        </is>
      </c>
      <c r="D3742" s="10" t="inlineStr">
        <is>
          <t xml:space="preserve">PO DE PEDRA </t>
        </is>
      </c>
      <c r="E3742" s="11">
        <f t="array" ref="E3742">_xlfn.XLOOKUP(D3742,Insumos!B:B,Insumos!C:$C)</f>
        <v/>
      </c>
      <c r="F3742" s="14" t="n">
        <v>0.0066</v>
      </c>
      <c r="G3742" s="92">
        <f t="array" ref="G3742">IF(B3742="insumo",_xlfn.XLOOKUP($D3742,Insumos!$B$1:$B$996,Insumos!$D$1:$D$996),"")</f>
        <v/>
      </c>
      <c r="H3742" s="92" t="n">
        <v>0.697686</v>
      </c>
      <c r="I3742" s="2162" t="n">
        <v>0</v>
      </c>
      <c r="J3742" s="2162" t="n">
        <v>0</v>
      </c>
      <c r="K3742" s="2162" t="n"/>
    </row>
    <row r="3743" outlineLevel="3" ht="15.75" customHeight="1">
      <c r="A3743" s="10" t="n">
        <v>10</v>
      </c>
      <c r="B3743" s="10" t="inlineStr">
        <is>
          <t>Insumo</t>
        </is>
      </c>
      <c r="C3743" s="10" t="inlineStr">
        <is>
          <t>Piso em concreto intertravado</t>
        </is>
      </c>
      <c r="D3743" s="10" t="inlineStr">
        <is>
          <t>AREIA MEDIA</t>
        </is>
      </c>
      <c r="E3743" s="11">
        <f t="array" ref="E3743">_xlfn.XLOOKUP(D3743,Insumos!B:B,Insumos!C:$C)</f>
        <v/>
      </c>
      <c r="F3743" s="14" t="n">
        <v>0.0568</v>
      </c>
      <c r="G3743" s="92">
        <f t="array" ref="G3743">IF(B3743="insumo",_xlfn.XLOOKUP($D3743,Insumos!$B$1:$B$996,Insumos!$D$1:$D$996),"")</f>
        <v/>
      </c>
      <c r="H3743" s="92" t="n">
        <v>8.236000000000001</v>
      </c>
      <c r="I3743" s="2162" t="n">
        <v>0</v>
      </c>
      <c r="J3743" s="2162" t="n">
        <v>0</v>
      </c>
      <c r="K3743" s="2162" t="n"/>
    </row>
    <row r="3744" outlineLevel="2" ht="15.75" customHeight="1">
      <c r="A3744" s="1067" t="n">
        <v>1</v>
      </c>
      <c r="B3744" s="1067" t="inlineStr">
        <is>
          <t>Serviço</t>
        </is>
      </c>
      <c r="C3744" s="1067" t="inlineStr">
        <is>
          <t xml:space="preserve">Revestimento de Piso Laudrilho Hidraulico 20X20 Cm  </t>
        </is>
      </c>
      <c r="D3744" s="1067" t="inlineStr">
        <is>
          <t xml:space="preserve">Revestimento de Piso Laudrilho Hidraulico 20X20 Cm  </t>
        </is>
      </c>
      <c r="E3744" s="1068" t="inlineStr">
        <is>
          <t>M2</t>
        </is>
      </c>
      <c r="F3744" s="1067" t="n"/>
      <c r="G3744" s="1069">
        <f t="array" ref="G3744">IF(B3744="insumo",_xlfn.XLOOKUP($D3744,Insumos!$B$1:$B$996,Insumos!$D$1:$D$996),"")</f>
        <v/>
      </c>
      <c r="H3744" s="1069" t="n">
        <v>204.05</v>
      </c>
      <c r="I3744" s="2161" t="n">
        <v>0</v>
      </c>
      <c r="J3744" s="2161" t="n">
        <v>0</v>
      </c>
      <c r="K3744" s="2161" t="n"/>
    </row>
    <row r="3745" outlineLevel="3" ht="15.75" customHeight="1">
      <c r="A3745" s="10" t="n">
        <v>1</v>
      </c>
      <c r="B3745" s="10" t="inlineStr">
        <is>
          <t>Insumo</t>
        </is>
      </c>
      <c r="C3745" s="10" t="inlineStr">
        <is>
          <t xml:space="preserve">Revestimento de Piso Laudrilho Hidraulico 20X20 Cm  </t>
        </is>
      </c>
      <c r="D3745" s="10" t="inlineStr">
        <is>
          <t>Ladrilho hidráulico 20x20 cm</t>
        </is>
      </c>
      <c r="E3745" s="11">
        <f t="array" ref="E3745">_xlfn.XLOOKUP(D3745,Insumos!B:B,Insumos!C:$C)</f>
        <v/>
      </c>
      <c r="F3745" s="14" t="n">
        <v>1.05</v>
      </c>
      <c r="G3745" s="92">
        <f t="array" ref="G3745">IF(B3745="insumo",_xlfn.XLOOKUP($D3745,Insumos!$B$1:$B$996,Insumos!$D$1:$D$996),"")</f>
        <v/>
      </c>
      <c r="H3745" s="92" t="n">
        <v>189</v>
      </c>
      <c r="I3745" s="2162" t="n">
        <v>0</v>
      </c>
      <c r="J3745" s="2162" t="n">
        <v>0</v>
      </c>
      <c r="K3745" s="2162" t="n"/>
    </row>
    <row r="3746" outlineLevel="3" ht="15.75" customHeight="1">
      <c r="A3746" s="10" t="n">
        <v>16</v>
      </c>
      <c r="B3746" s="10" t="inlineStr">
        <is>
          <t>Insumo</t>
        </is>
      </c>
      <c r="C3746" s="10" t="inlineStr">
        <is>
          <t xml:space="preserve">Revestimento de Piso Laudrilho Hidraulico 20X20 Cm  </t>
        </is>
      </c>
      <c r="D3746" s="10" t="inlineStr">
        <is>
          <t>Argamassa ACII</t>
        </is>
      </c>
      <c r="E3746" s="11">
        <f t="array" ref="E3746">_xlfn.XLOOKUP(D3746,Insumos!B:B,Insumos!C:$C)</f>
        <v/>
      </c>
      <c r="F3746" s="14" t="n">
        <v>8.800000000000001</v>
      </c>
      <c r="G3746" s="92">
        <f t="array" ref="G3746">IF(B3746="insumo",_xlfn.XLOOKUP($D3746,Insumos!$B$1:$B$996,Insumos!$D$1:$D$996),"")</f>
        <v/>
      </c>
      <c r="H3746" s="92" t="n">
        <v>8.359999999999999</v>
      </c>
      <c r="I3746" s="2162" t="n">
        <v>0</v>
      </c>
      <c r="J3746" s="2162" t="n">
        <v>0</v>
      </c>
      <c r="K3746" s="2162" t="n"/>
    </row>
    <row r="3747" outlineLevel="3" ht="15.75" customHeight="1">
      <c r="A3747" s="10" t="n">
        <v>101</v>
      </c>
      <c r="B3747" s="10" t="inlineStr">
        <is>
          <t>Insumo</t>
        </is>
      </c>
      <c r="C3747" s="10" t="inlineStr">
        <is>
          <t xml:space="preserve">Revestimento de Piso Laudrilho Hidraulico 20X20 Cm  </t>
        </is>
      </c>
      <c r="D3747" s="10" t="inlineStr">
        <is>
          <t>Rejunte Cimentício</t>
        </is>
      </c>
      <c r="E3747" s="11">
        <f t="array" ref="E3747">_xlfn.XLOOKUP(D3747,Insumos!B:B,Insumos!C:$C)</f>
        <v/>
      </c>
      <c r="F3747" s="14" t="n">
        <v>0.6</v>
      </c>
      <c r="G3747" s="92">
        <f t="array" ref="G3747">IF(B3747="insumo",_xlfn.XLOOKUP($D3747,Insumos!$B$1:$B$996,Insumos!$D$1:$D$996),"")</f>
        <v/>
      </c>
      <c r="H3747" s="92" t="n">
        <v>6.69</v>
      </c>
      <c r="I3747" s="2162" t="n">
        <v>0</v>
      </c>
      <c r="J3747" s="2162" t="n">
        <v>0</v>
      </c>
      <c r="K3747" s="2162" t="n"/>
    </row>
    <row r="3748" outlineLevel="2" ht="15.75" customHeight="1">
      <c r="A3748" s="1067" t="n">
        <v>2</v>
      </c>
      <c r="B3748" s="1067" t="inlineStr">
        <is>
          <t>Serviço</t>
        </is>
      </c>
      <c r="C3748" s="1067" t="inlineStr">
        <is>
          <t>Calçadada/passeio em concreto intertravado</t>
        </is>
      </c>
      <c r="D3748" s="1067" t="inlineStr">
        <is>
          <t>Calçadada/passeio em concreto intertravado</t>
        </is>
      </c>
      <c r="E3748" s="1068" t="inlineStr">
        <is>
          <t>M2</t>
        </is>
      </c>
      <c r="F3748" s="1067" t="n"/>
      <c r="G3748" s="1069">
        <f t="array" ref="G3748">IF(B3748="insumo",_xlfn.XLOOKUP($D3748,Insumos!$B$1:$B$996,Insumos!$D$1:$D$996),"")</f>
        <v/>
      </c>
      <c r="H3748" s="1069" t="n">
        <v>234.386058</v>
      </c>
      <c r="I3748" s="2161" t="n">
        <v>0</v>
      </c>
      <c r="J3748" s="2161" t="n">
        <v>0</v>
      </c>
      <c r="K3748" s="2161" t="n"/>
    </row>
    <row r="3749" outlineLevel="3" ht="15.75" customHeight="1">
      <c r="A3749" s="10" t="n">
        <v>3</v>
      </c>
      <c r="B3749" s="10" t="inlineStr">
        <is>
          <t>Insumo</t>
        </is>
      </c>
      <c r="C3749" s="10" t="inlineStr">
        <is>
          <t>Calçadada/passeio em concreto intertravado</t>
        </is>
      </c>
      <c r="D3749" s="10" t="inlineStr">
        <is>
          <t xml:space="preserve">Piso Intertravado Retangular 10x20x08 </t>
        </is>
      </c>
      <c r="E3749" s="11">
        <f t="array" ref="E3749">_xlfn.XLOOKUP(D3749,Insumos!B:B,Insumos!C:$C)</f>
        <v/>
      </c>
      <c r="F3749" s="14" t="n">
        <v>1.05</v>
      </c>
      <c r="G3749" s="92">
        <f t="array" ref="G3749">IF(B3749="insumo",_xlfn.XLOOKUP($D3749,Insumos!$B$1:$B$996,Insumos!$D$1:$D$996),"")</f>
        <v/>
      </c>
      <c r="H3749" s="92" t="n">
        <v>69.19499999999999</v>
      </c>
      <c r="I3749" s="2162" t="n">
        <v>0</v>
      </c>
      <c r="J3749" s="2162" t="n">
        <v>0</v>
      </c>
      <c r="K3749" s="2162" t="n"/>
    </row>
    <row r="3750" outlineLevel="3" ht="15.75" customHeight="1">
      <c r="A3750" s="10" t="n">
        <v>8</v>
      </c>
      <c r="B3750" s="10" t="inlineStr">
        <is>
          <t>Insumo</t>
        </is>
      </c>
      <c r="C3750" s="10" t="inlineStr">
        <is>
          <t>Calçadada/passeio em concreto intertravado</t>
        </is>
      </c>
      <c r="D3750" s="10" t="inlineStr">
        <is>
          <t xml:space="preserve">PO DE PEDRA </t>
        </is>
      </c>
      <c r="E3750" s="11">
        <f t="array" ref="E3750">_xlfn.XLOOKUP(D3750,Insumos!B:B,Insumos!C:$C)</f>
        <v/>
      </c>
      <c r="F3750" s="14" t="n">
        <v>0.0066</v>
      </c>
      <c r="G3750" s="92">
        <f t="array" ref="G3750">IF(B3750="insumo",_xlfn.XLOOKUP($D3750,Insumos!$B$1:$B$996,Insumos!$D$1:$D$996),"")</f>
        <v/>
      </c>
      <c r="H3750" s="92" t="n">
        <v>0.697686</v>
      </c>
      <c r="I3750" s="2162" t="n">
        <v>0</v>
      </c>
      <c r="J3750" s="2162" t="n">
        <v>0</v>
      </c>
      <c r="K3750" s="2162" t="n"/>
    </row>
    <row r="3751" outlineLevel="3" ht="15.75" customHeight="1">
      <c r="A3751" s="10" t="n">
        <v>10</v>
      </c>
      <c r="B3751" s="10" t="inlineStr">
        <is>
          <t>Insumo</t>
        </is>
      </c>
      <c r="C3751" s="10" t="inlineStr">
        <is>
          <t>Calçadada/passeio em concreto intertravado</t>
        </is>
      </c>
      <c r="D3751" s="10" t="inlineStr">
        <is>
          <t>AREIA MEDIA</t>
        </is>
      </c>
      <c r="E3751" s="11">
        <f t="array" ref="E3751">_xlfn.XLOOKUP(D3751,Insumos!B:B,Insumos!C:$C)</f>
        <v/>
      </c>
      <c r="F3751" s="14" t="n">
        <v>0.0568</v>
      </c>
      <c r="G3751" s="92">
        <f t="array" ref="G3751">IF(B3751="insumo",_xlfn.XLOOKUP($D3751,Insumos!$B$1:$B$996,Insumos!$D$1:$D$996),"")</f>
        <v/>
      </c>
      <c r="H3751" s="92" t="n">
        <v>8.236000000000001</v>
      </c>
      <c r="I3751" s="2162" t="n">
        <v>0</v>
      </c>
      <c r="J3751" s="2162" t="n">
        <v>0</v>
      </c>
      <c r="K3751" s="2162" t="n"/>
    </row>
    <row r="3752" outlineLevel="2" ht="15.75" customHeight="1">
      <c r="A3752" s="1067" t="n">
        <v>2</v>
      </c>
      <c r="B3752" s="1067" t="inlineStr">
        <is>
          <t>Serviço</t>
        </is>
      </c>
      <c r="C3752" s="1067" t="inlineStr">
        <is>
          <t xml:space="preserve">Calçadada/passeio em Podotátil </t>
        </is>
      </c>
      <c r="D3752" s="1067" t="inlineStr">
        <is>
          <t xml:space="preserve">Calçadada/passeio em Podotátil </t>
        </is>
      </c>
      <c r="E3752" s="1068" t="inlineStr">
        <is>
          <t>M2</t>
        </is>
      </c>
      <c r="F3752" s="1067" t="n"/>
      <c r="G3752" s="1069">
        <f t="array" ref="G3752">IF(B3752="insumo",_xlfn.XLOOKUP($D3752,Insumos!$B$1:$B$996,Insumos!$D$1:$D$996),"")</f>
        <v/>
      </c>
      <c r="H3752" s="1069" t="n">
        <v>350.936058</v>
      </c>
      <c r="I3752" s="2161" t="n">
        <v>0</v>
      </c>
      <c r="J3752" s="2161" t="n">
        <v>0</v>
      </c>
      <c r="K3752" s="2161" t="n"/>
    </row>
    <row r="3753" outlineLevel="3" ht="15.75" customHeight="1">
      <c r="A3753" s="10" t="n">
        <v>2</v>
      </c>
      <c r="B3753" s="10" t="inlineStr">
        <is>
          <t>Insumo</t>
        </is>
      </c>
      <c r="C3753" s="10" t="inlineStr">
        <is>
          <t xml:space="preserve">Calçadada/passeio em Podotátil </t>
        </is>
      </c>
      <c r="D3753" s="10" t="inlineStr">
        <is>
          <t>Piso Podotátil Alerta Amarelo 20x20cm Cimartex</t>
        </is>
      </c>
      <c r="E3753" s="11">
        <f t="array" ref="E3753">_xlfn.XLOOKUP(D3753,Insumos!B:B,Insumos!C:$C)</f>
        <v/>
      </c>
      <c r="F3753" s="14" t="n">
        <v>1.05</v>
      </c>
      <c r="G3753" s="92">
        <f t="array" ref="G3753">IF(B3753="insumo",_xlfn.XLOOKUP($D3753,Insumos!$B$1:$B$996,Insumos!$D$1:$D$996),"")</f>
        <v/>
      </c>
      <c r="H3753" s="92" t="n">
        <v>108.045</v>
      </c>
      <c r="I3753" s="2162" t="n">
        <v>0</v>
      </c>
      <c r="J3753" s="2162" t="n">
        <v>0</v>
      </c>
      <c r="K3753" s="2162" t="n"/>
    </row>
    <row r="3754" outlineLevel="3" ht="15.75" customHeight="1">
      <c r="A3754" s="10" t="n">
        <v>8</v>
      </c>
      <c r="B3754" s="10" t="inlineStr">
        <is>
          <t>Insumo</t>
        </is>
      </c>
      <c r="C3754" s="10" t="inlineStr">
        <is>
          <t xml:space="preserve">Calçadada/passeio em Podotátil </t>
        </is>
      </c>
      <c r="D3754" s="10" t="inlineStr">
        <is>
          <t xml:space="preserve">PO DE PEDRA </t>
        </is>
      </c>
      <c r="E3754" s="11">
        <f t="array" ref="E3754">_xlfn.XLOOKUP(D3754,Insumos!B:B,Insumos!C:$C)</f>
        <v/>
      </c>
      <c r="F3754" s="14" t="n">
        <v>0.0066</v>
      </c>
      <c r="G3754" s="92">
        <f t="array" ref="G3754">IF(B3754="insumo",_xlfn.XLOOKUP($D3754,Insumos!$B$1:$B$996,Insumos!$D$1:$D$996),"")</f>
        <v/>
      </c>
      <c r="H3754" s="92" t="n">
        <v>0.697686</v>
      </c>
      <c r="I3754" s="2162" t="n">
        <v>0</v>
      </c>
      <c r="J3754" s="2162" t="n">
        <v>0</v>
      </c>
      <c r="K3754" s="2162" t="n"/>
    </row>
    <row r="3755" outlineLevel="3" ht="15.75" customHeight="1">
      <c r="A3755" s="10" t="n">
        <v>10</v>
      </c>
      <c r="B3755" s="10" t="inlineStr">
        <is>
          <t>Insumo</t>
        </is>
      </c>
      <c r="C3755" s="10" t="inlineStr">
        <is>
          <t xml:space="preserve">Calçadada/passeio em Podotátil </t>
        </is>
      </c>
      <c r="D3755" s="10" t="inlineStr">
        <is>
          <t>AREIA MEDIA</t>
        </is>
      </c>
      <c r="E3755" s="11">
        <f t="array" ref="E3755">_xlfn.XLOOKUP(D3755,Insumos!B:B,Insumos!C:$C)</f>
        <v/>
      </c>
      <c r="F3755" s="14" t="n">
        <v>0.0568</v>
      </c>
      <c r="G3755" s="92">
        <f t="array" ref="G3755">IF(B3755="insumo",_xlfn.XLOOKUP($D3755,Insumos!$B$1:$B$996,Insumos!$D$1:$D$996),"")</f>
        <v/>
      </c>
      <c r="H3755" s="92" t="n">
        <v>8.236000000000001</v>
      </c>
      <c r="I3755" s="2162" t="n">
        <v>0</v>
      </c>
      <c r="J3755" s="2162" t="n">
        <v>0</v>
      </c>
      <c r="K3755" s="2162" t="n"/>
    </row>
    <row r="3756" outlineLevel="1" ht="15.75" customHeight="1">
      <c r="A3756" s="1090" t="n">
        <v>1</v>
      </c>
      <c r="B3756" s="1090" t="inlineStr">
        <is>
          <t>Subetapa</t>
        </is>
      </c>
      <c r="C3756" s="1090" t="inlineStr">
        <is>
          <t xml:space="preserve">Calçadada/passeio em Podotátil </t>
        </is>
      </c>
      <c r="D3756" s="1090" t="inlineStr">
        <is>
          <t>MÃO DE OBRA ARGAMASSADOS</t>
        </is>
      </c>
      <c r="E3756" s="1091" t="n"/>
      <c r="F3756" s="2160" t="n"/>
      <c r="G3756" s="1091" t="n"/>
      <c r="H3756" s="1091" t="n">
        <v>0</v>
      </c>
      <c r="I3756" s="2160" t="n">
        <v>0</v>
      </c>
      <c r="J3756" s="2160" t="n">
        <v>0</v>
      </c>
      <c r="K3756" s="2160" t="n"/>
    </row>
    <row r="3757" outlineLevel="2" ht="15.75" customHeight="1">
      <c r="A3757" s="1067" t="n">
        <v>1</v>
      </c>
      <c r="B3757" s="1067" t="inlineStr">
        <is>
          <t>Serviço</t>
        </is>
      </c>
      <c r="C3757" s="1067" t="inlineStr">
        <is>
          <t>Mão de obra para enchimento de EPS em piso</t>
        </is>
      </c>
      <c r="D3757" s="1067" t="inlineStr">
        <is>
          <t>Mão de obra para enchimento de EPS em piso</t>
        </is>
      </c>
      <c r="E3757" s="1068" t="inlineStr">
        <is>
          <t>M2</t>
        </is>
      </c>
      <c r="F3757" s="1075" t="n"/>
      <c r="G3757" s="1069">
        <f t="array" ref="G3757">IF(B3757="insumo",_xlfn.XLOOKUP($D3757,Insumos!$B$1:$B$996,Insumos!$D$1:$D$996),"")</f>
        <v/>
      </c>
      <c r="H3757" s="1069" t="n">
        <v>60</v>
      </c>
      <c r="I3757" s="2161" t="n">
        <v>0</v>
      </c>
      <c r="J3757" s="2161" t="n">
        <v>0</v>
      </c>
      <c r="K3757" s="2161" t="n"/>
    </row>
    <row r="3758" outlineLevel="3" ht="15.75" customHeight="1">
      <c r="A3758" s="10" t="n">
        <v>1</v>
      </c>
      <c r="B3758" s="10" t="inlineStr">
        <is>
          <t>Insumo</t>
        </is>
      </c>
      <c r="C3758" s="10" t="inlineStr">
        <is>
          <t>Mão de obra para enchimento de EPS em piso</t>
        </is>
      </c>
      <c r="D3758" s="10" t="inlineStr">
        <is>
          <t>Mão de obra para enchimento de EPS em piso</t>
        </is>
      </c>
      <c r="E3758" s="11">
        <f t="array" ref="E3758">_xlfn.XLOOKUP(D3758,Insumos!B:B,Insumos!C:$C)</f>
        <v/>
      </c>
      <c r="F3758" s="14" t="n">
        <v>1</v>
      </c>
      <c r="G3758" s="92">
        <f t="array" ref="G3758">IF(B3758="insumo",_xlfn.XLOOKUP($D3758,Insumos!$B$1:$B$996,Insumos!$D$1:$D$996),"")</f>
        <v/>
      </c>
      <c r="H3758" s="92" t="n">
        <v>60</v>
      </c>
      <c r="I3758" s="2162" t="n">
        <v>0</v>
      </c>
      <c r="J3758" s="2162" t="n">
        <v>0</v>
      </c>
      <c r="K3758" s="2162" t="n"/>
    </row>
    <row r="3759" outlineLevel="2" ht="15.75" customHeight="1">
      <c r="A3759" s="1067" t="n">
        <v>1</v>
      </c>
      <c r="B3759" s="1067" t="inlineStr">
        <is>
          <t>Serviço</t>
        </is>
      </c>
      <c r="C3759" s="1067" t="inlineStr">
        <is>
          <t>Mão de obra execução regularização de Piso</t>
        </is>
      </c>
      <c r="D3759" s="1067" t="inlineStr">
        <is>
          <t>Mão de obra execução regularização de Piso</t>
        </is>
      </c>
      <c r="E3759" s="1068" t="inlineStr">
        <is>
          <t>M2</t>
        </is>
      </c>
      <c r="F3759" s="1067" t="n"/>
      <c r="G3759" s="1069">
        <f t="array" ref="G3759">IF(B3759="insumo",_xlfn.XLOOKUP($D3759,Insumos!$B$1:$B$996,Insumos!$D$1:$D$996),"")</f>
        <v/>
      </c>
      <c r="H3759" s="1069" t="n">
        <v>40</v>
      </c>
      <c r="I3759" s="2161" t="e">
        <v>#REF!</v>
      </c>
      <c r="J3759" s="2161" t="e">
        <v>#REF!</v>
      </c>
      <c r="K3759" s="2161" t="n"/>
    </row>
    <row r="3760" outlineLevel="3" ht="15.75" customHeight="1">
      <c r="A3760" s="10" t="n">
        <v>1</v>
      </c>
      <c r="B3760" s="10" t="inlineStr">
        <is>
          <t>Insumo</t>
        </is>
      </c>
      <c r="C3760" s="10" t="inlineStr">
        <is>
          <t>Mão de obra execução regularização de Piso</t>
        </is>
      </c>
      <c r="D3760" s="10" t="inlineStr">
        <is>
          <t>Mão de obra execução regularização de Piso</t>
        </is>
      </c>
      <c r="E3760" s="11">
        <f t="array" ref="E3760">_xlfn.XLOOKUP(D3760,Insumos!B:B,Insumos!C:$C)</f>
        <v/>
      </c>
      <c r="F3760" s="14" t="n">
        <v>1</v>
      </c>
      <c r="G3760" s="92">
        <f t="array" ref="G3760">IF(B3760="insumo",_xlfn.XLOOKUP($D3760,Insumos!$B$1:$B$996,Insumos!$D$1:$D$996),"")</f>
        <v/>
      </c>
      <c r="H3760" s="92" t="n">
        <v>40</v>
      </c>
      <c r="I3760" s="2162" t="e">
        <v>#REF!</v>
      </c>
      <c r="J3760" s="2162" t="e">
        <v>#REF!</v>
      </c>
      <c r="K3760" s="2162" t="n"/>
    </row>
    <row r="3761" outlineLevel="2" ht="15.75" customHeight="1">
      <c r="A3761" s="1067" t="n">
        <v>1</v>
      </c>
      <c r="B3761" s="1067" t="inlineStr">
        <is>
          <t>Serviço</t>
        </is>
      </c>
      <c r="C3761" s="1067" t="inlineStr">
        <is>
          <t>Mão de obra execução de contrapiso comum e Acústico</t>
        </is>
      </c>
      <c r="D3761" s="1067" t="inlineStr">
        <is>
          <t>Mão de obra execução de contrapiso comum e Acústico</t>
        </is>
      </c>
      <c r="E3761" s="1068" t="inlineStr">
        <is>
          <t>M2</t>
        </is>
      </c>
      <c r="F3761" s="1075" t="n"/>
      <c r="G3761" s="1069">
        <f t="array" ref="G3761">IF(B3761="insumo",_xlfn.XLOOKUP($D3761,Insumos!$B$1:$B$996,Insumos!$D$1:$D$996),"")</f>
        <v/>
      </c>
      <c r="H3761" s="1069" t="n">
        <v>40</v>
      </c>
      <c r="I3761" s="2161" t="e">
        <v>#REF!</v>
      </c>
      <c r="J3761" s="2161" t="e">
        <v>#REF!</v>
      </c>
      <c r="K3761" s="2161" t="n"/>
    </row>
    <row r="3762" outlineLevel="3" ht="15.75" customHeight="1">
      <c r="A3762" s="10" t="n">
        <v>1</v>
      </c>
      <c r="B3762" s="10" t="inlineStr">
        <is>
          <t>Insumo</t>
        </is>
      </c>
      <c r="C3762" s="10" t="inlineStr">
        <is>
          <t>Mão de obra execução de contrapiso comum e Acústico</t>
        </is>
      </c>
      <c r="D3762" s="10" t="inlineStr">
        <is>
          <t>Mão de obra execução de contrapiso comum e Acústico</t>
        </is>
      </c>
      <c r="E3762" s="11">
        <f t="array" ref="E3762">_xlfn.XLOOKUP(D3762,Insumos!B:B,Insumos!C:$C)</f>
        <v/>
      </c>
      <c r="F3762" s="14" t="n">
        <v>1</v>
      </c>
      <c r="G3762" s="92">
        <f t="array" ref="G3762">IF(B3762="insumo",_xlfn.XLOOKUP($D3762,Insumos!$B$1:$B$996,Insumos!$D$1:$D$996),"")</f>
        <v/>
      </c>
      <c r="H3762" s="92" t="n">
        <v>40</v>
      </c>
      <c r="I3762" s="2162" t="e">
        <v>#REF!</v>
      </c>
      <c r="J3762" s="2162" t="e">
        <v>#REF!</v>
      </c>
      <c r="K3762" s="2162" t="n"/>
    </row>
    <row r="3763" outlineLevel="2" ht="15.75" customHeight="1">
      <c r="A3763" s="1067" t="n">
        <v>1</v>
      </c>
      <c r="B3763" s="1067" t="inlineStr">
        <is>
          <t>Serviço</t>
        </is>
      </c>
      <c r="C3763" s="1067" t="inlineStr">
        <is>
          <t>Mão de obra execução Piso cimentado</t>
        </is>
      </c>
      <c r="D3763" s="1067" t="inlineStr">
        <is>
          <t>Mão de obra execução Piso cimentado</t>
        </is>
      </c>
      <c r="E3763" s="1068" t="inlineStr">
        <is>
          <t>M2</t>
        </is>
      </c>
      <c r="F3763" s="1075" t="n"/>
      <c r="G3763" s="1069">
        <f t="array" ref="G3763">IF(B3763="insumo",_xlfn.XLOOKUP($D3763,Insumos!$B$1:$B$996,Insumos!$D$1:$D$996),"")</f>
        <v/>
      </c>
      <c r="H3763" s="1069" t="n">
        <v>40</v>
      </c>
      <c r="I3763" s="2161" t="n">
        <v>0</v>
      </c>
      <c r="J3763" s="2161" t="n">
        <v>0</v>
      </c>
      <c r="K3763" s="2161" t="n"/>
    </row>
    <row r="3764" outlineLevel="3" ht="15.75" customHeight="1">
      <c r="A3764" s="10" t="n">
        <v>1</v>
      </c>
      <c r="B3764" s="10" t="inlineStr">
        <is>
          <t>Insumo</t>
        </is>
      </c>
      <c r="C3764" s="10" t="inlineStr">
        <is>
          <t>Mão de obra execução Piso cimentado</t>
        </is>
      </c>
      <c r="D3764" s="10" t="inlineStr">
        <is>
          <t>Mão de obra execução Piso cimentado</t>
        </is>
      </c>
      <c r="E3764" s="11">
        <f t="array" ref="E3764">_xlfn.XLOOKUP(D3764,Insumos!B:B,Insumos!C:$C)</f>
        <v/>
      </c>
      <c r="F3764" s="14" t="n">
        <v>1</v>
      </c>
      <c r="G3764" s="92">
        <f t="array" ref="G3764">IF(B3764="insumo",_xlfn.XLOOKUP($D3764,Insumos!$B$1:$B$996,Insumos!$D$1:$D$996),"")</f>
        <v/>
      </c>
      <c r="H3764" s="92" t="n">
        <v>40</v>
      </c>
      <c r="I3764" s="2162" t="n">
        <v>0</v>
      </c>
      <c r="J3764" s="2162" t="n">
        <v>0</v>
      </c>
      <c r="K3764" s="2162" t="n"/>
    </row>
    <row r="3765" outlineLevel="2" ht="15.75" customHeight="1">
      <c r="A3765" s="1067" t="n">
        <v>1</v>
      </c>
      <c r="B3765" s="1067" t="inlineStr">
        <is>
          <t>Serviço</t>
        </is>
      </c>
      <c r="C3765" s="1067" t="inlineStr">
        <is>
          <t>Mão de obra execução Piso de concreto polido</t>
        </is>
      </c>
      <c r="D3765" s="1067" t="inlineStr">
        <is>
          <t>Mão de obra execução Piso de concreto polido</t>
        </is>
      </c>
      <c r="E3765" s="1068" t="inlineStr">
        <is>
          <t>M2</t>
        </is>
      </c>
      <c r="F3765" s="1075" t="n"/>
      <c r="G3765" s="1069">
        <f t="array" ref="G3765">IF(B3765="insumo",_xlfn.XLOOKUP($D3765,Insumos!$B$1:$B$996,Insumos!$D$1:$D$996),"")</f>
        <v/>
      </c>
      <c r="H3765" s="1069" t="n">
        <v>40</v>
      </c>
      <c r="I3765" s="2161" t="e">
        <v>#REF!</v>
      </c>
      <c r="J3765" s="2161" t="e">
        <v>#REF!</v>
      </c>
      <c r="K3765" s="2161" t="n"/>
    </row>
    <row r="3766" outlineLevel="3" ht="15.75" customHeight="1">
      <c r="A3766" s="10" t="n">
        <v>1</v>
      </c>
      <c r="B3766" s="10" t="inlineStr">
        <is>
          <t>Insumo</t>
        </is>
      </c>
      <c r="C3766" s="10" t="inlineStr">
        <is>
          <t>Mão de obra execução Piso de concreto polido</t>
        </is>
      </c>
      <c r="D3766" s="10" t="inlineStr">
        <is>
          <t>Mão de obra execução Piso de concreto polido</t>
        </is>
      </c>
      <c r="E3766" s="11">
        <f t="array" ref="E3766">_xlfn.XLOOKUP(D3766,Insumos!B:B,Insumos!C:$C)</f>
        <v/>
      </c>
      <c r="F3766" s="14" t="n">
        <v>1</v>
      </c>
      <c r="G3766" s="92">
        <f t="array" ref="G3766">IF(B3766="insumo",_xlfn.XLOOKUP($D3766,Insumos!$B$1:$B$996,Insumos!$D$1:$D$996),"")</f>
        <v/>
      </c>
      <c r="H3766" s="92" t="n">
        <v>40</v>
      </c>
      <c r="I3766" s="2162" t="e">
        <v>#REF!</v>
      </c>
      <c r="J3766" s="2162" t="e">
        <v>#REF!</v>
      </c>
      <c r="K3766" s="2162" t="n"/>
    </row>
    <row r="3767" outlineLevel="1" ht="15.75" customHeight="1">
      <c r="A3767" s="1090" t="n">
        <v>1</v>
      </c>
      <c r="B3767" s="1090" t="inlineStr">
        <is>
          <t>Subetapa</t>
        </is>
      </c>
      <c r="C3767" s="1090" t="inlineStr">
        <is>
          <t>Mão de obra execução Piso de concreto polido</t>
        </is>
      </c>
      <c r="D3767" s="1090" t="inlineStr">
        <is>
          <t>MÃO DE OBRA PRÉ FABRICADOS</t>
        </is>
      </c>
      <c r="E3767" s="1091" t="n"/>
      <c r="F3767" s="2160" t="n"/>
      <c r="G3767" s="1091" t="n"/>
      <c r="H3767" s="1091" t="n">
        <v>0</v>
      </c>
      <c r="I3767" s="2160" t="n">
        <v>0</v>
      </c>
      <c r="J3767" s="2160" t="n">
        <v>0</v>
      </c>
      <c r="K3767" s="2160" t="n"/>
    </row>
    <row r="3768" outlineLevel="2" ht="15.75" customHeight="1">
      <c r="A3768" s="1067" t="n">
        <v>1</v>
      </c>
      <c r="B3768" s="1067" t="inlineStr">
        <is>
          <t>Serviço</t>
        </is>
      </c>
      <c r="C3768" s="1067" t="inlineStr">
        <is>
          <t>Mão de obra execução Piso drenantes</t>
        </is>
      </c>
      <c r="D3768" s="1067" t="inlineStr">
        <is>
          <t>Mão de obra execução Piso drenantes</t>
        </is>
      </c>
      <c r="E3768" s="1068" t="inlineStr">
        <is>
          <t>M2</t>
        </is>
      </c>
      <c r="F3768" s="1075" t="n"/>
      <c r="G3768" s="1069">
        <f t="array" ref="G3768">IF(B3768="insumo",_xlfn.XLOOKUP($D3768,Insumos!$B$1:$B$996,Insumos!$D$1:$D$996),"")</f>
        <v/>
      </c>
      <c r="H3768" s="1069" t="n">
        <v>25</v>
      </c>
      <c r="I3768" s="2161" t="n">
        <v>0</v>
      </c>
      <c r="J3768" s="2161" t="n">
        <v>0</v>
      </c>
      <c r="K3768" s="2161" t="n"/>
    </row>
    <row r="3769" outlineLevel="3" ht="15.75" customHeight="1">
      <c r="A3769" s="10" t="n">
        <v>1</v>
      </c>
      <c r="B3769" s="10" t="inlineStr">
        <is>
          <t>Insumo</t>
        </is>
      </c>
      <c r="C3769" s="10" t="inlineStr">
        <is>
          <t>Mão de obra execução Piso drenantes</t>
        </is>
      </c>
      <c r="D3769" s="10" t="inlineStr">
        <is>
          <t>Mão de obra execução Piso drenantes</t>
        </is>
      </c>
      <c r="E3769" s="11">
        <f t="array" ref="E3769">_xlfn.XLOOKUP(D3769,Insumos!B:B,Insumos!C:$C)</f>
        <v/>
      </c>
      <c r="F3769" s="14" t="n">
        <v>1</v>
      </c>
      <c r="G3769" s="92">
        <f t="array" ref="G3769">IF(B3769="insumo",_xlfn.XLOOKUP($D3769,Insumos!$B$1:$B$996,Insumos!$D$1:$D$996),"")</f>
        <v/>
      </c>
      <c r="H3769" s="92" t="n">
        <v>25</v>
      </c>
      <c r="I3769" s="2162" t="n">
        <v>0</v>
      </c>
      <c r="J3769" s="2162" t="n">
        <v>0</v>
      </c>
      <c r="K3769" s="2162" t="n"/>
    </row>
    <row r="3770" outlineLevel="2" ht="15.75" customHeight="1">
      <c r="A3770" s="1067" t="n">
        <v>1</v>
      </c>
      <c r="B3770" s="1067" t="inlineStr">
        <is>
          <t>Serviço</t>
        </is>
      </c>
      <c r="C3770" s="1067" t="inlineStr">
        <is>
          <t>Mão de obra execução Piso Intertravado</t>
        </is>
      </c>
      <c r="D3770" s="1067" t="inlineStr">
        <is>
          <t>Mão de obra execução Piso Intertravado</t>
        </is>
      </c>
      <c r="E3770" s="1068" t="inlineStr">
        <is>
          <t>M2</t>
        </is>
      </c>
      <c r="F3770" s="1075" t="n"/>
      <c r="G3770" s="1069">
        <f t="array" ref="G3770">IF(B3770="insumo",_xlfn.XLOOKUP($D3770,Insumos!$B$1:$B$996,Insumos!$D$1:$D$996),"")</f>
        <v/>
      </c>
      <c r="H3770" s="1069" t="n">
        <v>25</v>
      </c>
      <c r="I3770" s="2161" t="n">
        <v>0</v>
      </c>
      <c r="J3770" s="2161" t="n">
        <v>0</v>
      </c>
      <c r="K3770" s="2161" t="n"/>
    </row>
    <row r="3771" outlineLevel="3" ht="15.75" customHeight="1">
      <c r="A3771" s="10" t="n">
        <v>1</v>
      </c>
      <c r="B3771" s="10" t="inlineStr">
        <is>
          <t>Insumo</t>
        </is>
      </c>
      <c r="C3771" s="10" t="inlineStr">
        <is>
          <t>Mão de obra execução Piso Intertravado</t>
        </is>
      </c>
      <c r="D3771" s="10" t="inlineStr">
        <is>
          <t>Mão de obra execução Piso Intertravado</t>
        </is>
      </c>
      <c r="E3771" s="11">
        <f t="array" ref="E3771">_xlfn.XLOOKUP(D3771,Insumos!B:B,Insumos!C:$C)</f>
        <v/>
      </c>
      <c r="F3771" s="14" t="n">
        <v>1</v>
      </c>
      <c r="G3771" s="92">
        <f t="array" ref="G3771">IF(B3771="insumo",_xlfn.XLOOKUP($D3771,Insumos!$B$1:$B$996,Insumos!$D$1:$D$996),"")</f>
        <v/>
      </c>
      <c r="H3771" s="92" t="n">
        <v>25</v>
      </c>
      <c r="I3771" s="2162" t="n">
        <v>0</v>
      </c>
      <c r="J3771" s="2162" t="n">
        <v>0</v>
      </c>
      <c r="K3771" s="2162" t="n"/>
    </row>
    <row r="3772" outlineLevel="2" ht="15.75" customHeight="1">
      <c r="A3772" s="1067" t="n">
        <v>1</v>
      </c>
      <c r="B3772" s="1067" t="inlineStr">
        <is>
          <t>Serviço</t>
        </is>
      </c>
      <c r="C3772" s="1067" t="inlineStr">
        <is>
          <t>Mão de obra execução Piso de concreto</t>
        </is>
      </c>
      <c r="D3772" s="1067" t="inlineStr">
        <is>
          <t>Mão de obra execução Piso de concreto</t>
        </is>
      </c>
      <c r="E3772" s="1068" t="inlineStr">
        <is>
          <t>M2</t>
        </is>
      </c>
      <c r="F3772" s="1075" t="n"/>
      <c r="G3772" s="1069">
        <f t="array" ref="G3772">IF(B3772="insumo",_xlfn.XLOOKUP($D3772,Insumos!$B$1:$B$996,Insumos!$D$1:$D$996),"")</f>
        <v/>
      </c>
      <c r="H3772" s="1069" t="n">
        <v>25</v>
      </c>
      <c r="I3772" s="2161" t="e">
        <v>#REF!</v>
      </c>
      <c r="J3772" s="2161" t="e">
        <v>#REF!</v>
      </c>
      <c r="K3772" s="2161" t="n"/>
    </row>
    <row r="3773" outlineLevel="3" ht="15.75" customHeight="1">
      <c r="A3773" s="10" t="n">
        <v>1</v>
      </c>
      <c r="B3773" s="10" t="inlineStr">
        <is>
          <t>Insumo</t>
        </is>
      </c>
      <c r="C3773" s="10" t="inlineStr">
        <is>
          <t>Mão de obra execução Piso de concreto</t>
        </is>
      </c>
      <c r="D3773" s="10" t="inlineStr">
        <is>
          <t>Mão de obra execução Piso de concreto</t>
        </is>
      </c>
      <c r="E3773" s="11">
        <f t="array" ref="E3773">_xlfn.XLOOKUP(D3773,Insumos!B:B,Insumos!C:$C)</f>
        <v/>
      </c>
      <c r="F3773" s="14" t="n">
        <v>1</v>
      </c>
      <c r="G3773" s="92">
        <f t="array" ref="G3773">IF(B3773="insumo",_xlfn.XLOOKUP($D3773,Insumos!$B$1:$B$996,Insumos!$D$1:$D$996),"")</f>
        <v/>
      </c>
      <c r="H3773" s="92" t="n">
        <v>25</v>
      </c>
      <c r="I3773" s="2162" t="e">
        <v>#REF!</v>
      </c>
      <c r="J3773" s="2162" t="e">
        <v>#REF!</v>
      </c>
      <c r="K3773" s="2162" t="n"/>
    </row>
    <row r="3774" outlineLevel="1" ht="15.75" customHeight="1">
      <c r="A3774" s="1090" t="n">
        <v>1</v>
      </c>
      <c r="B3774" s="1090" t="inlineStr">
        <is>
          <t>Subetapa</t>
        </is>
      </c>
      <c r="C3774" s="1090" t="inlineStr">
        <is>
          <t>Mão de obra execução Piso de concreto</t>
        </is>
      </c>
      <c r="D3774" s="1090" t="inlineStr">
        <is>
          <t>MÃO DE OBRA ACABAMENTOS</t>
        </is>
      </c>
      <c r="E3774" s="1091" t="n"/>
      <c r="F3774" s="2160" t="n"/>
      <c r="G3774" s="1091" t="n"/>
      <c r="H3774" s="1091" t="n">
        <v>0</v>
      </c>
      <c r="I3774" s="2160" t="n">
        <v>0</v>
      </c>
      <c r="J3774" s="2160" t="n">
        <v>0</v>
      </c>
      <c r="K3774" s="2160" t="n"/>
    </row>
    <row r="3775" outlineLevel="2" ht="15.75" customHeight="1">
      <c r="A3775" s="1067" t="n">
        <v>1</v>
      </c>
      <c r="B3775" s="1067" t="inlineStr">
        <is>
          <t>Serviço</t>
        </is>
      </c>
      <c r="C3775" s="1067" t="inlineStr">
        <is>
          <t>Mão de Obra Piso Porcenato/ Cerâmico</t>
        </is>
      </c>
      <c r="D3775" s="1067" t="inlineStr">
        <is>
          <t>Mão de Obra Piso Porcenato/ Cerâmico</t>
        </is>
      </c>
      <c r="E3775" s="1068" t="inlineStr">
        <is>
          <t>M2</t>
        </is>
      </c>
      <c r="F3775" s="1075" t="n"/>
      <c r="G3775" s="1069">
        <f t="array" ref="G3775">IF(B3775="insumo",_xlfn.XLOOKUP($D3775,Insumos!$B$1:$B$996,Insumos!$D$1:$D$996),"")</f>
        <v/>
      </c>
      <c r="H3775" s="1069" t="n">
        <v>75</v>
      </c>
      <c r="I3775" s="2161" t="e">
        <v>#REF!</v>
      </c>
      <c r="J3775" s="2161" t="e">
        <v>#REF!</v>
      </c>
      <c r="K3775" s="2161" t="n"/>
    </row>
    <row r="3776" outlineLevel="3" ht="15.75" customHeight="1">
      <c r="A3776" s="10" t="n">
        <v>1</v>
      </c>
      <c r="B3776" s="10" t="inlineStr">
        <is>
          <t>Insumo</t>
        </is>
      </c>
      <c r="C3776" s="10" t="inlineStr">
        <is>
          <t>Mão de Obra Piso Porcenato/ Cerâmico</t>
        </is>
      </c>
      <c r="D3776" s="10" t="inlineStr">
        <is>
          <t>Mão de Obra Piso Porcenato/ Cerâmico</t>
        </is>
      </c>
      <c r="E3776" s="11">
        <f t="array" ref="E3776">_xlfn.XLOOKUP(D3776,Insumos!B:B,Insumos!C:$C)</f>
        <v/>
      </c>
      <c r="F3776" s="14" t="n">
        <v>1</v>
      </c>
      <c r="G3776" s="92">
        <f t="array" ref="G3776">IF(B3776="insumo",_xlfn.XLOOKUP($D3776,Insumos!$B$1:$B$996,Insumos!$D$1:$D$996),"")</f>
        <v/>
      </c>
      <c r="H3776" s="92" t="n">
        <v>75</v>
      </c>
      <c r="I3776" s="2162" t="e">
        <v>#REF!</v>
      </c>
      <c r="J3776" s="2162" t="e">
        <v>#REF!</v>
      </c>
      <c r="K3776" s="2162" t="n"/>
    </row>
    <row r="3777" outlineLevel="2" ht="15.75" customHeight="1">
      <c r="A3777" s="1067" t="n">
        <v>1</v>
      </c>
      <c r="B3777" s="1067" t="inlineStr">
        <is>
          <t>Serviço</t>
        </is>
      </c>
      <c r="C3777" s="1067" t="inlineStr">
        <is>
          <t>Mão de obra de rodapé Pedra Natural</t>
        </is>
      </c>
      <c r="D3777" s="1067" t="inlineStr">
        <is>
          <t>Mão de obra de rodapé Pedra Natural</t>
        </is>
      </c>
      <c r="E3777" s="1068" t="inlineStr">
        <is>
          <t>M2</t>
        </is>
      </c>
      <c r="F3777" s="1075" t="n"/>
      <c r="G3777" s="1069">
        <f t="array" ref="G3777">IF(B3777="insumo",_xlfn.XLOOKUP($D3777,Insumos!$B$1:$B$996,Insumos!$D$1:$D$996),"")</f>
        <v/>
      </c>
      <c r="H3777" s="1069" t="n">
        <v>22</v>
      </c>
      <c r="I3777" s="2161" t="n">
        <v>0</v>
      </c>
      <c r="J3777" s="2161" t="n">
        <v>0</v>
      </c>
      <c r="K3777" s="2161" t="n"/>
    </row>
    <row r="3778" outlineLevel="3" ht="15.75" customHeight="1">
      <c r="A3778" s="10" t="n">
        <v>1</v>
      </c>
      <c r="B3778" s="10" t="inlineStr">
        <is>
          <t>Insumo</t>
        </is>
      </c>
      <c r="C3778" s="10" t="inlineStr">
        <is>
          <t>Mão de obra de rodapé Pedra Natural</t>
        </is>
      </c>
      <c r="D3778" s="10" t="inlineStr">
        <is>
          <t>Mão de obra de rodapé Pedra Natural</t>
        </is>
      </c>
      <c r="E3778" s="11">
        <f t="array" ref="E3778">_xlfn.XLOOKUP(D3778,Insumos!B:B,Insumos!C:$C)</f>
        <v/>
      </c>
      <c r="F3778" s="14" t="n">
        <v>1</v>
      </c>
      <c r="G3778" s="92">
        <f t="array" ref="G3778">IF(B3778="insumo",_xlfn.XLOOKUP($D3778,Insumos!$B$1:$B$996,Insumos!$D$1:$D$996),"")</f>
        <v/>
      </c>
      <c r="H3778" s="92" t="n">
        <v>22</v>
      </c>
      <c r="I3778" s="2162" t="n">
        <v>0</v>
      </c>
      <c r="J3778" s="2162" t="n">
        <v>0</v>
      </c>
      <c r="K3778" s="2162" t="n"/>
    </row>
    <row r="3779" outlineLevel="2" ht="15.75" customHeight="1">
      <c r="A3779" s="1067" t="n">
        <v>1</v>
      </c>
      <c r="B3779" s="1067" t="inlineStr">
        <is>
          <t>Serviço</t>
        </is>
      </c>
      <c r="C3779" s="1067" t="inlineStr">
        <is>
          <t>Mão de obra para assentamento de Travertino em piso</t>
        </is>
      </c>
      <c r="D3779" s="1067" t="inlineStr">
        <is>
          <t>Mão de obra para assentamento de Travertino em piso</t>
        </is>
      </c>
      <c r="E3779" s="1068" t="inlineStr">
        <is>
          <t>M2</t>
        </is>
      </c>
      <c r="F3779" s="1075" t="n"/>
      <c r="G3779" s="1069">
        <f t="array" ref="G3779">IF(B3779="insumo",_xlfn.XLOOKUP($D3779,Insumos!$B$1:$B$996,Insumos!$D$1:$D$996),"")</f>
        <v/>
      </c>
      <c r="H3779" s="1069" t="n">
        <v>85</v>
      </c>
      <c r="I3779" s="2161" t="e">
        <v>#REF!</v>
      </c>
      <c r="J3779" s="2161" t="e">
        <v>#REF!</v>
      </c>
      <c r="K3779" s="2161" t="n"/>
    </row>
    <row r="3780" outlineLevel="3" ht="15.75" customHeight="1">
      <c r="A3780" s="10" t="n">
        <v>1</v>
      </c>
      <c r="B3780" s="10" t="inlineStr">
        <is>
          <t>Insumo</t>
        </is>
      </c>
      <c r="C3780" s="10" t="inlineStr">
        <is>
          <t>Mão de obra para assentamento de Travertino em piso</t>
        </is>
      </c>
      <c r="D3780" s="10" t="inlineStr">
        <is>
          <t>Mão de obra para assentamento de Travertino em piso</t>
        </is>
      </c>
      <c r="E3780" s="11">
        <f t="array" ref="E3780">_xlfn.XLOOKUP(D3780,Insumos!B:B,Insumos!C:$C)</f>
        <v/>
      </c>
      <c r="F3780" s="14" t="n">
        <v>1</v>
      </c>
      <c r="G3780" s="92">
        <f t="array" ref="G3780">IF(B3780="insumo",_xlfn.XLOOKUP($D3780,Insumos!$B$1:$B$996,Insumos!$D$1:$D$996),"")</f>
        <v/>
      </c>
      <c r="H3780" s="92" t="n">
        <v>85</v>
      </c>
      <c r="I3780" s="2162" t="e">
        <v>#REF!</v>
      </c>
      <c r="J3780" s="2162" t="e">
        <v>#REF!</v>
      </c>
      <c r="K3780" s="2162" t="n"/>
    </row>
    <row r="3781" outlineLevel="2" ht="15.75" customHeight="1">
      <c r="A3781" s="1067" t="n">
        <v>1</v>
      </c>
      <c r="B3781" s="1067" t="inlineStr">
        <is>
          <t>Serviço</t>
        </is>
      </c>
      <c r="C3781" s="1067" t="inlineStr">
        <is>
          <t>Mão de obra para assentamento de Pedras Naturais e Mármores em piso</t>
        </is>
      </c>
      <c r="D3781" s="1067" t="inlineStr">
        <is>
          <t>Mão de obra para assentamento de Pedras Naturais e Mármores em piso</t>
        </is>
      </c>
      <c r="E3781" s="1068" t="inlineStr">
        <is>
          <t>M2</t>
        </is>
      </c>
      <c r="F3781" s="1075" t="n"/>
      <c r="G3781" s="1069">
        <f t="array" ref="G3781">IF(B3781="insumo",_xlfn.XLOOKUP($D3781,Insumos!$B$1:$B$996,Insumos!$D$1:$D$996),"")</f>
        <v/>
      </c>
      <c r="H3781" s="1069" t="n">
        <v>85</v>
      </c>
      <c r="I3781" s="2161" t="e">
        <v>#REF!</v>
      </c>
      <c r="J3781" s="2161" t="e">
        <v>#REF!</v>
      </c>
      <c r="K3781" s="2161" t="n"/>
    </row>
    <row r="3782" outlineLevel="3" ht="15.75" customHeight="1">
      <c r="A3782" s="10" t="n">
        <v>1</v>
      </c>
      <c r="B3782" s="10" t="inlineStr">
        <is>
          <t>Insumo</t>
        </is>
      </c>
      <c r="C3782" s="10" t="inlineStr">
        <is>
          <t>Mão de obra para assentamento de Pedras Naturais e Mármores em piso</t>
        </is>
      </c>
      <c r="D3782" s="10" t="inlineStr">
        <is>
          <t>Mão de obra para assentamento de Pedras Naturais em piso</t>
        </is>
      </c>
      <c r="E3782" s="11">
        <f t="array" ref="E3782">_xlfn.XLOOKUP(D3782,Insumos!B:B,Insumos!C:$C)</f>
        <v/>
      </c>
      <c r="F3782" s="14" t="n">
        <v>1</v>
      </c>
      <c r="G3782" s="92">
        <f t="array" ref="G3782">IF(B3782="insumo",_xlfn.XLOOKUP($D3782,Insumos!$B$1:$B$996,Insumos!$D$1:$D$996),"")</f>
        <v/>
      </c>
      <c r="H3782" s="92" t="n">
        <v>85</v>
      </c>
      <c r="I3782" s="2162" t="e">
        <v>#REF!</v>
      </c>
      <c r="J3782" s="2162" t="e">
        <v>#REF!</v>
      </c>
      <c r="K3782" s="2162" t="n"/>
    </row>
    <row r="3783" outlineLevel="1" ht="15.75" customHeight="1">
      <c r="A3783" s="1090" t="n">
        <v>1</v>
      </c>
      <c r="B3783" s="1090" t="inlineStr">
        <is>
          <t>Subetapa</t>
        </is>
      </c>
      <c r="C3783" s="1090" t="inlineStr">
        <is>
          <t>Mão de obra para assentamento de Pedras Naturais e Mármores em piso</t>
        </is>
      </c>
      <c r="D3783" s="1090" t="inlineStr">
        <is>
          <t>MÃO DE OBRA RODAPÉ</t>
        </is>
      </c>
      <c r="E3783" s="1091" t="n"/>
      <c r="F3783" s="2160" t="n"/>
      <c r="G3783" s="1091" t="n"/>
      <c r="H3783" s="1091" t="n">
        <v>0</v>
      </c>
      <c r="I3783" s="2160" t="n">
        <v>0</v>
      </c>
      <c r="J3783" s="2160" t="n">
        <v>0</v>
      </c>
      <c r="K3783" s="2160" t="n"/>
    </row>
    <row r="3784" outlineLevel="2" ht="15.75" customHeight="1">
      <c r="A3784" s="1067" t="n">
        <v>1</v>
      </c>
      <c r="B3784" s="1067" t="inlineStr">
        <is>
          <t>Serviço</t>
        </is>
      </c>
      <c r="C3784" s="1067" t="inlineStr">
        <is>
          <t>Mão de obra de rodapé Poliestireno</t>
        </is>
      </c>
      <c r="D3784" s="1067" t="inlineStr">
        <is>
          <t>Mão de obra de rodapé Poliestireno</t>
        </is>
      </c>
      <c r="E3784" s="1068" t="inlineStr">
        <is>
          <t>M2</t>
        </is>
      </c>
      <c r="F3784" s="1075" t="n"/>
      <c r="G3784" s="1069">
        <f t="array" ref="G3784">IF(B3784="insumo",_xlfn.XLOOKUP($D3784,Insumos!$B$1:$B$996,Insumos!$D$1:$D$996),"")</f>
        <v/>
      </c>
      <c r="H3784" s="1069" t="n">
        <v>28</v>
      </c>
      <c r="I3784" s="2161" t="e">
        <v>#REF!</v>
      </c>
      <c r="J3784" s="2161" t="e">
        <v>#REF!</v>
      </c>
      <c r="K3784" s="2161" t="n"/>
    </row>
    <row r="3785" outlineLevel="3" ht="15.75" customHeight="1">
      <c r="A3785" s="10" t="n">
        <v>1</v>
      </c>
      <c r="B3785" s="10" t="inlineStr">
        <is>
          <t>Insumo</t>
        </is>
      </c>
      <c r="C3785" s="10" t="inlineStr">
        <is>
          <t>Mão de obra de rodapé Poliestireno</t>
        </is>
      </c>
      <c r="D3785" s="10" t="inlineStr">
        <is>
          <t>Mão de obra de rodapé Poliestireno</t>
        </is>
      </c>
      <c r="E3785" s="11">
        <f t="array" ref="E3785">_xlfn.XLOOKUP(D3785,Insumos!B:B,Insumos!C:$C)</f>
        <v/>
      </c>
      <c r="F3785" s="14" t="n">
        <v>1</v>
      </c>
      <c r="G3785" s="92">
        <f t="array" ref="G3785">IF(B3785="insumo",_xlfn.XLOOKUP($D3785,Insumos!$B$1:$B$996,Insumos!$D$1:$D$996),"")</f>
        <v/>
      </c>
      <c r="H3785" s="92" t="n">
        <v>28</v>
      </c>
      <c r="I3785" s="2162" t="e">
        <v>#REF!</v>
      </c>
      <c r="J3785" s="2162" t="e">
        <v>#REF!</v>
      </c>
      <c r="K3785" s="2162" t="n"/>
    </row>
    <row r="3786" outlineLevel="2" ht="15.75" customHeight="1">
      <c r="A3786" s="1067" t="n">
        <v>1</v>
      </c>
      <c r="B3786" s="1067" t="inlineStr">
        <is>
          <t>Serviço</t>
        </is>
      </c>
      <c r="C3786" s="1067" t="inlineStr">
        <is>
          <t>Mão de obra de rodapé Porcelanato</t>
        </is>
      </c>
      <c r="D3786" s="1067" t="inlineStr">
        <is>
          <t>Mão de obra de rodapé Porcelanato</t>
        </is>
      </c>
      <c r="E3786" s="1068" t="inlineStr">
        <is>
          <t>M2</t>
        </is>
      </c>
      <c r="F3786" s="1075" t="n"/>
      <c r="G3786" s="1069">
        <f t="array" ref="G3786">IF(B3786="insumo",_xlfn.XLOOKUP($D3786,Insumos!$B$1:$B$996,Insumos!$D$1:$D$996),"")</f>
        <v/>
      </c>
      <c r="H3786" s="1069" t="n">
        <v>24</v>
      </c>
      <c r="I3786" s="2161" t="e">
        <v>#REF!</v>
      </c>
      <c r="J3786" s="2161" t="e">
        <v>#REF!</v>
      </c>
      <c r="K3786" s="2161" t="n"/>
    </row>
    <row r="3787" outlineLevel="3" ht="15.75" customHeight="1">
      <c r="A3787" s="10" t="n">
        <v>1</v>
      </c>
      <c r="B3787" s="10" t="inlineStr">
        <is>
          <t>Insumo</t>
        </is>
      </c>
      <c r="C3787" s="10" t="inlineStr">
        <is>
          <t>Mão de obra de rodapé Porcelanato</t>
        </is>
      </c>
      <c r="D3787" s="10" t="inlineStr">
        <is>
          <t>Mão de obra de rodapé Porcelanato</t>
        </is>
      </c>
      <c r="E3787" s="11">
        <f t="array" ref="E3787">_xlfn.XLOOKUP(D3787,Insumos!B:B,Insumos!C:$C)</f>
        <v/>
      </c>
      <c r="F3787" s="14" t="n">
        <v>1</v>
      </c>
      <c r="G3787" s="92">
        <f t="array" ref="G3787">IF(B3787="insumo",_xlfn.XLOOKUP($D3787,Insumos!$B$1:$B$996,Insumos!$D$1:$D$996),"")</f>
        <v/>
      </c>
      <c r="H3787" s="92" t="n">
        <v>24</v>
      </c>
      <c r="I3787" s="2162" t="e">
        <v>#REF!</v>
      </c>
      <c r="J3787" s="2162" t="e">
        <v>#REF!</v>
      </c>
      <c r="K3787" s="2162" t="n"/>
    </row>
    <row r="3788" outlineLevel="2" ht="15.75" customHeight="1">
      <c r="A3788" s="1067" t="n">
        <v>1</v>
      </c>
      <c r="B3788" s="1067" t="inlineStr">
        <is>
          <t>Serviço</t>
        </is>
      </c>
      <c r="C3788" s="1067" t="inlineStr">
        <is>
          <t>Mão de obra de rodapé Madeira/MDF</t>
        </is>
      </c>
      <c r="D3788" s="1067" t="inlineStr">
        <is>
          <t>Mão de obra de rodapé Madeira/MDF</t>
        </is>
      </c>
      <c r="E3788" s="1068" t="inlineStr">
        <is>
          <t>M2</t>
        </is>
      </c>
      <c r="F3788" s="1075" t="n"/>
      <c r="G3788" s="1069">
        <f t="array" ref="G3788">IF(B3788="insumo",_xlfn.XLOOKUP($D3788,Insumos!$B$1:$B$996,Insumos!$D$1:$D$996),"")</f>
        <v/>
      </c>
      <c r="H3788" s="1069" t="n">
        <v>24.5</v>
      </c>
      <c r="I3788" s="2161" t="n">
        <v>0</v>
      </c>
      <c r="J3788" s="2161" t="n">
        <v>0</v>
      </c>
      <c r="K3788" s="2161" t="n"/>
    </row>
    <row r="3789" outlineLevel="3" ht="15.75" customHeight="1">
      <c r="A3789" s="10" t="n">
        <v>1</v>
      </c>
      <c r="B3789" s="10" t="inlineStr">
        <is>
          <t>Insumo</t>
        </is>
      </c>
      <c r="C3789" s="10" t="inlineStr">
        <is>
          <t>Mão de obra de rodapé Madeira/MDF</t>
        </is>
      </c>
      <c r="D3789" s="10" t="inlineStr">
        <is>
          <t>Mão de obra de rodapé Madeira/MDF</t>
        </is>
      </c>
      <c r="E3789" s="11">
        <f t="array" ref="E3789">_xlfn.XLOOKUP(D3789,Insumos!B:B,Insumos!C:$C)</f>
        <v/>
      </c>
      <c r="F3789" s="14" t="n">
        <v>1</v>
      </c>
      <c r="G3789" s="92">
        <f t="array" ref="G3789">IF(B3789="insumo",_xlfn.XLOOKUP($D3789,Insumos!$B$1:$B$996,Insumos!$D$1:$D$996),"")</f>
        <v/>
      </c>
      <c r="H3789" s="92" t="n">
        <v>24.5</v>
      </c>
      <c r="I3789" s="2162" t="n">
        <v>0</v>
      </c>
      <c r="J3789" s="2162" t="n">
        <v>0</v>
      </c>
      <c r="K3789" s="2162" t="n"/>
    </row>
    <row r="3790" outlineLevel="2" ht="15.75" customHeight="1">
      <c r="A3790" s="1067" t="n">
        <v>1</v>
      </c>
      <c r="B3790" s="1067" t="inlineStr">
        <is>
          <t>Serviço</t>
        </is>
      </c>
      <c r="C3790" s="1067" t="inlineStr">
        <is>
          <t>Mão de obra de rodapé Pedra</t>
        </is>
      </c>
      <c r="D3790" s="1067" t="inlineStr">
        <is>
          <t>Mão de obra de rodapé Pedra</t>
        </is>
      </c>
      <c r="E3790" s="1068" t="inlineStr">
        <is>
          <t>M2</t>
        </is>
      </c>
      <c r="F3790" s="1075" t="n"/>
      <c r="G3790" s="1069">
        <f t="array" ref="G3790">IF(B3790="insumo",_xlfn.XLOOKUP($D3790,Insumos!$B$1:$B$996,Insumos!$D$1:$D$996),"")</f>
        <v/>
      </c>
      <c r="H3790" s="1069" t="n">
        <v>24</v>
      </c>
      <c r="I3790" s="2161" t="e">
        <v>#REF!</v>
      </c>
      <c r="J3790" s="2161" t="e">
        <v>#REF!</v>
      </c>
      <c r="K3790" s="2161" t="n"/>
    </row>
    <row r="3791" outlineLevel="3" ht="15.75" customHeight="1">
      <c r="A3791" s="10" t="n">
        <v>1</v>
      </c>
      <c r="B3791" s="10" t="inlineStr">
        <is>
          <t>Insumo</t>
        </is>
      </c>
      <c r="C3791" s="10" t="inlineStr">
        <is>
          <t>Mão de obra de rodapé Pedra</t>
        </is>
      </c>
      <c r="D3791" s="10" t="inlineStr">
        <is>
          <t>Mão de obra de rodapé Pedra</t>
        </is>
      </c>
      <c r="E3791" s="11">
        <f t="array" ref="E3791">_xlfn.XLOOKUP(D3791,Insumos!B:B,Insumos!C:$C)</f>
        <v/>
      </c>
      <c r="F3791" s="14" t="n">
        <v>1</v>
      </c>
      <c r="G3791" s="92">
        <f t="array" ref="G3791">IF(B3791="insumo",_xlfn.XLOOKUP($D3791,Insumos!$B$1:$B$996,Insumos!$D$1:$D$996),"")</f>
        <v/>
      </c>
      <c r="H3791" s="92" t="n">
        <v>24</v>
      </c>
      <c r="I3791" s="2162" t="e">
        <v>#REF!</v>
      </c>
      <c r="J3791" s="2162" t="e">
        <v>#REF!</v>
      </c>
      <c r="K3791" s="2162" t="n"/>
    </row>
    <row r="3792" outlineLevel="2" ht="15.75" customHeight="1">
      <c r="A3792" s="1067" t="n">
        <v>1</v>
      </c>
      <c r="B3792" s="1067" t="inlineStr">
        <is>
          <t>Serviço</t>
        </is>
      </c>
      <c r="C3792" s="1067" t="inlineStr">
        <is>
          <t>Mão de obra de rodapé Pedra/Granito</t>
        </is>
      </c>
      <c r="D3792" s="1067" t="inlineStr">
        <is>
          <t>Mão de obra de rodapé Pedra/Granito</t>
        </is>
      </c>
      <c r="E3792" s="1068" t="inlineStr">
        <is>
          <t>M2</t>
        </is>
      </c>
      <c r="F3792" s="1075" t="n"/>
      <c r="G3792" s="1069">
        <f t="array" ref="G3792">IF(B3792="insumo",_xlfn.XLOOKUP($D3792,Insumos!$B$1:$B$996,Insumos!$D$1:$D$996),"")</f>
        <v/>
      </c>
      <c r="H3792" s="1069" t="n">
        <v>22</v>
      </c>
      <c r="I3792" s="2161" t="n">
        <v>0</v>
      </c>
      <c r="J3792" s="2161" t="n">
        <v>0</v>
      </c>
      <c r="K3792" s="2161" t="n"/>
    </row>
    <row r="3793" outlineLevel="3" ht="15.75" customHeight="1">
      <c r="A3793" s="10" t="n">
        <v>1</v>
      </c>
      <c r="B3793" s="10" t="inlineStr">
        <is>
          <t>Insumo</t>
        </is>
      </c>
      <c r="C3793" s="10" t="inlineStr">
        <is>
          <t>Mão de obra de rodapé Pedra/Granito</t>
        </is>
      </c>
      <c r="D3793" s="10" t="inlineStr">
        <is>
          <t>Mão de obra de rodapé Pedra/Granito</t>
        </is>
      </c>
      <c r="E3793" s="11">
        <f t="array" ref="E3793">_xlfn.XLOOKUP(D3793,Insumos!B:B,Insumos!C:$C)</f>
        <v/>
      </c>
      <c r="F3793" s="14" t="n">
        <v>1</v>
      </c>
      <c r="G3793" s="92">
        <f t="array" ref="G3793">IF(B3793="insumo",_xlfn.XLOOKUP($D3793,Insumos!$B$1:$B$996,Insumos!$D$1:$D$996),"")</f>
        <v/>
      </c>
      <c r="H3793" s="92" t="n">
        <v>22</v>
      </c>
      <c r="I3793" s="2162" t="n">
        <v>0</v>
      </c>
      <c r="J3793" s="2162" t="n">
        <v>0</v>
      </c>
      <c r="K3793" s="2162" t="n"/>
    </row>
    <row r="3794" outlineLevel="1" ht="15.75" customHeight="1">
      <c r="A3794" s="1090" t="n">
        <v>1</v>
      </c>
      <c r="B3794" s="1090" t="inlineStr">
        <is>
          <t>Subetapa</t>
        </is>
      </c>
      <c r="C3794" s="1090" t="inlineStr">
        <is>
          <t>Mão de obra de rodapé Pedra/Granito</t>
        </is>
      </c>
      <c r="D3794" s="1090" t="inlineStr">
        <is>
          <t>MÃO DE OBRA SOLEIRA</t>
        </is>
      </c>
      <c r="E3794" s="1091" t="n"/>
      <c r="F3794" s="2160" t="n"/>
      <c r="G3794" s="1091" t="n"/>
      <c r="H3794" s="1091" t="n">
        <v>0</v>
      </c>
      <c r="I3794" s="2160" t="n">
        <v>0</v>
      </c>
      <c r="J3794" s="2160" t="n">
        <v>0</v>
      </c>
      <c r="K3794" s="2160" t="n"/>
    </row>
    <row r="3795" outlineLevel="2" ht="15.75" customHeight="1">
      <c r="A3795" s="1067" t="n">
        <v>1</v>
      </c>
      <c r="B3795" s="1067" t="inlineStr">
        <is>
          <t>Serviço</t>
        </is>
      </c>
      <c r="C3795" s="1067" t="inlineStr">
        <is>
          <t>Mão de obra de colocação de soleira em porcelanato</t>
        </is>
      </c>
      <c r="D3795" s="1067" t="inlineStr">
        <is>
          <t>Mão de obra de colocação de soleira em porcelanato</t>
        </is>
      </c>
      <c r="E3795" s="1068" t="inlineStr">
        <is>
          <t>M2</t>
        </is>
      </c>
      <c r="F3795" s="1075" t="n"/>
      <c r="G3795" s="1069">
        <f t="array" ref="G3795">IF(B3795="insumo",_xlfn.XLOOKUP($D3795,Insumos!$B$1:$B$996,Insumos!$D$1:$D$996),"")</f>
        <v/>
      </c>
      <c r="H3795" s="1069" t="n">
        <v>50</v>
      </c>
      <c r="I3795" s="2161" t="n">
        <v>0</v>
      </c>
      <c r="J3795" s="2161" t="n">
        <v>0</v>
      </c>
      <c r="K3795" s="2161" t="n"/>
    </row>
    <row r="3796" outlineLevel="3" ht="15.75" customHeight="1">
      <c r="A3796" s="10" t="n">
        <v>1</v>
      </c>
      <c r="B3796" s="10" t="inlineStr">
        <is>
          <t>Insumo</t>
        </is>
      </c>
      <c r="C3796" s="10" t="inlineStr">
        <is>
          <t>Mão de obra de colocação de soleira em porcelanato</t>
        </is>
      </c>
      <c r="D3796" s="10" t="inlineStr">
        <is>
          <t>Mão de obra de colocação de soleira em porcelanato</t>
        </is>
      </c>
      <c r="E3796" s="11">
        <f t="array" ref="E3796">_xlfn.XLOOKUP(D3796,Insumos!B:B,Insumos!C:$C)</f>
        <v/>
      </c>
      <c r="F3796" s="14" t="n">
        <v>1</v>
      </c>
      <c r="G3796" s="92">
        <f t="array" ref="G3796">IF(B3796="insumo",_xlfn.XLOOKUP($D3796,Insumos!$B$1:$B$996,Insumos!$D$1:$D$996),"")</f>
        <v/>
      </c>
      <c r="H3796" s="92" t="n">
        <v>50</v>
      </c>
      <c r="I3796" s="2162" t="n">
        <v>0</v>
      </c>
      <c r="J3796" s="2162" t="n">
        <v>0</v>
      </c>
      <c r="K3796" s="2162" t="n"/>
    </row>
    <row r="3797" outlineLevel="2" ht="15.75" customHeight="1">
      <c r="A3797" s="1067" t="n">
        <v>1</v>
      </c>
      <c r="B3797" s="1067" t="inlineStr">
        <is>
          <t>Serviço</t>
        </is>
      </c>
      <c r="C3797" s="1067" t="inlineStr">
        <is>
          <t>Mão de obra de colocação de soleira em pedra natural</t>
        </is>
      </c>
      <c r="D3797" s="1067" t="inlineStr">
        <is>
          <t>Mão de obra de colocação de soleira em pedra natural</t>
        </is>
      </c>
      <c r="E3797" s="1068" t="inlineStr">
        <is>
          <t>M2</t>
        </is>
      </c>
      <c r="F3797" s="1075" t="n"/>
      <c r="G3797" s="1069">
        <f t="array" ref="G3797">IF(B3797="insumo",_xlfn.XLOOKUP($D3797,Insumos!$B$1:$B$996,Insumos!$D$1:$D$996),"")</f>
        <v/>
      </c>
      <c r="H3797" s="1069" t="n">
        <v>22</v>
      </c>
      <c r="I3797" s="2161" t="n">
        <v>0</v>
      </c>
      <c r="J3797" s="2161" t="n">
        <v>0</v>
      </c>
      <c r="K3797" s="2161" t="n"/>
    </row>
    <row r="3798" outlineLevel="3" ht="15.75" customHeight="1">
      <c r="A3798" s="10" t="n">
        <v>1</v>
      </c>
      <c r="B3798" s="10" t="inlineStr">
        <is>
          <t>Insumo</t>
        </is>
      </c>
      <c r="C3798" s="10" t="inlineStr">
        <is>
          <t>Mão de obra de colocação de soleira em pedra natural</t>
        </is>
      </c>
      <c r="D3798" s="10" t="inlineStr">
        <is>
          <t>Mão de obra de colocação de soleira em pedra natural</t>
        </is>
      </c>
      <c r="E3798" s="11">
        <f t="array" ref="E3798">_xlfn.XLOOKUP(D3798,Insumos!B:B,Insumos!C:$C)</f>
        <v/>
      </c>
      <c r="F3798" s="14" t="n">
        <v>1</v>
      </c>
      <c r="G3798" s="92">
        <f t="array" ref="G3798">IF(B3798="insumo",_xlfn.XLOOKUP($D3798,Insumos!$B$1:$B$996,Insumos!$D$1:$D$996),"")</f>
        <v/>
      </c>
      <c r="H3798" s="92" t="n">
        <v>22</v>
      </c>
      <c r="I3798" s="2162" t="n">
        <v>0</v>
      </c>
      <c r="J3798" s="2162" t="n">
        <v>0</v>
      </c>
      <c r="K3798" s="2162" t="n"/>
    </row>
    <row r="3799" outlineLevel="2" ht="15.75" customHeight="1">
      <c r="A3799" s="1067" t="n">
        <v>1</v>
      </c>
      <c r="B3799" s="1067" t="inlineStr">
        <is>
          <t>Serviço</t>
        </is>
      </c>
      <c r="C3799" s="1067" t="inlineStr">
        <is>
          <t>Mão de obra de colocação de soleira em granito</t>
        </is>
      </c>
      <c r="D3799" s="1067" t="inlineStr">
        <is>
          <t>Mão de obra de colocação de soleira em granito</t>
        </is>
      </c>
      <c r="E3799" s="1068" t="inlineStr">
        <is>
          <t>M2</t>
        </is>
      </c>
      <c r="F3799" s="1075" t="n"/>
      <c r="G3799" s="1069">
        <f t="array" ref="G3799">IF(B3799="insumo",_xlfn.XLOOKUP($D3799,Insumos!$B$1:$B$996,Insumos!$D$1:$D$996),"")</f>
        <v/>
      </c>
      <c r="H3799" s="1069" t="n">
        <v>22</v>
      </c>
      <c r="I3799" s="2161" t="n">
        <v>0</v>
      </c>
      <c r="J3799" s="2161" t="n">
        <v>0</v>
      </c>
      <c r="K3799" s="2161" t="n"/>
    </row>
    <row r="3800" outlineLevel="3" ht="15.75" customHeight="1">
      <c r="A3800" s="10" t="n">
        <v>1</v>
      </c>
      <c r="B3800" s="10" t="inlineStr">
        <is>
          <t>Insumo</t>
        </is>
      </c>
      <c r="C3800" s="10" t="inlineStr">
        <is>
          <t>Mão de obra de colocação de soleira em granito</t>
        </is>
      </c>
      <c r="D3800" s="10" t="inlineStr">
        <is>
          <t>Mão de obra de colocação de soleira em granito</t>
        </is>
      </c>
      <c r="E3800" s="11">
        <f t="array" ref="E3800">_xlfn.XLOOKUP(D3800,Insumos!B:B,Insumos!C:$C)</f>
        <v/>
      </c>
      <c r="F3800" s="14" t="n">
        <v>1</v>
      </c>
      <c r="G3800" s="92">
        <f t="array" ref="G3800">IF(B3800="insumo",_xlfn.XLOOKUP($D3800,Insumos!$B$1:$B$996,Insumos!$D$1:$D$996),"")</f>
        <v/>
      </c>
      <c r="H3800" s="92" t="n">
        <v>22</v>
      </c>
      <c r="I3800" s="2162" t="n">
        <v>0</v>
      </c>
      <c r="J3800" s="2162" t="n">
        <v>0</v>
      </c>
      <c r="K3800" s="2162" t="n"/>
    </row>
    <row r="3801" ht="15.75" customHeight="1">
      <c r="A3801" s="7" t="n">
        <v>1</v>
      </c>
      <c r="B3801" s="7" t="inlineStr">
        <is>
          <t>Etapa</t>
        </is>
      </c>
      <c r="C3801" s="7" t="inlineStr">
        <is>
          <t>Mão de obra de colocação de soleira em granito</t>
        </is>
      </c>
      <c r="D3801" s="7" t="inlineStr">
        <is>
          <t>PINTURA INTERNA</t>
        </is>
      </c>
      <c r="E3801" s="8" t="n"/>
      <c r="F3801" s="2159" t="n"/>
      <c r="G3801" s="91">
        <f t="array" ref="G3801">IF(B3801="insumo",_xlfn.XLOOKUP($D3801,Insumos!$B$1:$B$996,Insumos!$D$1:$D$996),"")</f>
        <v/>
      </c>
      <c r="H3801" s="91" t="n">
        <v>0</v>
      </c>
      <c r="I3801" s="2159" t="n">
        <v>0</v>
      </c>
      <c r="J3801" s="2159" t="n">
        <v>0</v>
      </c>
      <c r="K3801" s="2159" t="n"/>
    </row>
    <row r="3802" outlineLevel="1" ht="15.75" customHeight="1">
      <c r="A3802" s="1090" t="n">
        <v>1</v>
      </c>
      <c r="B3802" s="1090" t="inlineStr">
        <is>
          <t>Subetapa</t>
        </is>
      </c>
      <c r="C3802" s="1090" t="inlineStr">
        <is>
          <t>Mão de obra de colocação de soleira em granito</t>
        </is>
      </c>
      <c r="D3802" s="1090" t="inlineStr">
        <is>
          <t>PISO RODAPÉ VAGAS</t>
        </is>
      </c>
      <c r="E3802" s="1091" t="n"/>
      <c r="F3802" s="2160" t="n"/>
      <c r="G3802" s="1091" t="n"/>
      <c r="H3802" s="1091" t="n">
        <v>0</v>
      </c>
      <c r="I3802" s="2160" t="n">
        <v>0</v>
      </c>
      <c r="J3802" s="2160" t="n">
        <v>0</v>
      </c>
      <c r="K3802" s="2160" t="n"/>
    </row>
    <row r="3803" outlineLevel="2" ht="15.75" customHeight="1">
      <c r="A3803" s="1067" t="n">
        <v>1</v>
      </c>
      <c r="B3803" s="1067" t="inlineStr">
        <is>
          <t>Serviço</t>
        </is>
      </c>
      <c r="C3803" s="1067" t="inlineStr">
        <is>
          <t>PINTURA DE RODAPÉ COM TINTA EPÓXI, APLICAÇÃO MANUAL, 2 DEMÃOS, INCLUSÃO PRIMER EPÓXI</t>
        </is>
      </c>
      <c r="D3803" s="1067" t="inlineStr">
        <is>
          <t>PINTURA DE RODAPÉ COM TINTA EPÓXI, APLICAÇÃO MANUAL, 2 DEMÃOS, INCLUSÃO PRIMER EPÓXI</t>
        </is>
      </c>
      <c r="E3803" s="1068" t="inlineStr">
        <is>
          <t>M2</t>
        </is>
      </c>
      <c r="F3803" s="1067" t="n"/>
      <c r="G3803" s="1069">
        <f t="array" ref="G3803">IF(B3803="insumo",_xlfn.XLOOKUP($D3803,Insumos!$B$1:$B$996,Insumos!$D$1:$D$996),"")</f>
        <v/>
      </c>
      <c r="H3803" s="1069" t="n">
        <v>70.5670306666667</v>
      </c>
      <c r="I3803" s="2161" t="n">
        <v>0</v>
      </c>
      <c r="J3803" s="2161" t="n">
        <v>0</v>
      </c>
      <c r="K3803" s="2161" t="n"/>
    </row>
    <row r="3804" outlineLevel="3" ht="15.75" customHeight="1">
      <c r="A3804" s="10" t="n">
        <v>9</v>
      </c>
      <c r="B3804" s="10" t="inlineStr">
        <is>
          <t>Insumo</t>
        </is>
      </c>
      <c r="C3804" s="10" t="inlineStr">
        <is>
          <t>PINTURA DE RODAPÉ COM TINTA EPÓXI, APLICAÇÃO MANUAL, 2 DEMÃOS, INCLUSÃO PRIMER EPÓXI</t>
        </is>
      </c>
      <c r="D3804" s="10" t="inlineStr">
        <is>
          <t>Diluente Epoxi</t>
        </is>
      </c>
      <c r="E3804" s="11">
        <f t="array" ref="E3804">_xlfn.XLOOKUP(D3804,Insumos!B:B,Insumos!C:$C)</f>
        <v/>
      </c>
      <c r="F3804" s="14" t="n">
        <v>0.064</v>
      </c>
      <c r="G3804" s="92">
        <f t="array" ref="G3804">IF(B3804="insumo",_xlfn.XLOOKUP($D3804,Insumos!$B$1:$B$996,Insumos!$D$1:$D$996),"")</f>
        <v/>
      </c>
      <c r="H3804" s="92" t="n">
        <v>3.20768</v>
      </c>
      <c r="I3804" s="2162" t="n">
        <v>0</v>
      </c>
      <c r="J3804" s="2162" t="n">
        <v>0</v>
      </c>
      <c r="K3804" s="2162" t="n"/>
    </row>
    <row r="3805" outlineLevel="3" ht="15.75" customHeight="1">
      <c r="A3805" s="10" t="n">
        <v>25</v>
      </c>
      <c r="B3805" s="10" t="inlineStr">
        <is>
          <t>Insumo</t>
        </is>
      </c>
      <c r="C3805" s="10" t="inlineStr">
        <is>
          <t>PINTURA DE RODAPÉ COM TINTA EPÓXI, APLICAÇÃO MANUAL, 2 DEMÃOS, INCLUSÃO PRIMER EPÓXI</t>
        </is>
      </c>
      <c r="D3805" s="10" t="inlineStr">
        <is>
          <t>Fita Crepe Rolo De 25 Mm X 50 M</t>
        </is>
      </c>
      <c r="E3805" s="11">
        <f t="array" ref="E3805">_xlfn.XLOOKUP(D3805,Insumos!B:B,Insumos!C:$C)</f>
        <v/>
      </c>
      <c r="F3805" s="14" t="n">
        <v>0.01</v>
      </c>
      <c r="G3805" s="92">
        <f t="array" ref="G3805">IF(B3805="insumo",_xlfn.XLOOKUP($D3805,Insumos!$B$1:$B$996,Insumos!$D$1:$D$996),"")</f>
        <v/>
      </c>
      <c r="H3805" s="92" t="n">
        <v>0.1126</v>
      </c>
      <c r="I3805" s="2162" t="n">
        <v>0</v>
      </c>
      <c r="J3805" s="2162" t="n">
        <v>0</v>
      </c>
      <c r="K3805" s="2162" t="n"/>
    </row>
    <row r="3806" outlineLevel="3" ht="15.75" customHeight="1">
      <c r="A3806" s="10" t="n">
        <v>8</v>
      </c>
      <c r="B3806" s="10" t="inlineStr">
        <is>
          <t>Insumo</t>
        </is>
      </c>
      <c r="C3806" s="10" t="inlineStr">
        <is>
          <t>PINTURA DE RODAPÉ COM TINTA EPÓXI, APLICAÇÃO MANUAL, 2 DEMÃOS, INCLUSÃO PRIMER EPÓXI</t>
        </is>
      </c>
      <c r="D3806" s="10" t="inlineStr">
        <is>
          <t>Primer Epoxi / Epoxidico</t>
        </is>
      </c>
      <c r="E3806" s="11">
        <f t="array" ref="E3806">_xlfn.XLOOKUP(D3806,Insumos!B:B,Insumos!C:$C)</f>
        <v/>
      </c>
      <c r="F3806" s="14" t="n">
        <v>0.2016</v>
      </c>
      <c r="G3806" s="92">
        <f t="array" ref="G3806">IF(B3806="insumo",_xlfn.XLOOKUP($D3806,Insumos!$B$1:$B$996,Insumos!$D$1:$D$996),"")</f>
        <v/>
      </c>
      <c r="H3806" s="92" t="n">
        <v>27.667584</v>
      </c>
      <c r="I3806" s="2162" t="n">
        <v>0</v>
      </c>
      <c r="J3806" s="2162" t="n">
        <v>0</v>
      </c>
      <c r="K3806" s="2162" t="n"/>
    </row>
    <row r="3807" outlineLevel="3" ht="15.75" customHeight="1">
      <c r="A3807" s="10" t="n">
        <v>9</v>
      </c>
      <c r="B3807" s="10" t="inlineStr">
        <is>
          <t>Insumo</t>
        </is>
      </c>
      <c r="C3807" s="10" t="inlineStr">
        <is>
          <t>PINTURA DE RODAPÉ COM TINTA EPÓXI, APLICAÇÃO MANUAL, 2 DEMÃOS, INCLUSÃO PRIMER EPÓXI</t>
        </is>
      </c>
      <c r="D3807" s="10" t="inlineStr">
        <is>
          <t>Tinta Epoxi Base Agua Premium</t>
        </is>
      </c>
      <c r="E3807" s="11">
        <f t="array" ref="E3807">_xlfn.XLOOKUP(D3807,Insumos!B:B,Insumos!C:$C)</f>
        <v/>
      </c>
      <c r="F3807" s="14" t="n">
        <v>0.483</v>
      </c>
      <c r="G3807" s="92">
        <f t="array" ref="G3807">IF(B3807="insumo",_xlfn.XLOOKUP($D3807,Insumos!$B$1:$B$996,Insumos!$D$1:$D$996),"")</f>
        <v/>
      </c>
      <c r="H3807" s="92" t="n">
        <v>39.5791666666667</v>
      </c>
      <c r="I3807" s="2162" t="n">
        <v>0</v>
      </c>
      <c r="J3807" s="2162" t="n">
        <v>0</v>
      </c>
      <c r="K3807" s="2162" t="n"/>
    </row>
    <row r="3808" outlineLevel="2" ht="12.75" customHeight="1">
      <c r="A3808" s="1071" t="n">
        <v>1</v>
      </c>
      <c r="B3808" s="1071" t="inlineStr">
        <is>
          <t>Serviço</t>
        </is>
      </c>
      <c r="C3808" s="1071" t="inlineStr">
        <is>
          <t>Pintura em Tinta piso em Rodapé, Aplicação Manual, 2 Demãos</t>
        </is>
      </c>
      <c r="D3808" s="1071" t="inlineStr">
        <is>
          <t>Pintura em Tinta piso em Rodapé, Aplicação Manual, 2 Demãos</t>
        </is>
      </c>
      <c r="E3808" s="1072" t="inlineStr">
        <is>
          <t>M</t>
        </is>
      </c>
      <c r="F3808" s="1071" t="n"/>
      <c r="G3808" s="1073">
        <f t="array" ref="G3808">IF(B3808="insumo",_xlfn.XLOOKUP($D3808,Insumos!$B$1:$B$996,Insumos!$D$1:$D$996),"")</f>
        <v/>
      </c>
      <c r="H3808" s="1073" t="n">
        <v>0.97726</v>
      </c>
      <c r="I3808" s="2163" t="n">
        <v>0</v>
      </c>
      <c r="J3808" s="2163" t="n">
        <v>0</v>
      </c>
      <c r="K3808" s="2163" t="n"/>
    </row>
    <row r="3809" outlineLevel="3" ht="12.75" customHeight="1">
      <c r="A3809" s="82" t="n">
        <v>25</v>
      </c>
      <c r="B3809" s="82" t="inlineStr">
        <is>
          <t>Insumo</t>
        </is>
      </c>
      <c r="C3809" s="82" t="inlineStr">
        <is>
          <t>Pintura em Tinta piso em Rodapé, Aplicação Manual, 2 Demãos</t>
        </is>
      </c>
      <c r="D3809" s="82" t="inlineStr">
        <is>
          <t>Fita Crepe Rolo De 25 Mm X 50 M</t>
        </is>
      </c>
      <c r="E3809" s="11">
        <f t="array" ref="E3809">_xlfn.XLOOKUP(D3809,Insumos!B:B,Insumos!C:$C)</f>
        <v/>
      </c>
      <c r="F3809" s="2164">
        <f>0.01*0.1</f>
        <v/>
      </c>
      <c r="G3809" s="92">
        <f t="array" ref="G3809">IF(B3809="insumo",_xlfn.XLOOKUP($D3809,Insumos!$B$1:$B$996,Insumos!$D$1:$D$996),"")</f>
        <v/>
      </c>
      <c r="H3809" s="92" t="n">
        <v>0.01126</v>
      </c>
      <c r="I3809" s="2165" t="n">
        <v>0</v>
      </c>
      <c r="J3809" s="2165" t="n">
        <v>0</v>
      </c>
      <c r="K3809" s="2165" t="n"/>
    </row>
    <row r="3810" outlineLevel="3" ht="12.75" customHeight="1">
      <c r="A3810" s="82" t="n">
        <v>2</v>
      </c>
      <c r="B3810" s="82" t="inlineStr">
        <is>
          <t>Insumo</t>
        </is>
      </c>
      <c r="C3810" s="82" t="inlineStr">
        <is>
          <t>Pintura em Tinta piso em Rodapé, Aplicação Manual, 2 Demãos</t>
        </is>
      </c>
      <c r="D3810" s="82" t="inlineStr">
        <is>
          <t>Tinta Piso</t>
        </is>
      </c>
      <c r="E3810" s="11">
        <f t="array" ref="E3810">_xlfn.XLOOKUP(D3810,Insumos!B:B,Insumos!C:$C)</f>
        <v/>
      </c>
      <c r="F3810" s="2164">
        <f>0.483*0.1</f>
        <v/>
      </c>
      <c r="G3810" s="92">
        <f t="array" ref="G3810">IF(B3810="insumo",_xlfn.XLOOKUP($D3810,Insumos!$B$1:$B$996,Insumos!$D$1:$D$996),"")</f>
        <v/>
      </c>
      <c r="H3810" s="92" t="n">
        <v>0.966</v>
      </c>
      <c r="I3810" s="2165" t="n">
        <v>0</v>
      </c>
      <c r="J3810" s="2165" t="n">
        <v>0</v>
      </c>
      <c r="K3810" s="2165" t="n"/>
    </row>
    <row r="3811" outlineLevel="2" ht="12.75" customHeight="1">
      <c r="A3811" s="1071" t="n">
        <v>1</v>
      </c>
      <c r="B3811" s="1071" t="inlineStr">
        <is>
          <t>Serviço</t>
        </is>
      </c>
      <c r="C3811" s="1071" t="inlineStr">
        <is>
          <t>Pintura em Resina em Rodapé, Aplicação Manual, 2 Demãos (m)</t>
        </is>
      </c>
      <c r="D3811" s="1071" t="inlineStr">
        <is>
          <t>Pintura em Resina em Rodapé, Aplicação Manual, 2 Demãos (m)</t>
        </is>
      </c>
      <c r="E3811" s="1072" t="inlineStr">
        <is>
          <t>M</t>
        </is>
      </c>
      <c r="F3811" s="1071" t="n"/>
      <c r="G3811" s="1073">
        <f t="array" ref="G3811">IF(B3811="insumo",_xlfn.XLOOKUP($D3811,Insumos!$B$1:$B$996,Insumos!$D$1:$D$996),"")</f>
        <v/>
      </c>
      <c r="H3811" s="1073" t="n">
        <v>7.05670306666667</v>
      </c>
      <c r="I3811" s="2163" t="n">
        <v>0</v>
      </c>
      <c r="J3811" s="2163" t="n">
        <v>0</v>
      </c>
      <c r="K3811" s="2163" t="n"/>
    </row>
    <row r="3812" outlineLevel="3" ht="12.75" customHeight="1">
      <c r="A3812" s="82" t="n">
        <v>9</v>
      </c>
      <c r="B3812" s="82" t="inlineStr">
        <is>
          <t>Insumo</t>
        </is>
      </c>
      <c r="C3812" s="82" t="inlineStr">
        <is>
          <t>Pintura em Resina em Rodapé, Aplicação Manual, 2 Demãos (m)</t>
        </is>
      </c>
      <c r="D3812" s="82" t="inlineStr">
        <is>
          <t>Diluente Epoxi</t>
        </is>
      </c>
      <c r="E3812" s="11">
        <f t="array" ref="E3812">_xlfn.XLOOKUP(D3812,Insumos!B:B,Insumos!C:$C)</f>
        <v/>
      </c>
      <c r="F3812" s="2164">
        <f>0.064*0.1</f>
        <v/>
      </c>
      <c r="G3812" s="92">
        <f t="array" ref="G3812">IF(B3812="insumo",_xlfn.XLOOKUP($D3812,Insumos!$B$1:$B$996,Insumos!$D$1:$D$996),"")</f>
        <v/>
      </c>
      <c r="H3812" s="92" t="n">
        <v>0.320768</v>
      </c>
      <c r="I3812" s="2165" t="n">
        <v>0</v>
      </c>
      <c r="J3812" s="2165" t="n">
        <v>0</v>
      </c>
      <c r="K3812" s="2165" t="n"/>
    </row>
    <row r="3813" outlineLevel="3" ht="12.75" customHeight="1">
      <c r="A3813" s="82" t="n">
        <v>25</v>
      </c>
      <c r="B3813" s="82" t="inlineStr">
        <is>
          <t>Insumo</t>
        </is>
      </c>
      <c r="C3813" s="82" t="inlineStr">
        <is>
          <t>Pintura em Resina em Rodapé, Aplicação Manual, 2 Demãos (m)</t>
        </is>
      </c>
      <c r="D3813" s="82" t="inlineStr">
        <is>
          <t>Fita Crepe Rolo De 25 Mm X 50 M</t>
        </is>
      </c>
      <c r="E3813" s="11">
        <f t="array" ref="E3813">_xlfn.XLOOKUP(D3813,Insumos!B:B,Insumos!C:$C)</f>
        <v/>
      </c>
      <c r="F3813" s="2164">
        <f>0.01*0.1</f>
        <v/>
      </c>
      <c r="G3813" s="92">
        <f t="array" ref="G3813">IF(B3813="insumo",_xlfn.XLOOKUP($D3813,Insumos!$B$1:$B$996,Insumos!$D$1:$D$996),"")</f>
        <v/>
      </c>
      <c r="H3813" s="92" t="n">
        <v>0.01126</v>
      </c>
      <c r="I3813" s="2165" t="n">
        <v>0</v>
      </c>
      <c r="J3813" s="2165" t="n">
        <v>0</v>
      </c>
      <c r="K3813" s="2165" t="n"/>
    </row>
    <row r="3814" outlineLevel="3" ht="12.75" customHeight="1">
      <c r="A3814" s="82" t="n">
        <v>8</v>
      </c>
      <c r="B3814" s="82" t="inlineStr">
        <is>
          <t>Insumo</t>
        </is>
      </c>
      <c r="C3814" s="82" t="inlineStr">
        <is>
          <t>Pintura em Resina em Rodapé, Aplicação Manual, 2 Demãos (m)</t>
        </is>
      </c>
      <c r="D3814" s="82" t="inlineStr">
        <is>
          <t>Primer Epoxi / Epoxidico</t>
        </is>
      </c>
      <c r="E3814" s="11">
        <f t="array" ref="E3814">_xlfn.XLOOKUP(D3814,Insumos!B:B,Insumos!C:$C)</f>
        <v/>
      </c>
      <c r="F3814" s="2164">
        <f>0.2016*0.1</f>
        <v/>
      </c>
      <c r="G3814" s="92">
        <f t="array" ref="G3814">IF(B3814="insumo",_xlfn.XLOOKUP($D3814,Insumos!$B$1:$B$996,Insumos!$D$1:$D$996),"")</f>
        <v/>
      </c>
      <c r="H3814" s="92" t="n">
        <v>2.7667584</v>
      </c>
      <c r="I3814" s="2165" t="n">
        <v>0</v>
      </c>
      <c r="J3814" s="2165" t="n">
        <v>0</v>
      </c>
      <c r="K3814" s="2165" t="n"/>
    </row>
    <row r="3815" outlineLevel="3" ht="12.75" customHeight="1">
      <c r="A3815" s="82" t="n">
        <v>9</v>
      </c>
      <c r="B3815" s="82" t="inlineStr">
        <is>
          <t>Insumo</t>
        </is>
      </c>
      <c r="C3815" s="82" t="inlineStr">
        <is>
          <t>Pintura em Resina em Rodapé, Aplicação Manual, 2 Demãos (m)</t>
        </is>
      </c>
      <c r="D3815" s="82" t="inlineStr">
        <is>
          <t>Tinta Epoxi Base Agua Premium</t>
        </is>
      </c>
      <c r="E3815" s="11">
        <f t="array" ref="E3815">_xlfn.XLOOKUP(D3815,Insumos!B:B,Insumos!C:$C)</f>
        <v/>
      </c>
      <c r="F3815" s="2164">
        <f>0.483*0.1</f>
        <v/>
      </c>
      <c r="G3815" s="92">
        <f t="array" ref="G3815">IF(B3815="insumo",_xlfn.XLOOKUP($D3815,Insumos!$B$1:$B$996,Insumos!$D$1:$D$996),"")</f>
        <v/>
      </c>
      <c r="H3815" s="92" t="n">
        <v>3.95791666666667</v>
      </c>
      <c r="I3815" s="2165" t="n">
        <v>0</v>
      </c>
      <c r="J3815" s="2165" t="n">
        <v>0</v>
      </c>
      <c r="K3815" s="2165" t="n"/>
    </row>
    <row r="3816" outlineLevel="2" ht="15.75" customHeight="1">
      <c r="A3816" s="1067" t="n">
        <v>1</v>
      </c>
      <c r="B3816" s="1067" t="inlineStr">
        <is>
          <t>Serviço</t>
        </is>
      </c>
      <c r="C3816" s="1067" t="inlineStr">
        <is>
          <t>Pintura em Resina em Rodapé, Aplicação Manual, 2 Demãos</t>
        </is>
      </c>
      <c r="D3816" s="1067" t="inlineStr">
        <is>
          <t>Pintura em Resina em Rodapé, Aplicação Manual, 2 Demãos</t>
        </is>
      </c>
      <c r="E3816" s="1068" t="inlineStr">
        <is>
          <t>M2</t>
        </is>
      </c>
      <c r="F3816" s="1067" t="n"/>
      <c r="G3816" s="1069">
        <f t="array" ref="G3816">IF(B3816="insumo",_xlfn.XLOOKUP($D3816,Insumos!$B$1:$B$996,Insumos!$D$1:$D$996),"")</f>
        <v/>
      </c>
      <c r="H3816" s="1069" t="n">
        <v>7.05670306666667</v>
      </c>
      <c r="I3816" s="2161" t="n">
        <v>0</v>
      </c>
      <c r="J3816" s="2161" t="n">
        <v>0</v>
      </c>
      <c r="K3816" s="2161" t="n"/>
    </row>
    <row r="3817" outlineLevel="3" ht="15.75" customHeight="1">
      <c r="A3817" s="10" t="n">
        <v>9</v>
      </c>
      <c r="B3817" s="10" t="inlineStr">
        <is>
          <t>Insumo</t>
        </is>
      </c>
      <c r="C3817" s="10" t="inlineStr">
        <is>
          <t>Pintura em Resina em Rodapé, Aplicação Manual, 2 Demãos</t>
        </is>
      </c>
      <c r="D3817" s="10" t="inlineStr">
        <is>
          <t>Diluente Epoxi</t>
        </is>
      </c>
      <c r="E3817" s="11">
        <f t="array" ref="E3817">_xlfn.XLOOKUP(D3817,Insumos!B:B,Insumos!C:$C)</f>
        <v/>
      </c>
      <c r="F3817" s="14">
        <f>0.064*0.1</f>
        <v/>
      </c>
      <c r="G3817" s="92">
        <f t="array" ref="G3817">IF(B3817="insumo",_xlfn.XLOOKUP($D3817,Insumos!$B$1:$B$996,Insumos!$D$1:$D$996),"")</f>
        <v/>
      </c>
      <c r="H3817" s="92" t="n">
        <v>0.320768</v>
      </c>
      <c r="I3817" s="2162" t="n">
        <v>0</v>
      </c>
      <c r="J3817" s="2162" t="n">
        <v>0</v>
      </c>
      <c r="K3817" s="2162" t="n"/>
    </row>
    <row r="3818" outlineLevel="3" ht="15.75" customHeight="1">
      <c r="A3818" s="10" t="n">
        <v>25</v>
      </c>
      <c r="B3818" s="10" t="inlineStr">
        <is>
          <t>Insumo</t>
        </is>
      </c>
      <c r="C3818" s="10" t="inlineStr">
        <is>
          <t>Pintura em Resina em Rodapé, Aplicação Manual, 2 Demãos</t>
        </is>
      </c>
      <c r="D3818" s="10" t="inlineStr">
        <is>
          <t>Fita Crepe Rolo De 25 Mm X 50 M</t>
        </is>
      </c>
      <c r="E3818" s="11">
        <f t="array" ref="E3818">_xlfn.XLOOKUP(D3818,Insumos!B:B,Insumos!C:$C)</f>
        <v/>
      </c>
      <c r="F3818" s="14">
        <f>0.01*0.1</f>
        <v/>
      </c>
      <c r="G3818" s="92">
        <f t="array" ref="G3818">IF(B3818="insumo",_xlfn.XLOOKUP($D3818,Insumos!$B$1:$B$996,Insumos!$D$1:$D$996),"")</f>
        <v/>
      </c>
      <c r="H3818" s="92" t="n">
        <v>0.01126</v>
      </c>
      <c r="I3818" s="2162" t="n">
        <v>0</v>
      </c>
      <c r="J3818" s="2162" t="n">
        <v>0</v>
      </c>
      <c r="K3818" s="2162" t="n"/>
    </row>
    <row r="3819" outlineLevel="3" ht="15.75" customHeight="1">
      <c r="A3819" s="10" t="n">
        <v>8</v>
      </c>
      <c r="B3819" s="10" t="inlineStr">
        <is>
          <t>Insumo</t>
        </is>
      </c>
      <c r="C3819" s="10" t="inlineStr">
        <is>
          <t>Pintura em Resina em Rodapé, Aplicação Manual, 2 Demãos</t>
        </is>
      </c>
      <c r="D3819" s="10" t="inlineStr">
        <is>
          <t>Primer Epoxi / Epoxidico</t>
        </is>
      </c>
      <c r="E3819" s="11">
        <f t="array" ref="E3819">_xlfn.XLOOKUP(D3819,Insumos!B:B,Insumos!C:$C)</f>
        <v/>
      </c>
      <c r="F3819" s="14">
        <f>0.2016*0.1</f>
        <v/>
      </c>
      <c r="G3819" s="92">
        <f t="array" ref="G3819">IF(B3819="insumo",_xlfn.XLOOKUP($D3819,Insumos!$B$1:$B$996,Insumos!$D$1:$D$996),"")</f>
        <v/>
      </c>
      <c r="H3819" s="92" t="n">
        <v>2.7667584</v>
      </c>
      <c r="I3819" s="2162" t="n">
        <v>0</v>
      </c>
      <c r="J3819" s="2162" t="n">
        <v>0</v>
      </c>
      <c r="K3819" s="2162" t="n"/>
    </row>
    <row r="3820" outlineLevel="3" ht="15.75" customHeight="1">
      <c r="A3820" s="10" t="n">
        <v>9</v>
      </c>
      <c r="B3820" s="10" t="inlineStr">
        <is>
          <t>Insumo</t>
        </is>
      </c>
      <c r="C3820" s="10" t="inlineStr">
        <is>
          <t>Pintura em Resina em Rodapé, Aplicação Manual, 2 Demãos</t>
        </is>
      </c>
      <c r="D3820" s="10" t="inlineStr">
        <is>
          <t>Tinta Epoxi Base Agua Premium</t>
        </is>
      </c>
      <c r="E3820" s="11">
        <f t="array" ref="E3820">_xlfn.XLOOKUP(D3820,Insumos!B:B,Insumos!C:$C)</f>
        <v/>
      </c>
      <c r="F3820" s="14">
        <f>0.483*0.1</f>
        <v/>
      </c>
      <c r="G3820" s="92">
        <f t="array" ref="G3820">IF(B3820="insumo",_xlfn.XLOOKUP($D3820,Insumos!$B$1:$B$996,Insumos!$D$1:$D$996),"")</f>
        <v/>
      </c>
      <c r="H3820" s="92" t="n">
        <v>3.95791666666667</v>
      </c>
      <c r="I3820" s="2162" t="n">
        <v>0</v>
      </c>
      <c r="J3820" s="2162" t="n">
        <v>0</v>
      </c>
      <c r="K3820" s="2162" t="n"/>
    </row>
    <row r="3821" outlineLevel="2" ht="15.75" customHeight="1">
      <c r="A3821" s="1067" t="n">
        <v>1</v>
      </c>
      <c r="B3821" s="1067" t="inlineStr">
        <is>
          <t>Serviço</t>
        </is>
      </c>
      <c r="C3821" s="1067" t="inlineStr">
        <is>
          <t>Pintura em Epóxi em Piso, Aplicação Manual, 2 Demãos</t>
        </is>
      </c>
      <c r="D3821" s="1067" t="inlineStr">
        <is>
          <t>Pintura em Epóxi em Piso, Aplicação Manual, 2 Demãos</t>
        </is>
      </c>
      <c r="E3821" s="1068" t="inlineStr">
        <is>
          <t>M2</t>
        </is>
      </c>
      <c r="F3821" s="1067" t="n"/>
      <c r="G3821" s="1069">
        <f t="array" ref="G3821">IF(B3821="insumo",_xlfn.XLOOKUP($D3821,Insumos!$B$1:$B$996,Insumos!$D$1:$D$996),"")</f>
        <v/>
      </c>
      <c r="H3821" s="1069" t="n">
        <v>70.5670306666667</v>
      </c>
      <c r="I3821" s="2161" t="n">
        <v>0</v>
      </c>
      <c r="J3821" s="2161" t="n">
        <v>0</v>
      </c>
      <c r="K3821" s="2161" t="n"/>
    </row>
    <row r="3822" outlineLevel="3" ht="15.75" customHeight="1">
      <c r="A3822" s="10" t="n">
        <v>9</v>
      </c>
      <c r="B3822" s="10" t="inlineStr">
        <is>
          <t>Insumo</t>
        </is>
      </c>
      <c r="C3822" s="10" t="inlineStr">
        <is>
          <t>Pintura em Epóxi em Piso, Aplicação Manual, 2 Demãos</t>
        </is>
      </c>
      <c r="D3822" s="10" t="inlineStr">
        <is>
          <t>Diluente Epoxi</t>
        </is>
      </c>
      <c r="E3822" s="11">
        <f t="array" ref="E3822">_xlfn.XLOOKUP(D3822,Insumos!B:B,Insumos!C:$C)</f>
        <v/>
      </c>
      <c r="F3822" s="14" t="n">
        <v>0.064</v>
      </c>
      <c r="G3822" s="92">
        <f t="array" ref="G3822">IF(B3822="insumo",_xlfn.XLOOKUP($D3822,Insumos!$B$1:$B$996,Insumos!$D$1:$D$996),"")</f>
        <v/>
      </c>
      <c r="H3822" s="92" t="n">
        <v>3.20768</v>
      </c>
      <c r="I3822" s="2162" t="n">
        <v>0</v>
      </c>
      <c r="J3822" s="2162" t="n">
        <v>0</v>
      </c>
      <c r="K3822" s="2162" t="n"/>
    </row>
    <row r="3823" outlineLevel="3" ht="15.75" customHeight="1">
      <c r="A3823" s="10" t="n">
        <v>25</v>
      </c>
      <c r="B3823" s="10" t="inlineStr">
        <is>
          <t>Insumo</t>
        </is>
      </c>
      <c r="C3823" s="10" t="inlineStr">
        <is>
          <t>Pintura em Epóxi em Piso, Aplicação Manual, 2 Demãos</t>
        </is>
      </c>
      <c r="D3823" s="10" t="inlineStr">
        <is>
          <t>Fita Crepe Rolo De 25 Mm X 50 M</t>
        </is>
      </c>
      <c r="E3823" s="11">
        <f t="array" ref="E3823">_xlfn.XLOOKUP(D3823,Insumos!B:B,Insumos!C:$C)</f>
        <v/>
      </c>
      <c r="F3823" s="14" t="n">
        <v>0.01</v>
      </c>
      <c r="G3823" s="92">
        <f t="array" ref="G3823">IF(B3823="insumo",_xlfn.XLOOKUP($D3823,Insumos!$B$1:$B$996,Insumos!$D$1:$D$996),"")</f>
        <v/>
      </c>
      <c r="H3823" s="92" t="n">
        <v>0.1126</v>
      </c>
      <c r="I3823" s="2162" t="n">
        <v>0</v>
      </c>
      <c r="J3823" s="2162" t="n">
        <v>0</v>
      </c>
      <c r="K3823" s="2162" t="n"/>
    </row>
    <row r="3824" outlineLevel="3" ht="15.75" customHeight="1">
      <c r="A3824" s="10" t="n">
        <v>8</v>
      </c>
      <c r="B3824" s="10" t="inlineStr">
        <is>
          <t>Insumo</t>
        </is>
      </c>
      <c r="C3824" s="10" t="inlineStr">
        <is>
          <t>Pintura em Epóxi em Piso, Aplicação Manual, 2 Demãos</t>
        </is>
      </c>
      <c r="D3824" s="10" t="inlineStr">
        <is>
          <t>Primer Epoxi / Epoxidico</t>
        </is>
      </c>
      <c r="E3824" s="11">
        <f t="array" ref="E3824">_xlfn.XLOOKUP(D3824,Insumos!B:B,Insumos!C:$C)</f>
        <v/>
      </c>
      <c r="F3824" s="14" t="n">
        <v>0.2016</v>
      </c>
      <c r="G3824" s="92">
        <f t="array" ref="G3824">IF(B3824="insumo",_xlfn.XLOOKUP($D3824,Insumos!$B$1:$B$996,Insumos!$D$1:$D$996),"")</f>
        <v/>
      </c>
      <c r="H3824" s="92" t="n">
        <v>27.667584</v>
      </c>
      <c r="I3824" s="2162" t="n">
        <v>0</v>
      </c>
      <c r="J3824" s="2162" t="n">
        <v>0</v>
      </c>
      <c r="K3824" s="2162" t="n"/>
    </row>
    <row r="3825" outlineLevel="3" ht="15.75" customHeight="1">
      <c r="A3825" s="10" t="n">
        <v>9</v>
      </c>
      <c r="B3825" s="10" t="inlineStr">
        <is>
          <t>Insumo</t>
        </is>
      </c>
      <c r="C3825" s="10" t="inlineStr">
        <is>
          <t>Pintura em Epóxi em Piso, Aplicação Manual, 2 Demãos</t>
        </is>
      </c>
      <c r="D3825" s="10" t="inlineStr">
        <is>
          <t>Tinta Epoxi Base Agua Premium</t>
        </is>
      </c>
      <c r="E3825" s="11">
        <f t="array" ref="E3825">_xlfn.XLOOKUP(D3825,Insumos!B:B,Insumos!C:$C)</f>
        <v/>
      </c>
      <c r="F3825" s="14" t="n">
        <v>0.483</v>
      </c>
      <c r="G3825" s="92">
        <f t="array" ref="G3825">IF(B3825="insumo",_xlfn.XLOOKUP($D3825,Insumos!$B$1:$B$996,Insumos!$D$1:$D$996),"")</f>
        <v/>
      </c>
      <c r="H3825" s="92" t="n">
        <v>39.5791666666667</v>
      </c>
      <c r="I3825" s="2162" t="n">
        <v>0</v>
      </c>
      <c r="J3825" s="2162" t="n">
        <v>0</v>
      </c>
      <c r="K3825" s="2162" t="n"/>
    </row>
    <row r="3826" outlineLevel="2" ht="15.75" customHeight="1">
      <c r="A3826" s="1067" t="n">
        <v>1</v>
      </c>
      <c r="B3826" s="1067" t="inlineStr">
        <is>
          <t>Serviço</t>
        </is>
      </c>
      <c r="C3826" s="1067" t="inlineStr">
        <is>
          <t>Pintura em Resina para demarcação de vagas em piso, 1 demão</t>
        </is>
      </c>
      <c r="D3826" s="1067" t="inlineStr">
        <is>
          <t>Pintura em Resina para demarcação de vagas em piso, 1 demão</t>
        </is>
      </c>
      <c r="E3826" s="1068" t="inlineStr">
        <is>
          <t>M2</t>
        </is>
      </c>
      <c r="F3826" s="1067" t="n"/>
      <c r="G3826" s="1069">
        <f t="array" ref="G3826">IF(B3826="insumo",_xlfn.XLOOKUP($D3826,Insumos!$B$1:$B$996,Insumos!$D$1:$D$996),"")</f>
        <v/>
      </c>
      <c r="H3826" s="1069" t="n">
        <v>8.504317407407409</v>
      </c>
      <c r="I3826" s="2161" t="n">
        <v>0</v>
      </c>
      <c r="J3826" s="2161" t="n">
        <v>0</v>
      </c>
      <c r="K3826" s="2161" t="n"/>
    </row>
    <row r="3827" outlineLevel="3" ht="15.75" customHeight="1">
      <c r="A3827" s="10" t="n">
        <v>6</v>
      </c>
      <c r="B3827" s="10" t="inlineStr">
        <is>
          <t>Insumo</t>
        </is>
      </c>
      <c r="C3827" s="10" t="inlineStr">
        <is>
          <t>Pintura em Resina para demarcação de vagas em piso, 1 demão</t>
        </is>
      </c>
      <c r="D3827" s="10" t="inlineStr">
        <is>
          <t>DILUENTE AGUARRAS</t>
        </is>
      </c>
      <c r="E3827" s="11">
        <f t="array" ref="E3827">_xlfn.XLOOKUP(D3827,Insumos!B:B,Insumos!C:$C)</f>
        <v/>
      </c>
      <c r="F3827" s="14" t="n">
        <v>0.021</v>
      </c>
      <c r="G3827" s="92">
        <f t="array" ref="G3827">IF(B3827="insumo",_xlfn.XLOOKUP($D3827,Insumos!$B$1:$B$996,Insumos!$D$1:$D$996),"")</f>
        <v/>
      </c>
      <c r="H3827" s="92" t="n">
        <v>0.46179</v>
      </c>
      <c r="I3827" s="2162" t="n">
        <v>0</v>
      </c>
      <c r="J3827" s="2162" t="n">
        <v>0</v>
      </c>
      <c r="K3827" s="2162" t="n"/>
    </row>
    <row r="3828" outlineLevel="3" ht="22.5" customHeight="1">
      <c r="A3828" s="10" t="n">
        <v>25</v>
      </c>
      <c r="B3828" s="10" t="inlineStr">
        <is>
          <t>Insumo</t>
        </is>
      </c>
      <c r="C3828" s="10" t="inlineStr">
        <is>
          <t>Pintura em Resina para demarcação de vagas em piso, 1 demão</t>
        </is>
      </c>
      <c r="D3828" s="10" t="inlineStr">
        <is>
          <t>Fita Crepe Rolo De 25 Mm X 50 M</t>
        </is>
      </c>
      <c r="E3828" s="11">
        <f t="array" ref="E3828">_xlfn.XLOOKUP(D3828,Insumos!B:B,Insumos!C:$C)</f>
        <v/>
      </c>
      <c r="F3828" s="14" t="n">
        <v>0.012</v>
      </c>
      <c r="G3828" s="92">
        <f t="array" ref="G3828">IF(B3828="insumo",_xlfn.XLOOKUP($D3828,Insumos!$B$1:$B$996,Insumos!$D$1:$D$996),"")</f>
        <v/>
      </c>
      <c r="H3828" s="92" t="n">
        <v>0.13512</v>
      </c>
      <c r="I3828" s="2162" t="n">
        <v>0</v>
      </c>
      <c r="J3828" s="2162" t="n">
        <v>0</v>
      </c>
      <c r="K3828" s="2162" t="n"/>
    </row>
    <row r="3829" outlineLevel="3" ht="15.75" customHeight="1">
      <c r="A3829" s="10" t="n">
        <v>3</v>
      </c>
      <c r="B3829" s="10" t="inlineStr">
        <is>
          <t>Insumo</t>
        </is>
      </c>
      <c r="C3829" s="10" t="inlineStr">
        <is>
          <t>Pintura em Resina para demarcação de vagas em piso, 1 demão</t>
        </is>
      </c>
      <c r="D3829" s="10" t="inlineStr">
        <is>
          <t>TINTA ACRILICA A BASE DE SOLVENTE</t>
        </is>
      </c>
      <c r="E3829" s="11">
        <f t="array" ref="E3829">_xlfn.XLOOKUP(D3829,Insumos!B:B,Insumos!C:$C)</f>
        <v/>
      </c>
      <c r="F3829" s="14" t="n">
        <v>0.2372222222222222</v>
      </c>
      <c r="G3829" s="92">
        <f t="array" ref="G3829">IF(B3829="insumo",_xlfn.XLOOKUP($D3829,Insumos!$B$1:$B$996,Insumos!$D$1:$D$996),"")</f>
        <v/>
      </c>
      <c r="H3829" s="92" t="n">
        <v>7.90740740740741</v>
      </c>
      <c r="I3829" s="2162" t="n">
        <v>0</v>
      </c>
      <c r="J3829" s="2162" t="n">
        <v>0</v>
      </c>
      <c r="K3829" s="2162" t="n"/>
    </row>
    <row r="3830" outlineLevel="2" ht="15.75" customHeight="1">
      <c r="A3830" s="1067" t="n">
        <v>1</v>
      </c>
      <c r="B3830" s="1067" t="inlineStr">
        <is>
          <t>Serviço</t>
        </is>
      </c>
      <c r="C3830" s="1067" t="inlineStr">
        <is>
          <t>Pintura em Epóxi para demarcação de vagas em piso, 1 demão</t>
        </is>
      </c>
      <c r="D3830" s="1067" t="inlineStr">
        <is>
          <t>Pintura em Epóxi para demarcação de vagas em piso, 1 demão</t>
        </is>
      </c>
      <c r="E3830" s="1068" t="inlineStr">
        <is>
          <t>M2</t>
        </is>
      </c>
      <c r="F3830" s="1067" t="n"/>
      <c r="G3830" s="1069">
        <f t="array" ref="G3830">IF(B3830="insumo",_xlfn.XLOOKUP($D3830,Insumos!$B$1:$B$996,Insumos!$D$1:$D$996),"")</f>
        <v/>
      </c>
      <c r="H3830" s="1069" t="n">
        <v>48.2942672098765</v>
      </c>
      <c r="I3830" s="2161" t="e">
        <v>#REF!</v>
      </c>
      <c r="J3830" s="2161" t="e">
        <v>#REF!</v>
      </c>
      <c r="K3830" s="2161" t="n"/>
    </row>
    <row r="3831" outlineLevel="3" ht="15.75" customHeight="1">
      <c r="A3831" s="10" t="n">
        <v>9</v>
      </c>
      <c r="B3831" s="10" t="inlineStr">
        <is>
          <t>Insumo</t>
        </is>
      </c>
      <c r="C3831" s="10" t="inlineStr">
        <is>
          <t>Pintura em Epóxi para demarcação de vagas em piso, 1 demão</t>
        </is>
      </c>
      <c r="D3831" s="10" t="inlineStr">
        <is>
          <t>Diluente Epoxi</t>
        </is>
      </c>
      <c r="E3831" s="11">
        <f t="array" ref="E3831">_xlfn.XLOOKUP(D3831,Insumos!B:B,Insumos!C:$C)</f>
        <v/>
      </c>
      <c r="F3831" s="14" t="n">
        <v>0.021</v>
      </c>
      <c r="G3831" s="92">
        <f t="array" ref="G3831">IF(B3831="insumo",_xlfn.XLOOKUP($D3831,Insumos!$B$1:$B$996,Insumos!$D$1:$D$996),"")</f>
        <v/>
      </c>
      <c r="H3831" s="92" t="n">
        <v>1.05252</v>
      </c>
      <c r="I3831" s="2162" t="e">
        <v>#REF!</v>
      </c>
      <c r="J3831" s="2162" t="e">
        <v>#REF!</v>
      </c>
      <c r="K3831" s="2162" t="n"/>
    </row>
    <row r="3832" outlineLevel="3" ht="15.75" customHeight="1">
      <c r="A3832" s="10" t="n">
        <v>25</v>
      </c>
      <c r="B3832" s="10" t="inlineStr">
        <is>
          <t>Insumo</t>
        </is>
      </c>
      <c r="C3832" s="10" t="inlineStr">
        <is>
          <t>Pintura em Epóxi para demarcação de vagas em piso, 1 demão</t>
        </is>
      </c>
      <c r="D3832" s="10" t="inlineStr">
        <is>
          <t>Fita Crepe Rolo De 25 Mm X 50 M</t>
        </is>
      </c>
      <c r="E3832" s="11">
        <f t="array" ref="E3832">_xlfn.XLOOKUP(D3832,Insumos!B:B,Insumos!C:$C)</f>
        <v/>
      </c>
      <c r="F3832" s="14" t="n">
        <v>0.012</v>
      </c>
      <c r="G3832" s="92">
        <f t="array" ref="G3832">IF(B3832="insumo",_xlfn.XLOOKUP($D3832,Insumos!$B$1:$B$996,Insumos!$D$1:$D$996),"")</f>
        <v/>
      </c>
      <c r="H3832" s="92" t="n">
        <v>0.13512</v>
      </c>
      <c r="I3832" s="2162" t="e">
        <v>#REF!</v>
      </c>
      <c r="J3832" s="2162" t="e">
        <v>#REF!</v>
      </c>
      <c r="K3832" s="2162" t="n"/>
    </row>
    <row r="3833" outlineLevel="3" ht="15.75" customHeight="1">
      <c r="A3833" s="10" t="n">
        <v>8</v>
      </c>
      <c r="B3833" s="10" t="inlineStr">
        <is>
          <t>Insumo</t>
        </is>
      </c>
      <c r="C3833" s="10" t="inlineStr">
        <is>
          <t>Pintura em Epóxi para demarcação de vagas em piso, 1 demão</t>
        </is>
      </c>
      <c r="D3833" s="10" t="inlineStr">
        <is>
          <t>Primer Epoxi / Epoxidico</t>
        </is>
      </c>
      <c r="E3833" s="11">
        <f t="array" ref="E3833">_xlfn.XLOOKUP(D3833,Insumos!B:B,Insumos!C:$C)</f>
        <v/>
      </c>
      <c r="F3833" s="14" t="n">
        <v>0.2016</v>
      </c>
      <c r="G3833" s="92">
        <f t="array" ref="G3833">IF(B3833="insumo",_xlfn.XLOOKUP($D3833,Insumos!$B$1:$B$996,Insumos!$D$1:$D$996),"")</f>
        <v/>
      </c>
      <c r="H3833" s="92" t="n">
        <v>27.667584</v>
      </c>
      <c r="I3833" s="2162" t="e">
        <v>#REF!</v>
      </c>
      <c r="J3833" s="2162" t="e">
        <v>#REF!</v>
      </c>
      <c r="K3833" s="2162" t="n"/>
    </row>
    <row r="3834" outlineLevel="3" ht="15.75" customHeight="1">
      <c r="A3834" s="10" t="n">
        <v>9</v>
      </c>
      <c r="B3834" s="10" t="inlineStr">
        <is>
          <t>Insumo</t>
        </is>
      </c>
      <c r="C3834" s="10" t="inlineStr">
        <is>
          <t>Pintura em Epóxi para demarcação de vagas em piso, 1 demão</t>
        </is>
      </c>
      <c r="D3834" s="10" t="inlineStr">
        <is>
          <t>Tinta Epoxi Base Agua Premium</t>
        </is>
      </c>
      <c r="E3834" s="11">
        <f t="array" ref="E3834">_xlfn.XLOOKUP(D3834,Insumos!B:B,Insumos!C:$C)</f>
        <v/>
      </c>
      <c r="F3834" s="14" t="n">
        <v>0.2372222222222222</v>
      </c>
      <c r="G3834" s="92">
        <f t="array" ref="G3834">IF(B3834="insumo",_xlfn.XLOOKUP($D3834,Insumos!$B$1:$B$996,Insumos!$D$1:$D$996),"")</f>
        <v/>
      </c>
      <c r="H3834" s="92" t="n">
        <v>19.4390432098765</v>
      </c>
      <c r="I3834" s="2162" t="e">
        <v>#REF!</v>
      </c>
      <c r="J3834" s="2162" t="e">
        <v>#REF!</v>
      </c>
      <c r="K3834" s="2162" t="n"/>
    </row>
    <row r="3835" outlineLevel="2" ht="15.75" customHeight="1">
      <c r="A3835" s="1067" t="n">
        <v>1</v>
      </c>
      <c r="B3835" s="1067" t="inlineStr">
        <is>
          <t>Serviço</t>
        </is>
      </c>
      <c r="C3835" s="1067" t="inlineStr">
        <is>
          <t>Pintura em Esmalte em Piso Amarelo, Aplicação Manual, 2 Demãos</t>
        </is>
      </c>
      <c r="D3835" s="1067" t="inlineStr">
        <is>
          <t>Pintura em Esmalte em Piso Amarelo, Aplicação Manual, 2 Demãos</t>
        </is>
      </c>
      <c r="E3835" s="1068" t="inlineStr">
        <is>
          <t>M2</t>
        </is>
      </c>
      <c r="F3835" s="1067" t="n"/>
      <c r="G3835" s="1069">
        <f t="array" ref="G3835">IF(B3835="insumo",_xlfn.XLOOKUP($D3835,Insumos!$B$1:$B$996,Insumos!$D$1:$D$996),"")</f>
        <v/>
      </c>
      <c r="H3835" s="1069" t="n">
        <v>14.3117666666667</v>
      </c>
      <c r="I3835" s="2161" t="n">
        <v>0</v>
      </c>
      <c r="J3835" s="2161" t="n">
        <v>0</v>
      </c>
      <c r="K3835" s="2161" t="n"/>
    </row>
    <row r="3836" outlineLevel="3" ht="15.75" customHeight="1">
      <c r="A3836" s="10" t="n">
        <v>25</v>
      </c>
      <c r="B3836" s="10" t="inlineStr">
        <is>
          <t>Insumo</t>
        </is>
      </c>
      <c r="C3836" s="10" t="inlineStr">
        <is>
          <t>Pintura em Esmalte em Piso Amarelo, Aplicação Manual, 2 Demãos</t>
        </is>
      </c>
      <c r="D3836" s="10" t="inlineStr">
        <is>
          <t>Fita Crepe Rolo De 25 Mm X 50 M</t>
        </is>
      </c>
      <c r="E3836" s="11">
        <f t="array" ref="E3836">_xlfn.XLOOKUP(D3836,Insumos!B:B,Insumos!C:$C)</f>
        <v/>
      </c>
      <c r="F3836" s="14" t="n">
        <v>0.01</v>
      </c>
      <c r="G3836" s="92">
        <f t="array" ref="G3836">IF(B3836="insumo",_xlfn.XLOOKUP($D3836,Insumos!$B$1:$B$996,Insumos!$D$1:$D$996),"")</f>
        <v/>
      </c>
      <c r="H3836" s="92" t="n">
        <v>0.1126</v>
      </c>
      <c r="I3836" s="2162" t="n">
        <v>0</v>
      </c>
      <c r="J3836" s="2162" t="n">
        <v>0</v>
      </c>
      <c r="K3836" s="2162" t="n"/>
    </row>
    <row r="3837" outlineLevel="3" ht="15.75" customHeight="1">
      <c r="A3837" s="10" t="n">
        <v>1</v>
      </c>
      <c r="B3837" s="10" t="inlineStr">
        <is>
          <t>Insumo</t>
        </is>
      </c>
      <c r="C3837" s="10" t="inlineStr">
        <is>
          <t>Pintura em Esmalte em Piso Amarelo, Aplicação Manual, 2 Demãos</t>
        </is>
      </c>
      <c r="D3837" s="10" t="inlineStr">
        <is>
          <t>Tinta Esmalte Sintético Base Solvente Brilhante Pronta para Uso Amarelo 3,6L Luxens</t>
        </is>
      </c>
      <c r="E3837" s="11">
        <f t="array" ref="E3837">_xlfn.XLOOKUP(D3837,Insumos!B:B,Insumos!C:$C)</f>
        <v/>
      </c>
      <c r="F3837" s="14" t="n">
        <v>0.33</v>
      </c>
      <c r="G3837" s="92">
        <f t="array" ref="G3837">IF(B3837="insumo",_xlfn.XLOOKUP($D3837,Insumos!$B$1:$B$996,Insumos!$D$1:$D$996),"")</f>
        <v/>
      </c>
      <c r="H3837" s="92" t="n">
        <v>14.1991666666667</v>
      </c>
      <c r="I3837" s="2162" t="n">
        <v>0</v>
      </c>
      <c r="J3837" s="2162" t="n">
        <v>0</v>
      </c>
      <c r="K3837" s="2162" t="n"/>
    </row>
    <row r="3838" outlineLevel="2" ht="15.75" customHeight="1">
      <c r="A3838" s="1067" t="n">
        <v>1</v>
      </c>
      <c r="B3838" s="1067" t="inlineStr">
        <is>
          <t>Serviço</t>
        </is>
      </c>
      <c r="C3838" s="1067" t="inlineStr">
        <is>
          <t>Pintura em Esmalte em Piso, Aplicação Manual, 2 Demãos</t>
        </is>
      </c>
      <c r="D3838" s="1067" t="inlineStr">
        <is>
          <t>Pintura em Esmalte em Piso, Aplicação Manual, 2 Demãos</t>
        </is>
      </c>
      <c r="E3838" s="1068" t="inlineStr">
        <is>
          <t>M2</t>
        </is>
      </c>
      <c r="F3838" s="1067" t="n"/>
      <c r="G3838" s="1069">
        <f t="array" ref="G3838">IF(B3838="insumo",_xlfn.XLOOKUP($D3838,Insumos!$B$1:$B$996,Insumos!$D$1:$D$996),"")</f>
        <v/>
      </c>
      <c r="H3838" s="1069" t="n">
        <v>20.96071</v>
      </c>
      <c r="I3838" s="2161" t="n">
        <v>0</v>
      </c>
      <c r="J3838" s="2161" t="n">
        <v>0</v>
      </c>
      <c r="K3838" s="2161" t="n"/>
    </row>
    <row r="3839" outlineLevel="3" ht="15.75" customHeight="1">
      <c r="A3839" s="10" t="n">
        <v>6</v>
      </c>
      <c r="B3839" s="10" t="inlineStr">
        <is>
          <t>Insumo</t>
        </is>
      </c>
      <c r="C3839" s="10" t="inlineStr">
        <is>
          <t>Pintura em Esmalte em Piso, Aplicação Manual, 2 Demãos</t>
        </is>
      </c>
      <c r="D3839" s="10" t="inlineStr">
        <is>
          <t>DILUENTE AGUARRAS</t>
        </is>
      </c>
      <c r="E3839" s="11">
        <f t="array" ref="E3839">_xlfn.XLOOKUP(D3839,Insumos!B:B,Insumos!C:$C)</f>
        <v/>
      </c>
      <c r="F3839" s="14" t="n">
        <v>0.064</v>
      </c>
      <c r="G3839" s="92">
        <f t="array" ref="G3839">IF(B3839="insumo",_xlfn.XLOOKUP($D3839,Insumos!$B$1:$B$996,Insumos!$D$1:$D$996),"")</f>
        <v/>
      </c>
      <c r="H3839" s="92" t="n">
        <v>1.40736</v>
      </c>
      <c r="I3839" s="2162" t="n">
        <v>0</v>
      </c>
      <c r="J3839" s="2162" t="n">
        <v>0</v>
      </c>
      <c r="K3839" s="2162" t="n"/>
    </row>
    <row r="3840" outlineLevel="3" ht="15.75" customHeight="1">
      <c r="A3840" s="10" t="n">
        <v>25</v>
      </c>
      <c r="B3840" s="10" t="inlineStr">
        <is>
          <t>Insumo</t>
        </is>
      </c>
      <c r="C3840" s="10" t="inlineStr">
        <is>
          <t>Pintura em Esmalte em Piso, Aplicação Manual, 2 Demãos</t>
        </is>
      </c>
      <c r="D3840" s="10" t="inlineStr">
        <is>
          <t>Fita Crepe Rolo De 25 Mm X 50 M</t>
        </is>
      </c>
      <c r="E3840" s="11">
        <f t="array" ref="E3840">_xlfn.XLOOKUP(D3840,Insumos!B:B,Insumos!C:$C)</f>
        <v/>
      </c>
      <c r="F3840" s="14" t="n">
        <v>0.01</v>
      </c>
      <c r="G3840" s="92">
        <f t="array" ref="G3840">IF(B3840="insumo",_xlfn.XLOOKUP($D3840,Insumos!$B$1:$B$996,Insumos!$D$1:$D$996),"")</f>
        <v/>
      </c>
      <c r="H3840" s="92" t="n">
        <v>0.1126</v>
      </c>
      <c r="I3840" s="2162" t="n">
        <v>0</v>
      </c>
      <c r="J3840" s="2162" t="n">
        <v>0</v>
      </c>
      <c r="K3840" s="2162" t="n"/>
    </row>
    <row r="3841" outlineLevel="3" ht="15.75" customHeight="1">
      <c r="A3841" s="10" t="n">
        <v>1</v>
      </c>
      <c r="B3841" s="10" t="inlineStr">
        <is>
          <t>Insumo</t>
        </is>
      </c>
      <c r="C3841" s="10" t="inlineStr">
        <is>
          <t>Pintura em Esmalte em Piso, Aplicação Manual, 2 Demãos</t>
        </is>
      </c>
      <c r="D3841" s="10" t="inlineStr">
        <is>
          <t>Tinta Esmalte</t>
        </is>
      </c>
      <c r="E3841" s="11">
        <f t="array" ref="E3841">_xlfn.XLOOKUP(D3841,Insumos!B:B,Insumos!C:$C)</f>
        <v/>
      </c>
      <c r="F3841" s="14" t="n">
        <v>0.483</v>
      </c>
      <c r="G3841" s="92">
        <f t="array" ref="G3841">IF(B3841="insumo",_xlfn.XLOOKUP($D3841,Insumos!$B$1:$B$996,Insumos!$D$1:$D$996),"")</f>
        <v/>
      </c>
      <c r="H3841" s="92" t="n">
        <v>19.44075</v>
      </c>
      <c r="I3841" s="2162" t="n">
        <v>0</v>
      </c>
      <c r="J3841" s="2162" t="n">
        <v>0</v>
      </c>
      <c r="K3841" s="2162" t="n"/>
    </row>
    <row r="3842" outlineLevel="2" ht="15.75" customHeight="1">
      <c r="A3842" s="1067" t="n">
        <v>1</v>
      </c>
      <c r="B3842" s="1067" t="inlineStr">
        <is>
          <t>Serviço</t>
        </is>
      </c>
      <c r="C3842" s="1067" t="inlineStr">
        <is>
          <t>Pintura em Acrilica em Piso, Aplicação Manual, 2 Demãos</t>
        </is>
      </c>
      <c r="D3842" s="1067" t="inlineStr">
        <is>
          <t>Pintura em Acrilica em Piso, Aplicação Manual, 2 Demãos</t>
        </is>
      </c>
      <c r="E3842" s="1068" t="inlineStr">
        <is>
          <t>M2</t>
        </is>
      </c>
      <c r="F3842" s="1067" t="n"/>
      <c r="G3842" s="1069">
        <f t="array" ref="G3842">IF(B3842="insumo",_xlfn.XLOOKUP($D3842,Insumos!$B$1:$B$996,Insumos!$D$1:$D$996),"")</f>
        <v/>
      </c>
      <c r="H3842" s="1069" t="n">
        <v>16.9302433333333</v>
      </c>
      <c r="I3842" s="2161" t="n">
        <v>0</v>
      </c>
      <c r="J3842" s="2161" t="n">
        <v>0</v>
      </c>
      <c r="K3842" s="2161" t="n"/>
    </row>
    <row r="3843" outlineLevel="3" ht="15.75" customHeight="1">
      <c r="A3843" s="10" t="n">
        <v>6</v>
      </c>
      <c r="B3843" s="10" t="inlineStr">
        <is>
          <t>Insumo</t>
        </is>
      </c>
      <c r="C3843" s="10" t="inlineStr">
        <is>
          <t>Pintura em Acrilica em Piso, Aplicação Manual, 2 Demãos</t>
        </is>
      </c>
      <c r="D3843" s="10" t="inlineStr">
        <is>
          <t>DILUENTE AGUARRAS</t>
        </is>
      </c>
      <c r="E3843" s="11">
        <f t="array" ref="E3843">_xlfn.XLOOKUP(D3843,Insumos!B:B,Insumos!C:$C)</f>
        <v/>
      </c>
      <c r="F3843" s="14" t="n">
        <v>0.021</v>
      </c>
      <c r="G3843" s="92">
        <f t="array" ref="G3843">IF(B3843="insumo",_xlfn.XLOOKUP($D3843,Insumos!$B$1:$B$996,Insumos!$D$1:$D$996),"")</f>
        <v/>
      </c>
      <c r="H3843" s="92" t="n">
        <v>0.46179</v>
      </c>
      <c r="I3843" s="2162" t="n">
        <v>0</v>
      </c>
      <c r="J3843" s="2162" t="n">
        <v>0</v>
      </c>
      <c r="K3843" s="2162" t="n"/>
    </row>
    <row r="3844" outlineLevel="3" ht="22.5" customHeight="1">
      <c r="A3844" s="10" t="n">
        <v>25</v>
      </c>
      <c r="B3844" s="10" t="inlineStr">
        <is>
          <t>Insumo</t>
        </is>
      </c>
      <c r="C3844" s="10" t="inlineStr">
        <is>
          <t>Pintura em Acrilica em Piso, Aplicação Manual, 2 Demãos</t>
        </is>
      </c>
      <c r="D3844" s="10" t="inlineStr">
        <is>
          <t>Fita Crepe Rolo De 25 Mm X 50 M</t>
        </is>
      </c>
      <c r="E3844" s="11">
        <f t="array" ref="E3844">_xlfn.XLOOKUP(D3844,Insumos!B:B,Insumos!C:$C)</f>
        <v/>
      </c>
      <c r="F3844" s="14" t="n">
        <v>0.012</v>
      </c>
      <c r="G3844" s="92">
        <f t="array" ref="G3844">IF(B3844="insumo",_xlfn.XLOOKUP($D3844,Insumos!$B$1:$B$996,Insumos!$D$1:$D$996),"")</f>
        <v/>
      </c>
      <c r="H3844" s="92" t="n">
        <v>0.13512</v>
      </c>
      <c r="I3844" s="2162" t="n">
        <v>0</v>
      </c>
      <c r="J3844" s="2162" t="n">
        <v>0</v>
      </c>
      <c r="K3844" s="2162" t="n"/>
    </row>
    <row r="3845" outlineLevel="3" ht="15.75" customHeight="1">
      <c r="A3845" s="10" t="n">
        <v>3</v>
      </c>
      <c r="B3845" s="10" t="inlineStr">
        <is>
          <t>Insumo</t>
        </is>
      </c>
      <c r="C3845" s="10" t="inlineStr">
        <is>
          <t>Pintura em Acrilica em Piso, Aplicação Manual, 2 Demãos</t>
        </is>
      </c>
      <c r="D3845" s="10" t="inlineStr">
        <is>
          <t>TINTA ACRILICA A BASE DE SOLVENTE</t>
        </is>
      </c>
      <c r="E3845" s="11">
        <f t="array" ref="E3845">_xlfn.XLOOKUP(D3845,Insumos!B:B,Insumos!C:$C)</f>
        <v/>
      </c>
      <c r="F3845" s="14" t="n">
        <v>0.49</v>
      </c>
      <c r="G3845" s="92">
        <f t="array" ref="G3845">IF(B3845="insumo",_xlfn.XLOOKUP($D3845,Insumos!$B$1:$B$996,Insumos!$D$1:$D$996),"")</f>
        <v/>
      </c>
      <c r="H3845" s="92" t="n">
        <v>16.3333333333333</v>
      </c>
      <c r="I3845" s="2162" t="n">
        <v>0</v>
      </c>
      <c r="J3845" s="2162" t="n">
        <v>0</v>
      </c>
      <c r="K3845" s="2162" t="n"/>
    </row>
    <row r="3846" outlineLevel="2" ht="15.75" customHeight="1">
      <c r="A3846" s="1067" t="n">
        <v>1</v>
      </c>
      <c r="B3846" s="1067" t="inlineStr">
        <is>
          <t>Serviço</t>
        </is>
      </c>
      <c r="C3846" s="1067" t="inlineStr">
        <is>
          <t>Textura acrílica aplicação em Escadas, 1 demão</t>
        </is>
      </c>
      <c r="D3846" s="1067" t="inlineStr">
        <is>
          <t>Textura acrílica aplicação em Escadas, 1 demão</t>
        </is>
      </c>
      <c r="E3846" s="1068" t="inlineStr">
        <is>
          <t>M2</t>
        </is>
      </c>
      <c r="F3846" s="1067" t="n"/>
      <c r="G3846" s="1069">
        <f t="array" ref="G3846">IF(B3846="insumo",_xlfn.XLOOKUP($D3846,Insumos!$B$1:$B$996,Insumos!$D$1:$D$996),"")</f>
        <v/>
      </c>
      <c r="H3846" s="1069" t="n">
        <v>14.7142656363636</v>
      </c>
      <c r="I3846" s="2161" t="n">
        <v>0</v>
      </c>
      <c r="J3846" s="2161" t="n">
        <v>0</v>
      </c>
      <c r="K3846" s="2161" t="n"/>
    </row>
    <row r="3847" outlineLevel="3" ht="15.75" customHeight="1">
      <c r="A3847" s="10" t="n">
        <v>31</v>
      </c>
      <c r="B3847" s="10" t="inlineStr">
        <is>
          <t>Insumo</t>
        </is>
      </c>
      <c r="C3847" s="10" t="inlineStr">
        <is>
          <t>Textura acrílica aplicação em Escadas, 1 demão</t>
        </is>
      </c>
      <c r="D3847" s="10" t="inlineStr">
        <is>
          <t>Selador acrilico opaco premium interno/externo</t>
        </is>
      </c>
      <c r="E3847" s="11">
        <f t="array" ref="E3847">_xlfn.XLOOKUP(D3847,Insumos!B:B,Insumos!C:$C)</f>
        <v/>
      </c>
      <c r="F3847" s="14" t="n">
        <v>0.1666</v>
      </c>
      <c r="G3847" s="92">
        <f t="array" ref="G3847">IF(B3847="insumo",_xlfn.XLOOKUP($D3847,Insumos!$B$1:$B$996,Insumos!$D$1:$D$996),"")</f>
        <v/>
      </c>
      <c r="H3847" s="92" t="n">
        <v>1.077902</v>
      </c>
      <c r="I3847" s="2162" t="n">
        <v>0</v>
      </c>
      <c r="J3847" s="2162" t="n">
        <v>0</v>
      </c>
      <c r="K3847" s="2162" t="n"/>
    </row>
    <row r="3848" outlineLevel="3" ht="15.75" customHeight="1">
      <c r="A3848" s="10" t="n">
        <v>5</v>
      </c>
      <c r="B3848" s="10" t="inlineStr">
        <is>
          <t>Insumo</t>
        </is>
      </c>
      <c r="C3848" s="10" t="inlineStr">
        <is>
          <t>Textura acrílica aplicação em Escadas, 1 demão</t>
        </is>
      </c>
      <c r="D3848" s="10" t="inlineStr">
        <is>
          <t>MASSA PREMIUM PARA TEXTURA LISA DE BASE ACRILICA</t>
        </is>
      </c>
      <c r="E3848" s="11">
        <f t="array" ref="E3848">_xlfn.XLOOKUP(D3848,Insumos!B:B,Insumos!C:$C)</f>
        <v/>
      </c>
      <c r="F3848" s="14" t="n">
        <v>1.5</v>
      </c>
      <c r="G3848" s="92">
        <f t="array" ref="G3848">IF(B3848="insumo",_xlfn.XLOOKUP($D3848,Insumos!$B$1:$B$996,Insumos!$D$1:$D$996),"")</f>
        <v/>
      </c>
      <c r="H3848" s="92" t="n">
        <v>13.6363636363636</v>
      </c>
      <c r="I3848" s="2162" t="n">
        <v>0</v>
      </c>
      <c r="J3848" s="2162" t="n">
        <v>0</v>
      </c>
      <c r="K3848" s="2162" t="n"/>
    </row>
    <row r="3849" outlineLevel="2" ht="15.75" customHeight="1">
      <c r="A3849" s="1067" t="n">
        <v>1</v>
      </c>
      <c r="B3849" s="1067" t="inlineStr">
        <is>
          <t>Serviço</t>
        </is>
      </c>
      <c r="C3849" s="1067" t="inlineStr">
        <is>
          <t>Pintura em Látex Acrilica para demarcação de vagas em piso, 1 demão</t>
        </is>
      </c>
      <c r="D3849" s="1067" t="inlineStr">
        <is>
          <t>Pintura em Látex Acrilica para demarcação de vagas em piso, 1 demão</t>
        </is>
      </c>
      <c r="E3849" s="1068" t="inlineStr">
        <is>
          <t>M2</t>
        </is>
      </c>
      <c r="F3849" s="1067" t="n"/>
      <c r="G3849" s="1069">
        <f t="array" ref="G3849">IF(B3849="insumo",_xlfn.XLOOKUP($D3849,Insumos!$B$1:$B$996,Insumos!$D$1:$D$996),"")</f>
        <v/>
      </c>
      <c r="H3849" s="1069" t="n">
        <v>5.59825</v>
      </c>
      <c r="I3849" s="2161" t="n">
        <v>0</v>
      </c>
      <c r="J3849" s="2161" t="n">
        <v>0</v>
      </c>
      <c r="K3849" s="2161" t="n"/>
    </row>
    <row r="3850" outlineLevel="3" ht="15.75" customHeight="1">
      <c r="A3850" s="10" t="n">
        <v>16</v>
      </c>
      <c r="B3850" s="10" t="inlineStr">
        <is>
          <t>Insumo</t>
        </is>
      </c>
      <c r="C3850" s="10" t="inlineStr">
        <is>
          <t>Pintura em Látex Acrilica para demarcação de vagas em piso, 1 demão</t>
        </is>
      </c>
      <c r="D3850" s="10" t="inlineStr">
        <is>
          <t xml:space="preserve">TINTA ACRILICA PREMIUM </t>
        </is>
      </c>
      <c r="E3850" s="11">
        <f t="array" ref="E3850">_xlfn.XLOOKUP(D3850,Insumos!B:B,Insumos!C:$C)</f>
        <v/>
      </c>
      <c r="F3850" s="14" t="n">
        <v>0.2285</v>
      </c>
      <c r="G3850" s="92">
        <f t="array" ref="G3850">IF(B3850="insumo",_xlfn.XLOOKUP($D3850,Insumos!$B$1:$B$996,Insumos!$D$1:$D$996),"")</f>
        <v/>
      </c>
      <c r="H3850" s="92" t="n">
        <v>5.59825</v>
      </c>
      <c r="I3850" s="2162" t="n">
        <v>0</v>
      </c>
      <c r="J3850" s="2162" t="n">
        <v>0</v>
      </c>
      <c r="K3850" s="2162" t="n"/>
    </row>
    <row r="3851" outlineLevel="2" ht="12.75" customHeight="1">
      <c r="A3851" s="1071" t="n">
        <v>1</v>
      </c>
      <c r="B3851" s="1071" t="inlineStr">
        <is>
          <t>Serviço</t>
        </is>
      </c>
      <c r="C3851" s="1071" t="inlineStr">
        <is>
          <t>Pintura em tinta para piso, Aplicação Manual, 2 Demãos</t>
        </is>
      </c>
      <c r="D3851" s="1071" t="inlineStr">
        <is>
          <t>Pintura em tinta para piso, Aplicação Manual, 2 Demãos</t>
        </is>
      </c>
      <c r="E3851" s="1072" t="inlineStr">
        <is>
          <t>M2</t>
        </is>
      </c>
      <c r="F3851" s="1071" t="n"/>
      <c r="G3851" s="1073">
        <f t="array" ref="G3851">IF(B3851="insumo",_xlfn.XLOOKUP($D3851,Insumos!$B$1:$B$996,Insumos!$D$1:$D$996),"")</f>
        <v/>
      </c>
      <c r="H3851" s="1073" t="n">
        <v>9.772600000000001</v>
      </c>
      <c r="I3851" s="2163" t="n">
        <v>0</v>
      </c>
      <c r="J3851" s="2163" t="n">
        <v>0</v>
      </c>
      <c r="K3851" s="2163" t="n"/>
    </row>
    <row r="3852" outlineLevel="3" ht="12.75" customHeight="1">
      <c r="A3852" s="82" t="n">
        <v>25</v>
      </c>
      <c r="B3852" s="82" t="inlineStr">
        <is>
          <t>Insumo</t>
        </is>
      </c>
      <c r="C3852" s="82" t="inlineStr">
        <is>
          <t>Pintura em tinta para piso, Aplicação Manual, 2 Demãos</t>
        </is>
      </c>
      <c r="D3852" s="82" t="inlineStr">
        <is>
          <t>Fita Crepe Rolo De 25 Mm X 50 M</t>
        </is>
      </c>
      <c r="E3852" s="11">
        <f t="array" ref="E3852">_xlfn.XLOOKUP(D3852,Insumos!B:B,Insumos!C:$C)</f>
        <v/>
      </c>
      <c r="F3852" s="2164" t="n">
        <v>0.01</v>
      </c>
      <c r="G3852" s="92">
        <f t="array" ref="G3852">IF(B3852="insumo",_xlfn.XLOOKUP($D3852,Insumos!$B$1:$B$996,Insumos!$D$1:$D$996),"")</f>
        <v/>
      </c>
      <c r="H3852" s="92" t="n">
        <v>0.1126</v>
      </c>
      <c r="I3852" s="2165" t="n">
        <v>0</v>
      </c>
      <c r="J3852" s="2165" t="n">
        <v>0</v>
      </c>
      <c r="K3852" s="2165" t="n"/>
    </row>
    <row r="3853" outlineLevel="3" ht="12.75" customHeight="1">
      <c r="A3853" s="82" t="n">
        <v>2</v>
      </c>
      <c r="B3853" s="82" t="inlineStr">
        <is>
          <t>Insumo</t>
        </is>
      </c>
      <c r="C3853" s="82" t="inlineStr">
        <is>
          <t>Pintura em tinta para piso, Aplicação Manual, 2 Demãos</t>
        </is>
      </c>
      <c r="D3853" s="82" t="inlineStr">
        <is>
          <t>Tinta Piso</t>
        </is>
      </c>
      <c r="E3853" s="11">
        <f t="array" ref="E3853">_xlfn.XLOOKUP(D3853,Insumos!B:B,Insumos!C:$C)</f>
        <v/>
      </c>
      <c r="F3853" s="2164" t="n">
        <v>0.483</v>
      </c>
      <c r="G3853" s="92">
        <f t="array" ref="G3853">IF(B3853="insumo",_xlfn.XLOOKUP($D3853,Insumos!$B$1:$B$996,Insumos!$D$1:$D$996),"")</f>
        <v/>
      </c>
      <c r="H3853" s="92" t="n">
        <v>9.66</v>
      </c>
      <c r="I3853" s="2165" t="n">
        <v>0</v>
      </c>
      <c r="J3853" s="2165" t="n">
        <v>0</v>
      </c>
      <c r="K3853" s="2165" t="n"/>
    </row>
    <row r="3854" outlineLevel="2" ht="12.75" customHeight="1">
      <c r="A3854" s="1071" t="n">
        <v>1</v>
      </c>
      <c r="B3854" s="1071" t="inlineStr">
        <is>
          <t>Serviço</t>
        </is>
      </c>
      <c r="C3854" s="1071" t="inlineStr">
        <is>
          <t>Pintura em Resina em Piso, Aplicação Manual, 2 Demãos</t>
        </is>
      </c>
      <c r="D3854" s="1071" t="inlineStr">
        <is>
          <t>Pintura em Resina em Piso, Aplicação Manual, 2 Demãos</t>
        </is>
      </c>
      <c r="E3854" s="1072" t="inlineStr">
        <is>
          <t>M2</t>
        </is>
      </c>
      <c r="F3854" s="1071" t="n"/>
      <c r="G3854" s="1073">
        <f t="array" ref="G3854">IF(B3854="insumo",_xlfn.XLOOKUP($D3854,Insumos!$B$1:$B$996,Insumos!$D$1:$D$996),"")</f>
        <v/>
      </c>
      <c r="H3854" s="1073" t="n">
        <v>42.8994466666667</v>
      </c>
      <c r="I3854" s="2163" t="n">
        <v>0</v>
      </c>
      <c r="J3854" s="2163" t="n">
        <v>0</v>
      </c>
      <c r="K3854" s="2163" t="n"/>
    </row>
    <row r="3855" outlineLevel="3" ht="12.75" customHeight="1">
      <c r="A3855" s="82" t="n">
        <v>9</v>
      </c>
      <c r="B3855" s="82" t="inlineStr">
        <is>
          <t>Insumo</t>
        </is>
      </c>
      <c r="C3855" s="82" t="inlineStr">
        <is>
          <t>Pintura em Resina em Piso, Aplicação Manual, 2 Demãos</t>
        </is>
      </c>
      <c r="D3855" s="82" t="inlineStr">
        <is>
          <t>Diluente Epoxi</t>
        </is>
      </c>
      <c r="E3855" s="11">
        <f t="array" ref="E3855">_xlfn.XLOOKUP(D3855,Insumos!B:B,Insumos!C:$C)</f>
        <v/>
      </c>
      <c r="F3855" s="2164" t="n">
        <v>0.064</v>
      </c>
      <c r="G3855" s="92">
        <f t="array" ref="G3855">IF(B3855="insumo",_xlfn.XLOOKUP($D3855,Insumos!$B$1:$B$996,Insumos!$D$1:$D$996),"")</f>
        <v/>
      </c>
      <c r="H3855" s="92" t="n">
        <v>3.20768</v>
      </c>
      <c r="I3855" s="2165" t="n">
        <v>0</v>
      </c>
      <c r="J3855" s="2165" t="n">
        <v>0</v>
      </c>
      <c r="K3855" s="2165" t="n"/>
    </row>
    <row r="3856" outlineLevel="3" ht="12.75" customHeight="1">
      <c r="A3856" s="82" t="n">
        <v>25</v>
      </c>
      <c r="B3856" s="82" t="inlineStr">
        <is>
          <t>Insumo</t>
        </is>
      </c>
      <c r="C3856" s="82" t="inlineStr">
        <is>
          <t>Pintura em Resina em Piso, Aplicação Manual, 2 Demãos</t>
        </is>
      </c>
      <c r="D3856" s="82" t="inlineStr">
        <is>
          <t>Fita Crepe Rolo De 25 Mm X 50 M</t>
        </is>
      </c>
      <c r="E3856" s="11">
        <f t="array" ref="E3856">_xlfn.XLOOKUP(D3856,Insumos!B:B,Insumos!C:$C)</f>
        <v/>
      </c>
      <c r="F3856" s="2164" t="n">
        <v>0.01</v>
      </c>
      <c r="G3856" s="92">
        <f t="array" ref="G3856">IF(B3856="insumo",_xlfn.XLOOKUP($D3856,Insumos!$B$1:$B$996,Insumos!$D$1:$D$996),"")</f>
        <v/>
      </c>
      <c r="H3856" s="92" t="n">
        <v>0.1126</v>
      </c>
      <c r="I3856" s="2165" t="n">
        <v>0</v>
      </c>
      <c r="J3856" s="2165" t="n">
        <v>0</v>
      </c>
      <c r="K3856" s="2165" t="n"/>
    </row>
    <row r="3857" outlineLevel="3" ht="12.75" customHeight="1">
      <c r="A3857" s="82" t="n">
        <v>9</v>
      </c>
      <c r="B3857" s="82" t="inlineStr">
        <is>
          <t>Insumo</t>
        </is>
      </c>
      <c r="C3857" s="82" t="inlineStr">
        <is>
          <t>Pintura em Resina em Piso, Aplicação Manual, 2 Demãos</t>
        </is>
      </c>
      <c r="D3857" s="82" t="inlineStr">
        <is>
          <t>Tinta Epoxi Base Agua Premium</t>
        </is>
      </c>
      <c r="E3857" s="11">
        <f t="array" ref="E3857">_xlfn.XLOOKUP(D3857,Insumos!B:B,Insumos!C:$C)</f>
        <v/>
      </c>
      <c r="F3857" s="2164" t="n">
        <v>0.483</v>
      </c>
      <c r="G3857" s="92">
        <f t="array" ref="G3857">IF(B3857="insumo",_xlfn.XLOOKUP($D3857,Insumos!$B$1:$B$996,Insumos!$D$1:$D$996),"")</f>
        <v/>
      </c>
      <c r="H3857" s="92" t="n">
        <v>39.5791666666667</v>
      </c>
      <c r="I3857" s="2165" t="n">
        <v>0</v>
      </c>
      <c r="J3857" s="2165" t="n">
        <v>0</v>
      </c>
      <c r="K3857" s="2165" t="n"/>
    </row>
    <row r="3858" outlineLevel="1" ht="15.75" customHeight="1">
      <c r="A3858" s="1090" t="n">
        <v>1</v>
      </c>
      <c r="B3858" s="1090" t="inlineStr">
        <is>
          <t>Subetapa</t>
        </is>
      </c>
      <c r="C3858" s="1090" t="inlineStr">
        <is>
          <t>Pintura em Resina em Piso, Aplicação Manual, 2 Demãos</t>
        </is>
      </c>
      <c r="D3858" s="1090" t="inlineStr">
        <is>
          <t>PAREDES</t>
        </is>
      </c>
      <c r="E3858" s="1091" t="n"/>
      <c r="F3858" s="2160" t="n"/>
      <c r="G3858" s="1091" t="n"/>
      <c r="H3858" s="1091" t="n">
        <v>0</v>
      </c>
      <c r="I3858" s="2160" t="n">
        <v>0</v>
      </c>
      <c r="J3858" s="2160" t="n">
        <v>0</v>
      </c>
      <c r="K3858" s="2160" t="n"/>
    </row>
    <row r="3859" outlineLevel="2" ht="15.75" customHeight="1">
      <c r="A3859" s="1067" t="n">
        <v>1</v>
      </c>
      <c r="B3859" s="1067" t="inlineStr">
        <is>
          <t>Serviço</t>
        </is>
      </c>
      <c r="C3859" s="1067" t="inlineStr">
        <is>
          <t>selador em Paredes Internas</t>
        </is>
      </c>
      <c r="D3859" s="1067" t="inlineStr">
        <is>
          <t>selador em Paredes Internas</t>
        </is>
      </c>
      <c r="E3859" s="1068" t="inlineStr">
        <is>
          <t>M2</t>
        </is>
      </c>
      <c r="F3859" s="1067" t="n"/>
      <c r="G3859" s="1069">
        <f t="array" ref="G3859">IF(B3859="insumo",_xlfn.XLOOKUP($D3859,Insumos!$B$1:$B$996,Insumos!$D$1:$D$996),"")</f>
        <v/>
      </c>
      <c r="H3859" s="1069" t="n">
        <v>1.75855555555556</v>
      </c>
      <c r="I3859" s="2161" t="e">
        <v>#REF!</v>
      </c>
      <c r="J3859" s="2161" t="e">
        <v>#REF!</v>
      </c>
      <c r="K3859" s="2161" t="n"/>
    </row>
    <row r="3860" outlineLevel="3" ht="15.75" customHeight="1">
      <c r="A3860" s="10" t="n">
        <v>19</v>
      </c>
      <c r="B3860" s="10" t="inlineStr">
        <is>
          <t>Insumo</t>
        </is>
      </c>
      <c r="C3860" s="10" t="inlineStr">
        <is>
          <t>selador em Paredes Internas</t>
        </is>
      </c>
      <c r="D3860" s="10" t="inlineStr">
        <is>
          <t>Selador Primer Ibratin - 4,2kg - 3,6L</t>
        </is>
      </c>
      <c r="E3860" s="11">
        <f t="array" ref="E3860">_xlfn.XLOOKUP(D3860,Insumos!B:B,Insumos!C:$C)</f>
        <v/>
      </c>
      <c r="F3860" s="14" t="n">
        <v>0.1666</v>
      </c>
      <c r="G3860" s="92">
        <f t="array" ref="G3860">IF(B3860="insumo",_xlfn.XLOOKUP($D3860,Insumos!$B$1:$B$996,Insumos!$D$1:$D$996),"")</f>
        <v/>
      </c>
      <c r="H3860" s="92" t="n">
        <v>1.75855555555556</v>
      </c>
      <c r="I3860" s="2162" t="e">
        <v>#REF!</v>
      </c>
      <c r="J3860" s="2162" t="e">
        <v>#REF!</v>
      </c>
      <c r="K3860" s="2162" t="n"/>
    </row>
    <row r="3861" outlineLevel="2" ht="15.75" customHeight="1">
      <c r="A3861" s="1067" t="n">
        <v>1</v>
      </c>
      <c r="B3861" s="1067" t="inlineStr">
        <is>
          <t>Serviço</t>
        </is>
      </c>
      <c r="C3861" s="1067" t="inlineStr">
        <is>
          <t>Massa Corrida em Paredes Internas</t>
        </is>
      </c>
      <c r="D3861" s="1067" t="inlineStr">
        <is>
          <t>Massa Corrida em Paredes Internas</t>
        </is>
      </c>
      <c r="E3861" s="1068" t="inlineStr">
        <is>
          <t>M2</t>
        </is>
      </c>
      <c r="F3861" s="1067" t="n"/>
      <c r="G3861" s="1069">
        <f t="array" ref="G3861">IF(B3861="insumo",_xlfn.XLOOKUP($D3861,Insumos!$B$1:$B$996,Insumos!$D$1:$D$996),"")</f>
        <v/>
      </c>
      <c r="H3861" s="1069" t="n">
        <v>4.34916</v>
      </c>
      <c r="I3861" s="2161" t="e">
        <v>#REF!</v>
      </c>
      <c r="J3861" s="2161" t="e">
        <v>#REF!</v>
      </c>
      <c r="K3861" s="2161" t="n"/>
    </row>
    <row r="3862" outlineLevel="3" ht="15.75" customHeight="1">
      <c r="A3862" s="10" t="n">
        <v>21</v>
      </c>
      <c r="B3862" s="10" t="inlineStr">
        <is>
          <t>Insumo</t>
        </is>
      </c>
      <c r="C3862" s="10" t="inlineStr">
        <is>
          <t>Massa Corrida em Paredes Internas</t>
        </is>
      </c>
      <c r="D3862" s="10" t="inlineStr">
        <is>
          <t>Massa corrida para superfícies de ambientes internos</t>
        </is>
      </c>
      <c r="E3862" s="11">
        <f t="array" ref="E3862">_xlfn.XLOOKUP(D3862,Insumos!B:B,Insumos!C:$C)</f>
        <v/>
      </c>
      <c r="F3862" s="14" t="n">
        <v>0.8667</v>
      </c>
      <c r="G3862" s="92">
        <f t="array" ref="G3862">IF(B3862="insumo",_xlfn.XLOOKUP($D3862,Insumos!$B$1:$B$996,Insumos!$D$1:$D$996),"")</f>
        <v/>
      </c>
      <c r="H3862" s="92" t="n">
        <v>4.16016</v>
      </c>
      <c r="I3862" s="2162" t="e">
        <v>#REF!</v>
      </c>
      <c r="J3862" s="2162" t="e">
        <v>#REF!</v>
      </c>
      <c r="K3862" s="2162" t="n"/>
    </row>
    <row r="3863" outlineLevel="3" ht="15.75" customHeight="1">
      <c r="A3863" s="10" t="n">
        <v>36</v>
      </c>
      <c r="B3863" s="10" t="inlineStr">
        <is>
          <t>Insumo</t>
        </is>
      </c>
      <c r="C3863" s="10" t="inlineStr">
        <is>
          <t>Massa Corrida em Paredes Internas</t>
        </is>
      </c>
      <c r="D3863" s="10" t="inlineStr">
        <is>
          <t>LIXA DAGUA 225X275MM GR100</t>
        </is>
      </c>
      <c r="E3863" s="11">
        <f t="array" ref="E3863">_xlfn.XLOOKUP(D3863,Insumos!B:B,Insumos!C:$C)</f>
        <v/>
      </c>
      <c r="F3863" s="14" t="n">
        <v>0.1</v>
      </c>
      <c r="G3863" s="92">
        <f t="array" ref="G3863">IF(B3863="insumo",_xlfn.XLOOKUP($D3863,Insumos!$B$1:$B$996,Insumos!$D$1:$D$996),"")</f>
        <v/>
      </c>
      <c r="H3863" s="92" t="n">
        <v>0.189</v>
      </c>
      <c r="I3863" s="2162" t="e">
        <v>#REF!</v>
      </c>
      <c r="J3863" s="2162" t="e">
        <v>#REF!</v>
      </c>
      <c r="K3863" s="2162" t="n"/>
    </row>
    <row r="3864" outlineLevel="2" ht="15.75" customHeight="1">
      <c r="A3864" s="1067" t="n">
        <v>1</v>
      </c>
      <c r="B3864" s="1067" t="inlineStr">
        <is>
          <t>Serviço</t>
        </is>
      </c>
      <c r="C3864" s="1067" t="inlineStr">
        <is>
          <t>Pintura Com Tinta Latex Acrilica em Paredes Internas, 3 Demaos Branco Gelo</t>
        </is>
      </c>
      <c r="D3864" s="1067" t="inlineStr">
        <is>
          <t>Pintura Com Tinta Latex Acrilica em Paredes Internas, 3 Demaos Branco Gelo</t>
        </is>
      </c>
      <c r="E3864" s="1068" t="inlineStr">
        <is>
          <t>M2</t>
        </is>
      </c>
      <c r="F3864" s="1067" t="n"/>
      <c r="G3864" s="1069">
        <f t="array" ref="G3864">IF(B3864="insumo",_xlfn.XLOOKUP($D3864,Insumos!$B$1:$B$996,Insumos!$D$1:$D$996),"")</f>
        <v/>
      </c>
      <c r="H3864" s="1069" t="n">
        <v>14.280716065</v>
      </c>
      <c r="I3864" s="2161" t="n">
        <v>0</v>
      </c>
      <c r="J3864" s="2161" t="n">
        <v>0</v>
      </c>
      <c r="K3864" s="2161" t="n"/>
    </row>
    <row r="3865" outlineLevel="3" ht="15.75" customHeight="1">
      <c r="A3865" s="10" t="n">
        <v>1</v>
      </c>
      <c r="B3865" s="10" t="inlineStr">
        <is>
          <t>Insumo</t>
        </is>
      </c>
      <c r="C3865" s="10" t="inlineStr">
        <is>
          <t>Pintura Com Tinta Latex Acrilica em Paredes Internas, 3 Demaos Branco Gelo</t>
        </is>
      </c>
      <c r="D3865" s="10" t="inlineStr">
        <is>
          <t>TINTA ACRILICA PREMIUM BRANCO GELO</t>
        </is>
      </c>
      <c r="E3865" s="11">
        <f t="array" ref="E3865">_xlfn.XLOOKUP(D3865,Insumos!B:B,Insumos!C:$C)</f>
        <v/>
      </c>
      <c r="F3865" s="14" t="n">
        <v>0.495</v>
      </c>
      <c r="G3865" s="92">
        <f t="array" ref="G3865">IF(B3865="insumo",_xlfn.XLOOKUP($D3865,Insumos!$B$1:$B$996,Insumos!$D$1:$D$996),"")</f>
        <v/>
      </c>
      <c r="H3865" s="92" t="n">
        <v>13.75</v>
      </c>
      <c r="I3865" s="2162" t="n">
        <v>0</v>
      </c>
      <c r="J3865" s="2162" t="n">
        <v>0</v>
      </c>
      <c r="K3865" s="2162" t="n"/>
    </row>
    <row r="3866" outlineLevel="3" ht="15.75" customHeight="1">
      <c r="A3866" s="10" t="n">
        <v>7</v>
      </c>
      <c r="B3866" s="10" t="inlineStr">
        <is>
          <t>Insumo</t>
        </is>
      </c>
      <c r="C3866" s="10" t="inlineStr">
        <is>
          <t>Pintura Com Tinta Latex Acrilica em Paredes Internas, 3 Demaos Branco Gelo</t>
        </is>
      </c>
      <c r="D3866" s="10" t="inlineStr">
        <is>
          <t>Thiner</t>
        </is>
      </c>
      <c r="E3866" s="11">
        <f t="array" ref="E3866">_xlfn.XLOOKUP(D3866,Insumos!B:B,Insumos!C:$C)</f>
        <v/>
      </c>
      <c r="F3866" s="14" t="n">
        <v>0.00225</v>
      </c>
      <c r="G3866" s="92">
        <f t="array" ref="G3866">IF(B3866="insumo",_xlfn.XLOOKUP($D3866,Insumos!$B$1:$B$996,Insumos!$D$1:$D$996),"")</f>
        <v/>
      </c>
      <c r="H3866" s="92" t="n">
        <v>0.030375</v>
      </c>
      <c r="I3866" s="2162" t="n">
        <v>0</v>
      </c>
      <c r="J3866" s="2162" t="n">
        <v>0</v>
      </c>
      <c r="K3866" s="2162" t="n"/>
    </row>
    <row r="3867" outlineLevel="3" ht="15.75" customHeight="1">
      <c r="A3867" s="10" t="n">
        <v>25</v>
      </c>
      <c r="B3867" s="10" t="inlineStr">
        <is>
          <t>Insumo</t>
        </is>
      </c>
      <c r="C3867" s="10" t="inlineStr">
        <is>
          <t>Pintura Com Tinta Latex Acrilica em Paredes Internas, 3 Demaos Branco Gelo</t>
        </is>
      </c>
      <c r="D3867" s="10" t="inlineStr">
        <is>
          <t>Fita Crepe Rolo De 25 Mm X 50 M</t>
        </is>
      </c>
      <c r="E3867" s="11">
        <f t="array" ref="E3867">_xlfn.XLOOKUP(D3867,Insumos!B:B,Insumos!C:$C)</f>
        <v/>
      </c>
      <c r="F3867" s="14" t="n">
        <v>0.002132</v>
      </c>
      <c r="G3867" s="92">
        <f t="array" ref="G3867">IF(B3867="insumo",_xlfn.XLOOKUP($D3867,Insumos!$B$1:$B$996,Insumos!$D$1:$D$996),"")</f>
        <v/>
      </c>
      <c r="H3867" s="92" t="n">
        <v>0.02400632</v>
      </c>
      <c r="I3867" s="2162" t="n">
        <v>0</v>
      </c>
      <c r="J3867" s="2162" t="n">
        <v>0</v>
      </c>
      <c r="K3867" s="2162" t="n"/>
    </row>
    <row r="3868" outlineLevel="3" ht="15.75" customHeight="1">
      <c r="A3868" s="10" t="n">
        <v>7</v>
      </c>
      <c r="B3868" s="10" t="inlineStr">
        <is>
          <t>Insumo</t>
        </is>
      </c>
      <c r="C3868" s="10" t="inlineStr">
        <is>
          <t>Pintura Com Tinta Latex Acrilica em Paredes Internas, 3 Demaos Branco Gelo</t>
        </is>
      </c>
      <c r="D3868" s="10" t="inlineStr">
        <is>
          <t>Pacote de Estopa</t>
        </is>
      </c>
      <c r="E3868" s="11">
        <f t="array" ref="E3868">_xlfn.XLOOKUP(D3868,Insumos!B:B,Insumos!C:$C)</f>
        <v/>
      </c>
      <c r="F3868" s="14" t="n">
        <v>0.01</v>
      </c>
      <c r="G3868" s="92">
        <f t="array" ref="G3868">IF(B3868="insumo",_xlfn.XLOOKUP($D3868,Insumos!$B$1:$B$996,Insumos!$D$1:$D$996),"")</f>
        <v/>
      </c>
      <c r="H3868" s="92" t="n">
        <v>0.06900000000000001</v>
      </c>
      <c r="I3868" s="2162" t="n">
        <v>0</v>
      </c>
      <c r="J3868" s="2162" t="n">
        <v>0</v>
      </c>
      <c r="K3868" s="2162" t="n"/>
    </row>
    <row r="3869" outlineLevel="3" ht="15.75" customHeight="1">
      <c r="A3869" s="10" t="n">
        <v>7</v>
      </c>
      <c r="B3869" s="10" t="inlineStr">
        <is>
          <t>Insumo</t>
        </is>
      </c>
      <c r="C3869" s="10" t="inlineStr">
        <is>
          <t>Pintura Com Tinta Latex Acrilica em Paredes Internas, 3 Demaos Branco Gelo</t>
        </is>
      </c>
      <c r="D3869" s="10" t="inlineStr">
        <is>
          <t>Cloro para Limpeza</t>
        </is>
      </c>
      <c r="E3869" s="11">
        <f t="array" ref="E3869">_xlfn.XLOOKUP(D3869,Insumos!B:B,Insumos!C:$C)</f>
        <v/>
      </c>
      <c r="F3869" s="14" t="n">
        <v>0.002358</v>
      </c>
      <c r="G3869" s="92">
        <f t="array" ref="G3869">IF(B3869="insumo",_xlfn.XLOOKUP($D3869,Insumos!$B$1:$B$996,Insumos!$D$1:$D$996),"")</f>
        <v/>
      </c>
      <c r="H3869" s="92" t="n">
        <v>0.0150912</v>
      </c>
      <c r="I3869" s="2162" t="n">
        <v>0</v>
      </c>
      <c r="J3869" s="2162" t="n">
        <v>0</v>
      </c>
      <c r="K3869" s="2162" t="n"/>
    </row>
    <row r="3870" outlineLevel="3" ht="15.75" customHeight="1">
      <c r="A3870" s="10" t="n">
        <v>9</v>
      </c>
      <c r="B3870" s="10" t="inlineStr">
        <is>
          <t>Insumo</t>
        </is>
      </c>
      <c r="C3870" s="10" t="inlineStr">
        <is>
          <t>Pintura Com Tinta Latex Acrilica em Paredes Internas, 3 Demaos Branco Gelo</t>
        </is>
      </c>
      <c r="D3870" s="10" t="inlineStr">
        <is>
          <t>Lona Preta Plástica 4x100 Metros 25kg - Agroplastic, Tamanho: 120 Micras</t>
        </is>
      </c>
      <c r="E3870" s="11">
        <f t="array" ref="E3870">_xlfn.XLOOKUP(D3870,Insumos!B:B,Insumos!C:$C)</f>
        <v/>
      </c>
      <c r="F3870" s="14" t="n">
        <v>0.00225</v>
      </c>
      <c r="G3870" s="92">
        <f t="array" ref="G3870">IF(B3870="insumo",_xlfn.XLOOKUP($D3870,Insumos!$B$1:$B$996,Insumos!$D$1:$D$996),"")</f>
        <v/>
      </c>
      <c r="H3870" s="92" t="n">
        <v>0.005180625</v>
      </c>
      <c r="I3870" s="2162" t="n">
        <v>0</v>
      </c>
      <c r="J3870" s="2162" t="n">
        <v>0</v>
      </c>
      <c r="K3870" s="2162" t="n"/>
    </row>
    <row r="3871" outlineLevel="3" ht="15.75" customHeight="1">
      <c r="A3871" s="10" t="n">
        <v>7</v>
      </c>
      <c r="B3871" s="10" t="inlineStr">
        <is>
          <t>Insumo</t>
        </is>
      </c>
      <c r="C3871" s="10" t="inlineStr">
        <is>
          <t>Pintura Com Tinta Latex Acrilica em Paredes Internas, 3 Demaos Branco Gelo</t>
        </is>
      </c>
      <c r="D3871" s="10" t="inlineStr">
        <is>
          <t>Disco de lixa (Diametro 225mm) - Grão 180</t>
        </is>
      </c>
      <c r="E3871" s="11">
        <f t="array" ref="E3871">_xlfn.XLOOKUP(D3871,Insumos!B:B,Insumos!C:$C)</f>
        <v/>
      </c>
      <c r="F3871" s="14" t="n">
        <v>0.02488</v>
      </c>
      <c r="G3871" s="92">
        <f t="array" ref="G3871">IF(B3871="insumo",_xlfn.XLOOKUP($D3871,Insumos!$B$1:$B$996,Insumos!$D$1:$D$996),"")</f>
        <v/>
      </c>
      <c r="H3871" s="92" t="n">
        <v>0.14900632</v>
      </c>
      <c r="I3871" s="2162" t="n">
        <v>0</v>
      </c>
      <c r="J3871" s="2162" t="n">
        <v>0</v>
      </c>
      <c r="K3871" s="2162" t="n"/>
    </row>
    <row r="3872" outlineLevel="3" ht="15.75" customHeight="1">
      <c r="A3872" s="10" t="n">
        <v>7</v>
      </c>
      <c r="B3872" s="10" t="inlineStr">
        <is>
          <t>Insumo</t>
        </is>
      </c>
      <c r="C3872" s="10" t="inlineStr">
        <is>
          <t>Pintura Com Tinta Latex Acrilica em Paredes Internas, 3 Demaos Branco Gelo</t>
        </is>
      </c>
      <c r="D3872" s="10" t="inlineStr">
        <is>
          <t>Disco de lixa telado (Diâmetro 225mm) - Grão 220</t>
        </is>
      </c>
      <c r="E3872" s="11">
        <f t="array" ref="E3872">_xlfn.XLOOKUP(D3872,Insumos!B:B,Insumos!C:$C)</f>
        <v/>
      </c>
      <c r="F3872" s="14" t="n">
        <v>0.02488</v>
      </c>
      <c r="G3872" s="92">
        <f t="array" ref="G3872">IF(B3872="insumo",_xlfn.XLOOKUP($D3872,Insumos!$B$1:$B$996,Insumos!$D$1:$D$996),"")</f>
        <v/>
      </c>
      <c r="H3872" s="92" t="n">
        <v>0.13062</v>
      </c>
      <c r="I3872" s="2162" t="n">
        <v>0</v>
      </c>
      <c r="J3872" s="2162" t="n">
        <v>0</v>
      </c>
      <c r="K3872" s="2162" t="n"/>
    </row>
    <row r="3873" outlineLevel="3" ht="15.75" customHeight="1">
      <c r="A3873" s="10" t="n">
        <v>7</v>
      </c>
      <c r="B3873" s="10" t="inlineStr">
        <is>
          <t>Insumo</t>
        </is>
      </c>
      <c r="C3873" s="10" t="inlineStr">
        <is>
          <t>Pintura Com Tinta Latex Acrilica em Paredes Internas, 3 Demaos Branco Gelo</t>
        </is>
      </c>
      <c r="D3873" s="10" t="inlineStr">
        <is>
          <t>Fita Crepe 50mm x 50mt Azul</t>
        </is>
      </c>
      <c r="E3873" s="11">
        <f t="array" ref="E3873">_xlfn.XLOOKUP(D3873,Insumos!B:B,Insumos!C:$C)</f>
        <v/>
      </c>
      <c r="F3873" s="14" t="n">
        <v>0.002132</v>
      </c>
      <c r="G3873" s="92">
        <f t="array" ref="G3873">IF(B3873="insumo",_xlfn.XLOOKUP($D3873,Insumos!$B$1:$B$996,Insumos!$D$1:$D$996),"")</f>
        <v/>
      </c>
      <c r="H3873" s="92" t="n">
        <v>0.0786708</v>
      </c>
      <c r="I3873" s="2162" t="n">
        <v>0</v>
      </c>
      <c r="J3873" s="2162" t="n">
        <v>0</v>
      </c>
      <c r="K3873" s="2162" t="n"/>
    </row>
    <row r="3874" outlineLevel="3" ht="15.75" customHeight="1">
      <c r="A3874" s="10" t="n">
        <v>36</v>
      </c>
      <c r="B3874" s="10" t="inlineStr">
        <is>
          <t>Insumo</t>
        </is>
      </c>
      <c r="C3874" s="10" t="inlineStr">
        <is>
          <t>Pintura Com Tinta Latex Acrilica em Paredes Internas, 3 Demaos Branco Gelo</t>
        </is>
      </c>
      <c r="D3874" s="10" t="inlineStr">
        <is>
          <t>LIXA DAGUA 225X275MM GR100</t>
        </is>
      </c>
      <c r="E3874" s="11">
        <f t="array" ref="E3874">_xlfn.XLOOKUP(D3874,Insumos!B:B,Insumos!C:$C)</f>
        <v/>
      </c>
      <c r="F3874" s="14" t="n">
        <v>0.01522</v>
      </c>
      <c r="G3874" s="92">
        <f t="array" ref="G3874">IF(B3874="insumo",_xlfn.XLOOKUP($D3874,Insumos!$B$1:$B$996,Insumos!$D$1:$D$996),"")</f>
        <v/>
      </c>
      <c r="H3874" s="92" t="n">
        <v>0.0287658</v>
      </c>
      <c r="I3874" s="2162" t="n">
        <v>0</v>
      </c>
      <c r="J3874" s="2162" t="n">
        <v>0</v>
      </c>
      <c r="K3874" s="2162" t="n"/>
    </row>
    <row r="3875" outlineLevel="2" ht="15.75" customHeight="1">
      <c r="A3875" s="1067" t="n">
        <v>1</v>
      </c>
      <c r="B3875" s="1067" t="inlineStr">
        <is>
          <t>Serviço</t>
        </is>
      </c>
      <c r="C3875" s="1067" t="inlineStr">
        <is>
          <t>Pintura em Epóxi em Parede, Aplicação Manual, 2 Demãos (com massa e selador)</t>
        </is>
      </c>
      <c r="D3875" s="1067" t="inlineStr">
        <is>
          <t>Pintura em Epóxi em Parede, Aplicação Manual, 2 Demãos (com massa e selador)</t>
        </is>
      </c>
      <c r="E3875" s="1068" t="inlineStr">
        <is>
          <t>M2</t>
        </is>
      </c>
      <c r="F3875" s="1067" t="n"/>
      <c r="G3875" s="1069">
        <f t="array" ref="G3875">IF(B3875="insumo",_xlfn.XLOOKUP($D3875,Insumos!$B$1:$B$996,Insumos!$D$1:$D$996),"")</f>
        <v/>
      </c>
      <c r="H3875" s="1069" t="n">
        <v>76.6747462222222</v>
      </c>
      <c r="I3875" s="2161" t="e">
        <v>#REF!</v>
      </c>
      <c r="J3875" s="2161" t="e">
        <v>#REF!</v>
      </c>
      <c r="K3875" s="2161" t="n"/>
    </row>
    <row r="3876" outlineLevel="3" ht="15.75" customHeight="1">
      <c r="A3876" s="10" t="n">
        <v>9</v>
      </c>
      <c r="B3876" s="10" t="inlineStr">
        <is>
          <t>Insumo</t>
        </is>
      </c>
      <c r="C3876" s="10" t="inlineStr">
        <is>
          <t>Pintura em Epóxi em Parede, Aplicação Manual, 2 Demãos (com massa e selador)</t>
        </is>
      </c>
      <c r="D3876" s="10" t="inlineStr">
        <is>
          <t>Diluente Epoxi</t>
        </is>
      </c>
      <c r="E3876" s="11">
        <f t="array" ref="E3876">_xlfn.XLOOKUP(D3876,Insumos!B:B,Insumos!C:$C)</f>
        <v/>
      </c>
      <c r="F3876" s="14" t="n">
        <v>0.064</v>
      </c>
      <c r="G3876" s="92">
        <f t="array" ref="G3876">IF(B3876="insumo",_xlfn.XLOOKUP($D3876,Insumos!$B$1:$B$996,Insumos!$D$1:$D$996),"")</f>
        <v/>
      </c>
      <c r="H3876" s="92" t="n">
        <v>3.20768</v>
      </c>
      <c r="I3876" s="2162" t="e">
        <v>#REF!</v>
      </c>
      <c r="J3876" s="2162" t="e">
        <v>#REF!</v>
      </c>
      <c r="K3876" s="2162" t="n"/>
    </row>
    <row r="3877" outlineLevel="3" ht="15.75" customHeight="1">
      <c r="A3877" s="10" t="n">
        <v>24</v>
      </c>
      <c r="B3877" s="10" t="inlineStr">
        <is>
          <t>Insumo</t>
        </is>
      </c>
      <c r="C3877" s="10" t="inlineStr">
        <is>
          <t>Pintura em Epóxi em Parede, Aplicação Manual, 2 Demãos (com massa e selador)</t>
        </is>
      </c>
      <c r="D3877" s="10" t="inlineStr">
        <is>
          <t>Fita Crepe Rolo De 25 Mm X 50 M</t>
        </is>
      </c>
      <c r="E3877" s="11">
        <f t="array" ref="E3877">_xlfn.XLOOKUP(D3877,Insumos!B:B,Insumos!C:$C)</f>
        <v/>
      </c>
      <c r="F3877" s="14" t="n">
        <v>0.01</v>
      </c>
      <c r="G3877" s="92">
        <f t="array" ref="G3877">IF(B3877="insumo",_xlfn.XLOOKUP($D3877,Insumos!$B$1:$B$996,Insumos!$D$1:$D$996),"")</f>
        <v/>
      </c>
      <c r="H3877" s="92" t="n">
        <v>0.1126</v>
      </c>
      <c r="I3877" s="2162" t="e">
        <v>#REF!</v>
      </c>
      <c r="J3877" s="2162" t="e">
        <v>#REF!</v>
      </c>
      <c r="K3877" s="2162" t="n"/>
    </row>
    <row r="3878" outlineLevel="3" ht="15.75" customHeight="1">
      <c r="A3878" s="10" t="n">
        <v>19</v>
      </c>
      <c r="B3878" s="10" t="inlineStr">
        <is>
          <t>Insumo</t>
        </is>
      </c>
      <c r="C3878" s="10" t="inlineStr">
        <is>
          <t>Pintura em Epóxi em Parede, Aplicação Manual, 2 Demãos (com massa e selador)</t>
        </is>
      </c>
      <c r="D3878" s="10" t="inlineStr">
        <is>
          <t>Selador Primer Ibratin - 4,2kg - 3,6L</t>
        </is>
      </c>
      <c r="E3878" s="11">
        <f t="array" ref="E3878">_xlfn.XLOOKUP(D3878,Insumos!B:B,Insumos!C:$C)</f>
        <v/>
      </c>
      <c r="F3878" s="14" t="n">
        <v>0.1666</v>
      </c>
      <c r="G3878" s="92">
        <f t="array" ref="G3878">IF(B3878="insumo",_xlfn.XLOOKUP($D3878,Insumos!$B$1:$B$996,Insumos!$D$1:$D$996),"")</f>
        <v/>
      </c>
      <c r="H3878" s="92" t="n">
        <v>1.75855555555556</v>
      </c>
      <c r="I3878" s="2162" t="e">
        <v>#REF!</v>
      </c>
      <c r="J3878" s="2162" t="e">
        <v>#REF!</v>
      </c>
      <c r="K3878" s="2162" t="n"/>
    </row>
    <row r="3879" outlineLevel="3" ht="15.75" customHeight="1">
      <c r="A3879" s="10" t="n">
        <v>21</v>
      </c>
      <c r="B3879" s="10" t="inlineStr">
        <is>
          <t>Insumo</t>
        </is>
      </c>
      <c r="C3879" s="10" t="inlineStr">
        <is>
          <t>Pintura em Epóxi em Parede, Aplicação Manual, 2 Demãos (com massa e selador)</t>
        </is>
      </c>
      <c r="D3879" s="10" t="inlineStr">
        <is>
          <t>Massa corrida para superfícies de ambientes internos</t>
        </is>
      </c>
      <c r="E3879" s="11">
        <f t="array" ref="E3879">_xlfn.XLOOKUP(D3879,Insumos!B:B,Insumos!C:$C)</f>
        <v/>
      </c>
      <c r="F3879" s="14" t="n">
        <v>0.8667</v>
      </c>
      <c r="G3879" s="92">
        <f t="array" ref="G3879">IF(B3879="insumo",_xlfn.XLOOKUP($D3879,Insumos!$B$1:$B$996,Insumos!$D$1:$D$996),"")</f>
        <v/>
      </c>
      <c r="H3879" s="92" t="n">
        <v>4.16016</v>
      </c>
      <c r="I3879" s="2162" t="e">
        <v>#REF!</v>
      </c>
      <c r="J3879" s="2162" t="e">
        <v>#REF!</v>
      </c>
      <c r="K3879" s="2162" t="n"/>
    </row>
    <row r="3880" outlineLevel="3" ht="15.75" customHeight="1">
      <c r="A3880" s="10" t="n">
        <v>36</v>
      </c>
      <c r="B3880" s="10" t="inlineStr">
        <is>
          <t>Insumo</t>
        </is>
      </c>
      <c r="C3880" s="10" t="inlineStr">
        <is>
          <t>Pintura em Epóxi em Parede, Aplicação Manual, 2 Demãos (com massa e selador)</t>
        </is>
      </c>
      <c r="D3880" s="10" t="inlineStr">
        <is>
          <t>LIXA DAGUA 225X275MM GR100</t>
        </is>
      </c>
      <c r="E3880" s="11">
        <f t="array" ref="E3880">_xlfn.XLOOKUP(D3880,Insumos!B:B,Insumos!C:$C)</f>
        <v/>
      </c>
      <c r="F3880" s="14" t="n">
        <v>0.1</v>
      </c>
      <c r="G3880" s="92">
        <f t="array" ref="G3880">IF(B3880="insumo",_xlfn.XLOOKUP($D3880,Insumos!$B$1:$B$996,Insumos!$D$1:$D$996),"")</f>
        <v/>
      </c>
      <c r="H3880" s="92" t="n">
        <v>0.189</v>
      </c>
      <c r="I3880" s="2162" t="e">
        <v>#REF!</v>
      </c>
      <c r="J3880" s="2162" t="e">
        <v>#REF!</v>
      </c>
      <c r="K3880" s="2162" t="n"/>
    </row>
    <row r="3881" outlineLevel="3" ht="15.75" customHeight="1">
      <c r="A3881" s="10" t="n">
        <v>8</v>
      </c>
      <c r="B3881" s="10" t="inlineStr">
        <is>
          <t>Insumo</t>
        </is>
      </c>
      <c r="C3881" s="10" t="inlineStr">
        <is>
          <t>Pintura em Epóxi em Parede, Aplicação Manual, 2 Demãos (com massa e selador)</t>
        </is>
      </c>
      <c r="D3881" s="10" t="inlineStr">
        <is>
          <t>Primer Epoxi / Epoxidico</t>
        </is>
      </c>
      <c r="E3881" s="11">
        <f t="array" ref="E3881">_xlfn.XLOOKUP(D3881,Insumos!B:B,Insumos!C:$C)</f>
        <v/>
      </c>
      <c r="F3881" s="14" t="n">
        <v>0.2016</v>
      </c>
      <c r="G3881" s="92">
        <f t="array" ref="G3881">IF(B3881="insumo",_xlfn.XLOOKUP($D3881,Insumos!$B$1:$B$996,Insumos!$D$1:$D$996),"")</f>
        <v/>
      </c>
      <c r="H3881" s="92" t="n">
        <v>27.667584</v>
      </c>
      <c r="I3881" s="2162" t="e">
        <v>#REF!</v>
      </c>
      <c r="J3881" s="2162" t="e">
        <v>#REF!</v>
      </c>
      <c r="K3881" s="2162" t="n"/>
    </row>
    <row r="3882" outlineLevel="3" ht="15.75" customHeight="1">
      <c r="A3882" s="10" t="n">
        <v>9</v>
      </c>
      <c r="B3882" s="10" t="inlineStr">
        <is>
          <t>Insumo</t>
        </is>
      </c>
      <c r="C3882" s="10" t="inlineStr">
        <is>
          <t>Pintura em Epóxi em Parede, Aplicação Manual, 2 Demãos (com massa e selador)</t>
        </is>
      </c>
      <c r="D3882" s="10" t="inlineStr">
        <is>
          <t>Tinta Epoxi Base Agua Premium</t>
        </is>
      </c>
      <c r="E3882" s="11">
        <f t="array" ref="E3882">_xlfn.XLOOKUP(D3882,Insumos!B:B,Insumos!C:$C)</f>
        <v/>
      </c>
      <c r="F3882" s="14" t="n">
        <v>0.483</v>
      </c>
      <c r="G3882" s="92">
        <f t="array" ref="G3882">IF(B3882="insumo",_xlfn.XLOOKUP($D3882,Insumos!$B$1:$B$996,Insumos!$D$1:$D$996),"")</f>
        <v/>
      </c>
      <c r="H3882" s="92" t="n">
        <v>39.5791666666667</v>
      </c>
      <c r="I3882" s="2162" t="e">
        <v>#REF!</v>
      </c>
      <c r="J3882" s="2162" t="e">
        <v>#REF!</v>
      </c>
      <c r="K3882" s="2162" t="n"/>
    </row>
    <row r="3883" outlineLevel="2" ht="15.75" customHeight="1">
      <c r="A3883" s="1067" t="n">
        <v>1</v>
      </c>
      <c r="B3883" s="1067" t="inlineStr">
        <is>
          <t>Serviço</t>
        </is>
      </c>
      <c r="C3883" s="1067" t="inlineStr">
        <is>
          <t>Pintura Com Tinta Latex Acrilica em Paredes Internas, 3 Demaos Branco Acetinado</t>
        </is>
      </c>
      <c r="D3883" s="1067" t="inlineStr">
        <is>
          <t>Pintura Com Tinta Latex Acrilica em Paredes Internas, 3 Demaos Branco Acetinado</t>
        </is>
      </c>
      <c r="E3883" s="1068" t="inlineStr">
        <is>
          <t>M2</t>
        </is>
      </c>
      <c r="F3883" s="1067" t="n"/>
      <c r="G3883" s="1069">
        <f t="array" ref="G3883">IF(B3883="insumo",_xlfn.XLOOKUP($D3883,Insumos!$B$1:$B$996,Insumos!$D$1:$D$996),"")</f>
        <v/>
      </c>
      <c r="H3883" s="1069" t="n">
        <v>18.433216065</v>
      </c>
      <c r="I3883" s="2161" t="n">
        <v>0</v>
      </c>
      <c r="J3883" s="2161" t="n">
        <v>0</v>
      </c>
      <c r="K3883" s="2161" t="n"/>
    </row>
    <row r="3884" outlineLevel="3" ht="15.75" customHeight="1">
      <c r="A3884" s="10" t="n">
        <v>1</v>
      </c>
      <c r="B3884" s="10" t="inlineStr">
        <is>
          <t>Insumo</t>
        </is>
      </c>
      <c r="C3884" s="10" t="inlineStr">
        <is>
          <t>Pintura Com Tinta Latex Acrilica em Paredes Internas, 3 Demaos Branco Acetinado</t>
        </is>
      </c>
      <c r="D3884" s="10" t="inlineStr">
        <is>
          <t>TINTA ACRILICA PREMIUM BRANCO ACETINADO</t>
        </is>
      </c>
      <c r="E3884" s="11">
        <f t="array" ref="E3884">_xlfn.XLOOKUP(D3884,Insumos!B:B,Insumos!C:$C)</f>
        <v/>
      </c>
      <c r="F3884" s="14" t="n">
        <v>0.495</v>
      </c>
      <c r="G3884" s="92">
        <f t="array" ref="G3884">IF(B3884="insumo",_xlfn.XLOOKUP($D3884,Insumos!$B$1:$B$996,Insumos!$D$1:$D$996),"")</f>
        <v/>
      </c>
      <c r="H3884" s="92" t="n">
        <v>17.9025</v>
      </c>
      <c r="I3884" s="2162" t="n">
        <v>0</v>
      </c>
      <c r="J3884" s="2162" t="n">
        <v>0</v>
      </c>
      <c r="K3884" s="2162" t="n"/>
    </row>
    <row r="3885" outlineLevel="3" ht="15.75" customHeight="1">
      <c r="A3885" s="10" t="n">
        <v>7</v>
      </c>
      <c r="B3885" s="10" t="inlineStr">
        <is>
          <t>Insumo</t>
        </is>
      </c>
      <c r="C3885" s="10" t="inlineStr">
        <is>
          <t>Pintura Com Tinta Latex Acrilica em Paredes Internas, 3 Demaos Branco Acetinado</t>
        </is>
      </c>
      <c r="D3885" s="10" t="inlineStr">
        <is>
          <t>Thiner</t>
        </is>
      </c>
      <c r="E3885" s="11">
        <f t="array" ref="E3885">_xlfn.XLOOKUP(D3885,Insumos!B:B,Insumos!C:$C)</f>
        <v/>
      </c>
      <c r="F3885" s="14" t="n">
        <v>0.00225</v>
      </c>
      <c r="G3885" s="92">
        <f t="array" ref="G3885">IF(B3885="insumo",_xlfn.XLOOKUP($D3885,Insumos!$B$1:$B$996,Insumos!$D$1:$D$996),"")</f>
        <v/>
      </c>
      <c r="H3885" s="92" t="n">
        <v>0.030375</v>
      </c>
      <c r="I3885" s="2162" t="n">
        <v>0</v>
      </c>
      <c r="J3885" s="2162" t="n">
        <v>0</v>
      </c>
      <c r="K3885" s="2162" t="n"/>
    </row>
    <row r="3886" outlineLevel="3" ht="15.75" customHeight="1">
      <c r="A3886" s="10" t="n">
        <v>25</v>
      </c>
      <c r="B3886" s="10" t="inlineStr">
        <is>
          <t>Insumo</t>
        </is>
      </c>
      <c r="C3886" s="10" t="inlineStr">
        <is>
          <t>Pintura Com Tinta Latex Acrilica em Paredes Internas, 3 Demaos Branco Acetinado</t>
        </is>
      </c>
      <c r="D3886" s="10" t="inlineStr">
        <is>
          <t>Fita Crepe Rolo De 25 Mm X 50 M</t>
        </is>
      </c>
      <c r="E3886" s="11">
        <f t="array" ref="E3886">_xlfn.XLOOKUP(D3886,Insumos!B:B,Insumos!C:$C)</f>
        <v/>
      </c>
      <c r="F3886" s="14" t="n">
        <v>0.002132</v>
      </c>
      <c r="G3886" s="92">
        <f t="array" ref="G3886">IF(B3886="insumo",_xlfn.XLOOKUP($D3886,Insumos!$B$1:$B$996,Insumos!$D$1:$D$996),"")</f>
        <v/>
      </c>
      <c r="H3886" s="92" t="n">
        <v>0.02400632</v>
      </c>
      <c r="I3886" s="2162" t="n">
        <v>0</v>
      </c>
      <c r="J3886" s="2162" t="n">
        <v>0</v>
      </c>
      <c r="K3886" s="2162" t="n"/>
    </row>
    <row r="3887" outlineLevel="3" ht="15.75" customHeight="1">
      <c r="A3887" s="10" t="n">
        <v>7</v>
      </c>
      <c r="B3887" s="10" t="inlineStr">
        <is>
          <t>Insumo</t>
        </is>
      </c>
      <c r="C3887" s="10" t="inlineStr">
        <is>
          <t>Pintura Com Tinta Latex Acrilica em Paredes Internas, 3 Demaos Branco Acetinado</t>
        </is>
      </c>
      <c r="D3887" s="10" t="inlineStr">
        <is>
          <t>Pacote de Estopa</t>
        </is>
      </c>
      <c r="E3887" s="11">
        <f t="array" ref="E3887">_xlfn.XLOOKUP(D3887,Insumos!B:B,Insumos!C:$C)</f>
        <v/>
      </c>
      <c r="F3887" s="14" t="n">
        <v>0.01</v>
      </c>
      <c r="G3887" s="92">
        <f t="array" ref="G3887">IF(B3887="insumo",_xlfn.XLOOKUP($D3887,Insumos!$B$1:$B$996,Insumos!$D$1:$D$996),"")</f>
        <v/>
      </c>
      <c r="H3887" s="92" t="n">
        <v>0.06900000000000001</v>
      </c>
      <c r="I3887" s="2162" t="n">
        <v>0</v>
      </c>
      <c r="J3887" s="2162" t="n">
        <v>0</v>
      </c>
      <c r="K3887" s="2162" t="n"/>
    </row>
    <row r="3888" outlineLevel="3" ht="15.75" customHeight="1">
      <c r="A3888" s="10" t="n">
        <v>7</v>
      </c>
      <c r="B3888" s="10" t="inlineStr">
        <is>
          <t>Insumo</t>
        </is>
      </c>
      <c r="C3888" s="10" t="inlineStr">
        <is>
          <t>Pintura Com Tinta Latex Acrilica em Paredes Internas, 3 Demaos Branco Acetinado</t>
        </is>
      </c>
      <c r="D3888" s="10" t="inlineStr">
        <is>
          <t>Cloro para Limpeza</t>
        </is>
      </c>
      <c r="E3888" s="11">
        <f t="array" ref="E3888">_xlfn.XLOOKUP(D3888,Insumos!B:B,Insumos!C:$C)</f>
        <v/>
      </c>
      <c r="F3888" s="14" t="n">
        <v>0.002358</v>
      </c>
      <c r="G3888" s="92">
        <f t="array" ref="G3888">IF(B3888="insumo",_xlfn.XLOOKUP($D3888,Insumos!$B$1:$B$996,Insumos!$D$1:$D$996),"")</f>
        <v/>
      </c>
      <c r="H3888" s="92" t="n">
        <v>0.0150912</v>
      </c>
      <c r="I3888" s="2162" t="n">
        <v>0</v>
      </c>
      <c r="J3888" s="2162" t="n">
        <v>0</v>
      </c>
      <c r="K3888" s="2162" t="n"/>
    </row>
    <row r="3889" outlineLevel="3" ht="15.75" customHeight="1">
      <c r="A3889" s="10" t="n">
        <v>9</v>
      </c>
      <c r="B3889" s="10" t="inlineStr">
        <is>
          <t>Insumo</t>
        </is>
      </c>
      <c r="C3889" s="10" t="inlineStr">
        <is>
          <t>Pintura Com Tinta Latex Acrilica em Paredes Internas, 3 Demaos Branco Acetinado</t>
        </is>
      </c>
      <c r="D3889" s="10" t="inlineStr">
        <is>
          <t>Lona Preta Plástica 4x100 Metros 25kg - Agroplastic, Tamanho: 120 Micras</t>
        </is>
      </c>
      <c r="E3889" s="11">
        <f t="array" ref="E3889">_xlfn.XLOOKUP(D3889,Insumos!B:B,Insumos!C:$C)</f>
        <v/>
      </c>
      <c r="F3889" s="14" t="n">
        <v>0.00225</v>
      </c>
      <c r="G3889" s="92">
        <f t="array" ref="G3889">IF(B3889="insumo",_xlfn.XLOOKUP($D3889,Insumos!$B$1:$B$996,Insumos!$D$1:$D$996),"")</f>
        <v/>
      </c>
      <c r="H3889" s="92" t="n">
        <v>0.005180625</v>
      </c>
      <c r="I3889" s="2162" t="n">
        <v>0</v>
      </c>
      <c r="J3889" s="2162" t="n">
        <v>0</v>
      </c>
      <c r="K3889" s="2162" t="n"/>
    </row>
    <row r="3890" outlineLevel="3" ht="15.75" customHeight="1">
      <c r="A3890" s="10" t="n">
        <v>7</v>
      </c>
      <c r="B3890" s="10" t="inlineStr">
        <is>
          <t>Insumo</t>
        </is>
      </c>
      <c r="C3890" s="10" t="inlineStr">
        <is>
          <t>Pintura Com Tinta Latex Acrilica em Paredes Internas, 3 Demaos Branco Acetinado</t>
        </is>
      </c>
      <c r="D3890" s="10" t="inlineStr">
        <is>
          <t>Disco de lixa (Diametro 225mm) - Grão 180</t>
        </is>
      </c>
      <c r="E3890" s="11">
        <f t="array" ref="E3890">_xlfn.XLOOKUP(D3890,Insumos!B:B,Insumos!C:$C)</f>
        <v/>
      </c>
      <c r="F3890" s="14" t="n">
        <v>0.02488</v>
      </c>
      <c r="G3890" s="92">
        <f t="array" ref="G3890">IF(B3890="insumo",_xlfn.XLOOKUP($D3890,Insumos!$B$1:$B$996,Insumos!$D$1:$D$996),"")</f>
        <v/>
      </c>
      <c r="H3890" s="92" t="n">
        <v>0.14900632</v>
      </c>
      <c r="I3890" s="2162" t="n">
        <v>0</v>
      </c>
      <c r="J3890" s="2162" t="n">
        <v>0</v>
      </c>
      <c r="K3890" s="2162" t="n"/>
    </row>
    <row r="3891" outlineLevel="3" ht="15.75" customHeight="1">
      <c r="A3891" s="10" t="n">
        <v>7</v>
      </c>
      <c r="B3891" s="10" t="inlineStr">
        <is>
          <t>Insumo</t>
        </is>
      </c>
      <c r="C3891" s="10" t="inlineStr">
        <is>
          <t>Pintura Com Tinta Latex Acrilica em Paredes Internas, 3 Demaos Branco Acetinado</t>
        </is>
      </c>
      <c r="D3891" s="10" t="inlineStr">
        <is>
          <t>Disco de lixa telado (Diâmetro 225mm) - Grão 220</t>
        </is>
      </c>
      <c r="E3891" s="11">
        <f t="array" ref="E3891">_xlfn.XLOOKUP(D3891,Insumos!B:B,Insumos!C:$C)</f>
        <v/>
      </c>
      <c r="F3891" s="14" t="n">
        <v>0.02488</v>
      </c>
      <c r="G3891" s="92">
        <f t="array" ref="G3891">IF(B3891="insumo",_xlfn.XLOOKUP($D3891,Insumos!$B$1:$B$996,Insumos!$D$1:$D$996),"")</f>
        <v/>
      </c>
      <c r="H3891" s="92" t="n">
        <v>0.13062</v>
      </c>
      <c r="I3891" s="2162" t="n">
        <v>0</v>
      </c>
      <c r="J3891" s="2162" t="n">
        <v>0</v>
      </c>
      <c r="K3891" s="2162" t="n"/>
    </row>
    <row r="3892" outlineLevel="3" ht="15.75" customHeight="1">
      <c r="A3892" s="10" t="n">
        <v>7</v>
      </c>
      <c r="B3892" s="10" t="inlineStr">
        <is>
          <t>Insumo</t>
        </is>
      </c>
      <c r="C3892" s="10" t="inlineStr">
        <is>
          <t>Pintura Com Tinta Latex Acrilica em Paredes Internas, 3 Demaos Branco Acetinado</t>
        </is>
      </c>
      <c r="D3892" s="10" t="inlineStr">
        <is>
          <t>Fita Crepe 50mm x 50mt Azul</t>
        </is>
      </c>
      <c r="E3892" s="11">
        <f t="array" ref="E3892">_xlfn.XLOOKUP(D3892,Insumos!B:B,Insumos!C:$C)</f>
        <v/>
      </c>
      <c r="F3892" s="14" t="n">
        <v>0.002132</v>
      </c>
      <c r="G3892" s="92">
        <f t="array" ref="G3892">IF(B3892="insumo",_xlfn.XLOOKUP($D3892,Insumos!$B$1:$B$996,Insumos!$D$1:$D$996),"")</f>
        <v/>
      </c>
      <c r="H3892" s="92" t="n">
        <v>0.0786708</v>
      </c>
      <c r="I3892" s="2162" t="n">
        <v>0</v>
      </c>
      <c r="J3892" s="2162" t="n">
        <v>0</v>
      </c>
      <c r="K3892" s="2162" t="n"/>
    </row>
    <row r="3893" outlineLevel="3" ht="15.75" customHeight="1">
      <c r="A3893" s="10" t="n">
        <v>36</v>
      </c>
      <c r="B3893" s="10" t="inlineStr">
        <is>
          <t>Insumo</t>
        </is>
      </c>
      <c r="C3893" s="10" t="inlineStr">
        <is>
          <t>Pintura Com Tinta Latex Acrilica em Paredes Internas, 3 Demaos Branco Acetinado</t>
        </is>
      </c>
      <c r="D3893" s="10" t="inlineStr">
        <is>
          <t>LIXA DAGUA 225X275MM GR100</t>
        </is>
      </c>
      <c r="E3893" s="11">
        <f t="array" ref="E3893">_xlfn.XLOOKUP(D3893,Insumos!B:B,Insumos!C:$C)</f>
        <v/>
      </c>
      <c r="F3893" s="14" t="n">
        <v>0.01522</v>
      </c>
      <c r="G3893" s="92">
        <f t="array" ref="G3893">IF(B3893="insumo",_xlfn.XLOOKUP($D3893,Insumos!$B$1:$B$996,Insumos!$D$1:$D$996),"")</f>
        <v/>
      </c>
      <c r="H3893" s="92" t="n">
        <v>0.0287658</v>
      </c>
      <c r="I3893" s="2162" t="n">
        <v>0</v>
      </c>
      <c r="J3893" s="2162" t="n">
        <v>0</v>
      </c>
      <c r="K3893" s="2162" t="n"/>
    </row>
    <row r="3894" outlineLevel="2" ht="15.75" customHeight="1">
      <c r="A3894" s="1067" t="n">
        <v>1</v>
      </c>
      <c r="B3894" s="1067" t="inlineStr">
        <is>
          <t>Serviço</t>
        </is>
      </c>
      <c r="C3894" s="1067" t="inlineStr">
        <is>
          <t>Pintura Com Tinta Latex Acrilica em Paredes Internas, 3 Demaos Anfora de Prata</t>
        </is>
      </c>
      <c r="D3894" s="1067" t="inlineStr">
        <is>
          <t>Pintura Com Tinta Latex Acrilica em Paredes Internas, 3 Demaos Anfora de Prata</t>
        </is>
      </c>
      <c r="E3894" s="1068" t="inlineStr">
        <is>
          <t>M2</t>
        </is>
      </c>
      <c r="F3894" s="1067" t="n"/>
      <c r="G3894" s="1069">
        <f t="array" ref="G3894">IF(B3894="insumo",_xlfn.XLOOKUP($D3894,Insumos!$B$1:$B$996,Insumos!$D$1:$D$996),"")</f>
        <v/>
      </c>
      <c r="H3894" s="1069" t="n">
        <v>27.446341065</v>
      </c>
      <c r="I3894" s="2161" t="n">
        <v>0</v>
      </c>
      <c r="J3894" s="2161" t="n">
        <v>0</v>
      </c>
      <c r="K3894" s="2161" t="n"/>
    </row>
    <row r="3895" outlineLevel="3" ht="15.75" customHeight="1">
      <c r="A3895" s="10" t="n">
        <v>1</v>
      </c>
      <c r="B3895" s="10" t="inlineStr">
        <is>
          <t>Insumo</t>
        </is>
      </c>
      <c r="C3895" s="10" t="inlineStr">
        <is>
          <t>Pintura Com Tinta Latex Acrilica em Paredes Internas, 3 Demaos Anfora de Prata</t>
        </is>
      </c>
      <c r="D3895" s="10" t="inlineStr">
        <is>
          <t>TINTA ACRILICA PREMIUM ANFORA DE PRATA</t>
        </is>
      </c>
      <c r="E3895" s="11">
        <f t="array" ref="E3895">_xlfn.XLOOKUP(D3895,Insumos!B:B,Insumos!C:$C)</f>
        <v/>
      </c>
      <c r="F3895" s="14" t="n">
        <v>0.495</v>
      </c>
      <c r="G3895" s="92">
        <f t="array" ref="G3895">IF(B3895="insumo",_xlfn.XLOOKUP($D3895,Insumos!$B$1:$B$996,Insumos!$D$1:$D$996),"")</f>
        <v/>
      </c>
      <c r="H3895" s="92" t="n">
        <v>26.915625</v>
      </c>
      <c r="I3895" s="2162" t="n">
        <v>0</v>
      </c>
      <c r="J3895" s="2162" t="n">
        <v>0</v>
      </c>
      <c r="K3895" s="2162" t="n"/>
    </row>
    <row r="3896" outlineLevel="3" ht="15.75" customHeight="1">
      <c r="A3896" s="10" t="n">
        <v>7</v>
      </c>
      <c r="B3896" s="10" t="inlineStr">
        <is>
          <t>Insumo</t>
        </is>
      </c>
      <c r="C3896" s="10" t="inlineStr">
        <is>
          <t>Pintura Com Tinta Latex Acrilica em Paredes Internas, 3 Demaos Anfora de Prata</t>
        </is>
      </c>
      <c r="D3896" s="10" t="inlineStr">
        <is>
          <t>Thiner</t>
        </is>
      </c>
      <c r="E3896" s="11">
        <f t="array" ref="E3896">_xlfn.XLOOKUP(D3896,Insumos!B:B,Insumos!C:$C)</f>
        <v/>
      </c>
      <c r="F3896" s="14" t="n">
        <v>0.00225</v>
      </c>
      <c r="G3896" s="92">
        <f t="array" ref="G3896">IF(B3896="insumo",_xlfn.XLOOKUP($D3896,Insumos!$B$1:$B$996,Insumos!$D$1:$D$996),"")</f>
        <v/>
      </c>
      <c r="H3896" s="92" t="n">
        <v>0.030375</v>
      </c>
      <c r="I3896" s="2162" t="n">
        <v>0</v>
      </c>
      <c r="J3896" s="2162" t="n">
        <v>0</v>
      </c>
      <c r="K3896" s="2162" t="n"/>
    </row>
    <row r="3897" outlineLevel="3" ht="15.75" customHeight="1">
      <c r="A3897" s="10" t="n">
        <v>25</v>
      </c>
      <c r="B3897" s="10" t="inlineStr">
        <is>
          <t>Insumo</t>
        </is>
      </c>
      <c r="C3897" s="10" t="inlineStr">
        <is>
          <t>Pintura Com Tinta Latex Acrilica em Paredes Internas, 3 Demaos Anfora de Prata</t>
        </is>
      </c>
      <c r="D3897" s="10" t="inlineStr">
        <is>
          <t>Fita Crepe Rolo De 25 Mm X 50 M</t>
        </is>
      </c>
      <c r="E3897" s="11">
        <f t="array" ref="E3897">_xlfn.XLOOKUP(D3897,Insumos!B:B,Insumos!C:$C)</f>
        <v/>
      </c>
      <c r="F3897" s="14" t="n">
        <v>0.002132</v>
      </c>
      <c r="G3897" s="92">
        <f t="array" ref="G3897">IF(B3897="insumo",_xlfn.XLOOKUP($D3897,Insumos!$B$1:$B$996,Insumos!$D$1:$D$996),"")</f>
        <v/>
      </c>
      <c r="H3897" s="92" t="n">
        <v>0.02400632</v>
      </c>
      <c r="I3897" s="2162" t="n">
        <v>0</v>
      </c>
      <c r="J3897" s="2162" t="n">
        <v>0</v>
      </c>
      <c r="K3897" s="2162" t="n"/>
    </row>
    <row r="3898" outlineLevel="3" ht="15.75" customHeight="1">
      <c r="A3898" s="10" t="n">
        <v>7</v>
      </c>
      <c r="B3898" s="10" t="inlineStr">
        <is>
          <t>Insumo</t>
        </is>
      </c>
      <c r="C3898" s="10" t="inlineStr">
        <is>
          <t>Pintura Com Tinta Latex Acrilica em Paredes Internas, 3 Demaos Anfora de Prata</t>
        </is>
      </c>
      <c r="D3898" s="10" t="inlineStr">
        <is>
          <t>Pacote de Estopa</t>
        </is>
      </c>
      <c r="E3898" s="11">
        <f t="array" ref="E3898">_xlfn.XLOOKUP(D3898,Insumos!B:B,Insumos!C:$C)</f>
        <v/>
      </c>
      <c r="F3898" s="14" t="n">
        <v>0.01</v>
      </c>
      <c r="G3898" s="92">
        <f t="array" ref="G3898">IF(B3898="insumo",_xlfn.XLOOKUP($D3898,Insumos!$B$1:$B$996,Insumos!$D$1:$D$996),"")</f>
        <v/>
      </c>
      <c r="H3898" s="92" t="n">
        <v>0.06900000000000001</v>
      </c>
      <c r="I3898" s="2162" t="n">
        <v>0</v>
      </c>
      <c r="J3898" s="2162" t="n">
        <v>0</v>
      </c>
      <c r="K3898" s="2162" t="n"/>
    </row>
    <row r="3899" outlineLevel="3" ht="15.75" customHeight="1">
      <c r="A3899" s="10" t="n">
        <v>7</v>
      </c>
      <c r="B3899" s="10" t="inlineStr">
        <is>
          <t>Insumo</t>
        </is>
      </c>
      <c r="C3899" s="10" t="inlineStr">
        <is>
          <t>Pintura Com Tinta Latex Acrilica em Paredes Internas, 3 Demaos Anfora de Prata</t>
        </is>
      </c>
      <c r="D3899" s="10" t="inlineStr">
        <is>
          <t>Cloro para Limpeza</t>
        </is>
      </c>
      <c r="E3899" s="11">
        <f t="array" ref="E3899">_xlfn.XLOOKUP(D3899,Insumos!B:B,Insumos!C:$C)</f>
        <v/>
      </c>
      <c r="F3899" s="14" t="n">
        <v>0.002358</v>
      </c>
      <c r="G3899" s="92">
        <f t="array" ref="G3899">IF(B3899="insumo",_xlfn.XLOOKUP($D3899,Insumos!$B$1:$B$996,Insumos!$D$1:$D$996),"")</f>
        <v/>
      </c>
      <c r="H3899" s="92" t="n">
        <v>0.0150912</v>
      </c>
      <c r="I3899" s="2162" t="n">
        <v>0</v>
      </c>
      <c r="J3899" s="2162" t="n">
        <v>0</v>
      </c>
      <c r="K3899" s="2162" t="n"/>
    </row>
    <row r="3900" outlineLevel="3" ht="15.75" customHeight="1">
      <c r="A3900" s="10" t="n">
        <v>9</v>
      </c>
      <c r="B3900" s="10" t="inlineStr">
        <is>
          <t>Insumo</t>
        </is>
      </c>
      <c r="C3900" s="10" t="inlineStr">
        <is>
          <t>Pintura Com Tinta Latex Acrilica em Paredes Internas, 3 Demaos Anfora de Prata</t>
        </is>
      </c>
      <c r="D3900" s="10" t="inlineStr">
        <is>
          <t>Lona Preta Plástica 4x100 Metros 25kg - Agroplastic, Tamanho: 120 Micras</t>
        </is>
      </c>
      <c r="E3900" s="11">
        <f t="array" ref="E3900">_xlfn.XLOOKUP(D3900,Insumos!B:B,Insumos!C:$C)</f>
        <v/>
      </c>
      <c r="F3900" s="14" t="n">
        <v>0.00225</v>
      </c>
      <c r="G3900" s="92">
        <f t="array" ref="G3900">IF(B3900="insumo",_xlfn.XLOOKUP($D3900,Insumos!$B$1:$B$996,Insumos!$D$1:$D$996),"")</f>
        <v/>
      </c>
      <c r="H3900" s="92" t="n">
        <v>0.005180625</v>
      </c>
      <c r="I3900" s="2162" t="n">
        <v>0</v>
      </c>
      <c r="J3900" s="2162" t="n">
        <v>0</v>
      </c>
      <c r="K3900" s="2162" t="n"/>
    </row>
    <row r="3901" outlineLevel="3" ht="15.75" customHeight="1">
      <c r="A3901" s="10" t="n">
        <v>7</v>
      </c>
      <c r="B3901" s="10" t="inlineStr">
        <is>
          <t>Insumo</t>
        </is>
      </c>
      <c r="C3901" s="10" t="inlineStr">
        <is>
          <t>Pintura Com Tinta Latex Acrilica em Paredes Internas, 3 Demaos Anfora de Prata</t>
        </is>
      </c>
      <c r="D3901" s="10" t="inlineStr">
        <is>
          <t>Disco de lixa (Diametro 225mm) - Grão 180</t>
        </is>
      </c>
      <c r="E3901" s="11">
        <f t="array" ref="E3901">_xlfn.XLOOKUP(D3901,Insumos!B:B,Insumos!C:$C)</f>
        <v/>
      </c>
      <c r="F3901" s="14" t="n">
        <v>0.02488</v>
      </c>
      <c r="G3901" s="92">
        <f t="array" ref="G3901">IF(B3901="insumo",_xlfn.XLOOKUP($D3901,Insumos!$B$1:$B$996,Insumos!$D$1:$D$996),"")</f>
        <v/>
      </c>
      <c r="H3901" s="92" t="n">
        <v>0.14900632</v>
      </c>
      <c r="I3901" s="2162" t="n">
        <v>0</v>
      </c>
      <c r="J3901" s="2162" t="n">
        <v>0</v>
      </c>
      <c r="K3901" s="2162" t="n"/>
    </row>
    <row r="3902" outlineLevel="3" ht="15.75" customHeight="1">
      <c r="A3902" s="10" t="n">
        <v>7</v>
      </c>
      <c r="B3902" s="10" t="inlineStr">
        <is>
          <t>Insumo</t>
        </is>
      </c>
      <c r="C3902" s="10" t="inlineStr">
        <is>
          <t>Pintura Com Tinta Latex Acrilica em Paredes Internas, 3 Demaos Anfora de Prata</t>
        </is>
      </c>
      <c r="D3902" s="10" t="inlineStr">
        <is>
          <t>Disco de lixa telado (Diâmetro 225mm) - Grão 220</t>
        </is>
      </c>
      <c r="E3902" s="11">
        <f t="array" ref="E3902">_xlfn.XLOOKUP(D3902,Insumos!B:B,Insumos!C:$C)</f>
        <v/>
      </c>
      <c r="F3902" s="14" t="n">
        <v>0.02488</v>
      </c>
      <c r="G3902" s="92">
        <f t="array" ref="G3902">IF(B3902="insumo",_xlfn.XLOOKUP($D3902,Insumos!$B$1:$B$996,Insumos!$D$1:$D$996),"")</f>
        <v/>
      </c>
      <c r="H3902" s="92" t="n">
        <v>0.13062</v>
      </c>
      <c r="I3902" s="2162" t="n">
        <v>0</v>
      </c>
      <c r="J3902" s="2162" t="n">
        <v>0</v>
      </c>
      <c r="K3902" s="2162" t="n"/>
    </row>
    <row r="3903" outlineLevel="3" ht="15.75" customHeight="1">
      <c r="A3903" s="10" t="n">
        <v>7</v>
      </c>
      <c r="B3903" s="10" t="inlineStr">
        <is>
          <t>Insumo</t>
        </is>
      </c>
      <c r="C3903" s="10" t="inlineStr">
        <is>
          <t>Pintura Com Tinta Latex Acrilica em Paredes Internas, 3 Demaos Anfora de Prata</t>
        </is>
      </c>
      <c r="D3903" s="10" t="inlineStr">
        <is>
          <t>Fita Crepe 50mm x 50mt Azul</t>
        </is>
      </c>
      <c r="E3903" s="11">
        <f t="array" ref="E3903">_xlfn.XLOOKUP(D3903,Insumos!B:B,Insumos!C:$C)</f>
        <v/>
      </c>
      <c r="F3903" s="14" t="n">
        <v>0.002132</v>
      </c>
      <c r="G3903" s="92">
        <f t="array" ref="G3903">IF(B3903="insumo",_xlfn.XLOOKUP($D3903,Insumos!$B$1:$B$996,Insumos!$D$1:$D$996),"")</f>
        <v/>
      </c>
      <c r="H3903" s="92" t="n">
        <v>0.0786708</v>
      </c>
      <c r="I3903" s="2162" t="n">
        <v>0</v>
      </c>
      <c r="J3903" s="2162" t="n">
        <v>0</v>
      </c>
      <c r="K3903" s="2162" t="n"/>
    </row>
    <row r="3904" outlineLevel="3" ht="15.75" customHeight="1">
      <c r="A3904" s="10" t="n">
        <v>36</v>
      </c>
      <c r="B3904" s="10" t="inlineStr">
        <is>
          <t>Insumo</t>
        </is>
      </c>
      <c r="C3904" s="10" t="inlineStr">
        <is>
          <t>Pintura Com Tinta Latex Acrilica em Paredes Internas, 3 Demaos Anfora de Prata</t>
        </is>
      </c>
      <c r="D3904" s="10" t="inlineStr">
        <is>
          <t>LIXA DAGUA 225X275MM GR100</t>
        </is>
      </c>
      <c r="E3904" s="11">
        <f t="array" ref="E3904">_xlfn.XLOOKUP(D3904,Insumos!B:B,Insumos!C:$C)</f>
        <v/>
      </c>
      <c r="F3904" s="14" t="n">
        <v>0.01522</v>
      </c>
      <c r="G3904" s="92">
        <f t="array" ref="G3904">IF(B3904="insumo",_xlfn.XLOOKUP($D3904,Insumos!$B$1:$B$996,Insumos!$D$1:$D$996),"")</f>
        <v/>
      </c>
      <c r="H3904" s="92" t="n">
        <v>0.0287658</v>
      </c>
      <c r="I3904" s="2162" t="n">
        <v>0</v>
      </c>
      <c r="J3904" s="2162" t="n">
        <v>0</v>
      </c>
      <c r="K3904" s="2162" t="n"/>
    </row>
    <row r="3905" outlineLevel="2" ht="15.75" customHeight="1">
      <c r="A3905" s="1067" t="n">
        <v>1</v>
      </c>
      <c r="B3905" s="1067" t="inlineStr">
        <is>
          <t>Serviço</t>
        </is>
      </c>
      <c r="C3905" s="1067" t="inlineStr">
        <is>
          <t>Pintura Com Tinta Latex Acrilica em Paredes Internas, 3 Demaos Nevoeiro</t>
        </is>
      </c>
      <c r="D3905" s="1067" t="inlineStr">
        <is>
          <t>Pintura Com Tinta Latex Acrilica em Paredes Internas, 3 Demaos Nevoeiro</t>
        </is>
      </c>
      <c r="E3905" s="1068" t="inlineStr">
        <is>
          <t>M2</t>
        </is>
      </c>
      <c r="F3905" s="1067" t="n"/>
      <c r="G3905" s="1069">
        <f t="array" ref="G3905">IF(B3905="insumo",_xlfn.XLOOKUP($D3905,Insumos!$B$1:$B$996,Insumos!$D$1:$D$996),"")</f>
        <v/>
      </c>
      <c r="H3905" s="1069" t="n">
        <v>18.405716065</v>
      </c>
      <c r="I3905" s="2161" t="n">
        <v>0</v>
      </c>
      <c r="J3905" s="2161" t="n">
        <v>0</v>
      </c>
      <c r="K3905" s="2161" t="n"/>
    </row>
    <row r="3906" outlineLevel="3" ht="15.75" customHeight="1">
      <c r="A3906" s="10" t="n">
        <v>1</v>
      </c>
      <c r="B3906" s="10" t="inlineStr">
        <is>
          <t>Insumo</t>
        </is>
      </c>
      <c r="C3906" s="10" t="inlineStr">
        <is>
          <t>Pintura Com Tinta Latex Acrilica em Paredes Internas, 3 Demaos Nevoeiro</t>
        </is>
      </c>
      <c r="D3906" s="10" t="inlineStr">
        <is>
          <t>TINTA ACRILICA PREMIUM NEVOEIRO</t>
        </is>
      </c>
      <c r="E3906" s="11">
        <f t="array" ref="E3906">_xlfn.XLOOKUP(D3906,Insumos!B:B,Insumos!C:$C)</f>
        <v/>
      </c>
      <c r="F3906" s="14" t="n">
        <v>0.495</v>
      </c>
      <c r="G3906" s="92">
        <f t="array" ref="G3906">IF(B3906="insumo",_xlfn.XLOOKUP($D3906,Insumos!$B$1:$B$996,Insumos!$D$1:$D$996),"")</f>
        <v/>
      </c>
      <c r="H3906" s="92" t="n">
        <v>17.875</v>
      </c>
      <c r="I3906" s="2162" t="n">
        <v>0</v>
      </c>
      <c r="J3906" s="2162" t="n">
        <v>0</v>
      </c>
      <c r="K3906" s="2162" t="n"/>
    </row>
    <row r="3907" outlineLevel="3" ht="15.75" customHeight="1">
      <c r="A3907" s="10" t="n">
        <v>7</v>
      </c>
      <c r="B3907" s="10" t="inlineStr">
        <is>
          <t>Insumo</t>
        </is>
      </c>
      <c r="C3907" s="10" t="inlineStr">
        <is>
          <t>Pintura Com Tinta Latex Acrilica em Paredes Internas, 3 Demaos Nevoeiro</t>
        </is>
      </c>
      <c r="D3907" s="10" t="inlineStr">
        <is>
          <t>Thiner</t>
        </is>
      </c>
      <c r="E3907" s="11">
        <f t="array" ref="E3907">_xlfn.XLOOKUP(D3907,Insumos!B:B,Insumos!C:$C)</f>
        <v/>
      </c>
      <c r="F3907" s="14" t="n">
        <v>0.00225</v>
      </c>
      <c r="G3907" s="92">
        <f t="array" ref="G3907">IF(B3907="insumo",_xlfn.XLOOKUP($D3907,Insumos!$B$1:$B$996,Insumos!$D$1:$D$996),"")</f>
        <v/>
      </c>
      <c r="H3907" s="92" t="n">
        <v>0.030375</v>
      </c>
      <c r="I3907" s="2162" t="n">
        <v>0</v>
      </c>
      <c r="J3907" s="2162" t="n">
        <v>0</v>
      </c>
      <c r="K3907" s="2162" t="n"/>
    </row>
    <row r="3908" outlineLevel="3" ht="15.75" customHeight="1">
      <c r="A3908" s="10" t="n">
        <v>25</v>
      </c>
      <c r="B3908" s="10" t="inlineStr">
        <is>
          <t>Insumo</t>
        </is>
      </c>
      <c r="C3908" s="10" t="inlineStr">
        <is>
          <t>Pintura Com Tinta Latex Acrilica em Paredes Internas, 3 Demaos Nevoeiro</t>
        </is>
      </c>
      <c r="D3908" s="10" t="inlineStr">
        <is>
          <t>Fita Crepe Rolo De 25 Mm X 50 M</t>
        </is>
      </c>
      <c r="E3908" s="11">
        <f t="array" ref="E3908">_xlfn.XLOOKUP(D3908,Insumos!B:B,Insumos!C:$C)</f>
        <v/>
      </c>
      <c r="F3908" s="14" t="n">
        <v>0.002132</v>
      </c>
      <c r="G3908" s="92">
        <f t="array" ref="G3908">IF(B3908="insumo",_xlfn.XLOOKUP($D3908,Insumos!$B$1:$B$996,Insumos!$D$1:$D$996),"")</f>
        <v/>
      </c>
      <c r="H3908" s="92" t="n">
        <v>0.02400632</v>
      </c>
      <c r="I3908" s="2162" t="n">
        <v>0</v>
      </c>
      <c r="J3908" s="2162" t="n">
        <v>0</v>
      </c>
      <c r="K3908" s="2162" t="n"/>
    </row>
    <row r="3909" outlineLevel="3" ht="15.75" customHeight="1">
      <c r="A3909" s="10" t="n">
        <v>7</v>
      </c>
      <c r="B3909" s="10" t="inlineStr">
        <is>
          <t>Insumo</t>
        </is>
      </c>
      <c r="C3909" s="10" t="inlineStr">
        <is>
          <t>Pintura Com Tinta Latex Acrilica em Paredes Internas, 3 Demaos Nevoeiro</t>
        </is>
      </c>
      <c r="D3909" s="10" t="inlineStr">
        <is>
          <t>Pacote de Estopa</t>
        </is>
      </c>
      <c r="E3909" s="11">
        <f t="array" ref="E3909">_xlfn.XLOOKUP(D3909,Insumos!B:B,Insumos!C:$C)</f>
        <v/>
      </c>
      <c r="F3909" s="14" t="n">
        <v>0.01</v>
      </c>
      <c r="G3909" s="92">
        <f t="array" ref="G3909">IF(B3909="insumo",_xlfn.XLOOKUP($D3909,Insumos!$B$1:$B$996,Insumos!$D$1:$D$996),"")</f>
        <v/>
      </c>
      <c r="H3909" s="92" t="n">
        <v>0.06900000000000001</v>
      </c>
      <c r="I3909" s="2162" t="n">
        <v>0</v>
      </c>
      <c r="J3909" s="2162" t="n">
        <v>0</v>
      </c>
      <c r="K3909" s="2162" t="n"/>
    </row>
    <row r="3910" outlineLevel="3" ht="15.75" customHeight="1">
      <c r="A3910" s="10" t="n">
        <v>7</v>
      </c>
      <c r="B3910" s="10" t="inlineStr">
        <is>
          <t>Insumo</t>
        </is>
      </c>
      <c r="C3910" s="10" t="inlineStr">
        <is>
          <t>Pintura Com Tinta Latex Acrilica em Paredes Internas, 3 Demaos Nevoeiro</t>
        </is>
      </c>
      <c r="D3910" s="10" t="inlineStr">
        <is>
          <t>Cloro para Limpeza</t>
        </is>
      </c>
      <c r="E3910" s="11">
        <f t="array" ref="E3910">_xlfn.XLOOKUP(D3910,Insumos!B:B,Insumos!C:$C)</f>
        <v/>
      </c>
      <c r="F3910" s="14" t="n">
        <v>0.002358</v>
      </c>
      <c r="G3910" s="92">
        <f t="array" ref="G3910">IF(B3910="insumo",_xlfn.XLOOKUP($D3910,Insumos!$B$1:$B$996,Insumos!$D$1:$D$996),"")</f>
        <v/>
      </c>
      <c r="H3910" s="92" t="n">
        <v>0.0150912</v>
      </c>
      <c r="I3910" s="2162" t="n">
        <v>0</v>
      </c>
      <c r="J3910" s="2162" t="n">
        <v>0</v>
      </c>
      <c r="K3910" s="2162" t="n"/>
    </row>
    <row r="3911" outlineLevel="3" ht="15.75" customHeight="1">
      <c r="A3911" s="10" t="n">
        <v>9</v>
      </c>
      <c r="B3911" s="10" t="inlineStr">
        <is>
          <t>Insumo</t>
        </is>
      </c>
      <c r="C3911" s="10" t="inlineStr">
        <is>
          <t>Pintura Com Tinta Latex Acrilica em Paredes Internas, 3 Demaos Nevoeiro</t>
        </is>
      </c>
      <c r="D3911" s="10" t="inlineStr">
        <is>
          <t>Lona Preta Plástica 4x100 Metros 25kg - Agroplastic, Tamanho: 120 Micras</t>
        </is>
      </c>
      <c r="E3911" s="11">
        <f t="array" ref="E3911">_xlfn.XLOOKUP(D3911,Insumos!B:B,Insumos!C:$C)</f>
        <v/>
      </c>
      <c r="F3911" s="14" t="n">
        <v>0.00225</v>
      </c>
      <c r="G3911" s="92">
        <f t="array" ref="G3911">IF(B3911="insumo",_xlfn.XLOOKUP($D3911,Insumos!$B$1:$B$996,Insumos!$D$1:$D$996),"")</f>
        <v/>
      </c>
      <c r="H3911" s="92" t="n">
        <v>0.005180625</v>
      </c>
      <c r="I3911" s="2162" t="n">
        <v>0</v>
      </c>
      <c r="J3911" s="2162" t="n">
        <v>0</v>
      </c>
      <c r="K3911" s="2162" t="n"/>
    </row>
    <row r="3912" outlineLevel="3" ht="15.75" customHeight="1">
      <c r="A3912" s="10" t="n">
        <v>7</v>
      </c>
      <c r="B3912" s="10" t="inlineStr">
        <is>
          <t>Insumo</t>
        </is>
      </c>
      <c r="C3912" s="10" t="inlineStr">
        <is>
          <t>Pintura Com Tinta Latex Acrilica em Paredes Internas, 3 Demaos Nevoeiro</t>
        </is>
      </c>
      <c r="D3912" s="10" t="inlineStr">
        <is>
          <t>Disco de lixa (Diametro 225mm) - Grão 180</t>
        </is>
      </c>
      <c r="E3912" s="11">
        <f t="array" ref="E3912">_xlfn.XLOOKUP(D3912,Insumos!B:B,Insumos!C:$C)</f>
        <v/>
      </c>
      <c r="F3912" s="14" t="n">
        <v>0.02488</v>
      </c>
      <c r="G3912" s="92">
        <f t="array" ref="G3912">IF(B3912="insumo",_xlfn.XLOOKUP($D3912,Insumos!$B$1:$B$996,Insumos!$D$1:$D$996),"")</f>
        <v/>
      </c>
      <c r="H3912" s="92" t="n">
        <v>0.14900632</v>
      </c>
      <c r="I3912" s="2162" t="n">
        <v>0</v>
      </c>
      <c r="J3912" s="2162" t="n">
        <v>0</v>
      </c>
      <c r="K3912" s="2162" t="n"/>
    </row>
    <row r="3913" outlineLevel="3" ht="15.75" customHeight="1">
      <c r="A3913" s="10" t="n">
        <v>7</v>
      </c>
      <c r="B3913" s="10" t="inlineStr">
        <is>
          <t>Insumo</t>
        </is>
      </c>
      <c r="C3913" s="10" t="inlineStr">
        <is>
          <t>Pintura Com Tinta Latex Acrilica em Paredes Internas, 3 Demaos Nevoeiro</t>
        </is>
      </c>
      <c r="D3913" s="10" t="inlineStr">
        <is>
          <t>Disco de lixa telado (Diâmetro 225mm) - Grão 220</t>
        </is>
      </c>
      <c r="E3913" s="11">
        <f t="array" ref="E3913">_xlfn.XLOOKUP(D3913,Insumos!B:B,Insumos!C:$C)</f>
        <v/>
      </c>
      <c r="F3913" s="14" t="n">
        <v>0.02488</v>
      </c>
      <c r="G3913" s="92">
        <f t="array" ref="G3913">IF(B3913="insumo",_xlfn.XLOOKUP($D3913,Insumos!$B$1:$B$996,Insumos!$D$1:$D$996),"")</f>
        <v/>
      </c>
      <c r="H3913" s="92" t="n">
        <v>0.13062</v>
      </c>
      <c r="I3913" s="2162" t="n">
        <v>0</v>
      </c>
      <c r="J3913" s="2162" t="n">
        <v>0</v>
      </c>
      <c r="K3913" s="2162" t="n"/>
    </row>
    <row r="3914" outlineLevel="3" ht="15.75" customHeight="1">
      <c r="A3914" s="10" t="n">
        <v>7</v>
      </c>
      <c r="B3914" s="10" t="inlineStr">
        <is>
          <t>Insumo</t>
        </is>
      </c>
      <c r="C3914" s="10" t="inlineStr">
        <is>
          <t>Pintura Com Tinta Latex Acrilica em Paredes Internas, 3 Demaos Nevoeiro</t>
        </is>
      </c>
      <c r="D3914" s="10" t="inlineStr">
        <is>
          <t>Fita Crepe 50mm x 50mt Azul</t>
        </is>
      </c>
      <c r="E3914" s="11">
        <f t="array" ref="E3914">_xlfn.XLOOKUP(D3914,Insumos!B:B,Insumos!C:$C)</f>
        <v/>
      </c>
      <c r="F3914" s="14" t="n">
        <v>0.002132</v>
      </c>
      <c r="G3914" s="92">
        <f t="array" ref="G3914">IF(B3914="insumo",_xlfn.XLOOKUP($D3914,Insumos!$B$1:$B$996,Insumos!$D$1:$D$996),"")</f>
        <v/>
      </c>
      <c r="H3914" s="92" t="n">
        <v>0.0786708</v>
      </c>
      <c r="I3914" s="2162" t="n">
        <v>0</v>
      </c>
      <c r="J3914" s="2162" t="n">
        <v>0</v>
      </c>
      <c r="K3914" s="2162" t="n"/>
    </row>
    <row r="3915" outlineLevel="3" ht="15.75" customHeight="1">
      <c r="A3915" s="10" t="n">
        <v>36</v>
      </c>
      <c r="B3915" s="10" t="inlineStr">
        <is>
          <t>Insumo</t>
        </is>
      </c>
      <c r="C3915" s="10" t="inlineStr">
        <is>
          <t>Pintura Com Tinta Latex Acrilica em Paredes Internas, 3 Demaos Nevoeiro</t>
        </is>
      </c>
      <c r="D3915" s="10" t="inlineStr">
        <is>
          <t>LIXA DAGUA 225X275MM GR100</t>
        </is>
      </c>
      <c r="E3915" s="11">
        <f t="array" ref="E3915">_xlfn.XLOOKUP(D3915,Insumos!B:B,Insumos!C:$C)</f>
        <v/>
      </c>
      <c r="F3915" s="14" t="n">
        <v>0.01522</v>
      </c>
      <c r="G3915" s="92">
        <f t="array" ref="G3915">IF(B3915="insumo",_xlfn.XLOOKUP($D3915,Insumos!$B$1:$B$996,Insumos!$D$1:$D$996),"")</f>
        <v/>
      </c>
      <c r="H3915" s="92" t="n">
        <v>0.0287658</v>
      </c>
      <c r="I3915" s="2162" t="n">
        <v>0</v>
      </c>
      <c r="J3915" s="2162" t="n">
        <v>0</v>
      </c>
      <c r="K3915" s="2162" t="n"/>
    </row>
    <row r="3916" outlineLevel="2" ht="15.75" customHeight="1">
      <c r="A3916" s="1067" t="n">
        <v>1</v>
      </c>
      <c r="B3916" s="1067" t="inlineStr">
        <is>
          <t>Serviço</t>
        </is>
      </c>
      <c r="C3916" s="1067" t="inlineStr">
        <is>
          <t>Pintura Com Tinta Latex Acrilica em Paredes Internas, 3 Demaos Ouro Branco</t>
        </is>
      </c>
      <c r="D3916" s="1067" t="inlineStr">
        <is>
          <t>Pintura Com Tinta Latex Acrilica em Paredes Internas, 3 Demaos Ouro Branco</t>
        </is>
      </c>
      <c r="E3916" s="1068" t="inlineStr">
        <is>
          <t>M2</t>
        </is>
      </c>
      <c r="F3916" s="1067" t="n"/>
      <c r="G3916" s="1069">
        <f t="array" ref="G3916">IF(B3916="insumo",_xlfn.XLOOKUP($D3916,Insumos!$B$1:$B$996,Insumos!$D$1:$D$996),"")</f>
        <v/>
      </c>
      <c r="H3916" s="1069" t="n">
        <v>19.278841065</v>
      </c>
      <c r="I3916" s="2161" t="n">
        <v>0</v>
      </c>
      <c r="J3916" s="2161" t="n">
        <v>0</v>
      </c>
      <c r="K3916" s="2161" t="n"/>
    </row>
    <row r="3917" outlineLevel="3" ht="15.75" customHeight="1">
      <c r="A3917" s="10" t="n">
        <v>1</v>
      </c>
      <c r="B3917" s="10" t="inlineStr">
        <is>
          <t>Insumo</t>
        </is>
      </c>
      <c r="C3917" s="10" t="inlineStr">
        <is>
          <t>Pintura Com Tinta Latex Acrilica em Paredes Internas, 3 Demaos Ouro Branco</t>
        </is>
      </c>
      <c r="D3917" s="10" t="inlineStr">
        <is>
          <t>TINTA ACRILICA PREMIUM OURO BRANCO</t>
        </is>
      </c>
      <c r="E3917" s="11">
        <f t="array" ref="E3917">_xlfn.XLOOKUP(D3917,Insumos!B:B,Insumos!C:$C)</f>
        <v/>
      </c>
      <c r="F3917" s="14" t="n">
        <v>0.495</v>
      </c>
      <c r="G3917" s="92">
        <f t="array" ref="G3917">IF(B3917="insumo",_xlfn.XLOOKUP($D3917,Insumos!$B$1:$B$996,Insumos!$D$1:$D$996),"")</f>
        <v/>
      </c>
      <c r="H3917" s="92" t="n">
        <v>18.748125</v>
      </c>
      <c r="I3917" s="2162" t="n">
        <v>0</v>
      </c>
      <c r="J3917" s="2162" t="n">
        <v>0</v>
      </c>
      <c r="K3917" s="2162" t="n"/>
    </row>
    <row r="3918" outlineLevel="3" ht="15.75" customHeight="1">
      <c r="A3918" s="10" t="n">
        <v>7</v>
      </c>
      <c r="B3918" s="10" t="inlineStr">
        <is>
          <t>Insumo</t>
        </is>
      </c>
      <c r="C3918" s="10" t="inlineStr">
        <is>
          <t>Pintura Com Tinta Latex Acrilica em Paredes Internas, 3 Demaos Ouro Branco</t>
        </is>
      </c>
      <c r="D3918" s="10" t="inlineStr">
        <is>
          <t>Thiner</t>
        </is>
      </c>
      <c r="E3918" s="11">
        <f t="array" ref="E3918">_xlfn.XLOOKUP(D3918,Insumos!B:B,Insumos!C:$C)</f>
        <v/>
      </c>
      <c r="F3918" s="14" t="n">
        <v>0.00225</v>
      </c>
      <c r="G3918" s="92">
        <f t="array" ref="G3918">IF(B3918="insumo",_xlfn.XLOOKUP($D3918,Insumos!$B$1:$B$996,Insumos!$D$1:$D$996),"")</f>
        <v/>
      </c>
      <c r="H3918" s="92" t="n">
        <v>0.030375</v>
      </c>
      <c r="I3918" s="2162" t="n">
        <v>0</v>
      </c>
      <c r="J3918" s="2162" t="n">
        <v>0</v>
      </c>
      <c r="K3918" s="2162" t="n"/>
    </row>
    <row r="3919" outlineLevel="3" ht="15.75" customHeight="1">
      <c r="A3919" s="10" t="n">
        <v>25</v>
      </c>
      <c r="B3919" s="10" t="inlineStr">
        <is>
          <t>Insumo</t>
        </is>
      </c>
      <c r="C3919" s="10" t="inlineStr">
        <is>
          <t>Pintura Com Tinta Latex Acrilica em Paredes Internas, 3 Demaos Ouro Branco</t>
        </is>
      </c>
      <c r="D3919" s="10" t="inlineStr">
        <is>
          <t>Fita Crepe Rolo De 25 Mm X 50 M</t>
        </is>
      </c>
      <c r="E3919" s="11">
        <f t="array" ref="E3919">_xlfn.XLOOKUP(D3919,Insumos!B:B,Insumos!C:$C)</f>
        <v/>
      </c>
      <c r="F3919" s="14" t="n">
        <v>0.002132</v>
      </c>
      <c r="G3919" s="92">
        <f t="array" ref="G3919">IF(B3919="insumo",_xlfn.XLOOKUP($D3919,Insumos!$B$1:$B$996,Insumos!$D$1:$D$996),"")</f>
        <v/>
      </c>
      <c r="H3919" s="92" t="n">
        <v>0.02400632</v>
      </c>
      <c r="I3919" s="2162" t="n">
        <v>0</v>
      </c>
      <c r="J3919" s="2162" t="n">
        <v>0</v>
      </c>
      <c r="K3919" s="2162" t="n"/>
    </row>
    <row r="3920" outlineLevel="3" ht="15.75" customHeight="1">
      <c r="A3920" s="10" t="n">
        <v>7</v>
      </c>
      <c r="B3920" s="10" t="inlineStr">
        <is>
          <t>Insumo</t>
        </is>
      </c>
      <c r="C3920" s="10" t="inlineStr">
        <is>
          <t>Pintura Com Tinta Latex Acrilica em Paredes Internas, 3 Demaos Ouro Branco</t>
        </is>
      </c>
      <c r="D3920" s="10" t="inlineStr">
        <is>
          <t>Pacote de Estopa</t>
        </is>
      </c>
      <c r="E3920" s="11">
        <f t="array" ref="E3920">_xlfn.XLOOKUP(D3920,Insumos!B:B,Insumos!C:$C)</f>
        <v/>
      </c>
      <c r="F3920" s="14" t="n">
        <v>0.01</v>
      </c>
      <c r="G3920" s="92">
        <f t="array" ref="G3920">IF(B3920="insumo",_xlfn.XLOOKUP($D3920,Insumos!$B$1:$B$996,Insumos!$D$1:$D$996),"")</f>
        <v/>
      </c>
      <c r="H3920" s="92" t="n">
        <v>0.06900000000000001</v>
      </c>
      <c r="I3920" s="2162" t="n">
        <v>0</v>
      </c>
      <c r="J3920" s="2162" t="n">
        <v>0</v>
      </c>
      <c r="K3920" s="2162" t="n"/>
    </row>
    <row r="3921" outlineLevel="3" ht="15.75" customHeight="1">
      <c r="A3921" s="10" t="n">
        <v>7</v>
      </c>
      <c r="B3921" s="10" t="inlineStr">
        <is>
          <t>Insumo</t>
        </is>
      </c>
      <c r="C3921" s="10" t="inlineStr">
        <is>
          <t>Pintura Com Tinta Latex Acrilica em Paredes Internas, 3 Demaos Ouro Branco</t>
        </is>
      </c>
      <c r="D3921" s="10" t="inlineStr">
        <is>
          <t>Cloro para Limpeza</t>
        </is>
      </c>
      <c r="E3921" s="11">
        <f t="array" ref="E3921">_xlfn.XLOOKUP(D3921,Insumos!B:B,Insumos!C:$C)</f>
        <v/>
      </c>
      <c r="F3921" s="14" t="n">
        <v>0.002358</v>
      </c>
      <c r="G3921" s="92">
        <f t="array" ref="G3921">IF(B3921="insumo",_xlfn.XLOOKUP($D3921,Insumos!$B$1:$B$996,Insumos!$D$1:$D$996),"")</f>
        <v/>
      </c>
      <c r="H3921" s="92" t="n">
        <v>0.0150912</v>
      </c>
      <c r="I3921" s="2162" t="n">
        <v>0</v>
      </c>
      <c r="J3921" s="2162" t="n">
        <v>0</v>
      </c>
      <c r="K3921" s="2162" t="n"/>
    </row>
    <row r="3922" outlineLevel="3" ht="15.75" customHeight="1">
      <c r="A3922" s="10" t="n">
        <v>9</v>
      </c>
      <c r="B3922" s="10" t="inlineStr">
        <is>
          <t>Insumo</t>
        </is>
      </c>
      <c r="C3922" s="10" t="inlineStr">
        <is>
          <t>Pintura Com Tinta Latex Acrilica em Paredes Internas, 3 Demaos Ouro Branco</t>
        </is>
      </c>
      <c r="D3922" s="10" t="inlineStr">
        <is>
          <t>Lona Preta Plástica 4x100 Metros 25kg - Agroplastic, Tamanho: 120 Micras</t>
        </is>
      </c>
      <c r="E3922" s="11">
        <f t="array" ref="E3922">_xlfn.XLOOKUP(D3922,Insumos!B:B,Insumos!C:$C)</f>
        <v/>
      </c>
      <c r="F3922" s="14" t="n">
        <v>0.00225</v>
      </c>
      <c r="G3922" s="92">
        <f t="array" ref="G3922">IF(B3922="insumo",_xlfn.XLOOKUP($D3922,Insumos!$B$1:$B$996,Insumos!$D$1:$D$996),"")</f>
        <v/>
      </c>
      <c r="H3922" s="92" t="n">
        <v>0.005180625</v>
      </c>
      <c r="I3922" s="2162" t="n">
        <v>0</v>
      </c>
      <c r="J3922" s="2162" t="n">
        <v>0</v>
      </c>
      <c r="K3922" s="2162" t="n"/>
    </row>
    <row r="3923" outlineLevel="3" ht="15.75" customHeight="1">
      <c r="A3923" s="10" t="n">
        <v>7</v>
      </c>
      <c r="B3923" s="10" t="inlineStr">
        <is>
          <t>Insumo</t>
        </is>
      </c>
      <c r="C3923" s="10" t="inlineStr">
        <is>
          <t>Pintura Com Tinta Latex Acrilica em Paredes Internas, 3 Demaos Ouro Branco</t>
        </is>
      </c>
      <c r="D3923" s="10" t="inlineStr">
        <is>
          <t>Disco de lixa (Diametro 225mm) - Grão 180</t>
        </is>
      </c>
      <c r="E3923" s="11">
        <f t="array" ref="E3923">_xlfn.XLOOKUP(D3923,Insumos!B:B,Insumos!C:$C)</f>
        <v/>
      </c>
      <c r="F3923" s="14" t="n">
        <v>0.02488</v>
      </c>
      <c r="G3923" s="92">
        <f t="array" ref="G3923">IF(B3923="insumo",_xlfn.XLOOKUP($D3923,Insumos!$B$1:$B$996,Insumos!$D$1:$D$996),"")</f>
        <v/>
      </c>
      <c r="H3923" s="92" t="n">
        <v>0.14900632</v>
      </c>
      <c r="I3923" s="2162" t="n">
        <v>0</v>
      </c>
      <c r="J3923" s="2162" t="n">
        <v>0</v>
      </c>
      <c r="K3923" s="2162" t="n"/>
    </row>
    <row r="3924" outlineLevel="3" ht="15.75" customHeight="1">
      <c r="A3924" s="10" t="n">
        <v>7</v>
      </c>
      <c r="B3924" s="10" t="inlineStr">
        <is>
          <t>Insumo</t>
        </is>
      </c>
      <c r="C3924" s="10" t="inlineStr">
        <is>
          <t>Pintura Com Tinta Latex Acrilica em Paredes Internas, 3 Demaos Ouro Branco</t>
        </is>
      </c>
      <c r="D3924" s="10" t="inlineStr">
        <is>
          <t>Disco de lixa telado (Diâmetro 225mm) - Grão 220</t>
        </is>
      </c>
      <c r="E3924" s="11">
        <f t="array" ref="E3924">_xlfn.XLOOKUP(D3924,Insumos!B:B,Insumos!C:$C)</f>
        <v/>
      </c>
      <c r="F3924" s="14" t="n">
        <v>0.02488</v>
      </c>
      <c r="G3924" s="92">
        <f t="array" ref="G3924">IF(B3924="insumo",_xlfn.XLOOKUP($D3924,Insumos!$B$1:$B$996,Insumos!$D$1:$D$996),"")</f>
        <v/>
      </c>
      <c r="H3924" s="92" t="n">
        <v>0.13062</v>
      </c>
      <c r="I3924" s="2162" t="n">
        <v>0</v>
      </c>
      <c r="J3924" s="2162" t="n">
        <v>0</v>
      </c>
      <c r="K3924" s="2162" t="n"/>
    </row>
    <row r="3925" outlineLevel="3" ht="15.75" customHeight="1">
      <c r="A3925" s="10" t="n">
        <v>7</v>
      </c>
      <c r="B3925" s="10" t="inlineStr">
        <is>
          <t>Insumo</t>
        </is>
      </c>
      <c r="C3925" s="10" t="inlineStr">
        <is>
          <t>Pintura Com Tinta Latex Acrilica em Paredes Internas, 3 Demaos Ouro Branco</t>
        </is>
      </c>
      <c r="D3925" s="10" t="inlineStr">
        <is>
          <t>Fita Crepe 50mm x 50mt Azul</t>
        </is>
      </c>
      <c r="E3925" s="11">
        <f t="array" ref="E3925">_xlfn.XLOOKUP(D3925,Insumos!B:B,Insumos!C:$C)</f>
        <v/>
      </c>
      <c r="F3925" s="14" t="n">
        <v>0.002132</v>
      </c>
      <c r="G3925" s="92">
        <f t="array" ref="G3925">IF(B3925="insumo",_xlfn.XLOOKUP($D3925,Insumos!$B$1:$B$996,Insumos!$D$1:$D$996),"")</f>
        <v/>
      </c>
      <c r="H3925" s="92" t="n">
        <v>0.0786708</v>
      </c>
      <c r="I3925" s="2162" t="n">
        <v>0</v>
      </c>
      <c r="J3925" s="2162" t="n">
        <v>0</v>
      </c>
      <c r="K3925" s="2162" t="n"/>
    </row>
    <row r="3926" outlineLevel="3" ht="15.75" customHeight="1">
      <c r="A3926" s="10" t="n">
        <v>36</v>
      </c>
      <c r="B3926" s="10" t="inlineStr">
        <is>
          <t>Insumo</t>
        </is>
      </c>
      <c r="C3926" s="10" t="inlineStr">
        <is>
          <t>Pintura Com Tinta Latex Acrilica em Paredes Internas, 3 Demaos Ouro Branco</t>
        </is>
      </c>
      <c r="D3926" s="10" t="inlineStr">
        <is>
          <t>LIXA DAGUA 225X275MM GR100</t>
        </is>
      </c>
      <c r="E3926" s="11">
        <f t="array" ref="E3926">_xlfn.XLOOKUP(D3926,Insumos!B:B,Insumos!C:$C)</f>
        <v/>
      </c>
      <c r="F3926" s="14" t="n">
        <v>0.01522</v>
      </c>
      <c r="G3926" s="92">
        <f t="array" ref="G3926">IF(B3926="insumo",_xlfn.XLOOKUP($D3926,Insumos!$B$1:$B$996,Insumos!$D$1:$D$996),"")</f>
        <v/>
      </c>
      <c r="H3926" s="92" t="n">
        <v>0.0287658</v>
      </c>
      <c r="I3926" s="2162" t="n">
        <v>0</v>
      </c>
      <c r="J3926" s="2162" t="n">
        <v>0</v>
      </c>
      <c r="K3926" s="2162" t="n"/>
    </row>
    <row r="3927" outlineLevel="2" ht="15.75" customHeight="1">
      <c r="A3927" s="1067" t="n">
        <v>1</v>
      </c>
      <c r="B3927" s="1067" t="inlineStr">
        <is>
          <t>Serviço</t>
        </is>
      </c>
      <c r="C3927" s="1067" t="inlineStr">
        <is>
          <t>Pintura Com Tinta Latex Acrilica em Paredes Internas, 3 Demaos Branco</t>
        </is>
      </c>
      <c r="D3927" s="1067" t="inlineStr">
        <is>
          <t>Pintura Com Tinta Latex Acrilica em Paredes Internas, 3 Demaos Branco</t>
        </is>
      </c>
      <c r="E3927" s="1068" t="inlineStr">
        <is>
          <t>M2</t>
        </is>
      </c>
      <c r="F3927" s="1067" t="n"/>
      <c r="G3927" s="1069">
        <f t="array" ref="G3927">IF(B3927="insumo",_xlfn.XLOOKUP($D3927,Insumos!$B$1:$B$996,Insumos!$D$1:$D$996),"")</f>
        <v/>
      </c>
      <c r="H3927" s="1069" t="n">
        <v>12.658216065</v>
      </c>
      <c r="I3927" s="2161" t="n">
        <v>0</v>
      </c>
      <c r="J3927" s="2161" t="n">
        <v>0</v>
      </c>
      <c r="K3927" s="2161" t="n"/>
    </row>
    <row r="3928" outlineLevel="3" ht="15.75" customHeight="1">
      <c r="A3928" s="10" t="n">
        <v>16</v>
      </c>
      <c r="B3928" s="10" t="inlineStr">
        <is>
          <t>Insumo</t>
        </is>
      </c>
      <c r="C3928" s="10" t="inlineStr">
        <is>
          <t>Pintura Com Tinta Latex Acrilica em Paredes Internas, 3 Demaos Branco</t>
        </is>
      </c>
      <c r="D3928" s="10" t="inlineStr">
        <is>
          <t xml:space="preserve">TINTA ACRILICA PREMIUM </t>
        </is>
      </c>
      <c r="E3928" s="11">
        <f t="array" ref="E3928">_xlfn.XLOOKUP(D3928,Insumos!B:B,Insumos!C:$C)</f>
        <v/>
      </c>
      <c r="F3928" s="14" t="n">
        <v>0.495</v>
      </c>
      <c r="G3928" s="92">
        <f t="array" ref="G3928">IF(B3928="insumo",_xlfn.XLOOKUP($D3928,Insumos!$B$1:$B$996,Insumos!$D$1:$D$996),"")</f>
        <v/>
      </c>
      <c r="H3928" s="92" t="n">
        <v>12.1275</v>
      </c>
      <c r="I3928" s="2162" t="n">
        <v>0</v>
      </c>
      <c r="J3928" s="2162" t="n">
        <v>0</v>
      </c>
      <c r="K3928" s="2162" t="n"/>
    </row>
    <row r="3929" outlineLevel="3" ht="15.75" customHeight="1">
      <c r="A3929" s="10" t="n">
        <v>7</v>
      </c>
      <c r="B3929" s="10" t="inlineStr">
        <is>
          <t>Insumo</t>
        </is>
      </c>
      <c r="C3929" s="10" t="inlineStr">
        <is>
          <t>Pintura Com Tinta Latex Acrilica em Paredes Internas, 3 Demaos Branco</t>
        </is>
      </c>
      <c r="D3929" s="10" t="inlineStr">
        <is>
          <t>Thiner</t>
        </is>
      </c>
      <c r="E3929" s="11">
        <f t="array" ref="E3929">_xlfn.XLOOKUP(D3929,Insumos!B:B,Insumos!C:$C)</f>
        <v/>
      </c>
      <c r="F3929" s="14" t="n">
        <v>0.00225</v>
      </c>
      <c r="G3929" s="92">
        <f t="array" ref="G3929">IF(B3929="insumo",_xlfn.XLOOKUP($D3929,Insumos!$B$1:$B$996,Insumos!$D$1:$D$996),"")</f>
        <v/>
      </c>
      <c r="H3929" s="92" t="n">
        <v>0.030375</v>
      </c>
      <c r="I3929" s="2162" t="n">
        <v>0</v>
      </c>
      <c r="J3929" s="2162" t="n">
        <v>0</v>
      </c>
      <c r="K3929" s="2162" t="n"/>
    </row>
    <row r="3930" outlineLevel="3" ht="15.75" customHeight="1">
      <c r="A3930" s="10" t="n">
        <v>25</v>
      </c>
      <c r="B3930" s="10" t="inlineStr">
        <is>
          <t>Insumo</t>
        </is>
      </c>
      <c r="C3930" s="10" t="inlineStr">
        <is>
          <t>Pintura Com Tinta Latex Acrilica em Paredes Internas, 3 Demaos Branco</t>
        </is>
      </c>
      <c r="D3930" s="10" t="inlineStr">
        <is>
          <t>Fita Crepe Rolo De 25 Mm X 50 M</t>
        </is>
      </c>
      <c r="E3930" s="11">
        <f t="array" ref="E3930">_xlfn.XLOOKUP(D3930,Insumos!B:B,Insumos!C:$C)</f>
        <v/>
      </c>
      <c r="F3930" s="14" t="n">
        <v>0.002132</v>
      </c>
      <c r="G3930" s="92">
        <f t="array" ref="G3930">IF(B3930="insumo",_xlfn.XLOOKUP($D3930,Insumos!$B$1:$B$996,Insumos!$D$1:$D$996),"")</f>
        <v/>
      </c>
      <c r="H3930" s="92" t="n">
        <v>0.02400632</v>
      </c>
      <c r="I3930" s="2162" t="n">
        <v>0</v>
      </c>
      <c r="J3930" s="2162" t="n">
        <v>0</v>
      </c>
      <c r="K3930" s="2162" t="n"/>
    </row>
    <row r="3931" outlineLevel="3" ht="15.75" customHeight="1">
      <c r="A3931" s="10" t="n">
        <v>7</v>
      </c>
      <c r="B3931" s="10" t="inlineStr">
        <is>
          <t>Insumo</t>
        </is>
      </c>
      <c r="C3931" s="10" t="inlineStr">
        <is>
          <t>Pintura Com Tinta Latex Acrilica em Paredes Internas, 3 Demaos Branco</t>
        </is>
      </c>
      <c r="D3931" s="10" t="inlineStr">
        <is>
          <t>Pacote de Estopa</t>
        </is>
      </c>
      <c r="E3931" s="11">
        <f t="array" ref="E3931">_xlfn.XLOOKUP(D3931,Insumos!B:B,Insumos!C:$C)</f>
        <v/>
      </c>
      <c r="F3931" s="14" t="n">
        <v>0.01</v>
      </c>
      <c r="G3931" s="92">
        <f t="array" ref="G3931">IF(B3931="insumo",_xlfn.XLOOKUP($D3931,Insumos!$B$1:$B$996,Insumos!$D$1:$D$996),"")</f>
        <v/>
      </c>
      <c r="H3931" s="92" t="n">
        <v>0.06900000000000001</v>
      </c>
      <c r="I3931" s="2162" t="n">
        <v>0</v>
      </c>
      <c r="J3931" s="2162" t="n">
        <v>0</v>
      </c>
      <c r="K3931" s="2162" t="n"/>
    </row>
    <row r="3932" outlineLevel="3" ht="15.75" customHeight="1">
      <c r="A3932" s="10" t="n">
        <v>7</v>
      </c>
      <c r="B3932" s="10" t="inlineStr">
        <is>
          <t>Insumo</t>
        </is>
      </c>
      <c r="C3932" s="10" t="inlineStr">
        <is>
          <t>Pintura Com Tinta Latex Acrilica em Paredes Internas, 3 Demaos Branco</t>
        </is>
      </c>
      <c r="D3932" s="10" t="inlineStr">
        <is>
          <t>Cloro para Limpeza</t>
        </is>
      </c>
      <c r="E3932" s="11">
        <f t="array" ref="E3932">_xlfn.XLOOKUP(D3932,Insumos!B:B,Insumos!C:$C)</f>
        <v/>
      </c>
      <c r="F3932" s="14" t="n">
        <v>0.002358</v>
      </c>
      <c r="G3932" s="92">
        <f t="array" ref="G3932">IF(B3932="insumo",_xlfn.XLOOKUP($D3932,Insumos!$B$1:$B$996,Insumos!$D$1:$D$996),"")</f>
        <v/>
      </c>
      <c r="H3932" s="92" t="n">
        <v>0.0150912</v>
      </c>
      <c r="I3932" s="2162" t="n">
        <v>0</v>
      </c>
      <c r="J3932" s="2162" t="n">
        <v>0</v>
      </c>
      <c r="K3932" s="2162" t="n"/>
    </row>
    <row r="3933" outlineLevel="3" ht="27" customHeight="1">
      <c r="A3933" s="10" t="n">
        <v>9</v>
      </c>
      <c r="B3933" s="10" t="inlineStr">
        <is>
          <t>Insumo</t>
        </is>
      </c>
      <c r="C3933" s="10" t="inlineStr">
        <is>
          <t>Pintura Com Tinta Latex Acrilica em Paredes Internas, 3 Demaos Branco</t>
        </is>
      </c>
      <c r="D3933" s="10" t="inlineStr">
        <is>
          <t>Lona Preta Plástica 4x100 Metros 25kg - Agroplastic, Tamanho: 120 Micras</t>
        </is>
      </c>
      <c r="E3933" s="11">
        <f t="array" ref="E3933">_xlfn.XLOOKUP(D3933,Insumos!B:B,Insumos!C:$C)</f>
        <v/>
      </c>
      <c r="F3933" s="14" t="n">
        <v>0.00225</v>
      </c>
      <c r="G3933" s="92">
        <f t="array" ref="G3933">IF(B3933="insumo",_xlfn.XLOOKUP($D3933,Insumos!$B$1:$B$996,Insumos!$D$1:$D$996),"")</f>
        <v/>
      </c>
      <c r="H3933" s="92" t="n">
        <v>0.005180625</v>
      </c>
      <c r="I3933" s="2162" t="n">
        <v>0</v>
      </c>
      <c r="J3933" s="2162" t="n">
        <v>0</v>
      </c>
      <c r="K3933" s="2162" t="n"/>
    </row>
    <row r="3934" outlineLevel="3" ht="15.75" customHeight="1">
      <c r="A3934" s="10" t="n">
        <v>7</v>
      </c>
      <c r="B3934" s="10" t="inlineStr">
        <is>
          <t>Insumo</t>
        </is>
      </c>
      <c r="C3934" s="10" t="inlineStr">
        <is>
          <t>Pintura Com Tinta Latex Acrilica em Paredes Internas, 3 Demaos Branco</t>
        </is>
      </c>
      <c r="D3934" s="10" t="inlineStr">
        <is>
          <t>Disco de lixa (Diametro 225mm) - Grão 180</t>
        </is>
      </c>
      <c r="E3934" s="11">
        <f t="array" ref="E3934">_xlfn.XLOOKUP(D3934,Insumos!B:B,Insumos!C:$C)</f>
        <v/>
      </c>
      <c r="F3934" s="14" t="n">
        <v>0.02488</v>
      </c>
      <c r="G3934" s="92">
        <f t="array" ref="G3934">IF(B3934="insumo",_xlfn.XLOOKUP($D3934,Insumos!$B$1:$B$996,Insumos!$D$1:$D$996),"")</f>
        <v/>
      </c>
      <c r="H3934" s="92" t="n">
        <v>0.14900632</v>
      </c>
      <c r="I3934" s="2162" t="n">
        <v>0</v>
      </c>
      <c r="J3934" s="2162" t="n">
        <v>0</v>
      </c>
      <c r="K3934" s="2162" t="n"/>
    </row>
    <row r="3935" outlineLevel="3" ht="15.75" customHeight="1">
      <c r="A3935" s="10" t="n">
        <v>7</v>
      </c>
      <c r="B3935" s="10" t="inlineStr">
        <is>
          <t>Insumo</t>
        </is>
      </c>
      <c r="C3935" s="10" t="inlineStr">
        <is>
          <t>Pintura Com Tinta Latex Acrilica em Paredes Internas, 3 Demaos Branco</t>
        </is>
      </c>
      <c r="D3935" s="10" t="inlineStr">
        <is>
          <t>Disco de lixa telado (Diâmetro 225mm) - Grão 220</t>
        </is>
      </c>
      <c r="E3935" s="11">
        <f t="array" ref="E3935">_xlfn.XLOOKUP(D3935,Insumos!B:B,Insumos!C:$C)</f>
        <v/>
      </c>
      <c r="F3935" s="14" t="n">
        <v>0.02488</v>
      </c>
      <c r="G3935" s="92">
        <f t="array" ref="G3935">IF(B3935="insumo",_xlfn.XLOOKUP($D3935,Insumos!$B$1:$B$996,Insumos!$D$1:$D$996),"")</f>
        <v/>
      </c>
      <c r="H3935" s="92" t="n">
        <v>0.13062</v>
      </c>
      <c r="I3935" s="2162" t="n">
        <v>0</v>
      </c>
      <c r="J3935" s="2162" t="n">
        <v>0</v>
      </c>
      <c r="K3935" s="2162" t="n"/>
    </row>
    <row r="3936" outlineLevel="3" ht="15.75" customHeight="1">
      <c r="A3936" s="10" t="n">
        <v>7</v>
      </c>
      <c r="B3936" s="10" t="inlineStr">
        <is>
          <t>Insumo</t>
        </is>
      </c>
      <c r="C3936" s="10" t="inlineStr">
        <is>
          <t>Pintura Com Tinta Latex Acrilica em Paredes Internas, 3 Demaos Branco</t>
        </is>
      </c>
      <c r="D3936" s="10" t="inlineStr">
        <is>
          <t>Fita Crepe 50mm x 50mt Azul</t>
        </is>
      </c>
      <c r="E3936" s="11">
        <f t="array" ref="E3936">_xlfn.XLOOKUP(D3936,Insumos!B:B,Insumos!C:$C)</f>
        <v/>
      </c>
      <c r="F3936" s="14" t="n">
        <v>0.002132</v>
      </c>
      <c r="G3936" s="92">
        <f t="array" ref="G3936">IF(B3936="insumo",_xlfn.XLOOKUP($D3936,Insumos!$B$1:$B$996,Insumos!$D$1:$D$996),"")</f>
        <v/>
      </c>
      <c r="H3936" s="92" t="n">
        <v>0.0786708</v>
      </c>
      <c r="I3936" s="2162" t="n">
        <v>0</v>
      </c>
      <c r="J3936" s="2162" t="n">
        <v>0</v>
      </c>
      <c r="K3936" s="2162" t="n"/>
    </row>
    <row r="3937" outlineLevel="3" ht="15.75" customHeight="1">
      <c r="A3937" s="10" t="n">
        <v>36</v>
      </c>
      <c r="B3937" s="10" t="inlineStr">
        <is>
          <t>Insumo</t>
        </is>
      </c>
      <c r="C3937" s="10" t="inlineStr">
        <is>
          <t>Pintura Com Tinta Latex Acrilica em Paredes Internas, 3 Demaos Branco</t>
        </is>
      </c>
      <c r="D3937" s="10" t="inlineStr">
        <is>
          <t>LIXA DAGUA 225X275MM GR100</t>
        </is>
      </c>
      <c r="E3937" s="11">
        <f t="array" ref="E3937">_xlfn.XLOOKUP(D3937,Insumos!B:B,Insumos!C:$C)</f>
        <v/>
      </c>
      <c r="F3937" s="14" t="n">
        <v>0.01522</v>
      </c>
      <c r="G3937" s="92">
        <f t="array" ref="G3937">IF(B3937="insumo",_xlfn.XLOOKUP($D3937,Insumos!$B$1:$B$996,Insumos!$D$1:$D$996),"")</f>
        <v/>
      </c>
      <c r="H3937" s="92" t="n">
        <v>0.0287658</v>
      </c>
      <c r="I3937" s="2162" t="n">
        <v>0</v>
      </c>
      <c r="J3937" s="2162" t="n">
        <v>0</v>
      </c>
      <c r="K3937" s="2162" t="n"/>
    </row>
    <row r="3938" outlineLevel="2" ht="15.75" customHeight="1">
      <c r="A3938" s="1067" t="n">
        <v>1</v>
      </c>
      <c r="B3938" s="1067" t="inlineStr">
        <is>
          <t>Serviço</t>
        </is>
      </c>
      <c r="C3938" s="1067" t="inlineStr">
        <is>
          <t>Pintura Com Tinta Latex Acrilica com selador e massa em Paredes Internas, 3 Demaos</t>
        </is>
      </c>
      <c r="D3938" s="1067" t="inlineStr">
        <is>
          <t>Pintura Com Tinta Latex Acrilica com selador e massa em Paredes Internas, 3 Demaos</t>
        </is>
      </c>
      <c r="E3938" s="1068" t="inlineStr">
        <is>
          <t>M2</t>
        </is>
      </c>
      <c r="F3938" s="1067" t="n"/>
      <c r="G3938" s="1069">
        <f t="array" ref="G3938">IF(B3938="insumo",_xlfn.XLOOKUP($D3938,Insumos!$B$1:$B$996,Insumos!$D$1:$D$996),"")</f>
        <v/>
      </c>
      <c r="H3938" s="1069" t="n">
        <v>18.2352155555556</v>
      </c>
      <c r="I3938" s="2161" t="n">
        <v>0</v>
      </c>
      <c r="J3938" s="2161" t="n">
        <v>0</v>
      </c>
      <c r="K3938" s="2161" t="n"/>
    </row>
    <row r="3939" outlineLevel="3" ht="15.75" customHeight="1">
      <c r="A3939" s="10" t="n">
        <v>36</v>
      </c>
      <c r="B3939" s="10" t="inlineStr">
        <is>
          <t>Insumo</t>
        </is>
      </c>
      <c r="C3939" s="10" t="inlineStr">
        <is>
          <t>Pintura Com Tinta Latex Acrilica com selador e massa em Paredes Internas, 3 Demaos</t>
        </is>
      </c>
      <c r="D3939" s="10" t="inlineStr">
        <is>
          <t>LIXA DAGUA 225X275MM GR100</t>
        </is>
      </c>
      <c r="E3939" s="11">
        <f t="array" ref="E3939">_xlfn.XLOOKUP(D3939,Insumos!B:B,Insumos!C:$C)</f>
        <v/>
      </c>
      <c r="F3939" s="14" t="n">
        <v>0.1</v>
      </c>
      <c r="G3939" s="92">
        <f t="array" ref="G3939">IF(B3939="insumo",_xlfn.XLOOKUP($D3939,Insumos!$B$1:$B$996,Insumos!$D$1:$D$996),"")</f>
        <v/>
      </c>
      <c r="H3939" s="92" t="n">
        <v>0.189</v>
      </c>
      <c r="I3939" s="2162" t="n">
        <v>0</v>
      </c>
      <c r="J3939" s="2162" t="n">
        <v>0</v>
      </c>
      <c r="K3939" s="2162" t="n"/>
    </row>
    <row r="3940" outlineLevel="3" ht="15.75" customHeight="1">
      <c r="A3940" s="10" t="n">
        <v>21</v>
      </c>
      <c r="B3940" s="10" t="inlineStr">
        <is>
          <t>Insumo</t>
        </is>
      </c>
      <c r="C3940" s="10" t="inlineStr">
        <is>
          <t>Pintura Com Tinta Latex Acrilica com selador e massa em Paredes Internas, 3 Demaos</t>
        </is>
      </c>
      <c r="D3940" s="10" t="inlineStr">
        <is>
          <t>Massa corrida para superfícies de ambientes internos</t>
        </is>
      </c>
      <c r="E3940" s="11">
        <f t="array" ref="E3940">_xlfn.XLOOKUP(D3940,Insumos!B:B,Insumos!C:$C)</f>
        <v/>
      </c>
      <c r="F3940" s="14" t="n">
        <v>0.8667</v>
      </c>
      <c r="G3940" s="92">
        <f t="array" ref="G3940">IF(B3940="insumo",_xlfn.XLOOKUP($D3940,Insumos!$B$1:$B$996,Insumos!$D$1:$D$996),"")</f>
        <v/>
      </c>
      <c r="H3940" s="92" t="n">
        <v>4.16016</v>
      </c>
      <c r="I3940" s="2162" t="n">
        <v>0</v>
      </c>
      <c r="J3940" s="2162" t="n">
        <v>0</v>
      </c>
      <c r="K3940" s="2162" t="n"/>
    </row>
    <row r="3941" outlineLevel="3" ht="15.75" customHeight="1">
      <c r="A3941" s="10" t="n">
        <v>19</v>
      </c>
      <c r="B3941" s="10" t="inlineStr">
        <is>
          <t>Insumo</t>
        </is>
      </c>
      <c r="C3941" s="10" t="inlineStr">
        <is>
          <t>Pintura Com Tinta Latex Acrilica com selador e massa em Paredes Internas, 3 Demaos</t>
        </is>
      </c>
      <c r="D3941" s="10" t="inlineStr">
        <is>
          <t>Selador Primer Ibratin - 4,2kg - 3,6L</t>
        </is>
      </c>
      <c r="E3941" s="11">
        <f t="array" ref="E3941">_xlfn.XLOOKUP(D3941,Insumos!B:B,Insumos!C:$C)</f>
        <v/>
      </c>
      <c r="F3941" s="14" t="n">
        <v>0.1666</v>
      </c>
      <c r="G3941" s="92">
        <f t="array" ref="G3941">IF(B3941="insumo",_xlfn.XLOOKUP($D3941,Insumos!$B$1:$B$996,Insumos!$D$1:$D$996),"")</f>
        <v/>
      </c>
      <c r="H3941" s="92" t="n">
        <v>1.75855555555556</v>
      </c>
      <c r="I3941" s="2162" t="n">
        <v>0</v>
      </c>
      <c r="J3941" s="2162" t="n">
        <v>0</v>
      </c>
      <c r="K3941" s="2162" t="n"/>
    </row>
    <row r="3942" outlineLevel="3" ht="15.75" customHeight="1">
      <c r="A3942" s="10" t="n">
        <v>16</v>
      </c>
      <c r="B3942" s="10" t="inlineStr">
        <is>
          <t>Insumo</t>
        </is>
      </c>
      <c r="C3942" s="10" t="inlineStr">
        <is>
          <t>Pintura Com Tinta Latex Acrilica com selador e massa em Paredes Internas, 3 Demaos</t>
        </is>
      </c>
      <c r="D3942" s="10" t="inlineStr">
        <is>
          <t xml:space="preserve">TINTA ACRILICA PREMIUM </t>
        </is>
      </c>
      <c r="E3942" s="11">
        <f t="array" ref="E3942">_xlfn.XLOOKUP(D3942,Insumos!B:B,Insumos!C:$C)</f>
        <v/>
      </c>
      <c r="F3942" s="14" t="n">
        <v>0.495</v>
      </c>
      <c r="G3942" s="92">
        <f t="array" ref="G3942">IF(B3942="insumo",_xlfn.XLOOKUP($D3942,Insumos!$B$1:$B$996,Insumos!$D$1:$D$996),"")</f>
        <v/>
      </c>
      <c r="H3942" s="92" t="n">
        <v>12.1275</v>
      </c>
      <c r="I3942" s="2162" t="n">
        <v>0</v>
      </c>
      <c r="J3942" s="2162" t="n">
        <v>0</v>
      </c>
      <c r="K3942" s="2162" t="n"/>
    </row>
    <row r="3943" outlineLevel="2" ht="15.75" customHeight="1">
      <c r="A3943" s="1067" t="n">
        <v>1</v>
      </c>
      <c r="B3943" s="1067" t="inlineStr">
        <is>
          <t>Serviço</t>
        </is>
      </c>
      <c r="C3943" s="1067" t="inlineStr">
        <is>
          <t>Textura acrílica aplicação em paredes internas, 1 demão</t>
        </is>
      </c>
      <c r="D3943" s="1067" t="inlineStr">
        <is>
          <t>Textura acrílica aplicação em paredes internas, 1 demão</t>
        </is>
      </c>
      <c r="E3943" s="1068" t="inlineStr">
        <is>
          <t>M2</t>
        </is>
      </c>
      <c r="F3943" s="1067" t="n"/>
      <c r="G3943" s="1069">
        <f t="array" ref="G3943">IF(B3943="insumo",_xlfn.XLOOKUP($D3943,Insumos!$B$1:$B$996,Insumos!$D$1:$D$996),"")</f>
        <v/>
      </c>
      <c r="H3943" s="1069" t="n">
        <v>13.6363636363636</v>
      </c>
      <c r="I3943" s="2161" t="n">
        <v>0</v>
      </c>
      <c r="J3943" s="2161" t="n">
        <v>0</v>
      </c>
      <c r="K3943" s="2161" t="n"/>
    </row>
    <row r="3944" outlineLevel="3" ht="15.75" customHeight="1">
      <c r="A3944" s="10" t="n">
        <v>5</v>
      </c>
      <c r="B3944" s="10" t="inlineStr">
        <is>
          <t>Insumo</t>
        </is>
      </c>
      <c r="C3944" s="10" t="inlineStr">
        <is>
          <t>Textura acrílica aplicação em paredes internas, 1 demão</t>
        </is>
      </c>
      <c r="D3944" s="10" t="inlineStr">
        <is>
          <t>MASSA PREMIUM PARA TEXTURA LISA DE BASE ACRILICA</t>
        </is>
      </c>
      <c r="E3944" s="11">
        <f t="array" ref="E3944">_xlfn.XLOOKUP(D3944,Insumos!B:B,Insumos!C:$C)</f>
        <v/>
      </c>
      <c r="F3944" s="14" t="n">
        <v>1.5</v>
      </c>
      <c r="G3944" s="92">
        <f t="array" ref="G3944">IF(B3944="insumo",_xlfn.XLOOKUP($D3944,Insumos!$B$1:$B$996,Insumos!$D$1:$D$996),"")</f>
        <v/>
      </c>
      <c r="H3944" s="92" t="n">
        <v>13.6363636363636</v>
      </c>
      <c r="I3944" s="2162" t="n">
        <v>0</v>
      </c>
      <c r="J3944" s="2162" t="n">
        <v>0</v>
      </c>
      <c r="K3944" s="2162" t="n"/>
    </row>
    <row r="3945" outlineLevel="2" ht="15.75" customHeight="1">
      <c r="A3945" s="1067" t="n">
        <v>1</v>
      </c>
      <c r="B3945" s="1067" t="inlineStr">
        <is>
          <t>Serviço</t>
        </is>
      </c>
      <c r="C3945" s="1067" t="inlineStr">
        <is>
          <t>Pintura em Látex Acrilica para demarcação de vagas em parede, 2 demão</t>
        </is>
      </c>
      <c r="D3945" s="1067" t="inlineStr">
        <is>
          <t>Pintura em Látex Acrilica para demarcação de vagas em parede, 2 demão</t>
        </is>
      </c>
      <c r="E3945" s="1068" t="inlineStr">
        <is>
          <t>M2</t>
        </is>
      </c>
      <c r="F3945" s="1067" t="n"/>
      <c r="G3945" s="1069">
        <f t="array" ref="G3945">IF(B3945="insumo",_xlfn.XLOOKUP($D3945,Insumos!$B$1:$B$996,Insumos!$D$1:$D$996),"")</f>
        <v/>
      </c>
      <c r="H3945" s="1069" t="n">
        <v>8.728316065</v>
      </c>
      <c r="I3945" s="2161" t="e">
        <v>#REF!</v>
      </c>
      <c r="J3945" s="2161" t="e">
        <v>#REF!</v>
      </c>
      <c r="K3945" s="2161" t="n"/>
    </row>
    <row r="3946" outlineLevel="3" ht="15.75" customHeight="1">
      <c r="A3946" s="10" t="n">
        <v>25</v>
      </c>
      <c r="B3946" s="10" t="inlineStr">
        <is>
          <t>Insumo</t>
        </is>
      </c>
      <c r="C3946" s="10" t="inlineStr">
        <is>
          <t>Pintura em Látex Acrilica para demarcação de vagas em parede, 2 demão</t>
        </is>
      </c>
      <c r="D3946" s="10" t="inlineStr">
        <is>
          <t>Fita Crepe Rolo De 25 Mm X 50 M</t>
        </is>
      </c>
      <c r="E3946" s="11">
        <f t="array" ref="E3946">_xlfn.XLOOKUP(D3946,Insumos!B:B,Insumos!C:$C)</f>
        <v/>
      </c>
      <c r="F3946" s="14" t="n">
        <v>0.01</v>
      </c>
      <c r="G3946" s="92">
        <f t="array" ref="G3946">IF(B3946="insumo",_xlfn.XLOOKUP($D3946,Insumos!$B$1:$B$996,Insumos!$D$1:$D$996),"")</f>
        <v/>
      </c>
      <c r="H3946" s="92" t="n">
        <v>0.1126</v>
      </c>
      <c r="I3946" s="2162" t="e">
        <v>#REF!</v>
      </c>
      <c r="J3946" s="2162" t="e">
        <v>#REF!</v>
      </c>
      <c r="K3946" s="2162" t="n"/>
    </row>
    <row r="3947" outlineLevel="3" ht="15.75" customHeight="1">
      <c r="A3947" s="10" t="n">
        <v>16</v>
      </c>
      <c r="B3947" s="10" t="inlineStr">
        <is>
          <t>Insumo</t>
        </is>
      </c>
      <c r="C3947" s="10" t="inlineStr">
        <is>
          <t>Pintura em Látex Acrilica para demarcação de vagas em parede, 2 demão</t>
        </is>
      </c>
      <c r="D3947" s="10" t="inlineStr">
        <is>
          <t xml:space="preserve">TINTA ACRILICA PREMIUM </t>
        </is>
      </c>
      <c r="E3947" s="11">
        <f t="array" ref="E3947">_xlfn.XLOOKUP(D3947,Insumos!B:B,Insumos!C:$C)</f>
        <v/>
      </c>
      <c r="F3947" s="14" t="n">
        <v>0.33</v>
      </c>
      <c r="G3947" s="92">
        <f t="array" ref="G3947">IF(B3947="insumo",_xlfn.XLOOKUP($D3947,Insumos!$B$1:$B$996,Insumos!$D$1:$D$996),"")</f>
        <v/>
      </c>
      <c r="H3947" s="92" t="n">
        <v>8.085000000000001</v>
      </c>
      <c r="I3947" s="2162" t="e">
        <v>#REF!</v>
      </c>
      <c r="J3947" s="2162" t="e">
        <v>#REF!</v>
      </c>
      <c r="K3947" s="2162" t="n"/>
    </row>
    <row r="3948" outlineLevel="3" ht="15.75" customHeight="1">
      <c r="A3948" s="10" t="n">
        <v>7</v>
      </c>
      <c r="B3948" s="10" t="inlineStr">
        <is>
          <t>Insumo</t>
        </is>
      </c>
      <c r="C3948" s="10" t="inlineStr">
        <is>
          <t>Pintura em Látex Acrilica para demarcação de vagas em parede, 2 demão</t>
        </is>
      </c>
      <c r="D3948" s="10" t="inlineStr">
        <is>
          <t>Thiner</t>
        </is>
      </c>
      <c r="E3948" s="11">
        <f t="array" ref="E3948">_xlfn.XLOOKUP(D3948,Insumos!B:B,Insumos!C:$C)</f>
        <v/>
      </c>
      <c r="F3948" s="14" t="n">
        <v>0.00225</v>
      </c>
      <c r="G3948" s="92">
        <f t="array" ref="G3948">IF(B3948="insumo",_xlfn.XLOOKUP($D3948,Insumos!$B$1:$B$996,Insumos!$D$1:$D$996),"")</f>
        <v/>
      </c>
      <c r="H3948" s="92" t="n">
        <v>0.030375</v>
      </c>
      <c r="I3948" s="2162" t="e">
        <v>#REF!</v>
      </c>
      <c r="J3948" s="2162" t="e">
        <v>#REF!</v>
      </c>
      <c r="K3948" s="2162" t="n"/>
    </row>
    <row r="3949" outlineLevel="3" ht="15.75" customHeight="1">
      <c r="A3949" s="10" t="n">
        <v>25</v>
      </c>
      <c r="B3949" s="10" t="inlineStr">
        <is>
          <t>Insumo</t>
        </is>
      </c>
      <c r="C3949" s="10" t="inlineStr">
        <is>
          <t>Pintura em Látex Acrilica para demarcação de vagas em parede, 2 demão</t>
        </is>
      </c>
      <c r="D3949" s="10" t="inlineStr">
        <is>
          <t>Fita Crepe Rolo De 25 Mm X 50 M</t>
        </is>
      </c>
      <c r="E3949" s="11">
        <f t="array" ref="E3949">_xlfn.XLOOKUP(D3949,Insumos!B:B,Insumos!C:$C)</f>
        <v/>
      </c>
      <c r="F3949" s="14" t="n">
        <v>0.002132</v>
      </c>
      <c r="G3949" s="92">
        <f t="array" ref="G3949">IF(B3949="insumo",_xlfn.XLOOKUP($D3949,Insumos!$B$1:$B$996,Insumos!$D$1:$D$996),"")</f>
        <v/>
      </c>
      <c r="H3949" s="92" t="n">
        <v>0.02400632</v>
      </c>
      <c r="I3949" s="2162" t="e">
        <v>#REF!</v>
      </c>
      <c r="J3949" s="2162" t="e">
        <v>#REF!</v>
      </c>
      <c r="K3949" s="2162" t="n"/>
    </row>
    <row r="3950" outlineLevel="3" ht="15.75" customHeight="1">
      <c r="A3950" s="10" t="n">
        <v>7</v>
      </c>
      <c r="B3950" s="10" t="inlineStr">
        <is>
          <t>Insumo</t>
        </is>
      </c>
      <c r="C3950" s="10" t="inlineStr">
        <is>
          <t>Pintura em Látex Acrilica para demarcação de vagas em parede, 2 demão</t>
        </is>
      </c>
      <c r="D3950" s="10" t="inlineStr">
        <is>
          <t>Pacote de Estopa</t>
        </is>
      </c>
      <c r="E3950" s="11">
        <f t="array" ref="E3950">_xlfn.XLOOKUP(D3950,Insumos!B:B,Insumos!C:$C)</f>
        <v/>
      </c>
      <c r="F3950" s="14" t="n">
        <v>0.01</v>
      </c>
      <c r="G3950" s="92">
        <f t="array" ref="G3950">IF(B3950="insumo",_xlfn.XLOOKUP($D3950,Insumos!$B$1:$B$996,Insumos!$D$1:$D$996),"")</f>
        <v/>
      </c>
      <c r="H3950" s="92" t="n">
        <v>0.06900000000000001</v>
      </c>
      <c r="I3950" s="2162" t="e">
        <v>#REF!</v>
      </c>
      <c r="J3950" s="2162" t="e">
        <v>#REF!</v>
      </c>
      <c r="K3950" s="2162" t="n"/>
    </row>
    <row r="3951" outlineLevel="3" ht="15.75" customHeight="1">
      <c r="A3951" s="10" t="n">
        <v>7</v>
      </c>
      <c r="B3951" s="10" t="inlineStr">
        <is>
          <t>Insumo</t>
        </is>
      </c>
      <c r="C3951" s="10" t="inlineStr">
        <is>
          <t>Pintura em Látex Acrilica para demarcação de vagas em parede, 2 demão</t>
        </is>
      </c>
      <c r="D3951" s="10" t="inlineStr">
        <is>
          <t>Cloro para Limpeza</t>
        </is>
      </c>
      <c r="E3951" s="11">
        <f t="array" ref="E3951">_xlfn.XLOOKUP(D3951,Insumos!B:B,Insumos!C:$C)</f>
        <v/>
      </c>
      <c r="F3951" s="14" t="n">
        <v>0.002358</v>
      </c>
      <c r="G3951" s="92">
        <f t="array" ref="G3951">IF(B3951="insumo",_xlfn.XLOOKUP($D3951,Insumos!$B$1:$B$996,Insumos!$D$1:$D$996),"")</f>
        <v/>
      </c>
      <c r="H3951" s="92" t="n">
        <v>0.0150912</v>
      </c>
      <c r="I3951" s="2162" t="e">
        <v>#REF!</v>
      </c>
      <c r="J3951" s="2162" t="e">
        <v>#REF!</v>
      </c>
      <c r="K3951" s="2162" t="n"/>
    </row>
    <row r="3952" outlineLevel="3" ht="15.75" customHeight="1">
      <c r="A3952" s="10" t="n">
        <v>9</v>
      </c>
      <c r="B3952" s="10" t="inlineStr">
        <is>
          <t>Insumo</t>
        </is>
      </c>
      <c r="C3952" s="10" t="inlineStr">
        <is>
          <t>Pintura em Látex Acrilica para demarcação de vagas em parede, 2 demão</t>
        </is>
      </c>
      <c r="D3952" s="10" t="inlineStr">
        <is>
          <t>Lona Preta Plástica 4x100 Metros 25kg - Agroplastic, Tamanho: 120 Micras</t>
        </is>
      </c>
      <c r="E3952" s="11">
        <f t="array" ref="E3952">_xlfn.XLOOKUP(D3952,Insumos!B:B,Insumos!C:$C)</f>
        <v/>
      </c>
      <c r="F3952" s="14" t="n">
        <v>0.00225</v>
      </c>
      <c r="G3952" s="92">
        <f t="array" ref="G3952">IF(B3952="insumo",_xlfn.XLOOKUP($D3952,Insumos!$B$1:$B$996,Insumos!$D$1:$D$996),"")</f>
        <v/>
      </c>
      <c r="H3952" s="92" t="n">
        <v>0.005180625</v>
      </c>
      <c r="I3952" s="2162" t="e">
        <v>#REF!</v>
      </c>
      <c r="J3952" s="2162" t="e">
        <v>#REF!</v>
      </c>
      <c r="K3952" s="2162" t="n"/>
    </row>
    <row r="3953" outlineLevel="3" ht="15.75" customHeight="1">
      <c r="A3953" s="10" t="n">
        <v>7</v>
      </c>
      <c r="B3953" s="10" t="inlineStr">
        <is>
          <t>Insumo</t>
        </is>
      </c>
      <c r="C3953" s="10" t="inlineStr">
        <is>
          <t>Pintura em Látex Acrilica para demarcação de vagas em parede, 2 demão</t>
        </is>
      </c>
      <c r="D3953" s="10" t="inlineStr">
        <is>
          <t>Disco de lixa (Diametro 225mm) - Grão 180</t>
        </is>
      </c>
      <c r="E3953" s="11">
        <f t="array" ref="E3953">_xlfn.XLOOKUP(D3953,Insumos!B:B,Insumos!C:$C)</f>
        <v/>
      </c>
      <c r="F3953" s="14" t="n">
        <v>0.02488</v>
      </c>
      <c r="G3953" s="92">
        <f t="array" ref="G3953">IF(B3953="insumo",_xlfn.XLOOKUP($D3953,Insumos!$B$1:$B$996,Insumos!$D$1:$D$996),"")</f>
        <v/>
      </c>
      <c r="H3953" s="92" t="n">
        <v>0.14900632</v>
      </c>
      <c r="I3953" s="2162" t="e">
        <v>#REF!</v>
      </c>
      <c r="J3953" s="2162" t="e">
        <v>#REF!</v>
      </c>
      <c r="K3953" s="2162" t="n"/>
    </row>
    <row r="3954" outlineLevel="3" ht="15.75" customHeight="1">
      <c r="A3954" s="10" t="n">
        <v>7</v>
      </c>
      <c r="B3954" s="10" t="inlineStr">
        <is>
          <t>Insumo</t>
        </is>
      </c>
      <c r="C3954" s="10" t="inlineStr">
        <is>
          <t>Pintura em Látex Acrilica para demarcação de vagas em parede, 2 demão</t>
        </is>
      </c>
      <c r="D3954" s="10" t="inlineStr">
        <is>
          <t>Disco de lixa telado (Diâmetro 225mm) - Grão 220</t>
        </is>
      </c>
      <c r="E3954" s="11">
        <f t="array" ref="E3954">_xlfn.XLOOKUP(D3954,Insumos!B:B,Insumos!C:$C)</f>
        <v/>
      </c>
      <c r="F3954" s="14" t="n">
        <v>0.02488</v>
      </c>
      <c r="G3954" s="92">
        <f t="array" ref="G3954">IF(B3954="insumo",_xlfn.XLOOKUP($D3954,Insumos!$B$1:$B$996,Insumos!$D$1:$D$996),"")</f>
        <v/>
      </c>
      <c r="H3954" s="92" t="n">
        <v>0.13062</v>
      </c>
      <c r="I3954" s="2162" t="e">
        <v>#REF!</v>
      </c>
      <c r="J3954" s="2162" t="e">
        <v>#REF!</v>
      </c>
      <c r="K3954" s="2162" t="n"/>
    </row>
    <row r="3955" outlineLevel="3" ht="15.75" customHeight="1">
      <c r="A3955" s="10" t="n">
        <v>7</v>
      </c>
      <c r="B3955" s="10" t="inlineStr">
        <is>
          <t>Insumo</t>
        </is>
      </c>
      <c r="C3955" s="10" t="inlineStr">
        <is>
          <t>Pintura em Látex Acrilica para demarcação de vagas em parede, 2 demão</t>
        </is>
      </c>
      <c r="D3955" s="10" t="inlineStr">
        <is>
          <t>Fita Crepe 50mm x 50mt Azul</t>
        </is>
      </c>
      <c r="E3955" s="11">
        <f t="array" ref="E3955">_xlfn.XLOOKUP(D3955,Insumos!B:B,Insumos!C:$C)</f>
        <v/>
      </c>
      <c r="F3955" s="14" t="n">
        <v>0.002132</v>
      </c>
      <c r="G3955" s="92">
        <f t="array" ref="G3955">IF(B3955="insumo",_xlfn.XLOOKUP($D3955,Insumos!$B$1:$B$996,Insumos!$D$1:$D$996),"")</f>
        <v/>
      </c>
      <c r="H3955" s="92" t="n">
        <v>0.0786708</v>
      </c>
      <c r="I3955" s="2162" t="e">
        <v>#REF!</v>
      </c>
      <c r="J3955" s="2162" t="e">
        <v>#REF!</v>
      </c>
      <c r="K3955" s="2162" t="n"/>
    </row>
    <row r="3956" outlineLevel="3" ht="15.75" customHeight="1">
      <c r="A3956" s="10" t="n">
        <v>36</v>
      </c>
      <c r="B3956" s="10" t="inlineStr">
        <is>
          <t>Insumo</t>
        </is>
      </c>
      <c r="C3956" s="10" t="inlineStr">
        <is>
          <t>Pintura em Látex Acrilica para demarcação de vagas em parede, 2 demão</t>
        </is>
      </c>
      <c r="D3956" s="10" t="inlineStr">
        <is>
          <t>LIXA DAGUA 225X275MM GR100</t>
        </is>
      </c>
      <c r="E3956" s="11">
        <f t="array" ref="E3956">_xlfn.XLOOKUP(D3956,Insumos!B:B,Insumos!C:$C)</f>
        <v/>
      </c>
      <c r="F3956" s="14" t="n">
        <v>0.01522</v>
      </c>
      <c r="G3956" s="92">
        <f t="array" ref="G3956">IF(B3956="insumo",_xlfn.XLOOKUP($D3956,Insumos!$B$1:$B$996,Insumos!$D$1:$D$996),"")</f>
        <v/>
      </c>
      <c r="H3956" s="92" t="n">
        <v>0.0287658</v>
      </c>
      <c r="I3956" s="2162" t="e">
        <v>#REF!</v>
      </c>
      <c r="J3956" s="2162" t="e">
        <v>#REF!</v>
      </c>
      <c r="K3956" s="2162" t="n"/>
    </row>
    <row r="3957" outlineLevel="2" ht="15.75" customHeight="1">
      <c r="A3957" s="1067" t="n">
        <v>1</v>
      </c>
      <c r="B3957" s="1067" t="inlineStr">
        <is>
          <t>Serviço</t>
        </is>
      </c>
      <c r="C3957" s="1067" t="inlineStr">
        <is>
          <t>Pintura Com Tinta Latex Acrilica em Paredes Internas, 3 Demaos (Somente tinta e fundo)</t>
        </is>
      </c>
      <c r="D3957" s="1067" t="inlineStr">
        <is>
          <t>Pintura Com Tinta Latex Acrilica em Paredes Internas, 3 Demaos (Somente tinta e fundo)</t>
        </is>
      </c>
      <c r="E3957" s="1068" t="inlineStr">
        <is>
          <t>M2</t>
        </is>
      </c>
      <c r="F3957" s="1067" t="n"/>
      <c r="G3957" s="1069">
        <f t="array" ref="G3957">IF(B3957="insumo",_xlfn.XLOOKUP($D3957,Insumos!$B$1:$B$996,Insumos!$D$1:$D$996),"")</f>
        <v/>
      </c>
      <c r="H3957" s="1069" t="n">
        <v>13.205402</v>
      </c>
      <c r="I3957" s="2161" t="n">
        <v>0</v>
      </c>
      <c r="J3957" s="2161" t="n">
        <v>0</v>
      </c>
      <c r="K3957" s="2161" t="n"/>
    </row>
    <row r="3958" outlineLevel="3" ht="15.75" customHeight="1">
      <c r="A3958" s="10" t="n">
        <v>16</v>
      </c>
      <c r="B3958" s="10" t="inlineStr">
        <is>
          <t>Insumo</t>
        </is>
      </c>
      <c r="C3958" s="10" t="inlineStr">
        <is>
          <t>Pintura Com Tinta Latex Acrilica em Paredes Internas, 3 Demaos (Somente tinta e fundo)</t>
        </is>
      </c>
      <c r="D3958" s="10" t="inlineStr">
        <is>
          <t xml:space="preserve">TINTA ACRILICA PREMIUM </t>
        </is>
      </c>
      <c r="E3958" s="11">
        <f t="array" ref="E3958">_xlfn.XLOOKUP(D3958,Insumos!B:B,Insumos!C:$C)</f>
        <v/>
      </c>
      <c r="F3958" s="14" t="n">
        <v>0.495</v>
      </c>
      <c r="G3958" s="92">
        <f t="array" ref="G3958">IF(B3958="insumo",_xlfn.XLOOKUP($D3958,Insumos!$B$1:$B$996,Insumos!$D$1:$D$996),"")</f>
        <v/>
      </c>
      <c r="H3958" s="92" t="n">
        <v>12.1275</v>
      </c>
      <c r="I3958" s="2162" t="n">
        <v>0</v>
      </c>
      <c r="J3958" s="2162" t="n">
        <v>0</v>
      </c>
      <c r="K3958" s="2162" t="n"/>
    </row>
    <row r="3959" outlineLevel="3" ht="15.75" customHeight="1">
      <c r="A3959" s="10" t="n">
        <v>31</v>
      </c>
      <c r="B3959" s="10" t="inlineStr">
        <is>
          <t>Insumo</t>
        </is>
      </c>
      <c r="C3959" s="10" t="inlineStr">
        <is>
          <t>Pintura Com Tinta Latex Acrilica em Paredes Internas, 3 Demaos (Somente tinta e fundo)</t>
        </is>
      </c>
      <c r="D3959" s="10" t="inlineStr">
        <is>
          <t>Selador acrilico opaco premium interno/externo</t>
        </is>
      </c>
      <c r="E3959" s="11">
        <f t="array" ref="E3959">_xlfn.XLOOKUP(D3959,Insumos!B:B,Insumos!C:$C)</f>
        <v/>
      </c>
      <c r="F3959" s="14" t="n">
        <v>0.1666</v>
      </c>
      <c r="G3959" s="92">
        <f t="array" ref="G3959">IF(B3959="insumo",_xlfn.XLOOKUP($D3959,Insumos!$B$1:$B$996,Insumos!$D$1:$D$996),"")</f>
        <v/>
      </c>
      <c r="H3959" s="92" t="n">
        <v>1.077902</v>
      </c>
      <c r="I3959" s="2162" t="n">
        <v>0</v>
      </c>
      <c r="J3959" s="2162" t="n">
        <v>0</v>
      </c>
      <c r="K3959" s="2162" t="n"/>
    </row>
    <row r="3960" outlineLevel="2" ht="15.75" customHeight="1">
      <c r="A3960" s="1067" t="n">
        <v>1</v>
      </c>
      <c r="B3960" s="1067" t="inlineStr">
        <is>
          <t>Serviço</t>
        </is>
      </c>
      <c r="C3960" s="1067" t="inlineStr">
        <is>
          <t>Textura acrílica aplicação em paredes internas, 1 demão - Diore Ornamentali Bege Bahia</t>
        </is>
      </c>
      <c r="D3960" s="1067" t="inlineStr">
        <is>
          <t>Textura acrílica aplicação em paredes internas, 1 demão - Diore Ornamentali Bege Bahia</t>
        </is>
      </c>
      <c r="E3960" s="1068" t="inlineStr">
        <is>
          <t>M2</t>
        </is>
      </c>
      <c r="F3960" s="1067" t="n"/>
      <c r="G3960" s="1069">
        <f t="array" ref="G3960">IF(B3960="insumo",_xlfn.XLOOKUP($D3960,Insumos!$B$1:$B$996,Insumos!$D$1:$D$996),"")</f>
        <v/>
      </c>
      <c r="H3960" s="1069" t="n">
        <v>39.6</v>
      </c>
      <c r="I3960" s="2161" t="e">
        <v>#REF!</v>
      </c>
      <c r="J3960" s="2161" t="e">
        <v>#REF!</v>
      </c>
      <c r="K3960" s="2161" t="n"/>
    </row>
    <row r="3961" outlineLevel="3" ht="15.75" customHeight="1">
      <c r="A3961" s="10" t="n">
        <v>2</v>
      </c>
      <c r="B3961" s="10" t="inlineStr">
        <is>
          <t>Insumo</t>
        </is>
      </c>
      <c r="C3961" s="10" t="inlineStr">
        <is>
          <t>Textura acrílica aplicação em paredes internas, 1 demão - Diore Ornamentali Bege Bahia</t>
        </is>
      </c>
      <c r="D3961" s="10" t="inlineStr">
        <is>
          <t xml:space="preserve">revestimento Diore Ornamentali na cor Bege Bahia </t>
        </is>
      </c>
      <c r="E3961" s="11">
        <f t="array" ref="E3961">_xlfn.XLOOKUP(D3961,Insumos!B:B,Insumos!C:$C)</f>
        <v/>
      </c>
      <c r="F3961" s="14" t="n">
        <v>1.5</v>
      </c>
      <c r="G3961" s="92">
        <f t="array" ref="G3961">IF(B3961="insumo",_xlfn.XLOOKUP($D3961,Insumos!$B$1:$B$996,Insumos!$D$1:$D$996),"")</f>
        <v/>
      </c>
      <c r="H3961" s="92" t="n">
        <v>39.6</v>
      </c>
      <c r="I3961" s="2162" t="e">
        <v>#REF!</v>
      </c>
      <c r="J3961" s="2162" t="e">
        <v>#REF!</v>
      </c>
      <c r="K3961" s="2162" t="n"/>
    </row>
    <row r="3962" outlineLevel="2" ht="15.75" customHeight="1">
      <c r="A3962" s="1067" t="n">
        <v>1</v>
      </c>
      <c r="B3962" s="1067" t="inlineStr">
        <is>
          <t>Serviço</t>
        </is>
      </c>
      <c r="C3962" s="1067" t="inlineStr">
        <is>
          <t>Pintura Com Tinta Latex Acrilica em Paredes Internas, 3 Demaos (Somente tinta) - Suvinil Azul Etéreo</t>
        </is>
      </c>
      <c r="D3962" s="1067" t="inlineStr">
        <is>
          <t>Pintura Com Tinta Latex Acrilica em Paredes Internas, 3 Demaos (Somente tinta) - Suvinil Azul Etéreo</t>
        </is>
      </c>
      <c r="E3962" s="1068" t="inlineStr">
        <is>
          <t>M2</t>
        </is>
      </c>
      <c r="F3962" s="1067" t="n"/>
      <c r="G3962" s="1069">
        <f t="array" ref="G3962">IF(B3962="insumo",_xlfn.XLOOKUP($D3962,Insumos!$B$1:$B$996,Insumos!$D$1:$D$996),"")</f>
        <v/>
      </c>
      <c r="H3962" s="1069" t="n">
        <v>22.507959375</v>
      </c>
      <c r="I3962" s="2161" t="e">
        <v>#REF!</v>
      </c>
      <c r="J3962" s="2161" t="e">
        <v>#REF!</v>
      </c>
      <c r="K3962" s="2161" t="n"/>
    </row>
    <row r="3963" outlineLevel="3" ht="15.75" customHeight="1">
      <c r="A3963" s="10" t="n">
        <v>2</v>
      </c>
      <c r="B3963" s="10" t="inlineStr">
        <is>
          <t>Insumo</t>
        </is>
      </c>
      <c r="C3963" s="10" t="inlineStr">
        <is>
          <t>Pintura Com Tinta Latex Acrilica em Paredes Internas, 3 Demaos (Somente tinta) - Suvinil Azul Etéreo</t>
        </is>
      </c>
      <c r="D3963" s="10" t="inlineStr">
        <is>
          <t>TINTA ACRILICA PREMIUM AZUL ETÉREO</t>
        </is>
      </c>
      <c r="E3963" s="11">
        <f t="array" ref="E3963">_xlfn.XLOOKUP(D3963,Insumos!B:B,Insumos!C:$C)</f>
        <v/>
      </c>
      <c r="F3963" s="14" t="n">
        <v>0.495</v>
      </c>
      <c r="G3963" s="92">
        <f t="array" ref="G3963">IF(B3963="insumo",_xlfn.XLOOKUP($D3963,Insumos!$B$1:$B$996,Insumos!$D$1:$D$996),"")</f>
        <v/>
      </c>
      <c r="H3963" s="92" t="n">
        <v>22.507959375</v>
      </c>
      <c r="I3963" s="2162" t="e">
        <v>#REF!</v>
      </c>
      <c r="J3963" s="2162" t="e">
        <v>#REF!</v>
      </c>
      <c r="K3963" s="2162" t="n"/>
    </row>
    <row r="3964" outlineLevel="2" ht="15.75" customHeight="1">
      <c r="A3964" s="1067" t="n">
        <v>1</v>
      </c>
      <c r="B3964" s="1067" t="inlineStr">
        <is>
          <t>Serviço</t>
        </is>
      </c>
      <c r="C3964" s="1067" t="inlineStr">
        <is>
          <t>Pintura Com Tinta Latex Acrilica em Paredes Internas, 3 Demaos (Somente tinta) - Suvinil Papel Picado</t>
        </is>
      </c>
      <c r="D3964" s="1067" t="inlineStr">
        <is>
          <t>Pintura Com Tinta Latex Acrilica em Paredes Internas, 3 Demaos (Somente tinta) - Suvinil Papel Picado</t>
        </is>
      </c>
      <c r="E3964" s="1068" t="inlineStr">
        <is>
          <t>M2</t>
        </is>
      </c>
      <c r="F3964" s="1067" t="n"/>
      <c r="G3964" s="1069">
        <f t="array" ref="G3964">IF(B3964="insumo",_xlfn.XLOOKUP($D3964,Insumos!$B$1:$B$996,Insumos!$D$1:$D$996),"")</f>
        <v/>
      </c>
      <c r="H3964" s="1069" t="n">
        <v>20.46886875</v>
      </c>
      <c r="I3964" s="2161" t="e">
        <v>#REF!</v>
      </c>
      <c r="J3964" s="2161" t="e">
        <v>#REF!</v>
      </c>
      <c r="K3964" s="2161" t="n"/>
    </row>
    <row r="3965" outlineLevel="3" ht="15.75" customHeight="1">
      <c r="A3965" s="10" t="n">
        <v>2</v>
      </c>
      <c r="B3965" s="10" t="inlineStr">
        <is>
          <t>Insumo</t>
        </is>
      </c>
      <c r="C3965" s="10" t="inlineStr">
        <is>
          <t>Pintura Com Tinta Latex Acrilica em Paredes Internas, 3 Demaos (Somente tinta) - Suvinil Papel Picado</t>
        </is>
      </c>
      <c r="D3965" s="10" t="inlineStr">
        <is>
          <t>TINTA ACRILICA PREMIUM  PAPEL PICADO</t>
        </is>
      </c>
      <c r="E3965" s="11">
        <f t="array" ref="E3965">_xlfn.XLOOKUP(D3965,Insumos!B:B,Insumos!C:$C)</f>
        <v/>
      </c>
      <c r="F3965" s="14" t="n">
        <v>0.495</v>
      </c>
      <c r="G3965" s="92">
        <f t="array" ref="G3965">IF(B3965="insumo",_xlfn.XLOOKUP($D3965,Insumos!$B$1:$B$996,Insumos!$D$1:$D$996),"")</f>
        <v/>
      </c>
      <c r="H3965" s="92" t="n">
        <v>20.46886875</v>
      </c>
      <c r="I3965" s="2162" t="e">
        <v>#REF!</v>
      </c>
      <c r="J3965" s="2162" t="e">
        <v>#REF!</v>
      </c>
      <c r="K3965" s="2162" t="n"/>
    </row>
    <row r="3966" outlineLevel="2" ht="15.75" customHeight="1">
      <c r="A3966" s="1067" t="n">
        <v>1</v>
      </c>
      <c r="B3966" s="1067" t="inlineStr">
        <is>
          <t>Serviço</t>
        </is>
      </c>
      <c r="C3966" s="1067" t="inlineStr">
        <is>
          <t xml:space="preserve">Textura acrílica aplicação em paredes internas, 1 demão - Textura Terracal / Marca: Terracor </t>
        </is>
      </c>
      <c r="D3966" s="1067" t="inlineStr">
        <is>
          <t xml:space="preserve">Textura acrílica aplicação em paredes internas, 1 demão - Textura Terracal / Marca: Terracor </t>
        </is>
      </c>
      <c r="E3966" s="1068" t="inlineStr">
        <is>
          <t>M2</t>
        </is>
      </c>
      <c r="F3966" s="1067" t="n"/>
      <c r="G3966" s="1069">
        <f t="array" ref="G3966">IF(B3966="insumo",_xlfn.XLOOKUP($D3966,Insumos!$B$1:$B$996,Insumos!$D$1:$D$996),"")</f>
        <v/>
      </c>
      <c r="H3966" s="1069" t="n">
        <v>66.75</v>
      </c>
      <c r="I3966" s="2161" t="e">
        <v>#REF!</v>
      </c>
      <c r="J3966" s="2161" t="e">
        <v>#REF!</v>
      </c>
      <c r="K3966" s="2161" t="n"/>
    </row>
    <row r="3967" outlineLevel="3" ht="15.75" customHeight="1">
      <c r="A3967" s="10" t="n">
        <v>3</v>
      </c>
      <c r="B3967" s="10" t="inlineStr">
        <is>
          <t>Insumo</t>
        </is>
      </c>
      <c r="C3967" s="10" t="inlineStr">
        <is>
          <t xml:space="preserve">Textura acrílica aplicação em paredes internas, 1 demão - Textura Terracal / Marca: Terracor </t>
        </is>
      </c>
      <c r="D3967" s="10" t="inlineStr">
        <is>
          <t xml:space="preserve">Textura Terracal / Marca: Terracor </t>
        </is>
      </c>
      <c r="E3967" s="11">
        <f t="array" ref="E3967">_xlfn.XLOOKUP(D3967,Insumos!B:B,Insumos!C:$C)</f>
        <v/>
      </c>
      <c r="F3967" s="14" t="n">
        <v>1.5</v>
      </c>
      <c r="G3967" s="92">
        <f t="array" ref="G3967">IF(B3967="insumo",_xlfn.XLOOKUP($D3967,Insumos!$B$1:$B$996,Insumos!$D$1:$D$996),"")</f>
        <v/>
      </c>
      <c r="H3967" s="92" t="n">
        <v>66.75</v>
      </c>
      <c r="I3967" s="2162" t="e">
        <v>#REF!</v>
      </c>
      <c r="J3967" s="2162" t="e">
        <v>#REF!</v>
      </c>
      <c r="K3967" s="2162" t="n"/>
    </row>
    <row r="3968" outlineLevel="2" ht="15.75" customHeight="1">
      <c r="A3968" s="1067" t="n">
        <v>1</v>
      </c>
      <c r="B3968" s="1067" t="inlineStr">
        <is>
          <t>Serviço</t>
        </is>
      </c>
      <c r="C3968" s="1067" t="inlineStr">
        <is>
          <t>Pintura Com Tinta Latex Acrilica em Paredes Internas, 3 Demaos (Somente tinta)</t>
        </is>
      </c>
      <c r="D3968" s="1067" t="inlineStr">
        <is>
          <t>Pintura Com Tinta Latex Acrilica em Paredes Internas, 3 Demaos (Somente tinta)</t>
        </is>
      </c>
      <c r="E3968" s="1068" t="inlineStr">
        <is>
          <t>M2</t>
        </is>
      </c>
      <c r="F3968" s="1067" t="n"/>
      <c r="G3968" s="1069">
        <f t="array" ref="G3968">IF(B3968="insumo",_xlfn.XLOOKUP($D3968,Insumos!$B$1:$B$996,Insumos!$D$1:$D$996),"")</f>
        <v/>
      </c>
      <c r="H3968" s="1069" t="n">
        <v>12.1275</v>
      </c>
      <c r="I3968" s="2161" t="e">
        <v>#REF!</v>
      </c>
      <c r="J3968" s="2161" t="e">
        <v>#REF!</v>
      </c>
      <c r="K3968" s="2161" t="n"/>
    </row>
    <row r="3969" outlineLevel="3" ht="15.75" customHeight="1">
      <c r="A3969" s="10" t="n">
        <v>16</v>
      </c>
      <c r="B3969" s="10" t="inlineStr">
        <is>
          <t>Insumo</t>
        </is>
      </c>
      <c r="C3969" s="10" t="inlineStr">
        <is>
          <t>Pintura Com Tinta Latex Acrilica em Paredes Internas, 3 Demaos (Somente tinta)</t>
        </is>
      </c>
      <c r="D3969" s="10" t="inlineStr">
        <is>
          <t xml:space="preserve">TINTA ACRILICA PREMIUM </t>
        </is>
      </c>
      <c r="E3969" s="11">
        <f t="array" ref="E3969">_xlfn.XLOOKUP(D3969,Insumos!B:B,Insumos!C:$C)</f>
        <v/>
      </c>
      <c r="F3969" s="14" t="n">
        <v>0.495</v>
      </c>
      <c r="G3969" s="92">
        <f t="array" ref="G3969">IF(B3969="insumo",_xlfn.XLOOKUP($D3969,Insumos!$B$1:$B$996,Insumos!$D$1:$D$996),"")</f>
        <v/>
      </c>
      <c r="H3969" s="92" t="n">
        <v>12.1275</v>
      </c>
      <c r="I3969" s="2162" t="e">
        <v>#REF!</v>
      </c>
      <c r="J3969" s="2162" t="e">
        <v>#REF!</v>
      </c>
      <c r="K3969" s="2162" t="n"/>
    </row>
    <row r="3970" outlineLevel="2" ht="15.75" customHeight="1">
      <c r="A3970" s="1067" t="n">
        <v>1</v>
      </c>
      <c r="B3970" s="1067" t="inlineStr">
        <is>
          <t>Serviço</t>
        </is>
      </c>
      <c r="C3970" s="1067" t="inlineStr">
        <is>
          <t>Pintura Com Tinta Latex Acrilica em Paredes Internas, 3 Demaos (Incluso fundo e massa)</t>
        </is>
      </c>
      <c r="D3970" s="1067" t="inlineStr">
        <is>
          <t>Pintura Com Tinta Latex Acrilica em Paredes Internas, 3 Demaos (Incluso fundo e massa)</t>
        </is>
      </c>
      <c r="E3970" s="1068" t="inlineStr">
        <is>
          <t>M2</t>
        </is>
      </c>
      <c r="F3970" s="1067" t="n"/>
      <c r="G3970" s="1069">
        <f t="array" ref="G3970">IF(B3970="insumo",_xlfn.XLOOKUP($D3970,Insumos!$B$1:$B$996,Insumos!$D$1:$D$996),"")</f>
        <v/>
      </c>
      <c r="H3970" s="1069" t="n">
        <v>17.554562</v>
      </c>
      <c r="I3970" s="2161" t="n">
        <v>0</v>
      </c>
      <c r="J3970" s="2161" t="n">
        <v>0</v>
      </c>
      <c r="K3970" s="2161" t="n"/>
    </row>
    <row r="3971" outlineLevel="3" ht="15.75" customHeight="1">
      <c r="A3971" s="10" t="n">
        <v>36</v>
      </c>
      <c r="B3971" s="10" t="inlineStr">
        <is>
          <t>Insumo</t>
        </is>
      </c>
      <c r="C3971" s="10" t="inlineStr">
        <is>
          <t>Pintura Com Tinta Latex Acrilica em Paredes Internas, 3 Demaos (Incluso fundo e massa)</t>
        </is>
      </c>
      <c r="D3971" s="10" t="inlineStr">
        <is>
          <t>LIXA DAGUA 225X275MM GR100</t>
        </is>
      </c>
      <c r="E3971" s="11">
        <f t="array" ref="E3971">_xlfn.XLOOKUP(D3971,Insumos!B:B,Insumos!C:$C)</f>
        <v/>
      </c>
      <c r="F3971" s="14" t="n">
        <v>0.1</v>
      </c>
      <c r="G3971" s="92">
        <f t="array" ref="G3971">IF(B3971="insumo",_xlfn.XLOOKUP($D3971,Insumos!$B$1:$B$996,Insumos!$D$1:$D$996),"")</f>
        <v/>
      </c>
      <c r="H3971" s="92" t="n">
        <v>0.189</v>
      </c>
      <c r="I3971" s="2162" t="n">
        <v>0</v>
      </c>
      <c r="J3971" s="2162" t="n">
        <v>0</v>
      </c>
      <c r="K3971" s="2162" t="n"/>
    </row>
    <row r="3972" outlineLevel="3" ht="15.75" customHeight="1">
      <c r="A3972" s="10" t="n">
        <v>21</v>
      </c>
      <c r="B3972" s="10" t="inlineStr">
        <is>
          <t>Insumo</t>
        </is>
      </c>
      <c r="C3972" s="10" t="inlineStr">
        <is>
          <t>Pintura Com Tinta Latex Acrilica em Paredes Internas, 3 Demaos (Incluso fundo e massa)</t>
        </is>
      </c>
      <c r="D3972" s="10" t="inlineStr">
        <is>
          <t>Massa corrida para superfícies de ambientes internos</t>
        </is>
      </c>
      <c r="E3972" s="11">
        <f t="array" ref="E3972">_xlfn.XLOOKUP(D3972,Insumos!B:B,Insumos!C:$C)</f>
        <v/>
      </c>
      <c r="F3972" s="14" t="n">
        <v>0.8667</v>
      </c>
      <c r="G3972" s="92">
        <f t="array" ref="G3972">IF(B3972="insumo",_xlfn.XLOOKUP($D3972,Insumos!$B$1:$B$996,Insumos!$D$1:$D$996),"")</f>
        <v/>
      </c>
      <c r="H3972" s="92" t="n">
        <v>4.16016</v>
      </c>
      <c r="I3972" s="2162" t="n">
        <v>0</v>
      </c>
      <c r="J3972" s="2162" t="n">
        <v>0</v>
      </c>
      <c r="K3972" s="2162" t="n"/>
    </row>
    <row r="3973" outlineLevel="3" ht="15.75" customHeight="1">
      <c r="A3973" s="10" t="n">
        <v>31</v>
      </c>
      <c r="B3973" s="10" t="inlineStr">
        <is>
          <t>Insumo</t>
        </is>
      </c>
      <c r="C3973" s="10" t="inlineStr">
        <is>
          <t>Pintura Com Tinta Latex Acrilica em Paredes Internas, 3 Demaos (Incluso fundo e massa)</t>
        </is>
      </c>
      <c r="D3973" s="10" t="inlineStr">
        <is>
          <t>Selador acrilico opaco premium interno/externo</t>
        </is>
      </c>
      <c r="E3973" s="11">
        <f t="array" ref="E3973">_xlfn.XLOOKUP(D3973,Insumos!B:B,Insumos!C:$C)</f>
        <v/>
      </c>
      <c r="F3973" s="14" t="n">
        <v>0.1666</v>
      </c>
      <c r="G3973" s="92">
        <f t="array" ref="G3973">IF(B3973="insumo",_xlfn.XLOOKUP($D3973,Insumos!$B$1:$B$996,Insumos!$D$1:$D$996),"")</f>
        <v/>
      </c>
      <c r="H3973" s="92" t="n">
        <v>1.077902</v>
      </c>
      <c r="I3973" s="2162" t="n">
        <v>0</v>
      </c>
      <c r="J3973" s="2162" t="n">
        <v>0</v>
      </c>
      <c r="K3973" s="2162" t="n"/>
    </row>
    <row r="3974" outlineLevel="3" ht="15.75" customHeight="1">
      <c r="A3974" s="10" t="n">
        <v>16</v>
      </c>
      <c r="B3974" s="10" t="inlineStr">
        <is>
          <t>Insumo</t>
        </is>
      </c>
      <c r="C3974" s="10" t="inlineStr">
        <is>
          <t>Pintura Com Tinta Latex Acrilica em Paredes Internas, 3 Demaos (Incluso fundo e massa)</t>
        </is>
      </c>
      <c r="D3974" s="10" t="inlineStr">
        <is>
          <t xml:space="preserve">TINTA ACRILICA PREMIUM </t>
        </is>
      </c>
      <c r="E3974" s="11">
        <f t="array" ref="E3974">_xlfn.XLOOKUP(D3974,Insumos!B:B,Insumos!C:$C)</f>
        <v/>
      </c>
      <c r="F3974" s="14" t="n">
        <v>0.495</v>
      </c>
      <c r="G3974" s="92">
        <f t="array" ref="G3974">IF(B3974="insumo",_xlfn.XLOOKUP($D3974,Insumos!$B$1:$B$996,Insumos!$D$1:$D$996),"")</f>
        <v/>
      </c>
      <c r="H3974" s="92" t="n">
        <v>12.1275</v>
      </c>
      <c r="I3974" s="2162" t="n">
        <v>0</v>
      </c>
      <c r="J3974" s="2162" t="n">
        <v>0</v>
      </c>
      <c r="K3974" s="2162" t="n"/>
    </row>
    <row r="3975" outlineLevel="2" ht="15.75" customHeight="1">
      <c r="A3975" s="1067" t="n">
        <v>1</v>
      </c>
      <c r="B3975" s="1067" t="inlineStr">
        <is>
          <t>Serviço</t>
        </is>
      </c>
      <c r="C3975" s="1067" t="inlineStr">
        <is>
          <t>Pintura Com Tinta Epoxi em Paredes Internas, Faixas Preto e Amarelo h=30cm</t>
        </is>
      </c>
      <c r="D3975" s="1067" t="inlineStr">
        <is>
          <t>Pintura Com Tinta Epoxi em Paredes Internas, Faixas Preto e Amarelo h=30cm</t>
        </is>
      </c>
      <c r="E3975" s="1068" t="inlineStr">
        <is>
          <t>M</t>
        </is>
      </c>
      <c r="F3975" s="1067" t="n"/>
      <c r="G3975" s="1069">
        <f t="array" ref="G3975">IF(B3975="insumo",_xlfn.XLOOKUP($D3975,Insumos!$B$1:$B$996,Insumos!$D$1:$D$996),"")</f>
        <v/>
      </c>
      <c r="H3975" s="1069" t="n">
        <v>21.1701092</v>
      </c>
      <c r="I3975" s="2161" t="n">
        <v>0</v>
      </c>
      <c r="J3975" s="2161" t="n">
        <v>0</v>
      </c>
      <c r="K3975" s="2161" t="n"/>
    </row>
    <row r="3976" outlineLevel="3" ht="15.75" customHeight="1">
      <c r="A3976" s="10" t="n">
        <v>9</v>
      </c>
      <c r="B3976" s="10" t="inlineStr">
        <is>
          <t>Insumo</t>
        </is>
      </c>
      <c r="C3976" s="10" t="inlineStr">
        <is>
          <t>Pintura Com Tinta Epoxi em Paredes Internas, Faixas Preto e Amarelo h=30cm</t>
        </is>
      </c>
      <c r="D3976" s="10" t="inlineStr">
        <is>
          <t>Diluente Epoxi</t>
        </is>
      </c>
      <c r="E3976" s="11">
        <f t="array" ref="E3976">_xlfn.XLOOKUP(D3976,Insumos!B:B,Insumos!C:$C)</f>
        <v/>
      </c>
      <c r="F3976" s="14">
        <f>0.064*0.3</f>
        <v/>
      </c>
      <c r="G3976" s="92">
        <f t="array" ref="G3976">IF(B3976="insumo",_xlfn.XLOOKUP($D3976,Insumos!$B$1:$B$996,Insumos!$D$1:$D$996),"")</f>
        <v/>
      </c>
      <c r="H3976" s="92" t="n">
        <v>0.962304</v>
      </c>
      <c r="I3976" s="2162" t="n">
        <v>0</v>
      </c>
      <c r="J3976" s="2162" t="n">
        <v>0</v>
      </c>
      <c r="K3976" s="2162" t="n"/>
    </row>
    <row r="3977" outlineLevel="3" ht="15.75" customHeight="1">
      <c r="A3977" s="10" t="n">
        <v>25</v>
      </c>
      <c r="B3977" s="10" t="inlineStr">
        <is>
          <t>Insumo</t>
        </is>
      </c>
      <c r="C3977" s="10" t="inlineStr">
        <is>
          <t>Pintura Com Tinta Epoxi em Paredes Internas, Faixas Preto e Amarelo h=30cm</t>
        </is>
      </c>
      <c r="D3977" s="10" t="inlineStr">
        <is>
          <t>Fita Crepe Rolo De 25 Mm X 50 M</t>
        </is>
      </c>
      <c r="E3977" s="11">
        <f t="array" ref="E3977">_xlfn.XLOOKUP(D3977,Insumos!B:B,Insumos!C:$C)</f>
        <v/>
      </c>
      <c r="F3977" s="14">
        <f>0.01*0.3</f>
        <v/>
      </c>
      <c r="G3977" s="92">
        <f t="array" ref="G3977">IF(B3977="insumo",_xlfn.XLOOKUP($D3977,Insumos!$B$1:$B$996,Insumos!$D$1:$D$996),"")</f>
        <v/>
      </c>
      <c r="H3977" s="92" t="n">
        <v>0.03378</v>
      </c>
      <c r="I3977" s="2162" t="n">
        <v>0</v>
      </c>
      <c r="J3977" s="2162" t="n">
        <v>0</v>
      </c>
      <c r="K3977" s="2162" t="n"/>
    </row>
    <row r="3978" outlineLevel="3" ht="15.75" customHeight="1">
      <c r="A3978" s="10" t="n">
        <v>8</v>
      </c>
      <c r="B3978" s="10" t="inlineStr">
        <is>
          <t>Insumo</t>
        </is>
      </c>
      <c r="C3978" s="10" t="inlineStr">
        <is>
          <t>Pintura Com Tinta Epoxi em Paredes Internas, Faixas Preto e Amarelo h=30cm</t>
        </is>
      </c>
      <c r="D3978" s="10" t="inlineStr">
        <is>
          <t>Primer Epoxi / Epoxidico</t>
        </is>
      </c>
      <c r="E3978" s="11">
        <f t="array" ref="E3978">_xlfn.XLOOKUP(D3978,Insumos!B:B,Insumos!C:$C)</f>
        <v/>
      </c>
      <c r="F3978" s="14">
        <f>0.2016*0.3</f>
        <v/>
      </c>
      <c r="G3978" s="92">
        <f t="array" ref="G3978">IF(B3978="insumo",_xlfn.XLOOKUP($D3978,Insumos!$B$1:$B$996,Insumos!$D$1:$D$996),"")</f>
        <v/>
      </c>
      <c r="H3978" s="92" t="n">
        <v>8.3002752</v>
      </c>
      <c r="I3978" s="2162" t="n">
        <v>0</v>
      </c>
      <c r="J3978" s="2162" t="n">
        <v>0</v>
      </c>
      <c r="K3978" s="2162" t="n"/>
    </row>
    <row r="3979" outlineLevel="3" ht="15.75" customHeight="1">
      <c r="A3979" s="10" t="n">
        <v>9</v>
      </c>
      <c r="B3979" s="10" t="inlineStr">
        <is>
          <t>Insumo</t>
        </is>
      </c>
      <c r="C3979" s="10" t="inlineStr">
        <is>
          <t>Pintura Com Tinta Epoxi em Paredes Internas, Faixas Preto e Amarelo h=30cm</t>
        </is>
      </c>
      <c r="D3979" s="10" t="inlineStr">
        <is>
          <t>Tinta Epoxi Base Agua Premium</t>
        </is>
      </c>
      <c r="E3979" s="11">
        <f t="array" ref="E3979">_xlfn.XLOOKUP(D3979,Insumos!B:B,Insumos!C:$C)</f>
        <v/>
      </c>
      <c r="F3979" s="14">
        <f>0.483*0.3</f>
        <v/>
      </c>
      <c r="G3979" s="92">
        <f t="array" ref="G3979">IF(B3979="insumo",_xlfn.XLOOKUP($D3979,Insumos!$B$1:$B$996,Insumos!$D$1:$D$996),"")</f>
        <v/>
      </c>
      <c r="H3979" s="92" t="n">
        <v>11.87375</v>
      </c>
      <c r="I3979" s="2162" t="n">
        <v>0</v>
      </c>
      <c r="J3979" s="2162" t="n">
        <v>0</v>
      </c>
      <c r="K3979" s="2162" t="n"/>
    </row>
    <row r="3980" outlineLevel="2" ht="12.75" customHeight="1">
      <c r="A3980" s="1071" t="n">
        <v>1</v>
      </c>
      <c r="B3980" s="1071" t="inlineStr">
        <is>
          <t>Serviço</t>
        </is>
      </c>
      <c r="C3980" s="1071" t="inlineStr">
        <is>
          <t>Textura acrílica aplicação em paredes internas, 1 demão (sem selador)</t>
        </is>
      </c>
      <c r="D3980" s="1071" t="inlineStr">
        <is>
          <t>Textura acrílica aplicação em paredes internas, 1 demão (sem selador)</t>
        </is>
      </c>
      <c r="E3980" s="1072" t="inlineStr">
        <is>
          <t>M2</t>
        </is>
      </c>
      <c r="F3980" s="1071" t="n"/>
      <c r="G3980" s="1073">
        <f t="array" ref="G3980">IF(B3980="insumo",_xlfn.XLOOKUP($D3980,Insumos!$B$1:$B$996,Insumos!$D$1:$D$996),"")</f>
        <v/>
      </c>
      <c r="H3980" s="1073" t="n">
        <v>13.6363636363636</v>
      </c>
      <c r="I3980" s="2163" t="n">
        <v>0</v>
      </c>
      <c r="J3980" s="2163" t="n">
        <v>0</v>
      </c>
      <c r="K3980" s="2163" t="n"/>
    </row>
    <row r="3981" outlineLevel="3" ht="12.75" customHeight="1">
      <c r="A3981" s="82" t="n">
        <v>5</v>
      </c>
      <c r="B3981" s="82" t="inlineStr">
        <is>
          <t>Insumo</t>
        </is>
      </c>
      <c r="C3981" s="82" t="inlineStr">
        <is>
          <t>Textura acrílica aplicação em paredes internas, 1 demão (sem selador)</t>
        </is>
      </c>
      <c r="D3981" s="82" t="inlineStr">
        <is>
          <t>MASSA PREMIUM PARA TEXTURA LISA DE BASE ACRILICA</t>
        </is>
      </c>
      <c r="E3981" s="11">
        <f t="array" ref="E3981">_xlfn.XLOOKUP(D3981,Insumos!B:B,Insumos!C:$C)</f>
        <v/>
      </c>
      <c r="F3981" s="2164" t="n">
        <v>1.5</v>
      </c>
      <c r="G3981" s="92">
        <f t="array" ref="G3981">IF(B3981="insumo",_xlfn.XLOOKUP($D3981,Insumos!$B$1:$B$996,Insumos!$D$1:$D$996),"")</f>
        <v/>
      </c>
      <c r="H3981" s="92" t="n">
        <v>13.6363636363636</v>
      </c>
      <c r="I3981" s="2165" t="n">
        <v>0</v>
      </c>
      <c r="J3981" s="2165" t="n">
        <v>0</v>
      </c>
      <c r="K3981" s="2165" t="n"/>
    </row>
    <row r="3982" outlineLevel="2" ht="12.75" customHeight="1">
      <c r="A3982" s="1071" t="n">
        <v>1</v>
      </c>
      <c r="B3982" s="1071" t="inlineStr">
        <is>
          <t>Serviço</t>
        </is>
      </c>
      <c r="C3982" s="1071" t="inlineStr">
        <is>
          <t>Pintura em Látex Acrilica para faixa de garagem, em parede, 2 demão</t>
        </is>
      </c>
      <c r="D3982" s="1071" t="inlineStr">
        <is>
          <t>Pintura em Látex Acrilica para faixa de garagem, em parede, 2 demão</t>
        </is>
      </c>
      <c r="E3982" s="1072" t="inlineStr">
        <is>
          <t>M2</t>
        </is>
      </c>
      <c r="F3982" s="1071" t="n"/>
      <c r="G3982" s="1073">
        <f t="array" ref="G3982">IF(B3982="insumo",_xlfn.XLOOKUP($D3982,Insumos!$B$1:$B$996,Insumos!$D$1:$D$996),"")</f>
        <v/>
      </c>
      <c r="H3982" s="1073" t="n">
        <v>16.1866266666667</v>
      </c>
      <c r="I3982" s="2163" t="n">
        <v>0</v>
      </c>
      <c r="J3982" s="2163" t="n">
        <v>0</v>
      </c>
      <c r="K3982" s="2163" t="n"/>
    </row>
    <row r="3983" outlineLevel="3" ht="12.75" customHeight="1">
      <c r="A3983" s="82" t="n">
        <v>25</v>
      </c>
      <c r="B3983" s="82" t="inlineStr">
        <is>
          <t>Insumo</t>
        </is>
      </c>
      <c r="C3983" s="82" t="inlineStr">
        <is>
          <t>Pintura em Látex Acrilica para faixa de garagem, em parede, 2 demão</t>
        </is>
      </c>
      <c r="D3983" s="82" t="inlineStr">
        <is>
          <t>Fita Crepe Rolo De 25 Mm X 50 M</t>
        </is>
      </c>
      <c r="E3983" s="11">
        <f t="array" ref="E3983">_xlfn.XLOOKUP(D3983,Insumos!B:B,Insumos!C:$C)</f>
        <v/>
      </c>
      <c r="F3983" s="2164" t="n">
        <v>0.01</v>
      </c>
      <c r="G3983" s="92">
        <f t="array" ref="G3983">IF(B3983="insumo",_xlfn.XLOOKUP($D3983,Insumos!$B$1:$B$996,Insumos!$D$1:$D$996),"")</f>
        <v/>
      </c>
      <c r="H3983" s="92" t="n">
        <v>0.1126</v>
      </c>
      <c r="I3983" s="2165" t="n">
        <v>0</v>
      </c>
      <c r="J3983" s="2165" t="n">
        <v>0</v>
      </c>
      <c r="K3983" s="2165" t="n"/>
    </row>
    <row r="3984" outlineLevel="3" ht="12.75" customHeight="1">
      <c r="A3984" s="82" t="n">
        <v>6</v>
      </c>
      <c r="B3984" s="82" t="inlineStr">
        <is>
          <t>Insumo</t>
        </is>
      </c>
      <c r="C3984" s="82" t="inlineStr">
        <is>
          <t>Pintura em Látex Acrilica para faixa de garagem, em parede, 2 demão</t>
        </is>
      </c>
      <c r="D3984" s="82" t="inlineStr">
        <is>
          <t>DILUENTE AGUARRAS</t>
        </is>
      </c>
      <c r="E3984" s="11">
        <f t="array" ref="E3984">_xlfn.XLOOKUP(D3984,Insumos!B:B,Insumos!C:$C)</f>
        <v/>
      </c>
      <c r="F3984" s="2164" t="n">
        <v>0.064</v>
      </c>
      <c r="G3984" s="92">
        <f t="array" ref="G3984">IF(B3984="insumo",_xlfn.XLOOKUP($D3984,Insumos!$B$1:$B$996,Insumos!$D$1:$D$996),"")</f>
        <v/>
      </c>
      <c r="H3984" s="92" t="n">
        <v>1.40736</v>
      </c>
      <c r="I3984" s="2165" t="n">
        <v>0</v>
      </c>
      <c r="J3984" s="2165" t="n">
        <v>0</v>
      </c>
      <c r="K3984" s="2165" t="n"/>
    </row>
    <row r="3985" outlineLevel="3" ht="12.75" customHeight="1">
      <c r="A3985" s="82" t="n">
        <v>4</v>
      </c>
      <c r="B3985" s="82" t="inlineStr">
        <is>
          <t>Insumo</t>
        </is>
      </c>
      <c r="C3985" s="82" t="inlineStr">
        <is>
          <t>Pintura em Látex Acrilica para faixa de garagem, em parede, 2 demão</t>
        </is>
      </c>
      <c r="D3985" s="82" t="inlineStr">
        <is>
          <t>TINTA ACRILICA PREMIUM COR PRETA</t>
        </is>
      </c>
      <c r="E3985" s="11">
        <f t="array" ref="E3985">_xlfn.XLOOKUP(D3985,Insumos!B:B,Insumos!C:$C)</f>
        <v/>
      </c>
      <c r="F3985" s="2164">
        <f>0.33/2</f>
        <v/>
      </c>
      <c r="G3985" s="92">
        <f t="array" ref="G3985">IF(B3985="insumo",_xlfn.XLOOKUP($D3985,Insumos!$B$1:$B$996,Insumos!$D$1:$D$996),"")</f>
        <v/>
      </c>
      <c r="H3985" s="92" t="n">
        <v>11.4583333333333</v>
      </c>
      <c r="I3985" s="2165" t="n">
        <v>0</v>
      </c>
      <c r="J3985" s="2165" t="n">
        <v>0</v>
      </c>
      <c r="K3985" s="2165" t="n"/>
    </row>
    <row r="3986" outlineLevel="3" ht="12.75" customHeight="1">
      <c r="A3986" s="82" t="n">
        <v>1</v>
      </c>
      <c r="B3986" s="82" t="inlineStr">
        <is>
          <t>Insumo</t>
        </is>
      </c>
      <c r="C3986" s="82" t="inlineStr">
        <is>
          <t>Pintura em Látex Acrilica para faixa de garagem, em parede, 2 demão</t>
        </is>
      </c>
      <c r="D3986" s="82" t="inlineStr">
        <is>
          <t>TINTA ACRILICA PREMIUM COR AMARELA</t>
        </is>
      </c>
      <c r="E3986" s="11">
        <f t="array" ref="E3986">_xlfn.XLOOKUP(D3986,Insumos!B:B,Insumos!C:$C)</f>
        <v/>
      </c>
      <c r="F3986" s="2164">
        <f>0.33/2</f>
        <v/>
      </c>
      <c r="G3986" s="92">
        <f t="array" ref="G3986">IF(B3986="insumo",_xlfn.XLOOKUP($D3986,Insumos!$B$1:$B$996,Insumos!$D$1:$D$996),"")</f>
        <v/>
      </c>
      <c r="H3986" s="92" t="n">
        <v>3.20833333333333</v>
      </c>
      <c r="I3986" s="2165" t="n">
        <v>0</v>
      </c>
      <c r="J3986" s="2165" t="n">
        <v>0</v>
      </c>
      <c r="K3986" s="2165" t="n"/>
    </row>
    <row r="3987" outlineLevel="2" ht="12.75" customHeight="1">
      <c r="A3987" s="1071" t="n">
        <v>1</v>
      </c>
      <c r="B3987" s="1071" t="inlineStr">
        <is>
          <t>Serviço</t>
        </is>
      </c>
      <c r="C3987" s="1071" t="inlineStr">
        <is>
          <t>Pintura em caiação, em parede, 1 demão</t>
        </is>
      </c>
      <c r="D3987" s="1071" t="inlineStr">
        <is>
          <t>Pintura em caiação, em parede, 1 demão</t>
        </is>
      </c>
      <c r="E3987" s="1072" t="inlineStr">
        <is>
          <t>M2</t>
        </is>
      </c>
      <c r="F3987" s="1071" t="n"/>
      <c r="G3987" s="1073">
        <f t="array" ref="G3987">IF(B3987="insumo",_xlfn.XLOOKUP($D3987,Insumos!$B$1:$B$996,Insumos!$D$1:$D$996),"")</f>
        <v/>
      </c>
      <c r="H3987" s="1073" t="n">
        <v>0.915</v>
      </c>
      <c r="I3987" s="2163" t="n">
        <v>0</v>
      </c>
      <c r="J3987" s="2163" t="n">
        <v>0</v>
      </c>
      <c r="K3987" s="2163" t="n"/>
    </row>
    <row r="3988" outlineLevel="3" ht="12.75" customHeight="1">
      <c r="A3988" s="82" t="n">
        <v>1</v>
      </c>
      <c r="B3988" s="82" t="inlineStr">
        <is>
          <t>Insumo</t>
        </is>
      </c>
      <c r="C3988" s="82" t="inlineStr">
        <is>
          <t>Pintura em caiação, em parede, 1 demão</t>
        </is>
      </c>
      <c r="D3988" s="82" t="inlineStr">
        <is>
          <t>Cal hidratada CH-III (saco 20 kg)</t>
        </is>
      </c>
      <c r="E3988" s="11">
        <f t="array" ref="E3988">_xlfn.XLOOKUP(D3988,Insumos!B:B,Insumos!C:$C)</f>
        <v/>
      </c>
      <c r="F3988" s="2164" t="n">
        <v>0.3</v>
      </c>
      <c r="G3988" s="92">
        <f t="array" ref="G3988">IF(B3988="insumo",_xlfn.XLOOKUP($D3988,Insumos!$B$1:$B$996,Insumos!$D$1:$D$996),"")</f>
        <v/>
      </c>
      <c r="H3988" s="92" t="n">
        <v>0.135</v>
      </c>
      <c r="I3988" s="2165" t="n">
        <v>0</v>
      </c>
      <c r="J3988" s="2165" t="n">
        <v>0</v>
      </c>
      <c r="K3988" s="2165" t="n"/>
    </row>
    <row r="3989" outlineLevel="3" ht="12.75" customHeight="1">
      <c r="A3989" s="82" t="n">
        <v>1</v>
      </c>
      <c r="B3989" s="82" t="inlineStr">
        <is>
          <t>Insumo</t>
        </is>
      </c>
      <c r="C3989" s="82" t="inlineStr">
        <is>
          <t>Pintura em caiação, em parede, 1 demão</t>
        </is>
      </c>
      <c r="D3989" s="82" t="inlineStr">
        <is>
          <t>Pigmento mineral (óxido de ferro / pó xadrez)</t>
        </is>
      </c>
      <c r="E3989" s="11">
        <f t="array" ref="E3989">_xlfn.XLOOKUP(D3989,Insumos!B:B,Insumos!C:$C)</f>
        <v/>
      </c>
      <c r="F3989" s="2164" t="n">
        <v>0.01</v>
      </c>
      <c r="G3989" s="92">
        <f t="array" ref="G3989">IF(B3989="insumo",_xlfn.XLOOKUP($D3989,Insumos!$B$1:$B$996,Insumos!$D$1:$D$996),"")</f>
        <v/>
      </c>
      <c r="H3989" s="92" t="n">
        <v>0.18</v>
      </c>
      <c r="I3989" s="2165" t="n">
        <v>0</v>
      </c>
      <c r="J3989" s="2165" t="n">
        <v>0</v>
      </c>
      <c r="K3989" s="2165" t="n"/>
    </row>
    <row r="3990" outlineLevel="3" ht="12.75" customHeight="1">
      <c r="A3990" s="82" t="n">
        <v>1</v>
      </c>
      <c r="B3990" s="82" t="inlineStr">
        <is>
          <t>Insumo</t>
        </is>
      </c>
      <c r="C3990" s="82" t="inlineStr">
        <is>
          <t>Pintura em caiação, em parede, 1 demão</t>
        </is>
      </c>
      <c r="D3990" s="82" t="inlineStr">
        <is>
          <t>Cola PVA (adesivo)</t>
        </is>
      </c>
      <c r="E3990" s="11">
        <f t="array" ref="E3990">_xlfn.XLOOKUP(D3990,Insumos!B:B,Insumos!C:$C)</f>
        <v/>
      </c>
      <c r="F3990" s="2164" t="n">
        <v>0.05</v>
      </c>
      <c r="G3990" s="92">
        <f t="array" ref="G3990">IF(B3990="insumo",_xlfn.XLOOKUP($D3990,Insumos!$B$1:$B$996,Insumos!$D$1:$D$996),"")</f>
        <v/>
      </c>
      <c r="H3990" s="92" t="n">
        <v>0.6</v>
      </c>
      <c r="I3990" s="2165" t="n">
        <v>0</v>
      </c>
      <c r="J3990" s="2165" t="n">
        <v>0</v>
      </c>
      <c r="K3990" s="2165" t="n"/>
    </row>
    <row r="3991" outlineLevel="2" ht="26.25" customHeight="1">
      <c r="A3991" s="1071" t="n">
        <v>1</v>
      </c>
      <c r="B3991" s="1071" t="inlineStr">
        <is>
          <t>Serviço</t>
        </is>
      </c>
      <c r="C3991" s="1071" t="inlineStr">
        <is>
          <t xml:space="preserve">Pintura com tinta látex acrílica com selador e massa em tetos, 3 demãos </t>
        </is>
      </c>
      <c r="D3991" s="1071" t="inlineStr">
        <is>
          <t xml:space="preserve">Pintura com tinta látex acrílica com selador e massa em tetos, 3 demãos </t>
        </is>
      </c>
      <c r="E3991" s="1072" t="inlineStr">
        <is>
          <t>M2</t>
        </is>
      </c>
      <c r="F3991" s="1071" t="n"/>
      <c r="G3991" s="1073">
        <f t="array" ref="G3991">IF(B3991="insumo",_xlfn.XLOOKUP($D3991,Insumos!$B$1:$B$996,Insumos!$D$1:$D$996),"")</f>
        <v/>
      </c>
      <c r="H3991" s="1073" t="n">
        <v>18.2352155555556</v>
      </c>
      <c r="I3991" s="2163" t="n">
        <v>0</v>
      </c>
      <c r="J3991" s="2163" t="n">
        <v>0</v>
      </c>
      <c r="K3991" s="2163" t="n"/>
    </row>
    <row r="3992" outlineLevel="3" ht="12.75" customHeight="1">
      <c r="A3992" s="82" t="n">
        <v>36</v>
      </c>
      <c r="B3992" s="82" t="inlineStr">
        <is>
          <t>Insumo</t>
        </is>
      </c>
      <c r="C3992" s="82" t="inlineStr">
        <is>
          <t xml:space="preserve">Pintura com tinta látex acrílica com selador e massa em tetos, 3 demãos </t>
        </is>
      </c>
      <c r="D3992" s="82" t="inlineStr">
        <is>
          <t>LIXA DAGUA 225X275MM GR100</t>
        </is>
      </c>
      <c r="E3992" s="11">
        <f t="array" ref="E3992">_xlfn.XLOOKUP(D3992,Insumos!B:B,Insumos!C:$C)</f>
        <v/>
      </c>
      <c r="F3992" s="2164" t="n">
        <v>0.1</v>
      </c>
      <c r="G3992" s="92">
        <f t="array" ref="G3992">IF(B3992="insumo",_xlfn.XLOOKUP($D3992,Insumos!$B$1:$B$996,Insumos!$D$1:$D$996),"")</f>
        <v/>
      </c>
      <c r="H3992" s="92" t="n">
        <v>0.189</v>
      </c>
      <c r="I3992" s="2165" t="n">
        <v>0</v>
      </c>
      <c r="J3992" s="2165" t="n">
        <v>0</v>
      </c>
      <c r="K3992" s="2165" t="n"/>
    </row>
    <row r="3993" outlineLevel="3" ht="12.75" customHeight="1">
      <c r="A3993" s="82" t="n">
        <v>21</v>
      </c>
      <c r="B3993" s="82" t="inlineStr">
        <is>
          <t>Insumo</t>
        </is>
      </c>
      <c r="C3993" s="82" t="inlineStr">
        <is>
          <t xml:space="preserve">Pintura com tinta látex acrílica com selador e massa em tetos, 3 demãos </t>
        </is>
      </c>
      <c r="D3993" s="82" t="inlineStr">
        <is>
          <t>Massa corrida para superfícies de ambientes internos</t>
        </is>
      </c>
      <c r="E3993" s="11">
        <f t="array" ref="E3993">_xlfn.XLOOKUP(D3993,Insumos!B:B,Insumos!C:$C)</f>
        <v/>
      </c>
      <c r="F3993" s="2164" t="n">
        <v>0.8667</v>
      </c>
      <c r="G3993" s="92">
        <f t="array" ref="G3993">IF(B3993="insumo",_xlfn.XLOOKUP($D3993,Insumos!$B$1:$B$996,Insumos!$D$1:$D$996),"")</f>
        <v/>
      </c>
      <c r="H3993" s="92" t="n">
        <v>4.16016</v>
      </c>
      <c r="I3993" s="2165" t="n">
        <v>0</v>
      </c>
      <c r="J3993" s="2165" t="n">
        <v>0</v>
      </c>
      <c r="K3993" s="2165" t="n"/>
    </row>
    <row r="3994" outlineLevel="3" ht="12.75" customHeight="1">
      <c r="A3994" s="82" t="n">
        <v>19</v>
      </c>
      <c r="B3994" s="82" t="inlineStr">
        <is>
          <t>Insumo</t>
        </is>
      </c>
      <c r="C3994" s="82" t="inlineStr">
        <is>
          <t xml:space="preserve">Pintura com tinta látex acrílica com selador e massa em tetos, 3 demãos </t>
        </is>
      </c>
      <c r="D3994" s="82" t="inlineStr">
        <is>
          <t>Selador Primer Ibratin - 4,2kg - 3,6L</t>
        </is>
      </c>
      <c r="E3994" s="11">
        <f t="array" ref="E3994">_xlfn.XLOOKUP(D3994,Insumos!B:B,Insumos!C:$C)</f>
        <v/>
      </c>
      <c r="F3994" s="2164" t="n">
        <v>0.1666</v>
      </c>
      <c r="G3994" s="92">
        <f t="array" ref="G3994">IF(B3994="insumo",_xlfn.XLOOKUP($D3994,Insumos!$B$1:$B$996,Insumos!$D$1:$D$996),"")</f>
        <v/>
      </c>
      <c r="H3994" s="92" t="n">
        <v>1.75855555555556</v>
      </c>
      <c r="I3994" s="2165" t="n">
        <v>0</v>
      </c>
      <c r="J3994" s="2165" t="n">
        <v>0</v>
      </c>
      <c r="K3994" s="2165" t="n"/>
    </row>
    <row r="3995" outlineLevel="3" ht="12.75" customHeight="1">
      <c r="A3995" s="82" t="n">
        <v>16</v>
      </c>
      <c r="B3995" s="82" t="inlineStr">
        <is>
          <t>Insumo</t>
        </is>
      </c>
      <c r="C3995" s="82" t="inlineStr">
        <is>
          <t xml:space="preserve">Pintura com tinta látex acrílica com selador e massa em tetos, 3 demãos </t>
        </is>
      </c>
      <c r="D3995" s="82" t="inlineStr">
        <is>
          <t xml:space="preserve">TINTA ACRILICA PREMIUM </t>
        </is>
      </c>
      <c r="E3995" s="11">
        <f t="array" ref="E3995">_xlfn.XLOOKUP(D3995,Insumos!B:B,Insumos!C:$C)</f>
        <v/>
      </c>
      <c r="F3995" s="2164" t="n">
        <v>0.495</v>
      </c>
      <c r="G3995" s="92">
        <f t="array" ref="G3995">IF(B3995="insumo",_xlfn.XLOOKUP($D3995,Insumos!$B$1:$B$996,Insumos!$D$1:$D$996),"")</f>
        <v/>
      </c>
      <c r="H3995" s="92" t="n">
        <v>12.1275</v>
      </c>
      <c r="I3995" s="2165" t="n">
        <v>0</v>
      </c>
      <c r="J3995" s="2165" t="n">
        <v>0</v>
      </c>
      <c r="K3995" s="2165" t="n"/>
    </row>
    <row r="3996" outlineLevel="2" ht="12.75" customHeight="1">
      <c r="A3996" s="1071" t="n">
        <v>1</v>
      </c>
      <c r="B3996" s="1071" t="inlineStr">
        <is>
          <t>Serviço</t>
        </is>
      </c>
      <c r="C3996" s="1071" t="inlineStr">
        <is>
          <t>Textura acrílica aplicação rolada em paredes internas, 1 demão</t>
        </is>
      </c>
      <c r="D3996" s="1071" t="inlineStr">
        <is>
          <t>Textura acrílica aplicação rolada em paredes internas, 1 demão</t>
        </is>
      </c>
      <c r="E3996" s="1072" t="inlineStr">
        <is>
          <t>M2</t>
        </is>
      </c>
      <c r="F3996" s="1071" t="n"/>
      <c r="G3996" s="1073">
        <f t="array" ref="G3996">IF(B3996="insumo",_xlfn.XLOOKUP($D3996,Insumos!$B$1:$B$996,Insumos!$D$1:$D$996),"")</f>
        <v/>
      </c>
      <c r="H3996" s="1073" t="n">
        <v>13.671902</v>
      </c>
      <c r="I3996" s="2163" t="n">
        <v>0</v>
      </c>
      <c r="J3996" s="2163" t="n">
        <v>0</v>
      </c>
      <c r="K3996" s="2163" t="n"/>
    </row>
    <row r="3997" outlineLevel="3" ht="12.75" customHeight="1">
      <c r="A3997" s="82" t="n">
        <v>31</v>
      </c>
      <c r="B3997" s="82" t="inlineStr">
        <is>
          <t>Insumo</t>
        </is>
      </c>
      <c r="C3997" s="82" t="inlineStr">
        <is>
          <t>Textura acrílica aplicação rolada em paredes internas, 1 demão</t>
        </is>
      </c>
      <c r="D3997" s="82" t="inlineStr">
        <is>
          <t>Selador acrilico opaco premium interno/externo</t>
        </is>
      </c>
      <c r="E3997" s="11">
        <f t="array" ref="E3997">_xlfn.XLOOKUP(D3997,Insumos!B:B,Insumos!C:$C)</f>
        <v/>
      </c>
      <c r="F3997" s="2171" t="n">
        <v>0.1666</v>
      </c>
      <c r="G3997" s="92">
        <f t="array" ref="G3997">IF(B3997="insumo",_xlfn.XLOOKUP($D3997,Insumos!$B$1:$B$996,Insumos!$D$1:$D$996),"")</f>
        <v/>
      </c>
      <c r="H3997" s="92" t="n">
        <v>1.077902</v>
      </c>
      <c r="I3997" s="2165" t="n">
        <v>0</v>
      </c>
      <c r="J3997" s="2165" t="n">
        <v>0</v>
      </c>
      <c r="K3997" s="2165" t="n"/>
    </row>
    <row r="3998" outlineLevel="3" ht="12.75" customHeight="1">
      <c r="A3998" s="82" t="n">
        <v>5</v>
      </c>
      <c r="B3998" s="82" t="inlineStr">
        <is>
          <t>Insumo</t>
        </is>
      </c>
      <c r="C3998" s="82" t="inlineStr">
        <is>
          <t>Textura acrílica aplicação rolada em paredes internas, 1 demão</t>
        </is>
      </c>
      <c r="D3998" s="82" t="inlineStr">
        <is>
          <t>Textura acrilica branca - Coral</t>
        </is>
      </c>
      <c r="E3998" s="11">
        <f t="array" ref="E3998">_xlfn.XLOOKUP(D3998,Insumos!B:B,Insumos!C:$C)</f>
        <v/>
      </c>
      <c r="F3998" s="2171" t="n">
        <v>1.5</v>
      </c>
      <c r="G3998" s="92">
        <f t="array" ref="G3998">IF(B3998="insumo",_xlfn.XLOOKUP($D3998,Insumos!$B$1:$B$996,Insumos!$D$1:$D$996),"")</f>
        <v/>
      </c>
      <c r="H3998" s="92" t="n">
        <v>12.594</v>
      </c>
      <c r="I3998" s="2165" t="n">
        <v>0</v>
      </c>
      <c r="J3998" s="2165" t="n">
        <v>0</v>
      </c>
      <c r="K3998" s="2165" t="n"/>
    </row>
    <row r="3999" outlineLevel="2" ht="12.75" customHeight="1">
      <c r="A3999" s="1071" t="n">
        <v>1</v>
      </c>
      <c r="B3999" s="1071" t="inlineStr">
        <is>
          <t>Serviço</t>
        </is>
      </c>
      <c r="C3999" s="1071" t="inlineStr">
        <is>
          <t>Textura acrílica pigmentada aplicação em paredes internas, 1 demão</t>
        </is>
      </c>
      <c r="D3999" s="1071" t="inlineStr">
        <is>
          <t>Textura acrílica pigmentada aplicação em paredes internas, 1 demão</t>
        </is>
      </c>
      <c r="E3999" s="1072" t="inlineStr">
        <is>
          <t>M2</t>
        </is>
      </c>
      <c r="F3999" s="1071" t="n"/>
      <c r="G3999" s="1073">
        <f t="array" ref="G3999">IF(B3999="insumo",_xlfn.XLOOKUP($D3999,Insumos!$B$1:$B$996,Insumos!$D$1:$D$996),"")</f>
        <v/>
      </c>
      <c r="H3999" s="1073" t="n">
        <v>24.477902</v>
      </c>
      <c r="I3999" s="2163" t="n">
        <v>0</v>
      </c>
      <c r="J3999" s="2163" t="n">
        <v>0</v>
      </c>
      <c r="K3999" s="2163" t="n"/>
    </row>
    <row r="4000" outlineLevel="3" ht="12.75" customHeight="1">
      <c r="A4000" s="82" t="n">
        <v>31</v>
      </c>
      <c r="B4000" s="82" t="inlineStr">
        <is>
          <t>Insumo</t>
        </is>
      </c>
      <c r="C4000" s="82" t="inlineStr">
        <is>
          <t>Textura acrílica pigmentada aplicação em paredes internas, 1 demão</t>
        </is>
      </c>
      <c r="D4000" s="82" t="inlineStr">
        <is>
          <t>Selador acrilico opaco premium interno/externo</t>
        </is>
      </c>
      <c r="E4000" s="11">
        <f t="array" ref="E4000">_xlfn.XLOOKUP(D4000,Insumos!B:B,Insumos!C:$C)</f>
        <v/>
      </c>
      <c r="F4000" s="2171" t="n">
        <v>0.1666</v>
      </c>
      <c r="G4000" s="92">
        <f t="array" ref="G4000">IF(B4000="insumo",_xlfn.XLOOKUP($D4000,Insumos!$B$1:$B$996,Insumos!$D$1:$D$996),"")</f>
        <v/>
      </c>
      <c r="H4000" s="92" t="n">
        <v>1.077902</v>
      </c>
      <c r="I4000" s="2165" t="n">
        <v>0</v>
      </c>
      <c r="J4000" s="2165" t="n">
        <v>0</v>
      </c>
      <c r="K4000" s="2165" t="n"/>
    </row>
    <row r="4001" outlineLevel="3" ht="12.75" customHeight="1">
      <c r="A4001" s="82" t="n">
        <v>1</v>
      </c>
      <c r="B4001" s="82" t="inlineStr">
        <is>
          <t>Insumo</t>
        </is>
      </c>
      <c r="C4001" s="82" t="inlineStr">
        <is>
          <t>Textura acrílica pigmentada aplicação em paredes internas, 1 demão</t>
        </is>
      </c>
      <c r="D4001" s="82" t="inlineStr">
        <is>
          <t>Textura acrílica pigmentada pronta</t>
        </is>
      </c>
      <c r="E4001" s="11">
        <f t="array" ref="E4001">_xlfn.XLOOKUP(D4001,Insumos!B:B,Insumos!C:$C)</f>
        <v/>
      </c>
      <c r="F4001" s="2171" t="n">
        <v>1.8</v>
      </c>
      <c r="G4001" s="92">
        <f t="array" ref="G4001">IF(B4001="insumo",_xlfn.XLOOKUP($D4001,Insumos!$B$1:$B$996,Insumos!$D$1:$D$996),"")</f>
        <v/>
      </c>
      <c r="H4001" s="92" t="n">
        <v>23.4</v>
      </c>
      <c r="I4001" s="2165" t="n">
        <v>0</v>
      </c>
      <c r="J4001" s="2165" t="n">
        <v>0</v>
      </c>
      <c r="K4001" s="2165" t="n"/>
    </row>
    <row r="4002" outlineLevel="2" ht="12.75" customHeight="1">
      <c r="A4002" s="1071" t="n">
        <v>1</v>
      </c>
      <c r="B4002" s="1071" t="inlineStr">
        <is>
          <t>Serviço</t>
        </is>
      </c>
      <c r="C4002" s="1071" t="inlineStr">
        <is>
          <t>Selador acrilico em Paredes Internas</t>
        </is>
      </c>
      <c r="D4002" s="1071" t="inlineStr">
        <is>
          <t>Selador acrilico em Paredes Internas</t>
        </is>
      </c>
      <c r="E4002" s="1072" t="inlineStr">
        <is>
          <t>M2</t>
        </is>
      </c>
      <c r="F4002" s="1071" t="n"/>
      <c r="G4002" s="1073">
        <f t="array" ref="G4002">IF(B4002="insumo",_xlfn.XLOOKUP($D4002,Insumos!$B$1:$B$996,Insumos!$D$1:$D$996),"")</f>
        <v/>
      </c>
      <c r="H4002" s="1073" t="n">
        <v>1.077902</v>
      </c>
      <c r="I4002" s="2163" t="n">
        <v>0</v>
      </c>
      <c r="J4002" s="2163" t="n">
        <v>0</v>
      </c>
      <c r="K4002" s="2163" t="n"/>
    </row>
    <row r="4003" outlineLevel="3" ht="12.75" customHeight="1">
      <c r="A4003" s="82" t="n">
        <v>31</v>
      </c>
      <c r="B4003" s="82" t="inlineStr">
        <is>
          <t>Insumo</t>
        </is>
      </c>
      <c r="C4003" s="82" t="inlineStr">
        <is>
          <t>Selador acrilico em Paredes Internas</t>
        </is>
      </c>
      <c r="D4003" s="82" t="inlineStr">
        <is>
          <t>Selador acrilico opaco premium interno/externo</t>
        </is>
      </c>
      <c r="E4003" s="11">
        <f t="array" ref="E4003">_xlfn.XLOOKUP(D4003,Insumos!B:B,Insumos!C:$C)</f>
        <v/>
      </c>
      <c r="F4003" s="2171" t="n">
        <v>0.1666</v>
      </c>
      <c r="G4003" s="92">
        <f t="array" ref="G4003">IF(B4003="insumo",_xlfn.XLOOKUP($D4003,Insumos!$B$1:$B$996,Insumos!$D$1:$D$996),"")</f>
        <v/>
      </c>
      <c r="H4003" s="92" t="n">
        <v>1.077902</v>
      </c>
      <c r="I4003" s="2165" t="n">
        <v>0</v>
      </c>
      <c r="J4003" s="2165" t="n">
        <v>0</v>
      </c>
      <c r="K4003" s="2165" t="n"/>
    </row>
    <row r="4004" outlineLevel="2" ht="12.75" customHeight="1">
      <c r="A4004" s="1071" t="n">
        <v>1</v>
      </c>
      <c r="B4004" s="1071" t="inlineStr">
        <is>
          <t>Serviço</t>
        </is>
      </c>
      <c r="C4004" s="1071" t="inlineStr">
        <is>
          <t>Pintura Com Tinta Latex Acrilica em Paredes Internas, 3 Demaos (Somente tinta e fundo) - verde claro</t>
        </is>
      </c>
      <c r="D4004" s="1071" t="inlineStr">
        <is>
          <t>Pintura Com Tinta Latex Acrilica em Paredes Internas, 3 Demaos (Somente tinta e fundo) - verde claro</t>
        </is>
      </c>
      <c r="E4004" s="1072" t="inlineStr">
        <is>
          <t>M2</t>
        </is>
      </c>
      <c r="F4004" s="1071" t="n"/>
      <c r="G4004" s="1073">
        <f t="array" ref="G4004">IF(B4004="insumo",_xlfn.XLOOKUP($D4004,Insumos!$B$1:$B$996,Insumos!$D$1:$D$996),"")</f>
        <v/>
      </c>
      <c r="H4004" s="1073" t="n">
        <v>36.759667625</v>
      </c>
      <c r="I4004" s="2163" t="n">
        <v>0</v>
      </c>
      <c r="J4004" s="2163" t="n">
        <v>0</v>
      </c>
      <c r="K4004" s="2163" t="n"/>
    </row>
    <row r="4005" outlineLevel="3" ht="12.75" customHeight="1">
      <c r="A4005" s="82" t="n">
        <v>1</v>
      </c>
      <c r="B4005" s="82" t="inlineStr">
        <is>
          <t>Insumo</t>
        </is>
      </c>
      <c r="C4005" s="82" t="inlineStr">
        <is>
          <t>Pintura Com Tinta Latex Acrilica em Paredes Internas, 3 Demaos (Somente tinta e fundo) - verde claro</t>
        </is>
      </c>
      <c r="D4005" s="82" t="inlineStr">
        <is>
          <t>TINTA ACRILICA PREMIUM COR BABOSA</t>
        </is>
      </c>
      <c r="E4005" s="11">
        <f t="array" ref="E4005">_xlfn.XLOOKUP(D4005,Insumos!B:B,Insumos!C:$C)</f>
        <v/>
      </c>
      <c r="F4005" s="2171" t="n">
        <v>0.495</v>
      </c>
      <c r="G4005" s="92">
        <f t="array" ref="G4005">IF(B4005="insumo",_xlfn.XLOOKUP($D4005,Insumos!$B$1:$B$996,Insumos!$D$1:$D$996),"")</f>
        <v/>
      </c>
      <c r="H4005" s="92" t="n">
        <v>35.681765625</v>
      </c>
      <c r="I4005" s="2165" t="n">
        <v>0</v>
      </c>
      <c r="J4005" s="2165" t="n">
        <v>0</v>
      </c>
      <c r="K4005" s="2165" t="n"/>
    </row>
    <row r="4006" outlineLevel="3" ht="12.75" customHeight="1">
      <c r="A4006" s="82" t="n">
        <v>31</v>
      </c>
      <c r="B4006" s="82" t="inlineStr">
        <is>
          <t>Insumo</t>
        </is>
      </c>
      <c r="C4006" s="82" t="inlineStr">
        <is>
          <t>Pintura Com Tinta Latex Acrilica em Paredes Internas, 3 Demaos (Somente tinta e fundo) - verde claro</t>
        </is>
      </c>
      <c r="D4006" s="82" t="inlineStr">
        <is>
          <t>Selador acrilico opaco premium interno/externo</t>
        </is>
      </c>
      <c r="E4006" s="11">
        <f t="array" ref="E4006">_xlfn.XLOOKUP(D4006,Insumos!B:B,Insumos!C:$C)</f>
        <v/>
      </c>
      <c r="F4006" s="2171" t="n">
        <v>0.1666</v>
      </c>
      <c r="G4006" s="92">
        <f t="array" ref="G4006">IF(B4006="insumo",_xlfn.XLOOKUP($D4006,Insumos!$B$1:$B$996,Insumos!$D$1:$D$996),"")</f>
        <v/>
      </c>
      <c r="H4006" s="92" t="n">
        <v>1.077902</v>
      </c>
      <c r="I4006" s="2165" t="n">
        <v>0</v>
      </c>
      <c r="J4006" s="2165" t="n">
        <v>0</v>
      </c>
      <c r="K4006" s="2165" t="n"/>
    </row>
    <row r="4007" outlineLevel="2" ht="12.75" customHeight="1">
      <c r="A4007" s="1071" t="n">
        <v>1</v>
      </c>
      <c r="B4007" s="1071" t="inlineStr">
        <is>
          <t>Serviço</t>
        </is>
      </c>
      <c r="C4007" s="1071" t="inlineStr">
        <is>
          <t>Pintura Com Tinta Latex Acrilica em Paredes Internas, 3 Demaos (Somente tinta e fundo) - areia</t>
        </is>
      </c>
      <c r="D4007" s="1071" t="inlineStr">
        <is>
          <t>Pintura Com Tinta Latex Acrilica em Paredes Internas, 3 Demaos (Somente tinta e fundo) - areia</t>
        </is>
      </c>
      <c r="E4007" s="1072" t="inlineStr">
        <is>
          <t>M2</t>
        </is>
      </c>
      <c r="F4007" s="1071" t="n"/>
      <c r="G4007" s="1073">
        <f t="array" ref="G4007">IF(B4007="insumo",_xlfn.XLOOKUP($D4007,Insumos!$B$1:$B$996,Insumos!$D$1:$D$996),"")</f>
        <v/>
      </c>
      <c r="H4007" s="1073" t="n">
        <v>13.865402</v>
      </c>
      <c r="I4007" s="2163" t="n">
        <v>0</v>
      </c>
      <c r="J4007" s="2163" t="n">
        <v>0</v>
      </c>
      <c r="K4007" s="2163" t="n"/>
    </row>
    <row r="4008" outlineLevel="3" ht="12.75" customHeight="1">
      <c r="A4008" s="82" t="n">
        <v>1</v>
      </c>
      <c r="B4008" s="82" t="inlineStr">
        <is>
          <t>Insumo</t>
        </is>
      </c>
      <c r="C4008" s="82" t="inlineStr">
        <is>
          <t>Pintura Com Tinta Latex Acrilica em Paredes Internas, 3 Demaos (Somente tinta e fundo) - areia</t>
        </is>
      </c>
      <c r="D4008" s="82" t="inlineStr">
        <is>
          <t>TINTA ACRILICA PREMIUM COR AREIA</t>
        </is>
      </c>
      <c r="E4008" s="11">
        <f t="array" ref="E4008">_xlfn.XLOOKUP(D4008,Insumos!B:B,Insumos!C:$C)</f>
        <v/>
      </c>
      <c r="F4008" s="2171" t="n">
        <v>0.495</v>
      </c>
      <c r="G4008" s="92">
        <f t="array" ref="G4008">IF(B4008="insumo",_xlfn.XLOOKUP($D4008,Insumos!$B$1:$B$996,Insumos!$D$1:$D$996),"")</f>
        <v/>
      </c>
      <c r="H4008" s="92" t="n">
        <v>12.7875</v>
      </c>
      <c r="I4008" s="2165" t="n">
        <v>0</v>
      </c>
      <c r="J4008" s="2165" t="n">
        <v>0</v>
      </c>
      <c r="K4008" s="2165" t="n"/>
    </row>
    <row r="4009" outlineLevel="3" ht="12.75" customHeight="1">
      <c r="A4009" s="82" t="n">
        <v>31</v>
      </c>
      <c r="B4009" s="82" t="inlineStr">
        <is>
          <t>Insumo</t>
        </is>
      </c>
      <c r="C4009" s="82" t="inlineStr">
        <is>
          <t>Pintura Com Tinta Latex Acrilica em Paredes Internas, 3 Demaos (Somente tinta e fundo) - areia</t>
        </is>
      </c>
      <c r="D4009" s="82" t="inlineStr">
        <is>
          <t>Selador acrilico opaco premium interno/externo</t>
        </is>
      </c>
      <c r="E4009" s="11">
        <f t="array" ref="E4009">_xlfn.XLOOKUP(D4009,Insumos!B:B,Insumos!C:$C)</f>
        <v/>
      </c>
      <c r="F4009" s="2171" t="n">
        <v>0.1666</v>
      </c>
      <c r="G4009" s="92">
        <f t="array" ref="G4009">IF(B4009="insumo",_xlfn.XLOOKUP($D4009,Insumos!$B$1:$B$996,Insumos!$D$1:$D$996),"")</f>
        <v/>
      </c>
      <c r="H4009" s="92" t="n">
        <v>1.077902</v>
      </c>
      <c r="I4009" s="2165" t="n">
        <v>0</v>
      </c>
      <c r="J4009" s="2165" t="n">
        <v>0</v>
      </c>
      <c r="K4009" s="2165" t="n"/>
    </row>
    <row r="4010" outlineLevel="2" ht="12.75" customHeight="1">
      <c r="A4010" s="1071" t="n">
        <v>1</v>
      </c>
      <c r="B4010" s="1071" t="inlineStr">
        <is>
          <t>Serviço</t>
        </is>
      </c>
      <c r="C4010" s="1071" t="inlineStr">
        <is>
          <t>Pintura Com Tinta Latex Acrilica em Paredes Internas, 3 Demaos (Somente tinta e fundo) - marrom</t>
        </is>
      </c>
      <c r="D4010" s="1071" t="inlineStr">
        <is>
          <t>Pintura Com Tinta Latex Acrilica em Paredes Internas, 3 Demaos (Somente tinta e fundo) - marrom</t>
        </is>
      </c>
      <c r="E4010" s="1072" t="inlineStr">
        <is>
          <t>M2</t>
        </is>
      </c>
      <c r="F4010" s="1071" t="n"/>
      <c r="G4010" s="1073">
        <f t="array" ref="G4010">IF(B4010="insumo",_xlfn.XLOOKUP($D4010,Insumos!$B$1:$B$996,Insumos!$D$1:$D$996),"")</f>
        <v/>
      </c>
      <c r="H4010" s="1073" t="n">
        <v>44.7678395</v>
      </c>
      <c r="I4010" s="2163" t="n">
        <v>0</v>
      </c>
      <c r="J4010" s="2163" t="n">
        <v>0</v>
      </c>
      <c r="K4010" s="2163" t="n"/>
    </row>
    <row r="4011" outlineLevel="3" ht="12.75" customHeight="1">
      <c r="A4011" s="82" t="n">
        <v>1</v>
      </c>
      <c r="B4011" s="82" t="inlineStr">
        <is>
          <t>Insumo</t>
        </is>
      </c>
      <c r="C4011" s="82" t="inlineStr">
        <is>
          <t>Pintura Com Tinta Latex Acrilica em Paredes Internas, 3 Demaos (Somente tinta e fundo) - marrom</t>
        </is>
      </c>
      <c r="D4011" s="82" t="inlineStr">
        <is>
          <t>TINTA ACRILICA PREMIUM COR CAFÉ EXPRESSO</t>
        </is>
      </c>
      <c r="E4011" s="11">
        <f t="array" ref="E4011">_xlfn.XLOOKUP(D4011,Insumos!B:B,Insumos!C:$C)</f>
        <v/>
      </c>
      <c r="F4011" s="2171" t="n">
        <v>0.495</v>
      </c>
      <c r="G4011" s="92">
        <f t="array" ref="G4011">IF(B4011="insumo",_xlfn.XLOOKUP($D4011,Insumos!$B$1:$B$996,Insumos!$D$1:$D$996),"")</f>
        <v/>
      </c>
      <c r="H4011" s="92" t="n">
        <v>43.6899375</v>
      </c>
      <c r="I4011" s="2165" t="n">
        <v>0</v>
      </c>
      <c r="J4011" s="2165" t="n">
        <v>0</v>
      </c>
      <c r="K4011" s="2165" t="n"/>
    </row>
    <row r="4012" outlineLevel="3" ht="12.75" customHeight="1">
      <c r="A4012" s="82" t="n">
        <v>31</v>
      </c>
      <c r="B4012" s="82" t="inlineStr">
        <is>
          <t>Insumo</t>
        </is>
      </c>
      <c r="C4012" s="82" t="inlineStr">
        <is>
          <t>Pintura Com Tinta Latex Acrilica em Paredes Internas, 3 Demaos (Somente tinta e fundo) - marrom</t>
        </is>
      </c>
      <c r="D4012" s="82" t="inlineStr">
        <is>
          <t>Selador acrilico opaco premium interno/externo</t>
        </is>
      </c>
      <c r="E4012" s="11">
        <f t="array" ref="E4012">_xlfn.XLOOKUP(D4012,Insumos!B:B,Insumos!C:$C)</f>
        <v/>
      </c>
      <c r="F4012" s="2171" t="n">
        <v>0.1666</v>
      </c>
      <c r="G4012" s="92">
        <f t="array" ref="G4012">IF(B4012="insumo",_xlfn.XLOOKUP($D4012,Insumos!$B$1:$B$996,Insumos!$D$1:$D$996),"")</f>
        <v/>
      </c>
      <c r="H4012" s="92" t="n">
        <v>1.077902</v>
      </c>
      <c r="I4012" s="2165" t="n">
        <v>0</v>
      </c>
      <c r="J4012" s="2165" t="n">
        <v>0</v>
      </c>
      <c r="K4012" s="2165" t="n"/>
    </row>
    <row r="4013" outlineLevel="2" ht="12.75" customHeight="1">
      <c r="A4013" s="1071" t="n">
        <v>1</v>
      </c>
      <c r="B4013" s="1071" t="inlineStr">
        <is>
          <t>Serviço</t>
        </is>
      </c>
      <c r="C4013" s="1071" t="inlineStr">
        <is>
          <t>Pintura Com Tinta Latex Acrilica em Paredes Internas, 3 Demaos (Somente tinta e fundo) - concreto queimado</t>
        </is>
      </c>
      <c r="D4013" s="1071" t="inlineStr">
        <is>
          <t>Pintura Com Tinta Latex Acrilica em Paredes Internas, 3 Demaos (Somente tinta e fundo) - concreto queimado</t>
        </is>
      </c>
      <c r="E4013" s="1072" t="inlineStr">
        <is>
          <t>M2</t>
        </is>
      </c>
      <c r="F4013" s="1071" t="n"/>
      <c r="G4013" s="1073">
        <f t="array" ref="G4013">IF(B4013="insumo",_xlfn.XLOOKUP($D4013,Insumos!$B$1:$B$996,Insumos!$D$1:$D$996),"")</f>
        <v/>
      </c>
      <c r="H4013" s="1073" t="n">
        <v>20.025402</v>
      </c>
      <c r="I4013" s="2163" t="n">
        <v>0</v>
      </c>
      <c r="J4013" s="2163" t="n">
        <v>0</v>
      </c>
      <c r="K4013" s="2163" t="n"/>
    </row>
    <row r="4014" outlineLevel="3" ht="12.75" customHeight="1">
      <c r="A4014" s="82" t="n">
        <v>2</v>
      </c>
      <c r="B4014" s="82" t="inlineStr">
        <is>
          <t>Insumo</t>
        </is>
      </c>
      <c r="C4014" s="82" t="inlineStr">
        <is>
          <t>Pintura Com Tinta Latex Acrilica em Paredes Internas, 3 Demaos (Somente tinta e fundo) - concreto queimado</t>
        </is>
      </c>
      <c r="D4014" s="82" t="inlineStr">
        <is>
          <t>TINTA ACRILICA PREMIUM COR CINZA ASFALTO</t>
        </is>
      </c>
      <c r="E4014" s="11">
        <f t="array" ref="E4014">_xlfn.XLOOKUP(D4014,Insumos!B:B,Insumos!C:$C)</f>
        <v/>
      </c>
      <c r="F4014" s="2171" t="n">
        <v>0.495</v>
      </c>
      <c r="G4014" s="92">
        <f t="array" ref="G4014">IF(B4014="insumo",_xlfn.XLOOKUP($D4014,Insumos!$B$1:$B$996,Insumos!$D$1:$D$996),"")</f>
        <v/>
      </c>
      <c r="H4014" s="92" t="n">
        <v>18.9475</v>
      </c>
      <c r="I4014" s="2165" t="n">
        <v>0</v>
      </c>
      <c r="J4014" s="2165" t="n">
        <v>0</v>
      </c>
      <c r="K4014" s="2165" t="n"/>
    </row>
    <row r="4015" outlineLevel="3" ht="12.75" customHeight="1">
      <c r="A4015" s="82" t="n">
        <v>31</v>
      </c>
      <c r="B4015" s="82" t="inlineStr">
        <is>
          <t>Insumo</t>
        </is>
      </c>
      <c r="C4015" s="82" t="inlineStr">
        <is>
          <t>Pintura Com Tinta Latex Acrilica em Paredes Internas, 3 Demaos (Somente tinta e fundo) - concreto queimado</t>
        </is>
      </c>
      <c r="D4015" s="82" t="inlineStr">
        <is>
          <t>Selador acrilico opaco premium interno/externo</t>
        </is>
      </c>
      <c r="E4015" s="11">
        <f t="array" ref="E4015">_xlfn.XLOOKUP(D4015,Insumos!B:B,Insumos!C:$C)</f>
        <v/>
      </c>
      <c r="F4015" s="2171" t="n">
        <v>0.1666</v>
      </c>
      <c r="G4015" s="92">
        <f t="array" ref="G4015">IF(B4015="insumo",_xlfn.XLOOKUP($D4015,Insumos!$B$1:$B$996,Insumos!$D$1:$D$996),"")</f>
        <v/>
      </c>
      <c r="H4015" s="92" t="n">
        <v>1.077902</v>
      </c>
      <c r="I4015" s="2165" t="n">
        <v>0</v>
      </c>
      <c r="J4015" s="2165" t="n">
        <v>0</v>
      </c>
      <c r="K4015" s="2165" t="n"/>
    </row>
    <row r="4016" outlineLevel="2" ht="12.75" customHeight="1">
      <c r="A4016" s="1071" t="n">
        <v>1</v>
      </c>
      <c r="B4016" s="1071" t="inlineStr">
        <is>
          <t>Serviço</t>
        </is>
      </c>
      <c r="C4016" s="1071" t="inlineStr">
        <is>
          <t>Pintura Com Tinta Latex Acrilica em Paredes Internas, 3 Demaos (Somente tinta e fundo) - Laranja</t>
        </is>
      </c>
      <c r="D4016" s="1071" t="inlineStr">
        <is>
          <t>Pintura Com Tinta Latex Acrilica em Paredes Internas, 3 Demaos (Somente tinta e fundo) - Laranja</t>
        </is>
      </c>
      <c r="E4016" s="1072" t="inlineStr">
        <is>
          <t>M2</t>
        </is>
      </c>
      <c r="F4016" s="1071" t="n"/>
      <c r="G4016" s="1073">
        <f t="array" ref="G4016">IF(B4016="insumo",_xlfn.XLOOKUP($D4016,Insumos!$B$1:$B$996,Insumos!$D$1:$D$996),"")</f>
        <v/>
      </c>
      <c r="H4016" s="1073" t="n">
        <v>30.23278325</v>
      </c>
      <c r="I4016" s="2163" t="n">
        <v>0</v>
      </c>
      <c r="J4016" s="2163" t="n">
        <v>0</v>
      </c>
      <c r="K4016" s="2163" t="n"/>
    </row>
    <row r="4017" outlineLevel="3" ht="12.75" customHeight="1">
      <c r="A4017" s="82" t="n">
        <v>1</v>
      </c>
      <c r="B4017" s="82" t="inlineStr">
        <is>
          <t>Insumo</t>
        </is>
      </c>
      <c r="C4017" s="82" t="inlineStr">
        <is>
          <t>Pintura Com Tinta Latex Acrilica em Paredes Internas, 3 Demaos (Somente tinta e fundo) - Laranja</t>
        </is>
      </c>
      <c r="D4017" s="82" t="inlineStr">
        <is>
          <t>TINTA ACRILICA PREMIUM COR SALMÃO</t>
        </is>
      </c>
      <c r="E4017" s="11">
        <f t="array" ref="E4017">_xlfn.XLOOKUP(D4017,Insumos!B:B,Insumos!C:$C)</f>
        <v/>
      </c>
      <c r="F4017" s="2171" t="n">
        <v>0.495</v>
      </c>
      <c r="G4017" s="92">
        <f t="array" ref="G4017">IF(B4017="insumo",_xlfn.XLOOKUP($D4017,Insumos!$B$1:$B$996,Insumos!$D$1:$D$996),"")</f>
        <v/>
      </c>
      <c r="H4017" s="92" t="n">
        <v>29.15488125</v>
      </c>
      <c r="I4017" s="2165" t="n">
        <v>0</v>
      </c>
      <c r="J4017" s="2165" t="n">
        <v>0</v>
      </c>
      <c r="K4017" s="2165" t="n"/>
    </row>
    <row r="4018" outlineLevel="3" ht="12.75" customHeight="1">
      <c r="A4018" s="82" t="n">
        <v>31</v>
      </c>
      <c r="B4018" s="82" t="inlineStr">
        <is>
          <t>Insumo</t>
        </is>
      </c>
      <c r="C4018" s="82" t="inlineStr">
        <is>
          <t>Pintura Com Tinta Latex Acrilica em Paredes Internas, 3 Demaos (Somente tinta e fundo) - Laranja</t>
        </is>
      </c>
      <c r="D4018" s="82" t="inlineStr">
        <is>
          <t>Selador acrilico opaco premium interno/externo</t>
        </is>
      </c>
      <c r="E4018" s="11">
        <f t="array" ref="E4018">_xlfn.XLOOKUP(D4018,Insumos!B:B,Insumos!C:$C)</f>
        <v/>
      </c>
      <c r="F4018" s="2171" t="n">
        <v>0.1666</v>
      </c>
      <c r="G4018" s="92">
        <f t="array" ref="G4018">IF(B4018="insumo",_xlfn.XLOOKUP($D4018,Insumos!$B$1:$B$996,Insumos!$D$1:$D$996),"")</f>
        <v/>
      </c>
      <c r="H4018" s="92" t="n">
        <v>1.077902</v>
      </c>
      <c r="I4018" s="2165" t="n">
        <v>0</v>
      </c>
      <c r="J4018" s="2165" t="n">
        <v>0</v>
      </c>
      <c r="K4018" s="2165" t="n"/>
    </row>
    <row r="4019" outlineLevel="2" ht="12.75" customHeight="1">
      <c r="A4019" s="1071" t="n">
        <v>1</v>
      </c>
      <c r="B4019" s="1071" t="inlineStr">
        <is>
          <t>Serviço</t>
        </is>
      </c>
      <c r="C4019" s="1071" t="inlineStr">
        <is>
          <t>Pintura Com Tinta Latex Acrilica em Paredes Internas, 3 Demaos (Somente tinta e fundo) - Azul</t>
        </is>
      </c>
      <c r="D4019" s="1071" t="inlineStr">
        <is>
          <t>Pintura Com Tinta Latex Acrilica em Paredes Internas, 3 Demaos (Somente tinta e fundo) - Azul</t>
        </is>
      </c>
      <c r="E4019" s="1072" t="inlineStr">
        <is>
          <t>M2</t>
        </is>
      </c>
      <c r="F4019" s="1071" t="n"/>
      <c r="G4019" s="1073">
        <f t="array" ref="G4019">IF(B4019="insumo",_xlfn.XLOOKUP($D4019,Insumos!$B$1:$B$996,Insumos!$D$1:$D$996),"")</f>
        <v/>
      </c>
      <c r="H4019" s="1073" t="n">
        <v>18.093527</v>
      </c>
      <c r="I4019" s="2163" t="n">
        <v>0</v>
      </c>
      <c r="J4019" s="2163" t="n">
        <v>0</v>
      </c>
      <c r="K4019" s="2163" t="n"/>
    </row>
    <row r="4020" outlineLevel="3" ht="12.75" customHeight="1">
      <c r="A4020" s="82" t="n">
        <v>1</v>
      </c>
      <c r="B4020" s="82" t="inlineStr">
        <is>
          <t>Insumo</t>
        </is>
      </c>
      <c r="C4020" s="82" t="inlineStr">
        <is>
          <t>Pintura Com Tinta Latex Acrilica em Paredes Internas, 3 Demaos (Somente tinta e fundo) - Azul</t>
        </is>
      </c>
      <c r="D4020" s="82" t="inlineStr">
        <is>
          <t>TINTA ACRILICA PREMIUM COR AZUL</t>
        </is>
      </c>
      <c r="E4020" s="11">
        <f t="array" ref="E4020">_xlfn.XLOOKUP(D4020,Insumos!B:B,Insumos!C:$C)</f>
        <v/>
      </c>
      <c r="F4020" s="2171" t="n">
        <v>0.495</v>
      </c>
      <c r="G4020" s="92">
        <f t="array" ref="G4020">IF(B4020="insumo",_xlfn.XLOOKUP($D4020,Insumos!$B$1:$B$996,Insumos!$D$1:$D$996),"")</f>
        <v/>
      </c>
      <c r="H4020" s="92" t="n">
        <v>17.015625</v>
      </c>
      <c r="I4020" s="2165" t="n">
        <v>0</v>
      </c>
      <c r="J4020" s="2165" t="n">
        <v>0</v>
      </c>
      <c r="K4020" s="2165" t="n"/>
    </row>
    <row r="4021" outlineLevel="3" ht="12.75" customHeight="1">
      <c r="A4021" s="82" t="n">
        <v>31</v>
      </c>
      <c r="B4021" s="82" t="inlineStr">
        <is>
          <t>Insumo</t>
        </is>
      </c>
      <c r="C4021" s="82" t="inlineStr">
        <is>
          <t>Pintura Com Tinta Latex Acrilica em Paredes Internas, 3 Demaos (Somente tinta e fundo) - Azul</t>
        </is>
      </c>
      <c r="D4021" s="82" t="inlineStr">
        <is>
          <t>Selador acrilico opaco premium interno/externo</t>
        </is>
      </c>
      <c r="E4021" s="11">
        <f t="array" ref="E4021">_xlfn.XLOOKUP(D4021,Insumos!B:B,Insumos!C:$C)</f>
        <v/>
      </c>
      <c r="F4021" s="2171" t="n">
        <v>0.1666</v>
      </c>
      <c r="G4021" s="92">
        <f t="array" ref="G4021">IF(B4021="insumo",_xlfn.XLOOKUP($D4021,Insumos!$B$1:$B$996,Insumos!$D$1:$D$996),"")</f>
        <v/>
      </c>
      <c r="H4021" s="92" t="n">
        <v>1.077902</v>
      </c>
      <c r="I4021" s="2165" t="n">
        <v>0</v>
      </c>
      <c r="J4021" s="2165" t="n">
        <v>0</v>
      </c>
      <c r="K4021" s="2165" t="n"/>
    </row>
    <row r="4022" outlineLevel="1" ht="15.75" customHeight="1">
      <c r="A4022" s="1090" t="n">
        <v>1</v>
      </c>
      <c r="B4022" s="1090" t="inlineStr">
        <is>
          <t>Subetapa</t>
        </is>
      </c>
      <c r="C4022" s="1090" t="inlineStr">
        <is>
          <t>Pintura Com Tinta Latex Acrilica em Paredes Internas, 3 Demaos (Somente tinta e fundo) - Azul</t>
        </is>
      </c>
      <c r="D4022" s="1090" t="inlineStr">
        <is>
          <t>TETO</t>
        </is>
      </c>
      <c r="E4022" s="1091" t="n"/>
      <c r="F4022" s="2160" t="n"/>
      <c r="G4022" s="1091" t="n"/>
      <c r="H4022" s="1091" t="n">
        <v>0</v>
      </c>
      <c r="I4022" s="2160" t="n">
        <v>0</v>
      </c>
      <c r="J4022" s="2160" t="n">
        <v>0</v>
      </c>
      <c r="K4022" s="2160" t="n"/>
    </row>
    <row r="4023" outlineLevel="2" ht="15.75" customHeight="1">
      <c r="A4023" s="1067" t="n">
        <v>1</v>
      </c>
      <c r="B4023" s="1067" t="inlineStr">
        <is>
          <t>Serviço</t>
        </is>
      </c>
      <c r="C4023" s="1067" t="inlineStr">
        <is>
          <t>Textura Acrílica aplicação em tetos, 1 demão</t>
        </is>
      </c>
      <c r="D4023" s="1067" t="inlineStr">
        <is>
          <t>Textura Acrílica aplicação em tetos, 1 demão</t>
        </is>
      </c>
      <c r="E4023" s="1068" t="inlineStr">
        <is>
          <t>M2</t>
        </is>
      </c>
      <c r="F4023" s="1067" t="n"/>
      <c r="G4023" s="1069">
        <f t="array" ref="G4023">IF(B4023="insumo",_xlfn.XLOOKUP($D4023,Insumos!$B$1:$B$996,Insumos!$D$1:$D$996),"")</f>
        <v/>
      </c>
      <c r="H4023" s="1069" t="n">
        <v>13.6363636363636</v>
      </c>
      <c r="I4023" s="2161" t="e">
        <v>#REF!</v>
      </c>
      <c r="J4023" s="2161" t="e">
        <v>#REF!</v>
      </c>
      <c r="K4023" s="2161" t="n"/>
    </row>
    <row r="4024" outlineLevel="3" ht="15.75" customHeight="1">
      <c r="A4024" s="10" t="n">
        <v>5</v>
      </c>
      <c r="B4024" s="10" t="inlineStr">
        <is>
          <t>Insumo</t>
        </is>
      </c>
      <c r="C4024" s="10" t="inlineStr">
        <is>
          <t>Textura Acrílica aplicação em tetos, 1 demão</t>
        </is>
      </c>
      <c r="D4024" s="10" t="inlineStr">
        <is>
          <t>MASSA PREMIUM PARA TEXTURA LISA DE BASE ACRILICA</t>
        </is>
      </c>
      <c r="E4024" s="11">
        <f t="array" ref="E4024">_xlfn.XLOOKUP(D4024,Insumos!B:B,Insumos!C:$C)</f>
        <v/>
      </c>
      <c r="F4024" s="14" t="n">
        <v>1.5</v>
      </c>
      <c r="G4024" s="92">
        <f t="array" ref="G4024">IF(B4024="insumo",_xlfn.XLOOKUP($D4024,Insumos!$B$1:$B$996,Insumos!$D$1:$D$996),"")</f>
        <v/>
      </c>
      <c r="H4024" s="92" t="n">
        <v>13.6363636363636</v>
      </c>
      <c r="I4024" s="2162" t="e">
        <v>#REF!</v>
      </c>
      <c r="J4024" s="2162" t="e">
        <v>#REF!</v>
      </c>
      <c r="K4024" s="2162" t="n"/>
    </row>
    <row r="4025" outlineLevel="2" ht="15.75" customHeight="1">
      <c r="A4025" s="1067" t="n">
        <v>1</v>
      </c>
      <c r="B4025" s="1067" t="inlineStr">
        <is>
          <t>Serviço</t>
        </is>
      </c>
      <c r="C4025" s="1067" t="inlineStr">
        <is>
          <t xml:space="preserve">Pintura com tinta látex acrílica com selador em tetos, 3 demãos </t>
        </is>
      </c>
      <c r="D4025" s="1067" t="inlineStr">
        <is>
          <t xml:space="preserve">Pintura com tinta látex acrílica com selador em tetos, 3 demãos </t>
        </is>
      </c>
      <c r="E4025" s="1068" t="inlineStr">
        <is>
          <t>M2</t>
        </is>
      </c>
      <c r="F4025" s="1067" t="n"/>
      <c r="G4025" s="1069">
        <f t="array" ref="G4025">IF(B4025="insumo",_xlfn.XLOOKUP($D4025,Insumos!$B$1:$B$996,Insumos!$D$1:$D$996),"")</f>
        <v/>
      </c>
      <c r="H4025" s="1069" t="n">
        <v>14.0750555555556</v>
      </c>
      <c r="I4025" s="2161" t="n">
        <v>0</v>
      </c>
      <c r="J4025" s="2161" t="n">
        <v>0</v>
      </c>
      <c r="K4025" s="2161" t="n"/>
    </row>
    <row r="4026" outlineLevel="3" ht="15.75" customHeight="1">
      <c r="A4026" s="10" t="n">
        <v>36</v>
      </c>
      <c r="B4026" s="10" t="inlineStr">
        <is>
          <t>Insumo</t>
        </is>
      </c>
      <c r="C4026" s="10" t="inlineStr">
        <is>
          <t xml:space="preserve">Pintura com tinta látex acrílica com selador em tetos, 3 demãos </t>
        </is>
      </c>
      <c r="D4026" s="10" t="inlineStr">
        <is>
          <t>LIXA DAGUA 225X275MM GR100</t>
        </is>
      </c>
      <c r="E4026" s="11">
        <f t="array" ref="E4026">_xlfn.XLOOKUP(D4026,Insumos!B:B,Insumos!C:$C)</f>
        <v/>
      </c>
      <c r="F4026" s="14" t="n">
        <v>0.1</v>
      </c>
      <c r="G4026" s="92">
        <f t="array" ref="G4026">IF(B4026="insumo",_xlfn.XLOOKUP($D4026,Insumos!$B$1:$B$996,Insumos!$D$1:$D$996),"")</f>
        <v/>
      </c>
      <c r="H4026" s="92" t="n">
        <v>0.189</v>
      </c>
      <c r="I4026" s="2162" t="n">
        <v>0</v>
      </c>
      <c r="J4026" s="2162" t="n">
        <v>0</v>
      </c>
      <c r="K4026" s="2162" t="n"/>
    </row>
    <row r="4027" outlineLevel="3" ht="15.75" customHeight="1">
      <c r="A4027" s="10" t="n">
        <v>19</v>
      </c>
      <c r="B4027" s="10" t="inlineStr">
        <is>
          <t>Insumo</t>
        </is>
      </c>
      <c r="C4027" s="10" t="inlineStr">
        <is>
          <t xml:space="preserve">Pintura com tinta látex acrílica com selador em tetos, 3 demãos </t>
        </is>
      </c>
      <c r="D4027" s="10" t="inlineStr">
        <is>
          <t>Selador Primer Ibratin - 4,2kg - 3,6L</t>
        </is>
      </c>
      <c r="E4027" s="11">
        <f t="array" ref="E4027">_xlfn.XLOOKUP(D4027,Insumos!B:B,Insumos!C:$C)</f>
        <v/>
      </c>
      <c r="F4027" s="14" t="n">
        <v>0.1666</v>
      </c>
      <c r="G4027" s="92">
        <f t="array" ref="G4027">IF(B4027="insumo",_xlfn.XLOOKUP($D4027,Insumos!$B$1:$B$996,Insumos!$D$1:$D$996),"")</f>
        <v/>
      </c>
      <c r="H4027" s="92" t="n">
        <v>1.75855555555556</v>
      </c>
      <c r="I4027" s="2162" t="n">
        <v>0</v>
      </c>
      <c r="J4027" s="2162" t="n">
        <v>0</v>
      </c>
      <c r="K4027" s="2162" t="n"/>
    </row>
    <row r="4028" outlineLevel="3" ht="15.75" customHeight="1">
      <c r="A4028" s="10" t="n">
        <v>16</v>
      </c>
      <c r="B4028" s="10" t="inlineStr">
        <is>
          <t>Insumo</t>
        </is>
      </c>
      <c r="C4028" s="10" t="inlineStr">
        <is>
          <t xml:space="preserve">Pintura com tinta látex acrílica com selador em tetos, 3 demãos </t>
        </is>
      </c>
      <c r="D4028" s="10" t="inlineStr">
        <is>
          <t xml:space="preserve">TINTA ACRILICA PREMIUM </t>
        </is>
      </c>
      <c r="E4028" s="11">
        <f t="array" ref="E4028">_xlfn.XLOOKUP(D4028,Insumos!B:B,Insumos!C:$C)</f>
        <v/>
      </c>
      <c r="F4028" s="14" t="n">
        <v>0.495</v>
      </c>
      <c r="G4028" s="92">
        <f t="array" ref="G4028">IF(B4028="insumo",_xlfn.XLOOKUP($D4028,Insumos!$B$1:$B$996,Insumos!$D$1:$D$996),"")</f>
        <v/>
      </c>
      <c r="H4028" s="92" t="n">
        <v>12.1275</v>
      </c>
      <c r="I4028" s="2162" t="n">
        <v>0</v>
      </c>
      <c r="J4028" s="2162" t="n">
        <v>0</v>
      </c>
      <c r="K4028" s="2162" t="n"/>
    </row>
    <row r="4029" outlineLevel="2" ht="15.75" customHeight="1">
      <c r="A4029" s="1067" t="n">
        <v>1</v>
      </c>
      <c r="B4029" s="1067" t="inlineStr">
        <is>
          <t>Serviço</t>
        </is>
      </c>
      <c r="C4029" s="1067" t="inlineStr">
        <is>
          <t>Textura acrílica aplicação em tetos, 1 demão - Diore Ornamentali Bege Bahia</t>
        </is>
      </c>
      <c r="D4029" s="1067" t="inlineStr">
        <is>
          <t>Textura acrílica aplicação em tetos, 1 demão - Diore Ornamentali Bege Bahia</t>
        </is>
      </c>
      <c r="E4029" s="1068" t="inlineStr">
        <is>
          <t>M2</t>
        </is>
      </c>
      <c r="F4029" s="1067" t="n"/>
      <c r="G4029" s="1069">
        <f t="array" ref="G4029">IF(B4029="insumo",_xlfn.XLOOKUP($D4029,Insumos!$B$1:$B$996,Insumos!$D$1:$D$996),"")</f>
        <v/>
      </c>
      <c r="H4029" s="1069" t="n">
        <v>39.6</v>
      </c>
      <c r="I4029" s="2161" t="e">
        <v>#REF!</v>
      </c>
      <c r="J4029" s="2161" t="e">
        <v>#REF!</v>
      </c>
      <c r="K4029" s="2161" t="n"/>
    </row>
    <row r="4030" outlineLevel="3" ht="15.75" customHeight="1">
      <c r="A4030" s="10" t="n">
        <v>2</v>
      </c>
      <c r="B4030" s="10" t="inlineStr">
        <is>
          <t>Insumo</t>
        </is>
      </c>
      <c r="C4030" s="10" t="inlineStr">
        <is>
          <t>Textura acrílica aplicação em tetos, 1 demão - Diore Ornamentali Bege Bahia</t>
        </is>
      </c>
      <c r="D4030" s="10" t="inlineStr">
        <is>
          <t xml:space="preserve">revestimento Diore Ornamentali na cor Bege Bahia </t>
        </is>
      </c>
      <c r="E4030" s="11">
        <f t="array" ref="E4030">_xlfn.XLOOKUP(D4030,Insumos!B:B,Insumos!C:$C)</f>
        <v/>
      </c>
      <c r="F4030" s="14" t="n">
        <v>1.5</v>
      </c>
      <c r="G4030" s="92">
        <f t="array" ref="G4030">IF(B4030="insumo",_xlfn.XLOOKUP($D4030,Insumos!$B$1:$B$996,Insumos!$D$1:$D$996),"")</f>
        <v/>
      </c>
      <c r="H4030" s="92" t="n">
        <v>39.6</v>
      </c>
      <c r="I4030" s="2162" t="e">
        <v>#REF!</v>
      </c>
      <c r="J4030" s="2162" t="e">
        <v>#REF!</v>
      </c>
      <c r="K4030" s="2162" t="n"/>
    </row>
    <row r="4031" outlineLevel="2" ht="15.75" customHeight="1">
      <c r="A4031" s="1067" t="n">
        <v>1</v>
      </c>
      <c r="B4031" s="1067" t="inlineStr">
        <is>
          <t>Serviço</t>
        </is>
      </c>
      <c r="C4031" s="1067" t="inlineStr">
        <is>
          <t>Pintura Com Tinta Latex Acrilica em tetos, 3 Demaos (Somente tinta) - Suvinil Azul Etéreo</t>
        </is>
      </c>
      <c r="D4031" s="1067" t="inlineStr">
        <is>
          <t>Pintura Com Tinta Latex Acrilica em tetos, 3 Demaos (Somente tinta) - Suvinil Azul Etéreo</t>
        </is>
      </c>
      <c r="E4031" s="1068" t="inlineStr">
        <is>
          <t>M2</t>
        </is>
      </c>
      <c r="F4031" s="1067" t="n"/>
      <c r="G4031" s="1069">
        <f t="array" ref="G4031">IF(B4031="insumo",_xlfn.XLOOKUP($D4031,Insumos!$B$1:$B$996,Insumos!$D$1:$D$996),"")</f>
        <v/>
      </c>
      <c r="H4031" s="1069" t="n">
        <v>22.507959375</v>
      </c>
      <c r="I4031" s="2161" t="e">
        <v>#REF!</v>
      </c>
      <c r="J4031" s="2161" t="e">
        <v>#REF!</v>
      </c>
      <c r="K4031" s="2161" t="n"/>
    </row>
    <row r="4032" outlineLevel="3" ht="15.75" customHeight="1">
      <c r="A4032" s="10" t="n">
        <v>2</v>
      </c>
      <c r="B4032" s="10" t="inlineStr">
        <is>
          <t>Insumo</t>
        </is>
      </c>
      <c r="C4032" s="10" t="inlineStr">
        <is>
          <t>Pintura Com Tinta Latex Acrilica em tetos, 3 Demaos (Somente tinta) - Suvinil Azul Etéreo</t>
        </is>
      </c>
      <c r="D4032" s="10" t="inlineStr">
        <is>
          <t>TINTA ACRILICA PREMIUM AZUL ETÉREO</t>
        </is>
      </c>
      <c r="E4032" s="11">
        <f t="array" ref="E4032">_xlfn.XLOOKUP(D4032,Insumos!B:B,Insumos!C:$C)</f>
        <v/>
      </c>
      <c r="F4032" s="14" t="n">
        <v>0.495</v>
      </c>
      <c r="G4032" s="92">
        <f t="array" ref="G4032">IF(B4032="insumo",_xlfn.XLOOKUP($D4032,Insumos!$B$1:$B$996,Insumos!$D$1:$D$996),"")</f>
        <v/>
      </c>
      <c r="H4032" s="92" t="n">
        <v>22.507959375</v>
      </c>
      <c r="I4032" s="2162" t="e">
        <v>#REF!</v>
      </c>
      <c r="J4032" s="2162" t="e">
        <v>#REF!</v>
      </c>
      <c r="K4032" s="2162" t="n"/>
    </row>
    <row r="4033" outlineLevel="2" ht="15.75" customHeight="1">
      <c r="A4033" s="1067" t="n">
        <v>1</v>
      </c>
      <c r="B4033" s="1067" t="inlineStr">
        <is>
          <t>Serviço</t>
        </is>
      </c>
      <c r="C4033" s="1067" t="inlineStr">
        <is>
          <t>Pintura Com Tinta Latex Acrilica em tetos, 3 Demaos (Somente tinta) - Suvinil Papel Picado</t>
        </is>
      </c>
      <c r="D4033" s="1067" t="inlineStr">
        <is>
          <t>Pintura Com Tinta Latex Acrilica em tetos, 3 Demaos (Somente tinta) - Suvinil Papel Picado</t>
        </is>
      </c>
      <c r="E4033" s="1068" t="inlineStr">
        <is>
          <t>M2</t>
        </is>
      </c>
      <c r="F4033" s="1067" t="n"/>
      <c r="G4033" s="1069">
        <f t="array" ref="G4033">IF(B4033="insumo",_xlfn.XLOOKUP($D4033,Insumos!$B$1:$B$996,Insumos!$D$1:$D$996),"")</f>
        <v/>
      </c>
      <c r="H4033" s="1069" t="n">
        <v>20.46886875</v>
      </c>
      <c r="I4033" s="2161" t="e">
        <v>#REF!</v>
      </c>
      <c r="J4033" s="2161" t="e">
        <v>#REF!</v>
      </c>
      <c r="K4033" s="2161" t="n"/>
    </row>
    <row r="4034" outlineLevel="3" ht="15.75" customHeight="1">
      <c r="A4034" s="10" t="n">
        <v>2</v>
      </c>
      <c r="B4034" s="10" t="inlineStr">
        <is>
          <t>Insumo</t>
        </is>
      </c>
      <c r="C4034" s="10" t="inlineStr">
        <is>
          <t>Pintura Com Tinta Latex Acrilica em tetos, 3 Demaos (Somente tinta) - Suvinil Papel Picado</t>
        </is>
      </c>
      <c r="D4034" s="10" t="inlineStr">
        <is>
          <t>TINTA ACRILICA PREMIUM  PAPEL PICADO</t>
        </is>
      </c>
      <c r="E4034" s="11">
        <f t="array" ref="E4034">_xlfn.XLOOKUP(D4034,Insumos!B:B,Insumos!C:$C)</f>
        <v/>
      </c>
      <c r="F4034" s="14" t="n">
        <v>0.495</v>
      </c>
      <c r="G4034" s="92">
        <f t="array" ref="G4034">IF(B4034="insumo",_xlfn.XLOOKUP($D4034,Insumos!$B$1:$B$996,Insumos!$D$1:$D$996),"")</f>
        <v/>
      </c>
      <c r="H4034" s="92" t="n">
        <v>20.46886875</v>
      </c>
      <c r="I4034" s="2162" t="e">
        <v>#REF!</v>
      </c>
      <c r="J4034" s="2162" t="e">
        <v>#REF!</v>
      </c>
      <c r="K4034" s="2162" t="n"/>
    </row>
    <row r="4035" outlineLevel="2" ht="15.75" customHeight="1">
      <c r="A4035" s="1067" t="n">
        <v>1</v>
      </c>
      <c r="B4035" s="1067" t="inlineStr">
        <is>
          <t>Serviço</t>
        </is>
      </c>
      <c r="C4035" s="1067" t="inlineStr">
        <is>
          <t xml:space="preserve">Textura acrílica aplicação em tetos, 1 demão - Textura Terracal / Marca: Terracor </t>
        </is>
      </c>
      <c r="D4035" s="1067" t="inlineStr">
        <is>
          <t xml:space="preserve">Textura acrílica aplicação em tetos, 1 demão - Textura Terracal / Marca: Terracor </t>
        </is>
      </c>
      <c r="E4035" s="1068" t="inlineStr">
        <is>
          <t>M2</t>
        </is>
      </c>
      <c r="F4035" s="1067" t="n"/>
      <c r="G4035" s="1069">
        <f t="array" ref="G4035">IF(B4035="insumo",_xlfn.XLOOKUP($D4035,Insumos!$B$1:$B$996,Insumos!$D$1:$D$996),"")</f>
        <v/>
      </c>
      <c r="H4035" s="1069" t="n">
        <v>66.75</v>
      </c>
      <c r="I4035" s="2161" t="n">
        <v>0</v>
      </c>
      <c r="J4035" s="2161" t="n">
        <v>0</v>
      </c>
      <c r="K4035" s="2161" t="n"/>
    </row>
    <row r="4036" outlineLevel="3" ht="15.75" customHeight="1">
      <c r="A4036" s="10" t="n">
        <v>3</v>
      </c>
      <c r="B4036" s="10" t="inlineStr">
        <is>
          <t>Insumo</t>
        </is>
      </c>
      <c r="C4036" s="10" t="inlineStr">
        <is>
          <t xml:space="preserve">Textura acrílica aplicação em tetos, 1 demão - Textura Terracal / Marca: Terracor </t>
        </is>
      </c>
      <c r="D4036" s="10" t="inlineStr">
        <is>
          <t xml:space="preserve">Textura Terracal / Marca: Terracor </t>
        </is>
      </c>
      <c r="E4036" s="11">
        <f t="array" ref="E4036">_xlfn.XLOOKUP(D4036,Insumos!B:B,Insumos!C:$C)</f>
        <v/>
      </c>
      <c r="F4036" s="14" t="n">
        <v>1.5</v>
      </c>
      <c r="G4036" s="92">
        <f t="array" ref="G4036">IF(B4036="insumo",_xlfn.XLOOKUP($D4036,Insumos!$B$1:$B$996,Insumos!$D$1:$D$996),"")</f>
        <v/>
      </c>
      <c r="H4036" s="92" t="n">
        <v>66.75</v>
      </c>
      <c r="I4036" s="2162" t="n">
        <v>0</v>
      </c>
      <c r="J4036" s="2162" t="n">
        <v>0</v>
      </c>
      <c r="K4036" s="2162" t="n"/>
    </row>
    <row r="4037" outlineLevel="2" ht="15.75" customHeight="1">
      <c r="A4037" s="1067" t="n">
        <v>1</v>
      </c>
      <c r="B4037" s="1067" t="inlineStr">
        <is>
          <t>Serviço</t>
        </is>
      </c>
      <c r="C4037" s="1067" t="inlineStr">
        <is>
          <t>Pintura Com Tinta Latex Acrilica em tetos, 3 Demaos (Somente tinta)</t>
        </is>
      </c>
      <c r="D4037" s="1067" t="inlineStr">
        <is>
          <t>Pintura Com Tinta Latex Acrilica em tetos, 3 Demaos (Somente tinta)</t>
        </is>
      </c>
      <c r="E4037" s="1068" t="inlineStr">
        <is>
          <t>M2</t>
        </is>
      </c>
      <c r="F4037" s="1067" t="n"/>
      <c r="G4037" s="1069">
        <f t="array" ref="G4037">IF(B4037="insumo",_xlfn.XLOOKUP($D4037,Insumos!$B$1:$B$996,Insumos!$D$1:$D$996),"")</f>
        <v/>
      </c>
      <c r="H4037" s="1069" t="n">
        <v>12.1275</v>
      </c>
      <c r="I4037" s="2161" t="e">
        <v>#REF!</v>
      </c>
      <c r="J4037" s="2161" t="e">
        <v>#REF!</v>
      </c>
      <c r="K4037" s="2161" t="n"/>
    </row>
    <row r="4038" outlineLevel="3" ht="15.75" customHeight="1">
      <c r="A4038" s="10" t="n">
        <v>16</v>
      </c>
      <c r="B4038" s="10" t="inlineStr">
        <is>
          <t>Insumo</t>
        </is>
      </c>
      <c r="C4038" s="10" t="inlineStr">
        <is>
          <t>Pintura Com Tinta Latex Acrilica em tetos, 3 Demaos (Somente tinta)</t>
        </is>
      </c>
      <c r="D4038" s="10" t="inlineStr">
        <is>
          <t xml:space="preserve">TINTA ACRILICA PREMIUM </t>
        </is>
      </c>
      <c r="E4038" s="11">
        <f t="array" ref="E4038">_xlfn.XLOOKUP(D4038,Insumos!B:B,Insumos!C:$C)</f>
        <v/>
      </c>
      <c r="F4038" s="14" t="n">
        <v>0.495</v>
      </c>
      <c r="G4038" s="92">
        <f t="array" ref="G4038">IF(B4038="insumo",_xlfn.XLOOKUP($D4038,Insumos!$B$1:$B$996,Insumos!$D$1:$D$996),"")</f>
        <v/>
      </c>
      <c r="H4038" s="92" t="n">
        <v>12.1275</v>
      </c>
      <c r="I4038" s="2162" t="e">
        <v>#REF!</v>
      </c>
      <c r="J4038" s="2162" t="e">
        <v>#REF!</v>
      </c>
      <c r="K4038" s="2162" t="n"/>
    </row>
    <row r="4039" outlineLevel="2" ht="15.75" customHeight="1">
      <c r="A4039" s="1067" t="n">
        <v>1</v>
      </c>
      <c r="B4039" s="1067" t="inlineStr">
        <is>
          <t>Serviço</t>
        </is>
      </c>
      <c r="C4039" s="1067" t="inlineStr">
        <is>
          <t>Pintura Artistica em tetos</t>
        </is>
      </c>
      <c r="D4039" s="1067" t="inlineStr">
        <is>
          <t>Pintura Artistica em tetos</t>
        </is>
      </c>
      <c r="E4039" s="1068" t="inlineStr">
        <is>
          <t>M2</t>
        </is>
      </c>
      <c r="F4039" s="1067" t="n"/>
      <c r="G4039" s="1069">
        <f t="array" ref="G4039">IF(B4039="insumo",_xlfn.XLOOKUP($D4039,Insumos!$B$1:$B$996,Insumos!$D$1:$D$996),"")</f>
        <v/>
      </c>
      <c r="H4039" s="1069" t="n">
        <v>80</v>
      </c>
      <c r="I4039" s="2161" t="e">
        <v>#REF!</v>
      </c>
      <c r="J4039" s="2161" t="e">
        <v>#REF!</v>
      </c>
      <c r="K4039" s="2161" t="n"/>
    </row>
    <row r="4040" outlineLevel="3" ht="15.75" customHeight="1">
      <c r="A4040" s="10" t="n">
        <v>1</v>
      </c>
      <c r="B4040" s="10" t="inlineStr">
        <is>
          <t>Insumo</t>
        </is>
      </c>
      <c r="C4040" s="10" t="inlineStr">
        <is>
          <t>Pintura Artistica em tetos</t>
        </is>
      </c>
      <c r="D4040" s="10" t="inlineStr">
        <is>
          <t>Pintura Artistica em tetos</t>
        </is>
      </c>
      <c r="E4040" s="11">
        <f t="array" ref="E4040">_xlfn.XLOOKUP(D4040,Insumos!B:B,Insumos!C:$C)</f>
        <v/>
      </c>
      <c r="F4040" s="14" t="n">
        <v>1</v>
      </c>
      <c r="G4040" s="92">
        <f t="array" ref="G4040">IF(B4040="insumo",_xlfn.XLOOKUP($D4040,Insumos!$B$1:$B$996,Insumos!$D$1:$D$996),"")</f>
        <v/>
      </c>
      <c r="H4040" s="92" t="n">
        <v>80</v>
      </c>
      <c r="I4040" s="2162" t="e">
        <v>#REF!</v>
      </c>
      <c r="J4040" s="2162" t="e">
        <v>#REF!</v>
      </c>
      <c r="K4040" s="2162" t="n"/>
    </row>
    <row r="4041" outlineLevel="2" ht="12.75" customHeight="1">
      <c r="A4041" s="1071" t="n">
        <v>1</v>
      </c>
      <c r="B4041" s="1071" t="inlineStr">
        <is>
          <t>Serviço</t>
        </is>
      </c>
      <c r="C4041" s="1071" t="inlineStr">
        <is>
          <t>Pintura Com Tinta Latex Acrilica em tetos, 3 Demaos (Somente tinta e fundo)</t>
        </is>
      </c>
      <c r="D4041" s="1071" t="inlineStr">
        <is>
          <t>Pintura Com Tinta Latex Acrilica em tetos, 3 Demaos (Somente tinta e fundo)</t>
        </is>
      </c>
      <c r="E4041" s="1072" t="inlineStr">
        <is>
          <t>M2</t>
        </is>
      </c>
      <c r="F4041" s="1071" t="n"/>
      <c r="G4041" s="1073">
        <f t="array" ref="G4041">IF(B4041="insumo",_xlfn.XLOOKUP($D4041,Insumos!$B$1:$B$996,Insumos!$D$1:$D$996),"")</f>
        <v/>
      </c>
      <c r="H4041" s="1073" t="n">
        <v>13.205402</v>
      </c>
      <c r="I4041" s="2163" t="n">
        <v>0</v>
      </c>
      <c r="J4041" s="2163" t="n">
        <v>0</v>
      </c>
      <c r="K4041" s="2163" t="n"/>
    </row>
    <row r="4042" outlineLevel="3" ht="12.75" customHeight="1">
      <c r="A4042" s="82" t="n">
        <v>16</v>
      </c>
      <c r="B4042" s="82" t="inlineStr">
        <is>
          <t>Insumo</t>
        </is>
      </c>
      <c r="C4042" s="82" t="inlineStr">
        <is>
          <t>Pintura Com Tinta Latex Acrilica em tetos, 3 Demaos (Somente tinta e fundo)</t>
        </is>
      </c>
      <c r="D4042" s="82" t="inlineStr">
        <is>
          <t xml:space="preserve">TINTA ACRILICA PREMIUM </t>
        </is>
      </c>
      <c r="E4042" s="11">
        <f t="array" ref="E4042">_xlfn.XLOOKUP(D4042,Insumos!B:B,Insumos!C:$C)</f>
        <v/>
      </c>
      <c r="F4042" s="2171" t="n">
        <v>0.495</v>
      </c>
      <c r="G4042" s="92">
        <f t="array" ref="G4042">IF(B4042="insumo",_xlfn.XLOOKUP($D4042,Insumos!$B$1:$B$996,Insumos!$D$1:$D$996),"")</f>
        <v/>
      </c>
      <c r="H4042" s="92" t="n">
        <v>12.1275</v>
      </c>
      <c r="I4042" s="2165" t="n">
        <v>0</v>
      </c>
      <c r="J4042" s="2165" t="n">
        <v>0</v>
      </c>
      <c r="K4042" s="2165" t="n"/>
    </row>
    <row r="4043" outlineLevel="3" ht="12.75" customHeight="1">
      <c r="A4043" s="82" t="n">
        <v>31</v>
      </c>
      <c r="B4043" s="82" t="inlineStr">
        <is>
          <t>Insumo</t>
        </is>
      </c>
      <c r="C4043" s="82" t="inlineStr">
        <is>
          <t>Pintura Com Tinta Latex Acrilica em tetos, 3 Demaos (Somente tinta e fundo)</t>
        </is>
      </c>
      <c r="D4043" s="82" t="inlineStr">
        <is>
          <t>Selador acrilico opaco premium interno/externo</t>
        </is>
      </c>
      <c r="E4043" s="11">
        <f t="array" ref="E4043">_xlfn.XLOOKUP(D4043,Insumos!B:B,Insumos!C:$C)</f>
        <v/>
      </c>
      <c r="F4043" s="2171" t="n">
        <v>0.1666</v>
      </c>
      <c r="G4043" s="92">
        <f t="array" ref="G4043">IF(B4043="insumo",_xlfn.XLOOKUP($D4043,Insumos!$B$1:$B$996,Insumos!$D$1:$D$996),"")</f>
        <v/>
      </c>
      <c r="H4043" s="92" t="n">
        <v>1.077902</v>
      </c>
      <c r="I4043" s="2165" t="n">
        <v>0</v>
      </c>
      <c r="J4043" s="2165" t="n">
        <v>0</v>
      </c>
      <c r="K4043" s="2165" t="n"/>
    </row>
    <row r="4044" outlineLevel="2" ht="15.75" customHeight="1">
      <c r="A4044" s="1067" t="n">
        <v>1</v>
      </c>
      <c r="B4044" s="1067" t="inlineStr">
        <is>
          <t>Serviço</t>
        </is>
      </c>
      <c r="C4044" s="1067" t="inlineStr">
        <is>
          <t>Pintura em Epóxi em tetos, Aplicação Manual, 2 Demãos</t>
        </is>
      </c>
      <c r="D4044" s="1067" t="inlineStr">
        <is>
          <t>Pintura em Epóxi em tetos, Aplicação Manual, 2 Demãos</t>
        </is>
      </c>
      <c r="E4044" s="1068" t="inlineStr">
        <is>
          <t>M2</t>
        </is>
      </c>
      <c r="F4044" s="1067" t="n"/>
      <c r="G4044" s="1069">
        <f t="array" ref="G4044">IF(B4044="insumo",_xlfn.XLOOKUP($D4044,Insumos!$B$1:$B$996,Insumos!$D$1:$D$996),"")</f>
        <v/>
      </c>
      <c r="H4044" s="1069" t="n">
        <v>70.5670306666667</v>
      </c>
      <c r="I4044" s="2161" t="e">
        <v>#REF!</v>
      </c>
      <c r="J4044" s="2161" t="e">
        <v>#REF!</v>
      </c>
      <c r="K4044" s="2161" t="n"/>
    </row>
    <row r="4045" outlineLevel="3" ht="15.75" customHeight="1">
      <c r="A4045" s="10" t="n">
        <v>9</v>
      </c>
      <c r="B4045" s="10" t="inlineStr">
        <is>
          <t>Insumo</t>
        </is>
      </c>
      <c r="C4045" s="10" t="inlineStr">
        <is>
          <t>Pintura em Epóxi em tetos, Aplicação Manual, 2 Demãos</t>
        </is>
      </c>
      <c r="D4045" s="10" t="inlineStr">
        <is>
          <t>Diluente Epoxi</t>
        </is>
      </c>
      <c r="E4045" s="11">
        <f t="array" ref="E4045">_xlfn.XLOOKUP(D4045,Insumos!B:B,Insumos!C:$C)</f>
        <v/>
      </c>
      <c r="F4045" s="14" t="n">
        <v>0.064</v>
      </c>
      <c r="G4045" s="92">
        <f t="array" ref="G4045">IF(B4045="insumo",_xlfn.XLOOKUP($D4045,Insumos!$B$1:$B$996,Insumos!$D$1:$D$996),"")</f>
        <v/>
      </c>
      <c r="H4045" s="92" t="n">
        <v>3.20768</v>
      </c>
      <c r="I4045" s="2162" t="e">
        <v>#REF!</v>
      </c>
      <c r="J4045" s="2162" t="e">
        <v>#REF!</v>
      </c>
      <c r="K4045" s="2162" t="n"/>
    </row>
    <row r="4046" outlineLevel="3" ht="15.75" customHeight="1">
      <c r="A4046" s="10" t="n">
        <v>25</v>
      </c>
      <c r="B4046" s="10" t="inlineStr">
        <is>
          <t>Insumo</t>
        </is>
      </c>
      <c r="C4046" s="10" t="inlineStr">
        <is>
          <t>Pintura em Epóxi em tetos, Aplicação Manual, 2 Demãos</t>
        </is>
      </c>
      <c r="D4046" s="10" t="inlineStr">
        <is>
          <t>Fita Crepe Rolo De 25 Mm X 50 M</t>
        </is>
      </c>
      <c r="E4046" s="11">
        <f t="array" ref="E4046">_xlfn.XLOOKUP(D4046,Insumos!B:B,Insumos!C:$C)</f>
        <v/>
      </c>
      <c r="F4046" s="14" t="n">
        <v>0.01</v>
      </c>
      <c r="G4046" s="92">
        <f t="array" ref="G4046">IF(B4046="insumo",_xlfn.XLOOKUP($D4046,Insumos!$B$1:$B$996,Insumos!$D$1:$D$996),"")</f>
        <v/>
      </c>
      <c r="H4046" s="92" t="n">
        <v>0.1126</v>
      </c>
      <c r="I4046" s="2162" t="e">
        <v>#REF!</v>
      </c>
      <c r="J4046" s="2162" t="e">
        <v>#REF!</v>
      </c>
      <c r="K4046" s="2162" t="n"/>
    </row>
    <row r="4047" outlineLevel="3" ht="15.75" customHeight="1">
      <c r="A4047" s="10" t="n">
        <v>8</v>
      </c>
      <c r="B4047" s="10" t="inlineStr">
        <is>
          <t>Insumo</t>
        </is>
      </c>
      <c r="C4047" s="10" t="inlineStr">
        <is>
          <t>Pintura em Epóxi em tetos, Aplicação Manual, 2 Demãos</t>
        </is>
      </c>
      <c r="D4047" s="10" t="inlineStr">
        <is>
          <t>Primer Epoxi / Epoxidico</t>
        </is>
      </c>
      <c r="E4047" s="11">
        <f t="array" ref="E4047">_xlfn.XLOOKUP(D4047,Insumos!B:B,Insumos!C:$C)</f>
        <v/>
      </c>
      <c r="F4047" s="14" t="n">
        <v>0.2016</v>
      </c>
      <c r="G4047" s="92">
        <f t="array" ref="G4047">IF(B4047="insumo",_xlfn.XLOOKUP($D4047,Insumos!$B$1:$B$996,Insumos!$D$1:$D$996),"")</f>
        <v/>
      </c>
      <c r="H4047" s="92" t="n">
        <v>27.667584</v>
      </c>
      <c r="I4047" s="2162" t="e">
        <v>#REF!</v>
      </c>
      <c r="J4047" s="2162" t="e">
        <v>#REF!</v>
      </c>
      <c r="K4047" s="2162" t="n"/>
    </row>
    <row r="4048" outlineLevel="3" ht="15.75" customHeight="1">
      <c r="A4048" s="10" t="n">
        <v>9</v>
      </c>
      <c r="B4048" s="10" t="inlineStr">
        <is>
          <t>Insumo</t>
        </is>
      </c>
      <c r="C4048" s="10" t="inlineStr">
        <is>
          <t>Pintura em Epóxi em tetos, Aplicação Manual, 2 Demãos</t>
        </is>
      </c>
      <c r="D4048" s="10" t="inlineStr">
        <is>
          <t>Tinta Epoxi Base Agua Premium</t>
        </is>
      </c>
      <c r="E4048" s="11">
        <f t="array" ref="E4048">_xlfn.XLOOKUP(D4048,Insumos!B:B,Insumos!C:$C)</f>
        <v/>
      </c>
      <c r="F4048" s="14" t="n">
        <v>0.483</v>
      </c>
      <c r="G4048" s="92">
        <f t="array" ref="G4048">IF(B4048="insumo",_xlfn.XLOOKUP($D4048,Insumos!$B$1:$B$996,Insumos!$D$1:$D$996),"")</f>
        <v/>
      </c>
      <c r="H4048" s="92" t="n">
        <v>39.5791666666667</v>
      </c>
      <c r="I4048" s="2162" t="e">
        <v>#REF!</v>
      </c>
      <c r="J4048" s="2162" t="e">
        <v>#REF!</v>
      </c>
      <c r="K4048" s="2162" t="n"/>
    </row>
    <row r="4049" outlineLevel="2" ht="15.75" customHeight="1">
      <c r="A4049" s="1067" t="n">
        <v>1</v>
      </c>
      <c r="B4049" s="1067" t="inlineStr">
        <is>
          <t>Serviço</t>
        </is>
      </c>
      <c r="C4049" s="1067" t="inlineStr">
        <is>
          <t>selador em tetos</t>
        </is>
      </c>
      <c r="D4049" s="1067" t="inlineStr">
        <is>
          <t>selador em tetos</t>
        </is>
      </c>
      <c r="E4049" s="1068" t="inlineStr">
        <is>
          <t>M2</t>
        </is>
      </c>
      <c r="F4049" s="1067" t="n"/>
      <c r="G4049" s="1069">
        <f t="array" ref="G4049">IF(B4049="insumo",_xlfn.XLOOKUP($D4049,Insumos!$B$1:$B$996,Insumos!$D$1:$D$996),"")</f>
        <v/>
      </c>
      <c r="H4049" s="1069" t="n">
        <v>1.75855555555556</v>
      </c>
      <c r="I4049" s="2161" t="e">
        <v>#REF!</v>
      </c>
      <c r="J4049" s="2161" t="e">
        <v>#REF!</v>
      </c>
      <c r="K4049" s="2161" t="n"/>
    </row>
    <row r="4050" outlineLevel="3" ht="15.75" customHeight="1">
      <c r="A4050" s="10" t="n">
        <v>19</v>
      </c>
      <c r="B4050" s="10" t="inlineStr">
        <is>
          <t>Insumo</t>
        </is>
      </c>
      <c r="C4050" s="10" t="inlineStr">
        <is>
          <t>selador em tetos</t>
        </is>
      </c>
      <c r="D4050" s="10" t="inlineStr">
        <is>
          <t>Selador Primer Ibratin - 4,2kg - 3,6L</t>
        </is>
      </c>
      <c r="E4050" s="11">
        <f t="array" ref="E4050">_xlfn.XLOOKUP(D4050,Insumos!B:B,Insumos!C:$C)</f>
        <v/>
      </c>
      <c r="F4050" s="14" t="n">
        <v>0.1666</v>
      </c>
      <c r="G4050" s="92">
        <f t="array" ref="G4050">IF(B4050="insumo",_xlfn.XLOOKUP($D4050,Insumos!$B$1:$B$996,Insumos!$D$1:$D$996),"")</f>
        <v/>
      </c>
      <c r="H4050" s="92" t="n">
        <v>1.75855555555556</v>
      </c>
      <c r="I4050" s="2162" t="e">
        <v>#REF!</v>
      </c>
      <c r="J4050" s="2162" t="e">
        <v>#REF!</v>
      </c>
      <c r="K4050" s="2162" t="n"/>
    </row>
    <row r="4051" outlineLevel="2" ht="12.75" customHeight="1">
      <c r="A4051" s="1071" t="n">
        <v>1</v>
      </c>
      <c r="B4051" s="1071" t="inlineStr">
        <is>
          <t>Serviço</t>
        </is>
      </c>
      <c r="C4051" s="1071" t="inlineStr">
        <is>
          <t>Massa corrida em tetos</t>
        </is>
      </c>
      <c r="D4051" s="1071" t="inlineStr">
        <is>
          <t>Massa corrida em tetos</t>
        </is>
      </c>
      <c r="E4051" s="1072" t="inlineStr">
        <is>
          <t>M2</t>
        </is>
      </c>
      <c r="F4051" s="1071" t="n"/>
      <c r="G4051" s="1073">
        <f t="array" ref="G4051">IF(B4051="insumo",_xlfn.XLOOKUP($D4051,Insumos!$B$1:$B$996,Insumos!$D$1:$D$996),"")</f>
        <v/>
      </c>
      <c r="H4051" s="1073" t="n">
        <v>4.34916</v>
      </c>
      <c r="I4051" s="2163" t="e">
        <v>#REF!</v>
      </c>
      <c r="J4051" s="2163" t="e">
        <v>#REF!</v>
      </c>
      <c r="K4051" s="2163" t="n"/>
    </row>
    <row r="4052" outlineLevel="3" ht="12.75" customHeight="1">
      <c r="A4052" s="82" t="n">
        <v>36</v>
      </c>
      <c r="B4052" s="82" t="inlineStr">
        <is>
          <t>Insumo</t>
        </is>
      </c>
      <c r="C4052" s="82" t="inlineStr">
        <is>
          <t>Massa corrida em tetos</t>
        </is>
      </c>
      <c r="D4052" s="82" t="inlineStr">
        <is>
          <t>LIXA DAGUA 225X275MM GR100</t>
        </is>
      </c>
      <c r="E4052" s="11">
        <f t="array" ref="E4052">_xlfn.XLOOKUP(D4052,Insumos!B:B,Insumos!C:$C)</f>
        <v/>
      </c>
      <c r="F4052" s="2164" t="n">
        <v>0.1</v>
      </c>
      <c r="G4052" s="92">
        <f t="array" ref="G4052">IF(B4052="insumo",_xlfn.XLOOKUP($D4052,Insumos!$B$1:$B$996,Insumos!$D$1:$D$996),"")</f>
        <v/>
      </c>
      <c r="H4052" s="92" t="n">
        <v>0.189</v>
      </c>
      <c r="I4052" s="2165" t="e">
        <v>#REF!</v>
      </c>
      <c r="J4052" s="2165" t="e">
        <v>#REF!</v>
      </c>
      <c r="K4052" s="2165" t="n"/>
    </row>
    <row r="4053" outlineLevel="3" ht="12.75" customHeight="1">
      <c r="A4053" s="82" t="n">
        <v>21</v>
      </c>
      <c r="B4053" s="82" t="inlineStr">
        <is>
          <t>Insumo</t>
        </is>
      </c>
      <c r="C4053" s="82" t="inlineStr">
        <is>
          <t>Massa corrida em tetos</t>
        </is>
      </c>
      <c r="D4053" s="82" t="inlineStr">
        <is>
          <t>Massa corrida para superfícies de ambientes internos</t>
        </is>
      </c>
      <c r="E4053" s="11">
        <f t="array" ref="E4053">_xlfn.XLOOKUP(D4053,Insumos!B:B,Insumos!C:$C)</f>
        <v/>
      </c>
      <c r="F4053" s="2164" t="n">
        <v>0.8667</v>
      </c>
      <c r="G4053" s="92">
        <f t="array" ref="G4053">IF(B4053="insumo",_xlfn.XLOOKUP($D4053,Insumos!$B$1:$B$996,Insumos!$D$1:$D$996),"")</f>
        <v/>
      </c>
      <c r="H4053" s="92" t="n">
        <v>4.16016</v>
      </c>
      <c r="I4053" s="2165" t="e">
        <v>#REF!</v>
      </c>
      <c r="J4053" s="2165" t="e">
        <v>#REF!</v>
      </c>
      <c r="K4053" s="2165" t="n"/>
    </row>
    <row r="4054" outlineLevel="2" ht="12.75" customHeight="1">
      <c r="A4054" s="1071" t="n">
        <v>1</v>
      </c>
      <c r="B4054" s="1071" t="inlineStr">
        <is>
          <t>Serviço</t>
        </is>
      </c>
      <c r="C4054" s="1071" t="inlineStr">
        <is>
          <t>Textura acrílica aplicação rolada em tetos, 1 demão</t>
        </is>
      </c>
      <c r="D4054" s="1071" t="inlineStr">
        <is>
          <t>Textura acrílica aplicação rolada em tetos, 1 demão</t>
        </is>
      </c>
      <c r="E4054" s="1072" t="inlineStr">
        <is>
          <t>M2</t>
        </is>
      </c>
      <c r="F4054" s="1071" t="n"/>
      <c r="G4054" s="1073">
        <f t="array" ref="G4054">IF(B4054="insumo",_xlfn.XLOOKUP($D4054,Insumos!$B$1:$B$996,Insumos!$D$1:$D$996),"")</f>
        <v/>
      </c>
      <c r="H4054" s="1073" t="n">
        <v>13.671902</v>
      </c>
      <c r="I4054" s="2163" t="n">
        <v>0</v>
      </c>
      <c r="J4054" s="2163" t="n">
        <v>0</v>
      </c>
      <c r="K4054" s="2163" t="n"/>
    </row>
    <row r="4055" outlineLevel="3" ht="12.75" customHeight="1">
      <c r="A4055" s="82" t="n">
        <v>31</v>
      </c>
      <c r="B4055" s="82" t="inlineStr">
        <is>
          <t>Insumo</t>
        </is>
      </c>
      <c r="C4055" s="82" t="inlineStr">
        <is>
          <t>Textura acrílica aplicação rolada em tetos, 1 demão</t>
        </is>
      </c>
      <c r="D4055" s="82" t="inlineStr">
        <is>
          <t>Selador acrilico opaco premium interno/externo</t>
        </is>
      </c>
      <c r="E4055" s="11">
        <f t="array" ref="E4055">_xlfn.XLOOKUP(D4055,Insumos!B:B,Insumos!C:$C)</f>
        <v/>
      </c>
      <c r="F4055" s="2171" t="n">
        <v>0.1666</v>
      </c>
      <c r="G4055" s="92">
        <f t="array" ref="G4055">IF(B4055="insumo",_xlfn.XLOOKUP($D4055,Insumos!$B$1:$B$996,Insumos!$D$1:$D$996),"")</f>
        <v/>
      </c>
      <c r="H4055" s="92" t="n">
        <v>1.077902</v>
      </c>
      <c r="I4055" s="2165" t="n">
        <v>0</v>
      </c>
      <c r="J4055" s="2165" t="n">
        <v>0</v>
      </c>
      <c r="K4055" s="2165" t="n"/>
    </row>
    <row r="4056" outlineLevel="3" ht="12.75" customHeight="1">
      <c r="A4056" s="82" t="n">
        <v>5</v>
      </c>
      <c r="B4056" s="82" t="inlineStr">
        <is>
          <t>Insumo</t>
        </is>
      </c>
      <c r="C4056" s="82" t="inlineStr">
        <is>
          <t>Textura acrílica aplicação rolada em tetos, 1 demão</t>
        </is>
      </c>
      <c r="D4056" s="82" t="inlineStr">
        <is>
          <t>Textura acrilica branca - Coral</t>
        </is>
      </c>
      <c r="E4056" s="11">
        <f t="array" ref="E4056">_xlfn.XLOOKUP(D4056,Insumos!B:B,Insumos!C:$C)</f>
        <v/>
      </c>
      <c r="F4056" s="2171" t="n">
        <v>1.5</v>
      </c>
      <c r="G4056" s="92">
        <f t="array" ref="G4056">IF(B4056="insumo",_xlfn.XLOOKUP($D4056,Insumos!$B$1:$B$996,Insumos!$D$1:$D$996),"")</f>
        <v/>
      </c>
      <c r="H4056" s="92" t="n">
        <v>12.594</v>
      </c>
      <c r="I4056" s="2165" t="n">
        <v>0</v>
      </c>
      <c r="J4056" s="2165" t="n">
        <v>0</v>
      </c>
      <c r="K4056" s="2165" t="n"/>
    </row>
    <row r="4057" outlineLevel="1" ht="15.75" customHeight="1">
      <c r="A4057" s="1090" t="n">
        <v>1</v>
      </c>
      <c r="B4057" s="1090" t="inlineStr">
        <is>
          <t>Subetapa</t>
        </is>
      </c>
      <c r="C4057" s="1090" t="inlineStr">
        <is>
          <t>Textura acrílica aplicação rolada em tetos, 1 demão</t>
        </is>
      </c>
      <c r="D4057" s="1090" t="inlineStr">
        <is>
          <t>MÃO DE OBRA PISOS</t>
        </is>
      </c>
      <c r="E4057" s="1091" t="n"/>
      <c r="F4057" s="2160" t="n"/>
      <c r="G4057" s="1091" t="n"/>
      <c r="H4057" s="1091" t="n">
        <v>0</v>
      </c>
      <c r="I4057" s="2160" t="n">
        <v>0</v>
      </c>
      <c r="J4057" s="2160" t="n">
        <v>0</v>
      </c>
      <c r="K4057" s="2160" t="n"/>
    </row>
    <row r="4058" outlineLevel="2" ht="15.75" customHeight="1">
      <c r="A4058" s="1067" t="n">
        <v>1</v>
      </c>
      <c r="B4058" s="1067" t="inlineStr">
        <is>
          <t>Serviço</t>
        </is>
      </c>
      <c r="C4058" s="1067" t="inlineStr">
        <is>
          <t>Mão de obra para pintura em pisos , 2 demãos</t>
        </is>
      </c>
      <c r="D4058" s="1067" t="inlineStr">
        <is>
          <t>Mão de obra para pintura em pisos , 2 demãos</t>
        </is>
      </c>
      <c r="E4058" s="1068" t="inlineStr">
        <is>
          <t>M2</t>
        </is>
      </c>
      <c r="F4058" s="1075" t="n"/>
      <c r="G4058" s="1069">
        <f t="array" ref="G4058">IF(B4058="insumo",_xlfn.XLOOKUP($D4058,Insumos!$B$1:$B$996,Insumos!$D$1:$D$996),"")</f>
        <v/>
      </c>
      <c r="H4058" s="1069" t="n">
        <v>41</v>
      </c>
      <c r="I4058" s="2161" t="n">
        <v>0</v>
      </c>
      <c r="J4058" s="2161" t="n">
        <v>0</v>
      </c>
      <c r="K4058" s="2161" t="n"/>
    </row>
    <row r="4059" outlineLevel="3" ht="15.75" customHeight="1">
      <c r="A4059" s="10" t="n">
        <v>1</v>
      </c>
      <c r="B4059" s="10" t="inlineStr">
        <is>
          <t>Insumo</t>
        </is>
      </c>
      <c r="C4059" s="10" t="inlineStr">
        <is>
          <t>Mão de obra para pintura em pisos , 2 demãos</t>
        </is>
      </c>
      <c r="D4059" s="10" t="inlineStr">
        <is>
          <t>Mão de obra para pintura em pisos , 2 demãos</t>
        </is>
      </c>
      <c r="E4059" s="11">
        <f t="array" ref="E4059">_xlfn.XLOOKUP(D4059,Insumos!B:B,Insumos!C:$C)</f>
        <v/>
      </c>
      <c r="F4059" s="14" t="n">
        <v>1</v>
      </c>
      <c r="G4059" s="92">
        <f t="array" ref="G4059">IF(B4059="insumo",_xlfn.XLOOKUP($D4059,Insumos!$B$1:$B$996,Insumos!$D$1:$D$996),"")</f>
        <v/>
      </c>
      <c r="H4059" s="92" t="n">
        <v>41</v>
      </c>
      <c r="I4059" s="2162" t="n">
        <v>0</v>
      </c>
      <c r="J4059" s="2162" t="n">
        <v>0</v>
      </c>
      <c r="K4059" s="2162" t="n"/>
    </row>
    <row r="4060" outlineLevel="2" ht="15.75" customHeight="1">
      <c r="A4060" s="1067" t="n">
        <v>1</v>
      </c>
      <c r="B4060" s="1067" t="inlineStr">
        <is>
          <t>Serviço</t>
        </is>
      </c>
      <c r="C4060" s="1067" t="inlineStr">
        <is>
          <t>Mão de obra para pintura em rodapés, 3 demãos</t>
        </is>
      </c>
      <c r="D4060" s="1067" t="inlineStr">
        <is>
          <t>Mão de obra para pintura em rodapés, 3 demãos</t>
        </is>
      </c>
      <c r="E4060" s="1068" t="inlineStr">
        <is>
          <t>M2</t>
        </is>
      </c>
      <c r="F4060" s="1075" t="n"/>
      <c r="G4060" s="1069">
        <f t="array" ref="G4060">IF(B4060="insumo",_xlfn.XLOOKUP($D4060,Insumos!$B$1:$B$996,Insumos!$D$1:$D$996),"")</f>
        <v/>
      </c>
      <c r="H4060" s="1069" t="n">
        <v>55</v>
      </c>
      <c r="I4060" s="2161" t="n">
        <v>0</v>
      </c>
      <c r="J4060" s="2161" t="n">
        <v>0</v>
      </c>
      <c r="K4060" s="2161" t="n"/>
    </row>
    <row r="4061" outlineLevel="3" ht="15.75" customHeight="1">
      <c r="A4061" s="10" t="n">
        <v>1</v>
      </c>
      <c r="B4061" s="10" t="inlineStr">
        <is>
          <t>Insumo</t>
        </is>
      </c>
      <c r="C4061" s="10" t="inlineStr">
        <is>
          <t>Mão de obra para pintura em rodapés, 3 demãos</t>
        </is>
      </c>
      <c r="D4061" s="10" t="inlineStr">
        <is>
          <t>Mão de obra para pintura em rodapés, 3 demãos</t>
        </is>
      </c>
      <c r="E4061" s="11">
        <f t="array" ref="E4061">_xlfn.XLOOKUP(D4061,Insumos!B:B,Insumos!C:$C)</f>
        <v/>
      </c>
      <c r="F4061" s="14" t="n">
        <v>1</v>
      </c>
      <c r="G4061" s="92">
        <f t="array" ref="G4061">IF(B4061="insumo",_xlfn.XLOOKUP($D4061,Insumos!$B$1:$B$996,Insumos!$D$1:$D$996),"")</f>
        <v/>
      </c>
      <c r="H4061" s="92" t="n">
        <v>55</v>
      </c>
      <c r="I4061" s="2162" t="n">
        <v>0</v>
      </c>
      <c r="J4061" s="2162" t="n">
        <v>0</v>
      </c>
      <c r="K4061" s="2162" t="n"/>
    </row>
    <row r="4062" outlineLevel="2" ht="15.75" customHeight="1">
      <c r="A4062" s="1067" t="n">
        <v>1</v>
      </c>
      <c r="B4062" s="1067" t="inlineStr">
        <is>
          <t>Serviço</t>
        </is>
      </c>
      <c r="C4062" s="1067" t="inlineStr">
        <is>
          <t>Mão de obra para demarcação de vagas epoxi</t>
        </is>
      </c>
      <c r="D4062" s="1067" t="inlineStr">
        <is>
          <t>Mão de obra para demarcação de vagas epoxi</t>
        </is>
      </c>
      <c r="E4062" s="1068" t="inlineStr">
        <is>
          <t>M2</t>
        </is>
      </c>
      <c r="F4062" s="1075" t="n"/>
      <c r="G4062" s="1069">
        <f t="array" ref="G4062">IF(B4062="insumo",_xlfn.XLOOKUP($D4062,Insumos!$B$1:$B$996,Insumos!$D$1:$D$996),"")</f>
        <v/>
      </c>
      <c r="H4062" s="1069" t="n">
        <v>40</v>
      </c>
      <c r="I4062" s="2161" t="e">
        <v>#REF!</v>
      </c>
      <c r="J4062" s="2161" t="e">
        <v>#REF!</v>
      </c>
      <c r="K4062" s="2161" t="n"/>
    </row>
    <row r="4063" outlineLevel="3" ht="15.75" customHeight="1">
      <c r="A4063" s="10" t="n">
        <v>2</v>
      </c>
      <c r="B4063" s="10" t="inlineStr">
        <is>
          <t>Insumo</t>
        </is>
      </c>
      <c r="C4063" s="10" t="inlineStr">
        <is>
          <t>Mão de obra para demarcação de vagas epoxi</t>
        </is>
      </c>
      <c r="D4063" s="10" t="inlineStr">
        <is>
          <t>Mão de obra para demarcação de vagas epoxi</t>
        </is>
      </c>
      <c r="E4063" s="11">
        <f t="array" ref="E4063">_xlfn.XLOOKUP(D4063,Insumos!B:B,Insumos!C:$C)</f>
        <v/>
      </c>
      <c r="F4063" s="14" t="n">
        <v>1</v>
      </c>
      <c r="G4063" s="92">
        <f t="array" ref="G4063">IF(B4063="insumo",_xlfn.XLOOKUP($D4063,Insumos!$B$1:$B$996,Insumos!$D$1:$D$996),"")</f>
        <v/>
      </c>
      <c r="H4063" s="92" t="n">
        <v>40</v>
      </c>
      <c r="I4063" s="2162" t="e">
        <v>#REF!</v>
      </c>
      <c r="J4063" s="2162" t="e">
        <v>#REF!</v>
      </c>
      <c r="K4063" s="2162" t="n"/>
    </row>
    <row r="4064" outlineLevel="2" ht="15.75" customHeight="1">
      <c r="A4064" s="1067" t="n">
        <v>1</v>
      </c>
      <c r="B4064" s="1067" t="inlineStr">
        <is>
          <t>Serviço</t>
        </is>
      </c>
      <c r="C4064" s="1067" t="inlineStr">
        <is>
          <t>Mão de obra para demarcação de vagas, 2 demãos</t>
        </is>
      </c>
      <c r="D4064" s="1067" t="inlineStr">
        <is>
          <t>Mão de obra para demarcação de vagas, 2 demãos</t>
        </is>
      </c>
      <c r="E4064" s="1068" t="inlineStr">
        <is>
          <t>M2</t>
        </is>
      </c>
      <c r="F4064" s="1075" t="n"/>
      <c r="G4064" s="1069">
        <f t="array" ref="G4064">IF(B4064="insumo",_xlfn.XLOOKUP($D4064,Insumos!$B$1:$B$996,Insumos!$D$1:$D$996),"")</f>
        <v/>
      </c>
      <c r="H4064" s="1069" t="n">
        <v>20</v>
      </c>
      <c r="I4064" s="2161" t="n">
        <v>0</v>
      </c>
      <c r="J4064" s="2161" t="n">
        <v>0</v>
      </c>
      <c r="K4064" s="2161" t="n"/>
    </row>
    <row r="4065" outlineLevel="3" ht="15.75" customHeight="1">
      <c r="A4065" s="10" t="n">
        <v>2</v>
      </c>
      <c r="B4065" s="10" t="inlineStr">
        <is>
          <t>Insumo</t>
        </is>
      </c>
      <c r="C4065" s="10" t="inlineStr">
        <is>
          <t>Mão de obra para demarcação de vagas, 2 demãos</t>
        </is>
      </c>
      <c r="D4065" s="10" t="inlineStr">
        <is>
          <t>Mão de obra para demarcação de vagas, 3 demãos</t>
        </is>
      </c>
      <c r="E4065" s="11">
        <f t="array" ref="E4065">_xlfn.XLOOKUP(D4065,Insumos!B:B,Insumos!C:$C)</f>
        <v/>
      </c>
      <c r="F4065" s="14" t="n">
        <v>1</v>
      </c>
      <c r="G4065" s="92">
        <f t="array" ref="G4065">IF(B4065="insumo",_xlfn.XLOOKUP($D4065,Insumos!$B$1:$B$996,Insumos!$D$1:$D$996),"")</f>
        <v/>
      </c>
      <c r="H4065" s="92" t="n">
        <v>20</v>
      </c>
      <c r="I4065" s="2162" t="n">
        <v>0</v>
      </c>
      <c r="J4065" s="2162" t="n">
        <v>0</v>
      </c>
      <c r="K4065" s="2162" t="n"/>
    </row>
    <row r="4066" outlineLevel="2" ht="15.75" customHeight="1">
      <c r="A4066" s="1067" t="n">
        <v>1</v>
      </c>
      <c r="B4066" s="1067" t="inlineStr">
        <is>
          <t>Serviço</t>
        </is>
      </c>
      <c r="C4066" s="1067" t="inlineStr">
        <is>
          <t>Mão de obra para demarcação de vagas, 3 demãos</t>
        </is>
      </c>
      <c r="D4066" s="1067" t="inlineStr">
        <is>
          <t>Mão de obra para demarcação de vagas, 3 demãos</t>
        </is>
      </c>
      <c r="E4066" s="1068" t="inlineStr">
        <is>
          <t>M2</t>
        </is>
      </c>
      <c r="F4066" s="1075" t="n"/>
      <c r="G4066" s="1069">
        <f t="array" ref="G4066">IF(B4066="insumo",_xlfn.XLOOKUP($D4066,Insumos!$B$1:$B$996,Insumos!$D$1:$D$996),"")</f>
        <v/>
      </c>
      <c r="H4066" s="1069" t="n">
        <v>20</v>
      </c>
      <c r="I4066" s="2161" t="n">
        <v>0</v>
      </c>
      <c r="J4066" s="2161" t="n">
        <v>0</v>
      </c>
      <c r="K4066" s="2161" t="n"/>
    </row>
    <row r="4067" outlineLevel="3" ht="15.75" customHeight="1">
      <c r="A4067" s="10" t="n">
        <v>2</v>
      </c>
      <c r="B4067" s="10" t="inlineStr">
        <is>
          <t>Insumo</t>
        </is>
      </c>
      <c r="C4067" s="10" t="inlineStr">
        <is>
          <t>Mão de obra para demarcação de vagas, 3 demãos</t>
        </is>
      </c>
      <c r="D4067" s="10" t="inlineStr">
        <is>
          <t>Mão de obra para demarcação de vagas, 3 demãos</t>
        </is>
      </c>
      <c r="E4067" s="11">
        <f t="array" ref="E4067">_xlfn.XLOOKUP(D4067,Insumos!B:B,Insumos!C:$C)</f>
        <v/>
      </c>
      <c r="F4067" s="14" t="n">
        <v>1</v>
      </c>
      <c r="G4067" s="92">
        <f t="array" ref="G4067">IF(B4067="insumo",_xlfn.XLOOKUP($D4067,Insumos!$B$1:$B$996,Insumos!$D$1:$D$996),"")</f>
        <v/>
      </c>
      <c r="H4067" s="92" t="n">
        <v>20</v>
      </c>
      <c r="I4067" s="2162" t="n">
        <v>0</v>
      </c>
      <c r="J4067" s="2162" t="n">
        <v>0</v>
      </c>
      <c r="K4067" s="2162" t="n"/>
    </row>
    <row r="4068" outlineLevel="1" ht="15.75" customHeight="1">
      <c r="A4068" s="1090" t="n">
        <v>1</v>
      </c>
      <c r="B4068" s="1090" t="inlineStr">
        <is>
          <t>Subetapa</t>
        </is>
      </c>
      <c r="C4068" s="1090" t="inlineStr">
        <is>
          <t>Mão de obra para demarcação de vagas, 3 demãos</t>
        </is>
      </c>
      <c r="D4068" s="1090" t="inlineStr">
        <is>
          <t>MÃO DE OBRA PAREDES</t>
        </is>
      </c>
      <c r="E4068" s="1091" t="n"/>
      <c r="F4068" s="2160" t="n"/>
      <c r="G4068" s="1091" t="n"/>
      <c r="H4068" s="1091" t="n">
        <v>0</v>
      </c>
      <c r="I4068" s="2160" t="n">
        <v>0</v>
      </c>
      <c r="J4068" s="2160" t="n">
        <v>0</v>
      </c>
      <c r="K4068" s="2160" t="n"/>
    </row>
    <row r="4069" outlineLevel="2" ht="15.75" customHeight="1">
      <c r="A4069" s="1067" t="n">
        <v>1</v>
      </c>
      <c r="B4069" s="1067" t="inlineStr">
        <is>
          <t>Serviço</t>
        </is>
      </c>
      <c r="C4069" s="1067" t="inlineStr">
        <is>
          <t>Mão de obra para Textura em paredes internas, 1 demãos</t>
        </is>
      </c>
      <c r="D4069" s="1067" t="inlineStr">
        <is>
          <t>Mão de obra para Textura em paredes internas, 1 demãos</t>
        </is>
      </c>
      <c r="E4069" s="1068" t="inlineStr">
        <is>
          <t>M2</t>
        </is>
      </c>
      <c r="F4069" s="1075" t="n"/>
      <c r="G4069" s="1069">
        <f t="array" ref="G4069">IF(B4069="insumo",_xlfn.XLOOKUP($D4069,Insumos!$B$1:$B$996,Insumos!$D$1:$D$996),"")</f>
        <v/>
      </c>
      <c r="H4069" s="1069" t="n">
        <v>40</v>
      </c>
      <c r="I4069" s="2161" t="e">
        <v>#REF!</v>
      </c>
      <c r="J4069" s="2161" t="e">
        <v>#REF!</v>
      </c>
      <c r="K4069" s="2161" t="n"/>
    </row>
    <row r="4070" outlineLevel="3" ht="15.75" customHeight="1">
      <c r="A4070" s="10" t="n">
        <v>1</v>
      </c>
      <c r="B4070" s="10" t="inlineStr">
        <is>
          <t>Insumo</t>
        </is>
      </c>
      <c r="C4070" s="10" t="inlineStr">
        <is>
          <t>Mão de obra para Textura em paredes internas, 1 demãos</t>
        </is>
      </c>
      <c r="D4070" s="10" t="inlineStr">
        <is>
          <t>Mão de obra para Textura em paredes internas, 1 demãos</t>
        </is>
      </c>
      <c r="E4070" s="11">
        <f t="array" ref="E4070">_xlfn.XLOOKUP(D4070,Insumos!B:B,Insumos!C:$C)</f>
        <v/>
      </c>
      <c r="F4070" s="14" t="n">
        <v>1</v>
      </c>
      <c r="G4070" s="92">
        <f t="array" ref="G4070">IF(B4070="insumo",_xlfn.XLOOKUP($D4070,Insumos!$B$1:$B$996,Insumos!$D$1:$D$996),"")</f>
        <v/>
      </c>
      <c r="H4070" s="92" t="n">
        <v>40</v>
      </c>
      <c r="I4070" s="2162" t="e">
        <v>#REF!</v>
      </c>
      <c r="J4070" s="2162" t="e">
        <v>#REF!</v>
      </c>
      <c r="K4070" s="2162" t="n"/>
    </row>
    <row r="4071" outlineLevel="2" ht="15.75" customHeight="1">
      <c r="A4071" s="1067" t="n">
        <v>1</v>
      </c>
      <c r="B4071" s="1067" t="inlineStr">
        <is>
          <t>Serviço</t>
        </is>
      </c>
      <c r="C4071" s="1067" t="inlineStr">
        <is>
          <t>Mão de obra para pintura epóxi em paredes internas, 2 demãos</t>
        </is>
      </c>
      <c r="D4071" s="1067" t="inlineStr">
        <is>
          <t>Mão de obra para pintura epóxi em paredes internas, 2 demãos</t>
        </is>
      </c>
      <c r="E4071" s="1068" t="inlineStr">
        <is>
          <t>M2</t>
        </is>
      </c>
      <c r="F4071" s="1075" t="n"/>
      <c r="G4071" s="1069">
        <f t="array" ref="G4071">IF(B4071="insumo",_xlfn.XLOOKUP($D4071,Insumos!$B$1:$B$996,Insumos!$D$1:$D$996),"")</f>
        <v/>
      </c>
      <c r="H4071" s="1069" t="n">
        <v>42</v>
      </c>
      <c r="I4071" s="2161" t="e">
        <v>#REF!</v>
      </c>
      <c r="J4071" s="2161" t="e">
        <v>#REF!</v>
      </c>
      <c r="K4071" s="2161" t="n"/>
    </row>
    <row r="4072" outlineLevel="3" ht="15.75" customHeight="1">
      <c r="A4072" s="10" t="n">
        <v>1</v>
      </c>
      <c r="B4072" s="10" t="inlineStr">
        <is>
          <t>Insumo</t>
        </is>
      </c>
      <c r="C4072" s="10" t="inlineStr">
        <is>
          <t>Mão de obra para pintura epóxi em paredes internas, 2 demãos</t>
        </is>
      </c>
      <c r="D4072" s="10" t="inlineStr">
        <is>
          <t>Mão de obra para pintura epóxi em paredes internas, 2 demãos</t>
        </is>
      </c>
      <c r="E4072" s="11">
        <f t="array" ref="E4072">_xlfn.XLOOKUP(D4072,Insumos!B:B,Insumos!C:$C)</f>
        <v/>
      </c>
      <c r="F4072" s="14" t="n">
        <v>1</v>
      </c>
      <c r="G4072" s="92">
        <f t="array" ref="G4072">IF(B4072="insumo",_xlfn.XLOOKUP($D4072,Insumos!$B$1:$B$996,Insumos!$D$1:$D$996),"")</f>
        <v/>
      </c>
      <c r="H4072" s="92" t="n">
        <v>42</v>
      </c>
      <c r="I4072" s="2162" t="e">
        <v>#REF!</v>
      </c>
      <c r="J4072" s="2162" t="e">
        <v>#REF!</v>
      </c>
      <c r="K4072" s="2162" t="n"/>
    </row>
    <row r="4073" outlineLevel="2" ht="15.75" customHeight="1">
      <c r="A4073" s="1067" t="n">
        <v>1</v>
      </c>
      <c r="B4073" s="1067" t="inlineStr">
        <is>
          <t>Serviço</t>
        </is>
      </c>
      <c r="C4073" s="1067" t="inlineStr">
        <is>
          <t>Mão de obra para pintura em paredes internas, 3 demãos</t>
        </is>
      </c>
      <c r="D4073" s="1067" t="inlineStr">
        <is>
          <t>Mão de obra para pintura em paredes internas, 3 demãos</t>
        </is>
      </c>
      <c r="E4073" s="1068" t="inlineStr">
        <is>
          <t>M2</t>
        </is>
      </c>
      <c r="F4073" s="1075" t="n"/>
      <c r="G4073" s="1069">
        <f t="array" ref="G4073">IF(B4073="insumo",_xlfn.XLOOKUP($D4073,Insumos!$B$1:$B$996,Insumos!$D$1:$D$996),"")</f>
        <v/>
      </c>
      <c r="H4073" s="1069" t="n">
        <v>40</v>
      </c>
      <c r="I4073" s="2161" t="e">
        <v>#REF!</v>
      </c>
      <c r="J4073" s="2161" t="e">
        <v>#REF!</v>
      </c>
      <c r="K4073" s="2161" t="n"/>
    </row>
    <row r="4074" outlineLevel="3" ht="15.75" customHeight="1">
      <c r="A4074" s="10" t="n">
        <v>1</v>
      </c>
      <c r="B4074" s="10" t="inlineStr">
        <is>
          <t>Insumo</t>
        </is>
      </c>
      <c r="C4074" s="10" t="inlineStr">
        <is>
          <t>Mão de obra para pintura em paredes internas, 3 demãos</t>
        </is>
      </c>
      <c r="D4074" s="10" t="inlineStr">
        <is>
          <t>Mão de obra para pintura em paredes internas, 3 demãos</t>
        </is>
      </c>
      <c r="E4074" s="11">
        <f t="array" ref="E4074">_xlfn.XLOOKUP(D4074,Insumos!B:B,Insumos!C:$C)</f>
        <v/>
      </c>
      <c r="F4074" s="14" t="n">
        <v>1</v>
      </c>
      <c r="G4074" s="92">
        <f t="array" ref="G4074">IF(B4074="insumo",_xlfn.XLOOKUP($D4074,Insumos!$B$1:$B$996,Insumos!$D$1:$D$996),"")</f>
        <v/>
      </c>
      <c r="H4074" s="92" t="n">
        <v>40</v>
      </c>
      <c r="I4074" s="2162" t="e">
        <v>#REF!</v>
      </c>
      <c r="J4074" s="2162" t="e">
        <v>#REF!</v>
      </c>
      <c r="K4074" s="2162" t="n"/>
    </row>
    <row r="4075" outlineLevel="2" ht="15.75" customHeight="1">
      <c r="A4075" s="1067" t="n">
        <v>1</v>
      </c>
      <c r="B4075" s="1067" t="inlineStr">
        <is>
          <t>Serviço</t>
        </is>
      </c>
      <c r="C4075" s="1067" t="inlineStr">
        <is>
          <t>Mão de obra para faixa de garagem em paredes internas, 1 demãos</t>
        </is>
      </c>
      <c r="D4075" s="1067" t="inlineStr">
        <is>
          <t>Mão de obra para faixa de garagem em paredes internas, 1 demãos</t>
        </is>
      </c>
      <c r="E4075" s="1068" t="inlineStr">
        <is>
          <t>M2</t>
        </is>
      </c>
      <c r="F4075" s="1075" t="n"/>
      <c r="G4075" s="1069">
        <f t="array" ref="G4075">IF(B4075="insumo",_xlfn.XLOOKUP($D4075,Insumos!$B$1:$B$996,Insumos!$D$1:$D$996),"")</f>
        <v/>
      </c>
      <c r="H4075" s="1069" t="n">
        <v>20</v>
      </c>
      <c r="I4075" s="2161" t="e">
        <v>#REF!</v>
      </c>
      <c r="J4075" s="2161" t="e">
        <v>#REF!</v>
      </c>
      <c r="K4075" s="2161" t="n"/>
    </row>
    <row r="4076" outlineLevel="3" ht="15.75" customHeight="1">
      <c r="A4076" s="10" t="n">
        <v>1</v>
      </c>
      <c r="B4076" s="10" t="inlineStr">
        <is>
          <t>Insumo</t>
        </is>
      </c>
      <c r="C4076" s="10" t="inlineStr">
        <is>
          <t>Mão de obra para faixa de garagem em paredes internas, 1 demãos</t>
        </is>
      </c>
      <c r="D4076" s="10" t="inlineStr">
        <is>
          <t>Mão de obra para faixa de garagem em paredes internas, 1 demãos</t>
        </is>
      </c>
      <c r="E4076" s="11">
        <f t="array" ref="E4076">_xlfn.XLOOKUP(D4076,Insumos!B:B,Insumos!C:$C)</f>
        <v/>
      </c>
      <c r="F4076" s="14" t="n">
        <v>1</v>
      </c>
      <c r="G4076" s="92">
        <f t="array" ref="G4076">IF(B4076="insumo",_xlfn.XLOOKUP($D4076,Insumos!$B$1:$B$996,Insumos!$D$1:$D$996),"")</f>
        <v/>
      </c>
      <c r="H4076" s="92" t="n">
        <v>20</v>
      </c>
      <c r="I4076" s="2162" t="e">
        <v>#REF!</v>
      </c>
      <c r="J4076" s="2162" t="e">
        <v>#REF!</v>
      </c>
      <c r="K4076" s="2162" t="n"/>
    </row>
    <row r="4077" outlineLevel="1" ht="15.75" customHeight="1">
      <c r="A4077" s="1090" t="n">
        <v>1</v>
      </c>
      <c r="B4077" s="1090" t="inlineStr">
        <is>
          <t>Subetapa</t>
        </is>
      </c>
      <c r="C4077" s="1090" t="inlineStr">
        <is>
          <t>Mão de obra para faixa de garagem em paredes internas, 1 demãos</t>
        </is>
      </c>
      <c r="D4077" s="1090" t="inlineStr">
        <is>
          <t>MÃO DE OBRA TETO</t>
        </is>
      </c>
      <c r="E4077" s="1091" t="n"/>
      <c r="F4077" s="2160" t="n"/>
      <c r="G4077" s="1091" t="n"/>
      <c r="H4077" s="1091" t="n">
        <v>0</v>
      </c>
      <c r="I4077" s="2160" t="n">
        <v>0</v>
      </c>
      <c r="J4077" s="2160" t="n">
        <v>0</v>
      </c>
      <c r="K4077" s="2160" t="n"/>
    </row>
    <row r="4078" outlineLevel="2" ht="15.75" customHeight="1">
      <c r="A4078" s="1067" t="n">
        <v>1</v>
      </c>
      <c r="B4078" s="1067" t="inlineStr">
        <is>
          <t>Serviço</t>
        </is>
      </c>
      <c r="C4078" s="1067" t="inlineStr">
        <is>
          <t>Mão de obra para pintura em teto, 3 demãos</t>
        </is>
      </c>
      <c r="D4078" s="1067" t="inlineStr">
        <is>
          <t>Mão de obra para pintura em teto, 3 demãos</t>
        </is>
      </c>
      <c r="E4078" s="1068" t="inlineStr">
        <is>
          <t>M2</t>
        </is>
      </c>
      <c r="F4078" s="1075" t="n"/>
      <c r="G4078" s="1069">
        <f t="array" ref="G4078">IF(B4078="insumo",_xlfn.XLOOKUP($D4078,Insumos!$B$1:$B$996,Insumos!$D$1:$D$996),"")</f>
        <v/>
      </c>
      <c r="H4078" s="1069" t="n">
        <v>40</v>
      </c>
      <c r="I4078" s="2161" t="e">
        <v>#REF!</v>
      </c>
      <c r="J4078" s="2161" t="e">
        <v>#REF!</v>
      </c>
      <c r="K4078" s="2161" t="n"/>
    </row>
    <row r="4079" outlineLevel="3" ht="15.75" customHeight="1">
      <c r="A4079" s="10" t="n">
        <v>1</v>
      </c>
      <c r="B4079" s="10" t="inlineStr">
        <is>
          <t>Insumo</t>
        </is>
      </c>
      <c r="C4079" s="10" t="inlineStr">
        <is>
          <t>Mão de obra para pintura em teto, 3 demãos</t>
        </is>
      </c>
      <c r="D4079" s="10" t="inlineStr">
        <is>
          <t>Mão de obra para pintura em teto, 3 demãos</t>
        </is>
      </c>
      <c r="E4079" s="11">
        <f t="array" ref="E4079">_xlfn.XLOOKUP(D4079,Insumos!B:B,Insumos!C:$C)</f>
        <v/>
      </c>
      <c r="F4079" s="14" t="n">
        <v>1</v>
      </c>
      <c r="G4079" s="92">
        <f t="array" ref="G4079">IF(B4079="insumo",_xlfn.XLOOKUP($D4079,Insumos!$B$1:$B$996,Insumos!$D$1:$D$996),"")</f>
        <v/>
      </c>
      <c r="H4079" s="92" t="n">
        <v>40</v>
      </c>
      <c r="I4079" s="2162" t="e">
        <v>#REF!</v>
      </c>
      <c r="J4079" s="2162" t="e">
        <v>#REF!</v>
      </c>
      <c r="K4079" s="2162" t="n"/>
    </row>
    <row r="4080" outlineLevel="2" ht="15.75" customHeight="1">
      <c r="A4080" s="1067" t="n">
        <v>1</v>
      </c>
      <c r="B4080" s="1067" t="inlineStr">
        <is>
          <t>Serviço</t>
        </is>
      </c>
      <c r="C4080" s="1067" t="inlineStr">
        <is>
          <t>Mão de obra para pintura artistica em teto</t>
        </is>
      </c>
      <c r="D4080" s="1067" t="inlineStr">
        <is>
          <t>Mão de obra para pintura artistica em teto</t>
        </is>
      </c>
      <c r="E4080" s="1068" t="inlineStr">
        <is>
          <t>M2</t>
        </is>
      </c>
      <c r="F4080" s="1075" t="n"/>
      <c r="G4080" s="1069">
        <f t="array" ref="G4080">IF(B4080="insumo",_xlfn.XLOOKUP($D4080,Insumos!$B$1:$B$996,Insumos!$D$1:$D$996),"")</f>
        <v/>
      </c>
      <c r="H4080" s="1069" t="n">
        <v>400</v>
      </c>
      <c r="I4080" s="2161" t="e">
        <v>#REF!</v>
      </c>
      <c r="J4080" s="2161" t="e">
        <v>#REF!</v>
      </c>
      <c r="K4080" s="2161" t="n"/>
    </row>
    <row r="4081" outlineLevel="3" ht="15.75" customHeight="1">
      <c r="A4081" s="10" t="n">
        <v>1</v>
      </c>
      <c r="B4081" s="10" t="inlineStr">
        <is>
          <t>Insumo</t>
        </is>
      </c>
      <c r="C4081" s="10" t="inlineStr">
        <is>
          <t>Mão de obra para pintura artistica em teto</t>
        </is>
      </c>
      <c r="D4081" s="10" t="inlineStr">
        <is>
          <t>Mão de obra para pintura artistica em teto</t>
        </is>
      </c>
      <c r="E4081" s="11">
        <f t="array" ref="E4081">_xlfn.XLOOKUP(D4081,Insumos!B:B,Insumos!C:$C)</f>
        <v/>
      </c>
      <c r="F4081" s="14" t="n">
        <v>1</v>
      </c>
      <c r="G4081" s="92">
        <f t="array" ref="G4081">IF(B4081="insumo",_xlfn.XLOOKUP($D4081,Insumos!$B$1:$B$996,Insumos!$D$1:$D$996),"")</f>
        <v/>
      </c>
      <c r="H4081" s="92" t="n">
        <v>400</v>
      </c>
      <c r="I4081" s="2162" t="e">
        <v>#REF!</v>
      </c>
      <c r="J4081" s="2162" t="e">
        <v>#REF!</v>
      </c>
      <c r="K4081" s="2162" t="n"/>
    </row>
    <row r="4082" outlineLevel="2" ht="15.75" customHeight="1">
      <c r="A4082" s="1067" t="n">
        <v>1</v>
      </c>
      <c r="B4082" s="1067" t="inlineStr">
        <is>
          <t>Serviço</t>
        </is>
      </c>
      <c r="C4082" s="1067" t="inlineStr">
        <is>
          <t>Mão de obra para pintura epoxi em teto</t>
        </is>
      </c>
      <c r="D4082" s="1067" t="inlineStr">
        <is>
          <t>Mão de obra para pintura epoxi em teto</t>
        </is>
      </c>
      <c r="E4082" s="1068" t="inlineStr">
        <is>
          <t>M2</t>
        </is>
      </c>
      <c r="F4082" s="1075" t="n"/>
      <c r="G4082" s="1069">
        <f t="array" ref="G4082">IF(B4082="insumo",_xlfn.XLOOKUP($D4082,Insumos!$B$1:$B$996,Insumos!$D$1:$D$996),"")</f>
        <v/>
      </c>
      <c r="H4082" s="1069" t="n">
        <v>40</v>
      </c>
      <c r="I4082" s="2161" t="e">
        <v>#REF!</v>
      </c>
      <c r="J4082" s="2161" t="e">
        <v>#REF!</v>
      </c>
      <c r="K4082" s="2161" t="n"/>
    </row>
    <row r="4083" outlineLevel="3" ht="15.75" customHeight="1">
      <c r="A4083" s="10" t="n">
        <v>2</v>
      </c>
      <c r="B4083" s="10" t="inlineStr">
        <is>
          <t>Insumo</t>
        </is>
      </c>
      <c r="C4083" s="10" t="inlineStr">
        <is>
          <t>Mão de obra para pintura epoxi em teto</t>
        </is>
      </c>
      <c r="D4083" s="10" t="inlineStr">
        <is>
          <t>Mão de obra para demarcação de vagas epoxi</t>
        </is>
      </c>
      <c r="E4083" s="11">
        <f t="array" ref="E4083">_xlfn.XLOOKUP(D4083,Insumos!B:B,Insumos!C:$C)</f>
        <v/>
      </c>
      <c r="F4083" s="14" t="n">
        <v>1</v>
      </c>
      <c r="G4083" s="92">
        <f t="array" ref="G4083">IF(B4083="insumo",_xlfn.XLOOKUP($D4083,Insumos!$B$1:$B$996,Insumos!$D$1:$D$996),"")</f>
        <v/>
      </c>
      <c r="H4083" s="92" t="n">
        <v>40</v>
      </c>
      <c r="I4083" s="2162" t="e">
        <v>#REF!</v>
      </c>
      <c r="J4083" s="2162" t="e">
        <v>#REF!</v>
      </c>
      <c r="K4083" s="2162" t="n"/>
    </row>
    <row r="4084" outlineLevel="2" ht="15.75" customHeight="1">
      <c r="A4084" s="1067" t="n">
        <v>1</v>
      </c>
      <c r="B4084" s="1067" t="inlineStr">
        <is>
          <t>Serviço</t>
        </is>
      </c>
      <c r="C4084" s="1067" t="inlineStr">
        <is>
          <t>Mão de obra para textura em teto, 1 demão</t>
        </is>
      </c>
      <c r="D4084" s="1067" t="inlineStr">
        <is>
          <t>Mão de obra para textura em teto, 1 demão</t>
        </is>
      </c>
      <c r="E4084" s="1068" t="inlineStr">
        <is>
          <t>M2</t>
        </is>
      </c>
      <c r="F4084" s="1075" t="n"/>
      <c r="G4084" s="1069">
        <f t="array" ref="G4084">IF(B4084="insumo",_xlfn.XLOOKUP($D4084,Insumos!$B$1:$B$996,Insumos!$D$1:$D$996),"")</f>
        <v/>
      </c>
      <c r="H4084" s="1069" t="n">
        <v>40</v>
      </c>
      <c r="I4084" s="2161" t="e">
        <v>#REF!</v>
      </c>
      <c r="J4084" s="2161" t="e">
        <v>#REF!</v>
      </c>
      <c r="K4084" s="2161" t="n"/>
    </row>
    <row r="4085" outlineLevel="3" ht="15.75" customHeight="1">
      <c r="A4085" s="10" t="n">
        <v>1</v>
      </c>
      <c r="B4085" s="10" t="inlineStr">
        <is>
          <t>Insumo</t>
        </is>
      </c>
      <c r="C4085" s="10" t="inlineStr">
        <is>
          <t>Mão de obra para textura em teto, 1 demão</t>
        </is>
      </c>
      <c r="D4085" s="10" t="inlineStr">
        <is>
          <t>Mão de obra para textura em teto, 1 demão</t>
        </is>
      </c>
      <c r="E4085" s="11">
        <f t="array" ref="E4085">_xlfn.XLOOKUP(D4085,Insumos!B:B,Insumos!C:$C)</f>
        <v/>
      </c>
      <c r="F4085" s="14" t="n">
        <v>1</v>
      </c>
      <c r="G4085" s="92">
        <f t="array" ref="G4085">IF(B4085="insumo",_xlfn.XLOOKUP($D4085,Insumos!$B$1:$B$996,Insumos!$D$1:$D$996),"")</f>
        <v/>
      </c>
      <c r="H4085" s="92" t="n">
        <v>40</v>
      </c>
      <c r="I4085" s="2162" t="e">
        <v>#REF!</v>
      </c>
      <c r="J4085" s="2162" t="e">
        <v>#REF!</v>
      </c>
      <c r="K4085" s="2162" t="n"/>
    </row>
    <row r="4086" ht="15.75" customHeight="1">
      <c r="A4086" s="7" t="n">
        <v>1</v>
      </c>
      <c r="B4086" s="7" t="inlineStr">
        <is>
          <t>Etapa</t>
        </is>
      </c>
      <c r="C4086" s="7" t="inlineStr">
        <is>
          <t>Mão de obra para textura em teto, 1 demão</t>
        </is>
      </c>
      <c r="D4086" s="7" t="inlineStr">
        <is>
          <t>ESQUADRIAS</t>
        </is>
      </c>
      <c r="E4086" s="8" t="n"/>
      <c r="F4086" s="2159" t="n"/>
      <c r="G4086" s="91">
        <f t="array" ref="G4086">IF(B4086="insumo",_xlfn.XLOOKUP($D4086,Insumos!$B$1:$B$996,Insumos!$D$1:$D$996),"")</f>
        <v/>
      </c>
      <c r="H4086" s="91" t="n">
        <v>0</v>
      </c>
      <c r="I4086" s="2159" t="n">
        <v>0</v>
      </c>
      <c r="J4086" s="2159" t="n">
        <v>0</v>
      </c>
      <c r="K4086" s="2159" t="n"/>
    </row>
    <row r="4087" outlineLevel="1" ht="15.75" customHeight="1">
      <c r="A4087" s="1090" t="n">
        <v>1</v>
      </c>
      <c r="B4087" s="1090" t="inlineStr">
        <is>
          <t>Subetapa</t>
        </is>
      </c>
      <c r="C4087" s="1090" t="inlineStr">
        <is>
          <t>Mão de obra para textura em teto, 1 demão</t>
        </is>
      </c>
      <c r="D4087" s="1090" t="inlineStr">
        <is>
          <t>ESQUADRIAS ALUMÍNIO</t>
        </is>
      </c>
      <c r="E4087" s="1091" t="n"/>
      <c r="F4087" s="2160" t="n"/>
      <c r="G4087" s="1091" t="n"/>
      <c r="H4087" s="1091" t="n">
        <v>0</v>
      </c>
      <c r="I4087" s="2160" t="n">
        <v>0</v>
      </c>
      <c r="J4087" s="2160" t="n">
        <v>0</v>
      </c>
      <c r="K4087" s="2160" t="n"/>
    </row>
    <row r="4088" outlineLevel="2" ht="15.75" customHeight="1">
      <c r="A4088" s="1067" t="n">
        <v>1</v>
      </c>
      <c r="B4088" s="1067" t="inlineStr">
        <is>
          <t>Serviço</t>
        </is>
      </c>
      <c r="C4088" s="1067" t="inlineStr">
        <is>
          <t>Esquadrias de Alumínio - fornecimento e instalação</t>
        </is>
      </c>
      <c r="D4088" s="1067" t="inlineStr">
        <is>
          <t>Esquadrias de Alumínio - fornecimento e instalação</t>
        </is>
      </c>
      <c r="E4088" s="1068" t="inlineStr">
        <is>
          <t>M2</t>
        </is>
      </c>
      <c r="F4088" s="1067" t="n"/>
      <c r="G4088" s="1069">
        <f t="array" ref="G4088">IF(B4088="insumo",_xlfn.XLOOKUP($D4088,Insumos!$B$1:$B$996,Insumos!$D$1:$D$996),"")</f>
        <v/>
      </c>
      <c r="H4088" s="1069" t="n">
        <v>2140</v>
      </c>
      <c r="I4088" s="2161" t="n">
        <v>0</v>
      </c>
      <c r="J4088" s="2161" t="n">
        <v>0</v>
      </c>
      <c r="K4088" s="2161" t="n"/>
    </row>
    <row r="4089" outlineLevel="3" ht="15.75" customHeight="1">
      <c r="A4089" s="10" t="n">
        <v>1</v>
      </c>
      <c r="B4089" s="10" t="inlineStr">
        <is>
          <t>Insumo</t>
        </is>
      </c>
      <c r="C4089" s="10" t="inlineStr">
        <is>
          <t>Esquadrias de Alumínio - fornecimento e instalação</t>
        </is>
      </c>
      <c r="D4089" s="10" t="inlineStr">
        <is>
          <t>Esquadrias de Alumínio - fornecimento e instalação</t>
        </is>
      </c>
      <c r="E4089" s="11">
        <f t="array" ref="E4089">_xlfn.XLOOKUP(D4089,Insumos!B:B,Insumos!C:$C)</f>
        <v/>
      </c>
      <c r="F4089" s="14" t="n">
        <v>1</v>
      </c>
      <c r="G4089" s="92">
        <f t="array" ref="G4089">IF(B4089="insumo",_xlfn.XLOOKUP($D4089,Insumos!$B$1:$B$996,Insumos!$D$1:$D$996),"")</f>
        <v/>
      </c>
      <c r="H4089" s="92" t="n">
        <v>2140</v>
      </c>
      <c r="I4089" s="2162" t="n">
        <v>0</v>
      </c>
      <c r="J4089" s="2162" t="n">
        <v>0</v>
      </c>
      <c r="K4089" s="2162" t="n"/>
    </row>
    <row r="4090" outlineLevel="2" ht="15.75" customHeight="1">
      <c r="A4090" s="1067" t="n">
        <v>1</v>
      </c>
      <c r="B4090" s="1067" t="inlineStr">
        <is>
          <t>Serviço</t>
        </is>
      </c>
      <c r="C4090" s="1067" t="inlineStr">
        <is>
          <t>Contramarco de aço galvanizado - Fixado com Argamassa</t>
        </is>
      </c>
      <c r="D4090" s="1067" t="inlineStr">
        <is>
          <t>Contramarco de aço galvanizado - Fixado com Argamassa</t>
        </is>
      </c>
      <c r="E4090" s="1068" t="inlineStr">
        <is>
          <t>m</t>
        </is>
      </c>
      <c r="F4090" s="1067" t="n"/>
      <c r="G4090" s="1069">
        <f t="array" ref="G4090">IF(B4090="insumo",_xlfn.XLOOKUP($D4090,Insumos!$B$1:$B$996,Insumos!$D$1:$D$996),"")</f>
        <v/>
      </c>
      <c r="H4090" s="1069" t="n">
        <v>66.84999999999999</v>
      </c>
      <c r="I4090" s="2161" t="n">
        <v>462.5</v>
      </c>
      <c r="J4090" s="2161" t="n">
        <v>30918.125</v>
      </c>
      <c r="K4090" s="2161" t="n"/>
    </row>
    <row r="4091" outlineLevel="3" ht="15.75" customHeight="1">
      <c r="A4091" s="10" t="n">
        <v>1</v>
      </c>
      <c r="B4091" s="10" t="inlineStr">
        <is>
          <t>Insumo</t>
        </is>
      </c>
      <c r="C4091" s="10" t="inlineStr">
        <is>
          <t>Contramarco de aço galvanizado - Fixado com Argamassa</t>
        </is>
      </c>
      <c r="D4091" s="10" t="inlineStr">
        <is>
          <t>Serviço de fixação de contramarco de aço</t>
        </is>
      </c>
      <c r="E4091" s="11">
        <f t="array" ref="E4091">_xlfn.XLOOKUP(D4091,Insumos!B:B,Insumos!C:$C)</f>
        <v/>
      </c>
      <c r="F4091" s="14" t="n">
        <v>1</v>
      </c>
      <c r="G4091" s="92">
        <f t="array" ref="G4091">IF(B4091="insumo",_xlfn.XLOOKUP($D4091,Insumos!$B$1:$B$996,Insumos!$D$1:$D$996),"")</f>
        <v/>
      </c>
      <c r="H4091" s="92" t="n">
        <v>30</v>
      </c>
      <c r="I4091" s="2162" t="n">
        <v>462.5</v>
      </c>
      <c r="J4091" s="2162" t="n">
        <v>13875</v>
      </c>
      <c r="K4091" s="2162" t="n"/>
    </row>
    <row r="4092" outlineLevel="3" ht="15.75" customHeight="1">
      <c r="A4092" s="10" t="n">
        <v>1</v>
      </c>
      <c r="B4092" s="10" t="inlineStr">
        <is>
          <t>Insumo</t>
        </is>
      </c>
      <c r="C4092" s="10" t="inlineStr">
        <is>
          <t>Contramarco de aço galvanizado - Fixado com Argamassa</t>
        </is>
      </c>
      <c r="D4092" s="10" t="inlineStr">
        <is>
          <t>CONTRAMARCO DE AÇO</t>
        </is>
      </c>
      <c r="E4092" s="11">
        <f t="array" ref="E4092">_xlfn.XLOOKUP(D4092,Insumos!B:B,Insumos!C:$C)</f>
        <v/>
      </c>
      <c r="F4092" s="14" t="n">
        <v>1</v>
      </c>
      <c r="G4092" s="92">
        <f t="array" ref="G4092">IF(B4092="insumo",_xlfn.XLOOKUP($D4092,Insumos!$B$1:$B$996,Insumos!$D$1:$D$996),"")</f>
        <v/>
      </c>
      <c r="H4092" s="92" t="n">
        <v>36</v>
      </c>
      <c r="I4092" s="2162" t="n">
        <v>462.5</v>
      </c>
      <c r="J4092" s="2162" t="n">
        <v>16650</v>
      </c>
      <c r="K4092" s="2162" t="n"/>
    </row>
    <row r="4093" outlineLevel="3" ht="15.75" customHeight="1">
      <c r="A4093" s="10" t="n">
        <v>17</v>
      </c>
      <c r="B4093" s="10" t="inlineStr">
        <is>
          <t>Insumo</t>
        </is>
      </c>
      <c r="C4093" s="10" t="inlineStr">
        <is>
          <t>Contramarco de aço galvanizado - Fixado com Argamassa</t>
        </is>
      </c>
      <c r="D4093" s="10" t="inlineStr">
        <is>
          <t>ARGAMASSA ESTABILIZADA PARA ASSENTAMENTO</t>
        </is>
      </c>
      <c r="E4093" s="11">
        <f t="array" ref="E4093">_xlfn.XLOOKUP(D4093,Insumos!B:B,Insumos!C:$C)</f>
        <v/>
      </c>
      <c r="F4093" s="14" t="n">
        <v>0.002</v>
      </c>
      <c r="G4093" s="92">
        <f t="array" ref="G4093">IF(B4093="insumo",_xlfn.XLOOKUP($D4093,Insumos!$B$1:$B$996,Insumos!$D$1:$D$996),"")</f>
        <v/>
      </c>
      <c r="H4093" s="92" t="n">
        <v>0.85</v>
      </c>
      <c r="I4093" s="2162" t="n">
        <v>462.5</v>
      </c>
      <c r="J4093" s="2162" t="n">
        <v>393.125</v>
      </c>
      <c r="K4093" s="2162" t="n"/>
    </row>
    <row r="4094" outlineLevel="2" ht="15.75" customHeight="1">
      <c r="A4094" s="1067" t="n">
        <v>1</v>
      </c>
      <c r="B4094" s="1067" t="inlineStr">
        <is>
          <t>Serviço</t>
        </is>
      </c>
      <c r="C4094" s="1067" t="inlineStr">
        <is>
          <t>Contramarco de Alumínio, Fixação com Argamassa</t>
        </is>
      </c>
      <c r="D4094" s="1067" t="inlineStr">
        <is>
          <t>Contramarco de Alumínio, Fixação com Argamassa</t>
        </is>
      </c>
      <c r="E4094" s="1068" t="inlineStr">
        <is>
          <t>m</t>
        </is>
      </c>
      <c r="F4094" s="1067" t="n"/>
      <c r="G4094" s="1069">
        <f t="array" ref="G4094">IF(B4094="insumo",_xlfn.XLOOKUP($D4094,Insumos!$B$1:$B$996,Insumos!$D$1:$D$996),"")</f>
        <v/>
      </c>
      <c r="H4094" s="1069" t="n">
        <v>23.24</v>
      </c>
      <c r="I4094" s="2161" t="n">
        <v>5018.1</v>
      </c>
      <c r="J4094" s="2161" t="n">
        <v>116620.644</v>
      </c>
      <c r="K4094" s="2161" t="n"/>
    </row>
    <row r="4095" outlineLevel="3" ht="15.75" customHeight="1">
      <c r="A4095" s="10" t="n">
        <v>1</v>
      </c>
      <c r="B4095" s="10" t="inlineStr">
        <is>
          <t>Insumo</t>
        </is>
      </c>
      <c r="C4095" s="10" t="inlineStr">
        <is>
          <t>Contramarco de Alumínio, Fixação com Argamassa</t>
        </is>
      </c>
      <c r="D4095" s="10" t="inlineStr">
        <is>
          <t>Serviço de fixação de contramarco de aluminio</t>
        </is>
      </c>
      <c r="E4095" s="11">
        <f t="array" ref="E4095">_xlfn.XLOOKUP(D4095,Insumos!B:B,Insumos!C:$C)</f>
        <v/>
      </c>
      <c r="F4095" s="14" t="n">
        <v>1</v>
      </c>
      <c r="G4095" s="92">
        <f t="array" ref="G4095">IF(B4095="insumo",_xlfn.XLOOKUP($D4095,Insumos!$B$1:$B$996,Insumos!$D$1:$D$996),"")</f>
        <v/>
      </c>
      <c r="H4095" s="92" t="n">
        <v>15</v>
      </c>
      <c r="I4095" s="2162" t="n">
        <v>5018.1</v>
      </c>
      <c r="J4095" s="2162" t="n">
        <v>75271.5</v>
      </c>
      <c r="K4095" s="2162" t="n"/>
    </row>
    <row r="4096" outlineLevel="3" ht="15.75" customHeight="1">
      <c r="A4096" s="10" t="n">
        <v>1</v>
      </c>
      <c r="B4096" s="10" t="inlineStr">
        <is>
          <t>Insumo</t>
        </is>
      </c>
      <c r="C4096" s="10" t="inlineStr">
        <is>
          <t>Contramarco de Alumínio, Fixação com Argamassa</t>
        </is>
      </c>
      <c r="D4096" s="10" t="inlineStr">
        <is>
          <t xml:space="preserve">CONTRAMARCO DE ALUMINIO </t>
        </is>
      </c>
      <c r="E4096" s="11">
        <f t="array" ref="E4096">_xlfn.XLOOKUP(D4096,Insumos!B:B,Insumos!C:$C)</f>
        <v/>
      </c>
      <c r="F4096" s="14" t="n">
        <v>1</v>
      </c>
      <c r="G4096" s="92">
        <f t="array" ref="G4096">IF(B4096="insumo",_xlfn.XLOOKUP($D4096,Insumos!$B$1:$B$996,Insumos!$D$1:$D$996),"")</f>
        <v/>
      </c>
      <c r="H4096" s="92" t="n">
        <v>7.39</v>
      </c>
      <c r="I4096" s="2162" t="n">
        <v>5018.1</v>
      </c>
      <c r="J4096" s="2162" t="n">
        <v>37083.759</v>
      </c>
      <c r="K4096" s="2162" t="n"/>
    </row>
    <row r="4097" outlineLevel="3" ht="15.75" customHeight="1">
      <c r="A4097" s="10" t="n">
        <v>17</v>
      </c>
      <c r="B4097" s="10" t="inlineStr">
        <is>
          <t>Insumo</t>
        </is>
      </c>
      <c r="C4097" s="10" t="inlineStr">
        <is>
          <t>Contramarco de Alumínio, Fixação com Argamassa</t>
        </is>
      </c>
      <c r="D4097" s="10" t="inlineStr">
        <is>
          <t>ARGAMASSA ESTABILIZADA PARA ASSENTAMENTO</t>
        </is>
      </c>
      <c r="E4097" s="11">
        <f t="array" ref="E4097">_xlfn.XLOOKUP(D4097,Insumos!B:B,Insumos!C:$C)</f>
        <v/>
      </c>
      <c r="F4097" s="14" t="n">
        <v>0.002</v>
      </c>
      <c r="G4097" s="92">
        <f t="array" ref="G4097">IF(B4097="insumo",_xlfn.XLOOKUP($D4097,Insumos!$B$1:$B$996,Insumos!$D$1:$D$996),"")</f>
        <v/>
      </c>
      <c r="H4097" s="92" t="n">
        <v>0.85</v>
      </c>
      <c r="I4097" s="2162" t="n">
        <v>5018.1</v>
      </c>
      <c r="J4097" s="2162" t="n">
        <v>4265.385</v>
      </c>
      <c r="K4097" s="2162" t="n"/>
    </row>
    <row r="4098" outlineLevel="2" ht="12.75" customHeight="1">
      <c r="A4098" s="1067" t="n">
        <v>1</v>
      </c>
      <c r="B4098" s="1071" t="inlineStr">
        <is>
          <t>Serviço</t>
        </is>
      </c>
      <c r="C4098" s="1071" t="inlineStr">
        <is>
          <t>Esquadrias de Alumínio do duplex - fornecimento e instalação</t>
        </is>
      </c>
      <c r="D4098" s="1071" t="inlineStr">
        <is>
          <t>Esquadrias de Alumínio do duplex - fornecimento e instalação</t>
        </is>
      </c>
      <c r="E4098" s="1072" t="inlineStr">
        <is>
          <t>M2</t>
        </is>
      </c>
      <c r="F4098" s="1071" t="n"/>
      <c r="G4098" s="1073">
        <f t="array" ref="G4098">IF(B4098="insumo",_xlfn.XLOOKUP($D4098,Insumos!$B$1:$B$996,Insumos!$D$1:$D$996),"")</f>
        <v/>
      </c>
      <c r="H4098" s="1073" t="n">
        <v>1350</v>
      </c>
      <c r="I4098" s="2163" t="n">
        <v>0</v>
      </c>
      <c r="J4098" s="2163" t="n">
        <v>0</v>
      </c>
      <c r="K4098" s="2163" t="n"/>
    </row>
    <row r="4099" outlineLevel="3" ht="12.75" customHeight="1">
      <c r="A4099" s="82" t="n">
        <v>1</v>
      </c>
      <c r="B4099" s="82" t="inlineStr">
        <is>
          <t>Insumo</t>
        </is>
      </c>
      <c r="C4099" s="82" t="inlineStr">
        <is>
          <t>Esquadrias de Alumínio do duplex - fornecimento e instalação</t>
        </is>
      </c>
      <c r="D4099" s="82" t="inlineStr">
        <is>
          <t>Esquadrias de Alumínio do duplex - fornecimento e instalação</t>
        </is>
      </c>
      <c r="E4099" s="11">
        <f t="array" ref="E4099">_xlfn.XLOOKUP(D4099,Insumos!B:B,Insumos!C:$C)</f>
        <v/>
      </c>
      <c r="F4099" s="2164" t="n">
        <v>1</v>
      </c>
      <c r="G4099" s="92">
        <f t="array" ref="G4099">IF(B4099="insumo",_xlfn.XLOOKUP($D4099,Insumos!$B$1:$B$996,Insumos!$D$1:$D$996),"")</f>
        <v/>
      </c>
      <c r="H4099" s="92" t="n">
        <v>1350</v>
      </c>
      <c r="I4099" s="2165" t="n">
        <v>0</v>
      </c>
      <c r="J4099" s="2165" t="n">
        <v>0</v>
      </c>
      <c r="K4099" s="2165" t="n"/>
    </row>
    <row r="4100" outlineLevel="2" ht="12.75" customHeight="1">
      <c r="A4100" s="1071" t="n">
        <v>1</v>
      </c>
      <c r="B4100" s="1071" t="inlineStr">
        <is>
          <t>Serviço</t>
        </is>
      </c>
      <c r="C4100" s="1071" t="inlineStr">
        <is>
          <t>Esquadrias de Alumínio, linha 25 supreme - fornecimento e instalação</t>
        </is>
      </c>
      <c r="D4100" s="1071" t="inlineStr">
        <is>
          <t>Esquadrias de Alumínio, linha 25 supreme - fornecimento e instalação</t>
        </is>
      </c>
      <c r="E4100" s="1072" t="inlineStr">
        <is>
          <t>M2</t>
        </is>
      </c>
      <c r="F4100" s="1071" t="n"/>
      <c r="G4100" s="1073">
        <f t="array" ref="G4100">IF(B4100="insumo",_xlfn.XLOOKUP($D4100,Insumos!$B$1:$B$996,Insumos!$D$1:$D$996),"")</f>
        <v/>
      </c>
      <c r="H4100" s="1073" t="n">
        <v>980</v>
      </c>
      <c r="I4100" s="2163" t="n">
        <v>0</v>
      </c>
      <c r="J4100" s="2163" t="n">
        <v>0</v>
      </c>
      <c r="K4100" s="2163" t="n"/>
    </row>
    <row r="4101" outlineLevel="3" ht="12.75" customHeight="1">
      <c r="A4101" s="82" t="n">
        <v>1</v>
      </c>
      <c r="B4101" s="82" t="inlineStr">
        <is>
          <t>Insumo</t>
        </is>
      </c>
      <c r="C4101" s="82" t="inlineStr">
        <is>
          <t>Esquadrias de Alumínio, linha 25 supreme - fornecimento e instalação</t>
        </is>
      </c>
      <c r="D4101" s="82" t="inlineStr">
        <is>
          <t>Esquadrias de Alumínio, linha 25 supreme - fornecimento e instalação</t>
        </is>
      </c>
      <c r="E4101" s="11">
        <f t="array" ref="E4101">_xlfn.XLOOKUP(D4101,Insumos!B:B,Insumos!C:$C)</f>
        <v/>
      </c>
      <c r="F4101" s="2164" t="n">
        <v>1</v>
      </c>
      <c r="G4101" s="92">
        <f t="array" ref="G4101">IF(B4101="insumo",_xlfn.XLOOKUP($D4101,Insumos!$B$1:$B$996,Insumos!$D$1:$D$996),"")</f>
        <v/>
      </c>
      <c r="H4101" s="92" t="n">
        <v>980</v>
      </c>
      <c r="I4101" s="2165" t="n">
        <v>0</v>
      </c>
      <c r="J4101" s="2165" t="n">
        <v>0</v>
      </c>
      <c r="K4101" s="2165" t="n"/>
    </row>
    <row r="4102" outlineLevel="2" ht="12.75" customHeight="1">
      <c r="A4102" s="1071" t="n">
        <v>1</v>
      </c>
      <c r="B4102" s="1071" t="inlineStr">
        <is>
          <t>Serviço</t>
        </is>
      </c>
      <c r="C4102" s="1071" t="inlineStr">
        <is>
          <t>Esquadrias de Alumínio, linha 32 gold - fornecimento e instalação</t>
        </is>
      </c>
      <c r="D4102" s="1071" t="inlineStr">
        <is>
          <t>Esquadrias de Alumínio, linha 32 gold - fornecimento e instalação</t>
        </is>
      </c>
      <c r="E4102" s="1072" t="inlineStr">
        <is>
          <t>M2</t>
        </is>
      </c>
      <c r="F4102" s="1071" t="n"/>
      <c r="G4102" s="1073">
        <f t="array" ref="G4102">IF(B4102="insumo",_xlfn.XLOOKUP($D4102,Insumos!$B$1:$B$996,Insumos!$D$1:$D$996),"")</f>
        <v/>
      </c>
      <c r="H4102" s="1073" t="n">
        <v>1350</v>
      </c>
      <c r="I4102" s="2163" t="n">
        <v>0</v>
      </c>
      <c r="J4102" s="2163" t="n">
        <v>0</v>
      </c>
      <c r="K4102" s="2163" t="n"/>
    </row>
    <row r="4103" outlineLevel="3" ht="12.75" customHeight="1">
      <c r="A4103" s="82" t="n">
        <v>1</v>
      </c>
      <c r="B4103" s="82" t="inlineStr">
        <is>
          <t>Insumo</t>
        </is>
      </c>
      <c r="C4103" s="82" t="inlineStr">
        <is>
          <t>Esquadrias de Alumínio, linha 32 gold - fornecimento e instalação</t>
        </is>
      </c>
      <c r="D4103" s="82" t="inlineStr">
        <is>
          <t>Esquadrias de Alumínio, linha 32 gold - fornecimento e instalação</t>
        </is>
      </c>
      <c r="E4103" s="11">
        <f t="array" ref="E4103">_xlfn.XLOOKUP(D4103,Insumos!B:B,Insumos!C:$C)</f>
        <v/>
      </c>
      <c r="F4103" s="2164" t="n">
        <v>1</v>
      </c>
      <c r="G4103" s="92">
        <f t="array" ref="G4103">IF(B4103="insumo",_xlfn.XLOOKUP($D4103,Insumos!$B$1:$B$996,Insumos!$D$1:$D$996),"")</f>
        <v/>
      </c>
      <c r="H4103" s="92" t="n">
        <v>1350</v>
      </c>
      <c r="I4103" s="2165" t="n">
        <v>0</v>
      </c>
      <c r="J4103" s="2165" t="n">
        <v>0</v>
      </c>
      <c r="K4103" s="2165" t="n"/>
    </row>
    <row r="4104" outlineLevel="2" ht="12.75" customHeight="1">
      <c r="A4104" s="1071" t="n">
        <v>1</v>
      </c>
      <c r="B4104" s="1071" t="inlineStr">
        <is>
          <t>Serviço</t>
        </is>
      </c>
      <c r="C4104" s="1071" t="inlineStr">
        <is>
          <t>Contramarco pequeno de Alumínio, Fixação com Argamassa</t>
        </is>
      </c>
      <c r="D4104" s="1071" t="inlineStr">
        <is>
          <t>Contramarco pequeno de Alumínio, Fixação com Argamassa</t>
        </is>
      </c>
      <c r="E4104" s="1072" t="inlineStr">
        <is>
          <t>UN</t>
        </is>
      </c>
      <c r="F4104" s="1071" t="n"/>
      <c r="G4104" s="1073">
        <f t="array" ref="G4104">IF(B4104="insumo",_xlfn.XLOOKUP($D4104,Insumos!$B$1:$B$996,Insumos!$D$1:$D$996),"")</f>
        <v/>
      </c>
      <c r="H4104" s="1073" t="n">
        <v>67.04000000000001</v>
      </c>
      <c r="I4104" s="2163" t="n">
        <v>0</v>
      </c>
      <c r="J4104" s="2163" t="n">
        <v>0</v>
      </c>
      <c r="K4104" s="2163" t="n"/>
    </row>
    <row r="4105" outlineLevel="3" ht="12.75" customHeight="1">
      <c r="A4105" s="82" t="n">
        <v>1</v>
      </c>
      <c r="B4105" s="82" t="inlineStr">
        <is>
          <t>Insumo</t>
        </is>
      </c>
      <c r="C4105" s="82" t="inlineStr">
        <is>
          <t>Contramarco pequeno de Alumínio, Fixação com Argamassa</t>
        </is>
      </c>
      <c r="D4105" s="82" t="inlineStr">
        <is>
          <t>CONTRAMARCO DE ALUMINIO Pequeno</t>
        </is>
      </c>
      <c r="E4105" s="11">
        <f t="array" ref="E4105">_xlfn.XLOOKUP(D4105,Insumos!B:B,Insumos!C:$C)</f>
        <v/>
      </c>
      <c r="F4105" s="2164" t="n">
        <v>1</v>
      </c>
      <c r="G4105" s="92">
        <f t="array" ref="G4105">IF(B4105="insumo",_xlfn.XLOOKUP($D4105,Insumos!$B$1:$B$996,Insumos!$D$1:$D$996),"")</f>
        <v/>
      </c>
      <c r="H4105" s="92" t="n">
        <v>65</v>
      </c>
      <c r="I4105" s="2165" t="n">
        <v>0</v>
      </c>
      <c r="J4105" s="2165" t="n">
        <v>0</v>
      </c>
      <c r="K4105" s="2165" t="n"/>
    </row>
    <row r="4106" outlineLevel="3" ht="12.75" customHeight="1">
      <c r="A4106" s="82" t="n">
        <v>17</v>
      </c>
      <c r="B4106" s="82" t="inlineStr">
        <is>
          <t>Insumo</t>
        </is>
      </c>
      <c r="C4106" s="82" t="inlineStr">
        <is>
          <t>Contramarco pequeno de Alumínio, Fixação com Argamassa</t>
        </is>
      </c>
      <c r="D4106" s="82" t="inlineStr">
        <is>
          <t>ARGAMASSA ESTABILIZADA PARA ASSENTAMENTO</t>
        </is>
      </c>
      <c r="E4106" s="11">
        <f t="array" ref="E4106">_xlfn.XLOOKUP(D4106,Insumos!B:B,Insumos!C:$C)</f>
        <v/>
      </c>
      <c r="F4106" s="2164">
        <f>0.002*2.4</f>
        <v/>
      </c>
      <c r="G4106" s="92">
        <f t="array" ref="G4106">IF(B4106="insumo",_xlfn.XLOOKUP($D4106,Insumos!$B$1:$B$996,Insumos!$D$1:$D$996),"")</f>
        <v/>
      </c>
      <c r="H4106" s="92" t="n">
        <v>2.04</v>
      </c>
      <c r="I4106" s="2165" t="n">
        <v>0</v>
      </c>
      <c r="J4106" s="2165" t="n">
        <v>0</v>
      </c>
      <c r="K4106" s="2165" t="n"/>
    </row>
    <row r="4107" outlineLevel="2" ht="22.5" customHeight="1">
      <c r="A4107" s="1071" t="n">
        <v>1</v>
      </c>
      <c r="B4107" s="1071" t="inlineStr">
        <is>
          <t>Serviço</t>
        </is>
      </c>
      <c r="C4107" s="1071" t="inlineStr">
        <is>
          <t>Contramarco grande de Alumínio, Fixação com Argamassa</t>
        </is>
      </c>
      <c r="D4107" s="1071" t="inlineStr">
        <is>
          <t>Contramarco grande de Alumínio, Fixação com Argamassa</t>
        </is>
      </c>
      <c r="E4107" s="1072" t="inlineStr">
        <is>
          <t>UN</t>
        </is>
      </c>
      <c r="F4107" s="1071" t="n"/>
      <c r="G4107" s="1073">
        <f t="array" ref="G4107">IF(B4107="insumo",_xlfn.XLOOKUP($D4107,Insumos!$B$1:$B$996,Insumos!$D$1:$D$996),"")</f>
        <v/>
      </c>
      <c r="H4107" s="1073" t="n">
        <v>157.04</v>
      </c>
      <c r="I4107" s="2163" t="n">
        <v>0</v>
      </c>
      <c r="J4107" s="2163" t="n">
        <v>0</v>
      </c>
      <c r="K4107" s="2163" t="n"/>
    </row>
    <row r="4108" outlineLevel="3" ht="12.75" customHeight="1">
      <c r="A4108" s="82" t="n">
        <v>1</v>
      </c>
      <c r="B4108" s="82" t="inlineStr">
        <is>
          <t>Insumo</t>
        </is>
      </c>
      <c r="C4108" s="82" t="inlineStr">
        <is>
          <t>Contramarco grande de Alumínio, Fixação com Argamassa</t>
        </is>
      </c>
      <c r="D4108" s="82" t="inlineStr">
        <is>
          <t>CONTRAMARCO DE ALUMINIO grande</t>
        </is>
      </c>
      <c r="E4108" s="11">
        <f t="array" ref="E4108">_xlfn.XLOOKUP(D4108,Insumos!B:B,Insumos!C:$C)</f>
        <v/>
      </c>
      <c r="F4108" s="2164" t="n">
        <v>1</v>
      </c>
      <c r="G4108" s="92">
        <f t="array" ref="G4108">IF(B4108="insumo",_xlfn.XLOOKUP($D4108,Insumos!$B$1:$B$996,Insumos!$D$1:$D$996),"")</f>
        <v/>
      </c>
      <c r="H4108" s="92" t="n">
        <v>155</v>
      </c>
      <c r="I4108" s="2165" t="n">
        <v>0</v>
      </c>
      <c r="J4108" s="2165" t="n">
        <v>0</v>
      </c>
      <c r="K4108" s="2165" t="n"/>
    </row>
    <row r="4109" outlineLevel="3" ht="12.75" customHeight="1">
      <c r="A4109" s="82" t="n">
        <v>17</v>
      </c>
      <c r="B4109" s="82" t="inlineStr">
        <is>
          <t>Insumo</t>
        </is>
      </c>
      <c r="C4109" s="82" t="inlineStr">
        <is>
          <t>Contramarco grande de Alumínio, Fixação com Argamassa</t>
        </is>
      </c>
      <c r="D4109" s="82" t="inlineStr">
        <is>
          <t>ARGAMASSA ESTABILIZADA PARA ASSENTAMENTO</t>
        </is>
      </c>
      <c r="E4109" s="11">
        <f t="array" ref="E4109">_xlfn.XLOOKUP(D4109,Insumos!B:B,Insumos!C:$C)</f>
        <v/>
      </c>
      <c r="F4109" s="2164">
        <f>0.002*2.4</f>
        <v/>
      </c>
      <c r="G4109" s="92">
        <f t="array" ref="G4109">IF(B4109="insumo",_xlfn.XLOOKUP($D4109,Insumos!$B$1:$B$996,Insumos!$D$1:$D$996),"")</f>
        <v/>
      </c>
      <c r="H4109" s="92" t="n">
        <v>2.04</v>
      </c>
      <c r="I4109" s="2165" t="n">
        <v>0</v>
      </c>
      <c r="J4109" s="2165" t="n">
        <v>0</v>
      </c>
      <c r="K4109" s="2165" t="n"/>
    </row>
    <row r="4110" outlineLevel="2" ht="15.75" customHeight="1">
      <c r="A4110" s="1067" t="n">
        <v>1</v>
      </c>
      <c r="B4110" s="1067" t="inlineStr">
        <is>
          <t>Serviço</t>
        </is>
      </c>
      <c r="C4110" s="1067" t="inlineStr">
        <is>
          <t>Brise de Alumínio - Decoração Fachada</t>
        </is>
      </c>
      <c r="D4110" s="1067" t="inlineStr">
        <is>
          <t>Brise de Alumínio - Decoração Fachada</t>
        </is>
      </c>
      <c r="E4110" s="1068" t="inlineStr">
        <is>
          <t>M2</t>
        </is>
      </c>
      <c r="F4110" s="1067" t="n"/>
      <c r="G4110" s="1069">
        <f t="array" ref="G4110">IF(B4110="insumo",_xlfn.XLOOKUP($D4110,Insumos!$B$1:$B$996,Insumos!$D$1:$D$996),"")</f>
        <v/>
      </c>
      <c r="H4110" s="1069" t="n">
        <v>2122.5413895571</v>
      </c>
      <c r="I4110" s="2161" t="e">
        <v>#REF!</v>
      </c>
      <c r="J4110" s="2161" t="e">
        <v>#REF!</v>
      </c>
      <c r="K4110" s="2161" t="n"/>
    </row>
    <row r="4111" outlineLevel="3" ht="15.75" customHeight="1">
      <c r="A4111" s="10" t="n">
        <v>2</v>
      </c>
      <c r="B4111" s="10" t="inlineStr">
        <is>
          <t>Insumo</t>
        </is>
      </c>
      <c r="C4111" s="10" t="inlineStr">
        <is>
          <t>Brise de Alumínio - Decoração Fachada</t>
        </is>
      </c>
      <c r="D4111" s="10" t="inlineStr">
        <is>
          <t>PAINEL EM BRISE MARROM</t>
        </is>
      </c>
      <c r="E4111" s="11">
        <f t="array" ref="E4111">_xlfn.XLOOKUP(D4111,Insumos!B:B,Insumos!C:$C)</f>
        <v/>
      </c>
      <c r="F4111" s="14" t="n">
        <v>1.5</v>
      </c>
      <c r="G4111" s="92">
        <f t="array" ref="G4111">IF(B4111="insumo",_xlfn.XLOOKUP($D4111,Insumos!$B$1:$B$996,Insumos!$D$1:$D$996),"")</f>
        <v/>
      </c>
      <c r="H4111" s="92" t="n">
        <v>2122.5413895571</v>
      </c>
      <c r="I4111" s="2162" t="e">
        <v>#REF!</v>
      </c>
      <c r="J4111" s="2162" t="e">
        <v>#REF!</v>
      </c>
      <c r="K4111" s="2162" t="n"/>
    </row>
    <row r="4112" outlineLevel="2" ht="15.75" customHeight="1">
      <c r="A4112" s="1067" t="n">
        <v>1</v>
      </c>
      <c r="B4112" s="1067" t="inlineStr">
        <is>
          <t>Serviço</t>
        </is>
      </c>
      <c r="C4112" s="1067" t="inlineStr">
        <is>
          <t>Brise de Madeira - Decoração Fachada</t>
        </is>
      </c>
      <c r="D4112" s="1067" t="inlineStr">
        <is>
          <t>Brise de Madeira - Decoração Fachada</t>
        </is>
      </c>
      <c r="E4112" s="1068" t="inlineStr">
        <is>
          <t>M2</t>
        </is>
      </c>
      <c r="F4112" s="1067" t="n"/>
      <c r="G4112" s="1069">
        <f t="array" ref="G4112">IF(B4112="insumo",_xlfn.XLOOKUP($D4112,Insumos!$B$1:$B$996,Insumos!$D$1:$D$996),"")</f>
        <v/>
      </c>
      <c r="H4112" s="1069" t="n">
        <v>1031.74603174603</v>
      </c>
      <c r="I4112" s="2161" t="n">
        <v>0</v>
      </c>
      <c r="J4112" s="2161" t="n">
        <v>0</v>
      </c>
      <c r="K4112" s="2161" t="n"/>
    </row>
    <row r="4113" outlineLevel="3" ht="15.75" customHeight="1">
      <c r="A4113" s="10" t="n">
        <v>1</v>
      </c>
      <c r="B4113" s="10" t="inlineStr">
        <is>
          <t>Insumo</t>
        </is>
      </c>
      <c r="C4113" s="10" t="inlineStr">
        <is>
          <t>Brise de Madeira - Decoração Fachada</t>
        </is>
      </c>
      <c r="D4113" s="10" t="inlineStr">
        <is>
          <t>Brise de Madeira - Decoração Fachada</t>
        </is>
      </c>
      <c r="E4113" s="11">
        <f t="array" ref="E4113">_xlfn.XLOOKUP(D4113,Insumos!B:B,Insumos!C:$C)</f>
        <v/>
      </c>
      <c r="F4113" s="14" t="n">
        <v>1</v>
      </c>
      <c r="G4113" s="92">
        <f t="array" ref="G4113">IF(B4113="insumo",_xlfn.XLOOKUP($D4113,Insumos!$B$1:$B$996,Insumos!$D$1:$D$996),"")</f>
        <v/>
      </c>
      <c r="H4113" s="92" t="n">
        <v>1031.74603174603</v>
      </c>
      <c r="I4113" s="2162" t="n">
        <v>0</v>
      </c>
      <c r="J4113" s="2162" t="n">
        <v>0</v>
      </c>
      <c r="K4113" s="2162" t="n"/>
    </row>
    <row r="4114" outlineLevel="2" ht="12.75" customHeight="1">
      <c r="A4114" s="1071" t="n">
        <v>1</v>
      </c>
      <c r="B4114" s="1071" t="inlineStr">
        <is>
          <t>Serviço</t>
        </is>
      </c>
      <c r="C4114" s="1071" t="inlineStr">
        <is>
          <t>Guarda Corpo de Vidro - fornecimento e instalação</t>
        </is>
      </c>
      <c r="D4114" s="1071" t="inlineStr">
        <is>
          <t>Guarda Corpo de Vidro - fornecimento e instalação</t>
        </is>
      </c>
      <c r="E4114" s="1072" t="inlineStr">
        <is>
          <t>M2</t>
        </is>
      </c>
      <c r="F4114" s="1071" t="n"/>
      <c r="G4114" s="1073">
        <f t="array" ref="G4114">IF(B4114="insumo",_xlfn.XLOOKUP($D4114,Insumos!$B$1:$B$996,Insumos!$D$1:$D$996),"")</f>
        <v/>
      </c>
      <c r="H4114" s="1073" t="n">
        <v>850</v>
      </c>
      <c r="I4114" s="2163" t="n">
        <v>0</v>
      </c>
      <c r="J4114" s="2163" t="n">
        <v>0</v>
      </c>
      <c r="K4114" s="2163" t="n"/>
    </row>
    <row r="4115" outlineLevel="3" ht="12.75" customHeight="1">
      <c r="A4115" s="82" t="n">
        <v>1</v>
      </c>
      <c r="B4115" s="82" t="inlineStr">
        <is>
          <t>Insumo</t>
        </is>
      </c>
      <c r="C4115" s="82" t="inlineStr">
        <is>
          <t>Guarda Corpo de Vidro - fornecimento e instalação</t>
        </is>
      </c>
      <c r="D4115" s="82" t="inlineStr">
        <is>
          <t>Guarda Corpo de Vidro - fornecimento e instalação</t>
        </is>
      </c>
      <c r="E4115" s="11">
        <f t="array" ref="E4115">_xlfn.XLOOKUP(D4115,Insumos!B:B,Insumos!C:$C)</f>
        <v/>
      </c>
      <c r="F4115" s="2164" t="n">
        <v>1</v>
      </c>
      <c r="G4115" s="92">
        <f t="array" ref="G4115">IF(B4115="insumo",_xlfn.XLOOKUP($D4115,Insumos!$B$1:$B$996,Insumos!$D$1:$D$996),"")</f>
        <v/>
      </c>
      <c r="H4115" s="92" t="n">
        <v>850</v>
      </c>
      <c r="I4115" s="2165" t="n">
        <v>0</v>
      </c>
      <c r="J4115" s="2165" t="n">
        <v>0</v>
      </c>
      <c r="K4115" s="2165" t="n"/>
    </row>
    <row r="4116" outlineLevel="2" ht="12.75" customHeight="1">
      <c r="A4116" s="1071" t="n">
        <v>1</v>
      </c>
      <c r="B4116" s="1071" t="inlineStr">
        <is>
          <t>Serviço</t>
        </is>
      </c>
      <c r="C4116" s="1071" t="inlineStr">
        <is>
          <t>Guarda Corpo de Vidro e Aluminio - fornecimento e instalação</t>
        </is>
      </c>
      <c r="D4116" s="1071" t="inlineStr">
        <is>
          <t>Guarda Corpo de Vidro e Aluminio - fornecimento e instalação</t>
        </is>
      </c>
      <c r="E4116" s="1072" t="inlineStr">
        <is>
          <t>M2</t>
        </is>
      </c>
      <c r="F4116" s="1071" t="n"/>
      <c r="G4116" s="1073">
        <f t="array" ref="G4116">IF(B4116="insumo",_xlfn.XLOOKUP($D4116,Insumos!$B$1:$B$996,Insumos!$D$1:$D$996),"")</f>
        <v/>
      </c>
      <c r="H4116" s="1073" t="n">
        <v>1403.985</v>
      </c>
      <c r="I4116" s="2163" t="e">
        <v>#REF!</v>
      </c>
      <c r="J4116" s="2163" t="e">
        <v>#REF!</v>
      </c>
      <c r="K4116" s="2163" t="n"/>
    </row>
    <row r="4117" outlineLevel="3" ht="12.75" customHeight="1">
      <c r="A4117" s="82" t="n">
        <v>1</v>
      </c>
      <c r="B4117" s="82" t="inlineStr">
        <is>
          <t>Insumo</t>
        </is>
      </c>
      <c r="C4117" s="82" t="inlineStr">
        <is>
          <t>Guarda Corpo de Vidro e Aluminio - fornecimento e instalação</t>
        </is>
      </c>
      <c r="D4117" s="82" t="inlineStr">
        <is>
          <t>Guarda Corpo de Vidro e Aluminio - fornecimento e instalação</t>
        </is>
      </c>
      <c r="E4117" s="11">
        <f t="array" ref="E4117">_xlfn.XLOOKUP(D4117,Insumos!B:B,Insumos!C:$C)</f>
        <v/>
      </c>
      <c r="F4117" s="2164" t="n">
        <v>1.5</v>
      </c>
      <c r="G4117" s="92">
        <f t="array" ref="G4117">IF(B4117="insumo",_xlfn.XLOOKUP($D4117,Insumos!$B$1:$B$996,Insumos!$D$1:$D$996),"")</f>
        <v/>
      </c>
      <c r="H4117" s="92" t="n">
        <v>1403.985</v>
      </c>
      <c r="I4117" s="2165" t="e">
        <v>#REF!</v>
      </c>
      <c r="J4117" s="2165" t="e">
        <v>#REF!</v>
      </c>
      <c r="K4117" s="2165" t="n"/>
    </row>
    <row r="4118" outlineLevel="2" ht="12.75" customHeight="1">
      <c r="A4118" s="1071" t="n">
        <v>1</v>
      </c>
      <c r="B4118" s="1071" t="inlineStr">
        <is>
          <t>Serviço</t>
        </is>
      </c>
      <c r="C4118" s="1071" t="inlineStr">
        <is>
          <t>Guarda Corpo de aluminio (gradil) - fornecimento e instalação</t>
        </is>
      </c>
      <c r="D4118" s="1071" t="inlineStr">
        <is>
          <t>Guarda Corpo de aluminio (gradil) - fornecimento e instalação</t>
        </is>
      </c>
      <c r="E4118" s="1072" t="inlineStr">
        <is>
          <t>M2</t>
        </is>
      </c>
      <c r="F4118" s="1071" t="n"/>
      <c r="G4118" s="1073">
        <f t="array" ref="G4118">IF(B4118="insumo",_xlfn.XLOOKUP($D4118,Insumos!$B$1:$B$996,Insumos!$D$1:$D$996),"")</f>
        <v/>
      </c>
      <c r="H4118" s="1073" t="n">
        <v>768.5</v>
      </c>
      <c r="I4118" s="2163" t="n">
        <v>0</v>
      </c>
      <c r="J4118" s="2163" t="n">
        <v>0</v>
      </c>
      <c r="K4118" s="2163" t="n"/>
    </row>
    <row r="4119" outlineLevel="3" ht="12.75" customHeight="1">
      <c r="A4119" s="82" t="n">
        <v>2</v>
      </c>
      <c r="B4119" s="82" t="inlineStr">
        <is>
          <t>Insumo</t>
        </is>
      </c>
      <c r="C4119" s="82" t="inlineStr">
        <is>
          <t>Guarda Corpo de aluminio (gradil) - fornecimento e instalação</t>
        </is>
      </c>
      <c r="D4119" s="82" t="inlineStr">
        <is>
          <t>Guarda Corpo de aluminio (gradil) - fornecimento e instalação</t>
        </is>
      </c>
      <c r="E4119" s="11">
        <f t="array" ref="E4119">_xlfn.XLOOKUP(D4119,Insumos!B:B,Insumos!C:$C)</f>
        <v/>
      </c>
      <c r="F4119" s="2164" t="n">
        <v>1</v>
      </c>
      <c r="G4119" s="92">
        <f t="array" ref="G4119">IF(B4119="insumo",_xlfn.XLOOKUP($D4119,Insumos!$B$1:$B$996,Insumos!$D$1:$D$996),"")</f>
        <v/>
      </c>
      <c r="H4119" s="92" t="n">
        <v>768.5</v>
      </c>
      <c r="I4119" s="2165" t="n">
        <v>0</v>
      </c>
      <c r="J4119" s="2165" t="n">
        <v>0</v>
      </c>
      <c r="K4119" s="2165" t="n"/>
    </row>
    <row r="4120" outlineLevel="2" ht="12.75" customHeight="1">
      <c r="A4120" s="1071" t="n">
        <v>1</v>
      </c>
      <c r="B4120" s="1071" t="inlineStr">
        <is>
          <t>Serviço</t>
        </is>
      </c>
      <c r="C4120" s="1071" t="inlineStr">
        <is>
          <t>Gradil - fornecimento e instalação</t>
        </is>
      </c>
      <c r="D4120" s="1071" t="inlineStr">
        <is>
          <t>Gradil - fornecimento e instalação</t>
        </is>
      </c>
      <c r="E4120" s="1072" t="inlineStr">
        <is>
          <t>M2</t>
        </is>
      </c>
      <c r="F4120" s="1071" t="n"/>
      <c r="G4120" s="1073">
        <f t="array" ref="G4120">IF(B4120="insumo",_xlfn.XLOOKUP($D4120,Insumos!$B$1:$B$996,Insumos!$D$1:$D$996),"")</f>
        <v/>
      </c>
      <c r="H4120" s="1073" t="n">
        <v>768.5</v>
      </c>
      <c r="I4120" s="2163" t="n">
        <v>0</v>
      </c>
      <c r="J4120" s="2163" t="n">
        <v>0</v>
      </c>
      <c r="K4120" s="2163" t="n"/>
    </row>
    <row r="4121" outlineLevel="3" ht="12.75" customHeight="1">
      <c r="A4121" s="82" t="n">
        <v>2</v>
      </c>
      <c r="B4121" s="82" t="inlineStr">
        <is>
          <t>Insumo</t>
        </is>
      </c>
      <c r="C4121" s="82" t="inlineStr">
        <is>
          <t>Gradil - fornecimento e instalação</t>
        </is>
      </c>
      <c r="D4121" s="82" t="inlineStr">
        <is>
          <t>Guarda Corpo de aluminio (gradil) - fornecimento e instalação</t>
        </is>
      </c>
      <c r="E4121" s="11">
        <f t="array" ref="E4121">_xlfn.XLOOKUP(D4121,Insumos!B:B,Insumos!C:$C)</f>
        <v/>
      </c>
      <c r="F4121" s="2164" t="n">
        <v>1</v>
      </c>
      <c r="G4121" s="92">
        <f t="array" ref="G4121">IF(B4121="insumo",_xlfn.XLOOKUP($D4121,Insumos!$B$1:$B$996,Insumos!$D$1:$D$996),"")</f>
        <v/>
      </c>
      <c r="H4121" s="92" t="n">
        <v>768.5</v>
      </c>
      <c r="I4121" s="2165" t="n">
        <v>0</v>
      </c>
      <c r="J4121" s="2165" t="n">
        <v>0</v>
      </c>
      <c r="K4121" s="2165" t="n"/>
    </row>
    <row r="4122" outlineLevel="2" ht="12.75" customHeight="1">
      <c r="A4122" s="1071" t="n">
        <v>1</v>
      </c>
      <c r="B4122" s="1071" t="inlineStr">
        <is>
          <t>Serviço</t>
        </is>
      </c>
      <c r="C4122" s="1071" t="inlineStr">
        <is>
          <t>Enchimento - Esquadrias</t>
        </is>
      </c>
      <c r="D4122" s="1071" t="inlineStr">
        <is>
          <t>Enchimento - Esquadrias</t>
        </is>
      </c>
      <c r="E4122" s="1072" t="inlineStr">
        <is>
          <t>M3</t>
        </is>
      </c>
      <c r="F4122" s="1071" t="n"/>
      <c r="G4122" s="1073">
        <f t="array" ref="G4122">IF(B4122="insumo",_xlfn.XLOOKUP($D4122,Insumos!$B$1:$B$996,Insumos!$D$1:$D$996),"")</f>
        <v/>
      </c>
      <c r="H4122" s="1073" t="n">
        <v>1478.75</v>
      </c>
      <c r="I4122" s="2163" t="n">
        <v>0</v>
      </c>
      <c r="J4122" s="2163" t="n">
        <v>0</v>
      </c>
      <c r="K4122" s="2163" t="n"/>
    </row>
    <row r="4123" outlineLevel="3" ht="12.75" customHeight="1">
      <c r="A4123" s="82" t="n">
        <v>27</v>
      </c>
      <c r="B4123" s="82" t="inlineStr">
        <is>
          <t>Insumo</t>
        </is>
      </c>
      <c r="C4123" s="82" t="inlineStr">
        <is>
          <t>Enchimento - Esquadrias</t>
        </is>
      </c>
      <c r="D4123" s="82" t="inlineStr">
        <is>
          <t>ARGAMASSA INDUSTRIALIZADA MULTIUSO, PARA REVESTIMENTO INTERNO E EXTERNO E ASSENTAMENTO DE BLOCOS DIVERSOS</t>
        </is>
      </c>
      <c r="E4123" s="11">
        <f t="array" ref="E4123">_xlfn.XLOOKUP(D4123,Insumos!B:B,Insumos!C:$C)</f>
        <v/>
      </c>
      <c r="F4123" s="2164" t="n">
        <v>0.35</v>
      </c>
      <c r="G4123" s="92">
        <f t="array" ref="G4123">IF(B4123="insumo",_xlfn.XLOOKUP($D4123,Insumos!$B$1:$B$996,Insumos!$D$1:$D$996),"")</f>
        <v/>
      </c>
      <c r="H4123" s="92" t="n">
        <v>148.75</v>
      </c>
      <c r="I4123" s="2165" t="n">
        <v>0</v>
      </c>
      <c r="J4123" s="2165" t="n">
        <v>0</v>
      </c>
      <c r="K4123" s="2165" t="n"/>
    </row>
    <row r="4124" outlineLevel="3" ht="12.75" customHeight="1">
      <c r="A4124" s="82" t="n">
        <v>3</v>
      </c>
      <c r="B4124" s="82" t="inlineStr">
        <is>
          <t>Insumo</t>
        </is>
      </c>
      <c r="C4124" s="82" t="inlineStr">
        <is>
          <t>Enchimento - Esquadrias</t>
        </is>
      </c>
      <c r="D4124" s="82" t="inlineStr">
        <is>
          <t>ADITIVO EXPANSOR EM PÓ</t>
        </is>
      </c>
      <c r="E4124" s="11">
        <f t="array" ref="E4124">_xlfn.XLOOKUP(D4124,Insumos!B:B,Insumos!C:$C)</f>
        <v/>
      </c>
      <c r="F4124" s="2164" t="n">
        <v>7.000000000000001</v>
      </c>
      <c r="G4124" s="92">
        <f t="array" ref="G4124">IF(B4124="insumo",_xlfn.XLOOKUP($D4124,Insumos!$B$1:$B$996,Insumos!$D$1:$D$996),"")</f>
        <v/>
      </c>
      <c r="H4124" s="92" t="n">
        <v>1330</v>
      </c>
      <c r="I4124" s="2165" t="n">
        <v>0</v>
      </c>
      <c r="J4124" s="2165" t="n">
        <v>0</v>
      </c>
      <c r="K4124" s="2165" t="n"/>
    </row>
    <row r="4125" outlineLevel="2" ht="15.75" customHeight="1">
      <c r="A4125" s="1067" t="n">
        <v>1</v>
      </c>
      <c r="B4125" s="1067" t="inlineStr">
        <is>
          <t>Serviço</t>
        </is>
      </c>
      <c r="C4125" s="1067" t="inlineStr">
        <is>
          <t>Pele de vidro</t>
        </is>
      </c>
      <c r="D4125" s="1067" t="inlineStr">
        <is>
          <t>Pele de vidro</t>
        </is>
      </c>
      <c r="E4125" s="1068" t="inlineStr">
        <is>
          <t>M2</t>
        </is>
      </c>
      <c r="F4125" s="1067" t="n"/>
      <c r="G4125" s="1069">
        <f t="array" ref="G4125">IF(B4125="insumo",_xlfn.XLOOKUP($D4125,Insumos!$B$1:$B$996,Insumos!$D$1:$D$996),"")</f>
        <v/>
      </c>
      <c r="H4125" s="1069" t="n">
        <v>1533.99</v>
      </c>
      <c r="I4125" s="2161" t="e">
        <v>#REF!</v>
      </c>
      <c r="J4125" s="2161" t="e">
        <v>#REF!</v>
      </c>
      <c r="K4125" s="2161" t="n"/>
    </row>
    <row r="4126" outlineLevel="3" ht="15.75" customHeight="1">
      <c r="A4126" s="10" t="n">
        <v>1</v>
      </c>
      <c r="B4126" s="10" t="inlineStr">
        <is>
          <t>Insumo</t>
        </is>
      </c>
      <c r="C4126" s="10" t="inlineStr">
        <is>
          <t>Pele de vidro</t>
        </is>
      </c>
      <c r="D4126" s="10" t="inlineStr">
        <is>
          <t>Pele de vidro</t>
        </is>
      </c>
      <c r="E4126" s="11">
        <f t="array" ref="E4126">_xlfn.XLOOKUP(D4126,Insumos!B:B,Insumos!C:$C)</f>
        <v/>
      </c>
      <c r="F4126" s="14" t="n">
        <v>1</v>
      </c>
      <c r="G4126" s="92">
        <f t="array" ref="G4126">IF(B4126="insumo",_xlfn.XLOOKUP($D4126,Insumos!$B$1:$B$996,Insumos!$D$1:$D$996),"")</f>
        <v/>
      </c>
      <c r="H4126" s="92" t="n">
        <v>1533.99</v>
      </c>
      <c r="I4126" s="2162" t="e">
        <v>#REF!</v>
      </c>
      <c r="J4126" s="2162" t="e">
        <v>#REF!</v>
      </c>
      <c r="K4126" s="2162" t="n"/>
    </row>
    <row r="4127" outlineLevel="2" ht="15.75" customHeight="1">
      <c r="A4127" s="1067" t="n">
        <v>1</v>
      </c>
      <c r="B4127" s="1067" t="inlineStr">
        <is>
          <t>Serviço</t>
        </is>
      </c>
      <c r="C4127" s="1067" t="inlineStr">
        <is>
          <t>Alçapão de aluminio</t>
        </is>
      </c>
      <c r="D4127" s="1067" t="inlineStr">
        <is>
          <t>Alçapão de aluminio</t>
        </is>
      </c>
      <c r="E4127" s="1068" t="inlineStr">
        <is>
          <t>M2</t>
        </is>
      </c>
      <c r="F4127" s="1067" t="n"/>
      <c r="G4127" s="1069">
        <f t="array" ref="G4127">IF(B4127="insumo",_xlfn.XLOOKUP($D4127,Insumos!$B$1:$B$996,Insumos!$D$1:$D$996),"")</f>
        <v/>
      </c>
      <c r="H4127" s="1069" t="n">
        <v>1014</v>
      </c>
      <c r="I4127" s="2161" t="n">
        <v>0</v>
      </c>
      <c r="J4127" s="2161" t="n">
        <v>0</v>
      </c>
      <c r="K4127" s="2161" t="n"/>
    </row>
    <row r="4128" outlineLevel="3" ht="15.75" customHeight="1">
      <c r="A4128" s="10" t="n">
        <v>1</v>
      </c>
      <c r="B4128" s="10" t="inlineStr">
        <is>
          <t>Insumo</t>
        </is>
      </c>
      <c r="C4128" s="10" t="inlineStr">
        <is>
          <t>Alçapão de aluminio</t>
        </is>
      </c>
      <c r="D4128" s="10" t="inlineStr">
        <is>
          <t>Alçapão de aluminio</t>
        </is>
      </c>
      <c r="E4128" s="11">
        <f t="array" ref="E4128">_xlfn.XLOOKUP(D4128,Insumos!B:B,Insumos!C:$C)</f>
        <v/>
      </c>
      <c r="F4128" s="14" t="n">
        <v>1</v>
      </c>
      <c r="G4128" s="92">
        <f t="array" ref="G4128">IF(B4128="insumo",_xlfn.XLOOKUP($D4128,Insumos!$B$1:$B$996,Insumos!$D$1:$D$996),"")</f>
        <v/>
      </c>
      <c r="H4128" s="92" t="n">
        <v>1014</v>
      </c>
      <c r="I4128" s="2162" t="n">
        <v>0</v>
      </c>
      <c r="J4128" s="2162" t="n">
        <v>0</v>
      </c>
      <c r="K4128" s="2162" t="n"/>
    </row>
    <row r="4129" outlineLevel="2" ht="15.75" customHeight="1">
      <c r="A4129" s="1067" t="n">
        <v>1</v>
      </c>
      <c r="B4129" s="1067" t="inlineStr">
        <is>
          <t>Serviço</t>
        </is>
      </c>
      <c r="C4129" s="1067" t="inlineStr">
        <is>
          <t>Portão de vidro - 85x280 cm</t>
        </is>
      </c>
      <c r="D4129" s="1067" t="inlineStr">
        <is>
          <t>Portão de vidro - 85x280 cm</t>
        </is>
      </c>
      <c r="E4129" s="1068" t="inlineStr">
        <is>
          <t>M2</t>
        </is>
      </c>
      <c r="F4129" s="1067" t="n"/>
      <c r="G4129" s="1069">
        <f t="array" ref="G4129">IF(B4129="insumo",_xlfn.XLOOKUP($D4129,Insumos!$B$1:$B$996,Insumos!$D$1:$D$996),"")</f>
        <v/>
      </c>
      <c r="H4129" s="1069" t="n">
        <v>3893.28333333333</v>
      </c>
      <c r="I4129" s="2161" t="n">
        <v>0</v>
      </c>
      <c r="J4129" s="2161" t="n">
        <v>0</v>
      </c>
      <c r="K4129" s="2161" t="n"/>
    </row>
    <row r="4130" outlineLevel="3" ht="15.75" customHeight="1">
      <c r="A4130" s="10" t="n">
        <v>1</v>
      </c>
      <c r="B4130" s="10" t="inlineStr">
        <is>
          <t>Insumo</t>
        </is>
      </c>
      <c r="C4130" s="10" t="inlineStr">
        <is>
          <t>Portão de vidro - 85x280 cm</t>
        </is>
      </c>
      <c r="D4130" s="10" t="inlineStr">
        <is>
          <t>Portão de vidro - 85x280 cm</t>
        </is>
      </c>
      <c r="E4130" s="11">
        <f t="array" ref="E4130">_xlfn.XLOOKUP(D4130,Insumos!B:B,Insumos!C:$C)</f>
        <v/>
      </c>
      <c r="F4130" s="14" t="n">
        <v>1</v>
      </c>
      <c r="G4130" s="92">
        <f t="array" ref="G4130">IF(B4130="insumo",_xlfn.XLOOKUP($D4130,Insumos!$B$1:$B$996,Insumos!$D$1:$D$996),"")</f>
        <v/>
      </c>
      <c r="H4130" s="92" t="n">
        <v>3893.28333333333</v>
      </c>
      <c r="I4130" s="2162" t="n">
        <v>0</v>
      </c>
      <c r="J4130" s="2162" t="n">
        <v>0</v>
      </c>
      <c r="K4130" s="2162" t="n"/>
    </row>
    <row r="4131" outlineLevel="2" ht="15.75" customHeight="1">
      <c r="A4131" s="1067" t="n">
        <v>1</v>
      </c>
      <c r="B4131" s="1067" t="inlineStr">
        <is>
          <t>Serviço</t>
        </is>
      </c>
      <c r="C4131" s="1067" t="inlineStr">
        <is>
          <t>Porta Pivotante alumínio 140x210cm</t>
        </is>
      </c>
      <c r="D4131" s="1067" t="inlineStr">
        <is>
          <t>Porta Pivotante alumínio 140x210cm</t>
        </is>
      </c>
      <c r="E4131" s="1068" t="inlineStr">
        <is>
          <t>M</t>
        </is>
      </c>
      <c r="F4131" s="1067" t="n"/>
      <c r="G4131" s="1069">
        <f t="array" ref="G4131">IF(B4131="insumo",_xlfn.XLOOKUP($D4131,Insumos!$B$1:$B$996,Insumos!$D$1:$D$996),"")</f>
        <v/>
      </c>
      <c r="H4131" s="1069" t="n">
        <v>5040</v>
      </c>
      <c r="I4131" s="2161" t="n">
        <v>0</v>
      </c>
      <c r="J4131" s="2161" t="n">
        <v>0</v>
      </c>
      <c r="K4131" s="2161" t="n"/>
    </row>
    <row r="4132" outlineLevel="3" ht="15.75" customHeight="1">
      <c r="A4132" s="10" t="n">
        <v>1</v>
      </c>
      <c r="B4132" s="10" t="inlineStr">
        <is>
          <t>Insumo</t>
        </is>
      </c>
      <c r="C4132" s="10" t="inlineStr">
        <is>
          <t>Porta Pivotante alumínio 140x210cm</t>
        </is>
      </c>
      <c r="D4132" s="10" t="inlineStr">
        <is>
          <t>Porta Pivotante alumínio 140x210cm</t>
        </is>
      </c>
      <c r="E4132" s="11">
        <f t="array" ref="E4132">_xlfn.XLOOKUP(D4132,Insumos!B:B,Insumos!C:$C)</f>
        <v/>
      </c>
      <c r="F4132" s="14" t="n">
        <v>1</v>
      </c>
      <c r="G4132" s="92">
        <f t="array" ref="G4132">IF(B4132="insumo",_xlfn.XLOOKUP($D4132,Insumos!$B$1:$B$996,Insumos!$D$1:$D$996),"")</f>
        <v/>
      </c>
      <c r="H4132" s="92" t="n">
        <v>5040</v>
      </c>
      <c r="I4132" s="2162" t="n">
        <v>0</v>
      </c>
      <c r="J4132" s="2162" t="n">
        <v>0</v>
      </c>
      <c r="K4132" s="2162" t="n"/>
    </row>
    <row r="4133" outlineLevel="2" ht="15.75" customHeight="1">
      <c r="A4133" s="1067" t="n">
        <v>1</v>
      </c>
      <c r="B4133" s="1067" t="inlineStr">
        <is>
          <t>Serviço</t>
        </is>
      </c>
      <c r="C4133" s="1067" t="inlineStr">
        <is>
          <t>Moldura em alumínio para churrasqueiras - fornecimento e instalação</t>
        </is>
      </c>
      <c r="D4133" s="1067" t="inlineStr">
        <is>
          <t>Moldura em alumínio para churrasqueiras - fornecimento e instalação</t>
        </is>
      </c>
      <c r="E4133" s="1068" t="inlineStr">
        <is>
          <t>M</t>
        </is>
      </c>
      <c r="F4133" s="1067" t="n"/>
      <c r="G4133" s="1069">
        <f t="array" ref="G4133">IF(B4133="insumo",_xlfn.XLOOKUP($D4133,Insumos!$B$1:$B$996,Insumos!$D$1:$D$996),"")</f>
        <v/>
      </c>
      <c r="H4133" s="1069" t="n">
        <v>530</v>
      </c>
      <c r="I4133" s="2161" t="n">
        <v>0</v>
      </c>
      <c r="J4133" s="2161" t="n">
        <v>0</v>
      </c>
      <c r="K4133" s="2161" t="n"/>
    </row>
    <row r="4134" outlineLevel="3" ht="15.75" customHeight="1">
      <c r="A4134" s="10" t="n">
        <v>1</v>
      </c>
      <c r="B4134" s="10" t="inlineStr">
        <is>
          <t>Insumo</t>
        </is>
      </c>
      <c r="C4134" s="10" t="inlineStr">
        <is>
          <t>Moldura em alumínio para churrasqueiras - fornecimento e instalação</t>
        </is>
      </c>
      <c r="D4134" s="10" t="inlineStr">
        <is>
          <t>Moldura em alumínio para churrasqueiras - fornecimento e instalação</t>
        </is>
      </c>
      <c r="E4134" s="11">
        <f t="array" ref="E4134">_xlfn.XLOOKUP(D4134,Insumos!B:B,Insumos!C:$C)</f>
        <v/>
      </c>
      <c r="F4134" s="14" t="n">
        <v>1</v>
      </c>
      <c r="G4134" s="92">
        <f t="array" ref="G4134">IF(B4134="insumo",_xlfn.XLOOKUP($D4134,Insumos!$B$1:$B$996,Insumos!$D$1:$D$996),"")</f>
        <v/>
      </c>
      <c r="H4134" s="92" t="n">
        <v>530</v>
      </c>
      <c r="I4134" s="2162" t="n">
        <v>0</v>
      </c>
      <c r="J4134" s="2162" t="n">
        <v>0</v>
      </c>
      <c r="K4134" s="2162" t="n"/>
    </row>
    <row r="4135" outlineLevel="2" ht="15.75" customHeight="1">
      <c r="A4135" s="1067" t="n">
        <v>1</v>
      </c>
      <c r="B4135" s="1067" t="inlineStr">
        <is>
          <t>Serviço</t>
        </is>
      </c>
      <c r="C4135" s="1067" t="inlineStr">
        <is>
          <t>Portão, 1 folha, 4,81x226 cm</t>
        </is>
      </c>
      <c r="D4135" s="1067" t="inlineStr">
        <is>
          <t>Portão, 1 folha, 4,81x226 cm</t>
        </is>
      </c>
      <c r="E4135" s="1068" t="inlineStr">
        <is>
          <t>M2</t>
        </is>
      </c>
      <c r="F4135" s="1067" t="n"/>
      <c r="G4135" s="1069">
        <f t="array" ref="G4135">IF(B4135="insumo",_xlfn.XLOOKUP($D4135,Insumos!$B$1:$B$996,Insumos!$D$1:$D$996),"")</f>
        <v/>
      </c>
      <c r="H4135" s="1069" t="n">
        <v>28645.08</v>
      </c>
      <c r="I4135" s="2161" t="n">
        <v>0</v>
      </c>
      <c r="J4135" s="2161" t="n">
        <v>0</v>
      </c>
      <c r="K4135" s="2161" t="n"/>
    </row>
    <row r="4136" outlineLevel="3" ht="15.75" customHeight="1">
      <c r="A4136" s="10" t="n">
        <v>1</v>
      </c>
      <c r="B4136" s="10" t="inlineStr">
        <is>
          <t>Insumo</t>
        </is>
      </c>
      <c r="C4136" s="10" t="inlineStr">
        <is>
          <t>Portão, 1 folha, 4,81x226 cm</t>
        </is>
      </c>
      <c r="D4136" s="10" t="inlineStr">
        <is>
          <t>Portão, 1 folha, 4,81x226 cm</t>
        </is>
      </c>
      <c r="E4136" s="11">
        <f t="array" ref="E4136">_xlfn.XLOOKUP(D4136,Insumos!B:B,Insumos!C:$C)</f>
        <v/>
      </c>
      <c r="F4136" s="14" t="n">
        <v>1</v>
      </c>
      <c r="G4136" s="92">
        <f t="array" ref="G4136">IF(B4136="insumo",_xlfn.XLOOKUP($D4136,Insumos!$B$1:$B$996,Insumos!$D$1:$D$996),"")</f>
        <v/>
      </c>
      <c r="H4136" s="92" t="n">
        <v>28645.08</v>
      </c>
      <c r="I4136" s="2162" t="n">
        <v>0</v>
      </c>
      <c r="J4136" s="2162" t="n">
        <v>0</v>
      </c>
      <c r="K4136" s="2162" t="n"/>
    </row>
    <row r="4137" outlineLevel="2" ht="15.75" customHeight="1">
      <c r="A4137" s="1067" t="n">
        <v>1</v>
      </c>
      <c r="B4137" s="1067" t="inlineStr">
        <is>
          <t>Serviço</t>
        </is>
      </c>
      <c r="C4137" s="1067" t="inlineStr">
        <is>
          <t>Portão, 1 folha, 350x240 cm</t>
        </is>
      </c>
      <c r="D4137" s="1067" t="inlineStr">
        <is>
          <t>Portão, 1 folha, 350x240 cm</t>
        </is>
      </c>
      <c r="E4137" s="1068" t="inlineStr">
        <is>
          <t>M2</t>
        </is>
      </c>
      <c r="F4137" s="1067" t="n"/>
      <c r="G4137" s="1069">
        <f t="array" ref="G4137">IF(B4137="insumo",_xlfn.XLOOKUP($D4137,Insumos!$B$1:$B$996,Insumos!$D$1:$D$996),"")</f>
        <v/>
      </c>
      <c r="H4137" s="1069" t="n">
        <v>9302</v>
      </c>
      <c r="I4137" s="2161" t="n">
        <v>0</v>
      </c>
      <c r="J4137" s="2161" t="n">
        <v>0</v>
      </c>
      <c r="K4137" s="2161" t="n"/>
    </row>
    <row r="4138" outlineLevel="3" ht="15.75" customHeight="1">
      <c r="A4138" s="10" t="n">
        <v>1</v>
      </c>
      <c r="B4138" s="10" t="inlineStr">
        <is>
          <t>Insumo</t>
        </is>
      </c>
      <c r="C4138" s="10" t="inlineStr">
        <is>
          <t>Portão, 1 folha, 350x240 cm</t>
        </is>
      </c>
      <c r="D4138" s="10" t="inlineStr">
        <is>
          <t>Portão, 1 folha, 350x240 cm</t>
        </is>
      </c>
      <c r="E4138" s="11">
        <f t="array" ref="E4138">_xlfn.XLOOKUP(D4138,Insumos!B:B,Insumos!C:$C)</f>
        <v/>
      </c>
      <c r="F4138" s="14" t="n">
        <v>1</v>
      </c>
      <c r="G4138" s="92">
        <f t="array" ref="G4138">IF(B4138="insumo",_xlfn.XLOOKUP($D4138,Insumos!$B$1:$B$996,Insumos!$D$1:$D$996),"")</f>
        <v/>
      </c>
      <c r="H4138" s="92" t="n">
        <v>9302</v>
      </c>
      <c r="I4138" s="2162" t="n">
        <v>0</v>
      </c>
      <c r="J4138" s="2162" t="n">
        <v>0</v>
      </c>
      <c r="K4138" s="2162" t="n"/>
    </row>
    <row r="4139" outlineLevel="2" ht="12.75" customHeight="1">
      <c r="A4139" s="1071" t="n">
        <v>1</v>
      </c>
      <c r="B4139" s="1071" t="inlineStr">
        <is>
          <t>Serviço</t>
        </is>
      </c>
      <c r="C4139" s="1071" t="inlineStr">
        <is>
          <t>Portão, 1 folha, 500x235 cm</t>
        </is>
      </c>
      <c r="D4139" s="1071" t="inlineStr">
        <is>
          <t>Portão, 1 folha, 500x235 cm</t>
        </is>
      </c>
      <c r="E4139" s="1072" t="inlineStr">
        <is>
          <t>M2</t>
        </is>
      </c>
      <c r="F4139" s="1071" t="n"/>
      <c r="G4139" s="1073">
        <f t="array" ref="G4139">IF(B4139="insumo",_xlfn.XLOOKUP($D4139,Insumos!$B$1:$B$996,Insumos!$D$1:$D$996),"")</f>
        <v/>
      </c>
      <c r="H4139" s="1073" t="n">
        <v>13011.7261904762</v>
      </c>
      <c r="I4139" s="2163" t="n">
        <v>0</v>
      </c>
      <c r="J4139" s="2163" t="n">
        <v>0</v>
      </c>
      <c r="K4139" s="2163" t="n"/>
    </row>
    <row r="4140" outlineLevel="3" ht="12.75" customHeight="1">
      <c r="A4140" s="82" t="n">
        <v>1</v>
      </c>
      <c r="B4140" s="82" t="inlineStr">
        <is>
          <t>Insumo</t>
        </is>
      </c>
      <c r="C4140" s="82" t="inlineStr">
        <is>
          <t>Portão, 1 folha, 500x235 cm</t>
        </is>
      </c>
      <c r="D4140" s="82" t="inlineStr">
        <is>
          <t>Portão, 1 folha, 500x235 cm</t>
        </is>
      </c>
      <c r="E4140" s="11">
        <f t="array" ref="E4140">_xlfn.XLOOKUP(D4140,Insumos!B:B,Insumos!C:$C)</f>
        <v/>
      </c>
      <c r="F4140" s="2164" t="n">
        <v>1</v>
      </c>
      <c r="G4140" s="92">
        <f t="array" ref="G4140">IF(B4140="insumo",_xlfn.XLOOKUP($D4140,Insumos!$B$1:$B$996,Insumos!$D$1:$D$996),"")</f>
        <v/>
      </c>
      <c r="H4140" s="92" t="n">
        <v>13011.7261904762</v>
      </c>
      <c r="I4140" s="2165" t="n">
        <v>0</v>
      </c>
      <c r="J4140" s="2165" t="n">
        <v>0</v>
      </c>
      <c r="K4140" s="2165" t="n"/>
    </row>
    <row r="4141" outlineLevel="2" ht="12.75" customHeight="1">
      <c r="A4141" s="1071" t="n">
        <v>1</v>
      </c>
      <c r="B4141" s="1071" t="inlineStr">
        <is>
          <t>Serviço</t>
        </is>
      </c>
      <c r="C4141" s="1071" t="inlineStr">
        <is>
          <t>Portão, 1 folha, 320x245 cm</t>
        </is>
      </c>
      <c r="D4141" s="1071" t="inlineStr">
        <is>
          <t>Portão, 1 folha, 320x245 cm</t>
        </is>
      </c>
      <c r="E4141" s="1072" t="inlineStr">
        <is>
          <t>M2</t>
        </is>
      </c>
      <c r="F4141" s="1071" t="n"/>
      <c r="G4141" s="1073">
        <f t="array" ref="G4141">IF(B4141="insumo",_xlfn.XLOOKUP($D4141,Insumos!$B$1:$B$996,Insumos!$D$1:$D$996),"")</f>
        <v/>
      </c>
      <c r="H4141" s="1073" t="n">
        <v>8681.86666666667</v>
      </c>
      <c r="I4141" s="2163" t="n">
        <v>0</v>
      </c>
      <c r="J4141" s="2163" t="n">
        <v>0</v>
      </c>
      <c r="K4141" s="2163" t="n"/>
    </row>
    <row r="4142" outlineLevel="3" ht="12.75" customHeight="1">
      <c r="A4142" s="82" t="n">
        <v>1</v>
      </c>
      <c r="B4142" s="82" t="inlineStr">
        <is>
          <t>Insumo</t>
        </is>
      </c>
      <c r="C4142" s="82" t="inlineStr">
        <is>
          <t>Portão, 1 folha, 320x245 cm</t>
        </is>
      </c>
      <c r="D4142" s="82" t="inlineStr">
        <is>
          <t>Portão, 1 folha, 320x245 cm</t>
        </is>
      </c>
      <c r="E4142" s="11">
        <f t="array" ref="E4142">_xlfn.XLOOKUP(D4142,Insumos!B:B,Insumos!C:$C)</f>
        <v/>
      </c>
      <c r="F4142" s="2164" t="n">
        <v>1</v>
      </c>
      <c r="G4142" s="92">
        <f t="array" ref="G4142">IF(B4142="insumo",_xlfn.XLOOKUP($D4142,Insumos!$B$1:$B$996,Insumos!$D$1:$D$996),"")</f>
        <v/>
      </c>
      <c r="H4142" s="92" t="n">
        <v>8681.86666666667</v>
      </c>
      <c r="I4142" s="2165" t="n">
        <v>0</v>
      </c>
      <c r="J4142" s="2165" t="n">
        <v>0</v>
      </c>
      <c r="K4142" s="2165" t="n"/>
    </row>
    <row r="4143" outlineLevel="2" ht="12.75" customHeight="1">
      <c r="A4143" s="1071" t="n">
        <v>1</v>
      </c>
      <c r="B4143" s="1071" t="inlineStr">
        <is>
          <t>Serviço</t>
        </is>
      </c>
      <c r="C4143" s="1071" t="inlineStr">
        <is>
          <t>Portão, 1 folha, 320x220 cm</t>
        </is>
      </c>
      <c r="D4143" s="1071" t="inlineStr">
        <is>
          <t>Portão, 1 folha, 320x220 cm</t>
        </is>
      </c>
      <c r="E4143" s="1072" t="inlineStr">
        <is>
          <t>M2</t>
        </is>
      </c>
      <c r="F4143" s="1071" t="n"/>
      <c r="G4143" s="1073">
        <f t="array" ref="G4143">IF(B4143="insumo",_xlfn.XLOOKUP($D4143,Insumos!$B$1:$B$996,Insumos!$D$1:$D$996),"")</f>
        <v/>
      </c>
      <c r="H4143" s="1073" t="n">
        <v>7795.96190476191</v>
      </c>
      <c r="I4143" s="2163" t="n">
        <v>0</v>
      </c>
      <c r="J4143" s="2163" t="n">
        <v>0</v>
      </c>
      <c r="K4143" s="2163" t="n"/>
    </row>
    <row r="4144" outlineLevel="3" ht="12.75" customHeight="1">
      <c r="A4144" s="82" t="n">
        <v>1</v>
      </c>
      <c r="B4144" s="82" t="inlineStr">
        <is>
          <t>Insumo</t>
        </is>
      </c>
      <c r="C4144" s="82" t="inlineStr">
        <is>
          <t>Portão, 1 folha, 320x220 cm</t>
        </is>
      </c>
      <c r="D4144" s="82" t="inlineStr">
        <is>
          <t>Portão, 1 folha, 320x220 cm</t>
        </is>
      </c>
      <c r="E4144" s="11">
        <f t="array" ref="E4144">_xlfn.XLOOKUP(D4144,Insumos!B:B,Insumos!C:$C)</f>
        <v/>
      </c>
      <c r="F4144" s="2164" t="n">
        <v>1</v>
      </c>
      <c r="G4144" s="92">
        <f t="array" ref="G4144">IF(B4144="insumo",_xlfn.XLOOKUP($D4144,Insumos!$B$1:$B$996,Insumos!$D$1:$D$996),"")</f>
        <v/>
      </c>
      <c r="H4144" s="92" t="n">
        <v>7795.96190476191</v>
      </c>
      <c r="I4144" s="2165" t="n">
        <v>0</v>
      </c>
      <c r="J4144" s="2165" t="n">
        <v>0</v>
      </c>
      <c r="K4144" s="2165" t="n"/>
    </row>
    <row r="4145" outlineLevel="2" ht="12.75" customHeight="1">
      <c r="A4145" s="1071" t="n">
        <v>1</v>
      </c>
      <c r="B4145" s="1071" t="inlineStr">
        <is>
          <t>Serviço</t>
        </is>
      </c>
      <c r="C4145" s="1071" t="inlineStr">
        <is>
          <t>Portão, 1 folha, 90x220 cm</t>
        </is>
      </c>
      <c r="D4145" s="1071" t="inlineStr">
        <is>
          <t>Portão, 1 folha, 90x220 cm</t>
        </is>
      </c>
      <c r="E4145" s="1072" t="inlineStr">
        <is>
          <t>M2</t>
        </is>
      </c>
      <c r="F4145" s="1071" t="n"/>
      <c r="G4145" s="1073">
        <f t="array" ref="G4145">IF(B4145="insumo",_xlfn.XLOOKUP($D4145,Insumos!$B$1:$B$996,Insumos!$D$1:$D$996),"")</f>
        <v/>
      </c>
      <c r="H4145" s="1073" t="n">
        <v>2192.61428571429</v>
      </c>
      <c r="I4145" s="2163" t="n">
        <v>0</v>
      </c>
      <c r="J4145" s="2163" t="n">
        <v>0</v>
      </c>
      <c r="K4145" s="2163" t="n"/>
    </row>
    <row r="4146" outlineLevel="3" ht="12.75" customHeight="1">
      <c r="A4146" s="82" t="n">
        <v>1</v>
      </c>
      <c r="B4146" s="82" t="inlineStr">
        <is>
          <t>Insumo</t>
        </is>
      </c>
      <c r="C4146" s="82" t="inlineStr">
        <is>
          <t>Portão, 1 folha, 90x220 cm</t>
        </is>
      </c>
      <c r="D4146" s="82" t="inlineStr">
        <is>
          <t>Portão, 1 folha, 90x220 cm</t>
        </is>
      </c>
      <c r="E4146" s="11">
        <f t="array" ref="E4146">_xlfn.XLOOKUP(D4146,Insumos!B:B,Insumos!C:$C)</f>
        <v/>
      </c>
      <c r="F4146" s="2164" t="n">
        <v>1</v>
      </c>
      <c r="G4146" s="92">
        <f t="array" ref="G4146">IF(B4146="insumo",_xlfn.XLOOKUP($D4146,Insumos!$B$1:$B$996,Insumos!$D$1:$D$996),"")</f>
        <v/>
      </c>
      <c r="H4146" s="92" t="n">
        <v>2192.61428571429</v>
      </c>
      <c r="I4146" s="2165" t="n">
        <v>0</v>
      </c>
      <c r="J4146" s="2165" t="n">
        <v>0</v>
      </c>
      <c r="K4146" s="2165" t="n"/>
    </row>
    <row r="4147" outlineLevel="2" ht="12.75" customHeight="1">
      <c r="A4147" s="1071" t="n">
        <v>1</v>
      </c>
      <c r="B4147" s="1071" t="inlineStr">
        <is>
          <t>Serviço</t>
        </is>
      </c>
      <c r="C4147" s="1071" t="inlineStr">
        <is>
          <t>Portão, 2 folha, 150x112 cm</t>
        </is>
      </c>
      <c r="D4147" s="1071" t="inlineStr">
        <is>
          <t>Portão, 2 folha, 150x112 cm</t>
        </is>
      </c>
      <c r="E4147" s="1072" t="inlineStr">
        <is>
          <t>M2</t>
        </is>
      </c>
      <c r="F4147" s="1071" t="n"/>
      <c r="G4147" s="1073">
        <f t="array" ref="G4147">IF(B4147="insumo",_xlfn.XLOOKUP($D4147,Insumos!$B$1:$B$996,Insumos!$D$1:$D$996),"")</f>
        <v/>
      </c>
      <c r="H4147" s="1073" t="n">
        <v>1860.4</v>
      </c>
      <c r="I4147" s="2163" t="n">
        <v>0</v>
      </c>
      <c r="J4147" s="2163" t="n">
        <v>0</v>
      </c>
      <c r="K4147" s="2163" t="n"/>
    </row>
    <row r="4148" outlineLevel="3" ht="12.75" customHeight="1">
      <c r="A4148" s="82" t="n">
        <v>1</v>
      </c>
      <c r="B4148" s="82" t="inlineStr">
        <is>
          <t>Insumo</t>
        </is>
      </c>
      <c r="C4148" s="82" t="inlineStr">
        <is>
          <t>Portão, 2 folha, 150x112 cm</t>
        </is>
      </c>
      <c r="D4148" s="82" t="inlineStr">
        <is>
          <t>Portão, 2 folha, 150x112 cm</t>
        </is>
      </c>
      <c r="E4148" s="11">
        <f t="array" ref="E4148">_xlfn.XLOOKUP(D4148,Insumos!B:B,Insumos!C:$C)</f>
        <v/>
      </c>
      <c r="F4148" s="2164" t="n">
        <v>1</v>
      </c>
      <c r="G4148" s="92">
        <f t="array" ref="G4148">IF(B4148="insumo",_xlfn.XLOOKUP($D4148,Insumos!$B$1:$B$996,Insumos!$D$1:$D$996),"")</f>
        <v/>
      </c>
      <c r="H4148" s="92" t="n">
        <v>1860.4</v>
      </c>
      <c r="I4148" s="2165" t="n">
        <v>0</v>
      </c>
      <c r="J4148" s="2165" t="n">
        <v>0</v>
      </c>
      <c r="K4148" s="2165" t="n"/>
    </row>
    <row r="4149" outlineLevel="2" ht="12.75" customHeight="1">
      <c r="A4149" s="1071" t="n">
        <v>1</v>
      </c>
      <c r="B4149" s="1071" t="inlineStr">
        <is>
          <t>Serviço</t>
        </is>
      </c>
      <c r="C4149" s="1071" t="inlineStr">
        <is>
          <t>Portão, 1 folha, 320x295 cm</t>
        </is>
      </c>
      <c r="D4149" s="1071" t="inlineStr">
        <is>
          <t>Portão, 1 folha, 320x295 cm</t>
        </is>
      </c>
      <c r="E4149" s="1072" t="inlineStr">
        <is>
          <t>M2</t>
        </is>
      </c>
      <c r="F4149" s="1071" t="n"/>
      <c r="G4149" s="1073">
        <f t="array" ref="G4149">IF(B4149="insumo",_xlfn.XLOOKUP($D4149,Insumos!$B$1:$B$996,Insumos!$D$1:$D$996),"")</f>
        <v/>
      </c>
      <c r="H4149" s="1073" t="n">
        <v>10453.6761904762</v>
      </c>
      <c r="I4149" s="2163" t="n">
        <v>0</v>
      </c>
      <c r="J4149" s="2163" t="n">
        <v>0</v>
      </c>
      <c r="K4149" s="2163" t="n"/>
    </row>
    <row r="4150" outlineLevel="3" ht="12.75" customHeight="1">
      <c r="A4150" s="82" t="n">
        <v>1</v>
      </c>
      <c r="B4150" s="82" t="inlineStr">
        <is>
          <t>Insumo</t>
        </is>
      </c>
      <c r="C4150" s="82" t="inlineStr">
        <is>
          <t>Portão, 1 folha, 320x295 cm</t>
        </is>
      </c>
      <c r="D4150" s="82" t="inlineStr">
        <is>
          <t>Portão, 1 folha, 320x295 cm</t>
        </is>
      </c>
      <c r="E4150" s="11">
        <f t="array" ref="E4150">_xlfn.XLOOKUP(D4150,Insumos!B:B,Insumos!C:$C)</f>
        <v/>
      </c>
      <c r="F4150" s="2164" t="n">
        <v>1</v>
      </c>
      <c r="G4150" s="92">
        <f t="array" ref="G4150">IF(B4150="insumo",_xlfn.XLOOKUP($D4150,Insumos!$B$1:$B$996,Insumos!$D$1:$D$996),"")</f>
        <v/>
      </c>
      <c r="H4150" s="92" t="n">
        <v>10453.6761904762</v>
      </c>
      <c r="I4150" s="2165" t="n">
        <v>0</v>
      </c>
      <c r="J4150" s="2165" t="n">
        <v>0</v>
      </c>
      <c r="K4150" s="2165" t="n"/>
    </row>
    <row r="4151" outlineLevel="1" ht="15.75" customHeight="1">
      <c r="A4151" s="1090" t="n">
        <v>1</v>
      </c>
      <c r="B4151" s="1090" t="inlineStr">
        <is>
          <t>Subetapa</t>
        </is>
      </c>
      <c r="C4151" s="1090" t="inlineStr">
        <is>
          <t>Portão, 1 folha, 320x295 cm</t>
        </is>
      </c>
      <c r="D4151" s="1090" t="inlineStr">
        <is>
          <t>CORRIMÃO</t>
        </is>
      </c>
      <c r="E4151" s="1091" t="n"/>
      <c r="F4151" s="2160" t="n"/>
      <c r="G4151" s="1091" t="n"/>
      <c r="H4151" s="1091" t="n">
        <v>0</v>
      </c>
      <c r="I4151" s="2160" t="n">
        <v>0</v>
      </c>
      <c r="J4151" s="2160" t="n">
        <v>0</v>
      </c>
      <c r="K4151" s="2160" t="n"/>
    </row>
    <row r="4152" outlineLevel="2" ht="15.75" customHeight="1">
      <c r="A4152" s="1067" t="n">
        <v>1</v>
      </c>
      <c r="B4152" s="1067" t="inlineStr">
        <is>
          <t>Serviço</t>
        </is>
      </c>
      <c r="C4152" s="1067" t="inlineStr">
        <is>
          <t>Corrimão de Madeira - fornecimento e instalação</t>
        </is>
      </c>
      <c r="D4152" s="1067" t="inlineStr">
        <is>
          <t>Corrimão de Madeira - fornecimento e instalação</t>
        </is>
      </c>
      <c r="E4152" s="1068" t="inlineStr">
        <is>
          <t>M</t>
        </is>
      </c>
      <c r="F4152" s="1067" t="n"/>
      <c r="G4152" s="1069">
        <f t="array" ref="G4152">IF(B4152="insumo",_xlfn.XLOOKUP($D4152,Insumos!$B$1:$B$996,Insumos!$D$1:$D$996),"")</f>
        <v/>
      </c>
      <c r="H4152" s="1069" t="n">
        <v>80</v>
      </c>
      <c r="I4152" s="2161" t="n">
        <v>0</v>
      </c>
      <c r="J4152" s="2161" t="n">
        <v>0</v>
      </c>
      <c r="K4152" s="2161" t="n"/>
    </row>
    <row r="4153" outlineLevel="3" ht="15.75" customHeight="1">
      <c r="A4153" s="10" t="n">
        <v>1</v>
      </c>
      <c r="B4153" s="10" t="inlineStr">
        <is>
          <t>Insumo</t>
        </is>
      </c>
      <c r="C4153" s="10" t="inlineStr">
        <is>
          <t>Corrimão de Madeira - fornecimento e instalação</t>
        </is>
      </c>
      <c r="D4153" s="10" t="inlineStr">
        <is>
          <t>Corrimão de Madeira - fornecimento e instalação</t>
        </is>
      </c>
      <c r="E4153" s="11">
        <f t="array" ref="E4153">_xlfn.XLOOKUP(D4153,Insumos!B:B,Insumos!C:$C)</f>
        <v/>
      </c>
      <c r="F4153" s="14" t="n">
        <v>1</v>
      </c>
      <c r="G4153" s="92">
        <f t="array" ref="G4153">IF(B4153="insumo",_xlfn.XLOOKUP($D4153,Insumos!$B$1:$B$996,Insumos!$D$1:$D$996),"")</f>
        <v/>
      </c>
      <c r="H4153" s="92" t="n">
        <v>80</v>
      </c>
      <c r="I4153" s="2162" t="n">
        <v>0</v>
      </c>
      <c r="J4153" s="2162" t="n">
        <v>0</v>
      </c>
      <c r="K4153" s="2162" t="n"/>
    </row>
    <row r="4154" outlineLevel="2" ht="15.75" customHeight="1">
      <c r="A4154" s="1067" t="n">
        <v>1</v>
      </c>
      <c r="B4154" s="1067" t="inlineStr">
        <is>
          <t>Serviço</t>
        </is>
      </c>
      <c r="C4154" s="1067" t="inlineStr">
        <is>
          <t>Corrimão de inox - fornecimento e instalação</t>
        </is>
      </c>
      <c r="D4154" s="1067" t="inlineStr">
        <is>
          <t>Corrimão de inox - fornecimento e instalação</t>
        </is>
      </c>
      <c r="E4154" s="1068" t="inlineStr">
        <is>
          <t>M</t>
        </is>
      </c>
      <c r="F4154" s="1067" t="n"/>
      <c r="G4154" s="1069">
        <f t="array" ref="G4154">IF(B4154="insumo",_xlfn.XLOOKUP($D4154,Insumos!$B$1:$B$996,Insumos!$D$1:$D$996),"")</f>
        <v/>
      </c>
      <c r="H4154" s="1069" t="n">
        <v>650</v>
      </c>
      <c r="I4154" s="2161" t="n">
        <v>0</v>
      </c>
      <c r="J4154" s="2161" t="n">
        <v>0</v>
      </c>
      <c r="K4154" s="2161" t="n"/>
    </row>
    <row r="4155" outlineLevel="3" ht="15.75" customHeight="1">
      <c r="A4155" s="10" t="n">
        <v>1</v>
      </c>
      <c r="B4155" s="10" t="inlineStr">
        <is>
          <t>Insumo</t>
        </is>
      </c>
      <c r="C4155" s="10" t="inlineStr">
        <is>
          <t>Corrimão de inox - fornecimento e instalação</t>
        </is>
      </c>
      <c r="D4155" s="10" t="inlineStr">
        <is>
          <t>Corrimão de inox - fornecimento e instalação</t>
        </is>
      </c>
      <c r="E4155" s="11">
        <f t="array" ref="E4155">_xlfn.XLOOKUP(D4155,Insumos!B:B,Insumos!C:$C)</f>
        <v/>
      </c>
      <c r="F4155" s="14" t="n">
        <v>1</v>
      </c>
      <c r="G4155" s="92">
        <f t="array" ref="G4155">IF(B4155="insumo",_xlfn.XLOOKUP($D4155,Insumos!$B$1:$B$996,Insumos!$D$1:$D$996),"")</f>
        <v/>
      </c>
      <c r="H4155" s="92" t="n">
        <v>650</v>
      </c>
      <c r="I4155" s="2162" t="n">
        <v>0</v>
      </c>
      <c r="J4155" s="2162" t="n">
        <v>0</v>
      </c>
      <c r="K4155" s="2162" t="n"/>
    </row>
    <row r="4156" outlineLevel="2" ht="12.75" customHeight="1">
      <c r="A4156" s="1071" t="n">
        <v>1</v>
      </c>
      <c r="B4156" s="1071" t="inlineStr">
        <is>
          <t>Serviço</t>
        </is>
      </c>
      <c r="C4156" s="1071" t="inlineStr">
        <is>
          <t>Corrimão Metálico Duplo - fornecimento e instalação</t>
        </is>
      </c>
      <c r="D4156" s="1071" t="inlineStr">
        <is>
          <t>Corrimão Metálico Duplo - fornecimento e instalação</t>
        </is>
      </c>
      <c r="E4156" s="1072" t="inlineStr">
        <is>
          <t>M</t>
        </is>
      </c>
      <c r="F4156" s="1071" t="n"/>
      <c r="G4156" s="1073">
        <f t="array" ref="G4156">IF(B4156="insumo",_xlfn.XLOOKUP($D4156,Insumos!$B$1:$B$996,Insumos!$D$1:$D$996),"")</f>
        <v/>
      </c>
      <c r="H4156" s="1073" t="n">
        <v>98.79000000000001</v>
      </c>
      <c r="I4156" s="2163" t="n">
        <v>0</v>
      </c>
      <c r="J4156" s="2163" t="n">
        <v>0</v>
      </c>
      <c r="K4156" s="2163" t="n"/>
    </row>
    <row r="4157" outlineLevel="3" ht="12.75" customHeight="1">
      <c r="A4157" s="82" t="n">
        <v>1</v>
      </c>
      <c r="B4157" s="82" t="inlineStr">
        <is>
          <t>Insumo</t>
        </is>
      </c>
      <c r="C4157" s="82" t="inlineStr">
        <is>
          <t>Corrimão Metálico Duplo - fornecimento e instalação</t>
        </is>
      </c>
      <c r="D4157" s="82" t="inlineStr">
        <is>
          <t>Corrimão Metálico Duplo - fornecimento e instalação</t>
        </is>
      </c>
      <c r="E4157" s="11">
        <f t="array" ref="E4157">_xlfn.XLOOKUP(D4157,Insumos!B:B,Insumos!C:$C)</f>
        <v/>
      </c>
      <c r="F4157" s="2164" t="n">
        <v>1</v>
      </c>
      <c r="G4157" s="92">
        <f t="array" ref="G4157">IF(B4157="insumo",_xlfn.XLOOKUP($D4157,Insumos!$B$1:$B$996,Insumos!$D$1:$D$996),"")</f>
        <v/>
      </c>
      <c r="H4157" s="92" t="n">
        <v>98.79000000000001</v>
      </c>
      <c r="I4157" s="2165" t="n">
        <v>0</v>
      </c>
      <c r="J4157" s="2165" t="n">
        <v>0</v>
      </c>
      <c r="K4157" s="2165" t="n"/>
    </row>
    <row r="4158" outlineLevel="2" ht="12.75" customHeight="1">
      <c r="A4158" s="1071" t="n">
        <v>1</v>
      </c>
      <c r="B4158" s="1071" t="inlineStr">
        <is>
          <t>Serviço</t>
        </is>
      </c>
      <c r="C4158" s="1071" t="inlineStr">
        <is>
          <t>Corrimão Duplo Metálico - inox escovado 304 - fornecimento e instalação</t>
        </is>
      </c>
      <c r="D4158" s="1071" t="inlineStr">
        <is>
          <t>Corrimão Duplo Metálico - inox escovado 304 - fornecimento e instalação</t>
        </is>
      </c>
      <c r="E4158" s="1072" t="inlineStr">
        <is>
          <t>M</t>
        </is>
      </c>
      <c r="F4158" s="1071" t="n"/>
      <c r="G4158" s="1073">
        <f t="array" ref="G4158">IF(B4158="insumo",_xlfn.XLOOKUP($D4158,Insumos!$B$1:$B$996,Insumos!$D$1:$D$996),"")</f>
        <v/>
      </c>
      <c r="H4158" s="1073" t="n">
        <v>820</v>
      </c>
      <c r="I4158" s="2163" t="e">
        <v>#REF!</v>
      </c>
      <c r="J4158" s="2163" t="e">
        <v>#REF!</v>
      </c>
      <c r="K4158" s="2163" t="n"/>
    </row>
    <row r="4159" outlineLevel="3" ht="12.75" customHeight="1">
      <c r="A4159" s="82" t="n">
        <v>1</v>
      </c>
      <c r="B4159" s="82" t="inlineStr">
        <is>
          <t>Insumo</t>
        </is>
      </c>
      <c r="C4159" s="82" t="inlineStr">
        <is>
          <t>Corrimão Duplo Metálico - inox escovado 304 - fornecimento e instalação</t>
        </is>
      </c>
      <c r="D4159" s="82" t="inlineStr">
        <is>
          <t>Corrimão Duplo Metálico - inox escovado 304 - fornecimento e instalação</t>
        </is>
      </c>
      <c r="E4159" s="11">
        <f t="array" ref="E4159">_xlfn.XLOOKUP(D4159,Insumos!B:B,Insumos!C:$C)</f>
        <v/>
      </c>
      <c r="F4159" s="2164" t="n">
        <v>1</v>
      </c>
      <c r="G4159" s="92">
        <f t="array" ref="G4159">IF(B4159="insumo",_xlfn.XLOOKUP($D4159,Insumos!$B$1:$B$996,Insumos!$D$1:$D$996),"")</f>
        <v/>
      </c>
      <c r="H4159" s="92" t="n">
        <v>820</v>
      </c>
      <c r="I4159" s="2165" t="e">
        <v>#REF!</v>
      </c>
      <c r="J4159" s="2165" t="e">
        <v>#REF!</v>
      </c>
      <c r="K4159" s="2165" t="n"/>
    </row>
    <row r="4160" outlineLevel="2" ht="12.75" customHeight="1">
      <c r="A4160" s="1071" t="n">
        <v>1</v>
      </c>
      <c r="B4160" s="1071" t="inlineStr">
        <is>
          <t>Serviço</t>
        </is>
      </c>
      <c r="C4160" s="1071" t="inlineStr">
        <is>
          <t>Corrimão Parede Metálico - inox escovado 304 - fornecimento e instalação</t>
        </is>
      </c>
      <c r="D4160" s="1071" t="inlineStr">
        <is>
          <t>Corrimão Parede Metálico - inox escovado 304 - fornecimento e instalação</t>
        </is>
      </c>
      <c r="E4160" s="1072" t="inlineStr">
        <is>
          <t>M</t>
        </is>
      </c>
      <c r="F4160" s="1071" t="n"/>
      <c r="G4160" s="1073">
        <f t="array" ref="G4160">IF(B4160="insumo",_xlfn.XLOOKUP($D4160,Insumos!$B$1:$B$996,Insumos!$D$1:$D$996),"")</f>
        <v/>
      </c>
      <c r="H4160" s="1073" t="n">
        <v>520</v>
      </c>
      <c r="I4160" s="2163" t="e">
        <v>#REF!</v>
      </c>
      <c r="J4160" s="2163" t="e">
        <v>#REF!</v>
      </c>
      <c r="K4160" s="2163" t="n"/>
    </row>
    <row r="4161" outlineLevel="3" ht="12.75" customHeight="1">
      <c r="A4161" s="82" t="n">
        <v>1</v>
      </c>
      <c r="B4161" s="82" t="inlineStr">
        <is>
          <t>Insumo</t>
        </is>
      </c>
      <c r="C4161" s="82" t="inlineStr">
        <is>
          <t>Corrimão Parede Metálico - inox escovado 304 - fornecimento e instalação</t>
        </is>
      </c>
      <c r="D4161" s="82" t="inlineStr">
        <is>
          <t>Corrimão Parede Metálico - inox escovado 304 - fornecimento e instalação</t>
        </is>
      </c>
      <c r="E4161" s="11">
        <f t="array" ref="E4161">_xlfn.XLOOKUP(D4161,Insumos!B:B,Insumos!C:$C)</f>
        <v/>
      </c>
      <c r="F4161" s="2164" t="n">
        <v>1</v>
      </c>
      <c r="G4161" s="92">
        <f t="array" ref="G4161">IF(B4161="insumo",_xlfn.XLOOKUP($D4161,Insumos!$B$1:$B$996,Insumos!$D$1:$D$996),"")</f>
        <v/>
      </c>
      <c r="H4161" s="92" t="n">
        <v>520</v>
      </c>
      <c r="I4161" s="2165" t="e">
        <v>#REF!</v>
      </c>
      <c r="J4161" s="2165" t="e">
        <v>#REF!</v>
      </c>
      <c r="K4161" s="2165" t="n"/>
    </row>
    <row r="4162" outlineLevel="1" ht="15.75" customHeight="1">
      <c r="A4162" s="1090" t="n">
        <v>1</v>
      </c>
      <c r="B4162" s="1090" t="inlineStr">
        <is>
          <t>Subetapa</t>
        </is>
      </c>
      <c r="C4162" s="1090" t="inlineStr">
        <is>
          <t>Corrimão Parede Metálico - inox escovado 304 - fornecimento e instalação</t>
        </is>
      </c>
      <c r="D4162" s="1090" t="inlineStr">
        <is>
          <t>PORTAS DE MADEIRA</t>
        </is>
      </c>
      <c r="E4162" s="1091" t="n"/>
      <c r="F4162" s="2160" t="n"/>
      <c r="G4162" s="1091" t="n"/>
      <c r="H4162" s="1091" t="n">
        <v>0</v>
      </c>
      <c r="I4162" s="2160" t="n">
        <v>0</v>
      </c>
      <c r="J4162" s="2160" t="n">
        <v>0</v>
      </c>
      <c r="K4162" s="2160" t="n"/>
    </row>
    <row r="4163" outlineLevel="2" ht="12.75" customHeight="1">
      <c r="A4163" s="1071" t="n">
        <v>1</v>
      </c>
      <c r="B4163" s="1071" t="inlineStr">
        <is>
          <t>Serviço</t>
        </is>
      </c>
      <c r="C4163" s="1071" t="inlineStr">
        <is>
          <t>Porta de madeira de abrir - 60x150cm (kit completo) - fixação com espuma expansiva</t>
        </is>
      </c>
      <c r="D4163" s="1071" t="inlineStr">
        <is>
          <t>Porta de madeira de abrir - 60x150cm (kit completo) - fixação com espuma expansiva</t>
        </is>
      </c>
      <c r="E4163" s="1072" t="inlineStr">
        <is>
          <t>M2</t>
        </is>
      </c>
      <c r="F4163" s="1071" t="n"/>
      <c r="G4163" s="1073">
        <f t="array" ref="G4163">IF(B4163="insumo",_xlfn.XLOOKUP($D4163,Insumos!$B$1:$B$996,Insumos!$D$1:$D$996),"")</f>
        <v/>
      </c>
      <c r="H4163" s="1073" t="n">
        <v>1055</v>
      </c>
      <c r="I4163" s="2163" t="n">
        <v>0</v>
      </c>
      <c r="J4163" s="2163" t="n">
        <v>0</v>
      </c>
      <c r="K4163" s="2163" t="n"/>
    </row>
    <row r="4164" outlineLevel="3" ht="12.75" customHeight="1">
      <c r="A4164" s="82" t="n">
        <v>1</v>
      </c>
      <c r="B4164" s="82" t="inlineStr">
        <is>
          <t>Insumo</t>
        </is>
      </c>
      <c r="C4164" s="82" t="inlineStr">
        <is>
          <t>Porta de madeira de abrir - 60x150cm (kit completo) - fixação com espuma expansiva</t>
        </is>
      </c>
      <c r="D4164" s="82" t="inlineStr">
        <is>
          <t>Porta de madeira de abrir - 60x150cm (kit completo)</t>
        </is>
      </c>
      <c r="E4164" s="11">
        <f t="array" ref="E4164">_xlfn.XLOOKUP(D4164,Insumos!B:B,Insumos!C:$C)</f>
        <v/>
      </c>
      <c r="F4164" s="2164" t="n">
        <v>1</v>
      </c>
      <c r="G4164" s="92">
        <f t="array" ref="G4164">IF(B4164="insumo",_xlfn.XLOOKUP($D4164,Insumos!$B$1:$B$996,Insumos!$D$1:$D$996),"")</f>
        <v/>
      </c>
      <c r="H4164" s="92" t="n">
        <v>1000</v>
      </c>
      <c r="I4164" s="2165" t="n">
        <v>0</v>
      </c>
      <c r="J4164" s="2165" t="n">
        <v>0</v>
      </c>
      <c r="K4164" s="2165" t="n"/>
    </row>
    <row r="4165" outlineLevel="3" ht="12.75" customHeight="1">
      <c r="A4165" s="82" t="n">
        <v>24</v>
      </c>
      <c r="B4165" s="82" t="inlineStr">
        <is>
          <t>Insumo</t>
        </is>
      </c>
      <c r="C4165" s="82" t="inlineStr">
        <is>
          <t>Porta de madeira de abrir - 60x150cm (kit completo) - fixação com espuma expansiva</t>
        </is>
      </c>
      <c r="D4165" s="82" t="inlineStr">
        <is>
          <t>Espuma Expansiva de PU 740 gramas</t>
        </is>
      </c>
      <c r="E4165" s="11">
        <f t="array" ref="E4165">_xlfn.XLOOKUP(D4165,Insumos!B:B,Insumos!C:$C)</f>
        <v/>
      </c>
      <c r="F4165" s="2164" t="n">
        <v>1</v>
      </c>
      <c r="G4165" s="92">
        <f t="array" ref="G4165">IF(B4165="insumo",_xlfn.XLOOKUP($D4165,Insumos!$B$1:$B$996,Insumos!$D$1:$D$996),"")</f>
        <v/>
      </c>
      <c r="H4165" s="92" t="n">
        <v>55</v>
      </c>
      <c r="I4165" s="2165" t="n">
        <v>0</v>
      </c>
      <c r="J4165" s="2165" t="n">
        <v>0</v>
      </c>
      <c r="K4165" s="2165" t="n"/>
    </row>
    <row r="4166" outlineLevel="2" ht="15.75" customHeight="1">
      <c r="A4166" s="1067" t="n">
        <v>1</v>
      </c>
      <c r="B4166" s="1067" t="inlineStr">
        <is>
          <t>Serviço</t>
        </is>
      </c>
      <c r="C4166" s="1067" t="inlineStr">
        <is>
          <t>Porta de madeira de abrir - 60x215cm (kit completo) - fixação com espuma expansiva</t>
        </is>
      </c>
      <c r="D4166" s="1067" t="inlineStr">
        <is>
          <t>Porta de madeira de abrir - 60x215cm (kit completo) - fixação com espuma expansiva</t>
        </is>
      </c>
      <c r="E4166" s="1068" t="inlineStr">
        <is>
          <t>M2</t>
        </is>
      </c>
      <c r="F4166" s="1067" t="n"/>
      <c r="G4166" s="1069">
        <f t="array" ref="G4166">IF(B4166="insumo",_xlfn.XLOOKUP($D4166,Insumos!$B$1:$B$996,Insumos!$D$1:$D$996),"")</f>
        <v/>
      </c>
      <c r="H4166" s="1069" t="n">
        <v>2264.52304854369</v>
      </c>
      <c r="I4166" s="2161" t="n">
        <v>0</v>
      </c>
      <c r="J4166" s="2161" t="n">
        <v>0</v>
      </c>
      <c r="K4166" s="2161" t="n"/>
    </row>
    <row r="4167" outlineLevel="3" ht="15.75" customHeight="1">
      <c r="A4167" s="10" t="n">
        <v>1</v>
      </c>
      <c r="B4167" s="10" t="inlineStr">
        <is>
          <t>Insumo</t>
        </is>
      </c>
      <c r="C4167" s="10" t="inlineStr">
        <is>
          <t>Porta de madeira de abrir - 60x215cm (kit completo) - fixação com espuma expansiva</t>
        </is>
      </c>
      <c r="D4167" s="10" t="inlineStr">
        <is>
          <t>Porta de madeira de abrir - 60x215cm (kit completo)</t>
        </is>
      </c>
      <c r="E4167" s="11">
        <f t="array" ref="E4167">_xlfn.XLOOKUP(D4167,Insumos!B:B,Insumos!C:$C)</f>
        <v/>
      </c>
      <c r="F4167" s="14" t="n">
        <v>1</v>
      </c>
      <c r="G4167" s="92">
        <f t="array" ref="G4167">IF(B4167="insumo",_xlfn.XLOOKUP($D4167,Insumos!$B$1:$B$996,Insumos!$D$1:$D$996),"")</f>
        <v/>
      </c>
      <c r="H4167" s="92" t="n">
        <v>2209.52304854369</v>
      </c>
      <c r="I4167" s="2162" t="n">
        <v>0</v>
      </c>
      <c r="J4167" s="2162" t="n">
        <v>0</v>
      </c>
      <c r="K4167" s="2162" t="n"/>
    </row>
    <row r="4168" outlineLevel="3" ht="15.75" customHeight="1">
      <c r="A4168" s="10" t="n">
        <v>24</v>
      </c>
      <c r="B4168" s="10" t="inlineStr">
        <is>
          <t>Insumo</t>
        </is>
      </c>
      <c r="C4168" s="10" t="inlineStr">
        <is>
          <t>Porta de madeira de abrir - 60x215cm (kit completo) - fixação com espuma expansiva</t>
        </is>
      </c>
      <c r="D4168" s="10" t="inlineStr">
        <is>
          <t>Espuma Expansiva de PU 740 gramas</t>
        </is>
      </c>
      <c r="E4168" s="11">
        <f t="array" ref="E4168">_xlfn.XLOOKUP(D4168,Insumos!B:B,Insumos!C:$C)</f>
        <v/>
      </c>
      <c r="F4168" s="14" t="n">
        <v>1</v>
      </c>
      <c r="G4168" s="92">
        <f t="array" ref="G4168">IF(B4168="insumo",_xlfn.XLOOKUP($D4168,Insumos!$B$1:$B$996,Insumos!$D$1:$D$996),"")</f>
        <v/>
      </c>
      <c r="H4168" s="92" t="n">
        <v>55</v>
      </c>
      <c r="I4168" s="2162" t="n">
        <v>0</v>
      </c>
      <c r="J4168" s="2162" t="n">
        <v>0</v>
      </c>
      <c r="K4168" s="2162" t="n"/>
    </row>
    <row r="4169" outlineLevel="2" ht="15.75" customHeight="1">
      <c r="A4169" s="1067" t="n">
        <v>1</v>
      </c>
      <c r="B4169" s="1067" t="inlineStr">
        <is>
          <t>Serviço</t>
        </is>
      </c>
      <c r="C4169" s="1067" t="inlineStr">
        <is>
          <t>Porta de madeira de abrir - 60x220cm (kit completo) - fixação com espuma expansiva</t>
        </is>
      </c>
      <c r="D4169" s="1067" t="inlineStr">
        <is>
          <t>Porta de madeira de abrir - 60x220cm (kit completo) - fixação com espuma expansiva</t>
        </is>
      </c>
      <c r="E4169" s="1068" t="inlineStr">
        <is>
          <t>M2</t>
        </is>
      </c>
      <c r="F4169" s="1067" t="n"/>
      <c r="G4169" s="1069">
        <f t="array" ref="G4169">IF(B4169="insumo",_xlfn.XLOOKUP($D4169,Insumos!$B$1:$B$996,Insumos!$D$1:$D$996),"")</f>
        <v/>
      </c>
      <c r="H4169" s="1069" t="n">
        <v>2413.56761904762</v>
      </c>
      <c r="I4169" s="2161" t="n">
        <v>0</v>
      </c>
      <c r="J4169" s="2161" t="n">
        <v>0</v>
      </c>
      <c r="K4169" s="2161" t="n"/>
    </row>
    <row r="4170" outlineLevel="3" ht="15.75" customHeight="1">
      <c r="A4170" s="10" t="n">
        <v>1</v>
      </c>
      <c r="B4170" s="10" t="inlineStr">
        <is>
          <t>Insumo</t>
        </is>
      </c>
      <c r="C4170" s="10" t="inlineStr">
        <is>
          <t>Porta de madeira de abrir - 60x220cm (kit completo) - fixação com espuma expansiva</t>
        </is>
      </c>
      <c r="D4170" s="10" t="inlineStr">
        <is>
          <t>Porta de madeira de abrir - 60x220cm (kit completo)</t>
        </is>
      </c>
      <c r="E4170" s="11">
        <f t="array" ref="E4170">_xlfn.XLOOKUP(D4170,Insumos!B:B,Insumos!C:$C)</f>
        <v/>
      </c>
      <c r="F4170" s="14" t="n">
        <v>1</v>
      </c>
      <c r="G4170" s="92">
        <f t="array" ref="G4170">IF(B4170="insumo",_xlfn.XLOOKUP($D4170,Insumos!$B$1:$B$996,Insumos!$D$1:$D$996),"")</f>
        <v/>
      </c>
      <c r="H4170" s="92" t="n">
        <v>2358.56761904762</v>
      </c>
      <c r="I4170" s="2162" t="n">
        <v>0</v>
      </c>
      <c r="J4170" s="2162" t="n">
        <v>0</v>
      </c>
      <c r="K4170" s="2162" t="n"/>
    </row>
    <row r="4171" outlineLevel="3" ht="15.75" customHeight="1">
      <c r="A4171" s="10" t="n">
        <v>24</v>
      </c>
      <c r="B4171" s="10" t="inlineStr">
        <is>
          <t>Insumo</t>
        </is>
      </c>
      <c r="C4171" s="10" t="inlineStr">
        <is>
          <t>Porta de madeira de abrir - 60x220cm (kit completo) - fixação com espuma expansiva</t>
        </is>
      </c>
      <c r="D4171" s="10" t="inlineStr">
        <is>
          <t>Espuma Expansiva de PU 740 gramas</t>
        </is>
      </c>
      <c r="E4171" s="11">
        <f t="array" ref="E4171">_xlfn.XLOOKUP(D4171,Insumos!B:B,Insumos!C:$C)</f>
        <v/>
      </c>
      <c r="F4171" s="14" t="n">
        <v>1</v>
      </c>
      <c r="G4171" s="92">
        <f t="array" ref="G4171">IF(B4171="insumo",_xlfn.XLOOKUP($D4171,Insumos!$B$1:$B$996,Insumos!$D$1:$D$996),"")</f>
        <v/>
      </c>
      <c r="H4171" s="92" t="n">
        <v>55</v>
      </c>
      <c r="I4171" s="2162" t="n">
        <v>0</v>
      </c>
      <c r="J4171" s="2162" t="n">
        <v>0</v>
      </c>
      <c r="K4171" s="2162" t="n"/>
    </row>
    <row r="4172" outlineLevel="2" ht="15.75" customHeight="1">
      <c r="A4172" s="1067" t="n">
        <v>1</v>
      </c>
      <c r="B4172" s="1067" t="inlineStr">
        <is>
          <t>Serviço</t>
        </is>
      </c>
      <c r="C4172" s="1067" t="inlineStr">
        <is>
          <t>Porta de madeira de abrir - 70x210cm (kit completo) - fixação com espuma expansiva</t>
        </is>
      </c>
      <c r="D4172" s="1067" t="inlineStr">
        <is>
          <t>Porta de madeira de abrir - 70x210cm (kit completo) - fixação com espuma expansiva</t>
        </is>
      </c>
      <c r="E4172" s="1068" t="inlineStr">
        <is>
          <t>M2</t>
        </is>
      </c>
      <c r="F4172" s="1067" t="n"/>
      <c r="G4172" s="1069">
        <f t="array" ref="G4172">IF(B4172="insumo",_xlfn.XLOOKUP($D4172,Insumos!$B$1:$B$996,Insumos!$D$1:$D$996),"")</f>
        <v/>
      </c>
      <c r="H4172" s="1069" t="n">
        <v>2306.36</v>
      </c>
      <c r="I4172" s="2161" t="n">
        <v>204</v>
      </c>
      <c r="J4172" s="2161" t="n">
        <v>470497.44</v>
      </c>
      <c r="K4172" s="2161" t="n"/>
    </row>
    <row r="4173" outlineLevel="3" ht="15.75" customHeight="1">
      <c r="A4173" s="10" t="n">
        <v>1</v>
      </c>
      <c r="B4173" s="10" t="inlineStr">
        <is>
          <t>Insumo</t>
        </is>
      </c>
      <c r="C4173" s="10" t="inlineStr">
        <is>
          <t>Porta de madeira de abrir - 70x210cm (kit completo) - fixação com espuma expansiva</t>
        </is>
      </c>
      <c r="D4173" s="10" t="inlineStr">
        <is>
          <t>Porta de madeira de abrir - 70x210cm (kit completo)</t>
        </is>
      </c>
      <c r="E4173" s="11">
        <f t="array" ref="E4173">_xlfn.XLOOKUP(D4173,Insumos!B:B,Insumos!C:$C)</f>
        <v/>
      </c>
      <c r="F4173" s="14" t="n">
        <v>1</v>
      </c>
      <c r="G4173" s="92">
        <f t="array" ref="G4173">IF(B4173="insumo",_xlfn.XLOOKUP($D4173,Insumos!$B$1:$B$996,Insumos!$D$1:$D$996),"")</f>
        <v/>
      </c>
      <c r="H4173" s="92" t="n">
        <v>2251.36</v>
      </c>
      <c r="I4173" s="2162" t="n">
        <v>204</v>
      </c>
      <c r="J4173" s="2162" t="n">
        <v>459277.44</v>
      </c>
      <c r="K4173" s="2162" t="n"/>
    </row>
    <row r="4174" outlineLevel="3" ht="15.75" customHeight="1">
      <c r="A4174" s="10" t="n">
        <v>24</v>
      </c>
      <c r="B4174" s="10" t="inlineStr">
        <is>
          <t>Insumo</t>
        </is>
      </c>
      <c r="C4174" s="10" t="inlineStr">
        <is>
          <t>Porta de madeira de abrir - 70x210cm (kit completo) - fixação com espuma expansiva</t>
        </is>
      </c>
      <c r="D4174" s="10" t="inlineStr">
        <is>
          <t>Espuma Expansiva de PU 740 gramas</t>
        </is>
      </c>
      <c r="E4174" s="11">
        <f t="array" ref="E4174">_xlfn.XLOOKUP(D4174,Insumos!B:B,Insumos!C:$C)</f>
        <v/>
      </c>
      <c r="F4174" s="14" t="n">
        <v>1</v>
      </c>
      <c r="G4174" s="92">
        <f t="array" ref="G4174">IF(B4174="insumo",_xlfn.XLOOKUP($D4174,Insumos!$B$1:$B$996,Insumos!$D$1:$D$996),"")</f>
        <v/>
      </c>
      <c r="H4174" s="92" t="n">
        <v>55</v>
      </c>
      <c r="I4174" s="2162" t="n">
        <v>204</v>
      </c>
      <c r="J4174" s="2162" t="n">
        <v>11220</v>
      </c>
      <c r="K4174" s="2162" t="n"/>
    </row>
    <row r="4175" outlineLevel="2" ht="15.75" customHeight="1">
      <c r="A4175" s="1067" t="n">
        <v>1</v>
      </c>
      <c r="B4175" s="1067" t="inlineStr">
        <is>
          <t>Serviço</t>
        </is>
      </c>
      <c r="C4175" s="1067" t="inlineStr">
        <is>
          <t>Porta de madeira de abrir - 76x210cm (kit completo) - fixação com espuma expansiva</t>
        </is>
      </c>
      <c r="D4175" s="1067" t="inlineStr">
        <is>
          <t>Porta de madeira de abrir - 76x210cm (kit completo) - fixação com espuma expansiva</t>
        </is>
      </c>
      <c r="E4175" s="1068" t="inlineStr">
        <is>
          <t>M2</t>
        </is>
      </c>
      <c r="F4175" s="1067" t="n"/>
      <c r="G4175" s="1069">
        <f t="array" ref="G4175">IF(B4175="insumo",_xlfn.XLOOKUP($D4175,Insumos!$B$1:$B$996,Insumos!$D$1:$D$996),"")</f>
        <v/>
      </c>
      <c r="H4175" s="1069" t="n">
        <v>2264.52304854369</v>
      </c>
      <c r="I4175" s="2161" t="n">
        <v>0</v>
      </c>
      <c r="J4175" s="2161" t="n">
        <v>0</v>
      </c>
      <c r="K4175" s="2161" t="n"/>
    </row>
    <row r="4176" outlineLevel="3" ht="15.75" customHeight="1">
      <c r="A4176" s="10" t="n">
        <v>1</v>
      </c>
      <c r="B4176" s="10" t="inlineStr">
        <is>
          <t>Insumo</t>
        </is>
      </c>
      <c r="C4176" s="10" t="inlineStr">
        <is>
          <t>Porta de madeira de abrir - 76x210cm (kit completo) - fixação com espuma expansiva</t>
        </is>
      </c>
      <c r="D4176" s="10" t="inlineStr">
        <is>
          <t>Porta de madeira de abrir - 76x210cm (kit completo)</t>
        </is>
      </c>
      <c r="E4176" s="11">
        <f t="array" ref="E4176">_xlfn.XLOOKUP(D4176,Insumos!B:B,Insumos!C:$C)</f>
        <v/>
      </c>
      <c r="F4176" s="14" t="n">
        <v>1</v>
      </c>
      <c r="G4176" s="92">
        <f t="array" ref="G4176">IF(B4176="insumo",_xlfn.XLOOKUP($D4176,Insumos!$B$1:$B$996,Insumos!$D$1:$D$996),"")</f>
        <v/>
      </c>
      <c r="H4176" s="92" t="n">
        <v>2209.52304854369</v>
      </c>
      <c r="I4176" s="2162" t="n">
        <v>0</v>
      </c>
      <c r="J4176" s="2162" t="n">
        <v>0</v>
      </c>
      <c r="K4176" s="2162" t="n"/>
    </row>
    <row r="4177" outlineLevel="3" ht="15.75" customHeight="1">
      <c r="A4177" s="10" t="n">
        <v>24</v>
      </c>
      <c r="B4177" s="10" t="inlineStr">
        <is>
          <t>Insumo</t>
        </is>
      </c>
      <c r="C4177" s="10" t="inlineStr">
        <is>
          <t>Porta de madeira de abrir - 76x210cm (kit completo) - fixação com espuma expansiva</t>
        </is>
      </c>
      <c r="D4177" s="10" t="inlineStr">
        <is>
          <t>Espuma Expansiva de PU 740 gramas</t>
        </is>
      </c>
      <c r="E4177" s="11">
        <f t="array" ref="E4177">_xlfn.XLOOKUP(D4177,Insumos!B:B,Insumos!C:$C)</f>
        <v/>
      </c>
      <c r="F4177" s="14" t="n">
        <v>1</v>
      </c>
      <c r="G4177" s="92">
        <f t="array" ref="G4177">IF(B4177="insumo",_xlfn.XLOOKUP($D4177,Insumos!$B$1:$B$996,Insumos!$D$1:$D$996),"")</f>
        <v/>
      </c>
      <c r="H4177" s="92" t="n">
        <v>55</v>
      </c>
      <c r="I4177" s="2162" t="n">
        <v>0</v>
      </c>
      <c r="J4177" s="2162" t="n">
        <v>0</v>
      </c>
      <c r="K4177" s="2162" t="n"/>
    </row>
    <row r="4178" outlineLevel="2" ht="15.75" customHeight="1">
      <c r="A4178" s="1067" t="n">
        <v>1</v>
      </c>
      <c r="B4178" s="1067" t="inlineStr">
        <is>
          <t>Serviço</t>
        </is>
      </c>
      <c r="C4178" s="1067" t="inlineStr">
        <is>
          <t>Porta de madeira de abrir - 80x215cm (kit completo) - fixação com espuma expansiva</t>
        </is>
      </c>
      <c r="D4178" s="1067" t="inlineStr">
        <is>
          <t>Porta de madeira de abrir - 80x215cm (kit completo) - fixação com espuma expansiva</t>
        </is>
      </c>
      <c r="E4178" s="1068" t="inlineStr">
        <is>
          <t>M2</t>
        </is>
      </c>
      <c r="F4178" s="1067" t="n"/>
      <c r="G4178" s="1069">
        <f t="array" ref="G4178">IF(B4178="insumo",_xlfn.XLOOKUP($D4178,Insumos!$B$1:$B$996,Insumos!$D$1:$D$996),"")</f>
        <v/>
      </c>
      <c r="H4178" s="1069" t="n">
        <v>2264.52304854369</v>
      </c>
      <c r="I4178" s="2161" t="n">
        <v>0</v>
      </c>
      <c r="J4178" s="2161" t="n">
        <v>0</v>
      </c>
      <c r="K4178" s="2161" t="n"/>
    </row>
    <row r="4179" outlineLevel="3" ht="15.75" customHeight="1">
      <c r="A4179" s="10" t="n">
        <v>1</v>
      </c>
      <c r="B4179" s="10" t="inlineStr">
        <is>
          <t>Insumo</t>
        </is>
      </c>
      <c r="C4179" s="10" t="inlineStr">
        <is>
          <t>Porta de madeira de abrir - 80x215cm (kit completo) - fixação com espuma expansiva</t>
        </is>
      </c>
      <c r="D4179" s="10" t="inlineStr">
        <is>
          <t>Porta de madeira de abrir - 80x215cm (kit completo)</t>
        </is>
      </c>
      <c r="E4179" s="11">
        <f t="array" ref="E4179">_xlfn.XLOOKUP(D4179,Insumos!B:B,Insumos!C:$C)</f>
        <v/>
      </c>
      <c r="F4179" s="14" t="n">
        <v>1</v>
      </c>
      <c r="G4179" s="92">
        <f t="array" ref="G4179">IF(B4179="insumo",_xlfn.XLOOKUP($D4179,Insumos!$B$1:$B$996,Insumos!$D$1:$D$996),"")</f>
        <v/>
      </c>
      <c r="H4179" s="92" t="n">
        <v>2209.52304854369</v>
      </c>
      <c r="I4179" s="2162" t="n">
        <v>0</v>
      </c>
      <c r="J4179" s="2162" t="n">
        <v>0</v>
      </c>
      <c r="K4179" s="2162" t="n"/>
    </row>
    <row r="4180" outlineLevel="3" ht="15.75" customHeight="1">
      <c r="A4180" s="10" t="n">
        <v>24</v>
      </c>
      <c r="B4180" s="10" t="inlineStr">
        <is>
          <t>Insumo</t>
        </is>
      </c>
      <c r="C4180" s="10" t="inlineStr">
        <is>
          <t>Porta de madeira de abrir - 80x215cm (kit completo) - fixação com espuma expansiva</t>
        </is>
      </c>
      <c r="D4180" s="10" t="inlineStr">
        <is>
          <t>Espuma Expansiva de PU 740 gramas</t>
        </is>
      </c>
      <c r="E4180" s="11">
        <f t="array" ref="E4180">_xlfn.XLOOKUP(D4180,Insumos!B:B,Insumos!C:$C)</f>
        <v/>
      </c>
      <c r="F4180" s="14" t="n">
        <v>1</v>
      </c>
      <c r="G4180" s="92">
        <f t="array" ref="G4180">IF(B4180="insumo",_xlfn.XLOOKUP($D4180,Insumos!$B$1:$B$996,Insumos!$D$1:$D$996),"")</f>
        <v/>
      </c>
      <c r="H4180" s="92" t="n">
        <v>55</v>
      </c>
      <c r="I4180" s="2162" t="n">
        <v>0</v>
      </c>
      <c r="J4180" s="2162" t="n">
        <v>0</v>
      </c>
      <c r="K4180" s="2162" t="n"/>
    </row>
    <row r="4181" outlineLevel="2" ht="15.75" customHeight="1">
      <c r="A4181" s="1067" t="n">
        <v>1</v>
      </c>
      <c r="B4181" s="1067" t="inlineStr">
        <is>
          <t>Serviço</t>
        </is>
      </c>
      <c r="C4181" s="1067" t="inlineStr">
        <is>
          <t>Porta de madeira de abrir - 60x210cm (kit completo) - fixação com espuma expansiva</t>
        </is>
      </c>
      <c r="D4181" s="1067" t="inlineStr">
        <is>
          <t>Porta de madeira de abrir - 60x210cm (kit completo) - fixação com espuma expansiva</t>
        </is>
      </c>
      <c r="E4181" s="1068" t="inlineStr">
        <is>
          <t>M2</t>
        </is>
      </c>
      <c r="F4181" s="1067" t="n"/>
      <c r="G4181" s="1069">
        <f t="array" ref="G4181">IF(B4181="insumo",_xlfn.XLOOKUP($D4181,Insumos!$B$1:$B$996,Insumos!$D$1:$D$996),"")</f>
        <v/>
      </c>
      <c r="H4181" s="1069" t="n">
        <v>2306.36</v>
      </c>
      <c r="I4181" s="2161" t="n">
        <v>0</v>
      </c>
      <c r="J4181" s="2161" t="n">
        <v>0</v>
      </c>
      <c r="K4181" s="2161" t="n"/>
    </row>
    <row r="4182" outlineLevel="3" ht="15.75" customHeight="1">
      <c r="A4182" s="10" t="n">
        <v>1</v>
      </c>
      <c r="B4182" s="10" t="inlineStr">
        <is>
          <t>Insumo</t>
        </is>
      </c>
      <c r="C4182" s="10" t="inlineStr">
        <is>
          <t>Porta de madeira de abrir - 60x210cm (kit completo) - fixação com espuma expansiva</t>
        </is>
      </c>
      <c r="D4182" s="10" t="inlineStr">
        <is>
          <t>Porta de madeira de abrir - 60x210cm (kit completo)</t>
        </is>
      </c>
      <c r="E4182" s="11">
        <f t="array" ref="E4182">_xlfn.XLOOKUP(D4182,Insumos!B:B,Insumos!C:$C)</f>
        <v/>
      </c>
      <c r="F4182" s="14" t="n">
        <v>1</v>
      </c>
      <c r="G4182" s="92">
        <f t="array" ref="G4182">IF(B4182="insumo",_xlfn.XLOOKUP($D4182,Insumos!$B$1:$B$996,Insumos!$D$1:$D$996),"")</f>
        <v/>
      </c>
      <c r="H4182" s="92" t="n">
        <v>2251.36</v>
      </c>
      <c r="I4182" s="2162" t="n">
        <v>0</v>
      </c>
      <c r="J4182" s="2162" t="n">
        <v>0</v>
      </c>
      <c r="K4182" s="2162" t="n"/>
    </row>
    <row r="4183" outlineLevel="3" ht="15.75" customHeight="1">
      <c r="A4183" s="10" t="n">
        <v>24</v>
      </c>
      <c r="B4183" s="10" t="inlineStr">
        <is>
          <t>Insumo</t>
        </is>
      </c>
      <c r="C4183" s="10" t="inlineStr">
        <is>
          <t>Porta de madeira de abrir - 60x210cm (kit completo) - fixação com espuma expansiva</t>
        </is>
      </c>
      <c r="D4183" s="10" t="inlineStr">
        <is>
          <t>Espuma Expansiva de PU 740 gramas</t>
        </is>
      </c>
      <c r="E4183" s="11">
        <f t="array" ref="E4183">_xlfn.XLOOKUP(D4183,Insumos!B:B,Insumos!C:$C)</f>
        <v/>
      </c>
      <c r="F4183" s="14" t="n">
        <v>1</v>
      </c>
      <c r="G4183" s="92">
        <f t="array" ref="G4183">IF(B4183="insumo",_xlfn.XLOOKUP($D4183,Insumos!$B$1:$B$996,Insumos!$D$1:$D$996),"")</f>
        <v/>
      </c>
      <c r="H4183" s="92" t="n">
        <v>55</v>
      </c>
      <c r="I4183" s="2162" t="n">
        <v>0</v>
      </c>
      <c r="J4183" s="2162" t="n">
        <v>0</v>
      </c>
      <c r="K4183" s="2162" t="n"/>
    </row>
    <row r="4184" outlineLevel="2" ht="15.75" customHeight="1">
      <c r="A4184" s="1067" t="n">
        <v>1</v>
      </c>
      <c r="B4184" s="1067" t="inlineStr">
        <is>
          <t>Serviço</t>
        </is>
      </c>
      <c r="C4184" s="1067" t="inlineStr">
        <is>
          <t>Porta de madeira de abrir - 80x210cm (kit completo) - fixação com espuma expansiva</t>
        </is>
      </c>
      <c r="D4184" s="1067" t="inlineStr">
        <is>
          <t>Porta de madeira de abrir - 80x210cm (kit completo) - fixação com espuma expansiva</t>
        </is>
      </c>
      <c r="E4184" s="1068" t="inlineStr">
        <is>
          <t>M2</t>
        </is>
      </c>
      <c r="F4184" s="1067" t="n"/>
      <c r="G4184" s="1069">
        <f t="array" ref="G4184">IF(B4184="insumo",_xlfn.XLOOKUP($D4184,Insumos!$B$1:$B$996,Insumos!$D$1:$D$996),"")</f>
        <v/>
      </c>
      <c r="H4184" s="1069" t="n">
        <v>2306.36</v>
      </c>
      <c r="I4184" s="2161" t="n">
        <v>170</v>
      </c>
      <c r="J4184" s="2161" t="n">
        <v>392081.2</v>
      </c>
      <c r="K4184" s="2161" t="n"/>
    </row>
    <row r="4185" outlineLevel="3" ht="15.75" customHeight="1">
      <c r="A4185" s="10" t="n">
        <v>1</v>
      </c>
      <c r="B4185" s="10" t="inlineStr">
        <is>
          <t>Insumo</t>
        </is>
      </c>
      <c r="C4185" s="10" t="inlineStr">
        <is>
          <t>Porta de madeira de abrir - 80x210cm (kit completo) - fixação com espuma expansiva</t>
        </is>
      </c>
      <c r="D4185" s="10" t="inlineStr">
        <is>
          <t>Porta de madeira de abrir - 80x210cm (kit completo)</t>
        </is>
      </c>
      <c r="E4185" s="11">
        <f t="array" ref="E4185">_xlfn.XLOOKUP(D4185,Insumos!B:B,Insumos!C:$C)</f>
        <v/>
      </c>
      <c r="F4185" s="14" t="n">
        <v>1</v>
      </c>
      <c r="G4185" s="92">
        <f t="array" ref="G4185">IF(B4185="insumo",_xlfn.XLOOKUP($D4185,Insumos!$B$1:$B$996,Insumos!$D$1:$D$996),"")</f>
        <v/>
      </c>
      <c r="H4185" s="92" t="n">
        <v>2251.36</v>
      </c>
      <c r="I4185" s="2162" t="n">
        <v>170</v>
      </c>
      <c r="J4185" s="2162" t="n">
        <v>382731.2</v>
      </c>
      <c r="K4185" s="2162" t="n"/>
    </row>
    <row r="4186" outlineLevel="3" ht="15.75" customHeight="1">
      <c r="A4186" s="10" t="n">
        <v>24</v>
      </c>
      <c r="B4186" s="10" t="inlineStr">
        <is>
          <t>Insumo</t>
        </is>
      </c>
      <c r="C4186" s="10" t="inlineStr">
        <is>
          <t>Porta de madeira de abrir - 80x210cm (kit completo) - fixação com espuma expansiva</t>
        </is>
      </c>
      <c r="D4186" s="10" t="inlineStr">
        <is>
          <t>Espuma Expansiva de PU 740 gramas</t>
        </is>
      </c>
      <c r="E4186" s="11">
        <f t="array" ref="E4186">_xlfn.XLOOKUP(D4186,Insumos!B:B,Insumos!C:$C)</f>
        <v/>
      </c>
      <c r="F4186" s="14" t="n">
        <v>1</v>
      </c>
      <c r="G4186" s="92">
        <f t="array" ref="G4186">IF(B4186="insumo",_xlfn.XLOOKUP($D4186,Insumos!$B$1:$B$996,Insumos!$D$1:$D$996),"")</f>
        <v/>
      </c>
      <c r="H4186" s="92" t="n">
        <v>55</v>
      </c>
      <c r="I4186" s="2162" t="n">
        <v>170</v>
      </c>
      <c r="J4186" s="2162" t="n">
        <v>9350</v>
      </c>
      <c r="K4186" s="2162" t="n"/>
    </row>
    <row r="4187" outlineLevel="2" ht="15.75" customHeight="1">
      <c r="A4187" s="1067" t="n">
        <v>1</v>
      </c>
      <c r="B4187" s="1067" t="inlineStr">
        <is>
          <t>Serviço</t>
        </is>
      </c>
      <c r="C4187" s="1067" t="inlineStr">
        <is>
          <t>Porta de madeira de abrir - 87x210cm (kit completo) - fixação com espuma expansiva</t>
        </is>
      </c>
      <c r="D4187" s="1067" t="inlineStr">
        <is>
          <t>Porta de madeira de abrir - 87x210cm (kit completo) - fixação com espuma expansiva</t>
        </is>
      </c>
      <c r="E4187" s="1068" t="inlineStr">
        <is>
          <t>M2</t>
        </is>
      </c>
      <c r="F4187" s="1067" t="n"/>
      <c r="G4187" s="1069">
        <f t="array" ref="G4187">IF(B4187="insumo",_xlfn.XLOOKUP($D4187,Insumos!$B$1:$B$996,Insumos!$D$1:$D$996),"")</f>
        <v/>
      </c>
      <c r="H4187" s="1069" t="n">
        <v>2264.52304854369</v>
      </c>
      <c r="I4187" s="2161" t="n">
        <v>0</v>
      </c>
      <c r="J4187" s="2161" t="n">
        <v>0</v>
      </c>
      <c r="K4187" s="2161" t="n"/>
    </row>
    <row r="4188" outlineLevel="3" ht="15.75" customHeight="1">
      <c r="A4188" s="10" t="n">
        <v>1</v>
      </c>
      <c r="B4188" s="10" t="inlineStr">
        <is>
          <t>Insumo</t>
        </is>
      </c>
      <c r="C4188" s="10" t="inlineStr">
        <is>
          <t>Porta de madeira de abrir - 87x210cm (kit completo) - fixação com espuma expansiva</t>
        </is>
      </c>
      <c r="D4188" s="10" t="inlineStr">
        <is>
          <t>Porta de madeira de abrir - 87x210cm (kit completo)</t>
        </is>
      </c>
      <c r="E4188" s="11">
        <f t="array" ref="E4188">_xlfn.XLOOKUP(D4188,Insumos!B:B,Insumos!C:$C)</f>
        <v/>
      </c>
      <c r="F4188" s="14" t="n">
        <v>1</v>
      </c>
      <c r="G4188" s="92">
        <f t="array" ref="G4188">IF(B4188="insumo",_xlfn.XLOOKUP($D4188,Insumos!$B$1:$B$996,Insumos!$D$1:$D$996),"")</f>
        <v/>
      </c>
      <c r="H4188" s="92" t="n">
        <v>2209.52304854369</v>
      </c>
      <c r="I4188" s="2162" t="n">
        <v>0</v>
      </c>
      <c r="J4188" s="2162" t="n">
        <v>0</v>
      </c>
      <c r="K4188" s="2162" t="n"/>
    </row>
    <row r="4189" outlineLevel="3" ht="15.75" customHeight="1">
      <c r="A4189" s="10" t="n">
        <v>24</v>
      </c>
      <c r="B4189" s="10" t="inlineStr">
        <is>
          <t>Insumo</t>
        </is>
      </c>
      <c r="C4189" s="10" t="inlineStr">
        <is>
          <t>Porta de madeira de abrir - 87x210cm (kit completo) - fixação com espuma expansiva</t>
        </is>
      </c>
      <c r="D4189" s="10" t="inlineStr">
        <is>
          <t>Espuma Expansiva de PU 740 gramas</t>
        </is>
      </c>
      <c r="E4189" s="11">
        <f t="array" ref="E4189">_xlfn.XLOOKUP(D4189,Insumos!B:B,Insumos!C:$C)</f>
        <v/>
      </c>
      <c r="F4189" s="14" t="n">
        <v>1</v>
      </c>
      <c r="G4189" s="92">
        <f t="array" ref="G4189">IF(B4189="insumo",_xlfn.XLOOKUP($D4189,Insumos!$B$1:$B$996,Insumos!$D$1:$D$996),"")</f>
        <v/>
      </c>
      <c r="H4189" s="92" t="n">
        <v>55</v>
      </c>
      <c r="I4189" s="2162" t="n">
        <v>0</v>
      </c>
      <c r="J4189" s="2162" t="n">
        <v>0</v>
      </c>
      <c r="K4189" s="2162" t="n"/>
    </row>
    <row r="4190" outlineLevel="2" ht="15.75" customHeight="1">
      <c r="A4190" s="1067" t="n">
        <v>1</v>
      </c>
      <c r="B4190" s="1067" t="inlineStr">
        <is>
          <t>Serviço</t>
        </is>
      </c>
      <c r="C4190" s="1067" t="inlineStr">
        <is>
          <t>Porta de madeira de abrir - 90x210cm (kit completo) - fixação com espuma expansiva</t>
        </is>
      </c>
      <c r="D4190" s="1067" t="inlineStr">
        <is>
          <t>Porta de madeira de abrir - 90x210cm (kit completo) - fixação com espuma expansiva</t>
        </is>
      </c>
      <c r="E4190" s="1068" t="inlineStr">
        <is>
          <t>M2</t>
        </is>
      </c>
      <c r="F4190" s="1067" t="n"/>
      <c r="G4190" s="1069">
        <f t="array" ref="G4190">IF(B4190="insumo",_xlfn.XLOOKUP($D4190,Insumos!$B$1:$B$996,Insumos!$D$1:$D$996),"")</f>
        <v/>
      </c>
      <c r="H4190" s="1069" t="n">
        <v>2653.86</v>
      </c>
      <c r="I4190" s="2161" t="n">
        <v>58</v>
      </c>
      <c r="J4190" s="2161" t="n">
        <v>153923.88</v>
      </c>
      <c r="K4190" s="2161" t="n"/>
    </row>
    <row r="4191" outlineLevel="3" ht="15.75" customHeight="1">
      <c r="A4191" s="10" t="n">
        <v>1</v>
      </c>
      <c r="B4191" s="10" t="inlineStr">
        <is>
          <t>Insumo</t>
        </is>
      </c>
      <c r="C4191" s="10" t="inlineStr">
        <is>
          <t>Porta de madeira de abrir - 90x210cm (kit completo) - fixação com espuma expansiva</t>
        </is>
      </c>
      <c r="D4191" s="10" t="inlineStr">
        <is>
          <t>Porta de madeira de abrir - 90x210cm (kit completo)</t>
        </is>
      </c>
      <c r="E4191" s="11">
        <f t="array" ref="E4191">_xlfn.XLOOKUP(D4191,Insumos!B:B,Insumos!C:$C)</f>
        <v/>
      </c>
      <c r="F4191" s="14" t="n">
        <v>1</v>
      </c>
      <c r="G4191" s="92">
        <f t="array" ref="G4191">IF(B4191="insumo",_xlfn.XLOOKUP($D4191,Insumos!$B$1:$B$996,Insumos!$D$1:$D$996),"")</f>
        <v/>
      </c>
      <c r="H4191" s="92" t="n">
        <v>2598.86</v>
      </c>
      <c r="I4191" s="2162" t="n">
        <v>58</v>
      </c>
      <c r="J4191" s="2162" t="n">
        <v>150733.88</v>
      </c>
      <c r="K4191" s="2162" t="n"/>
    </row>
    <row r="4192" outlineLevel="3" ht="15.75" customHeight="1">
      <c r="A4192" s="10" t="n">
        <v>24</v>
      </c>
      <c r="B4192" s="10" t="inlineStr">
        <is>
          <t>Insumo</t>
        </is>
      </c>
      <c r="C4192" s="10" t="inlineStr">
        <is>
          <t>Porta de madeira de abrir - 90x210cm (kit completo) - fixação com espuma expansiva</t>
        </is>
      </c>
      <c r="D4192" s="10" t="inlineStr">
        <is>
          <t>Espuma Expansiva de PU 740 gramas</t>
        </is>
      </c>
      <c r="E4192" s="11">
        <f t="array" ref="E4192">_xlfn.XLOOKUP(D4192,Insumos!B:B,Insumos!C:$C)</f>
        <v/>
      </c>
      <c r="F4192" s="14" t="n">
        <v>1</v>
      </c>
      <c r="G4192" s="92">
        <f t="array" ref="G4192">IF(B4192="insumo",_xlfn.XLOOKUP($D4192,Insumos!$B$1:$B$996,Insumos!$D$1:$D$996),"")</f>
        <v/>
      </c>
      <c r="H4192" s="92" t="n">
        <v>55</v>
      </c>
      <c r="I4192" s="2162" t="n">
        <v>58</v>
      </c>
      <c r="J4192" s="2162" t="n">
        <v>3190</v>
      </c>
      <c r="K4192" s="2162" t="n"/>
    </row>
    <row r="4193" outlineLevel="2" ht="15.75" customHeight="1">
      <c r="A4193" s="1067" t="n">
        <v>1</v>
      </c>
      <c r="B4193" s="1067" t="inlineStr">
        <is>
          <t>Serviço</t>
        </is>
      </c>
      <c r="C4193" s="1067" t="inlineStr">
        <is>
          <t>Porta de madeira de abrir - 90x215cm (kit completo) - fixação com espuma expansiva</t>
        </is>
      </c>
      <c r="D4193" s="1067" t="inlineStr">
        <is>
          <t>Porta de madeira de abrir - 90x215cm (kit completo) - fixação com espuma expansiva</t>
        </is>
      </c>
      <c r="E4193" s="1068" t="inlineStr">
        <is>
          <t>M2</t>
        </is>
      </c>
      <c r="F4193" s="1067" t="n"/>
      <c r="G4193" s="1069">
        <f t="array" ref="G4193">IF(B4193="insumo",_xlfn.XLOOKUP($D4193,Insumos!$B$1:$B$996,Insumos!$D$1:$D$996),"")</f>
        <v/>
      </c>
      <c r="H4193" s="1069" t="n">
        <v>2715.73761904762</v>
      </c>
      <c r="I4193" s="2161" t="n">
        <v>0</v>
      </c>
      <c r="J4193" s="2161" t="n">
        <v>0</v>
      </c>
      <c r="K4193" s="2161" t="n"/>
    </row>
    <row r="4194" outlineLevel="3" ht="15.75" customHeight="1">
      <c r="A4194" s="10" t="n">
        <v>1</v>
      </c>
      <c r="B4194" s="10" t="inlineStr">
        <is>
          <t>Insumo</t>
        </is>
      </c>
      <c r="C4194" s="10" t="inlineStr">
        <is>
          <t>Porta de madeira de abrir - 90x215cm (kit completo) - fixação com espuma expansiva</t>
        </is>
      </c>
      <c r="D4194" s="10" t="inlineStr">
        <is>
          <t>Porta de madeira de abrir - 90x215cm (kit completo)</t>
        </is>
      </c>
      <c r="E4194" s="11">
        <f t="array" ref="E4194">_xlfn.XLOOKUP(D4194,Insumos!B:B,Insumos!C:$C)</f>
        <v/>
      </c>
      <c r="F4194" s="14" t="n">
        <v>1</v>
      </c>
      <c r="G4194" s="92">
        <f t="array" ref="G4194">IF(B4194="insumo",_xlfn.XLOOKUP($D4194,Insumos!$B$1:$B$996,Insumos!$D$1:$D$996),"")</f>
        <v/>
      </c>
      <c r="H4194" s="92" t="n">
        <v>2660.73761904762</v>
      </c>
      <c r="I4194" s="2162" t="n">
        <v>0</v>
      </c>
      <c r="J4194" s="2162" t="n">
        <v>0</v>
      </c>
      <c r="K4194" s="2162" t="n"/>
    </row>
    <row r="4195" outlineLevel="3" ht="15.75" customHeight="1">
      <c r="A4195" s="10" t="n">
        <v>24</v>
      </c>
      <c r="B4195" s="10" t="inlineStr">
        <is>
          <t>Insumo</t>
        </is>
      </c>
      <c r="C4195" s="10" t="inlineStr">
        <is>
          <t>Porta de madeira de abrir - 90x215cm (kit completo) - fixação com espuma expansiva</t>
        </is>
      </c>
      <c r="D4195" s="10" t="inlineStr">
        <is>
          <t>Espuma Expansiva de PU 740 gramas</t>
        </is>
      </c>
      <c r="E4195" s="11">
        <f t="array" ref="E4195">_xlfn.XLOOKUP(D4195,Insumos!B:B,Insumos!C:$C)</f>
        <v/>
      </c>
      <c r="F4195" s="14" t="n">
        <v>1</v>
      </c>
      <c r="G4195" s="92">
        <f t="array" ref="G4195">IF(B4195="insumo",_xlfn.XLOOKUP($D4195,Insumos!$B$1:$B$996,Insumos!$D$1:$D$996),"")</f>
        <v/>
      </c>
      <c r="H4195" s="92" t="n">
        <v>55</v>
      </c>
      <c r="I4195" s="2162" t="n">
        <v>0</v>
      </c>
      <c r="J4195" s="2162" t="n">
        <v>0</v>
      </c>
      <c r="K4195" s="2162" t="n"/>
    </row>
    <row r="4196" outlineLevel="2" ht="15.75" customHeight="1">
      <c r="A4196" s="1067" t="n">
        <v>1</v>
      </c>
      <c r="B4196" s="1067" t="inlineStr">
        <is>
          <t>Serviço</t>
        </is>
      </c>
      <c r="C4196" s="1067" t="inlineStr">
        <is>
          <t>Porta de madeira de abrir - 100x210cm (kit completo) - fixação com espuma expansiva</t>
        </is>
      </c>
      <c r="D4196" s="1067" t="inlineStr">
        <is>
          <t>Porta de madeira de abrir - 100x210cm (kit completo) - fixação com espuma expansiva</t>
        </is>
      </c>
      <c r="E4196" s="1068" t="inlineStr">
        <is>
          <t>M2</t>
        </is>
      </c>
      <c r="F4196" s="1067" t="n"/>
      <c r="G4196" s="1069">
        <f t="array" ref="G4196">IF(B4196="insumo",_xlfn.XLOOKUP($D4196,Insumos!$B$1:$B$996,Insumos!$D$1:$D$996),"")</f>
        <v/>
      </c>
      <c r="H4196" s="1069" t="n">
        <v>2942.62222222222</v>
      </c>
      <c r="I4196" s="2161" t="n">
        <v>0</v>
      </c>
      <c r="J4196" s="2161" t="n">
        <v>0</v>
      </c>
      <c r="K4196" s="2161" t="n"/>
    </row>
    <row r="4197" outlineLevel="3" ht="15.75" customHeight="1">
      <c r="A4197" s="10" t="n">
        <v>1</v>
      </c>
      <c r="B4197" s="10" t="inlineStr">
        <is>
          <t>Insumo</t>
        </is>
      </c>
      <c r="C4197" s="10" t="inlineStr">
        <is>
          <t>Porta de madeira de abrir - 100x210cm (kit completo) - fixação com espuma expansiva</t>
        </is>
      </c>
      <c r="D4197" s="10" t="inlineStr">
        <is>
          <t>Porta de madeira de abrir - 100x210cm (kit completo)</t>
        </is>
      </c>
      <c r="E4197" s="11">
        <f t="array" ref="E4197">_xlfn.XLOOKUP(D4197,Insumos!B:B,Insumos!C:$C)</f>
        <v/>
      </c>
      <c r="F4197" s="14" t="n">
        <v>1</v>
      </c>
      <c r="G4197" s="92">
        <f t="array" ref="G4197">IF(B4197="insumo",_xlfn.XLOOKUP($D4197,Insumos!$B$1:$B$996,Insumos!$D$1:$D$996),"")</f>
        <v/>
      </c>
      <c r="H4197" s="92" t="n">
        <v>2887.62222222222</v>
      </c>
      <c r="I4197" s="2162" t="n">
        <v>0</v>
      </c>
      <c r="J4197" s="2162" t="n">
        <v>0</v>
      </c>
      <c r="K4197" s="2162" t="n"/>
    </row>
    <row r="4198" outlineLevel="3" ht="15.75" customHeight="1">
      <c r="A4198" s="10" t="n">
        <v>24</v>
      </c>
      <c r="B4198" s="10" t="inlineStr">
        <is>
          <t>Insumo</t>
        </is>
      </c>
      <c r="C4198" s="10" t="inlineStr">
        <is>
          <t>Porta de madeira de abrir - 100x210cm (kit completo) - fixação com espuma expansiva</t>
        </is>
      </c>
      <c r="D4198" s="10" t="inlineStr">
        <is>
          <t>Espuma Expansiva de PU 740 gramas</t>
        </is>
      </c>
      <c r="E4198" s="11">
        <f t="array" ref="E4198">_xlfn.XLOOKUP(D4198,Insumos!B:B,Insumos!C:$C)</f>
        <v/>
      </c>
      <c r="F4198" s="14" t="n">
        <v>1</v>
      </c>
      <c r="G4198" s="92">
        <f t="array" ref="G4198">IF(B4198="insumo",_xlfn.XLOOKUP($D4198,Insumos!$B$1:$B$996,Insumos!$D$1:$D$996),"")</f>
        <v/>
      </c>
      <c r="H4198" s="92" t="n">
        <v>55</v>
      </c>
      <c r="I4198" s="2162" t="n">
        <v>0</v>
      </c>
      <c r="J4198" s="2162" t="n">
        <v>0</v>
      </c>
      <c r="K4198" s="2162" t="n"/>
    </row>
    <row r="4199" outlineLevel="2" ht="15.75" customHeight="1">
      <c r="A4199" s="1067" t="n">
        <v>1</v>
      </c>
      <c r="B4199" s="1067" t="inlineStr">
        <is>
          <t>Serviço</t>
        </is>
      </c>
      <c r="C4199" s="1067" t="inlineStr">
        <is>
          <t>Porta de madeira de abrir - 105x215cm (kit completo) - fixação com espuma expansiva</t>
        </is>
      </c>
      <c r="D4199" s="1067" t="inlineStr">
        <is>
          <t>Porta de madeira de abrir - 105x215cm (kit completo) - fixação com espuma expansiva</t>
        </is>
      </c>
      <c r="E4199" s="1068" t="inlineStr">
        <is>
          <t>M2</t>
        </is>
      </c>
      <c r="F4199" s="1067" t="n"/>
      <c r="G4199" s="1069">
        <f t="array" ref="G4199">IF(B4199="insumo",_xlfn.XLOOKUP($D4199,Insumos!$B$1:$B$996,Insumos!$D$1:$D$996),"")</f>
        <v/>
      </c>
      <c r="H4199" s="1069" t="n">
        <v>3087.00333333333</v>
      </c>
      <c r="I4199" s="2161" t="n">
        <v>0</v>
      </c>
      <c r="J4199" s="2161" t="n">
        <v>0</v>
      </c>
      <c r="K4199" s="2161" t="n"/>
    </row>
    <row r="4200" outlineLevel="3" ht="15.75" customHeight="1">
      <c r="A4200" s="10" t="n">
        <v>2</v>
      </c>
      <c r="B4200" s="10" t="inlineStr">
        <is>
          <t>Insumo</t>
        </is>
      </c>
      <c r="C4200" s="10" t="inlineStr">
        <is>
          <t>Porta de madeira de abrir - 105x215cm (kit completo) - fixação com espuma expansiva</t>
        </is>
      </c>
      <c r="D4200" s="10" t="inlineStr">
        <is>
          <t>Porta de madeira de abrir - 105x215cm (kit completo)</t>
        </is>
      </c>
      <c r="E4200" s="11">
        <f t="array" ref="E4200">_xlfn.XLOOKUP(D4200,Insumos!B:B,Insumos!C:$C)</f>
        <v/>
      </c>
      <c r="F4200" s="14" t="n">
        <v>1</v>
      </c>
      <c r="G4200" s="92">
        <f t="array" ref="G4200">IF(B4200="insumo",_xlfn.XLOOKUP($D4200,Insumos!$B$1:$B$996,Insumos!$D$1:$D$996),"")</f>
        <v/>
      </c>
      <c r="H4200" s="92" t="n">
        <v>3032.00333333333</v>
      </c>
      <c r="I4200" s="2162" t="n">
        <v>0</v>
      </c>
      <c r="J4200" s="2162" t="n">
        <v>0</v>
      </c>
      <c r="K4200" s="2162" t="n"/>
    </row>
    <row r="4201" outlineLevel="3" ht="15.75" customHeight="1">
      <c r="A4201" s="10" t="n">
        <v>24</v>
      </c>
      <c r="B4201" s="10" t="inlineStr">
        <is>
          <t>Insumo</t>
        </is>
      </c>
      <c r="C4201" s="10" t="inlineStr">
        <is>
          <t>Porta de madeira de abrir - 105x215cm (kit completo) - fixação com espuma expansiva</t>
        </is>
      </c>
      <c r="D4201" s="10" t="inlineStr">
        <is>
          <t>Espuma Expansiva de PU 740 gramas</t>
        </is>
      </c>
      <c r="E4201" s="11">
        <f t="array" ref="E4201">_xlfn.XLOOKUP(D4201,Insumos!B:B,Insumos!C:$C)</f>
        <v/>
      </c>
      <c r="F4201" s="14" t="n">
        <v>1</v>
      </c>
      <c r="G4201" s="92">
        <f t="array" ref="G4201">IF(B4201="insumo",_xlfn.XLOOKUP($D4201,Insumos!$B$1:$B$996,Insumos!$D$1:$D$996),"")</f>
        <v/>
      </c>
      <c r="H4201" s="92" t="n">
        <v>55</v>
      </c>
      <c r="I4201" s="2162" t="n">
        <v>0</v>
      </c>
      <c r="J4201" s="2162" t="n">
        <v>0</v>
      </c>
      <c r="K4201" s="2162" t="n"/>
    </row>
    <row r="4202" outlineLevel="2" ht="15.75" customHeight="1">
      <c r="A4202" s="1067" t="n">
        <v>1</v>
      </c>
      <c r="B4202" s="1067" t="inlineStr">
        <is>
          <t>Serviço</t>
        </is>
      </c>
      <c r="C4202" s="1067" t="inlineStr">
        <is>
          <t>Porta de madeira de abrir - 110x220cm (kit completo) - fixação com espuma expansiva</t>
        </is>
      </c>
      <c r="D4202" s="1067" t="inlineStr">
        <is>
          <t>Porta de madeira de abrir - 110x220cm (kit completo) - fixação com espuma expansiva</t>
        </is>
      </c>
      <c r="E4202" s="1068" t="inlineStr">
        <is>
          <t>M2</t>
        </is>
      </c>
      <c r="F4202" s="1067" t="n"/>
      <c r="G4202" s="1069">
        <f t="array" ref="G4202">IF(B4202="insumo",_xlfn.XLOOKUP($D4202,Insumos!$B$1:$B$996,Insumos!$D$1:$D$996),"")</f>
        <v/>
      </c>
      <c r="H4202" s="1069" t="n">
        <v>3231.38444444445</v>
      </c>
      <c r="I4202" s="2161" t="n">
        <v>0</v>
      </c>
      <c r="J4202" s="2161" t="n">
        <v>0</v>
      </c>
      <c r="K4202" s="2161" t="n"/>
    </row>
    <row r="4203" outlineLevel="3" ht="15.75" customHeight="1">
      <c r="A4203" s="10" t="n">
        <v>1</v>
      </c>
      <c r="B4203" s="10" t="inlineStr">
        <is>
          <t>Insumo</t>
        </is>
      </c>
      <c r="C4203" s="10" t="inlineStr">
        <is>
          <t>Porta de madeira de abrir - 110x220cm (kit completo) - fixação com espuma expansiva</t>
        </is>
      </c>
      <c r="D4203" s="10" t="inlineStr">
        <is>
          <t>Porta de madeira de abrir - 110x220cm (kit completo)</t>
        </is>
      </c>
      <c r="E4203" s="11">
        <f t="array" ref="E4203">_xlfn.XLOOKUP(D4203,Insumos!B:B,Insumos!C:$C)</f>
        <v/>
      </c>
      <c r="F4203" s="14" t="n">
        <v>1</v>
      </c>
      <c r="G4203" s="92">
        <f t="array" ref="G4203">IF(B4203="insumo",_xlfn.XLOOKUP($D4203,Insumos!$B$1:$B$996,Insumos!$D$1:$D$996),"")</f>
        <v/>
      </c>
      <c r="H4203" s="92" t="n">
        <v>3176.38444444445</v>
      </c>
      <c r="I4203" s="2162" t="n">
        <v>0</v>
      </c>
      <c r="J4203" s="2162" t="n">
        <v>0</v>
      </c>
      <c r="K4203" s="2162" t="n"/>
    </row>
    <row r="4204" outlineLevel="3" ht="15.75" customHeight="1">
      <c r="A4204" s="10" t="n">
        <v>24</v>
      </c>
      <c r="B4204" s="10" t="inlineStr">
        <is>
          <t>Insumo</t>
        </is>
      </c>
      <c r="C4204" s="10" t="inlineStr">
        <is>
          <t>Porta de madeira de abrir - 110x220cm (kit completo) - fixação com espuma expansiva</t>
        </is>
      </c>
      <c r="D4204" s="10" t="inlineStr">
        <is>
          <t>Espuma Expansiva de PU 740 gramas</t>
        </is>
      </c>
      <c r="E4204" s="11">
        <f t="array" ref="E4204">_xlfn.XLOOKUP(D4204,Insumos!B:B,Insumos!C:$C)</f>
        <v/>
      </c>
      <c r="F4204" s="14" t="n">
        <v>1</v>
      </c>
      <c r="G4204" s="92">
        <f t="array" ref="G4204">IF(B4204="insumo",_xlfn.XLOOKUP($D4204,Insumos!$B$1:$B$996,Insumos!$D$1:$D$996),"")</f>
        <v/>
      </c>
      <c r="H4204" s="92" t="n">
        <v>55</v>
      </c>
      <c r="I4204" s="2162" t="n">
        <v>0</v>
      </c>
      <c r="J4204" s="2162" t="n">
        <v>0</v>
      </c>
      <c r="K4204" s="2162" t="n"/>
    </row>
    <row r="4205" outlineLevel="2" ht="15.75" customHeight="1">
      <c r="A4205" s="1067" t="n">
        <v>1</v>
      </c>
      <c r="B4205" s="1067" t="inlineStr">
        <is>
          <t>Serviço</t>
        </is>
      </c>
      <c r="C4205" s="1067" t="inlineStr">
        <is>
          <t>Porta de madeira de abrir - 140x210cm (kit completo) - fixação com espuma expansiva</t>
        </is>
      </c>
      <c r="D4205" s="1067" t="inlineStr">
        <is>
          <t>Porta de madeira de abrir - 140x210cm (kit completo) - fixação com espuma expansiva</t>
        </is>
      </c>
      <c r="E4205" s="1068" t="inlineStr">
        <is>
          <t>M2</t>
        </is>
      </c>
      <c r="F4205" s="1067" t="n"/>
      <c r="G4205" s="1069">
        <f t="array" ref="G4205">IF(B4205="insumo",_xlfn.XLOOKUP($D4205,Insumos!$B$1:$B$996,Insumos!$D$1:$D$996),"")</f>
        <v/>
      </c>
      <c r="H4205" s="1069" t="n">
        <v>4097.67111111111</v>
      </c>
      <c r="I4205" s="2161" t="n">
        <v>0</v>
      </c>
      <c r="J4205" s="2161" t="n">
        <v>0</v>
      </c>
      <c r="K4205" s="2161" t="n"/>
    </row>
    <row r="4206" outlineLevel="3" ht="15.75" customHeight="1">
      <c r="A4206" s="10" t="n">
        <v>1</v>
      </c>
      <c r="B4206" s="10" t="inlineStr">
        <is>
          <t>Insumo</t>
        </is>
      </c>
      <c r="C4206" s="10" t="inlineStr">
        <is>
          <t>Porta de madeira de abrir - 140x210cm (kit completo) - fixação com espuma expansiva</t>
        </is>
      </c>
      <c r="D4206" s="10" t="inlineStr">
        <is>
          <t>Porta de madeira de abrir - 140x210cm (kit completo)</t>
        </is>
      </c>
      <c r="E4206" s="11">
        <f t="array" ref="E4206">_xlfn.XLOOKUP(D4206,Insumos!B:B,Insumos!C:$C)</f>
        <v/>
      </c>
      <c r="F4206" s="14" t="n">
        <v>1</v>
      </c>
      <c r="G4206" s="92">
        <f t="array" ref="G4206">IF(B4206="insumo",_xlfn.XLOOKUP($D4206,Insumos!$B$1:$B$996,Insumos!$D$1:$D$996),"")</f>
        <v/>
      </c>
      <c r="H4206" s="92" t="n">
        <v>4042.67111111111</v>
      </c>
      <c r="I4206" s="2162" t="n">
        <v>0</v>
      </c>
      <c r="J4206" s="2162" t="n">
        <v>0</v>
      </c>
      <c r="K4206" s="2162" t="n"/>
    </row>
    <row r="4207" outlineLevel="3" ht="15.75" customHeight="1">
      <c r="A4207" s="10" t="n">
        <v>24</v>
      </c>
      <c r="B4207" s="10" t="inlineStr">
        <is>
          <t>Insumo</t>
        </is>
      </c>
      <c r="C4207" s="10" t="inlineStr">
        <is>
          <t>Porta de madeira de abrir - 140x210cm (kit completo) - fixação com espuma expansiva</t>
        </is>
      </c>
      <c r="D4207" s="10" t="inlineStr">
        <is>
          <t>Espuma Expansiva de PU 740 gramas</t>
        </is>
      </c>
      <c r="E4207" s="11">
        <f t="array" ref="E4207">_xlfn.XLOOKUP(D4207,Insumos!B:B,Insumos!C:$C)</f>
        <v/>
      </c>
      <c r="F4207" s="14" t="n">
        <v>1</v>
      </c>
      <c r="G4207" s="92">
        <f t="array" ref="G4207">IF(B4207="insumo",_xlfn.XLOOKUP($D4207,Insumos!$B$1:$B$996,Insumos!$D$1:$D$996),"")</f>
        <v/>
      </c>
      <c r="H4207" s="92" t="n">
        <v>55</v>
      </c>
      <c r="I4207" s="2162" t="n">
        <v>0</v>
      </c>
      <c r="J4207" s="2162" t="n">
        <v>0</v>
      </c>
      <c r="K4207" s="2162" t="n"/>
    </row>
    <row r="4208" outlineLevel="2" ht="12.75" customHeight="1">
      <c r="A4208" s="1071" t="n">
        <v>1</v>
      </c>
      <c r="B4208" s="1071" t="inlineStr">
        <is>
          <t>Serviço</t>
        </is>
      </c>
      <c r="C4208" s="1071" t="inlineStr">
        <is>
          <t>Porta de madeira de abrir - 110x210cm (kit completo) - fixação com espuma expansiva</t>
        </is>
      </c>
      <c r="D4208" s="1071" t="inlineStr">
        <is>
          <t>Porta de madeira de abrir - 110x210cm (kit completo) - fixação com espuma expansiva</t>
        </is>
      </c>
      <c r="E4208" s="1072" t="inlineStr">
        <is>
          <t>M2</t>
        </is>
      </c>
      <c r="F4208" s="1071" t="n"/>
      <c r="G4208" s="1073">
        <f t="array" ref="G4208">IF(B4208="insumo",_xlfn.XLOOKUP($D4208,Insumos!$B$1:$B$996,Insumos!$D$1:$D$996),"")</f>
        <v/>
      </c>
      <c r="H4208" s="1073" t="n">
        <v>3087.00333333333</v>
      </c>
      <c r="I4208" s="2163" t="n">
        <v>0</v>
      </c>
      <c r="J4208" s="2163" t="n">
        <v>0</v>
      </c>
      <c r="K4208" s="2163" t="n"/>
    </row>
    <row r="4209" outlineLevel="3" ht="12.75" customHeight="1">
      <c r="A4209" s="82" t="n">
        <v>2</v>
      </c>
      <c r="B4209" s="82" t="inlineStr">
        <is>
          <t>Insumo</t>
        </is>
      </c>
      <c r="C4209" s="82" t="inlineStr">
        <is>
          <t>Porta de madeira de abrir - 110x210cm (kit completo) - fixação com espuma expansiva</t>
        </is>
      </c>
      <c r="D4209" s="82" t="inlineStr">
        <is>
          <t>Porta de madeira de abrir - 105x215cm (kit completo)</t>
        </is>
      </c>
      <c r="E4209" s="11">
        <f t="array" ref="E4209">_xlfn.XLOOKUP(D4209,Insumos!B:B,Insumos!C:$C)</f>
        <v/>
      </c>
      <c r="F4209" s="2164" t="n">
        <v>1</v>
      </c>
      <c r="G4209" s="92">
        <f t="array" ref="G4209">IF(B4209="insumo",_xlfn.XLOOKUP($D4209,Insumos!$B$1:$B$996,Insumos!$D$1:$D$996),"")</f>
        <v/>
      </c>
      <c r="H4209" s="92" t="n">
        <v>3032.00333333333</v>
      </c>
      <c r="I4209" s="2165" t="n">
        <v>0</v>
      </c>
      <c r="J4209" s="2165" t="n">
        <v>0</v>
      </c>
      <c r="K4209" s="2165" t="n"/>
    </row>
    <row r="4210" outlineLevel="3" ht="12.75" customHeight="1">
      <c r="A4210" s="82" t="n">
        <v>24</v>
      </c>
      <c r="B4210" s="82" t="inlineStr">
        <is>
          <t>Insumo</t>
        </is>
      </c>
      <c r="C4210" s="82" t="inlineStr">
        <is>
          <t>Porta de madeira de abrir - 110x210cm (kit completo) - fixação com espuma expansiva</t>
        </is>
      </c>
      <c r="D4210" s="82" t="inlineStr">
        <is>
          <t>Espuma Expansiva de PU 740 gramas</t>
        </is>
      </c>
      <c r="E4210" s="11">
        <f t="array" ref="E4210">_xlfn.XLOOKUP(D4210,Insumos!B:B,Insumos!C:$C)</f>
        <v/>
      </c>
      <c r="F4210" s="2164" t="n">
        <v>1</v>
      </c>
      <c r="G4210" s="92">
        <f t="array" ref="G4210">IF(B4210="insumo",_xlfn.XLOOKUP($D4210,Insumos!$B$1:$B$996,Insumos!$D$1:$D$996),"")</f>
        <v/>
      </c>
      <c r="H4210" s="92" t="n">
        <v>55</v>
      </c>
      <c r="I4210" s="2165" t="n">
        <v>0</v>
      </c>
      <c r="J4210" s="2165" t="n">
        <v>0</v>
      </c>
      <c r="K4210" s="2165" t="n"/>
    </row>
    <row r="4211" outlineLevel="2" ht="15.75" customHeight="1">
      <c r="A4211" s="1067" t="n">
        <v>1</v>
      </c>
      <c r="B4211" s="1067" t="inlineStr">
        <is>
          <t>Serviço</t>
        </is>
      </c>
      <c r="C4211" s="1067" t="inlineStr">
        <is>
          <t>Porta de madeira de Correr - 60x210cm (kit completo) - fixação com espuma expansiva</t>
        </is>
      </c>
      <c r="D4211" s="1067" t="inlineStr">
        <is>
          <t>Porta de madeira de Correr - 60x210cm (kit completo) - fixação com espuma expansiva</t>
        </is>
      </c>
      <c r="E4211" s="1068" t="inlineStr">
        <is>
          <t>M2</t>
        </is>
      </c>
      <c r="F4211" s="1067" t="n"/>
      <c r="G4211" s="1069">
        <f t="array" ref="G4211">IF(B4211="insumo",_xlfn.XLOOKUP($D4211,Insumos!$B$1:$B$996,Insumos!$D$1:$D$996),"")</f>
        <v/>
      </c>
      <c r="H4211" s="1069" t="n">
        <v>2264.52304854369</v>
      </c>
      <c r="I4211" s="2161" t="n">
        <v>0</v>
      </c>
      <c r="J4211" s="2161" t="n">
        <v>0</v>
      </c>
      <c r="K4211" s="2161" t="n"/>
    </row>
    <row r="4212" outlineLevel="3" ht="15.75" customHeight="1">
      <c r="A4212" s="10" t="n">
        <v>1</v>
      </c>
      <c r="B4212" s="10" t="inlineStr">
        <is>
          <t>Insumo</t>
        </is>
      </c>
      <c r="C4212" s="10" t="inlineStr">
        <is>
          <t>Porta de madeira de Correr - 60x210cm (kit completo) - fixação com espuma expansiva</t>
        </is>
      </c>
      <c r="D4212" s="10" t="inlineStr">
        <is>
          <t>Porta de madeira de Correr - 60x210cm (kit completo)</t>
        </is>
      </c>
      <c r="E4212" s="11">
        <f t="array" ref="E4212">_xlfn.XLOOKUP(D4212,Insumos!B:B,Insumos!C:$C)</f>
        <v/>
      </c>
      <c r="F4212" s="14" t="n">
        <v>1</v>
      </c>
      <c r="G4212" s="92">
        <f t="array" ref="G4212">IF(B4212="insumo",_xlfn.XLOOKUP($D4212,Insumos!$B$1:$B$996,Insumos!$D$1:$D$996),"")</f>
        <v/>
      </c>
      <c r="H4212" s="92" t="n">
        <v>2209.52304854369</v>
      </c>
      <c r="I4212" s="2162" t="n">
        <v>0</v>
      </c>
      <c r="J4212" s="2162" t="n">
        <v>0</v>
      </c>
      <c r="K4212" s="2162" t="n"/>
    </row>
    <row r="4213" outlineLevel="3" ht="15.75" customHeight="1">
      <c r="A4213" s="10" t="n">
        <v>24</v>
      </c>
      <c r="B4213" s="10" t="inlineStr">
        <is>
          <t>Insumo</t>
        </is>
      </c>
      <c r="C4213" s="10" t="inlineStr">
        <is>
          <t>Porta de madeira de Correr - 60x210cm (kit completo) - fixação com espuma expansiva</t>
        </is>
      </c>
      <c r="D4213" s="10" t="inlineStr">
        <is>
          <t>Espuma Expansiva de PU 740 gramas</t>
        </is>
      </c>
      <c r="E4213" s="11">
        <f t="array" ref="E4213">_xlfn.XLOOKUP(D4213,Insumos!B:B,Insumos!C:$C)</f>
        <v/>
      </c>
      <c r="F4213" s="14" t="n">
        <v>1</v>
      </c>
      <c r="G4213" s="92">
        <f t="array" ref="G4213">IF(B4213="insumo",_xlfn.XLOOKUP($D4213,Insumos!$B$1:$B$996,Insumos!$D$1:$D$996),"")</f>
        <v/>
      </c>
      <c r="H4213" s="92" t="n">
        <v>55</v>
      </c>
      <c r="I4213" s="2162" t="n">
        <v>0</v>
      </c>
      <c r="J4213" s="2162" t="n">
        <v>0</v>
      </c>
      <c r="K4213" s="2162" t="n"/>
    </row>
    <row r="4214" outlineLevel="2" ht="15.75" customHeight="1">
      <c r="A4214" s="1067" t="n">
        <v>1</v>
      </c>
      <c r="B4214" s="1067" t="inlineStr">
        <is>
          <t>Serviço</t>
        </is>
      </c>
      <c r="C4214" s="1067" t="inlineStr">
        <is>
          <t>Porta de madeira de Correr - 80x210cm (kit completo) - fixação com espuma expansiva</t>
        </is>
      </c>
      <c r="D4214" s="1067" t="inlineStr">
        <is>
          <t>Porta de madeira de Correr - 80x210cm (kit completo) - fixação com espuma expansiva</t>
        </is>
      </c>
      <c r="E4214" s="1068" t="inlineStr">
        <is>
          <t>M2</t>
        </is>
      </c>
      <c r="F4214" s="1067" t="n"/>
      <c r="G4214" s="1069">
        <f t="array" ref="G4214">IF(B4214="insumo",_xlfn.XLOOKUP($D4214,Insumos!$B$1:$B$996,Insumos!$D$1:$D$996),"")</f>
        <v/>
      </c>
      <c r="H4214" s="1069" t="n">
        <v>2306.36</v>
      </c>
      <c r="I4214" s="2161" t="n">
        <v>0</v>
      </c>
      <c r="J4214" s="2161" t="n">
        <v>0</v>
      </c>
      <c r="K4214" s="2161" t="n"/>
    </row>
    <row r="4215" outlineLevel="3" ht="15.75" customHeight="1">
      <c r="A4215" s="10" t="n">
        <v>2</v>
      </c>
      <c r="B4215" s="10" t="inlineStr">
        <is>
          <t>Insumo</t>
        </is>
      </c>
      <c r="C4215" s="10" t="inlineStr">
        <is>
          <t>Porta de madeira de Correr - 80x210cm (kit completo) - fixação com espuma expansiva</t>
        </is>
      </c>
      <c r="D4215" s="10" t="inlineStr">
        <is>
          <t>Porta de madeira de Correr - 80x210cm (kit completo)</t>
        </is>
      </c>
      <c r="E4215" s="11">
        <f t="array" ref="E4215">_xlfn.XLOOKUP(D4215,Insumos!B:B,Insumos!C:$C)</f>
        <v/>
      </c>
      <c r="F4215" s="14" t="n">
        <v>1</v>
      </c>
      <c r="G4215" s="92">
        <f t="array" ref="G4215">IF(B4215="insumo",_xlfn.XLOOKUP($D4215,Insumos!$B$1:$B$996,Insumos!$D$1:$D$996),"")</f>
        <v/>
      </c>
      <c r="H4215" s="92" t="n">
        <v>2251.36</v>
      </c>
      <c r="I4215" s="2162" t="n">
        <v>0</v>
      </c>
      <c r="J4215" s="2162" t="n">
        <v>0</v>
      </c>
      <c r="K4215" s="2162" t="n"/>
    </row>
    <row r="4216" outlineLevel="3" ht="15.75" customHeight="1">
      <c r="A4216" s="10" t="n">
        <v>24</v>
      </c>
      <c r="B4216" s="10" t="inlineStr">
        <is>
          <t>Insumo</t>
        </is>
      </c>
      <c r="C4216" s="10" t="inlineStr">
        <is>
          <t>Porta de madeira de Correr - 80x210cm (kit completo) - fixação com espuma expansiva</t>
        </is>
      </c>
      <c r="D4216" s="10" t="inlineStr">
        <is>
          <t>Espuma Expansiva de PU 740 gramas</t>
        </is>
      </c>
      <c r="E4216" s="11">
        <f t="array" ref="E4216">_xlfn.XLOOKUP(D4216,Insumos!B:B,Insumos!C:$C)</f>
        <v/>
      </c>
      <c r="F4216" s="14" t="n">
        <v>1</v>
      </c>
      <c r="G4216" s="92">
        <f t="array" ref="G4216">IF(B4216="insumo",_xlfn.XLOOKUP($D4216,Insumos!$B$1:$B$996,Insumos!$D$1:$D$996),"")</f>
        <v/>
      </c>
      <c r="H4216" s="92" t="n">
        <v>55</v>
      </c>
      <c r="I4216" s="2162" t="n">
        <v>0</v>
      </c>
      <c r="J4216" s="2162" t="n">
        <v>0</v>
      </c>
      <c r="K4216" s="2162" t="n"/>
    </row>
    <row r="4217" outlineLevel="2" ht="12.75" customHeight="1">
      <c r="A4217" s="1071" t="n">
        <v>1</v>
      </c>
      <c r="B4217" s="1071" t="inlineStr">
        <is>
          <t>Serviço</t>
        </is>
      </c>
      <c r="C4217" s="1071" t="inlineStr">
        <is>
          <t>Porta de madeira de Correr - 70x210cm (kit completo) - fixação com espuma expansiva</t>
        </is>
      </c>
      <c r="D4217" s="1071" t="inlineStr">
        <is>
          <t>Porta de madeira de Correr - 70x210cm (kit completo) - fixação com espuma expansiva</t>
        </is>
      </c>
      <c r="E4217" s="1072" t="inlineStr">
        <is>
          <t>M2</t>
        </is>
      </c>
      <c r="F4217" s="1071" t="n"/>
      <c r="G4217" s="1073">
        <f t="array" ref="G4217">IF(B4217="insumo",_xlfn.XLOOKUP($D4217,Insumos!$B$1:$B$996,Insumos!$D$1:$D$996),"")</f>
        <v/>
      </c>
      <c r="H4217" s="1073" t="n">
        <v>1413.5</v>
      </c>
      <c r="I4217" s="2163" t="n">
        <v>0</v>
      </c>
      <c r="J4217" s="2163" t="n">
        <v>0</v>
      </c>
      <c r="K4217" s="2163" t="n"/>
    </row>
    <row r="4218" outlineLevel="3" ht="12.75" customHeight="1">
      <c r="A4218" s="82" t="n">
        <v>1</v>
      </c>
      <c r="B4218" s="82" t="inlineStr">
        <is>
          <t>Insumo</t>
        </is>
      </c>
      <c r="C4218" s="82" t="inlineStr">
        <is>
          <t>Porta de madeira de Correr - 70x210cm (kit completo) - fixação com espuma expansiva</t>
        </is>
      </c>
      <c r="D4218" s="82" t="inlineStr">
        <is>
          <t>Porta de madeira de Correr - 70x210cm (kit completo)</t>
        </is>
      </c>
      <c r="E4218" s="11">
        <f t="array" ref="E4218">_xlfn.XLOOKUP(D4218,Insumos!B:B,Insumos!C:$C)</f>
        <v/>
      </c>
      <c r="F4218" s="2164" t="n">
        <v>1</v>
      </c>
      <c r="G4218" s="92">
        <f t="array" ref="G4218">IF(B4218="insumo",_xlfn.XLOOKUP($D4218,Insumos!$B$1:$B$996,Insumos!$D$1:$D$996),"")</f>
        <v/>
      </c>
      <c r="H4218" s="92" t="n">
        <v>1358.5</v>
      </c>
      <c r="I4218" s="2165" t="n">
        <v>0</v>
      </c>
      <c r="J4218" s="2165" t="n">
        <v>0</v>
      </c>
      <c r="K4218" s="2165" t="n"/>
    </row>
    <row r="4219" outlineLevel="3" ht="12.75" customHeight="1">
      <c r="A4219" s="82" t="n">
        <v>24</v>
      </c>
      <c r="B4219" s="82" t="inlineStr">
        <is>
          <t>Insumo</t>
        </is>
      </c>
      <c r="C4219" s="82" t="inlineStr">
        <is>
          <t>Porta de madeira de Correr - 70x210cm (kit completo) - fixação com espuma expansiva</t>
        </is>
      </c>
      <c r="D4219" s="82" t="inlineStr">
        <is>
          <t>Espuma Expansiva de PU 740 gramas</t>
        </is>
      </c>
      <c r="E4219" s="11">
        <f t="array" ref="E4219">_xlfn.XLOOKUP(D4219,Insumos!B:B,Insumos!C:$C)</f>
        <v/>
      </c>
      <c r="F4219" s="2164" t="n">
        <v>1</v>
      </c>
      <c r="G4219" s="92">
        <f t="array" ref="G4219">IF(B4219="insumo",_xlfn.XLOOKUP($D4219,Insumos!$B$1:$B$996,Insumos!$D$1:$D$996),"")</f>
        <v/>
      </c>
      <c r="H4219" s="92" t="n">
        <v>55</v>
      </c>
      <c r="I4219" s="2165" t="n">
        <v>0</v>
      </c>
      <c r="J4219" s="2165" t="n">
        <v>0</v>
      </c>
      <c r="K4219" s="2165" t="n"/>
    </row>
    <row r="4220" outlineLevel="2" ht="12.75" customHeight="1">
      <c r="A4220" s="1071" t="n">
        <v>1</v>
      </c>
      <c r="B4220" s="1071" t="inlineStr">
        <is>
          <t>Serviço</t>
        </is>
      </c>
      <c r="C4220" s="1071" t="inlineStr">
        <is>
          <t>Porta de madeira de Correr - 90x210cm (kit completo) - fixação com espuma expansiva</t>
        </is>
      </c>
      <c r="D4220" s="1071" t="inlineStr">
        <is>
          <t>Porta de madeira de Correr - 90x210cm (kit completo) - fixação com espuma expansiva</t>
        </is>
      </c>
      <c r="E4220" s="1072" t="inlineStr">
        <is>
          <t>M2</t>
        </is>
      </c>
      <c r="F4220" s="1071" t="n"/>
      <c r="G4220" s="1073">
        <f t="array" ref="G4220">IF(B4220="insumo",_xlfn.XLOOKUP($D4220,Insumos!$B$1:$B$996,Insumos!$D$1:$D$996),"")</f>
        <v/>
      </c>
      <c r="H4220" s="1073" t="n">
        <v>2306.36</v>
      </c>
      <c r="I4220" s="2163" t="n">
        <v>0</v>
      </c>
      <c r="J4220" s="2163" t="n">
        <v>0</v>
      </c>
      <c r="K4220" s="2163" t="n"/>
    </row>
    <row r="4221" outlineLevel="3" ht="12.75" customHeight="1">
      <c r="A4221" s="82" t="n">
        <v>2</v>
      </c>
      <c r="B4221" s="82" t="inlineStr">
        <is>
          <t>Insumo</t>
        </is>
      </c>
      <c r="C4221" s="82" t="inlineStr">
        <is>
          <t>Porta de madeira de Correr - 90x210cm (kit completo) - fixação com espuma expansiva</t>
        </is>
      </c>
      <c r="D4221" s="82" t="inlineStr">
        <is>
          <t>Porta de madeira de Correr - 80x210cm (kit completo)</t>
        </is>
      </c>
      <c r="E4221" s="11">
        <f t="array" ref="E4221">_xlfn.XLOOKUP(D4221,Insumos!B:B,Insumos!C:$C)</f>
        <v/>
      </c>
      <c r="F4221" s="2164" t="n">
        <v>1</v>
      </c>
      <c r="G4221" s="92">
        <f t="array" ref="G4221">IF(B4221="insumo",_xlfn.XLOOKUP($D4221,Insumos!$B$1:$B$996,Insumos!$D$1:$D$996),"")</f>
        <v/>
      </c>
      <c r="H4221" s="92" t="n">
        <v>2251.36</v>
      </c>
      <c r="I4221" s="2165" t="n">
        <v>0</v>
      </c>
      <c r="J4221" s="2165" t="n">
        <v>0</v>
      </c>
      <c r="K4221" s="2165" t="n"/>
    </row>
    <row r="4222" outlineLevel="3" ht="12.75" customHeight="1">
      <c r="A4222" s="82" t="n">
        <v>24</v>
      </c>
      <c r="B4222" s="82" t="inlineStr">
        <is>
          <t>Insumo</t>
        </is>
      </c>
      <c r="C4222" s="82" t="inlineStr">
        <is>
          <t>Porta de madeira de Correr - 90x210cm (kit completo) - fixação com espuma expansiva</t>
        </is>
      </c>
      <c r="D4222" s="82" t="inlineStr">
        <is>
          <t>Espuma Expansiva de PU 740 gramas</t>
        </is>
      </c>
      <c r="E4222" s="11">
        <f t="array" ref="E4222">_xlfn.XLOOKUP(D4222,Insumos!B:B,Insumos!C:$C)</f>
        <v/>
      </c>
      <c r="F4222" s="2164" t="n">
        <v>1</v>
      </c>
      <c r="G4222" s="92">
        <f t="array" ref="G4222">IF(B4222="insumo",_xlfn.XLOOKUP($D4222,Insumos!$B$1:$B$996,Insumos!$D$1:$D$996),"")</f>
        <v/>
      </c>
      <c r="H4222" s="92" t="n">
        <v>55</v>
      </c>
      <c r="I4222" s="2165" t="n">
        <v>0</v>
      </c>
      <c r="J4222" s="2165" t="n">
        <v>0</v>
      </c>
      <c r="K4222" s="2165" t="n"/>
    </row>
    <row r="4223" outlineLevel="2" ht="12.75" customHeight="1">
      <c r="A4223" s="1071" t="n">
        <v>1</v>
      </c>
      <c r="B4223" s="1071" t="inlineStr">
        <is>
          <t>Serviço</t>
        </is>
      </c>
      <c r="C4223" s="1071" t="inlineStr">
        <is>
          <t>Porta de madeira de Correr - 110x210cm (kit completo) - fixação com espuma expansiva</t>
        </is>
      </c>
      <c r="D4223" s="1071" t="inlineStr">
        <is>
          <t>Porta de madeira de Correr - 110x210cm (kit completo) - fixação com espuma expansiva</t>
        </is>
      </c>
      <c r="E4223" s="1072" t="inlineStr">
        <is>
          <t>M2</t>
        </is>
      </c>
      <c r="F4223" s="1071" t="n"/>
      <c r="G4223" s="1073">
        <f t="array" ref="G4223">IF(B4223="insumo",_xlfn.XLOOKUP($D4223,Insumos!$B$1:$B$996,Insumos!$D$1:$D$996),"")</f>
        <v/>
      </c>
      <c r="H4223" s="1073" t="n">
        <v>1549.35</v>
      </c>
      <c r="I4223" s="2163" t="n">
        <v>0</v>
      </c>
      <c r="J4223" s="2163" t="n">
        <v>0</v>
      </c>
      <c r="K4223" s="2163" t="n"/>
    </row>
    <row r="4224" outlineLevel="3" ht="12.75" customHeight="1">
      <c r="A4224" s="82" t="n">
        <v>1</v>
      </c>
      <c r="B4224" s="82" t="inlineStr">
        <is>
          <t>Insumo</t>
        </is>
      </c>
      <c r="C4224" s="82" t="inlineStr">
        <is>
          <t>Porta de madeira de Correr - 110x210cm (kit completo) - fixação com espuma expansiva</t>
        </is>
      </c>
      <c r="D4224" s="82" t="inlineStr">
        <is>
          <t>Porta de madeira de Correr - 110x210cm (kit completo)</t>
        </is>
      </c>
      <c r="E4224" s="11">
        <f t="array" ref="E4224">_xlfn.XLOOKUP(D4224,Insumos!B:B,Insumos!C:$C)</f>
        <v/>
      </c>
      <c r="F4224" s="2164" t="n">
        <v>1</v>
      </c>
      <c r="G4224" s="92">
        <f t="array" ref="G4224">IF(B4224="insumo",_xlfn.XLOOKUP($D4224,Insumos!$B$1:$B$996,Insumos!$D$1:$D$996),"")</f>
        <v/>
      </c>
      <c r="H4224" s="92" t="n">
        <v>1494.35</v>
      </c>
      <c r="I4224" s="2165" t="n">
        <v>0</v>
      </c>
      <c r="J4224" s="2165" t="n">
        <v>0</v>
      </c>
      <c r="K4224" s="2165" t="n"/>
    </row>
    <row r="4225" outlineLevel="3" ht="12.75" customHeight="1">
      <c r="A4225" s="82" t="n">
        <v>24</v>
      </c>
      <c r="B4225" s="82" t="inlineStr">
        <is>
          <t>Insumo</t>
        </is>
      </c>
      <c r="C4225" s="82" t="inlineStr">
        <is>
          <t>Porta de madeira de Correr - 110x210cm (kit completo) - fixação com espuma expansiva</t>
        </is>
      </c>
      <c r="D4225" s="82" t="inlineStr">
        <is>
          <t>Espuma Expansiva de PU 740 gramas</t>
        </is>
      </c>
      <c r="E4225" s="11">
        <f t="array" ref="E4225">_xlfn.XLOOKUP(D4225,Insumos!B:B,Insumos!C:$C)</f>
        <v/>
      </c>
      <c r="F4225" s="2164" t="n">
        <v>1</v>
      </c>
      <c r="G4225" s="92">
        <f t="array" ref="G4225">IF(B4225="insumo",_xlfn.XLOOKUP($D4225,Insumos!$B$1:$B$996,Insumos!$D$1:$D$996),"")</f>
        <v/>
      </c>
      <c r="H4225" s="92" t="n">
        <v>55</v>
      </c>
      <c r="I4225" s="2165" t="n">
        <v>0</v>
      </c>
      <c r="J4225" s="2165" t="n">
        <v>0</v>
      </c>
      <c r="K4225" s="2165" t="n"/>
    </row>
    <row r="4226" outlineLevel="2" ht="12.75" customHeight="1">
      <c r="A4226" s="1071" t="n">
        <v>1</v>
      </c>
      <c r="B4226" s="1071" t="inlineStr">
        <is>
          <t>Serviço</t>
        </is>
      </c>
      <c r="C4226" s="1071" t="inlineStr">
        <is>
          <t>Porta de madeira de Correr - 120x210cm (kit completo) - fixação com espuma expansiva</t>
        </is>
      </c>
      <c r="D4226" s="1071" t="inlineStr">
        <is>
          <t>Porta de madeira de Correr - 120x210cm (kit completo) - fixação com espuma expansiva</t>
        </is>
      </c>
      <c r="E4226" s="1072" t="inlineStr">
        <is>
          <t>M2</t>
        </is>
      </c>
      <c r="F4226" s="1071" t="n"/>
      <c r="G4226" s="1073">
        <f t="array" ref="G4226">IF(B4226="insumo",_xlfn.XLOOKUP($D4226,Insumos!$B$1:$B$996,Insumos!$D$1:$D$996),"")</f>
        <v/>
      </c>
      <c r="H4226" s="1073" t="n">
        <v>1549.35</v>
      </c>
      <c r="I4226" s="2163" t="n">
        <v>0</v>
      </c>
      <c r="J4226" s="2163" t="n">
        <v>0</v>
      </c>
      <c r="K4226" s="2163" t="n"/>
    </row>
    <row r="4227" outlineLevel="3" ht="12.75" customHeight="1">
      <c r="A4227" s="82" t="n">
        <v>1</v>
      </c>
      <c r="B4227" s="82" t="inlineStr">
        <is>
          <t>Insumo</t>
        </is>
      </c>
      <c r="C4227" s="82" t="inlineStr">
        <is>
          <t>Porta de madeira de Correr - 120x210cm (kit completo) - fixação com espuma expansiva</t>
        </is>
      </c>
      <c r="D4227" s="82" t="inlineStr">
        <is>
          <t>Porta de madeira de Correr - 120x210cm (kit completo)</t>
        </is>
      </c>
      <c r="E4227" s="11">
        <f t="array" ref="E4227">_xlfn.XLOOKUP(D4227,Insumos!B:B,Insumos!C:$C)</f>
        <v/>
      </c>
      <c r="F4227" s="2164" t="n">
        <v>1</v>
      </c>
      <c r="G4227" s="92">
        <f t="array" ref="G4227">IF(B4227="insumo",_xlfn.XLOOKUP($D4227,Insumos!$B$1:$B$996,Insumos!$D$1:$D$996),"")</f>
        <v/>
      </c>
      <c r="H4227" s="92" t="n">
        <v>1494.35</v>
      </c>
      <c r="I4227" s="2165" t="n">
        <v>0</v>
      </c>
      <c r="J4227" s="2165" t="n">
        <v>0</v>
      </c>
      <c r="K4227" s="2165" t="n"/>
    </row>
    <row r="4228" outlineLevel="3" ht="12.75" customHeight="1">
      <c r="A4228" s="82" t="n">
        <v>24</v>
      </c>
      <c r="B4228" s="82" t="inlineStr">
        <is>
          <t>Insumo</t>
        </is>
      </c>
      <c r="C4228" s="82" t="inlineStr">
        <is>
          <t>Porta de madeira de Correr - 120x210cm (kit completo) - fixação com espuma expansiva</t>
        </is>
      </c>
      <c r="D4228" s="82" t="inlineStr">
        <is>
          <t>Espuma Expansiva de PU 740 gramas</t>
        </is>
      </c>
      <c r="E4228" s="11">
        <f t="array" ref="E4228">_xlfn.XLOOKUP(D4228,Insumos!B:B,Insumos!C:$C)</f>
        <v/>
      </c>
      <c r="F4228" s="2164" t="n">
        <v>1</v>
      </c>
      <c r="G4228" s="92">
        <f t="array" ref="G4228">IF(B4228="insumo",_xlfn.XLOOKUP($D4228,Insumos!$B$1:$B$996,Insumos!$D$1:$D$996),"")</f>
        <v/>
      </c>
      <c r="H4228" s="92" t="n">
        <v>55</v>
      </c>
      <c r="I4228" s="2165" t="n">
        <v>0</v>
      </c>
      <c r="J4228" s="2165" t="n">
        <v>0</v>
      </c>
      <c r="K4228" s="2165" t="n"/>
    </row>
    <row r="4229" outlineLevel="2" ht="12.75" customHeight="1">
      <c r="A4229" s="1071" t="n">
        <v>1</v>
      </c>
      <c r="B4229" s="1071" t="inlineStr">
        <is>
          <t>Serviço</t>
        </is>
      </c>
      <c r="C4229" s="1071" t="inlineStr">
        <is>
          <t>Porta de madeira de Correr - 135x210cm (kit completo) - fixação com espuma expansiva</t>
        </is>
      </c>
      <c r="D4229" s="1071" t="inlineStr">
        <is>
          <t>Porta de madeira de Correr - 135x210cm (kit completo) - fixação com espuma expansiva</t>
        </is>
      </c>
      <c r="E4229" s="1072" t="inlineStr">
        <is>
          <t>M2</t>
        </is>
      </c>
      <c r="F4229" s="1071" t="n"/>
      <c r="G4229" s="1073">
        <f t="array" ref="G4229">IF(B4229="insumo",_xlfn.XLOOKUP($D4229,Insumos!$B$1:$B$996,Insumos!$D$1:$D$996),"")</f>
        <v/>
      </c>
      <c r="H4229" s="1073" t="n">
        <v>1888.975</v>
      </c>
      <c r="I4229" s="2163" t="n">
        <v>0</v>
      </c>
      <c r="J4229" s="2163" t="n">
        <v>0</v>
      </c>
      <c r="K4229" s="2163" t="n"/>
    </row>
    <row r="4230" outlineLevel="3" ht="12.75" customHeight="1">
      <c r="A4230" s="82" t="n">
        <v>1</v>
      </c>
      <c r="B4230" s="82" t="inlineStr">
        <is>
          <t>Insumo</t>
        </is>
      </c>
      <c r="C4230" s="82" t="inlineStr">
        <is>
          <t>Porta de madeira de Correr - 135x210cm (kit completo) - fixação com espuma expansiva</t>
        </is>
      </c>
      <c r="D4230" s="82" t="inlineStr">
        <is>
          <t>Porta de madeira de Correr - 135x210cm (kit completo)</t>
        </is>
      </c>
      <c r="E4230" s="11">
        <f t="array" ref="E4230">_xlfn.XLOOKUP(D4230,Insumos!B:B,Insumos!C:$C)</f>
        <v/>
      </c>
      <c r="F4230" s="2164" t="n">
        <v>1</v>
      </c>
      <c r="G4230" s="92">
        <f t="array" ref="G4230">IF(B4230="insumo",_xlfn.XLOOKUP($D4230,Insumos!$B$1:$B$996,Insumos!$D$1:$D$996),"")</f>
        <v/>
      </c>
      <c r="H4230" s="92" t="n">
        <v>1833.975</v>
      </c>
      <c r="I4230" s="2165" t="n">
        <v>0</v>
      </c>
      <c r="J4230" s="2165" t="n">
        <v>0</v>
      </c>
      <c r="K4230" s="2165" t="n"/>
    </row>
    <row r="4231" outlineLevel="3" ht="12.75" customHeight="1">
      <c r="A4231" s="82" t="n">
        <v>24</v>
      </c>
      <c r="B4231" s="82" t="inlineStr">
        <is>
          <t>Insumo</t>
        </is>
      </c>
      <c r="C4231" s="82" t="inlineStr">
        <is>
          <t>Porta de madeira de Correr - 135x210cm (kit completo) - fixação com espuma expansiva</t>
        </is>
      </c>
      <c r="D4231" s="82" t="inlineStr">
        <is>
          <t>Espuma Expansiva de PU 740 gramas</t>
        </is>
      </c>
      <c r="E4231" s="11">
        <f t="array" ref="E4231">_xlfn.XLOOKUP(D4231,Insumos!B:B,Insumos!C:$C)</f>
        <v/>
      </c>
      <c r="F4231" s="2164" t="n">
        <v>1</v>
      </c>
      <c r="G4231" s="92">
        <f t="array" ref="G4231">IF(B4231="insumo",_xlfn.XLOOKUP($D4231,Insumos!$B$1:$B$996,Insumos!$D$1:$D$996),"")</f>
        <v/>
      </c>
      <c r="H4231" s="92" t="n">
        <v>55</v>
      </c>
      <c r="I4231" s="2165" t="n">
        <v>0</v>
      </c>
      <c r="J4231" s="2165" t="n">
        <v>0</v>
      </c>
      <c r="K4231" s="2165" t="n"/>
    </row>
    <row r="4232" outlineLevel="2" ht="12.75" customHeight="1">
      <c r="A4232" s="1071" t="n">
        <v>1</v>
      </c>
      <c r="B4232" s="1071" t="inlineStr">
        <is>
          <t>Serviço</t>
        </is>
      </c>
      <c r="C4232" s="1071" t="inlineStr">
        <is>
          <t>Porta de madeira de Correr - 150x210cm (kit completo) - fixação com espuma expansiva</t>
        </is>
      </c>
      <c r="D4232" s="1071" t="inlineStr">
        <is>
          <t>Porta de madeira de Correr - 150x210cm (kit completo) - fixação com espuma expansiva</t>
        </is>
      </c>
      <c r="E4232" s="1072" t="inlineStr">
        <is>
          <t>M2</t>
        </is>
      </c>
      <c r="F4232" s="1071" t="n"/>
      <c r="G4232" s="1073">
        <f t="array" ref="G4232">IF(B4232="insumo",_xlfn.XLOOKUP($D4232,Insumos!$B$1:$B$996,Insumos!$D$1:$D$996),"")</f>
        <v/>
      </c>
      <c r="H4232" s="1073" t="n">
        <v>2092.75</v>
      </c>
      <c r="I4232" s="2163" t="n">
        <v>0</v>
      </c>
      <c r="J4232" s="2163" t="n">
        <v>0</v>
      </c>
      <c r="K4232" s="2163" t="n"/>
    </row>
    <row r="4233" outlineLevel="3" ht="12.75" customHeight="1">
      <c r="A4233" s="82" t="n">
        <v>1</v>
      </c>
      <c r="B4233" s="82" t="inlineStr">
        <is>
          <t>Insumo</t>
        </is>
      </c>
      <c r="C4233" s="82" t="inlineStr">
        <is>
          <t>Porta de madeira de Correr - 150x210cm (kit completo) - fixação com espuma expansiva</t>
        </is>
      </c>
      <c r="D4233" s="82" t="inlineStr">
        <is>
          <t>Porta de madeira de Correr - 150x210cm (kit completo)</t>
        </is>
      </c>
      <c r="E4233" s="11">
        <f t="array" ref="E4233">_xlfn.XLOOKUP(D4233,Insumos!B:B,Insumos!C:$C)</f>
        <v/>
      </c>
      <c r="F4233" s="2164" t="n">
        <v>1</v>
      </c>
      <c r="G4233" s="92">
        <f t="array" ref="G4233">IF(B4233="insumo",_xlfn.XLOOKUP($D4233,Insumos!$B$1:$B$996,Insumos!$D$1:$D$996),"")</f>
        <v/>
      </c>
      <c r="H4233" s="92" t="n">
        <v>2037.75</v>
      </c>
      <c r="I4233" s="2165" t="n">
        <v>0</v>
      </c>
      <c r="J4233" s="2165" t="n">
        <v>0</v>
      </c>
      <c r="K4233" s="2165" t="n"/>
    </row>
    <row r="4234" outlineLevel="3" ht="12.75" customHeight="1">
      <c r="A4234" s="82" t="n">
        <v>24</v>
      </c>
      <c r="B4234" s="82" t="inlineStr">
        <is>
          <t>Insumo</t>
        </is>
      </c>
      <c r="C4234" s="82" t="inlineStr">
        <is>
          <t>Porta de madeira de Correr - 150x210cm (kit completo) - fixação com espuma expansiva</t>
        </is>
      </c>
      <c r="D4234" s="82" t="inlineStr">
        <is>
          <t>Espuma Expansiva de PU 740 gramas</t>
        </is>
      </c>
      <c r="E4234" s="11">
        <f t="array" ref="E4234">_xlfn.XLOOKUP(D4234,Insumos!B:B,Insumos!C:$C)</f>
        <v/>
      </c>
      <c r="F4234" s="2164" t="n">
        <v>1</v>
      </c>
      <c r="G4234" s="92">
        <f t="array" ref="G4234">IF(B4234="insumo",_xlfn.XLOOKUP($D4234,Insumos!$B$1:$B$996,Insumos!$D$1:$D$996),"")</f>
        <v/>
      </c>
      <c r="H4234" s="92" t="n">
        <v>55</v>
      </c>
      <c r="I4234" s="2165" t="n">
        <v>0</v>
      </c>
      <c r="J4234" s="2165" t="n">
        <v>0</v>
      </c>
      <c r="K4234" s="2165" t="n"/>
    </row>
    <row r="4235" outlineLevel="1" ht="15.75" customHeight="1">
      <c r="A4235" s="1090" t="n">
        <v>1</v>
      </c>
      <c r="B4235" s="1090" t="inlineStr">
        <is>
          <t>Subetapa</t>
        </is>
      </c>
      <c r="C4235" s="1090" t="inlineStr">
        <is>
          <t>Porta de madeira de Correr - 150x210cm (kit completo) - fixação com espuma expansiva</t>
        </is>
      </c>
      <c r="D4235" s="1090" t="inlineStr">
        <is>
          <t>FERRAGENS E FECHADURAS</t>
        </is>
      </c>
      <c r="E4235" s="1091" t="n"/>
      <c r="F4235" s="2160" t="n"/>
      <c r="G4235" s="1091" t="n"/>
      <c r="H4235" s="1091" t="n">
        <v>0</v>
      </c>
      <c r="I4235" s="2160" t="n">
        <v>0</v>
      </c>
      <c r="J4235" s="2160" t="n">
        <v>0</v>
      </c>
      <c r="K4235" s="2160" t="n"/>
    </row>
    <row r="4236" outlineLevel="2" ht="15.75" customHeight="1">
      <c r="A4236" s="1067" t="n">
        <v>1</v>
      </c>
      <c r="B4236" s="1067" t="inlineStr">
        <is>
          <t>Serviço</t>
        </is>
      </c>
      <c r="C4236" s="1067" t="inlineStr">
        <is>
          <t>Fechadura Eletronica</t>
        </is>
      </c>
      <c r="D4236" s="1067" t="inlineStr">
        <is>
          <t>Fechadura Eletronica</t>
        </is>
      </c>
      <c r="E4236" s="1068" t="inlineStr">
        <is>
          <t>M2</t>
        </is>
      </c>
      <c r="F4236" s="1067" t="n"/>
      <c r="G4236" s="1069">
        <f t="array" ref="G4236">IF(B4236="insumo",_xlfn.XLOOKUP($D4236,Insumos!$B$1:$B$996,Insumos!$D$1:$D$996),"")</f>
        <v/>
      </c>
      <c r="H4236" s="1069" t="n">
        <v>1291.64</v>
      </c>
      <c r="I4236" s="2161" t="n">
        <v>41</v>
      </c>
      <c r="J4236" s="2161" t="n">
        <v>52957.24</v>
      </c>
      <c r="K4236" s="2161" t="n"/>
    </row>
    <row r="4237" outlineLevel="3" ht="15.75" customHeight="1">
      <c r="A4237" s="10" t="n">
        <v>1</v>
      </c>
      <c r="B4237" s="10" t="inlineStr">
        <is>
          <t>Insumo</t>
        </is>
      </c>
      <c r="C4237" s="10" t="inlineStr">
        <is>
          <t>Fechadura Eletronica</t>
        </is>
      </c>
      <c r="D4237" s="10" t="inlineStr">
        <is>
          <t>Fechadura Inteligente Eletrônica Facial Digital D22 Cor Preto</t>
        </is>
      </c>
      <c r="E4237" s="11">
        <f t="array" ref="E4237">_xlfn.XLOOKUP(D4237,Insumos!B:B,Insumos!C:$C)</f>
        <v/>
      </c>
      <c r="F4237" s="14" t="n">
        <v>1</v>
      </c>
      <c r="G4237" s="92">
        <f t="array" ref="G4237">IF(B4237="insumo",_xlfn.XLOOKUP($D4237,Insumos!$B$1:$B$996,Insumos!$D$1:$D$996),"")</f>
        <v/>
      </c>
      <c r="H4237" s="92" t="n">
        <v>1291.64</v>
      </c>
      <c r="I4237" s="2162" t="n">
        <v>41</v>
      </c>
      <c r="J4237" s="2162" t="n">
        <v>52957.24</v>
      </c>
      <c r="K4237" s="2162" t="n"/>
    </row>
    <row r="4238" outlineLevel="2" ht="15.75" customHeight="1">
      <c r="A4238" s="1067" t="n">
        <v>1</v>
      </c>
      <c r="B4238" s="1067" t="inlineStr">
        <is>
          <t>Serviço</t>
        </is>
      </c>
      <c r="C4238" s="1067" t="inlineStr">
        <is>
          <t xml:space="preserve">Fechadura comum </t>
        </is>
      </c>
      <c r="D4238" s="1067" t="inlineStr">
        <is>
          <t xml:space="preserve">Fechadura comum </t>
        </is>
      </c>
      <c r="E4238" s="1068" t="inlineStr">
        <is>
          <t>M2</t>
        </is>
      </c>
      <c r="F4238" s="1067" t="n"/>
      <c r="G4238" s="1069">
        <f t="array" ref="G4238">IF(B4238="insumo",_xlfn.XLOOKUP($D4238,Insumos!$B$1:$B$996,Insumos!$D$1:$D$996),"")</f>
        <v/>
      </c>
      <c r="H4238" s="1069" t="n">
        <v>232.46</v>
      </c>
      <c r="I4238" s="2161" t="n">
        <v>0</v>
      </c>
      <c r="J4238" s="2161" t="n">
        <v>0</v>
      </c>
      <c r="K4238" s="2161" t="n"/>
    </row>
    <row r="4239" outlineLevel="3" ht="15.75" customHeight="1">
      <c r="A4239" s="10" t="n">
        <v>1</v>
      </c>
      <c r="B4239" s="10" t="inlineStr">
        <is>
          <t>Insumo</t>
        </is>
      </c>
      <c r="C4239" s="10" t="inlineStr">
        <is>
          <t xml:space="preserve">Fechadura comum </t>
        </is>
      </c>
      <c r="D4239" s="10" t="inlineStr">
        <is>
          <t>Fechadura Arouca para Porta do Quarto Preto 55mm</t>
        </is>
      </c>
      <c r="E4239" s="11">
        <f t="array" ref="E4239">_xlfn.XLOOKUP(D4239,Insumos!B:B,Insumos!C:$C)</f>
        <v/>
      </c>
      <c r="F4239" s="14" t="n">
        <v>1</v>
      </c>
      <c r="G4239" s="92">
        <f t="array" ref="G4239">IF(B4239="insumo",_xlfn.XLOOKUP($D4239,Insumos!$B$1:$B$996,Insumos!$D$1:$D$996),"")</f>
        <v/>
      </c>
      <c r="H4239" s="92" t="n">
        <v>232.46</v>
      </c>
      <c r="I4239" s="2162" t="n">
        <v>0</v>
      </c>
      <c r="J4239" s="2162" t="n">
        <v>0</v>
      </c>
      <c r="K4239" s="2162" t="n"/>
    </row>
    <row r="4240" outlineLevel="2" ht="15.75" customHeight="1">
      <c r="A4240" s="1067" t="n">
        <v>1</v>
      </c>
      <c r="B4240" s="1067" t="inlineStr">
        <is>
          <t>Serviço</t>
        </is>
      </c>
      <c r="C4240" s="1067" t="inlineStr">
        <is>
          <t>Ferragens para Portas - Maçaneta, fechadura, dobradiça.</t>
        </is>
      </c>
      <c r="D4240" s="1067" t="inlineStr">
        <is>
          <t>Ferragens para Portas - Maçaneta, fechadura, dobradiça.</t>
        </is>
      </c>
      <c r="E4240" s="1068" t="inlineStr">
        <is>
          <t>M2</t>
        </is>
      </c>
      <c r="F4240" s="1067" t="n"/>
      <c r="G4240" s="1069">
        <f t="array" ref="G4240">IF(B4240="insumo",_xlfn.XLOOKUP($D4240,Insumos!$B$1:$B$996,Insumos!$D$1:$D$996),"")</f>
        <v/>
      </c>
      <c r="H4240" s="1069" t="n">
        <v>912.2641553398061</v>
      </c>
      <c r="I4240" s="2161" t="n">
        <v>0</v>
      </c>
      <c r="J4240" s="2161" t="n">
        <v>0</v>
      </c>
      <c r="K4240" s="2161" t="n"/>
    </row>
    <row r="4241" outlineLevel="3" ht="15.75" customHeight="1">
      <c r="A4241" s="10" t="n">
        <v>1</v>
      </c>
      <c r="B4241" s="10" t="inlineStr">
        <is>
          <t>Insumo</t>
        </is>
      </c>
      <c r="C4241" s="10" t="inlineStr">
        <is>
          <t>Ferragens para Portas - Maçaneta, fechadura, dobradiça.</t>
        </is>
      </c>
      <c r="D4241" s="10" t="inlineStr">
        <is>
          <t>Ferragens para Portas - Maçaneta, fechadura, dobradiça.</t>
        </is>
      </c>
      <c r="E4241" s="11">
        <f t="array" ref="E4241">_xlfn.XLOOKUP(D4241,Insumos!B:B,Insumos!C:$C)</f>
        <v/>
      </c>
      <c r="F4241" s="14" t="n">
        <v>1</v>
      </c>
      <c r="G4241" s="92">
        <f t="array" ref="G4241">IF(B4241="insumo",_xlfn.XLOOKUP($D4241,Insumos!$B$1:$B$996,Insumos!$D$1:$D$996),"")</f>
        <v/>
      </c>
      <c r="H4241" s="92" t="n">
        <v>912.2641553398061</v>
      </c>
      <c r="I4241" s="2162" t="n">
        <v>0</v>
      </c>
      <c r="J4241" s="2162" t="n">
        <v>0</v>
      </c>
      <c r="K4241" s="2162" t="n"/>
    </row>
    <row r="4242" outlineLevel="1" ht="15.75" customHeight="1">
      <c r="A4242" s="1090" t="n">
        <v>1</v>
      </c>
      <c r="B4242" s="1090" t="inlineStr">
        <is>
          <t>Subetapa</t>
        </is>
      </c>
      <c r="C4242" s="1090" t="inlineStr">
        <is>
          <t>Ferragens para Portas - Maçaneta, fechadura, dobradiça.</t>
        </is>
      </c>
      <c r="D4242" s="1090" t="inlineStr">
        <is>
          <t>PCF</t>
        </is>
      </c>
      <c r="E4242" s="1091" t="n"/>
      <c r="F4242" s="2160" t="n"/>
      <c r="G4242" s="1091" t="n"/>
      <c r="H4242" s="1091" t="n">
        <v>0</v>
      </c>
      <c r="I4242" s="2160" t="n">
        <v>0</v>
      </c>
      <c r="J4242" s="2160" t="n">
        <v>0</v>
      </c>
      <c r="K4242" s="2160" t="n"/>
    </row>
    <row r="4243" outlineLevel="2" ht="15.75" customHeight="1">
      <c r="A4243" s="1067" t="n">
        <v>1</v>
      </c>
      <c r="B4243" s="1067" t="inlineStr">
        <is>
          <t>Serviço</t>
        </is>
      </c>
      <c r="C4243" s="1067" t="inlineStr">
        <is>
          <t>Porta corta-fogo, 1 folha, 80x210 cm</t>
        </is>
      </c>
      <c r="D4243" s="1067" t="inlineStr">
        <is>
          <t>Porta corta-fogo, 1 folha, 80x210 cm</t>
        </is>
      </c>
      <c r="E4243" s="1068" t="inlineStr">
        <is>
          <t>M2</t>
        </is>
      </c>
      <c r="F4243" s="1067" t="n"/>
      <c r="G4243" s="1069">
        <f t="array" ref="G4243">IF(B4243="insumo",_xlfn.XLOOKUP($D4243,Insumos!$B$1:$B$996,Insumos!$D$1:$D$996),"")</f>
        <v/>
      </c>
      <c r="H4243" s="1069" t="n">
        <v>1100</v>
      </c>
      <c r="I4243" s="2161" t="n">
        <v>67</v>
      </c>
      <c r="J4243" s="2161" t="n">
        <v>73700</v>
      </c>
      <c r="K4243" s="2161" t="n"/>
    </row>
    <row r="4244" outlineLevel="3" ht="15.75" customHeight="1">
      <c r="A4244" s="10" t="n">
        <v>1</v>
      </c>
      <c r="B4244" s="10" t="inlineStr">
        <is>
          <t>Insumo</t>
        </is>
      </c>
      <c r="C4244" s="10" t="inlineStr">
        <is>
          <t>Porta corta-fogo, 1 folha, 80x210 cm</t>
        </is>
      </c>
      <c r="D4244" s="10" t="inlineStr">
        <is>
          <t>Porta corta-fogo, 1 folha, 80x210 cm</t>
        </is>
      </c>
      <c r="E4244" s="11">
        <f t="array" ref="E4244">_xlfn.XLOOKUP(D4244,Insumos!B:B,Insumos!C:$C)</f>
        <v/>
      </c>
      <c r="F4244" s="14" t="n">
        <v>1</v>
      </c>
      <c r="G4244" s="92">
        <f t="array" ref="G4244">IF(B4244="insumo",_xlfn.XLOOKUP($D4244,Insumos!$B$1:$B$996,Insumos!$D$1:$D$996),"")</f>
        <v/>
      </c>
      <c r="H4244" s="92" t="n">
        <v>1100</v>
      </c>
      <c r="I4244" s="2162" t="n">
        <v>67</v>
      </c>
      <c r="J4244" s="2162" t="n">
        <v>73700</v>
      </c>
      <c r="K4244" s="2162" t="n"/>
    </row>
    <row r="4245" outlineLevel="2" ht="12.75" customHeight="1">
      <c r="A4245" s="1071" t="n">
        <v>1</v>
      </c>
      <c r="B4245" s="1071" t="inlineStr">
        <is>
          <t>Serviço</t>
        </is>
      </c>
      <c r="C4245" s="1071" t="inlineStr">
        <is>
          <t>Porta corta-fogo, 1 folha, 90x210 cm</t>
        </is>
      </c>
      <c r="D4245" s="1071" t="inlineStr">
        <is>
          <t>Porta corta-fogo, 1 folha, 90x210 cm</t>
        </is>
      </c>
      <c r="E4245" s="1072" t="inlineStr">
        <is>
          <t>M2</t>
        </is>
      </c>
      <c r="F4245" s="1071" t="n"/>
      <c r="G4245" s="1073">
        <f t="array" ref="G4245">IF(B4245="insumo",_xlfn.XLOOKUP($D4245,Insumos!$B$1:$B$996,Insumos!$D$1:$D$996),"")</f>
        <v/>
      </c>
      <c r="H4245" s="1073" t="n">
        <v>1237.5</v>
      </c>
      <c r="I4245" s="2163" t="n">
        <v>25</v>
      </c>
      <c r="J4245" s="2163" t="n">
        <v>30937.5</v>
      </c>
      <c r="K4245" s="2163" t="n"/>
    </row>
    <row r="4246" outlineLevel="3" ht="12.75" customHeight="1">
      <c r="A4246" s="82" t="n">
        <v>1</v>
      </c>
      <c r="B4246" s="82" t="inlineStr">
        <is>
          <t>Insumo</t>
        </is>
      </c>
      <c r="C4246" s="82" t="inlineStr">
        <is>
          <t>Porta corta-fogo, 1 folha, 90x210 cm</t>
        </is>
      </c>
      <c r="D4246" s="82" t="inlineStr">
        <is>
          <t>Porta corta-fogo, 1 folha, 90x210 cm</t>
        </is>
      </c>
      <c r="E4246" s="11">
        <f t="array" ref="E4246">_xlfn.XLOOKUP(D4246,Insumos!B:B,Insumos!C:$C)</f>
        <v/>
      </c>
      <c r="F4246" s="2164" t="n">
        <v>1</v>
      </c>
      <c r="G4246" s="92">
        <f t="array" ref="G4246">IF(B4246="insumo",_xlfn.XLOOKUP($D4246,Insumos!$B$1:$B$996,Insumos!$D$1:$D$996),"")</f>
        <v/>
      </c>
      <c r="H4246" s="92" t="n">
        <v>1237.5</v>
      </c>
      <c r="I4246" s="2165" t="n">
        <v>25</v>
      </c>
      <c r="J4246" s="2165" t="n">
        <v>30937.5</v>
      </c>
      <c r="K4246" s="2165" t="n"/>
    </row>
    <row r="4247" outlineLevel="2" ht="12.75" customHeight="1">
      <c r="A4247" s="1071" t="n">
        <v>1</v>
      </c>
      <c r="B4247" s="1071" t="inlineStr">
        <is>
          <t>Serviço</t>
        </is>
      </c>
      <c r="C4247" s="1071" t="inlineStr">
        <is>
          <t>Porta corta-fogo, 1 folha, 96x210 cm</t>
        </is>
      </c>
      <c r="D4247" s="1071" t="inlineStr">
        <is>
          <t>Porta corta-fogo, 1 folha, 96x210 cm</t>
        </is>
      </c>
      <c r="E4247" s="1072" t="inlineStr">
        <is>
          <t>M2</t>
        </is>
      </c>
      <c r="F4247" s="1071" t="n"/>
      <c r="G4247" s="1073">
        <f t="array" ref="G4247">IF(B4247="insumo",_xlfn.XLOOKUP($D4247,Insumos!$B$1:$B$996,Insumos!$D$1:$D$996),"")</f>
        <v/>
      </c>
      <c r="H4247" s="1073" t="n">
        <v>2530</v>
      </c>
      <c r="I4247" s="2163" t="n">
        <v>0</v>
      </c>
      <c r="J4247" s="2163" t="n">
        <v>0</v>
      </c>
      <c r="K4247" s="2163" t="n"/>
    </row>
    <row r="4248" outlineLevel="3" ht="12.75" customHeight="1">
      <c r="A4248" s="82" t="n">
        <v>1</v>
      </c>
      <c r="B4248" s="82" t="inlineStr">
        <is>
          <t>Insumo</t>
        </is>
      </c>
      <c r="C4248" s="82" t="inlineStr">
        <is>
          <t>Porta corta-fogo, 1 folha, 96x210 cm</t>
        </is>
      </c>
      <c r="D4248" s="82" t="inlineStr">
        <is>
          <t>Porta corta-fogo, 1 folha, 96x210 cm</t>
        </is>
      </c>
      <c r="E4248" s="11">
        <f t="array" ref="E4248">_xlfn.XLOOKUP(D4248,Insumos!B:B,Insumos!C:$C)</f>
        <v/>
      </c>
      <c r="F4248" s="2164" t="n">
        <v>1</v>
      </c>
      <c r="G4248" s="92">
        <f t="array" ref="G4248">IF(B4248="insumo",_xlfn.XLOOKUP($D4248,Insumos!$B$1:$B$996,Insumos!$D$1:$D$996),"")</f>
        <v/>
      </c>
      <c r="H4248" s="92" t="n">
        <v>2530</v>
      </c>
      <c r="I4248" s="2165" t="n">
        <v>0</v>
      </c>
      <c r="J4248" s="2165" t="n">
        <v>0</v>
      </c>
      <c r="K4248" s="2165" t="n"/>
    </row>
    <row r="4249" outlineLevel="2" ht="15.75" customHeight="1">
      <c r="A4249" s="1067" t="n">
        <v>1</v>
      </c>
      <c r="B4249" s="1067" t="inlineStr">
        <is>
          <t>Serviço</t>
        </is>
      </c>
      <c r="C4249" s="1067" t="inlineStr">
        <is>
          <t>Porta corta-fogo, 2 folha, 152x126 cm</t>
        </is>
      </c>
      <c r="D4249" s="1067" t="inlineStr">
        <is>
          <t>Porta corta-fogo, 2 folha, 152x126 cm</t>
        </is>
      </c>
      <c r="E4249" s="1068" t="inlineStr">
        <is>
          <t>M2</t>
        </is>
      </c>
      <c r="F4249" s="1067" t="n"/>
      <c r="G4249" s="1069">
        <f t="array" ref="G4249">IF(B4249="insumo",_xlfn.XLOOKUP($D4249,Insumos!$B$1:$B$996,Insumos!$D$1:$D$996),"")</f>
        <v/>
      </c>
      <c r="H4249" s="1069" t="n">
        <v>1089.60846206897</v>
      </c>
      <c r="I4249" s="2161" t="n">
        <v>0</v>
      </c>
      <c r="J4249" s="2161" t="n">
        <v>0</v>
      </c>
      <c r="K4249" s="2161" t="n"/>
    </row>
    <row r="4250" outlineLevel="3" ht="15.75" customHeight="1">
      <c r="A4250" s="10" t="n">
        <v>1</v>
      </c>
      <c r="B4250" s="10" t="inlineStr">
        <is>
          <t>Insumo</t>
        </is>
      </c>
      <c r="C4250" s="10" t="inlineStr">
        <is>
          <t>Porta corta-fogo, 2 folha, 152x126 cm</t>
        </is>
      </c>
      <c r="D4250" s="10" t="inlineStr">
        <is>
          <t>Porta corta-fogo, 2 folha, 152x126 cm</t>
        </is>
      </c>
      <c r="E4250" s="11">
        <f t="array" ref="E4250">_xlfn.XLOOKUP(D4250,Insumos!B:B,Insumos!C:$C)</f>
        <v/>
      </c>
      <c r="F4250" s="14" t="n">
        <v>1</v>
      </c>
      <c r="G4250" s="92">
        <f t="array" ref="G4250">IF(B4250="insumo",_xlfn.XLOOKUP($D4250,Insumos!$B$1:$B$996,Insumos!$D$1:$D$996),"")</f>
        <v/>
      </c>
      <c r="H4250" s="92" t="n">
        <v>1089.60846206897</v>
      </c>
      <c r="I4250" s="2162" t="n">
        <v>0</v>
      </c>
      <c r="J4250" s="2162" t="n">
        <v>0</v>
      </c>
      <c r="K4250" s="2162" t="n"/>
    </row>
    <row r="4251" outlineLevel="2" ht="15.75" customHeight="1">
      <c r="A4251" s="1067" t="n">
        <v>1</v>
      </c>
      <c r="B4251" s="1067" t="inlineStr">
        <is>
          <t>Serviço</t>
        </is>
      </c>
      <c r="C4251" s="1067" t="inlineStr">
        <is>
          <t>Porta corta-fogo, 1 folha, 106x210 cm</t>
        </is>
      </c>
      <c r="D4251" s="1067" t="inlineStr">
        <is>
          <t>Porta corta-fogo, 1 folha, 106x210 cm</t>
        </is>
      </c>
      <c r="E4251" s="1068" t="inlineStr">
        <is>
          <t>M2</t>
        </is>
      </c>
      <c r="F4251" s="1067" t="n"/>
      <c r="G4251" s="1069">
        <f t="array" ref="G4251">IF(B4251="insumo",_xlfn.XLOOKUP($D4251,Insumos!$B$1:$B$996,Insumos!$D$1:$D$996),"")</f>
        <v/>
      </c>
      <c r="H4251" s="1069" t="n">
        <v>3729.34</v>
      </c>
      <c r="I4251" s="2161" t="n">
        <v>0</v>
      </c>
      <c r="J4251" s="2161" t="n">
        <v>0</v>
      </c>
      <c r="K4251" s="2161" t="n"/>
    </row>
    <row r="4252" outlineLevel="3" ht="15.75" customHeight="1">
      <c r="A4252" s="10" t="n">
        <v>1</v>
      </c>
      <c r="B4252" s="10" t="inlineStr">
        <is>
          <t>Insumo</t>
        </is>
      </c>
      <c r="C4252" s="10" t="inlineStr">
        <is>
          <t>Porta corta-fogo, 1 folha, 106x210 cm</t>
        </is>
      </c>
      <c r="D4252" s="10" t="inlineStr">
        <is>
          <t>Porta corta-fogo, 1 folha, 106x210 cm</t>
        </is>
      </c>
      <c r="E4252" s="11">
        <f t="array" ref="E4252">_xlfn.XLOOKUP(D4252,Insumos!B:B,Insumos!C:$C)</f>
        <v/>
      </c>
      <c r="F4252" s="14" t="n">
        <v>1</v>
      </c>
      <c r="G4252" s="92">
        <f t="array" ref="G4252">IF(B4252="insumo",_xlfn.XLOOKUP($D4252,Insumos!$B$1:$B$996,Insumos!$D$1:$D$996),"")</f>
        <v/>
      </c>
      <c r="H4252" s="92" t="n">
        <v>3729.34</v>
      </c>
      <c r="I4252" s="2162" t="n">
        <v>0</v>
      </c>
      <c r="J4252" s="2162" t="n">
        <v>0</v>
      </c>
      <c r="K4252" s="2162" t="n"/>
    </row>
    <row r="4253" outlineLevel="2" ht="15.75" customHeight="1">
      <c r="A4253" s="1067" t="n">
        <v>1</v>
      </c>
      <c r="B4253" s="1067" t="inlineStr">
        <is>
          <t>Serviço</t>
        </is>
      </c>
      <c r="C4253" s="1067" t="inlineStr">
        <is>
          <t>Porta corta-fogo, 1 folha, 96x190cm</t>
        </is>
      </c>
      <c r="D4253" s="1067" t="inlineStr">
        <is>
          <t>Porta corta-fogo, 1 folha, 96x190cm</t>
        </is>
      </c>
      <c r="E4253" s="1068" t="inlineStr">
        <is>
          <t>M2</t>
        </is>
      </c>
      <c r="F4253" s="1067" t="n"/>
      <c r="G4253" s="1069">
        <f t="array" ref="G4253">IF(B4253="insumo",_xlfn.XLOOKUP($D4253,Insumos!$B$1:$B$996,Insumos!$D$1:$D$996),"")</f>
        <v/>
      </c>
      <c r="H4253" s="1069" t="n">
        <v>3523.56</v>
      </c>
      <c r="I4253" s="2161" t="n">
        <v>0</v>
      </c>
      <c r="J4253" s="2161" t="n">
        <v>0</v>
      </c>
      <c r="K4253" s="2161" t="n"/>
    </row>
    <row r="4254" outlineLevel="3" ht="15.75" customHeight="1">
      <c r="A4254" s="10" t="n">
        <v>1</v>
      </c>
      <c r="B4254" s="10" t="inlineStr">
        <is>
          <t>Insumo</t>
        </is>
      </c>
      <c r="C4254" s="10" t="inlineStr">
        <is>
          <t>Porta corta-fogo, 1 folha, 96x190cm</t>
        </is>
      </c>
      <c r="D4254" s="10" t="inlineStr">
        <is>
          <t>Porta corta-fogo, 1 folha, 96x190cm</t>
        </is>
      </c>
      <c r="E4254" s="11">
        <f t="array" ref="E4254">_xlfn.XLOOKUP(D4254,Insumos!B:B,Insumos!C:$C)</f>
        <v/>
      </c>
      <c r="F4254" s="14" t="n">
        <v>1</v>
      </c>
      <c r="G4254" s="92">
        <f t="array" ref="G4254">IF(B4254="insumo",_xlfn.XLOOKUP($D4254,Insumos!$B$1:$B$996,Insumos!$D$1:$D$996),"")</f>
        <v/>
      </c>
      <c r="H4254" s="92" t="n">
        <v>3523.56</v>
      </c>
      <c r="I4254" s="2162" t="n">
        <v>0</v>
      </c>
      <c r="J4254" s="2162" t="n">
        <v>0</v>
      </c>
      <c r="K4254" s="2162" t="n"/>
    </row>
    <row r="4255" outlineLevel="2" ht="15.75" customHeight="1">
      <c r="A4255" s="1067" t="n">
        <v>1</v>
      </c>
      <c r="B4255" s="1067" t="inlineStr">
        <is>
          <t>Serviço</t>
        </is>
      </c>
      <c r="C4255" s="1067" t="inlineStr">
        <is>
          <t>Porta corta-fogo, 1 folha, 90x213cm</t>
        </is>
      </c>
      <c r="D4255" s="1067" t="inlineStr">
        <is>
          <t>Porta corta-fogo, 1 folha, 90x213cm</t>
        </is>
      </c>
      <c r="E4255" s="1068" t="inlineStr">
        <is>
          <t>M2</t>
        </is>
      </c>
      <c r="F4255" s="1067" t="n"/>
      <c r="G4255" s="1069">
        <f t="array" ref="G4255">IF(B4255="insumo",_xlfn.XLOOKUP($D4255,Insumos!$B$1:$B$996,Insumos!$D$1:$D$996),"")</f>
        <v/>
      </c>
      <c r="H4255" s="1069" t="n">
        <v>1754.88</v>
      </c>
      <c r="I4255" s="2161" t="n">
        <v>0</v>
      </c>
      <c r="J4255" s="2161" t="n">
        <v>0</v>
      </c>
      <c r="K4255" s="2161" t="n"/>
    </row>
    <row r="4256" outlineLevel="3" ht="15.75" customHeight="1">
      <c r="A4256" s="10" t="n">
        <v>1</v>
      </c>
      <c r="B4256" s="10" t="inlineStr">
        <is>
          <t>Insumo</t>
        </is>
      </c>
      <c r="C4256" s="10" t="inlineStr">
        <is>
          <t>Porta corta-fogo, 1 folha, 90x213cm</t>
        </is>
      </c>
      <c r="D4256" s="10" t="inlineStr">
        <is>
          <t>Porta corta-fogo, 1 folha, 90x213cm</t>
        </is>
      </c>
      <c r="E4256" s="11">
        <f t="array" ref="E4256">_xlfn.XLOOKUP(D4256,Insumos!B:B,Insumos!C:$C)</f>
        <v/>
      </c>
      <c r="F4256" s="14" t="n">
        <v>1</v>
      </c>
      <c r="G4256" s="92">
        <f t="array" ref="G4256">IF(B4256="insumo",_xlfn.XLOOKUP($D4256,Insumos!$B$1:$B$996,Insumos!$D$1:$D$996),"")</f>
        <v/>
      </c>
      <c r="H4256" s="92" t="n">
        <v>1754.88</v>
      </c>
      <c r="I4256" s="2162" t="n">
        <v>0</v>
      </c>
      <c r="J4256" s="2162" t="n">
        <v>0</v>
      </c>
      <c r="K4256" s="2162" t="n"/>
    </row>
    <row r="4257" outlineLevel="2" ht="15.75" customHeight="1">
      <c r="A4257" s="1067" t="n">
        <v>1</v>
      </c>
      <c r="B4257" s="1067" t="inlineStr">
        <is>
          <t>Serviço</t>
        </is>
      </c>
      <c r="C4257" s="1067" t="inlineStr">
        <is>
          <t>Porta corta-fogo, 1 folha, 80x213cm</t>
        </is>
      </c>
      <c r="D4257" s="1067" t="inlineStr">
        <is>
          <t>Porta corta-fogo, 1 folha, 80x213cm</t>
        </is>
      </c>
      <c r="E4257" s="1068" t="inlineStr">
        <is>
          <t>M2</t>
        </is>
      </c>
      <c r="F4257" s="1067" t="n"/>
      <c r="G4257" s="1069">
        <f t="array" ref="G4257">IF(B4257="insumo",_xlfn.XLOOKUP($D4257,Insumos!$B$1:$B$996,Insumos!$D$1:$D$996),"")</f>
        <v/>
      </c>
      <c r="H4257" s="1069" t="n">
        <v>1754.88</v>
      </c>
      <c r="I4257" s="2161" t="n">
        <v>0</v>
      </c>
      <c r="J4257" s="2161" t="n">
        <v>0</v>
      </c>
      <c r="K4257" s="2161" t="n"/>
    </row>
    <row r="4258" outlineLevel="3" ht="15.75" customHeight="1">
      <c r="A4258" s="10" t="n">
        <v>1</v>
      </c>
      <c r="B4258" s="10" t="inlineStr">
        <is>
          <t>Insumo</t>
        </is>
      </c>
      <c r="C4258" s="10" t="inlineStr">
        <is>
          <t>Porta corta-fogo, 1 folha, 80x213cm</t>
        </is>
      </c>
      <c r="D4258" s="10" t="inlineStr">
        <is>
          <t>Porta corta-fogo, 1 folha, 80x213cm</t>
        </is>
      </c>
      <c r="E4258" s="11">
        <f t="array" ref="E4258">_xlfn.XLOOKUP(D4258,Insumos!B:B,Insumos!C:$C)</f>
        <v/>
      </c>
      <c r="F4258" s="14" t="n">
        <v>1</v>
      </c>
      <c r="G4258" s="92">
        <f t="array" ref="G4258">IF(B4258="insumo",_xlfn.XLOOKUP($D4258,Insumos!$B$1:$B$996,Insumos!$D$1:$D$996),"")</f>
        <v/>
      </c>
      <c r="H4258" s="92" t="n">
        <v>1754.88</v>
      </c>
      <c r="I4258" s="2162" t="n">
        <v>0</v>
      </c>
      <c r="J4258" s="2162" t="n">
        <v>0</v>
      </c>
      <c r="K4258" s="2162" t="n"/>
    </row>
    <row r="4259" outlineLevel="2" ht="15.75" customHeight="1">
      <c r="A4259" s="1067" t="n">
        <v>1</v>
      </c>
      <c r="B4259" s="1067" t="inlineStr">
        <is>
          <t>Serviço</t>
        </is>
      </c>
      <c r="C4259" s="1067" t="inlineStr">
        <is>
          <t>Porta metálica, 1 folha, 80x150 cm</t>
        </is>
      </c>
      <c r="D4259" s="1067" t="inlineStr">
        <is>
          <t>Porta metálica, 1 folha, 80x150 cm</t>
        </is>
      </c>
      <c r="E4259" s="1068" t="inlineStr">
        <is>
          <t>M2</t>
        </is>
      </c>
      <c r="F4259" s="1067" t="n"/>
      <c r="G4259" s="1069">
        <f t="array" ref="G4259">IF(B4259="insumo",_xlfn.XLOOKUP($D4259,Insumos!$B$1:$B$996,Insumos!$D$1:$D$996),"")</f>
        <v/>
      </c>
      <c r="H4259" s="1069" t="n">
        <v>2968</v>
      </c>
      <c r="I4259" s="2161" t="n">
        <v>0</v>
      </c>
      <c r="J4259" s="2161" t="n">
        <v>0</v>
      </c>
      <c r="K4259" s="2161" t="n"/>
    </row>
    <row r="4260" outlineLevel="3" ht="15.75" customHeight="1">
      <c r="A4260" s="10" t="n">
        <v>1</v>
      </c>
      <c r="B4260" s="10" t="inlineStr">
        <is>
          <t>Insumo</t>
        </is>
      </c>
      <c r="C4260" s="10" t="inlineStr">
        <is>
          <t>Porta metálica, 1 folha, 80x150 cm</t>
        </is>
      </c>
      <c r="D4260" s="10" t="inlineStr">
        <is>
          <t>Porta metálica, 1 folha, 80x150 cm</t>
        </is>
      </c>
      <c r="E4260" s="11">
        <f t="array" ref="E4260">_xlfn.XLOOKUP(D4260,Insumos!B:B,Insumos!C:$C)</f>
        <v/>
      </c>
      <c r="F4260" s="14" t="n">
        <v>1</v>
      </c>
      <c r="G4260" s="92">
        <f t="array" ref="G4260">IF(B4260="insumo",_xlfn.XLOOKUP($D4260,Insumos!$B$1:$B$996,Insumos!$D$1:$D$996),"")</f>
        <v/>
      </c>
      <c r="H4260" s="92" t="n">
        <v>2968</v>
      </c>
      <c r="I4260" s="2162" t="n">
        <v>0</v>
      </c>
      <c r="J4260" s="2162" t="n">
        <v>0</v>
      </c>
      <c r="K4260" s="2162" t="n"/>
    </row>
    <row r="4261" outlineLevel="1" ht="15.75" customHeight="1">
      <c r="A4261" s="1090" t="n">
        <v>1</v>
      </c>
      <c r="B4261" s="1090" t="inlineStr">
        <is>
          <t>Subetapa</t>
        </is>
      </c>
      <c r="C4261" s="1090" t="inlineStr">
        <is>
          <t>Porta metálica, 1 folha, 80x150 cm</t>
        </is>
      </c>
      <c r="D4261" s="1090" t="inlineStr">
        <is>
          <t>ESQUADRIAS METÁKICAS</t>
        </is>
      </c>
      <c r="E4261" s="1091" t="n"/>
      <c r="F4261" s="2160" t="n"/>
      <c r="G4261" s="1091" t="n"/>
      <c r="H4261" s="1091" t="n">
        <v>0</v>
      </c>
      <c r="I4261" s="2160" t="n">
        <v>0</v>
      </c>
      <c r="J4261" s="2160" t="n">
        <v>0</v>
      </c>
      <c r="K4261" s="2160" t="n"/>
    </row>
    <row r="4262" outlineLevel="2" ht="15.75" customHeight="1">
      <c r="A4262" s="1067" t="n">
        <v>1</v>
      </c>
      <c r="B4262" s="1067" t="inlineStr">
        <is>
          <t>Serviço</t>
        </is>
      </c>
      <c r="C4262" s="1067" t="inlineStr">
        <is>
          <t>Escada de marinheiro</t>
        </is>
      </c>
      <c r="D4262" s="1067" t="inlineStr">
        <is>
          <t>Escada de marinheiro</t>
        </is>
      </c>
      <c r="E4262" s="1068" t="inlineStr">
        <is>
          <t>M2</t>
        </is>
      </c>
      <c r="F4262" s="1067" t="n"/>
      <c r="G4262" s="1069">
        <f t="array" ref="G4262">IF(B4262="insumo",_xlfn.XLOOKUP($D4262,Insumos!$B$1:$B$996,Insumos!$D$1:$D$996),"")</f>
        <v/>
      </c>
      <c r="H4262" s="1069" t="n">
        <v>2405</v>
      </c>
      <c r="I4262" s="2161" t="n">
        <v>1</v>
      </c>
      <c r="J4262" s="2161" t="n">
        <v>2405</v>
      </c>
      <c r="K4262" s="2161" t="n"/>
    </row>
    <row r="4263" outlineLevel="3" ht="15.75" customHeight="1">
      <c r="A4263" s="10" t="n">
        <v>1</v>
      </c>
      <c r="B4263" s="10" t="inlineStr">
        <is>
          <t>Insumo</t>
        </is>
      </c>
      <c r="C4263" s="10" t="inlineStr">
        <is>
          <t>Escada de marinheiro</t>
        </is>
      </c>
      <c r="D4263" s="10" t="inlineStr">
        <is>
          <t>Escada de marinheiro</t>
        </is>
      </c>
      <c r="E4263" s="11">
        <f t="array" ref="E4263">_xlfn.XLOOKUP(D4263,Insumos!B:B,Insumos!C:$C)</f>
        <v/>
      </c>
      <c r="F4263" s="14" t="n">
        <v>1</v>
      </c>
      <c r="G4263" s="92">
        <f t="array" ref="G4263">IF(B4263="insumo",_xlfn.XLOOKUP($D4263,Insumos!$B$1:$B$996,Insumos!$D$1:$D$996),"")</f>
        <v/>
      </c>
      <c r="H4263" s="92" t="n">
        <v>2405</v>
      </c>
      <c r="I4263" s="2162" t="n">
        <v>1</v>
      </c>
      <c r="J4263" s="2162" t="n">
        <v>2405</v>
      </c>
      <c r="K4263" s="2162" t="n"/>
    </row>
    <row r="4264" outlineLevel="2" ht="12.75" customHeight="1">
      <c r="A4264" s="1071" t="n">
        <v>1</v>
      </c>
      <c r="B4264" s="1071" t="inlineStr">
        <is>
          <t>Serviço</t>
        </is>
      </c>
      <c r="C4264" s="1071" t="inlineStr">
        <is>
          <t>Guarda Corpo metálico (gradil) - fornecimento e instalação</t>
        </is>
      </c>
      <c r="D4264" s="1071" t="inlineStr">
        <is>
          <t>Guarda Corpo metálico (gradil) - fornecimento e instalação</t>
        </is>
      </c>
      <c r="E4264" s="1072" t="inlineStr">
        <is>
          <t>M2</t>
        </is>
      </c>
      <c r="F4264" s="1071" t="n"/>
      <c r="G4264" s="1073">
        <f t="array" ref="G4264">IF(B4264="insumo",_xlfn.XLOOKUP($D4264,Insumos!$B$1:$B$996,Insumos!$D$1:$D$996),"")</f>
        <v/>
      </c>
      <c r="H4264" s="1073" t="n">
        <v>600</v>
      </c>
      <c r="I4264" s="2163" t="n">
        <v>0</v>
      </c>
      <c r="J4264" s="2163" t="n">
        <v>0</v>
      </c>
      <c r="K4264" s="2163" t="n"/>
    </row>
    <row r="4265" outlineLevel="3" ht="12.75" customHeight="1">
      <c r="A4265" s="82" t="n">
        <v>1</v>
      </c>
      <c r="B4265" s="82" t="inlineStr">
        <is>
          <t>Insumo</t>
        </is>
      </c>
      <c r="C4265" s="82" t="inlineStr">
        <is>
          <t>Guarda Corpo metálico (gradil) - fornecimento e instalação</t>
        </is>
      </c>
      <c r="D4265" s="82" t="inlineStr">
        <is>
          <t>Guarda Corpo metálico (gradil) - fornecimento e instalação</t>
        </is>
      </c>
      <c r="E4265" s="11">
        <f t="array" ref="E4265">_xlfn.XLOOKUP(D4265,Insumos!B:B,Insumos!C:$C)</f>
        <v/>
      </c>
      <c r="F4265" s="2164" t="n">
        <v>1</v>
      </c>
      <c r="G4265" s="92">
        <f t="array" ref="G4265">IF(B4265="insumo",_xlfn.XLOOKUP($D4265,Insumos!$B$1:$B$996,Insumos!$D$1:$D$996),"")</f>
        <v/>
      </c>
      <c r="H4265" s="92" t="n">
        <v>600</v>
      </c>
      <c r="I4265" s="2165" t="n">
        <v>0</v>
      </c>
      <c r="J4265" s="2165" t="n">
        <v>0</v>
      </c>
      <c r="K4265" s="2165" t="n"/>
    </row>
    <row r="4266" outlineLevel="2" ht="12.75" customHeight="1">
      <c r="A4266" s="1071" t="n">
        <v>1</v>
      </c>
      <c r="B4266" s="1071" t="inlineStr">
        <is>
          <t>Serviço</t>
        </is>
      </c>
      <c r="C4266" s="1071" t="inlineStr">
        <is>
          <t>Guarda Corpo metálico - inox 304 escovado - fornecimento e instalação</t>
        </is>
      </c>
      <c r="D4266" s="1071" t="inlineStr">
        <is>
          <t>Guarda Corpo metálico - inox 304 escovado - fornecimento e instalação</t>
        </is>
      </c>
      <c r="E4266" s="1072" t="inlineStr">
        <is>
          <t>M2</t>
        </is>
      </c>
      <c r="F4266" s="1071" t="n"/>
      <c r="G4266" s="1073">
        <f t="array" ref="G4266">IF(B4266="insumo",_xlfn.XLOOKUP($D4266,Insumos!$B$1:$B$996,Insumos!$D$1:$D$996),"")</f>
        <v/>
      </c>
      <c r="H4266" s="1073" t="n">
        <v>1240</v>
      </c>
      <c r="I4266" s="2163" t="e">
        <v>#REF!</v>
      </c>
      <c r="J4266" s="2163" t="e">
        <v>#REF!</v>
      </c>
      <c r="K4266" s="2163" t="n"/>
    </row>
    <row r="4267" outlineLevel="3" ht="12.75" customHeight="1">
      <c r="A4267" s="82" t="n">
        <v>1</v>
      </c>
      <c r="B4267" s="82" t="inlineStr">
        <is>
          <t>Insumo</t>
        </is>
      </c>
      <c r="C4267" s="82" t="inlineStr">
        <is>
          <t>Guarda Corpo metálico - inox 304 escovado - fornecimento e instalação</t>
        </is>
      </c>
      <c r="D4267" s="82" t="inlineStr">
        <is>
          <t>Guarda Corpo metálico - inox 304 escovado - fornecimento e instalação</t>
        </is>
      </c>
      <c r="E4267" s="11">
        <f t="array" ref="E4267">_xlfn.XLOOKUP(D4267,Insumos!B:B,Insumos!C:$C)</f>
        <v/>
      </c>
      <c r="F4267" s="2164" t="n">
        <v>1</v>
      </c>
      <c r="G4267" s="92">
        <f t="array" ref="G4267">IF(B4267="insumo",_xlfn.XLOOKUP($D4267,Insumos!$B$1:$B$996,Insumos!$D$1:$D$996),"")</f>
        <v/>
      </c>
      <c r="H4267" s="92" t="n">
        <v>1240</v>
      </c>
      <c r="I4267" s="2165" t="e">
        <v>#REF!</v>
      </c>
      <c r="J4267" s="2165" t="e">
        <v>#REF!</v>
      </c>
      <c r="K4267" s="2165" t="n"/>
    </row>
    <row r="4268" outlineLevel="2" ht="15.75" customHeight="1">
      <c r="A4268" s="1067" t="n">
        <v>1</v>
      </c>
      <c r="B4268" s="1067" t="inlineStr">
        <is>
          <t>Serviço</t>
        </is>
      </c>
      <c r="C4268" s="1067" t="inlineStr">
        <is>
          <t>Escada marinheiro com gaiola de proteção, h=6 m</t>
        </is>
      </c>
      <c r="D4268" s="1067" t="inlineStr">
        <is>
          <t>Escada marinheiro com gaiola de proteção, h=6 m</t>
        </is>
      </c>
      <c r="E4268" s="1068" t="inlineStr">
        <is>
          <t>M2</t>
        </is>
      </c>
      <c r="F4268" s="1067" t="n"/>
      <c r="G4268" s="1069">
        <f t="array" ref="G4268">IF(B4268="insumo",_xlfn.XLOOKUP($D4268,Insumos!$B$1:$B$996,Insumos!$D$1:$D$996),"")</f>
        <v/>
      </c>
      <c r="H4268" s="1069" t="n">
        <v>6500</v>
      </c>
      <c r="I4268" s="2161" t="n">
        <v>0</v>
      </c>
      <c r="J4268" s="2161" t="n">
        <v>0</v>
      </c>
      <c r="K4268" s="2161" t="n"/>
    </row>
    <row r="4269" outlineLevel="3" ht="15.75" customHeight="1">
      <c r="A4269" s="10" t="n">
        <v>1</v>
      </c>
      <c r="B4269" s="10" t="inlineStr">
        <is>
          <t>Insumo</t>
        </is>
      </c>
      <c r="C4269" s="10" t="inlineStr">
        <is>
          <t>Escada marinheiro com gaiola de proteção, h=6 m</t>
        </is>
      </c>
      <c r="D4269" s="10" t="inlineStr">
        <is>
          <t>Escada marinheiro com gaiola de proteção, h=6 m</t>
        </is>
      </c>
      <c r="E4269" s="11">
        <f t="array" ref="E4269">_xlfn.XLOOKUP(D4269,Insumos!B:B,Insumos!C:$C)</f>
        <v/>
      </c>
      <c r="F4269" s="14" t="n">
        <v>1</v>
      </c>
      <c r="G4269" s="92">
        <f t="array" ref="G4269">IF(B4269="insumo",_xlfn.XLOOKUP($D4269,Insumos!$B$1:$B$996,Insumos!$D$1:$D$996),"")</f>
        <v/>
      </c>
      <c r="H4269" s="92" t="n">
        <v>6500</v>
      </c>
      <c r="I4269" s="2162" t="n">
        <v>0</v>
      </c>
      <c r="J4269" s="2162" t="n">
        <v>0</v>
      </c>
      <c r="K4269" s="2162" t="n"/>
    </row>
    <row r="4270" outlineLevel="2" ht="15.75" customHeight="1">
      <c r="A4270" s="1067" t="n">
        <v>1</v>
      </c>
      <c r="B4270" s="1067" t="inlineStr">
        <is>
          <t>Serviço</t>
        </is>
      </c>
      <c r="C4270" s="1067" t="inlineStr">
        <is>
          <t>Gradil metálico, h=0,9cm</t>
        </is>
      </c>
      <c r="D4270" s="1067" t="inlineStr">
        <is>
          <t>Gradil metálico, h=0,9cm</t>
        </is>
      </c>
      <c r="E4270" s="1068" t="inlineStr">
        <is>
          <t>M2</t>
        </is>
      </c>
      <c r="F4270" s="1067" t="n"/>
      <c r="G4270" s="1069">
        <f t="array" ref="G4270">IF(B4270="insumo",_xlfn.XLOOKUP($D4270,Insumos!$B$1:$B$996,Insumos!$D$1:$D$996),"")</f>
        <v/>
      </c>
      <c r="H4270" s="1069" t="n">
        <v>568.926724137931</v>
      </c>
      <c r="I4270" s="2161" t="n">
        <v>0</v>
      </c>
      <c r="J4270" s="2161" t="n">
        <v>0</v>
      </c>
      <c r="K4270" s="2161" t="n"/>
    </row>
    <row r="4271" outlineLevel="3" ht="15.75" customHeight="1">
      <c r="A4271" s="10" t="n">
        <v>2</v>
      </c>
      <c r="B4271" s="10" t="inlineStr">
        <is>
          <t>Insumo</t>
        </is>
      </c>
      <c r="C4271" s="10" t="inlineStr">
        <is>
          <t>Gradil metálico, h=0,9cm</t>
        </is>
      </c>
      <c r="D4271" s="10" t="inlineStr">
        <is>
          <t>Gradil metálico</t>
        </is>
      </c>
      <c r="E4271" s="11">
        <f t="array" ref="E4271">_xlfn.XLOOKUP(D4271,Insumos!B:B,Insumos!C:$C)</f>
        <v/>
      </c>
      <c r="F4271" s="14" t="n">
        <v>1</v>
      </c>
      <c r="G4271" s="92">
        <f t="array" ref="G4271">IF(B4271="insumo",_xlfn.XLOOKUP($D4271,Insumos!$B$1:$B$996,Insumos!$D$1:$D$996),"")</f>
        <v/>
      </c>
      <c r="H4271" s="92" t="n">
        <v>568.926724137931</v>
      </c>
      <c r="I4271" s="2162" t="n">
        <v>0</v>
      </c>
      <c r="J4271" s="2162" t="n">
        <v>0</v>
      </c>
      <c r="K4271" s="2162" t="n"/>
    </row>
    <row r="4272" outlineLevel="1" ht="15.75" customHeight="1">
      <c r="A4272" s="1090" t="n">
        <v>6</v>
      </c>
      <c r="B4272" s="1090" t="inlineStr">
        <is>
          <t>Subetapa</t>
        </is>
      </c>
      <c r="C4272" s="1090" t="inlineStr">
        <is>
          <t>Gradil metálico, h=0,9cm</t>
        </is>
      </c>
      <c r="D4272" s="1090" t="inlineStr">
        <is>
          <t>MÃO DE OBRA</t>
        </is>
      </c>
      <c r="E4272" s="1091" t="n"/>
      <c r="F4272" s="2160" t="n"/>
      <c r="G4272" s="1091" t="n"/>
      <c r="H4272" s="1091" t="n">
        <v>0</v>
      </c>
      <c r="I4272" s="2160" t="n">
        <v>0</v>
      </c>
      <c r="J4272" s="2160" t="n">
        <v>0</v>
      </c>
      <c r="K4272" s="2160" t="n"/>
    </row>
    <row r="4273" outlineLevel="2" ht="15.75" customHeight="1">
      <c r="A4273" s="1067" t="n">
        <v>1</v>
      </c>
      <c r="B4273" s="1067" t="inlineStr">
        <is>
          <t>Serviço</t>
        </is>
      </c>
      <c r="C4273" s="1067" t="inlineStr">
        <is>
          <t>Mão de obra para instalação de portas corta-fogo</t>
        </is>
      </c>
      <c r="D4273" s="1067" t="inlineStr">
        <is>
          <t>Mão de obra para instalação de portas corta-fogo</t>
        </is>
      </c>
      <c r="E4273" s="1068" t="inlineStr">
        <is>
          <t>M2</t>
        </is>
      </c>
      <c r="F4273" s="1067" t="n"/>
      <c r="G4273" s="1069">
        <f t="array" ref="G4273">IF(B4273="insumo",_xlfn.XLOOKUP($D4273,Insumos!$B$1:$B$996,Insumos!$D$1:$D$996),"")</f>
        <v/>
      </c>
      <c r="H4273" s="1069" t="n">
        <v>300</v>
      </c>
      <c r="I4273" s="2161" t="n">
        <v>92</v>
      </c>
      <c r="J4273" s="2161" t="n">
        <v>27600</v>
      </c>
      <c r="K4273" s="2161" t="n"/>
    </row>
    <row r="4274" outlineLevel="3" ht="15.75" customHeight="1">
      <c r="A4274" s="10" t="n">
        <v>1</v>
      </c>
      <c r="B4274" s="10" t="inlineStr">
        <is>
          <t>Insumo</t>
        </is>
      </c>
      <c r="C4274" s="10" t="inlineStr">
        <is>
          <t>Mão de obra para instalação de portas corta-fogo</t>
        </is>
      </c>
      <c r="D4274" s="10" t="inlineStr">
        <is>
          <t>Mão de obra para instalação de portas corta-fogo</t>
        </is>
      </c>
      <c r="E4274" s="11">
        <f t="array" ref="E4274">_xlfn.XLOOKUP(D4274,Insumos!B:B,Insumos!C:$C)</f>
        <v/>
      </c>
      <c r="F4274" s="14" t="n">
        <v>1</v>
      </c>
      <c r="G4274" s="92">
        <f t="array" ref="G4274">IF(B4274="insumo",_xlfn.XLOOKUP($D4274,Insumos!$B$1:$B$996,Insumos!$D$1:$D$996),"")</f>
        <v/>
      </c>
      <c r="H4274" s="92" t="n">
        <v>300</v>
      </c>
      <c r="I4274" s="2162" t="n">
        <v>92</v>
      </c>
      <c r="J4274" s="2162" t="n">
        <v>27600</v>
      </c>
      <c r="K4274" s="2162" t="n"/>
    </row>
    <row r="4275" outlineLevel="2" ht="15.75" customHeight="1">
      <c r="A4275" s="1067" t="n">
        <v>1</v>
      </c>
      <c r="B4275" s="1067" t="inlineStr">
        <is>
          <t>Serviço</t>
        </is>
      </c>
      <c r="C4275" s="1067" t="inlineStr">
        <is>
          <t>Mão de obra para instalação de portas de madeira</t>
        </is>
      </c>
      <c r="D4275" s="1067" t="inlineStr">
        <is>
          <t>Mão de obra para instalação de portas de madeira</t>
        </is>
      </c>
      <c r="E4275" s="1068" t="inlineStr">
        <is>
          <t>M2</t>
        </is>
      </c>
      <c r="F4275" s="1075" t="n"/>
      <c r="G4275" s="1069">
        <f t="array" ref="G4275">IF(B4275="insumo",_xlfn.XLOOKUP($D4275,Insumos!$B$1:$B$996,Insumos!$D$1:$D$996),"")</f>
        <v/>
      </c>
      <c r="H4275" s="1069" t="n">
        <v>300</v>
      </c>
      <c r="I4275" s="2161" t="n">
        <v>432</v>
      </c>
      <c r="J4275" s="2161" t="n">
        <v>129600</v>
      </c>
      <c r="K4275" s="2161" t="n"/>
    </row>
    <row r="4276" outlineLevel="3" ht="15.75" customHeight="1">
      <c r="A4276" s="10" t="n">
        <v>1</v>
      </c>
      <c r="B4276" s="10" t="inlineStr">
        <is>
          <t>Insumo</t>
        </is>
      </c>
      <c r="C4276" s="10" t="inlineStr">
        <is>
          <t>Mão de obra para instalação de portas de madeira</t>
        </is>
      </c>
      <c r="D4276" s="10" t="inlineStr">
        <is>
          <t>Mão de obra para instalação de portas de madeira</t>
        </is>
      </c>
      <c r="E4276" s="11">
        <f t="array" ref="E4276">_xlfn.XLOOKUP(D4276,Insumos!B:B,Insumos!C:$C)</f>
        <v/>
      </c>
      <c r="F4276" s="14" t="n">
        <v>1</v>
      </c>
      <c r="G4276" s="92">
        <f t="array" ref="G4276">IF(B4276="insumo",_xlfn.XLOOKUP($D4276,Insumos!$B$1:$B$996,Insumos!$D$1:$D$996),"")</f>
        <v/>
      </c>
      <c r="H4276" s="92" t="n">
        <v>300</v>
      </c>
      <c r="I4276" s="2162" t="n">
        <v>432</v>
      </c>
      <c r="J4276" s="2162" t="n">
        <v>129600</v>
      </c>
      <c r="K4276" s="2162" t="n"/>
    </row>
    <row r="4277" ht="15.75" customHeight="1">
      <c r="A4277" s="7" t="n">
        <v>1</v>
      </c>
      <c r="B4277" s="7" t="inlineStr">
        <is>
          <t>Etapa</t>
        </is>
      </c>
      <c r="C4277" s="7" t="inlineStr">
        <is>
          <t>Mão de obra para instalação de portas de madeira</t>
        </is>
      </c>
      <c r="D4277" s="7" t="inlineStr">
        <is>
          <t>FACHADA</t>
        </is>
      </c>
      <c r="E4277" s="8" t="n"/>
      <c r="F4277" s="2159" t="n"/>
      <c r="G4277" s="91">
        <f t="array" ref="G4277">IF(B4277="insumo",_xlfn.XLOOKUP($D4277,Insumos!$B$1:$B$996,Insumos!$D$1:$D$996),"")</f>
        <v/>
      </c>
      <c r="H4277" s="91" t="n">
        <v>0</v>
      </c>
      <c r="I4277" s="2159" t="n">
        <v>0</v>
      </c>
      <c r="J4277" s="2159" t="n">
        <v>0</v>
      </c>
      <c r="K4277" s="2159" t="n"/>
    </row>
    <row r="4278" outlineLevel="1" ht="15.75" customHeight="1">
      <c r="A4278" s="1090" t="n">
        <v>1</v>
      </c>
      <c r="B4278" s="1090" t="inlineStr">
        <is>
          <t>Subetapa</t>
        </is>
      </c>
      <c r="C4278" s="1090" t="inlineStr">
        <is>
          <t>Mão de obra para instalação de portas de madeira</t>
        </is>
      </c>
      <c r="D4278" s="1090" t="inlineStr">
        <is>
          <t>ARGAMASSADOS</t>
        </is>
      </c>
      <c r="E4278" s="1091" t="n"/>
      <c r="F4278" s="2160" t="n"/>
      <c r="G4278" s="1091" t="n"/>
      <c r="H4278" s="1091" t="n">
        <v>0</v>
      </c>
      <c r="I4278" s="2160" t="n">
        <v>0</v>
      </c>
      <c r="J4278" s="2160" t="n">
        <v>0</v>
      </c>
      <c r="K4278" s="2160" t="n"/>
    </row>
    <row r="4279" outlineLevel="2" ht="15.75" customHeight="1">
      <c r="A4279" s="1067" t="n">
        <v>1</v>
      </c>
      <c r="B4279" s="1067" t="inlineStr">
        <is>
          <t>Serviço</t>
        </is>
      </c>
      <c r="C4279" s="1067" t="inlineStr">
        <is>
          <t>Regularização de Paredes externas</t>
        </is>
      </c>
      <c r="D4279" s="1067" t="inlineStr">
        <is>
          <t>Regularização de Paredes externas</t>
        </is>
      </c>
      <c r="E4279" s="1068" t="inlineStr">
        <is>
          <t>M2</t>
        </is>
      </c>
      <c r="F4279" s="1067" t="n"/>
      <c r="G4279" s="1069">
        <f t="array" ref="G4279">IF(B4279="insumo",_xlfn.XLOOKUP($D4279,Insumos!$B$1:$B$996,Insumos!$D$1:$D$996),"")</f>
        <v/>
      </c>
      <c r="H4279" s="1069" t="n">
        <v>3.15602333333333</v>
      </c>
      <c r="I4279" s="2161" t="n">
        <v>0</v>
      </c>
      <c r="J4279" s="2161" t="n">
        <v>0</v>
      </c>
      <c r="K4279" s="2161" t="n"/>
    </row>
    <row r="4280" outlineLevel="3" ht="15.75" customHeight="1">
      <c r="A4280" s="10" t="n">
        <v>32</v>
      </c>
      <c r="B4280" s="10" t="inlineStr">
        <is>
          <t>Insumo</t>
        </is>
      </c>
      <c r="C4280" s="10" t="inlineStr">
        <is>
          <t>Regularização de Paredes externas</t>
        </is>
      </c>
      <c r="D4280" s="10" t="inlineStr">
        <is>
          <t>Argamassa usninada para contrapiso</t>
        </is>
      </c>
      <c r="E4280" s="11">
        <f t="array" ref="E4280">_xlfn.XLOOKUP(D4280,Insumos!B:B,Insumos!C:$C)</f>
        <v/>
      </c>
      <c r="F4280" s="14" t="n">
        <v>0.005500000000000001</v>
      </c>
      <c r="G4280" s="92">
        <f t="array" ref="G4280">IF(B4280="insumo",_xlfn.XLOOKUP($D4280,Insumos!$B$1:$B$996,Insumos!$D$1:$D$996),"")</f>
        <v/>
      </c>
      <c r="H4280" s="92" t="n">
        <v>3.025</v>
      </c>
      <c r="I4280" s="2162" t="n">
        <v>0</v>
      </c>
      <c r="J4280" s="2162" t="n">
        <v>0</v>
      </c>
      <c r="K4280" s="2162" t="n"/>
    </row>
    <row r="4281" outlineLevel="3" ht="15.75" customHeight="1">
      <c r="A4281" s="10" t="n">
        <v>41</v>
      </c>
      <c r="B4281" s="10" t="inlineStr">
        <is>
          <t>Insumo</t>
        </is>
      </c>
      <c r="C4281" s="10" t="inlineStr">
        <is>
          <t>Regularização de Paredes externas</t>
        </is>
      </c>
      <c r="D4281" s="10" t="inlineStr">
        <is>
          <t>Aditivo Adesivo Liquido Para Argamassas De Revestimentos Cimenticios</t>
        </is>
      </c>
      <c r="E4281" s="11">
        <f t="array" ref="E4281">_xlfn.XLOOKUP(D4281,Insumos!B:B,Insumos!C:$C)</f>
        <v/>
      </c>
      <c r="F4281" s="14" t="n">
        <v>0.003500000000000001</v>
      </c>
      <c r="G4281" s="92">
        <f t="array" ref="G4281">IF(B4281="insumo",_xlfn.XLOOKUP($D4281,Insumos!$B$1:$B$996,Insumos!$D$1:$D$996),"")</f>
        <v/>
      </c>
      <c r="H4281" s="92" t="n">
        <v>0.06769</v>
      </c>
      <c r="I4281" s="2162" t="n">
        <v>0</v>
      </c>
      <c r="J4281" s="2162" t="n">
        <v>0</v>
      </c>
      <c r="K4281" s="2162" t="n"/>
    </row>
    <row r="4282" outlineLevel="3" ht="15.75" customHeight="1">
      <c r="A4282" s="10" t="n">
        <v>62</v>
      </c>
      <c r="B4282" s="10" t="inlineStr">
        <is>
          <t>Insumo</t>
        </is>
      </c>
      <c r="C4282" s="10" t="inlineStr">
        <is>
          <t>Regularização de Paredes externas</t>
        </is>
      </c>
      <c r="D4282" s="10" t="inlineStr">
        <is>
          <t>Cimento Portland Composto CP II-32</t>
        </is>
      </c>
      <c r="E4282" s="11">
        <f t="array" ref="E4282">_xlfn.XLOOKUP(D4282,Insumos!B:B,Insumos!C:$C)</f>
        <v/>
      </c>
      <c r="F4282" s="14" t="n">
        <v>0.08333333333333334</v>
      </c>
      <c r="G4282" s="92">
        <f t="array" ref="G4282">IF(B4282="insumo",_xlfn.XLOOKUP($D4282,Insumos!$B$1:$B$996,Insumos!$D$1:$D$996),"")</f>
        <v/>
      </c>
      <c r="H4282" s="92" t="n">
        <v>0.0633333333333333</v>
      </c>
      <c r="I4282" s="2162" t="n">
        <v>0</v>
      </c>
      <c r="J4282" s="2162" t="n">
        <v>0</v>
      </c>
      <c r="K4282" s="2162" t="n"/>
    </row>
    <row r="4283" outlineLevel="2" ht="15.75" customHeight="1">
      <c r="A4283" s="1067" t="n">
        <v>1</v>
      </c>
      <c r="B4283" s="1067" t="inlineStr">
        <is>
          <t>Serviço</t>
        </is>
      </c>
      <c r="C4283" s="1067" t="inlineStr">
        <is>
          <t>Chapisco externo de argamassa pré-fabricada adesiva de cimento colante - aplicação rolada em paredes externas</t>
        </is>
      </c>
      <c r="D4283" s="1067" t="inlineStr">
        <is>
          <t>Chapisco externo de argamassa pré-fabricada adesiva de cimento colante - aplicação rolada em paredes externas</t>
        </is>
      </c>
      <c r="E4283" s="1068" t="inlineStr">
        <is>
          <t>M2</t>
        </is>
      </c>
      <c r="F4283" s="1067" t="n"/>
      <c r="G4283" s="1069">
        <f t="array" ref="G4283">IF(B4283="insumo",_xlfn.XLOOKUP($D4283,Insumos!$B$1:$B$996,Insumos!$D$1:$D$996),"")</f>
        <v/>
      </c>
      <c r="H4283" s="1069" t="n">
        <v>10.11778</v>
      </c>
      <c r="I4283" s="2161" t="e">
        <v>#REF!</v>
      </c>
      <c r="J4283" s="2161" t="e">
        <v>#REF!</v>
      </c>
      <c r="K4283" s="2161" t="n"/>
    </row>
    <row r="4284" outlineLevel="3" ht="15.75" customHeight="1">
      <c r="A4284" s="10" t="n">
        <v>191</v>
      </c>
      <c r="B4284" s="10" t="inlineStr">
        <is>
          <t>Insumo</t>
        </is>
      </c>
      <c r="C4284" s="10" t="inlineStr">
        <is>
          <t>Chapisco externo de argamassa pré-fabricada adesiva de cimento colante - aplicação rolada em paredes externas</t>
        </is>
      </c>
      <c r="D4284" s="10" t="inlineStr">
        <is>
          <t>Argamassa ACIII</t>
        </is>
      </c>
      <c r="E4284" s="11">
        <f t="array" ref="E4284">_xlfn.XLOOKUP(D4284,Insumos!B:B,Insumos!C:$C)</f>
        <v/>
      </c>
      <c r="F4284" s="14" t="n">
        <v>6.34</v>
      </c>
      <c r="G4284" s="92">
        <f t="array" ref="G4284">IF(B4284="insumo",_xlfn.XLOOKUP($D4284,Insumos!$B$1:$B$996,Insumos!$D$1:$D$996),"")</f>
        <v/>
      </c>
      <c r="H4284" s="92" t="n">
        <v>6.74893</v>
      </c>
      <c r="I4284" s="2162" t="e">
        <v>#REF!</v>
      </c>
      <c r="J4284" s="2162" t="e">
        <v>#REF!</v>
      </c>
      <c r="K4284" s="2162" t="n"/>
    </row>
    <row r="4285" outlineLevel="3" ht="15.75" customHeight="1">
      <c r="A4285" s="10" t="n">
        <v>4</v>
      </c>
      <c r="B4285" s="10" t="inlineStr">
        <is>
          <t>Insumo</t>
        </is>
      </c>
      <c r="C4285" s="10" t="inlineStr">
        <is>
          <t>Chapisco externo de argamassa pré-fabricada adesiva de cimento colante - aplicação rolada em paredes externas</t>
        </is>
      </c>
      <c r="D4285" s="10" t="inlineStr">
        <is>
          <t xml:space="preserve">Aditivo Bianco Adesivo Argamassa Chapisco </t>
        </is>
      </c>
      <c r="E4285" s="11">
        <f t="array" ref="E4285">_xlfn.XLOOKUP(D4285,Insumos!B:B,Insumos!C:$C)</f>
        <v/>
      </c>
      <c r="F4285" s="14" t="n">
        <v>0.3</v>
      </c>
      <c r="G4285" s="92">
        <f t="array" ref="G4285">IF(B4285="insumo",_xlfn.XLOOKUP($D4285,Insumos!$B$1:$B$996,Insumos!$D$1:$D$996),"")</f>
        <v/>
      </c>
      <c r="H4285" s="92" t="n">
        <v>3.36885</v>
      </c>
      <c r="I4285" s="2162" t="e">
        <v>#REF!</v>
      </c>
      <c r="J4285" s="2162" t="e">
        <v>#REF!</v>
      </c>
      <c r="K4285" s="2162" t="n"/>
    </row>
    <row r="4286" outlineLevel="2" ht="15.75" customHeight="1">
      <c r="A4286" s="1067" t="n">
        <v>1</v>
      </c>
      <c r="B4286" s="1067" t="inlineStr">
        <is>
          <t>Serviço</t>
        </is>
      </c>
      <c r="C4286" s="1067" t="inlineStr">
        <is>
          <t>Chapisco externo aplicado em estruturas de concreto, de argamassa ACIII, com desempenadeira dentada</t>
        </is>
      </c>
      <c r="D4286" s="1067" t="inlineStr">
        <is>
          <t>Chapisco externo aplicado em estruturas de concreto, de argamassa ACIII, com desempenadeira dentada</t>
        </is>
      </c>
      <c r="E4286" s="1068" t="inlineStr">
        <is>
          <t>M2</t>
        </is>
      </c>
      <c r="F4286" s="1067" t="n"/>
      <c r="G4286" s="1069">
        <f t="array" ref="G4286">IF(B4286="insumo",_xlfn.XLOOKUP($D4286,Insumos!$B$1:$B$996,Insumos!$D$1:$D$996),"")</f>
        <v/>
      </c>
      <c r="H4286" s="1069" t="n">
        <v>5.3225</v>
      </c>
      <c r="I4286" s="2161" t="n">
        <v>0</v>
      </c>
      <c r="J4286" s="2161" t="n">
        <v>0</v>
      </c>
      <c r="K4286" s="2161" t="n"/>
    </row>
    <row r="4287" outlineLevel="3" ht="15.75" customHeight="1">
      <c r="A4287" s="10" t="n">
        <v>191</v>
      </c>
      <c r="B4287" s="10" t="inlineStr">
        <is>
          <t>Insumo</t>
        </is>
      </c>
      <c r="C4287" s="10" t="inlineStr">
        <is>
          <t>Chapisco externo aplicado em estruturas de concreto, de argamassa ACIII, com desempenadeira dentada</t>
        </is>
      </c>
      <c r="D4287" s="10" t="inlineStr">
        <is>
          <t>Argamassa ACIII</t>
        </is>
      </c>
      <c r="E4287" s="11">
        <f t="array" ref="E4287">_xlfn.XLOOKUP(D4287,Insumos!B:B,Insumos!C:$C)</f>
        <v/>
      </c>
      <c r="F4287" s="14" t="n">
        <v>5</v>
      </c>
      <c r="G4287" s="92">
        <f t="array" ref="G4287">IF(B4287="insumo",_xlfn.XLOOKUP($D4287,Insumos!$B$1:$B$996,Insumos!$D$1:$D$996),"")</f>
        <v/>
      </c>
      <c r="H4287" s="92" t="n">
        <v>5.3225</v>
      </c>
      <c r="I4287" s="2162" t="n">
        <v>0</v>
      </c>
      <c r="J4287" s="2162" t="n">
        <v>0</v>
      </c>
      <c r="K4287" s="2162" t="n"/>
    </row>
    <row r="4288" outlineLevel="2" ht="15.75" customHeight="1">
      <c r="A4288" s="1067" t="n">
        <v>1</v>
      </c>
      <c r="B4288" s="1067" t="inlineStr">
        <is>
          <t>Serviço</t>
        </is>
      </c>
      <c r="C4288" s="1067" t="inlineStr">
        <is>
          <t>Chapisco externo de argamassa preparada em obra de cimento e areia - traço 1:4 - aplicação em paredes externas</t>
        </is>
      </c>
      <c r="D4288" s="1067" t="inlineStr">
        <is>
          <t>Chapisco externo de argamassa preparada em obra de cimento e areia - traço 1:4 - aplicação em paredes externas</t>
        </is>
      </c>
      <c r="E4288" s="1068" t="inlineStr">
        <is>
          <t>M2</t>
        </is>
      </c>
      <c r="F4288" s="1067" t="n"/>
      <c r="G4288" s="1069">
        <f t="array" ref="G4288">IF(B4288="insumo",_xlfn.XLOOKUP($D4288,Insumos!$B$1:$B$996,Insumos!$D$1:$D$996),"")</f>
        <v/>
      </c>
      <c r="H4288" s="1069" t="n">
        <v>3.28945</v>
      </c>
      <c r="I4288" s="2161" t="e">
        <v>#REF!</v>
      </c>
      <c r="J4288" s="2161" t="e">
        <v>#REF!</v>
      </c>
      <c r="K4288" s="2161" t="n"/>
    </row>
    <row r="4289" outlineLevel="3" ht="15.75" customHeight="1">
      <c r="A4289" s="10" t="n">
        <v>2</v>
      </c>
      <c r="B4289" s="10" t="inlineStr">
        <is>
          <t>Insumo</t>
        </is>
      </c>
      <c r="C4289" s="15" t="inlineStr">
        <is>
          <t>Chapisco externo de argamassa preparada em obra de cimento e areia - traço 1:4 - aplicação em paredes externas</t>
        </is>
      </c>
      <c r="D4289" s="15" t="inlineStr">
        <is>
          <t xml:space="preserve">ARGAMASSA TRAÇO 1:4 (EM VOLUME DE CIMENTO E AREIA GROSSA ÚMIDA) PARA CHAPISCO CONVENCIONAL, PREPARO MANUAL. </t>
        </is>
      </c>
      <c r="E4289" s="11">
        <f t="array" ref="E4289">_xlfn.XLOOKUP(D4289,Insumos!B:B,Insumos!C:$C)</f>
        <v/>
      </c>
      <c r="F4289" s="14" t="n">
        <v>0.005</v>
      </c>
      <c r="G4289" s="92">
        <f t="array" ref="G4289">IF(B4289="insumo",_xlfn.XLOOKUP($D4289,Insumos!$B$1:$B$996,Insumos!$D$1:$D$996),"")</f>
        <v/>
      </c>
      <c r="H4289" s="92" t="n">
        <v>3.28945</v>
      </c>
      <c r="I4289" s="2162" t="e">
        <v>#REF!</v>
      </c>
      <c r="J4289" s="2162" t="e">
        <v>#REF!</v>
      </c>
      <c r="K4289" s="2162" t="n"/>
    </row>
    <row r="4290" outlineLevel="2" ht="15.75" customHeight="1">
      <c r="A4290" s="1067" t="n">
        <v>1</v>
      </c>
      <c r="B4290" s="1067" t="inlineStr">
        <is>
          <t>Serviço</t>
        </is>
      </c>
      <c r="C4290" s="1067" t="inlineStr">
        <is>
          <t>Chapisco externo aplicados em alvenaria, com argamassa estabilizada, aplicação convencional.</t>
        </is>
      </c>
      <c r="D4290" s="1067" t="inlineStr">
        <is>
          <t>Chapisco externo aplicados em alvenaria, com argamassa estabilizada, aplicação convencional.</t>
        </is>
      </c>
      <c r="E4290" s="1068" t="inlineStr">
        <is>
          <t>M2</t>
        </is>
      </c>
      <c r="F4290" s="1067" t="n"/>
      <c r="G4290" s="1069">
        <f t="array" ref="G4290">IF(B4290="insumo",_xlfn.XLOOKUP($D4290,Insumos!$B$1:$B$996,Insumos!$D$1:$D$996),"")</f>
        <v/>
      </c>
      <c r="H4290" s="1069" t="n">
        <v>2.659734</v>
      </c>
      <c r="I4290" s="2161" t="n">
        <v>0</v>
      </c>
      <c r="J4290" s="2161" t="n">
        <v>0</v>
      </c>
      <c r="K4290" s="2161" t="n"/>
    </row>
    <row r="4291" outlineLevel="3" ht="15.75" customHeight="1">
      <c r="A4291" s="10" t="n">
        <v>2</v>
      </c>
      <c r="B4291" s="10" t="inlineStr">
        <is>
          <t>Insumo</t>
        </is>
      </c>
      <c r="C4291" s="10" t="inlineStr">
        <is>
          <t>Chapisco externo aplicados em alvenaria, com argamassa estabilizada, aplicação convencional.</t>
        </is>
      </c>
      <c r="D4291" s="10" t="inlineStr">
        <is>
          <t xml:space="preserve">ARGAMASSA TRAÇO 1:5 (EM VOLUME DE CIMENTO E AREIA GROSSA ÚMIDA) PARA CHAPISCO CONVENCIONAL, PREPARO MANUAL. </t>
        </is>
      </c>
      <c r="E4291" s="11">
        <f t="array" ref="E4291">_xlfn.XLOOKUP(D4291,Insumos!B:B,Insumos!C:$C)</f>
        <v/>
      </c>
      <c r="F4291" s="14" t="n">
        <v>0.0042</v>
      </c>
      <c r="G4291" s="92">
        <f t="array" ref="G4291">IF(B4291="insumo",_xlfn.XLOOKUP($D4291,Insumos!$B$1:$B$996,Insumos!$D$1:$D$996),"")</f>
        <v/>
      </c>
      <c r="H4291" s="92" t="n">
        <v>2.659734</v>
      </c>
      <c r="I4291" s="2162" t="n">
        <v>0</v>
      </c>
      <c r="J4291" s="2162" t="n">
        <v>0</v>
      </c>
      <c r="K4291" s="2162" t="n"/>
    </row>
    <row r="4292" outlineLevel="2" ht="15.75" customHeight="1">
      <c r="A4292" s="1067" t="n">
        <v>1</v>
      </c>
      <c r="B4292" s="1067" t="inlineStr">
        <is>
          <t>Serviço</t>
        </is>
      </c>
      <c r="C4292" s="1067" t="inlineStr">
        <is>
          <t xml:space="preserve">Chapisco externo de argamassa estabilizada projetada, em alvenaria, paredes Externas  </t>
        </is>
      </c>
      <c r="D4292" s="1067" t="inlineStr">
        <is>
          <t xml:space="preserve">Chapisco externo de argamassa estabilizada projetada, em alvenaria, paredes Externas  </t>
        </is>
      </c>
      <c r="E4292" s="1068" t="inlineStr">
        <is>
          <t>M2</t>
        </is>
      </c>
      <c r="F4292" s="1067" t="n"/>
      <c r="G4292" s="1069">
        <f t="array" ref="G4292">IF(B4292="insumo",_xlfn.XLOOKUP($D4292,Insumos!$B$1:$B$996,Insumos!$D$1:$D$996),"")</f>
        <v/>
      </c>
      <c r="H4292" s="1069" t="n">
        <v>4</v>
      </c>
      <c r="I4292" s="2161" t="n">
        <v>0</v>
      </c>
      <c r="J4292" s="2161" t="n">
        <v>0</v>
      </c>
      <c r="K4292" s="2161" t="n"/>
    </row>
    <row r="4293" outlineLevel="3" ht="15.75" customHeight="1">
      <c r="A4293" s="10" t="n">
        <v>6</v>
      </c>
      <c r="B4293" s="10" t="inlineStr">
        <is>
          <t>Insumo</t>
        </is>
      </c>
      <c r="C4293" s="10" t="inlineStr">
        <is>
          <t xml:space="preserve">Chapisco externo de argamassa estabilizada projetada, em alvenaria, paredes Externas  </t>
        </is>
      </c>
      <c r="D4293" s="10" t="inlineStr">
        <is>
          <t>Argamassa industrializada para Para Chapisco Colante</t>
        </is>
      </c>
      <c r="E4293" s="11">
        <f t="array" ref="E4293">_xlfn.XLOOKUP(D4293,Insumos!B:B,Insumos!C:$C)</f>
        <v/>
      </c>
      <c r="F4293" s="14" t="n">
        <v>5</v>
      </c>
      <c r="G4293" s="92">
        <f t="array" ref="G4293">IF(B4293="insumo",_xlfn.XLOOKUP($D4293,Insumos!$B$1:$B$996,Insumos!$D$1:$D$996),"")</f>
        <v/>
      </c>
      <c r="H4293" s="92" t="n">
        <v>4</v>
      </c>
      <c r="I4293" s="2162" t="n">
        <v>0</v>
      </c>
      <c r="J4293" s="2162" t="n">
        <v>0</v>
      </c>
      <c r="K4293" s="2162" t="n"/>
    </row>
    <row r="4294" outlineLevel="2" ht="15.75" customHeight="1">
      <c r="A4294" s="1067" t="n">
        <v>1</v>
      </c>
      <c r="B4294" s="1067" t="inlineStr">
        <is>
          <t>Serviço</t>
        </is>
      </c>
      <c r="C4294" s="1067" t="inlineStr">
        <is>
          <t xml:space="preserve">Chapisco externo de argamassa estabilizada projetada, em alvenaria, Estrutura Externas </t>
        </is>
      </c>
      <c r="D4294" s="1067" t="inlineStr">
        <is>
          <t xml:space="preserve">Chapisco externo de argamassa estabilizada projetada, em alvenaria, Estrutura Externas </t>
        </is>
      </c>
      <c r="E4294" s="1068" t="inlineStr">
        <is>
          <t>M2</t>
        </is>
      </c>
      <c r="F4294" s="1067" t="n"/>
      <c r="G4294" s="1069">
        <f t="array" ref="G4294">IF(B4294="insumo",_xlfn.XLOOKUP($D4294,Insumos!$B$1:$B$996,Insumos!$D$1:$D$996),"")</f>
        <v/>
      </c>
      <c r="H4294" s="1069" t="n">
        <v>4</v>
      </c>
      <c r="I4294" s="2161" t="n">
        <v>0</v>
      </c>
      <c r="J4294" s="2161" t="n">
        <v>0</v>
      </c>
      <c r="K4294" s="2161" t="n"/>
    </row>
    <row r="4295" outlineLevel="3" ht="15.75" customHeight="1">
      <c r="A4295" s="10" t="n">
        <v>6</v>
      </c>
      <c r="B4295" s="10" t="inlineStr">
        <is>
          <t>Insumo</t>
        </is>
      </c>
      <c r="C4295" s="10" t="inlineStr">
        <is>
          <t xml:space="preserve">Chapisco externo de argamassa estabilizada projetada, em alvenaria, Estrutura Externas </t>
        </is>
      </c>
      <c r="D4295" s="10" t="inlineStr">
        <is>
          <t>Argamassa industrializada para Para Chapisco Colante</t>
        </is>
      </c>
      <c r="E4295" s="11">
        <f t="array" ref="E4295">_xlfn.XLOOKUP(D4295,Insumos!B:B,Insumos!C:$C)</f>
        <v/>
      </c>
      <c r="F4295" s="14" t="n">
        <v>5</v>
      </c>
      <c r="G4295" s="92">
        <f t="array" ref="G4295">IF(B4295="insumo",_xlfn.XLOOKUP($D4295,Insumos!$B$1:$B$996,Insumos!$D$1:$D$996),"")</f>
        <v/>
      </c>
      <c r="H4295" s="92" t="n">
        <v>4</v>
      </c>
      <c r="I4295" s="2162" t="n">
        <v>0</v>
      </c>
      <c r="J4295" s="2162" t="n">
        <v>0</v>
      </c>
      <c r="K4295" s="2162" t="n"/>
    </row>
    <row r="4296" outlineLevel="2" ht="15.75" customHeight="1">
      <c r="A4296" s="1067" t="n">
        <v>1</v>
      </c>
      <c r="B4296" s="1067" t="inlineStr">
        <is>
          <t>Serviço</t>
        </is>
      </c>
      <c r="C4296" s="1067" t="inlineStr">
        <is>
          <t>Massa unica para reboco Externas em argamassa estabilizada projetada, espessura 2,0cm, desempenado fino</t>
        </is>
      </c>
      <c r="D4296" s="1067" t="inlineStr">
        <is>
          <t>Massa unica para reboco Externas em argamassa estabilizada projetada, espessura 2,0cm, desempenado fino</t>
        </is>
      </c>
      <c r="E4296" s="1068" t="inlineStr">
        <is>
          <t>M2</t>
        </is>
      </c>
      <c r="F4296" s="1067" t="n"/>
      <c r="G4296" s="1069">
        <f t="array" ref="G4296">IF(B4296="insumo",_xlfn.XLOOKUP($D4296,Insumos!$B$1:$B$996,Insumos!$D$1:$D$996),"")</f>
        <v/>
      </c>
      <c r="H4296" s="1069" t="n">
        <v>19</v>
      </c>
      <c r="I4296" s="2161" t="n">
        <v>0</v>
      </c>
      <c r="J4296" s="2161" t="n">
        <v>0</v>
      </c>
      <c r="K4296" s="2161" t="n"/>
    </row>
    <row r="4297" outlineLevel="3" ht="15.75" customHeight="1">
      <c r="A4297" s="10" t="n">
        <v>3</v>
      </c>
      <c r="B4297" s="10" t="inlineStr">
        <is>
          <t>Insumo</t>
        </is>
      </c>
      <c r="C4297" s="10" t="inlineStr">
        <is>
          <t>Massa unica para reboco Externas em argamassa estabilizada projetada, espessura 2,0cm, desempenado fino</t>
        </is>
      </c>
      <c r="D4297" s="10" t="inlineStr">
        <is>
          <t>Argamassa industrializada para Para Reboco</t>
        </is>
      </c>
      <c r="E4297" s="11">
        <f t="array" ref="E4297">_xlfn.XLOOKUP(D4297,Insumos!B:B,Insumos!C:$C)</f>
        <v/>
      </c>
      <c r="F4297" s="14" t="n">
        <v>20</v>
      </c>
      <c r="G4297" s="92">
        <f t="array" ref="G4297">IF(B4297="insumo",_xlfn.XLOOKUP($D4297,Insumos!$B$1:$B$996,Insumos!$D$1:$D$996),"")</f>
        <v/>
      </c>
      <c r="H4297" s="92" t="n">
        <v>19</v>
      </c>
      <c r="I4297" s="2162" t="n">
        <v>0</v>
      </c>
      <c r="J4297" s="2162" t="n">
        <v>0</v>
      </c>
      <c r="K4297" s="2162" t="n"/>
    </row>
    <row r="4298" outlineLevel="2" ht="15.75" customHeight="1">
      <c r="A4298" s="1067" t="n">
        <v>1</v>
      </c>
      <c r="B4298" s="1067" t="inlineStr">
        <is>
          <t>Serviço</t>
        </is>
      </c>
      <c r="C4298" s="1067" t="inlineStr">
        <is>
          <t>Massa unica para reboco externo em Argamassa preparada em central / usinada, espessura de 35mm</t>
        </is>
      </c>
      <c r="D4298" s="1067" t="inlineStr">
        <is>
          <t>Massa unica para reboco externo em Argamassa preparada em central / usinada, espessura de 35mm</t>
        </is>
      </c>
      <c r="E4298" s="1068" t="inlineStr">
        <is>
          <t>M2</t>
        </is>
      </c>
      <c r="F4298" s="1067" t="n"/>
      <c r="G4298" s="1069">
        <f t="array" ref="G4298">IF(B4298="insumo",_xlfn.XLOOKUP($D4298,Insumos!$B$1:$B$996,Insumos!$D$1:$D$996),"")</f>
        <v/>
      </c>
      <c r="H4298" s="1069" t="n">
        <v>14.525</v>
      </c>
      <c r="I4298" s="2161" t="n">
        <v>0</v>
      </c>
      <c r="J4298" s="2161" t="n">
        <v>0</v>
      </c>
      <c r="K4298" s="2161" t="n"/>
    </row>
    <row r="4299" outlineLevel="3" ht="15.75" customHeight="1">
      <c r="A4299" s="10" t="n">
        <v>7</v>
      </c>
      <c r="B4299" s="10" t="inlineStr">
        <is>
          <t>Insumo</t>
        </is>
      </c>
      <c r="C4299" s="10" t="inlineStr">
        <is>
          <t>Massa unica para reboco externo em Argamassa preparada em central / usinada, espessura de 35mm</t>
        </is>
      </c>
      <c r="D4299" s="10" t="inlineStr">
        <is>
          <t>Argamassa Usinada para emboço/massa única</t>
        </is>
      </c>
      <c r="E4299" s="11">
        <f t="array" ref="E4299">_xlfn.XLOOKUP(D4299,Insumos!B:B,Insumos!C:$C)</f>
        <v/>
      </c>
      <c r="F4299" s="14">
        <f>0.035</f>
        <v/>
      </c>
      <c r="G4299" s="92">
        <f t="array" ref="G4299">IF(B4299="insumo",_xlfn.XLOOKUP($D4299,Insumos!$B$1:$B$996,Insumos!$D$1:$D$996),"")</f>
        <v/>
      </c>
      <c r="H4299" s="92" t="n">
        <v>14.525</v>
      </c>
      <c r="I4299" s="2162" t="n">
        <v>0</v>
      </c>
      <c r="J4299" s="2162" t="n">
        <v>0</v>
      </c>
      <c r="K4299" s="2162" t="n"/>
    </row>
    <row r="4300" outlineLevel="2" ht="15.75" customHeight="1">
      <c r="A4300" s="1067" t="n">
        <v>1</v>
      </c>
      <c r="B4300" s="1067" t="inlineStr">
        <is>
          <t>Serviço</t>
        </is>
      </c>
      <c r="C4300" s="1067" t="inlineStr">
        <is>
          <t>Massa unica para reboco externo em argamassa estabilizada, espessura de 2,5cm, com execução desempenado fino</t>
        </is>
      </c>
      <c r="D4300" s="1067" t="inlineStr">
        <is>
          <t>Massa unica para reboco externo em argamassa estabilizada, espessura de 2,5cm, com execução desempenado fino</t>
        </is>
      </c>
      <c r="E4300" s="1068" t="inlineStr">
        <is>
          <t>M2</t>
        </is>
      </c>
      <c r="F4300" s="1067" t="n"/>
      <c r="G4300" s="1069">
        <f t="array" ref="G4300">IF(B4300="insumo",_xlfn.XLOOKUP($D4300,Insumos!$B$1:$B$996,Insumos!$D$1:$D$996),"")</f>
        <v/>
      </c>
      <c r="H4300" s="1069" t="n">
        <v>10.89375</v>
      </c>
      <c r="I4300" s="2161" t="e">
        <v>#REF!</v>
      </c>
      <c r="J4300" s="2161" t="e">
        <v>#REF!</v>
      </c>
      <c r="K4300" s="2161" t="n"/>
    </row>
    <row r="4301" outlineLevel="3" ht="15.75" customHeight="1">
      <c r="A4301" s="10" t="n">
        <v>7</v>
      </c>
      <c r="B4301" s="10" t="inlineStr">
        <is>
          <t>Insumo</t>
        </is>
      </c>
      <c r="C4301" s="10" t="inlineStr">
        <is>
          <t>Massa unica para reboco externo em argamassa estabilizada, espessura de 2,5cm, com execução desempenado fino</t>
        </is>
      </c>
      <c r="D4301" s="10" t="inlineStr">
        <is>
          <t>Argamassa Usinada para emboço/massa única</t>
        </is>
      </c>
      <c r="E4301" s="11">
        <f t="array" ref="E4301">_xlfn.XLOOKUP(D4301,Insumos!B:B,Insumos!C:$C)</f>
        <v/>
      </c>
      <c r="F4301" s="14" t="n">
        <v>0.02625</v>
      </c>
      <c r="G4301" s="92">
        <f t="array" ref="G4301">IF(B4301="insumo",_xlfn.XLOOKUP($D4301,Insumos!$B$1:$B$996,Insumos!$D$1:$D$996),"")</f>
        <v/>
      </c>
      <c r="H4301" s="92" t="n">
        <v>10.89375</v>
      </c>
      <c r="I4301" s="2162" t="e">
        <v>#REF!</v>
      </c>
      <c r="J4301" s="2162" t="e">
        <v>#REF!</v>
      </c>
      <c r="K4301" s="2162" t="n"/>
    </row>
    <row r="4302" outlineLevel="2" ht="12.75" customHeight="1">
      <c r="A4302" s="1071" t="n">
        <v>1</v>
      </c>
      <c r="B4302" s="1071" t="inlineStr">
        <is>
          <t>Serviço</t>
        </is>
      </c>
      <c r="C4302" s="1071" t="inlineStr">
        <is>
          <t>Aplicação manual de gesso sarrafeado em paredes externas, espessura de 1,0cm, com execução de taliscas</t>
        </is>
      </c>
      <c r="D4302" s="1071" t="inlineStr">
        <is>
          <t>Aplicação manual de gesso sarrafeado em paredes externas, espessura de 1,0cm, com execução de taliscas</t>
        </is>
      </c>
      <c r="E4302" s="1072" t="inlineStr">
        <is>
          <t>M2</t>
        </is>
      </c>
      <c r="F4302" s="1071" t="n"/>
      <c r="G4302" s="1073">
        <f t="array" ref="G4302">IF(B4302="insumo",_xlfn.XLOOKUP($D4302,Insumos!$B$1:$B$996,Insumos!$D$1:$D$996),"")</f>
        <v/>
      </c>
      <c r="H4302" s="1073" t="n">
        <v>7.6832055</v>
      </c>
      <c r="I4302" s="2163" t="n">
        <v>0</v>
      </c>
      <c r="J4302" s="2163" t="n">
        <v>0</v>
      </c>
      <c r="K4302" s="2163" t="n"/>
    </row>
    <row r="4303" outlineLevel="3" ht="12.75" customHeight="1">
      <c r="A4303" s="82" t="n">
        <v>4</v>
      </c>
      <c r="B4303" s="82" t="inlineStr">
        <is>
          <t>Insumo</t>
        </is>
      </c>
      <c r="C4303" s="82" t="inlineStr">
        <is>
          <t>Aplicação manual de gesso sarrafeado em paredes externas, espessura de 1,0cm, com execução de taliscas</t>
        </is>
      </c>
      <c r="D4303" s="82" t="inlineStr">
        <is>
          <t xml:space="preserve">	GESSO EM PÓ PARA REVESTIMENTOS</t>
        </is>
      </c>
      <c r="E4303" s="11">
        <f t="array" ref="E4303">_xlfn.XLOOKUP(D4303,Insumos!B:B,Insumos!C:$C)</f>
        <v/>
      </c>
      <c r="F4303" s="2164">
        <f>17.07379</f>
        <v/>
      </c>
      <c r="G4303" s="92">
        <f t="array" ref="G4303">IF(B4303="insumo",_xlfn.XLOOKUP($D4303,Insumos!$B$1:$B$996,Insumos!$D$1:$D$996),"")</f>
        <v/>
      </c>
      <c r="H4303" s="92" t="n">
        <v>7.6832055</v>
      </c>
      <c r="I4303" s="2165" t="n">
        <v>0</v>
      </c>
      <c r="J4303" s="2165" t="n">
        <v>0</v>
      </c>
      <c r="K4303" s="2165" t="n"/>
    </row>
    <row r="4304" outlineLevel="2" ht="15.75" customHeight="1">
      <c r="A4304" s="1067" t="n">
        <v>1</v>
      </c>
      <c r="B4304" s="1067" t="inlineStr">
        <is>
          <t>Serviço</t>
        </is>
      </c>
      <c r="C4304" s="1067" t="inlineStr">
        <is>
          <t>Tela soldada para ligacao Emboço Fachadas</t>
        </is>
      </c>
      <c r="D4304" s="1067" t="inlineStr">
        <is>
          <t>Tela soldada para ligacao Emboço Fachadas</t>
        </is>
      </c>
      <c r="E4304" s="1068" t="inlineStr">
        <is>
          <t>UN</t>
        </is>
      </c>
      <c r="F4304" s="1067" t="n"/>
      <c r="G4304" s="1069">
        <f t="array" ref="G4304">IF(B4304="insumo",_xlfn.XLOOKUP($D4304,Insumos!$B$1:$B$996,Insumos!$D$1:$D$996),"")</f>
        <v/>
      </c>
      <c r="H4304" s="1069" t="n">
        <v>4.1072</v>
      </c>
      <c r="I4304" s="2161" t="n">
        <v>0</v>
      </c>
      <c r="J4304" s="2161" t="n">
        <v>0</v>
      </c>
      <c r="K4304" s="2161" t="n"/>
    </row>
    <row r="4305" outlineLevel="3" ht="15.75" customHeight="1">
      <c r="A4305" s="10" t="n">
        <v>2</v>
      </c>
      <c r="B4305" s="10" t="inlineStr">
        <is>
          <t>Insumo</t>
        </is>
      </c>
      <c r="C4305" s="10" t="inlineStr">
        <is>
          <t>Tela soldada para ligacao Emboço Fachadas</t>
        </is>
      </c>
      <c r="D4305" s="10" t="inlineStr">
        <is>
          <t>PINO DE ACO COM FURO, HASTE = 27 MM (ACAO DIRETA)</t>
        </is>
      </c>
      <c r="E4305" s="11">
        <f t="array" ref="E4305">_xlfn.XLOOKUP(D4305,Insumos!B:B,Insumos!C:$C)</f>
        <v/>
      </c>
      <c r="F4305" s="14" t="n">
        <v>2</v>
      </c>
      <c r="G4305" s="92">
        <f t="array" ref="G4305">IF(B4305="insumo",_xlfn.XLOOKUP($D4305,Insumos!$B$1:$B$996,Insumos!$D$1:$D$996),"")</f>
        <v/>
      </c>
      <c r="H4305" s="92" t="n">
        <v>0.8672</v>
      </c>
      <c r="I4305" s="2162" t="n">
        <v>0</v>
      </c>
      <c r="J4305" s="2162" t="n">
        <v>0</v>
      </c>
      <c r="K4305" s="2162" t="n"/>
    </row>
    <row r="4306" outlineLevel="3" ht="15.75" customHeight="1">
      <c r="A4306" s="10" t="n">
        <v>2</v>
      </c>
      <c r="B4306" s="10" t="inlineStr">
        <is>
          <t>Insumo</t>
        </is>
      </c>
      <c r="C4306" s="10" t="inlineStr">
        <is>
          <t>Tela soldada para ligacao Emboço Fachadas</t>
        </is>
      </c>
      <c r="D4306" s="10" t="inlineStr">
        <is>
          <t>TELA DE ACO SOLDADA GALVANIZADA/ZINCADA PARA ALVENARIA, FIO D = *1,20 A 1,70* MM, MALHA 15 X 15 MM, (C X L) *50 X 17,5* CM</t>
        </is>
      </c>
      <c r="E4306" s="11">
        <f t="array" ref="E4306">_xlfn.XLOOKUP(D4306,Insumos!B:B,Insumos!C:$C)</f>
        <v/>
      </c>
      <c r="F4306" s="14" t="n">
        <v>1</v>
      </c>
      <c r="G4306" s="92">
        <f t="array" ref="G4306">IF(B4306="insumo",_xlfn.XLOOKUP($D4306,Insumos!$B$1:$B$996,Insumos!$D$1:$D$996),"")</f>
        <v/>
      </c>
      <c r="H4306" s="92" t="n">
        <v>2.5</v>
      </c>
      <c r="I4306" s="2162" t="n">
        <v>0</v>
      </c>
      <c r="J4306" s="2162" t="n">
        <v>0</v>
      </c>
      <c r="K4306" s="2162" t="n"/>
    </row>
    <row r="4307" outlineLevel="3" ht="15.75" customHeight="1">
      <c r="A4307" s="10" t="n">
        <v>2</v>
      </c>
      <c r="B4307" s="10" t="inlineStr">
        <is>
          <t>Insumo</t>
        </is>
      </c>
      <c r="C4307" s="10" t="inlineStr">
        <is>
          <t>Tela soldada para ligacao Emboço Fachadas</t>
        </is>
      </c>
      <c r="D4307" s="10" t="inlineStr">
        <is>
          <t>CARTUCHO/MUNIÇÃO FINCAPINO 22</t>
        </is>
      </c>
      <c r="E4307" s="11">
        <f t="array" ref="E4307">_xlfn.XLOOKUP(D4307,Insumos!B:B,Insumos!C:$C)</f>
        <v/>
      </c>
      <c r="F4307" s="14" t="n">
        <v>2</v>
      </c>
      <c r="G4307" s="92">
        <f t="array" ref="G4307">IF(B4307="insumo",_xlfn.XLOOKUP($D4307,Insumos!$B$1:$B$996,Insumos!$D$1:$D$996),"")</f>
        <v/>
      </c>
      <c r="H4307" s="92" t="n">
        <v>0.74</v>
      </c>
      <c r="I4307" s="2162" t="n">
        <v>0</v>
      </c>
      <c r="J4307" s="2162" t="n">
        <v>0</v>
      </c>
      <c r="K4307" s="2162" t="n"/>
    </row>
    <row r="4308" outlineLevel="2" ht="15.75" customHeight="1">
      <c r="A4308" s="1067" t="n">
        <v>1</v>
      </c>
      <c r="B4308" s="1067" t="inlineStr">
        <is>
          <t>Serviço</t>
        </is>
      </c>
      <c r="C4308" s="1067" t="inlineStr">
        <is>
          <t>Junta de movimentação em emboço</t>
        </is>
      </c>
      <c r="D4308" s="1067" t="inlineStr">
        <is>
          <t>Junta de movimentação em emboço</t>
        </is>
      </c>
      <c r="E4308" s="1068" t="inlineStr">
        <is>
          <t>M2</t>
        </is>
      </c>
      <c r="F4308" s="1067" t="n"/>
      <c r="G4308" s="1069">
        <f t="array" ref="G4308">IF(B4308="insumo",_xlfn.XLOOKUP($D4308,Insumos!$B$1:$B$996,Insumos!$D$1:$D$996),"")</f>
        <v/>
      </c>
      <c r="H4308" s="1069" t="n">
        <v>3.79</v>
      </c>
      <c r="I4308" s="2161" t="n">
        <v>0</v>
      </c>
      <c r="J4308" s="2161" t="n">
        <v>0</v>
      </c>
      <c r="K4308" s="2161" t="n"/>
    </row>
    <row r="4309" outlineLevel="3" ht="15.75" customHeight="1">
      <c r="A4309" s="10" t="n">
        <v>1</v>
      </c>
      <c r="B4309" s="10" t="inlineStr">
        <is>
          <t>Insumo</t>
        </is>
      </c>
      <c r="C4309" s="10" t="inlineStr">
        <is>
          <t>Junta de movimentação em emboço</t>
        </is>
      </c>
      <c r="D4309" s="10" t="inlineStr">
        <is>
          <t>Espuma Tarugo Corpo de Apoio Tarucel 15mm (delimitador de profundidade)</t>
        </is>
      </c>
      <c r="E4309" s="11">
        <f t="array" ref="E4309">_xlfn.XLOOKUP(D4309,Insumos!B:B,Insumos!C:$C)</f>
        <v/>
      </c>
      <c r="F4309" s="14" t="n">
        <v>1</v>
      </c>
      <c r="G4309" s="92">
        <f t="array" ref="G4309">IF(B4309="insumo",_xlfn.XLOOKUP($D4309,Insumos!$B$1:$B$996,Insumos!$D$1:$D$996),"")</f>
        <v/>
      </c>
      <c r="H4309" s="92" t="n">
        <v>1.72</v>
      </c>
      <c r="I4309" s="2162" t="n">
        <v>0</v>
      </c>
      <c r="J4309" s="2162" t="n">
        <v>0</v>
      </c>
      <c r="K4309" s="2162" t="n"/>
    </row>
    <row r="4310" outlineLevel="3" ht="15.75" customHeight="1">
      <c r="A4310" s="10" t="n">
        <v>10</v>
      </c>
      <c r="B4310" s="10" t="inlineStr">
        <is>
          <t>Insumo</t>
        </is>
      </c>
      <c r="C4310" s="10" t="inlineStr">
        <is>
          <t>Junta de movimentação em emboço</t>
        </is>
      </c>
      <c r="D4310" s="10" t="inlineStr">
        <is>
          <t>SELANTE ELASTICO MONOCOMPONENTE A BASE DE POLIURETANO (PU) PARA JUNTAS DIVERSAS</t>
        </is>
      </c>
      <c r="E4310" s="11">
        <f t="array" ref="E4310">_xlfn.XLOOKUP(D4310,Insumos!B:B,Insumos!C:$C)</f>
        <v/>
      </c>
      <c r="F4310" s="14" t="n">
        <v>0.1</v>
      </c>
      <c r="G4310" s="92">
        <f t="array" ref="G4310">IF(B4310="insumo",_xlfn.XLOOKUP($D4310,Insumos!$B$1:$B$996,Insumos!$D$1:$D$996),"")</f>
        <v/>
      </c>
      <c r="H4310" s="92" t="n">
        <v>2.07</v>
      </c>
      <c r="I4310" s="2162" t="n">
        <v>0</v>
      </c>
      <c r="J4310" s="2162" t="n">
        <v>0</v>
      </c>
      <c r="K4310" s="2162" t="n"/>
    </row>
    <row r="4311" outlineLevel="2" ht="15.75" customHeight="1">
      <c r="A4311" s="1067" t="n">
        <v>1</v>
      </c>
      <c r="B4311" s="1067" t="inlineStr">
        <is>
          <t>Serviço</t>
        </is>
      </c>
      <c r="C4311" s="1067" t="inlineStr">
        <is>
          <t>Moldura em EPS fachada - m³</t>
        </is>
      </c>
      <c r="D4311" s="1067" t="inlineStr">
        <is>
          <t>Moldura em EPS fachada - m³</t>
        </is>
      </c>
      <c r="E4311" s="1068" t="inlineStr">
        <is>
          <t>M3</t>
        </is>
      </c>
      <c r="F4311" s="1067" t="n"/>
      <c r="G4311" s="1069">
        <f t="array" ref="G4311">IF(B4311="insumo",_xlfn.XLOOKUP($D4311,Insumos!$B$1:$B$996,Insumos!$D$1:$D$996),"")</f>
        <v/>
      </c>
      <c r="H4311" s="1069" t="n">
        <v>1586.77201515152</v>
      </c>
      <c r="I4311" s="2161" t="n">
        <v>0</v>
      </c>
      <c r="J4311" s="2161" t="n">
        <v>0</v>
      </c>
      <c r="K4311" s="2161" t="n"/>
    </row>
    <row r="4312" outlineLevel="3" ht="15.75" customHeight="1">
      <c r="A4312" s="10" t="n">
        <v>5</v>
      </c>
      <c r="B4312" s="10" t="inlineStr">
        <is>
          <t>Insumo</t>
        </is>
      </c>
      <c r="C4312" s="10" t="inlineStr">
        <is>
          <t>Moldura em EPS fachada - m³</t>
        </is>
      </c>
      <c r="D4312" s="10" t="inlineStr">
        <is>
          <t>Moldura EPS - m³</t>
        </is>
      </c>
      <c r="E4312" s="11">
        <f t="array" ref="E4312">_xlfn.XLOOKUP(D4312,Insumos!B:B,Insumos!C:$C)</f>
        <v/>
      </c>
      <c r="F4312" s="14" t="n">
        <v>1.1</v>
      </c>
      <c r="G4312" s="92">
        <f t="array" ref="G4312">IF(B4312="insumo",_xlfn.XLOOKUP($D4312,Insumos!$B$1:$B$996,Insumos!$D$1:$D$996),"")</f>
        <v/>
      </c>
      <c r="H4312" s="92" t="n">
        <v>1515.15151515152</v>
      </c>
      <c r="I4312" s="2162" t="n">
        <v>0</v>
      </c>
      <c r="J4312" s="2162" t="n">
        <v>0</v>
      </c>
      <c r="K4312" s="2162" t="n"/>
    </row>
    <row r="4313" outlineLevel="3" ht="15.75" customHeight="1">
      <c r="A4313" s="10" t="n">
        <v>191</v>
      </c>
      <c r="B4313" s="10" t="inlineStr">
        <is>
          <t>Insumo</t>
        </is>
      </c>
      <c r="C4313" s="10" t="inlineStr">
        <is>
          <t>Moldura em EPS fachada - m³</t>
        </is>
      </c>
      <c r="D4313" s="10" t="inlineStr">
        <is>
          <t>Argamassa ACIII</t>
        </is>
      </c>
      <c r="E4313" s="11">
        <f t="array" ref="E4313">_xlfn.XLOOKUP(D4313,Insumos!B:B,Insumos!C:$C)</f>
        <v/>
      </c>
      <c r="F4313" s="14" t="n">
        <v>9</v>
      </c>
      <c r="G4313" s="92">
        <f t="array" ref="G4313">IF(B4313="insumo",_xlfn.XLOOKUP($D4313,Insumos!$B$1:$B$996,Insumos!$D$1:$D$996),"")</f>
        <v/>
      </c>
      <c r="H4313" s="92" t="n">
        <v>9.580500000000001</v>
      </c>
      <c r="I4313" s="2162" t="n">
        <v>0</v>
      </c>
      <c r="J4313" s="2162" t="n">
        <v>0</v>
      </c>
      <c r="K4313" s="2162" t="n"/>
    </row>
    <row r="4314" outlineLevel="3" ht="15.75" customHeight="1">
      <c r="A4314" s="10" t="n">
        <v>1</v>
      </c>
      <c r="B4314" s="10" t="inlineStr">
        <is>
          <t>Insumo</t>
        </is>
      </c>
      <c r="C4314" s="10" t="inlineStr">
        <is>
          <t>Moldura em EPS fachada - m³</t>
        </is>
      </c>
      <c r="D4314" s="10" t="inlineStr">
        <is>
          <t>Presilha de fixação Painel Wall EspaçoFix</t>
        </is>
      </c>
      <c r="E4314" s="11">
        <f t="array" ref="E4314">_xlfn.XLOOKUP(D4314,Insumos!B:B,Insumos!C:$C)</f>
        <v/>
      </c>
      <c r="F4314" s="14" t="n">
        <v>12</v>
      </c>
      <c r="G4314" s="92">
        <f t="array" ref="G4314">IF(B4314="insumo",_xlfn.XLOOKUP($D4314,Insumos!$B$1:$B$996,Insumos!$D$1:$D$996),"")</f>
        <v/>
      </c>
      <c r="H4314" s="92" t="n">
        <v>62.04</v>
      </c>
      <c r="I4314" s="2162" t="n">
        <v>0</v>
      </c>
      <c r="J4314" s="2162" t="n">
        <v>0</v>
      </c>
      <c r="K4314" s="2162" t="n"/>
    </row>
    <row r="4315" outlineLevel="2" ht="15.75" customHeight="1">
      <c r="A4315" s="1067" t="n">
        <v>1</v>
      </c>
      <c r="B4315" s="1067" t="inlineStr">
        <is>
          <t>Serviço</t>
        </is>
      </c>
      <c r="C4315" s="1067" t="inlineStr">
        <is>
          <t>Moldura em EPS fachada - Material e Mão de obra</t>
        </is>
      </c>
      <c r="D4315" s="1067" t="inlineStr">
        <is>
          <t>Moldura em EPS fachada - Material e Mão de obra</t>
        </is>
      </c>
      <c r="E4315" s="1068" t="inlineStr">
        <is>
          <t>M2</t>
        </is>
      </c>
      <c r="F4315" s="1067" t="n"/>
      <c r="G4315" s="1069">
        <f t="array" ref="G4315">IF(B4315="insumo",_xlfn.XLOOKUP($D4315,Insumos!$B$1:$B$996,Insumos!$D$1:$D$996),"")</f>
        <v/>
      </c>
      <c r="H4315" s="1069" t="n">
        <v>412.932984848485</v>
      </c>
      <c r="I4315" s="2161" t="e">
        <v>#REF!</v>
      </c>
      <c r="J4315" s="2161" t="e">
        <v>#REF!</v>
      </c>
      <c r="K4315" s="2161" t="n"/>
    </row>
    <row r="4316" outlineLevel="3" ht="15.75" customHeight="1">
      <c r="A4316" s="10" t="n">
        <v>5</v>
      </c>
      <c r="B4316" s="10" t="inlineStr">
        <is>
          <t>Insumo</t>
        </is>
      </c>
      <c r="C4316" s="10" t="inlineStr">
        <is>
          <t>Moldura em EPS fachada - Material e Mão de obra</t>
        </is>
      </c>
      <c r="D4316" s="10" t="inlineStr">
        <is>
          <t>Moldura EPS - m³</t>
        </is>
      </c>
      <c r="E4316" s="11">
        <f t="array" ref="E4316">_xlfn.XLOOKUP(D4316,Insumos!B:B,Insumos!C:$C)</f>
        <v/>
      </c>
      <c r="F4316" s="14">
        <f>1.1/10</f>
        <v/>
      </c>
      <c r="G4316" s="92">
        <f t="array" ref="G4316">IF(B4316="insumo",_xlfn.XLOOKUP($D4316,Insumos!$B$1:$B$996,Insumos!$D$1:$D$996),"")</f>
        <v/>
      </c>
      <c r="H4316" s="92" t="n">
        <v>151.515151515152</v>
      </c>
      <c r="I4316" s="2162" t="e">
        <v>#REF!</v>
      </c>
      <c r="J4316" s="2162" t="e">
        <v>#REF!</v>
      </c>
      <c r="K4316" s="2162" t="n"/>
    </row>
    <row r="4317" outlineLevel="3" ht="15.75" customHeight="1">
      <c r="A4317" s="10" t="n">
        <v>191</v>
      </c>
      <c r="B4317" s="10" t="inlineStr">
        <is>
          <t>Insumo</t>
        </is>
      </c>
      <c r="C4317" s="10" t="inlineStr">
        <is>
          <t>Moldura em EPS fachada - Material e Mão de obra</t>
        </is>
      </c>
      <c r="D4317" s="10" t="inlineStr">
        <is>
          <t>Argamassa ACIII</t>
        </is>
      </c>
      <c r="E4317" s="11">
        <f t="array" ref="E4317">_xlfn.XLOOKUP(D4317,Insumos!B:B,Insumos!C:$C)</f>
        <v/>
      </c>
      <c r="F4317" s="14" t="n">
        <v>9</v>
      </c>
      <c r="G4317" s="92">
        <f t="array" ref="G4317">IF(B4317="insumo",_xlfn.XLOOKUP($D4317,Insumos!$B$1:$B$996,Insumos!$D$1:$D$996),"")</f>
        <v/>
      </c>
      <c r="H4317" s="92" t="n">
        <v>9.580500000000001</v>
      </c>
      <c r="I4317" s="2162" t="e">
        <v>#REF!</v>
      </c>
      <c r="J4317" s="2162" t="e">
        <v>#REF!</v>
      </c>
      <c r="K4317" s="2162" t="n"/>
    </row>
    <row r="4318" outlineLevel="3" ht="15.75" customHeight="1">
      <c r="A4318" s="10" t="n">
        <v>4</v>
      </c>
      <c r="B4318" s="10" t="inlineStr">
        <is>
          <t>Insumo</t>
        </is>
      </c>
      <c r="C4318" s="10" t="inlineStr">
        <is>
          <t>Moldura em EPS fachada - Material e Mão de obra</t>
        </is>
      </c>
      <c r="D4318" s="10" t="inlineStr">
        <is>
          <t>Massa cimentícia armada</t>
        </is>
      </c>
      <c r="E4318" s="11">
        <f t="array" ref="E4318">_xlfn.XLOOKUP(D4318,Insumos!B:B,Insumos!C:$C)</f>
        <v/>
      </c>
      <c r="F4318" s="14" t="n">
        <v>5</v>
      </c>
      <c r="G4318" s="92">
        <f t="array" ref="G4318">IF(B4318="insumo",_xlfn.XLOOKUP($D4318,Insumos!$B$1:$B$996,Insumos!$D$1:$D$996),"")</f>
        <v/>
      </c>
      <c r="H4318" s="92" t="n">
        <v>91.6333333333333</v>
      </c>
      <c r="I4318" s="2162" t="e">
        <v>#REF!</v>
      </c>
      <c r="J4318" s="2162" t="e">
        <v>#REF!</v>
      </c>
      <c r="K4318" s="2162" t="n"/>
    </row>
    <row r="4319" outlineLevel="3" ht="15.75" customHeight="1">
      <c r="A4319" s="10" t="n">
        <v>5</v>
      </c>
      <c r="B4319" s="10" t="inlineStr">
        <is>
          <t>Insumo</t>
        </is>
      </c>
      <c r="C4319" s="10" t="inlineStr">
        <is>
          <t>Moldura em EPS fachada - Material e Mão de obra</t>
        </is>
      </c>
      <c r="D4319" s="10" t="inlineStr">
        <is>
          <t>Tela de Fibra de Vidro</t>
        </is>
      </c>
      <c r="E4319" s="11">
        <f t="array" ref="E4319">_xlfn.XLOOKUP(D4319,Insumos!B:B,Insumos!C:$C)</f>
        <v/>
      </c>
      <c r="F4319" s="14" t="n">
        <v>1.1</v>
      </c>
      <c r="G4319" s="92">
        <f t="array" ref="G4319">IF(B4319="insumo",_xlfn.XLOOKUP($D4319,Insumos!$B$1:$B$996,Insumos!$D$1:$D$996),"")</f>
        <v/>
      </c>
      <c r="H4319" s="92" t="n">
        <v>8.91</v>
      </c>
      <c r="I4319" s="2162" t="e">
        <v>#REF!</v>
      </c>
      <c r="J4319" s="2162" t="e">
        <v>#REF!</v>
      </c>
      <c r="K4319" s="2162" t="n"/>
    </row>
    <row r="4320" outlineLevel="3" ht="15.75" customHeight="1">
      <c r="A4320" s="10" t="n">
        <v>31</v>
      </c>
      <c r="B4320" s="10" t="inlineStr">
        <is>
          <t>Insumo</t>
        </is>
      </c>
      <c r="C4320" s="10" t="inlineStr">
        <is>
          <t>Moldura em EPS fachada - Material e Mão de obra</t>
        </is>
      </c>
      <c r="D4320" s="10" t="inlineStr">
        <is>
          <t>Selador acrilico opaco premium interno/externo</t>
        </is>
      </c>
      <c r="E4320" s="11">
        <f t="array" ref="E4320">_xlfn.XLOOKUP(D4320,Insumos!B:B,Insumos!C:$C)</f>
        <v/>
      </c>
      <c r="F4320" s="14" t="n">
        <v>0.2</v>
      </c>
      <c r="G4320" s="92">
        <f t="array" ref="G4320">IF(B4320="insumo",_xlfn.XLOOKUP($D4320,Insumos!$B$1:$B$996,Insumos!$D$1:$D$996),"")</f>
        <v/>
      </c>
      <c r="H4320" s="92" t="n">
        <v>1.294</v>
      </c>
      <c r="I4320" s="2162" t="e">
        <v>#REF!</v>
      </c>
      <c r="J4320" s="2162" t="e">
        <v>#REF!</v>
      </c>
      <c r="K4320" s="2162" t="n"/>
    </row>
    <row r="4321" outlineLevel="3" ht="15.75" customHeight="1">
      <c r="A4321" s="10" t="n">
        <v>1</v>
      </c>
      <c r="B4321" s="10" t="inlineStr">
        <is>
          <t>Insumo</t>
        </is>
      </c>
      <c r="C4321" s="10" t="inlineStr">
        <is>
          <t>Moldura em EPS fachada - Material e Mão de obra</t>
        </is>
      </c>
      <c r="D4321" s="10" t="inlineStr">
        <is>
          <t>Mão de obra para execução de m2 de moldura de eps</t>
        </is>
      </c>
      <c r="E4321" s="11">
        <f t="array" ref="E4321">_xlfn.XLOOKUP(D4321,Insumos!B:B,Insumos!C:$C)</f>
        <v/>
      </c>
      <c r="F4321" s="14" t="n">
        <v>1</v>
      </c>
      <c r="G4321" s="92">
        <f t="array" ref="G4321">IF(B4321="insumo",_xlfn.XLOOKUP($D4321,Insumos!$B$1:$B$996,Insumos!$D$1:$D$996),"")</f>
        <v/>
      </c>
      <c r="H4321" s="92" t="n">
        <v>150</v>
      </c>
      <c r="I4321" s="2162" t="e">
        <v>#REF!</v>
      </c>
      <c r="J4321" s="2162" t="e">
        <v>#REF!</v>
      </c>
      <c r="K4321" s="2162" t="n"/>
    </row>
    <row r="4322" outlineLevel="1" ht="15.75" customHeight="1">
      <c r="A4322" s="1090" t="n">
        <v>1</v>
      </c>
      <c r="B4322" s="1090" t="inlineStr">
        <is>
          <t>Subetapa</t>
        </is>
      </c>
      <c r="C4322" s="1090" t="inlineStr">
        <is>
          <t>Moldura em EPS fachada - Material e Mão de obra</t>
        </is>
      </c>
      <c r="D4322" s="1090" t="inlineStr">
        <is>
          <t>REVESTIMENTO CERAMICO E PORCELANATO</t>
        </is>
      </c>
      <c r="E4322" s="1091" t="n"/>
      <c r="F4322" s="2160" t="n"/>
      <c r="G4322" s="1091" t="n"/>
      <c r="H4322" s="1091" t="n">
        <v>0</v>
      </c>
      <c r="I4322" s="2160" t="n">
        <v>0</v>
      </c>
      <c r="J4322" s="2160" t="n">
        <v>0</v>
      </c>
      <c r="K4322" s="2160" t="n"/>
    </row>
    <row r="4323" outlineLevel="2" ht="15.75" customHeight="1">
      <c r="A4323" s="1067" t="n">
        <v>1</v>
      </c>
      <c r="B4323" s="1067" t="inlineStr">
        <is>
          <t>Serviço</t>
        </is>
      </c>
      <c r="C4323" s="1067" t="inlineStr">
        <is>
          <t>Revestimento em cerâmica, rejunte acrilico, aplicação em Fachada</t>
        </is>
      </c>
      <c r="D4323" s="1067" t="inlineStr">
        <is>
          <t>Revestimento em cerâmica, rejunte acrilico, aplicação em Fachada</t>
        </is>
      </c>
      <c r="E4323" s="1068" t="inlineStr">
        <is>
          <t>M2</t>
        </is>
      </c>
      <c r="F4323" s="1067" t="n"/>
      <c r="G4323" s="1069">
        <f t="array" ref="G4323">IF(B4323="insumo",_xlfn.XLOOKUP($D4323,Insumos!$B$1:$B$996,Insumos!$D$1:$D$996),"")</f>
        <v/>
      </c>
      <c r="H4323" s="1069" t="n">
        <v>28.4506</v>
      </c>
      <c r="I4323" s="2161" t="n">
        <v>0</v>
      </c>
      <c r="J4323" s="2161" t="n">
        <v>0</v>
      </c>
      <c r="K4323" s="2161" t="n"/>
    </row>
    <row r="4324" outlineLevel="3" ht="15.75" customHeight="1">
      <c r="A4324" s="10" t="n">
        <v>1</v>
      </c>
      <c r="B4324" s="10" t="inlineStr">
        <is>
          <t>Insumo</t>
        </is>
      </c>
      <c r="C4324" s="10" t="inlineStr">
        <is>
          <t>Revestimento em cerâmica, rejunte acrilico, aplicação em Fachada</t>
        </is>
      </c>
      <c r="D4324" s="10" t="inlineStr">
        <is>
          <t>Piso Firenze Texas Gray Área Externa Classe A 60 x 60 Cm</t>
        </is>
      </c>
      <c r="E4324" s="11">
        <f t="array" ref="E4324">_xlfn.XLOOKUP(D4324,Insumos!B:B,Insumos!C:$C)</f>
        <v/>
      </c>
      <c r="F4324" s="14" t="n">
        <v>1.1</v>
      </c>
      <c r="G4324" s="92">
        <f t="array" ref="G4324">IF(B4324="insumo",_xlfn.XLOOKUP($D4324,Insumos!$B$1:$B$996,Insumos!$D$1:$D$996),"")</f>
        <v/>
      </c>
      <c r="H4324" s="92" t="n">
        <v>18.7</v>
      </c>
      <c r="I4324" s="2162" t="n">
        <v>0</v>
      </c>
      <c r="J4324" s="2162" t="n">
        <v>0</v>
      </c>
      <c r="K4324" s="2162" t="n"/>
    </row>
    <row r="4325" outlineLevel="3" ht="15.75" customHeight="1">
      <c r="A4325" s="10" t="n">
        <v>191</v>
      </c>
      <c r="B4325" s="10" t="inlineStr">
        <is>
          <t>Insumo</t>
        </is>
      </c>
      <c r="C4325" s="10" t="inlineStr">
        <is>
          <t>Revestimento em cerâmica, rejunte acrilico, aplicação em Fachada</t>
        </is>
      </c>
      <c r="D4325" s="10" t="inlineStr">
        <is>
          <t>Argamassa ACIII</t>
        </is>
      </c>
      <c r="E4325" s="11">
        <f t="array" ref="E4325">_xlfn.XLOOKUP(D4325,Insumos!B:B,Insumos!C:$C)</f>
        <v/>
      </c>
      <c r="F4325" s="14" t="n">
        <v>8.800000000000001</v>
      </c>
      <c r="G4325" s="92">
        <f t="array" ref="G4325">IF(B4325="insumo",_xlfn.XLOOKUP($D4325,Insumos!$B$1:$B$996,Insumos!$D$1:$D$996),"")</f>
        <v/>
      </c>
      <c r="H4325" s="92" t="n">
        <v>9.367599999999999</v>
      </c>
      <c r="I4325" s="2162" t="n">
        <v>0</v>
      </c>
      <c r="J4325" s="2162" t="n">
        <v>0</v>
      </c>
      <c r="K4325" s="2162" t="n"/>
    </row>
    <row r="4326" outlineLevel="3" ht="15.75" customHeight="1">
      <c r="A4326" s="10" t="n">
        <v>142</v>
      </c>
      <c r="B4326" s="10" t="inlineStr">
        <is>
          <t>Insumo</t>
        </is>
      </c>
      <c r="C4326" s="10" t="inlineStr">
        <is>
          <t>Revestimento em cerâmica, rejunte acrilico, aplicação em Fachada</t>
        </is>
      </c>
      <c r="D4326" s="10" t="inlineStr">
        <is>
          <t>Espeçador junta piso 2mm</t>
        </is>
      </c>
      <c r="E4326" s="11">
        <f t="array" ref="E4326">_xlfn.XLOOKUP(D4326,Insumos!B:B,Insumos!C:$C)</f>
        <v/>
      </c>
      <c r="F4326" s="14" t="n">
        <v>2</v>
      </c>
      <c r="G4326" s="92">
        <f t="array" ref="G4326">IF(B4326="insumo",_xlfn.XLOOKUP($D4326,Insumos!$B$1:$B$996,Insumos!$D$1:$D$996),"")</f>
        <v/>
      </c>
      <c r="H4326" s="92" t="n">
        <v>0.16</v>
      </c>
      <c r="I4326" s="2162" t="n">
        <v>0</v>
      </c>
      <c r="J4326" s="2162" t="n">
        <v>0</v>
      </c>
      <c r="K4326" s="2162" t="n"/>
    </row>
    <row r="4327" outlineLevel="3" ht="15.75" customHeight="1">
      <c r="A4327" s="10" t="n">
        <v>101</v>
      </c>
      <c r="B4327" s="10" t="inlineStr">
        <is>
          <t>Insumo</t>
        </is>
      </c>
      <c r="C4327" s="10" t="inlineStr">
        <is>
          <t>Revestimento em cerâmica, rejunte acrilico, aplicação em Fachada</t>
        </is>
      </c>
      <c r="D4327" s="10" t="inlineStr">
        <is>
          <t>Rejunte Cimentício</t>
        </is>
      </c>
      <c r="E4327" s="11">
        <f t="array" ref="E4327">_xlfn.XLOOKUP(D4327,Insumos!B:B,Insumos!C:$C)</f>
        <v/>
      </c>
      <c r="F4327" s="14" t="n">
        <v>0.02</v>
      </c>
      <c r="G4327" s="92">
        <f t="array" ref="G4327">IF(B4327="insumo",_xlfn.XLOOKUP($D4327,Insumos!$B$1:$B$996,Insumos!$D$1:$D$996),"")</f>
        <v/>
      </c>
      <c r="H4327" s="92" t="n">
        <v>0.223</v>
      </c>
      <c r="I4327" s="2162" t="n">
        <v>0</v>
      </c>
      <c r="J4327" s="2162" t="n">
        <v>0</v>
      </c>
      <c r="K4327" s="2162" t="n"/>
    </row>
    <row r="4328" outlineLevel="2" ht="15.75" customHeight="1">
      <c r="A4328" s="1067" t="n">
        <v>1</v>
      </c>
      <c r="B4328" s="1067" t="inlineStr">
        <is>
          <t>Serviço</t>
        </is>
      </c>
      <c r="C4328" s="1067" t="inlineStr">
        <is>
          <t xml:space="preserve">Revestimento em Pastilhas Cerâmicas Para Fachada com Junta de 3mm </t>
        </is>
      </c>
      <c r="D4328" s="1067" t="inlineStr">
        <is>
          <t xml:space="preserve">Revestimento em Pastilhas Cerâmicas Para Fachada com Junta de 3mm </t>
        </is>
      </c>
      <c r="E4328" s="1068" t="inlineStr">
        <is>
          <t>M2</t>
        </is>
      </c>
      <c r="F4328" s="1067" t="n"/>
      <c r="G4328" s="1069">
        <f t="array" ref="G4328">IF(B4328="insumo",_xlfn.XLOOKUP($D4328,Insumos!$B$1:$B$996,Insumos!$D$1:$D$996),"")</f>
        <v/>
      </c>
      <c r="H4328" s="1069" t="n">
        <v>156.1655</v>
      </c>
      <c r="I4328" s="2161" t="n">
        <v>0</v>
      </c>
      <c r="J4328" s="2161" t="n">
        <v>0</v>
      </c>
      <c r="K4328" s="2161" t="n"/>
    </row>
    <row r="4329" outlineLevel="3" ht="15.75" customHeight="1">
      <c r="A4329" s="10" t="n">
        <v>3</v>
      </c>
      <c r="B4329" s="10" t="inlineStr">
        <is>
          <t>Insumo</t>
        </is>
      </c>
      <c r="C4329" s="10" t="inlineStr">
        <is>
          <t xml:space="preserve">Revestimento em Pastilhas Cerâmicas Para Fachada com Junta de 3mm </t>
        </is>
      </c>
      <c r="D4329" s="10" t="inlineStr">
        <is>
          <t>Revestimento Pastilha 14,5x14,5cm</t>
        </is>
      </c>
      <c r="E4329" s="11">
        <f t="array" ref="E4329">_xlfn.XLOOKUP(D4329,Insumos!B:B,Insumos!C:$C)</f>
        <v/>
      </c>
      <c r="F4329" s="14" t="n">
        <v>1.1</v>
      </c>
      <c r="G4329" s="92">
        <f t="array" ref="G4329">IF(B4329="insumo",_xlfn.XLOOKUP($D4329,Insumos!$B$1:$B$996,Insumos!$D$1:$D$996),"")</f>
        <v/>
      </c>
      <c r="H4329" s="92" t="n">
        <v>140.69</v>
      </c>
      <c r="I4329" s="2162" t="n">
        <v>0</v>
      </c>
      <c r="J4329" s="2162" t="n">
        <v>0</v>
      </c>
      <c r="K4329" s="2162" t="n"/>
    </row>
    <row r="4330" outlineLevel="3" ht="15.75" customHeight="1">
      <c r="A4330" s="10" t="n">
        <v>191</v>
      </c>
      <c r="B4330" s="10" t="inlineStr">
        <is>
          <t>Insumo</t>
        </is>
      </c>
      <c r="C4330" s="10" t="inlineStr">
        <is>
          <t xml:space="preserve">Revestimento em Pastilhas Cerâmicas Para Fachada com Junta de 3mm </t>
        </is>
      </c>
      <c r="D4330" s="10" t="inlineStr">
        <is>
          <t>Argamassa ACIII</t>
        </is>
      </c>
      <c r="E4330" s="11">
        <f t="array" ref="E4330">_xlfn.XLOOKUP(D4330,Insumos!B:B,Insumos!C:$C)</f>
        <v/>
      </c>
      <c r="F4330" s="14" t="n">
        <v>9</v>
      </c>
      <c r="G4330" s="92">
        <f t="array" ref="G4330">IF(B4330="insumo",_xlfn.XLOOKUP($D4330,Insumos!$B$1:$B$996,Insumos!$D$1:$D$996),"")</f>
        <v/>
      </c>
      <c r="H4330" s="92" t="n">
        <v>9.580500000000001</v>
      </c>
      <c r="I4330" s="2162" t="n">
        <v>0</v>
      </c>
      <c r="J4330" s="2162" t="n">
        <v>0</v>
      </c>
      <c r="K4330" s="2162" t="n"/>
    </row>
    <row r="4331" outlineLevel="3" ht="15.75" customHeight="1">
      <c r="A4331" s="10" t="n">
        <v>142</v>
      </c>
      <c r="B4331" s="10" t="inlineStr">
        <is>
          <t>Insumo</t>
        </is>
      </c>
      <c r="C4331" s="10" t="inlineStr">
        <is>
          <t xml:space="preserve">Revestimento em Pastilhas Cerâmicas Para Fachada com Junta de 3mm </t>
        </is>
      </c>
      <c r="D4331" s="10" t="inlineStr">
        <is>
          <t>Espeçador junta piso 2mm</t>
        </is>
      </c>
      <c r="E4331" s="11">
        <f t="array" ref="E4331">_xlfn.XLOOKUP(D4331,Insumos!B:B,Insumos!C:$C)</f>
        <v/>
      </c>
      <c r="F4331" s="14" t="n">
        <v>4</v>
      </c>
      <c r="G4331" s="92">
        <f t="array" ref="G4331">IF(B4331="insumo",_xlfn.XLOOKUP($D4331,Insumos!$B$1:$B$996,Insumos!$D$1:$D$996),"")</f>
        <v/>
      </c>
      <c r="H4331" s="92" t="n">
        <v>0.32</v>
      </c>
      <c r="I4331" s="2162" t="n">
        <v>0</v>
      </c>
      <c r="J4331" s="2162" t="n">
        <v>0</v>
      </c>
      <c r="K4331" s="2162" t="n"/>
    </row>
    <row r="4332" outlineLevel="3" ht="15.75" customHeight="1">
      <c r="A4332" s="10" t="n">
        <v>101</v>
      </c>
      <c r="B4332" s="10" t="inlineStr">
        <is>
          <t>Insumo</t>
        </is>
      </c>
      <c r="C4332" s="10" t="inlineStr">
        <is>
          <t xml:space="preserve">Revestimento em Pastilhas Cerâmicas Para Fachada com Junta de 3mm </t>
        </is>
      </c>
      <c r="D4332" s="10" t="inlineStr">
        <is>
          <t>Rejunte Cimentício</t>
        </is>
      </c>
      <c r="E4332" s="11">
        <f t="array" ref="E4332">_xlfn.XLOOKUP(D4332,Insumos!B:B,Insumos!C:$C)</f>
        <v/>
      </c>
      <c r="F4332" s="14" t="n">
        <v>0.5</v>
      </c>
      <c r="G4332" s="92">
        <f t="array" ref="G4332">IF(B4332="insumo",_xlfn.XLOOKUP($D4332,Insumos!$B$1:$B$996,Insumos!$D$1:$D$996),"")</f>
        <v/>
      </c>
      <c r="H4332" s="92" t="n">
        <v>5.575</v>
      </c>
      <c r="I4332" s="2162" t="n">
        <v>0</v>
      </c>
      <c r="J4332" s="2162" t="n">
        <v>0</v>
      </c>
      <c r="K4332" s="2162" t="n"/>
    </row>
    <row r="4333" outlineLevel="2" ht="15.75" customHeight="1">
      <c r="A4333" s="1067" t="n">
        <v>1</v>
      </c>
      <c r="B4333" s="1067" t="inlineStr">
        <is>
          <t>Serviço</t>
        </is>
      </c>
      <c r="C4333" s="1067" t="inlineStr">
        <is>
          <t>Revestimento em Porcelanato amadeirado, rejunte cimentício, aplicação em Fachada</t>
        </is>
      </c>
      <c r="D4333" s="1067" t="inlineStr">
        <is>
          <t>Revestimento em Porcelanato amadeirado, rejunte cimentício, aplicação em Fachada</t>
        </is>
      </c>
      <c r="E4333" s="1068" t="inlineStr">
        <is>
          <t>M2</t>
        </is>
      </c>
      <c r="F4333" s="1067" t="n"/>
      <c r="G4333" s="1069">
        <f t="array" ref="G4333">IF(B4333="insumo",_xlfn.XLOOKUP($D4333,Insumos!$B$1:$B$996,Insumos!$D$1:$D$996),"")</f>
        <v/>
      </c>
      <c r="H4333" s="1069" t="n">
        <v>136.3545</v>
      </c>
      <c r="I4333" s="2161" t="n">
        <v>0</v>
      </c>
      <c r="J4333" s="2161" t="n">
        <v>0</v>
      </c>
      <c r="K4333" s="2161" t="n"/>
    </row>
    <row r="4334" outlineLevel="3" ht="15.75" customHeight="1">
      <c r="A4334" s="10" t="n">
        <v>2</v>
      </c>
      <c r="B4334" s="10" t="inlineStr">
        <is>
          <t>Insumo</t>
        </is>
      </c>
      <c r="C4334" s="10" t="inlineStr">
        <is>
          <t>Revestimento em Porcelanato amadeirado, rejunte cimentício, aplicação em Fachada</t>
        </is>
      </c>
      <c r="D4334" s="10" t="inlineStr">
        <is>
          <t>Porcelanato Amadeirado Acetinado 19x117cm</t>
        </is>
      </c>
      <c r="E4334" s="11">
        <f t="array" ref="E4334">_xlfn.XLOOKUP(D4334,Insumos!B:B,Insumos!C:$C)</f>
        <v/>
      </c>
      <c r="F4334" s="14" t="n">
        <v>1.1</v>
      </c>
      <c r="G4334" s="92">
        <f t="array" ref="G4334">IF(B4334="insumo",_xlfn.XLOOKUP($D4334,Insumos!$B$1:$B$996,Insumos!$D$1:$D$996),"")</f>
        <v/>
      </c>
      <c r="H4334" s="92" t="n">
        <v>120.879</v>
      </c>
      <c r="I4334" s="2162" t="n">
        <v>0</v>
      </c>
      <c r="J4334" s="2162" t="n">
        <v>0</v>
      </c>
      <c r="K4334" s="2162" t="n"/>
    </row>
    <row r="4335" outlineLevel="3" ht="15.75" customHeight="1">
      <c r="A4335" s="10" t="n">
        <v>191</v>
      </c>
      <c r="B4335" s="10" t="inlineStr">
        <is>
          <t>Insumo</t>
        </is>
      </c>
      <c r="C4335" s="10" t="inlineStr">
        <is>
          <t>Revestimento em Porcelanato amadeirado, rejunte cimentício, aplicação em Fachada</t>
        </is>
      </c>
      <c r="D4335" s="10" t="inlineStr">
        <is>
          <t>Argamassa ACIII</t>
        </is>
      </c>
      <c r="E4335" s="11">
        <f t="array" ref="E4335">_xlfn.XLOOKUP(D4335,Insumos!B:B,Insumos!C:$C)</f>
        <v/>
      </c>
      <c r="F4335" s="14" t="n">
        <v>9</v>
      </c>
      <c r="G4335" s="92">
        <f t="array" ref="G4335">IF(B4335="insumo",_xlfn.XLOOKUP($D4335,Insumos!$B$1:$B$996,Insumos!$D$1:$D$996),"")</f>
        <v/>
      </c>
      <c r="H4335" s="92" t="n">
        <v>9.580500000000001</v>
      </c>
      <c r="I4335" s="2162" t="n">
        <v>0</v>
      </c>
      <c r="J4335" s="2162" t="n">
        <v>0</v>
      </c>
      <c r="K4335" s="2162" t="n"/>
    </row>
    <row r="4336" outlineLevel="3" ht="15.75" customHeight="1">
      <c r="A4336" s="10" t="n">
        <v>142</v>
      </c>
      <c r="B4336" s="10" t="inlineStr">
        <is>
          <t>Insumo</t>
        </is>
      </c>
      <c r="C4336" s="10" t="inlineStr">
        <is>
          <t>Revestimento em Porcelanato amadeirado, rejunte cimentício, aplicação em Fachada</t>
        </is>
      </c>
      <c r="D4336" s="10" t="inlineStr">
        <is>
          <t>Espeçador junta piso 2mm</t>
        </is>
      </c>
      <c r="E4336" s="11">
        <f t="array" ref="E4336">_xlfn.XLOOKUP(D4336,Insumos!B:B,Insumos!C:$C)</f>
        <v/>
      </c>
      <c r="F4336" s="14" t="n">
        <v>4</v>
      </c>
      <c r="G4336" s="92">
        <f t="array" ref="G4336">IF(B4336="insumo",_xlfn.XLOOKUP($D4336,Insumos!$B$1:$B$996,Insumos!$D$1:$D$996),"")</f>
        <v/>
      </c>
      <c r="H4336" s="92" t="n">
        <v>0.32</v>
      </c>
      <c r="I4336" s="2162" t="n">
        <v>0</v>
      </c>
      <c r="J4336" s="2162" t="n">
        <v>0</v>
      </c>
      <c r="K4336" s="2162" t="n"/>
    </row>
    <row r="4337" outlineLevel="3" ht="15.75" customHeight="1">
      <c r="A4337" s="10" t="n">
        <v>101</v>
      </c>
      <c r="B4337" s="10" t="inlineStr">
        <is>
          <t>Insumo</t>
        </is>
      </c>
      <c r="C4337" s="10" t="inlineStr">
        <is>
          <t>Revestimento em Porcelanato amadeirado, rejunte cimentício, aplicação em Fachada</t>
        </is>
      </c>
      <c r="D4337" s="10" t="inlineStr">
        <is>
          <t>Rejunte Cimentício</t>
        </is>
      </c>
      <c r="E4337" s="11">
        <f t="array" ref="E4337">_xlfn.XLOOKUP(D4337,Insumos!B:B,Insumos!C:$C)</f>
        <v/>
      </c>
      <c r="F4337" s="14" t="n">
        <v>0.5</v>
      </c>
      <c r="G4337" s="92">
        <f t="array" ref="G4337">IF(B4337="insumo",_xlfn.XLOOKUP($D4337,Insumos!$B$1:$B$996,Insumos!$D$1:$D$996),"")</f>
        <v/>
      </c>
      <c r="H4337" s="92" t="n">
        <v>5.575</v>
      </c>
      <c r="I4337" s="2162" t="n">
        <v>0</v>
      </c>
      <c r="J4337" s="2162" t="n">
        <v>0</v>
      </c>
      <c r="K4337" s="2162" t="n"/>
    </row>
    <row r="4338" outlineLevel="2" ht="15.75" customHeight="1">
      <c r="A4338" s="1067" t="n">
        <v>1</v>
      </c>
      <c r="B4338" s="1067" t="inlineStr">
        <is>
          <t>Serviço</t>
        </is>
      </c>
      <c r="C4338" s="1067" t="inlineStr">
        <is>
          <t>Revestimento em Porcelanato Portinari Natura OFW - 100 x 100 cm , rejunte cimentício, aplicação em Fachada</t>
        </is>
      </c>
      <c r="D4338" s="1067" t="inlineStr">
        <is>
          <t>Revestimento em Porcelanato Portinari Natura OFW - 100 x 100 cm , rejunte cimentício, aplicação em Fachada</t>
        </is>
      </c>
      <c r="E4338" s="1068" t="inlineStr">
        <is>
          <t>M2</t>
        </is>
      </c>
      <c r="F4338" s="1067" t="n"/>
      <c r="G4338" s="1069">
        <f t="array" ref="G4338">IF(B4338="insumo",_xlfn.XLOOKUP($D4338,Insumos!$B$1:$B$996,Insumos!$D$1:$D$996),"")</f>
        <v/>
      </c>
      <c r="H4338" s="1069" t="n">
        <v>420.0756</v>
      </c>
      <c r="I4338" s="2161" t="n">
        <v>0</v>
      </c>
      <c r="J4338" s="2161" t="n">
        <v>0</v>
      </c>
      <c r="K4338" s="2161" t="n"/>
    </row>
    <row r="4339" outlineLevel="3" ht="15.75" customHeight="1">
      <c r="A4339" s="10" t="n">
        <v>1</v>
      </c>
      <c r="B4339" s="10" t="inlineStr">
        <is>
          <t>Insumo</t>
        </is>
      </c>
      <c r="C4339" s="10" t="inlineStr">
        <is>
          <t>Revestimento em Porcelanato Portinari Natura OFW - 100 x 100 cm , rejunte cimentício, aplicação em Fachada</t>
        </is>
      </c>
      <c r="D4339" s="10" t="inlineStr">
        <is>
          <t>Porcelanato Natural Portinari Neutral OFW "A" 100x100cm</t>
        </is>
      </c>
      <c r="E4339" s="11">
        <f t="array" ref="E4339">_xlfn.XLOOKUP(D4339,Insumos!B:B,Insumos!C:$C)</f>
        <v/>
      </c>
      <c r="F4339" s="14" t="n">
        <v>1.1</v>
      </c>
      <c r="G4339" s="92">
        <f t="array" ref="G4339">IF(B4339="insumo",_xlfn.XLOOKUP($D4339,Insumos!$B$1:$B$996,Insumos!$D$1:$D$996),"")</f>
        <v/>
      </c>
      <c r="H4339" s="92" t="n">
        <v>410.19</v>
      </c>
      <c r="I4339" s="2162" t="n">
        <v>0</v>
      </c>
      <c r="J4339" s="2162" t="n">
        <v>0</v>
      </c>
      <c r="K4339" s="2162" t="n"/>
    </row>
    <row r="4340" outlineLevel="3" ht="15.75" customHeight="1">
      <c r="A4340" s="10" t="n">
        <v>191</v>
      </c>
      <c r="B4340" s="10" t="inlineStr">
        <is>
          <t>Insumo</t>
        </is>
      </c>
      <c r="C4340" s="10" t="inlineStr">
        <is>
          <t>Revestimento em Porcelanato Portinari Natura OFW - 100 x 100 cm , rejunte cimentício, aplicação em Fachada</t>
        </is>
      </c>
      <c r="D4340" s="10" t="inlineStr">
        <is>
          <t>Argamassa ACIII</t>
        </is>
      </c>
      <c r="E4340" s="11">
        <f t="array" ref="E4340">_xlfn.XLOOKUP(D4340,Insumos!B:B,Insumos!C:$C)</f>
        <v/>
      </c>
      <c r="F4340" s="14" t="n">
        <v>8.800000000000001</v>
      </c>
      <c r="G4340" s="92">
        <f t="array" ref="G4340">IF(B4340="insumo",_xlfn.XLOOKUP($D4340,Insumos!$B$1:$B$996,Insumos!$D$1:$D$996),"")</f>
        <v/>
      </c>
      <c r="H4340" s="92" t="n">
        <v>9.367599999999999</v>
      </c>
      <c r="I4340" s="2162" t="n">
        <v>0</v>
      </c>
      <c r="J4340" s="2162" t="n">
        <v>0</v>
      </c>
      <c r="K4340" s="2162" t="n"/>
    </row>
    <row r="4341" outlineLevel="3" ht="15.75" customHeight="1">
      <c r="A4341" s="10" t="n">
        <v>142</v>
      </c>
      <c r="B4341" s="10" t="inlineStr">
        <is>
          <t>Insumo</t>
        </is>
      </c>
      <c r="C4341" s="10" t="inlineStr">
        <is>
          <t>Revestimento em Porcelanato Portinari Natura OFW - 100 x 100 cm , rejunte cimentício, aplicação em Fachada</t>
        </is>
      </c>
      <c r="D4341" s="10" t="inlineStr">
        <is>
          <t>Espeçador junta piso 2mm</t>
        </is>
      </c>
      <c r="E4341" s="11">
        <f t="array" ref="E4341">_xlfn.XLOOKUP(D4341,Insumos!B:B,Insumos!C:$C)</f>
        <v/>
      </c>
      <c r="F4341" s="14" t="n">
        <v>1</v>
      </c>
      <c r="G4341" s="92">
        <f t="array" ref="G4341">IF(B4341="insumo",_xlfn.XLOOKUP($D4341,Insumos!$B$1:$B$996,Insumos!$D$1:$D$996),"")</f>
        <v/>
      </c>
      <c r="H4341" s="92" t="n">
        <v>0.08</v>
      </c>
      <c r="I4341" s="2162" t="n">
        <v>0</v>
      </c>
      <c r="J4341" s="2162" t="n">
        <v>0</v>
      </c>
      <c r="K4341" s="2162" t="n"/>
    </row>
    <row r="4342" outlineLevel="3" ht="15.75" customHeight="1">
      <c r="A4342" s="10" t="n">
        <v>22</v>
      </c>
      <c r="B4342" s="10" t="inlineStr">
        <is>
          <t>Insumo</t>
        </is>
      </c>
      <c r="C4342" s="10" t="inlineStr">
        <is>
          <t>Revestimento em Porcelanato Portinari Natura OFW - 100 x 100 cm , rejunte cimentício, aplicação em Fachada</t>
        </is>
      </c>
      <c r="D4342" s="10" t="inlineStr">
        <is>
          <t>Rejunte Acrilico</t>
        </is>
      </c>
      <c r="E4342" s="11">
        <f t="array" ref="E4342">_xlfn.XLOOKUP(D4342,Insumos!B:B,Insumos!C:$C)</f>
        <v/>
      </c>
      <c r="F4342" s="14" t="n">
        <v>0.01</v>
      </c>
      <c r="G4342" s="92">
        <f t="array" ref="G4342">IF(B4342="insumo",_xlfn.XLOOKUP($D4342,Insumos!$B$1:$B$996,Insumos!$D$1:$D$996),"")</f>
        <v/>
      </c>
      <c r="H4342" s="92" t="n">
        <v>0.438</v>
      </c>
      <c r="I4342" s="2162" t="n">
        <v>0</v>
      </c>
      <c r="J4342" s="2162" t="n">
        <v>0</v>
      </c>
      <c r="K4342" s="2162" t="n"/>
    </row>
    <row r="4343" outlineLevel="2" ht="15.75" customHeight="1">
      <c r="A4343" s="1067" t="n">
        <v>1</v>
      </c>
      <c r="B4343" s="1067" t="inlineStr">
        <is>
          <t>Serviço</t>
        </is>
      </c>
      <c r="C4343" s="1067" t="inlineStr">
        <is>
          <t>Revestimento em Porcelanato amadeirado, rejunte acrilico, aplicação em Fachada</t>
        </is>
      </c>
      <c r="D4343" s="1067" t="inlineStr">
        <is>
          <t>Revestimento em Porcelanato amadeirado, rejunte acrilico, aplicação em Fachada</t>
        </is>
      </c>
      <c r="E4343" s="1068" t="inlineStr">
        <is>
          <t>M2</t>
        </is>
      </c>
      <c r="F4343" s="1067" t="n"/>
      <c r="G4343" s="1069">
        <f t="array" ref="G4343">IF(B4343="insumo",_xlfn.XLOOKUP($D4343,Insumos!$B$1:$B$996,Insumos!$D$1:$D$996),"")</f>
        <v/>
      </c>
      <c r="H4343" s="1069" t="n">
        <v>191.2506</v>
      </c>
      <c r="I4343" s="2161" t="n">
        <v>0</v>
      </c>
      <c r="J4343" s="2161" t="n">
        <v>0</v>
      </c>
      <c r="K4343" s="2161" t="n"/>
    </row>
    <row r="4344" outlineLevel="3" ht="15.75" customHeight="1">
      <c r="A4344" s="10" t="n">
        <v>1</v>
      </c>
      <c r="B4344" s="10" t="inlineStr">
        <is>
          <t>Insumo</t>
        </is>
      </c>
      <c r="C4344" s="10" t="inlineStr">
        <is>
          <t>Revestimento em Porcelanato amadeirado, rejunte acrilico, aplicação em Fachada</t>
        </is>
      </c>
      <c r="D4344" s="10" t="inlineStr">
        <is>
          <t>Porcelanato Canela Dourada Retificado Natural 20x120</t>
        </is>
      </c>
      <c r="E4344" s="11">
        <f t="array" ref="E4344">_xlfn.XLOOKUP(D4344,Insumos!B:B,Insumos!C:$C)</f>
        <v/>
      </c>
      <c r="F4344" s="14" t="n">
        <v>1.1</v>
      </c>
      <c r="G4344" s="92">
        <f t="array" ref="G4344">IF(B4344="insumo",_xlfn.XLOOKUP($D4344,Insumos!$B$1:$B$996,Insumos!$D$1:$D$996),"")</f>
        <v/>
      </c>
      <c r="H4344" s="92" t="n">
        <v>181.5</v>
      </c>
      <c r="I4344" s="2162" t="n">
        <v>0</v>
      </c>
      <c r="J4344" s="2162" t="n">
        <v>0</v>
      </c>
      <c r="K4344" s="2162" t="n"/>
    </row>
    <row r="4345" outlineLevel="3" ht="15.75" customHeight="1">
      <c r="A4345" s="10" t="n">
        <v>191</v>
      </c>
      <c r="B4345" s="10" t="inlineStr">
        <is>
          <t>Insumo</t>
        </is>
      </c>
      <c r="C4345" s="10" t="inlineStr">
        <is>
          <t>Revestimento em Porcelanato amadeirado, rejunte acrilico, aplicação em Fachada</t>
        </is>
      </c>
      <c r="D4345" s="10" t="inlineStr">
        <is>
          <t>Argamassa ACIII</t>
        </is>
      </c>
      <c r="E4345" s="11">
        <f t="array" ref="E4345">_xlfn.XLOOKUP(D4345,Insumos!B:B,Insumos!C:$C)</f>
        <v/>
      </c>
      <c r="F4345" s="14" t="n">
        <v>8.800000000000001</v>
      </c>
      <c r="G4345" s="92">
        <f t="array" ref="G4345">IF(B4345="insumo",_xlfn.XLOOKUP($D4345,Insumos!$B$1:$B$996,Insumos!$D$1:$D$996),"")</f>
        <v/>
      </c>
      <c r="H4345" s="92" t="n">
        <v>9.367599999999999</v>
      </c>
      <c r="I4345" s="2162" t="n">
        <v>0</v>
      </c>
      <c r="J4345" s="2162" t="n">
        <v>0</v>
      </c>
      <c r="K4345" s="2162" t="n"/>
    </row>
    <row r="4346" outlineLevel="3" ht="15.75" customHeight="1">
      <c r="A4346" s="10" t="n">
        <v>142</v>
      </c>
      <c r="B4346" s="10" t="inlineStr">
        <is>
          <t>Insumo</t>
        </is>
      </c>
      <c r="C4346" s="10" t="inlineStr">
        <is>
          <t>Revestimento em Porcelanato amadeirado, rejunte acrilico, aplicação em Fachada</t>
        </is>
      </c>
      <c r="D4346" s="10" t="inlineStr">
        <is>
          <t>Espeçador junta piso 2mm</t>
        </is>
      </c>
      <c r="E4346" s="11">
        <f t="array" ref="E4346">_xlfn.XLOOKUP(D4346,Insumos!B:B,Insumos!C:$C)</f>
        <v/>
      </c>
      <c r="F4346" s="14" t="n">
        <v>2</v>
      </c>
      <c r="G4346" s="92">
        <f t="array" ref="G4346">IF(B4346="insumo",_xlfn.XLOOKUP($D4346,Insumos!$B$1:$B$996,Insumos!$D$1:$D$996),"")</f>
        <v/>
      </c>
      <c r="H4346" s="92" t="n">
        <v>0.16</v>
      </c>
      <c r="I4346" s="2162" t="n">
        <v>0</v>
      </c>
      <c r="J4346" s="2162" t="n">
        <v>0</v>
      </c>
      <c r="K4346" s="2162" t="n"/>
    </row>
    <row r="4347" outlineLevel="3" ht="15.75" customHeight="1">
      <c r="A4347" s="10" t="n">
        <v>101</v>
      </c>
      <c r="B4347" s="10" t="inlineStr">
        <is>
          <t>Insumo</t>
        </is>
      </c>
      <c r="C4347" s="10" t="inlineStr">
        <is>
          <t>Revestimento em Porcelanato amadeirado, rejunte acrilico, aplicação em Fachada</t>
        </is>
      </c>
      <c r="D4347" s="10" t="inlineStr">
        <is>
          <t>Rejunte Cimentício</t>
        </is>
      </c>
      <c r="E4347" s="11">
        <f t="array" ref="E4347">_xlfn.XLOOKUP(D4347,Insumos!B:B,Insumos!C:$C)</f>
        <v/>
      </c>
      <c r="F4347" s="14" t="n">
        <v>0.02</v>
      </c>
      <c r="G4347" s="92">
        <f t="array" ref="G4347">IF(B4347="insumo",_xlfn.XLOOKUP($D4347,Insumos!$B$1:$B$996,Insumos!$D$1:$D$996),"")</f>
        <v/>
      </c>
      <c r="H4347" s="92" t="n">
        <v>0.223</v>
      </c>
      <c r="I4347" s="2162" t="n">
        <v>0</v>
      </c>
      <c r="J4347" s="2162" t="n">
        <v>0</v>
      </c>
      <c r="K4347" s="2162" t="n"/>
    </row>
    <row r="4348" outlineLevel="2" ht="15.75" customHeight="1">
      <c r="A4348" s="1067" t="n">
        <v>1</v>
      </c>
      <c r="B4348" s="1067" t="inlineStr">
        <is>
          <t>Serviço</t>
        </is>
      </c>
      <c r="C4348" s="1067" t="inlineStr">
        <is>
          <t>Revestimento em Porcelanato Portobello - 30 x 30 cm , rejunte acrilico, aplicação em Fachada</t>
        </is>
      </c>
      <c r="D4348" s="1067" t="inlineStr">
        <is>
          <t>Revestimento em Porcelanato Portobello - 30 x 30 cm , rejunte acrilico, aplicação em Fachada</t>
        </is>
      </c>
      <c r="E4348" s="1068" t="inlineStr">
        <is>
          <t>M2</t>
        </is>
      </c>
      <c r="F4348" s="1067" t="n"/>
      <c r="G4348" s="1069">
        <f t="array" ref="G4348">IF(B4348="insumo",_xlfn.XLOOKUP($D4348,Insumos!$B$1:$B$996,Insumos!$D$1:$D$996),"")</f>
        <v/>
      </c>
      <c r="H4348" s="1069" t="n">
        <v>93.1306</v>
      </c>
      <c r="I4348" s="2161" t="n">
        <v>0</v>
      </c>
      <c r="J4348" s="2161" t="n">
        <v>0</v>
      </c>
      <c r="K4348" s="2161" t="n"/>
    </row>
    <row r="4349" outlineLevel="3" ht="15.75" customHeight="1">
      <c r="A4349" s="10" t="n">
        <v>1</v>
      </c>
      <c r="B4349" s="10" t="inlineStr">
        <is>
          <t>Insumo</t>
        </is>
      </c>
      <c r="C4349" s="10" t="inlineStr">
        <is>
          <t>Revestimento em Porcelanato Portobello - 30 x 30 cm , rejunte acrilico, aplicação em Fachada</t>
        </is>
      </c>
      <c r="D4349" s="10" t="inlineStr">
        <is>
          <t xml:space="preserve">Porcelanato A 30x30 </t>
        </is>
      </c>
      <c r="E4349" s="11">
        <f t="array" ref="E4349">_xlfn.XLOOKUP(D4349,Insumos!B:B,Insumos!C:$C)</f>
        <v/>
      </c>
      <c r="F4349" s="14" t="n">
        <v>1.1</v>
      </c>
      <c r="G4349" s="92">
        <f t="array" ref="G4349">IF(B4349="insumo",_xlfn.XLOOKUP($D4349,Insumos!$B$1:$B$996,Insumos!$D$1:$D$996),"")</f>
        <v/>
      </c>
      <c r="H4349" s="92" t="n">
        <v>83.38</v>
      </c>
      <c r="I4349" s="2162" t="n">
        <v>0</v>
      </c>
      <c r="J4349" s="2162" t="n">
        <v>0</v>
      </c>
      <c r="K4349" s="2162" t="n"/>
    </row>
    <row r="4350" outlineLevel="3" ht="15.75" customHeight="1">
      <c r="A4350" s="10" t="n">
        <v>191</v>
      </c>
      <c r="B4350" s="10" t="inlineStr">
        <is>
          <t>Insumo</t>
        </is>
      </c>
      <c r="C4350" s="10" t="inlineStr">
        <is>
          <t>Revestimento em Porcelanato Portobello - 30 x 30 cm , rejunte acrilico, aplicação em Fachada</t>
        </is>
      </c>
      <c r="D4350" s="10" t="inlineStr">
        <is>
          <t>Argamassa ACIII</t>
        </is>
      </c>
      <c r="E4350" s="11">
        <f t="array" ref="E4350">_xlfn.XLOOKUP(D4350,Insumos!B:B,Insumos!C:$C)</f>
        <v/>
      </c>
      <c r="F4350" s="14" t="n">
        <v>8.800000000000001</v>
      </c>
      <c r="G4350" s="92">
        <f t="array" ref="G4350">IF(B4350="insumo",_xlfn.XLOOKUP($D4350,Insumos!$B$1:$B$996,Insumos!$D$1:$D$996),"")</f>
        <v/>
      </c>
      <c r="H4350" s="92" t="n">
        <v>9.367599999999999</v>
      </c>
      <c r="I4350" s="2162" t="n">
        <v>0</v>
      </c>
      <c r="J4350" s="2162" t="n">
        <v>0</v>
      </c>
      <c r="K4350" s="2162" t="n"/>
    </row>
    <row r="4351" outlineLevel="3" ht="15.75" customHeight="1">
      <c r="A4351" s="10" t="n">
        <v>142</v>
      </c>
      <c r="B4351" s="10" t="inlineStr">
        <is>
          <t>Insumo</t>
        </is>
      </c>
      <c r="C4351" s="10" t="inlineStr">
        <is>
          <t>Revestimento em Porcelanato Portobello - 30 x 30 cm , rejunte acrilico, aplicação em Fachada</t>
        </is>
      </c>
      <c r="D4351" s="10" t="inlineStr">
        <is>
          <t>Espeçador junta piso 2mm</t>
        </is>
      </c>
      <c r="E4351" s="11">
        <f t="array" ref="E4351">_xlfn.XLOOKUP(D4351,Insumos!B:B,Insumos!C:$C)</f>
        <v/>
      </c>
      <c r="F4351" s="14" t="n">
        <v>2</v>
      </c>
      <c r="G4351" s="92">
        <f t="array" ref="G4351">IF(B4351="insumo",_xlfn.XLOOKUP($D4351,Insumos!$B$1:$B$996,Insumos!$D$1:$D$996),"")</f>
        <v/>
      </c>
      <c r="H4351" s="92" t="n">
        <v>0.16</v>
      </c>
      <c r="I4351" s="2162" t="n">
        <v>0</v>
      </c>
      <c r="J4351" s="2162" t="n">
        <v>0</v>
      </c>
      <c r="K4351" s="2162" t="n"/>
    </row>
    <row r="4352" outlineLevel="3" ht="15.75" customHeight="1">
      <c r="A4352" s="10" t="n">
        <v>101</v>
      </c>
      <c r="B4352" s="10" t="inlineStr">
        <is>
          <t>Insumo</t>
        </is>
      </c>
      <c r="C4352" s="10" t="inlineStr">
        <is>
          <t>Revestimento em Porcelanato Portobello - 30 x 30 cm , rejunte acrilico, aplicação em Fachada</t>
        </is>
      </c>
      <c r="D4352" s="10" t="inlineStr">
        <is>
          <t>Rejunte Cimentício</t>
        </is>
      </c>
      <c r="E4352" s="11">
        <f t="array" ref="E4352">_xlfn.XLOOKUP(D4352,Insumos!B:B,Insumos!C:$C)</f>
        <v/>
      </c>
      <c r="F4352" s="14" t="n">
        <v>0.02</v>
      </c>
      <c r="G4352" s="92">
        <f t="array" ref="G4352">IF(B4352="insumo",_xlfn.XLOOKUP($D4352,Insumos!$B$1:$B$996,Insumos!$D$1:$D$996),"")</f>
        <v/>
      </c>
      <c r="H4352" s="92" t="n">
        <v>0.223</v>
      </c>
      <c r="I4352" s="2162" t="n">
        <v>0</v>
      </c>
      <c r="J4352" s="2162" t="n">
        <v>0</v>
      </c>
      <c r="K4352" s="2162" t="n"/>
    </row>
    <row r="4353" outlineLevel="2" ht="15.75" customHeight="1">
      <c r="A4353" s="1067" t="n">
        <v>1</v>
      </c>
      <c r="B4353" s="1067" t="inlineStr">
        <is>
          <t>Serviço</t>
        </is>
      </c>
      <c r="C4353" s="1067" t="inlineStr">
        <is>
          <t>Revestimento em Porcelanato bege, rejunte acrilico, aplicação em Fachada</t>
        </is>
      </c>
      <c r="D4353" s="1067" t="inlineStr">
        <is>
          <t>Revestimento em Porcelanato bege, rejunte acrilico, aplicação em Fachada</t>
        </is>
      </c>
      <c r="E4353" s="1068" t="inlineStr">
        <is>
          <t>M2</t>
        </is>
      </c>
      <c r="F4353" s="1067" t="n"/>
      <c r="G4353" s="1069">
        <f t="array" ref="G4353">IF(B4353="insumo",_xlfn.XLOOKUP($D4353,Insumos!$B$1:$B$996,Insumos!$D$1:$D$996),"")</f>
        <v/>
      </c>
      <c r="H4353" s="1069" t="n">
        <v>99.95059999999999</v>
      </c>
      <c r="I4353" s="2161" t="n">
        <v>0</v>
      </c>
      <c r="J4353" s="2161" t="n">
        <v>0</v>
      </c>
      <c r="K4353" s="2161" t="n"/>
    </row>
    <row r="4354" outlineLevel="3" ht="15.75" customHeight="1">
      <c r="A4354" s="10" t="n">
        <v>5</v>
      </c>
      <c r="B4354" s="10" t="inlineStr">
        <is>
          <t>Insumo</t>
        </is>
      </c>
      <c r="C4354" s="10" t="inlineStr">
        <is>
          <t>Revestimento em Porcelanato bege, rejunte acrilico, aplicação em Fachada</t>
        </is>
      </c>
      <c r="D4354" s="10" t="inlineStr">
        <is>
          <t xml:space="preserve">Porcelanato A 90x90 Polido </t>
        </is>
      </c>
      <c r="E4354" s="11">
        <f t="array" ref="E4354">_xlfn.XLOOKUP(D4354,Insumos!B:B,Insumos!C:$C)</f>
        <v/>
      </c>
      <c r="F4354" s="14" t="n">
        <v>1.1</v>
      </c>
      <c r="G4354" s="92">
        <f t="array" ref="G4354">IF(B4354="insumo",_xlfn.XLOOKUP($D4354,Insumos!$B$1:$B$996,Insumos!$D$1:$D$996),"")</f>
        <v/>
      </c>
      <c r="H4354" s="92" t="n">
        <v>90.2</v>
      </c>
      <c r="I4354" s="2162" t="n">
        <v>0</v>
      </c>
      <c r="J4354" s="2162" t="n">
        <v>0</v>
      </c>
      <c r="K4354" s="2162" t="n"/>
    </row>
    <row r="4355" outlineLevel="3" ht="15.75" customHeight="1">
      <c r="A4355" s="10" t="n">
        <v>191</v>
      </c>
      <c r="B4355" s="10" t="inlineStr">
        <is>
          <t>Insumo</t>
        </is>
      </c>
      <c r="C4355" s="10" t="inlineStr">
        <is>
          <t>Revestimento em Porcelanato bege, rejunte acrilico, aplicação em Fachada</t>
        </is>
      </c>
      <c r="D4355" s="10" t="inlineStr">
        <is>
          <t>Argamassa ACIII</t>
        </is>
      </c>
      <c r="E4355" s="11">
        <f t="array" ref="E4355">_xlfn.XLOOKUP(D4355,Insumos!B:B,Insumos!C:$C)</f>
        <v/>
      </c>
      <c r="F4355" s="14" t="n">
        <v>8.800000000000001</v>
      </c>
      <c r="G4355" s="92">
        <f t="array" ref="G4355">IF(B4355="insumo",_xlfn.XLOOKUP($D4355,Insumos!$B$1:$B$996,Insumos!$D$1:$D$996),"")</f>
        <v/>
      </c>
      <c r="H4355" s="92" t="n">
        <v>9.367599999999999</v>
      </c>
      <c r="I4355" s="2162" t="n">
        <v>0</v>
      </c>
      <c r="J4355" s="2162" t="n">
        <v>0</v>
      </c>
      <c r="K4355" s="2162" t="n"/>
    </row>
    <row r="4356" outlineLevel="3" ht="15.75" customHeight="1">
      <c r="A4356" s="10" t="n">
        <v>142</v>
      </c>
      <c r="B4356" s="10" t="inlineStr">
        <is>
          <t>Insumo</t>
        </is>
      </c>
      <c r="C4356" s="10" t="inlineStr">
        <is>
          <t>Revestimento em Porcelanato bege, rejunte acrilico, aplicação em Fachada</t>
        </is>
      </c>
      <c r="D4356" s="10" t="inlineStr">
        <is>
          <t>Espeçador junta piso 2mm</t>
        </is>
      </c>
      <c r="E4356" s="11">
        <f t="array" ref="E4356">_xlfn.XLOOKUP(D4356,Insumos!B:B,Insumos!C:$C)</f>
        <v/>
      </c>
      <c r="F4356" s="14" t="n">
        <v>2</v>
      </c>
      <c r="G4356" s="92">
        <f t="array" ref="G4356">IF(B4356="insumo",_xlfn.XLOOKUP($D4356,Insumos!$B$1:$B$996,Insumos!$D$1:$D$996),"")</f>
        <v/>
      </c>
      <c r="H4356" s="92" t="n">
        <v>0.16</v>
      </c>
      <c r="I4356" s="2162" t="n">
        <v>0</v>
      </c>
      <c r="J4356" s="2162" t="n">
        <v>0</v>
      </c>
      <c r="K4356" s="2162" t="n"/>
    </row>
    <row r="4357" outlineLevel="3" ht="15.75" customHeight="1">
      <c r="A4357" s="10" t="n">
        <v>101</v>
      </c>
      <c r="B4357" s="10" t="inlineStr">
        <is>
          <t>Insumo</t>
        </is>
      </c>
      <c r="C4357" s="10" t="inlineStr">
        <is>
          <t>Revestimento em Porcelanato bege, rejunte acrilico, aplicação em Fachada</t>
        </is>
      </c>
      <c r="D4357" s="10" t="inlineStr">
        <is>
          <t>Rejunte Cimentício</t>
        </is>
      </c>
      <c r="E4357" s="11">
        <f t="array" ref="E4357">_xlfn.XLOOKUP(D4357,Insumos!B:B,Insumos!C:$C)</f>
        <v/>
      </c>
      <c r="F4357" s="14" t="n">
        <v>0.02</v>
      </c>
      <c r="G4357" s="92">
        <f t="array" ref="G4357">IF(B4357="insumo",_xlfn.XLOOKUP($D4357,Insumos!$B$1:$B$996,Insumos!$D$1:$D$996),"")</f>
        <v/>
      </c>
      <c r="H4357" s="92" t="n">
        <v>0.223</v>
      </c>
      <c r="I4357" s="2162" t="n">
        <v>0</v>
      </c>
      <c r="J4357" s="2162" t="n">
        <v>0</v>
      </c>
      <c r="K4357" s="2162" t="n"/>
    </row>
    <row r="4358" outlineLevel="2" ht="15.75" customHeight="1">
      <c r="A4358" s="1067" t="n">
        <v>1</v>
      </c>
      <c r="B4358" s="1067" t="inlineStr">
        <is>
          <t>Serviço</t>
        </is>
      </c>
      <c r="C4358" s="1067" t="inlineStr">
        <is>
          <t>Acabamento em Porcelanato 1,20x60 para fachada ventilada</t>
        </is>
      </c>
      <c r="D4358" s="1067" t="inlineStr">
        <is>
          <t>Acabamento em Porcelanato 1,20x60 para fachada ventilada</t>
        </is>
      </c>
      <c r="E4358" s="1068" t="inlineStr">
        <is>
          <t>M2</t>
        </is>
      </c>
      <c r="F4358" s="1067" t="n"/>
      <c r="G4358" s="1069">
        <f t="array" ref="G4358">IF(B4358="insumo",_xlfn.XLOOKUP($D4358,Insumos!$B$1:$B$996,Insumos!$D$1:$D$996),"")</f>
        <v/>
      </c>
      <c r="H4358" s="1069" t="n">
        <v>332.39</v>
      </c>
      <c r="I4358" s="2161" t="n">
        <v>0</v>
      </c>
      <c r="J4358" s="2161" t="n">
        <v>0</v>
      </c>
      <c r="K4358" s="2161" t="n"/>
    </row>
    <row r="4359" outlineLevel="3" ht="15.75" customHeight="1">
      <c r="A4359" s="10" t="n">
        <v>1</v>
      </c>
      <c r="B4359" s="10" t="inlineStr">
        <is>
          <t>Insumo</t>
        </is>
      </c>
      <c r="C4359" s="10" t="inlineStr">
        <is>
          <t>Acabamento em Porcelanato 1,20x60 para fachada ventilada</t>
        </is>
      </c>
      <c r="D4359" s="10" t="inlineStr">
        <is>
          <t>PAINEL PORCELANATO MATERIA CALCARIO AC 60X120 CM, com
aplicação de Tela de Fibra de Vidro.</t>
        </is>
      </c>
      <c r="E4359" s="11">
        <f t="array" ref="E4359">_xlfn.XLOOKUP(D4359,Insumos!B:B,Insumos!C:$C)</f>
        <v/>
      </c>
      <c r="F4359" s="14" t="n">
        <v>1</v>
      </c>
      <c r="G4359" s="92">
        <f t="array" ref="G4359">IF(B4359="insumo",_xlfn.XLOOKUP($D4359,Insumos!$B$1:$B$996,Insumos!$D$1:$D$996),"")</f>
        <v/>
      </c>
      <c r="H4359" s="92" t="n">
        <v>246.84</v>
      </c>
      <c r="I4359" s="2162" t="n">
        <v>0</v>
      </c>
      <c r="J4359" s="2162" t="n">
        <v>0</v>
      </c>
      <c r="K4359" s="2162" t="n"/>
    </row>
    <row r="4360" outlineLevel="3" ht="15.75" customHeight="1">
      <c r="A4360" s="10" t="n">
        <v>1</v>
      </c>
      <c r="B4360" s="10" t="inlineStr">
        <is>
          <t>Insumo</t>
        </is>
      </c>
      <c r="C4360" s="15" t="inlineStr">
        <is>
          <t>Acabamento em Porcelanato 1,20x60 para fachada ventilada</t>
        </is>
      </c>
      <c r="D4360" s="15" t="inlineStr">
        <is>
          <t>TECNOLOGIA CLEANTEC EV</t>
        </is>
      </c>
      <c r="E4360" s="11">
        <f t="array" ref="E4360">_xlfn.XLOOKUP(D4360,Insumos!B:B,Insumos!C:$C)</f>
        <v/>
      </c>
      <c r="F4360" s="14" t="n">
        <v>1</v>
      </c>
      <c r="G4360" s="92">
        <f t="array" ref="G4360">IF(B4360="insumo",_xlfn.XLOOKUP($D4360,Insumos!$B$1:$B$996,Insumos!$D$1:$D$996),"")</f>
        <v/>
      </c>
      <c r="H4360" s="92" t="n">
        <v>85.55</v>
      </c>
      <c r="I4360" s="2162" t="n">
        <v>0</v>
      </c>
      <c r="J4360" s="2162" t="n">
        <v>0</v>
      </c>
      <c r="K4360" s="2162" t="n"/>
    </row>
    <row r="4361" outlineLevel="2" ht="15.75" customHeight="1">
      <c r="A4361" s="1067" t="n">
        <v>1</v>
      </c>
      <c r="B4361" s="1067" t="inlineStr">
        <is>
          <t>Serviço</t>
        </is>
      </c>
      <c r="C4361" s="1067" t="inlineStr">
        <is>
          <t>Revestimento em Cerâmico Tijolinho, aplicação em Fachada</t>
        </is>
      </c>
      <c r="D4361" s="1067" t="inlineStr">
        <is>
          <t>Revestimento em Cerâmico Tijolinho, aplicação em Fachada</t>
        </is>
      </c>
      <c r="E4361" s="1068" t="inlineStr">
        <is>
          <t>M2</t>
        </is>
      </c>
      <c r="F4361" s="1067" t="n"/>
      <c r="G4361" s="1069">
        <f t="array" ref="G4361">IF(B4361="insumo",_xlfn.XLOOKUP($D4361,Insumos!$B$1:$B$996,Insumos!$D$1:$D$996),"")</f>
        <v/>
      </c>
      <c r="H4361" s="1069" t="n">
        <v>139.4565</v>
      </c>
      <c r="I4361" s="2161" t="n">
        <v>0</v>
      </c>
      <c r="J4361" s="2161" t="n">
        <v>0</v>
      </c>
      <c r="K4361" s="2161" t="n"/>
    </row>
    <row r="4362" outlineLevel="3" ht="15.75" customHeight="1">
      <c r="A4362" s="10" t="n">
        <v>1</v>
      </c>
      <c r="B4362" s="10" t="inlineStr">
        <is>
          <t>Insumo</t>
        </is>
      </c>
      <c r="C4362" s="10" t="inlineStr">
        <is>
          <t>Revestimento em Cerâmico Tijolinho, aplicação em Fachada</t>
        </is>
      </c>
      <c r="D4362" s="10" t="inlineStr">
        <is>
          <t>REVESTIMENTO CERÂMICO DE TIJOLINHO</t>
        </is>
      </c>
      <c r="E4362" s="11">
        <f t="array" ref="E4362">_xlfn.XLOOKUP(D4362,Insumos!B:B,Insumos!C:$C)</f>
        <v/>
      </c>
      <c r="F4362" s="14" t="n">
        <v>1.1</v>
      </c>
      <c r="G4362" s="92">
        <f t="array" ref="G4362">IF(B4362="insumo",_xlfn.XLOOKUP($D4362,Insumos!$B$1:$B$996,Insumos!$D$1:$D$996),"")</f>
        <v/>
      </c>
      <c r="H4362" s="92" t="n">
        <v>123.981</v>
      </c>
      <c r="I4362" s="2162" t="n">
        <v>0</v>
      </c>
      <c r="J4362" s="2162" t="n">
        <v>0</v>
      </c>
      <c r="K4362" s="2162" t="n"/>
    </row>
    <row r="4363" outlineLevel="3" ht="15.75" customHeight="1">
      <c r="A4363" s="10" t="n">
        <v>191</v>
      </c>
      <c r="B4363" s="10" t="inlineStr">
        <is>
          <t>Insumo</t>
        </is>
      </c>
      <c r="C4363" s="10" t="inlineStr">
        <is>
          <t>Revestimento em Cerâmico Tijolinho, aplicação em Fachada</t>
        </is>
      </c>
      <c r="D4363" s="10" t="inlineStr">
        <is>
          <t>Argamassa ACIII</t>
        </is>
      </c>
      <c r="E4363" s="11">
        <f t="array" ref="E4363">_xlfn.XLOOKUP(D4363,Insumos!B:B,Insumos!C:$C)</f>
        <v/>
      </c>
      <c r="F4363" s="14" t="n">
        <v>9</v>
      </c>
      <c r="G4363" s="92">
        <f t="array" ref="G4363">IF(B4363="insumo",_xlfn.XLOOKUP($D4363,Insumos!$B$1:$B$996,Insumos!$D$1:$D$996),"")</f>
        <v/>
      </c>
      <c r="H4363" s="92" t="n">
        <v>9.580500000000001</v>
      </c>
      <c r="I4363" s="2162" t="n">
        <v>0</v>
      </c>
      <c r="J4363" s="2162" t="n">
        <v>0</v>
      </c>
      <c r="K4363" s="2162" t="n"/>
    </row>
    <row r="4364" outlineLevel="3" ht="15.75" customHeight="1">
      <c r="A4364" s="10" t="n">
        <v>142</v>
      </c>
      <c r="B4364" s="10" t="inlineStr">
        <is>
          <t>Insumo</t>
        </is>
      </c>
      <c r="C4364" s="10" t="inlineStr">
        <is>
          <t>Revestimento em Cerâmico Tijolinho, aplicação em Fachada</t>
        </is>
      </c>
      <c r="D4364" s="10" t="inlineStr">
        <is>
          <t>Espeçador junta piso 2mm</t>
        </is>
      </c>
      <c r="E4364" s="11">
        <f t="array" ref="E4364">_xlfn.XLOOKUP(D4364,Insumos!B:B,Insumos!C:$C)</f>
        <v/>
      </c>
      <c r="F4364" s="14" t="n">
        <v>4</v>
      </c>
      <c r="G4364" s="92">
        <f t="array" ref="G4364">IF(B4364="insumo",_xlfn.XLOOKUP($D4364,Insumos!$B$1:$B$996,Insumos!$D$1:$D$996),"")</f>
        <v/>
      </c>
      <c r="H4364" s="92" t="n">
        <v>0.32</v>
      </c>
      <c r="I4364" s="2162" t="n">
        <v>0</v>
      </c>
      <c r="J4364" s="2162" t="n">
        <v>0</v>
      </c>
      <c r="K4364" s="2162" t="n"/>
    </row>
    <row r="4365" outlineLevel="3" ht="15.75" customHeight="1">
      <c r="A4365" s="10" t="n">
        <v>101</v>
      </c>
      <c r="B4365" s="10" t="inlineStr">
        <is>
          <t>Insumo</t>
        </is>
      </c>
      <c r="C4365" s="10" t="inlineStr">
        <is>
          <t>Revestimento em Cerâmico Tijolinho, aplicação em Fachada</t>
        </is>
      </c>
      <c r="D4365" s="10" t="inlineStr">
        <is>
          <t>Rejunte Cimentício</t>
        </is>
      </c>
      <c r="E4365" s="11">
        <f t="array" ref="E4365">_xlfn.XLOOKUP(D4365,Insumos!B:B,Insumos!C:$C)</f>
        <v/>
      </c>
      <c r="F4365" s="14" t="n">
        <v>0.5</v>
      </c>
      <c r="G4365" s="92">
        <f t="array" ref="G4365">IF(B4365="insumo",_xlfn.XLOOKUP($D4365,Insumos!$B$1:$B$996,Insumos!$D$1:$D$996),"")</f>
        <v/>
      </c>
      <c r="H4365" s="92" t="n">
        <v>5.575</v>
      </c>
      <c r="I4365" s="2162" t="n">
        <v>0</v>
      </c>
      <c r="J4365" s="2162" t="n">
        <v>0</v>
      </c>
      <c r="K4365" s="2162" t="n"/>
    </row>
    <row r="4366" outlineLevel="2" ht="15.75" customHeight="1">
      <c r="A4366" s="1067" t="n">
        <v>1</v>
      </c>
      <c r="B4366" s="1067" t="inlineStr">
        <is>
          <t>Serviço</t>
        </is>
      </c>
      <c r="C4366" s="1067" t="inlineStr">
        <is>
          <t>Revestimento em Fachadas,  Porcelanato Superquadra Cru 60X120 Nat Ret</t>
        </is>
      </c>
      <c r="D4366" s="1067" t="inlineStr">
        <is>
          <t>Revestimento em Fachadas,  Porcelanato Superquadra Cru 60X120 Nat Ret</t>
        </is>
      </c>
      <c r="E4366" s="1068" t="inlineStr">
        <is>
          <t>M2</t>
        </is>
      </c>
      <c r="F4366" s="1067" t="n"/>
      <c r="G4366" s="1069">
        <f t="array" ref="G4366">IF(B4366="insumo",_xlfn.XLOOKUP($D4366,Insumos!$B$1:$B$996,Insumos!$D$1:$D$996),"")</f>
        <v/>
      </c>
      <c r="H4366" s="1069" t="n">
        <v>136.5726</v>
      </c>
      <c r="I4366" s="2161" t="n">
        <v>0</v>
      </c>
      <c r="J4366" s="2161" t="n">
        <v>0</v>
      </c>
      <c r="K4366" s="2161" t="n"/>
    </row>
    <row r="4367" outlineLevel="3" ht="15.75" customHeight="1">
      <c r="A4367" s="10" t="n">
        <v>3</v>
      </c>
      <c r="B4367" s="10" t="inlineStr">
        <is>
          <t>Insumo</t>
        </is>
      </c>
      <c r="C4367" s="10" t="inlineStr">
        <is>
          <t>Revestimento em Fachadas,  Porcelanato Superquadra Cru 60X120 Nat Ret</t>
        </is>
      </c>
      <c r="D4367" s="10" t="inlineStr">
        <is>
          <t>Porcelanato Superquadra Cru 60X120 Nat Ret</t>
        </is>
      </c>
      <c r="E4367" s="11">
        <f t="array" ref="E4367">_xlfn.XLOOKUP(D4367,Insumos!B:B,Insumos!C:$C)</f>
        <v/>
      </c>
      <c r="F4367" s="14" t="n">
        <v>1.1</v>
      </c>
      <c r="G4367" s="92">
        <f t="array" ref="G4367">IF(B4367="insumo",_xlfn.XLOOKUP($D4367,Insumos!$B$1:$B$996,Insumos!$D$1:$D$996),"")</f>
        <v/>
      </c>
      <c r="H4367" s="92" t="n">
        <v>121.55</v>
      </c>
      <c r="I4367" s="2162" t="n">
        <v>0</v>
      </c>
      <c r="J4367" s="2162" t="n">
        <v>0</v>
      </c>
      <c r="K4367" s="2162" t="n"/>
    </row>
    <row r="4368" outlineLevel="3" ht="15.75" customHeight="1">
      <c r="A4368" s="10" t="n">
        <v>191</v>
      </c>
      <c r="B4368" s="10" t="inlineStr">
        <is>
          <t>Insumo</t>
        </is>
      </c>
      <c r="C4368" s="10" t="inlineStr">
        <is>
          <t>Revestimento em Fachadas,  Porcelanato Superquadra Cru 60X120 Nat Ret</t>
        </is>
      </c>
      <c r="D4368" s="10" t="inlineStr">
        <is>
          <t>Argamassa ACIII</t>
        </is>
      </c>
      <c r="E4368" s="11">
        <f t="array" ref="E4368">_xlfn.XLOOKUP(D4368,Insumos!B:B,Insumos!C:$C)</f>
        <v/>
      </c>
      <c r="F4368" s="14" t="n">
        <v>8.800000000000001</v>
      </c>
      <c r="G4368" s="92">
        <f t="array" ref="G4368">IF(B4368="insumo",_xlfn.XLOOKUP($D4368,Insumos!$B$1:$B$996,Insumos!$D$1:$D$996),"")</f>
        <v/>
      </c>
      <c r="H4368" s="92" t="n">
        <v>9.367599999999999</v>
      </c>
      <c r="I4368" s="2162" t="n">
        <v>0</v>
      </c>
      <c r="J4368" s="2162" t="n">
        <v>0</v>
      </c>
      <c r="K4368" s="2162" t="n"/>
    </row>
    <row r="4369" outlineLevel="3" ht="15.75" customHeight="1">
      <c r="A4369" s="10" t="n">
        <v>142</v>
      </c>
      <c r="B4369" s="10" t="inlineStr">
        <is>
          <t>Insumo</t>
        </is>
      </c>
      <c r="C4369" s="10" t="inlineStr">
        <is>
          <t>Revestimento em Fachadas,  Porcelanato Superquadra Cru 60X120 Nat Ret</t>
        </is>
      </c>
      <c r="D4369" s="10" t="inlineStr">
        <is>
          <t>Espeçador junta piso 2mm</t>
        </is>
      </c>
      <c r="E4369" s="11">
        <f t="array" ref="E4369">_xlfn.XLOOKUP(D4369,Insumos!B:B,Insumos!C:$C)</f>
        <v/>
      </c>
      <c r="F4369" s="14" t="n">
        <v>1</v>
      </c>
      <c r="G4369" s="92">
        <f t="array" ref="G4369">IF(B4369="insumo",_xlfn.XLOOKUP($D4369,Insumos!$B$1:$B$996,Insumos!$D$1:$D$996),"")</f>
        <v/>
      </c>
      <c r="H4369" s="92" t="n">
        <v>0.08</v>
      </c>
      <c r="I4369" s="2162" t="n">
        <v>0</v>
      </c>
      <c r="J4369" s="2162" t="n">
        <v>0</v>
      </c>
      <c r="K4369" s="2162" t="n"/>
    </row>
    <row r="4370" outlineLevel="3" ht="15.75" customHeight="1">
      <c r="A4370" s="10" t="n">
        <v>101</v>
      </c>
      <c r="B4370" s="10" t="inlineStr">
        <is>
          <t>Insumo</t>
        </is>
      </c>
      <c r="C4370" s="10" t="inlineStr">
        <is>
          <t>Revestimento em Fachadas,  Porcelanato Superquadra Cru 60X120 Nat Ret</t>
        </is>
      </c>
      <c r="D4370" s="10" t="inlineStr">
        <is>
          <t>Rejunte Cimentício</t>
        </is>
      </c>
      <c r="E4370" s="11">
        <f t="array" ref="E4370">_xlfn.XLOOKUP(D4370,Insumos!B:B,Insumos!C:$C)</f>
        <v/>
      </c>
      <c r="F4370" s="14" t="n">
        <v>0.5</v>
      </c>
      <c r="G4370" s="92">
        <f t="array" ref="G4370">IF(B4370="insumo",_xlfn.XLOOKUP($D4370,Insumos!$B$1:$B$996,Insumos!$D$1:$D$996),"")</f>
        <v/>
      </c>
      <c r="H4370" s="92" t="n">
        <v>5.575</v>
      </c>
      <c r="I4370" s="2162" t="n">
        <v>0</v>
      </c>
      <c r="J4370" s="2162" t="n">
        <v>0</v>
      </c>
      <c r="K4370" s="2162" t="n"/>
    </row>
    <row r="4371" outlineLevel="2" ht="15.75" customHeight="1">
      <c r="A4371" s="1067" t="n">
        <v>1</v>
      </c>
      <c r="B4371" s="1067" t="inlineStr">
        <is>
          <t>Serviço</t>
        </is>
      </c>
      <c r="C4371" s="1067" t="inlineStr">
        <is>
          <t>Revestimento em Fachadas Ventilada,  Porcelanato Superquadra Cru 60X120 Nat Ret</t>
        </is>
      </c>
      <c r="D4371" s="1067" t="inlineStr">
        <is>
          <t>Revestimento em Fachadas Ventilada,  Porcelanato Superquadra Cru 60X120 Nat Ret</t>
        </is>
      </c>
      <c r="E4371" s="1068" t="inlineStr">
        <is>
          <t>M2</t>
        </is>
      </c>
      <c r="F4371" s="1067" t="n"/>
      <c r="G4371" s="1069">
        <f t="array" ref="G4371">IF(B4371="insumo",_xlfn.XLOOKUP($D4371,Insumos!$B$1:$B$996,Insumos!$D$1:$D$996),"")</f>
        <v/>
      </c>
      <c r="H4371" s="1069" t="n">
        <v>121.55</v>
      </c>
      <c r="I4371" s="2161" t="n">
        <v>0</v>
      </c>
      <c r="J4371" s="2161" t="n">
        <v>0</v>
      </c>
      <c r="K4371" s="2161" t="n"/>
    </row>
    <row r="4372" outlineLevel="3" ht="15.75" customHeight="1">
      <c r="A4372" s="10" t="n">
        <v>3</v>
      </c>
      <c r="B4372" s="10" t="inlineStr">
        <is>
          <t>Insumo</t>
        </is>
      </c>
      <c r="C4372" s="10" t="inlineStr">
        <is>
          <t>Revestimento em Fachadas Ventilada,  Porcelanato Superquadra Cru 60X120 Nat Ret</t>
        </is>
      </c>
      <c r="D4372" s="10" t="inlineStr">
        <is>
          <t>Porcelanato Superquadra Cru 60X120 Nat Ret</t>
        </is>
      </c>
      <c r="E4372" s="11">
        <f t="array" ref="E4372">_xlfn.XLOOKUP(D4372,Insumos!B:B,Insumos!C:$C)</f>
        <v/>
      </c>
      <c r="F4372" s="14" t="n">
        <v>1.1</v>
      </c>
      <c r="G4372" s="92">
        <f t="array" ref="G4372">IF(B4372="insumo",_xlfn.XLOOKUP($D4372,Insumos!$B$1:$B$996,Insumos!$D$1:$D$996),"")</f>
        <v/>
      </c>
      <c r="H4372" s="92" t="n">
        <v>121.55</v>
      </c>
      <c r="I4372" s="2162" t="n">
        <v>0</v>
      </c>
      <c r="J4372" s="2162" t="n">
        <v>0</v>
      </c>
      <c r="K4372" s="2162" t="n"/>
    </row>
    <row r="4373" outlineLevel="2" ht="12.75" customHeight="1">
      <c r="A4373" s="1071" t="n">
        <v>1</v>
      </c>
      <c r="B4373" s="1071" t="inlineStr">
        <is>
          <t>Serviço</t>
        </is>
      </c>
      <c r="C4373" s="1071" t="inlineStr">
        <is>
          <t>Revestimento externo de porcelanato villagers 82x141,5 retificado externo</t>
        </is>
      </c>
      <c r="D4373" s="1071" t="inlineStr">
        <is>
          <t>Revestimento externo de porcelanato villagers 82x141,5 retificado externo</t>
        </is>
      </c>
      <c r="E4373" s="1072" t="inlineStr">
        <is>
          <t>M2</t>
        </is>
      </c>
      <c r="F4373" s="1071" t="n"/>
      <c r="G4373" s="1073">
        <f t="array" ref="G4373">IF(B4373="insumo",_xlfn.XLOOKUP($D4373,Insumos!$B$1:$B$996,Insumos!$D$1:$D$996),"")</f>
        <v/>
      </c>
      <c r="H4373" s="1073" t="n">
        <v>202.3856</v>
      </c>
      <c r="I4373" s="2163" t="n">
        <v>0</v>
      </c>
      <c r="J4373" s="2163" t="n">
        <v>0</v>
      </c>
      <c r="K4373" s="2163" t="n"/>
    </row>
    <row r="4374" outlineLevel="3" ht="12.75" customHeight="1">
      <c r="A4374" s="82" t="n">
        <v>1</v>
      </c>
      <c r="B4374" s="82" t="inlineStr">
        <is>
          <t>Insumo</t>
        </is>
      </c>
      <c r="C4374" s="82" t="inlineStr">
        <is>
          <t>Revestimento externo de porcelanato villagers 82x141,5 retificado externo</t>
        </is>
      </c>
      <c r="D4374" s="82" t="inlineStr">
        <is>
          <t>porcelanato villagers 82x141,5 retificado externo</t>
        </is>
      </c>
      <c r="E4374" s="11">
        <f t="array" ref="E4374">_xlfn.XLOOKUP(D4374,Insumos!B:B,Insumos!C:$C)</f>
        <v/>
      </c>
      <c r="F4374" s="2164" t="n">
        <v>1.1</v>
      </c>
      <c r="G4374" s="92">
        <f t="array" ref="G4374">IF(B4374="insumo",_xlfn.XLOOKUP($D4374,Insumos!$B$1:$B$996,Insumos!$D$1:$D$996),"")</f>
        <v/>
      </c>
      <c r="H4374" s="92" t="n">
        <v>192.5</v>
      </c>
      <c r="I4374" s="2165" t="n">
        <v>0</v>
      </c>
      <c r="J4374" s="2165" t="n">
        <v>0</v>
      </c>
      <c r="K4374" s="2165" t="n"/>
    </row>
    <row r="4375" outlineLevel="3" ht="12.75" customHeight="1">
      <c r="A4375" s="82" t="n">
        <v>191</v>
      </c>
      <c r="B4375" s="82" t="inlineStr">
        <is>
          <t>Insumo</t>
        </is>
      </c>
      <c r="C4375" s="82" t="inlineStr">
        <is>
          <t>Revestimento externo de porcelanato villagers 82x141,5 retificado externo</t>
        </is>
      </c>
      <c r="D4375" s="82" t="inlineStr">
        <is>
          <t>Argamassa ACIII</t>
        </is>
      </c>
      <c r="E4375" s="11">
        <f t="array" ref="E4375">_xlfn.XLOOKUP(D4375,Insumos!B:B,Insumos!C:$C)</f>
        <v/>
      </c>
      <c r="F4375" s="2164" t="n">
        <v>8.800000000000001</v>
      </c>
      <c r="G4375" s="92">
        <f t="array" ref="G4375">IF(B4375="insumo",_xlfn.XLOOKUP($D4375,Insumos!$B$1:$B$996,Insumos!$D$1:$D$996),"")</f>
        <v/>
      </c>
      <c r="H4375" s="92" t="n">
        <v>9.367599999999999</v>
      </c>
      <c r="I4375" s="2165" t="n">
        <v>0</v>
      </c>
      <c r="J4375" s="2165" t="n">
        <v>0</v>
      </c>
      <c r="K4375" s="2165" t="n"/>
    </row>
    <row r="4376" outlineLevel="3" ht="12.75" customHeight="1">
      <c r="A4376" s="82" t="n">
        <v>142</v>
      </c>
      <c r="B4376" s="82" t="inlineStr">
        <is>
          <t>Insumo</t>
        </is>
      </c>
      <c r="C4376" s="82" t="inlineStr">
        <is>
          <t>Revestimento externo de porcelanato villagers 82x141,5 retificado externo</t>
        </is>
      </c>
      <c r="D4376" s="82" t="inlineStr">
        <is>
          <t>Espeçador junta piso 2mm</t>
        </is>
      </c>
      <c r="E4376" s="11">
        <f t="array" ref="E4376">_xlfn.XLOOKUP(D4376,Insumos!B:B,Insumos!C:$C)</f>
        <v/>
      </c>
      <c r="F4376" s="2164" t="n">
        <v>1</v>
      </c>
      <c r="G4376" s="92">
        <f t="array" ref="G4376">IF(B4376="insumo",_xlfn.XLOOKUP($D4376,Insumos!$B$1:$B$996,Insumos!$D$1:$D$996),"")</f>
        <v/>
      </c>
      <c r="H4376" s="92" t="n">
        <v>0.08</v>
      </c>
      <c r="I4376" s="2165" t="n">
        <v>0</v>
      </c>
      <c r="J4376" s="2165" t="n">
        <v>0</v>
      </c>
      <c r="K4376" s="2165" t="n"/>
    </row>
    <row r="4377" outlineLevel="3" ht="12.75" customHeight="1">
      <c r="A4377" s="82" t="n">
        <v>22</v>
      </c>
      <c r="B4377" s="82" t="inlineStr">
        <is>
          <t>Insumo</t>
        </is>
      </c>
      <c r="C4377" s="82" t="inlineStr">
        <is>
          <t>Revestimento externo de porcelanato villagers 82x141,5 retificado externo</t>
        </is>
      </c>
      <c r="D4377" s="82" t="inlineStr">
        <is>
          <t>Rejunte acrilico</t>
        </is>
      </c>
      <c r="E4377" s="11">
        <f t="array" ref="E4377">_xlfn.XLOOKUP(D4377,Insumos!B:B,Insumos!C:$C)</f>
        <v/>
      </c>
      <c r="F4377" s="2164" t="n">
        <v>0.01</v>
      </c>
      <c r="G4377" s="92">
        <f t="array" ref="G4377">IF(B4377="insumo",_xlfn.XLOOKUP($D4377,Insumos!$B$1:$B$996,Insumos!$D$1:$D$996),"")</f>
        <v/>
      </c>
      <c r="H4377" s="92" t="n">
        <v>0.438</v>
      </c>
      <c r="I4377" s="2165" t="n">
        <v>0</v>
      </c>
      <c r="J4377" s="2165" t="n">
        <v>0</v>
      </c>
      <c r="K4377" s="2165" t="n"/>
    </row>
    <row r="4378" outlineLevel="2" ht="12.75" customHeight="1">
      <c r="A4378" s="1071" t="n">
        <v>1</v>
      </c>
      <c r="B4378" s="1071" t="inlineStr">
        <is>
          <t>Serviço</t>
        </is>
      </c>
      <c r="C4378" s="1071" t="inlineStr">
        <is>
          <t>Revestimento externo de porcelanato painel kyoto, 60 x120cm com Junta de 2mm</t>
        </is>
      </c>
      <c r="D4378" s="1071" t="inlineStr">
        <is>
          <t>Revestimento externo de porcelanato painel kyoto, 60 x120cm com Junta de 2mm</t>
        </is>
      </c>
      <c r="E4378" s="1072" t="inlineStr">
        <is>
          <t>M2</t>
        </is>
      </c>
      <c r="F4378" s="1071" t="n"/>
      <c r="G4378" s="1073">
        <f t="array" ref="G4378">IF(B4378="insumo",_xlfn.XLOOKUP($D4378,Insumos!$B$1:$B$996,Insumos!$D$1:$D$996),"")</f>
        <v/>
      </c>
      <c r="H4378" s="1073" t="n">
        <v>172.0256</v>
      </c>
      <c r="I4378" s="2163" t="e">
        <v>#REF!</v>
      </c>
      <c r="J4378" s="2163" t="e">
        <v>#REF!</v>
      </c>
      <c r="K4378" s="2163" t="n"/>
    </row>
    <row r="4379" outlineLevel="3" ht="12.75" customHeight="1">
      <c r="A4379" s="82" t="n">
        <v>3</v>
      </c>
      <c r="B4379" s="82" t="inlineStr">
        <is>
          <t>Insumo</t>
        </is>
      </c>
      <c r="C4379" s="82" t="inlineStr">
        <is>
          <t>Revestimento externo de porcelanato painel kyoto, 60 x120cm com Junta de 2mm</t>
        </is>
      </c>
      <c r="D4379" s="10" t="inlineStr">
        <is>
          <t xml:space="preserve">Porcelanato Painel Kyoto - PAINEL KYOTO FENDI AC 60X120 CM </t>
        </is>
      </c>
      <c r="E4379" s="11">
        <f t="array" ref="E4379">_xlfn.XLOOKUP(D4379,Insumos!B:B,Insumos!C:$C)</f>
        <v/>
      </c>
      <c r="F4379" s="2164" t="n">
        <v>1.1</v>
      </c>
      <c r="G4379" s="92">
        <f t="array" ref="G4379">IF(B4379="insumo",_xlfn.XLOOKUP($D4379,Insumos!$B$1:$B$996,Insumos!$D$1:$D$996),"")</f>
        <v/>
      </c>
      <c r="H4379" s="92" t="n">
        <v>162.14</v>
      </c>
      <c r="I4379" s="2165" t="e">
        <v>#REF!</v>
      </c>
      <c r="J4379" s="2165" t="e">
        <v>#REF!</v>
      </c>
      <c r="K4379" s="2165" t="n"/>
    </row>
    <row r="4380" outlineLevel="3" ht="12.75" customHeight="1">
      <c r="A4380" s="82" t="n">
        <v>191</v>
      </c>
      <c r="B4380" s="82" t="inlineStr">
        <is>
          <t>Insumo</t>
        </is>
      </c>
      <c r="C4380" s="82" t="inlineStr">
        <is>
          <t>Revestimento externo de porcelanato painel kyoto, 60 x120cm com Junta de 2mm</t>
        </is>
      </c>
      <c r="D4380" s="82" t="inlineStr">
        <is>
          <t>Argamassa ACIII</t>
        </is>
      </c>
      <c r="E4380" s="11">
        <f t="array" ref="E4380">_xlfn.XLOOKUP(D4380,Insumos!B:B,Insumos!C:$C)</f>
        <v/>
      </c>
      <c r="F4380" s="2164" t="n">
        <v>8.800000000000001</v>
      </c>
      <c r="G4380" s="92">
        <f t="array" ref="G4380">IF(B4380="insumo",_xlfn.XLOOKUP($D4380,Insumos!$B$1:$B$996,Insumos!$D$1:$D$996),"")</f>
        <v/>
      </c>
      <c r="H4380" s="92" t="n">
        <v>9.367599999999999</v>
      </c>
      <c r="I4380" s="2165" t="e">
        <v>#REF!</v>
      </c>
      <c r="J4380" s="2165" t="e">
        <v>#REF!</v>
      </c>
      <c r="K4380" s="2165" t="n"/>
    </row>
    <row r="4381" outlineLevel="3" ht="12.75" customHeight="1">
      <c r="A4381" s="82" t="n">
        <v>142</v>
      </c>
      <c r="B4381" s="82" t="inlineStr">
        <is>
          <t>Insumo</t>
        </is>
      </c>
      <c r="C4381" s="82" t="inlineStr">
        <is>
          <t>Revestimento externo de porcelanato painel kyoto, 60 x120cm com Junta de 2mm</t>
        </is>
      </c>
      <c r="D4381" s="82" t="inlineStr">
        <is>
          <t>Espeçador junta piso 2mm</t>
        </is>
      </c>
      <c r="E4381" s="11">
        <f t="array" ref="E4381">_xlfn.XLOOKUP(D4381,Insumos!B:B,Insumos!C:$C)</f>
        <v/>
      </c>
      <c r="F4381" s="2164" t="n">
        <v>1</v>
      </c>
      <c r="G4381" s="92">
        <f t="array" ref="G4381">IF(B4381="insumo",_xlfn.XLOOKUP($D4381,Insumos!$B$1:$B$996,Insumos!$D$1:$D$996),"")</f>
        <v/>
      </c>
      <c r="H4381" s="92" t="n">
        <v>0.08</v>
      </c>
      <c r="I4381" s="2165" t="e">
        <v>#REF!</v>
      </c>
      <c r="J4381" s="2165" t="e">
        <v>#REF!</v>
      </c>
      <c r="K4381" s="2165" t="n"/>
    </row>
    <row r="4382" outlineLevel="3" ht="12.75" customHeight="1">
      <c r="A4382" s="82" t="n">
        <v>22</v>
      </c>
      <c r="B4382" s="82" t="inlineStr">
        <is>
          <t>Insumo</t>
        </is>
      </c>
      <c r="C4382" s="82" t="inlineStr">
        <is>
          <t>Revestimento externo de porcelanato painel kyoto, 60 x120cm com Junta de 2mm</t>
        </is>
      </c>
      <c r="D4382" s="82" t="inlineStr">
        <is>
          <t>Rejunte acrilico</t>
        </is>
      </c>
      <c r="E4382" s="11">
        <f t="array" ref="E4382">_xlfn.XLOOKUP(D4382,Insumos!B:B,Insumos!C:$C)</f>
        <v/>
      </c>
      <c r="F4382" s="2164" t="n">
        <v>0.01</v>
      </c>
      <c r="G4382" s="92">
        <f t="array" ref="G4382">IF(B4382="insumo",_xlfn.XLOOKUP($D4382,Insumos!$B$1:$B$996,Insumos!$D$1:$D$996),"")</f>
        <v/>
      </c>
      <c r="H4382" s="92" t="n">
        <v>0.438</v>
      </c>
      <c r="I4382" s="2165" t="e">
        <v>#REF!</v>
      </c>
      <c r="J4382" s="2165" t="e">
        <v>#REF!</v>
      </c>
      <c r="K4382" s="2165" t="n"/>
    </row>
    <row r="4383" outlineLevel="2" ht="12.75" customHeight="1">
      <c r="A4383" s="1071" t="n">
        <v>1</v>
      </c>
      <c r="B4383" s="1071" t="inlineStr">
        <is>
          <t>Serviço</t>
        </is>
      </c>
      <c r="C4383" s="1071" t="inlineStr">
        <is>
          <t>Revestimento externo de Cerâmica extrudada Brick Tile, 60x15cm com Junta de 2mm</t>
        </is>
      </c>
      <c r="D4383" s="1071" t="inlineStr">
        <is>
          <t>Revestimento externo de Cerâmica extrudada Brick Tile, 60x15cm com Junta de 2mm</t>
        </is>
      </c>
      <c r="E4383" s="1072" t="inlineStr">
        <is>
          <t>M2</t>
        </is>
      </c>
      <c r="F4383" s="1071" t="n"/>
      <c r="G4383" s="1073">
        <f t="array" ref="G4383">IF(B4383="insumo",_xlfn.XLOOKUP($D4383,Insumos!$B$1:$B$996,Insumos!$D$1:$D$996),"")</f>
        <v/>
      </c>
      <c r="H4383" s="1073" t="n">
        <v>443.2856</v>
      </c>
      <c r="I4383" s="2163" t="e">
        <v>#REF!</v>
      </c>
      <c r="J4383" s="2163" t="e">
        <v>#REF!</v>
      </c>
      <c r="K4383" s="2163" t="n"/>
    </row>
    <row r="4384" outlineLevel="3" ht="12.75" customHeight="1">
      <c r="A4384" s="82" t="n">
        <v>3</v>
      </c>
      <c r="B4384" s="82" t="inlineStr">
        <is>
          <t>Insumo</t>
        </is>
      </c>
      <c r="C4384" s="82" t="inlineStr">
        <is>
          <t>Revestimento externo de Cerâmica extrudada Brick Tile, 60x15cm com Junta de 2mm</t>
        </is>
      </c>
      <c r="D4384" s="10" t="inlineStr">
        <is>
          <t>Cerâmica Extrudada - Cerâmica Extrudada para Fachada Ventilada tijolo a vista, Modelo Faveton BRICK TILE, medida máxima de 600x150x16mm</t>
        </is>
      </c>
      <c r="E4384" s="11">
        <f t="array" ref="E4384">_xlfn.XLOOKUP(D4384,Insumos!B:B,Insumos!C:$C)</f>
        <v/>
      </c>
      <c r="F4384" s="2164" t="n">
        <v>1.1</v>
      </c>
      <c r="G4384" s="92">
        <f t="array" ref="G4384">IF(B4384="insumo",_xlfn.XLOOKUP($D4384,Insumos!$B$1:$B$996,Insumos!$D$1:$D$996),"")</f>
        <v/>
      </c>
      <c r="H4384" s="92" t="n">
        <v>433.4</v>
      </c>
      <c r="I4384" s="2165" t="e">
        <v>#REF!</v>
      </c>
      <c r="J4384" s="2165" t="e">
        <v>#REF!</v>
      </c>
      <c r="K4384" s="2165" t="n"/>
    </row>
    <row r="4385" outlineLevel="3" ht="12.75" customHeight="1">
      <c r="A4385" s="82" t="n">
        <v>191</v>
      </c>
      <c r="B4385" s="82" t="inlineStr">
        <is>
          <t>Insumo</t>
        </is>
      </c>
      <c r="C4385" s="82" t="inlineStr">
        <is>
          <t>Revestimento externo de Cerâmica extrudada Brick Tile, 60x15cm com Junta de 2mm</t>
        </is>
      </c>
      <c r="D4385" s="82" t="inlineStr">
        <is>
          <t>Argamassa ACIII</t>
        </is>
      </c>
      <c r="E4385" s="11">
        <f t="array" ref="E4385">_xlfn.XLOOKUP(D4385,Insumos!B:B,Insumos!C:$C)</f>
        <v/>
      </c>
      <c r="F4385" s="2164" t="n">
        <v>8.800000000000001</v>
      </c>
      <c r="G4385" s="92">
        <f t="array" ref="G4385">IF(B4385="insumo",_xlfn.XLOOKUP($D4385,Insumos!$B$1:$B$996,Insumos!$D$1:$D$996),"")</f>
        <v/>
      </c>
      <c r="H4385" s="92" t="n">
        <v>9.367599999999999</v>
      </c>
      <c r="I4385" s="2165" t="e">
        <v>#REF!</v>
      </c>
      <c r="J4385" s="2165" t="e">
        <v>#REF!</v>
      </c>
      <c r="K4385" s="2165" t="n"/>
    </row>
    <row r="4386" outlineLevel="3" ht="12.75" customHeight="1">
      <c r="A4386" s="82" t="n">
        <v>142</v>
      </c>
      <c r="B4386" s="82" t="inlineStr">
        <is>
          <t>Insumo</t>
        </is>
      </c>
      <c r="C4386" s="82" t="inlineStr">
        <is>
          <t>Revestimento externo de Cerâmica extrudada Brick Tile, 60x15cm com Junta de 2mm</t>
        </is>
      </c>
      <c r="D4386" s="82" t="inlineStr">
        <is>
          <t>Espeçador junta piso 2mm</t>
        </is>
      </c>
      <c r="E4386" s="11">
        <f t="array" ref="E4386">_xlfn.XLOOKUP(D4386,Insumos!B:B,Insumos!C:$C)</f>
        <v/>
      </c>
      <c r="F4386" s="2164" t="n">
        <v>1</v>
      </c>
      <c r="G4386" s="92">
        <f t="array" ref="G4386">IF(B4386="insumo",_xlfn.XLOOKUP($D4386,Insumos!$B$1:$B$996,Insumos!$D$1:$D$996),"")</f>
        <v/>
      </c>
      <c r="H4386" s="92" t="n">
        <v>0.08</v>
      </c>
      <c r="I4386" s="2165" t="e">
        <v>#REF!</v>
      </c>
      <c r="J4386" s="2165" t="e">
        <v>#REF!</v>
      </c>
      <c r="K4386" s="2165" t="n"/>
    </row>
    <row r="4387" outlineLevel="3" ht="12.75" customHeight="1">
      <c r="A4387" s="82" t="n">
        <v>22</v>
      </c>
      <c r="B4387" s="82" t="inlineStr">
        <is>
          <t>Insumo</t>
        </is>
      </c>
      <c r="C4387" s="82" t="inlineStr">
        <is>
          <t>Revestimento externo de Cerâmica extrudada Brick Tile, 60x15cm com Junta de 2mm</t>
        </is>
      </c>
      <c r="D4387" s="82" t="inlineStr">
        <is>
          <t>Rejunte acrilico</t>
        </is>
      </c>
      <c r="E4387" s="11">
        <f t="array" ref="E4387">_xlfn.XLOOKUP(D4387,Insumos!B:B,Insumos!C:$C)</f>
        <v/>
      </c>
      <c r="F4387" s="2164" t="n">
        <v>0.01</v>
      </c>
      <c r="G4387" s="92">
        <f t="array" ref="G4387">IF(B4387="insumo",_xlfn.XLOOKUP($D4387,Insumos!$B$1:$B$996,Insumos!$D$1:$D$996),"")</f>
        <v/>
      </c>
      <c r="H4387" s="92" t="n">
        <v>0.438</v>
      </c>
      <c r="I4387" s="2165" t="e">
        <v>#REF!</v>
      </c>
      <c r="J4387" s="2165" t="e">
        <v>#REF!</v>
      </c>
      <c r="K4387" s="2165" t="n"/>
    </row>
    <row r="4388" outlineLevel="2" ht="12.75" customHeight="1">
      <c r="A4388" s="1071" t="n">
        <v>1</v>
      </c>
      <c r="B4388" s="1071" t="inlineStr">
        <is>
          <t>Serviço</t>
        </is>
      </c>
      <c r="C4388" s="1071" t="inlineStr">
        <is>
          <t>Revestimento  externo de porcelanato retificado em Paredes, Cinza claro, Placa 60 x 60cm com Junta de 2mm</t>
        </is>
      </c>
      <c r="D4388" s="1071" t="inlineStr">
        <is>
          <t>Revestimento  externo de porcelanato retificado em Paredes, Cinza claro, Placa 60 x 60cm com Junta de 2mm</t>
        </is>
      </c>
      <c r="E4388" s="1072" t="inlineStr">
        <is>
          <t>M2</t>
        </is>
      </c>
      <c r="F4388" s="1071" t="n"/>
      <c r="G4388" s="1073">
        <f t="array" ref="G4388">IF(B4388="insumo",_xlfn.XLOOKUP($D4388,Insumos!$B$1:$B$996,Insumos!$D$1:$D$996),"")</f>
        <v/>
      </c>
      <c r="H4388" s="1073" t="n">
        <v>79.07559999999999</v>
      </c>
      <c r="I4388" s="2163" t="n">
        <v>0</v>
      </c>
      <c r="J4388" s="2163" t="n">
        <v>0</v>
      </c>
      <c r="K4388" s="2163" t="n"/>
    </row>
    <row r="4389" outlineLevel="3" ht="12.75" customHeight="1">
      <c r="A4389" s="82" t="n">
        <v>1</v>
      </c>
      <c r="B4389" s="82" t="inlineStr">
        <is>
          <t>Insumo</t>
        </is>
      </c>
      <c r="C4389" s="82" t="inlineStr">
        <is>
          <t>Revestimento  externo de porcelanato retificado em Paredes, Cinza claro, Placa 60 x 60cm com Junta de 2mm</t>
        </is>
      </c>
      <c r="D4389" s="82" t="inlineStr">
        <is>
          <t>Porcelanato Cemento Nebbia Retificado Acetinado 60x60 Biancogres</t>
        </is>
      </c>
      <c r="E4389" s="11">
        <f t="array" ref="E4389">_xlfn.XLOOKUP(D4389,Insumos!B:B,Insumos!C:$C)</f>
        <v/>
      </c>
      <c r="F4389" s="2164" t="n">
        <v>1.1</v>
      </c>
      <c r="G4389" s="92">
        <f t="array" ref="G4389">IF(B4389="insumo",_xlfn.XLOOKUP($D4389,Insumos!$B$1:$B$996,Insumos!$D$1:$D$996),"")</f>
        <v/>
      </c>
      <c r="H4389" s="92" t="n">
        <v>69.19</v>
      </c>
      <c r="I4389" s="2165" t="n">
        <v>0</v>
      </c>
      <c r="J4389" s="2165" t="n">
        <v>0</v>
      </c>
      <c r="K4389" s="2165" t="n"/>
    </row>
    <row r="4390" outlineLevel="3" ht="12.75" customHeight="1">
      <c r="A4390" s="82" t="n">
        <v>191</v>
      </c>
      <c r="B4390" s="82" t="inlineStr">
        <is>
          <t>Insumo</t>
        </is>
      </c>
      <c r="C4390" s="82" t="inlineStr">
        <is>
          <t>Revestimento  externo de porcelanato retificado em Paredes, Cinza claro, Placa 60 x 60cm com Junta de 2mm</t>
        </is>
      </c>
      <c r="D4390" s="82" t="inlineStr">
        <is>
          <t>Argamassa ACIII</t>
        </is>
      </c>
      <c r="E4390" s="11">
        <f t="array" ref="E4390">_xlfn.XLOOKUP(D4390,Insumos!B:B,Insumos!C:$C)</f>
        <v/>
      </c>
      <c r="F4390" s="2164" t="n">
        <v>8.800000000000001</v>
      </c>
      <c r="G4390" s="92">
        <f t="array" ref="G4390">IF(B4390="insumo",_xlfn.XLOOKUP($D4390,Insumos!$B$1:$B$996,Insumos!$D$1:$D$996),"")</f>
        <v/>
      </c>
      <c r="H4390" s="92" t="n">
        <v>9.367599999999999</v>
      </c>
      <c r="I4390" s="2165" t="n">
        <v>0</v>
      </c>
      <c r="J4390" s="2165" t="n">
        <v>0</v>
      </c>
      <c r="K4390" s="2165" t="n"/>
    </row>
    <row r="4391" outlineLevel="3" ht="12.75" customHeight="1">
      <c r="A4391" s="82" t="n">
        <v>142</v>
      </c>
      <c r="B4391" s="82" t="inlineStr">
        <is>
          <t>Insumo</t>
        </is>
      </c>
      <c r="C4391" s="82" t="inlineStr">
        <is>
          <t>Revestimento  externo de porcelanato retificado em Paredes, Cinza claro, Placa 60 x 60cm com Junta de 2mm</t>
        </is>
      </c>
      <c r="D4391" s="82" t="inlineStr">
        <is>
          <t>Espeçador junta piso 2mm</t>
        </is>
      </c>
      <c r="E4391" s="11">
        <f t="array" ref="E4391">_xlfn.XLOOKUP(D4391,Insumos!B:B,Insumos!C:$C)</f>
        <v/>
      </c>
      <c r="F4391" s="2164" t="n">
        <v>1</v>
      </c>
      <c r="G4391" s="92">
        <f t="array" ref="G4391">IF(B4391="insumo",_xlfn.XLOOKUP($D4391,Insumos!$B$1:$B$996,Insumos!$D$1:$D$996),"")</f>
        <v/>
      </c>
      <c r="H4391" s="92" t="n">
        <v>0.08</v>
      </c>
      <c r="I4391" s="2165" t="n">
        <v>0</v>
      </c>
      <c r="J4391" s="2165" t="n">
        <v>0</v>
      </c>
      <c r="K4391" s="2165" t="n"/>
    </row>
    <row r="4392" outlineLevel="3" ht="12.75" customHeight="1">
      <c r="A4392" s="82" t="n">
        <v>22</v>
      </c>
      <c r="B4392" s="82" t="inlineStr">
        <is>
          <t>Insumo</t>
        </is>
      </c>
      <c r="C4392" s="82" t="inlineStr">
        <is>
          <t>Revestimento  externo de porcelanato retificado em Paredes, Cinza claro, Placa 60 x 60cm com Junta de 2mm</t>
        </is>
      </c>
      <c r="D4392" s="82" t="inlineStr">
        <is>
          <t>Rejunte acrilico</t>
        </is>
      </c>
      <c r="E4392" s="11">
        <f t="array" ref="E4392">_xlfn.XLOOKUP(D4392,Insumos!B:B,Insumos!C:$C)</f>
        <v/>
      </c>
      <c r="F4392" s="2164" t="n">
        <v>0.01</v>
      </c>
      <c r="G4392" s="92">
        <f t="array" ref="G4392">IF(B4392="insumo",_xlfn.XLOOKUP($D4392,Insumos!$B$1:$B$996,Insumos!$D$1:$D$996),"")</f>
        <v/>
      </c>
      <c r="H4392" s="92" t="n">
        <v>0.438</v>
      </c>
      <c r="I4392" s="2165" t="n">
        <v>0</v>
      </c>
      <c r="J4392" s="2165" t="n">
        <v>0</v>
      </c>
      <c r="K4392" s="2165" t="n"/>
    </row>
    <row r="4393" outlineLevel="2" ht="12.75" customHeight="1">
      <c r="A4393" s="1071" t="n">
        <v>1</v>
      </c>
      <c r="B4393" s="1071" t="inlineStr">
        <is>
          <t>Serviço</t>
        </is>
      </c>
      <c r="C4393" s="1071" t="inlineStr">
        <is>
          <t>Revestimento  externo de porcelanato retificado em Paredes, Cinza, Placa 60 x 60cm com Junta de 2mm</t>
        </is>
      </c>
      <c r="D4393" s="1071" t="inlineStr">
        <is>
          <t>Revestimento  externo de porcelanato retificado em Paredes, Cinza, Placa 60 x 60cm com Junta de 2mm</t>
        </is>
      </c>
      <c r="E4393" s="1072" t="inlineStr">
        <is>
          <t>M2</t>
        </is>
      </c>
      <c r="F4393" s="1071" t="n"/>
      <c r="G4393" s="1073">
        <f t="array" ref="G4393">IF(B4393="insumo",_xlfn.XLOOKUP($D4393,Insumos!$B$1:$B$996,Insumos!$D$1:$D$996),"")</f>
        <v/>
      </c>
      <c r="H4393" s="1073" t="n">
        <v>92.3856</v>
      </c>
      <c r="I4393" s="2163" t="n">
        <v>0</v>
      </c>
      <c r="J4393" s="2163" t="n">
        <v>0</v>
      </c>
      <c r="K4393" s="2163" t="n"/>
    </row>
    <row r="4394" outlineLevel="3" ht="12.75" customHeight="1">
      <c r="A4394" s="82" t="n">
        <v>1</v>
      </c>
      <c r="B4394" s="82" t="inlineStr">
        <is>
          <t>Insumo</t>
        </is>
      </c>
      <c r="C4394" s="82" t="inlineStr">
        <is>
          <t>Revestimento  externo de porcelanato retificado em Paredes, Cinza, Placa 60 x 60cm com Junta de 2mm</t>
        </is>
      </c>
      <c r="D4394" s="82" t="inlineStr">
        <is>
          <t>Piso Esmaltado 60x60 Duran Grafite 60319 Retificado</t>
        </is>
      </c>
      <c r="E4394" s="11">
        <f t="array" ref="E4394">_xlfn.XLOOKUP(D4394,Insumos!B:B,Insumos!C:$C)</f>
        <v/>
      </c>
      <c r="F4394" s="2164" t="n">
        <v>1.1</v>
      </c>
      <c r="G4394" s="92">
        <f t="array" ref="G4394">IF(B4394="insumo",_xlfn.XLOOKUP($D4394,Insumos!$B$1:$B$996,Insumos!$D$1:$D$996),"")</f>
        <v/>
      </c>
      <c r="H4394" s="92" t="n">
        <v>82.5</v>
      </c>
      <c r="I4394" s="2165" t="n">
        <v>0</v>
      </c>
      <c r="J4394" s="2165" t="n">
        <v>0</v>
      </c>
      <c r="K4394" s="2165" t="n"/>
    </row>
    <row r="4395" outlineLevel="3" ht="12.75" customHeight="1">
      <c r="A4395" s="82" t="n">
        <v>191</v>
      </c>
      <c r="B4395" s="82" t="inlineStr">
        <is>
          <t>Insumo</t>
        </is>
      </c>
      <c r="C4395" s="82" t="inlineStr">
        <is>
          <t>Revestimento  externo de porcelanato retificado em Paredes, Cinza, Placa 60 x 60cm com Junta de 2mm</t>
        </is>
      </c>
      <c r="D4395" s="82" t="inlineStr">
        <is>
          <t>Argamassa ACIII</t>
        </is>
      </c>
      <c r="E4395" s="11">
        <f t="array" ref="E4395">_xlfn.XLOOKUP(D4395,Insumos!B:B,Insumos!C:$C)</f>
        <v/>
      </c>
      <c r="F4395" s="2164" t="n">
        <v>8.800000000000001</v>
      </c>
      <c r="G4395" s="92">
        <f t="array" ref="G4395">IF(B4395="insumo",_xlfn.XLOOKUP($D4395,Insumos!$B$1:$B$996,Insumos!$D$1:$D$996),"")</f>
        <v/>
      </c>
      <c r="H4395" s="92" t="n">
        <v>9.367599999999999</v>
      </c>
      <c r="I4395" s="2165" t="n">
        <v>0</v>
      </c>
      <c r="J4395" s="2165" t="n">
        <v>0</v>
      </c>
      <c r="K4395" s="2165" t="n"/>
    </row>
    <row r="4396" outlineLevel="3" ht="12.75" customHeight="1">
      <c r="A4396" s="82" t="n">
        <v>142</v>
      </c>
      <c r="B4396" s="82" t="inlineStr">
        <is>
          <t>Insumo</t>
        </is>
      </c>
      <c r="C4396" s="82" t="inlineStr">
        <is>
          <t>Revestimento  externo de porcelanato retificado em Paredes, Cinza, Placa 60 x 60cm com Junta de 2mm</t>
        </is>
      </c>
      <c r="D4396" s="82" t="inlineStr">
        <is>
          <t>Espeçador junta piso 2mm</t>
        </is>
      </c>
      <c r="E4396" s="11">
        <f t="array" ref="E4396">_xlfn.XLOOKUP(D4396,Insumos!B:B,Insumos!C:$C)</f>
        <v/>
      </c>
      <c r="F4396" s="2164" t="n">
        <v>1</v>
      </c>
      <c r="G4396" s="92">
        <f t="array" ref="G4396">IF(B4396="insumo",_xlfn.XLOOKUP($D4396,Insumos!$B$1:$B$996,Insumos!$D$1:$D$996),"")</f>
        <v/>
      </c>
      <c r="H4396" s="92" t="n">
        <v>0.08</v>
      </c>
      <c r="I4396" s="2165" t="n">
        <v>0</v>
      </c>
      <c r="J4396" s="2165" t="n">
        <v>0</v>
      </c>
      <c r="K4396" s="2165" t="n"/>
    </row>
    <row r="4397" outlineLevel="3" ht="12.75" customHeight="1">
      <c r="A4397" s="82" t="n">
        <v>22</v>
      </c>
      <c r="B4397" s="82" t="inlineStr">
        <is>
          <t>Insumo</t>
        </is>
      </c>
      <c r="C4397" s="82" t="inlineStr">
        <is>
          <t>Revestimento  externo de porcelanato retificado em Paredes, Cinza, Placa 60 x 60cm com Junta de 2mm</t>
        </is>
      </c>
      <c r="D4397" s="82" t="inlineStr">
        <is>
          <t>Rejunte acrilico</t>
        </is>
      </c>
      <c r="E4397" s="11">
        <f t="array" ref="E4397">_xlfn.XLOOKUP(D4397,Insumos!B:B,Insumos!C:$C)</f>
        <v/>
      </c>
      <c r="F4397" s="2164" t="n">
        <v>0.01</v>
      </c>
      <c r="G4397" s="92">
        <f t="array" ref="G4397">IF(B4397="insumo",_xlfn.XLOOKUP($D4397,Insumos!$B$1:$B$996,Insumos!$D$1:$D$996),"")</f>
        <v/>
      </c>
      <c r="H4397" s="92" t="n">
        <v>0.438</v>
      </c>
      <c r="I4397" s="2165" t="n">
        <v>0</v>
      </c>
      <c r="J4397" s="2165" t="n">
        <v>0</v>
      </c>
      <c r="K4397" s="2165" t="n"/>
    </row>
    <row r="4398" outlineLevel="2" ht="12.75" customHeight="1">
      <c r="A4398" s="1071" t="n">
        <v>1</v>
      </c>
      <c r="B4398" s="1071" t="inlineStr">
        <is>
          <t>Serviço</t>
        </is>
      </c>
      <c r="C4398" s="1071" t="inlineStr">
        <is>
          <t>Revestimento  externo de porcelanato retificado Preto em Paredes, Placa 60 x 60cm com Junta de 2mm</t>
        </is>
      </c>
      <c r="D4398" s="1071" t="inlineStr">
        <is>
          <t>Revestimento  externo de porcelanato retificado Preto em Paredes, Placa 60 x 60cm com Junta de 2mm</t>
        </is>
      </c>
      <c r="E4398" s="1072" t="inlineStr">
        <is>
          <t>M2</t>
        </is>
      </c>
      <c r="F4398" s="1071" t="n"/>
      <c r="G4398" s="1073">
        <f t="array" ref="G4398">IF(B4398="insumo",_xlfn.XLOOKUP($D4398,Insumos!$B$1:$B$996,Insumos!$D$1:$D$996),"")</f>
        <v/>
      </c>
      <c r="H4398" s="1073" t="n">
        <v>86.82448888888889</v>
      </c>
      <c r="I4398" s="2163" t="n">
        <v>0</v>
      </c>
      <c r="J4398" s="2163" t="n">
        <v>0</v>
      </c>
      <c r="K4398" s="2163" t="n"/>
    </row>
    <row r="4399" outlineLevel="3" ht="12.75" customHeight="1">
      <c r="A4399" s="82" t="n">
        <v>1</v>
      </c>
      <c r="B4399" s="82" t="inlineStr">
        <is>
          <t>Insumo</t>
        </is>
      </c>
      <c r="C4399" s="82" t="inlineStr">
        <is>
          <t>Revestimento  externo de porcelanato retificado Preto em Paredes, Placa 60 x 60cm com Junta de 2mm</t>
        </is>
      </c>
      <c r="D4399" s="82" t="inlineStr">
        <is>
          <t>Porcelanato a 60x60 noir polido</t>
        </is>
      </c>
      <c r="E4399" s="11">
        <f t="array" ref="E4399">_xlfn.XLOOKUP(D4399,Insumos!B:B,Insumos!C:$C)</f>
        <v/>
      </c>
      <c r="F4399" s="2164" t="n">
        <v>1.1</v>
      </c>
      <c r="G4399" s="92">
        <f t="array" ref="G4399">IF(B4399="insumo",_xlfn.XLOOKUP($D4399,Insumos!$B$1:$B$996,Insumos!$D$1:$D$996),"")</f>
        <v/>
      </c>
      <c r="H4399" s="92" t="n">
        <v>76.9388888888889</v>
      </c>
      <c r="I4399" s="2165" t="n">
        <v>0</v>
      </c>
      <c r="J4399" s="2165" t="n">
        <v>0</v>
      </c>
      <c r="K4399" s="2165" t="n"/>
    </row>
    <row r="4400" outlineLevel="3" ht="12.75" customHeight="1">
      <c r="A4400" s="82" t="n">
        <v>191</v>
      </c>
      <c r="B4400" s="82" t="inlineStr">
        <is>
          <t>Insumo</t>
        </is>
      </c>
      <c r="C4400" s="82" t="inlineStr">
        <is>
          <t>Revestimento  externo de porcelanato retificado Preto em Paredes, Placa 60 x 60cm com Junta de 2mm</t>
        </is>
      </c>
      <c r="D4400" s="82" t="inlineStr">
        <is>
          <t>Argamassa ACIII</t>
        </is>
      </c>
      <c r="E4400" s="11">
        <f t="array" ref="E4400">_xlfn.XLOOKUP(D4400,Insumos!B:B,Insumos!C:$C)</f>
        <v/>
      </c>
      <c r="F4400" s="2164" t="n">
        <v>8.800000000000001</v>
      </c>
      <c r="G4400" s="92">
        <f t="array" ref="G4400">IF(B4400="insumo",_xlfn.XLOOKUP($D4400,Insumos!$B$1:$B$996,Insumos!$D$1:$D$996),"")</f>
        <v/>
      </c>
      <c r="H4400" s="92" t="n">
        <v>9.367599999999999</v>
      </c>
      <c r="I4400" s="2165" t="n">
        <v>0</v>
      </c>
      <c r="J4400" s="2165" t="n">
        <v>0</v>
      </c>
      <c r="K4400" s="2165" t="n"/>
    </row>
    <row r="4401" outlineLevel="3" ht="12.75" customHeight="1">
      <c r="A4401" s="82" t="n">
        <v>142</v>
      </c>
      <c r="B4401" s="82" t="inlineStr">
        <is>
          <t>Insumo</t>
        </is>
      </c>
      <c r="C4401" s="82" t="inlineStr">
        <is>
          <t>Revestimento  externo de porcelanato retificado Preto em Paredes, Placa 60 x 60cm com Junta de 2mm</t>
        </is>
      </c>
      <c r="D4401" s="82" t="inlineStr">
        <is>
          <t>Espeçador junta piso 2mm</t>
        </is>
      </c>
      <c r="E4401" s="11">
        <f t="array" ref="E4401">_xlfn.XLOOKUP(D4401,Insumos!B:B,Insumos!C:$C)</f>
        <v/>
      </c>
      <c r="F4401" s="2164" t="n">
        <v>1</v>
      </c>
      <c r="G4401" s="92">
        <f t="array" ref="G4401">IF(B4401="insumo",_xlfn.XLOOKUP($D4401,Insumos!$B$1:$B$996,Insumos!$D$1:$D$996),"")</f>
        <v/>
      </c>
      <c r="H4401" s="92" t="n">
        <v>0.08</v>
      </c>
      <c r="I4401" s="2165" t="n">
        <v>0</v>
      </c>
      <c r="J4401" s="2165" t="n">
        <v>0</v>
      </c>
      <c r="K4401" s="2165" t="n"/>
    </row>
    <row r="4402" outlineLevel="3" ht="12.75" customHeight="1">
      <c r="A4402" s="82" t="n">
        <v>22</v>
      </c>
      <c r="B4402" s="82" t="inlineStr">
        <is>
          <t>Insumo</t>
        </is>
      </c>
      <c r="C4402" s="82" t="inlineStr">
        <is>
          <t>Revestimento  externo de porcelanato retificado Preto em Paredes, Placa 60 x 60cm com Junta de 2mm</t>
        </is>
      </c>
      <c r="D4402" s="82" t="inlineStr">
        <is>
          <t>Rejunte acrilico</t>
        </is>
      </c>
      <c r="E4402" s="11">
        <f t="array" ref="E4402">_xlfn.XLOOKUP(D4402,Insumos!B:B,Insumos!C:$C)</f>
        <v/>
      </c>
      <c r="F4402" s="2164" t="n">
        <v>0.01</v>
      </c>
      <c r="G4402" s="92">
        <f t="array" ref="G4402">IF(B4402="insumo",_xlfn.XLOOKUP($D4402,Insumos!$B$1:$B$996,Insumos!$D$1:$D$996),"")</f>
        <v/>
      </c>
      <c r="H4402" s="92" t="n">
        <v>0.438</v>
      </c>
      <c r="I4402" s="2165" t="n">
        <v>0</v>
      </c>
      <c r="J4402" s="2165" t="n">
        <v>0</v>
      </c>
      <c r="K4402" s="2165" t="n"/>
    </row>
    <row r="4403" outlineLevel="1" ht="15.75" customHeight="1">
      <c r="A4403" s="1090" t="n">
        <v>1</v>
      </c>
      <c r="B4403" s="1090" t="inlineStr">
        <is>
          <t>Subetapa</t>
        </is>
      </c>
      <c r="C4403" s="1090" t="inlineStr">
        <is>
          <t>Revestimento  externo de porcelanato retificado Preto em Paredes, Placa 60 x 60cm com Junta de 2mm</t>
        </is>
      </c>
      <c r="D4403" s="1090" t="inlineStr">
        <is>
          <t>REVESTIMENTO PEDRAS E GRANITOS</t>
        </is>
      </c>
      <c r="E4403" s="1091" t="n"/>
      <c r="F4403" s="2160" t="n"/>
      <c r="G4403" s="1091" t="n"/>
      <c r="H4403" s="1091" t="n">
        <v>0</v>
      </c>
      <c r="I4403" s="2160" t="n">
        <v>0</v>
      </c>
      <c r="J4403" s="2160" t="n">
        <v>0</v>
      </c>
      <c r="K4403" s="2160" t="n"/>
    </row>
    <row r="4404" outlineLevel="2" ht="15.75" customHeight="1">
      <c r="A4404" s="1067" t="n">
        <v>1</v>
      </c>
      <c r="B4404" s="1067" t="inlineStr">
        <is>
          <t>Serviço</t>
        </is>
      </c>
      <c r="C4404" s="1067" t="inlineStr">
        <is>
          <t>Revestimento em Pedra Natural Aplicado em Fachadas</t>
        </is>
      </c>
      <c r="D4404" s="1067" t="inlineStr">
        <is>
          <t>Revestimento em Pedra Natural Aplicado em Fachadas</t>
        </is>
      </c>
      <c r="E4404" s="1068" t="inlineStr">
        <is>
          <t>M2</t>
        </is>
      </c>
      <c r="F4404" s="1067" t="n"/>
      <c r="G4404" s="1069">
        <f t="array" ref="G4404">IF(B4404="insumo",_xlfn.XLOOKUP($D4404,Insumos!$B$1:$B$996,Insumos!$D$1:$D$996),"")</f>
        <v/>
      </c>
      <c r="H4404" s="1069" t="n">
        <v>898.2455</v>
      </c>
      <c r="I4404" s="2161" t="n">
        <v>0</v>
      </c>
      <c r="J4404" s="2161" t="n">
        <v>0</v>
      </c>
      <c r="K4404" s="2161" t="n"/>
    </row>
    <row r="4405" outlineLevel="3" ht="15.75" customHeight="1">
      <c r="A4405" s="10" t="n">
        <v>10</v>
      </c>
      <c r="B4405" s="10" t="inlineStr">
        <is>
          <t>Insumo</t>
        </is>
      </c>
      <c r="C4405" s="10" t="inlineStr">
        <is>
          <t>Revestimento em Pedra Natural Aplicado em Fachadas</t>
        </is>
      </c>
      <c r="D4405" s="10" t="inlineStr">
        <is>
          <t>Pedra Natural  para Revestimento</t>
        </is>
      </c>
      <c r="E4405" s="11">
        <f t="array" ref="E4405">_xlfn.XLOOKUP(D4405,Insumos!B:B,Insumos!C:$C)</f>
        <v/>
      </c>
      <c r="F4405" s="14" t="n">
        <v>1.1</v>
      </c>
      <c r="G4405" s="92">
        <f t="array" ref="G4405">IF(B4405="insumo",_xlfn.XLOOKUP($D4405,Insumos!$B$1:$B$996,Insumos!$D$1:$D$996),"")</f>
        <v/>
      </c>
      <c r="H4405" s="92" t="n">
        <v>880</v>
      </c>
      <c r="I4405" s="2162" t="n">
        <v>0</v>
      </c>
      <c r="J4405" s="2162" t="n">
        <v>0</v>
      </c>
      <c r="K4405" s="2162" t="n"/>
    </row>
    <row r="4406" outlineLevel="3" ht="15.75" customHeight="1">
      <c r="A4406" s="10" t="n">
        <v>191</v>
      </c>
      <c r="B4406" s="10" t="inlineStr">
        <is>
          <t>Insumo</t>
        </is>
      </c>
      <c r="C4406" s="10" t="inlineStr">
        <is>
          <t>Revestimento em Pedra Natural Aplicado em Fachadas</t>
        </is>
      </c>
      <c r="D4406" s="10" t="inlineStr">
        <is>
          <t>Argamassa ACIII</t>
        </is>
      </c>
      <c r="E4406" s="11">
        <f t="array" ref="E4406">_xlfn.XLOOKUP(D4406,Insumos!B:B,Insumos!C:$C)</f>
        <v/>
      </c>
      <c r="F4406" s="14" t="n">
        <v>9</v>
      </c>
      <c r="G4406" s="92">
        <f t="array" ref="G4406">IF(B4406="insumo",_xlfn.XLOOKUP($D4406,Insumos!$B$1:$B$996,Insumos!$D$1:$D$996),"")</f>
        <v/>
      </c>
      <c r="H4406" s="92" t="n">
        <v>9.580500000000001</v>
      </c>
      <c r="I4406" s="2162" t="n">
        <v>0</v>
      </c>
      <c r="J4406" s="2162" t="n">
        <v>0</v>
      </c>
      <c r="K4406" s="2162" t="n"/>
    </row>
    <row r="4407" outlineLevel="3" ht="15.75" customHeight="1">
      <c r="A4407" s="10" t="n">
        <v>34</v>
      </c>
      <c r="B4407" s="10" t="inlineStr">
        <is>
          <t>Insumo</t>
        </is>
      </c>
      <c r="C4407" s="10" t="inlineStr">
        <is>
          <t>Revestimento em Pedra Natural Aplicado em Fachadas</t>
        </is>
      </c>
      <c r="D4407" s="10" t="inlineStr">
        <is>
          <t>Massa Plastica 400g</t>
        </is>
      </c>
      <c r="E4407" s="11">
        <f t="array" ref="E4407">_xlfn.XLOOKUP(D4407,Insumos!B:B,Insumos!C:$C)</f>
        <v/>
      </c>
      <c r="F4407" s="14" t="n">
        <v>0.5</v>
      </c>
      <c r="G4407" s="92">
        <f t="array" ref="G4407">IF(B4407="insumo",_xlfn.XLOOKUP($D4407,Insumos!$B$1:$B$996,Insumos!$D$1:$D$996),"")</f>
        <v/>
      </c>
      <c r="H4407" s="92" t="n">
        <v>8.664999999999999</v>
      </c>
      <c r="I4407" s="2162" t="n">
        <v>0</v>
      </c>
      <c r="J4407" s="2162" t="n">
        <v>0</v>
      </c>
      <c r="K4407" s="2162" t="n"/>
    </row>
    <row r="4408" outlineLevel="2" ht="15.75" customHeight="1">
      <c r="A4408" s="1067" t="n">
        <v>1</v>
      </c>
      <c r="B4408" s="1067" t="inlineStr">
        <is>
          <t>Serviço</t>
        </is>
      </c>
      <c r="C4408" s="1067" t="inlineStr">
        <is>
          <t>Revestimento em Pedra Natural São Tomé</t>
        </is>
      </c>
      <c r="D4408" s="1067" t="inlineStr">
        <is>
          <t>Revestimento em Pedra Natural São Tomé</t>
        </is>
      </c>
      <c r="E4408" s="1068" t="inlineStr">
        <is>
          <t>M2</t>
        </is>
      </c>
      <c r="F4408" s="1067" t="n"/>
      <c r="G4408" s="1069">
        <f t="array" ref="G4408">IF(B4408="insumo",_xlfn.XLOOKUP($D4408,Insumos!$B$1:$B$996,Insumos!$D$1:$D$996),"")</f>
        <v/>
      </c>
      <c r="H4408" s="1069" t="n">
        <v>733.2455</v>
      </c>
      <c r="I4408" s="2161" t="n">
        <v>0</v>
      </c>
      <c r="J4408" s="2161" t="n">
        <v>0</v>
      </c>
      <c r="K4408" s="2161" t="n"/>
    </row>
    <row r="4409" outlineLevel="3" ht="15.75" customHeight="1">
      <c r="A4409" s="10" t="n">
        <v>1</v>
      </c>
      <c r="B4409" s="10" t="inlineStr">
        <is>
          <t>Insumo</t>
        </is>
      </c>
      <c r="C4409" s="10" t="inlineStr">
        <is>
          <t>Revestimento em Pedra Natural São Tomé</t>
        </is>
      </c>
      <c r="D4409" s="10" t="inlineStr">
        <is>
          <t>Mosaico São Tomé Para Paredes e Fachadas</t>
        </is>
      </c>
      <c r="E4409" s="11">
        <f t="array" ref="E4409">_xlfn.XLOOKUP(D4409,Insumos!B:B,Insumos!C:$C)</f>
        <v/>
      </c>
      <c r="F4409" s="14" t="n">
        <v>1.1</v>
      </c>
      <c r="G4409" s="92">
        <f t="array" ref="G4409">IF(B4409="insumo",_xlfn.XLOOKUP($D4409,Insumos!$B$1:$B$996,Insumos!$D$1:$D$996),"")</f>
        <v/>
      </c>
      <c r="H4409" s="92" t="n">
        <v>715</v>
      </c>
      <c r="I4409" s="2162" t="n">
        <v>0</v>
      </c>
      <c r="J4409" s="2162" t="n">
        <v>0</v>
      </c>
      <c r="K4409" s="2162" t="n"/>
    </row>
    <row r="4410" outlineLevel="3" ht="15.75" customHeight="1">
      <c r="A4410" s="10" t="n">
        <v>191</v>
      </c>
      <c r="B4410" s="10" t="inlineStr">
        <is>
          <t>Insumo</t>
        </is>
      </c>
      <c r="C4410" s="10" t="inlineStr">
        <is>
          <t>Revestimento em Pedra Natural São Tomé</t>
        </is>
      </c>
      <c r="D4410" s="10" t="inlineStr">
        <is>
          <t>Argamassa ACIII</t>
        </is>
      </c>
      <c r="E4410" s="11">
        <f t="array" ref="E4410">_xlfn.XLOOKUP(D4410,Insumos!B:B,Insumos!C:$C)</f>
        <v/>
      </c>
      <c r="F4410" s="14" t="n">
        <v>9</v>
      </c>
      <c r="G4410" s="92">
        <f t="array" ref="G4410">IF(B4410="insumo",_xlfn.XLOOKUP($D4410,Insumos!$B$1:$B$996,Insumos!$D$1:$D$996),"")</f>
        <v/>
      </c>
      <c r="H4410" s="92" t="n">
        <v>9.580500000000001</v>
      </c>
      <c r="I4410" s="2162" t="n">
        <v>0</v>
      </c>
      <c r="J4410" s="2162" t="n">
        <v>0</v>
      </c>
      <c r="K4410" s="2162" t="n"/>
    </row>
    <row r="4411" outlineLevel="3" ht="15.75" customHeight="1">
      <c r="A4411" s="10" t="n">
        <v>34</v>
      </c>
      <c r="B4411" s="10" t="inlineStr">
        <is>
          <t>Insumo</t>
        </is>
      </c>
      <c r="C4411" s="10" t="inlineStr">
        <is>
          <t>Revestimento em Pedra Natural São Tomé</t>
        </is>
      </c>
      <c r="D4411" s="10" t="inlineStr">
        <is>
          <t>Massa Plastica 400g</t>
        </is>
      </c>
      <c r="E4411" s="11">
        <f t="array" ref="E4411">_xlfn.XLOOKUP(D4411,Insumos!B:B,Insumos!C:$C)</f>
        <v/>
      </c>
      <c r="F4411" s="14" t="n">
        <v>0.5</v>
      </c>
      <c r="G4411" s="92">
        <f t="array" ref="G4411">IF(B4411="insumo",_xlfn.XLOOKUP($D4411,Insumos!$B$1:$B$996,Insumos!$D$1:$D$996),"")</f>
        <v/>
      </c>
      <c r="H4411" s="92" t="n">
        <v>8.664999999999999</v>
      </c>
      <c r="I4411" s="2162" t="n">
        <v>0</v>
      </c>
      <c r="J4411" s="2162" t="n">
        <v>0</v>
      </c>
      <c r="K4411" s="2162" t="n"/>
    </row>
    <row r="4412" outlineLevel="2" ht="15.75" customHeight="1">
      <c r="A4412" s="1067" t="n">
        <v>1</v>
      </c>
      <c r="B4412" s="1067" t="inlineStr">
        <is>
          <t>Serviço</t>
        </is>
      </c>
      <c r="C4412" s="1067" t="inlineStr">
        <is>
          <t>Revestimento em Pedra Natural Aplicado em Fachadas Para Espelho da água</t>
        </is>
      </c>
      <c r="D4412" s="1067" t="inlineStr">
        <is>
          <t>Revestimento em Pedra Natural Aplicado em Fachadas Para Espelho da água</t>
        </is>
      </c>
      <c r="E4412" s="1068" t="inlineStr">
        <is>
          <t>M2</t>
        </is>
      </c>
      <c r="F4412" s="1067" t="n"/>
      <c r="G4412" s="1069">
        <f t="array" ref="G4412">IF(B4412="insumo",_xlfn.XLOOKUP($D4412,Insumos!$B$1:$B$996,Insumos!$D$1:$D$996),"")</f>
        <v/>
      </c>
      <c r="H4412" s="1069" t="n">
        <v>568.7755</v>
      </c>
      <c r="I4412" s="2161" t="n">
        <v>0</v>
      </c>
      <c r="J4412" s="2161" t="n">
        <v>0</v>
      </c>
      <c r="K4412" s="2161" t="n"/>
    </row>
    <row r="4413" outlineLevel="3" ht="15.75" customHeight="1">
      <c r="A4413" s="10" t="n">
        <v>1</v>
      </c>
      <c r="B4413" s="10" t="inlineStr">
        <is>
          <t>Insumo</t>
        </is>
      </c>
      <c r="C4413" s="10" t="inlineStr">
        <is>
          <t>Revestimento em Pedra Natural Aplicado em Fachadas Para Espelho da água</t>
        </is>
      </c>
      <c r="D4413" s="10" t="inlineStr">
        <is>
          <t>Black Lava Brick (Hitam)</t>
        </is>
      </c>
      <c r="E4413" s="11">
        <f t="array" ref="E4413">_xlfn.XLOOKUP(D4413,Insumos!B:B,Insumos!C:$C)</f>
        <v/>
      </c>
      <c r="F4413" s="14" t="n">
        <v>1.1</v>
      </c>
      <c r="G4413" s="92">
        <f t="array" ref="G4413">IF(B4413="insumo",_xlfn.XLOOKUP($D4413,Insumos!$B$1:$B$996,Insumos!$D$1:$D$996),"")</f>
        <v/>
      </c>
      <c r="H4413" s="92" t="n">
        <v>553.3</v>
      </c>
      <c r="I4413" s="2162" t="n">
        <v>0</v>
      </c>
      <c r="J4413" s="2162" t="n">
        <v>0</v>
      </c>
      <c r="K4413" s="2162" t="n"/>
    </row>
    <row r="4414" outlineLevel="3" ht="15.75" customHeight="1">
      <c r="A4414" s="10" t="n">
        <v>191</v>
      </c>
      <c r="B4414" s="10" t="inlineStr">
        <is>
          <t>Insumo</t>
        </is>
      </c>
      <c r="C4414" s="10" t="inlineStr">
        <is>
          <t>Revestimento em Pedra Natural Aplicado em Fachadas Para Espelho da água</t>
        </is>
      </c>
      <c r="D4414" s="10" t="inlineStr">
        <is>
          <t>Argamassa ACIII</t>
        </is>
      </c>
      <c r="E4414" s="11">
        <f t="array" ref="E4414">_xlfn.XLOOKUP(D4414,Insumos!B:B,Insumos!C:$C)</f>
        <v/>
      </c>
      <c r="F4414" s="14" t="n">
        <v>9</v>
      </c>
      <c r="G4414" s="92">
        <f t="array" ref="G4414">IF(B4414="insumo",_xlfn.XLOOKUP($D4414,Insumos!$B$1:$B$996,Insumos!$D$1:$D$996),"")</f>
        <v/>
      </c>
      <c r="H4414" s="92" t="n">
        <v>9.580500000000001</v>
      </c>
      <c r="I4414" s="2162" t="n">
        <v>0</v>
      </c>
      <c r="J4414" s="2162" t="n">
        <v>0</v>
      </c>
      <c r="K4414" s="2162" t="n"/>
    </row>
    <row r="4415" outlineLevel="3" ht="15.75" customHeight="1">
      <c r="A4415" s="10" t="n">
        <v>142</v>
      </c>
      <c r="B4415" s="10" t="inlineStr">
        <is>
          <t>Insumo</t>
        </is>
      </c>
      <c r="C4415" s="10" t="inlineStr">
        <is>
          <t>Revestimento em Pedra Natural Aplicado em Fachadas Para Espelho da água</t>
        </is>
      </c>
      <c r="D4415" s="10" t="inlineStr">
        <is>
          <t>Espeçador junta piso 2mm</t>
        </is>
      </c>
      <c r="E4415" s="11">
        <f t="array" ref="E4415">_xlfn.XLOOKUP(D4415,Insumos!B:B,Insumos!C:$C)</f>
        <v/>
      </c>
      <c r="F4415" s="14" t="n">
        <v>4</v>
      </c>
      <c r="G4415" s="92">
        <f t="array" ref="G4415">IF(B4415="insumo",_xlfn.XLOOKUP($D4415,Insumos!$B$1:$B$996,Insumos!$D$1:$D$996),"")</f>
        <v/>
      </c>
      <c r="H4415" s="92" t="n">
        <v>0.32</v>
      </c>
      <c r="I4415" s="2162" t="n">
        <v>0</v>
      </c>
      <c r="J4415" s="2162" t="n">
        <v>0</v>
      </c>
      <c r="K4415" s="2162" t="n"/>
    </row>
    <row r="4416" outlineLevel="3" ht="15.75" customHeight="1">
      <c r="A4416" s="10" t="n">
        <v>101</v>
      </c>
      <c r="B4416" s="10" t="inlineStr">
        <is>
          <t>Insumo</t>
        </is>
      </c>
      <c r="C4416" s="10" t="inlineStr">
        <is>
          <t>Revestimento em Pedra Natural Aplicado em Fachadas Para Espelho da água</t>
        </is>
      </c>
      <c r="D4416" s="10" t="inlineStr">
        <is>
          <t>Rejunte Cimentício</t>
        </is>
      </c>
      <c r="E4416" s="11">
        <f t="array" ref="E4416">_xlfn.XLOOKUP(D4416,Insumos!B:B,Insumos!C:$C)</f>
        <v/>
      </c>
      <c r="F4416" s="14" t="n">
        <v>0.5</v>
      </c>
      <c r="G4416" s="92">
        <f t="array" ref="G4416">IF(B4416="insumo",_xlfn.XLOOKUP($D4416,Insumos!$B$1:$B$996,Insumos!$D$1:$D$996),"")</f>
        <v/>
      </c>
      <c r="H4416" s="92" t="n">
        <v>5.575</v>
      </c>
      <c r="I4416" s="2162" t="n">
        <v>0</v>
      </c>
      <c r="J4416" s="2162" t="n">
        <v>0</v>
      </c>
      <c r="K4416" s="2162" t="n"/>
    </row>
    <row r="4417" outlineLevel="2" ht="15.75" customHeight="1">
      <c r="A4417" s="1067" t="n">
        <v>1</v>
      </c>
      <c r="B4417" s="1067" t="inlineStr">
        <is>
          <t>Serviço</t>
        </is>
      </c>
      <c r="C4417" s="1067" t="inlineStr">
        <is>
          <t>Revestimento em Pedra Natural Aplicado em Fachadas Para fogueira</t>
        </is>
      </c>
      <c r="D4417" s="1067" t="inlineStr">
        <is>
          <t>Revestimento em Pedra Natural Aplicado em Fachadas Para fogueira</t>
        </is>
      </c>
      <c r="E4417" s="1068" t="inlineStr">
        <is>
          <t>M2</t>
        </is>
      </c>
      <c r="F4417" s="1067" t="n"/>
      <c r="G4417" s="1069">
        <f t="array" ref="G4417">IF(B4417="insumo",_xlfn.XLOOKUP($D4417,Insumos!$B$1:$B$996,Insumos!$D$1:$D$996),"")</f>
        <v/>
      </c>
      <c r="H4417" s="1069" t="n">
        <v>730.4755</v>
      </c>
      <c r="I4417" s="2161" t="n">
        <v>0</v>
      </c>
      <c r="J4417" s="2161" t="n">
        <v>0</v>
      </c>
      <c r="K4417" s="2161" t="n"/>
    </row>
    <row r="4418" outlineLevel="3" ht="15.75" customHeight="1">
      <c r="A4418" s="10" t="n">
        <v>3</v>
      </c>
      <c r="B4418" s="10" t="inlineStr">
        <is>
          <t>Insumo</t>
        </is>
      </c>
      <c r="C4418" s="10" t="inlineStr">
        <is>
          <t>Revestimento em Pedra Natural Aplicado em Fachadas Para fogueira</t>
        </is>
      </c>
      <c r="D4418" s="10" t="inlineStr">
        <is>
          <t>Granito siena branco</t>
        </is>
      </c>
      <c r="E4418" s="11">
        <f t="array" ref="E4418">_xlfn.XLOOKUP(D4418,Insumos!B:B,Insumos!C:$C)</f>
        <v/>
      </c>
      <c r="F4418" s="14" t="n">
        <v>1.1</v>
      </c>
      <c r="G4418" s="92">
        <f t="array" ref="G4418">IF(B4418="insumo",_xlfn.XLOOKUP($D4418,Insumos!$B$1:$B$996,Insumos!$D$1:$D$996),"")</f>
        <v/>
      </c>
      <c r="H4418" s="92" t="n">
        <v>715</v>
      </c>
      <c r="I4418" s="2162" t="n">
        <v>0</v>
      </c>
      <c r="J4418" s="2162" t="n">
        <v>0</v>
      </c>
      <c r="K4418" s="2162" t="n"/>
    </row>
    <row r="4419" outlineLevel="3" ht="15.75" customHeight="1">
      <c r="A4419" s="10" t="n">
        <v>191</v>
      </c>
      <c r="B4419" s="10" t="inlineStr">
        <is>
          <t>Insumo</t>
        </is>
      </c>
      <c r="C4419" s="10" t="inlineStr">
        <is>
          <t>Revestimento em Pedra Natural Aplicado em Fachadas Para fogueira</t>
        </is>
      </c>
      <c r="D4419" s="10" t="inlineStr">
        <is>
          <t>Argamassa ACIII</t>
        </is>
      </c>
      <c r="E4419" s="11">
        <f t="array" ref="E4419">_xlfn.XLOOKUP(D4419,Insumos!B:B,Insumos!C:$C)</f>
        <v/>
      </c>
      <c r="F4419" s="14" t="n">
        <v>9</v>
      </c>
      <c r="G4419" s="92">
        <f t="array" ref="G4419">IF(B4419="insumo",_xlfn.XLOOKUP($D4419,Insumos!$B$1:$B$996,Insumos!$D$1:$D$996),"")</f>
        <v/>
      </c>
      <c r="H4419" s="92" t="n">
        <v>9.580500000000001</v>
      </c>
      <c r="I4419" s="2162" t="n">
        <v>0</v>
      </c>
      <c r="J4419" s="2162" t="n">
        <v>0</v>
      </c>
      <c r="K4419" s="2162" t="n"/>
    </row>
    <row r="4420" outlineLevel="3" ht="15.75" customHeight="1">
      <c r="A4420" s="10" t="n">
        <v>142</v>
      </c>
      <c r="B4420" s="10" t="inlineStr">
        <is>
          <t>Insumo</t>
        </is>
      </c>
      <c r="C4420" s="10" t="inlineStr">
        <is>
          <t>Revestimento em Pedra Natural Aplicado em Fachadas Para fogueira</t>
        </is>
      </c>
      <c r="D4420" s="10" t="inlineStr">
        <is>
          <t>Espeçador junta piso 2mm</t>
        </is>
      </c>
      <c r="E4420" s="11">
        <f t="array" ref="E4420">_xlfn.XLOOKUP(D4420,Insumos!B:B,Insumos!C:$C)</f>
        <v/>
      </c>
      <c r="F4420" s="14" t="n">
        <v>4</v>
      </c>
      <c r="G4420" s="92">
        <f t="array" ref="G4420">IF(B4420="insumo",_xlfn.XLOOKUP($D4420,Insumos!$B$1:$B$996,Insumos!$D$1:$D$996),"")</f>
        <v/>
      </c>
      <c r="H4420" s="92" t="n">
        <v>0.32</v>
      </c>
      <c r="I4420" s="2162" t="n">
        <v>0</v>
      </c>
      <c r="J4420" s="2162" t="n">
        <v>0</v>
      </c>
      <c r="K4420" s="2162" t="n"/>
    </row>
    <row r="4421" outlineLevel="3" ht="15.75" customHeight="1">
      <c r="A4421" s="10" t="n">
        <v>101</v>
      </c>
      <c r="B4421" s="10" t="inlineStr">
        <is>
          <t>Insumo</t>
        </is>
      </c>
      <c r="C4421" s="10" t="inlineStr">
        <is>
          <t>Revestimento em Pedra Natural Aplicado em Fachadas Para fogueira</t>
        </is>
      </c>
      <c r="D4421" s="10" t="inlineStr">
        <is>
          <t>Rejunte Cimentício</t>
        </is>
      </c>
      <c r="E4421" s="11">
        <f t="array" ref="E4421">_xlfn.XLOOKUP(D4421,Insumos!B:B,Insumos!C:$C)</f>
        <v/>
      </c>
      <c r="F4421" s="14" t="n">
        <v>0.5</v>
      </c>
      <c r="G4421" s="92">
        <f t="array" ref="G4421">IF(B4421="insumo",_xlfn.XLOOKUP($D4421,Insumos!$B$1:$B$996,Insumos!$D$1:$D$996),"")</f>
        <v/>
      </c>
      <c r="H4421" s="92" t="n">
        <v>5.575</v>
      </c>
      <c r="I4421" s="2162" t="n">
        <v>0</v>
      </c>
      <c r="J4421" s="2162" t="n">
        <v>0</v>
      </c>
      <c r="K4421" s="2162" t="n"/>
    </row>
    <row r="4422" outlineLevel="2" ht="15.75" customHeight="1">
      <c r="A4422" s="1067" t="n">
        <v>1</v>
      </c>
      <c r="B4422" s="1067" t="inlineStr">
        <is>
          <t>Serviço</t>
        </is>
      </c>
      <c r="C4422" s="1067" t="inlineStr">
        <is>
          <t>Revestimento em Pedra Molero Aplicado em Fachadas</t>
        </is>
      </c>
      <c r="D4422" s="1067" t="inlineStr">
        <is>
          <t>Revestimento em Pedra Molero Aplicado em Fachadas</t>
        </is>
      </c>
      <c r="E4422" s="1068" t="inlineStr">
        <is>
          <t>M2</t>
        </is>
      </c>
      <c r="F4422" s="1067" t="n"/>
      <c r="G4422" s="1069">
        <f t="array" ref="G4422">IF(B4422="insumo",_xlfn.XLOOKUP($D4422,Insumos!$B$1:$B$996,Insumos!$D$1:$D$996),"")</f>
        <v/>
      </c>
      <c r="H4422" s="1069" t="n">
        <v>895.4755</v>
      </c>
      <c r="I4422" s="2161" t="n">
        <v>0</v>
      </c>
      <c r="J4422" s="2161" t="n">
        <v>0</v>
      </c>
      <c r="K4422" s="2161" t="n"/>
    </row>
    <row r="4423" outlineLevel="3" ht="15.75" customHeight="1">
      <c r="A4423" s="10" t="n">
        <v>1</v>
      </c>
      <c r="B4423" s="10" t="inlineStr">
        <is>
          <t>Insumo</t>
        </is>
      </c>
      <c r="C4423" s="10" t="inlineStr">
        <is>
          <t>Revestimento em Pedra Molero Aplicado em Fachadas</t>
        </is>
      </c>
      <c r="D4423" s="10" t="inlineStr">
        <is>
          <t>Pedra Natural moledo</t>
        </is>
      </c>
      <c r="E4423" s="11">
        <f t="array" ref="E4423">_xlfn.XLOOKUP(D4423,Insumos!B:B,Insumos!C:$C)</f>
        <v/>
      </c>
      <c r="F4423" s="14" t="n">
        <v>1.1</v>
      </c>
      <c r="G4423" s="92">
        <f t="array" ref="G4423">IF(B4423="insumo",_xlfn.XLOOKUP($D4423,Insumos!$B$1:$B$996,Insumos!$D$1:$D$996),"")</f>
        <v/>
      </c>
      <c r="H4423" s="92" t="n">
        <v>880</v>
      </c>
      <c r="I4423" s="2162" t="n">
        <v>0</v>
      </c>
      <c r="J4423" s="2162" t="n">
        <v>0</v>
      </c>
      <c r="K4423" s="2162" t="n"/>
    </row>
    <row r="4424" outlineLevel="3" ht="15.75" customHeight="1">
      <c r="A4424" s="10" t="n">
        <v>191</v>
      </c>
      <c r="B4424" s="10" t="inlineStr">
        <is>
          <t>Insumo</t>
        </is>
      </c>
      <c r="C4424" s="10" t="inlineStr">
        <is>
          <t>Revestimento em Pedra Molero Aplicado em Fachadas</t>
        </is>
      </c>
      <c r="D4424" s="10" t="inlineStr">
        <is>
          <t>Argamassa ACIII</t>
        </is>
      </c>
      <c r="E4424" s="11">
        <f t="array" ref="E4424">_xlfn.XLOOKUP(D4424,Insumos!B:B,Insumos!C:$C)</f>
        <v/>
      </c>
      <c r="F4424" s="14" t="n">
        <v>9</v>
      </c>
      <c r="G4424" s="92">
        <f t="array" ref="G4424">IF(B4424="insumo",_xlfn.XLOOKUP($D4424,Insumos!$B$1:$B$996,Insumos!$D$1:$D$996),"")</f>
        <v/>
      </c>
      <c r="H4424" s="92" t="n">
        <v>9.580500000000001</v>
      </c>
      <c r="I4424" s="2162" t="n">
        <v>0</v>
      </c>
      <c r="J4424" s="2162" t="n">
        <v>0</v>
      </c>
      <c r="K4424" s="2162" t="n"/>
    </row>
    <row r="4425" outlineLevel="3" ht="15.75" customHeight="1">
      <c r="A4425" s="10" t="n">
        <v>142</v>
      </c>
      <c r="B4425" s="10" t="inlineStr">
        <is>
          <t>Insumo</t>
        </is>
      </c>
      <c r="C4425" s="10" t="inlineStr">
        <is>
          <t>Revestimento em Pedra Molero Aplicado em Fachadas</t>
        </is>
      </c>
      <c r="D4425" s="10" t="inlineStr">
        <is>
          <t>Espeçador junta piso 2mm</t>
        </is>
      </c>
      <c r="E4425" s="11">
        <f t="array" ref="E4425">_xlfn.XLOOKUP(D4425,Insumos!B:B,Insumos!C:$C)</f>
        <v/>
      </c>
      <c r="F4425" s="14" t="n">
        <v>4</v>
      </c>
      <c r="G4425" s="92">
        <f t="array" ref="G4425">IF(B4425="insumo",_xlfn.XLOOKUP($D4425,Insumos!$B$1:$B$996,Insumos!$D$1:$D$996),"")</f>
        <v/>
      </c>
      <c r="H4425" s="92" t="n">
        <v>0.32</v>
      </c>
      <c r="I4425" s="2162" t="n">
        <v>0</v>
      </c>
      <c r="J4425" s="2162" t="n">
        <v>0</v>
      </c>
      <c r="K4425" s="2162" t="n"/>
    </row>
    <row r="4426" outlineLevel="3" ht="15.75" customHeight="1">
      <c r="A4426" s="10" t="n">
        <v>101</v>
      </c>
      <c r="B4426" s="10" t="inlineStr">
        <is>
          <t>Insumo</t>
        </is>
      </c>
      <c r="C4426" s="10" t="inlineStr">
        <is>
          <t>Revestimento em Pedra Molero Aplicado em Fachadas</t>
        </is>
      </c>
      <c r="D4426" s="10" t="inlineStr">
        <is>
          <t>Rejunte Cimentício</t>
        </is>
      </c>
      <c r="E4426" s="11">
        <f t="array" ref="E4426">_xlfn.XLOOKUP(D4426,Insumos!B:B,Insumos!C:$C)</f>
        <v/>
      </c>
      <c r="F4426" s="14" t="n">
        <v>0.5</v>
      </c>
      <c r="G4426" s="92">
        <f t="array" ref="G4426">IF(B4426="insumo",_xlfn.XLOOKUP($D4426,Insumos!$B$1:$B$996,Insumos!$D$1:$D$996),"")</f>
        <v/>
      </c>
      <c r="H4426" s="92" t="n">
        <v>5.575</v>
      </c>
      <c r="I4426" s="2162" t="n">
        <v>0</v>
      </c>
      <c r="J4426" s="2162" t="n">
        <v>0</v>
      </c>
      <c r="K4426" s="2162" t="n"/>
    </row>
    <row r="4427" outlineLevel="1" ht="15.75" customHeight="1">
      <c r="A4427" s="1090" t="n">
        <v>1</v>
      </c>
      <c r="B4427" s="1090" t="inlineStr">
        <is>
          <t>Subetapa</t>
        </is>
      </c>
      <c r="C4427" s="1090" t="inlineStr">
        <is>
          <t>Revestimento em Pedra Molero Aplicado em Fachadas</t>
        </is>
      </c>
      <c r="D4427" s="1090" t="inlineStr">
        <is>
          <t>PINTURA E TEXTURA</t>
        </is>
      </c>
      <c r="E4427" s="1091" t="n"/>
      <c r="F4427" s="2160" t="n"/>
      <c r="G4427" s="1091" t="n"/>
      <c r="H4427" s="1091" t="n">
        <v>0</v>
      </c>
      <c r="I4427" s="2160" t="n">
        <v>0</v>
      </c>
      <c r="J4427" s="2160" t="n">
        <v>0</v>
      </c>
      <c r="K4427" s="2160" t="n"/>
    </row>
    <row r="4428" outlineLevel="2" ht="15.75" customHeight="1">
      <c r="A4428" s="1067" t="n">
        <v>1</v>
      </c>
      <c r="B4428" s="1067" t="inlineStr">
        <is>
          <t>Serviço</t>
        </is>
      </c>
      <c r="C4428" s="1067" t="inlineStr">
        <is>
          <t>Pintura PVA Acrílica Cinza Externa 3 Demãos</t>
        </is>
      </c>
      <c r="D4428" s="1067" t="inlineStr">
        <is>
          <t>Pintura PVA Acrílica Cinza Externa 3 Demãos</t>
        </is>
      </c>
      <c r="E4428" s="1068" t="inlineStr">
        <is>
          <t>M2</t>
        </is>
      </c>
      <c r="F4428" s="1067" t="n"/>
      <c r="G4428" s="1069">
        <f t="array" ref="G4428">IF(B4428="insumo",_xlfn.XLOOKUP($D4428,Insumos!$B$1:$B$996,Insumos!$D$1:$D$996),"")</f>
        <v/>
      </c>
      <c r="H4428" s="1069" t="n">
        <v>18.2352155555556</v>
      </c>
      <c r="I4428" s="2161" t="n">
        <v>0</v>
      </c>
      <c r="J4428" s="2161" t="n">
        <v>0</v>
      </c>
      <c r="K4428" s="2161" t="n"/>
    </row>
    <row r="4429" outlineLevel="3" ht="15.75" customHeight="1">
      <c r="A4429" s="10" t="n">
        <v>36</v>
      </c>
      <c r="B4429" s="10" t="inlineStr">
        <is>
          <t>Insumo</t>
        </is>
      </c>
      <c r="C4429" s="10" t="inlineStr">
        <is>
          <t>Pintura PVA Acrílica Cinza Externa 3 Demãos</t>
        </is>
      </c>
      <c r="D4429" s="10" t="inlineStr">
        <is>
          <t>LIXA DAGUA 225X275MM GR100</t>
        </is>
      </c>
      <c r="E4429" s="11">
        <f t="array" ref="E4429">_xlfn.XLOOKUP(D4429,Insumos!B:B,Insumos!C:$C)</f>
        <v/>
      </c>
      <c r="F4429" s="14" t="n">
        <v>0.1</v>
      </c>
      <c r="G4429" s="92">
        <f t="array" ref="G4429">IF(B4429="insumo",_xlfn.XLOOKUP($D4429,Insumos!$B$1:$B$996,Insumos!$D$1:$D$996),"")</f>
        <v/>
      </c>
      <c r="H4429" s="92" t="n">
        <v>0.189</v>
      </c>
      <c r="I4429" s="2162" t="n">
        <v>0</v>
      </c>
      <c r="J4429" s="2162" t="n">
        <v>0</v>
      </c>
      <c r="K4429" s="2162" t="n"/>
    </row>
    <row r="4430" outlineLevel="3" ht="15.75" customHeight="1">
      <c r="A4430" s="10" t="n">
        <v>21</v>
      </c>
      <c r="B4430" s="10" t="inlineStr">
        <is>
          <t>Insumo</t>
        </is>
      </c>
      <c r="C4430" s="10" t="inlineStr">
        <is>
          <t>Pintura PVA Acrílica Cinza Externa 3 Demãos</t>
        </is>
      </c>
      <c r="D4430" s="10" t="inlineStr">
        <is>
          <t>Massa corrida para superfícies de ambientes internos</t>
        </is>
      </c>
      <c r="E4430" s="11">
        <f t="array" ref="E4430">_xlfn.XLOOKUP(D4430,Insumos!B:B,Insumos!C:$C)</f>
        <v/>
      </c>
      <c r="F4430" s="14" t="n">
        <v>0.8667</v>
      </c>
      <c r="G4430" s="92">
        <f t="array" ref="G4430">IF(B4430="insumo",_xlfn.XLOOKUP($D4430,Insumos!$B$1:$B$996,Insumos!$D$1:$D$996),"")</f>
        <v/>
      </c>
      <c r="H4430" s="92" t="n">
        <v>4.16016</v>
      </c>
      <c r="I4430" s="2162" t="n">
        <v>0</v>
      </c>
      <c r="J4430" s="2162" t="n">
        <v>0</v>
      </c>
      <c r="K4430" s="2162" t="n"/>
    </row>
    <row r="4431" outlineLevel="3" ht="15.75" customHeight="1">
      <c r="A4431" s="10" t="n">
        <v>19</v>
      </c>
      <c r="B4431" s="10" t="inlineStr">
        <is>
          <t>Insumo</t>
        </is>
      </c>
      <c r="C4431" s="10" t="inlineStr">
        <is>
          <t>Pintura PVA Acrílica Cinza Externa 3 Demãos</t>
        </is>
      </c>
      <c r="D4431" s="10" t="inlineStr">
        <is>
          <t>Selador Primer Ibratin - 4,2kg - 3,6L</t>
        </is>
      </c>
      <c r="E4431" s="11">
        <f t="array" ref="E4431">_xlfn.XLOOKUP(D4431,Insumos!B:B,Insumos!C:$C)</f>
        <v/>
      </c>
      <c r="F4431" s="14" t="n">
        <v>0.1666</v>
      </c>
      <c r="G4431" s="92">
        <f t="array" ref="G4431">IF(B4431="insumo",_xlfn.XLOOKUP($D4431,Insumos!$B$1:$B$996,Insumos!$D$1:$D$996),"")</f>
        <v/>
      </c>
      <c r="H4431" s="92" t="n">
        <v>1.75855555555556</v>
      </c>
      <c r="I4431" s="2162" t="n">
        <v>0</v>
      </c>
      <c r="J4431" s="2162" t="n">
        <v>0</v>
      </c>
      <c r="K4431" s="2162" t="n"/>
    </row>
    <row r="4432" outlineLevel="3" ht="15.75" customHeight="1">
      <c r="A4432" s="10" t="n">
        <v>16</v>
      </c>
      <c r="B4432" s="10" t="inlineStr">
        <is>
          <t>Insumo</t>
        </is>
      </c>
      <c r="C4432" s="10" t="inlineStr">
        <is>
          <t>Pintura PVA Acrílica Cinza Externa 3 Demãos</t>
        </is>
      </c>
      <c r="D4432" s="10" t="inlineStr">
        <is>
          <t xml:space="preserve">TINTA ACRILICA PREMIUM </t>
        </is>
      </c>
      <c r="E4432" s="11">
        <f t="array" ref="E4432">_xlfn.XLOOKUP(D4432,Insumos!B:B,Insumos!C:$C)</f>
        <v/>
      </c>
      <c r="F4432" s="14" t="n">
        <v>0.495</v>
      </c>
      <c r="G4432" s="92">
        <f t="array" ref="G4432">IF(B4432="insumo",_xlfn.XLOOKUP($D4432,Insumos!$B$1:$B$996,Insumos!$D$1:$D$996),"")</f>
        <v/>
      </c>
      <c r="H4432" s="92" t="n">
        <v>12.1275</v>
      </c>
      <c r="I4432" s="2162" t="n">
        <v>0</v>
      </c>
      <c r="J4432" s="2162" t="n">
        <v>0</v>
      </c>
      <c r="K4432" s="2162" t="n"/>
    </row>
    <row r="4433" outlineLevel="2" ht="15.75" customHeight="1">
      <c r="A4433" s="1067" t="n">
        <v>1</v>
      </c>
      <c r="B4433" s="1067" t="inlineStr">
        <is>
          <t>Serviço</t>
        </is>
      </c>
      <c r="C4433" s="1067" t="inlineStr">
        <is>
          <t>Pintura PVA Acrílica Verde Externa 3 Demãos</t>
        </is>
      </c>
      <c r="D4433" s="1067" t="inlineStr">
        <is>
          <t>Pintura PVA Acrílica Verde Externa 3 Demãos</t>
        </is>
      </c>
      <c r="E4433" s="1068" t="inlineStr">
        <is>
          <t>M2</t>
        </is>
      </c>
      <c r="F4433" s="1067" t="n"/>
      <c r="G4433" s="1069">
        <f t="array" ref="G4433">IF(B4433="insumo",_xlfn.XLOOKUP($D4433,Insumos!$B$1:$B$996,Insumos!$D$1:$D$996),"")</f>
        <v/>
      </c>
      <c r="H4433" s="1069" t="n">
        <v>18.2352155555556</v>
      </c>
      <c r="I4433" s="2161" t="n">
        <v>0</v>
      </c>
      <c r="J4433" s="2161" t="n">
        <v>0</v>
      </c>
      <c r="K4433" s="2161" t="n"/>
    </row>
    <row r="4434" outlineLevel="3" ht="15.75" customHeight="1">
      <c r="A4434" s="10" t="n">
        <v>36</v>
      </c>
      <c r="B4434" s="10" t="inlineStr">
        <is>
          <t>Insumo</t>
        </is>
      </c>
      <c r="C4434" s="10" t="inlineStr">
        <is>
          <t>Pintura PVA Acrílica Verde Externa 3 Demãos</t>
        </is>
      </c>
      <c r="D4434" s="10" t="inlineStr">
        <is>
          <t>LIXA DAGUA 225X275MM GR100</t>
        </is>
      </c>
      <c r="E4434" s="11">
        <f t="array" ref="E4434">_xlfn.XLOOKUP(D4434,Insumos!B:B,Insumos!C:$C)</f>
        <v/>
      </c>
      <c r="F4434" s="14" t="n">
        <v>0.1</v>
      </c>
      <c r="G4434" s="92">
        <f t="array" ref="G4434">IF(B4434="insumo",_xlfn.XLOOKUP($D4434,Insumos!$B$1:$B$996,Insumos!$D$1:$D$996),"")</f>
        <v/>
      </c>
      <c r="H4434" s="92" t="n">
        <v>0.189</v>
      </c>
      <c r="I4434" s="2162" t="n">
        <v>0</v>
      </c>
      <c r="J4434" s="2162" t="n">
        <v>0</v>
      </c>
      <c r="K4434" s="2162" t="n"/>
    </row>
    <row r="4435" outlineLevel="3" ht="15.75" customHeight="1">
      <c r="A4435" s="10" t="n">
        <v>21</v>
      </c>
      <c r="B4435" s="10" t="inlineStr">
        <is>
          <t>Insumo</t>
        </is>
      </c>
      <c r="C4435" s="10" t="inlineStr">
        <is>
          <t>Pintura PVA Acrílica Verde Externa 3 Demãos</t>
        </is>
      </c>
      <c r="D4435" s="10" t="inlineStr">
        <is>
          <t>Massa corrida para superfícies de ambientes internos</t>
        </is>
      </c>
      <c r="E4435" s="11">
        <f t="array" ref="E4435">_xlfn.XLOOKUP(D4435,Insumos!B:B,Insumos!C:$C)</f>
        <v/>
      </c>
      <c r="F4435" s="14" t="n">
        <v>0.8667</v>
      </c>
      <c r="G4435" s="92">
        <f t="array" ref="G4435">IF(B4435="insumo",_xlfn.XLOOKUP($D4435,Insumos!$B$1:$B$996,Insumos!$D$1:$D$996),"")</f>
        <v/>
      </c>
      <c r="H4435" s="92" t="n">
        <v>4.16016</v>
      </c>
      <c r="I4435" s="2162" t="n">
        <v>0</v>
      </c>
      <c r="J4435" s="2162" t="n">
        <v>0</v>
      </c>
      <c r="K4435" s="2162" t="n"/>
    </row>
    <row r="4436" outlineLevel="3" ht="15.75" customHeight="1">
      <c r="A4436" s="10" t="n">
        <v>19</v>
      </c>
      <c r="B4436" s="10" t="inlineStr">
        <is>
          <t>Insumo</t>
        </is>
      </c>
      <c r="C4436" s="10" t="inlineStr">
        <is>
          <t>Pintura PVA Acrílica Verde Externa 3 Demãos</t>
        </is>
      </c>
      <c r="D4436" s="10" t="inlineStr">
        <is>
          <t>Selador Primer Ibratin - 4,2kg - 3,6L</t>
        </is>
      </c>
      <c r="E4436" s="11">
        <f t="array" ref="E4436">_xlfn.XLOOKUP(D4436,Insumos!B:B,Insumos!C:$C)</f>
        <v/>
      </c>
      <c r="F4436" s="14" t="n">
        <v>0.1666</v>
      </c>
      <c r="G4436" s="92">
        <f t="array" ref="G4436">IF(B4436="insumo",_xlfn.XLOOKUP($D4436,Insumos!$B$1:$B$996,Insumos!$D$1:$D$996),"")</f>
        <v/>
      </c>
      <c r="H4436" s="92" t="n">
        <v>1.75855555555556</v>
      </c>
      <c r="I4436" s="2162" t="n">
        <v>0</v>
      </c>
      <c r="J4436" s="2162" t="n">
        <v>0</v>
      </c>
      <c r="K4436" s="2162" t="n"/>
    </row>
    <row r="4437" outlineLevel="3" ht="15.75" customHeight="1">
      <c r="A4437" s="10" t="n">
        <v>16</v>
      </c>
      <c r="B4437" s="10" t="inlineStr">
        <is>
          <t>Insumo</t>
        </is>
      </c>
      <c r="C4437" s="10" t="inlineStr">
        <is>
          <t>Pintura PVA Acrílica Verde Externa 3 Demãos</t>
        </is>
      </c>
      <c r="D4437" s="10" t="inlineStr">
        <is>
          <t xml:space="preserve">TINTA ACRILICA PREMIUM </t>
        </is>
      </c>
      <c r="E4437" s="11">
        <f t="array" ref="E4437">_xlfn.XLOOKUP(D4437,Insumos!B:B,Insumos!C:$C)</f>
        <v/>
      </c>
      <c r="F4437" s="14" t="n">
        <v>0.495</v>
      </c>
      <c r="G4437" s="92">
        <f t="array" ref="G4437">IF(B4437="insumo",_xlfn.XLOOKUP($D4437,Insumos!$B$1:$B$996,Insumos!$D$1:$D$996),"")</f>
        <v/>
      </c>
      <c r="H4437" s="92" t="n">
        <v>12.1275</v>
      </c>
      <c r="I4437" s="2162" t="n">
        <v>0</v>
      </c>
      <c r="J4437" s="2162" t="n">
        <v>0</v>
      </c>
      <c r="K4437" s="2162" t="n"/>
    </row>
    <row r="4438" outlineLevel="2" ht="15.75" customHeight="1">
      <c r="A4438" s="1067" t="n">
        <v>1</v>
      </c>
      <c r="B4438" s="1067" t="inlineStr">
        <is>
          <t>Serviço</t>
        </is>
      </c>
      <c r="C4438" s="1067" t="inlineStr">
        <is>
          <t>Pintura Com Tinta Latex Acrilica em Paredes Externas, 3 Demaos (Somente tinta)</t>
        </is>
      </c>
      <c r="D4438" s="1067" t="inlineStr">
        <is>
          <t>Pintura Com Tinta Latex Acrilica em Paredes Externas, 3 Demaos (Somente tinta)</t>
        </is>
      </c>
      <c r="E4438" s="1068" t="inlineStr">
        <is>
          <t>M2</t>
        </is>
      </c>
      <c r="F4438" s="1067" t="n"/>
      <c r="G4438" s="1069">
        <f t="array" ref="G4438">IF(B4438="insumo",_xlfn.XLOOKUP($D4438,Insumos!$B$1:$B$996,Insumos!$D$1:$D$996),"")</f>
        <v/>
      </c>
      <c r="H4438" s="1069" t="n">
        <v>12.1275</v>
      </c>
      <c r="I4438" s="2161" t="n">
        <v>0</v>
      </c>
      <c r="J4438" s="2161" t="n">
        <v>0</v>
      </c>
      <c r="K4438" s="2161" t="n"/>
    </row>
    <row r="4439" outlineLevel="3" ht="15.75" customHeight="1">
      <c r="A4439" s="10" t="n">
        <v>16</v>
      </c>
      <c r="B4439" s="10" t="inlineStr">
        <is>
          <t>Insumo</t>
        </is>
      </c>
      <c r="C4439" s="10" t="inlineStr">
        <is>
          <t>Pintura Com Tinta Latex Acrilica em Paredes Externas, 3 Demaos (Somente tinta)</t>
        </is>
      </c>
      <c r="D4439" s="10" t="inlineStr">
        <is>
          <t xml:space="preserve">TINTA ACRILICA PREMIUM </t>
        </is>
      </c>
      <c r="E4439" s="11">
        <f t="array" ref="E4439">_xlfn.XLOOKUP(D4439,Insumos!B:B,Insumos!C:$C)</f>
        <v/>
      </c>
      <c r="F4439" s="14" t="n">
        <v>0.495</v>
      </c>
      <c r="G4439" s="92">
        <f t="array" ref="G4439">IF(B4439="insumo",_xlfn.XLOOKUP($D4439,Insumos!$B$1:$B$996,Insumos!$D$1:$D$996),"")</f>
        <v/>
      </c>
      <c r="H4439" s="92" t="n">
        <v>12.1275</v>
      </c>
      <c r="I4439" s="2162" t="n">
        <v>0</v>
      </c>
      <c r="J4439" s="2162" t="n">
        <v>0</v>
      </c>
      <c r="K4439" s="2162" t="n"/>
    </row>
    <row r="4440" outlineLevel="2" ht="15.75" customHeight="1">
      <c r="A4440" s="1067" t="n">
        <v>1</v>
      </c>
      <c r="B4440" s="1067" t="inlineStr">
        <is>
          <t>Serviço</t>
        </is>
      </c>
      <c r="C4440" s="1067" t="inlineStr">
        <is>
          <t>Pintura Com Tinta Latex Acrilica em Paredes Externas, 3 Demaos (Somente tinta e fundo)</t>
        </is>
      </c>
      <c r="D4440" s="1067" t="inlineStr">
        <is>
          <t>Pintura Com Tinta Latex Acrilica em Paredes Externas, 3 Demaos (Somente tinta e fundo)</t>
        </is>
      </c>
      <c r="E4440" s="1068" t="inlineStr">
        <is>
          <t>M2</t>
        </is>
      </c>
      <c r="F4440" s="1067" t="n"/>
      <c r="G4440" s="1069">
        <f t="array" ref="G4440">IF(B4440="insumo",_xlfn.XLOOKUP($D4440,Insumos!$B$1:$B$996,Insumos!$D$1:$D$996),"")</f>
        <v/>
      </c>
      <c r="H4440" s="1069" t="n">
        <v>13.205402</v>
      </c>
      <c r="I4440" s="2161" t="n">
        <v>0</v>
      </c>
      <c r="J4440" s="2161" t="n">
        <v>0</v>
      </c>
      <c r="K4440" s="2161" t="n"/>
    </row>
    <row r="4441" outlineLevel="3" ht="15.75" customHeight="1">
      <c r="A4441" s="10" t="n">
        <v>16</v>
      </c>
      <c r="B4441" s="10" t="inlineStr">
        <is>
          <t>Insumo</t>
        </is>
      </c>
      <c r="C4441" s="10" t="inlineStr">
        <is>
          <t>Pintura Com Tinta Latex Acrilica em Paredes Externas, 3 Demaos (Somente tinta e fundo)</t>
        </is>
      </c>
      <c r="D4441" s="10" t="inlineStr">
        <is>
          <t xml:space="preserve">TINTA ACRILICA PREMIUM </t>
        </is>
      </c>
      <c r="E4441" s="11">
        <f t="array" ref="E4441">_xlfn.XLOOKUP(D4441,Insumos!B:B,Insumos!C:$C)</f>
        <v/>
      </c>
      <c r="F4441" s="14" t="n">
        <v>0.495</v>
      </c>
      <c r="G4441" s="92">
        <f t="array" ref="G4441">IF(B4441="insumo",_xlfn.XLOOKUP($D4441,Insumos!$B$1:$B$996,Insumos!$D$1:$D$996),"")</f>
        <v/>
      </c>
      <c r="H4441" s="92" t="n">
        <v>12.1275</v>
      </c>
      <c r="I4441" s="2162" t="n">
        <v>0</v>
      </c>
      <c r="J4441" s="2162" t="n">
        <v>0</v>
      </c>
      <c r="K4441" s="2162" t="n"/>
    </row>
    <row r="4442" outlineLevel="3" ht="15.75" customHeight="1">
      <c r="A4442" s="10" t="n">
        <v>31</v>
      </c>
      <c r="B4442" s="10" t="inlineStr">
        <is>
          <t>Insumo</t>
        </is>
      </c>
      <c r="C4442" s="10" t="inlineStr">
        <is>
          <t>Pintura Com Tinta Latex Acrilica em Paredes Externas, 3 Demaos (Somente tinta e fundo)</t>
        </is>
      </c>
      <c r="D4442" s="10" t="inlineStr">
        <is>
          <t>Selador acrilico opaco premium interno/externo</t>
        </is>
      </c>
      <c r="E4442" s="11">
        <f t="array" ref="E4442">_xlfn.XLOOKUP(D4442,Insumos!B:B,Insumos!C:$C)</f>
        <v/>
      </c>
      <c r="F4442" s="14" t="n">
        <v>0.1666</v>
      </c>
      <c r="G4442" s="92">
        <f t="array" ref="G4442">IF(B4442="insumo",_xlfn.XLOOKUP($D4442,Insumos!$B$1:$B$996,Insumos!$D$1:$D$996),"")</f>
        <v/>
      </c>
      <c r="H4442" s="92" t="n">
        <v>1.077902</v>
      </c>
      <c r="I4442" s="2162" t="n">
        <v>0</v>
      </c>
      <c r="J4442" s="2162" t="n">
        <v>0</v>
      </c>
      <c r="K4442" s="2162" t="n"/>
    </row>
    <row r="4443" outlineLevel="2" ht="15.75" customHeight="1">
      <c r="A4443" s="1067" t="n">
        <v>1</v>
      </c>
      <c r="B4443" s="1067" t="inlineStr">
        <is>
          <t>Serviço</t>
        </is>
      </c>
      <c r="C4443" s="1067" t="inlineStr">
        <is>
          <t>Pintura Com Tinta Latex Acrilica em Paredes Externas, 3 Demaos (Incluso fundo ) - Cor preto</t>
        </is>
      </c>
      <c r="D4443" s="1067" t="inlineStr">
        <is>
          <t>Pintura Com Tinta Latex Acrilica em Paredes Externas, 3 Demaos (Incluso fundo ) - Cor preto</t>
        </is>
      </c>
      <c r="E4443" s="1068" t="inlineStr">
        <is>
          <t>M2</t>
        </is>
      </c>
      <c r="F4443" s="1067" t="n"/>
      <c r="G4443" s="1069">
        <f t="array" ref="G4443">IF(B4443="insumo",_xlfn.XLOOKUP($D4443,Insumos!$B$1:$B$996,Insumos!$D$1:$D$996),"")</f>
        <v/>
      </c>
      <c r="H4443" s="1069" t="n">
        <v>35.641902</v>
      </c>
      <c r="I4443" s="2161" t="n">
        <v>0</v>
      </c>
      <c r="J4443" s="2161" t="n">
        <v>0</v>
      </c>
      <c r="K4443" s="2161" t="n"/>
    </row>
    <row r="4444" outlineLevel="3" ht="15.75" customHeight="1">
      <c r="A4444" s="10" t="n">
        <v>36</v>
      </c>
      <c r="B4444" s="10" t="inlineStr">
        <is>
          <t>Insumo</t>
        </is>
      </c>
      <c r="C4444" s="10" t="inlineStr">
        <is>
          <t>Pintura Com Tinta Latex Acrilica em Paredes Externas, 3 Demaos (Incluso fundo ) - Cor preto</t>
        </is>
      </c>
      <c r="D4444" s="10" t="inlineStr">
        <is>
          <t>LIXA DAGUA 225X275MM GR100</t>
        </is>
      </c>
      <c r="E4444" s="11">
        <f t="array" ref="E4444">_xlfn.XLOOKUP(D4444,Insumos!B:B,Insumos!C:$C)</f>
        <v/>
      </c>
      <c r="F4444" s="14" t="n">
        <v>0.1</v>
      </c>
      <c r="G4444" s="92">
        <f t="array" ref="G4444">IF(B4444="insumo",_xlfn.XLOOKUP($D4444,Insumos!$B$1:$B$996,Insumos!$D$1:$D$996),"")</f>
        <v/>
      </c>
      <c r="H4444" s="92" t="n">
        <v>0.189</v>
      </c>
      <c r="I4444" s="2162" t="n">
        <v>0</v>
      </c>
      <c r="J4444" s="2162" t="n">
        <v>0</v>
      </c>
      <c r="K4444" s="2162" t="n"/>
    </row>
    <row r="4445" outlineLevel="3" ht="15.75" customHeight="1">
      <c r="A4445" s="10" t="n">
        <v>31</v>
      </c>
      <c r="B4445" s="10" t="inlineStr">
        <is>
          <t>Insumo</t>
        </is>
      </c>
      <c r="C4445" s="10" t="inlineStr">
        <is>
          <t>Pintura Com Tinta Latex Acrilica em Paredes Externas, 3 Demaos (Incluso fundo ) - Cor preto</t>
        </is>
      </c>
      <c r="D4445" s="10" t="inlineStr">
        <is>
          <t>Selador acrilico opaco premium interno/externo</t>
        </is>
      </c>
      <c r="E4445" s="11">
        <f t="array" ref="E4445">_xlfn.XLOOKUP(D4445,Insumos!B:B,Insumos!C:$C)</f>
        <v/>
      </c>
      <c r="F4445" s="14" t="n">
        <v>0.1666</v>
      </c>
      <c r="G4445" s="92">
        <f t="array" ref="G4445">IF(B4445="insumo",_xlfn.XLOOKUP($D4445,Insumos!$B$1:$B$996,Insumos!$D$1:$D$996),"")</f>
        <v/>
      </c>
      <c r="H4445" s="92" t="n">
        <v>1.077902</v>
      </c>
      <c r="I4445" s="2162" t="n">
        <v>0</v>
      </c>
      <c r="J4445" s="2162" t="n">
        <v>0</v>
      </c>
      <c r="K4445" s="2162" t="n"/>
    </row>
    <row r="4446" outlineLevel="3" ht="15.75" customHeight="1">
      <c r="A4446" s="10" t="n">
        <v>4</v>
      </c>
      <c r="B4446" s="10" t="inlineStr">
        <is>
          <t>Insumo</t>
        </is>
      </c>
      <c r="C4446" s="10" t="inlineStr">
        <is>
          <t>Pintura Com Tinta Latex Acrilica em Paredes Externas, 3 Demaos (Incluso fundo ) - Cor preto</t>
        </is>
      </c>
      <c r="D4446" s="10" t="inlineStr">
        <is>
          <t>TINTA ACRILICA PREMIUM COR PRETA</t>
        </is>
      </c>
      <c r="E4446" s="11">
        <f t="array" ref="E4446">_xlfn.XLOOKUP(D4446,Insumos!B:B,Insumos!C:$C)</f>
        <v/>
      </c>
      <c r="F4446" s="14" t="n">
        <v>0.495</v>
      </c>
      <c r="G4446" s="92">
        <f t="array" ref="G4446">IF(B4446="insumo",_xlfn.XLOOKUP($D4446,Insumos!$B$1:$B$996,Insumos!$D$1:$D$996),"")</f>
        <v/>
      </c>
      <c r="H4446" s="92" t="n">
        <v>34.375</v>
      </c>
      <c r="I4446" s="2162" t="n">
        <v>0</v>
      </c>
      <c r="J4446" s="2162" t="n">
        <v>0</v>
      </c>
      <c r="K4446" s="2162" t="n"/>
    </row>
    <row r="4447" outlineLevel="2" ht="15.75" customHeight="1">
      <c r="A4447" s="1067" t="n">
        <v>1</v>
      </c>
      <c r="B4447" s="1067" t="inlineStr">
        <is>
          <t>Serviço</t>
        </is>
      </c>
      <c r="C4447" s="1067" t="inlineStr">
        <is>
          <t>Pintura Com Tinta Latex Acrilica em Paredes Externas, 3 Demaos (Incluso fundo e massa)</t>
        </is>
      </c>
      <c r="D4447" s="1067" t="inlineStr">
        <is>
          <t>Pintura Com Tinta Latex Acrilica em Paredes Externas, 3 Demaos (Incluso fundo e massa)</t>
        </is>
      </c>
      <c r="E4447" s="1068" t="inlineStr">
        <is>
          <t>M2</t>
        </is>
      </c>
      <c r="F4447" s="1067" t="n"/>
      <c r="G4447" s="1069">
        <f t="array" ref="G4447">IF(B4447="insumo",_xlfn.XLOOKUP($D4447,Insumos!$B$1:$B$996,Insumos!$D$1:$D$996),"")</f>
        <v/>
      </c>
      <c r="H4447" s="1069" t="n">
        <v>17.554562</v>
      </c>
      <c r="I4447" s="2161" t="n">
        <v>0</v>
      </c>
      <c r="J4447" s="2161" t="n">
        <v>0</v>
      </c>
      <c r="K4447" s="2161" t="n"/>
    </row>
    <row r="4448" outlineLevel="3" ht="15.75" customHeight="1">
      <c r="A4448" s="10" t="n">
        <v>36</v>
      </c>
      <c r="B4448" s="10" t="inlineStr">
        <is>
          <t>Insumo</t>
        </is>
      </c>
      <c r="C4448" s="10" t="inlineStr">
        <is>
          <t>Pintura Com Tinta Latex Acrilica em Paredes Externas, 3 Demaos (Incluso fundo e massa)</t>
        </is>
      </c>
      <c r="D4448" s="10" t="inlineStr">
        <is>
          <t>LIXA DAGUA 225X275MM GR100</t>
        </is>
      </c>
      <c r="E4448" s="11">
        <f t="array" ref="E4448">_xlfn.XLOOKUP(D4448,Insumos!B:B,Insumos!C:$C)</f>
        <v/>
      </c>
      <c r="F4448" s="14" t="n">
        <v>0.1</v>
      </c>
      <c r="G4448" s="92">
        <f t="array" ref="G4448">IF(B4448="insumo",_xlfn.XLOOKUP($D4448,Insumos!$B$1:$B$996,Insumos!$D$1:$D$996),"")</f>
        <v/>
      </c>
      <c r="H4448" s="92" t="n">
        <v>0.189</v>
      </c>
      <c r="I4448" s="2162" t="n">
        <v>0</v>
      </c>
      <c r="J4448" s="2162" t="n">
        <v>0</v>
      </c>
      <c r="K4448" s="2162" t="n"/>
    </row>
    <row r="4449" outlineLevel="3" ht="15.75" customHeight="1">
      <c r="A4449" s="10" t="n">
        <v>21</v>
      </c>
      <c r="B4449" s="10" t="inlineStr">
        <is>
          <t>Insumo</t>
        </is>
      </c>
      <c r="C4449" s="10" t="inlineStr">
        <is>
          <t>Pintura Com Tinta Latex Acrilica em Paredes Externas, 3 Demaos (Incluso fundo e massa)</t>
        </is>
      </c>
      <c r="D4449" s="10" t="inlineStr">
        <is>
          <t>Massa corrida para superfícies de ambientes internos</t>
        </is>
      </c>
      <c r="E4449" s="11">
        <f t="array" ref="E4449">_xlfn.XLOOKUP(D4449,Insumos!B:B,Insumos!C:$C)</f>
        <v/>
      </c>
      <c r="F4449" s="14" t="n">
        <v>0.8667</v>
      </c>
      <c r="G4449" s="92">
        <f t="array" ref="G4449">IF(B4449="insumo",_xlfn.XLOOKUP($D4449,Insumos!$B$1:$B$996,Insumos!$D$1:$D$996),"")</f>
        <v/>
      </c>
      <c r="H4449" s="92" t="n">
        <v>4.16016</v>
      </c>
      <c r="I4449" s="2162" t="n">
        <v>0</v>
      </c>
      <c r="J4449" s="2162" t="n">
        <v>0</v>
      </c>
      <c r="K4449" s="2162" t="n"/>
    </row>
    <row r="4450" outlineLevel="3" ht="15.75" customHeight="1">
      <c r="A4450" s="10" t="n">
        <v>31</v>
      </c>
      <c r="B4450" s="10" t="inlineStr">
        <is>
          <t>Insumo</t>
        </is>
      </c>
      <c r="C4450" s="10" t="inlineStr">
        <is>
          <t>Pintura Com Tinta Latex Acrilica em Paredes Externas, 3 Demaos (Incluso fundo e massa)</t>
        </is>
      </c>
      <c r="D4450" s="10" t="inlineStr">
        <is>
          <t>Selador acrilico opaco premium interno/externo</t>
        </is>
      </c>
      <c r="E4450" s="11">
        <f t="array" ref="E4450">_xlfn.XLOOKUP(D4450,Insumos!B:B,Insumos!C:$C)</f>
        <v/>
      </c>
      <c r="F4450" s="14" t="n">
        <v>0.1666</v>
      </c>
      <c r="G4450" s="92">
        <f t="array" ref="G4450">IF(B4450="insumo",_xlfn.XLOOKUP($D4450,Insumos!$B$1:$B$996,Insumos!$D$1:$D$996),"")</f>
        <v/>
      </c>
      <c r="H4450" s="92" t="n">
        <v>1.077902</v>
      </c>
      <c r="I4450" s="2162" t="n">
        <v>0</v>
      </c>
      <c r="J4450" s="2162" t="n">
        <v>0</v>
      </c>
      <c r="K4450" s="2162" t="n"/>
    </row>
    <row r="4451" outlineLevel="3" ht="15.75" customHeight="1">
      <c r="A4451" s="10" t="n">
        <v>16</v>
      </c>
      <c r="B4451" s="10" t="inlineStr">
        <is>
          <t>Insumo</t>
        </is>
      </c>
      <c r="C4451" s="10" t="inlineStr">
        <is>
          <t>Pintura Com Tinta Latex Acrilica em Paredes Externas, 3 Demaos (Incluso fundo e massa)</t>
        </is>
      </c>
      <c r="D4451" s="10" t="inlineStr">
        <is>
          <t xml:space="preserve">TINTA ACRILICA PREMIUM </t>
        </is>
      </c>
      <c r="E4451" s="11">
        <f t="array" ref="E4451">_xlfn.XLOOKUP(D4451,Insumos!B:B,Insumos!C:$C)</f>
        <v/>
      </c>
      <c r="F4451" s="14" t="n">
        <v>0.495</v>
      </c>
      <c r="G4451" s="92">
        <f t="array" ref="G4451">IF(B4451="insumo",_xlfn.XLOOKUP($D4451,Insumos!$B$1:$B$996,Insumos!$D$1:$D$996),"")</f>
        <v/>
      </c>
      <c r="H4451" s="92" t="n">
        <v>12.1275</v>
      </c>
      <c r="I4451" s="2162" t="n">
        <v>0</v>
      </c>
      <c r="J4451" s="2162" t="n">
        <v>0</v>
      </c>
      <c r="K4451" s="2162" t="n"/>
    </row>
    <row r="4452" outlineLevel="2" ht="15.75" customHeight="1">
      <c r="A4452" s="1067" t="n">
        <v>1</v>
      </c>
      <c r="B4452" s="1067" t="inlineStr">
        <is>
          <t>Serviço</t>
        </is>
      </c>
      <c r="C4452" s="1067" t="inlineStr">
        <is>
          <t xml:space="preserve">Textura acrílica com selador, aplicação em paredes externas, 1 demão - Textura Terracal / Marca: Terracor </t>
        </is>
      </c>
      <c r="D4452" s="1067" t="inlineStr">
        <is>
          <t xml:space="preserve">Textura acrílica com selador, aplicação em paredes externas, 1 demão - Textura Terracal / Marca: Terracor </t>
        </is>
      </c>
      <c r="E4452" s="1068" t="inlineStr">
        <is>
          <t>M2</t>
        </is>
      </c>
      <c r="F4452" s="1067" t="n"/>
      <c r="G4452" s="1069">
        <f t="array" ref="G4452">IF(B4452="insumo",_xlfn.XLOOKUP($D4452,Insumos!$B$1:$B$996,Insumos!$D$1:$D$996),"")</f>
        <v/>
      </c>
      <c r="H4452" s="1069" t="n">
        <v>68.5085555555556</v>
      </c>
      <c r="I4452" s="2161" t="e">
        <v>#REF!</v>
      </c>
      <c r="J4452" s="2161" t="e">
        <v>#REF!</v>
      </c>
      <c r="K4452" s="2161" t="n"/>
    </row>
    <row r="4453" outlineLevel="3" ht="15.75" customHeight="1">
      <c r="A4453" s="10" t="n">
        <v>3</v>
      </c>
      <c r="B4453" s="10" t="inlineStr">
        <is>
          <t>Insumo</t>
        </is>
      </c>
      <c r="C4453" s="10" t="inlineStr">
        <is>
          <t xml:space="preserve">Textura acrílica com selador, aplicação em paredes externas, 1 demão - Textura Terracal / Marca: Terracor </t>
        </is>
      </c>
      <c r="D4453" s="10" t="inlineStr">
        <is>
          <t xml:space="preserve">Textura Terracal / Marca: Terracor </t>
        </is>
      </c>
      <c r="E4453" s="11">
        <f t="array" ref="E4453">_xlfn.XLOOKUP(D4453,Insumos!B:B,Insumos!C:$C)</f>
        <v/>
      </c>
      <c r="F4453" s="14" t="n">
        <v>1.5</v>
      </c>
      <c r="G4453" s="92">
        <f t="array" ref="G4453">IF(B4453="insumo",_xlfn.XLOOKUP($D4453,Insumos!$B$1:$B$996,Insumos!$D$1:$D$996),"")</f>
        <v/>
      </c>
      <c r="H4453" s="92" t="n">
        <v>66.75</v>
      </c>
      <c r="I4453" s="2162" t="e">
        <v>#REF!</v>
      </c>
      <c r="J4453" s="2162" t="e">
        <v>#REF!</v>
      </c>
      <c r="K4453" s="2162" t="n"/>
    </row>
    <row r="4454" outlineLevel="3" ht="15.75" customHeight="1">
      <c r="A4454" s="10" t="n">
        <v>19</v>
      </c>
      <c r="B4454" s="10" t="inlineStr">
        <is>
          <t>Insumo</t>
        </is>
      </c>
      <c r="C4454" s="10" t="inlineStr">
        <is>
          <t xml:space="preserve">Textura acrílica com selador, aplicação em paredes externas, 1 demão - Textura Terracal / Marca: Terracor </t>
        </is>
      </c>
      <c r="D4454" s="10" t="inlineStr">
        <is>
          <t>Selador Primer Ibratin - 4,2kg - 3,6L</t>
        </is>
      </c>
      <c r="E4454" s="11">
        <f t="array" ref="E4454">_xlfn.XLOOKUP(D4454,Insumos!B:B,Insumos!C:$C)</f>
        <v/>
      </c>
      <c r="F4454" s="14" t="n">
        <v>0.1666</v>
      </c>
      <c r="G4454" s="92">
        <f t="array" ref="G4454">IF(B4454="insumo",_xlfn.XLOOKUP($D4454,Insumos!$B$1:$B$996,Insumos!$D$1:$D$996),"")</f>
        <v/>
      </c>
      <c r="H4454" s="92" t="n">
        <v>1.75855555555556</v>
      </c>
      <c r="I4454" s="2162" t="e">
        <v>#REF!</v>
      </c>
      <c r="J4454" s="2162" t="e">
        <v>#REF!</v>
      </c>
      <c r="K4454" s="2162" t="n"/>
    </row>
    <row r="4455" outlineLevel="2" ht="15.75" customHeight="1">
      <c r="A4455" s="1067" t="n">
        <v>1</v>
      </c>
      <c r="B4455" s="1067" t="inlineStr">
        <is>
          <t>Serviço</t>
        </is>
      </c>
      <c r="C4455" s="1067" t="inlineStr">
        <is>
          <t>Textura Emborrachada, acabamento suave, aplicação em paredes externas - 1 demão - Cinza escuro</t>
        </is>
      </c>
      <c r="D4455" s="1067" t="inlineStr">
        <is>
          <t>Textura Emborrachada, acabamento suave, aplicação em paredes externas - 1 demão - Cinza escuro</t>
        </is>
      </c>
      <c r="E4455" s="1068" t="inlineStr">
        <is>
          <t>M2</t>
        </is>
      </c>
      <c r="F4455" s="1067" t="n"/>
      <c r="G4455" s="1069">
        <f t="array" ref="G4455">IF(B4455="insumo",_xlfn.XLOOKUP($D4455,Insumos!$B$1:$B$996,Insumos!$D$1:$D$996),"")</f>
        <v/>
      </c>
      <c r="H4455" s="1069" t="n">
        <v>211.758555555556</v>
      </c>
      <c r="I4455" s="2161" t="n">
        <v>0</v>
      </c>
      <c r="J4455" s="2161" t="n">
        <v>0</v>
      </c>
      <c r="K4455" s="2161" t="n"/>
    </row>
    <row r="4456" outlineLevel="3" ht="15.75" customHeight="1">
      <c r="A4456" s="10" t="n">
        <v>2</v>
      </c>
      <c r="B4456" s="10" t="inlineStr">
        <is>
          <t>Insumo</t>
        </is>
      </c>
      <c r="C4456" s="10" t="inlineStr">
        <is>
          <t>Textura Emborrachada, acabamento suave, aplicação em paredes externas - 1 demão - Cinza escuro</t>
        </is>
      </c>
      <c r="D4456" s="10" t="inlineStr">
        <is>
          <t>Textura acrilica Cinza escura - Sto Brasil</t>
        </is>
      </c>
      <c r="E4456" s="11">
        <f t="array" ref="E4456">_xlfn.XLOOKUP(D4456,Insumos!B:B,Insumos!C:$C)</f>
        <v/>
      </c>
      <c r="F4456" s="14" t="n">
        <v>1.5</v>
      </c>
      <c r="G4456" s="92">
        <f t="array" ref="G4456">IF(B4456="insumo",_xlfn.XLOOKUP($D4456,Insumos!$B$1:$B$996,Insumos!$D$1:$D$996),"")</f>
        <v/>
      </c>
      <c r="H4456" s="92" t="n">
        <v>210</v>
      </c>
      <c r="I4456" s="2162" t="n">
        <v>0</v>
      </c>
      <c r="J4456" s="2162" t="n">
        <v>0</v>
      </c>
      <c r="K4456" s="2162" t="n"/>
    </row>
    <row r="4457" outlineLevel="3" ht="15.75" customHeight="1">
      <c r="A4457" s="10" t="n">
        <v>19</v>
      </c>
      <c r="B4457" s="10" t="inlineStr">
        <is>
          <t>Insumo</t>
        </is>
      </c>
      <c r="C4457" s="10" t="inlineStr">
        <is>
          <t>Textura Emborrachada, acabamento suave, aplicação em paredes externas - 1 demão - Cinza escuro</t>
        </is>
      </c>
      <c r="D4457" s="10" t="inlineStr">
        <is>
          <t>Selador Primer Ibratin - 4,2kg - 3,6L</t>
        </is>
      </c>
      <c r="E4457" s="11">
        <f t="array" ref="E4457">_xlfn.XLOOKUP(D4457,Insumos!B:B,Insumos!C:$C)</f>
        <v/>
      </c>
      <c r="F4457" s="14" t="n">
        <v>0.1666</v>
      </c>
      <c r="G4457" s="92">
        <f t="array" ref="G4457">IF(B4457="insumo",_xlfn.XLOOKUP($D4457,Insumos!$B$1:$B$996,Insumos!$D$1:$D$996),"")</f>
        <v/>
      </c>
      <c r="H4457" s="92" t="n">
        <v>1.75855555555556</v>
      </c>
      <c r="I4457" s="2162" t="n">
        <v>0</v>
      </c>
      <c r="J4457" s="2162" t="n">
        <v>0</v>
      </c>
      <c r="K4457" s="2162" t="n"/>
    </row>
    <row r="4458" outlineLevel="2" ht="15.75" customHeight="1">
      <c r="A4458" s="1067" t="n">
        <v>1</v>
      </c>
      <c r="B4458" s="1067" t="inlineStr">
        <is>
          <t>Serviço</t>
        </is>
      </c>
      <c r="C4458" s="1067" t="inlineStr">
        <is>
          <t>Textura acrílica, acabamento granulado, aplicação em paredes externas - 1 demão - Cimento Queimado</t>
        </is>
      </c>
      <c r="D4458" s="1067" t="inlineStr">
        <is>
          <t>Textura acrílica, acabamento granulado, aplicação em paredes externas - 1 demão - Cimento Queimado</t>
        </is>
      </c>
      <c r="E4458" s="1068" t="inlineStr">
        <is>
          <t>M2</t>
        </is>
      </c>
      <c r="F4458" s="1067" t="n"/>
      <c r="G4458" s="1069">
        <f t="array" ref="G4458">IF(B4458="insumo",_xlfn.XLOOKUP($D4458,Insumos!$B$1:$B$996,Insumos!$D$1:$D$996),"")</f>
        <v/>
      </c>
      <c r="H4458" s="1069" t="n">
        <v>51.2585555555556</v>
      </c>
      <c r="I4458" s="2161" t="n">
        <v>0</v>
      </c>
      <c r="J4458" s="2161" t="n">
        <v>0</v>
      </c>
      <c r="K4458" s="2161" t="n"/>
    </row>
    <row r="4459" outlineLevel="3" ht="15.75" customHeight="1">
      <c r="A4459" s="10" t="n">
        <v>1</v>
      </c>
      <c r="B4459" s="10" t="inlineStr">
        <is>
          <t>Insumo</t>
        </is>
      </c>
      <c r="C4459" s="10" t="inlineStr">
        <is>
          <t>Textura acrílica, acabamento granulado, aplicação em paredes externas - 1 demão - Cimento Queimado</t>
        </is>
      </c>
      <c r="D4459" s="10" t="inlineStr">
        <is>
          <t>Cimento Queimado 4,2kg Elegance - Cor: Tubarão</t>
        </is>
      </c>
      <c r="E4459" s="11">
        <f t="array" ref="E4459">_xlfn.XLOOKUP(D4459,Insumos!B:B,Insumos!C:$C)</f>
        <v/>
      </c>
      <c r="F4459" s="14" t="n">
        <v>1.5</v>
      </c>
      <c r="G4459" s="92">
        <f t="array" ref="G4459">IF(B4459="insumo",_xlfn.XLOOKUP($D4459,Insumos!$B$1:$B$996,Insumos!$D$1:$D$996),"")</f>
        <v/>
      </c>
      <c r="H4459" s="92" t="n">
        <v>49.5</v>
      </c>
      <c r="I4459" s="2162" t="n">
        <v>0</v>
      </c>
      <c r="J4459" s="2162" t="n">
        <v>0</v>
      </c>
      <c r="K4459" s="2162" t="n"/>
    </row>
    <row r="4460" outlineLevel="3" ht="15.75" customHeight="1">
      <c r="A4460" s="10" t="n">
        <v>19</v>
      </c>
      <c r="B4460" s="10" t="inlineStr">
        <is>
          <t>Insumo</t>
        </is>
      </c>
      <c r="C4460" s="10" t="inlineStr">
        <is>
          <t>Textura acrílica, acabamento granulado, aplicação em paredes externas - 1 demão - Cimento Queimado</t>
        </is>
      </c>
      <c r="D4460" s="10" t="inlineStr">
        <is>
          <t>Selador Primer Ibratin - 4,2kg - 3,6L</t>
        </is>
      </c>
      <c r="E4460" s="11">
        <f t="array" ref="E4460">_xlfn.XLOOKUP(D4460,Insumos!B:B,Insumos!C:$C)</f>
        <v/>
      </c>
      <c r="F4460" s="14" t="n">
        <v>0.1666</v>
      </c>
      <c r="G4460" s="92">
        <f t="array" ref="G4460">IF(B4460="insumo",_xlfn.XLOOKUP($D4460,Insumos!$B$1:$B$996,Insumos!$D$1:$D$996),"")</f>
        <v/>
      </c>
      <c r="H4460" s="92" t="n">
        <v>1.75855555555556</v>
      </c>
      <c r="I4460" s="2162" t="n">
        <v>0</v>
      </c>
      <c r="J4460" s="2162" t="n">
        <v>0</v>
      </c>
      <c r="K4460" s="2162" t="n"/>
    </row>
    <row r="4461" outlineLevel="2" ht="15.75" customHeight="1">
      <c r="A4461" s="1067" t="n">
        <v>1</v>
      </c>
      <c r="B4461" s="1067" t="inlineStr">
        <is>
          <t>Serviço</t>
        </is>
      </c>
      <c r="C4461" s="1067" t="inlineStr">
        <is>
          <t>Textura acrílica, acabamento granulado, aplicação em paredes externas - 1 demão - Effeti Branco</t>
        </is>
      </c>
      <c r="D4461" s="1067" t="inlineStr">
        <is>
          <t>Textura acrílica, acabamento granulado, aplicação em paredes externas - 1 demão - Effeti Branco</t>
        </is>
      </c>
      <c r="E4461" s="1068" t="inlineStr">
        <is>
          <t>M2</t>
        </is>
      </c>
      <c r="F4461" s="1067" t="n"/>
      <c r="G4461" s="1069">
        <f t="array" ref="G4461">IF(B4461="insumo",_xlfn.XLOOKUP($D4461,Insumos!$B$1:$B$996,Insumos!$D$1:$D$996),"")</f>
        <v/>
      </c>
      <c r="H4461" s="1069" t="n">
        <v>43.7585555555556</v>
      </c>
      <c r="I4461" s="2161" t="n">
        <v>0</v>
      </c>
      <c r="J4461" s="2161" t="n">
        <v>0</v>
      </c>
      <c r="K4461" s="2161" t="n"/>
    </row>
    <row r="4462" outlineLevel="3" ht="15.75" customHeight="1">
      <c r="A4462" s="10" t="n">
        <v>1</v>
      </c>
      <c r="B4462" s="10" t="inlineStr">
        <is>
          <t>Insumo</t>
        </is>
      </c>
      <c r="C4462" s="10" t="inlineStr">
        <is>
          <t>Textura acrílica, acabamento granulado, aplicação em paredes externas - 1 demão - Effeti Branco</t>
        </is>
      </c>
      <c r="D4462" s="10" t="inlineStr">
        <is>
          <t>Textura Ibratin: Effetti Branco</t>
        </is>
      </c>
      <c r="E4462" s="11">
        <f t="array" ref="E4462">_xlfn.XLOOKUP(D4462,Insumos!B:B,Insumos!C:$C)</f>
        <v/>
      </c>
      <c r="F4462" s="14" t="n">
        <v>1.5</v>
      </c>
      <c r="G4462" s="92">
        <f t="array" ref="G4462">IF(B4462="insumo",_xlfn.XLOOKUP($D4462,Insumos!$B$1:$B$996,Insumos!$D$1:$D$996),"")</f>
        <v/>
      </c>
      <c r="H4462" s="92" t="n">
        <v>42</v>
      </c>
      <c r="I4462" s="2162" t="n">
        <v>0</v>
      </c>
      <c r="J4462" s="2162" t="n">
        <v>0</v>
      </c>
      <c r="K4462" s="2162" t="n"/>
    </row>
    <row r="4463" outlineLevel="3" ht="15.75" customHeight="1">
      <c r="A4463" s="10" t="n">
        <v>19</v>
      </c>
      <c r="B4463" s="10" t="inlineStr">
        <is>
          <t>Insumo</t>
        </is>
      </c>
      <c r="C4463" s="10" t="inlineStr">
        <is>
          <t>Textura acrílica, acabamento granulado, aplicação em paredes externas - 1 demão - Effeti Branco</t>
        </is>
      </c>
      <c r="D4463" s="10" t="inlineStr">
        <is>
          <t>Selador Primer Ibratin - 4,2kg - 3,6L</t>
        </is>
      </c>
      <c r="E4463" s="11">
        <f t="array" ref="E4463">_xlfn.XLOOKUP(D4463,Insumos!B:B,Insumos!C:$C)</f>
        <v/>
      </c>
      <c r="F4463" s="14" t="n">
        <v>0.1666</v>
      </c>
      <c r="G4463" s="92">
        <f t="array" ref="G4463">IF(B4463="insumo",_xlfn.XLOOKUP($D4463,Insumos!$B$1:$B$996,Insumos!$D$1:$D$996),"")</f>
        <v/>
      </c>
      <c r="H4463" s="92" t="n">
        <v>1.75855555555556</v>
      </c>
      <c r="I4463" s="2162" t="n">
        <v>0</v>
      </c>
      <c r="J4463" s="2162" t="n">
        <v>0</v>
      </c>
      <c r="K4463" s="2162" t="n"/>
    </row>
    <row r="4464" outlineLevel="2" ht="15.75" customHeight="1">
      <c r="A4464" s="1067" t="n">
        <v>1</v>
      </c>
      <c r="B4464" s="1067" t="inlineStr">
        <is>
          <t>Serviço</t>
        </is>
      </c>
      <c r="C4464" s="1067" t="inlineStr">
        <is>
          <t>Textura acrílica, acabamento granulado, aplicação em paredes externas - 1 demão - Essen Máximo</t>
        </is>
      </c>
      <c r="D4464" s="1067" t="inlineStr">
        <is>
          <t>Textura acrílica, acabamento granulado, aplicação em paredes externas - 1 demão - Essen Máximo</t>
        </is>
      </c>
      <c r="E4464" s="1068" t="inlineStr">
        <is>
          <t>M2</t>
        </is>
      </c>
      <c r="F4464" s="1067" t="n"/>
      <c r="G4464" s="1069">
        <f t="array" ref="G4464">IF(B4464="insumo",_xlfn.XLOOKUP($D4464,Insumos!$B$1:$B$996,Insumos!$D$1:$D$996),"")</f>
        <v/>
      </c>
      <c r="H4464" s="1069" t="n">
        <v>6.20855555555556</v>
      </c>
      <c r="I4464" s="2161" t="n">
        <v>0</v>
      </c>
      <c r="J4464" s="2161" t="n">
        <v>0</v>
      </c>
      <c r="K4464" s="2161" t="n"/>
    </row>
    <row r="4465" outlineLevel="3" ht="15.75" customHeight="1">
      <c r="A4465" s="10" t="n">
        <v>1</v>
      </c>
      <c r="B4465" s="10" t="inlineStr">
        <is>
          <t>Insumo</t>
        </is>
      </c>
      <c r="C4465" s="10" t="inlineStr">
        <is>
          <t>Textura acrílica, acabamento granulado, aplicação em paredes externas - 1 demão - Essen Máximo</t>
        </is>
      </c>
      <c r="D4465" s="10" t="inlineStr">
        <is>
          <t>Textura Efeito Estrelado - Cor: Palha - 4,2kg</t>
        </is>
      </c>
      <c r="E4465" s="11">
        <f t="array" ref="E4465">_xlfn.XLOOKUP(D4465,Insumos!B:B,Insumos!C:$C)</f>
        <v/>
      </c>
      <c r="F4465" s="14" t="n">
        <v>0.21</v>
      </c>
      <c r="G4465" s="92">
        <f t="array" ref="G4465">IF(B4465="insumo",_xlfn.XLOOKUP($D4465,Insumos!$B$1:$B$996,Insumos!$D$1:$D$996),"")</f>
        <v/>
      </c>
      <c r="H4465" s="92" t="n">
        <v>4.45</v>
      </c>
      <c r="I4465" s="2162" t="n">
        <v>0</v>
      </c>
      <c r="J4465" s="2162" t="n">
        <v>0</v>
      </c>
      <c r="K4465" s="2162" t="n"/>
    </row>
    <row r="4466" outlineLevel="3" ht="15.75" customHeight="1">
      <c r="A4466" s="10" t="n">
        <v>19</v>
      </c>
      <c r="B4466" s="10" t="inlineStr">
        <is>
          <t>Insumo</t>
        </is>
      </c>
      <c r="C4466" s="10" t="inlineStr">
        <is>
          <t>Textura acrílica, acabamento granulado, aplicação em paredes externas - 1 demão - Essen Máximo</t>
        </is>
      </c>
      <c r="D4466" s="10" t="inlineStr">
        <is>
          <t>Selador Primer Ibratin - 4,2kg - 3,6L</t>
        </is>
      </c>
      <c r="E4466" s="11">
        <f t="array" ref="E4466">_xlfn.XLOOKUP(D4466,Insumos!B:B,Insumos!C:$C)</f>
        <v/>
      </c>
      <c r="F4466" s="14" t="n">
        <v>0.1666</v>
      </c>
      <c r="G4466" s="92">
        <f t="array" ref="G4466">IF(B4466="insumo",_xlfn.XLOOKUP($D4466,Insumos!$B$1:$B$996,Insumos!$D$1:$D$996),"")</f>
        <v/>
      </c>
      <c r="H4466" s="92" t="n">
        <v>1.75855555555556</v>
      </c>
      <c r="I4466" s="2162" t="n">
        <v>0</v>
      </c>
      <c r="J4466" s="2162" t="n">
        <v>0</v>
      </c>
      <c r="K4466" s="2162" t="n"/>
    </row>
    <row r="4467" outlineLevel="2" ht="15.75" customHeight="1">
      <c r="A4467" s="1067" t="n">
        <v>1</v>
      </c>
      <c r="B4467" s="1067" t="inlineStr">
        <is>
          <t>Serviço</t>
        </is>
      </c>
      <c r="C4467" s="1067" t="inlineStr">
        <is>
          <t>Textura acrílica, acabamento granulado, aplicação em paredes externas - 1 demão - Cinza Geada</t>
        </is>
      </c>
      <c r="D4467" s="1067" t="inlineStr">
        <is>
          <t>Textura acrílica, acabamento granulado, aplicação em paredes externas - 1 demão - Cinza Geada</t>
        </is>
      </c>
      <c r="E4467" s="1068" t="inlineStr">
        <is>
          <t>M2</t>
        </is>
      </c>
      <c r="F4467" s="1067" t="n"/>
      <c r="G4467" s="1069">
        <f t="array" ref="G4467">IF(B4467="insumo",_xlfn.XLOOKUP($D4467,Insumos!$B$1:$B$996,Insumos!$D$1:$D$996),"")</f>
        <v/>
      </c>
      <c r="H4467" s="1069" t="n">
        <v>13.3535294117647</v>
      </c>
      <c r="I4467" s="2161" t="n">
        <v>0</v>
      </c>
      <c r="J4467" s="2161" t="n">
        <v>0</v>
      </c>
      <c r="K4467" s="2161" t="n"/>
    </row>
    <row r="4468" outlineLevel="3" ht="15.75" customHeight="1">
      <c r="A4468" s="10" t="n">
        <v>5</v>
      </c>
      <c r="B4468" s="10" t="inlineStr">
        <is>
          <t>Insumo</t>
        </is>
      </c>
      <c r="C4468" s="10" t="inlineStr">
        <is>
          <t>Textura acrílica, acabamento granulado, aplicação em paredes externas - 1 demão - Cinza Geada</t>
        </is>
      </c>
      <c r="D4468" s="10" t="inlineStr">
        <is>
          <t>Textura acrilica branca - Coral</t>
        </is>
      </c>
      <c r="E4468" s="11">
        <f t="array" ref="E4468">_xlfn.XLOOKUP(D4468,Insumos!B:B,Insumos!C:$C)</f>
        <v/>
      </c>
      <c r="F4468" s="14" t="n">
        <v>0.8333333333333334</v>
      </c>
      <c r="G4468" s="92">
        <f t="array" ref="G4468">IF(B4468="insumo",_xlfn.XLOOKUP($D4468,Insumos!$B$1:$B$996,Insumos!$D$1:$D$996),"")</f>
        <v/>
      </c>
      <c r="H4468" s="92" t="n">
        <v>6.99666666666667</v>
      </c>
      <c r="I4468" s="2162" t="n">
        <v>0</v>
      </c>
      <c r="J4468" s="2162" t="n">
        <v>0</v>
      </c>
      <c r="K4468" s="2162" t="n"/>
    </row>
    <row r="4469" outlineLevel="3" ht="15.75" customHeight="1">
      <c r="A4469" s="10" t="n">
        <v>1</v>
      </c>
      <c r="B4469" s="10" t="inlineStr">
        <is>
          <t>Insumo</t>
        </is>
      </c>
      <c r="C4469" s="10" t="inlineStr">
        <is>
          <t>Textura acrílica, acabamento granulado, aplicação em paredes externas - 1 demão - Cinza Geada</t>
        </is>
      </c>
      <c r="D4469" s="10" t="inlineStr">
        <is>
          <t>Rende Muito Cinza Geada - Tinta Coral</t>
        </is>
      </c>
      <c r="E4469" s="11">
        <f t="array" ref="E4469">_xlfn.XLOOKUP(D4469,Insumos!B:B,Insumos!C:$C)</f>
        <v/>
      </c>
      <c r="F4469" s="14" t="n">
        <v>0.09411764705882353</v>
      </c>
      <c r="G4469" s="92">
        <f t="array" ref="G4469">IF(B4469="insumo",_xlfn.XLOOKUP($D4469,Insumos!$B$1:$B$996,Insumos!$D$1:$D$996),"")</f>
        <v/>
      </c>
      <c r="H4469" s="92" t="n">
        <v>3.82352941176471</v>
      </c>
      <c r="I4469" s="2162" t="n">
        <v>0</v>
      </c>
      <c r="J4469" s="2162" t="n">
        <v>0</v>
      </c>
      <c r="K4469" s="2162" t="n"/>
    </row>
    <row r="4470" outlineLevel="3" ht="15.75" customHeight="1">
      <c r="A4470" s="10" t="n">
        <v>19</v>
      </c>
      <c r="B4470" s="10" t="inlineStr">
        <is>
          <t>Insumo</t>
        </is>
      </c>
      <c r="C4470" s="10" t="inlineStr">
        <is>
          <t>Textura acrílica, acabamento granulado, aplicação em paredes externas - 1 demão - Cinza Geada</t>
        </is>
      </c>
      <c r="D4470" s="10" t="inlineStr">
        <is>
          <t>Selador Primer Ibratin - 4,2kg - 3,6L</t>
        </is>
      </c>
      <c r="E4470" s="11">
        <f t="array" ref="E4470">_xlfn.XLOOKUP(D4470,Insumos!B:B,Insumos!C:$C)</f>
        <v/>
      </c>
      <c r="F4470" s="14" t="n">
        <v>0.24</v>
      </c>
      <c r="G4470" s="92">
        <f t="array" ref="G4470">IF(B4470="insumo",_xlfn.XLOOKUP($D4470,Insumos!$B$1:$B$996,Insumos!$D$1:$D$996),"")</f>
        <v/>
      </c>
      <c r="H4470" s="92" t="n">
        <v>2.53333333333333</v>
      </c>
      <c r="I4470" s="2162" t="n">
        <v>0</v>
      </c>
      <c r="J4470" s="2162" t="n">
        <v>0</v>
      </c>
      <c r="K4470" s="2162" t="n"/>
    </row>
    <row r="4471" outlineLevel="2" ht="15.75" customHeight="1">
      <c r="A4471" s="1067" t="n">
        <v>1</v>
      </c>
      <c r="B4471" s="1067" t="inlineStr">
        <is>
          <t>Serviço</t>
        </is>
      </c>
      <c r="C4471" s="1067" t="inlineStr">
        <is>
          <t>Textura acrílica, acabamento granulado, aplicação em paredes externas - 1 demão - Imensidão Cinza</t>
        </is>
      </c>
      <c r="D4471" s="1067" t="inlineStr">
        <is>
          <t>Textura acrílica, acabamento granulado, aplicação em paredes externas - 1 demão - Imensidão Cinza</t>
        </is>
      </c>
      <c r="E4471" s="1068" t="inlineStr">
        <is>
          <t>M2</t>
        </is>
      </c>
      <c r="F4471" s="1067" t="n"/>
      <c r="G4471" s="1069">
        <f t="array" ref="G4471">IF(B4471="insumo",_xlfn.XLOOKUP($D4471,Insumos!$B$1:$B$996,Insumos!$D$1:$D$996),"")</f>
        <v/>
      </c>
      <c r="H4471" s="1069" t="n">
        <v>11.1965333333333</v>
      </c>
      <c r="I4471" s="2161" t="n">
        <v>0</v>
      </c>
      <c r="J4471" s="2161" t="n">
        <v>0</v>
      </c>
      <c r="K4471" s="2161" t="n"/>
    </row>
    <row r="4472" outlineLevel="3" ht="15.75" customHeight="1">
      <c r="A4472" s="10" t="n">
        <v>5</v>
      </c>
      <c r="B4472" s="10" t="inlineStr">
        <is>
          <t>Insumo</t>
        </is>
      </c>
      <c r="C4472" s="10" t="inlineStr">
        <is>
          <t>Textura acrílica, acabamento granulado, aplicação em paredes externas - 1 demão - Imensidão Cinza</t>
        </is>
      </c>
      <c r="D4472" s="10" t="inlineStr">
        <is>
          <t>Textura acrilica branca - Coral</t>
        </is>
      </c>
      <c r="E4472" s="11">
        <f t="array" ref="E4472">_xlfn.XLOOKUP(D4472,Insumos!B:B,Insumos!C:$C)</f>
        <v/>
      </c>
      <c r="F4472" s="14" t="n">
        <v>0.8333333333333334</v>
      </c>
      <c r="G4472" s="92">
        <f t="array" ref="G4472">IF(B4472="insumo",_xlfn.XLOOKUP($D4472,Insumos!$B$1:$B$996,Insumos!$D$1:$D$996),"")</f>
        <v/>
      </c>
      <c r="H4472" s="92" t="n">
        <v>6.99666666666667</v>
      </c>
      <c r="I4472" s="2162" t="n">
        <v>0</v>
      </c>
      <c r="J4472" s="2162" t="n">
        <v>0</v>
      </c>
      <c r="K4472" s="2162" t="n"/>
    </row>
    <row r="4473" outlineLevel="3" ht="15.75" customHeight="1">
      <c r="A4473" s="10" t="n">
        <v>1</v>
      </c>
      <c r="B4473" s="10" t="inlineStr">
        <is>
          <t>Insumo</t>
        </is>
      </c>
      <c r="C4473" s="10" t="inlineStr">
        <is>
          <t>Textura acrílica, acabamento granulado, aplicação em paredes externas - 1 demão - Imensidão Cinza</t>
        </is>
      </c>
      <c r="D4473" s="10" t="inlineStr">
        <is>
          <t>Coralit Ultra Resistência Alto Brilho Imensidão Cinza</t>
        </is>
      </c>
      <c r="E4473" s="11">
        <f t="array" ref="E4473">_xlfn.XLOOKUP(D4473,Insumos!B:B,Insumos!C:$C)</f>
        <v/>
      </c>
      <c r="F4473" s="14" t="n">
        <v>0.048</v>
      </c>
      <c r="G4473" s="92">
        <f t="array" ref="G4473">IF(B4473="insumo",_xlfn.XLOOKUP($D4473,Insumos!$B$1:$B$996,Insumos!$D$1:$D$996),"")</f>
        <v/>
      </c>
      <c r="H4473" s="92" t="n">
        <v>1.66653333333333</v>
      </c>
      <c r="I4473" s="2162" t="n">
        <v>0</v>
      </c>
      <c r="J4473" s="2162" t="n">
        <v>0</v>
      </c>
      <c r="K4473" s="2162" t="n"/>
    </row>
    <row r="4474" outlineLevel="3" ht="15.75" customHeight="1">
      <c r="A4474" s="10" t="n">
        <v>19</v>
      </c>
      <c r="B4474" s="10" t="inlineStr">
        <is>
          <t>Insumo</t>
        </is>
      </c>
      <c r="C4474" s="10" t="inlineStr">
        <is>
          <t>Textura acrílica, acabamento granulado, aplicação em paredes externas - 1 demão - Imensidão Cinza</t>
        </is>
      </c>
      <c r="D4474" s="10" t="inlineStr">
        <is>
          <t>Selador Primer Ibratin - 4,2kg - 3,6L</t>
        </is>
      </c>
      <c r="E4474" s="11">
        <f t="array" ref="E4474">_xlfn.XLOOKUP(D4474,Insumos!B:B,Insumos!C:$C)</f>
        <v/>
      </c>
      <c r="F4474" s="14" t="n">
        <v>0.24</v>
      </c>
      <c r="G4474" s="92">
        <f t="array" ref="G4474">IF(B4474="insumo",_xlfn.XLOOKUP($D4474,Insumos!$B$1:$B$996,Insumos!$D$1:$D$996),"")</f>
        <v/>
      </c>
      <c r="H4474" s="92" t="n">
        <v>2.53333333333333</v>
      </c>
      <c r="I4474" s="2162" t="n">
        <v>0</v>
      </c>
      <c r="J4474" s="2162" t="n">
        <v>0</v>
      </c>
      <c r="K4474" s="2162" t="n"/>
    </row>
    <row r="4475" outlineLevel="2" ht="15.75" customHeight="1">
      <c r="A4475" s="1067" t="n">
        <v>1</v>
      </c>
      <c r="B4475" s="1067" t="inlineStr">
        <is>
          <t>Serviço</t>
        </is>
      </c>
      <c r="C4475" s="1067" t="inlineStr">
        <is>
          <t>Textura acrílica, acabamento granulado, aplicação em paredes externas - 1 demão - Preto Fosco</t>
        </is>
      </c>
      <c r="D4475" s="1067" t="inlineStr">
        <is>
          <t>Textura acrílica, acabamento granulado, aplicação em paredes externas - 1 demão - Preto Fosco</t>
        </is>
      </c>
      <c r="E4475" s="1068" t="inlineStr">
        <is>
          <t>M2</t>
        </is>
      </c>
      <c r="F4475" s="1067" t="n"/>
      <c r="G4475" s="1069">
        <f t="array" ref="G4475">IF(B4475="insumo",_xlfn.XLOOKUP($D4475,Insumos!$B$1:$B$996,Insumos!$D$1:$D$996),"")</f>
        <v/>
      </c>
      <c r="H4475" s="1069" t="n">
        <v>11.9286666666667</v>
      </c>
      <c r="I4475" s="2161" t="n">
        <v>0</v>
      </c>
      <c r="J4475" s="2161" t="n">
        <v>0</v>
      </c>
      <c r="K4475" s="2161" t="n"/>
    </row>
    <row r="4476" outlineLevel="3" ht="15.75" customHeight="1">
      <c r="A4476" s="10" t="n">
        <v>5</v>
      </c>
      <c r="B4476" s="10" t="inlineStr">
        <is>
          <t>Insumo</t>
        </is>
      </c>
      <c r="C4476" s="10" t="inlineStr">
        <is>
          <t>Textura acrílica, acabamento granulado, aplicação em paredes externas - 1 demão - Preto Fosco</t>
        </is>
      </c>
      <c r="D4476" s="10" t="inlineStr">
        <is>
          <t>Textura acrilica branca - Coral</t>
        </is>
      </c>
      <c r="E4476" s="11">
        <f t="array" ref="E4476">_xlfn.XLOOKUP(D4476,Insumos!B:B,Insumos!C:$C)</f>
        <v/>
      </c>
      <c r="F4476" s="14" t="n">
        <v>0.8333333333333334</v>
      </c>
      <c r="G4476" s="92">
        <f t="array" ref="G4476">IF(B4476="insumo",_xlfn.XLOOKUP($D4476,Insumos!$B$1:$B$996,Insumos!$D$1:$D$996),"")</f>
        <v/>
      </c>
      <c r="H4476" s="92" t="n">
        <v>6.99666666666667</v>
      </c>
      <c r="I4476" s="2162" t="n">
        <v>0</v>
      </c>
      <c r="J4476" s="2162" t="n">
        <v>0</v>
      </c>
      <c r="K4476" s="2162" t="n"/>
    </row>
    <row r="4477" outlineLevel="3" ht="15.75" customHeight="1">
      <c r="A4477" s="10" t="n">
        <v>1</v>
      </c>
      <c r="B4477" s="10" t="inlineStr">
        <is>
          <t>Insumo</t>
        </is>
      </c>
      <c r="C4477" s="10" t="inlineStr">
        <is>
          <t>Textura acrílica, acabamento granulado, aplicação em paredes externas - 1 demão - Preto Fosco</t>
        </is>
      </c>
      <c r="D4477" s="10" t="inlineStr">
        <is>
          <t>Coralit Ultra Resistência Fosco Preto - Coral</t>
        </is>
      </c>
      <c r="E4477" s="11">
        <f t="array" ref="E4477">_xlfn.XLOOKUP(D4477,Insumos!B:B,Insumos!C:$C)</f>
        <v/>
      </c>
      <c r="F4477" s="14" t="n">
        <v>0.048</v>
      </c>
      <c r="G4477" s="92">
        <f t="array" ref="G4477">IF(B4477="insumo",_xlfn.XLOOKUP($D4477,Insumos!$B$1:$B$996,Insumos!$D$1:$D$996),"")</f>
        <v/>
      </c>
      <c r="H4477" s="92" t="n">
        <v>2.39866666666667</v>
      </c>
      <c r="I4477" s="2162" t="n">
        <v>0</v>
      </c>
      <c r="J4477" s="2162" t="n">
        <v>0</v>
      </c>
      <c r="K4477" s="2162" t="n"/>
    </row>
    <row r="4478" outlineLevel="3" ht="15.75" customHeight="1">
      <c r="A4478" s="10" t="n">
        <v>19</v>
      </c>
      <c r="B4478" s="10" t="inlineStr">
        <is>
          <t>Insumo</t>
        </is>
      </c>
      <c r="C4478" s="10" t="inlineStr">
        <is>
          <t>Textura acrílica, acabamento granulado, aplicação em paredes externas - 1 demão - Preto Fosco</t>
        </is>
      </c>
      <c r="D4478" s="10" t="inlineStr">
        <is>
          <t>Selador Primer Ibratin - 4,2kg - 3,6L</t>
        </is>
      </c>
      <c r="E4478" s="11">
        <f t="array" ref="E4478">_xlfn.XLOOKUP(D4478,Insumos!B:B,Insumos!C:$C)</f>
        <v/>
      </c>
      <c r="F4478" s="14" t="n">
        <v>0.24</v>
      </c>
      <c r="G4478" s="92">
        <f t="array" ref="G4478">IF(B4478="insumo",_xlfn.XLOOKUP($D4478,Insumos!$B$1:$B$996,Insumos!$D$1:$D$996),"")</f>
        <v/>
      </c>
      <c r="H4478" s="92" t="n">
        <v>2.53333333333333</v>
      </c>
      <c r="I4478" s="2162" t="n">
        <v>0</v>
      </c>
      <c r="J4478" s="2162" t="n">
        <v>0</v>
      </c>
      <c r="K4478" s="2162" t="n"/>
    </row>
    <row r="4479" outlineLevel="2" ht="15.75" customHeight="1">
      <c r="A4479" s="1067" t="n">
        <v>1</v>
      </c>
      <c r="B4479" s="1067" t="inlineStr">
        <is>
          <t>Serviço</t>
        </is>
      </c>
      <c r="C4479" s="1067" t="inlineStr">
        <is>
          <t>Textura acrílica, acabamento rolado e desempenado  aplicação em paredes externas - 1 demão</t>
        </is>
      </c>
      <c r="D4479" s="1067" t="inlineStr">
        <is>
          <t>Textura acrílica, acabamento rolado e desempenado  aplicação em paredes externas - 1 demão</t>
        </is>
      </c>
      <c r="E4479" s="1068" t="inlineStr">
        <is>
          <t>M2</t>
        </is>
      </c>
      <c r="F4479" s="1067" t="n"/>
      <c r="G4479" s="1069">
        <f t="array" ref="G4479">IF(B4479="insumo",_xlfn.XLOOKUP($D4479,Insumos!$B$1:$B$996,Insumos!$D$1:$D$996),"")</f>
        <v/>
      </c>
      <c r="H4479" s="1069" t="n">
        <v>36.3636363636364</v>
      </c>
      <c r="I4479" s="2161" t="n">
        <v>0</v>
      </c>
      <c r="J4479" s="2161" t="n">
        <v>0</v>
      </c>
      <c r="K4479" s="2161" t="n"/>
    </row>
    <row r="4480" outlineLevel="3" ht="15.75" customHeight="1">
      <c r="A4480" s="10" t="n">
        <v>5</v>
      </c>
      <c r="B4480" s="10" t="inlineStr">
        <is>
          <t>Insumo</t>
        </is>
      </c>
      <c r="C4480" s="10" t="inlineStr">
        <is>
          <t>Textura acrílica, acabamento rolado e desempenado  aplicação em paredes externas - 1 demão</t>
        </is>
      </c>
      <c r="D4480" s="10" t="inlineStr">
        <is>
          <t>MASSA PREMIUM PARA TEXTURA LISA DE BASE ACRILICA</t>
        </is>
      </c>
      <c r="E4480" s="11">
        <f t="array" ref="E4480">_xlfn.XLOOKUP(D4480,Insumos!B:B,Insumos!C:$C)</f>
        <v/>
      </c>
      <c r="F4480" s="14" t="n">
        <v>4</v>
      </c>
      <c r="G4480" s="92">
        <f t="array" ref="G4480">IF(B4480="insumo",_xlfn.XLOOKUP($D4480,Insumos!$B$1:$B$996,Insumos!$D$1:$D$996),"")</f>
        <v/>
      </c>
      <c r="H4480" s="92" t="n">
        <v>36.3636363636364</v>
      </c>
      <c r="I4480" s="2162" t="n">
        <v>0</v>
      </c>
      <c r="J4480" s="2162" t="n">
        <v>0</v>
      </c>
      <c r="K4480" s="2162" t="n"/>
    </row>
    <row r="4481" outlineLevel="2" ht="15.75" customHeight="1">
      <c r="A4481" s="1067" t="n">
        <v>1</v>
      </c>
      <c r="B4481" s="1067" t="inlineStr">
        <is>
          <t>Serviço</t>
        </is>
      </c>
      <c r="C4481" s="1067" t="inlineStr">
        <is>
          <t>Fundo selador latex acrilico em paredes externas - 1 demao</t>
        </is>
      </c>
      <c r="D4481" s="1067" t="inlineStr">
        <is>
          <t>Fundo selador latex acrilico em paredes externas - 1 demao</t>
        </is>
      </c>
      <c r="E4481" s="1068" t="inlineStr">
        <is>
          <t>M2</t>
        </is>
      </c>
      <c r="F4481" s="1067" t="n"/>
      <c r="G4481" s="1069">
        <f t="array" ref="G4481">IF(B4481="insumo",_xlfn.XLOOKUP($D4481,Insumos!$B$1:$B$996,Insumos!$D$1:$D$996),"")</f>
        <v/>
      </c>
      <c r="H4481" s="1069" t="n">
        <v>1.75855555555556</v>
      </c>
      <c r="I4481" s="2161" t="n">
        <v>0</v>
      </c>
      <c r="J4481" s="2161" t="n">
        <v>0</v>
      </c>
      <c r="K4481" s="2161" t="n"/>
    </row>
    <row r="4482" outlineLevel="3" ht="15.75" customHeight="1">
      <c r="A4482" s="10" t="n">
        <v>19</v>
      </c>
      <c r="B4482" s="10" t="inlineStr">
        <is>
          <t>Insumo</t>
        </is>
      </c>
      <c r="C4482" s="10" t="inlineStr">
        <is>
          <t>Fundo selador latex acrilico em paredes externas - 1 demao</t>
        </is>
      </c>
      <c r="D4482" s="10" t="inlineStr">
        <is>
          <t>Selador Primer Ibratin - 4,2kg - 3,6L</t>
        </is>
      </c>
      <c r="E4482" s="11">
        <f t="array" ref="E4482">_xlfn.XLOOKUP(D4482,Insumos!B:B,Insumos!C:$C)</f>
        <v/>
      </c>
      <c r="F4482" s="14" t="n">
        <v>0.1666</v>
      </c>
      <c r="G4482" s="92">
        <f t="array" ref="G4482">IF(B4482="insumo",_xlfn.XLOOKUP($D4482,Insumos!$B$1:$B$996,Insumos!$D$1:$D$996),"")</f>
        <v/>
      </c>
      <c r="H4482" s="92" t="n">
        <v>1.75855555555556</v>
      </c>
      <c r="I4482" s="2162" t="n">
        <v>0</v>
      </c>
      <c r="J4482" s="2162" t="n">
        <v>0</v>
      </c>
      <c r="K4482" s="2162" t="n"/>
    </row>
    <row r="4483" outlineLevel="2" ht="15.75" customHeight="1">
      <c r="A4483" s="1067" t="n">
        <v>1</v>
      </c>
      <c r="B4483" s="1067" t="inlineStr">
        <is>
          <t>Serviço</t>
        </is>
      </c>
      <c r="C4483" s="1067" t="inlineStr">
        <is>
          <t>Pintura projetada, aplicação em paredes externas - 2 demão - Elefante</t>
        </is>
      </c>
      <c r="D4483" s="1067" t="inlineStr">
        <is>
          <t>Pintura projetada, aplicação em paredes externas - 2 demão - Elefante</t>
        </is>
      </c>
      <c r="E4483" s="1068" t="inlineStr">
        <is>
          <t>M2</t>
        </is>
      </c>
      <c r="F4483" s="1067" t="n"/>
      <c r="G4483" s="1069">
        <f t="array" ref="G4483">IF(B4483="insumo",_xlfn.XLOOKUP($D4483,Insumos!$B$1:$B$996,Insumos!$D$1:$D$996),"")</f>
        <v/>
      </c>
      <c r="H4483" s="1069" t="n">
        <v>54.3556666666667</v>
      </c>
      <c r="I4483" s="2161" t="n">
        <v>0</v>
      </c>
      <c r="J4483" s="2161" t="n">
        <v>0</v>
      </c>
      <c r="K4483" s="2161" t="n"/>
    </row>
    <row r="4484" outlineLevel="3" ht="15.75" customHeight="1">
      <c r="A4484" s="10" t="n">
        <v>36</v>
      </c>
      <c r="B4484" s="10" t="inlineStr">
        <is>
          <t>Insumo</t>
        </is>
      </c>
      <c r="C4484" s="10" t="inlineStr">
        <is>
          <t>Pintura projetada, aplicação em paredes externas - 2 demão - Elefante</t>
        </is>
      </c>
      <c r="D4484" s="10" t="inlineStr">
        <is>
          <t>LIXA DAGUA 225X275MM GR100</t>
        </is>
      </c>
      <c r="E4484" s="11">
        <f t="array" ref="E4484">_xlfn.XLOOKUP(D4484,Insumos!B:B,Insumos!C:$C)</f>
        <v/>
      </c>
      <c r="F4484" s="14" t="n">
        <v>0.1</v>
      </c>
      <c r="G4484" s="92">
        <f t="array" ref="G4484">IF(B4484="insumo",_xlfn.XLOOKUP($D4484,Insumos!$B$1:$B$996,Insumos!$D$1:$D$996),"")</f>
        <v/>
      </c>
      <c r="H4484" s="92" t="n">
        <v>0.189</v>
      </c>
      <c r="I4484" s="2162" t="n">
        <v>0</v>
      </c>
      <c r="J4484" s="2162" t="n">
        <v>0</v>
      </c>
      <c r="K4484" s="2162" t="n"/>
    </row>
    <row r="4485" outlineLevel="3" ht="15.75" customHeight="1">
      <c r="A4485" s="10" t="n">
        <v>1</v>
      </c>
      <c r="B4485" s="10" t="inlineStr">
        <is>
          <t>Insumo</t>
        </is>
      </c>
      <c r="C4485" s="10" t="inlineStr">
        <is>
          <t>Pintura projetada, aplicação em paredes externas - 2 demão - Elefante</t>
        </is>
      </c>
      <c r="D4485" s="10" t="inlineStr">
        <is>
          <t>TINTA ACRILICA PREMIUM COR ELEFANTE</t>
        </is>
      </c>
      <c r="E4485" s="11">
        <f t="array" ref="E4485">_xlfn.XLOOKUP(D4485,Insumos!B:B,Insumos!C:$C)</f>
        <v/>
      </c>
      <c r="F4485" s="14" t="n">
        <v>1.5</v>
      </c>
      <c r="G4485" s="92">
        <f t="array" ref="G4485">IF(B4485="insumo",_xlfn.XLOOKUP($D4485,Insumos!$B$1:$B$996,Insumos!$D$1:$D$996),"")</f>
        <v/>
      </c>
      <c r="H4485" s="92" t="n">
        <v>54.1666666666667</v>
      </c>
      <c r="I4485" s="2162" t="n">
        <v>0</v>
      </c>
      <c r="J4485" s="2162" t="n">
        <v>0</v>
      </c>
      <c r="K4485" s="2162" t="n"/>
    </row>
    <row r="4486" outlineLevel="2" ht="15.75" customHeight="1">
      <c r="A4486" s="1067" t="n">
        <v>1</v>
      </c>
      <c r="B4486" s="1067" t="inlineStr">
        <is>
          <t>Serviço</t>
        </is>
      </c>
      <c r="C4486" s="1067" t="inlineStr">
        <is>
          <t>Pintura projetada, aplicação em paredes externas - 2 demão - Branco neve</t>
        </is>
      </c>
      <c r="D4486" s="1067" t="inlineStr">
        <is>
          <t>Pintura projetada, aplicação em paredes externas - 2 demão - Branco neve</t>
        </is>
      </c>
      <c r="E4486" s="1068" t="inlineStr">
        <is>
          <t>M2</t>
        </is>
      </c>
      <c r="F4486" s="1067" t="n"/>
      <c r="G4486" s="1069">
        <f t="array" ref="G4486">IF(B4486="insumo",_xlfn.XLOOKUP($D4486,Insumos!$B$1:$B$996,Insumos!$D$1:$D$996),"")</f>
        <v/>
      </c>
      <c r="H4486" s="1069" t="n">
        <v>33.264</v>
      </c>
      <c r="I4486" s="2161" t="n">
        <v>0</v>
      </c>
      <c r="J4486" s="2161" t="n">
        <v>0</v>
      </c>
      <c r="K4486" s="2161" t="n"/>
    </row>
    <row r="4487" outlineLevel="3" ht="15.75" customHeight="1">
      <c r="A4487" s="10" t="n">
        <v>36</v>
      </c>
      <c r="B4487" s="10" t="inlineStr">
        <is>
          <t>Insumo</t>
        </is>
      </c>
      <c r="C4487" s="10" t="inlineStr">
        <is>
          <t>Pintura projetada, aplicação em paredes externas - 2 demão - Branco neve</t>
        </is>
      </c>
      <c r="D4487" s="10" t="inlineStr">
        <is>
          <t>LIXA DAGUA 225X275MM GR100</t>
        </is>
      </c>
      <c r="E4487" s="11">
        <f t="array" ref="E4487">_xlfn.XLOOKUP(D4487,Insumos!B:B,Insumos!C:$C)</f>
        <v/>
      </c>
      <c r="F4487" s="14" t="n">
        <v>0.1</v>
      </c>
      <c r="G4487" s="92">
        <f t="array" ref="G4487">IF(B4487="insumo",_xlfn.XLOOKUP($D4487,Insumos!$B$1:$B$996,Insumos!$D$1:$D$996),"")</f>
        <v/>
      </c>
      <c r="H4487" s="92" t="n">
        <v>0.189</v>
      </c>
      <c r="I4487" s="2162" t="n">
        <v>0</v>
      </c>
      <c r="J4487" s="2162" t="n">
        <v>0</v>
      </c>
      <c r="K4487" s="2162" t="n"/>
    </row>
    <row r="4488" outlineLevel="3" ht="15.75" customHeight="1">
      <c r="A4488" s="10" t="n">
        <v>2</v>
      </c>
      <c r="B4488" s="10" t="inlineStr">
        <is>
          <t>Insumo</t>
        </is>
      </c>
      <c r="C4488" s="10" t="inlineStr">
        <is>
          <t>Pintura projetada, aplicação em paredes externas - 2 demão - Branco neve</t>
        </is>
      </c>
      <c r="D4488" s="10" t="inlineStr">
        <is>
          <t>TINTA ACRILICA PREMIUM COR BRANCO NEVE</t>
        </is>
      </c>
      <c r="E4488" s="11">
        <f t="array" ref="E4488">_xlfn.XLOOKUP(D4488,Insumos!B:B,Insumos!C:$C)</f>
        <v/>
      </c>
      <c r="F4488" s="14" t="n">
        <v>1.5</v>
      </c>
      <c r="G4488" s="92">
        <f t="array" ref="G4488">IF(B4488="insumo",_xlfn.XLOOKUP($D4488,Insumos!$B$1:$B$996,Insumos!$D$1:$D$996),"")</f>
        <v/>
      </c>
      <c r="H4488" s="92" t="n">
        <v>33.075</v>
      </c>
      <c r="I4488" s="2162" t="n">
        <v>0</v>
      </c>
      <c r="J4488" s="2162" t="n">
        <v>0</v>
      </c>
      <c r="K4488" s="2162" t="n"/>
    </row>
    <row r="4489" outlineLevel="2" ht="15.75" customHeight="1">
      <c r="A4489" s="1067" t="n">
        <v>1</v>
      </c>
      <c r="B4489" s="1067" t="inlineStr">
        <is>
          <t>Serviço</t>
        </is>
      </c>
      <c r="C4489" s="1067" t="inlineStr">
        <is>
          <t>Pintura projetada, aplicação em paredes externas - 2 demão - Patativa</t>
        </is>
      </c>
      <c r="D4489" s="1067" t="inlineStr">
        <is>
          <t>Pintura projetada, aplicação em paredes externas - 2 demão - Patativa</t>
        </is>
      </c>
      <c r="E4489" s="1068" t="inlineStr">
        <is>
          <t>M2</t>
        </is>
      </c>
      <c r="F4489" s="1067" t="n"/>
      <c r="G4489" s="1069">
        <f t="array" ref="G4489">IF(B4489="insumo",_xlfn.XLOOKUP($D4489,Insumos!$B$1:$B$996,Insumos!$D$1:$D$996),"")</f>
        <v/>
      </c>
      <c r="H4489" s="1069" t="n">
        <v>93.83775</v>
      </c>
      <c r="I4489" s="2161" t="n">
        <v>0</v>
      </c>
      <c r="J4489" s="2161" t="n">
        <v>0</v>
      </c>
      <c r="K4489" s="2161" t="n"/>
    </row>
    <row r="4490" outlineLevel="3" ht="15.75" customHeight="1">
      <c r="A4490" s="10" t="n">
        <v>36</v>
      </c>
      <c r="B4490" s="10" t="inlineStr">
        <is>
          <t>Insumo</t>
        </is>
      </c>
      <c r="C4490" s="10" t="inlineStr">
        <is>
          <t>Pintura projetada, aplicação em paredes externas - 2 demão - Patativa</t>
        </is>
      </c>
      <c r="D4490" s="10" t="inlineStr">
        <is>
          <t>LIXA DAGUA 225X275MM GR100</t>
        </is>
      </c>
      <c r="E4490" s="11">
        <f t="array" ref="E4490">_xlfn.XLOOKUP(D4490,Insumos!B:B,Insumos!C:$C)</f>
        <v/>
      </c>
      <c r="F4490" s="14" t="n">
        <v>0.1</v>
      </c>
      <c r="G4490" s="92">
        <f t="array" ref="G4490">IF(B4490="insumo",_xlfn.XLOOKUP($D4490,Insumos!$B$1:$B$996,Insumos!$D$1:$D$996),"")</f>
        <v/>
      </c>
      <c r="H4490" s="92" t="n">
        <v>0.189</v>
      </c>
      <c r="I4490" s="2162" t="n">
        <v>0</v>
      </c>
      <c r="J4490" s="2162" t="n">
        <v>0</v>
      </c>
      <c r="K4490" s="2162" t="n"/>
    </row>
    <row r="4491" outlineLevel="3" ht="15.75" customHeight="1">
      <c r="A4491" s="10" t="n">
        <v>1</v>
      </c>
      <c r="B4491" s="10" t="inlineStr">
        <is>
          <t>Insumo</t>
        </is>
      </c>
      <c r="C4491" s="10" t="inlineStr">
        <is>
          <t>Pintura projetada, aplicação em paredes externas - 2 demão - Patativa</t>
        </is>
      </c>
      <c r="D4491" s="10" t="inlineStr">
        <is>
          <t>TINTA ACRILICA PREMIUM COR PATATIVA</t>
        </is>
      </c>
      <c r="E4491" s="11">
        <f t="array" ref="E4491">_xlfn.XLOOKUP(D4491,Insumos!B:B,Insumos!C:$C)</f>
        <v/>
      </c>
      <c r="F4491" s="14" t="n">
        <v>1.5</v>
      </c>
      <c r="G4491" s="92">
        <f t="array" ref="G4491">IF(B4491="insumo",_xlfn.XLOOKUP($D4491,Insumos!$B$1:$B$996,Insumos!$D$1:$D$996),"")</f>
        <v/>
      </c>
      <c r="H4491" s="92" t="n">
        <v>93.64875000000001</v>
      </c>
      <c r="I4491" s="2162" t="n">
        <v>0</v>
      </c>
      <c r="J4491" s="2162" t="n">
        <v>0</v>
      </c>
      <c r="K4491" s="2162" t="n"/>
    </row>
    <row r="4492" outlineLevel="2" ht="15.75" customHeight="1">
      <c r="A4492" s="1067" t="n">
        <v>1</v>
      </c>
      <c r="B4492" s="1067" t="inlineStr">
        <is>
          <t>Serviço</t>
        </is>
      </c>
      <c r="C4492" s="1067" t="inlineStr">
        <is>
          <t>Pintura projetada, aplicação em paredes externas - 2 demão - Cinza Asfalto</t>
        </is>
      </c>
      <c r="D4492" s="1067" t="inlineStr">
        <is>
          <t>Pintura projetada, aplicação em paredes externas - 2 demão - Cinza Asfalto</t>
        </is>
      </c>
      <c r="E4492" s="1068" t="inlineStr">
        <is>
          <t>M2</t>
        </is>
      </c>
      <c r="F4492" s="1067" t="n"/>
      <c r="G4492" s="1069">
        <f t="array" ref="G4492">IF(B4492="insumo",_xlfn.XLOOKUP($D4492,Insumos!$B$1:$B$996,Insumos!$D$1:$D$996),"")</f>
        <v/>
      </c>
      <c r="H4492" s="1069" t="n">
        <v>57.6056666666667</v>
      </c>
      <c r="I4492" s="2161" t="n">
        <v>0</v>
      </c>
      <c r="J4492" s="2161" t="n">
        <v>0</v>
      </c>
      <c r="K4492" s="2161" t="n"/>
    </row>
    <row r="4493" outlineLevel="3" ht="15.75" customHeight="1">
      <c r="A4493" s="10" t="n">
        <v>36</v>
      </c>
      <c r="B4493" s="10" t="inlineStr">
        <is>
          <t>Insumo</t>
        </is>
      </c>
      <c r="C4493" s="10" t="inlineStr">
        <is>
          <t>Pintura projetada, aplicação em paredes externas - 2 demão - Cinza Asfalto</t>
        </is>
      </c>
      <c r="D4493" s="10" t="inlineStr">
        <is>
          <t>LIXA DAGUA 225X275MM GR100</t>
        </is>
      </c>
      <c r="E4493" s="11">
        <f t="array" ref="E4493">_xlfn.XLOOKUP(D4493,Insumos!B:B,Insumos!C:$C)</f>
        <v/>
      </c>
      <c r="F4493" s="14" t="n">
        <v>0.1</v>
      </c>
      <c r="G4493" s="92">
        <f t="array" ref="G4493">IF(B4493="insumo",_xlfn.XLOOKUP($D4493,Insumos!$B$1:$B$996,Insumos!$D$1:$D$996),"")</f>
        <v/>
      </c>
      <c r="H4493" s="92" t="n">
        <v>0.189</v>
      </c>
      <c r="I4493" s="2162" t="n">
        <v>0</v>
      </c>
      <c r="J4493" s="2162" t="n">
        <v>0</v>
      </c>
      <c r="K4493" s="2162" t="n"/>
    </row>
    <row r="4494" outlineLevel="3" ht="15.75" customHeight="1">
      <c r="A4494" s="10" t="n">
        <v>2</v>
      </c>
      <c r="B4494" s="10" t="inlineStr">
        <is>
          <t>Insumo</t>
        </is>
      </c>
      <c r="C4494" s="10" t="inlineStr">
        <is>
          <t>Pintura projetada, aplicação em paredes externas - 2 demão - Cinza Asfalto</t>
        </is>
      </c>
      <c r="D4494" s="10" t="inlineStr">
        <is>
          <t>TINTA ACRILICA PREMIUM COR CINZA ASFALTO</t>
        </is>
      </c>
      <c r="E4494" s="11">
        <f t="array" ref="E4494">_xlfn.XLOOKUP(D4494,Insumos!B:B,Insumos!C:$C)</f>
        <v/>
      </c>
      <c r="F4494" s="14" t="n">
        <v>1.5</v>
      </c>
      <c r="G4494" s="92">
        <f t="array" ref="G4494">IF(B4494="insumo",_xlfn.XLOOKUP($D4494,Insumos!$B$1:$B$996,Insumos!$D$1:$D$996),"")</f>
        <v/>
      </c>
      <c r="H4494" s="92" t="n">
        <v>57.4166666666667</v>
      </c>
      <c r="I4494" s="2162" t="n">
        <v>0</v>
      </c>
      <c r="J4494" s="2162" t="n">
        <v>0</v>
      </c>
      <c r="K4494" s="2162" t="n"/>
    </row>
    <row r="4495" outlineLevel="2" ht="12.75" customHeight="1">
      <c r="A4495" s="1071" t="n">
        <v>1</v>
      </c>
      <c r="B4495" s="1071" t="inlineStr">
        <is>
          <t>Serviço</t>
        </is>
      </c>
      <c r="C4495" s="1067" t="inlineStr">
        <is>
          <t>Pintura Com Tinta Latex Acrilica em Paredes Externas, 3 Demaos (Incluso fundo) - Cor preto</t>
        </is>
      </c>
      <c r="D4495" s="1071" t="inlineStr">
        <is>
          <t>Pintura Com Tinta Latex Acrilica em Paredes Externas, 3 Demaos (Incluso fundo) - Cor preto</t>
        </is>
      </c>
      <c r="E4495" s="1072" t="inlineStr">
        <is>
          <t>M2</t>
        </is>
      </c>
      <c r="F4495" s="1071" t="n"/>
      <c r="G4495" s="1073">
        <f t="array" ref="G4495">IF(B4495="insumo",_xlfn.XLOOKUP($D4495,Insumos!$B$1:$B$996,Insumos!$D$1:$D$996),"")</f>
        <v/>
      </c>
      <c r="H4495" s="1069" t="n">
        <v>35.7862353333333</v>
      </c>
      <c r="I4495" s="2161" t="e">
        <v>#REF!</v>
      </c>
      <c r="J4495" s="2161" t="e">
        <v>#REF!</v>
      </c>
      <c r="K4495" s="2161" t="n"/>
    </row>
    <row r="4496" outlineLevel="3" ht="12.75" customHeight="1">
      <c r="A4496" s="82" t="n">
        <v>31</v>
      </c>
      <c r="B4496" s="82" t="inlineStr">
        <is>
          <t>Insumo</t>
        </is>
      </c>
      <c r="C4496" s="10" t="inlineStr">
        <is>
          <t>Pintura Com Tinta Latex Acrilica em Paredes Externas, 3 Demaos (Incluso fundo) - Cor preto</t>
        </is>
      </c>
      <c r="D4496" s="82" t="inlineStr">
        <is>
          <t>Selador acrilico opaco premium interno/externo</t>
        </is>
      </c>
      <c r="E4496" s="11">
        <f t="array" ref="E4496">_xlfn.XLOOKUP(D4496,Insumos!B:B,Insumos!C:$C)</f>
        <v/>
      </c>
      <c r="F4496" s="2164" t="n">
        <v>0.1666</v>
      </c>
      <c r="G4496" s="92">
        <f t="array" ref="G4496">IF(B4496="insumo",_xlfn.XLOOKUP($D4496,Insumos!$B$1:$B$996,Insumos!$D$1:$D$996),"")</f>
        <v/>
      </c>
      <c r="H4496" s="92" t="n">
        <v>1.077902</v>
      </c>
      <c r="I4496" s="2162" t="e">
        <v>#REF!</v>
      </c>
      <c r="J4496" s="2162" t="e">
        <v>#REF!</v>
      </c>
      <c r="K4496" s="2162" t="n"/>
    </row>
    <row r="4497" outlineLevel="3" ht="12.75" customHeight="1">
      <c r="A4497" s="82" t="n">
        <v>4</v>
      </c>
      <c r="B4497" s="82" t="inlineStr">
        <is>
          <t>Insumo</t>
        </is>
      </c>
      <c r="C4497" s="10" t="inlineStr">
        <is>
          <t>Pintura Com Tinta Latex Acrilica em Paredes Externas, 3 Demaos (Incluso fundo) - Cor preto</t>
        </is>
      </c>
      <c r="D4497" s="82" t="inlineStr">
        <is>
          <t>TINTA ACRILICA PREMIUM COR PRETA</t>
        </is>
      </c>
      <c r="E4497" s="11">
        <f t="array" ref="E4497">_xlfn.XLOOKUP(D4497,Insumos!B:B,Insumos!C:$C)</f>
        <v/>
      </c>
      <c r="F4497" s="2164" t="n">
        <v>0.4998</v>
      </c>
      <c r="G4497" s="92">
        <f t="array" ref="G4497">IF(B4497="insumo",_xlfn.XLOOKUP($D4497,Insumos!$B$1:$B$996,Insumos!$D$1:$D$996),"")</f>
        <v/>
      </c>
      <c r="H4497" s="92" t="n">
        <v>34.7083333333333</v>
      </c>
      <c r="I4497" s="2162" t="e">
        <v>#REF!</v>
      </c>
      <c r="J4497" s="2162" t="e">
        <v>#REF!</v>
      </c>
      <c r="K4497" s="2162" t="n"/>
    </row>
    <row r="4498" outlineLevel="2" ht="12.75" customHeight="1">
      <c r="A4498" s="1071" t="n">
        <v>1</v>
      </c>
      <c r="B4498" s="1071" t="inlineStr">
        <is>
          <t>Serviço</t>
        </is>
      </c>
      <c r="C4498" s="1067" t="inlineStr">
        <is>
          <t>Pintura Com Tinta Latex Acrilica em Paredes Externas, 3 Demaos (Incluso fundo e massa) - Cor preto</t>
        </is>
      </c>
      <c r="D4498" s="1071" t="inlineStr">
        <is>
          <t>Pintura Com Tinta Latex Acrilica em Paredes Externas, 3 Demaos (Incluso fundo e massa) - Cor preto</t>
        </is>
      </c>
      <c r="E4498" s="1072" t="inlineStr">
        <is>
          <t>M2</t>
        </is>
      </c>
      <c r="F4498" s="1071" t="n"/>
      <c r="G4498" s="1073">
        <f t="array" ref="G4498">IF(B4498="insumo",_xlfn.XLOOKUP($D4498,Insumos!$B$1:$B$996,Insumos!$D$1:$D$996),"")</f>
        <v/>
      </c>
      <c r="H4498" s="1069" t="n">
        <v>39.802062</v>
      </c>
      <c r="I4498" s="2161" t="n">
        <v>0</v>
      </c>
      <c r="J4498" s="2161" t="n">
        <v>0</v>
      </c>
      <c r="K4498" s="2161" t="n"/>
    </row>
    <row r="4499" outlineLevel="3" ht="12.75" customHeight="1">
      <c r="A4499" s="82" t="n">
        <v>36</v>
      </c>
      <c r="B4499" s="82" t="inlineStr">
        <is>
          <t>Insumo</t>
        </is>
      </c>
      <c r="C4499" s="10" t="inlineStr">
        <is>
          <t>Pintura Com Tinta Latex Acrilica em Paredes Externas, 3 Demaos (Incluso fundo e massa) - Cor preto</t>
        </is>
      </c>
      <c r="D4499" s="82" t="inlineStr">
        <is>
          <t>LIXA DAGUA 225X275MM GR100</t>
        </is>
      </c>
      <c r="E4499" s="11">
        <f t="array" ref="E4499">_xlfn.XLOOKUP(D4499,Insumos!B:B,Insumos!C:$C)</f>
        <v/>
      </c>
      <c r="F4499" s="2164" t="n">
        <v>0.1</v>
      </c>
      <c r="G4499" s="92">
        <f t="array" ref="G4499">IF(B4499="insumo",_xlfn.XLOOKUP($D4499,Insumos!$B$1:$B$996,Insumos!$D$1:$D$996),"")</f>
        <v/>
      </c>
      <c r="H4499" s="92" t="n">
        <v>0.189</v>
      </c>
      <c r="I4499" s="2162" t="n">
        <v>0</v>
      </c>
      <c r="J4499" s="2162" t="n">
        <v>0</v>
      </c>
      <c r="K4499" s="2162" t="n"/>
    </row>
    <row r="4500" outlineLevel="3" ht="12.75" customHeight="1">
      <c r="A4500" s="82" t="n">
        <v>21</v>
      </c>
      <c r="B4500" s="82" t="inlineStr">
        <is>
          <t>Insumo</t>
        </is>
      </c>
      <c r="C4500" s="10" t="inlineStr">
        <is>
          <t>Pintura Com Tinta Latex Acrilica em Paredes Externas, 3 Demaos (Incluso fundo e massa) - Cor preto</t>
        </is>
      </c>
      <c r="D4500" s="82" t="inlineStr">
        <is>
          <t>Massa corrida para superfícies de ambientes internos</t>
        </is>
      </c>
      <c r="E4500" s="11">
        <f t="array" ref="E4500">_xlfn.XLOOKUP(D4500,Insumos!B:B,Insumos!C:$C)</f>
        <v/>
      </c>
      <c r="F4500" s="2164" t="n">
        <v>0.8667</v>
      </c>
      <c r="G4500" s="92">
        <f t="array" ref="G4500">IF(B4500="insumo",_xlfn.XLOOKUP($D4500,Insumos!$B$1:$B$996,Insumos!$D$1:$D$996),"")</f>
        <v/>
      </c>
      <c r="H4500" s="92" t="n">
        <v>4.16016</v>
      </c>
      <c r="I4500" s="2162" t="n">
        <v>0</v>
      </c>
      <c r="J4500" s="2162" t="n">
        <v>0</v>
      </c>
      <c r="K4500" s="2162" t="n"/>
    </row>
    <row r="4501" outlineLevel="3" ht="12.75" customHeight="1">
      <c r="A4501" s="82" t="n">
        <v>31</v>
      </c>
      <c r="B4501" s="82" t="inlineStr">
        <is>
          <t>Insumo</t>
        </is>
      </c>
      <c r="C4501" s="10" t="inlineStr">
        <is>
          <t>Pintura Com Tinta Latex Acrilica em Paredes Externas, 3 Demaos (Incluso fundo e massa) - Cor preto</t>
        </is>
      </c>
      <c r="D4501" s="82" t="inlineStr">
        <is>
          <t>Selador acrilico opaco premium interno/externo</t>
        </is>
      </c>
      <c r="E4501" s="11">
        <f t="array" ref="E4501">_xlfn.XLOOKUP(D4501,Insumos!B:B,Insumos!C:$C)</f>
        <v/>
      </c>
      <c r="F4501" s="2164" t="n">
        <v>0.1666</v>
      </c>
      <c r="G4501" s="92">
        <f t="array" ref="G4501">IF(B4501="insumo",_xlfn.XLOOKUP($D4501,Insumos!$B$1:$B$996,Insumos!$D$1:$D$996),"")</f>
        <v/>
      </c>
      <c r="H4501" s="92" t="n">
        <v>1.077902</v>
      </c>
      <c r="I4501" s="2162" t="n">
        <v>0</v>
      </c>
      <c r="J4501" s="2162" t="n">
        <v>0</v>
      </c>
      <c r="K4501" s="2162" t="n"/>
    </row>
    <row r="4502" outlineLevel="3" ht="12.75" customHeight="1">
      <c r="A4502" s="82" t="n">
        <v>4</v>
      </c>
      <c r="B4502" s="82" t="inlineStr">
        <is>
          <t>Insumo</t>
        </is>
      </c>
      <c r="C4502" s="10" t="inlineStr">
        <is>
          <t>Pintura Com Tinta Latex Acrilica em Paredes Externas, 3 Demaos (Incluso fundo e massa) - Cor preto</t>
        </is>
      </c>
      <c r="D4502" s="82" t="inlineStr">
        <is>
          <t>TINTA ACRILICA PREMIUM COR PRETA</t>
        </is>
      </c>
      <c r="E4502" s="11">
        <f t="array" ref="E4502">_xlfn.XLOOKUP(D4502,Insumos!B:B,Insumos!C:$C)</f>
        <v/>
      </c>
      <c r="F4502" s="2164" t="n">
        <v>0.495</v>
      </c>
      <c r="G4502" s="92">
        <f t="array" ref="G4502">IF(B4502="insumo",_xlfn.XLOOKUP($D4502,Insumos!$B$1:$B$996,Insumos!$D$1:$D$996),"")</f>
        <v/>
      </c>
      <c r="H4502" s="92" t="n">
        <v>34.375</v>
      </c>
      <c r="I4502" s="2162" t="n">
        <v>0</v>
      </c>
      <c r="J4502" s="2162" t="n">
        <v>0</v>
      </c>
      <c r="K4502" s="2162" t="n"/>
    </row>
    <row r="4503" outlineLevel="2" ht="12.75" customHeight="1">
      <c r="A4503" s="1071" t="n">
        <v>1</v>
      </c>
      <c r="B4503" s="1071" t="inlineStr">
        <is>
          <t>Serviço</t>
        </is>
      </c>
      <c r="C4503" s="1067" t="inlineStr">
        <is>
          <t>Pintura Com Tinta Acetinada em Paredes Externas, 2 Demaos (Incluso fundo e massa) - Cor Cinza claro</t>
        </is>
      </c>
      <c r="D4503" s="1071" t="inlineStr">
        <is>
          <t>Pintura Com Tinta Acetinada em Paredes Externas, 2 Demaos (Incluso fundo e massa) - Cor Cinza claro</t>
        </is>
      </c>
      <c r="E4503" s="1072" t="inlineStr">
        <is>
          <t>M2</t>
        </is>
      </c>
      <c r="F4503" s="1071" t="n"/>
      <c r="G4503" s="1073">
        <f t="array" ref="G4503">IF(B4503="insumo",_xlfn.XLOOKUP($D4503,Insumos!$B$1:$B$996,Insumos!$D$1:$D$996),"")</f>
        <v/>
      </c>
      <c r="H4503" s="1069" t="n">
        <v>22.7816074545455</v>
      </c>
      <c r="I4503" s="2161" t="n">
        <v>0</v>
      </c>
      <c r="J4503" s="2161" t="n">
        <v>0</v>
      </c>
      <c r="K4503" s="2161" t="n"/>
    </row>
    <row r="4504" outlineLevel="3" ht="12.75" customHeight="1">
      <c r="A4504" s="82" t="n">
        <v>36</v>
      </c>
      <c r="B4504" s="82" t="inlineStr">
        <is>
          <t>Insumo</t>
        </is>
      </c>
      <c r="C4504" s="82" t="inlineStr">
        <is>
          <t>Pintura Com Tinta Acetinada em Paredes Externas, 2 Demaos (Incluso fundo e massa) - Cor Cinza claro</t>
        </is>
      </c>
      <c r="D4504" s="82" t="inlineStr">
        <is>
          <t>LIXA DAGUA 225X275MM GR100</t>
        </is>
      </c>
      <c r="E4504" s="11">
        <f t="array" ref="E4504">_xlfn.XLOOKUP(D4504,Insumos!B:B,Insumos!C:$C)</f>
        <v/>
      </c>
      <c r="F4504" s="2164" t="n">
        <v>0.1</v>
      </c>
      <c r="G4504" s="92">
        <f t="array" ref="G4504">IF(B4504="insumo",_xlfn.XLOOKUP($D4504,Insumos!$B$1:$B$996,Insumos!$D$1:$D$996),"")</f>
        <v/>
      </c>
      <c r="H4504" s="92" t="n">
        <v>0.189</v>
      </c>
      <c r="I4504" s="2165" t="n">
        <v>0</v>
      </c>
      <c r="J4504" s="2165" t="n">
        <v>0</v>
      </c>
      <c r="K4504" s="2165" t="n"/>
    </row>
    <row r="4505" outlineLevel="3" ht="12.75" customHeight="1">
      <c r="A4505" s="82" t="n">
        <v>21</v>
      </c>
      <c r="B4505" s="82" t="inlineStr">
        <is>
          <t>Insumo</t>
        </is>
      </c>
      <c r="C4505" s="82" t="inlineStr">
        <is>
          <t>Pintura Com Tinta Acetinada em Paredes Externas, 2 Demaos (Incluso fundo e massa) - Cor Cinza claro</t>
        </is>
      </c>
      <c r="D4505" s="82" t="inlineStr">
        <is>
          <t>Massa corrida para superfícies de ambientes internos</t>
        </is>
      </c>
      <c r="E4505" s="11">
        <f t="array" ref="E4505">_xlfn.XLOOKUP(D4505,Insumos!B:B,Insumos!C:$C)</f>
        <v/>
      </c>
      <c r="F4505" s="2164" t="n">
        <v>0.8667</v>
      </c>
      <c r="G4505" s="92">
        <f t="array" ref="G4505">IF(B4505="insumo",_xlfn.XLOOKUP($D4505,Insumos!$B$1:$B$996,Insumos!$D$1:$D$996),"")</f>
        <v/>
      </c>
      <c r="H4505" s="92" t="n">
        <v>4.16016</v>
      </c>
      <c r="I4505" s="2165" t="n">
        <v>0</v>
      </c>
      <c r="J4505" s="2165" t="n">
        <v>0</v>
      </c>
      <c r="K4505" s="2165" t="n"/>
    </row>
    <row r="4506" outlineLevel="3" ht="12.75" customHeight="1">
      <c r="A4506" s="82" t="n">
        <v>31</v>
      </c>
      <c r="B4506" s="82" t="inlineStr">
        <is>
          <t>Insumo</t>
        </is>
      </c>
      <c r="C4506" s="82" t="inlineStr">
        <is>
          <t>Pintura Com Tinta Acetinada em Paredes Externas, 2 Demaos (Incluso fundo e massa) - Cor Cinza claro</t>
        </is>
      </c>
      <c r="D4506" s="82" t="inlineStr">
        <is>
          <t>Selador acrilico opaco premium interno/externo</t>
        </is>
      </c>
      <c r="E4506" s="11">
        <f t="array" ref="E4506">_xlfn.XLOOKUP(D4506,Insumos!B:B,Insumos!C:$C)</f>
        <v/>
      </c>
      <c r="F4506" s="2164" t="n">
        <v>0.1666</v>
      </c>
      <c r="G4506" s="92">
        <f t="array" ref="G4506">IF(B4506="insumo",_xlfn.XLOOKUP($D4506,Insumos!$B$1:$B$996,Insumos!$D$1:$D$996),"")</f>
        <v/>
      </c>
      <c r="H4506" s="92" t="n">
        <v>1.077902</v>
      </c>
      <c r="I4506" s="2165" t="n">
        <v>0</v>
      </c>
      <c r="J4506" s="2165" t="n">
        <v>0</v>
      </c>
      <c r="K4506" s="2165" t="n"/>
    </row>
    <row r="4507" outlineLevel="3" ht="12.75" customHeight="1">
      <c r="A4507" s="82" t="n">
        <v>1</v>
      </c>
      <c r="B4507" s="82" t="inlineStr">
        <is>
          <t>Insumo</t>
        </is>
      </c>
      <c r="C4507" s="82" t="inlineStr">
        <is>
          <t>Pintura Com Tinta Acetinada em Paredes Externas, 2 Demaos (Incluso fundo e massa) - Cor Cinza claro</t>
        </is>
      </c>
      <c r="D4507" s="82" t="inlineStr">
        <is>
          <t>Suvinil Toque Acetinada Completo Sambaqui</t>
        </is>
      </c>
      <c r="E4507" s="11">
        <f t="array" ref="E4507">_xlfn.XLOOKUP(D4507,Insumos!B:B,Insumos!C:$C)</f>
        <v/>
      </c>
      <c r="F4507" s="2164">
        <f>(16/110)*2</f>
        <v/>
      </c>
      <c r="G4507" s="92">
        <f t="array" ref="G4507">IF(B4507="insumo",_xlfn.XLOOKUP($D4507,Insumos!$B$1:$B$996,Insumos!$D$1:$D$996),"")</f>
        <v/>
      </c>
      <c r="H4507" s="92" t="n">
        <v>17.3545454545455</v>
      </c>
      <c r="I4507" s="2165" t="n">
        <v>0</v>
      </c>
      <c r="J4507" s="2165" t="n">
        <v>0</v>
      </c>
      <c r="K4507" s="2165" t="n"/>
    </row>
    <row r="4508" outlineLevel="2" ht="12.75" customHeight="1">
      <c r="A4508" s="1071" t="n">
        <v>1</v>
      </c>
      <c r="B4508" s="1071" t="inlineStr">
        <is>
          <t>Serviço</t>
        </is>
      </c>
      <c r="C4508" s="1071" t="inlineStr">
        <is>
          <t>Pintura Com Tinta Acetinada em Paredes Externas, 2 Demaos (Incluso fundo e massa) - Cor Marrom</t>
        </is>
      </c>
      <c r="D4508" s="1071" t="inlineStr">
        <is>
          <t>Pintura Com Tinta Acetinada em Paredes Externas, 2 Demaos (Incluso fundo e massa) - Cor Marrom</t>
        </is>
      </c>
      <c r="E4508" s="1072" t="inlineStr">
        <is>
          <t>M2</t>
        </is>
      </c>
      <c r="F4508" s="1071" t="n"/>
      <c r="G4508" s="1073">
        <f t="array" ref="G4508">IF(B4508="insumo",_xlfn.XLOOKUP($D4508,Insumos!$B$1:$B$996,Insumos!$D$1:$D$996),"")</f>
        <v/>
      </c>
      <c r="H4508" s="1073" t="n">
        <v>24.6906983636364</v>
      </c>
      <c r="I4508" s="2163" t="n">
        <v>0</v>
      </c>
      <c r="J4508" s="2163" t="n">
        <v>0</v>
      </c>
      <c r="K4508" s="2163" t="n"/>
    </row>
    <row r="4509" outlineLevel="3" ht="12.75" customHeight="1">
      <c r="A4509" s="82" t="n">
        <v>36</v>
      </c>
      <c r="B4509" s="82" t="inlineStr">
        <is>
          <t>Insumo</t>
        </is>
      </c>
      <c r="C4509" s="82" t="inlineStr">
        <is>
          <t>Pintura Com Tinta Acetinada em Paredes Externas, 2 Demaos (Incluso fundo e massa) - Cor Marrom</t>
        </is>
      </c>
      <c r="D4509" s="82" t="inlineStr">
        <is>
          <t>LIXA DAGUA 225X275MM GR100</t>
        </is>
      </c>
      <c r="E4509" s="11">
        <f t="array" ref="E4509">_xlfn.XLOOKUP(D4509,Insumos!B:B,Insumos!C:$C)</f>
        <v/>
      </c>
      <c r="F4509" s="2164" t="n">
        <v>0.1</v>
      </c>
      <c r="G4509" s="92">
        <f t="array" ref="G4509">IF(B4509="insumo",_xlfn.XLOOKUP($D4509,Insumos!$B$1:$B$996,Insumos!$D$1:$D$996),"")</f>
        <v/>
      </c>
      <c r="H4509" s="92" t="n">
        <v>0.189</v>
      </c>
      <c r="I4509" s="2165" t="n">
        <v>0</v>
      </c>
      <c r="J4509" s="2165" t="n">
        <v>0</v>
      </c>
      <c r="K4509" s="2165" t="n"/>
    </row>
    <row r="4510" outlineLevel="3" ht="12.75" customHeight="1">
      <c r="A4510" s="82" t="n">
        <v>21</v>
      </c>
      <c r="B4510" s="82" t="inlineStr">
        <is>
          <t>Insumo</t>
        </is>
      </c>
      <c r="C4510" s="82" t="inlineStr">
        <is>
          <t>Pintura Com Tinta Acetinada em Paredes Externas, 2 Demaos (Incluso fundo e massa) - Cor Marrom</t>
        </is>
      </c>
      <c r="D4510" s="82" t="inlineStr">
        <is>
          <t>Massa corrida para superfícies de ambientes internos</t>
        </is>
      </c>
      <c r="E4510" s="11">
        <f t="array" ref="E4510">_xlfn.XLOOKUP(D4510,Insumos!B:B,Insumos!C:$C)</f>
        <v/>
      </c>
      <c r="F4510" s="2164" t="n">
        <v>0.8667</v>
      </c>
      <c r="G4510" s="92">
        <f t="array" ref="G4510">IF(B4510="insumo",_xlfn.XLOOKUP($D4510,Insumos!$B$1:$B$996,Insumos!$D$1:$D$996),"")</f>
        <v/>
      </c>
      <c r="H4510" s="92" t="n">
        <v>4.16016</v>
      </c>
      <c r="I4510" s="2165" t="n">
        <v>0</v>
      </c>
      <c r="J4510" s="2165" t="n">
        <v>0</v>
      </c>
      <c r="K4510" s="2165" t="n"/>
    </row>
    <row r="4511" outlineLevel="3" ht="12.75" customHeight="1">
      <c r="A4511" s="82" t="n">
        <v>31</v>
      </c>
      <c r="B4511" s="82" t="inlineStr">
        <is>
          <t>Insumo</t>
        </is>
      </c>
      <c r="C4511" s="82" t="inlineStr">
        <is>
          <t>Pintura Com Tinta Acetinada em Paredes Externas, 2 Demaos (Incluso fundo e massa) - Cor Marrom</t>
        </is>
      </c>
      <c r="D4511" s="82" t="inlineStr">
        <is>
          <t>Selador acrilico opaco premium interno/externo</t>
        </is>
      </c>
      <c r="E4511" s="11">
        <f t="array" ref="E4511">_xlfn.XLOOKUP(D4511,Insumos!B:B,Insumos!C:$C)</f>
        <v/>
      </c>
      <c r="F4511" s="2164" t="n">
        <v>0.1666</v>
      </c>
      <c r="G4511" s="92">
        <f t="array" ref="G4511">IF(B4511="insumo",_xlfn.XLOOKUP($D4511,Insumos!$B$1:$B$996,Insumos!$D$1:$D$996),"")</f>
        <v/>
      </c>
      <c r="H4511" s="92" t="n">
        <v>1.077902</v>
      </c>
      <c r="I4511" s="2165" t="n">
        <v>0</v>
      </c>
      <c r="J4511" s="2165" t="n">
        <v>0</v>
      </c>
      <c r="K4511" s="2165" t="n"/>
    </row>
    <row r="4512" outlineLevel="3" ht="12.75" customHeight="1">
      <c r="A4512" s="82" t="n">
        <v>1</v>
      </c>
      <c r="B4512" s="82" t="inlineStr">
        <is>
          <t>Insumo</t>
        </is>
      </c>
      <c r="C4512" s="82" t="inlineStr">
        <is>
          <t>Pintura Com Tinta Acetinada em Paredes Externas, 2 Demaos (Incluso fundo e massa) - Cor Marrom</t>
        </is>
      </c>
      <c r="D4512" s="82" t="inlineStr">
        <is>
          <t>Suvinil Toque Acetinada Completo Pinhão</t>
        </is>
      </c>
      <c r="E4512" s="11">
        <f t="array" ref="E4512">_xlfn.XLOOKUP(D4512,Insumos!B:B,Insumos!C:$C)</f>
        <v/>
      </c>
      <c r="F4512" s="2164">
        <f>(16/110)*2</f>
        <v/>
      </c>
      <c r="G4512" s="92">
        <f t="array" ref="G4512">IF(B4512="insumo",_xlfn.XLOOKUP($D4512,Insumos!$B$1:$B$996,Insumos!$D$1:$D$996),"")</f>
        <v/>
      </c>
      <c r="H4512" s="92" t="n">
        <v>19.2636363636364</v>
      </c>
      <c r="I4512" s="2165" t="n">
        <v>0</v>
      </c>
      <c r="J4512" s="2165" t="n">
        <v>0</v>
      </c>
      <c r="K4512" s="2165" t="n"/>
    </row>
    <row r="4513" outlineLevel="2" ht="12.75" customHeight="1">
      <c r="A4513" s="1071" t="n">
        <v>1</v>
      </c>
      <c r="B4513" s="1071" t="inlineStr">
        <is>
          <t>Serviço</t>
        </is>
      </c>
      <c r="C4513" s="1071" t="inlineStr">
        <is>
          <t>Pintura Com  Tinta Acetinada em Paredes Externas, 2 Demaos (Incluso fundo e massa) - Cor Cinza escuro</t>
        </is>
      </c>
      <c r="D4513" s="1071" t="inlineStr">
        <is>
          <t>Pintura Com  Tinta Acetinada em Paredes Externas, 2 Demaos (Incluso fundo e massa) - Cor Cinza escuro</t>
        </is>
      </c>
      <c r="E4513" s="1072" t="inlineStr">
        <is>
          <t>M2</t>
        </is>
      </c>
      <c r="F4513" s="1071" t="n"/>
      <c r="G4513" s="1073">
        <f t="array" ref="G4513">IF(B4513="insumo",_xlfn.XLOOKUP($D4513,Insumos!$B$1:$B$996,Insumos!$D$1:$D$996),"")</f>
        <v/>
      </c>
      <c r="H4513" s="1073" t="n">
        <v>24.7161529090909</v>
      </c>
      <c r="I4513" s="2163" t="n">
        <v>0</v>
      </c>
      <c r="J4513" s="2163" t="n">
        <v>0</v>
      </c>
      <c r="K4513" s="2163" t="n"/>
    </row>
    <row r="4514" outlineLevel="3" ht="12.75" customHeight="1">
      <c r="A4514" s="82" t="n">
        <v>36</v>
      </c>
      <c r="B4514" s="82" t="inlineStr">
        <is>
          <t>Insumo</t>
        </is>
      </c>
      <c r="C4514" s="82" t="inlineStr">
        <is>
          <t>Pintura Com  Tinta Acetinada em Paredes Externas, 2 Demaos (Incluso fundo e massa) - Cor Cinza escuro</t>
        </is>
      </c>
      <c r="D4514" s="82" t="inlineStr">
        <is>
          <t>LIXA DAGUA 225X275MM GR100</t>
        </is>
      </c>
      <c r="E4514" s="11">
        <f t="array" ref="E4514">_xlfn.XLOOKUP(D4514,Insumos!B:B,Insumos!C:$C)</f>
        <v/>
      </c>
      <c r="F4514" s="2164" t="n">
        <v>0.1</v>
      </c>
      <c r="G4514" s="92">
        <f t="array" ref="G4514">IF(B4514="insumo",_xlfn.XLOOKUP($D4514,Insumos!$B$1:$B$996,Insumos!$D$1:$D$996),"")</f>
        <v/>
      </c>
      <c r="H4514" s="92" t="n">
        <v>0.189</v>
      </c>
      <c r="I4514" s="2165" t="n">
        <v>0</v>
      </c>
      <c r="J4514" s="2165" t="n">
        <v>0</v>
      </c>
      <c r="K4514" s="2165" t="n"/>
    </row>
    <row r="4515" outlineLevel="3" ht="12.75" customHeight="1">
      <c r="A4515" s="82" t="n">
        <v>21</v>
      </c>
      <c r="B4515" s="82" t="inlineStr">
        <is>
          <t>Insumo</t>
        </is>
      </c>
      <c r="C4515" s="82" t="inlineStr">
        <is>
          <t>Pintura Com  Tinta Acetinada em Paredes Externas, 2 Demaos (Incluso fundo e massa) - Cor Cinza escuro</t>
        </is>
      </c>
      <c r="D4515" s="82" t="inlineStr">
        <is>
          <t>Massa corrida para superfícies de ambientes internos</t>
        </is>
      </c>
      <c r="E4515" s="11">
        <f t="array" ref="E4515">_xlfn.XLOOKUP(D4515,Insumos!B:B,Insumos!C:$C)</f>
        <v/>
      </c>
      <c r="F4515" s="2164" t="n">
        <v>0.8667</v>
      </c>
      <c r="G4515" s="92">
        <f t="array" ref="G4515">IF(B4515="insumo",_xlfn.XLOOKUP($D4515,Insumos!$B$1:$B$996,Insumos!$D$1:$D$996),"")</f>
        <v/>
      </c>
      <c r="H4515" s="92" t="n">
        <v>4.16016</v>
      </c>
      <c r="I4515" s="2165" t="n">
        <v>0</v>
      </c>
      <c r="J4515" s="2165" t="n">
        <v>0</v>
      </c>
      <c r="K4515" s="2165" t="n"/>
    </row>
    <row r="4516" outlineLevel="3" ht="12.75" customHeight="1">
      <c r="A4516" s="82" t="n">
        <v>31</v>
      </c>
      <c r="B4516" s="82" t="inlineStr">
        <is>
          <t>Insumo</t>
        </is>
      </c>
      <c r="C4516" s="82" t="inlineStr">
        <is>
          <t>Pintura Com  Tinta Acetinada em Paredes Externas, 2 Demaos (Incluso fundo e massa) - Cor Cinza escuro</t>
        </is>
      </c>
      <c r="D4516" s="82" t="inlineStr">
        <is>
          <t>Selador acrilico opaco premium interno/externo</t>
        </is>
      </c>
      <c r="E4516" s="11">
        <f t="array" ref="E4516">_xlfn.XLOOKUP(D4516,Insumos!B:B,Insumos!C:$C)</f>
        <v/>
      </c>
      <c r="F4516" s="2164" t="n">
        <v>0.1666</v>
      </c>
      <c r="G4516" s="92">
        <f t="array" ref="G4516">IF(B4516="insumo",_xlfn.XLOOKUP($D4516,Insumos!$B$1:$B$996,Insumos!$D$1:$D$996),"")</f>
        <v/>
      </c>
      <c r="H4516" s="92" t="n">
        <v>1.077902</v>
      </c>
      <c r="I4516" s="2165" t="n">
        <v>0</v>
      </c>
      <c r="J4516" s="2165" t="n">
        <v>0</v>
      </c>
      <c r="K4516" s="2165" t="n"/>
    </row>
    <row r="4517" outlineLevel="3" ht="12.75" customHeight="1">
      <c r="A4517" s="82" t="n">
        <v>1</v>
      </c>
      <c r="B4517" s="82" t="inlineStr">
        <is>
          <t>Insumo</t>
        </is>
      </c>
      <c r="C4517" s="82" t="inlineStr">
        <is>
          <t>Pintura Com  Tinta Acetinada em Paredes Externas, 2 Demaos (Incluso fundo e massa) - Cor Cinza escuro</t>
        </is>
      </c>
      <c r="D4517" s="82" t="inlineStr">
        <is>
          <t>Suvinil Toque Acetinada Completo Carvão mineral</t>
        </is>
      </c>
      <c r="E4517" s="11">
        <f t="array" ref="E4517">_xlfn.XLOOKUP(D4517,Insumos!B:B,Insumos!C:$C)</f>
        <v/>
      </c>
      <c r="F4517" s="2164">
        <f>(16/110)*2</f>
        <v/>
      </c>
      <c r="G4517" s="92">
        <f t="array" ref="G4517">IF(B4517="insumo",_xlfn.XLOOKUP($D4517,Insumos!$B$1:$B$996,Insumos!$D$1:$D$996),"")</f>
        <v/>
      </c>
      <c r="H4517" s="92" t="n">
        <v>19.2890909090909</v>
      </c>
      <c r="I4517" s="2165" t="n">
        <v>0</v>
      </c>
      <c r="J4517" s="2165" t="n">
        <v>0</v>
      </c>
      <c r="K4517" s="2165" t="n"/>
    </row>
    <row r="4518" outlineLevel="2" ht="12.75" customHeight="1">
      <c r="A4518" s="1071" t="n">
        <v>1</v>
      </c>
      <c r="B4518" s="1071" t="inlineStr">
        <is>
          <t>Serviço</t>
        </is>
      </c>
      <c r="C4518" s="1071" t="inlineStr">
        <is>
          <t>Pintura Com  Tinta Acetinada em Paredes Externas, 2 Demaos (Incluso fundo e massa) - Cor Branco</t>
        </is>
      </c>
      <c r="D4518" s="1071" t="inlineStr">
        <is>
          <t>Pintura Com  Tinta Acetinada em Paredes Externas, 2 Demaos (Incluso fundo e massa) - Cor Branco</t>
        </is>
      </c>
      <c r="E4518" s="1072" t="inlineStr">
        <is>
          <t>M2</t>
        </is>
      </c>
      <c r="F4518" s="1071" t="n"/>
      <c r="G4518" s="1073">
        <f t="array" ref="G4518">IF(B4518="insumo",_xlfn.XLOOKUP($D4518,Insumos!$B$1:$B$996,Insumos!$D$1:$D$996),"")</f>
        <v/>
      </c>
      <c r="H4518" s="1073" t="n">
        <v>17.8698902828283</v>
      </c>
      <c r="I4518" s="2163" t="n">
        <v>0</v>
      </c>
      <c r="J4518" s="2163" t="n">
        <v>0</v>
      </c>
      <c r="K4518" s="2163" t="n"/>
    </row>
    <row r="4519" outlineLevel="3" ht="12.75" customHeight="1">
      <c r="A4519" s="82" t="n">
        <v>36</v>
      </c>
      <c r="B4519" s="82" t="inlineStr">
        <is>
          <t>Insumo</t>
        </is>
      </c>
      <c r="C4519" s="82" t="inlineStr">
        <is>
          <t>Pintura Com  Tinta Acetinada em Paredes Externas, 2 Demaos (Incluso fundo e massa) - Cor Branco</t>
        </is>
      </c>
      <c r="D4519" s="82" t="inlineStr">
        <is>
          <t>LIXA DAGUA 225X275MM GR100</t>
        </is>
      </c>
      <c r="E4519" s="11">
        <f t="array" ref="E4519">_xlfn.XLOOKUP(D4519,Insumos!B:B,Insumos!C:$C)</f>
        <v/>
      </c>
      <c r="F4519" s="2164" t="n">
        <v>0.1</v>
      </c>
      <c r="G4519" s="92">
        <f t="array" ref="G4519">IF(B4519="insumo",_xlfn.XLOOKUP($D4519,Insumos!$B$1:$B$996,Insumos!$D$1:$D$996),"")</f>
        <v/>
      </c>
      <c r="H4519" s="92" t="n">
        <v>0.189</v>
      </c>
      <c r="I4519" s="2165" t="n">
        <v>0</v>
      </c>
      <c r="J4519" s="2165" t="n">
        <v>0</v>
      </c>
      <c r="K4519" s="2165" t="n"/>
    </row>
    <row r="4520" outlineLevel="3" ht="12.75" customHeight="1">
      <c r="A4520" s="82" t="n">
        <v>21</v>
      </c>
      <c r="B4520" s="82" t="inlineStr">
        <is>
          <t>Insumo</t>
        </is>
      </c>
      <c r="C4520" s="82" t="inlineStr">
        <is>
          <t>Pintura Com  Tinta Acetinada em Paredes Externas, 2 Demaos (Incluso fundo e massa) - Cor Branco</t>
        </is>
      </c>
      <c r="D4520" s="82" t="inlineStr">
        <is>
          <t>Massa corrida para superfícies de ambientes internos</t>
        </is>
      </c>
      <c r="E4520" s="11">
        <f t="array" ref="E4520">_xlfn.XLOOKUP(D4520,Insumos!B:B,Insumos!C:$C)</f>
        <v/>
      </c>
      <c r="F4520" s="2164" t="n">
        <v>0.8667</v>
      </c>
      <c r="G4520" s="92">
        <f t="array" ref="G4520">IF(B4520="insumo",_xlfn.XLOOKUP($D4520,Insumos!$B$1:$B$996,Insumos!$D$1:$D$996),"")</f>
        <v/>
      </c>
      <c r="H4520" s="92" t="n">
        <v>4.16016</v>
      </c>
      <c r="I4520" s="2165" t="n">
        <v>0</v>
      </c>
      <c r="J4520" s="2165" t="n">
        <v>0</v>
      </c>
      <c r="K4520" s="2165" t="n"/>
    </row>
    <row r="4521" outlineLevel="3" ht="12.75" customHeight="1">
      <c r="A4521" s="82" t="n">
        <v>31</v>
      </c>
      <c r="B4521" s="82" t="inlineStr">
        <is>
          <t>Insumo</t>
        </is>
      </c>
      <c r="C4521" s="82" t="inlineStr">
        <is>
          <t>Pintura Com  Tinta Acetinada em Paredes Externas, 2 Demaos (Incluso fundo e massa) - Cor Branco</t>
        </is>
      </c>
      <c r="D4521" s="82" t="inlineStr">
        <is>
          <t>Selador acrilico opaco premium interno/externo</t>
        </is>
      </c>
      <c r="E4521" s="11">
        <f t="array" ref="E4521">_xlfn.XLOOKUP(D4521,Insumos!B:B,Insumos!C:$C)</f>
        <v/>
      </c>
      <c r="F4521" s="2164" t="n">
        <v>0.1666</v>
      </c>
      <c r="G4521" s="92">
        <f t="array" ref="G4521">IF(B4521="insumo",_xlfn.XLOOKUP($D4521,Insumos!$B$1:$B$996,Insumos!$D$1:$D$996),"")</f>
        <v/>
      </c>
      <c r="H4521" s="92" t="n">
        <v>1.077902</v>
      </c>
      <c r="I4521" s="2165" t="n">
        <v>0</v>
      </c>
      <c r="J4521" s="2165" t="n">
        <v>0</v>
      </c>
      <c r="K4521" s="2165" t="n"/>
    </row>
    <row r="4522" outlineLevel="3" ht="12.75" customHeight="1">
      <c r="A4522" s="82" t="n">
        <v>2</v>
      </c>
      <c r="B4522" s="82" t="inlineStr">
        <is>
          <t>Insumo</t>
        </is>
      </c>
      <c r="C4522" s="82" t="inlineStr">
        <is>
          <t>Pintura Com  Tinta Acetinada em Paredes Externas, 2 Demaos (Incluso fundo e massa) - Cor Branco</t>
        </is>
      </c>
      <c r="D4522" s="82" t="inlineStr">
        <is>
          <t>Tinta ACRÍLICO TOQUE DE SEDA ACETINADO</t>
        </is>
      </c>
      <c r="E4522" s="11">
        <f t="array" ref="E4522">_xlfn.XLOOKUP(D4522,Insumos!B:B,Insumos!C:$C)</f>
        <v/>
      </c>
      <c r="F4522" s="2164">
        <f>(16/110)*2</f>
        <v/>
      </c>
      <c r="G4522" s="92">
        <f t="array" ref="G4522">IF(B4522="insumo",_xlfn.XLOOKUP($D4522,Insumos!$B$1:$B$996,Insumos!$D$1:$D$996),"")</f>
        <v/>
      </c>
      <c r="H4522" s="92" t="n">
        <v>12.4428282828283</v>
      </c>
      <c r="I4522" s="2165" t="n">
        <v>0</v>
      </c>
      <c r="J4522" s="2165" t="n">
        <v>0</v>
      </c>
      <c r="K4522" s="2165" t="n"/>
    </row>
    <row r="4523" outlineLevel="2" ht="12.75" customHeight="1">
      <c r="A4523" s="1071" t="n">
        <v>1</v>
      </c>
      <c r="B4523" s="1071" t="inlineStr">
        <is>
          <t>Serviço</t>
        </is>
      </c>
      <c r="C4523" s="1071" t="inlineStr">
        <is>
          <t>Pintura Com Tinta Fosca em Paredes Externas, 2 Demaos (Incluso fundo e massa) - Cor Cinza claro</t>
        </is>
      </c>
      <c r="D4523" s="1071" t="inlineStr">
        <is>
          <t>Pintura Com Tinta Fosca em Paredes Externas, 2 Demaos (Incluso fundo e massa) - Cor Cinza claro</t>
        </is>
      </c>
      <c r="E4523" s="1072" t="inlineStr">
        <is>
          <t>M2</t>
        </is>
      </c>
      <c r="F4523" s="1071" t="n"/>
      <c r="G4523" s="1073">
        <f t="array" ref="G4523">IF(B4523="insumo",_xlfn.XLOOKUP($D4523,Insumos!$B$1:$B$996,Insumos!$D$1:$D$996),"")</f>
        <v/>
      </c>
      <c r="H4523" s="1073" t="n">
        <v>18.6979710909091</v>
      </c>
      <c r="I4523" s="2163" t="n">
        <v>0</v>
      </c>
      <c r="J4523" s="2163" t="n">
        <v>0</v>
      </c>
      <c r="K4523" s="2163" t="n"/>
    </row>
    <row r="4524" outlineLevel="3" ht="12.75" customHeight="1">
      <c r="A4524" s="82" t="n">
        <v>36</v>
      </c>
      <c r="B4524" s="82" t="inlineStr">
        <is>
          <t>Insumo</t>
        </is>
      </c>
      <c r="C4524" s="82" t="inlineStr">
        <is>
          <t>Pintura Com Tinta Fosca em Paredes Externas, 2 Demaos (Incluso fundo e massa) - Cor Cinza claro</t>
        </is>
      </c>
      <c r="D4524" s="82" t="inlineStr">
        <is>
          <t>LIXA DAGUA 225X275MM GR100</t>
        </is>
      </c>
      <c r="E4524" s="11">
        <f t="array" ref="E4524">_xlfn.XLOOKUP(D4524,Insumos!B:B,Insumos!C:$C)</f>
        <v/>
      </c>
      <c r="F4524" s="2164" t="n">
        <v>0.1</v>
      </c>
      <c r="G4524" s="92">
        <f t="array" ref="G4524">IF(B4524="insumo",_xlfn.XLOOKUP($D4524,Insumos!$B$1:$B$996,Insumos!$D$1:$D$996),"")</f>
        <v/>
      </c>
      <c r="H4524" s="92" t="n">
        <v>0.189</v>
      </c>
      <c r="I4524" s="2165" t="n">
        <v>0</v>
      </c>
      <c r="J4524" s="2165" t="n">
        <v>0</v>
      </c>
      <c r="K4524" s="2165" t="n"/>
    </row>
    <row r="4525" outlineLevel="3" ht="12.75" customHeight="1">
      <c r="A4525" s="82" t="n">
        <v>21</v>
      </c>
      <c r="B4525" s="82" t="inlineStr">
        <is>
          <t>Insumo</t>
        </is>
      </c>
      <c r="C4525" s="82" t="inlineStr">
        <is>
          <t>Pintura Com Tinta Fosca em Paredes Externas, 2 Demaos (Incluso fundo e massa) - Cor Cinza claro</t>
        </is>
      </c>
      <c r="D4525" s="82" t="inlineStr">
        <is>
          <t>Massa corrida para superfícies de ambientes internos</t>
        </is>
      </c>
      <c r="E4525" s="11">
        <f t="array" ref="E4525">_xlfn.XLOOKUP(D4525,Insumos!B:B,Insumos!C:$C)</f>
        <v/>
      </c>
      <c r="F4525" s="2164" t="n">
        <v>0.8667</v>
      </c>
      <c r="G4525" s="92">
        <f t="array" ref="G4525">IF(B4525="insumo",_xlfn.XLOOKUP($D4525,Insumos!$B$1:$B$996,Insumos!$D$1:$D$996),"")</f>
        <v/>
      </c>
      <c r="H4525" s="92" t="n">
        <v>4.16016</v>
      </c>
      <c r="I4525" s="2165" t="n">
        <v>0</v>
      </c>
      <c r="J4525" s="2165" t="n">
        <v>0</v>
      </c>
      <c r="K4525" s="2165" t="n"/>
    </row>
    <row r="4526" outlineLevel="3" ht="12.75" customHeight="1">
      <c r="A4526" s="82" t="n">
        <v>31</v>
      </c>
      <c r="B4526" s="82" t="inlineStr">
        <is>
          <t>Insumo</t>
        </is>
      </c>
      <c r="C4526" s="82" t="inlineStr">
        <is>
          <t>Pintura Com Tinta Fosca em Paredes Externas, 2 Demaos (Incluso fundo e massa) - Cor Cinza claro</t>
        </is>
      </c>
      <c r="D4526" s="82" t="inlineStr">
        <is>
          <t>Selador acrilico opaco premium interno/externo</t>
        </is>
      </c>
      <c r="E4526" s="11">
        <f t="array" ref="E4526">_xlfn.XLOOKUP(D4526,Insumos!B:B,Insumos!C:$C)</f>
        <v/>
      </c>
      <c r="F4526" s="2164" t="n">
        <v>0.1666</v>
      </c>
      <c r="G4526" s="92">
        <f t="array" ref="G4526">IF(B4526="insumo",_xlfn.XLOOKUP($D4526,Insumos!$B$1:$B$996,Insumos!$D$1:$D$996),"")</f>
        <v/>
      </c>
      <c r="H4526" s="92" t="n">
        <v>1.077902</v>
      </c>
      <c r="I4526" s="2165" t="n">
        <v>0</v>
      </c>
      <c r="J4526" s="2165" t="n">
        <v>0</v>
      </c>
      <c r="K4526" s="2165" t="n"/>
    </row>
    <row r="4527" outlineLevel="3" ht="12.75" customHeight="1">
      <c r="A4527" s="82" t="n">
        <v>1</v>
      </c>
      <c r="B4527" s="82" t="inlineStr">
        <is>
          <t>Insumo</t>
        </is>
      </c>
      <c r="C4527" s="82" t="inlineStr">
        <is>
          <t>Pintura Com Tinta Fosca em Paredes Externas, 2 Demaos (Incluso fundo e massa) - Cor Cinza claro</t>
        </is>
      </c>
      <c r="D4527" s="82" t="inlineStr">
        <is>
          <t>Suvinil Toque Fosco Completo Sambaqui</t>
        </is>
      </c>
      <c r="E4527" s="11">
        <f t="array" ref="E4527">_xlfn.XLOOKUP(D4527,Insumos!B:B,Insumos!C:$C)</f>
        <v/>
      </c>
      <c r="F4527" s="2164">
        <f>(16/110)*2</f>
        <v/>
      </c>
      <c r="G4527" s="92">
        <f t="array" ref="G4527">IF(B4527="insumo",_xlfn.XLOOKUP($D4527,Insumos!$B$1:$B$996,Insumos!$D$1:$D$996),"")</f>
        <v/>
      </c>
      <c r="H4527" s="92" t="n">
        <v>13.2709090909091</v>
      </c>
      <c r="I4527" s="2165" t="n">
        <v>0</v>
      </c>
      <c r="J4527" s="2165" t="n">
        <v>0</v>
      </c>
      <c r="K4527" s="2165" t="n"/>
    </row>
    <row r="4528" outlineLevel="2" ht="12.75" customHeight="1">
      <c r="A4528" s="1071" t="n">
        <v>1</v>
      </c>
      <c r="B4528" s="1071" t="inlineStr">
        <is>
          <t>Serviço</t>
        </is>
      </c>
      <c r="C4528" s="1071" t="inlineStr">
        <is>
          <t>Pintura Com Tinta Fosca em Paredes Externas, 2 Demaos (Incluso fundo e massa) - Cor Marrom</t>
        </is>
      </c>
      <c r="D4528" s="1071" t="inlineStr">
        <is>
          <t>Pintura Com Tinta Fosca em Paredes Externas, 2 Demaos (Incluso fundo e massa) - Cor Marrom</t>
        </is>
      </c>
      <c r="E4528" s="1072" t="inlineStr">
        <is>
          <t>M2</t>
        </is>
      </c>
      <c r="F4528" s="1071" t="n"/>
      <c r="G4528" s="1073">
        <f t="array" ref="G4528">IF(B4528="insumo",_xlfn.XLOOKUP($D4528,Insumos!$B$1:$B$996,Insumos!$D$1:$D$996),"")</f>
        <v/>
      </c>
      <c r="H4528" s="1073" t="n">
        <v>21.207062</v>
      </c>
      <c r="I4528" s="2163" t="n">
        <v>0</v>
      </c>
      <c r="J4528" s="2163" t="n">
        <v>0</v>
      </c>
      <c r="K4528" s="2163" t="n"/>
    </row>
    <row r="4529" outlineLevel="3" ht="12.75" customHeight="1">
      <c r="A4529" s="82" t="n">
        <v>36</v>
      </c>
      <c r="B4529" s="82" t="inlineStr">
        <is>
          <t>Insumo</t>
        </is>
      </c>
      <c r="C4529" s="82" t="inlineStr">
        <is>
          <t>Pintura Com Tinta Fosca em Paredes Externas, 2 Demaos (Incluso fundo e massa) - Cor Marrom</t>
        </is>
      </c>
      <c r="D4529" s="82" t="inlineStr">
        <is>
          <t>LIXA DAGUA 225X275MM GR100</t>
        </is>
      </c>
      <c r="E4529" s="11">
        <f t="array" ref="E4529">_xlfn.XLOOKUP(D4529,Insumos!B:B,Insumos!C:$C)</f>
        <v/>
      </c>
      <c r="F4529" s="2164" t="n">
        <v>0.1</v>
      </c>
      <c r="G4529" s="92">
        <f t="array" ref="G4529">IF(B4529="insumo",_xlfn.XLOOKUP($D4529,Insumos!$B$1:$B$996,Insumos!$D$1:$D$996),"")</f>
        <v/>
      </c>
      <c r="H4529" s="92" t="n">
        <v>0.189</v>
      </c>
      <c r="I4529" s="2165" t="n">
        <v>0</v>
      </c>
      <c r="J4529" s="2165" t="n">
        <v>0</v>
      </c>
      <c r="K4529" s="2165" t="n"/>
    </row>
    <row r="4530" outlineLevel="3" ht="12.75" customHeight="1">
      <c r="A4530" s="82" t="n">
        <v>21</v>
      </c>
      <c r="B4530" s="82" t="inlineStr">
        <is>
          <t>Insumo</t>
        </is>
      </c>
      <c r="C4530" s="82" t="inlineStr">
        <is>
          <t>Pintura Com Tinta Fosca em Paredes Externas, 2 Demaos (Incluso fundo e massa) - Cor Marrom</t>
        </is>
      </c>
      <c r="D4530" s="82" t="inlineStr">
        <is>
          <t>Massa corrida para superfícies de ambientes internos</t>
        </is>
      </c>
      <c r="E4530" s="11">
        <f t="array" ref="E4530">_xlfn.XLOOKUP(D4530,Insumos!B:B,Insumos!C:$C)</f>
        <v/>
      </c>
      <c r="F4530" s="2164" t="n">
        <v>0.8667</v>
      </c>
      <c r="G4530" s="92">
        <f t="array" ref="G4530">IF(B4530="insumo",_xlfn.XLOOKUP($D4530,Insumos!$B$1:$B$996,Insumos!$D$1:$D$996),"")</f>
        <v/>
      </c>
      <c r="H4530" s="92" t="n">
        <v>4.16016</v>
      </c>
      <c r="I4530" s="2165" t="n">
        <v>0</v>
      </c>
      <c r="J4530" s="2165" t="n">
        <v>0</v>
      </c>
      <c r="K4530" s="2165" t="n"/>
    </row>
    <row r="4531" outlineLevel="3" ht="12.75" customHeight="1">
      <c r="A4531" s="82" t="n">
        <v>31</v>
      </c>
      <c r="B4531" s="82" t="inlineStr">
        <is>
          <t>Insumo</t>
        </is>
      </c>
      <c r="C4531" s="82" t="inlineStr">
        <is>
          <t>Pintura Com Tinta Fosca em Paredes Externas, 2 Demaos (Incluso fundo e massa) - Cor Marrom</t>
        </is>
      </c>
      <c r="D4531" s="82" t="inlineStr">
        <is>
          <t>Selador acrilico opaco premium interno/externo</t>
        </is>
      </c>
      <c r="E4531" s="11">
        <f t="array" ref="E4531">_xlfn.XLOOKUP(D4531,Insumos!B:B,Insumos!C:$C)</f>
        <v/>
      </c>
      <c r="F4531" s="2164" t="n">
        <v>0.1666</v>
      </c>
      <c r="G4531" s="92">
        <f t="array" ref="G4531">IF(B4531="insumo",_xlfn.XLOOKUP($D4531,Insumos!$B$1:$B$996,Insumos!$D$1:$D$996),"")</f>
        <v/>
      </c>
      <c r="H4531" s="92" t="n">
        <v>1.077902</v>
      </c>
      <c r="I4531" s="2165" t="n">
        <v>0</v>
      </c>
      <c r="J4531" s="2165" t="n">
        <v>0</v>
      </c>
      <c r="K4531" s="2165" t="n"/>
    </row>
    <row r="4532" outlineLevel="3" ht="12.75" customHeight="1">
      <c r="A4532" s="82" t="n">
        <v>1</v>
      </c>
      <c r="B4532" s="82" t="inlineStr">
        <is>
          <t>Insumo</t>
        </is>
      </c>
      <c r="C4532" s="82" t="inlineStr">
        <is>
          <t>Pintura Com Tinta Fosca em Paredes Externas, 2 Demaos (Incluso fundo e massa) - Cor Marrom</t>
        </is>
      </c>
      <c r="D4532" s="82" t="inlineStr">
        <is>
          <t>Suvinil Toque Fosco Completo Pinhão</t>
        </is>
      </c>
      <c r="E4532" s="11">
        <f t="array" ref="E4532">_xlfn.XLOOKUP(D4532,Insumos!B:B,Insumos!C:$C)</f>
        <v/>
      </c>
      <c r="F4532" s="2164">
        <f>(16/110)*2</f>
        <v/>
      </c>
      <c r="G4532" s="92">
        <f t="array" ref="G4532">IF(B4532="insumo",_xlfn.XLOOKUP($D4532,Insumos!$B$1:$B$996,Insumos!$D$1:$D$996),"")</f>
        <v/>
      </c>
      <c r="H4532" s="92" t="n">
        <v>15.78</v>
      </c>
      <c r="I4532" s="2165" t="n">
        <v>0</v>
      </c>
      <c r="J4532" s="2165" t="n">
        <v>0</v>
      </c>
      <c r="K4532" s="2165" t="n"/>
    </row>
    <row r="4533" outlineLevel="2" ht="12.75" customHeight="1">
      <c r="A4533" s="1071" t="n">
        <v>1</v>
      </c>
      <c r="B4533" s="1071" t="inlineStr">
        <is>
          <t>Serviço</t>
        </is>
      </c>
      <c r="C4533" s="1071" t="inlineStr">
        <is>
          <t>Pintura Com  Tinta Fosca em Paredes Externas, 2 Demaos (Incluso fundo e massa) - Cor Cinza escuro</t>
        </is>
      </c>
      <c r="D4533" s="1071" t="inlineStr">
        <is>
          <t>Pintura Com  Tinta Fosca em Paredes Externas, 2 Demaos (Incluso fundo e massa) - Cor Cinza escuro</t>
        </is>
      </c>
      <c r="E4533" s="1072" t="inlineStr">
        <is>
          <t>M2</t>
        </is>
      </c>
      <c r="F4533" s="1071" t="n"/>
      <c r="G4533" s="1073">
        <f t="array" ref="G4533">IF(B4533="insumo",_xlfn.XLOOKUP($D4533,Insumos!$B$1:$B$996,Insumos!$D$1:$D$996),"")</f>
        <v/>
      </c>
      <c r="H4533" s="1073" t="n">
        <v>21.5525165454545</v>
      </c>
      <c r="I4533" s="2163" t="n">
        <v>0</v>
      </c>
      <c r="J4533" s="2163" t="n">
        <v>0</v>
      </c>
      <c r="K4533" s="2163" t="n"/>
    </row>
    <row r="4534" outlineLevel="3" ht="12.75" customHeight="1">
      <c r="A4534" s="82" t="n">
        <v>36</v>
      </c>
      <c r="B4534" s="82" t="inlineStr">
        <is>
          <t>Insumo</t>
        </is>
      </c>
      <c r="C4534" s="82" t="inlineStr">
        <is>
          <t>Pintura Com  Tinta Fosca em Paredes Externas, 2 Demaos (Incluso fundo e massa) - Cor Cinza escuro</t>
        </is>
      </c>
      <c r="D4534" s="82" t="inlineStr">
        <is>
          <t>LIXA DAGUA 225X275MM GR100</t>
        </is>
      </c>
      <c r="E4534" s="11">
        <f t="array" ref="E4534">_xlfn.XLOOKUP(D4534,Insumos!B:B,Insumos!C:$C)</f>
        <v/>
      </c>
      <c r="F4534" s="2164" t="n">
        <v>0.1</v>
      </c>
      <c r="G4534" s="92">
        <f t="array" ref="G4534">IF(B4534="insumo",_xlfn.XLOOKUP($D4534,Insumos!$B$1:$B$996,Insumos!$D$1:$D$996),"")</f>
        <v/>
      </c>
      <c r="H4534" s="92" t="n">
        <v>0.189</v>
      </c>
      <c r="I4534" s="2165" t="n">
        <v>0</v>
      </c>
      <c r="J4534" s="2165" t="n">
        <v>0</v>
      </c>
      <c r="K4534" s="2165" t="n"/>
    </row>
    <row r="4535" outlineLevel="3" ht="12.75" customHeight="1">
      <c r="A4535" s="82" t="n">
        <v>21</v>
      </c>
      <c r="B4535" s="82" t="inlineStr">
        <is>
          <t>Insumo</t>
        </is>
      </c>
      <c r="C4535" s="82" t="inlineStr">
        <is>
          <t>Pintura Com  Tinta Fosca em Paredes Externas, 2 Demaos (Incluso fundo e massa) - Cor Cinza escuro</t>
        </is>
      </c>
      <c r="D4535" s="82" t="inlineStr">
        <is>
          <t>Massa corrida para superfícies de ambientes internos</t>
        </is>
      </c>
      <c r="E4535" s="11">
        <f t="array" ref="E4535">_xlfn.XLOOKUP(D4535,Insumos!B:B,Insumos!C:$C)</f>
        <v/>
      </c>
      <c r="F4535" s="2164" t="n">
        <v>0.8667</v>
      </c>
      <c r="G4535" s="92">
        <f t="array" ref="G4535">IF(B4535="insumo",_xlfn.XLOOKUP($D4535,Insumos!$B$1:$B$996,Insumos!$D$1:$D$996),"")</f>
        <v/>
      </c>
      <c r="H4535" s="92" t="n">
        <v>4.16016</v>
      </c>
      <c r="I4535" s="2165" t="n">
        <v>0</v>
      </c>
      <c r="J4535" s="2165" t="n">
        <v>0</v>
      </c>
      <c r="K4535" s="2165" t="n"/>
    </row>
    <row r="4536" outlineLevel="3" ht="12.75" customHeight="1">
      <c r="A4536" s="82" t="n">
        <v>31</v>
      </c>
      <c r="B4536" s="82" t="inlineStr">
        <is>
          <t>Insumo</t>
        </is>
      </c>
      <c r="C4536" s="82" t="inlineStr">
        <is>
          <t>Pintura Com  Tinta Fosca em Paredes Externas, 2 Demaos (Incluso fundo e massa) - Cor Cinza escuro</t>
        </is>
      </c>
      <c r="D4536" s="82" t="inlineStr">
        <is>
          <t>Selador acrilico opaco premium interno/externo</t>
        </is>
      </c>
      <c r="E4536" s="11">
        <f t="array" ref="E4536">_xlfn.XLOOKUP(D4536,Insumos!B:B,Insumos!C:$C)</f>
        <v/>
      </c>
      <c r="F4536" s="2164" t="n">
        <v>0.1666</v>
      </c>
      <c r="G4536" s="92">
        <f t="array" ref="G4536">IF(B4536="insumo",_xlfn.XLOOKUP($D4536,Insumos!$B$1:$B$996,Insumos!$D$1:$D$996),"")</f>
        <v/>
      </c>
      <c r="H4536" s="92" t="n">
        <v>1.077902</v>
      </c>
      <c r="I4536" s="2165" t="n">
        <v>0</v>
      </c>
      <c r="J4536" s="2165" t="n">
        <v>0</v>
      </c>
      <c r="K4536" s="2165" t="n"/>
    </row>
    <row r="4537" outlineLevel="3" ht="12.75" customHeight="1">
      <c r="A4537" s="82" t="n">
        <v>1</v>
      </c>
      <c r="B4537" s="82" t="inlineStr">
        <is>
          <t>Insumo</t>
        </is>
      </c>
      <c r="C4537" s="82" t="inlineStr">
        <is>
          <t>Pintura Com  Tinta Fosca em Paredes Externas, 2 Demaos (Incluso fundo e massa) - Cor Cinza escuro</t>
        </is>
      </c>
      <c r="D4537" s="82" t="inlineStr">
        <is>
          <t>Suvinil Toque Fosco Completo Carvão mineral</t>
        </is>
      </c>
      <c r="E4537" s="11">
        <f t="array" ref="E4537">_xlfn.XLOOKUP(D4537,Insumos!B:B,Insumos!C:$C)</f>
        <v/>
      </c>
      <c r="F4537" s="2164">
        <f>(16/110)*2</f>
        <v/>
      </c>
      <c r="G4537" s="92">
        <f t="array" ref="G4537">IF(B4537="insumo",_xlfn.XLOOKUP($D4537,Insumos!$B$1:$B$996,Insumos!$D$1:$D$996),"")</f>
        <v/>
      </c>
      <c r="H4537" s="92" t="n">
        <v>16.1254545454545</v>
      </c>
      <c r="I4537" s="2165" t="n">
        <v>0</v>
      </c>
      <c r="J4537" s="2165" t="n">
        <v>0</v>
      </c>
      <c r="K4537" s="2165" t="n"/>
    </row>
    <row r="4538" outlineLevel="2" ht="12.75" customHeight="1">
      <c r="A4538" s="1071" t="n">
        <v>1</v>
      </c>
      <c r="B4538" s="1071" t="inlineStr">
        <is>
          <t>Serviço</t>
        </is>
      </c>
      <c r="C4538" s="1071" t="inlineStr">
        <is>
          <t>Pintura Com  Tinta Fosca em Paredes Externas, 2 Demaos (Incluso fundo e massa) - Cor Branco</t>
        </is>
      </c>
      <c r="D4538" s="1071" t="inlineStr">
        <is>
          <t>Pintura Com  Tinta Fosca em Paredes Externas, 2 Demaos (Incluso fundo e massa) - Cor Branco</t>
        </is>
      </c>
      <c r="E4538" s="1072" t="inlineStr">
        <is>
          <t>M2</t>
        </is>
      </c>
      <c r="F4538" s="1071" t="n"/>
      <c r="G4538" s="1073">
        <f t="array" ref="G4538">IF(B4538="insumo",_xlfn.XLOOKUP($D4538,Insumos!$B$1:$B$996,Insumos!$D$1:$D$996),"")</f>
        <v/>
      </c>
      <c r="H4538" s="1073" t="n">
        <v>15.4456478585859</v>
      </c>
      <c r="I4538" s="2163" t="n">
        <v>0</v>
      </c>
      <c r="J4538" s="2163" t="n">
        <v>0</v>
      </c>
      <c r="K4538" s="2163" t="n"/>
    </row>
    <row r="4539" outlineLevel="3" ht="12.75" customHeight="1">
      <c r="A4539" s="82" t="n">
        <v>36</v>
      </c>
      <c r="B4539" s="82" t="inlineStr">
        <is>
          <t>Insumo</t>
        </is>
      </c>
      <c r="C4539" s="82" t="inlineStr">
        <is>
          <t>Pintura Com  Tinta Fosca em Paredes Externas, 2 Demaos (Incluso fundo e massa) - Cor Branco</t>
        </is>
      </c>
      <c r="D4539" s="82" t="inlineStr">
        <is>
          <t>LIXA DAGUA 225X275MM GR100</t>
        </is>
      </c>
      <c r="E4539" s="11">
        <f t="array" ref="E4539">_xlfn.XLOOKUP(D4539,Insumos!B:B,Insumos!C:$C)</f>
        <v/>
      </c>
      <c r="F4539" s="2164" t="n">
        <v>0.1</v>
      </c>
      <c r="G4539" s="92">
        <f t="array" ref="G4539">IF(B4539="insumo",_xlfn.XLOOKUP($D4539,Insumos!$B$1:$B$996,Insumos!$D$1:$D$996),"")</f>
        <v/>
      </c>
      <c r="H4539" s="92" t="n">
        <v>0.189</v>
      </c>
      <c r="I4539" s="2165" t="n">
        <v>0</v>
      </c>
      <c r="J4539" s="2165" t="n">
        <v>0</v>
      </c>
      <c r="K4539" s="2165" t="n"/>
    </row>
    <row r="4540" outlineLevel="3" ht="12.75" customHeight="1">
      <c r="A4540" s="82" t="n">
        <v>21</v>
      </c>
      <c r="B4540" s="82" t="inlineStr">
        <is>
          <t>Insumo</t>
        </is>
      </c>
      <c r="C4540" s="82" t="inlineStr">
        <is>
          <t>Pintura Com  Tinta Fosca em Paredes Externas, 2 Demaos (Incluso fundo e massa) - Cor Branco</t>
        </is>
      </c>
      <c r="D4540" s="82" t="inlineStr">
        <is>
          <t>Massa corrida para superfícies de ambientes internos</t>
        </is>
      </c>
      <c r="E4540" s="11">
        <f t="array" ref="E4540">_xlfn.XLOOKUP(D4540,Insumos!B:B,Insumos!C:$C)</f>
        <v/>
      </c>
      <c r="F4540" s="2164" t="n">
        <v>0.8667</v>
      </c>
      <c r="G4540" s="92">
        <f t="array" ref="G4540">IF(B4540="insumo",_xlfn.XLOOKUP($D4540,Insumos!$B$1:$B$996,Insumos!$D$1:$D$996),"")</f>
        <v/>
      </c>
      <c r="H4540" s="92" t="n">
        <v>4.16016</v>
      </c>
      <c r="I4540" s="2165" t="n">
        <v>0</v>
      </c>
      <c r="J4540" s="2165" t="n">
        <v>0</v>
      </c>
      <c r="K4540" s="2165" t="n"/>
    </row>
    <row r="4541" outlineLevel="3" ht="12.75" customHeight="1">
      <c r="A4541" s="82" t="n">
        <v>31</v>
      </c>
      <c r="B4541" s="82" t="inlineStr">
        <is>
          <t>Insumo</t>
        </is>
      </c>
      <c r="C4541" s="82" t="inlineStr">
        <is>
          <t>Pintura Com  Tinta Fosca em Paredes Externas, 2 Demaos (Incluso fundo e massa) - Cor Branco</t>
        </is>
      </c>
      <c r="D4541" s="82" t="inlineStr">
        <is>
          <t>Selador acrilico opaco premium interno/externo</t>
        </is>
      </c>
      <c r="E4541" s="11">
        <f t="array" ref="E4541">_xlfn.XLOOKUP(D4541,Insumos!B:B,Insumos!C:$C)</f>
        <v/>
      </c>
      <c r="F4541" s="2164" t="n">
        <v>0.1666</v>
      </c>
      <c r="G4541" s="92">
        <f t="array" ref="G4541">IF(B4541="insumo",_xlfn.XLOOKUP($D4541,Insumos!$B$1:$B$996,Insumos!$D$1:$D$996),"")</f>
        <v/>
      </c>
      <c r="H4541" s="92" t="n">
        <v>1.077902</v>
      </c>
      <c r="I4541" s="2165" t="n">
        <v>0</v>
      </c>
      <c r="J4541" s="2165" t="n">
        <v>0</v>
      </c>
      <c r="K4541" s="2165" t="n"/>
    </row>
    <row r="4542" outlineLevel="3" ht="12.75" customHeight="1">
      <c r="A4542" s="82" t="n">
        <v>2</v>
      </c>
      <c r="B4542" s="82" t="inlineStr">
        <is>
          <t>Insumo</t>
        </is>
      </c>
      <c r="C4542" s="82" t="inlineStr">
        <is>
          <t>Pintura Com  Tinta Fosca em Paredes Externas, 2 Demaos (Incluso fundo e massa) - Cor Branco</t>
        </is>
      </c>
      <c r="D4542" s="82" t="inlineStr">
        <is>
          <t>Suvinil Toque Fosco Completo branco</t>
        </is>
      </c>
      <c r="E4542" s="11">
        <f t="array" ref="E4542">_xlfn.XLOOKUP(D4542,Insumos!B:B,Insumos!C:$C)</f>
        <v/>
      </c>
      <c r="F4542" s="2164">
        <f>(16/110)*2</f>
        <v/>
      </c>
      <c r="G4542" s="92">
        <f t="array" ref="G4542">IF(B4542="insumo",_xlfn.XLOOKUP($D4542,Insumos!$B$1:$B$996,Insumos!$D$1:$D$996),"")</f>
        <v/>
      </c>
      <c r="H4542" s="92" t="n">
        <v>10.0185858585859</v>
      </c>
      <c r="I4542" s="2165" t="n">
        <v>0</v>
      </c>
      <c r="J4542" s="2165" t="n">
        <v>0</v>
      </c>
      <c r="K4542" s="2165" t="n"/>
    </row>
    <row r="4543" outlineLevel="2" ht="12.75" customHeight="1">
      <c r="A4543" s="1071" t="n">
        <v>1</v>
      </c>
      <c r="B4543" s="1071" t="inlineStr">
        <is>
          <t>Serviço</t>
        </is>
      </c>
      <c r="C4543" s="1071" t="inlineStr">
        <is>
          <t>Pintura com tinta suviflez emborrachada, 2 demãos, parede externa</t>
        </is>
      </c>
      <c r="D4543" s="1071" t="inlineStr">
        <is>
          <t>Pintura com tinta suviflez emborrachada, 2 demãos, parede externa</t>
        </is>
      </c>
      <c r="E4543" s="1072" t="inlineStr">
        <is>
          <t>M2</t>
        </is>
      </c>
      <c r="F4543" s="1071" t="n"/>
      <c r="G4543" s="1073">
        <f t="array" ref="G4543">IF(B4543="insumo",_xlfn.XLOOKUP($D4543,Insumos!$B$1:$B$996,Insumos!$D$1:$D$996),"")</f>
        <v/>
      </c>
      <c r="H4543" s="1073" t="n">
        <v>3.3192</v>
      </c>
      <c r="I4543" s="2163" t="n">
        <v>0</v>
      </c>
      <c r="J4543" s="2163" t="n">
        <v>0</v>
      </c>
      <c r="K4543" s="2163" t="n"/>
    </row>
    <row r="4544" outlineLevel="3" ht="12.75" customHeight="1">
      <c r="A4544" s="82" t="n">
        <v>1</v>
      </c>
      <c r="B4544" s="82" t="inlineStr">
        <is>
          <t>Insumo</t>
        </is>
      </c>
      <c r="C4544" s="82" t="inlineStr">
        <is>
          <t>Pintura com tinta suviflez emborrachada, 2 demãos, parede externa</t>
        </is>
      </c>
      <c r="D4544" s="82" t="inlineStr">
        <is>
          <t>Impermeabilizante Suviflex 18 Litros Branco Suvinil</t>
        </is>
      </c>
      <c r="E4544" s="11">
        <f t="array" ref="E4544">_xlfn.XLOOKUP(D4544,Insumos!B:B,Insumos!C:$C)</f>
        <v/>
      </c>
      <c r="F4544" s="2164">
        <f>(18/250)*2</f>
        <v/>
      </c>
      <c r="G4544" s="92">
        <f t="array" ref="G4544">IF(B4544="insumo",_xlfn.XLOOKUP($D4544,Insumos!$B$1:$B$996,Insumos!$D$1:$D$996),"")</f>
        <v/>
      </c>
      <c r="H4544" s="92" t="n">
        <v>3.3192</v>
      </c>
      <c r="I4544" s="2165" t="n">
        <v>0</v>
      </c>
      <c r="J4544" s="2165" t="n">
        <v>0</v>
      </c>
      <c r="K4544" s="2165" t="n"/>
    </row>
    <row r="4545" outlineLevel="2" ht="12.75" customHeight="1">
      <c r="A4545" s="1071" t="n">
        <v>1</v>
      </c>
      <c r="B4545" s="1071" t="inlineStr">
        <is>
          <t>Serviço</t>
        </is>
      </c>
      <c r="C4545" s="1071" t="inlineStr">
        <is>
          <t>Pintura Com  Tinta Fosca em Paredes Externas, 1 Demaos</t>
        </is>
      </c>
      <c r="D4545" s="1071" t="inlineStr">
        <is>
          <t>Pintura Com  Tinta Fosca em Paredes Externas, 1 Demaos</t>
        </is>
      </c>
      <c r="E4545" s="1072" t="inlineStr">
        <is>
          <t>M2</t>
        </is>
      </c>
      <c r="F4545" s="1071" t="n"/>
      <c r="G4545" s="1073">
        <f t="array" ref="G4545">IF(B4545="insumo",_xlfn.XLOOKUP($D4545,Insumos!$B$1:$B$996,Insumos!$D$1:$D$996),"")</f>
        <v/>
      </c>
      <c r="H4545" s="1073" t="n">
        <v>5.3904347826087</v>
      </c>
      <c r="I4545" s="2163" t="n">
        <v>0</v>
      </c>
      <c r="J4545" s="2163" t="n">
        <v>0</v>
      </c>
      <c r="K4545" s="2163" t="n"/>
    </row>
    <row r="4546" outlineLevel="3" ht="12.75" customHeight="1">
      <c r="A4546" s="82" t="n">
        <v>2</v>
      </c>
      <c r="B4546" s="82" t="inlineStr">
        <is>
          <t>Insumo</t>
        </is>
      </c>
      <c r="C4546" s="82" t="inlineStr">
        <is>
          <t>Pintura Com  Tinta Fosca em Paredes Externas, 1 Demaos</t>
        </is>
      </c>
      <c r="D4546" s="82" t="inlineStr">
        <is>
          <t>Suvinil Toque Fosco Completo branco</t>
        </is>
      </c>
      <c r="E4546" s="11">
        <f t="array" ref="E4546">_xlfn.XLOOKUP(D4546,Insumos!B:B,Insumos!C:$C)</f>
        <v/>
      </c>
      <c r="F4546" s="2164">
        <f>18/115</f>
        <v/>
      </c>
      <c r="G4546" s="92">
        <f t="array" ref="G4546">IF(B4546="insumo",_xlfn.XLOOKUP($D4546,Insumos!$B$1:$B$996,Insumos!$D$1:$D$996),"")</f>
        <v/>
      </c>
      <c r="H4546" s="92" t="n">
        <v>5.3904347826087</v>
      </c>
      <c r="I4546" s="2165" t="n">
        <v>0</v>
      </c>
      <c r="J4546" s="2165" t="n">
        <v>0</v>
      </c>
      <c r="K4546" s="2165" t="n"/>
    </row>
    <row r="4547" outlineLevel="2" ht="12.75" customHeight="1">
      <c r="A4547" s="1071" t="n">
        <v>1</v>
      </c>
      <c r="B4547" s="1071" t="inlineStr">
        <is>
          <t>Serviço</t>
        </is>
      </c>
      <c r="C4547" s="1071" t="inlineStr">
        <is>
          <t>Massa texturizada pigmentada acrilica Granelli Manchester Mínimo, cor bege escuro, em Paredes Externas, 1 Demaos</t>
        </is>
      </c>
      <c r="D4547" s="1071" t="inlineStr">
        <is>
          <t>Massa texturizada pigmentada acrilica Granelli Manchester Mínimo, cor bege escuro, em Paredes Externas, 1 Demaos</t>
        </is>
      </c>
      <c r="E4547" s="1072" t="inlineStr">
        <is>
          <t>M2</t>
        </is>
      </c>
      <c r="F4547" s="1071" t="n"/>
      <c r="G4547" s="1073">
        <f t="array" ref="G4547">IF(B4547="insumo",_xlfn.XLOOKUP($D4547,Insumos!$B$1:$B$996,Insumos!$D$1:$D$996),"")</f>
        <v/>
      </c>
      <c r="H4547" s="1073" t="n">
        <v>44.2</v>
      </c>
      <c r="I4547" s="2163" t="n">
        <v>0</v>
      </c>
      <c r="J4547" s="2163" t="n">
        <v>0</v>
      </c>
      <c r="K4547" s="2163" t="n"/>
    </row>
    <row r="4548" outlineLevel="3" ht="12.75" customHeight="1">
      <c r="A4548" s="82" t="n">
        <v>1</v>
      </c>
      <c r="B4548" s="82" t="inlineStr">
        <is>
          <t>Insumo</t>
        </is>
      </c>
      <c r="C4548" s="82" t="inlineStr">
        <is>
          <t>Massa texturizada pigmentada acrilica Granelli Manchester Mínimo, cor bege escuro, em Paredes Externas, 1 Demaos</t>
        </is>
      </c>
      <c r="D4548" s="82" t="inlineStr">
        <is>
          <t>MASSA TEXTURIZADA ACRÍLICA IBRATIN PADRÃO GRANELLI 898A0R MANCHESTER MÍNIMO - BEGE ESCURO</t>
        </is>
      </c>
      <c r="E4548" s="11">
        <f t="array" ref="E4548">_xlfn.XLOOKUP(D4548,Insumos!B:B,Insumos!C:$C)</f>
        <v/>
      </c>
      <c r="F4548" s="2164" t="n">
        <v>1.7</v>
      </c>
      <c r="G4548" s="92">
        <f t="array" ref="G4548">IF(B4548="insumo",_xlfn.XLOOKUP($D4548,Insumos!$B$1:$B$996,Insumos!$D$1:$D$996),"")</f>
        <v/>
      </c>
      <c r="H4548" s="92" t="n">
        <v>44.2</v>
      </c>
      <c r="I4548" s="2165" t="n">
        <v>0</v>
      </c>
      <c r="J4548" s="2165" t="n">
        <v>0</v>
      </c>
      <c r="K4548" s="2165" t="n"/>
    </row>
    <row r="4549" outlineLevel="2" ht="12.75" customHeight="1">
      <c r="A4549" s="1071" t="n">
        <v>1</v>
      </c>
      <c r="B4549" s="1071" t="inlineStr">
        <is>
          <t>Serviço</t>
        </is>
      </c>
      <c r="C4549" s="1071" t="inlineStr">
        <is>
          <t>Massa texturizada pigmentada acrilica Granelli Manchester, cor marrom, Máximo em Paredes Externas, 1 Demaos</t>
        </is>
      </c>
      <c r="D4549" s="1071" t="inlineStr">
        <is>
          <t>Massa texturizada pigmentada acrilica Granelli Manchester, cor marrom, Máximo em Paredes Externas, 1 Demaos</t>
        </is>
      </c>
      <c r="E4549" s="1072" t="inlineStr">
        <is>
          <t>M2</t>
        </is>
      </c>
      <c r="F4549" s="1071" t="n"/>
      <c r="G4549" s="1073">
        <f t="array" ref="G4549">IF(B4549="insumo",_xlfn.XLOOKUP($D4549,Insumos!$B$1:$B$996,Insumos!$D$1:$D$996),"")</f>
        <v/>
      </c>
      <c r="H4549" s="1073" t="n">
        <v>48</v>
      </c>
      <c r="I4549" s="2163" t="n">
        <v>0</v>
      </c>
      <c r="J4549" s="2163" t="n">
        <v>0</v>
      </c>
      <c r="K4549" s="2163" t="n"/>
    </row>
    <row r="4550" outlineLevel="3" ht="12.75" customHeight="1">
      <c r="A4550" s="82" t="n">
        <v>1</v>
      </c>
      <c r="B4550" s="82" t="inlineStr">
        <is>
          <t>Insumo</t>
        </is>
      </c>
      <c r="C4550" s="82" t="inlineStr">
        <is>
          <t>Massa texturizada pigmentada acrilica Granelli Manchester, cor marrom, Máximo em Paredes Externas, 1 Demaos</t>
        </is>
      </c>
      <c r="D4550" s="82" t="inlineStr">
        <is>
          <t>MASSA TEXTURIZADA ACRÍLICA IBRATIN PADRÃO GRANELLI 898A0A MANCHESTER MÁXIMO - MARROM</t>
        </is>
      </c>
      <c r="E4550" s="11">
        <f t="array" ref="E4550">_xlfn.XLOOKUP(D4550,Insumos!B:B,Insumos!C:$C)</f>
        <v/>
      </c>
      <c r="F4550" s="2164" t="n">
        <v>1.6</v>
      </c>
      <c r="G4550" s="92">
        <f t="array" ref="G4550">IF(B4550="insumo",_xlfn.XLOOKUP($D4550,Insumos!$B$1:$B$996,Insumos!$D$1:$D$996),"")</f>
        <v/>
      </c>
      <c r="H4550" s="92" t="n">
        <v>48</v>
      </c>
      <c r="I4550" s="2165" t="n">
        <v>0</v>
      </c>
      <c r="J4550" s="2165" t="n">
        <v>0</v>
      </c>
      <c r="K4550" s="2165" t="n"/>
    </row>
    <row r="4551" outlineLevel="2" ht="12.75" customHeight="1">
      <c r="A4551" s="1071" t="n">
        <v>1</v>
      </c>
      <c r="B4551" s="1071" t="inlineStr">
        <is>
          <t>Serviço</t>
        </is>
      </c>
      <c r="C4551" s="1071" t="inlineStr">
        <is>
          <t>Massa texturizada pigmentada acrilica Granelli Manchester Claro, corbege claro, em Paredes Externas, 1 Demaos</t>
        </is>
      </c>
      <c r="D4551" s="1071" t="inlineStr">
        <is>
          <t>Massa texturizada pigmentada acrilica Granelli Manchester Claro, corbege claro, em Paredes Externas, 1 Demaos</t>
        </is>
      </c>
      <c r="E4551" s="1072" t="inlineStr">
        <is>
          <t>M2</t>
        </is>
      </c>
      <c r="F4551" s="1071" t="n"/>
      <c r="G4551" s="1073">
        <f t="array" ref="G4551">IF(B4551="insumo",_xlfn.XLOOKUP($D4551,Insumos!$B$1:$B$996,Insumos!$D$1:$D$996),"")</f>
        <v/>
      </c>
      <c r="H4551" s="1073" t="n">
        <v>40</v>
      </c>
      <c r="I4551" s="2163" t="n">
        <v>0</v>
      </c>
      <c r="J4551" s="2163" t="n">
        <v>0</v>
      </c>
      <c r="K4551" s="2163" t="n"/>
    </row>
    <row r="4552" outlineLevel="3" ht="12.75" customHeight="1">
      <c r="A4552" s="82" t="n">
        <v>1</v>
      </c>
      <c r="B4552" s="82" t="inlineStr">
        <is>
          <t>Insumo</t>
        </is>
      </c>
      <c r="C4552" s="82" t="inlineStr">
        <is>
          <t>Massa texturizada pigmentada acrilica Granelli Manchester Claro, corbege claro, em Paredes Externas, 1 Demaos</t>
        </is>
      </c>
      <c r="D4552" s="82" t="inlineStr">
        <is>
          <t xml:space="preserve"> MASSA TEXTURIZADA ACRÍLICA IBRATIN PADRÃO GRANELLI 898A0L MANCHESTER CLARO - BEGE CLARO</t>
        </is>
      </c>
      <c r="E4552" s="11">
        <f t="array" ref="E4552">_xlfn.XLOOKUP(D4552,Insumos!B:B,Insumos!C:$C)</f>
        <v/>
      </c>
      <c r="F4552" s="2164" t="n">
        <v>1.6</v>
      </c>
      <c r="G4552" s="92">
        <f t="array" ref="G4552">IF(B4552="insumo",_xlfn.XLOOKUP($D4552,Insumos!$B$1:$B$996,Insumos!$D$1:$D$996),"")</f>
        <v/>
      </c>
      <c r="H4552" s="92" t="n">
        <v>40</v>
      </c>
      <c r="I4552" s="2165" t="n">
        <v>0</v>
      </c>
      <c r="J4552" s="2165" t="n">
        <v>0</v>
      </c>
      <c r="K4552" s="2165" t="n"/>
    </row>
    <row r="4553" outlineLevel="2" ht="12.75" customHeight="1">
      <c r="A4553" s="1071" t="n">
        <v>1</v>
      </c>
      <c r="B4553" s="1071" t="inlineStr">
        <is>
          <t>Serviço</t>
        </is>
      </c>
      <c r="C4553" s="1071" t="inlineStr">
        <is>
          <t>Pintura com tinta acetinada, 1 demãos, parede externa</t>
        </is>
      </c>
      <c r="D4553" s="1071" t="inlineStr">
        <is>
          <t>Pintura com tinta acetinada, 1 demãos, parede externa</t>
        </is>
      </c>
      <c r="E4553" s="1072" t="inlineStr">
        <is>
          <t>M2</t>
        </is>
      </c>
      <c r="F4553" s="1071" t="n"/>
      <c r="G4553" s="1073">
        <f t="array" ref="G4553">IF(B4553="insumo",_xlfn.XLOOKUP($D4553,Insumos!$B$1:$B$996,Insumos!$D$1:$D$996),"")</f>
        <v/>
      </c>
      <c r="H4553" s="1073" t="n">
        <v>6.69478260869565</v>
      </c>
      <c r="I4553" s="2163" t="n">
        <v>0</v>
      </c>
      <c r="J4553" s="2163" t="n">
        <v>0</v>
      </c>
      <c r="K4553" s="2163" t="n"/>
    </row>
    <row r="4554" outlineLevel="3" ht="12.75" customHeight="1">
      <c r="A4554" s="82" t="n">
        <v>2</v>
      </c>
      <c r="B4554" s="82" t="inlineStr">
        <is>
          <t>Insumo</t>
        </is>
      </c>
      <c r="C4554" s="82" t="inlineStr">
        <is>
          <t>Pintura com tinta acetinada, 1 demãos, parede externa</t>
        </is>
      </c>
      <c r="D4554" s="82" t="inlineStr">
        <is>
          <t>Tinta ACRÍLICO TOQUE DE SEDA ACETINADO</t>
        </is>
      </c>
      <c r="E4554" s="11">
        <f t="array" ref="E4554">_xlfn.XLOOKUP(D4554,Insumos!B:B,Insumos!C:$C)</f>
        <v/>
      </c>
      <c r="F4554" s="2164">
        <f>18/115</f>
        <v/>
      </c>
      <c r="G4554" s="92">
        <f t="array" ref="G4554">IF(B4554="insumo",_xlfn.XLOOKUP($D4554,Insumos!$B$1:$B$996,Insumos!$D$1:$D$996),"")</f>
        <v/>
      </c>
      <c r="H4554" s="92" t="n">
        <v>6.69478260869565</v>
      </c>
      <c r="I4554" s="2165" t="n">
        <v>0</v>
      </c>
      <c r="J4554" s="2165" t="n">
        <v>0</v>
      </c>
      <c r="K4554" s="2165" t="n"/>
    </row>
    <row r="4555" outlineLevel="2" ht="12.75" customHeight="1">
      <c r="A4555" s="1071" t="n">
        <v>1</v>
      </c>
      <c r="B4555" s="1071" t="inlineStr">
        <is>
          <t>Serviço</t>
        </is>
      </c>
      <c r="C4555" s="1071" t="inlineStr">
        <is>
          <t>Pintura Com Tinta Latex Acrilica em Paredes Externas, 3 Demaos (Incluso fundo e massa) - Branco</t>
        </is>
      </c>
      <c r="D4555" s="1071" t="inlineStr">
        <is>
          <t>Pintura Com Tinta Latex Acrilica em Paredes Externas, 3 Demaos (Incluso fundo e massa) - Branco</t>
        </is>
      </c>
      <c r="E4555" s="1072" t="inlineStr">
        <is>
          <t>M2</t>
        </is>
      </c>
      <c r="F4555" s="1071" t="n"/>
      <c r="G4555" s="1073">
        <f t="array" ref="G4555">IF(B4555="insumo",_xlfn.XLOOKUP($D4555,Insumos!$B$1:$B$996,Insumos!$D$1:$D$996),"")</f>
        <v/>
      </c>
      <c r="H4555" s="1073" t="n">
        <v>16.341812</v>
      </c>
      <c r="I4555" s="2163" t="n">
        <v>0</v>
      </c>
      <c r="J4555" s="2163" t="n">
        <v>0</v>
      </c>
      <c r="K4555" s="2163" t="n"/>
    </row>
    <row r="4556" outlineLevel="3" ht="12.75" customHeight="1">
      <c r="A4556" s="82" t="n">
        <v>36</v>
      </c>
      <c r="B4556" s="82" t="inlineStr">
        <is>
          <t>Insumo</t>
        </is>
      </c>
      <c r="C4556" s="82" t="inlineStr">
        <is>
          <t>Pintura Com Tinta Latex Acrilica em Paredes Externas, 3 Demaos (Incluso fundo e massa) - Branco</t>
        </is>
      </c>
      <c r="D4556" s="82" t="inlineStr">
        <is>
          <t>LIXA DAGUA 225X275MM GR100</t>
        </is>
      </c>
      <c r="E4556" s="11">
        <f t="array" ref="E4556">_xlfn.XLOOKUP(D4556,Insumos!B:B,Insumos!C:$C)</f>
        <v/>
      </c>
      <c r="F4556" s="2164" t="n">
        <v>0.1</v>
      </c>
      <c r="G4556" s="92">
        <f t="array" ref="G4556">IF(B4556="insumo",_xlfn.XLOOKUP($D4556,Insumos!$B$1:$B$996,Insumos!$D$1:$D$996),"")</f>
        <v/>
      </c>
      <c r="H4556" s="92" t="n">
        <v>0.189</v>
      </c>
      <c r="I4556" s="2165" t="n">
        <v>0</v>
      </c>
      <c r="J4556" s="2165" t="n">
        <v>0</v>
      </c>
      <c r="K4556" s="2165" t="n"/>
    </row>
    <row r="4557" outlineLevel="3" ht="12.75" customHeight="1">
      <c r="A4557" s="82" t="n">
        <v>21</v>
      </c>
      <c r="B4557" s="82" t="inlineStr">
        <is>
          <t>Insumo</t>
        </is>
      </c>
      <c r="C4557" s="82" t="inlineStr">
        <is>
          <t>Pintura Com Tinta Latex Acrilica em Paredes Externas, 3 Demaos (Incluso fundo e massa) - Branco</t>
        </is>
      </c>
      <c r="D4557" s="82" t="inlineStr">
        <is>
          <t>Massa corrida para superfícies de ambientes internos</t>
        </is>
      </c>
      <c r="E4557" s="11">
        <f t="array" ref="E4557">_xlfn.XLOOKUP(D4557,Insumos!B:B,Insumos!C:$C)</f>
        <v/>
      </c>
      <c r="F4557" s="2164" t="n">
        <v>0.8667</v>
      </c>
      <c r="G4557" s="92">
        <f t="array" ref="G4557">IF(B4557="insumo",_xlfn.XLOOKUP($D4557,Insumos!$B$1:$B$996,Insumos!$D$1:$D$996),"")</f>
        <v/>
      </c>
      <c r="H4557" s="92" t="n">
        <v>4.16016</v>
      </c>
      <c r="I4557" s="2165" t="n">
        <v>0</v>
      </c>
      <c r="J4557" s="2165" t="n">
        <v>0</v>
      </c>
      <c r="K4557" s="2165" t="n"/>
    </row>
    <row r="4558" outlineLevel="3" ht="12.75" customHeight="1">
      <c r="A4558" s="82" t="n">
        <v>31</v>
      </c>
      <c r="B4558" s="82" t="inlineStr">
        <is>
          <t>Insumo</t>
        </is>
      </c>
      <c r="C4558" s="82" t="inlineStr">
        <is>
          <t>Pintura Com Tinta Latex Acrilica em Paredes Externas, 3 Demaos (Incluso fundo e massa) - Branco</t>
        </is>
      </c>
      <c r="D4558" s="82" t="inlineStr">
        <is>
          <t>Selador acrilico opaco premium interno/externo</t>
        </is>
      </c>
      <c r="E4558" s="11">
        <f t="array" ref="E4558">_xlfn.XLOOKUP(D4558,Insumos!B:B,Insumos!C:$C)</f>
        <v/>
      </c>
      <c r="F4558" s="2164" t="n">
        <v>0.1666</v>
      </c>
      <c r="G4558" s="92">
        <f t="array" ref="G4558">IF(B4558="insumo",_xlfn.XLOOKUP($D4558,Insumos!$B$1:$B$996,Insumos!$D$1:$D$996),"")</f>
        <v/>
      </c>
      <c r="H4558" s="92" t="n">
        <v>1.077902</v>
      </c>
      <c r="I4558" s="2165" t="n">
        <v>0</v>
      </c>
      <c r="J4558" s="2165" t="n">
        <v>0</v>
      </c>
      <c r="K4558" s="2165" t="n"/>
    </row>
    <row r="4559" outlineLevel="3" ht="12.75" customHeight="1">
      <c r="A4559" s="82" t="n">
        <v>2</v>
      </c>
      <c r="B4559" s="82" t="inlineStr">
        <is>
          <t>Insumo</t>
        </is>
      </c>
      <c r="C4559" s="82" t="inlineStr">
        <is>
          <t>Pintura Com Tinta Latex Acrilica em Paredes Externas, 3 Demaos (Incluso fundo e massa) - Branco</t>
        </is>
      </c>
      <c r="D4559" s="82" t="inlineStr">
        <is>
          <t>TINTA ACRILICA PREMIUM COR BRANCO NEVE</t>
        </is>
      </c>
      <c r="E4559" s="11">
        <f t="array" ref="E4559">_xlfn.XLOOKUP(D4559,Insumos!B:B,Insumos!C:$C)</f>
        <v/>
      </c>
      <c r="F4559" s="2164" t="n">
        <v>0.495</v>
      </c>
      <c r="G4559" s="92">
        <f t="array" ref="G4559">IF(B4559="insumo",_xlfn.XLOOKUP($D4559,Insumos!$B$1:$B$996,Insumos!$D$1:$D$996),"")</f>
        <v/>
      </c>
      <c r="H4559" s="92" t="n">
        <v>10.91475</v>
      </c>
      <c r="I4559" s="2165" t="n">
        <v>0</v>
      </c>
      <c r="J4559" s="2165" t="n">
        <v>0</v>
      </c>
      <c r="K4559" s="2165" t="n"/>
    </row>
    <row r="4560" outlineLevel="2" ht="12.75" customHeight="1">
      <c r="A4560" s="1071" t="n">
        <v>1</v>
      </c>
      <c r="B4560" s="1071" t="inlineStr">
        <is>
          <t>Serviço</t>
        </is>
      </c>
      <c r="C4560" s="1071" t="inlineStr">
        <is>
          <t>Pintura Com Tinta Latex Acrilica em Paredes Externas, 3 Demaos (Incluso fundo e massa) - Charcoal</t>
        </is>
      </c>
      <c r="D4560" s="1071" t="inlineStr">
        <is>
          <t>Pintura Com Tinta Latex Acrilica em Paredes Externas, 3 Demaos (Incluso fundo e massa) - Charcoal</t>
        </is>
      </c>
      <c r="E4560" s="1072" t="inlineStr">
        <is>
          <t>M2</t>
        </is>
      </c>
      <c r="F4560" s="1071" t="n"/>
      <c r="G4560" s="1073">
        <f t="array" ref="G4560">IF(B4560="insumo",_xlfn.XLOOKUP($D4560,Insumos!$B$1:$B$996,Insumos!$D$1:$D$996),"")</f>
        <v/>
      </c>
      <c r="H4560" s="1073" t="n">
        <v>32.652062</v>
      </c>
      <c r="I4560" s="2163" t="n">
        <v>0</v>
      </c>
      <c r="J4560" s="2163" t="n">
        <v>0</v>
      </c>
      <c r="K4560" s="2163" t="n"/>
    </row>
    <row r="4561" outlineLevel="3" ht="12.75" customHeight="1">
      <c r="A4561" s="82" t="n">
        <v>36</v>
      </c>
      <c r="B4561" s="82" t="inlineStr">
        <is>
          <t>Insumo</t>
        </is>
      </c>
      <c r="C4561" s="82" t="inlineStr">
        <is>
          <t>Pintura Com Tinta Latex Acrilica em Paredes Externas, 3 Demaos (Incluso fundo e massa) - Charcoal</t>
        </is>
      </c>
      <c r="D4561" s="82" t="inlineStr">
        <is>
          <t>LIXA DAGUA 225X275MM GR100</t>
        </is>
      </c>
      <c r="E4561" s="11">
        <f t="array" ref="E4561">_xlfn.XLOOKUP(D4561,Insumos!B:B,Insumos!C:$C)</f>
        <v/>
      </c>
      <c r="F4561" s="2164" t="n">
        <v>0.1</v>
      </c>
      <c r="G4561" s="92">
        <f t="array" ref="G4561">IF(B4561="insumo",_xlfn.XLOOKUP($D4561,Insumos!$B$1:$B$996,Insumos!$D$1:$D$996),"")</f>
        <v/>
      </c>
      <c r="H4561" s="92" t="n">
        <v>0.189</v>
      </c>
      <c r="I4561" s="2165" t="n">
        <v>0</v>
      </c>
      <c r="J4561" s="2165" t="n">
        <v>0</v>
      </c>
      <c r="K4561" s="2165" t="n"/>
    </row>
    <row r="4562" outlineLevel="3" ht="12.75" customHeight="1">
      <c r="A4562" s="82" t="n">
        <v>21</v>
      </c>
      <c r="B4562" s="82" t="inlineStr">
        <is>
          <t>Insumo</t>
        </is>
      </c>
      <c r="C4562" s="82" t="inlineStr">
        <is>
          <t>Pintura Com Tinta Latex Acrilica em Paredes Externas, 3 Demaos (Incluso fundo e massa) - Charcoal</t>
        </is>
      </c>
      <c r="D4562" s="82" t="inlineStr">
        <is>
          <t>Massa corrida para superfícies de ambientes internos</t>
        </is>
      </c>
      <c r="E4562" s="11">
        <f t="array" ref="E4562">_xlfn.XLOOKUP(D4562,Insumos!B:B,Insumos!C:$C)</f>
        <v/>
      </c>
      <c r="F4562" s="2164" t="n">
        <v>0.8667</v>
      </c>
      <c r="G4562" s="92">
        <f t="array" ref="G4562">IF(B4562="insumo",_xlfn.XLOOKUP($D4562,Insumos!$B$1:$B$996,Insumos!$D$1:$D$996),"")</f>
        <v/>
      </c>
      <c r="H4562" s="92" t="n">
        <v>4.16016</v>
      </c>
      <c r="I4562" s="2165" t="n">
        <v>0</v>
      </c>
      <c r="J4562" s="2165" t="n">
        <v>0</v>
      </c>
      <c r="K4562" s="2165" t="n"/>
    </row>
    <row r="4563" outlineLevel="3" ht="12.75" customHeight="1">
      <c r="A4563" s="82" t="n">
        <v>31</v>
      </c>
      <c r="B4563" s="82" t="inlineStr">
        <is>
          <t>Insumo</t>
        </is>
      </c>
      <c r="C4563" s="82" t="inlineStr">
        <is>
          <t>Pintura Com Tinta Latex Acrilica em Paredes Externas, 3 Demaos (Incluso fundo e massa) - Charcoal</t>
        </is>
      </c>
      <c r="D4563" s="82" t="inlineStr">
        <is>
          <t>Selador acrilico opaco premium interno/externo</t>
        </is>
      </c>
      <c r="E4563" s="11">
        <f t="array" ref="E4563">_xlfn.XLOOKUP(D4563,Insumos!B:B,Insumos!C:$C)</f>
        <v/>
      </c>
      <c r="F4563" s="2164" t="n">
        <v>0.1666</v>
      </c>
      <c r="G4563" s="92">
        <f t="array" ref="G4563">IF(B4563="insumo",_xlfn.XLOOKUP($D4563,Insumos!$B$1:$B$996,Insumos!$D$1:$D$996),"")</f>
        <v/>
      </c>
      <c r="H4563" s="92" t="n">
        <v>1.077902</v>
      </c>
      <c r="I4563" s="2165" t="n">
        <v>0</v>
      </c>
      <c r="J4563" s="2165" t="n">
        <v>0</v>
      </c>
      <c r="K4563" s="2165" t="n"/>
    </row>
    <row r="4564" outlineLevel="3" ht="12.75" customHeight="1">
      <c r="A4564" s="82" t="n">
        <v>1</v>
      </c>
      <c r="B4564" s="82" t="inlineStr">
        <is>
          <t>Insumo</t>
        </is>
      </c>
      <c r="C4564" s="82" t="inlineStr">
        <is>
          <t>Pintura Com Tinta Latex Acrilica em Paredes Externas, 3 Demaos (Incluso fundo e massa) - Charcoal</t>
        </is>
      </c>
      <c r="D4564" s="82" t="inlineStr">
        <is>
          <t>TINTA ACRILICA PREMIUM COR CHARCOAL</t>
        </is>
      </c>
      <c r="E4564" s="11">
        <f t="array" ref="E4564">_xlfn.XLOOKUP(D4564,Insumos!B:B,Insumos!C:$C)</f>
        <v/>
      </c>
      <c r="F4564" s="2164" t="n">
        <v>0.495</v>
      </c>
      <c r="G4564" s="92">
        <f t="array" ref="G4564">IF(B4564="insumo",_xlfn.XLOOKUP($D4564,Insumos!$B$1:$B$996,Insumos!$D$1:$D$996),"")</f>
        <v/>
      </c>
      <c r="H4564" s="92" t="n">
        <v>27.225</v>
      </c>
      <c r="I4564" s="2165" t="n">
        <v>0</v>
      </c>
      <c r="J4564" s="2165" t="n">
        <v>0</v>
      </c>
      <c r="K4564" s="2165" t="n"/>
    </row>
    <row r="4565" outlineLevel="2" ht="12.75" customHeight="1">
      <c r="A4565" s="1071" t="n">
        <v>1</v>
      </c>
      <c r="B4565" s="1071" t="inlineStr">
        <is>
          <t>Serviço</t>
        </is>
      </c>
      <c r="C4565" s="1071" t="inlineStr">
        <is>
          <t>Pintura Com Tinta Latex Acrilica em Paredes Externas, 3 Demaos (Incluso fundo e massa) - Empena de concreto</t>
        </is>
      </c>
      <c r="D4565" s="1071" t="inlineStr">
        <is>
          <t>Pintura Com Tinta Latex Acrilica em Paredes Externas, 3 Demaos (Incluso fundo e massa) - Empena de concreto</t>
        </is>
      </c>
      <c r="E4565" s="1072" t="inlineStr">
        <is>
          <t>M2</t>
        </is>
      </c>
      <c r="F4565" s="1071" t="n"/>
      <c r="G4565" s="1073">
        <f t="array" ref="G4565">IF(B4565="insumo",_xlfn.XLOOKUP($D4565,Insumos!$B$1:$B$996,Insumos!$D$1:$D$996),"")</f>
        <v/>
      </c>
      <c r="H4565" s="1073" t="n">
        <v>30.177062</v>
      </c>
      <c r="I4565" s="2163" t="n">
        <v>0</v>
      </c>
      <c r="J4565" s="2163" t="n">
        <v>0</v>
      </c>
      <c r="K4565" s="2163" t="n"/>
    </row>
    <row r="4566" outlineLevel="3" ht="12.75" customHeight="1">
      <c r="A4566" s="82" t="n">
        <v>36</v>
      </c>
      <c r="B4566" s="82" t="inlineStr">
        <is>
          <t>Insumo</t>
        </is>
      </c>
      <c r="C4566" s="82" t="inlineStr">
        <is>
          <t>Pintura Com Tinta Latex Acrilica em Paredes Externas, 3 Demaos (Incluso fundo e massa) - Empena de concreto</t>
        </is>
      </c>
      <c r="D4566" s="82" t="inlineStr">
        <is>
          <t>LIXA DAGUA 225X275MM GR100</t>
        </is>
      </c>
      <c r="E4566" s="11">
        <f t="array" ref="E4566">_xlfn.XLOOKUP(D4566,Insumos!B:B,Insumos!C:$C)</f>
        <v/>
      </c>
      <c r="F4566" s="2164" t="n">
        <v>0.1</v>
      </c>
      <c r="G4566" s="92">
        <f t="array" ref="G4566">IF(B4566="insumo",_xlfn.XLOOKUP($D4566,Insumos!$B$1:$B$996,Insumos!$D$1:$D$996),"")</f>
        <v/>
      </c>
      <c r="H4566" s="92" t="n">
        <v>0.189</v>
      </c>
      <c r="I4566" s="2165" t="n">
        <v>0</v>
      </c>
      <c r="J4566" s="2165" t="n">
        <v>0</v>
      </c>
      <c r="K4566" s="2165" t="n"/>
    </row>
    <row r="4567" outlineLevel="3" ht="12.75" customHeight="1">
      <c r="A4567" s="82" t="n">
        <v>21</v>
      </c>
      <c r="B4567" s="82" t="inlineStr">
        <is>
          <t>Insumo</t>
        </is>
      </c>
      <c r="C4567" s="82" t="inlineStr">
        <is>
          <t>Pintura Com Tinta Latex Acrilica em Paredes Externas, 3 Demaos (Incluso fundo e massa) - Empena de concreto</t>
        </is>
      </c>
      <c r="D4567" s="82" t="inlineStr">
        <is>
          <t>Massa corrida para superfícies de ambientes internos</t>
        </is>
      </c>
      <c r="E4567" s="11">
        <f t="array" ref="E4567">_xlfn.XLOOKUP(D4567,Insumos!B:B,Insumos!C:$C)</f>
        <v/>
      </c>
      <c r="F4567" s="2164" t="n">
        <v>0.8667</v>
      </c>
      <c r="G4567" s="92">
        <f t="array" ref="G4567">IF(B4567="insumo",_xlfn.XLOOKUP($D4567,Insumos!$B$1:$B$996,Insumos!$D$1:$D$996),"")</f>
        <v/>
      </c>
      <c r="H4567" s="92" t="n">
        <v>4.16016</v>
      </c>
      <c r="I4567" s="2165" t="n">
        <v>0</v>
      </c>
      <c r="J4567" s="2165" t="n">
        <v>0</v>
      </c>
      <c r="K4567" s="2165" t="n"/>
    </row>
    <row r="4568" outlineLevel="3" ht="12.75" customHeight="1">
      <c r="A4568" s="82" t="n">
        <v>31</v>
      </c>
      <c r="B4568" s="82" t="inlineStr">
        <is>
          <t>Insumo</t>
        </is>
      </c>
      <c r="C4568" s="82" t="inlineStr">
        <is>
          <t>Pintura Com Tinta Latex Acrilica em Paredes Externas, 3 Demaos (Incluso fundo e massa) - Empena de concreto</t>
        </is>
      </c>
      <c r="D4568" s="82" t="inlineStr">
        <is>
          <t>Selador acrilico opaco premium interno/externo</t>
        </is>
      </c>
      <c r="E4568" s="11">
        <f t="array" ref="E4568">_xlfn.XLOOKUP(D4568,Insumos!B:B,Insumos!C:$C)</f>
        <v/>
      </c>
      <c r="F4568" s="2164" t="n">
        <v>0.1666</v>
      </c>
      <c r="G4568" s="92">
        <f t="array" ref="G4568">IF(B4568="insumo",_xlfn.XLOOKUP($D4568,Insumos!$B$1:$B$996,Insumos!$D$1:$D$996),"")</f>
        <v/>
      </c>
      <c r="H4568" s="92" t="n">
        <v>1.077902</v>
      </c>
      <c r="I4568" s="2165" t="n">
        <v>0</v>
      </c>
      <c r="J4568" s="2165" t="n">
        <v>0</v>
      </c>
      <c r="K4568" s="2165" t="n"/>
    </row>
    <row r="4569" outlineLevel="3" ht="12.75" customHeight="1">
      <c r="A4569" s="82" t="n">
        <v>1</v>
      </c>
      <c r="B4569" s="82" t="inlineStr">
        <is>
          <t>Insumo</t>
        </is>
      </c>
      <c r="C4569" s="82" t="inlineStr">
        <is>
          <t>Pintura Com Tinta Latex Acrilica em Paredes Externas, 3 Demaos (Incluso fundo e massa) - Empena de concreto</t>
        </is>
      </c>
      <c r="D4569" s="82" t="inlineStr">
        <is>
          <t>TINTA ACRILICA PREMIUM COR DESEMPENA DE CONCRETO</t>
        </is>
      </c>
      <c r="E4569" s="11">
        <f t="array" ref="E4569">_xlfn.XLOOKUP(D4569,Insumos!B:B,Insumos!C:$C)</f>
        <v/>
      </c>
      <c r="F4569" s="2164" t="n">
        <v>0.495</v>
      </c>
      <c r="G4569" s="92">
        <f t="array" ref="G4569">IF(B4569="insumo",_xlfn.XLOOKUP($D4569,Insumos!$B$1:$B$996,Insumos!$D$1:$D$996),"")</f>
        <v/>
      </c>
      <c r="H4569" s="92" t="n">
        <v>24.75</v>
      </c>
      <c r="I4569" s="2165" t="n">
        <v>0</v>
      </c>
      <c r="J4569" s="2165" t="n">
        <v>0</v>
      </c>
      <c r="K4569" s="2165" t="n"/>
    </row>
    <row r="4570" outlineLevel="2" ht="12.75" customHeight="1">
      <c r="A4570" s="1071" t="n">
        <v>1</v>
      </c>
      <c r="B4570" s="1071" t="inlineStr">
        <is>
          <t>Serviço</t>
        </is>
      </c>
      <c r="C4570" s="1071" t="inlineStr">
        <is>
          <t>Textura acrílica, acabamento suave, aplicação em paredes externas - 1 demão - Cinza escuro</t>
        </is>
      </c>
      <c r="D4570" s="1071" t="inlineStr">
        <is>
          <t>Textura acrílica, acabamento suave, aplicação em paredes externas - 1 demão - Cinza escuro</t>
        </is>
      </c>
      <c r="E4570" s="1072" t="inlineStr">
        <is>
          <t>M2</t>
        </is>
      </c>
      <c r="F4570" s="1071" t="n"/>
      <c r="G4570" s="1073">
        <f t="array" ref="G4570">IF(B4570="insumo",_xlfn.XLOOKUP($D4570,Insumos!$B$1:$B$996,Insumos!$D$1:$D$996),"")</f>
        <v/>
      </c>
      <c r="H4570" s="1073" t="n">
        <v>211.758555555556</v>
      </c>
      <c r="I4570" s="2163" t="n">
        <v>0</v>
      </c>
      <c r="J4570" s="2163" t="n">
        <v>0</v>
      </c>
      <c r="K4570" s="2163" t="n"/>
    </row>
    <row r="4571" outlineLevel="3" ht="12.75" customHeight="1">
      <c r="A4571" s="82" t="n">
        <v>2</v>
      </c>
      <c r="B4571" s="82" t="inlineStr">
        <is>
          <t>Insumo</t>
        </is>
      </c>
      <c r="C4571" s="82" t="inlineStr">
        <is>
          <t>Textura acrílica, acabamento suave, aplicação em paredes externas - 1 demão - Cinza escuro</t>
        </is>
      </c>
      <c r="D4571" s="82" t="inlineStr">
        <is>
          <t>Textura acrilica Cinza escura - Sto Brasil</t>
        </is>
      </c>
      <c r="E4571" s="11">
        <f t="array" ref="E4571">_xlfn.XLOOKUP(D4571,Insumos!B:B,Insumos!C:$C)</f>
        <v/>
      </c>
      <c r="F4571" s="2164" t="n">
        <v>1.5</v>
      </c>
      <c r="G4571" s="92">
        <f t="array" ref="G4571">IF(B4571="insumo",_xlfn.XLOOKUP($D4571,Insumos!$B$1:$B$996,Insumos!$D$1:$D$996),"")</f>
        <v/>
      </c>
      <c r="H4571" s="92" t="n">
        <v>210</v>
      </c>
      <c r="I4571" s="2165" t="n">
        <v>0</v>
      </c>
      <c r="J4571" s="2165" t="n">
        <v>0</v>
      </c>
      <c r="K4571" s="2165" t="n"/>
    </row>
    <row r="4572" outlineLevel="3" ht="12.75" customHeight="1">
      <c r="A4572" s="82" t="n">
        <v>19</v>
      </c>
      <c r="B4572" s="82" t="inlineStr">
        <is>
          <t>Insumo</t>
        </is>
      </c>
      <c r="C4572" s="82" t="inlineStr">
        <is>
          <t>Textura acrílica, acabamento suave, aplicação em paredes externas - 1 demão - Cinza escuro</t>
        </is>
      </c>
      <c r="D4572" s="82" t="inlineStr">
        <is>
          <t>Selador Primer Ibratin - 4,2kg - 3,6L</t>
        </is>
      </c>
      <c r="E4572" s="11">
        <f t="array" ref="E4572">_xlfn.XLOOKUP(D4572,Insumos!B:B,Insumos!C:$C)</f>
        <v/>
      </c>
      <c r="F4572" s="2164" t="n">
        <v>0.1666</v>
      </c>
      <c r="G4572" s="92">
        <f t="array" ref="G4572">IF(B4572="insumo",_xlfn.XLOOKUP($D4572,Insumos!$B$1:$B$996,Insumos!$D$1:$D$996),"")</f>
        <v/>
      </c>
      <c r="H4572" s="92" t="n">
        <v>1.75855555555556</v>
      </c>
      <c r="I4572" s="2165" t="n">
        <v>0</v>
      </c>
      <c r="J4572" s="2165" t="n">
        <v>0</v>
      </c>
      <c r="K4572" s="2165" t="n"/>
    </row>
    <row r="4573" outlineLevel="1" ht="15.75" customHeight="1">
      <c r="A4573" s="1090" t="n">
        <v>1</v>
      </c>
      <c r="B4573" s="1090" t="inlineStr">
        <is>
          <t>Subetapa</t>
        </is>
      </c>
      <c r="C4573" s="1090" t="inlineStr">
        <is>
          <t>Textura acrílica, acabamento suave, aplicação em paredes externas - 1 demão - Cinza escuro</t>
        </is>
      </c>
      <c r="D4573" s="1090" t="inlineStr">
        <is>
          <t>ACABAMENTOS ESPECIAIS</t>
        </is>
      </c>
      <c r="E4573" s="1091" t="n"/>
      <c r="F4573" s="2160" t="n"/>
      <c r="G4573" s="1091" t="n"/>
      <c r="H4573" s="1091" t="n">
        <v>0</v>
      </c>
      <c r="I4573" s="2160" t="n">
        <v>0</v>
      </c>
      <c r="J4573" s="2160" t="n">
        <v>0</v>
      </c>
      <c r="K4573" s="2160" t="n"/>
    </row>
    <row r="4574" outlineLevel="2" ht="15.75" customHeight="1">
      <c r="A4574" s="1067" t="n">
        <v>1</v>
      </c>
      <c r="B4574" s="1067" t="inlineStr">
        <is>
          <t>Serviço</t>
        </is>
      </c>
      <c r="C4574" s="1067" t="inlineStr">
        <is>
          <t>Acabamento em ACM para Fachadas - Material e mão de obra</t>
        </is>
      </c>
      <c r="D4574" s="1067" t="inlineStr">
        <is>
          <t>Acabamento em ACM para Fachadas - Material e mão de obra</t>
        </is>
      </c>
      <c r="E4574" s="1068" t="inlineStr">
        <is>
          <t>M2</t>
        </is>
      </c>
      <c r="F4574" s="1067" t="n"/>
      <c r="G4574" s="1069">
        <f t="array" ref="G4574">IF(B4574="insumo",_xlfn.XLOOKUP($D4574,Insumos!$B$1:$B$996,Insumos!$D$1:$D$996),"")</f>
        <v/>
      </c>
      <c r="H4574" s="1069" t="n">
        <v>1200</v>
      </c>
      <c r="I4574" s="2161" t="n">
        <v>0</v>
      </c>
      <c r="J4574" s="2161" t="n">
        <v>0</v>
      </c>
      <c r="K4574" s="2161" t="n"/>
    </row>
    <row r="4575" outlineLevel="3" ht="15.75" customHeight="1">
      <c r="A4575" s="10" t="n">
        <v>4</v>
      </c>
      <c r="B4575" s="10" t="inlineStr">
        <is>
          <t>Insumo</t>
        </is>
      </c>
      <c r="C4575" s="10" t="inlineStr">
        <is>
          <t>Acabamento em ACM para Fachadas - Material e mão de obra</t>
        </is>
      </c>
      <c r="D4575" s="10" t="inlineStr">
        <is>
          <t>Acabamento em ACM para Fachadas - Material e mão de obra</t>
        </is>
      </c>
      <c r="E4575" s="11">
        <f t="array" ref="E4575">_xlfn.XLOOKUP(D4575,Insumos!B:B,Insumos!C:$C)</f>
        <v/>
      </c>
      <c r="F4575" s="14" t="n">
        <v>1</v>
      </c>
      <c r="G4575" s="92">
        <f t="array" ref="G4575">IF(B4575="insumo",_xlfn.XLOOKUP($D4575,Insumos!$B$1:$B$996,Insumos!$D$1:$D$996),"")</f>
        <v/>
      </c>
      <c r="H4575" s="92" t="n">
        <v>1200</v>
      </c>
      <c r="I4575" s="2162" t="n">
        <v>0</v>
      </c>
      <c r="J4575" s="2162" t="n">
        <v>0</v>
      </c>
      <c r="K4575" s="2162" t="n"/>
    </row>
    <row r="4576" outlineLevel="2" ht="15.75" customHeight="1">
      <c r="A4576" s="1067" t="n">
        <v>1</v>
      </c>
      <c r="B4576" s="1067" t="inlineStr">
        <is>
          <t>Serviço</t>
        </is>
      </c>
      <c r="C4576" s="1067" t="inlineStr">
        <is>
          <t>Revestimento em ACM, cor bronze, aplicação em Fachada - Material e  Mão de Obra</t>
        </is>
      </c>
      <c r="D4576" s="1067" t="inlineStr">
        <is>
          <t>Revestimento em ACM, cor bronze, aplicação em Fachada - Material e  Mão de Obra</t>
        </is>
      </c>
      <c r="E4576" s="1068" t="inlineStr">
        <is>
          <t>M2</t>
        </is>
      </c>
      <c r="F4576" s="1067" t="n"/>
      <c r="G4576" s="1069">
        <f t="array" ref="G4576">IF(B4576="insumo",_xlfn.XLOOKUP($D4576,Insumos!$B$1:$B$996,Insumos!$D$1:$D$996),"")</f>
        <v/>
      </c>
      <c r="H4576" s="1069" t="n">
        <v>1200</v>
      </c>
      <c r="I4576" s="2161" t="n">
        <v>0</v>
      </c>
      <c r="J4576" s="2161" t="n">
        <v>0</v>
      </c>
      <c r="K4576" s="2161" t="n"/>
    </row>
    <row r="4577" outlineLevel="3" ht="15.75" customHeight="1">
      <c r="A4577" s="10" t="n">
        <v>4</v>
      </c>
      <c r="B4577" s="10" t="inlineStr">
        <is>
          <t>Insumo</t>
        </is>
      </c>
      <c r="C4577" s="10" t="inlineStr">
        <is>
          <t>Revestimento em ACM, cor bronze, aplicação em Fachada - Material e  Mão de Obra</t>
        </is>
      </c>
      <c r="D4577" s="10" t="inlineStr">
        <is>
          <t>Acabamento em ACM para Fachadas - Material e mão de obra</t>
        </is>
      </c>
      <c r="E4577" s="11">
        <f t="array" ref="E4577">_xlfn.XLOOKUP(D4577,Insumos!B:B,Insumos!C:$C)</f>
        <v/>
      </c>
      <c r="F4577" s="14" t="n">
        <v>1</v>
      </c>
      <c r="G4577" s="92">
        <f t="array" ref="G4577">IF(B4577="insumo",_xlfn.XLOOKUP($D4577,Insumos!$B$1:$B$996,Insumos!$D$1:$D$996),"")</f>
        <v/>
      </c>
      <c r="H4577" s="92" t="n">
        <v>1200</v>
      </c>
      <c r="I4577" s="2162" t="n">
        <v>0</v>
      </c>
      <c r="J4577" s="2162" t="n">
        <v>0</v>
      </c>
      <c r="K4577" s="2162" t="n"/>
    </row>
    <row r="4578" outlineLevel="2" ht="15.75" customHeight="1">
      <c r="A4578" s="1067" t="n">
        <v>1</v>
      </c>
      <c r="B4578" s="1067" t="inlineStr">
        <is>
          <t>Serviço</t>
        </is>
      </c>
      <c r="C4578" s="1067" t="inlineStr">
        <is>
          <t>Revestimento em ACM, aplicação em Fachada - Material e  Mão de Obra</t>
        </is>
      </c>
      <c r="D4578" s="1067" t="inlineStr">
        <is>
          <t>Revestimento em ACM, aplicação em Fachada - Material e  Mão de Obra</t>
        </is>
      </c>
      <c r="E4578" s="1068" t="inlineStr">
        <is>
          <t>M2</t>
        </is>
      </c>
      <c r="F4578" s="1067" t="n"/>
      <c r="G4578" s="1069">
        <f t="array" ref="G4578">IF(B4578="insumo",_xlfn.XLOOKUP($D4578,Insumos!$B$1:$B$996,Insumos!$D$1:$D$996),"")</f>
        <v/>
      </c>
      <c r="H4578" s="1069" t="n">
        <v>1200</v>
      </c>
      <c r="I4578" s="2161" t="n">
        <v>0</v>
      </c>
      <c r="J4578" s="2161" t="n">
        <v>0</v>
      </c>
      <c r="K4578" s="2161" t="n"/>
    </row>
    <row r="4579" outlineLevel="3" ht="15.75" customHeight="1">
      <c r="A4579" s="10" t="n">
        <v>4</v>
      </c>
      <c r="B4579" s="10" t="inlineStr">
        <is>
          <t>Insumo</t>
        </is>
      </c>
      <c r="C4579" s="10" t="inlineStr">
        <is>
          <t>Revestimento em ACM, aplicação em Fachada - Material e  Mão de Obra</t>
        </is>
      </c>
      <c r="D4579" s="10" t="inlineStr">
        <is>
          <t>Acabamento em ACM para Fachadas - Material e mão de obra</t>
        </is>
      </c>
      <c r="E4579" s="11">
        <f t="array" ref="E4579">_xlfn.XLOOKUP(D4579,Insumos!B:B,Insumos!C:$C)</f>
        <v/>
      </c>
      <c r="F4579" s="14" t="n">
        <v>1</v>
      </c>
      <c r="G4579" s="92">
        <f t="array" ref="G4579">IF(B4579="insumo",_xlfn.XLOOKUP($D4579,Insumos!$B$1:$B$996,Insumos!$D$1:$D$996),"")</f>
        <v/>
      </c>
      <c r="H4579" s="92" t="n">
        <v>1200</v>
      </c>
      <c r="I4579" s="2162" t="n">
        <v>0</v>
      </c>
      <c r="J4579" s="2162" t="n">
        <v>0</v>
      </c>
      <c r="K4579" s="2162" t="n"/>
    </row>
    <row r="4580" outlineLevel="2" ht="15.75" customHeight="1">
      <c r="A4580" s="1067" t="n">
        <v>1</v>
      </c>
      <c r="B4580" s="1067" t="inlineStr">
        <is>
          <t>Serviço</t>
        </is>
      </c>
      <c r="C4580" s="1067" t="inlineStr">
        <is>
          <t>Revestimento em Vinilico, aplicação em Fachada - Material e  Mão de Obra</t>
        </is>
      </c>
      <c r="D4580" s="1067" t="inlineStr">
        <is>
          <t>Revestimento em Vinilico, aplicação em Fachada - Material e  Mão de Obra</t>
        </is>
      </c>
      <c r="E4580" s="1068" t="inlineStr">
        <is>
          <t>M2</t>
        </is>
      </c>
      <c r="F4580" s="1067" t="n"/>
      <c r="G4580" s="1069">
        <f t="array" ref="G4580">IF(B4580="insumo",_xlfn.XLOOKUP($D4580,Insumos!$B$1:$B$996,Insumos!$D$1:$D$996),"")</f>
        <v/>
      </c>
      <c r="H4580" s="1069" t="n">
        <v>165</v>
      </c>
      <c r="I4580" s="2161" t="n">
        <v>0</v>
      </c>
      <c r="J4580" s="2161" t="n">
        <v>0</v>
      </c>
      <c r="K4580" s="2161" t="n"/>
    </row>
    <row r="4581" outlineLevel="3" ht="15.75" customHeight="1">
      <c r="A4581" s="10" t="n">
        <v>3</v>
      </c>
      <c r="B4581" s="10" t="inlineStr">
        <is>
          <t>Insumo</t>
        </is>
      </c>
      <c r="C4581" s="10" t="inlineStr">
        <is>
          <t>Revestimento em Vinilico, aplicação em Fachada - Material e  Mão de Obra</t>
        </is>
      </c>
      <c r="D4581" s="10" t="inlineStr">
        <is>
          <t>PISO VINILICO RUFFINO SOFISTICATO 2MM - MATERIAL E MÃO DE OBRA</t>
        </is>
      </c>
      <c r="E4581" s="11">
        <f t="array" ref="E4581">_xlfn.XLOOKUP(D4581,Insumos!B:B,Insumos!C:$C)</f>
        <v/>
      </c>
      <c r="F4581" s="14" t="n">
        <v>1.1</v>
      </c>
      <c r="G4581" s="92">
        <f t="array" ref="G4581">IF(B4581="insumo",_xlfn.XLOOKUP($D4581,Insumos!$B$1:$B$996,Insumos!$D$1:$D$996),"")</f>
        <v/>
      </c>
      <c r="H4581" s="92" t="n">
        <v>165</v>
      </c>
      <c r="I4581" s="2162" t="n">
        <v>0</v>
      </c>
      <c r="J4581" s="2162" t="n">
        <v>0</v>
      </c>
      <c r="K4581" s="2162" t="n"/>
    </row>
    <row r="4582" outlineLevel="2" ht="15.75" customHeight="1">
      <c r="A4582" s="1067" t="n">
        <v>1</v>
      </c>
      <c r="B4582" s="1067" t="inlineStr">
        <is>
          <t>Serviço</t>
        </is>
      </c>
      <c r="C4582" s="1067" t="inlineStr">
        <is>
          <t>Painel metálico, aplicação em Fachada - Material e  Mão de Obra</t>
        </is>
      </c>
      <c r="D4582" s="1067" t="inlineStr">
        <is>
          <t>Painel metálico, aplicação em Fachada - Material e  Mão de Obra</t>
        </is>
      </c>
      <c r="E4582" s="1068" t="inlineStr">
        <is>
          <t>M2</t>
        </is>
      </c>
      <c r="F4582" s="1067" t="n"/>
      <c r="G4582" s="1069">
        <f t="array" ref="G4582">IF(B4582="insumo",_xlfn.XLOOKUP($D4582,Insumos!$B$1:$B$996,Insumos!$D$1:$D$996),"")</f>
        <v/>
      </c>
      <c r="H4582" s="1069" t="n">
        <v>1200</v>
      </c>
      <c r="I4582" s="2161" t="n">
        <v>0</v>
      </c>
      <c r="J4582" s="2161" t="n">
        <v>0</v>
      </c>
      <c r="K4582" s="2161" t="n"/>
    </row>
    <row r="4583" outlineLevel="3" ht="15.75" customHeight="1">
      <c r="A4583" s="10" t="n">
        <v>1</v>
      </c>
      <c r="B4583" s="10" t="inlineStr">
        <is>
          <t>Insumo</t>
        </is>
      </c>
      <c r="C4583" s="10" t="inlineStr">
        <is>
          <t>Painel metálico, aplicação em Fachada - Material e  Mão de Obra</t>
        </is>
      </c>
      <c r="D4583" s="10" t="inlineStr">
        <is>
          <t>Painel metálico, aplicação em Fachada - Material e  Mão de Obra</t>
        </is>
      </c>
      <c r="E4583" s="11">
        <f t="array" ref="E4583">_xlfn.XLOOKUP(D4583,Insumos!B:B,Insumos!C:$C)</f>
        <v/>
      </c>
      <c r="F4583" s="14" t="n">
        <v>1</v>
      </c>
      <c r="G4583" s="92">
        <f t="array" ref="G4583">IF(B4583="insumo",_xlfn.XLOOKUP($D4583,Insumos!$B$1:$B$996,Insumos!$D$1:$D$996),"")</f>
        <v/>
      </c>
      <c r="H4583" s="92" t="n">
        <v>1200</v>
      </c>
      <c r="I4583" s="2162" t="n">
        <v>0</v>
      </c>
      <c r="J4583" s="2162" t="n">
        <v>0</v>
      </c>
      <c r="K4583" s="2162" t="n"/>
    </row>
    <row r="4584" outlineLevel="2" ht="15.75" customHeight="1">
      <c r="A4584" s="1067" t="n">
        <v>1</v>
      </c>
      <c r="B4584" s="1067" t="inlineStr">
        <is>
          <t>Serviço</t>
        </is>
      </c>
      <c r="C4584" s="1067" t="inlineStr">
        <is>
          <t>Painel metálico perfurado, aplicação em Fachada</t>
        </is>
      </c>
      <c r="D4584" s="1067" t="inlineStr">
        <is>
          <t>Painel metálico perfurado, aplicação em Fachada</t>
        </is>
      </c>
      <c r="E4584" s="1068" t="inlineStr">
        <is>
          <t>M2</t>
        </is>
      </c>
      <c r="F4584" s="1067" t="n"/>
      <c r="G4584" s="1069">
        <f t="array" ref="G4584">IF(B4584="insumo",_xlfn.XLOOKUP($D4584,Insumos!$B$1:$B$996,Insumos!$D$1:$D$996),"")</f>
        <v/>
      </c>
      <c r="H4584" s="1069" t="n">
        <v>1200</v>
      </c>
      <c r="I4584" s="2161" t="n">
        <v>0</v>
      </c>
      <c r="J4584" s="2161" t="n">
        <v>0</v>
      </c>
      <c r="K4584" s="2161" t="n"/>
    </row>
    <row r="4585" outlineLevel="3" ht="15.75" customHeight="1">
      <c r="A4585" s="10" t="n">
        <v>1</v>
      </c>
      <c r="B4585" s="10" t="inlineStr">
        <is>
          <t>Insumo</t>
        </is>
      </c>
      <c r="C4585" s="10" t="inlineStr">
        <is>
          <t>Painel metálico perfurado, aplicação em Fachada</t>
        </is>
      </c>
      <c r="D4585" s="10" t="inlineStr">
        <is>
          <t>Painel metálico perfurado, aplicação em Fachada</t>
        </is>
      </c>
      <c r="E4585" s="11">
        <f t="array" ref="E4585">_xlfn.XLOOKUP(D4585,Insumos!B:B,Insumos!C:$C)</f>
        <v/>
      </c>
      <c r="F4585" s="14" t="n">
        <v>1</v>
      </c>
      <c r="G4585" s="92">
        <f t="array" ref="G4585">IF(B4585="insumo",_xlfn.XLOOKUP($D4585,Insumos!$B$1:$B$996,Insumos!$D$1:$D$996),"")</f>
        <v/>
      </c>
      <c r="H4585" s="92" t="n">
        <v>1200</v>
      </c>
      <c r="I4585" s="2162" t="n">
        <v>0</v>
      </c>
      <c r="J4585" s="2162" t="n">
        <v>0</v>
      </c>
      <c r="K4585" s="2162" t="n"/>
    </row>
    <row r="4586" outlineLevel="2" ht="15.75" customHeight="1">
      <c r="A4586" s="1067" t="n">
        <v>1</v>
      </c>
      <c r="B4586" s="1067" t="inlineStr">
        <is>
          <t>Serviço</t>
        </is>
      </c>
      <c r="C4586" s="1067" t="inlineStr">
        <is>
          <t>Revestimento externo em Ladrilho Hidráulico 10x10cm - Cor: laranja e off-white - Marca: Ladrilar, com junta de 2 cm e rejunte acrilico cinza platina</t>
        </is>
      </c>
      <c r="D4586" s="1067" t="inlineStr">
        <is>
          <t>Revestimento externo em Ladrilho Hidráulico 10x10cm - Cor: laranja e off-white - Marca: Ladrilar, com junta de 2 cm e rejunte acrilico cinza platina</t>
        </is>
      </c>
      <c r="E4586" s="1068" t="inlineStr">
        <is>
          <t>M2</t>
        </is>
      </c>
      <c r="F4586" s="1067" t="n"/>
      <c r="G4586" s="1069">
        <f t="array" ref="G4586">IF(B4586="insumo",_xlfn.XLOOKUP($D4586,Insumos!$B$1:$B$996,Insumos!$D$1:$D$996),"")</f>
        <v/>
      </c>
      <c r="H4586" s="1069" t="n">
        <v>450.239275</v>
      </c>
      <c r="I4586" s="2161" t="e">
        <v>#REF!</v>
      </c>
      <c r="J4586" s="2161" t="e">
        <v>#REF!</v>
      </c>
      <c r="K4586" s="2161" t="n"/>
    </row>
    <row r="4587" outlineLevel="3" ht="15.75" customHeight="1">
      <c r="A4587" s="10" t="n">
        <v>1</v>
      </c>
      <c r="B4587" s="10" t="inlineStr">
        <is>
          <t>Insumo</t>
        </is>
      </c>
      <c r="C4587" s="10" t="inlineStr">
        <is>
          <t>Revestimento externo em Ladrilho Hidráulico 10x10cm - Cor: laranja e off-white - Marca: Ladrilar, com junta de 2 cm e rejunte acrilico cinza platina</t>
        </is>
      </c>
      <c r="D4587" s="10" t="inlineStr">
        <is>
          <t>Ladrilho Hidráulico 10x10cm - Cor: laranja - Marca: Ladrilar</t>
        </is>
      </c>
      <c r="E4587" s="11">
        <f t="array" ref="E4587">_xlfn.XLOOKUP(D4587,Insumos!B:B,Insumos!C:$C)</f>
        <v/>
      </c>
      <c r="F4587" s="14">
        <f>1.1/2</f>
        <v/>
      </c>
      <c r="G4587" s="92">
        <f t="array" ref="G4587">IF(B4587="insumo",_xlfn.XLOOKUP($D4587,Insumos!$B$1:$B$996,Insumos!$D$1:$D$996),"")</f>
        <v/>
      </c>
      <c r="H4587" s="92" t="n">
        <v>221.375</v>
      </c>
      <c r="I4587" s="2162" t="e">
        <v>#REF!</v>
      </c>
      <c r="J4587" s="2162" t="e">
        <v>#REF!</v>
      </c>
      <c r="K4587" s="2162" t="n"/>
    </row>
    <row r="4588" outlineLevel="3" ht="15.75" customHeight="1">
      <c r="A4588" s="10" t="n">
        <v>1</v>
      </c>
      <c r="B4588" s="10" t="inlineStr">
        <is>
          <t>Insumo</t>
        </is>
      </c>
      <c r="C4588" s="10" t="inlineStr">
        <is>
          <t>Revestimento externo em Ladrilho Hidráulico 10x10cm - Cor: laranja e off-white - Marca: Ladrilar, com junta de 2 cm e rejunte acrilico cinza platina</t>
        </is>
      </c>
      <c r="D4588" s="10" t="inlineStr">
        <is>
          <t>Ladrilho Hidráulico 10x10cm - Cor: off-white - Marca: Ladrilar</t>
        </is>
      </c>
      <c r="E4588" s="11">
        <f t="array" ref="E4588">_xlfn.XLOOKUP(D4588,Insumos!B:B,Insumos!C:$C)</f>
        <v/>
      </c>
      <c r="F4588" s="14">
        <f>1.1/2</f>
        <v/>
      </c>
      <c r="G4588" s="92">
        <f t="array" ref="G4588">IF(B4588="insumo",_xlfn.XLOOKUP($D4588,Insumos!$B$1:$B$996,Insumos!$D$1:$D$996),"")</f>
        <v/>
      </c>
      <c r="H4588" s="92" t="n">
        <v>221.375</v>
      </c>
      <c r="I4588" s="2162" t="e">
        <v>#REF!</v>
      </c>
      <c r="J4588" s="2162" t="e">
        <v>#REF!</v>
      </c>
      <c r="K4588" s="2162" t="n"/>
    </row>
    <row r="4589" outlineLevel="3" ht="15.75" customHeight="1">
      <c r="A4589" s="10" t="n">
        <v>191</v>
      </c>
      <c r="B4589" s="10" t="inlineStr">
        <is>
          <t>Insumo</t>
        </is>
      </c>
      <c r="C4589" s="10" t="inlineStr">
        <is>
          <t>Revestimento externo em Ladrilho Hidráulico 10x10cm - Cor: laranja e off-white - Marca: Ladrilar, com junta de 2 cm e rejunte acrilico cinza platina</t>
        </is>
      </c>
      <c r="D4589" s="10" t="inlineStr">
        <is>
          <t>Argamassa ACIII</t>
        </is>
      </c>
      <c r="E4589" s="11">
        <f t="array" ref="E4589">_xlfn.XLOOKUP(D4589,Insumos!B:B,Insumos!C:$C)</f>
        <v/>
      </c>
      <c r="F4589" s="14" t="n">
        <v>4.95</v>
      </c>
      <c r="G4589" s="92">
        <f t="array" ref="G4589">IF(B4589="insumo",_xlfn.XLOOKUP($D4589,Insumos!$B$1:$B$996,Insumos!$D$1:$D$996),"")</f>
        <v/>
      </c>
      <c r="H4589" s="92" t="n">
        <v>5.269275</v>
      </c>
      <c r="I4589" s="2162" t="e">
        <v>#REF!</v>
      </c>
      <c r="J4589" s="2162" t="e">
        <v>#REF!</v>
      </c>
      <c r="K4589" s="2162" t="n"/>
    </row>
    <row r="4590" outlineLevel="3" ht="15.75" customHeight="1">
      <c r="A4590" s="10" t="n">
        <v>142</v>
      </c>
      <c r="B4590" s="10" t="inlineStr">
        <is>
          <t>Insumo</t>
        </is>
      </c>
      <c r="C4590" s="10" t="inlineStr">
        <is>
          <t>Revestimento externo em Ladrilho Hidráulico 10x10cm - Cor: laranja e off-white - Marca: Ladrilar, com junta de 2 cm e rejunte acrilico cinza platina</t>
        </is>
      </c>
      <c r="D4590" s="10" t="inlineStr">
        <is>
          <t>Espeçador junta piso 2mm</t>
        </is>
      </c>
      <c r="E4590" s="11">
        <f t="array" ref="E4590">_xlfn.XLOOKUP(D4590,Insumos!B:B,Insumos!C:$C)</f>
        <v/>
      </c>
      <c r="F4590" s="14" t="n">
        <v>4</v>
      </c>
      <c r="G4590" s="92">
        <f t="array" ref="G4590">IF(B4590="insumo",_xlfn.XLOOKUP($D4590,Insumos!$B$1:$B$996,Insumos!$D$1:$D$996),"")</f>
        <v/>
      </c>
      <c r="H4590" s="92" t="n">
        <v>0.32</v>
      </c>
      <c r="I4590" s="2162" t="e">
        <v>#REF!</v>
      </c>
      <c r="J4590" s="2162" t="e">
        <v>#REF!</v>
      </c>
      <c r="K4590" s="2162" t="n"/>
    </row>
    <row r="4591" outlineLevel="3" ht="15.75" customHeight="1">
      <c r="A4591" s="10" t="n">
        <v>36</v>
      </c>
      <c r="B4591" s="10" t="inlineStr">
        <is>
          <t>Insumo</t>
        </is>
      </c>
      <c r="C4591" s="82" t="inlineStr">
        <is>
          <t>Revestimento externo em Ladrilho Hidráulico 10x10cm - Cor: laranja e off-white - Marca: Ladrilar, com junta de 2 cm e rejunte acrilico cinza platina</t>
        </is>
      </c>
      <c r="D4591" s="82" t="inlineStr">
        <is>
          <t>Rejunte Acrilico cinza platina</t>
        </is>
      </c>
      <c r="E4591" s="11">
        <f t="array" ref="E4591">_xlfn.XLOOKUP(D4591,Insumos!B:B,Insumos!C:$C)</f>
        <v/>
      </c>
      <c r="F4591" s="14" t="n">
        <v>0.05</v>
      </c>
      <c r="G4591" s="92">
        <f t="array" ref="G4591">IF(B4591="insumo",_xlfn.XLOOKUP($D4591,Insumos!$B$1:$B$996,Insumos!$D$1:$D$996),"")</f>
        <v/>
      </c>
      <c r="H4591" s="92" t="n">
        <v>1.9</v>
      </c>
      <c r="I4591" s="2162" t="e">
        <v>#REF!</v>
      </c>
      <c r="J4591" s="2162" t="e">
        <v>#REF!</v>
      </c>
      <c r="K4591" s="2162" t="n"/>
    </row>
    <row r="4592" outlineLevel="2" ht="15.75" customHeight="1">
      <c r="A4592" s="1067" t="n">
        <v>1</v>
      </c>
      <c r="B4592" s="1067" t="inlineStr">
        <is>
          <t>Serviço</t>
        </is>
      </c>
      <c r="C4592" s="1067" t="inlineStr">
        <is>
          <t>Revestimento externo em Ladrilho Hidráulico 10x10cm - Cor: laranja e off-white - Marca: Dalle Piagge, com junta de 2 cm e rejunte acrilico cinza platina</t>
        </is>
      </c>
      <c r="D4592" s="1067" t="inlineStr">
        <is>
          <t>Revestimento externo em Ladrilho Hidráulico 10x10cm - Cor: laranja e off-white - Marca: Dalle Piagge, com junta de 2 cm e rejunte acrilico cinza platina</t>
        </is>
      </c>
      <c r="E4592" s="1068" t="inlineStr">
        <is>
          <t>M2</t>
        </is>
      </c>
      <c r="F4592" s="1067" t="n"/>
      <c r="G4592" s="1069">
        <f t="array" ref="G4592">IF(B4592="insumo",_xlfn.XLOOKUP($D4592,Insumos!$B$1:$B$996,Insumos!$D$1:$D$996),"")</f>
        <v/>
      </c>
      <c r="H4592" s="1069" t="n">
        <v>654.289275</v>
      </c>
      <c r="I4592" s="2161" t="n">
        <v>0</v>
      </c>
      <c r="J4592" s="2161" t="n">
        <v>0</v>
      </c>
      <c r="K4592" s="2161" t="n"/>
    </row>
    <row r="4593" outlineLevel="3" ht="15.75" customHeight="1">
      <c r="A4593" s="10" t="n">
        <v>1</v>
      </c>
      <c r="B4593" s="10" t="inlineStr">
        <is>
          <t>Insumo</t>
        </is>
      </c>
      <c r="C4593" s="10" t="inlineStr">
        <is>
          <t>Revestimento externo em Ladrilho Hidráulico 10x10cm - Cor: laranja e off-white - Marca: Dalle Piagge, com junta de 2 cm e rejunte acrilico cinza platina</t>
        </is>
      </c>
      <c r="D4593" s="10" t="inlineStr">
        <is>
          <t>Ladrilho Hidráulico 10x10cm - Cor: laranja - Marca: Dalle Piagge</t>
        </is>
      </c>
      <c r="E4593" s="11">
        <f t="array" ref="E4593">_xlfn.XLOOKUP(D4593,Insumos!B:B,Insumos!C:$C)</f>
        <v/>
      </c>
      <c r="F4593" s="14">
        <f>1.1/2</f>
        <v/>
      </c>
      <c r="G4593" s="92">
        <f t="array" ref="G4593">IF(B4593="insumo",_xlfn.XLOOKUP($D4593,Insumos!$B$1:$B$996,Insumos!$D$1:$D$996),"")</f>
        <v/>
      </c>
      <c r="H4593" s="92" t="n">
        <v>323.4</v>
      </c>
      <c r="I4593" s="2162" t="n">
        <v>0</v>
      </c>
      <c r="J4593" s="2162" t="n">
        <v>0</v>
      </c>
      <c r="K4593" s="2162" t="n"/>
    </row>
    <row r="4594" outlineLevel="3" ht="15.75" customHeight="1">
      <c r="A4594" s="10" t="n">
        <v>1</v>
      </c>
      <c r="B4594" s="10" t="inlineStr">
        <is>
          <t>Insumo</t>
        </is>
      </c>
      <c r="C4594" s="10" t="inlineStr">
        <is>
          <t>Revestimento externo em Ladrilho Hidráulico 10x10cm - Cor: laranja e off-white - Marca: Dalle Piagge, com junta de 2 cm e rejunte acrilico cinza platina</t>
        </is>
      </c>
      <c r="D4594" s="10" t="inlineStr">
        <is>
          <t>Ladrilho Hidráulico 10x10cm - Cor: off-white - Marca: Dalle Piagge</t>
        </is>
      </c>
      <c r="E4594" s="11">
        <f t="array" ref="E4594">_xlfn.XLOOKUP(D4594,Insumos!B:B,Insumos!C:$C)</f>
        <v/>
      </c>
      <c r="F4594" s="14">
        <f>1.1/2</f>
        <v/>
      </c>
      <c r="G4594" s="92">
        <f t="array" ref="G4594">IF(B4594="insumo",_xlfn.XLOOKUP($D4594,Insumos!$B$1:$B$996,Insumos!$D$1:$D$996),"")</f>
        <v/>
      </c>
      <c r="H4594" s="92" t="n">
        <v>323.4</v>
      </c>
      <c r="I4594" s="2162" t="n">
        <v>0</v>
      </c>
      <c r="J4594" s="2162" t="n">
        <v>0</v>
      </c>
      <c r="K4594" s="2162" t="n"/>
    </row>
    <row r="4595" outlineLevel="3" ht="15.75" customHeight="1">
      <c r="A4595" s="10" t="n">
        <v>191</v>
      </c>
      <c r="B4595" s="10" t="inlineStr">
        <is>
          <t>Insumo</t>
        </is>
      </c>
      <c r="C4595" s="10" t="inlineStr">
        <is>
          <t>Revestimento externo em Ladrilho Hidráulico 10x10cm - Cor: laranja e off-white - Marca: Dalle Piagge, com junta de 2 cm e rejunte acrilico cinza platina</t>
        </is>
      </c>
      <c r="D4595" s="10" t="inlineStr">
        <is>
          <t>Argamassa ACIII</t>
        </is>
      </c>
      <c r="E4595" s="11">
        <f t="array" ref="E4595">_xlfn.XLOOKUP(D4595,Insumos!B:B,Insumos!C:$C)</f>
        <v/>
      </c>
      <c r="F4595" s="14" t="n">
        <v>4.95</v>
      </c>
      <c r="G4595" s="92">
        <f t="array" ref="G4595">IF(B4595="insumo",_xlfn.XLOOKUP($D4595,Insumos!$B$1:$B$996,Insumos!$D$1:$D$996),"")</f>
        <v/>
      </c>
      <c r="H4595" s="92" t="n">
        <v>5.269275</v>
      </c>
      <c r="I4595" s="2162" t="n">
        <v>0</v>
      </c>
      <c r="J4595" s="2162" t="n">
        <v>0</v>
      </c>
      <c r="K4595" s="2162" t="n"/>
    </row>
    <row r="4596" outlineLevel="3" ht="15.75" customHeight="1">
      <c r="A4596" s="10" t="n">
        <v>142</v>
      </c>
      <c r="B4596" s="10" t="inlineStr">
        <is>
          <t>Insumo</t>
        </is>
      </c>
      <c r="C4596" s="10" t="inlineStr">
        <is>
          <t>Revestimento externo em Ladrilho Hidráulico 10x10cm - Cor: laranja e off-white - Marca: Dalle Piagge, com junta de 2 cm e rejunte acrilico cinza platina</t>
        </is>
      </c>
      <c r="D4596" s="10" t="inlineStr">
        <is>
          <t>Espeçador junta piso 2mm</t>
        </is>
      </c>
      <c r="E4596" s="11">
        <f t="array" ref="E4596">_xlfn.XLOOKUP(D4596,Insumos!B:B,Insumos!C:$C)</f>
        <v/>
      </c>
      <c r="F4596" s="14" t="n">
        <v>4</v>
      </c>
      <c r="G4596" s="92">
        <f t="array" ref="G4596">IF(B4596="insumo",_xlfn.XLOOKUP($D4596,Insumos!$B$1:$B$996,Insumos!$D$1:$D$996),"")</f>
        <v/>
      </c>
      <c r="H4596" s="92" t="n">
        <v>0.32</v>
      </c>
      <c r="I4596" s="2162" t="n">
        <v>0</v>
      </c>
      <c r="J4596" s="2162" t="n">
        <v>0</v>
      </c>
      <c r="K4596" s="2162" t="n"/>
    </row>
    <row r="4597" outlineLevel="3" ht="15.75" customHeight="1">
      <c r="A4597" s="10" t="n">
        <v>36</v>
      </c>
      <c r="B4597" s="10" t="inlineStr">
        <is>
          <t>Insumo</t>
        </is>
      </c>
      <c r="C4597" s="82" t="inlineStr">
        <is>
          <t>Revestimento externo em Ladrilho Hidráulico 10x10cm - Cor: laranja e off-white - Marca: Dalle Piagge, com junta de 2 cm e rejunte acrilico cinza platina</t>
        </is>
      </c>
      <c r="D4597" s="82" t="inlineStr">
        <is>
          <t>Rejunte Acrilico cinza platina</t>
        </is>
      </c>
      <c r="E4597" s="11">
        <f t="array" ref="E4597">_xlfn.XLOOKUP(D4597,Insumos!B:B,Insumos!C:$C)</f>
        <v/>
      </c>
      <c r="F4597" s="14" t="n">
        <v>0.05</v>
      </c>
      <c r="G4597" s="92">
        <f t="array" ref="G4597">IF(B4597="insumo",_xlfn.XLOOKUP($D4597,Insumos!$B$1:$B$996,Insumos!$D$1:$D$996),"")</f>
        <v/>
      </c>
      <c r="H4597" s="92" t="n">
        <v>1.9</v>
      </c>
      <c r="I4597" s="2162" t="n">
        <v>0</v>
      </c>
      <c r="J4597" s="2162" t="n">
        <v>0</v>
      </c>
      <c r="K4597" s="2162" t="n"/>
    </row>
    <row r="4598" outlineLevel="2" ht="15.75" customHeight="1">
      <c r="A4598" s="1067" t="n">
        <v>1</v>
      </c>
      <c r="B4598" s="1067" t="inlineStr">
        <is>
          <t>Serviço</t>
        </is>
      </c>
      <c r="C4598" s="1067" t="inlineStr">
        <is>
          <t>Revestimento Tresuno Concreto Ripado Cinza</t>
        </is>
      </c>
      <c r="D4598" s="1067" t="inlineStr">
        <is>
          <t>Revestimento Tresuno Concreto Ripado Cinza</t>
        </is>
      </c>
      <c r="E4598" s="1068" t="inlineStr">
        <is>
          <t>M2</t>
        </is>
      </c>
      <c r="F4598" s="1067" t="n"/>
      <c r="G4598" s="1069">
        <f t="array" ref="G4598">IF(B4598="insumo",_xlfn.XLOOKUP($D4598,Insumos!$B$1:$B$996,Insumos!$D$1:$D$996),"")</f>
        <v/>
      </c>
      <c r="H4598" s="1069" t="n">
        <v>323.4755</v>
      </c>
      <c r="I4598" s="2161" t="n">
        <v>0</v>
      </c>
      <c r="J4598" s="2161" t="n">
        <v>0</v>
      </c>
      <c r="K4598" s="2161" t="n"/>
    </row>
    <row r="4599" outlineLevel="3" ht="15.75" customHeight="1">
      <c r="A4599" s="10" t="n">
        <v>1</v>
      </c>
      <c r="B4599" s="10" t="inlineStr">
        <is>
          <t>Insumo</t>
        </is>
      </c>
      <c r="C4599" s="10" t="inlineStr">
        <is>
          <t>Revestimento Tresuno Concreto Ripado Cinza</t>
        </is>
      </c>
      <c r="D4599" s="10" t="inlineStr">
        <is>
          <t>Revestimento Ripado de Concreto</t>
        </is>
      </c>
      <c r="E4599" s="11">
        <f t="array" ref="E4599">_xlfn.XLOOKUP(D4599,Insumos!B:B,Insumos!C:$C)</f>
        <v/>
      </c>
      <c r="F4599" s="14" t="n">
        <v>1.1</v>
      </c>
      <c r="G4599" s="92">
        <f t="array" ref="G4599">IF(B4599="insumo",_xlfn.XLOOKUP($D4599,Insumos!$B$1:$B$996,Insumos!$D$1:$D$996),"")</f>
        <v/>
      </c>
      <c r="H4599" s="92" t="n">
        <v>308</v>
      </c>
      <c r="I4599" s="2162" t="n">
        <v>0</v>
      </c>
      <c r="J4599" s="2162" t="n">
        <v>0</v>
      </c>
      <c r="K4599" s="2162" t="n"/>
    </row>
    <row r="4600" outlineLevel="3" ht="15.75" customHeight="1">
      <c r="A4600" s="10" t="n">
        <v>191</v>
      </c>
      <c r="B4600" s="10" t="inlineStr">
        <is>
          <t>Insumo</t>
        </is>
      </c>
      <c r="C4600" s="10" t="inlineStr">
        <is>
          <t>Revestimento Tresuno Concreto Ripado Cinza</t>
        </is>
      </c>
      <c r="D4600" s="10" t="inlineStr">
        <is>
          <t>Argamassa ACIII</t>
        </is>
      </c>
      <c r="E4600" s="11">
        <f t="array" ref="E4600">_xlfn.XLOOKUP(D4600,Insumos!B:B,Insumos!C:$C)</f>
        <v/>
      </c>
      <c r="F4600" s="14" t="n">
        <v>9</v>
      </c>
      <c r="G4600" s="92">
        <f t="array" ref="G4600">IF(B4600="insumo",_xlfn.XLOOKUP($D4600,Insumos!$B$1:$B$996,Insumos!$D$1:$D$996),"")</f>
        <v/>
      </c>
      <c r="H4600" s="92" t="n">
        <v>9.580500000000001</v>
      </c>
      <c r="I4600" s="2162" t="n">
        <v>0</v>
      </c>
      <c r="J4600" s="2162" t="n">
        <v>0</v>
      </c>
      <c r="K4600" s="2162" t="n"/>
    </row>
    <row r="4601" outlineLevel="3" ht="15.75" customHeight="1">
      <c r="A4601" s="10" t="n">
        <v>142</v>
      </c>
      <c r="B4601" s="10" t="inlineStr">
        <is>
          <t>Insumo</t>
        </is>
      </c>
      <c r="C4601" s="10" t="inlineStr">
        <is>
          <t>Revestimento Tresuno Concreto Ripado Cinza</t>
        </is>
      </c>
      <c r="D4601" s="10" t="inlineStr">
        <is>
          <t>Espeçador junta piso 2mm</t>
        </is>
      </c>
      <c r="E4601" s="11">
        <f t="array" ref="E4601">_xlfn.XLOOKUP(D4601,Insumos!B:B,Insumos!C:$C)</f>
        <v/>
      </c>
      <c r="F4601" s="14" t="n">
        <v>4</v>
      </c>
      <c r="G4601" s="92">
        <f t="array" ref="G4601">IF(B4601="insumo",_xlfn.XLOOKUP($D4601,Insumos!$B$1:$B$996,Insumos!$D$1:$D$996),"")</f>
        <v/>
      </c>
      <c r="H4601" s="92" t="n">
        <v>0.32</v>
      </c>
      <c r="I4601" s="2162" t="n">
        <v>0</v>
      </c>
      <c r="J4601" s="2162" t="n">
        <v>0</v>
      </c>
      <c r="K4601" s="2162" t="n"/>
    </row>
    <row r="4602" outlineLevel="3" ht="15.75" customHeight="1">
      <c r="A4602" s="10" t="n">
        <v>101</v>
      </c>
      <c r="B4602" s="10" t="inlineStr">
        <is>
          <t>Insumo</t>
        </is>
      </c>
      <c r="C4602" s="10" t="inlineStr">
        <is>
          <t>Revestimento Tresuno Concreto Ripado Cinza</t>
        </is>
      </c>
      <c r="D4602" s="10" t="inlineStr">
        <is>
          <t>Rejunte Cimentício</t>
        </is>
      </c>
      <c r="E4602" s="11">
        <f t="array" ref="E4602">_xlfn.XLOOKUP(D4602,Insumos!B:B,Insumos!C:$C)</f>
        <v/>
      </c>
      <c r="F4602" s="14" t="n">
        <v>0.5</v>
      </c>
      <c r="G4602" s="92">
        <f t="array" ref="G4602">IF(B4602="insumo",_xlfn.XLOOKUP($D4602,Insumos!$B$1:$B$996,Insumos!$D$1:$D$996),"")</f>
        <v/>
      </c>
      <c r="H4602" s="92" t="n">
        <v>5.575</v>
      </c>
      <c r="I4602" s="2162" t="n">
        <v>0</v>
      </c>
      <c r="J4602" s="2162" t="n">
        <v>0</v>
      </c>
      <c r="K4602" s="2162" t="n"/>
    </row>
    <row r="4603" outlineLevel="2" ht="15.75" customHeight="1">
      <c r="A4603" s="1067" t="n">
        <v>1</v>
      </c>
      <c r="B4603" s="1067" t="inlineStr">
        <is>
          <t>Serviço</t>
        </is>
      </c>
      <c r="C4603" s="1067" t="inlineStr">
        <is>
          <t>Substrutura de alumínio para fachada ventilada</t>
        </is>
      </c>
      <c r="D4603" s="1067" t="inlineStr">
        <is>
          <t>Substrutura de alumínio para fachada ventilada</t>
        </is>
      </c>
      <c r="E4603" s="1068" t="inlineStr">
        <is>
          <t>M2</t>
        </is>
      </c>
      <c r="F4603" s="1067" t="n"/>
      <c r="G4603" s="1069">
        <f t="array" ref="G4603">IF(B4603="insumo",_xlfn.XLOOKUP($D4603,Insumos!$B$1:$B$996,Insumos!$D$1:$D$996),"")</f>
        <v/>
      </c>
      <c r="H4603" s="1069" t="n">
        <v>305</v>
      </c>
      <c r="I4603" s="2161" t="n">
        <v>0</v>
      </c>
      <c r="J4603" s="2161" t="n">
        <v>0</v>
      </c>
      <c r="K4603" s="2161" t="n"/>
    </row>
    <row r="4604" outlineLevel="3" ht="15.75" customHeight="1">
      <c r="A4604" s="10" t="n">
        <v>3</v>
      </c>
      <c r="B4604" s="10" t="inlineStr">
        <is>
          <t>Insumo</t>
        </is>
      </c>
      <c r="C4604" s="15" t="inlineStr">
        <is>
          <t>Substrutura de alumínio para fachada ventilada</t>
        </is>
      </c>
      <c r="D4604" s="15" t="inlineStr">
        <is>
          <t>Sistema e Instalação de Fachada Ventilada. Mecanização das peças, arremate das esquadrias e Fretes</t>
        </is>
      </c>
      <c r="E4604" s="11">
        <f t="array" ref="E4604">_xlfn.XLOOKUP(D4604,Insumos!B:B,Insumos!C:$C)</f>
        <v/>
      </c>
      <c r="F4604" s="14" t="n">
        <v>1</v>
      </c>
      <c r="G4604" s="92">
        <f t="array" ref="G4604">IF(B4604="insumo",_xlfn.XLOOKUP($D4604,Insumos!$B$1:$B$996,Insumos!$D$1:$D$996),"")</f>
        <v/>
      </c>
      <c r="H4604" s="92" t="n">
        <v>305</v>
      </c>
      <c r="I4604" s="2162" t="n">
        <v>0</v>
      </c>
      <c r="J4604" s="2162" t="n">
        <v>0</v>
      </c>
      <c r="K4604" s="2162" t="n"/>
    </row>
    <row r="4605" outlineLevel="2" ht="15.75" customHeight="1">
      <c r="A4605" s="1067" t="n">
        <v>1</v>
      </c>
      <c r="B4605" s="1067" t="inlineStr">
        <is>
          <t>Serviço</t>
        </is>
      </c>
      <c r="C4605" s="1067" t="inlineStr">
        <is>
          <t>Revestimento Monolítico Acrílico aplicado em Fachadas</t>
        </is>
      </c>
      <c r="D4605" s="1067" t="inlineStr">
        <is>
          <t>Revestimento Monolítico Acrílico aplicado em Fachadas</t>
        </is>
      </c>
      <c r="E4605" s="1068" t="inlineStr">
        <is>
          <t>M2</t>
        </is>
      </c>
      <c r="F4605" s="1067" t="n"/>
      <c r="G4605" s="1069">
        <f t="array" ref="G4605">IF(B4605="insumo",_xlfn.XLOOKUP($D4605,Insumos!$B$1:$B$996,Insumos!$D$1:$D$996),"")</f>
        <v/>
      </c>
      <c r="H4605" s="1069" t="n">
        <v>137.279555555556</v>
      </c>
      <c r="I4605" s="2161" t="n">
        <v>0</v>
      </c>
      <c r="J4605" s="2161" t="n">
        <v>0</v>
      </c>
      <c r="K4605" s="2161" t="n"/>
    </row>
    <row r="4606" outlineLevel="3" ht="15.75" customHeight="1">
      <c r="A4606" s="10" t="n">
        <v>19</v>
      </c>
      <c r="B4606" s="10" t="inlineStr">
        <is>
          <t>Insumo</t>
        </is>
      </c>
      <c r="C4606" s="15" t="inlineStr">
        <is>
          <t>Revestimento Monolítico Acrílico aplicado em Fachadas</t>
        </is>
      </c>
      <c r="D4606" s="15" t="inlineStr">
        <is>
          <t>Selador Primer Ibratin - 4,2kg - 3,6L</t>
        </is>
      </c>
      <c r="E4606" s="11">
        <f t="array" ref="E4606">_xlfn.XLOOKUP(D4606,Insumos!B:B,Insumos!C:$C)</f>
        <v/>
      </c>
      <c r="F4606" s="14" t="n">
        <v>0.1</v>
      </c>
      <c r="G4606" s="92">
        <f t="array" ref="G4606">IF(B4606="insumo",_xlfn.XLOOKUP($D4606,Insumos!$B$1:$B$996,Insumos!$D$1:$D$996),"")</f>
        <v/>
      </c>
      <c r="H4606" s="92" t="n">
        <v>1.05555555555556</v>
      </c>
      <c r="I4606" s="2162" t="n">
        <v>0</v>
      </c>
      <c r="J4606" s="2162" t="n">
        <v>0</v>
      </c>
      <c r="K4606" s="2162" t="n"/>
    </row>
    <row r="4607" outlineLevel="3" ht="15.75" customHeight="1">
      <c r="A4607" s="10" t="n">
        <v>1</v>
      </c>
      <c r="B4607" s="10" t="inlineStr">
        <is>
          <t>Insumo</t>
        </is>
      </c>
      <c r="C4607" s="15" t="inlineStr">
        <is>
          <t>Revestimento Monolítico Acrílico aplicado em Fachadas</t>
        </is>
      </c>
      <c r="D4607" s="15" t="inlineStr">
        <is>
          <t>Revestimento monolítico acrílico (pronto)</t>
        </is>
      </c>
      <c r="E4607" s="11">
        <f t="array" ref="E4607">_xlfn.XLOOKUP(D4607,Insumos!B:B,Insumos!C:$C)</f>
        <v/>
      </c>
      <c r="F4607" s="14" t="n">
        <v>1.8</v>
      </c>
      <c r="G4607" s="92">
        <f t="array" ref="G4607">IF(B4607="insumo",_xlfn.XLOOKUP($D4607,Insumos!$B$1:$B$996,Insumos!$D$1:$D$996),"")</f>
        <v/>
      </c>
      <c r="H4607" s="92" t="n">
        <v>134.784</v>
      </c>
      <c r="I4607" s="2162" t="n">
        <v>0</v>
      </c>
      <c r="J4607" s="2162" t="n">
        <v>0</v>
      </c>
      <c r="K4607" s="2162" t="n"/>
    </row>
    <row r="4608" outlineLevel="3" ht="15.75" customHeight="1">
      <c r="A4608" s="10" t="n">
        <v>5</v>
      </c>
      <c r="B4608" s="10" t="inlineStr">
        <is>
          <t>Insumo</t>
        </is>
      </c>
      <c r="C4608" s="15" t="inlineStr">
        <is>
          <t>Revestimento Monolítico Acrílico aplicado em Fachadas</t>
        </is>
      </c>
      <c r="D4608" s="15" t="inlineStr">
        <is>
          <t>Tela de Fibra de Vidro</t>
        </is>
      </c>
      <c r="E4608" s="11">
        <f t="array" ref="E4608">_xlfn.XLOOKUP(D4608,Insumos!B:B,Insumos!C:$C)</f>
        <v/>
      </c>
      <c r="F4608" s="14" t="n">
        <v>0.05</v>
      </c>
      <c r="G4608" s="92">
        <f t="array" ref="G4608">IF(B4608="insumo",_xlfn.XLOOKUP($D4608,Insumos!$B$1:$B$996,Insumos!$D$1:$D$996),"")</f>
        <v/>
      </c>
      <c r="H4608" s="92" t="n">
        <v>0.405</v>
      </c>
      <c r="I4608" s="2162" t="n">
        <v>0</v>
      </c>
      <c r="J4608" s="2162" t="n">
        <v>0</v>
      </c>
      <c r="K4608" s="2162" t="n"/>
    </row>
    <row r="4609" outlineLevel="3" ht="15.75" customHeight="1">
      <c r="A4609" s="10" t="n">
        <v>10</v>
      </c>
      <c r="B4609" s="10" t="inlineStr">
        <is>
          <t>Insumo</t>
        </is>
      </c>
      <c r="C4609" s="15" t="inlineStr">
        <is>
          <t>Revestimento Monolítico Acrílico aplicado em Fachadas</t>
        </is>
      </c>
      <c r="D4609" s="15" t="inlineStr">
        <is>
          <t>SELANTE ELASTICO MONOCOMPONENTE A BASE DE POLIURETANO (PU) PARA JUNTAS DIVERSAS</t>
        </is>
      </c>
      <c r="E4609" s="11">
        <f t="array" ref="E4609">_xlfn.XLOOKUP(D4609,Insumos!B:B,Insumos!C:$C)</f>
        <v/>
      </c>
      <c r="F4609" s="14" t="n">
        <v>0.05</v>
      </c>
      <c r="G4609" s="92">
        <f t="array" ref="G4609">IF(B4609="insumo",_xlfn.XLOOKUP($D4609,Insumos!$B$1:$B$996,Insumos!$D$1:$D$996),"")</f>
        <v/>
      </c>
      <c r="H4609" s="92" t="n">
        <v>1.035</v>
      </c>
      <c r="I4609" s="2162" t="n">
        <v>0</v>
      </c>
      <c r="J4609" s="2162" t="n">
        <v>0</v>
      </c>
      <c r="K4609" s="2162" t="n"/>
    </row>
    <row r="4610" outlineLevel="2" ht="15.75" customHeight="1">
      <c r="A4610" s="1067" t="n">
        <v>1</v>
      </c>
      <c r="B4610" s="1067" t="inlineStr">
        <is>
          <t>Serviço</t>
        </is>
      </c>
      <c r="C4610" s="1067" t="inlineStr">
        <is>
          <t>Moldura de fachada, com revestimento de tijolinho aderido, cor areia</t>
        </is>
      </c>
      <c r="D4610" s="1067" t="inlineStr">
        <is>
          <t>Moldura de fachada, com revestimento de tijolinho aderido, cor areia</t>
        </is>
      </c>
      <c r="E4610" s="1068" t="inlineStr">
        <is>
          <t>M</t>
        </is>
      </c>
      <c r="F4610" s="1067" t="n"/>
      <c r="G4610" s="1069">
        <f t="array" ref="G4610">IF(B4610="insumo",_xlfn.XLOOKUP($D4610,Insumos!$B$1:$B$996,Insumos!$D$1:$D$996),"")</f>
        <v/>
      </c>
      <c r="H4610" s="1069" t="n">
        <v>36.032</v>
      </c>
      <c r="I4610" s="2161" t="n">
        <v>0</v>
      </c>
      <c r="J4610" s="2161" t="n">
        <v>0</v>
      </c>
      <c r="K4610" s="2161" t="n"/>
    </row>
    <row r="4611" outlineLevel="3" ht="15.75" customHeight="1">
      <c r="A4611" s="10" t="n">
        <v>1</v>
      </c>
      <c r="B4611" s="10" t="inlineStr">
        <is>
          <t>Insumo</t>
        </is>
      </c>
      <c r="C4611" s="10" t="inlineStr">
        <is>
          <t>Moldura de fachada, com revestimento de tijolinho aderido, cor areia</t>
        </is>
      </c>
      <c r="D4611" s="10" t="inlineStr">
        <is>
          <t>tijolinho aderido, cor areia</t>
        </is>
      </c>
      <c r="E4611" s="11">
        <f t="array" ref="E4611">_xlfn.XLOOKUP(D4611,Insumos!B:B,Insumos!C:$C)</f>
        <v/>
      </c>
      <c r="F4611" s="14" t="n">
        <v>0.13</v>
      </c>
      <c r="G4611" s="92">
        <f t="array" ref="G4611">IF(B4611="insumo",_xlfn.XLOOKUP($D4611,Insumos!$B$1:$B$996,Insumos!$D$1:$D$996),"")</f>
        <v/>
      </c>
      <c r="H4611" s="92" t="n">
        <v>31.2</v>
      </c>
      <c r="I4611" s="2162" t="n">
        <v>0</v>
      </c>
      <c r="J4611" s="2162" t="n">
        <v>0</v>
      </c>
      <c r="K4611" s="2162" t="n"/>
    </row>
    <row r="4612" outlineLevel="3" ht="15.75" customHeight="1">
      <c r="A4612" s="10" t="n">
        <v>8</v>
      </c>
      <c r="B4612" s="10" t="inlineStr">
        <is>
          <t>Insumo</t>
        </is>
      </c>
      <c r="C4612" s="10" t="inlineStr">
        <is>
          <t>Moldura de fachada, com revestimento de tijolinho aderido, cor areia</t>
        </is>
      </c>
      <c r="D4612" s="10" t="inlineStr">
        <is>
          <t>ARGAMASSA COLANTE AC II</t>
        </is>
      </c>
      <c r="E4612" s="11">
        <f t="array" ref="E4612">_xlfn.XLOOKUP(D4612,Insumos!B:B,Insumos!C:$C)</f>
        <v/>
      </c>
      <c r="F4612" s="14" t="n">
        <v>0.7</v>
      </c>
      <c r="G4612" s="92">
        <f t="array" ref="G4612">IF(B4612="insumo",_xlfn.XLOOKUP($D4612,Insumos!$B$1:$B$996,Insumos!$D$1:$D$996),"")</f>
        <v/>
      </c>
      <c r="H4612" s="92" t="n">
        <v>0.952</v>
      </c>
      <c r="I4612" s="2162" t="n">
        <v>0</v>
      </c>
      <c r="J4612" s="2162" t="n">
        <v>0</v>
      </c>
      <c r="K4612" s="2162" t="n"/>
    </row>
    <row r="4613" outlineLevel="3" ht="15.75" customHeight="1">
      <c r="A4613" s="10" t="n">
        <v>36</v>
      </c>
      <c r="B4613" s="10" t="inlineStr">
        <is>
          <t>Insumo</t>
        </is>
      </c>
      <c r="C4613" s="10" t="inlineStr">
        <is>
          <t>Moldura de fachada, com revestimento de tijolinho aderido, cor areia</t>
        </is>
      </c>
      <c r="D4613" s="10" t="inlineStr">
        <is>
          <t>Rejunte Acrilico cinza platina</t>
        </is>
      </c>
      <c r="E4613" s="11">
        <f t="array" ref="E4613">_xlfn.XLOOKUP(D4613,Insumos!B:B,Insumos!C:$C)</f>
        <v/>
      </c>
      <c r="F4613" s="14" t="n">
        <v>0.1</v>
      </c>
      <c r="G4613" s="92">
        <f t="array" ref="G4613">IF(B4613="insumo",_xlfn.XLOOKUP($D4613,Insumos!$B$1:$B$996,Insumos!$D$1:$D$996),"")</f>
        <v/>
      </c>
      <c r="H4613" s="92" t="n">
        <v>3.8</v>
      </c>
      <c r="I4613" s="2162" t="n">
        <v>0</v>
      </c>
      <c r="J4613" s="2162" t="n">
        <v>0</v>
      </c>
      <c r="K4613" s="2162" t="n"/>
    </row>
    <row r="4614" outlineLevel="3" ht="15.75" customHeight="1">
      <c r="A4614" s="10" t="n">
        <v>142</v>
      </c>
      <c r="B4614" s="10" t="inlineStr">
        <is>
          <t>Insumo</t>
        </is>
      </c>
      <c r="C4614" s="10" t="inlineStr">
        <is>
          <t>Moldura de fachada, com revestimento de tijolinho aderido, cor areia</t>
        </is>
      </c>
      <c r="D4614" s="10" t="inlineStr">
        <is>
          <t>Espeçador junta piso 2mm</t>
        </is>
      </c>
      <c r="E4614" s="11">
        <f t="array" ref="E4614">_xlfn.XLOOKUP(D4614,Insumos!B:B,Insumos!C:$C)</f>
        <v/>
      </c>
      <c r="F4614" s="14" t="n">
        <v>1</v>
      </c>
      <c r="G4614" s="92">
        <f t="array" ref="G4614">IF(B4614="insumo",_xlfn.XLOOKUP($D4614,Insumos!$B$1:$B$996,Insumos!$D$1:$D$996),"")</f>
        <v/>
      </c>
      <c r="H4614" s="92" t="n">
        <v>0.08</v>
      </c>
      <c r="I4614" s="2162" t="n">
        <v>0</v>
      </c>
      <c r="J4614" s="2162" t="n">
        <v>0</v>
      </c>
      <c r="K4614" s="2162" t="n"/>
    </row>
    <row r="4615" outlineLevel="2" ht="15.75" customHeight="1">
      <c r="A4615" s="1067" t="n">
        <v>1</v>
      </c>
      <c r="B4615" s="1067" t="inlineStr">
        <is>
          <t>Serviço</t>
        </is>
      </c>
      <c r="C4615" s="1067" t="inlineStr">
        <is>
          <t>Moldura de fachada, com revestimento de tijolinho aderido, cor branco pigmentado</t>
        </is>
      </c>
      <c r="D4615" s="1067" t="inlineStr">
        <is>
          <t>Moldura de fachada, com revestimento de tijolinho aderido, cor branco pigmentado</t>
        </is>
      </c>
      <c r="E4615" s="1068" t="inlineStr">
        <is>
          <t>M</t>
        </is>
      </c>
      <c r="F4615" s="1067" t="n"/>
      <c r="G4615" s="1069">
        <f t="array" ref="G4615">IF(B4615="insumo",_xlfn.XLOOKUP($D4615,Insumos!$B$1:$B$996,Insumos!$D$1:$D$996),"")</f>
        <v/>
      </c>
      <c r="H4615" s="1069" t="n">
        <v>42.272</v>
      </c>
      <c r="I4615" s="2161" t="n">
        <v>0</v>
      </c>
      <c r="J4615" s="2161" t="n">
        <v>0</v>
      </c>
      <c r="K4615" s="2161" t="n"/>
    </row>
    <row r="4616" outlineLevel="3" ht="15.75" customHeight="1">
      <c r="A4616" s="10" t="n">
        <v>2</v>
      </c>
      <c r="B4616" s="10" t="inlineStr">
        <is>
          <t>Insumo</t>
        </is>
      </c>
      <c r="C4616" s="10" t="inlineStr">
        <is>
          <t>Moldura de fachada, com revestimento de tijolinho aderido, cor branco pigmentado</t>
        </is>
      </c>
      <c r="D4616" s="10" t="inlineStr">
        <is>
          <t>tijolinho aderido, cor branco pigmentado</t>
        </is>
      </c>
      <c r="E4616" s="11">
        <f t="array" ref="E4616">_xlfn.XLOOKUP(D4616,Insumos!B:B,Insumos!C:$C)</f>
        <v/>
      </c>
      <c r="F4616" s="14" t="n">
        <v>0.13</v>
      </c>
      <c r="G4616" s="92">
        <f t="array" ref="G4616">IF(B4616="insumo",_xlfn.XLOOKUP($D4616,Insumos!$B$1:$B$996,Insumos!$D$1:$D$996),"")</f>
        <v/>
      </c>
      <c r="H4616" s="92" t="n">
        <v>37.44</v>
      </c>
      <c r="I4616" s="2162" t="n">
        <v>0</v>
      </c>
      <c r="J4616" s="2162" t="n">
        <v>0</v>
      </c>
      <c r="K4616" s="2162" t="n"/>
    </row>
    <row r="4617" outlineLevel="3" ht="15.75" customHeight="1">
      <c r="A4617" s="10" t="n">
        <v>8</v>
      </c>
      <c r="B4617" s="10" t="inlineStr">
        <is>
          <t>Insumo</t>
        </is>
      </c>
      <c r="C4617" s="10" t="inlineStr">
        <is>
          <t>Moldura de fachada, com revestimento de tijolinho aderido, cor branco pigmentado</t>
        </is>
      </c>
      <c r="D4617" s="10" t="inlineStr">
        <is>
          <t>ARGAMASSA COLANTE AC II</t>
        </is>
      </c>
      <c r="E4617" s="11">
        <f t="array" ref="E4617">_xlfn.XLOOKUP(D4617,Insumos!B:B,Insumos!C:$C)</f>
        <v/>
      </c>
      <c r="F4617" s="14" t="n">
        <v>0.7</v>
      </c>
      <c r="G4617" s="92">
        <f t="array" ref="G4617">IF(B4617="insumo",_xlfn.XLOOKUP($D4617,Insumos!$B$1:$B$996,Insumos!$D$1:$D$996),"")</f>
        <v/>
      </c>
      <c r="H4617" s="92" t="n">
        <v>0.952</v>
      </c>
      <c r="I4617" s="2162" t="n">
        <v>0</v>
      </c>
      <c r="J4617" s="2162" t="n">
        <v>0</v>
      </c>
      <c r="K4617" s="2162" t="n"/>
    </row>
    <row r="4618" outlineLevel="3" ht="15.75" customHeight="1">
      <c r="A4618" s="10" t="n">
        <v>36</v>
      </c>
      <c r="B4618" s="10" t="inlineStr">
        <is>
          <t>Insumo</t>
        </is>
      </c>
      <c r="C4618" s="10" t="inlineStr">
        <is>
          <t>Moldura de fachada, com revestimento de tijolinho aderido, cor branco pigmentado</t>
        </is>
      </c>
      <c r="D4618" s="10" t="inlineStr">
        <is>
          <t>Rejunte Acrilico cinza platina</t>
        </is>
      </c>
      <c r="E4618" s="11">
        <f t="array" ref="E4618">_xlfn.XLOOKUP(D4618,Insumos!B:B,Insumos!C:$C)</f>
        <v/>
      </c>
      <c r="F4618" s="14" t="n">
        <v>0.1</v>
      </c>
      <c r="G4618" s="92">
        <f t="array" ref="G4618">IF(B4618="insumo",_xlfn.XLOOKUP($D4618,Insumos!$B$1:$B$996,Insumos!$D$1:$D$996),"")</f>
        <v/>
      </c>
      <c r="H4618" s="92" t="n">
        <v>3.8</v>
      </c>
      <c r="I4618" s="2162" t="n">
        <v>0</v>
      </c>
      <c r="J4618" s="2162" t="n">
        <v>0</v>
      </c>
      <c r="K4618" s="2162" t="n"/>
    </row>
    <row r="4619" outlineLevel="3" ht="15.75" customHeight="1">
      <c r="A4619" s="10" t="n">
        <v>142</v>
      </c>
      <c r="B4619" s="10" t="inlineStr">
        <is>
          <t>Insumo</t>
        </is>
      </c>
      <c r="C4619" s="10" t="inlineStr">
        <is>
          <t>Moldura de fachada, com revestimento de tijolinho aderido, cor branco pigmentado</t>
        </is>
      </c>
      <c r="D4619" s="10" t="inlineStr">
        <is>
          <t>Espeçador junta piso 2mm</t>
        </is>
      </c>
      <c r="E4619" s="11">
        <f t="array" ref="E4619">_xlfn.XLOOKUP(D4619,Insumos!B:B,Insumos!C:$C)</f>
        <v/>
      </c>
      <c r="F4619" s="14" t="n">
        <v>1</v>
      </c>
      <c r="G4619" s="92">
        <f t="array" ref="G4619">IF(B4619="insumo",_xlfn.XLOOKUP($D4619,Insumos!$B$1:$B$996,Insumos!$D$1:$D$996),"")</f>
        <v/>
      </c>
      <c r="H4619" s="92" t="n">
        <v>0.08</v>
      </c>
      <c r="I4619" s="2162" t="n">
        <v>0</v>
      </c>
      <c r="J4619" s="2162" t="n">
        <v>0</v>
      </c>
      <c r="K4619" s="2162" t="n"/>
    </row>
    <row r="4620" outlineLevel="2" ht="15.75" customHeight="1">
      <c r="A4620" s="1067" t="n">
        <v>1</v>
      </c>
      <c r="B4620" s="1067" t="inlineStr">
        <is>
          <t>Serviço</t>
        </is>
      </c>
      <c r="C4620" s="1067" t="inlineStr">
        <is>
          <t>Moldura de fachada, com revestimento de marmore travertino romano</t>
        </is>
      </c>
      <c r="D4620" s="1067" t="inlineStr">
        <is>
          <t>Moldura de fachada, com revestimento de marmore travertino romano</t>
        </is>
      </c>
      <c r="E4620" s="1068" t="inlineStr">
        <is>
          <t>M</t>
        </is>
      </c>
      <c r="F4620" s="1067" t="n"/>
      <c r="G4620" s="1069">
        <f t="array" ref="G4620">IF(B4620="insumo",_xlfn.XLOOKUP($D4620,Insumos!$B$1:$B$996,Insumos!$D$1:$D$996),"")</f>
        <v/>
      </c>
      <c r="H4620" s="1069" t="n">
        <v>173.832</v>
      </c>
      <c r="I4620" s="2161" t="e">
        <v>#REF!</v>
      </c>
      <c r="J4620" s="2161" t="e">
        <v>#REF!</v>
      </c>
      <c r="K4620" s="2161" t="n"/>
    </row>
    <row r="4621" outlineLevel="3" ht="15.75" customHeight="1">
      <c r="A4621" s="10" t="n">
        <v>5</v>
      </c>
      <c r="B4621" s="10" t="inlineStr">
        <is>
          <t>Insumo</t>
        </is>
      </c>
      <c r="C4621" s="10" t="inlineStr">
        <is>
          <t>Moldura de fachada, com revestimento de marmore travertino romano</t>
        </is>
      </c>
      <c r="D4621" s="10" t="inlineStr">
        <is>
          <t>Mármore Travertino Romano</t>
        </is>
      </c>
      <c r="E4621" s="11">
        <f t="array" ref="E4621">_xlfn.XLOOKUP(D4621,Insumos!B:B,Insumos!C:$C)</f>
        <v/>
      </c>
      <c r="F4621" s="14" t="n">
        <v>0.13</v>
      </c>
      <c r="G4621" s="92">
        <f t="array" ref="G4621">IF(B4621="insumo",_xlfn.XLOOKUP($D4621,Insumos!$B$1:$B$996,Insumos!$D$1:$D$996),"")</f>
        <v/>
      </c>
      <c r="H4621" s="92" t="n">
        <v>169</v>
      </c>
      <c r="I4621" s="2162" t="e">
        <v>#REF!</v>
      </c>
      <c r="J4621" s="2162" t="e">
        <v>#REF!</v>
      </c>
      <c r="K4621" s="2162" t="n"/>
    </row>
    <row r="4622" outlineLevel="3" ht="15.75" customHeight="1">
      <c r="A4622" s="10" t="n">
        <v>8</v>
      </c>
      <c r="B4622" s="10" t="inlineStr">
        <is>
          <t>Insumo</t>
        </is>
      </c>
      <c r="C4622" s="10" t="inlineStr">
        <is>
          <t>Moldura de fachada, com revestimento de marmore travertino romano</t>
        </is>
      </c>
      <c r="D4622" s="10" t="inlineStr">
        <is>
          <t>ARGAMASSA COLANTE AC II</t>
        </is>
      </c>
      <c r="E4622" s="11">
        <f t="array" ref="E4622">_xlfn.XLOOKUP(D4622,Insumos!B:B,Insumos!C:$C)</f>
        <v/>
      </c>
      <c r="F4622" s="14" t="n">
        <v>0.7</v>
      </c>
      <c r="G4622" s="92">
        <f t="array" ref="G4622">IF(B4622="insumo",_xlfn.XLOOKUP($D4622,Insumos!$B$1:$B$996,Insumos!$D$1:$D$996),"")</f>
        <v/>
      </c>
      <c r="H4622" s="92" t="n">
        <v>0.952</v>
      </c>
      <c r="I4622" s="2162" t="e">
        <v>#REF!</v>
      </c>
      <c r="J4622" s="2162" t="e">
        <v>#REF!</v>
      </c>
      <c r="K4622" s="2162" t="n"/>
    </row>
    <row r="4623" outlineLevel="3" ht="15.75" customHeight="1">
      <c r="A4623" s="10" t="n">
        <v>36</v>
      </c>
      <c r="B4623" s="10" t="inlineStr">
        <is>
          <t>Insumo</t>
        </is>
      </c>
      <c r="C4623" s="10" t="inlineStr">
        <is>
          <t>Moldura de fachada, com revestimento de marmore travertino romano</t>
        </is>
      </c>
      <c r="D4623" s="10" t="inlineStr">
        <is>
          <t>Rejunte Acrilico cinza platina</t>
        </is>
      </c>
      <c r="E4623" s="11">
        <f t="array" ref="E4623">_xlfn.XLOOKUP(D4623,Insumos!B:B,Insumos!C:$C)</f>
        <v/>
      </c>
      <c r="F4623" s="14" t="n">
        <v>0.1</v>
      </c>
      <c r="G4623" s="92">
        <f t="array" ref="G4623">IF(B4623="insumo",_xlfn.XLOOKUP($D4623,Insumos!$B$1:$B$996,Insumos!$D$1:$D$996),"")</f>
        <v/>
      </c>
      <c r="H4623" s="92" t="n">
        <v>3.8</v>
      </c>
      <c r="I4623" s="2162" t="e">
        <v>#REF!</v>
      </c>
      <c r="J4623" s="2162" t="e">
        <v>#REF!</v>
      </c>
      <c r="K4623" s="2162" t="n"/>
    </row>
    <row r="4624" outlineLevel="3" ht="15.75" customHeight="1">
      <c r="A4624" s="10" t="n">
        <v>142</v>
      </c>
      <c r="B4624" s="10" t="inlineStr">
        <is>
          <t>Insumo</t>
        </is>
      </c>
      <c r="C4624" s="10" t="inlineStr">
        <is>
          <t>Moldura de fachada, com revestimento de marmore travertino romano</t>
        </is>
      </c>
      <c r="D4624" s="10" t="inlineStr">
        <is>
          <t>Espeçador junta piso 2mm</t>
        </is>
      </c>
      <c r="E4624" s="11">
        <f t="array" ref="E4624">_xlfn.XLOOKUP(D4624,Insumos!B:B,Insumos!C:$C)</f>
        <v/>
      </c>
      <c r="F4624" s="14" t="n">
        <v>1</v>
      </c>
      <c r="G4624" s="92">
        <f t="array" ref="G4624">IF(B4624="insumo",_xlfn.XLOOKUP($D4624,Insumos!$B$1:$B$996,Insumos!$D$1:$D$996),"")</f>
        <v/>
      </c>
      <c r="H4624" s="92" t="n">
        <v>0.08</v>
      </c>
      <c r="I4624" s="2162" t="e">
        <v>#REF!</v>
      </c>
      <c r="J4624" s="2162" t="e">
        <v>#REF!</v>
      </c>
      <c r="K4624" s="2162" t="n"/>
    </row>
    <row r="4625" outlineLevel="2" ht="15.75" customHeight="1">
      <c r="A4625" s="1067" t="n">
        <v>1</v>
      </c>
      <c r="B4625" s="1067" t="inlineStr">
        <is>
          <t>Serviço</t>
        </is>
      </c>
      <c r="C4625" s="1067" t="inlineStr">
        <is>
          <t>Moldura de fachada, com revestimento de tijolinho aderido, cor vermelho escuro</t>
        </is>
      </c>
      <c r="D4625" s="1067" t="inlineStr">
        <is>
          <t>Moldura de fachada, com revestimento de tijolinho aderido, cor vermelho escuro</t>
        </is>
      </c>
      <c r="E4625" s="1068" t="inlineStr">
        <is>
          <t>M</t>
        </is>
      </c>
      <c r="F4625" s="1067" t="n"/>
      <c r="G4625" s="1069">
        <f t="array" ref="G4625">IF(B4625="insumo",_xlfn.XLOOKUP($D4625,Insumos!$B$1:$B$996,Insumos!$D$1:$D$996),"")</f>
        <v/>
      </c>
      <c r="H4625" s="1069" t="n">
        <v>32.912</v>
      </c>
      <c r="I4625" s="2161" t="n">
        <v>0</v>
      </c>
      <c r="J4625" s="2161" t="n">
        <v>0</v>
      </c>
      <c r="K4625" s="2161" t="n"/>
    </row>
    <row r="4626" outlineLevel="3" ht="15.75" customHeight="1">
      <c r="A4626" s="10" t="n">
        <v>2</v>
      </c>
      <c r="B4626" s="10" t="inlineStr">
        <is>
          <t>Insumo</t>
        </is>
      </c>
      <c r="C4626" s="10" t="inlineStr">
        <is>
          <t>Moldura de fachada, com revestimento de tijolinho aderido, cor vermelho escuro</t>
        </is>
      </c>
      <c r="D4626" s="10" t="inlineStr">
        <is>
          <t>tijolinho aderido, cor vermelho escuro</t>
        </is>
      </c>
      <c r="E4626" s="11">
        <f t="array" ref="E4626">_xlfn.XLOOKUP(D4626,Insumos!B:B,Insumos!C:$C)</f>
        <v/>
      </c>
      <c r="F4626" s="14" t="n">
        <v>0.13</v>
      </c>
      <c r="G4626" s="92">
        <f t="array" ref="G4626">IF(B4626="insumo",_xlfn.XLOOKUP($D4626,Insumos!$B$1:$B$996,Insumos!$D$1:$D$996),"")</f>
        <v/>
      </c>
      <c r="H4626" s="92" t="n">
        <v>28.08</v>
      </c>
      <c r="I4626" s="2162" t="n">
        <v>0</v>
      </c>
      <c r="J4626" s="2162" t="n">
        <v>0</v>
      </c>
      <c r="K4626" s="2162" t="n"/>
    </row>
    <row r="4627" outlineLevel="3" ht="15.75" customHeight="1">
      <c r="A4627" s="10" t="n">
        <v>8</v>
      </c>
      <c r="B4627" s="10" t="inlineStr">
        <is>
          <t>Insumo</t>
        </is>
      </c>
      <c r="C4627" s="10" t="inlineStr">
        <is>
          <t>Moldura de fachada, com revestimento de tijolinho aderido, cor vermelho escuro</t>
        </is>
      </c>
      <c r="D4627" s="10" t="inlineStr">
        <is>
          <t>ARGAMASSA COLANTE AC II</t>
        </is>
      </c>
      <c r="E4627" s="11">
        <f t="array" ref="E4627">_xlfn.XLOOKUP(D4627,Insumos!B:B,Insumos!C:$C)</f>
        <v/>
      </c>
      <c r="F4627" s="14" t="n">
        <v>0.7</v>
      </c>
      <c r="G4627" s="92">
        <f t="array" ref="G4627">IF(B4627="insumo",_xlfn.XLOOKUP($D4627,Insumos!$B$1:$B$996,Insumos!$D$1:$D$996),"")</f>
        <v/>
      </c>
      <c r="H4627" s="92" t="n">
        <v>0.952</v>
      </c>
      <c r="I4627" s="2162" t="n">
        <v>0</v>
      </c>
      <c r="J4627" s="2162" t="n">
        <v>0</v>
      </c>
      <c r="K4627" s="2162" t="n"/>
    </row>
    <row r="4628" outlineLevel="3" ht="15.75" customHeight="1">
      <c r="A4628" s="10" t="n">
        <v>36</v>
      </c>
      <c r="B4628" s="10" t="inlineStr">
        <is>
          <t>Insumo</t>
        </is>
      </c>
      <c r="C4628" s="10" t="inlineStr">
        <is>
          <t>Moldura de fachada, com revestimento de tijolinho aderido, cor vermelho escuro</t>
        </is>
      </c>
      <c r="D4628" s="10" t="inlineStr">
        <is>
          <t>Rejunte Acrilico cinza platina</t>
        </is>
      </c>
      <c r="E4628" s="11">
        <f t="array" ref="E4628">_xlfn.XLOOKUP(D4628,Insumos!B:B,Insumos!C:$C)</f>
        <v/>
      </c>
      <c r="F4628" s="14" t="n">
        <v>0.1</v>
      </c>
      <c r="G4628" s="92">
        <f t="array" ref="G4628">IF(B4628="insumo",_xlfn.XLOOKUP($D4628,Insumos!$B$1:$B$996,Insumos!$D$1:$D$996),"")</f>
        <v/>
      </c>
      <c r="H4628" s="92" t="n">
        <v>3.8</v>
      </c>
      <c r="I4628" s="2162" t="n">
        <v>0</v>
      </c>
      <c r="J4628" s="2162" t="n">
        <v>0</v>
      </c>
      <c r="K4628" s="2162" t="n"/>
    </row>
    <row r="4629" outlineLevel="3" ht="15.75" customHeight="1">
      <c r="A4629" s="10" t="n">
        <v>142</v>
      </c>
      <c r="B4629" s="10" t="inlineStr">
        <is>
          <t>Insumo</t>
        </is>
      </c>
      <c r="C4629" s="10" t="inlineStr">
        <is>
          <t>Moldura de fachada, com revestimento de tijolinho aderido, cor vermelho escuro</t>
        </is>
      </c>
      <c r="D4629" s="10" t="inlineStr">
        <is>
          <t>Espeçador junta piso 2mm</t>
        </is>
      </c>
      <c r="E4629" s="11">
        <f t="array" ref="E4629">_xlfn.XLOOKUP(D4629,Insumos!B:B,Insumos!C:$C)</f>
        <v/>
      </c>
      <c r="F4629" s="14" t="n">
        <v>1</v>
      </c>
      <c r="G4629" s="92">
        <f t="array" ref="G4629">IF(B4629="insumo",_xlfn.XLOOKUP($D4629,Insumos!$B$1:$B$996,Insumos!$D$1:$D$996),"")</f>
        <v/>
      </c>
      <c r="H4629" s="92" t="n">
        <v>0.08</v>
      </c>
      <c r="I4629" s="2162" t="n">
        <v>0</v>
      </c>
      <c r="J4629" s="2162" t="n">
        <v>0</v>
      </c>
      <c r="K4629" s="2162" t="n"/>
    </row>
    <row r="4630" outlineLevel="2" ht="15.75" customHeight="1">
      <c r="A4630" s="1067" t="n">
        <v>1</v>
      </c>
      <c r="B4630" s="1067" t="inlineStr">
        <is>
          <t>Serviço</t>
        </is>
      </c>
      <c r="C4630" s="1067" t="inlineStr">
        <is>
          <t>Moldura de fachada, com revestimento de pastilha azul (OM15645 – 7,5x7,5), com largura de  30 cm - atlas</t>
        </is>
      </c>
      <c r="D4630" s="1067" t="inlineStr">
        <is>
          <t>Moldura de fachada, com revestimento de pastilha azul (OM15645 – 7,5x7,5), com largura de  30 cm - atlas</t>
        </is>
      </c>
      <c r="E4630" s="1068" t="inlineStr">
        <is>
          <t>M</t>
        </is>
      </c>
      <c r="F4630" s="1067" t="n"/>
      <c r="G4630" s="1069">
        <f t="array" ref="G4630">IF(B4630="insumo",_xlfn.XLOOKUP($D4630,Insumos!$B$1:$B$996,Insumos!$D$1:$D$996),"")</f>
        <v/>
      </c>
      <c r="H4630" s="1069" t="n">
        <v>150.380185454545</v>
      </c>
      <c r="I4630" s="2161" t="e">
        <v>#REF!</v>
      </c>
      <c r="J4630" s="2161" t="e">
        <v>#REF!</v>
      </c>
      <c r="K4630" s="2161" t="n"/>
    </row>
    <row r="4631" outlineLevel="3" ht="15.75" customHeight="1">
      <c r="A4631" s="10" t="n">
        <v>1</v>
      </c>
      <c r="B4631" s="10" t="inlineStr">
        <is>
          <t>Insumo</t>
        </is>
      </c>
      <c r="C4631" s="10" t="inlineStr">
        <is>
          <t>Moldura de fachada, com revestimento de pastilha azul (OM15645 – 7,5x7,5), com largura de  30 cm - atlas</t>
        </is>
      </c>
      <c r="D4631" s="10" t="inlineStr">
        <is>
          <t>pastilha azul (OM15645 – 7,5x7,5) - atlas</t>
        </is>
      </c>
      <c r="E4631" s="11">
        <f t="array" ref="E4631">_xlfn.XLOOKUP(D4631,Insumos!B:B,Insumos!C:$C)</f>
        <v/>
      </c>
      <c r="F4631" s="14" t="n">
        <v>0.33</v>
      </c>
      <c r="G4631" s="92">
        <f t="array" ref="G4631">IF(B4631="insumo",_xlfn.XLOOKUP($D4631,Insumos!$B$1:$B$996,Insumos!$D$1:$D$996),"")</f>
        <v/>
      </c>
      <c r="H4631" s="92" t="n">
        <v>56.1</v>
      </c>
      <c r="I4631" s="2162" t="e">
        <v>#REF!</v>
      </c>
      <c r="J4631" s="2162" t="e">
        <v>#REF!</v>
      </c>
      <c r="K4631" s="2162" t="n"/>
    </row>
    <row r="4632" outlineLevel="3" ht="15.75" customHeight="1">
      <c r="A4632" s="10" t="n">
        <v>8</v>
      </c>
      <c r="B4632" s="10" t="inlineStr">
        <is>
          <t>Insumo</t>
        </is>
      </c>
      <c r="C4632" s="10" t="inlineStr">
        <is>
          <t>Moldura de fachada, com revestimento de pastilha azul (OM15645 – 7,5x7,5), com largura de  30 cm - atlas</t>
        </is>
      </c>
      <c r="D4632" s="10" t="inlineStr">
        <is>
          <t>ARGAMASSA COLANTE AC II</t>
        </is>
      </c>
      <c r="E4632" s="11">
        <f t="array" ref="E4632">_xlfn.XLOOKUP(D4632,Insumos!B:B,Insumos!C:$C)</f>
        <v/>
      </c>
      <c r="F4632" s="14">
        <f>2.64+2.7</f>
        <v/>
      </c>
      <c r="G4632" s="92">
        <f t="array" ref="G4632">IF(B4632="insumo",_xlfn.XLOOKUP($D4632,Insumos!$B$1:$B$996,Insumos!$D$1:$D$996),"")</f>
        <v/>
      </c>
      <c r="H4632" s="92" t="n">
        <v>7.2624</v>
      </c>
      <c r="I4632" s="2162" t="e">
        <v>#REF!</v>
      </c>
      <c r="J4632" s="2162" t="e">
        <v>#REF!</v>
      </c>
      <c r="K4632" s="2162" t="n"/>
    </row>
    <row r="4633" outlineLevel="3" ht="15.75" customHeight="1">
      <c r="A4633" s="10" t="n">
        <v>36</v>
      </c>
      <c r="B4633" s="10" t="inlineStr">
        <is>
          <t>Insumo</t>
        </is>
      </c>
      <c r="C4633" s="10" t="inlineStr">
        <is>
          <t>Moldura de fachada, com revestimento de pastilha azul (OM15645 – 7,5x7,5), com largura de  30 cm - atlas</t>
        </is>
      </c>
      <c r="D4633" s="10" t="inlineStr">
        <is>
          <t>Rejunte Acrilico cinza platina</t>
        </is>
      </c>
      <c r="E4633" s="11">
        <f t="array" ref="E4633">_xlfn.XLOOKUP(D4633,Insumos!B:B,Insumos!C:$C)</f>
        <v/>
      </c>
      <c r="F4633" s="14" t="n">
        <v>0.3</v>
      </c>
      <c r="G4633" s="92">
        <f t="array" ref="G4633">IF(B4633="insumo",_xlfn.XLOOKUP($D4633,Insumos!$B$1:$B$996,Insumos!$D$1:$D$996),"")</f>
        <v/>
      </c>
      <c r="H4633" s="92" t="n">
        <v>11.4</v>
      </c>
      <c r="I4633" s="2162" t="e">
        <v>#REF!</v>
      </c>
      <c r="J4633" s="2162" t="e">
        <v>#REF!</v>
      </c>
      <c r="K4633" s="2162" t="n"/>
    </row>
    <row r="4634" outlineLevel="3" ht="15.75" customHeight="1">
      <c r="A4634" s="10" t="n">
        <v>142</v>
      </c>
      <c r="B4634" s="10" t="inlineStr">
        <is>
          <t>Insumo</t>
        </is>
      </c>
      <c r="C4634" s="10" t="inlineStr">
        <is>
          <t>Moldura de fachada, com revestimento de pastilha azul (OM15645 – 7,5x7,5), com largura de  30 cm - atlas</t>
        </is>
      </c>
      <c r="D4634" s="10" t="inlineStr">
        <is>
          <t>Espeçador junta piso 2mm</t>
        </is>
      </c>
      <c r="E4634" s="11">
        <f t="array" ref="E4634">_xlfn.XLOOKUP(D4634,Insumos!B:B,Insumos!C:$C)</f>
        <v/>
      </c>
      <c r="F4634" s="14" t="n">
        <v>0.003</v>
      </c>
      <c r="G4634" s="92">
        <f t="array" ref="G4634">IF(B4634="insumo",_xlfn.XLOOKUP($D4634,Insumos!$B$1:$B$996,Insumos!$D$1:$D$996),"")</f>
        <v/>
      </c>
      <c r="H4634" s="92" t="n">
        <v>0.00024</v>
      </c>
      <c r="I4634" s="2162" t="e">
        <v>#REF!</v>
      </c>
      <c r="J4634" s="2162" t="e">
        <v>#REF!</v>
      </c>
      <c r="K4634" s="2162" t="n"/>
    </row>
    <row r="4635" outlineLevel="3" ht="15.75" customHeight="1">
      <c r="A4635" s="10" t="n">
        <v>5</v>
      </c>
      <c r="B4635" s="10" t="inlineStr">
        <is>
          <t>Insumo</t>
        </is>
      </c>
      <c r="C4635" s="10" t="inlineStr">
        <is>
          <t>Moldura de fachada, com revestimento de pastilha azul (OM15645 – 7,5x7,5), com largura de  30 cm - atlas</t>
        </is>
      </c>
      <c r="D4635" s="10" t="inlineStr">
        <is>
          <t>Moldura EPS - m³</t>
        </is>
      </c>
      <c r="E4635" s="11">
        <f t="array" ref="E4635">_xlfn.XLOOKUP(D4635,Insumos!B:B,Insumos!C:$C)</f>
        <v/>
      </c>
      <c r="F4635" s="14" t="n">
        <v>0.033</v>
      </c>
      <c r="G4635" s="92">
        <f t="array" ref="G4635">IF(B4635="insumo",_xlfn.XLOOKUP($D4635,Insumos!$B$1:$B$996,Insumos!$D$1:$D$996),"")</f>
        <v/>
      </c>
      <c r="H4635" s="92" t="n">
        <v>45.4545454545455</v>
      </c>
      <c r="I4635" s="2162" t="e">
        <v>#REF!</v>
      </c>
      <c r="J4635" s="2162" t="e">
        <v>#REF!</v>
      </c>
      <c r="K4635" s="2162" t="n"/>
    </row>
    <row r="4636" outlineLevel="3" ht="15.75" customHeight="1">
      <c r="A4636" s="10" t="n">
        <v>4</v>
      </c>
      <c r="B4636" s="10" t="inlineStr">
        <is>
          <t>Insumo</t>
        </is>
      </c>
      <c r="C4636" s="10" t="inlineStr">
        <is>
          <t>Moldura de fachada, com revestimento de pastilha azul (OM15645 – 7,5x7,5), com largura de  30 cm - atlas</t>
        </is>
      </c>
      <c r="D4636" s="10" t="inlineStr">
        <is>
          <t>Massa cimentícia armada</t>
        </is>
      </c>
      <c r="E4636" s="11">
        <f t="array" ref="E4636">_xlfn.XLOOKUP(D4636,Insumos!B:B,Insumos!C:$C)</f>
        <v/>
      </c>
      <c r="F4636" s="14" t="n">
        <v>1.5</v>
      </c>
      <c r="G4636" s="92">
        <f t="array" ref="G4636">IF(B4636="insumo",_xlfn.XLOOKUP($D4636,Insumos!$B$1:$B$996,Insumos!$D$1:$D$996),"")</f>
        <v/>
      </c>
      <c r="H4636" s="92" t="n">
        <v>27.49</v>
      </c>
      <c r="I4636" s="2162" t="e">
        <v>#REF!</v>
      </c>
      <c r="J4636" s="2162" t="e">
        <v>#REF!</v>
      </c>
      <c r="K4636" s="2162" t="n"/>
    </row>
    <row r="4637" outlineLevel="3" ht="15.75" customHeight="1">
      <c r="A4637" s="10" t="n">
        <v>5</v>
      </c>
      <c r="B4637" s="10" t="inlineStr">
        <is>
          <t>Insumo</t>
        </is>
      </c>
      <c r="C4637" s="10" t="inlineStr">
        <is>
          <t>Moldura de fachada, com revestimento de pastilha azul (OM15645 – 7,5x7,5), com largura de  30 cm - atlas</t>
        </is>
      </c>
      <c r="D4637" s="10" t="inlineStr">
        <is>
          <t>Tela de Fibra de Vidro</t>
        </is>
      </c>
      <c r="E4637" s="11">
        <f t="array" ref="E4637">_xlfn.XLOOKUP(D4637,Insumos!B:B,Insumos!C:$C)</f>
        <v/>
      </c>
      <c r="F4637" s="14" t="n">
        <v>0.33</v>
      </c>
      <c r="G4637" s="92">
        <f t="array" ref="G4637">IF(B4637="insumo",_xlfn.XLOOKUP($D4637,Insumos!$B$1:$B$996,Insumos!$D$1:$D$996),"")</f>
        <v/>
      </c>
      <c r="H4637" s="92" t="n">
        <v>2.673</v>
      </c>
      <c r="I4637" s="2162" t="e">
        <v>#REF!</v>
      </c>
      <c r="J4637" s="2162" t="e">
        <v>#REF!</v>
      </c>
      <c r="K4637" s="2162" t="n"/>
    </row>
    <row r="4638" outlineLevel="2" ht="12.75" customHeight="1">
      <c r="A4638" s="1071" t="n">
        <v>1</v>
      </c>
      <c r="B4638" s="1071" t="inlineStr">
        <is>
          <t>Serviço</t>
        </is>
      </c>
      <c r="C4638" s="1071" t="inlineStr">
        <is>
          <t>Moldura de fachada, com revestimento externo de porcelanato painel kyoto, 60 x120cm com Junta de 2mm e largura de 30 cm</t>
        </is>
      </c>
      <c r="D4638" s="1071" t="inlineStr">
        <is>
          <t>Moldura de fachada, com revestimento externo de porcelanato painel kyoto, 60 x120cm com Junta de 2mm e largura de 30 cm</t>
        </is>
      </c>
      <c r="E4638" s="1072" t="inlineStr">
        <is>
          <t>M</t>
        </is>
      </c>
      <c r="F4638" s="1071" t="n"/>
      <c r="G4638" s="1073">
        <f t="array" ref="G4638">IF(B4638="insumo",_xlfn.XLOOKUP($D4638,Insumos!$B$1:$B$996,Insumos!$D$1:$D$996),"")</f>
        <v/>
      </c>
      <c r="H4638" s="1073" t="n">
        <v>130.099375454545</v>
      </c>
      <c r="I4638" s="2163" t="e">
        <v>#REF!</v>
      </c>
      <c r="J4638" s="2163" t="e">
        <v>#REF!</v>
      </c>
      <c r="K4638" s="2163" t="n"/>
    </row>
    <row r="4639" outlineLevel="3" ht="12.75" customHeight="1">
      <c r="A4639" s="82" t="n">
        <v>3</v>
      </c>
      <c r="B4639" s="82" t="inlineStr">
        <is>
          <t>Insumo</t>
        </is>
      </c>
      <c r="C4639" s="82" t="inlineStr">
        <is>
          <t>Moldura de fachada, com revestimento externo de porcelanato painel kyoto, 60 x120cm com Junta de 2mm e largura de 30 cm</t>
        </is>
      </c>
      <c r="D4639" s="10" t="inlineStr">
        <is>
          <t xml:space="preserve">Porcelanato Painel Kyoto - PAINEL KYOTO FENDI AC 60X120 CM </t>
        </is>
      </c>
      <c r="E4639" s="11">
        <f t="array" ref="E4639">_xlfn.XLOOKUP(D4639,Insumos!B:B,Insumos!C:$C)</f>
        <v/>
      </c>
      <c r="F4639" s="2164" t="n">
        <v>0.33</v>
      </c>
      <c r="G4639" s="92">
        <f t="array" ref="G4639">IF(B4639="insumo",_xlfn.XLOOKUP($D4639,Insumos!$B$1:$B$996,Insumos!$D$1:$D$996),"")</f>
        <v/>
      </c>
      <c r="H4639" s="92" t="n">
        <v>48.642</v>
      </c>
      <c r="I4639" s="2165" t="e">
        <v>#REF!</v>
      </c>
      <c r="J4639" s="2165" t="e">
        <v>#REF!</v>
      </c>
      <c r="K4639" s="2165" t="n"/>
    </row>
    <row r="4640" outlineLevel="3" ht="12.75" customHeight="1">
      <c r="A4640" s="82" t="n">
        <v>191</v>
      </c>
      <c r="B4640" s="82" t="inlineStr">
        <is>
          <t>Insumo</t>
        </is>
      </c>
      <c r="C4640" s="82" t="inlineStr">
        <is>
          <t>Moldura de fachada, com revestimento externo de porcelanato painel kyoto, 60 x120cm com Junta de 2mm e largura de 30 cm</t>
        </is>
      </c>
      <c r="D4640" s="82" t="inlineStr">
        <is>
          <t>Argamassa ACIII</t>
        </is>
      </c>
      <c r="E4640" s="11">
        <f t="array" ref="E4640">_xlfn.XLOOKUP(D4640,Insumos!B:B,Insumos!C:$C)</f>
        <v/>
      </c>
      <c r="F4640" s="2164">
        <f>2.64+2.7</f>
        <v/>
      </c>
      <c r="G4640" s="92">
        <f t="array" ref="G4640">IF(B4640="insumo",_xlfn.XLOOKUP($D4640,Insumos!$B$1:$B$996,Insumos!$D$1:$D$996),"")</f>
        <v/>
      </c>
      <c r="H4640" s="92" t="n">
        <v>5.68443</v>
      </c>
      <c r="I4640" s="2165" t="e">
        <v>#REF!</v>
      </c>
      <c r="J4640" s="2165" t="e">
        <v>#REF!</v>
      </c>
      <c r="K4640" s="2165" t="n"/>
    </row>
    <row r="4641" outlineLevel="3" ht="12.75" customHeight="1">
      <c r="A4641" s="82" t="n">
        <v>142</v>
      </c>
      <c r="B4641" s="82" t="inlineStr">
        <is>
          <t>Insumo</t>
        </is>
      </c>
      <c r="C4641" s="82" t="inlineStr">
        <is>
          <t>Moldura de fachada, com revestimento externo de porcelanato painel kyoto, 60 x120cm com Junta de 2mm e largura de 30 cm</t>
        </is>
      </c>
      <c r="D4641" s="82" t="inlineStr">
        <is>
          <t>Espeçador junta piso 2mm</t>
        </is>
      </c>
      <c r="E4641" s="11">
        <f t="array" ref="E4641">_xlfn.XLOOKUP(D4641,Insumos!B:B,Insumos!C:$C)</f>
        <v/>
      </c>
      <c r="F4641" s="2164" t="n">
        <v>0.3</v>
      </c>
      <c r="G4641" s="92">
        <f t="array" ref="G4641">IF(B4641="insumo",_xlfn.XLOOKUP($D4641,Insumos!$B$1:$B$996,Insumos!$D$1:$D$996),"")</f>
        <v/>
      </c>
      <c r="H4641" s="92" t="n">
        <v>0.024</v>
      </c>
      <c r="I4641" s="2165" t="e">
        <v>#REF!</v>
      </c>
      <c r="J4641" s="2165" t="e">
        <v>#REF!</v>
      </c>
      <c r="K4641" s="2165" t="n"/>
    </row>
    <row r="4642" outlineLevel="3" ht="12.75" customHeight="1">
      <c r="A4642" s="82" t="n">
        <v>22</v>
      </c>
      <c r="B4642" s="82" t="inlineStr">
        <is>
          <t>Insumo</t>
        </is>
      </c>
      <c r="C4642" s="82" t="inlineStr">
        <is>
          <t>Moldura de fachada, com revestimento externo de porcelanato painel kyoto, 60 x120cm com Junta de 2mm e largura de 30 cm</t>
        </is>
      </c>
      <c r="D4642" s="82" t="inlineStr">
        <is>
          <t>Rejunte acrilico</t>
        </is>
      </c>
      <c r="E4642" s="11">
        <f t="array" ref="E4642">_xlfn.XLOOKUP(D4642,Insumos!B:B,Insumos!C:$C)</f>
        <v/>
      </c>
      <c r="F4642" s="2164" t="n">
        <v>0.003</v>
      </c>
      <c r="G4642" s="92">
        <f t="array" ref="G4642">IF(B4642="insumo",_xlfn.XLOOKUP($D4642,Insumos!$B$1:$B$996,Insumos!$D$1:$D$996),"")</f>
        <v/>
      </c>
      <c r="H4642" s="92" t="n">
        <v>0.1314</v>
      </c>
      <c r="I4642" s="2165" t="e">
        <v>#REF!</v>
      </c>
      <c r="J4642" s="2165" t="e">
        <v>#REF!</v>
      </c>
      <c r="K4642" s="2165" t="n"/>
    </row>
    <row r="4643" outlineLevel="3" ht="15.75" customHeight="1">
      <c r="A4643" s="10" t="n">
        <v>5</v>
      </c>
      <c r="B4643" s="10" t="inlineStr">
        <is>
          <t>Insumo</t>
        </is>
      </c>
      <c r="C4643" s="10" t="inlineStr">
        <is>
          <t>Moldura de fachada, com revestimento externo de porcelanato painel kyoto, 60 x120cm com Junta de 2mm e largura de 30 cm</t>
        </is>
      </c>
      <c r="D4643" s="10" t="inlineStr">
        <is>
          <t>Moldura EPS - m³</t>
        </is>
      </c>
      <c r="E4643" s="11">
        <f t="array" ref="E4643">_xlfn.XLOOKUP(D4643,Insumos!B:B,Insumos!C:$C)</f>
        <v/>
      </c>
      <c r="F4643" s="14" t="n">
        <v>0.033</v>
      </c>
      <c r="G4643" s="92">
        <f t="array" ref="G4643">IF(B4643="insumo",_xlfn.XLOOKUP($D4643,Insumos!$B$1:$B$996,Insumos!$D$1:$D$996),"")</f>
        <v/>
      </c>
      <c r="H4643" s="92" t="n">
        <v>45.4545454545455</v>
      </c>
      <c r="I4643" s="2162" t="e">
        <v>#REF!</v>
      </c>
      <c r="J4643" s="2162" t="e">
        <v>#REF!</v>
      </c>
      <c r="K4643" s="2162" t="n"/>
    </row>
    <row r="4644" outlineLevel="3" ht="15.75" customHeight="1">
      <c r="A4644" s="10" t="n">
        <v>4</v>
      </c>
      <c r="B4644" s="10" t="inlineStr">
        <is>
          <t>Insumo</t>
        </is>
      </c>
      <c r="C4644" s="10" t="inlineStr">
        <is>
          <t>Moldura de fachada, com revestimento externo de porcelanato painel kyoto, 60 x120cm com Junta de 2mm e largura de 30 cm</t>
        </is>
      </c>
      <c r="D4644" s="10" t="inlineStr">
        <is>
          <t>Massa cimentícia armada</t>
        </is>
      </c>
      <c r="E4644" s="11">
        <f t="array" ref="E4644">_xlfn.XLOOKUP(D4644,Insumos!B:B,Insumos!C:$C)</f>
        <v/>
      </c>
      <c r="F4644" s="14" t="n">
        <v>1.5</v>
      </c>
      <c r="G4644" s="92">
        <f t="array" ref="G4644">IF(B4644="insumo",_xlfn.XLOOKUP($D4644,Insumos!$B$1:$B$996,Insumos!$D$1:$D$996),"")</f>
        <v/>
      </c>
      <c r="H4644" s="92" t="n">
        <v>27.49</v>
      </c>
      <c r="I4644" s="2162" t="e">
        <v>#REF!</v>
      </c>
      <c r="J4644" s="2162" t="e">
        <v>#REF!</v>
      </c>
      <c r="K4644" s="2162" t="n"/>
    </row>
    <row r="4645" outlineLevel="3" ht="15.75" customHeight="1">
      <c r="A4645" s="10" t="n">
        <v>5</v>
      </c>
      <c r="B4645" s="10" t="inlineStr">
        <is>
          <t>Insumo</t>
        </is>
      </c>
      <c r="C4645" s="10" t="inlineStr">
        <is>
          <t>Moldura de fachada, com revestimento externo de porcelanato painel kyoto, 60 x120cm com Junta de 2mm e largura de 30 cm</t>
        </is>
      </c>
      <c r="D4645" s="10" t="inlineStr">
        <is>
          <t>Tela de Fibra de Vidro</t>
        </is>
      </c>
      <c r="E4645" s="11">
        <f t="array" ref="E4645">_xlfn.XLOOKUP(D4645,Insumos!B:B,Insumos!C:$C)</f>
        <v/>
      </c>
      <c r="F4645" s="14" t="n">
        <v>0.33</v>
      </c>
      <c r="G4645" s="92">
        <f t="array" ref="G4645">IF(B4645="insumo",_xlfn.XLOOKUP($D4645,Insumos!$B$1:$B$996,Insumos!$D$1:$D$996),"")</f>
        <v/>
      </c>
      <c r="H4645" s="92" t="n">
        <v>2.673</v>
      </c>
      <c r="I4645" s="2162" t="e">
        <v>#REF!</v>
      </c>
      <c r="J4645" s="2162" t="e">
        <v>#REF!</v>
      </c>
      <c r="K4645" s="2162" t="n"/>
    </row>
    <row r="4646" outlineLevel="2" ht="12.75" customHeight="1">
      <c r="A4646" s="1071" t="n">
        <v>1</v>
      </c>
      <c r="B4646" s="1071" t="inlineStr">
        <is>
          <t>Serviço</t>
        </is>
      </c>
      <c r="C4646" s="1071" t="inlineStr">
        <is>
          <t>Moldura de fachada, com revestimento externo de Cerâmica extrudada Brick Tile, 60x15cm, com Junta de 2mm e largura de 30 cm</t>
        </is>
      </c>
      <c r="D4646" s="1071" t="inlineStr">
        <is>
          <t>Moldura de fachada, com revestimento externo de Cerâmica extrudada Brick Tile, 60x15cm, com Junta de 2mm e largura de 30 cm</t>
        </is>
      </c>
      <c r="E4646" s="1072" t="inlineStr">
        <is>
          <t>M</t>
        </is>
      </c>
      <c r="F4646" s="1071" t="n"/>
      <c r="G4646" s="1073">
        <f t="array" ref="G4646">IF(B4646="insumo",_xlfn.XLOOKUP($D4646,Insumos!$B$1:$B$996,Insumos!$D$1:$D$996),"")</f>
        <v/>
      </c>
      <c r="H4646" s="1073" t="n">
        <v>211.477375454545</v>
      </c>
      <c r="I4646" s="2163" t="e">
        <v>#REF!</v>
      </c>
      <c r="J4646" s="2163" t="e">
        <v>#REF!</v>
      </c>
      <c r="K4646" s="2163" t="n"/>
    </row>
    <row r="4647" outlineLevel="3" ht="12.75" customHeight="1">
      <c r="A4647" s="82" t="n">
        <v>3</v>
      </c>
      <c r="B4647" s="82" t="inlineStr">
        <is>
          <t>Insumo</t>
        </is>
      </c>
      <c r="C4647" s="82" t="inlineStr">
        <is>
          <t>Moldura de fachada, com revestimento externo de Cerâmica extrudada Brick Tile, 60x15cm, com Junta de 2mm e largura de 30 cm</t>
        </is>
      </c>
      <c r="D4647" s="10" t="inlineStr">
        <is>
          <t>Cerâmica Extrudada - Cerâmica Extrudada para Fachada Ventilada tijolo a vista, Modelo Faveton BRICK TILE, medida máxima de 600x150x16mm</t>
        </is>
      </c>
      <c r="E4647" s="11">
        <f t="array" ref="E4647">_xlfn.XLOOKUP(D4647,Insumos!B:B,Insumos!C:$C)</f>
        <v/>
      </c>
      <c r="F4647" s="2164" t="n">
        <v>0.33</v>
      </c>
      <c r="G4647" s="92">
        <f t="array" ref="G4647">IF(B4647="insumo",_xlfn.XLOOKUP($D4647,Insumos!$B$1:$B$996,Insumos!$D$1:$D$996),"")</f>
        <v/>
      </c>
      <c r="H4647" s="92" t="n">
        <v>130.02</v>
      </c>
      <c r="I4647" s="2165" t="e">
        <v>#REF!</v>
      </c>
      <c r="J4647" s="2165" t="e">
        <v>#REF!</v>
      </c>
      <c r="K4647" s="2165" t="n"/>
    </row>
    <row r="4648" outlineLevel="3" ht="12.75" customHeight="1">
      <c r="A4648" s="82" t="n">
        <v>191</v>
      </c>
      <c r="B4648" s="82" t="inlineStr">
        <is>
          <t>Insumo</t>
        </is>
      </c>
      <c r="C4648" s="82" t="inlineStr">
        <is>
          <t>Moldura de fachada, com revestimento externo de Cerâmica extrudada Brick Tile, 60x15cm, com Junta de 2mm e largura de 30 cm</t>
        </is>
      </c>
      <c r="D4648" s="82" t="inlineStr">
        <is>
          <t>Argamassa ACIII</t>
        </is>
      </c>
      <c r="E4648" s="11">
        <f t="array" ref="E4648">_xlfn.XLOOKUP(D4648,Insumos!B:B,Insumos!C:$C)</f>
        <v/>
      </c>
      <c r="F4648" s="2164">
        <f>2.64+2.7</f>
        <v/>
      </c>
      <c r="G4648" s="92">
        <f t="array" ref="G4648">IF(B4648="insumo",_xlfn.XLOOKUP($D4648,Insumos!$B$1:$B$996,Insumos!$D$1:$D$996),"")</f>
        <v/>
      </c>
      <c r="H4648" s="92" t="n">
        <v>5.68443</v>
      </c>
      <c r="I4648" s="2165" t="e">
        <v>#REF!</v>
      </c>
      <c r="J4648" s="2165" t="e">
        <v>#REF!</v>
      </c>
      <c r="K4648" s="2165" t="n"/>
    </row>
    <row r="4649" outlineLevel="3" ht="12.75" customHeight="1">
      <c r="A4649" s="82" t="n">
        <v>142</v>
      </c>
      <c r="B4649" s="82" t="inlineStr">
        <is>
          <t>Insumo</t>
        </is>
      </c>
      <c r="C4649" s="82" t="inlineStr">
        <is>
          <t>Moldura de fachada, com revestimento externo de Cerâmica extrudada Brick Tile, 60x15cm, com Junta de 2mm e largura de 30 cm</t>
        </is>
      </c>
      <c r="D4649" s="82" t="inlineStr">
        <is>
          <t>Espeçador junta piso 2mm</t>
        </is>
      </c>
      <c r="E4649" s="11">
        <f t="array" ref="E4649">_xlfn.XLOOKUP(D4649,Insumos!B:B,Insumos!C:$C)</f>
        <v/>
      </c>
      <c r="F4649" s="2164" t="n">
        <v>0.3</v>
      </c>
      <c r="G4649" s="92">
        <f t="array" ref="G4649">IF(B4649="insumo",_xlfn.XLOOKUP($D4649,Insumos!$B$1:$B$996,Insumos!$D$1:$D$996),"")</f>
        <v/>
      </c>
      <c r="H4649" s="92" t="n">
        <v>0.024</v>
      </c>
      <c r="I4649" s="2165" t="e">
        <v>#REF!</v>
      </c>
      <c r="J4649" s="2165" t="e">
        <v>#REF!</v>
      </c>
      <c r="K4649" s="2165" t="n"/>
    </row>
    <row r="4650" outlineLevel="3" ht="12.75" customHeight="1">
      <c r="A4650" s="82" t="n">
        <v>22</v>
      </c>
      <c r="B4650" s="82" t="inlineStr">
        <is>
          <t>Insumo</t>
        </is>
      </c>
      <c r="C4650" s="82" t="inlineStr">
        <is>
          <t>Moldura de fachada, com revestimento externo de Cerâmica extrudada Brick Tile, 60x15cm, com Junta de 2mm e largura de 30 cm</t>
        </is>
      </c>
      <c r="D4650" s="82" t="inlineStr">
        <is>
          <t>Rejunte acrilico</t>
        </is>
      </c>
      <c r="E4650" s="11">
        <f t="array" ref="E4650">_xlfn.XLOOKUP(D4650,Insumos!B:B,Insumos!C:$C)</f>
        <v/>
      </c>
      <c r="F4650" s="2164" t="n">
        <v>0.003</v>
      </c>
      <c r="G4650" s="92">
        <f t="array" ref="G4650">IF(B4650="insumo",_xlfn.XLOOKUP($D4650,Insumos!$B$1:$B$996,Insumos!$D$1:$D$996),"")</f>
        <v/>
      </c>
      <c r="H4650" s="92" t="n">
        <v>0.1314</v>
      </c>
      <c r="I4650" s="2165" t="e">
        <v>#REF!</v>
      </c>
      <c r="J4650" s="2165" t="e">
        <v>#REF!</v>
      </c>
      <c r="K4650" s="2165" t="n"/>
    </row>
    <row r="4651" outlineLevel="3" ht="15.75" customHeight="1">
      <c r="A4651" s="10" t="n">
        <v>5</v>
      </c>
      <c r="B4651" s="10" t="inlineStr">
        <is>
          <t>Insumo</t>
        </is>
      </c>
      <c r="C4651" s="10" t="inlineStr">
        <is>
          <t>Moldura de fachada, com revestimento externo de Cerâmica extrudada Brick Tile, 60x15cm, com Junta de 2mm e largura de 30 cm</t>
        </is>
      </c>
      <c r="D4651" s="10" t="inlineStr">
        <is>
          <t>Moldura EPS - m³</t>
        </is>
      </c>
      <c r="E4651" s="11">
        <f t="array" ref="E4651">_xlfn.XLOOKUP(D4651,Insumos!B:B,Insumos!C:$C)</f>
        <v/>
      </c>
      <c r="F4651" s="14" t="n">
        <v>0.033</v>
      </c>
      <c r="G4651" s="92">
        <f t="array" ref="G4651">IF(B4651="insumo",_xlfn.XLOOKUP($D4651,Insumos!$B$1:$B$996,Insumos!$D$1:$D$996),"")</f>
        <v/>
      </c>
      <c r="H4651" s="92" t="n">
        <v>45.4545454545455</v>
      </c>
      <c r="I4651" s="2162" t="e">
        <v>#REF!</v>
      </c>
      <c r="J4651" s="2162" t="e">
        <v>#REF!</v>
      </c>
      <c r="K4651" s="2162" t="n"/>
    </row>
    <row r="4652" outlineLevel="3" ht="15.75" customHeight="1">
      <c r="A4652" s="10" t="n">
        <v>4</v>
      </c>
      <c r="B4652" s="10" t="inlineStr">
        <is>
          <t>Insumo</t>
        </is>
      </c>
      <c r="C4652" s="10" t="inlineStr">
        <is>
          <t>Moldura de fachada, com revestimento externo de Cerâmica extrudada Brick Tile, 60x15cm, com Junta de 2mm e largura de 30 cm</t>
        </is>
      </c>
      <c r="D4652" s="10" t="inlineStr">
        <is>
          <t>Massa cimentícia armada</t>
        </is>
      </c>
      <c r="E4652" s="11">
        <f t="array" ref="E4652">_xlfn.XLOOKUP(D4652,Insumos!B:B,Insumos!C:$C)</f>
        <v/>
      </c>
      <c r="F4652" s="14" t="n">
        <v>1.5</v>
      </c>
      <c r="G4652" s="92">
        <f t="array" ref="G4652">IF(B4652="insumo",_xlfn.XLOOKUP($D4652,Insumos!$B$1:$B$996,Insumos!$D$1:$D$996),"")</f>
        <v/>
      </c>
      <c r="H4652" s="92" t="n">
        <v>27.49</v>
      </c>
      <c r="I4652" s="2162" t="e">
        <v>#REF!</v>
      </c>
      <c r="J4652" s="2162" t="e">
        <v>#REF!</v>
      </c>
      <c r="K4652" s="2162" t="n"/>
    </row>
    <row r="4653" outlineLevel="3" ht="15.75" customHeight="1">
      <c r="A4653" s="10" t="n">
        <v>5</v>
      </c>
      <c r="B4653" s="10" t="inlineStr">
        <is>
          <t>Insumo</t>
        </is>
      </c>
      <c r="C4653" s="10" t="inlineStr">
        <is>
          <t>Moldura de fachada, com revestimento externo de Cerâmica extrudada Brick Tile, 60x15cm, com Junta de 2mm e largura de 30 cm</t>
        </is>
      </c>
      <c r="D4653" s="10" t="inlineStr">
        <is>
          <t>Tela de Fibra de Vidro</t>
        </is>
      </c>
      <c r="E4653" s="11">
        <f t="array" ref="E4653">_xlfn.XLOOKUP(D4653,Insumos!B:B,Insumos!C:$C)</f>
        <v/>
      </c>
      <c r="F4653" s="14" t="n">
        <v>0.33</v>
      </c>
      <c r="G4653" s="92">
        <f t="array" ref="G4653">IF(B4653="insumo",_xlfn.XLOOKUP($D4653,Insumos!$B$1:$B$996,Insumos!$D$1:$D$996),"")</f>
        <v/>
      </c>
      <c r="H4653" s="92" t="n">
        <v>2.673</v>
      </c>
      <c r="I4653" s="2162" t="e">
        <v>#REF!</v>
      </c>
      <c r="J4653" s="2162" t="e">
        <v>#REF!</v>
      </c>
      <c r="K4653" s="2162" t="n"/>
    </row>
    <row r="4654" outlineLevel="2" ht="15.75" customHeight="1">
      <c r="A4654" s="1067" t="n">
        <v>1</v>
      </c>
      <c r="B4654" s="1067" t="inlineStr">
        <is>
          <t>Serviço</t>
        </is>
      </c>
      <c r="C4654" s="1067" t="inlineStr">
        <is>
          <t>Revestimento de Cerâmica extrudada Brick Tile, 60x15cm ventilado, com toda a estrutura - Material e Mão de Obra</t>
        </is>
      </c>
      <c r="D4654" s="1067" t="inlineStr">
        <is>
          <t>Revestimento de Cerâmica extrudada Brick Tile, 60x15cm ventilado, com toda a estrutura - Material e Mão de Obra</t>
        </is>
      </c>
      <c r="E4654" s="1072" t="inlineStr">
        <is>
          <t>M2</t>
        </is>
      </c>
      <c r="F4654" s="1067" t="n"/>
      <c r="G4654" s="1069">
        <f t="array" ref="G4654">IF(B4654="insumo",_xlfn.XLOOKUP($D4654,Insumos!$B$1:$B$996,Insumos!$D$1:$D$996),"")</f>
        <v/>
      </c>
      <c r="H4654" s="1069" t="n">
        <v>1102</v>
      </c>
      <c r="I4654" s="2161" t="e">
        <v>#REF!</v>
      </c>
      <c r="J4654" s="2161" t="e">
        <v>#REF!</v>
      </c>
      <c r="K4654" s="2161" t="n"/>
    </row>
    <row r="4655" outlineLevel="3" ht="15.75" customHeight="1">
      <c r="A4655" s="10" t="n">
        <v>3</v>
      </c>
      <c r="B4655" s="10" t="inlineStr">
        <is>
          <t>Insumo</t>
        </is>
      </c>
      <c r="C4655" s="10" t="inlineStr">
        <is>
          <t>Revestimento de Cerâmica extrudada Brick Tile, 60x15cm ventilado, com toda a estrutura - Material e Mão de Obra</t>
        </is>
      </c>
      <c r="D4655" s="10" t="inlineStr">
        <is>
          <t>Cerâmica Extrudada - Cerâmica Extrudada para Fachada Ventilada tijolo a vista, Modelo Faveton BRICK TILE, medida máxima de 600x150x16mm</t>
        </is>
      </c>
      <c r="E4655" s="11">
        <f t="array" ref="E4655">_xlfn.XLOOKUP(D4655,Insumos!B:B,Insumos!C:$C)</f>
        <v/>
      </c>
      <c r="F4655" s="14" t="n">
        <v>1.1</v>
      </c>
      <c r="G4655" s="92">
        <f t="array" ref="G4655">IF(B4655="insumo",_xlfn.XLOOKUP($D4655,Insumos!$B$1:$B$996,Insumos!$D$1:$D$996),"")</f>
        <v/>
      </c>
      <c r="H4655" s="92" t="n">
        <v>433.4</v>
      </c>
      <c r="I4655" s="2162" t="e">
        <v>#REF!</v>
      </c>
      <c r="J4655" s="2162" t="e">
        <v>#REF!</v>
      </c>
      <c r="K4655" s="2162" t="n"/>
    </row>
    <row r="4656" outlineLevel="3" ht="15.75" customHeight="1">
      <c r="A4656" s="10" t="n">
        <v>1</v>
      </c>
      <c r="B4656" s="10" t="inlineStr">
        <is>
          <t>Insumo</t>
        </is>
      </c>
      <c r="C4656" s="10" t="inlineStr">
        <is>
          <t>Revestimento de Cerâmica extrudada Brick Tile, 60x15cm ventilado, com toda a estrutura - Material e Mão de Obra</t>
        </is>
      </c>
      <c r="D4656" s="10" t="inlineStr">
        <is>
          <t>Mecanização de chapas ventiladas + Mão de obra + projeto executivo</t>
        </is>
      </c>
      <c r="E4656" s="11">
        <f t="array" ref="E4656">_xlfn.XLOOKUP(D4656,Insumos!B:B,Insumos!C:$C)</f>
        <v/>
      </c>
      <c r="F4656" s="14" t="n">
        <v>1</v>
      </c>
      <c r="G4656" s="92">
        <f t="array" ref="G4656">IF(B4656="insumo",_xlfn.XLOOKUP($D4656,Insumos!$B$1:$B$996,Insumos!$D$1:$D$996),"")</f>
        <v/>
      </c>
      <c r="H4656" s="92" t="n">
        <v>337</v>
      </c>
      <c r="I4656" s="2162" t="e">
        <v>#REF!</v>
      </c>
      <c r="J4656" s="2162" t="e">
        <v>#REF!</v>
      </c>
      <c r="K4656" s="2162" t="n"/>
    </row>
    <row r="4657" outlineLevel="3" ht="15.75" customHeight="1">
      <c r="A4657" s="10" t="n">
        <v>1</v>
      </c>
      <c r="B4657" s="10" t="inlineStr">
        <is>
          <t>Insumo</t>
        </is>
      </c>
      <c r="C4657" s="10" t="inlineStr">
        <is>
          <t>Revestimento de Cerâmica extrudada Brick Tile, 60x15cm ventilado, com toda a estrutura - Material e Mão de Obra</t>
        </is>
      </c>
      <c r="D4657" s="10" t="inlineStr">
        <is>
          <t>SISTEMA FACHADA VENTILADA BT16 - Estrutura de Alumínio e fixações em Aço Inox.</t>
        </is>
      </c>
      <c r="E4657" s="11">
        <f t="array" ref="E4657">_xlfn.XLOOKUP(D4657,Insumos!B:B,Insumos!C:$C)</f>
        <v/>
      </c>
      <c r="F4657" s="14" t="n">
        <v>1</v>
      </c>
      <c r="G4657" s="92">
        <f t="array" ref="G4657">IF(B4657="insumo",_xlfn.XLOOKUP($D4657,Insumos!$B$1:$B$996,Insumos!$D$1:$D$996),"")</f>
        <v/>
      </c>
      <c r="H4657" s="92" t="n">
        <v>298</v>
      </c>
      <c r="I4657" s="2162" t="e">
        <v>#REF!</v>
      </c>
      <c r="J4657" s="2162" t="e">
        <v>#REF!</v>
      </c>
      <c r="K4657" s="2162" t="n"/>
    </row>
    <row r="4658" outlineLevel="3" ht="15.75" customHeight="1">
      <c r="A4658" s="10" t="n">
        <v>3</v>
      </c>
      <c r="B4658" s="10" t="inlineStr">
        <is>
          <t>Insumo</t>
        </is>
      </c>
      <c r="C4658" s="10" t="inlineStr">
        <is>
          <t>Revestimento de Cerâmica extrudada Brick Tile, 60x15cm ventilado, com toda a estrutura - Material e Mão de Obra</t>
        </is>
      </c>
      <c r="D4658" s="10" t="inlineStr">
        <is>
          <t>Manta fachada ventilada</t>
        </is>
      </c>
      <c r="E4658" s="11">
        <f t="array" ref="E4658">_xlfn.XLOOKUP(D4658,Insumos!B:B,Insumos!C:$C)</f>
        <v/>
      </c>
      <c r="F4658" s="14" t="n">
        <v>1.05</v>
      </c>
      <c r="G4658" s="92">
        <f t="array" ref="G4658">IF(B4658="insumo",_xlfn.XLOOKUP($D4658,Insumos!$B$1:$B$996,Insumos!$D$1:$D$996),"")</f>
        <v/>
      </c>
      <c r="H4658" s="92" t="n">
        <v>33.6</v>
      </c>
      <c r="I4658" s="2162" t="e">
        <v>#REF!</v>
      </c>
      <c r="J4658" s="2162" t="e">
        <v>#REF!</v>
      </c>
      <c r="K4658" s="2162" t="n"/>
    </row>
    <row r="4659" outlineLevel="2" ht="15.75" customHeight="1">
      <c r="A4659" s="1067" t="n">
        <v>1</v>
      </c>
      <c r="B4659" s="1067" t="inlineStr">
        <is>
          <t>Serviço</t>
        </is>
      </c>
      <c r="C4659" s="1067" t="inlineStr">
        <is>
          <t>Revestimento de Porcelanato Kyoto 120x60 cm ventilado, com toda a estrutura - Material e Mão de Obra</t>
        </is>
      </c>
      <c r="D4659" s="1067" t="inlineStr">
        <is>
          <t>Revestimento de Porcelanato Kyoto 120x60 cm ventilado, com toda a estrutura - Material e Mão de Obra</t>
        </is>
      </c>
      <c r="E4659" s="1072" t="inlineStr">
        <is>
          <t>M2</t>
        </is>
      </c>
      <c r="F4659" s="1067" t="n"/>
      <c r="G4659" s="1069">
        <f t="array" ref="G4659">IF(B4659="insumo",_xlfn.XLOOKUP($D4659,Insumos!$B$1:$B$996,Insumos!$D$1:$D$996),"")</f>
        <v/>
      </c>
      <c r="H4659" s="1069" t="n">
        <v>807.74</v>
      </c>
      <c r="I4659" s="2161" t="e">
        <v>#REF!</v>
      </c>
      <c r="J4659" s="2161" t="e">
        <v>#REF!</v>
      </c>
      <c r="K4659" s="2161" t="n"/>
    </row>
    <row r="4660" outlineLevel="3" ht="15.75" customHeight="1">
      <c r="A4660" s="10" t="n">
        <v>3</v>
      </c>
      <c r="B4660" s="10" t="inlineStr">
        <is>
          <t>Insumo</t>
        </is>
      </c>
      <c r="C4660" s="10" t="inlineStr">
        <is>
          <t>Revestimento de Porcelanato Kyoto 120x60 cm ventilado, com toda a estrutura - Material e Mão de Obra</t>
        </is>
      </c>
      <c r="D4660" s="10" t="inlineStr">
        <is>
          <t xml:space="preserve">Porcelanato Painel Kyoto - PAINEL KYOTO FENDI AC 60X120 CM </t>
        </is>
      </c>
      <c r="E4660" s="11">
        <f t="array" ref="E4660">_xlfn.XLOOKUP(D4660,Insumos!B:B,Insumos!C:$C)</f>
        <v/>
      </c>
      <c r="F4660" s="14" t="n">
        <v>1.1</v>
      </c>
      <c r="G4660" s="92">
        <f t="array" ref="G4660">IF(B4660="insumo",_xlfn.XLOOKUP($D4660,Insumos!$B$1:$B$996,Insumos!$D$1:$D$996),"")</f>
        <v/>
      </c>
      <c r="H4660" s="92" t="n">
        <v>162.14</v>
      </c>
      <c r="I4660" s="2162" t="e">
        <v>#REF!</v>
      </c>
      <c r="J4660" s="2162" t="e">
        <v>#REF!</v>
      </c>
      <c r="K4660" s="2162" t="n"/>
    </row>
    <row r="4661" outlineLevel="3" ht="15.75" customHeight="1">
      <c r="A4661" s="10" t="n">
        <v>3</v>
      </c>
      <c r="B4661" s="10" t="inlineStr">
        <is>
          <t>Insumo</t>
        </is>
      </c>
      <c r="C4661" s="10" t="inlineStr">
        <is>
          <t>Revestimento de Porcelanato Kyoto 120x60 cm ventilado, com toda a estrutura - Material e Mão de Obra</t>
        </is>
      </c>
      <c r="D4661" s="10" t="inlineStr">
        <is>
          <t>Sistema e Instalação de Fachada Ventilada. Mecanização das peças, arremate das esquadrias e Fretes</t>
        </is>
      </c>
      <c r="E4661" s="11">
        <f t="array" ref="E4661">_xlfn.XLOOKUP(D4661,Insumos!B:B,Insumos!C:$C)</f>
        <v/>
      </c>
      <c r="F4661" s="14" t="n">
        <v>1</v>
      </c>
      <c r="G4661" s="92">
        <f t="array" ref="G4661">IF(B4661="insumo",_xlfn.XLOOKUP($D4661,Insumos!$B$1:$B$996,Insumos!$D$1:$D$996),"")</f>
        <v/>
      </c>
      <c r="H4661" s="92" t="n">
        <v>305</v>
      </c>
      <c r="I4661" s="2162" t="e">
        <v>#REF!</v>
      </c>
      <c r="J4661" s="2162" t="e">
        <v>#REF!</v>
      </c>
      <c r="K4661" s="2162" t="n"/>
    </row>
    <row r="4662" outlineLevel="3" ht="15.75" customHeight="1">
      <c r="A4662" s="10" t="n">
        <v>3</v>
      </c>
      <c r="B4662" s="10" t="inlineStr">
        <is>
          <t>Insumo</t>
        </is>
      </c>
      <c r="C4662" s="10" t="inlineStr">
        <is>
          <t>Revestimento de Porcelanato Kyoto 120x60 cm ventilado, com toda a estrutura - Material e Mão de Obra</t>
        </is>
      </c>
      <c r="D4662" s="10" t="inlineStr">
        <is>
          <t>Manta fachada ventilada</t>
        </is>
      </c>
      <c r="E4662" s="11">
        <f t="array" ref="E4662">_xlfn.XLOOKUP(D4662,Insumos!B:B,Insumos!C:$C)</f>
        <v/>
      </c>
      <c r="F4662" s="14" t="n">
        <v>1.05</v>
      </c>
      <c r="G4662" s="92">
        <f t="array" ref="G4662">IF(B4662="insumo",_xlfn.XLOOKUP($D4662,Insumos!$B$1:$B$996,Insumos!$D$1:$D$996),"")</f>
        <v/>
      </c>
      <c r="H4662" s="92" t="n">
        <v>33.6</v>
      </c>
      <c r="I4662" s="2162" t="e">
        <v>#REF!</v>
      </c>
      <c r="J4662" s="2162" t="e">
        <v>#REF!</v>
      </c>
      <c r="K4662" s="2162" t="n"/>
    </row>
    <row r="4663" outlineLevel="3" ht="15.75" customHeight="1">
      <c r="A4663" s="10" t="n">
        <v>2</v>
      </c>
      <c r="B4663" s="10" t="inlineStr">
        <is>
          <t>Insumo</t>
        </is>
      </c>
      <c r="C4663" s="10" t="inlineStr">
        <is>
          <t>Revestimento de Porcelanato Kyoto 120x60 cm ventilado, com toda a estrutura - Material e Mão de Obra</t>
        </is>
      </c>
      <c r="D4663" s="10" t="inlineStr">
        <is>
          <t>Mão de obra de facahda ventilada</t>
        </is>
      </c>
      <c r="E4663" s="11">
        <f t="array" ref="E4663">_xlfn.XLOOKUP(D4663,Insumos!B:B,Insumos!C:$C)</f>
        <v/>
      </c>
      <c r="F4663" s="14" t="n">
        <v>1</v>
      </c>
      <c r="G4663" s="92">
        <f t="array" ref="G4663">IF(B4663="insumo",_xlfn.XLOOKUP($D4663,Insumos!$B$1:$B$996,Insumos!$D$1:$D$996),"")</f>
        <v/>
      </c>
      <c r="H4663" s="92" t="n">
        <v>307</v>
      </c>
      <c r="I4663" s="2162" t="e">
        <v>#REF!</v>
      </c>
      <c r="J4663" s="2162" t="e">
        <v>#REF!</v>
      </c>
      <c r="K4663" s="2162" t="n"/>
    </row>
    <row r="4664" outlineLevel="2" ht="15.75" customHeight="1">
      <c r="A4664" s="1067" t="n">
        <v>1</v>
      </c>
      <c r="B4664" s="1067" t="inlineStr">
        <is>
          <t>Serviço</t>
        </is>
      </c>
      <c r="C4664" s="1067" t="inlineStr">
        <is>
          <t>Revestimento de tijolinho ventilado, com toda a estrutura, cores rosado e tabaco - Material e Mão de Obra</t>
        </is>
      </c>
      <c r="D4664" s="1067" t="inlineStr">
        <is>
          <t>Revestimento de tijolinho ventilado, com toda a estrutura, cores rosado e tabaco - Material e Mão de Obra</t>
        </is>
      </c>
      <c r="E4664" s="1068" t="inlineStr">
        <is>
          <t>M</t>
        </is>
      </c>
      <c r="F4664" s="1067" t="n"/>
      <c r="G4664" s="1069">
        <f t="array" ref="G4664">IF(B4664="insumo",_xlfn.XLOOKUP($D4664,Insumos!$B$1:$B$996,Insumos!$D$1:$D$996),"")</f>
        <v/>
      </c>
      <c r="H4664" s="1069" t="n">
        <v>1843.344</v>
      </c>
      <c r="I4664" s="2161" t="e">
        <v>#REF!</v>
      </c>
      <c r="J4664" s="2161" t="e">
        <v>#REF!</v>
      </c>
      <c r="K4664" s="2161" t="n"/>
    </row>
    <row r="4665" outlineLevel="3" ht="15.75" customHeight="1">
      <c r="A4665" s="10" t="n">
        <v>1</v>
      </c>
      <c r="B4665" s="10" t="inlineStr">
        <is>
          <t>Insumo</t>
        </is>
      </c>
      <c r="C4665" s="10" t="inlineStr">
        <is>
          <t>Revestimento de tijolinho ventilado, com toda a estrutura, cores rosado e tabaco - Material e Mão de Obra</t>
        </is>
      </c>
      <c r="D4665" s="10" t="inlineStr">
        <is>
          <t>tijolinho ventilado, cor rosado - parede</t>
        </is>
      </c>
      <c r="E4665" s="11">
        <f t="array" ref="E4665">_xlfn.XLOOKUP(D4665,Insumos!B:B,Insumos!C:$C)</f>
        <v/>
      </c>
      <c r="F4665" s="14">
        <f>1.1*0.8</f>
        <v/>
      </c>
      <c r="G4665" s="92">
        <f t="array" ref="G4665">IF(B4665="insumo",_xlfn.XLOOKUP($D4665,Insumos!$B$1:$B$996,Insumos!$D$1:$D$996),"")</f>
        <v/>
      </c>
      <c r="H4665" s="92" t="n">
        <v>874.3680000000001</v>
      </c>
      <c r="I4665" s="2162" t="e">
        <v>#REF!</v>
      </c>
      <c r="J4665" s="2162" t="e">
        <v>#REF!</v>
      </c>
      <c r="K4665" s="2162" t="n"/>
    </row>
    <row r="4666" outlineLevel="3" ht="15.75" customHeight="1">
      <c r="A4666" s="10" t="n">
        <v>1</v>
      </c>
      <c r="B4666" s="10" t="inlineStr">
        <is>
          <t>Insumo</t>
        </is>
      </c>
      <c r="C4666" s="10" t="inlineStr">
        <is>
          <t>Revestimento de tijolinho ventilado, com toda a estrutura, cores rosado e tabaco - Material e Mão de Obra</t>
        </is>
      </c>
      <c r="D4666" s="10" t="inlineStr">
        <is>
          <t>tijolinho ventilado, cor tabaco - parede</t>
        </is>
      </c>
      <c r="E4666" s="11">
        <f t="array" ref="E4666">_xlfn.XLOOKUP(D4666,Insumos!B:B,Insumos!C:$C)</f>
        <v/>
      </c>
      <c r="F4666" s="14">
        <f>1.1*0.2</f>
        <v/>
      </c>
      <c r="G4666" s="92">
        <f t="array" ref="G4666">IF(B4666="insumo",_xlfn.XLOOKUP($D4666,Insumos!$B$1:$B$996,Insumos!$D$1:$D$996),"")</f>
        <v/>
      </c>
      <c r="H4666" s="92" t="n">
        <v>233.376</v>
      </c>
      <c r="I4666" s="2162" t="e">
        <v>#REF!</v>
      </c>
      <c r="J4666" s="2162" t="e">
        <v>#REF!</v>
      </c>
      <c r="K4666" s="2162" t="n"/>
    </row>
    <row r="4667" outlineLevel="3" ht="15.75" customHeight="1">
      <c r="A4667" s="10" t="n">
        <v>3</v>
      </c>
      <c r="B4667" s="10" t="inlineStr">
        <is>
          <t>Insumo</t>
        </is>
      </c>
      <c r="C4667" s="10" t="inlineStr">
        <is>
          <t>Revestimento de tijolinho ventilado, com toda a estrutura, cores rosado e tabaco - Material e Mão de Obra</t>
        </is>
      </c>
      <c r="D4667" s="10" t="inlineStr">
        <is>
          <t>Sistema e Instalação de Fachada Ventilada. Mecanização das peças, arremate das esquadrias e Fretes</t>
        </is>
      </c>
      <c r="E4667" s="11">
        <f t="array" ref="E4667">_xlfn.XLOOKUP(D4667,Insumos!B:B,Insumos!C:$C)</f>
        <v/>
      </c>
      <c r="F4667" s="14" t="n">
        <v>1</v>
      </c>
      <c r="G4667" s="92">
        <f t="array" ref="G4667">IF(B4667="insumo",_xlfn.XLOOKUP($D4667,Insumos!$B$1:$B$996,Insumos!$D$1:$D$996),"")</f>
        <v/>
      </c>
      <c r="H4667" s="92" t="n">
        <v>305</v>
      </c>
      <c r="I4667" s="2162" t="e">
        <v>#REF!</v>
      </c>
      <c r="J4667" s="2162" t="e">
        <v>#REF!</v>
      </c>
      <c r="K4667" s="2162" t="n"/>
    </row>
    <row r="4668" outlineLevel="3" ht="15.75" customHeight="1">
      <c r="A4668" s="10" t="n">
        <v>1</v>
      </c>
      <c r="B4668" s="10" t="inlineStr">
        <is>
          <t>Insumo</t>
        </is>
      </c>
      <c r="C4668" s="10" t="inlineStr">
        <is>
          <t>Revestimento de tijolinho ventilado, com toda a estrutura, cores rosado e tabaco - Material e Mão de Obra</t>
        </is>
      </c>
      <c r="D4668" s="10" t="inlineStr">
        <is>
          <t>Fixadores e acessórios - parafusos e fixadores</t>
        </is>
      </c>
      <c r="E4668" s="11">
        <f t="array" ref="E4668">_xlfn.XLOOKUP(D4668,Insumos!B:B,Insumos!C:$C)</f>
        <v/>
      </c>
      <c r="F4668" s="14" t="n">
        <v>1</v>
      </c>
      <c r="G4668" s="92">
        <f t="array" ref="G4668">IF(B4668="insumo",_xlfn.XLOOKUP($D4668,Insumos!$B$1:$B$996,Insumos!$D$1:$D$996),"")</f>
        <v/>
      </c>
      <c r="H4668" s="92" t="n">
        <v>90</v>
      </c>
      <c r="I4668" s="2162" t="e">
        <v>#REF!</v>
      </c>
      <c r="J4668" s="2162" t="e">
        <v>#REF!</v>
      </c>
      <c r="K4668" s="2162" t="n"/>
    </row>
    <row r="4669" outlineLevel="3" ht="15.75" customHeight="1">
      <c r="A4669" s="10" t="n">
        <v>3</v>
      </c>
      <c r="B4669" s="10" t="inlineStr">
        <is>
          <t>Insumo</t>
        </is>
      </c>
      <c r="C4669" s="10" t="inlineStr">
        <is>
          <t>Revestimento de tijolinho ventilado, com toda a estrutura, cores rosado e tabaco - Material e Mão de Obra</t>
        </is>
      </c>
      <c r="D4669" s="10" t="inlineStr">
        <is>
          <t>Manta fachada ventilada</t>
        </is>
      </c>
      <c r="E4669" s="11">
        <f t="array" ref="E4669">_xlfn.XLOOKUP(D4669,Insumos!B:B,Insumos!C:$C)</f>
        <v/>
      </c>
      <c r="F4669" s="14" t="n">
        <v>1.05</v>
      </c>
      <c r="G4669" s="92">
        <f t="array" ref="G4669">IF(B4669="insumo",_xlfn.XLOOKUP($D4669,Insumos!$B$1:$B$996,Insumos!$D$1:$D$996),"")</f>
        <v/>
      </c>
      <c r="H4669" s="92" t="n">
        <v>33.6</v>
      </c>
      <c r="I4669" s="2162" t="e">
        <v>#REF!</v>
      </c>
      <c r="J4669" s="2162" t="e">
        <v>#REF!</v>
      </c>
      <c r="K4669" s="2162" t="n"/>
    </row>
    <row r="4670" outlineLevel="3" ht="15.75" customHeight="1">
      <c r="A4670" s="10" t="n">
        <v>2</v>
      </c>
      <c r="B4670" s="10" t="inlineStr">
        <is>
          <t>Insumo</t>
        </is>
      </c>
      <c r="C4670" s="10" t="inlineStr">
        <is>
          <t>Revestimento de tijolinho ventilado, com toda a estrutura, cores rosado e tabaco - Material e Mão de Obra</t>
        </is>
      </c>
      <c r="D4670" s="10" t="inlineStr">
        <is>
          <t>Mão de obra de facahda ventilada</t>
        </is>
      </c>
      <c r="E4670" s="11">
        <f t="array" ref="E4670">_xlfn.XLOOKUP(D4670,Insumos!B:B,Insumos!C:$C)</f>
        <v/>
      </c>
      <c r="F4670" s="14" t="n">
        <v>1</v>
      </c>
      <c r="G4670" s="92">
        <f t="array" ref="G4670">IF(B4670="insumo",_xlfn.XLOOKUP($D4670,Insumos!$B$1:$B$996,Insumos!$D$1:$D$996),"")</f>
        <v/>
      </c>
      <c r="H4670" s="92" t="n">
        <v>307</v>
      </c>
      <c r="I4670" s="2162" t="e">
        <v>#REF!</v>
      </c>
      <c r="J4670" s="2162" t="e">
        <v>#REF!</v>
      </c>
      <c r="K4670" s="2162" t="n"/>
    </row>
    <row r="4671" outlineLevel="2" ht="15.75" customHeight="1">
      <c r="A4671" s="1067" t="n">
        <v>1</v>
      </c>
      <c r="B4671" s="1067" t="inlineStr">
        <is>
          <t>Serviço</t>
        </is>
      </c>
      <c r="C4671" s="1067" t="inlineStr">
        <is>
          <t>Revestimento de tijolinho aderido, cor vermelho escuro</t>
        </is>
      </c>
      <c r="D4671" s="1067" t="inlineStr">
        <is>
          <t>Revestimento de tijolinho aderido, cor vermelho escuro</t>
        </is>
      </c>
      <c r="E4671" s="1068" t="inlineStr">
        <is>
          <t>M</t>
        </is>
      </c>
      <c r="F4671" s="1067" t="n"/>
      <c r="G4671" s="1069">
        <f t="array" ref="G4671">IF(B4671="insumo",_xlfn.XLOOKUP($D4671,Insumos!$B$1:$B$996,Insumos!$D$1:$D$996),"")</f>
        <v/>
      </c>
      <c r="H4671" s="1069" t="n">
        <v>268.526</v>
      </c>
      <c r="I4671" s="2161" t="n">
        <v>0</v>
      </c>
      <c r="J4671" s="2161" t="n">
        <v>0</v>
      </c>
      <c r="K4671" s="2161" t="n"/>
    </row>
    <row r="4672" outlineLevel="3" ht="15.75" customHeight="1">
      <c r="A4672" s="10" t="n">
        <v>2</v>
      </c>
      <c r="B4672" s="10" t="inlineStr">
        <is>
          <t>Insumo</t>
        </is>
      </c>
      <c r="C4672" s="10" t="inlineStr">
        <is>
          <t>Revestimento de tijolinho aderido, cor vermelho escuro</t>
        </is>
      </c>
      <c r="D4672" s="10" t="inlineStr">
        <is>
          <t>tijolinho aderido, cor vermelho escuro</t>
        </is>
      </c>
      <c r="E4672" s="11">
        <f t="array" ref="E4672">_xlfn.XLOOKUP(D4672,Insumos!B:B,Insumos!C:$C)</f>
        <v/>
      </c>
      <c r="F4672" s="14" t="n">
        <v>1.15</v>
      </c>
      <c r="G4672" s="92">
        <f t="array" ref="G4672">IF(B4672="insumo",_xlfn.XLOOKUP($D4672,Insumos!$B$1:$B$996,Insumos!$D$1:$D$996),"")</f>
        <v/>
      </c>
      <c r="H4672" s="92" t="n">
        <v>248.4</v>
      </c>
      <c r="I4672" s="2162" t="n">
        <v>0</v>
      </c>
      <c r="J4672" s="2162" t="n">
        <v>0</v>
      </c>
      <c r="K4672" s="2162" t="n"/>
    </row>
    <row r="4673" outlineLevel="3" ht="15.75" customHeight="1">
      <c r="A4673" s="10" t="n">
        <v>8</v>
      </c>
      <c r="B4673" s="10" t="inlineStr">
        <is>
          <t>Insumo</t>
        </is>
      </c>
      <c r="C4673" s="10" t="inlineStr">
        <is>
          <t>Revestimento de tijolinho aderido, cor vermelho escuro</t>
        </is>
      </c>
      <c r="D4673" s="10" t="inlineStr">
        <is>
          <t>ARGAMASSA COLANTE AC II</t>
        </is>
      </c>
      <c r="E4673" s="11">
        <f t="array" ref="E4673">_xlfn.XLOOKUP(D4673,Insumos!B:B,Insumos!C:$C)</f>
        <v/>
      </c>
      <c r="F4673" s="14">
        <f>10*0.7</f>
        <v/>
      </c>
      <c r="G4673" s="92">
        <f t="array" ref="G4673">IF(B4673="insumo",_xlfn.XLOOKUP($D4673,Insumos!$B$1:$B$996,Insumos!$D$1:$D$996),"")</f>
        <v/>
      </c>
      <c r="H4673" s="92" t="n">
        <v>9.52</v>
      </c>
      <c r="I4673" s="2162" t="n">
        <v>0</v>
      </c>
      <c r="J4673" s="2162" t="n">
        <v>0</v>
      </c>
      <c r="K4673" s="2162" t="n"/>
    </row>
    <row r="4674" outlineLevel="3" ht="15.75" customHeight="1">
      <c r="A4674" s="10" t="n">
        <v>36</v>
      </c>
      <c r="B4674" s="10" t="inlineStr">
        <is>
          <t>Insumo</t>
        </is>
      </c>
      <c r="C4674" s="10" t="inlineStr">
        <is>
          <t>Revestimento de tijolinho aderido, cor vermelho escuro</t>
        </is>
      </c>
      <c r="D4674" s="10" t="inlineStr">
        <is>
          <t>Rejunte Acrilico cinza platina</t>
        </is>
      </c>
      <c r="E4674" s="11">
        <f t="array" ref="E4674">_xlfn.XLOOKUP(D4674,Insumos!B:B,Insumos!C:$C)</f>
        <v/>
      </c>
      <c r="F4674" s="14" t="n">
        <v>0.037</v>
      </c>
      <c r="G4674" s="92">
        <f t="array" ref="G4674">IF(B4674="insumo",_xlfn.XLOOKUP($D4674,Insumos!$B$1:$B$996,Insumos!$D$1:$D$996),"")</f>
        <v/>
      </c>
      <c r="H4674" s="92" t="n">
        <v>1.406</v>
      </c>
      <c r="I4674" s="2162" t="n">
        <v>0</v>
      </c>
      <c r="J4674" s="2162" t="n">
        <v>0</v>
      </c>
      <c r="K4674" s="2162" t="n"/>
    </row>
    <row r="4675" outlineLevel="3" ht="15.75" customHeight="1">
      <c r="A4675" s="10" t="n">
        <v>142</v>
      </c>
      <c r="B4675" s="10" t="inlineStr">
        <is>
          <t>Insumo</t>
        </is>
      </c>
      <c r="C4675" s="10" t="inlineStr">
        <is>
          <t>Revestimento de tijolinho aderido, cor vermelho escuro</t>
        </is>
      </c>
      <c r="D4675" s="10" t="inlineStr">
        <is>
          <t>Espeçador junta piso 2mm</t>
        </is>
      </c>
      <c r="E4675" s="11">
        <f t="array" ref="E4675">_xlfn.XLOOKUP(D4675,Insumos!B:B,Insumos!C:$C)</f>
        <v/>
      </c>
      <c r="F4675" s="14" t="n">
        <v>115</v>
      </c>
      <c r="G4675" s="92">
        <f t="array" ref="G4675">IF(B4675="insumo",_xlfn.XLOOKUP($D4675,Insumos!$B$1:$B$996,Insumos!$D$1:$D$996),"")</f>
        <v/>
      </c>
      <c r="H4675" s="92" t="n">
        <v>9.199999999999999</v>
      </c>
      <c r="I4675" s="2162" t="n">
        <v>0</v>
      </c>
      <c r="J4675" s="2162" t="n">
        <v>0</v>
      </c>
      <c r="K4675" s="2162" t="n"/>
    </row>
    <row r="4676" outlineLevel="2" ht="15.75" customHeight="1">
      <c r="A4676" s="1067" t="n">
        <v>1</v>
      </c>
      <c r="B4676" s="1067" t="inlineStr">
        <is>
          <t>Serviço</t>
        </is>
      </c>
      <c r="C4676" s="1067" t="inlineStr">
        <is>
          <t>Revestimento de tijolinho aderido, cor branco pigmentado</t>
        </is>
      </c>
      <c r="D4676" s="1067" t="inlineStr">
        <is>
          <t>Revestimento de tijolinho aderido, cor branco pigmentado</t>
        </is>
      </c>
      <c r="E4676" s="1068" t="inlineStr">
        <is>
          <t>M</t>
        </is>
      </c>
      <c r="F4676" s="1067" t="n"/>
      <c r="G4676" s="1069">
        <f t="array" ref="G4676">IF(B4676="insumo",_xlfn.XLOOKUP($D4676,Insumos!$B$1:$B$996,Insumos!$D$1:$D$996),"")</f>
        <v/>
      </c>
      <c r="H4676" s="1069" t="n">
        <v>351.326</v>
      </c>
      <c r="I4676" s="2161" t="n">
        <v>0</v>
      </c>
      <c r="J4676" s="2161" t="n">
        <v>0</v>
      </c>
      <c r="K4676" s="2161" t="n"/>
    </row>
    <row r="4677" outlineLevel="3" ht="15.75" customHeight="1">
      <c r="A4677" s="10" t="n">
        <v>2</v>
      </c>
      <c r="B4677" s="10" t="inlineStr">
        <is>
          <t>Insumo</t>
        </is>
      </c>
      <c r="C4677" s="10" t="inlineStr">
        <is>
          <t>Revestimento de tijolinho aderido, cor branco pigmentado</t>
        </is>
      </c>
      <c r="D4677" s="10" t="inlineStr">
        <is>
          <t>tijolinho aderido, cor branco pigmentado</t>
        </is>
      </c>
      <c r="E4677" s="11">
        <f t="array" ref="E4677">_xlfn.XLOOKUP(D4677,Insumos!B:B,Insumos!C:$C)</f>
        <v/>
      </c>
      <c r="F4677" s="14" t="n">
        <v>1.15</v>
      </c>
      <c r="G4677" s="92">
        <f t="array" ref="G4677">IF(B4677="insumo",_xlfn.XLOOKUP($D4677,Insumos!$B$1:$B$996,Insumos!$D$1:$D$996),"")</f>
        <v/>
      </c>
      <c r="H4677" s="92" t="n">
        <v>331.2</v>
      </c>
      <c r="I4677" s="2162" t="n">
        <v>0</v>
      </c>
      <c r="J4677" s="2162" t="n">
        <v>0</v>
      </c>
      <c r="K4677" s="2162" t="n"/>
    </row>
    <row r="4678" outlineLevel="3" ht="15.75" customHeight="1">
      <c r="A4678" s="10" t="n">
        <v>8</v>
      </c>
      <c r="B4678" s="10" t="inlineStr">
        <is>
          <t>Insumo</t>
        </is>
      </c>
      <c r="C4678" s="10" t="inlineStr">
        <is>
          <t>Revestimento de tijolinho aderido, cor branco pigmentado</t>
        </is>
      </c>
      <c r="D4678" s="10" t="inlineStr">
        <is>
          <t>ARGAMASSA COLANTE AC II</t>
        </is>
      </c>
      <c r="E4678" s="11">
        <f t="array" ref="E4678">_xlfn.XLOOKUP(D4678,Insumos!B:B,Insumos!C:$C)</f>
        <v/>
      </c>
      <c r="F4678" s="14">
        <f>10*0.7</f>
        <v/>
      </c>
      <c r="G4678" s="92">
        <f t="array" ref="G4678">IF(B4678="insumo",_xlfn.XLOOKUP($D4678,Insumos!$B$1:$B$996,Insumos!$D$1:$D$996),"")</f>
        <v/>
      </c>
      <c r="H4678" s="92" t="n">
        <v>9.52</v>
      </c>
      <c r="I4678" s="2162" t="n">
        <v>0</v>
      </c>
      <c r="J4678" s="2162" t="n">
        <v>0</v>
      </c>
      <c r="K4678" s="2162" t="n"/>
    </row>
    <row r="4679" outlineLevel="3" ht="15.75" customHeight="1">
      <c r="A4679" s="10" t="n">
        <v>36</v>
      </c>
      <c r="B4679" s="10" t="inlineStr">
        <is>
          <t>Insumo</t>
        </is>
      </c>
      <c r="C4679" s="10" t="inlineStr">
        <is>
          <t>Revestimento de tijolinho aderido, cor branco pigmentado</t>
        </is>
      </c>
      <c r="D4679" s="10" t="inlineStr">
        <is>
          <t>Rejunte Acrilico cinza platina</t>
        </is>
      </c>
      <c r="E4679" s="11">
        <f t="array" ref="E4679">_xlfn.XLOOKUP(D4679,Insumos!B:B,Insumos!C:$C)</f>
        <v/>
      </c>
      <c r="F4679" s="14" t="n">
        <v>0.037</v>
      </c>
      <c r="G4679" s="92">
        <f t="array" ref="G4679">IF(B4679="insumo",_xlfn.XLOOKUP($D4679,Insumos!$B$1:$B$996,Insumos!$D$1:$D$996),"")</f>
        <v/>
      </c>
      <c r="H4679" s="92" t="n">
        <v>1.406</v>
      </c>
      <c r="I4679" s="2162" t="n">
        <v>0</v>
      </c>
      <c r="J4679" s="2162" t="n">
        <v>0</v>
      </c>
      <c r="K4679" s="2162" t="n"/>
    </row>
    <row r="4680" outlineLevel="3" ht="15.75" customHeight="1">
      <c r="A4680" s="10" t="n">
        <v>142</v>
      </c>
      <c r="B4680" s="10" t="inlineStr">
        <is>
          <t>Insumo</t>
        </is>
      </c>
      <c r="C4680" s="10" t="inlineStr">
        <is>
          <t>Revestimento de tijolinho aderido, cor branco pigmentado</t>
        </is>
      </c>
      <c r="D4680" s="10" t="inlineStr">
        <is>
          <t>Espeçador junta piso 2mm</t>
        </is>
      </c>
      <c r="E4680" s="11">
        <f t="array" ref="E4680">_xlfn.XLOOKUP(D4680,Insumos!B:B,Insumos!C:$C)</f>
        <v/>
      </c>
      <c r="F4680" s="14" t="n">
        <v>115</v>
      </c>
      <c r="G4680" s="92">
        <f t="array" ref="G4680">IF(B4680="insumo",_xlfn.XLOOKUP($D4680,Insumos!$B$1:$B$996,Insumos!$D$1:$D$996),"")</f>
        <v/>
      </c>
      <c r="H4680" s="92" t="n">
        <v>9.199999999999999</v>
      </c>
      <c r="I4680" s="2162" t="n">
        <v>0</v>
      </c>
      <c r="J4680" s="2162" t="n">
        <v>0</v>
      </c>
      <c r="K4680" s="2162" t="n"/>
    </row>
    <row r="4681" outlineLevel="2" ht="15.75" customHeight="1">
      <c r="A4681" s="1067" t="n">
        <v>1</v>
      </c>
      <c r="B4681" s="1067" t="inlineStr">
        <is>
          <t>Serviço</t>
        </is>
      </c>
      <c r="C4681" s="1067" t="inlineStr">
        <is>
          <t>Revestimento de pastilha azul (OM15645 – 20x20) - atlas</t>
        </is>
      </c>
      <c r="D4681" s="1067" t="inlineStr">
        <is>
          <t>Revestimento de pastilha azul (OM15645 – 20x20) - atlas</t>
        </is>
      </c>
      <c r="E4681" s="1068" t="inlineStr">
        <is>
          <t>M</t>
        </is>
      </c>
      <c r="F4681" s="1067" t="n"/>
      <c r="G4681" s="1069">
        <f t="array" ref="G4681">IF(B4681="insumo",_xlfn.XLOOKUP($D4681,Insumos!$B$1:$B$996,Insumos!$D$1:$D$996),"")</f>
        <v/>
      </c>
      <c r="H4681" s="1069" t="n">
        <v>164.302</v>
      </c>
      <c r="I4681" s="2161" t="e">
        <v>#REF!</v>
      </c>
      <c r="J4681" s="2161" t="e">
        <v>#REF!</v>
      </c>
      <c r="K4681" s="2161" t="n"/>
    </row>
    <row r="4682" outlineLevel="3" ht="15.75" customHeight="1">
      <c r="A4682" s="10" t="n">
        <v>1</v>
      </c>
      <c r="B4682" s="10" t="inlineStr">
        <is>
          <t>Insumo</t>
        </is>
      </c>
      <c r="C4682" s="10" t="inlineStr">
        <is>
          <t>Revestimento de pastilha azul (OM15645 – 20x20) - atlas</t>
        </is>
      </c>
      <c r="D4682" s="10" t="inlineStr">
        <is>
          <t>pastilha azul (OM15645 – 20x20) - atlas</t>
        </is>
      </c>
      <c r="E4682" s="11">
        <f t="array" ref="E4682">_xlfn.XLOOKUP(D4682,Insumos!B:B,Insumos!C:$C)</f>
        <v/>
      </c>
      <c r="F4682" s="14" t="n">
        <v>1.15</v>
      </c>
      <c r="G4682" s="92">
        <f t="array" ref="G4682">IF(B4682="insumo",_xlfn.XLOOKUP($D4682,Insumos!$B$1:$B$996,Insumos!$D$1:$D$996),"")</f>
        <v/>
      </c>
      <c r="H4682" s="92" t="n">
        <v>149.546</v>
      </c>
      <c r="I4682" s="2162" t="e">
        <v>#REF!</v>
      </c>
      <c r="J4682" s="2162" t="e">
        <v>#REF!</v>
      </c>
      <c r="K4682" s="2162" t="n"/>
    </row>
    <row r="4683" outlineLevel="3" ht="15.75" customHeight="1">
      <c r="A4683" s="10" t="n">
        <v>8</v>
      </c>
      <c r="B4683" s="10" t="inlineStr">
        <is>
          <t>Insumo</t>
        </is>
      </c>
      <c r="C4683" s="10" t="inlineStr">
        <is>
          <t>Revestimento de pastilha azul (OM15645 – 20x20) - atlas</t>
        </is>
      </c>
      <c r="D4683" s="10" t="inlineStr">
        <is>
          <t>ARGAMASSA COLANTE AC II</t>
        </is>
      </c>
      <c r="E4683" s="11">
        <f t="array" ref="E4683">_xlfn.XLOOKUP(D4683,Insumos!B:B,Insumos!C:$C)</f>
        <v/>
      </c>
      <c r="F4683" s="14">
        <f>10*0.7</f>
        <v/>
      </c>
      <c r="G4683" s="92">
        <f t="array" ref="G4683">IF(B4683="insumo",_xlfn.XLOOKUP($D4683,Insumos!$B$1:$B$996,Insumos!$D$1:$D$996),"")</f>
        <v/>
      </c>
      <c r="H4683" s="92" t="n">
        <v>9.52</v>
      </c>
      <c r="I4683" s="2162" t="e">
        <v>#REF!</v>
      </c>
      <c r="J4683" s="2162" t="e">
        <v>#REF!</v>
      </c>
      <c r="K4683" s="2162" t="n"/>
    </row>
    <row r="4684" outlineLevel="3" ht="15.75" customHeight="1">
      <c r="A4684" s="10" t="n">
        <v>36</v>
      </c>
      <c r="B4684" s="10" t="inlineStr">
        <is>
          <t>Insumo</t>
        </is>
      </c>
      <c r="C4684" s="10" t="inlineStr">
        <is>
          <t>Revestimento de pastilha azul (OM15645 – 20x20) - atlas</t>
        </is>
      </c>
      <c r="D4684" s="10" t="inlineStr">
        <is>
          <t>Rejunte Acrilico cinza platina</t>
        </is>
      </c>
      <c r="E4684" s="11">
        <f t="array" ref="E4684">_xlfn.XLOOKUP(D4684,Insumos!B:B,Insumos!C:$C)</f>
        <v/>
      </c>
      <c r="F4684" s="14" t="n">
        <v>0.022</v>
      </c>
      <c r="G4684" s="92">
        <f t="array" ref="G4684">IF(B4684="insumo",_xlfn.XLOOKUP($D4684,Insumos!$B$1:$B$996,Insumos!$D$1:$D$996),"")</f>
        <v/>
      </c>
      <c r="H4684" s="92" t="n">
        <v>0.836</v>
      </c>
      <c r="I4684" s="2162" t="e">
        <v>#REF!</v>
      </c>
      <c r="J4684" s="2162" t="e">
        <v>#REF!</v>
      </c>
      <c r="K4684" s="2162" t="n"/>
    </row>
    <row r="4685" outlineLevel="3" ht="15.75" customHeight="1">
      <c r="A4685" s="10" t="n">
        <v>142</v>
      </c>
      <c r="B4685" s="10" t="inlineStr">
        <is>
          <t>Insumo</t>
        </is>
      </c>
      <c r="C4685" s="10" t="inlineStr">
        <is>
          <t>Revestimento de pastilha azul (OM15645 – 20x20) - atlas</t>
        </is>
      </c>
      <c r="D4685" s="10" t="inlineStr">
        <is>
          <t>Espeçador junta piso 2mm</t>
        </is>
      </c>
      <c r="E4685" s="11">
        <f t="array" ref="E4685">_xlfn.XLOOKUP(D4685,Insumos!B:B,Insumos!C:$C)</f>
        <v/>
      </c>
      <c r="F4685" s="14" t="n">
        <v>55</v>
      </c>
      <c r="G4685" s="92">
        <f t="array" ref="G4685">IF(B4685="insumo",_xlfn.XLOOKUP($D4685,Insumos!$B$1:$B$996,Insumos!$D$1:$D$996),"")</f>
        <v/>
      </c>
      <c r="H4685" s="92" t="n">
        <v>4.4</v>
      </c>
      <c r="I4685" s="2162" t="e">
        <v>#REF!</v>
      </c>
      <c r="J4685" s="2162" t="e">
        <v>#REF!</v>
      </c>
      <c r="K4685" s="2162" t="n"/>
    </row>
    <row r="4686" outlineLevel="2" ht="12.75" customHeight="1">
      <c r="A4686" s="1071" t="n">
        <v>1</v>
      </c>
      <c r="B4686" s="1071" t="inlineStr">
        <is>
          <t>Serviço</t>
        </is>
      </c>
      <c r="C4686" s="1071" t="inlineStr">
        <is>
          <t>Sistema Muxarabi 100 X 100mm - Arkwood X</t>
        </is>
      </c>
      <c r="D4686" s="1071" t="inlineStr">
        <is>
          <t>Sistema Muxarabi 100 X 100mm - Arkwood X</t>
        </is>
      </c>
      <c r="E4686" s="1072" t="inlineStr">
        <is>
          <t>M2</t>
        </is>
      </c>
      <c r="F4686" s="1071" t="n"/>
      <c r="G4686" s="1073">
        <f t="array" ref="G4686">IF(B4686="insumo",_xlfn.XLOOKUP($D4686,Insumos!$B$1:$B$996,Insumos!$D$1:$D$996),"")</f>
        <v/>
      </c>
      <c r="H4686" s="1073" t="n">
        <v>1360</v>
      </c>
      <c r="I4686" s="2163" t="n">
        <v>0</v>
      </c>
      <c r="J4686" s="2163" t="n">
        <v>0</v>
      </c>
      <c r="K4686" s="2163" t="n"/>
    </row>
    <row r="4687" outlineLevel="3" ht="12.75" customHeight="1">
      <c r="A4687" s="82" t="n">
        <v>1</v>
      </c>
      <c r="B4687" s="82" t="inlineStr">
        <is>
          <t>Insumo</t>
        </is>
      </c>
      <c r="C4687" s="82" t="inlineStr">
        <is>
          <t>Sistema Muxarabi 100 X 100mm - Arkwood X</t>
        </is>
      </c>
      <c r="D4687" s="82" t="inlineStr">
        <is>
          <t>SISTEMA MUX ARABI 100 X 100mm - com recorte</t>
        </is>
      </c>
      <c r="E4687" s="11">
        <f t="array" ref="E4687">_xlfn.XLOOKUP(D4687,Insumos!B:B,Insumos!C:$C)</f>
        <v/>
      </c>
      <c r="F4687" s="2164" t="n">
        <v>1</v>
      </c>
      <c r="G4687" s="92">
        <f t="array" ref="G4687">IF(B4687="insumo",_xlfn.XLOOKUP($D4687,Insumos!$B$1:$B$996,Insumos!$D$1:$D$996),"")</f>
        <v/>
      </c>
      <c r="H4687" s="92" t="n">
        <v>1060</v>
      </c>
      <c r="I4687" s="2165" t="n">
        <v>0</v>
      </c>
      <c r="J4687" s="2165" t="n">
        <v>0</v>
      </c>
      <c r="K4687" s="2165" t="n"/>
    </row>
    <row r="4688" outlineLevel="3" ht="12.75" customHeight="1">
      <c r="A4688" s="82" t="n">
        <v>2</v>
      </c>
      <c r="B4688" s="82" t="inlineStr">
        <is>
          <t>Insumo</t>
        </is>
      </c>
      <c r="C4688" s="82" t="inlineStr">
        <is>
          <t>Sistema Muxarabi 100 X 100mm - Arkwood X</t>
        </is>
      </c>
      <c r="D4688" s="82" t="inlineStr">
        <is>
          <t>Mão de obra de obra execução de arkwood</t>
        </is>
      </c>
      <c r="E4688" s="11">
        <f t="array" ref="E4688">_xlfn.XLOOKUP(D4688,Insumos!B:B,Insumos!C:$C)</f>
        <v/>
      </c>
      <c r="F4688" s="2164" t="n">
        <v>1</v>
      </c>
      <c r="G4688" s="92">
        <f t="array" ref="G4688">IF(B4688="insumo",_xlfn.XLOOKUP($D4688,Insumos!$B$1:$B$996,Insumos!$D$1:$D$996),"")</f>
        <v/>
      </c>
      <c r="H4688" s="92" t="n">
        <v>300</v>
      </c>
      <c r="I4688" s="2165" t="n">
        <v>0</v>
      </c>
      <c r="J4688" s="2165" t="n">
        <v>0</v>
      </c>
      <c r="K4688" s="2165" t="n"/>
    </row>
    <row r="4689" outlineLevel="2" ht="12.75" customHeight="1">
      <c r="A4689" s="1071" t="n">
        <v>1</v>
      </c>
      <c r="B4689" s="1071" t="inlineStr">
        <is>
          <t>Serviço</t>
        </is>
      </c>
      <c r="C4689" s="1071" t="inlineStr">
        <is>
          <t>Sistema Brise Metalon com estrutura e suportes de alumínio e pintura eletrostática preta</t>
        </is>
      </c>
      <c r="D4689" s="1071" t="inlineStr">
        <is>
          <t>Sistema Brise Metalon com estrutura e suportes de alumínio e pintura eletrostática preta</t>
        </is>
      </c>
      <c r="E4689" s="1072" t="inlineStr">
        <is>
          <t>M2</t>
        </is>
      </c>
      <c r="F4689" s="1071" t="n"/>
      <c r="G4689" s="1073">
        <f t="array" ref="G4689">IF(B4689="insumo",_xlfn.XLOOKUP($D4689,Insumos!$B$1:$B$996,Insumos!$D$1:$D$996),"")</f>
        <v/>
      </c>
      <c r="H4689" s="1073" t="n">
        <v>1200</v>
      </c>
      <c r="I4689" s="2163" t="n">
        <v>0</v>
      </c>
      <c r="J4689" s="2163" t="n">
        <v>0</v>
      </c>
      <c r="K4689" s="2163" t="n"/>
    </row>
    <row r="4690" outlineLevel="3" ht="12.75" customHeight="1">
      <c r="A4690" s="82" t="n">
        <v>1</v>
      </c>
      <c r="B4690" s="82" t="inlineStr">
        <is>
          <t>Insumo</t>
        </is>
      </c>
      <c r="C4690" s="82" t="inlineStr">
        <is>
          <t>Sistema Brise Metalon com estrutura e suportes de alumínio e pintura eletrostática preta</t>
        </is>
      </c>
      <c r="D4690" s="82" t="inlineStr">
        <is>
          <t>Sistema Brise Metalon com estrutura e suportes de alumínio e pintura eletrostática preta</t>
        </is>
      </c>
      <c r="E4690" s="11">
        <f t="array" ref="E4690">_xlfn.XLOOKUP(D4690,Insumos!B:B,Insumos!C:$C)</f>
        <v/>
      </c>
      <c r="F4690" s="2164" t="n">
        <v>1</v>
      </c>
      <c r="G4690" s="92">
        <f t="array" ref="G4690">IF(B4690="insumo",_xlfn.XLOOKUP($D4690,Insumos!$B$1:$B$996,Insumos!$D$1:$D$996),"")</f>
        <v/>
      </c>
      <c r="H4690" s="92" t="n">
        <v>1200</v>
      </c>
      <c r="I4690" s="2165" t="n">
        <v>0</v>
      </c>
      <c r="J4690" s="2165" t="n">
        <v>0</v>
      </c>
      <c r="K4690" s="2165" t="n"/>
    </row>
    <row r="4691" outlineLevel="2" ht="12.75" customHeight="1">
      <c r="A4691" s="1071" t="n">
        <v>1</v>
      </c>
      <c r="B4691" s="1071" t="inlineStr">
        <is>
          <t>Serviço</t>
        </is>
      </c>
      <c r="C4691" s="1071" t="inlineStr">
        <is>
          <t>Sistema Brise Sul Metais SMB30 (Cor Tabaco SM 7182)</t>
        </is>
      </c>
      <c r="D4691" s="1071" t="inlineStr">
        <is>
          <t>Sistema Brise Sul Metais SMB30 (Cor Tabaco SM 7182)</t>
        </is>
      </c>
      <c r="E4691" s="1072" t="inlineStr">
        <is>
          <t>M2</t>
        </is>
      </c>
      <c r="F4691" s="1071" t="n"/>
      <c r="G4691" s="1073">
        <f t="array" ref="G4691">IF(B4691="insumo",_xlfn.XLOOKUP($D4691,Insumos!$B$1:$B$996,Insumos!$D$1:$D$996),"")</f>
        <v/>
      </c>
      <c r="H4691" s="1073" t="n">
        <v>950</v>
      </c>
      <c r="I4691" s="2163" t="n">
        <v>0</v>
      </c>
      <c r="J4691" s="2163" t="n">
        <v>0</v>
      </c>
      <c r="K4691" s="2163" t="n"/>
    </row>
    <row r="4692" outlineLevel="3" ht="12.75" customHeight="1">
      <c r="A4692" s="82" t="n">
        <v>1</v>
      </c>
      <c r="B4692" s="82" t="inlineStr">
        <is>
          <t>Insumo</t>
        </is>
      </c>
      <c r="C4692" s="82" t="inlineStr">
        <is>
          <t>Sistema Brise Sul Metais SMB30 (Cor Tabaco SM 7182)</t>
        </is>
      </c>
      <c r="D4692" s="82" t="inlineStr">
        <is>
          <t>Sistema Brise Sul Metais SMB30 (Cor Tabaco SM 7182)</t>
        </is>
      </c>
      <c r="E4692" s="11">
        <f t="array" ref="E4692">_xlfn.XLOOKUP(D4692,Insumos!B:B,Insumos!C:$C)</f>
        <v/>
      </c>
      <c r="F4692" s="2164" t="n">
        <v>1</v>
      </c>
      <c r="G4692" s="92">
        <f t="array" ref="G4692">IF(B4692="insumo",_xlfn.XLOOKUP($D4692,Insumos!$B$1:$B$996,Insumos!$D$1:$D$996),"")</f>
        <v/>
      </c>
      <c r="H4692" s="92" t="n">
        <v>950</v>
      </c>
      <c r="I4692" s="2165" t="n">
        <v>0</v>
      </c>
      <c r="J4692" s="2165" t="n">
        <v>0</v>
      </c>
      <c r="K4692" s="2165" t="n"/>
    </row>
    <row r="4693" outlineLevel="2" ht="12.75" customHeight="1">
      <c r="A4693" s="1071" t="n">
        <v>1</v>
      </c>
      <c r="B4693" s="1071" t="inlineStr">
        <is>
          <t>Serviço</t>
        </is>
      </c>
      <c r="C4693" s="1071" t="inlineStr">
        <is>
          <t>Sistema Gradil Sul Metais SMB30 (Cor Tabaco SM 7182)</t>
        </is>
      </c>
      <c r="D4693" s="1071" t="inlineStr">
        <is>
          <t>Sistema Gradil Sul Metais SMB30 (Cor Tabaco SM 7182)</t>
        </is>
      </c>
      <c r="E4693" s="1072" t="inlineStr">
        <is>
          <t>M2</t>
        </is>
      </c>
      <c r="F4693" s="1071" t="n"/>
      <c r="G4693" s="1073">
        <f t="array" ref="G4693">IF(B4693="insumo",_xlfn.XLOOKUP($D4693,Insumos!$B$1:$B$996,Insumos!$D$1:$D$996),"")</f>
        <v/>
      </c>
      <c r="H4693" s="1073" t="n">
        <v>860</v>
      </c>
      <c r="I4693" s="2163" t="n">
        <v>0</v>
      </c>
      <c r="J4693" s="2163" t="n">
        <v>0</v>
      </c>
      <c r="K4693" s="2163" t="n"/>
    </row>
    <row r="4694" outlineLevel="3" ht="12.75" customHeight="1">
      <c r="A4694" s="82" t="n">
        <v>1</v>
      </c>
      <c r="B4694" s="82" t="inlineStr">
        <is>
          <t>Insumo</t>
        </is>
      </c>
      <c r="C4694" s="82" t="inlineStr">
        <is>
          <t>Sistema Gradil Sul Metais SMB30 (Cor Tabaco SM 7182)</t>
        </is>
      </c>
      <c r="D4694" s="82" t="inlineStr">
        <is>
          <t>Sistema Gradil Sul Metais SMB30 (Cor Tabaco SM 7182)</t>
        </is>
      </c>
      <c r="E4694" s="11">
        <f t="array" ref="E4694">_xlfn.XLOOKUP(D4694,Insumos!B:B,Insumos!C:$C)</f>
        <v/>
      </c>
      <c r="F4694" s="2164" t="n">
        <v>1</v>
      </c>
      <c r="G4694" s="92">
        <f t="array" ref="G4694">IF(B4694="insumo",_xlfn.XLOOKUP($D4694,Insumos!$B$1:$B$996,Insumos!$D$1:$D$996),"")</f>
        <v/>
      </c>
      <c r="H4694" s="92" t="n">
        <v>860</v>
      </c>
      <c r="I4694" s="2165" t="n">
        <v>0</v>
      </c>
      <c r="J4694" s="2165" t="n">
        <v>0</v>
      </c>
      <c r="K4694" s="2165" t="n"/>
    </row>
    <row r="4695" outlineLevel="2" ht="12.75" customHeight="1">
      <c r="A4695" s="1071" t="n">
        <v>1</v>
      </c>
      <c r="B4695" s="1071" t="inlineStr">
        <is>
          <t>Serviço</t>
        </is>
      </c>
      <c r="C4695" s="1071" t="inlineStr">
        <is>
          <t>Sistema Brise 30x50cm - Arkwood K</t>
        </is>
      </c>
      <c r="D4695" s="1071" t="inlineStr">
        <is>
          <t>Sistema Brise 30x50cm - Arkwood K</t>
        </is>
      </c>
      <c r="E4695" s="1072" t="inlineStr">
        <is>
          <t>M2</t>
        </is>
      </c>
      <c r="F4695" s="1071" t="n"/>
      <c r="G4695" s="1073">
        <f t="array" ref="G4695">IF(B4695="insumo",_xlfn.XLOOKUP($D4695,Insumos!$B$1:$B$996,Insumos!$D$1:$D$996),"")</f>
        <v/>
      </c>
      <c r="H4695" s="1073" t="n">
        <v>948</v>
      </c>
      <c r="I4695" s="2163" t="n">
        <v>0</v>
      </c>
      <c r="J4695" s="2163" t="n">
        <v>0</v>
      </c>
      <c r="K4695" s="2163" t="n"/>
    </row>
    <row r="4696" outlineLevel="3" ht="12.75" customHeight="1">
      <c r="A4696" s="82" t="n">
        <v>1</v>
      </c>
      <c r="B4696" s="82" t="inlineStr">
        <is>
          <t>Insumo</t>
        </is>
      </c>
      <c r="C4696" s="82" t="inlineStr">
        <is>
          <t>Sistema Brise 30x50cm - Arkwood K</t>
        </is>
      </c>
      <c r="D4696" s="82" t="inlineStr">
        <is>
          <t>Arkowood K - 30x50</t>
        </is>
      </c>
      <c r="E4696" s="11">
        <f t="array" ref="E4696">_xlfn.XLOOKUP(D4696,Insumos!B:B,Insumos!C:$C)</f>
        <v/>
      </c>
      <c r="F4696" s="2164" t="n">
        <v>1</v>
      </c>
      <c r="G4696" s="92">
        <f t="array" ref="G4696">IF(B4696="insumo",_xlfn.XLOOKUP($D4696,Insumos!$B$1:$B$996,Insumos!$D$1:$D$996),"")</f>
        <v/>
      </c>
      <c r="H4696" s="92" t="n">
        <v>648</v>
      </c>
      <c r="I4696" s="2165" t="n">
        <v>0</v>
      </c>
      <c r="J4696" s="2165" t="n">
        <v>0</v>
      </c>
      <c r="K4696" s="2165" t="n"/>
    </row>
    <row r="4697" outlineLevel="3" ht="12.75" customHeight="1">
      <c r="A4697" s="82" t="n">
        <v>2</v>
      </c>
      <c r="B4697" s="82" t="inlineStr">
        <is>
          <t>Insumo</t>
        </is>
      </c>
      <c r="C4697" s="82" t="inlineStr">
        <is>
          <t>Sistema Brise 30x50cm - Arkwood K</t>
        </is>
      </c>
      <c r="D4697" s="82" t="inlineStr">
        <is>
          <t>Mão de obra de obra execução de arkwood</t>
        </is>
      </c>
      <c r="E4697" s="11">
        <f t="array" ref="E4697">_xlfn.XLOOKUP(D4697,Insumos!B:B,Insumos!C:$C)</f>
        <v/>
      </c>
      <c r="F4697" s="2164" t="n">
        <v>1</v>
      </c>
      <c r="G4697" s="92">
        <f t="array" ref="G4697">IF(B4697="insumo",_xlfn.XLOOKUP($D4697,Insumos!$B$1:$B$996,Insumos!$D$1:$D$996),"")</f>
        <v/>
      </c>
      <c r="H4697" s="92" t="n">
        <v>300</v>
      </c>
      <c r="I4697" s="2165" t="n">
        <v>0</v>
      </c>
      <c r="J4697" s="2165" t="n">
        <v>0</v>
      </c>
      <c r="K4697" s="2165" t="n"/>
    </row>
    <row r="4698" outlineLevel="2" ht="12.75" customHeight="1">
      <c r="A4698" s="1071" t="n">
        <v>1</v>
      </c>
      <c r="B4698" s="1071" t="inlineStr">
        <is>
          <t>Serviço</t>
        </is>
      </c>
      <c r="C4698" s="1071" t="inlineStr">
        <is>
          <t>Brise de Alumínio Marrom - Decoração Fachada</t>
        </is>
      </c>
      <c r="D4698" s="1071" t="inlineStr">
        <is>
          <t>Brise de Alumínio Marrom - Decoração Fachada</t>
        </is>
      </c>
      <c r="E4698" s="1072" t="inlineStr">
        <is>
          <t>M2</t>
        </is>
      </c>
      <c r="F4698" s="1071" t="n"/>
      <c r="G4698" s="1073">
        <f t="array" ref="G4698">IF(B4698="insumo",_xlfn.XLOOKUP($D4698,Insumos!$B$1:$B$996,Insumos!$D$1:$D$996),"")</f>
        <v/>
      </c>
      <c r="H4698" s="1073" t="n">
        <v>1415.02759303806</v>
      </c>
      <c r="I4698" s="2163" t="n">
        <v>0</v>
      </c>
      <c r="J4698" s="2163" t="n">
        <v>0</v>
      </c>
      <c r="K4698" s="2163" t="n"/>
    </row>
    <row r="4699" outlineLevel="3" ht="12.75" customHeight="1">
      <c r="A4699" s="82" t="n">
        <v>2</v>
      </c>
      <c r="B4699" s="82" t="inlineStr">
        <is>
          <t>Insumo</t>
        </is>
      </c>
      <c r="C4699" s="82" t="inlineStr">
        <is>
          <t>Brise de Alumínio Marrom - Decoração Fachada</t>
        </is>
      </c>
      <c r="D4699" s="82" t="inlineStr">
        <is>
          <t>PAINEL EM BRISE MARROM</t>
        </is>
      </c>
      <c r="E4699" s="11">
        <f t="array" ref="E4699">_xlfn.XLOOKUP(D4699,Insumos!B:B,Insumos!C:$C)</f>
        <v/>
      </c>
      <c r="F4699" s="2164" t="n">
        <v>1</v>
      </c>
      <c r="G4699" s="92">
        <f t="array" ref="G4699">IF(B4699="insumo",_xlfn.XLOOKUP($D4699,Insumos!$B$1:$B$996,Insumos!$D$1:$D$996),"")</f>
        <v/>
      </c>
      <c r="H4699" s="92" t="n">
        <v>1415.02759303806</v>
      </c>
      <c r="I4699" s="2165" t="n">
        <v>0</v>
      </c>
      <c r="J4699" s="2165" t="n">
        <v>0</v>
      </c>
      <c r="K4699" s="2165" t="n"/>
    </row>
    <row r="4700" outlineLevel="1" ht="15.75" customHeight="1">
      <c r="A4700" s="1090" t="n">
        <v>1</v>
      </c>
      <c r="B4700" s="1090" t="inlineStr">
        <is>
          <t>Subetapa</t>
        </is>
      </c>
      <c r="C4700" s="1090" t="inlineStr">
        <is>
          <t>Brise de Alumínio Marrom - Decoração Fachada</t>
        </is>
      </c>
      <c r="D4700" s="1090" t="inlineStr">
        <is>
          <t>MÃO DE OBRA FACHADA</t>
        </is>
      </c>
      <c r="E4700" s="1091" t="n"/>
      <c r="F4700" s="2160" t="n"/>
      <c r="G4700" s="1091" t="n"/>
      <c r="H4700" s="1091" t="n">
        <v>0</v>
      </c>
      <c r="I4700" s="2160" t="n">
        <v>0</v>
      </c>
      <c r="J4700" s="2160" t="n">
        <v>0</v>
      </c>
      <c r="K4700" s="2160" t="n"/>
    </row>
    <row r="4701" outlineLevel="2" ht="15.75" customHeight="1">
      <c r="A4701" s="1067" t="n">
        <v>1</v>
      </c>
      <c r="B4701" s="1067" t="inlineStr">
        <is>
          <t>Serviço</t>
        </is>
      </c>
      <c r="C4701" s="1067" t="inlineStr">
        <is>
          <t>Mão de obra estucamento de paredes externas</t>
        </is>
      </c>
      <c r="D4701" s="1067" t="inlineStr">
        <is>
          <t>Mão de obra estucamento de paredes externas</t>
        </is>
      </c>
      <c r="E4701" s="1068" t="inlineStr">
        <is>
          <t>M2</t>
        </is>
      </c>
      <c r="F4701" s="1075" t="n"/>
      <c r="G4701" s="1069">
        <f t="array" ref="G4701">IF(B4701="insumo",_xlfn.XLOOKUP($D4701,Insumos!$B$1:$B$996,Insumos!$D$1:$D$996),"")</f>
        <v/>
      </c>
      <c r="H4701" s="1069" t="n">
        <v>30</v>
      </c>
      <c r="I4701" s="2161" t="n">
        <v>0</v>
      </c>
      <c r="J4701" s="2161" t="n">
        <v>0</v>
      </c>
      <c r="K4701" s="2161" t="n"/>
    </row>
    <row r="4702" outlineLevel="3" ht="15.75" customHeight="1">
      <c r="A4702" s="10" t="n">
        <v>2</v>
      </c>
      <c r="B4702" s="10" t="inlineStr">
        <is>
          <t>Insumo</t>
        </is>
      </c>
      <c r="C4702" s="10" t="inlineStr">
        <is>
          <t>Mão de obra estucamento de paredes externas</t>
        </is>
      </c>
      <c r="D4702" s="10" t="inlineStr">
        <is>
          <t>Mão de obra estucamento de paredes</t>
        </is>
      </c>
      <c r="E4702" s="11">
        <f t="array" ref="E4702">_xlfn.XLOOKUP(D4702,Insumos!B:B,Insumos!C:$C)</f>
        <v/>
      </c>
      <c r="F4702" s="14" t="n">
        <v>1</v>
      </c>
      <c r="G4702" s="92">
        <f t="array" ref="G4702">IF(B4702="insumo",_xlfn.XLOOKUP($D4702,Insumos!$B$1:$B$996,Insumos!$D$1:$D$996),"")</f>
        <v/>
      </c>
      <c r="H4702" s="92" t="n">
        <v>30</v>
      </c>
      <c r="I4702" s="2162" t="n">
        <v>0</v>
      </c>
      <c r="J4702" s="2162" t="n">
        <v>0</v>
      </c>
      <c r="K4702" s="2162" t="n"/>
    </row>
    <row r="4703" outlineLevel="2" ht="15.75" customHeight="1">
      <c r="A4703" s="1067" t="n">
        <v>1</v>
      </c>
      <c r="B4703" s="1067" t="inlineStr">
        <is>
          <t>Serviço</t>
        </is>
      </c>
      <c r="C4703" s="1067" t="inlineStr">
        <is>
          <t>Mão de obra massa de gesso de paredes externas</t>
        </is>
      </c>
      <c r="D4703" s="1067" t="inlineStr">
        <is>
          <t>Mão de obra massa de gesso de paredes externas</t>
        </is>
      </c>
      <c r="E4703" s="1068" t="inlineStr">
        <is>
          <t>M2</t>
        </is>
      </c>
      <c r="F4703" s="1075" t="n"/>
      <c r="G4703" s="1069">
        <f t="array" ref="G4703">IF(B4703="insumo",_xlfn.XLOOKUP($D4703,Insumos!$B$1:$B$996,Insumos!$D$1:$D$996),"")</f>
        <v/>
      </c>
      <c r="H4703" s="1069" t="n">
        <v>25</v>
      </c>
      <c r="I4703" s="2161" t="n">
        <v>0</v>
      </c>
      <c r="J4703" s="2161" t="n">
        <v>0</v>
      </c>
      <c r="K4703" s="2161" t="n"/>
    </row>
    <row r="4704" outlineLevel="3" ht="15.75" customHeight="1">
      <c r="A4704" s="10" t="n">
        <v>1</v>
      </c>
      <c r="B4704" s="10" t="inlineStr">
        <is>
          <t>Insumo</t>
        </is>
      </c>
      <c r="C4704" s="10" t="inlineStr">
        <is>
          <t>Mão de obra massa de gesso de paredes externas</t>
        </is>
      </c>
      <c r="D4704" s="10" t="inlineStr">
        <is>
          <t>Mão de obra massa de gesso de paredes externas</t>
        </is>
      </c>
      <c r="E4704" s="11">
        <f t="array" ref="E4704">_xlfn.XLOOKUP(D4704,Insumos!B:B,Insumos!C:$C)</f>
        <v/>
      </c>
      <c r="F4704" s="14" t="n">
        <v>1</v>
      </c>
      <c r="G4704" s="92">
        <f t="array" ref="G4704">IF(B4704="insumo",_xlfn.XLOOKUP($D4704,Insumos!$B$1:$B$996,Insumos!$D$1:$D$996),"")</f>
        <v/>
      </c>
      <c r="H4704" s="92" t="n">
        <v>25</v>
      </c>
      <c r="I4704" s="2162" t="n">
        <v>0</v>
      </c>
      <c r="J4704" s="2162" t="n">
        <v>0</v>
      </c>
      <c r="K4704" s="2162" t="n"/>
    </row>
    <row r="4705" outlineLevel="2" ht="15.75" customHeight="1">
      <c r="A4705" s="1067" t="n">
        <v>1</v>
      </c>
      <c r="B4705" s="1067" t="inlineStr">
        <is>
          <t>Serviço</t>
        </is>
      </c>
      <c r="C4705" s="1067" t="inlineStr">
        <is>
          <t>Mao de obra para reboco externo - inclui chapisco</t>
        </is>
      </c>
      <c r="D4705" s="1067" t="inlineStr">
        <is>
          <t>Mao de obra para reboco externo - inclui chapisco</t>
        </is>
      </c>
      <c r="E4705" s="1068" t="inlineStr">
        <is>
          <t>M2</t>
        </is>
      </c>
      <c r="F4705" s="1075" t="n"/>
      <c r="G4705" s="1069">
        <f t="array" ref="G4705">IF(B4705="insumo",_xlfn.XLOOKUP($D4705,Insumos!$B$1:$B$996,Insumos!$D$1:$D$996),"")</f>
        <v/>
      </c>
      <c r="H4705" s="1069" t="n">
        <v>62</v>
      </c>
      <c r="I4705" s="2161" t="e">
        <v>#REF!</v>
      </c>
      <c r="J4705" s="2161" t="e">
        <v>#REF!</v>
      </c>
      <c r="K4705" s="2161" t="n"/>
    </row>
    <row r="4706" outlineLevel="3" ht="15.75" customHeight="1">
      <c r="A4706" s="10" t="n">
        <v>1</v>
      </c>
      <c r="B4706" s="10" t="inlineStr">
        <is>
          <t>Insumo</t>
        </is>
      </c>
      <c r="C4706" s="10" t="inlineStr">
        <is>
          <t>Mao de obra para reboco externo - inclui chapisco</t>
        </is>
      </c>
      <c r="D4706" s="10" t="inlineStr">
        <is>
          <t>Mao de obra para reboco externo - inclui chapisco</t>
        </is>
      </c>
      <c r="E4706" s="11">
        <f t="array" ref="E4706">_xlfn.XLOOKUP(D4706,Insumos!B:B,Insumos!C:$C)</f>
        <v/>
      </c>
      <c r="F4706" s="14" t="n">
        <v>1</v>
      </c>
      <c r="G4706" s="92">
        <f t="array" ref="G4706">IF(B4706="insumo",_xlfn.XLOOKUP($D4706,Insumos!$B$1:$B$996,Insumos!$D$1:$D$996),"")</f>
        <v/>
      </c>
      <c r="H4706" s="92" t="n">
        <v>62</v>
      </c>
      <c r="I4706" s="2162" t="e">
        <v>#REF!</v>
      </c>
      <c r="J4706" s="2162" t="e">
        <v>#REF!</v>
      </c>
      <c r="K4706" s="2162" t="n"/>
    </row>
    <row r="4707" outlineLevel="2" ht="15.75" customHeight="1">
      <c r="A4707" s="1067" t="n">
        <v>1</v>
      </c>
      <c r="B4707" s="1067" t="inlineStr">
        <is>
          <t>Serviço</t>
        </is>
      </c>
      <c r="C4707" s="1067" t="inlineStr">
        <is>
          <t>Mão de obra para aplicação de Pintura em paredes externas - 3 demãos</t>
        </is>
      </c>
      <c r="D4707" s="1067" t="inlineStr">
        <is>
          <t>Mão de obra para aplicação de Pintura em paredes externas - 3 demãos</t>
        </is>
      </c>
      <c r="E4707" s="1068" t="inlineStr">
        <is>
          <t>M2</t>
        </is>
      </c>
      <c r="F4707" s="1075" t="n"/>
      <c r="G4707" s="1069">
        <f t="array" ref="G4707">IF(B4707="insumo",_xlfn.XLOOKUP($D4707,Insumos!$B$1:$B$996,Insumos!$D$1:$D$996),"")</f>
        <v/>
      </c>
      <c r="H4707" s="1069" t="n">
        <v>58</v>
      </c>
      <c r="I4707" s="2161" t="e">
        <v>#REF!</v>
      </c>
      <c r="J4707" s="2161" t="e">
        <v>#REF!</v>
      </c>
      <c r="K4707" s="2161" t="n"/>
    </row>
    <row r="4708" outlineLevel="3" ht="15.75" customHeight="1">
      <c r="A4708" s="10" t="n">
        <v>1</v>
      </c>
      <c r="B4708" s="10" t="inlineStr">
        <is>
          <t>Insumo</t>
        </is>
      </c>
      <c r="C4708" s="10" t="inlineStr">
        <is>
          <t>Mão de obra para aplicação de Pintura em paredes externas - 3 demãos</t>
        </is>
      </c>
      <c r="D4708" s="10" t="inlineStr">
        <is>
          <t>Mão de obra para aplicação de Pintura em paredes externas - 3 demãos</t>
        </is>
      </c>
      <c r="E4708" s="11">
        <f t="array" ref="E4708">_xlfn.XLOOKUP(D4708,Insumos!B:B,Insumos!C:$C)</f>
        <v/>
      </c>
      <c r="F4708" s="14" t="n">
        <v>1</v>
      </c>
      <c r="G4708" s="92">
        <f t="array" ref="G4708">IF(B4708="insumo",_xlfn.XLOOKUP($D4708,Insumos!$B$1:$B$996,Insumos!$D$1:$D$996),"")</f>
        <v/>
      </c>
      <c r="H4708" s="92" t="n">
        <v>58</v>
      </c>
      <c r="I4708" s="2162" t="e">
        <v>#REF!</v>
      </c>
      <c r="J4708" s="2162" t="e">
        <v>#REF!</v>
      </c>
      <c r="K4708" s="2162" t="n"/>
    </row>
    <row r="4709" outlineLevel="2" ht="15.75" customHeight="1">
      <c r="A4709" s="1067" t="n">
        <v>1</v>
      </c>
      <c r="B4709" s="1067" t="inlineStr">
        <is>
          <t>Serviço</t>
        </is>
      </c>
      <c r="C4709" s="1067" t="inlineStr">
        <is>
          <t>Mão de obra para aplicação de textura em paredes externas - 1 demão</t>
        </is>
      </c>
      <c r="D4709" s="1067" t="inlineStr">
        <is>
          <t>Mão de obra para aplicação de textura em paredes externas - 1 demão</t>
        </is>
      </c>
      <c r="E4709" s="1068" t="inlineStr">
        <is>
          <t>M2</t>
        </is>
      </c>
      <c r="F4709" s="1075" t="n"/>
      <c r="G4709" s="1069">
        <f t="array" ref="G4709">IF(B4709="insumo",_xlfn.XLOOKUP($D4709,Insumos!$B$1:$B$996,Insumos!$D$1:$D$996),"")</f>
        <v/>
      </c>
      <c r="H4709" s="1069" t="n">
        <v>58</v>
      </c>
      <c r="I4709" s="2161" t="e">
        <v>#REF!</v>
      </c>
      <c r="J4709" s="2161" t="e">
        <v>#REF!</v>
      </c>
      <c r="K4709" s="2161" t="n"/>
    </row>
    <row r="4710" outlineLevel="3" ht="15.75" customHeight="1">
      <c r="A4710" s="10" t="n">
        <v>1</v>
      </c>
      <c r="B4710" s="10" t="inlineStr">
        <is>
          <t>Insumo</t>
        </is>
      </c>
      <c r="C4710" s="10" t="inlineStr">
        <is>
          <t>Mão de obra para aplicação de textura em paredes externas - 1 demão</t>
        </is>
      </c>
      <c r="D4710" s="10" t="inlineStr">
        <is>
          <t>Mão de obra para aplicação de textura em paredes externas - 1 demão</t>
        </is>
      </c>
      <c r="E4710" s="11">
        <f t="array" ref="E4710">_xlfn.XLOOKUP(D4710,Insumos!B:B,Insumos!C:$C)</f>
        <v/>
      </c>
      <c r="F4710" s="14" t="n">
        <v>1</v>
      </c>
      <c r="G4710" s="92">
        <f t="array" ref="G4710">IF(B4710="insumo",_xlfn.XLOOKUP($D4710,Insumos!$B$1:$B$996,Insumos!$D$1:$D$996),"")</f>
        <v/>
      </c>
      <c r="H4710" s="92" t="n">
        <v>58</v>
      </c>
      <c r="I4710" s="2162" t="e">
        <v>#REF!</v>
      </c>
      <c r="J4710" s="2162" t="e">
        <v>#REF!</v>
      </c>
      <c r="K4710" s="2162" t="n"/>
    </row>
    <row r="4711" outlineLevel="2" ht="15.75" customHeight="1">
      <c r="A4711" s="1067" t="n">
        <v>1</v>
      </c>
      <c r="B4711" s="1067" t="inlineStr">
        <is>
          <t>Serviço</t>
        </is>
      </c>
      <c r="C4711" s="1067" t="inlineStr">
        <is>
          <t>Mão de obra para aplicação de Pastilhas em paredes externas</t>
        </is>
      </c>
      <c r="D4711" s="1067" t="inlineStr">
        <is>
          <t>Mão de obra para aplicação de Pastilhas em paredes externas</t>
        </is>
      </c>
      <c r="E4711" s="1068" t="inlineStr">
        <is>
          <t>M2</t>
        </is>
      </c>
      <c r="F4711" s="1075" t="n"/>
      <c r="G4711" s="1069">
        <f t="array" ref="G4711">IF(B4711="insumo",_xlfn.XLOOKUP($D4711,Insumos!$B$1:$B$996,Insumos!$D$1:$D$996),"")</f>
        <v/>
      </c>
      <c r="H4711" s="1069" t="n">
        <v>95</v>
      </c>
      <c r="I4711" s="2161" t="e">
        <v>#REF!</v>
      </c>
      <c r="J4711" s="2161" t="e">
        <v>#REF!</v>
      </c>
      <c r="K4711" s="2161" t="n"/>
    </row>
    <row r="4712" outlineLevel="3" ht="15.75" customHeight="1">
      <c r="A4712" s="10" t="n">
        <v>1</v>
      </c>
      <c r="B4712" s="10" t="inlineStr">
        <is>
          <t>Insumo</t>
        </is>
      </c>
      <c r="C4712" s="10" t="inlineStr">
        <is>
          <t>Mão de obra para aplicação de Pastilhas em paredes externas</t>
        </is>
      </c>
      <c r="D4712" s="10" t="inlineStr">
        <is>
          <t>Mão de obra para aplicação de Pastilhas em paredes externas</t>
        </is>
      </c>
      <c r="E4712" s="11">
        <f t="array" ref="E4712">_xlfn.XLOOKUP(D4712,Insumos!B:B,Insumos!C:$C)</f>
        <v/>
      </c>
      <c r="F4712" s="14" t="n">
        <v>1</v>
      </c>
      <c r="G4712" s="92">
        <f t="array" ref="G4712">IF(B4712="insumo",_xlfn.XLOOKUP($D4712,Insumos!$B$1:$B$996,Insumos!$D$1:$D$996),"")</f>
        <v/>
      </c>
      <c r="H4712" s="92" t="n">
        <v>95</v>
      </c>
      <c r="I4712" s="2162" t="e">
        <v>#REF!</v>
      </c>
      <c r="J4712" s="2162" t="e">
        <v>#REF!</v>
      </c>
      <c r="K4712" s="2162" t="n"/>
    </row>
    <row r="4713" outlineLevel="2" ht="15.75" customHeight="1">
      <c r="A4713" s="1067" t="n">
        <v>1</v>
      </c>
      <c r="B4713" s="1067" t="inlineStr">
        <is>
          <t>Serviço</t>
        </is>
      </c>
      <c r="C4713" s="1067" t="inlineStr">
        <is>
          <t>Mão de obra para aplicação de Porcelanato em paredes externas</t>
        </is>
      </c>
      <c r="D4713" s="1067" t="inlineStr">
        <is>
          <t>Mão de obra para aplicação de Porcelanato em paredes externas</t>
        </is>
      </c>
      <c r="E4713" s="1068" t="inlineStr">
        <is>
          <t>M2</t>
        </is>
      </c>
      <c r="F4713" s="1075" t="n"/>
      <c r="G4713" s="1069">
        <f t="array" ref="G4713">IF(B4713="insumo",_xlfn.XLOOKUP($D4713,Insumos!$B$1:$B$996,Insumos!$D$1:$D$996),"")</f>
        <v/>
      </c>
      <c r="H4713" s="1069" t="n">
        <v>85</v>
      </c>
      <c r="I4713" s="2161" t="e">
        <v>#REF!</v>
      </c>
      <c r="J4713" s="2161" t="e">
        <v>#REF!</v>
      </c>
      <c r="K4713" s="2161" t="n"/>
    </row>
    <row r="4714" outlineLevel="3" ht="15.75" customHeight="1">
      <c r="A4714" s="10" t="n">
        <v>1</v>
      </c>
      <c r="B4714" s="10" t="inlineStr">
        <is>
          <t>Insumo</t>
        </is>
      </c>
      <c r="C4714" s="10" t="inlineStr">
        <is>
          <t>Mão de obra para aplicação de Porcelanato em paredes externas</t>
        </is>
      </c>
      <c r="D4714" s="10" t="inlineStr">
        <is>
          <t>Mão de obra para aplicação de Porcelanato em paredes externas</t>
        </is>
      </c>
      <c r="E4714" s="11">
        <f t="array" ref="E4714">_xlfn.XLOOKUP(D4714,Insumos!B:B,Insumos!C:$C)</f>
        <v/>
      </c>
      <c r="F4714" s="14" t="n">
        <v>1</v>
      </c>
      <c r="G4714" s="92">
        <f t="array" ref="G4714">IF(B4714="insumo",_xlfn.XLOOKUP($D4714,Insumos!$B$1:$B$996,Insumos!$D$1:$D$996),"")</f>
        <v/>
      </c>
      <c r="H4714" s="92" t="n">
        <v>85</v>
      </c>
      <c r="I4714" s="2162" t="e">
        <v>#REF!</v>
      </c>
      <c r="J4714" s="2162" t="e">
        <v>#REF!</v>
      </c>
      <c r="K4714" s="2162" t="n"/>
    </row>
    <row r="4715" outlineLevel="2" ht="15.75" customHeight="1">
      <c r="A4715" s="1067" t="n">
        <v>1</v>
      </c>
      <c r="B4715" s="1067" t="inlineStr">
        <is>
          <t>Serviço</t>
        </is>
      </c>
      <c r="C4715" s="1067" t="inlineStr">
        <is>
          <t>Mão de obra para aplicação de Mármore Travertino em paredes externas</t>
        </is>
      </c>
      <c r="D4715" s="1067" t="inlineStr">
        <is>
          <t>Mão de obra para aplicação de Mármore Travertino em paredes externas</t>
        </is>
      </c>
      <c r="E4715" s="1068" t="inlineStr">
        <is>
          <t>M2</t>
        </is>
      </c>
      <c r="F4715" s="1075" t="n"/>
      <c r="G4715" s="1069">
        <f t="array" ref="G4715">IF(B4715="insumo",_xlfn.XLOOKUP($D4715,Insumos!$B$1:$B$996,Insumos!$D$1:$D$996),"")</f>
        <v/>
      </c>
      <c r="H4715" s="1069" t="n">
        <v>95</v>
      </c>
      <c r="I4715" s="2161" t="e">
        <v>#REF!</v>
      </c>
      <c r="J4715" s="2161" t="e">
        <v>#REF!</v>
      </c>
      <c r="K4715" s="2161" t="n"/>
    </row>
    <row r="4716" outlineLevel="3" ht="15.75" customHeight="1">
      <c r="A4716" s="10" t="n">
        <v>2</v>
      </c>
      <c r="B4716" s="10" t="inlineStr">
        <is>
          <t>Insumo</t>
        </is>
      </c>
      <c r="C4716" s="10" t="inlineStr">
        <is>
          <t>Mão de obra para aplicação de Mármore Travertino em paredes externas</t>
        </is>
      </c>
      <c r="D4716" s="10" t="inlineStr">
        <is>
          <t>Mão de obra para aplicação de Pedra Natural em paredes externas</t>
        </is>
      </c>
      <c r="E4716" s="11">
        <f t="array" ref="E4716">_xlfn.XLOOKUP(D4716,Insumos!B:B,Insumos!C:$C)</f>
        <v/>
      </c>
      <c r="F4716" s="14" t="n">
        <v>1</v>
      </c>
      <c r="G4716" s="92">
        <f t="array" ref="G4716">IF(B4716="insumo",_xlfn.XLOOKUP($D4716,Insumos!$B$1:$B$996,Insumos!$D$1:$D$996),"")</f>
        <v/>
      </c>
      <c r="H4716" s="92" t="n">
        <v>95</v>
      </c>
      <c r="I4716" s="2162" t="e">
        <v>#REF!</v>
      </c>
      <c r="J4716" s="2162" t="e">
        <v>#REF!</v>
      </c>
      <c r="K4716" s="2162" t="n"/>
    </row>
    <row r="4717" outlineLevel="2" ht="15.75" customHeight="1">
      <c r="A4717" s="1067" t="n">
        <v>1</v>
      </c>
      <c r="B4717" s="1067" t="inlineStr">
        <is>
          <t>Serviço</t>
        </is>
      </c>
      <c r="C4717" s="1067" t="inlineStr">
        <is>
          <t>Mão de obra para aplicação de Pedra Natural em paredes externas</t>
        </is>
      </c>
      <c r="D4717" s="1067" t="inlineStr">
        <is>
          <t>Mão de obra para aplicação de Pedra Natural em paredes externas</t>
        </is>
      </c>
      <c r="E4717" s="1068" t="inlineStr">
        <is>
          <t>M2</t>
        </is>
      </c>
      <c r="F4717" s="1075" t="n"/>
      <c r="G4717" s="1069">
        <f t="array" ref="G4717">IF(B4717="insumo",_xlfn.XLOOKUP($D4717,Insumos!$B$1:$B$996,Insumos!$D$1:$D$996),"")</f>
        <v/>
      </c>
      <c r="H4717" s="1069" t="n">
        <v>95</v>
      </c>
      <c r="I4717" s="2161" t="n">
        <v>0</v>
      </c>
      <c r="J4717" s="2161" t="n">
        <v>0</v>
      </c>
      <c r="K4717" s="2161" t="n"/>
    </row>
    <row r="4718" outlineLevel="3" ht="15.75" customHeight="1">
      <c r="A4718" s="10" t="n">
        <v>2</v>
      </c>
      <c r="B4718" s="10" t="inlineStr">
        <is>
          <t>Insumo</t>
        </is>
      </c>
      <c r="C4718" s="10" t="inlineStr">
        <is>
          <t>Mão de obra para aplicação de Pedra Natural em paredes externas</t>
        </is>
      </c>
      <c r="D4718" s="10" t="inlineStr">
        <is>
          <t>Mão de obra para aplicação de Pedra Natural em paredes externas</t>
        </is>
      </c>
      <c r="E4718" s="11">
        <f t="array" ref="E4718">_xlfn.XLOOKUP(D4718,Insumos!B:B,Insumos!C:$C)</f>
        <v/>
      </c>
      <c r="F4718" s="14" t="n">
        <v>1</v>
      </c>
      <c r="G4718" s="92">
        <f t="array" ref="G4718">IF(B4718="insumo",_xlfn.XLOOKUP($D4718,Insumos!$B$1:$B$996,Insumos!$D$1:$D$996),"")</f>
        <v/>
      </c>
      <c r="H4718" s="92" t="n">
        <v>95</v>
      </c>
      <c r="I4718" s="2162" t="n">
        <v>0</v>
      </c>
      <c r="J4718" s="2162" t="n">
        <v>0</v>
      </c>
      <c r="K4718" s="2162" t="n"/>
    </row>
    <row r="4719" outlineLevel="2" ht="15.75" customHeight="1">
      <c r="A4719" s="1067" t="n">
        <v>1</v>
      </c>
      <c r="B4719" s="1067" t="inlineStr">
        <is>
          <t>Serviço</t>
        </is>
      </c>
      <c r="C4719" s="1067" t="inlineStr">
        <is>
          <t>Mão de obra para aplicação de molduras em paredes externas</t>
        </is>
      </c>
      <c r="D4719" s="1067" t="inlineStr">
        <is>
          <t>Mão de obra para aplicação de molduras em paredes externas</t>
        </is>
      </c>
      <c r="E4719" s="1068" t="inlineStr">
        <is>
          <t>M2</t>
        </is>
      </c>
      <c r="F4719" s="1075" t="n"/>
      <c r="G4719" s="1069">
        <f t="array" ref="G4719">IF(B4719="insumo",_xlfn.XLOOKUP($D4719,Insumos!$B$1:$B$996,Insumos!$D$1:$D$996),"")</f>
        <v/>
      </c>
      <c r="H4719" s="1069" t="n">
        <v>120</v>
      </c>
      <c r="I4719" s="2161" t="e">
        <v>#REF!</v>
      </c>
      <c r="J4719" s="2161" t="e">
        <v>#REF!</v>
      </c>
      <c r="K4719" s="2161" t="n"/>
    </row>
    <row r="4720" outlineLevel="3" ht="15.75" customHeight="1">
      <c r="A4720" s="10" t="n">
        <v>1</v>
      </c>
      <c r="B4720" s="10" t="inlineStr">
        <is>
          <t>Insumo</t>
        </is>
      </c>
      <c r="C4720" s="10" t="inlineStr">
        <is>
          <t>Mão de obra para aplicação de molduras em paredes externas</t>
        </is>
      </c>
      <c r="D4720" s="10" t="inlineStr">
        <is>
          <t>Mão de obra para aplicação de molduras em paredes externas</t>
        </is>
      </c>
      <c r="E4720" s="11">
        <f t="array" ref="E4720">_xlfn.XLOOKUP(D4720,Insumos!B:B,Insumos!C:$C)</f>
        <v/>
      </c>
      <c r="F4720" s="14" t="n">
        <v>1</v>
      </c>
      <c r="G4720" s="92">
        <f t="array" ref="G4720">IF(B4720="insumo",_xlfn.XLOOKUP($D4720,Insumos!$B$1:$B$996,Insumos!$D$1:$D$996),"")</f>
        <v/>
      </c>
      <c r="H4720" s="92" t="n">
        <v>120</v>
      </c>
      <c r="I4720" s="2162" t="e">
        <v>#REF!</v>
      </c>
      <c r="J4720" s="2162" t="e">
        <v>#REF!</v>
      </c>
      <c r="K4720" s="2162" t="n"/>
    </row>
    <row r="4721" outlineLevel="2" ht="15.75" customHeight="1">
      <c r="A4721" s="1067" t="n">
        <v>1</v>
      </c>
      <c r="B4721" s="1067" t="inlineStr">
        <is>
          <t>Serviço</t>
        </is>
      </c>
      <c r="C4721" s="1083" t="inlineStr">
        <is>
          <t>Mão de Obra Aplicação de Revestimento Monolítico</t>
        </is>
      </c>
      <c r="D4721" s="1083" t="inlineStr">
        <is>
          <t>Mão de Obra Aplicação de Revestimento Monolítico</t>
        </is>
      </c>
      <c r="E4721" s="1068" t="inlineStr">
        <is>
          <t>M2</t>
        </is>
      </c>
      <c r="F4721" s="1075" t="n"/>
      <c r="G4721" s="1069">
        <f t="array" ref="G4721">IF(B4721="insumo",_xlfn.XLOOKUP($D4721,Insumos!$B$1:$B$996,Insumos!$D$1:$D$996),"")</f>
        <v/>
      </c>
      <c r="H4721" s="1069" t="n">
        <v>80</v>
      </c>
      <c r="I4721" s="2161" t="n">
        <v>0</v>
      </c>
      <c r="J4721" s="2161" t="n">
        <v>0</v>
      </c>
      <c r="K4721" s="2161" t="n"/>
    </row>
    <row r="4722" outlineLevel="3" ht="15.75" customHeight="1">
      <c r="A4722" s="10" t="n">
        <v>1</v>
      </c>
      <c r="B4722" s="10" t="inlineStr">
        <is>
          <t>Insumo</t>
        </is>
      </c>
      <c r="C4722" s="15" t="inlineStr">
        <is>
          <t>Mão de Obra Aplicação de Revestimento Monolítico</t>
        </is>
      </c>
      <c r="D4722" s="15" t="inlineStr">
        <is>
          <t>Mão de Obra Aplicação de Revestimento Monolítico</t>
        </is>
      </c>
      <c r="E4722" s="11">
        <f t="array" ref="E4722">_xlfn.XLOOKUP(D4722,Insumos!B:B,Insumos!C:$C)</f>
        <v/>
      </c>
      <c r="F4722" s="14" t="n">
        <v>1</v>
      </c>
      <c r="G4722" s="92">
        <f t="array" ref="G4722">IF(B4722="insumo",_xlfn.XLOOKUP($D4722,Insumos!$B$1:$B$996,Insumos!$D$1:$D$996),"")</f>
        <v/>
      </c>
      <c r="H4722" s="92" t="n">
        <v>80</v>
      </c>
      <c r="I4722" s="2162" t="n">
        <v>0</v>
      </c>
      <c r="J4722" s="2162" t="n">
        <v>0</v>
      </c>
      <c r="K4722" s="2162" t="n"/>
    </row>
    <row r="4723" outlineLevel="2" ht="15.75" customHeight="1">
      <c r="A4723" s="1067" t="n">
        <v>1</v>
      </c>
      <c r="B4723" s="1067" t="inlineStr">
        <is>
          <t>Serviço</t>
        </is>
      </c>
      <c r="C4723" s="1067" t="inlineStr">
        <is>
          <t>Mão de obra para execução de fachada ventilada</t>
        </is>
      </c>
      <c r="D4723" s="1067" t="inlineStr">
        <is>
          <t>Mão de obra para execução de fachada ventilada</t>
        </is>
      </c>
      <c r="E4723" s="1068" t="inlineStr">
        <is>
          <t>M2</t>
        </is>
      </c>
      <c r="F4723" s="1075" t="n"/>
      <c r="G4723" s="1069">
        <f t="array" ref="G4723">IF(B4723="insumo",_xlfn.XLOOKUP($D4723,Insumos!$B$1:$B$996,Insumos!$D$1:$D$996),"")</f>
        <v/>
      </c>
      <c r="H4723" s="1069" t="n">
        <v>175</v>
      </c>
      <c r="I4723" s="2161" t="n">
        <v>0</v>
      </c>
      <c r="J4723" s="2161" t="n">
        <v>0</v>
      </c>
      <c r="K4723" s="2161" t="n"/>
    </row>
    <row r="4724" outlineLevel="3" ht="15.75" customHeight="1">
      <c r="A4724" s="10" t="n">
        <v>1</v>
      </c>
      <c r="B4724" s="10" t="inlineStr">
        <is>
          <t>Insumo</t>
        </is>
      </c>
      <c r="C4724" s="10" t="inlineStr">
        <is>
          <t>Mão de obra para execução de fachada ventilada</t>
        </is>
      </c>
      <c r="D4724" s="10" t="inlineStr">
        <is>
          <t>Mão de obra para execução de fachada ventilada</t>
        </is>
      </c>
      <c r="E4724" s="11">
        <f t="array" ref="E4724">_xlfn.XLOOKUP(D4724,Insumos!B:B,Insumos!C:$C)</f>
        <v/>
      </c>
      <c r="F4724" s="14" t="n">
        <v>1</v>
      </c>
      <c r="G4724" s="92">
        <f t="array" ref="G4724">IF(B4724="insumo",_xlfn.XLOOKUP($D4724,Insumos!$B$1:$B$996,Insumos!$D$1:$D$996),"")</f>
        <v/>
      </c>
      <c r="H4724" s="92" t="n">
        <v>175</v>
      </c>
      <c r="I4724" s="2162" t="n">
        <v>0</v>
      </c>
      <c r="J4724" s="2162" t="n">
        <v>0</v>
      </c>
      <c r="K4724" s="2162" t="n"/>
    </row>
    <row r="4725" ht="15.75" customHeight="1">
      <c r="A4725" s="7" t="n">
        <v>1</v>
      </c>
      <c r="B4725" s="7" t="inlineStr">
        <is>
          <t>Etapa</t>
        </is>
      </c>
      <c r="C4725" s="7" t="inlineStr">
        <is>
          <t>Mão de obra para execução de fachada ventilada</t>
        </is>
      </c>
      <c r="D4725" s="7" t="inlineStr">
        <is>
          <t>LOUÇAS, BANCADAS E METAIS</t>
        </is>
      </c>
      <c r="E4725" s="8" t="n"/>
      <c r="F4725" s="2159" t="n"/>
      <c r="G4725" s="91">
        <f t="array" ref="G4725">IF(B4725="insumo",_xlfn.XLOOKUP($D4725,Insumos!$B$1:$B$996,Insumos!$D$1:$D$996),"")</f>
        <v/>
      </c>
      <c r="H4725" s="91" t="n">
        <v>0</v>
      </c>
      <c r="I4725" s="2159" t="n">
        <v>0</v>
      </c>
      <c r="J4725" s="2159" t="n">
        <v>0</v>
      </c>
      <c r="K4725" s="2159" t="n"/>
    </row>
    <row r="4726" outlineLevel="1" ht="15.75" customHeight="1">
      <c r="A4726" s="1067" t="n">
        <v>1</v>
      </c>
      <c r="B4726" s="1067" t="inlineStr">
        <is>
          <t>Serviço</t>
        </is>
      </c>
      <c r="C4726" s="1084" t="inlineStr">
        <is>
          <t>Banheiro - Bacia Sanitária / Caixa Acoplada</t>
        </is>
      </c>
      <c r="D4726" s="1084" t="inlineStr">
        <is>
          <t>Banheiro - Bacia Sanitária / Caixa Acoplada</t>
        </is>
      </c>
      <c r="E4726" s="1068" t="inlineStr">
        <is>
          <t>UN</t>
        </is>
      </c>
      <c r="F4726" s="1085" t="inlineStr"/>
      <c r="G4726" s="1069">
        <f t="array" ref="G4726">IF(B4726="insumo",_xlfn.XLOOKUP($D4726,Insumos!$B$1:$B$996,Insumos!$D$1:$D$996),"")</f>
        <v/>
      </c>
      <c r="H4726" s="1069" t="n">
        <v>586.6688</v>
      </c>
      <c r="I4726" s="2161" t="n">
        <v>0</v>
      </c>
      <c r="J4726" s="2161" t="n">
        <v>0</v>
      </c>
      <c r="K4726" s="2161" t="n"/>
    </row>
    <row r="4727" outlineLevel="2" ht="15.75" customHeight="1">
      <c r="A4727" s="10" t="n">
        <v>2</v>
      </c>
      <c r="B4727" s="10" t="inlineStr">
        <is>
          <t>Insumo</t>
        </is>
      </c>
      <c r="C4727" s="10" t="inlineStr">
        <is>
          <t>Banheiro - Bacia Sanitária / Caixa Acoplada</t>
        </is>
      </c>
      <c r="D4727" s="10" t="inlineStr">
        <is>
          <t>Bacia com caixa acoplada / Detalhe: Linha Living, branco, saída lado direito, Deca</t>
        </is>
      </c>
      <c r="E4727" s="11">
        <f t="array" ref="E4727">_xlfn.XLOOKUP(D4727,Insumos!B:B,Insumos!C:$C)</f>
        <v/>
      </c>
      <c r="F4727" s="14" t="n">
        <v>1</v>
      </c>
      <c r="G4727" s="92">
        <f t="array" ref="G4727">IF(B4727="insumo",_xlfn.XLOOKUP($D4727,Insumos!$B$1:$B$996,Insumos!$D$1:$D$996),"")</f>
        <v/>
      </c>
      <c r="H4727" s="92" t="n">
        <v>523.17</v>
      </c>
      <c r="I4727" s="2162" t="n">
        <v>0</v>
      </c>
      <c r="J4727" s="2162" t="n">
        <v>0</v>
      </c>
      <c r="K4727" s="2162" t="n"/>
    </row>
    <row r="4728" outlineLevel="2" ht="15.75" customHeight="1">
      <c r="A4728" s="10" t="n">
        <v>2</v>
      </c>
      <c r="B4728" s="10" t="inlineStr">
        <is>
          <t>Insumo</t>
        </is>
      </c>
      <c r="C4728" s="10" t="inlineStr">
        <is>
          <t>Banheiro - Bacia Sanitária / Caixa Acoplada</t>
        </is>
      </c>
      <c r="D4728" s="10" t="inlineStr">
        <is>
          <t>Bucha S-8</t>
        </is>
      </c>
      <c r="E4728" s="11">
        <f t="array" ref="E4728">_xlfn.XLOOKUP(D4728,Insumos!B:B,Insumos!C:$C)</f>
        <v/>
      </c>
      <c r="F4728" s="14" t="n">
        <v>2</v>
      </c>
      <c r="G4728" s="92">
        <f t="array" ref="G4728">IF(B4728="insumo",_xlfn.XLOOKUP($D4728,Insumos!$B$1:$B$996,Insumos!$D$1:$D$996),"")</f>
        <v/>
      </c>
      <c r="H4728" s="92" t="n">
        <v>0.68</v>
      </c>
      <c r="I4728" s="2162" t="n">
        <v>0</v>
      </c>
      <c r="J4728" s="2162" t="n">
        <v>0</v>
      </c>
      <c r="K4728" s="2162" t="n"/>
    </row>
    <row r="4729" outlineLevel="2" ht="15.75" customHeight="1">
      <c r="A4729" s="10" t="n">
        <v>3</v>
      </c>
      <c r="B4729" s="10" t="inlineStr">
        <is>
          <t>Insumo</t>
        </is>
      </c>
      <c r="C4729" s="10" t="inlineStr">
        <is>
          <t>Banheiro - Bacia Sanitária / Caixa Acoplada</t>
        </is>
      </c>
      <c r="D4729" s="10" t="inlineStr">
        <is>
          <t>Parafuso p/ Fixação de Vaso Sanitário</t>
        </is>
      </c>
      <c r="E4729" s="11">
        <f t="array" ref="E4729">_xlfn.XLOOKUP(D4729,Insumos!B:B,Insumos!C:$C)</f>
        <v/>
      </c>
      <c r="F4729" s="14" t="n">
        <v>2</v>
      </c>
      <c r="G4729" s="92">
        <f t="array" ref="G4729">IF(B4729="insumo",_xlfn.XLOOKUP($D4729,Insumos!$B$1:$B$996,Insumos!$D$1:$D$996),"")</f>
        <v/>
      </c>
      <c r="H4729" s="92" t="n">
        <v>11.9</v>
      </c>
      <c r="I4729" s="2162" t="n">
        <v>0</v>
      </c>
      <c r="J4729" s="2162" t="n">
        <v>0</v>
      </c>
      <c r="K4729" s="2162" t="n"/>
    </row>
    <row r="4730" outlineLevel="2" ht="15.75" customHeight="1">
      <c r="A4730" s="10" t="n">
        <v>8</v>
      </c>
      <c r="B4730" s="10" t="inlineStr">
        <is>
          <t>Insumo</t>
        </is>
      </c>
      <c r="C4730" s="10" t="inlineStr">
        <is>
          <t>Banheiro - Bacia Sanitária / Caixa Acoplada</t>
        </is>
      </c>
      <c r="D4730" s="10" t="inlineStr">
        <is>
          <t>Fita Veda Rosca</t>
        </is>
      </c>
      <c r="E4730" s="11">
        <f t="array" ref="E4730">_xlfn.XLOOKUP(D4730,Insumos!B:B,Insumos!C:$C)</f>
        <v/>
      </c>
      <c r="F4730" s="14" t="n">
        <v>1.12</v>
      </c>
      <c r="G4730" s="92">
        <f t="array" ref="G4730">IF(B4730="insumo",_xlfn.XLOOKUP($D4730,Insumos!$B$1:$B$996,Insumos!$D$1:$D$996),"")</f>
        <v/>
      </c>
      <c r="H4730" s="92" t="n">
        <v>0.2688</v>
      </c>
      <c r="I4730" s="2162" t="n">
        <v>0</v>
      </c>
      <c r="J4730" s="2162" t="n">
        <v>0</v>
      </c>
      <c r="K4730" s="2162" t="n"/>
    </row>
    <row r="4731" outlineLevel="2" ht="15.75" customHeight="1">
      <c r="A4731" s="10" t="n">
        <v>3</v>
      </c>
      <c r="B4731" s="10" t="inlineStr">
        <is>
          <t>Insumo</t>
        </is>
      </c>
      <c r="C4731" s="10" t="inlineStr">
        <is>
          <t>Banheiro - Bacia Sanitária / Caixa Acoplada</t>
        </is>
      </c>
      <c r="D4731" s="10" t="inlineStr">
        <is>
          <t>Anel de Borracha p/ Tubo 100 mm</t>
        </is>
      </c>
      <c r="E4731" s="11">
        <f t="array" ref="E4731">_xlfn.XLOOKUP(D4731,Insumos!B:B,Insumos!C:$C)</f>
        <v/>
      </c>
      <c r="F4731" s="14" t="n">
        <v>1</v>
      </c>
      <c r="G4731" s="92">
        <f t="array" ref="G4731">IF(B4731="insumo",_xlfn.XLOOKUP($D4731,Insumos!$B$1:$B$996,Insumos!$D$1:$D$996),"")</f>
        <v/>
      </c>
      <c r="H4731" s="92" t="n">
        <v>5</v>
      </c>
      <c r="I4731" s="2162" t="n">
        <v>0</v>
      </c>
      <c r="J4731" s="2162" t="n">
        <v>0</v>
      </c>
      <c r="K4731" s="2162" t="n"/>
    </row>
    <row r="4732" outlineLevel="2" ht="15.75" customHeight="1">
      <c r="A4732" s="10" t="n">
        <v>11</v>
      </c>
      <c r="B4732" s="10" t="inlineStr">
        <is>
          <t>Insumo</t>
        </is>
      </c>
      <c r="C4732" s="10" t="inlineStr">
        <is>
          <t>Banheiro - Bacia Sanitária / Caixa Acoplada</t>
        </is>
      </c>
      <c r="D4732" s="10" t="inlineStr">
        <is>
          <t>Cola Extra Forte AC6000-400G</t>
        </is>
      </c>
      <c r="E4732" s="11">
        <f t="array" ref="E4732">_xlfn.XLOOKUP(D4732,Insumos!B:B,Insumos!C:$C)</f>
        <v/>
      </c>
      <c r="F4732" s="14" t="n">
        <v>0.25</v>
      </c>
      <c r="G4732" s="92">
        <f t="array" ref="G4732">IF(B4732="insumo",_xlfn.XLOOKUP($D4732,Insumos!$B$1:$B$996,Insumos!$D$1:$D$996),"")</f>
        <v/>
      </c>
      <c r="H4732" s="92" t="n">
        <v>18.75</v>
      </c>
      <c r="I4732" s="2162" t="n">
        <v>0</v>
      </c>
      <c r="J4732" s="2162" t="n">
        <v>0</v>
      </c>
      <c r="K4732" s="2162" t="n"/>
    </row>
    <row r="4733" outlineLevel="2" ht="15.75" customHeight="1">
      <c r="A4733" s="10" t="n">
        <v>11</v>
      </c>
      <c r="B4733" s="10" t="inlineStr">
        <is>
          <t>Insumo</t>
        </is>
      </c>
      <c r="C4733" s="10" t="inlineStr">
        <is>
          <t>Banheiro - Bacia Sanitária / Caixa Acoplada</t>
        </is>
      </c>
      <c r="D4733" s="10" t="inlineStr">
        <is>
          <t>Engate Flexível Trançado 1/2"</t>
        </is>
      </c>
      <c r="E4733" s="11">
        <f t="array" ref="E4733">_xlfn.XLOOKUP(D4733,Insumos!B:B,Insumos!C:$C)</f>
        <v/>
      </c>
      <c r="F4733" s="14" t="n">
        <v>1</v>
      </c>
      <c r="G4733" s="92">
        <f t="array" ref="G4733">IF(B4733="insumo",_xlfn.XLOOKUP($D4733,Insumos!$B$1:$B$996,Insumos!$D$1:$D$996),"")</f>
        <v/>
      </c>
      <c r="H4733" s="92" t="n">
        <v>26.9</v>
      </c>
      <c r="I4733" s="2162" t="n">
        <v>0</v>
      </c>
      <c r="J4733" s="2162" t="n">
        <v>0</v>
      </c>
      <c r="K4733" s="2162" t="n"/>
    </row>
    <row r="4734" outlineLevel="1" ht="15.75" customHeight="1">
      <c r="A4734" s="1067" t="n">
        <v>1</v>
      </c>
      <c r="B4734" s="1067" t="inlineStr">
        <is>
          <t>Serviço</t>
        </is>
      </c>
      <c r="C4734" s="1084" t="inlineStr">
        <is>
          <t>Banheiro - Mictório / Caixa Acoplada</t>
        </is>
      </c>
      <c r="D4734" s="1084" t="inlineStr">
        <is>
          <t>Banheiro - Mictório / Caixa Acoplada</t>
        </is>
      </c>
      <c r="E4734" s="1068" t="inlineStr">
        <is>
          <t>UN</t>
        </is>
      </c>
      <c r="F4734" s="1085" t="inlineStr"/>
      <c r="G4734" s="1069">
        <f t="array" ref="G4734">IF(B4734="insumo",_xlfn.XLOOKUP($D4734,Insumos!$B$1:$B$996,Insumos!$D$1:$D$996),"")</f>
        <v/>
      </c>
      <c r="H4734" s="1069" t="n">
        <v>1073.9</v>
      </c>
      <c r="I4734" s="2161" t="n">
        <v>0</v>
      </c>
      <c r="J4734" s="2161" t="n">
        <v>0</v>
      </c>
      <c r="K4734" s="2161" t="n"/>
    </row>
    <row r="4735" outlineLevel="2" ht="15.75" customHeight="1">
      <c r="A4735" s="10" t="n">
        <v>1</v>
      </c>
      <c r="B4735" s="10" t="inlineStr">
        <is>
          <t>Insumo</t>
        </is>
      </c>
      <c r="C4735" s="10" t="inlineStr">
        <is>
          <t>Banheiro - Mictório / Caixa Acoplada</t>
        </is>
      </c>
      <c r="D4735" s="10" t="inlineStr">
        <is>
          <t>Mictório com Válvula de Acionamento</t>
        </is>
      </c>
      <c r="E4735" s="11">
        <f t="array" ref="E4735">_xlfn.XLOOKUP(D4735,Insumos!B:B,Insumos!C:$C)</f>
        <v/>
      </c>
      <c r="F4735" s="14" t="n">
        <v>1</v>
      </c>
      <c r="G4735" s="92">
        <f t="array" ref="G4735">IF(B4735="insumo",_xlfn.XLOOKUP($D4735,Insumos!$B$1:$B$996,Insumos!$D$1:$D$996),"")</f>
        <v/>
      </c>
      <c r="H4735" s="92" t="n">
        <v>1010.4012</v>
      </c>
      <c r="I4735" s="2162" t="n">
        <v>0</v>
      </c>
      <c r="J4735" s="2162" t="n">
        <v>0</v>
      </c>
      <c r="K4735" s="2162" t="n"/>
    </row>
    <row r="4736" outlineLevel="2" ht="15.75" customHeight="1">
      <c r="A4736" s="10" t="n">
        <v>2</v>
      </c>
      <c r="B4736" s="10" t="inlineStr">
        <is>
          <t>Insumo</t>
        </is>
      </c>
      <c r="C4736" s="10" t="inlineStr">
        <is>
          <t>Banheiro - Mictório / Caixa Acoplada</t>
        </is>
      </c>
      <c r="D4736" s="10" t="inlineStr">
        <is>
          <t>Bucha S-8</t>
        </is>
      </c>
      <c r="E4736" s="11">
        <f t="array" ref="E4736">_xlfn.XLOOKUP(D4736,Insumos!B:B,Insumos!C:$C)</f>
        <v/>
      </c>
      <c r="F4736" s="14" t="n">
        <v>2</v>
      </c>
      <c r="G4736" s="92">
        <f t="array" ref="G4736">IF(B4736="insumo",_xlfn.XLOOKUP($D4736,Insumos!$B$1:$B$996,Insumos!$D$1:$D$996),"")</f>
        <v/>
      </c>
      <c r="H4736" s="92" t="n">
        <v>0.68</v>
      </c>
      <c r="I4736" s="2162" t="n">
        <v>0</v>
      </c>
      <c r="J4736" s="2162" t="n">
        <v>0</v>
      </c>
      <c r="K4736" s="2162" t="n"/>
    </row>
    <row r="4737" outlineLevel="2" ht="15.75" customHeight="1">
      <c r="A4737" s="10" t="n">
        <v>3</v>
      </c>
      <c r="B4737" s="10" t="inlineStr">
        <is>
          <t>Insumo</t>
        </is>
      </c>
      <c r="C4737" s="10" t="inlineStr">
        <is>
          <t>Banheiro - Mictório / Caixa Acoplada</t>
        </is>
      </c>
      <c r="D4737" s="10" t="inlineStr">
        <is>
          <t>Parafuso p/ Fixação de Vaso Sanitário</t>
        </is>
      </c>
      <c r="E4737" s="11">
        <f t="array" ref="E4737">_xlfn.XLOOKUP(D4737,Insumos!B:B,Insumos!C:$C)</f>
        <v/>
      </c>
      <c r="F4737" s="14" t="n">
        <v>2</v>
      </c>
      <c r="G4737" s="92">
        <f t="array" ref="G4737">IF(B4737="insumo",_xlfn.XLOOKUP($D4737,Insumos!$B$1:$B$996,Insumos!$D$1:$D$996),"")</f>
        <v/>
      </c>
      <c r="H4737" s="92" t="n">
        <v>11.9</v>
      </c>
      <c r="I4737" s="2162" t="n">
        <v>0</v>
      </c>
      <c r="J4737" s="2162" t="n">
        <v>0</v>
      </c>
      <c r="K4737" s="2162" t="n"/>
    </row>
    <row r="4738" outlineLevel="2" ht="15.75" customHeight="1">
      <c r="A4738" s="10" t="n">
        <v>8</v>
      </c>
      <c r="B4738" s="10" t="inlineStr">
        <is>
          <t>Insumo</t>
        </is>
      </c>
      <c r="C4738" s="10" t="inlineStr">
        <is>
          <t>Banheiro - Mictório / Caixa Acoplada</t>
        </is>
      </c>
      <c r="D4738" s="10" t="inlineStr">
        <is>
          <t>Fita Veda Rosca</t>
        </is>
      </c>
      <c r="E4738" s="11">
        <f t="array" ref="E4738">_xlfn.XLOOKUP(D4738,Insumos!B:B,Insumos!C:$C)</f>
        <v/>
      </c>
      <c r="F4738" s="14" t="n">
        <v>1.12</v>
      </c>
      <c r="G4738" s="92">
        <f t="array" ref="G4738">IF(B4738="insumo",_xlfn.XLOOKUP($D4738,Insumos!$B$1:$B$996,Insumos!$D$1:$D$996),"")</f>
        <v/>
      </c>
      <c r="H4738" s="92" t="n">
        <v>0.2688</v>
      </c>
      <c r="I4738" s="2162" t="n">
        <v>0</v>
      </c>
      <c r="J4738" s="2162" t="n">
        <v>0</v>
      </c>
      <c r="K4738" s="2162" t="n"/>
    </row>
    <row r="4739" outlineLevel="2" ht="15.75" customHeight="1">
      <c r="A4739" s="10" t="n">
        <v>3</v>
      </c>
      <c r="B4739" s="10" t="inlineStr">
        <is>
          <t>Insumo</t>
        </is>
      </c>
      <c r="C4739" s="10" t="inlineStr">
        <is>
          <t>Banheiro - Mictório / Caixa Acoplada</t>
        </is>
      </c>
      <c r="D4739" s="10" t="inlineStr">
        <is>
          <t>Anel de Borracha p/ Tubo 100 mm</t>
        </is>
      </c>
      <c r="E4739" s="11">
        <f t="array" ref="E4739">_xlfn.XLOOKUP(D4739,Insumos!B:B,Insumos!C:$C)</f>
        <v/>
      </c>
      <c r="F4739" s="14" t="n">
        <v>1</v>
      </c>
      <c r="G4739" s="92">
        <f t="array" ref="G4739">IF(B4739="insumo",_xlfn.XLOOKUP($D4739,Insumos!$B$1:$B$996,Insumos!$D$1:$D$996),"")</f>
        <v/>
      </c>
      <c r="H4739" s="92" t="n">
        <v>5</v>
      </c>
      <c r="I4739" s="2162" t="n">
        <v>0</v>
      </c>
      <c r="J4739" s="2162" t="n">
        <v>0</v>
      </c>
      <c r="K4739" s="2162" t="n"/>
    </row>
    <row r="4740" outlineLevel="2" ht="15.75" customHeight="1">
      <c r="A4740" s="10" t="n">
        <v>11</v>
      </c>
      <c r="B4740" s="10" t="inlineStr">
        <is>
          <t>Insumo</t>
        </is>
      </c>
      <c r="C4740" s="10" t="inlineStr">
        <is>
          <t>Banheiro - Mictório / Caixa Acoplada</t>
        </is>
      </c>
      <c r="D4740" s="10" t="inlineStr">
        <is>
          <t>Cola Extra Forte AC6000-400G</t>
        </is>
      </c>
      <c r="E4740" s="11">
        <f t="array" ref="E4740">_xlfn.XLOOKUP(D4740,Insumos!B:B,Insumos!C:$C)</f>
        <v/>
      </c>
      <c r="F4740" s="14" t="n">
        <v>0.25</v>
      </c>
      <c r="G4740" s="92">
        <f t="array" ref="G4740">IF(B4740="insumo",_xlfn.XLOOKUP($D4740,Insumos!$B$1:$B$996,Insumos!$D$1:$D$996),"")</f>
        <v/>
      </c>
      <c r="H4740" s="92" t="n">
        <v>18.75</v>
      </c>
      <c r="I4740" s="2162" t="n">
        <v>0</v>
      </c>
      <c r="J4740" s="2162" t="n">
        <v>0</v>
      </c>
      <c r="K4740" s="2162" t="n"/>
    </row>
    <row r="4741" outlineLevel="2" ht="15.75" customHeight="1">
      <c r="A4741" s="10" t="n">
        <v>11</v>
      </c>
      <c r="B4741" s="10" t="inlineStr">
        <is>
          <t>Insumo</t>
        </is>
      </c>
      <c r="C4741" s="10" t="inlineStr">
        <is>
          <t>Banheiro - Mictório / Caixa Acoplada</t>
        </is>
      </c>
      <c r="D4741" s="10" t="inlineStr">
        <is>
          <t>Engate Flexível Trançado 1/2"</t>
        </is>
      </c>
      <c r="E4741" s="11">
        <f t="array" ref="E4741">_xlfn.XLOOKUP(D4741,Insumos!B:B,Insumos!C:$C)</f>
        <v/>
      </c>
      <c r="F4741" s="14" t="n">
        <v>1</v>
      </c>
      <c r="G4741" s="92">
        <f t="array" ref="G4741">IF(B4741="insumo",_xlfn.XLOOKUP($D4741,Insumos!$B$1:$B$996,Insumos!$D$1:$D$996),"")</f>
        <v/>
      </c>
      <c r="H4741" s="92" t="n">
        <v>26.9</v>
      </c>
      <c r="I4741" s="2162" t="n">
        <v>0</v>
      </c>
      <c r="J4741" s="2162" t="n">
        <v>0</v>
      </c>
      <c r="K4741" s="2162" t="n"/>
    </row>
    <row r="4742" outlineLevel="1" ht="15.75" customHeight="1">
      <c r="A4742" s="1067" t="n">
        <v>1</v>
      </c>
      <c r="B4742" s="1067" t="inlineStr">
        <is>
          <t>Serviço</t>
        </is>
      </c>
      <c r="C4742" s="1067" t="inlineStr">
        <is>
          <t>Banheiro - Bacia Sanitária PNE</t>
        </is>
      </c>
      <c r="D4742" s="1067" t="inlineStr">
        <is>
          <t>Banheiro - Bacia Sanitária PNE</t>
        </is>
      </c>
      <c r="E4742" s="1068" t="inlineStr">
        <is>
          <t>UN</t>
        </is>
      </c>
      <c r="F4742" s="1067" t="inlineStr"/>
      <c r="G4742" s="1069">
        <f t="array" ref="G4742">IF(B4742="insumo",_xlfn.XLOOKUP($D4742,Insumos!$B$1:$B$996,Insumos!$D$1:$D$996),"")</f>
        <v/>
      </c>
      <c r="H4742" s="1069" t="n">
        <v>600.64</v>
      </c>
      <c r="I4742" s="2161" t="n">
        <v>0</v>
      </c>
      <c r="J4742" s="2161" t="n">
        <v>0</v>
      </c>
      <c r="K4742" s="2161" t="n"/>
    </row>
    <row r="4743" outlineLevel="2" ht="15.75" customHeight="1">
      <c r="A4743" s="10" t="n">
        <v>3</v>
      </c>
      <c r="B4743" s="10" t="inlineStr">
        <is>
          <t>Insumo</t>
        </is>
      </c>
      <c r="C4743" s="10" t="inlineStr">
        <is>
          <t>Banheiro - Bacia Sanitária PNE</t>
        </is>
      </c>
      <c r="D4743" s="10" t="inlineStr">
        <is>
          <t>Bucha Nylon C8</t>
        </is>
      </c>
      <c r="E4743" s="11">
        <f t="array" ref="E4743">_xlfn.XLOOKUP(D4743,Insumos!B:B,Insumos!C:$C)</f>
        <v/>
      </c>
      <c r="F4743" s="14" t="n">
        <v>2</v>
      </c>
      <c r="G4743" s="92">
        <f t="array" ref="G4743">IF(B4743="insumo",_xlfn.XLOOKUP($D4743,Insumos!$B$1:$B$996,Insumos!$D$1:$D$996),"")</f>
        <v/>
      </c>
      <c r="H4743" s="92" t="n">
        <v>0.68</v>
      </c>
      <c r="I4743" s="2162" t="n">
        <v>0</v>
      </c>
      <c r="J4743" s="2162" t="n">
        <v>0</v>
      </c>
      <c r="K4743" s="2162" t="n"/>
    </row>
    <row r="4744" outlineLevel="2" ht="15.75" customHeight="1">
      <c r="A4744" s="10" t="n">
        <v>3</v>
      </c>
      <c r="B4744" s="10" t="inlineStr">
        <is>
          <t>Insumo</t>
        </is>
      </c>
      <c r="C4744" s="10" t="inlineStr">
        <is>
          <t>Banheiro - Bacia Sanitária PNE</t>
        </is>
      </c>
      <c r="D4744" s="10" t="inlineStr">
        <is>
          <t>Parafuso p/ Fixação de Vaso Sanitário</t>
        </is>
      </c>
      <c r="E4744" s="11">
        <f t="array" ref="E4744">_xlfn.XLOOKUP(D4744,Insumos!B:B,Insumos!C:$C)</f>
        <v/>
      </c>
      <c r="F4744" s="14" t="n">
        <v>2</v>
      </c>
      <c r="G4744" s="92">
        <f t="array" ref="G4744">IF(B4744="insumo",_xlfn.XLOOKUP($D4744,Insumos!$B$1:$B$996,Insumos!$D$1:$D$996),"")</f>
        <v/>
      </c>
      <c r="H4744" s="92" t="n">
        <v>11.9</v>
      </c>
      <c r="I4744" s="2162" t="n">
        <v>0</v>
      </c>
      <c r="J4744" s="2162" t="n">
        <v>0</v>
      </c>
      <c r="K4744" s="2162" t="n"/>
    </row>
    <row r="4745" outlineLevel="2" ht="15.75" customHeight="1">
      <c r="A4745" s="10" t="n">
        <v>3</v>
      </c>
      <c r="B4745" s="10" t="inlineStr">
        <is>
          <t>Insumo</t>
        </is>
      </c>
      <c r="C4745" s="10" t="inlineStr">
        <is>
          <t>Banheiro - Bacia Sanitária PNE</t>
        </is>
      </c>
      <c r="D4745" s="10" t="inlineStr">
        <is>
          <t>Anel de Borracha p/ Tubo 100 mm</t>
        </is>
      </c>
      <c r="E4745" s="11">
        <f t="array" ref="E4745">_xlfn.XLOOKUP(D4745,Insumos!B:B,Insumos!C:$C)</f>
        <v/>
      </c>
      <c r="F4745" s="14" t="n">
        <v>1</v>
      </c>
      <c r="G4745" s="92">
        <f t="array" ref="G4745">IF(B4745="insumo",_xlfn.XLOOKUP($D4745,Insumos!$B$1:$B$996,Insumos!$D$1:$D$996),"")</f>
        <v/>
      </c>
      <c r="H4745" s="92" t="n">
        <v>5</v>
      </c>
      <c r="I4745" s="2162" t="n">
        <v>0</v>
      </c>
      <c r="J4745" s="2162" t="n">
        <v>0</v>
      </c>
      <c r="K4745" s="2162" t="n"/>
    </row>
    <row r="4746" outlineLevel="2" ht="15.75" customHeight="1">
      <c r="A4746" s="10" t="n">
        <v>7</v>
      </c>
      <c r="B4746" s="10" t="inlineStr">
        <is>
          <t>Insumo</t>
        </is>
      </c>
      <c r="C4746" s="10" t="inlineStr">
        <is>
          <t>Banheiro - Bacia Sanitária PNE</t>
        </is>
      </c>
      <c r="D4746" s="10" t="inlineStr">
        <is>
          <t>Silicone acético 250gr</t>
        </is>
      </c>
      <c r="E4746" s="11">
        <f t="array" ref="E4746">_xlfn.XLOOKUP(D4746,Insumos!B:B,Insumos!C:$C)</f>
        <v/>
      </c>
      <c r="F4746" s="14" t="n">
        <v>0.4</v>
      </c>
      <c r="G4746" s="92">
        <f t="array" ref="G4746">IF(B4746="insumo",_xlfn.XLOOKUP($D4746,Insumos!$B$1:$B$996,Insumos!$D$1:$D$996),"")</f>
        <v/>
      </c>
      <c r="H4746" s="92" t="n">
        <v>14.24</v>
      </c>
      <c r="I4746" s="2162" t="n">
        <v>0</v>
      </c>
      <c r="J4746" s="2162" t="n">
        <v>0</v>
      </c>
      <c r="K4746" s="2162" t="n"/>
    </row>
    <row r="4747" outlineLevel="2" ht="15.75" customHeight="1">
      <c r="A4747" s="10" t="n">
        <v>11</v>
      </c>
      <c r="B4747" s="10" t="inlineStr">
        <is>
          <t>Insumo</t>
        </is>
      </c>
      <c r="C4747" s="10" t="inlineStr">
        <is>
          <t>Banheiro - Bacia Sanitária PNE</t>
        </is>
      </c>
      <c r="D4747" s="10" t="inlineStr">
        <is>
          <t>Cola Extra Forte AC6000-400G</t>
        </is>
      </c>
      <c r="E4747" s="11">
        <f t="array" ref="E4747">_xlfn.XLOOKUP(D4747,Insumos!B:B,Insumos!C:$C)</f>
        <v/>
      </c>
      <c r="F4747" s="14" t="n">
        <v>0.25</v>
      </c>
      <c r="G4747" s="92">
        <f t="array" ref="G4747">IF(B4747="insumo",_xlfn.XLOOKUP($D4747,Insumos!$B$1:$B$996,Insumos!$D$1:$D$996),"")</f>
        <v/>
      </c>
      <c r="H4747" s="92" t="n">
        <v>18.75</v>
      </c>
      <c r="I4747" s="2162" t="n">
        <v>0</v>
      </c>
      <c r="J4747" s="2162" t="n">
        <v>0</v>
      </c>
      <c r="K4747" s="2162" t="n"/>
    </row>
    <row r="4748" outlineLevel="2" ht="15.75" customHeight="1">
      <c r="A4748" s="10" t="n">
        <v>2</v>
      </c>
      <c r="B4748" s="10" t="inlineStr">
        <is>
          <t>Insumo</t>
        </is>
      </c>
      <c r="C4748" s="10" t="inlineStr">
        <is>
          <t>Banheiro - Bacia Sanitária PNE</t>
        </is>
      </c>
      <c r="D4748" s="10" t="inlineStr">
        <is>
          <t>Bacia com caixa acoplada / Detalhe: Linha Living, branco, saída lado direito, Deca</t>
        </is>
      </c>
      <c r="E4748" s="11">
        <f t="array" ref="E4748">_xlfn.XLOOKUP(D4748,Insumos!B:B,Insumos!C:$C)</f>
        <v/>
      </c>
      <c r="F4748" s="14" t="n">
        <v>1</v>
      </c>
      <c r="G4748" s="92">
        <f t="array" ref="G4748">IF(B4748="insumo",_xlfn.XLOOKUP($D4748,Insumos!$B$1:$B$996,Insumos!$D$1:$D$996),"")</f>
        <v/>
      </c>
      <c r="H4748" s="92" t="n">
        <v>523.17</v>
      </c>
      <c r="I4748" s="2162" t="n">
        <v>0</v>
      </c>
      <c r="J4748" s="2162" t="n">
        <v>0</v>
      </c>
      <c r="K4748" s="2162" t="n"/>
    </row>
    <row r="4749" outlineLevel="2" ht="15.75" customHeight="1">
      <c r="A4749" s="10" t="n">
        <v>11</v>
      </c>
      <c r="B4749" s="10" t="inlineStr">
        <is>
          <t>Insumo</t>
        </is>
      </c>
      <c r="C4749" s="10" t="inlineStr">
        <is>
          <t>Banheiro - Bacia Sanitária PNE</t>
        </is>
      </c>
      <c r="D4749" s="10" t="inlineStr">
        <is>
          <t>Engate Flexível Trançado 1/2"</t>
        </is>
      </c>
      <c r="E4749" s="11">
        <f t="array" ref="E4749">_xlfn.XLOOKUP(D4749,Insumos!B:B,Insumos!C:$C)</f>
        <v/>
      </c>
      <c r="F4749" s="14" t="n">
        <v>1</v>
      </c>
      <c r="G4749" s="92">
        <f t="array" ref="G4749">IF(B4749="insumo",_xlfn.XLOOKUP($D4749,Insumos!$B$1:$B$996,Insumos!$D$1:$D$996),"")</f>
        <v/>
      </c>
      <c r="H4749" s="92" t="n">
        <v>26.9</v>
      </c>
      <c r="I4749" s="2162" t="n">
        <v>0</v>
      </c>
      <c r="J4749" s="2162" t="n">
        <v>0</v>
      </c>
      <c r="K4749" s="2162" t="n"/>
    </row>
    <row r="4750" outlineLevel="1" ht="15.75" customHeight="1">
      <c r="A4750" s="1067" t="n">
        <v>1</v>
      </c>
      <c r="B4750" s="1067" t="inlineStr">
        <is>
          <t>Serviço</t>
        </is>
      </c>
      <c r="C4750" s="1084" t="inlineStr">
        <is>
          <t>Banheiro - Cuba</t>
        </is>
      </c>
      <c r="D4750" s="1084" t="inlineStr">
        <is>
          <t>Banheiro - Cuba</t>
        </is>
      </c>
      <c r="E4750" s="1068" t="inlineStr">
        <is>
          <t>UN</t>
        </is>
      </c>
      <c r="F4750" s="1085" t="inlineStr"/>
      <c r="G4750" s="1069">
        <f t="array" ref="G4750">IF(B4750="insumo",_xlfn.XLOOKUP($D4750,Insumos!$B$1:$B$996,Insumos!$D$1:$D$996),"")</f>
        <v/>
      </c>
      <c r="H4750" s="1069" t="n">
        <v>436.69</v>
      </c>
      <c r="I4750" s="2161" t="n">
        <v>0</v>
      </c>
      <c r="J4750" s="2161" t="n">
        <v>0</v>
      </c>
      <c r="K4750" s="2161" t="n"/>
    </row>
    <row r="4751" outlineLevel="2" ht="15.75" customHeight="1">
      <c r="A4751" s="10" t="n">
        <v>1</v>
      </c>
      <c r="B4751" s="10" t="inlineStr">
        <is>
          <t>Insumo</t>
        </is>
      </c>
      <c r="C4751" s="10" t="inlineStr">
        <is>
          <t>Banheiro - Cuba</t>
        </is>
      </c>
      <c r="D4751" s="10" t="inlineStr">
        <is>
          <t>Cuba de Apoio Redonda 32cmx13cm Luxo Docol Branco</t>
        </is>
      </c>
      <c r="E4751" s="11">
        <f t="array" ref="E4751">_xlfn.XLOOKUP(D4751,Insumos!B:B,Insumos!C:$C)</f>
        <v/>
      </c>
      <c r="F4751" s="14" t="n">
        <v>1</v>
      </c>
      <c r="G4751" s="92">
        <f t="array" ref="G4751">IF(B4751="insumo",_xlfn.XLOOKUP($D4751,Insumos!$B$1:$B$996,Insumos!$D$1:$D$996),"")</f>
        <v/>
      </c>
      <c r="H4751" s="92" t="n">
        <v>272.9</v>
      </c>
      <c r="I4751" s="2162" t="n">
        <v>0</v>
      </c>
      <c r="J4751" s="2162" t="n">
        <v>0</v>
      </c>
      <c r="K4751" s="2162" t="n"/>
    </row>
    <row r="4752" outlineLevel="2" ht="15.75" customHeight="1">
      <c r="A4752" s="10" t="n">
        <v>2</v>
      </c>
      <c r="B4752" s="10" t="inlineStr">
        <is>
          <t>Insumo</t>
        </is>
      </c>
      <c r="C4752" s="10" t="inlineStr">
        <is>
          <t>Banheiro - Cuba</t>
        </is>
      </c>
      <c r="D4752" s="10" t="inlineStr">
        <is>
          <t>Valvula Metálica 1"</t>
        </is>
      </c>
      <c r="E4752" s="11">
        <f t="array" ref="E4752">_xlfn.XLOOKUP(D4752,Insumos!B:B,Insumos!C:$C)</f>
        <v/>
      </c>
      <c r="F4752" s="14" t="n">
        <v>1</v>
      </c>
      <c r="G4752" s="92">
        <f t="array" ref="G4752">IF(B4752="insumo",_xlfn.XLOOKUP($D4752,Insumos!$B$1:$B$996,Insumos!$D$1:$D$996),"")</f>
        <v/>
      </c>
      <c r="H4752" s="92" t="n">
        <v>65</v>
      </c>
      <c r="I4752" s="2162" t="n">
        <v>0</v>
      </c>
      <c r="J4752" s="2162" t="n">
        <v>0</v>
      </c>
      <c r="K4752" s="2162" t="n"/>
    </row>
    <row r="4753" outlineLevel="2" ht="15.75" customHeight="1">
      <c r="A4753" s="10" t="n">
        <v>3</v>
      </c>
      <c r="B4753" s="10" t="inlineStr">
        <is>
          <t>Insumo</t>
        </is>
      </c>
      <c r="C4753" s="10" t="inlineStr">
        <is>
          <t>Banheiro - Cuba</t>
        </is>
      </c>
      <c r="D4753" s="10" t="inlineStr">
        <is>
          <t>Bucha Nylon C8</t>
        </is>
      </c>
      <c r="E4753" s="11">
        <f t="array" ref="E4753">_xlfn.XLOOKUP(D4753,Insumos!B:B,Insumos!C:$C)</f>
        <v/>
      </c>
      <c r="F4753" s="14" t="n">
        <v>1</v>
      </c>
      <c r="G4753" s="92">
        <f t="array" ref="G4753">IF(B4753="insumo",_xlfn.XLOOKUP($D4753,Insumos!$B$1:$B$996,Insumos!$D$1:$D$996),"")</f>
        <v/>
      </c>
      <c r="H4753" s="92" t="n">
        <v>0.34</v>
      </c>
      <c r="I4753" s="2162" t="n">
        <v>0</v>
      </c>
      <c r="J4753" s="2162" t="n">
        <v>0</v>
      </c>
      <c r="K4753" s="2162" t="n"/>
    </row>
    <row r="4754" outlineLevel="2" ht="15.75" customHeight="1">
      <c r="A4754" s="10" t="n">
        <v>2</v>
      </c>
      <c r="B4754" s="10" t="inlineStr">
        <is>
          <t>Insumo</t>
        </is>
      </c>
      <c r="C4754" s="10" t="inlineStr">
        <is>
          <t>Banheiro - Cuba</t>
        </is>
      </c>
      <c r="D4754" s="10" t="inlineStr">
        <is>
          <t>Parafuso p/ Fixação de Tanque e Lavatório</t>
        </is>
      </c>
      <c r="E4754" s="11">
        <f t="array" ref="E4754">_xlfn.XLOOKUP(D4754,Insumos!B:B,Insumos!C:$C)</f>
        <v/>
      </c>
      <c r="F4754" s="14" t="n">
        <v>2</v>
      </c>
      <c r="G4754" s="92">
        <f t="array" ref="G4754">IF(B4754="insumo",_xlfn.XLOOKUP($D4754,Insumos!$B$1:$B$996,Insumos!$D$1:$D$996),"")</f>
        <v/>
      </c>
      <c r="H4754" s="92" t="n">
        <v>11.9</v>
      </c>
      <c r="I4754" s="2162" t="n">
        <v>0</v>
      </c>
      <c r="J4754" s="2162" t="n">
        <v>0</v>
      </c>
      <c r="K4754" s="2162" t="n"/>
    </row>
    <row r="4755" outlineLevel="2" ht="15.75" customHeight="1">
      <c r="A4755" s="10" t="n">
        <v>11</v>
      </c>
      <c r="B4755" s="10" t="inlineStr">
        <is>
          <t>Insumo</t>
        </is>
      </c>
      <c r="C4755" s="10" t="inlineStr">
        <is>
          <t>Banheiro - Cuba</t>
        </is>
      </c>
      <c r="D4755" s="10" t="inlineStr">
        <is>
          <t>Cola Extra Forte AC6000-400G</t>
        </is>
      </c>
      <c r="E4755" s="11">
        <f t="array" ref="E4755">_xlfn.XLOOKUP(D4755,Insumos!B:B,Insumos!C:$C)</f>
        <v/>
      </c>
      <c r="F4755" s="14" t="n">
        <v>0.25</v>
      </c>
      <c r="G4755" s="92">
        <f t="array" ref="G4755">IF(B4755="insumo",_xlfn.XLOOKUP($D4755,Insumos!$B$1:$B$996,Insumos!$D$1:$D$996),"")</f>
        <v/>
      </c>
      <c r="H4755" s="92" t="n">
        <v>18.75</v>
      </c>
      <c r="I4755" s="2162" t="n">
        <v>0</v>
      </c>
      <c r="J4755" s="2162" t="n">
        <v>0</v>
      </c>
      <c r="K4755" s="2162" t="n"/>
    </row>
    <row r="4756" outlineLevel="2" ht="15.75" customHeight="1">
      <c r="A4756" s="10" t="n">
        <v>11</v>
      </c>
      <c r="B4756" s="10" t="inlineStr">
        <is>
          <t>Insumo</t>
        </is>
      </c>
      <c r="C4756" s="10" t="inlineStr">
        <is>
          <t>Banheiro - Cuba</t>
        </is>
      </c>
      <c r="D4756" s="10" t="inlineStr">
        <is>
          <t>Engate Flexível Trançado 1/2"</t>
        </is>
      </c>
      <c r="E4756" s="11">
        <f t="array" ref="E4756">_xlfn.XLOOKUP(D4756,Insumos!B:B,Insumos!C:$C)</f>
        <v/>
      </c>
      <c r="F4756" s="14" t="n">
        <v>1</v>
      </c>
      <c r="G4756" s="92">
        <f t="array" ref="G4756">IF(B4756="insumo",_xlfn.XLOOKUP($D4756,Insumos!$B$1:$B$996,Insumos!$D$1:$D$996),"")</f>
        <v/>
      </c>
      <c r="H4756" s="92" t="n">
        <v>26.9</v>
      </c>
      <c r="I4756" s="2162" t="n">
        <v>0</v>
      </c>
      <c r="J4756" s="2162" t="n">
        <v>0</v>
      </c>
      <c r="K4756" s="2162" t="n"/>
    </row>
    <row r="4757" outlineLevel="2" ht="15.75" customHeight="1">
      <c r="A4757" s="10" t="n">
        <v>2</v>
      </c>
      <c r="B4757" s="10" t="inlineStr">
        <is>
          <t>Insumo</t>
        </is>
      </c>
      <c r="C4757" s="10" t="inlineStr">
        <is>
          <t>Banheiro - Cuba</t>
        </is>
      </c>
      <c r="D4757" s="10" t="inlineStr">
        <is>
          <t>Sifão flexível com copo para Lavatório</t>
        </is>
      </c>
      <c r="E4757" s="11">
        <f t="array" ref="E4757">_xlfn.XLOOKUP(D4757,Insumos!B:B,Insumos!C:$C)</f>
        <v/>
      </c>
      <c r="F4757" s="14" t="n">
        <v>1</v>
      </c>
      <c r="G4757" s="92">
        <f t="array" ref="G4757">IF(B4757="insumo",_xlfn.XLOOKUP($D4757,Insumos!$B$1:$B$996,Insumos!$D$1:$D$996),"")</f>
        <v/>
      </c>
      <c r="H4757" s="92" t="n">
        <v>8.9</v>
      </c>
      <c r="I4757" s="2162" t="n">
        <v>0</v>
      </c>
      <c r="J4757" s="2162" t="n">
        <v>0</v>
      </c>
      <c r="K4757" s="2162" t="n"/>
    </row>
    <row r="4758" outlineLevel="2" ht="15.75" customHeight="1">
      <c r="A4758" s="10" t="n">
        <v>2</v>
      </c>
      <c r="B4758" s="10" t="inlineStr">
        <is>
          <t>Insumo</t>
        </is>
      </c>
      <c r="C4758" s="10" t="inlineStr">
        <is>
          <t>Banheiro - Cuba</t>
        </is>
      </c>
      <c r="D4758" s="10" t="inlineStr">
        <is>
          <t>Estabilizador p/ Lavatórios</t>
        </is>
      </c>
      <c r="E4758" s="11">
        <f t="array" ref="E4758">_xlfn.XLOOKUP(D4758,Insumos!B:B,Insumos!C:$C)</f>
        <v/>
      </c>
      <c r="F4758" s="14" t="n">
        <v>1</v>
      </c>
      <c r="G4758" s="92">
        <f t="array" ref="G4758">IF(B4758="insumo",_xlfn.XLOOKUP($D4758,Insumos!$B$1:$B$996,Insumos!$D$1:$D$996),"")</f>
        <v/>
      </c>
      <c r="H4758" s="92" t="n">
        <v>32</v>
      </c>
      <c r="I4758" s="2162" t="n">
        <v>0</v>
      </c>
      <c r="J4758" s="2162" t="n">
        <v>0</v>
      </c>
      <c r="K4758" s="2162" t="n"/>
    </row>
    <row r="4759" outlineLevel="1" ht="15.75" customHeight="1">
      <c r="A4759" s="1067" t="n">
        <v>1</v>
      </c>
      <c r="B4759" s="1067" t="inlineStr">
        <is>
          <t>Serviço</t>
        </is>
      </c>
      <c r="C4759" s="1084" t="inlineStr">
        <is>
          <t>Banheiro - Cuba de Sobrepor - PNE</t>
        </is>
      </c>
      <c r="D4759" s="1084" t="inlineStr">
        <is>
          <t>Banheiro - Cuba de Sobrepor - PNE</t>
        </is>
      </c>
      <c r="E4759" s="1068" t="inlineStr">
        <is>
          <t>UN</t>
        </is>
      </c>
      <c r="F4759" s="1085" t="inlineStr"/>
      <c r="G4759" s="1069">
        <f t="array" ref="G4759">IF(B4759="insumo",_xlfn.XLOOKUP($D4759,Insumos!$B$1:$B$996,Insumos!$D$1:$D$996),"")</f>
        <v/>
      </c>
      <c r="H4759" s="1069" t="n">
        <v>1737.89</v>
      </c>
      <c r="I4759" s="2161" t="n">
        <v>0</v>
      </c>
      <c r="J4759" s="2161" t="n">
        <v>0</v>
      </c>
      <c r="K4759" s="2161" t="n"/>
    </row>
    <row r="4760" outlineLevel="2" ht="15.75" customHeight="1">
      <c r="A4760" s="10" t="n">
        <v>1</v>
      </c>
      <c r="B4760" s="10" t="inlineStr">
        <is>
          <t>Insumo</t>
        </is>
      </c>
      <c r="C4760" s="10" t="inlineStr">
        <is>
          <t>Banheiro - Cuba de Sobrepor - PNE</t>
        </is>
      </c>
      <c r="D4760" s="10" t="inlineStr">
        <is>
          <t>Lavatório suspenso \ Detalhe: Cuba viggo 54cm branca</t>
        </is>
      </c>
      <c r="E4760" s="11">
        <f t="array" ref="E4760">_xlfn.XLOOKUP(D4760,Insumos!B:B,Insumos!C:$C)</f>
        <v/>
      </c>
      <c r="F4760" s="14" t="n">
        <v>1</v>
      </c>
      <c r="G4760" s="92">
        <f t="array" ref="G4760">IF(B4760="insumo",_xlfn.XLOOKUP($D4760,Insumos!$B$1:$B$996,Insumos!$D$1:$D$996),"")</f>
        <v/>
      </c>
      <c r="H4760" s="92" t="n">
        <v>1574.1</v>
      </c>
      <c r="I4760" s="2162" t="n">
        <v>0</v>
      </c>
      <c r="J4760" s="2162" t="n">
        <v>0</v>
      </c>
      <c r="K4760" s="2162" t="n"/>
    </row>
    <row r="4761" outlineLevel="2" ht="15.75" customHeight="1">
      <c r="A4761" s="10" t="n">
        <v>2</v>
      </c>
      <c r="B4761" s="10" t="inlineStr">
        <is>
          <t>Insumo</t>
        </is>
      </c>
      <c r="C4761" s="10" t="inlineStr">
        <is>
          <t>Banheiro - Cuba de Sobrepor - PNE</t>
        </is>
      </c>
      <c r="D4761" s="10" t="inlineStr">
        <is>
          <t>Valvula Metálica 1"</t>
        </is>
      </c>
      <c r="E4761" s="11">
        <f t="array" ref="E4761">_xlfn.XLOOKUP(D4761,Insumos!B:B,Insumos!C:$C)</f>
        <v/>
      </c>
      <c r="F4761" s="14" t="n">
        <v>1</v>
      </c>
      <c r="G4761" s="92">
        <f t="array" ref="G4761">IF(B4761="insumo",_xlfn.XLOOKUP($D4761,Insumos!$B$1:$B$996,Insumos!$D$1:$D$996),"")</f>
        <v/>
      </c>
      <c r="H4761" s="92" t="n">
        <v>65</v>
      </c>
      <c r="I4761" s="2162" t="n">
        <v>0</v>
      </c>
      <c r="J4761" s="2162" t="n">
        <v>0</v>
      </c>
      <c r="K4761" s="2162" t="n"/>
    </row>
    <row r="4762" outlineLevel="2" ht="15.75" customHeight="1">
      <c r="A4762" s="10" t="n">
        <v>3</v>
      </c>
      <c r="B4762" s="10" t="inlineStr">
        <is>
          <t>Insumo</t>
        </is>
      </c>
      <c r="C4762" s="10" t="inlineStr">
        <is>
          <t>Banheiro - Cuba de Sobrepor - PNE</t>
        </is>
      </c>
      <c r="D4762" s="10" t="inlineStr">
        <is>
          <t>Bucha Nylon C8</t>
        </is>
      </c>
      <c r="E4762" s="11">
        <f t="array" ref="E4762">_xlfn.XLOOKUP(D4762,Insumos!B:B,Insumos!C:$C)</f>
        <v/>
      </c>
      <c r="F4762" s="14" t="n">
        <v>1</v>
      </c>
      <c r="G4762" s="92">
        <f t="array" ref="G4762">IF(B4762="insumo",_xlfn.XLOOKUP($D4762,Insumos!$B$1:$B$996,Insumos!$D$1:$D$996),"")</f>
        <v/>
      </c>
      <c r="H4762" s="92" t="n">
        <v>0.34</v>
      </c>
      <c r="I4762" s="2162" t="n">
        <v>0</v>
      </c>
      <c r="J4762" s="2162" t="n">
        <v>0</v>
      </c>
      <c r="K4762" s="2162" t="n"/>
    </row>
    <row r="4763" outlineLevel="2" ht="15.75" customHeight="1">
      <c r="A4763" s="10" t="n">
        <v>2</v>
      </c>
      <c r="B4763" s="10" t="inlineStr">
        <is>
          <t>Insumo</t>
        </is>
      </c>
      <c r="C4763" s="10" t="inlineStr">
        <is>
          <t>Banheiro - Cuba de Sobrepor - PNE</t>
        </is>
      </c>
      <c r="D4763" s="10" t="inlineStr">
        <is>
          <t>Parafuso p/ Fixação de Tanque e Lavatório</t>
        </is>
      </c>
      <c r="E4763" s="11">
        <f t="array" ref="E4763">_xlfn.XLOOKUP(D4763,Insumos!B:B,Insumos!C:$C)</f>
        <v/>
      </c>
      <c r="F4763" s="14" t="n">
        <v>2</v>
      </c>
      <c r="G4763" s="92">
        <f t="array" ref="G4763">IF(B4763="insumo",_xlfn.XLOOKUP($D4763,Insumos!$B$1:$B$996,Insumos!$D$1:$D$996),"")</f>
        <v/>
      </c>
      <c r="H4763" s="92" t="n">
        <v>11.9</v>
      </c>
      <c r="I4763" s="2162" t="n">
        <v>0</v>
      </c>
      <c r="J4763" s="2162" t="n">
        <v>0</v>
      </c>
      <c r="K4763" s="2162" t="n"/>
    </row>
    <row r="4764" outlineLevel="2" ht="15.75" customHeight="1">
      <c r="A4764" s="10" t="n">
        <v>11</v>
      </c>
      <c r="B4764" s="10" t="inlineStr">
        <is>
          <t>Insumo</t>
        </is>
      </c>
      <c r="C4764" s="10" t="inlineStr">
        <is>
          <t>Banheiro - Cuba de Sobrepor - PNE</t>
        </is>
      </c>
      <c r="D4764" s="10" t="inlineStr">
        <is>
          <t>Cola Extra Forte AC6000-400G</t>
        </is>
      </c>
      <c r="E4764" s="11">
        <f t="array" ref="E4764">_xlfn.XLOOKUP(D4764,Insumos!B:B,Insumos!C:$C)</f>
        <v/>
      </c>
      <c r="F4764" s="14" t="n">
        <v>0.25</v>
      </c>
      <c r="G4764" s="92">
        <f t="array" ref="G4764">IF(B4764="insumo",_xlfn.XLOOKUP($D4764,Insumos!$B$1:$B$996,Insumos!$D$1:$D$996),"")</f>
        <v/>
      </c>
      <c r="H4764" s="92" t="n">
        <v>18.75</v>
      </c>
      <c r="I4764" s="2162" t="n">
        <v>0</v>
      </c>
      <c r="J4764" s="2162" t="n">
        <v>0</v>
      </c>
      <c r="K4764" s="2162" t="n"/>
    </row>
    <row r="4765" outlineLevel="2" ht="15.75" customHeight="1">
      <c r="A4765" s="10" t="n">
        <v>11</v>
      </c>
      <c r="B4765" s="10" t="inlineStr">
        <is>
          <t>Insumo</t>
        </is>
      </c>
      <c r="C4765" s="10" t="inlineStr">
        <is>
          <t>Banheiro - Cuba de Sobrepor - PNE</t>
        </is>
      </c>
      <c r="D4765" s="10" t="inlineStr">
        <is>
          <t>Engate Flexível Trançado 1/2"</t>
        </is>
      </c>
      <c r="E4765" s="11">
        <f t="array" ref="E4765">_xlfn.XLOOKUP(D4765,Insumos!B:B,Insumos!C:$C)</f>
        <v/>
      </c>
      <c r="F4765" s="14" t="n">
        <v>1</v>
      </c>
      <c r="G4765" s="92">
        <f t="array" ref="G4765">IF(B4765="insumo",_xlfn.XLOOKUP($D4765,Insumos!$B$1:$B$996,Insumos!$D$1:$D$996),"")</f>
        <v/>
      </c>
      <c r="H4765" s="92" t="n">
        <v>26.9</v>
      </c>
      <c r="I4765" s="2162" t="n">
        <v>0</v>
      </c>
      <c r="J4765" s="2162" t="n">
        <v>0</v>
      </c>
      <c r="K4765" s="2162" t="n"/>
    </row>
    <row r="4766" outlineLevel="2" ht="15.75" customHeight="1">
      <c r="A4766" s="10" t="n">
        <v>2</v>
      </c>
      <c r="B4766" s="10" t="inlineStr">
        <is>
          <t>Insumo</t>
        </is>
      </c>
      <c r="C4766" s="10" t="inlineStr">
        <is>
          <t>Banheiro - Cuba de Sobrepor - PNE</t>
        </is>
      </c>
      <c r="D4766" s="10" t="inlineStr">
        <is>
          <t>Sifão flexível com copo para Lavatório</t>
        </is>
      </c>
      <c r="E4766" s="11">
        <f t="array" ref="E4766">_xlfn.XLOOKUP(D4766,Insumos!B:B,Insumos!C:$C)</f>
        <v/>
      </c>
      <c r="F4766" s="14" t="n">
        <v>1</v>
      </c>
      <c r="G4766" s="92">
        <f t="array" ref="G4766">IF(B4766="insumo",_xlfn.XLOOKUP($D4766,Insumos!$B$1:$B$996,Insumos!$D$1:$D$996),"")</f>
        <v/>
      </c>
      <c r="H4766" s="92" t="n">
        <v>8.9</v>
      </c>
      <c r="I4766" s="2162" t="n">
        <v>0</v>
      </c>
      <c r="J4766" s="2162" t="n">
        <v>0</v>
      </c>
      <c r="K4766" s="2162" t="n"/>
    </row>
    <row r="4767" outlineLevel="2" ht="15.75" customHeight="1">
      <c r="A4767" s="10" t="n">
        <v>2</v>
      </c>
      <c r="B4767" s="10" t="inlineStr">
        <is>
          <t>Insumo</t>
        </is>
      </c>
      <c r="C4767" s="10" t="inlineStr">
        <is>
          <t>Banheiro - Cuba de Sobrepor - PNE</t>
        </is>
      </c>
      <c r="D4767" s="10" t="inlineStr">
        <is>
          <t>Estabilizador p/ Lavatórios</t>
        </is>
      </c>
      <c r="E4767" s="11">
        <f t="array" ref="E4767">_xlfn.XLOOKUP(D4767,Insumos!B:B,Insumos!C:$C)</f>
        <v/>
      </c>
      <c r="F4767" s="14" t="n">
        <v>1</v>
      </c>
      <c r="G4767" s="92">
        <f t="array" ref="G4767">IF(B4767="insumo",_xlfn.XLOOKUP($D4767,Insumos!$B$1:$B$996,Insumos!$D$1:$D$996),"")</f>
        <v/>
      </c>
      <c r="H4767" s="92" t="n">
        <v>32</v>
      </c>
      <c r="I4767" s="2162" t="n">
        <v>0</v>
      </c>
      <c r="J4767" s="2162" t="n">
        <v>0</v>
      </c>
      <c r="K4767" s="2162" t="n"/>
    </row>
    <row r="4768" outlineLevel="1" ht="15.75" customHeight="1">
      <c r="A4768" s="1067" t="n">
        <v>1</v>
      </c>
      <c r="B4768" s="1067" t="inlineStr">
        <is>
          <t>Serviço</t>
        </is>
      </c>
      <c r="C4768" s="1084" t="inlineStr">
        <is>
          <t>Cuba Pia Cozinha - Lazer</t>
        </is>
      </c>
      <c r="D4768" s="1084" t="inlineStr">
        <is>
          <t>Cuba Pia Cozinha - Lazer</t>
        </is>
      </c>
      <c r="E4768" s="1068" t="inlineStr">
        <is>
          <t>UN</t>
        </is>
      </c>
      <c r="F4768" s="1085" t="inlineStr"/>
      <c r="G4768" s="1069">
        <f t="array" ref="G4768">IF(B4768="insumo",_xlfn.XLOOKUP($D4768,Insumos!$B$1:$B$996,Insumos!$D$1:$D$996),"")</f>
        <v/>
      </c>
      <c r="H4768" s="1069" t="n">
        <v>5832.122</v>
      </c>
      <c r="I4768" s="2172" t="n">
        <v>0</v>
      </c>
      <c r="J4768" s="2172" t="n">
        <v>0</v>
      </c>
      <c r="K4768" s="2172" t="n"/>
    </row>
    <row r="4769" outlineLevel="2" ht="15.75" customHeight="1">
      <c r="A4769" s="10" t="n">
        <v>1</v>
      </c>
      <c r="B4769" s="10" t="inlineStr">
        <is>
          <t>Insumo</t>
        </is>
      </c>
      <c r="C4769" s="10" t="inlineStr">
        <is>
          <t>Cuba Pia Cozinha - Lazer</t>
        </is>
      </c>
      <c r="D4769" s="10" t="inlineStr">
        <is>
          <t>Cuba / Detalhe: Cuba retangular aço escovado</t>
        </is>
      </c>
      <c r="E4769" s="11">
        <f t="array" ref="E4769">_xlfn.XLOOKUP(D4769,Insumos!B:B,Insumos!C:$C)</f>
        <v/>
      </c>
      <c r="F4769" s="14" t="n">
        <v>1</v>
      </c>
      <c r="G4769" s="92">
        <f t="array" ref="G4769">IF(B4769="insumo",_xlfn.XLOOKUP($D4769,Insumos!$B$1:$B$996,Insumos!$D$1:$D$996),"")</f>
        <v/>
      </c>
      <c r="H4769" s="92" t="n">
        <v>2750.38</v>
      </c>
      <c r="I4769" s="2162" t="n">
        <v>0</v>
      </c>
      <c r="J4769" s="2162" t="n">
        <v>0</v>
      </c>
      <c r="K4769" s="2162" t="n"/>
    </row>
    <row r="4770" outlineLevel="2" ht="15.75" customHeight="1">
      <c r="A4770" s="10" t="n">
        <v>1</v>
      </c>
      <c r="B4770" s="10" t="inlineStr">
        <is>
          <t>Insumo</t>
        </is>
      </c>
      <c r="C4770" s="10" t="inlineStr">
        <is>
          <t>Cuba Pia Cozinha - Lazer</t>
        </is>
      </c>
      <c r="D4770" s="10" t="inlineStr">
        <is>
          <t>Grade aramada para cuba</t>
        </is>
      </c>
      <c r="E4770" s="11">
        <f t="array" ref="E4770">_xlfn.XLOOKUP(D4770,Insumos!B:B,Insumos!C:$C)</f>
        <v/>
      </c>
      <c r="F4770" s="14" t="n">
        <v>1</v>
      </c>
      <c r="G4770" s="92">
        <f t="array" ref="G4770">IF(B4770="insumo",_xlfn.XLOOKUP($D4770,Insumos!$B$1:$B$996,Insumos!$D$1:$D$996),"")</f>
        <v/>
      </c>
      <c r="H4770" s="92" t="n">
        <v>71.55</v>
      </c>
      <c r="I4770" s="2162" t="n">
        <v>0</v>
      </c>
      <c r="J4770" s="2162" t="n">
        <v>0</v>
      </c>
      <c r="K4770" s="2162" t="n"/>
    </row>
    <row r="4771" outlineLevel="2" ht="15.75" customHeight="1">
      <c r="A4771" s="10" t="n">
        <v>1</v>
      </c>
      <c r="B4771" s="10" t="inlineStr">
        <is>
          <t>Insumo</t>
        </is>
      </c>
      <c r="C4771" s="10" t="inlineStr">
        <is>
          <t>Cuba Pia Cozinha - Lazer</t>
        </is>
      </c>
      <c r="D4771" s="10" t="inlineStr">
        <is>
          <t>Misturador monocomando \ Detalhe: aço escovado</t>
        </is>
      </c>
      <c r="E4771" s="11">
        <f t="array" ref="E4771">_xlfn.XLOOKUP(D4771,Insumos!B:B,Insumos!C:$C)</f>
        <v/>
      </c>
      <c r="F4771" s="14" t="n">
        <v>1</v>
      </c>
      <c r="G4771" s="92">
        <f t="array" ref="G4771">IF(B4771="insumo",_xlfn.XLOOKUP($D4771,Insumos!$B$1:$B$996,Insumos!$D$1:$D$996),"")</f>
        <v/>
      </c>
      <c r="H4771" s="92" t="n">
        <v>2117.89</v>
      </c>
      <c r="I4771" s="2162" t="n">
        <v>0</v>
      </c>
      <c r="J4771" s="2162" t="n">
        <v>0</v>
      </c>
      <c r="K4771" s="2162" t="n"/>
    </row>
    <row r="4772" outlineLevel="2" ht="15.75" customHeight="1">
      <c r="A4772" s="10" t="n">
        <v>1</v>
      </c>
      <c r="B4772" s="10" t="inlineStr">
        <is>
          <t>Insumo</t>
        </is>
      </c>
      <c r="C4772" s="10" t="inlineStr">
        <is>
          <t>Cuba Pia Cozinha - Lazer</t>
        </is>
      </c>
      <c r="D4772" s="10" t="inlineStr">
        <is>
          <t>Dispenser detergente cromado</t>
        </is>
      </c>
      <c r="E4772" s="11">
        <f t="array" ref="E4772">_xlfn.XLOOKUP(D4772,Insumos!B:B,Insumos!C:$C)</f>
        <v/>
      </c>
      <c r="F4772" s="14" t="n">
        <v>1</v>
      </c>
      <c r="G4772" s="92">
        <f t="array" ref="G4772">IF(B4772="insumo",_xlfn.XLOOKUP($D4772,Insumos!$B$1:$B$996,Insumos!$D$1:$D$996),"")</f>
        <v/>
      </c>
      <c r="H4772" s="92" t="n">
        <v>225.38</v>
      </c>
      <c r="I4772" s="2162" t="n">
        <v>0</v>
      </c>
      <c r="J4772" s="2162" t="n">
        <v>0</v>
      </c>
      <c r="K4772" s="2162" t="n"/>
    </row>
    <row r="4773" outlineLevel="2" ht="15.75" customHeight="1">
      <c r="A4773" s="10" t="n">
        <v>5</v>
      </c>
      <c r="B4773" s="10" t="inlineStr">
        <is>
          <t>Insumo</t>
        </is>
      </c>
      <c r="C4773" s="10" t="inlineStr">
        <is>
          <t>Cuba Pia Cozinha - Lazer</t>
        </is>
      </c>
      <c r="D4773" s="10" t="inlineStr">
        <is>
          <t>Sifão Cromado</t>
        </is>
      </c>
      <c r="E4773" s="11">
        <f t="array" ref="E4773">_xlfn.XLOOKUP(D4773,Insumos!B:B,Insumos!C:$C)</f>
        <v/>
      </c>
      <c r="F4773" s="14" t="n">
        <v>1</v>
      </c>
      <c r="G4773" s="92">
        <f t="array" ref="G4773">IF(B4773="insumo",_xlfn.XLOOKUP($D4773,Insumos!$B$1:$B$996,Insumos!$D$1:$D$996),"")</f>
        <v/>
      </c>
      <c r="H4773" s="92" t="n">
        <v>256.9</v>
      </c>
      <c r="I4773" s="2162" t="n">
        <v>0</v>
      </c>
      <c r="J4773" s="2162" t="n">
        <v>0</v>
      </c>
      <c r="K4773" s="2162" t="n"/>
    </row>
    <row r="4774" outlineLevel="2" ht="15.75" customHeight="1">
      <c r="A4774" s="10" t="n">
        <v>3</v>
      </c>
      <c r="B4774" s="10" t="inlineStr">
        <is>
          <t>Insumo</t>
        </is>
      </c>
      <c r="C4774" s="10" t="inlineStr">
        <is>
          <t>Cuba Pia Cozinha - Lazer</t>
        </is>
      </c>
      <c r="D4774" s="10" t="inlineStr">
        <is>
          <t>Valvula de Escoamento cromada</t>
        </is>
      </c>
      <c r="E4774" s="11">
        <f t="array" ref="E4774">_xlfn.XLOOKUP(D4774,Insumos!B:B,Insumos!C:$C)</f>
        <v/>
      </c>
      <c r="F4774" s="14" t="n">
        <v>1</v>
      </c>
      <c r="G4774" s="92">
        <f t="array" ref="G4774">IF(B4774="insumo",_xlfn.XLOOKUP($D4774,Insumos!$B$1:$B$996,Insumos!$D$1:$D$996),"")</f>
        <v/>
      </c>
      <c r="H4774" s="92" t="n">
        <v>196.76</v>
      </c>
      <c r="I4774" s="2162" t="n">
        <v>0</v>
      </c>
      <c r="J4774" s="2162" t="n">
        <v>0</v>
      </c>
      <c r="K4774" s="2162" t="n"/>
    </row>
    <row r="4775" outlineLevel="2" ht="15.75" customHeight="1">
      <c r="A4775" s="10" t="n">
        <v>6</v>
      </c>
      <c r="B4775" s="10" t="inlineStr">
        <is>
          <t>Insumo</t>
        </is>
      </c>
      <c r="C4775" s="10" t="inlineStr">
        <is>
          <t>Cuba Pia Cozinha - Lazer</t>
        </is>
      </c>
      <c r="D4775" s="10" t="inlineStr">
        <is>
          <t>Bucha S-10</t>
        </is>
      </c>
      <c r="E4775" s="11">
        <f t="array" ref="E4775">_xlfn.XLOOKUP(D4775,Insumos!B:B,Insumos!C:$C)</f>
        <v/>
      </c>
      <c r="F4775" s="14" t="n">
        <v>6</v>
      </c>
      <c r="G4775" s="92">
        <f t="array" ref="G4775">IF(B4775="insumo",_xlfn.XLOOKUP($D4775,Insumos!$B$1:$B$996,Insumos!$D$1:$D$996),"")</f>
        <v/>
      </c>
      <c r="H4775" s="92" t="n">
        <v>3.6</v>
      </c>
      <c r="I4775" s="2162" t="n">
        <v>0</v>
      </c>
      <c r="J4775" s="2162" t="n">
        <v>0</v>
      </c>
      <c r="K4775" s="2162" t="n"/>
    </row>
    <row r="4776" outlineLevel="2" ht="15.75" customHeight="1">
      <c r="A4776" s="10" t="n">
        <v>6</v>
      </c>
      <c r="B4776" s="10" t="inlineStr">
        <is>
          <t>Insumo</t>
        </is>
      </c>
      <c r="C4776" s="10" t="inlineStr">
        <is>
          <t>Cuba Pia Cozinha - Lazer</t>
        </is>
      </c>
      <c r="D4776" s="10" t="inlineStr">
        <is>
          <t>Parafuso Galvanizado</t>
        </is>
      </c>
      <c r="E4776" s="11">
        <f t="array" ref="E4776">_xlfn.XLOOKUP(D4776,Insumos!B:B,Insumos!C:$C)</f>
        <v/>
      </c>
      <c r="F4776" s="14" t="n">
        <v>6</v>
      </c>
      <c r="G4776" s="92">
        <f t="array" ref="G4776">IF(B4776="insumo",_xlfn.XLOOKUP($D4776,Insumos!$B$1:$B$996,Insumos!$D$1:$D$996),"")</f>
        <v/>
      </c>
      <c r="H4776" s="92" t="n">
        <v>149.7</v>
      </c>
      <c r="I4776" s="2162" t="n">
        <v>0</v>
      </c>
      <c r="J4776" s="2162" t="n">
        <v>0</v>
      </c>
      <c r="K4776" s="2162" t="n"/>
    </row>
    <row r="4777" outlineLevel="2" ht="15.75" customHeight="1">
      <c r="A4777" s="10" t="n">
        <v>8</v>
      </c>
      <c r="B4777" s="10" t="inlineStr">
        <is>
          <t>Insumo</t>
        </is>
      </c>
      <c r="C4777" s="10" t="inlineStr">
        <is>
          <t>Cuba Pia Cozinha - Lazer</t>
        </is>
      </c>
      <c r="D4777" s="10" t="inlineStr">
        <is>
          <t>Fita Veda Rosca</t>
        </is>
      </c>
      <c r="E4777" s="11">
        <f t="array" ref="E4777">_xlfn.XLOOKUP(D4777,Insumos!B:B,Insumos!C:$C)</f>
        <v/>
      </c>
      <c r="F4777" s="14" t="n">
        <v>0.3</v>
      </c>
      <c r="G4777" s="92">
        <f t="array" ref="G4777">IF(B4777="insumo",_xlfn.XLOOKUP($D4777,Insumos!$B$1:$B$996,Insumos!$D$1:$D$996),"")</f>
        <v/>
      </c>
      <c r="H4777" s="92" t="n">
        <v>0.07199999999999999</v>
      </c>
      <c r="I4777" s="2162" t="n">
        <v>0</v>
      </c>
      <c r="J4777" s="2162" t="n">
        <v>0</v>
      </c>
      <c r="K4777" s="2162" t="n"/>
    </row>
    <row r="4778" outlineLevel="2" ht="15.75" customHeight="1">
      <c r="A4778" s="10" t="n">
        <v>7</v>
      </c>
      <c r="B4778" s="10" t="inlineStr">
        <is>
          <t>Insumo</t>
        </is>
      </c>
      <c r="C4778" s="10" t="inlineStr">
        <is>
          <t>Cuba Pia Cozinha - Lazer</t>
        </is>
      </c>
      <c r="D4778" s="10" t="inlineStr">
        <is>
          <t>Silicone acético 250gr</t>
        </is>
      </c>
      <c r="E4778" s="11">
        <f t="array" ref="E4778">_xlfn.XLOOKUP(D4778,Insumos!B:B,Insumos!C:$C)</f>
        <v/>
      </c>
      <c r="F4778" s="14" t="n">
        <v>0.4</v>
      </c>
      <c r="G4778" s="92">
        <f t="array" ref="G4778">IF(B4778="insumo",_xlfn.XLOOKUP($D4778,Insumos!$B$1:$B$996,Insumos!$D$1:$D$996),"")</f>
        <v/>
      </c>
      <c r="H4778" s="92" t="n">
        <v>14.24</v>
      </c>
      <c r="I4778" s="2162" t="n">
        <v>0</v>
      </c>
      <c r="J4778" s="2162" t="n">
        <v>0</v>
      </c>
      <c r="K4778" s="2162" t="n"/>
    </row>
    <row r="4779" outlineLevel="2" ht="15.75" customHeight="1">
      <c r="A4779" s="10" t="n">
        <v>11</v>
      </c>
      <c r="B4779" s="10" t="inlineStr">
        <is>
          <t>Insumo</t>
        </is>
      </c>
      <c r="C4779" s="10" t="inlineStr">
        <is>
          <t>Cuba Pia Cozinha - Lazer</t>
        </is>
      </c>
      <c r="D4779" s="10" t="inlineStr">
        <is>
          <t>Cola Extra Forte AC6000-400G</t>
        </is>
      </c>
      <c r="E4779" s="11">
        <f t="array" ref="E4779">_xlfn.XLOOKUP(D4779,Insumos!B:B,Insumos!C:$C)</f>
        <v/>
      </c>
      <c r="F4779" s="14" t="n">
        <v>0.25</v>
      </c>
      <c r="G4779" s="92">
        <f t="array" ref="G4779">IF(B4779="insumo",_xlfn.XLOOKUP($D4779,Insumos!$B$1:$B$996,Insumos!$D$1:$D$996),"")</f>
        <v/>
      </c>
      <c r="H4779" s="92" t="n">
        <v>18.75</v>
      </c>
      <c r="I4779" s="2162" t="n">
        <v>0</v>
      </c>
      <c r="J4779" s="2162" t="n">
        <v>0</v>
      </c>
      <c r="K4779" s="2162" t="n"/>
    </row>
    <row r="4780" outlineLevel="2" ht="15.75" customHeight="1">
      <c r="A4780" s="10" t="n">
        <v>11</v>
      </c>
      <c r="B4780" s="10" t="inlineStr">
        <is>
          <t>Insumo</t>
        </is>
      </c>
      <c r="C4780" s="10" t="inlineStr">
        <is>
          <t>Cuba Pia Cozinha - Lazer</t>
        </is>
      </c>
      <c r="D4780" s="10" t="inlineStr">
        <is>
          <t>Engate Flexível Trançado 1/2"</t>
        </is>
      </c>
      <c r="E4780" s="11">
        <f t="array" ref="E4780">_xlfn.XLOOKUP(D4780,Insumos!B:B,Insumos!C:$C)</f>
        <v/>
      </c>
      <c r="F4780" s="14" t="n">
        <v>1</v>
      </c>
      <c r="G4780" s="92">
        <f t="array" ref="G4780">IF(B4780="insumo",_xlfn.XLOOKUP($D4780,Insumos!$B$1:$B$996,Insumos!$D$1:$D$996),"")</f>
        <v/>
      </c>
      <c r="H4780" s="92" t="n">
        <v>26.9</v>
      </c>
      <c r="I4780" s="2162" t="n">
        <v>0</v>
      </c>
      <c r="J4780" s="2162" t="n">
        <v>0</v>
      </c>
      <c r="K4780" s="2162" t="n"/>
    </row>
    <row r="4781" outlineLevel="1" ht="15.75" customHeight="1">
      <c r="A4781" s="1067" t="n">
        <v>1</v>
      </c>
      <c r="B4781" s="1067" t="inlineStr">
        <is>
          <t>Serviço</t>
        </is>
      </c>
      <c r="C4781" s="1084" t="inlineStr">
        <is>
          <t>Cozinha - Cuba / Inox</t>
        </is>
      </c>
      <c r="D4781" s="1084" t="inlineStr">
        <is>
          <t>Cozinha - Cuba / Inox</t>
        </is>
      </c>
      <c r="E4781" s="1068" t="inlineStr">
        <is>
          <t>UN</t>
        </is>
      </c>
      <c r="F4781" s="1085" t="inlineStr"/>
      <c r="G4781" s="1069">
        <f t="array" ref="G4781">IF(B4781="insumo",_xlfn.XLOOKUP($D4781,Insumos!$B$1:$B$996,Insumos!$D$1:$D$996),"")</f>
        <v/>
      </c>
      <c r="H4781" s="1069" t="n">
        <v>1126.922</v>
      </c>
      <c r="I4781" s="2172" t="n">
        <v>0</v>
      </c>
      <c r="J4781" s="2172" t="n">
        <v>0</v>
      </c>
      <c r="K4781" s="2172" t="n"/>
    </row>
    <row r="4782" outlineLevel="2" ht="15.75" customHeight="1">
      <c r="A4782" s="10" t="n">
        <v>1</v>
      </c>
      <c r="B4782" s="10" t="inlineStr">
        <is>
          <t>Insumo</t>
        </is>
      </c>
      <c r="C4782" s="10" t="inlineStr">
        <is>
          <t>Cozinha - Cuba / Inox</t>
        </is>
      </c>
      <c r="D4782" s="10" t="inlineStr">
        <is>
          <t>Cuba Docol Invicta 46x42 01696504 Inox Polido</t>
        </is>
      </c>
      <c r="E4782" s="11">
        <f t="array" ref="E4782">_xlfn.XLOOKUP(D4782,Insumos!B:B,Insumos!C:$C)</f>
        <v/>
      </c>
      <c r="F4782" s="14" t="n">
        <v>1</v>
      </c>
      <c r="G4782" s="92">
        <f t="array" ref="G4782">IF(B4782="insumo",_xlfn.XLOOKUP($D4782,Insumos!$B$1:$B$996,Insumos!$D$1:$D$996),"")</f>
        <v/>
      </c>
      <c r="H4782" s="92" t="n">
        <v>460</v>
      </c>
      <c r="I4782" s="2162" t="n">
        <v>0</v>
      </c>
      <c r="J4782" s="2162" t="n">
        <v>0</v>
      </c>
      <c r="K4782" s="2162" t="n"/>
    </row>
    <row r="4783" outlineLevel="2" ht="15.75" customHeight="1">
      <c r="A4783" s="10" t="n">
        <v>5</v>
      </c>
      <c r="B4783" s="10" t="inlineStr">
        <is>
          <t>Insumo</t>
        </is>
      </c>
      <c r="C4783" s="10" t="inlineStr">
        <is>
          <t>Cozinha - Cuba / Inox</t>
        </is>
      </c>
      <c r="D4783" s="10" t="inlineStr">
        <is>
          <t>Sifão Cromado</t>
        </is>
      </c>
      <c r="E4783" s="11">
        <f t="array" ref="E4783">_xlfn.XLOOKUP(D4783,Insumos!B:B,Insumos!C:$C)</f>
        <v/>
      </c>
      <c r="F4783" s="14" t="n">
        <v>1</v>
      </c>
      <c r="G4783" s="92">
        <f t="array" ref="G4783">IF(B4783="insumo",_xlfn.XLOOKUP($D4783,Insumos!$B$1:$B$996,Insumos!$D$1:$D$996),"")</f>
        <v/>
      </c>
      <c r="H4783" s="92" t="n">
        <v>256.9</v>
      </c>
      <c r="I4783" s="2162" t="n">
        <v>0</v>
      </c>
      <c r="J4783" s="2162" t="n">
        <v>0</v>
      </c>
      <c r="K4783" s="2162" t="n"/>
    </row>
    <row r="4784" outlineLevel="2" ht="15.75" customHeight="1">
      <c r="A4784" s="10" t="n">
        <v>3</v>
      </c>
      <c r="B4784" s="10" t="inlineStr">
        <is>
          <t>Insumo</t>
        </is>
      </c>
      <c r="C4784" s="10" t="inlineStr">
        <is>
          <t>Cozinha - Cuba / Inox</t>
        </is>
      </c>
      <c r="D4784" s="10" t="inlineStr">
        <is>
          <t>Valvula de Escoamento cromada</t>
        </is>
      </c>
      <c r="E4784" s="11">
        <f t="array" ref="E4784">_xlfn.XLOOKUP(D4784,Insumos!B:B,Insumos!C:$C)</f>
        <v/>
      </c>
      <c r="F4784" s="14" t="n">
        <v>1</v>
      </c>
      <c r="G4784" s="92">
        <f t="array" ref="G4784">IF(B4784="insumo",_xlfn.XLOOKUP($D4784,Insumos!$B$1:$B$996,Insumos!$D$1:$D$996),"")</f>
        <v/>
      </c>
      <c r="H4784" s="92" t="n">
        <v>196.76</v>
      </c>
      <c r="I4784" s="2162" t="n">
        <v>0</v>
      </c>
      <c r="J4784" s="2162" t="n">
        <v>0</v>
      </c>
      <c r="K4784" s="2162" t="n"/>
    </row>
    <row r="4785" outlineLevel="2" ht="15.75" customHeight="1">
      <c r="A4785" s="10" t="n">
        <v>6</v>
      </c>
      <c r="B4785" s="10" t="inlineStr">
        <is>
          <t>Insumo</t>
        </is>
      </c>
      <c r="C4785" s="10" t="inlineStr">
        <is>
          <t>Cozinha - Cuba / Inox</t>
        </is>
      </c>
      <c r="D4785" s="10" t="inlineStr">
        <is>
          <t>Bucha S-10</t>
        </is>
      </c>
      <c r="E4785" s="11">
        <f t="array" ref="E4785">_xlfn.XLOOKUP(D4785,Insumos!B:B,Insumos!C:$C)</f>
        <v/>
      </c>
      <c r="F4785" s="14" t="n">
        <v>6</v>
      </c>
      <c r="G4785" s="92">
        <f t="array" ref="G4785">IF(B4785="insumo",_xlfn.XLOOKUP($D4785,Insumos!$B$1:$B$996,Insumos!$D$1:$D$996),"")</f>
        <v/>
      </c>
      <c r="H4785" s="92" t="n">
        <v>3.6</v>
      </c>
      <c r="I4785" s="2162" t="n">
        <v>0</v>
      </c>
      <c r="J4785" s="2162" t="n">
        <v>0</v>
      </c>
      <c r="K4785" s="2162" t="n"/>
    </row>
    <row r="4786" outlineLevel="2" ht="15.75" customHeight="1">
      <c r="A4786" s="10" t="n">
        <v>6</v>
      </c>
      <c r="B4786" s="10" t="inlineStr">
        <is>
          <t>Insumo</t>
        </is>
      </c>
      <c r="C4786" s="10" t="inlineStr">
        <is>
          <t>Cozinha - Cuba / Inox</t>
        </is>
      </c>
      <c r="D4786" s="10" t="inlineStr">
        <is>
          <t>Parafuso Galvanizado</t>
        </is>
      </c>
      <c r="E4786" s="11">
        <f t="array" ref="E4786">_xlfn.XLOOKUP(D4786,Insumos!B:B,Insumos!C:$C)</f>
        <v/>
      </c>
      <c r="F4786" s="14" t="n">
        <v>6</v>
      </c>
      <c r="G4786" s="92">
        <f t="array" ref="G4786">IF(B4786="insumo",_xlfn.XLOOKUP($D4786,Insumos!$B$1:$B$996,Insumos!$D$1:$D$996),"")</f>
        <v/>
      </c>
      <c r="H4786" s="92" t="n">
        <v>149.7</v>
      </c>
      <c r="I4786" s="2162" t="n">
        <v>0</v>
      </c>
      <c r="J4786" s="2162" t="n">
        <v>0</v>
      </c>
      <c r="K4786" s="2162" t="n"/>
    </row>
    <row r="4787" outlineLevel="2" ht="15.75" customHeight="1">
      <c r="A4787" s="10" t="n">
        <v>8</v>
      </c>
      <c r="B4787" s="10" t="inlineStr">
        <is>
          <t>Insumo</t>
        </is>
      </c>
      <c r="C4787" s="10" t="inlineStr">
        <is>
          <t>Cozinha - Cuba / Inox</t>
        </is>
      </c>
      <c r="D4787" s="10" t="inlineStr">
        <is>
          <t>Fita Veda Rosca</t>
        </is>
      </c>
      <c r="E4787" s="11">
        <f t="array" ref="E4787">_xlfn.XLOOKUP(D4787,Insumos!B:B,Insumos!C:$C)</f>
        <v/>
      </c>
      <c r="F4787" s="14" t="n">
        <v>0.3</v>
      </c>
      <c r="G4787" s="92">
        <f t="array" ref="G4787">IF(B4787="insumo",_xlfn.XLOOKUP($D4787,Insumos!$B$1:$B$996,Insumos!$D$1:$D$996),"")</f>
        <v/>
      </c>
      <c r="H4787" s="92" t="n">
        <v>0.07199999999999999</v>
      </c>
      <c r="I4787" s="2162" t="n">
        <v>0</v>
      </c>
      <c r="J4787" s="2162" t="n">
        <v>0</v>
      </c>
      <c r="K4787" s="2162" t="n"/>
    </row>
    <row r="4788" outlineLevel="2" ht="15.75" customHeight="1">
      <c r="A4788" s="10" t="n">
        <v>7</v>
      </c>
      <c r="B4788" s="10" t="inlineStr">
        <is>
          <t>Insumo</t>
        </is>
      </c>
      <c r="C4788" s="10" t="inlineStr">
        <is>
          <t>Cozinha - Cuba / Inox</t>
        </is>
      </c>
      <c r="D4788" s="10" t="inlineStr">
        <is>
          <t>Silicone acético 250gr</t>
        </is>
      </c>
      <c r="E4788" s="11">
        <f t="array" ref="E4788">_xlfn.XLOOKUP(D4788,Insumos!B:B,Insumos!C:$C)</f>
        <v/>
      </c>
      <c r="F4788" s="14" t="n">
        <v>0.4</v>
      </c>
      <c r="G4788" s="92">
        <f t="array" ref="G4788">IF(B4788="insumo",_xlfn.XLOOKUP($D4788,Insumos!$B$1:$B$996,Insumos!$D$1:$D$996),"")</f>
        <v/>
      </c>
      <c r="H4788" s="92" t="n">
        <v>14.24</v>
      </c>
      <c r="I4788" s="2162" t="n">
        <v>0</v>
      </c>
      <c r="J4788" s="2162" t="n">
        <v>0</v>
      </c>
      <c r="K4788" s="2162" t="n"/>
    </row>
    <row r="4789" outlineLevel="2" ht="15.75" customHeight="1">
      <c r="A4789" s="10" t="n">
        <v>11</v>
      </c>
      <c r="B4789" s="10" t="inlineStr">
        <is>
          <t>Insumo</t>
        </is>
      </c>
      <c r="C4789" s="10" t="inlineStr">
        <is>
          <t>Cozinha - Cuba / Inox</t>
        </is>
      </c>
      <c r="D4789" s="10" t="inlineStr">
        <is>
          <t>Cola Extra Forte AC6000-400G</t>
        </is>
      </c>
      <c r="E4789" s="11">
        <f t="array" ref="E4789">_xlfn.XLOOKUP(D4789,Insumos!B:B,Insumos!C:$C)</f>
        <v/>
      </c>
      <c r="F4789" s="14" t="n">
        <v>0.25</v>
      </c>
      <c r="G4789" s="92">
        <f t="array" ref="G4789">IF(B4789="insumo",_xlfn.XLOOKUP($D4789,Insumos!$B$1:$B$996,Insumos!$D$1:$D$996),"")</f>
        <v/>
      </c>
      <c r="H4789" s="92" t="n">
        <v>18.75</v>
      </c>
      <c r="I4789" s="2162" t="n">
        <v>0</v>
      </c>
      <c r="J4789" s="2162" t="n">
        <v>0</v>
      </c>
      <c r="K4789" s="2162" t="n"/>
    </row>
    <row r="4790" outlineLevel="2" ht="15.75" customHeight="1">
      <c r="A4790" s="10" t="n">
        <v>11</v>
      </c>
      <c r="B4790" s="10" t="inlineStr">
        <is>
          <t>Insumo</t>
        </is>
      </c>
      <c r="C4790" s="10" t="inlineStr">
        <is>
          <t>Cozinha - Cuba / Inox</t>
        </is>
      </c>
      <c r="D4790" s="10" t="inlineStr">
        <is>
          <t>Engate Flexível Trançado 1/2"</t>
        </is>
      </c>
      <c r="E4790" s="11">
        <f t="array" ref="E4790">_xlfn.XLOOKUP(D4790,Insumos!B:B,Insumos!C:$C)</f>
        <v/>
      </c>
      <c r="F4790" s="14" t="n">
        <v>1</v>
      </c>
      <c r="G4790" s="92">
        <f t="array" ref="G4790">IF(B4790="insumo",_xlfn.XLOOKUP($D4790,Insumos!$B$1:$B$996,Insumos!$D$1:$D$996),"")</f>
        <v/>
      </c>
      <c r="H4790" s="92" t="n">
        <v>26.9</v>
      </c>
      <c r="I4790" s="2162" t="n">
        <v>0</v>
      </c>
      <c r="J4790" s="2162" t="n">
        <v>0</v>
      </c>
      <c r="K4790" s="2162" t="n"/>
    </row>
    <row r="4791" outlineLevel="1" ht="15.75" customHeight="1">
      <c r="A4791" s="1067" t="n">
        <v>1</v>
      </c>
      <c r="B4791" s="1067" t="inlineStr">
        <is>
          <t>Serviço</t>
        </is>
      </c>
      <c r="C4791" s="1084" t="inlineStr">
        <is>
          <t>Lavatorio para banheiros suspenso</t>
        </is>
      </c>
      <c r="D4791" s="1084" t="inlineStr">
        <is>
          <t>Lavatorio para banheiros suspenso</t>
        </is>
      </c>
      <c r="E4791" s="1068" t="inlineStr">
        <is>
          <t>UN</t>
        </is>
      </c>
      <c r="F4791" s="1085" t="inlineStr"/>
      <c r="G4791" s="1069">
        <f t="array" ref="G4791">IF(B4791="insumo",_xlfn.XLOOKUP($D4791,Insumos!$B$1:$B$996,Insumos!$D$1:$D$996),"")</f>
        <v/>
      </c>
      <c r="H4791" s="1069" t="n">
        <v>709.962</v>
      </c>
      <c r="I4791" s="2172" t="n">
        <v>0</v>
      </c>
      <c r="J4791" s="2172" t="n">
        <v>0</v>
      </c>
      <c r="K4791" s="2172" t="n"/>
    </row>
    <row r="4792" outlineLevel="2" ht="15.75" customHeight="1">
      <c r="A4792" s="10" t="n">
        <v>1</v>
      </c>
      <c r="B4792" s="10" t="inlineStr">
        <is>
          <t>Insumo</t>
        </is>
      </c>
      <c r="C4792" s="10" t="inlineStr">
        <is>
          <t>Lavatorio para banheiros suspenso</t>
        </is>
      </c>
      <c r="D4792" s="10" t="inlineStr">
        <is>
          <t>Lavatório Suspenso Eco 40x30cm Branco Celite</t>
        </is>
      </c>
      <c r="E4792" s="11">
        <f t="array" ref="E4792">_xlfn.XLOOKUP(D4792,Insumos!B:B,Insumos!C:$C)</f>
        <v/>
      </c>
      <c r="F4792" s="14" t="n">
        <v>1</v>
      </c>
      <c r="G4792" s="92">
        <f t="array" ref="G4792">IF(B4792="insumo",_xlfn.XLOOKUP($D4792,Insumos!$B$1:$B$996,Insumos!$D$1:$D$996),"")</f>
        <v/>
      </c>
      <c r="H4792" s="92" t="n">
        <v>203.9</v>
      </c>
      <c r="I4792" s="2162" t="n">
        <v>0</v>
      </c>
      <c r="J4792" s="2162" t="n">
        <v>0</v>
      </c>
      <c r="K4792" s="2162" t="n"/>
    </row>
    <row r="4793" outlineLevel="2" ht="15.75" customHeight="1">
      <c r="A4793" s="10" t="n">
        <v>5</v>
      </c>
      <c r="B4793" s="10" t="inlineStr">
        <is>
          <t>Insumo</t>
        </is>
      </c>
      <c r="C4793" s="10" t="inlineStr">
        <is>
          <t>Lavatorio para banheiros suspenso</t>
        </is>
      </c>
      <c r="D4793" s="10" t="inlineStr">
        <is>
          <t>Sifão Cromado</t>
        </is>
      </c>
      <c r="E4793" s="11">
        <f t="array" ref="E4793">_xlfn.XLOOKUP(D4793,Insumos!B:B,Insumos!C:$C)</f>
        <v/>
      </c>
      <c r="F4793" s="14" t="n">
        <v>1</v>
      </c>
      <c r="G4793" s="92">
        <f t="array" ref="G4793">IF(B4793="insumo",_xlfn.XLOOKUP($D4793,Insumos!$B$1:$B$996,Insumos!$D$1:$D$996),"")</f>
        <v/>
      </c>
      <c r="H4793" s="92" t="n">
        <v>256.9</v>
      </c>
      <c r="I4793" s="2162" t="n">
        <v>0</v>
      </c>
      <c r="J4793" s="2162" t="n">
        <v>0</v>
      </c>
      <c r="K4793" s="2162" t="n"/>
    </row>
    <row r="4794" outlineLevel="2" ht="15.75" customHeight="1">
      <c r="A4794" s="10" t="n">
        <v>3</v>
      </c>
      <c r="B4794" s="10" t="inlineStr">
        <is>
          <t>Insumo</t>
        </is>
      </c>
      <c r="C4794" s="10" t="inlineStr">
        <is>
          <t>Lavatorio para banheiros suspenso</t>
        </is>
      </c>
      <c r="D4794" s="10" t="inlineStr">
        <is>
          <t>Válvula Pia Tanque Lavanderia Escoamento 1.1/4'' Metal Cromado</t>
        </is>
      </c>
      <c r="E4794" s="11">
        <f t="array" ref="E4794">_xlfn.XLOOKUP(D4794,Insumos!B:B,Insumos!C:$C)</f>
        <v/>
      </c>
      <c r="F4794" s="14" t="n">
        <v>1</v>
      </c>
      <c r="G4794" s="92">
        <f t="array" ref="G4794">IF(B4794="insumo",_xlfn.XLOOKUP($D4794,Insumos!$B$1:$B$996,Insumos!$D$1:$D$996),"")</f>
        <v/>
      </c>
      <c r="H4794" s="92" t="n">
        <v>35.9</v>
      </c>
      <c r="I4794" s="2162" t="n">
        <v>0</v>
      </c>
      <c r="J4794" s="2162" t="n">
        <v>0</v>
      </c>
      <c r="K4794" s="2162" t="n"/>
    </row>
    <row r="4795" outlineLevel="2" ht="15.75" customHeight="1">
      <c r="A4795" s="10" t="n">
        <v>6</v>
      </c>
      <c r="B4795" s="10" t="inlineStr">
        <is>
          <t>Insumo</t>
        </is>
      </c>
      <c r="C4795" s="10" t="inlineStr">
        <is>
          <t>Lavatorio para banheiros suspenso</t>
        </is>
      </c>
      <c r="D4795" s="10" t="inlineStr">
        <is>
          <t>Bucha S-10</t>
        </is>
      </c>
      <c r="E4795" s="11">
        <f t="array" ref="E4795">_xlfn.XLOOKUP(D4795,Insumos!B:B,Insumos!C:$C)</f>
        <v/>
      </c>
      <c r="F4795" s="14" t="n">
        <v>6</v>
      </c>
      <c r="G4795" s="92">
        <f t="array" ref="G4795">IF(B4795="insumo",_xlfn.XLOOKUP($D4795,Insumos!$B$1:$B$996,Insumos!$D$1:$D$996),"")</f>
        <v/>
      </c>
      <c r="H4795" s="92" t="n">
        <v>3.6</v>
      </c>
      <c r="I4795" s="2162" t="n">
        <v>0</v>
      </c>
      <c r="J4795" s="2162" t="n">
        <v>0</v>
      </c>
      <c r="K4795" s="2162" t="n"/>
    </row>
    <row r="4796" outlineLevel="2" ht="15.75" customHeight="1">
      <c r="A4796" s="10" t="n">
        <v>6</v>
      </c>
      <c r="B4796" s="10" t="inlineStr">
        <is>
          <t>Insumo</t>
        </is>
      </c>
      <c r="C4796" s="10" t="inlineStr">
        <is>
          <t>Lavatorio para banheiros suspenso</t>
        </is>
      </c>
      <c r="D4796" s="10" t="inlineStr">
        <is>
          <t>Parafuso Galvanizado</t>
        </is>
      </c>
      <c r="E4796" s="11">
        <f t="array" ref="E4796">_xlfn.XLOOKUP(D4796,Insumos!B:B,Insumos!C:$C)</f>
        <v/>
      </c>
      <c r="F4796" s="14" t="n">
        <v>6</v>
      </c>
      <c r="G4796" s="92">
        <f t="array" ref="G4796">IF(B4796="insumo",_xlfn.XLOOKUP($D4796,Insumos!$B$1:$B$996,Insumos!$D$1:$D$996),"")</f>
        <v/>
      </c>
      <c r="H4796" s="92" t="n">
        <v>149.7</v>
      </c>
      <c r="I4796" s="2162" t="n">
        <v>0</v>
      </c>
      <c r="J4796" s="2162" t="n">
        <v>0</v>
      </c>
      <c r="K4796" s="2162" t="n"/>
    </row>
    <row r="4797" outlineLevel="2" ht="15.75" customHeight="1">
      <c r="A4797" s="10" t="n">
        <v>8</v>
      </c>
      <c r="B4797" s="10" t="inlineStr">
        <is>
          <t>Insumo</t>
        </is>
      </c>
      <c r="C4797" s="10" t="inlineStr">
        <is>
          <t>Lavatorio para banheiros suspenso</t>
        </is>
      </c>
      <c r="D4797" s="10" t="inlineStr">
        <is>
          <t>Fita Veda Rosca</t>
        </is>
      </c>
      <c r="E4797" s="11">
        <f t="array" ref="E4797">_xlfn.XLOOKUP(D4797,Insumos!B:B,Insumos!C:$C)</f>
        <v/>
      </c>
      <c r="F4797" s="14" t="n">
        <v>0.3</v>
      </c>
      <c r="G4797" s="92">
        <f t="array" ref="G4797">IF(B4797="insumo",_xlfn.XLOOKUP($D4797,Insumos!$B$1:$B$996,Insumos!$D$1:$D$996),"")</f>
        <v/>
      </c>
      <c r="H4797" s="92" t="n">
        <v>0.07199999999999999</v>
      </c>
      <c r="I4797" s="2162" t="n">
        <v>0</v>
      </c>
      <c r="J4797" s="2162" t="n">
        <v>0</v>
      </c>
      <c r="K4797" s="2162" t="n"/>
    </row>
    <row r="4798" outlineLevel="2" ht="15.75" customHeight="1">
      <c r="A4798" s="10" t="n">
        <v>7</v>
      </c>
      <c r="B4798" s="10" t="inlineStr">
        <is>
          <t>Insumo</t>
        </is>
      </c>
      <c r="C4798" s="10" t="inlineStr">
        <is>
          <t>Lavatorio para banheiros suspenso</t>
        </is>
      </c>
      <c r="D4798" s="10" t="inlineStr">
        <is>
          <t>Silicone acético 250gr</t>
        </is>
      </c>
      <c r="E4798" s="11">
        <f t="array" ref="E4798">_xlfn.XLOOKUP(D4798,Insumos!B:B,Insumos!C:$C)</f>
        <v/>
      </c>
      <c r="F4798" s="14" t="n">
        <v>0.4</v>
      </c>
      <c r="G4798" s="92">
        <f t="array" ref="G4798">IF(B4798="insumo",_xlfn.XLOOKUP($D4798,Insumos!$B$1:$B$996,Insumos!$D$1:$D$996),"")</f>
        <v/>
      </c>
      <c r="H4798" s="92" t="n">
        <v>14.24</v>
      </c>
      <c r="I4798" s="2162" t="n">
        <v>0</v>
      </c>
      <c r="J4798" s="2162" t="n">
        <v>0</v>
      </c>
      <c r="K4798" s="2162" t="n"/>
    </row>
    <row r="4799" outlineLevel="2" ht="15.75" customHeight="1">
      <c r="A4799" s="10" t="n">
        <v>11</v>
      </c>
      <c r="B4799" s="10" t="inlineStr">
        <is>
          <t>Insumo</t>
        </is>
      </c>
      <c r="C4799" s="10" t="inlineStr">
        <is>
          <t>Lavatorio para banheiros suspenso</t>
        </is>
      </c>
      <c r="D4799" s="10" t="inlineStr">
        <is>
          <t>Cola Extra Forte AC6000-400G</t>
        </is>
      </c>
      <c r="E4799" s="11">
        <f t="array" ref="E4799">_xlfn.XLOOKUP(D4799,Insumos!B:B,Insumos!C:$C)</f>
        <v/>
      </c>
      <c r="F4799" s="14" t="n">
        <v>0.25</v>
      </c>
      <c r="G4799" s="92">
        <f t="array" ref="G4799">IF(B4799="insumo",_xlfn.XLOOKUP($D4799,Insumos!$B$1:$B$996,Insumos!$D$1:$D$996),"")</f>
        <v/>
      </c>
      <c r="H4799" s="92" t="n">
        <v>18.75</v>
      </c>
      <c r="I4799" s="2162" t="n">
        <v>0</v>
      </c>
      <c r="J4799" s="2162" t="n">
        <v>0</v>
      </c>
      <c r="K4799" s="2162" t="n"/>
    </row>
    <row r="4800" outlineLevel="2" ht="15.75" customHeight="1">
      <c r="A4800" s="10" t="n">
        <v>11</v>
      </c>
      <c r="B4800" s="10" t="inlineStr">
        <is>
          <t>Insumo</t>
        </is>
      </c>
      <c r="C4800" s="10" t="inlineStr">
        <is>
          <t>Lavatorio para banheiros suspenso</t>
        </is>
      </c>
      <c r="D4800" s="10" t="inlineStr">
        <is>
          <t>Engate Flexível Trançado 1/2"</t>
        </is>
      </c>
      <c r="E4800" s="11">
        <f t="array" ref="E4800">_xlfn.XLOOKUP(D4800,Insumos!B:B,Insumos!C:$C)</f>
        <v/>
      </c>
      <c r="F4800" s="14" t="n">
        <v>1</v>
      </c>
      <c r="G4800" s="92">
        <f t="array" ref="G4800">IF(B4800="insumo",_xlfn.XLOOKUP($D4800,Insumos!$B$1:$B$996,Insumos!$D$1:$D$996),"")</f>
        <v/>
      </c>
      <c r="H4800" s="92" t="n">
        <v>26.9</v>
      </c>
      <c r="I4800" s="2162" t="n">
        <v>0</v>
      </c>
      <c r="J4800" s="2162" t="n">
        <v>0</v>
      </c>
      <c r="K4800" s="2162" t="n"/>
    </row>
    <row r="4801" outlineLevel="1" ht="12.75" customHeight="1">
      <c r="A4801" s="1071" t="n">
        <v>1</v>
      </c>
      <c r="B4801" s="1071" t="inlineStr">
        <is>
          <t>Serviço</t>
        </is>
      </c>
      <c r="C4801" s="1087" t="inlineStr">
        <is>
          <t>Lavatorio para banheiros suspenso PNE</t>
        </is>
      </c>
      <c r="D4801" s="1087" t="inlineStr">
        <is>
          <t>Lavatorio para banheiros suspenso PNE</t>
        </is>
      </c>
      <c r="E4801" s="1072" t="inlineStr">
        <is>
          <t>UN</t>
        </is>
      </c>
      <c r="F4801" s="1088" t="inlineStr"/>
      <c r="G4801" s="1073">
        <f t="array" ref="G4801">IF(B4801="insumo",_xlfn.XLOOKUP($D4801,Insumos!$B$1:$B$996,Insumos!$D$1:$D$996),"")</f>
        <v/>
      </c>
      <c r="H4801" s="1073" t="n">
        <v>721.062</v>
      </c>
      <c r="I4801" s="2173" t="n">
        <v>0</v>
      </c>
      <c r="J4801" s="2173" t="n">
        <v>0</v>
      </c>
      <c r="K4801" s="2173" t="n"/>
    </row>
    <row r="4802" outlineLevel="2" ht="12.75" customHeight="1">
      <c r="A4802" s="82" t="n">
        <v>1</v>
      </c>
      <c r="B4802" s="82" t="inlineStr">
        <is>
          <t>Insumo</t>
        </is>
      </c>
      <c r="C4802" s="82" t="inlineStr">
        <is>
          <t>Lavatorio para banheiros suspenso PNE</t>
        </is>
      </c>
      <c r="D4802" s="82" t="inlineStr">
        <is>
          <t>Logasa Lavatório Suspenso de Canto</t>
        </is>
      </c>
      <c r="E4802" s="11">
        <f t="array" ref="E4802">_xlfn.XLOOKUP(D4802,Insumos!B:B,Insumos!C:$C)</f>
        <v/>
      </c>
      <c r="F4802" s="2164" t="n">
        <v>1</v>
      </c>
      <c r="G4802" s="92">
        <f t="array" ref="G4802">IF(B4802="insumo",_xlfn.XLOOKUP($D4802,Insumos!$B$1:$B$996,Insumos!$D$1:$D$996),"")</f>
        <v/>
      </c>
      <c r="H4802" s="92" t="n">
        <v>215</v>
      </c>
      <c r="I4802" s="2165" t="n">
        <v>0</v>
      </c>
      <c r="J4802" s="2165" t="n">
        <v>0</v>
      </c>
      <c r="K4802" s="2165" t="n"/>
    </row>
    <row r="4803" outlineLevel="2" ht="12.75" customHeight="1">
      <c r="A4803" s="82" t="n">
        <v>5</v>
      </c>
      <c r="B4803" s="82" t="inlineStr">
        <is>
          <t>Insumo</t>
        </is>
      </c>
      <c r="C4803" s="82" t="inlineStr">
        <is>
          <t>Lavatorio para banheiros suspenso PNE</t>
        </is>
      </c>
      <c r="D4803" s="82" t="inlineStr">
        <is>
          <t>Sifão Cromado</t>
        </is>
      </c>
      <c r="E4803" s="11">
        <f t="array" ref="E4803">_xlfn.XLOOKUP(D4803,Insumos!B:B,Insumos!C:$C)</f>
        <v/>
      </c>
      <c r="F4803" s="2164" t="n">
        <v>1</v>
      </c>
      <c r="G4803" s="92">
        <f t="array" ref="G4803">IF(B4803="insumo",_xlfn.XLOOKUP($D4803,Insumos!$B$1:$B$996,Insumos!$D$1:$D$996),"")</f>
        <v/>
      </c>
      <c r="H4803" s="92" t="n">
        <v>256.9</v>
      </c>
      <c r="I4803" s="2165" t="n">
        <v>0</v>
      </c>
      <c r="J4803" s="2165" t="n">
        <v>0</v>
      </c>
      <c r="K4803" s="2165" t="n"/>
    </row>
    <row r="4804" outlineLevel="2" ht="12.75" customHeight="1">
      <c r="A4804" s="82" t="n">
        <v>3</v>
      </c>
      <c r="B4804" s="82" t="inlineStr">
        <is>
          <t>Insumo</t>
        </is>
      </c>
      <c r="C4804" s="82" t="inlineStr">
        <is>
          <t>Lavatorio para banheiros suspenso PNE</t>
        </is>
      </c>
      <c r="D4804" s="82" t="inlineStr">
        <is>
          <t>Válvula Pia Tanque Lavanderia Escoamento 1.1/4'' Metal Cromado</t>
        </is>
      </c>
      <c r="E4804" s="11">
        <f t="array" ref="E4804">_xlfn.XLOOKUP(D4804,Insumos!B:B,Insumos!C:$C)</f>
        <v/>
      </c>
      <c r="F4804" s="2164" t="n">
        <v>1</v>
      </c>
      <c r="G4804" s="92">
        <f t="array" ref="G4804">IF(B4804="insumo",_xlfn.XLOOKUP($D4804,Insumos!$B$1:$B$996,Insumos!$D$1:$D$996),"")</f>
        <v/>
      </c>
      <c r="H4804" s="92" t="n">
        <v>35.9</v>
      </c>
      <c r="I4804" s="2165" t="n">
        <v>0</v>
      </c>
      <c r="J4804" s="2165" t="n">
        <v>0</v>
      </c>
      <c r="K4804" s="2165" t="n"/>
    </row>
    <row r="4805" outlineLevel="2" ht="12.75" customHeight="1">
      <c r="A4805" s="82" t="n">
        <v>6</v>
      </c>
      <c r="B4805" s="82" t="inlineStr">
        <is>
          <t>Insumo</t>
        </is>
      </c>
      <c r="C4805" s="82" t="inlineStr">
        <is>
          <t>Lavatorio para banheiros suspenso PNE</t>
        </is>
      </c>
      <c r="D4805" s="82" t="inlineStr">
        <is>
          <t>Bucha S-10</t>
        </is>
      </c>
      <c r="E4805" s="11">
        <f t="array" ref="E4805">_xlfn.XLOOKUP(D4805,Insumos!B:B,Insumos!C:$C)</f>
        <v/>
      </c>
      <c r="F4805" s="2164" t="n">
        <v>6</v>
      </c>
      <c r="G4805" s="92">
        <f t="array" ref="G4805">IF(B4805="insumo",_xlfn.XLOOKUP($D4805,Insumos!$B$1:$B$996,Insumos!$D$1:$D$996),"")</f>
        <v/>
      </c>
      <c r="H4805" s="92" t="n">
        <v>3.6</v>
      </c>
      <c r="I4805" s="2165" t="n">
        <v>0</v>
      </c>
      <c r="J4805" s="2165" t="n">
        <v>0</v>
      </c>
      <c r="K4805" s="2165" t="n"/>
    </row>
    <row r="4806" outlineLevel="2" ht="12.75" customHeight="1">
      <c r="A4806" s="82" t="n">
        <v>6</v>
      </c>
      <c r="B4806" s="82" t="inlineStr">
        <is>
          <t>Insumo</t>
        </is>
      </c>
      <c r="C4806" s="82" t="inlineStr">
        <is>
          <t>Lavatorio para banheiros suspenso PNE</t>
        </is>
      </c>
      <c r="D4806" s="82" t="inlineStr">
        <is>
          <t>Parafuso Galvanizado</t>
        </is>
      </c>
      <c r="E4806" s="11">
        <f t="array" ref="E4806">_xlfn.XLOOKUP(D4806,Insumos!B:B,Insumos!C:$C)</f>
        <v/>
      </c>
      <c r="F4806" s="2164" t="n">
        <v>6</v>
      </c>
      <c r="G4806" s="92">
        <f t="array" ref="G4806">IF(B4806="insumo",_xlfn.XLOOKUP($D4806,Insumos!$B$1:$B$996,Insumos!$D$1:$D$996),"")</f>
        <v/>
      </c>
      <c r="H4806" s="92" t="n">
        <v>149.7</v>
      </c>
      <c r="I4806" s="2165" t="n">
        <v>0</v>
      </c>
      <c r="J4806" s="2165" t="n">
        <v>0</v>
      </c>
      <c r="K4806" s="2165" t="n"/>
    </row>
    <row r="4807" outlineLevel="2" ht="12.75" customHeight="1">
      <c r="A4807" s="82" t="n">
        <v>8</v>
      </c>
      <c r="B4807" s="82" t="inlineStr">
        <is>
          <t>Insumo</t>
        </is>
      </c>
      <c r="C4807" s="82" t="inlineStr">
        <is>
          <t>Lavatorio para banheiros suspenso PNE</t>
        </is>
      </c>
      <c r="D4807" s="82" t="inlineStr">
        <is>
          <t>Fita Veda Rosca</t>
        </is>
      </c>
      <c r="E4807" s="11">
        <f t="array" ref="E4807">_xlfn.XLOOKUP(D4807,Insumos!B:B,Insumos!C:$C)</f>
        <v/>
      </c>
      <c r="F4807" s="2164" t="n">
        <v>0.3</v>
      </c>
      <c r="G4807" s="92">
        <f t="array" ref="G4807">IF(B4807="insumo",_xlfn.XLOOKUP($D4807,Insumos!$B$1:$B$996,Insumos!$D$1:$D$996),"")</f>
        <v/>
      </c>
      <c r="H4807" s="92" t="n">
        <v>0.07199999999999999</v>
      </c>
      <c r="I4807" s="2165" t="n">
        <v>0</v>
      </c>
      <c r="J4807" s="2165" t="n">
        <v>0</v>
      </c>
      <c r="K4807" s="2165" t="n"/>
    </row>
    <row r="4808" outlineLevel="2" ht="12.75" customHeight="1">
      <c r="A4808" s="82" t="n">
        <v>7</v>
      </c>
      <c r="B4808" s="82" t="inlineStr">
        <is>
          <t>Insumo</t>
        </is>
      </c>
      <c r="C4808" s="82" t="inlineStr">
        <is>
          <t>Lavatorio para banheiros suspenso PNE</t>
        </is>
      </c>
      <c r="D4808" s="82" t="inlineStr">
        <is>
          <t>Silicone acético 250gr</t>
        </is>
      </c>
      <c r="E4808" s="11">
        <f t="array" ref="E4808">_xlfn.XLOOKUP(D4808,Insumos!B:B,Insumos!C:$C)</f>
        <v/>
      </c>
      <c r="F4808" s="2164" t="n">
        <v>0.4</v>
      </c>
      <c r="G4808" s="92">
        <f t="array" ref="G4808">IF(B4808="insumo",_xlfn.XLOOKUP($D4808,Insumos!$B$1:$B$996,Insumos!$D$1:$D$996),"")</f>
        <v/>
      </c>
      <c r="H4808" s="92" t="n">
        <v>14.24</v>
      </c>
      <c r="I4808" s="2165" t="n">
        <v>0</v>
      </c>
      <c r="J4808" s="2165" t="n">
        <v>0</v>
      </c>
      <c r="K4808" s="2165" t="n"/>
    </row>
    <row r="4809" outlineLevel="2" ht="12.75" customHeight="1">
      <c r="A4809" s="82" t="n">
        <v>11</v>
      </c>
      <c r="B4809" s="82" t="inlineStr">
        <is>
          <t>Insumo</t>
        </is>
      </c>
      <c r="C4809" s="82" t="inlineStr">
        <is>
          <t>Lavatorio para banheiros suspenso PNE</t>
        </is>
      </c>
      <c r="D4809" s="82" t="inlineStr">
        <is>
          <t>Cola Extra Forte AC6000-400G</t>
        </is>
      </c>
      <c r="E4809" s="11">
        <f t="array" ref="E4809">_xlfn.XLOOKUP(D4809,Insumos!B:B,Insumos!C:$C)</f>
        <v/>
      </c>
      <c r="F4809" s="2164" t="n">
        <v>0.25</v>
      </c>
      <c r="G4809" s="92">
        <f t="array" ref="G4809">IF(B4809="insumo",_xlfn.XLOOKUP($D4809,Insumos!$B$1:$B$996,Insumos!$D$1:$D$996),"")</f>
        <v/>
      </c>
      <c r="H4809" s="92" t="n">
        <v>18.75</v>
      </c>
      <c r="I4809" s="2165" t="n">
        <v>0</v>
      </c>
      <c r="J4809" s="2165" t="n">
        <v>0</v>
      </c>
      <c r="K4809" s="2165" t="n"/>
    </row>
    <row r="4810" outlineLevel="2" ht="12.75" customHeight="1">
      <c r="A4810" s="82" t="n">
        <v>11</v>
      </c>
      <c r="B4810" s="82" t="inlineStr">
        <is>
          <t>Insumo</t>
        </is>
      </c>
      <c r="C4810" s="82" t="inlineStr">
        <is>
          <t>Lavatorio para banheiros suspenso PNE</t>
        </is>
      </c>
      <c r="D4810" s="82" t="inlineStr">
        <is>
          <t>Engate Flexível Trançado 1/2"</t>
        </is>
      </c>
      <c r="E4810" s="11">
        <f t="array" ref="E4810">_xlfn.XLOOKUP(D4810,Insumos!B:B,Insumos!C:$C)</f>
        <v/>
      </c>
      <c r="F4810" s="2164" t="n">
        <v>1</v>
      </c>
      <c r="G4810" s="92">
        <f t="array" ref="G4810">IF(B4810="insumo",_xlfn.XLOOKUP($D4810,Insumos!$B$1:$B$996,Insumos!$D$1:$D$996),"")</f>
        <v/>
      </c>
      <c r="H4810" s="92" t="n">
        <v>26.9</v>
      </c>
      <c r="I4810" s="2165" t="n">
        <v>0</v>
      </c>
      <c r="J4810" s="2165" t="n">
        <v>0</v>
      </c>
      <c r="K4810" s="2165" t="n"/>
    </row>
    <row r="4811" outlineLevel="1" ht="15.75" customHeight="1">
      <c r="A4811" s="1067" t="n">
        <v>1</v>
      </c>
      <c r="B4811" s="1067" t="inlineStr">
        <is>
          <t>Serviço</t>
        </is>
      </c>
      <c r="C4811" s="1084" t="inlineStr">
        <is>
          <t>Tanque Inox</t>
        </is>
      </c>
      <c r="D4811" s="1084" t="inlineStr">
        <is>
          <t>Tanque Inox</t>
        </is>
      </c>
      <c r="E4811" s="1068" t="inlineStr">
        <is>
          <t>UN</t>
        </is>
      </c>
      <c r="F4811" s="1085" t="inlineStr"/>
      <c r="G4811" s="1069">
        <f t="array" ref="G4811">IF(B4811="insumo",_xlfn.XLOOKUP($D4811,Insumos!$B$1:$B$996,Insumos!$D$1:$D$996),"")</f>
        <v/>
      </c>
      <c r="H4811" s="1069" t="n">
        <v>1426.922</v>
      </c>
      <c r="I4811" s="2172" t="n">
        <v>0</v>
      </c>
      <c r="J4811" s="2172" t="n">
        <v>0</v>
      </c>
      <c r="K4811" s="2172" t="n"/>
    </row>
    <row r="4812" outlineLevel="2" ht="15.75" customHeight="1">
      <c r="A4812" s="10" t="n">
        <v>1</v>
      </c>
      <c r="B4812" s="10" t="inlineStr">
        <is>
          <t>Insumo</t>
        </is>
      </c>
      <c r="C4812" s="10" t="inlineStr">
        <is>
          <t>Tanque Inox</t>
        </is>
      </c>
      <c r="D4812" s="10" t="inlineStr">
        <is>
          <t>Tanque Monobloco Polido Docol 32L 55x45x23 cm</t>
        </is>
      </c>
      <c r="E4812" s="11">
        <f t="array" ref="E4812">_xlfn.XLOOKUP(D4812,Insumos!B:B,Insumos!C:$C)</f>
        <v/>
      </c>
      <c r="F4812" s="14" t="n">
        <v>1</v>
      </c>
      <c r="G4812" s="92">
        <f t="array" ref="G4812">IF(B4812="insumo",_xlfn.XLOOKUP($D4812,Insumos!$B$1:$B$996,Insumos!$D$1:$D$996),"")</f>
        <v/>
      </c>
      <c r="H4812" s="92" t="n">
        <v>760</v>
      </c>
      <c r="I4812" s="2162" t="n">
        <v>0</v>
      </c>
      <c r="J4812" s="2162" t="n">
        <v>0</v>
      </c>
      <c r="K4812" s="2162" t="n"/>
    </row>
    <row r="4813" outlineLevel="2" ht="15.75" customHeight="1">
      <c r="A4813" s="10" t="n">
        <v>5</v>
      </c>
      <c r="B4813" s="10" t="inlineStr">
        <is>
          <t>Insumo</t>
        </is>
      </c>
      <c r="C4813" s="10" t="inlineStr">
        <is>
          <t>Tanque Inox</t>
        </is>
      </c>
      <c r="D4813" s="10" t="inlineStr">
        <is>
          <t>Sifão Cromado</t>
        </is>
      </c>
      <c r="E4813" s="11">
        <f t="array" ref="E4813">_xlfn.XLOOKUP(D4813,Insumos!B:B,Insumos!C:$C)</f>
        <v/>
      </c>
      <c r="F4813" s="14" t="n">
        <v>1</v>
      </c>
      <c r="G4813" s="92">
        <f t="array" ref="G4813">IF(B4813="insumo",_xlfn.XLOOKUP($D4813,Insumos!$B$1:$B$996,Insumos!$D$1:$D$996),"")</f>
        <v/>
      </c>
      <c r="H4813" s="92" t="n">
        <v>256.9</v>
      </c>
      <c r="I4813" s="2162" t="n">
        <v>0</v>
      </c>
      <c r="J4813" s="2162" t="n">
        <v>0</v>
      </c>
      <c r="K4813" s="2162" t="n"/>
    </row>
    <row r="4814" outlineLevel="2" ht="15.75" customHeight="1">
      <c r="A4814" s="10" t="n">
        <v>3</v>
      </c>
      <c r="B4814" s="10" t="inlineStr">
        <is>
          <t>Insumo</t>
        </is>
      </c>
      <c r="C4814" s="10" t="inlineStr">
        <is>
          <t>Tanque Inox</t>
        </is>
      </c>
      <c r="D4814" s="10" t="inlineStr">
        <is>
          <t>Valvula de Escoamento cromada</t>
        </is>
      </c>
      <c r="E4814" s="11">
        <f t="array" ref="E4814">_xlfn.XLOOKUP(D4814,Insumos!B:B,Insumos!C:$C)</f>
        <v/>
      </c>
      <c r="F4814" s="14" t="n">
        <v>1</v>
      </c>
      <c r="G4814" s="92">
        <f t="array" ref="G4814">IF(B4814="insumo",_xlfn.XLOOKUP($D4814,Insumos!$B$1:$B$996,Insumos!$D$1:$D$996),"")</f>
        <v/>
      </c>
      <c r="H4814" s="92" t="n">
        <v>196.76</v>
      </c>
      <c r="I4814" s="2162" t="n">
        <v>0</v>
      </c>
      <c r="J4814" s="2162" t="n">
        <v>0</v>
      </c>
      <c r="K4814" s="2162" t="n"/>
    </row>
    <row r="4815" outlineLevel="2" ht="15.75" customHeight="1">
      <c r="A4815" s="10" t="n">
        <v>6</v>
      </c>
      <c r="B4815" s="10" t="inlineStr">
        <is>
          <t>Insumo</t>
        </is>
      </c>
      <c r="C4815" s="10" t="inlineStr">
        <is>
          <t>Tanque Inox</t>
        </is>
      </c>
      <c r="D4815" s="10" t="inlineStr">
        <is>
          <t>Bucha S-10</t>
        </is>
      </c>
      <c r="E4815" s="11">
        <f t="array" ref="E4815">_xlfn.XLOOKUP(D4815,Insumos!B:B,Insumos!C:$C)</f>
        <v/>
      </c>
      <c r="F4815" s="14" t="n">
        <v>6</v>
      </c>
      <c r="G4815" s="92">
        <f t="array" ref="G4815">IF(B4815="insumo",_xlfn.XLOOKUP($D4815,Insumos!$B$1:$B$996,Insumos!$D$1:$D$996),"")</f>
        <v/>
      </c>
      <c r="H4815" s="92" t="n">
        <v>3.6</v>
      </c>
      <c r="I4815" s="2162" t="n">
        <v>0</v>
      </c>
      <c r="J4815" s="2162" t="n">
        <v>0</v>
      </c>
      <c r="K4815" s="2162" t="n"/>
    </row>
    <row r="4816" outlineLevel="2" ht="15.75" customHeight="1">
      <c r="A4816" s="10" t="n">
        <v>6</v>
      </c>
      <c r="B4816" s="10" t="inlineStr">
        <is>
          <t>Insumo</t>
        </is>
      </c>
      <c r="C4816" s="10" t="inlineStr">
        <is>
          <t>Tanque Inox</t>
        </is>
      </c>
      <c r="D4816" s="10" t="inlineStr">
        <is>
          <t>Parafuso Galvanizado</t>
        </is>
      </c>
      <c r="E4816" s="11">
        <f t="array" ref="E4816">_xlfn.XLOOKUP(D4816,Insumos!B:B,Insumos!C:$C)</f>
        <v/>
      </c>
      <c r="F4816" s="14" t="n">
        <v>6</v>
      </c>
      <c r="G4816" s="92">
        <f t="array" ref="G4816">IF(B4816="insumo",_xlfn.XLOOKUP($D4816,Insumos!$B$1:$B$996,Insumos!$D$1:$D$996),"")</f>
        <v/>
      </c>
      <c r="H4816" s="92" t="n">
        <v>149.7</v>
      </c>
      <c r="I4816" s="2162" t="n">
        <v>0</v>
      </c>
      <c r="J4816" s="2162" t="n">
        <v>0</v>
      </c>
      <c r="K4816" s="2162" t="n"/>
    </row>
    <row r="4817" outlineLevel="2" ht="15.75" customHeight="1">
      <c r="A4817" s="10" t="n">
        <v>8</v>
      </c>
      <c r="B4817" s="10" t="inlineStr">
        <is>
          <t>Insumo</t>
        </is>
      </c>
      <c r="C4817" s="10" t="inlineStr">
        <is>
          <t>Tanque Inox</t>
        </is>
      </c>
      <c r="D4817" s="10" t="inlineStr">
        <is>
          <t>Fita Veda Rosca</t>
        </is>
      </c>
      <c r="E4817" s="11">
        <f t="array" ref="E4817">_xlfn.XLOOKUP(D4817,Insumos!B:B,Insumos!C:$C)</f>
        <v/>
      </c>
      <c r="F4817" s="14" t="n">
        <v>0.3</v>
      </c>
      <c r="G4817" s="92">
        <f t="array" ref="G4817">IF(B4817="insumo",_xlfn.XLOOKUP($D4817,Insumos!$B$1:$B$996,Insumos!$D$1:$D$996),"")</f>
        <v/>
      </c>
      <c r="H4817" s="92" t="n">
        <v>0.07199999999999999</v>
      </c>
      <c r="I4817" s="2162" t="n">
        <v>0</v>
      </c>
      <c r="J4817" s="2162" t="n">
        <v>0</v>
      </c>
      <c r="K4817" s="2162" t="n"/>
    </row>
    <row r="4818" outlineLevel="2" ht="15.75" customHeight="1">
      <c r="A4818" s="10" t="n">
        <v>7</v>
      </c>
      <c r="B4818" s="10" t="inlineStr">
        <is>
          <t>Insumo</t>
        </is>
      </c>
      <c r="C4818" s="10" t="inlineStr">
        <is>
          <t>Tanque Inox</t>
        </is>
      </c>
      <c r="D4818" s="10" t="inlineStr">
        <is>
          <t>Silicone acético 250gr</t>
        </is>
      </c>
      <c r="E4818" s="11">
        <f t="array" ref="E4818">_xlfn.XLOOKUP(D4818,Insumos!B:B,Insumos!C:$C)</f>
        <v/>
      </c>
      <c r="F4818" s="14" t="n">
        <v>0.4</v>
      </c>
      <c r="G4818" s="92">
        <f t="array" ref="G4818">IF(B4818="insumo",_xlfn.XLOOKUP($D4818,Insumos!$B$1:$B$996,Insumos!$D$1:$D$996),"")</f>
        <v/>
      </c>
      <c r="H4818" s="92" t="n">
        <v>14.24</v>
      </c>
      <c r="I4818" s="2162" t="n">
        <v>0</v>
      </c>
      <c r="J4818" s="2162" t="n">
        <v>0</v>
      </c>
      <c r="K4818" s="2162" t="n"/>
    </row>
    <row r="4819" outlineLevel="2" ht="15.75" customHeight="1">
      <c r="A4819" s="10" t="n">
        <v>11</v>
      </c>
      <c r="B4819" s="10" t="inlineStr">
        <is>
          <t>Insumo</t>
        </is>
      </c>
      <c r="C4819" s="10" t="inlineStr">
        <is>
          <t>Tanque Inox</t>
        </is>
      </c>
      <c r="D4819" s="10" t="inlineStr">
        <is>
          <t>Cola Extra Forte AC6000-400G</t>
        </is>
      </c>
      <c r="E4819" s="11">
        <f t="array" ref="E4819">_xlfn.XLOOKUP(D4819,Insumos!B:B,Insumos!C:$C)</f>
        <v/>
      </c>
      <c r="F4819" s="14" t="n">
        <v>0.25</v>
      </c>
      <c r="G4819" s="92">
        <f t="array" ref="G4819">IF(B4819="insumo",_xlfn.XLOOKUP($D4819,Insumos!$B$1:$B$996,Insumos!$D$1:$D$996),"")</f>
        <v/>
      </c>
      <c r="H4819" s="92" t="n">
        <v>18.75</v>
      </c>
      <c r="I4819" s="2162" t="n">
        <v>0</v>
      </c>
      <c r="J4819" s="2162" t="n">
        <v>0</v>
      </c>
      <c r="K4819" s="2162" t="n"/>
    </row>
    <row r="4820" outlineLevel="2" ht="15.75" customHeight="1">
      <c r="A4820" s="10" t="n">
        <v>11</v>
      </c>
      <c r="B4820" s="10" t="inlineStr">
        <is>
          <t>Insumo</t>
        </is>
      </c>
      <c r="C4820" s="10" t="inlineStr">
        <is>
          <t>Tanque Inox</t>
        </is>
      </c>
      <c r="D4820" s="10" t="inlineStr">
        <is>
          <t>Engate Flexível Trançado 1/2"</t>
        </is>
      </c>
      <c r="E4820" s="11">
        <f t="array" ref="E4820">_xlfn.XLOOKUP(D4820,Insumos!B:B,Insumos!C:$C)</f>
        <v/>
      </c>
      <c r="F4820" s="14" t="n">
        <v>1</v>
      </c>
      <c r="G4820" s="92">
        <f t="array" ref="G4820">IF(B4820="insumo",_xlfn.XLOOKUP($D4820,Insumos!$B$1:$B$996,Insumos!$D$1:$D$996),"")</f>
        <v/>
      </c>
      <c r="H4820" s="92" t="n">
        <v>26.9</v>
      </c>
      <c r="I4820" s="2162" t="n">
        <v>0</v>
      </c>
      <c r="J4820" s="2162" t="n">
        <v>0</v>
      </c>
      <c r="K4820" s="2162" t="n"/>
    </row>
    <row r="4821" outlineLevel="1" ht="15.75" customHeight="1">
      <c r="A4821" s="1067" t="n">
        <v>1</v>
      </c>
      <c r="B4821" s="1067" t="inlineStr">
        <is>
          <t>Serviço</t>
        </is>
      </c>
      <c r="C4821" s="1084" t="inlineStr">
        <is>
          <t>Tanque Louça Suspenso</t>
        </is>
      </c>
      <c r="D4821" s="1084" t="inlineStr">
        <is>
          <t>Tanque Louça Suspenso</t>
        </is>
      </c>
      <c r="E4821" s="1068" t="inlineStr">
        <is>
          <t>UN</t>
        </is>
      </c>
      <c r="F4821" s="1085" t="inlineStr"/>
      <c r="G4821" s="1069">
        <f t="array" ref="G4821">IF(B4821="insumo",_xlfn.XLOOKUP($D4821,Insumos!$B$1:$B$996,Insumos!$D$1:$D$996),"")</f>
        <v/>
      </c>
      <c r="H4821" s="1069" t="n">
        <v>681.032</v>
      </c>
      <c r="I4821" s="2172" t="n">
        <v>0</v>
      </c>
      <c r="J4821" s="2172" t="n">
        <v>0</v>
      </c>
      <c r="K4821" s="2172" t="n"/>
    </row>
    <row r="4822" outlineLevel="2" ht="15.75" customHeight="1">
      <c r="A4822" s="10" t="n">
        <v>1</v>
      </c>
      <c r="B4822" s="10" t="inlineStr">
        <is>
          <t>Insumo</t>
        </is>
      </c>
      <c r="C4822" s="10" t="inlineStr">
        <is>
          <t>Tanque Louça Suspenso</t>
        </is>
      </c>
      <c r="D4822" s="10" t="inlineStr">
        <is>
          <t>Tanque De Louça Hervy Com 18 Litros Branco</t>
        </is>
      </c>
      <c r="E4822" s="11">
        <f t="array" ref="E4822">_xlfn.XLOOKUP(D4822,Insumos!B:B,Insumos!C:$C)</f>
        <v/>
      </c>
      <c r="F4822" s="14" t="n">
        <v>1</v>
      </c>
      <c r="G4822" s="92">
        <f t="array" ref="G4822">IF(B4822="insumo",_xlfn.XLOOKUP($D4822,Insumos!$B$1:$B$996,Insumos!$D$1:$D$996),"")</f>
        <v/>
      </c>
      <c r="H4822" s="92" t="n">
        <v>396.87</v>
      </c>
      <c r="I4822" s="2162" t="n">
        <v>0</v>
      </c>
      <c r="J4822" s="2162" t="n">
        <v>0</v>
      </c>
      <c r="K4822" s="2162" t="n"/>
    </row>
    <row r="4823" outlineLevel="2" ht="15.75" customHeight="1">
      <c r="A4823" s="10" t="n">
        <v>1</v>
      </c>
      <c r="B4823" s="10" t="inlineStr">
        <is>
          <t>Insumo</t>
        </is>
      </c>
      <c r="C4823" s="10" t="inlineStr">
        <is>
          <t>Tanque Louça Suspenso</t>
        </is>
      </c>
      <c r="D4823" s="10" t="inlineStr">
        <is>
          <t>Sifão Universal Flexível Multiuso</t>
        </is>
      </c>
      <c r="E4823" s="11">
        <f t="array" ref="E4823">_xlfn.XLOOKUP(D4823,Insumos!B:B,Insumos!C:$C)</f>
        <v/>
      </c>
      <c r="F4823" s="14" t="n">
        <v>1</v>
      </c>
      <c r="G4823" s="92">
        <f t="array" ref="G4823">IF(B4823="insumo",_xlfn.XLOOKUP($D4823,Insumos!$B$1:$B$996,Insumos!$D$1:$D$996),"")</f>
        <v/>
      </c>
      <c r="H4823" s="92" t="n">
        <v>35</v>
      </c>
      <c r="I4823" s="2162" t="n">
        <v>0</v>
      </c>
      <c r="J4823" s="2162" t="n">
        <v>0</v>
      </c>
      <c r="K4823" s="2162" t="n"/>
    </row>
    <row r="4824" outlineLevel="2" ht="15.75" customHeight="1">
      <c r="A4824" s="10" t="n">
        <v>3</v>
      </c>
      <c r="B4824" s="10" t="inlineStr">
        <is>
          <t>Insumo</t>
        </is>
      </c>
      <c r="C4824" s="10" t="inlineStr">
        <is>
          <t>Tanque Louça Suspenso</t>
        </is>
      </c>
      <c r="D4824" s="10" t="inlineStr">
        <is>
          <t>Válvula Pia Tanque Lavanderia Escoamento 1.1/4'' Metal Cromado</t>
        </is>
      </c>
      <c r="E4824" s="11">
        <f t="array" ref="E4824">_xlfn.XLOOKUP(D4824,Insumos!B:B,Insumos!C:$C)</f>
        <v/>
      </c>
      <c r="F4824" s="14" t="n">
        <v>1</v>
      </c>
      <c r="G4824" s="92">
        <f t="array" ref="G4824">IF(B4824="insumo",_xlfn.XLOOKUP($D4824,Insumos!$B$1:$B$996,Insumos!$D$1:$D$996),"")</f>
        <v/>
      </c>
      <c r="H4824" s="92" t="n">
        <v>35.9</v>
      </c>
      <c r="I4824" s="2162" t="n">
        <v>0</v>
      </c>
      <c r="J4824" s="2162" t="n">
        <v>0</v>
      </c>
      <c r="K4824" s="2162" t="n"/>
    </row>
    <row r="4825" outlineLevel="2" ht="15.75" customHeight="1">
      <c r="A4825" s="10" t="n">
        <v>6</v>
      </c>
      <c r="B4825" s="10" t="inlineStr">
        <is>
          <t>Insumo</t>
        </is>
      </c>
      <c r="C4825" s="10" t="inlineStr">
        <is>
          <t>Tanque Louça Suspenso</t>
        </is>
      </c>
      <c r="D4825" s="10" t="inlineStr">
        <is>
          <t>Bucha S-10</t>
        </is>
      </c>
      <c r="E4825" s="11">
        <f t="array" ref="E4825">_xlfn.XLOOKUP(D4825,Insumos!B:B,Insumos!C:$C)</f>
        <v/>
      </c>
      <c r="F4825" s="14" t="n">
        <v>6</v>
      </c>
      <c r="G4825" s="92">
        <f t="array" ref="G4825">IF(B4825="insumo",_xlfn.XLOOKUP($D4825,Insumos!$B$1:$B$996,Insumos!$D$1:$D$996),"")</f>
        <v/>
      </c>
      <c r="H4825" s="92" t="n">
        <v>3.6</v>
      </c>
      <c r="I4825" s="2162" t="n">
        <v>0</v>
      </c>
      <c r="J4825" s="2162" t="n">
        <v>0</v>
      </c>
      <c r="K4825" s="2162" t="n"/>
    </row>
    <row r="4826" outlineLevel="2" ht="15.75" customHeight="1">
      <c r="A4826" s="10" t="n">
        <v>6</v>
      </c>
      <c r="B4826" s="10" t="inlineStr">
        <is>
          <t>Insumo</t>
        </is>
      </c>
      <c r="C4826" s="10" t="inlineStr">
        <is>
          <t>Tanque Louça Suspenso</t>
        </is>
      </c>
      <c r="D4826" s="10" t="inlineStr">
        <is>
          <t>Parafuso Galvanizado</t>
        </is>
      </c>
      <c r="E4826" s="11">
        <f t="array" ref="E4826">_xlfn.XLOOKUP(D4826,Insumos!B:B,Insumos!C:$C)</f>
        <v/>
      </c>
      <c r="F4826" s="14" t="n">
        <v>6</v>
      </c>
      <c r="G4826" s="92">
        <f t="array" ref="G4826">IF(B4826="insumo",_xlfn.XLOOKUP($D4826,Insumos!$B$1:$B$996,Insumos!$D$1:$D$996),"")</f>
        <v/>
      </c>
      <c r="H4826" s="92" t="n">
        <v>149.7</v>
      </c>
      <c r="I4826" s="2162" t="n">
        <v>0</v>
      </c>
      <c r="J4826" s="2162" t="n">
        <v>0</v>
      </c>
      <c r="K4826" s="2162" t="n"/>
    </row>
    <row r="4827" outlineLevel="2" ht="15.75" customHeight="1">
      <c r="A4827" s="10" t="n">
        <v>8</v>
      </c>
      <c r="B4827" s="10" t="inlineStr">
        <is>
          <t>Insumo</t>
        </is>
      </c>
      <c r="C4827" s="10" t="inlineStr">
        <is>
          <t>Tanque Louça Suspenso</t>
        </is>
      </c>
      <c r="D4827" s="10" t="inlineStr">
        <is>
          <t>Fita Veda Rosca</t>
        </is>
      </c>
      <c r="E4827" s="11">
        <f t="array" ref="E4827">_xlfn.XLOOKUP(D4827,Insumos!B:B,Insumos!C:$C)</f>
        <v/>
      </c>
      <c r="F4827" s="14" t="n">
        <v>0.3</v>
      </c>
      <c r="G4827" s="92">
        <f t="array" ref="G4827">IF(B4827="insumo",_xlfn.XLOOKUP($D4827,Insumos!$B$1:$B$996,Insumos!$D$1:$D$996),"")</f>
        <v/>
      </c>
      <c r="H4827" s="92" t="n">
        <v>0.07199999999999999</v>
      </c>
      <c r="I4827" s="2162" t="n">
        <v>0</v>
      </c>
      <c r="J4827" s="2162" t="n">
        <v>0</v>
      </c>
      <c r="K4827" s="2162" t="n"/>
    </row>
    <row r="4828" outlineLevel="2" ht="15.75" customHeight="1">
      <c r="A4828" s="10" t="n">
        <v>7</v>
      </c>
      <c r="B4828" s="10" t="inlineStr">
        <is>
          <t>Insumo</t>
        </is>
      </c>
      <c r="C4828" s="10" t="inlineStr">
        <is>
          <t>Tanque Louça Suspenso</t>
        </is>
      </c>
      <c r="D4828" s="10" t="inlineStr">
        <is>
          <t>Silicone acético 250gr</t>
        </is>
      </c>
      <c r="E4828" s="11">
        <f t="array" ref="E4828">_xlfn.XLOOKUP(D4828,Insumos!B:B,Insumos!C:$C)</f>
        <v/>
      </c>
      <c r="F4828" s="14" t="n">
        <v>0.4</v>
      </c>
      <c r="G4828" s="92">
        <f t="array" ref="G4828">IF(B4828="insumo",_xlfn.XLOOKUP($D4828,Insumos!$B$1:$B$996,Insumos!$D$1:$D$996),"")</f>
        <v/>
      </c>
      <c r="H4828" s="92" t="n">
        <v>14.24</v>
      </c>
      <c r="I4828" s="2162" t="n">
        <v>0</v>
      </c>
      <c r="J4828" s="2162" t="n">
        <v>0</v>
      </c>
      <c r="K4828" s="2162" t="n"/>
    </row>
    <row r="4829" outlineLevel="2" ht="15.75" customHeight="1">
      <c r="A4829" s="10" t="n">
        <v>11</v>
      </c>
      <c r="B4829" s="10" t="inlineStr">
        <is>
          <t>Insumo</t>
        </is>
      </c>
      <c r="C4829" s="10" t="inlineStr">
        <is>
          <t>Tanque Louça Suspenso</t>
        </is>
      </c>
      <c r="D4829" s="10" t="inlineStr">
        <is>
          <t>Cola Extra Forte AC6000-400G</t>
        </is>
      </c>
      <c r="E4829" s="11">
        <f t="array" ref="E4829">_xlfn.XLOOKUP(D4829,Insumos!B:B,Insumos!C:$C)</f>
        <v/>
      </c>
      <c r="F4829" s="14" t="n">
        <v>0.25</v>
      </c>
      <c r="G4829" s="92">
        <f t="array" ref="G4829">IF(B4829="insumo",_xlfn.XLOOKUP($D4829,Insumos!$B$1:$B$996,Insumos!$D$1:$D$996),"")</f>
        <v/>
      </c>
      <c r="H4829" s="92" t="n">
        <v>18.75</v>
      </c>
      <c r="I4829" s="2162" t="n">
        <v>0</v>
      </c>
      <c r="J4829" s="2162" t="n">
        <v>0</v>
      </c>
      <c r="K4829" s="2162" t="n"/>
    </row>
    <row r="4830" outlineLevel="2" ht="15.75" customHeight="1">
      <c r="A4830" s="10" t="n">
        <v>11</v>
      </c>
      <c r="B4830" s="10" t="inlineStr">
        <is>
          <t>Insumo</t>
        </is>
      </c>
      <c r="C4830" s="10" t="inlineStr">
        <is>
          <t>Tanque Louça Suspenso</t>
        </is>
      </c>
      <c r="D4830" s="10" t="inlineStr">
        <is>
          <t>Engate Flexível Trançado 1/2"</t>
        </is>
      </c>
      <c r="E4830" s="11">
        <f t="array" ref="E4830">_xlfn.XLOOKUP(D4830,Insumos!B:B,Insumos!C:$C)</f>
        <v/>
      </c>
      <c r="F4830" s="14" t="n">
        <v>1</v>
      </c>
      <c r="G4830" s="92">
        <f t="array" ref="G4830">IF(B4830="insumo",_xlfn.XLOOKUP($D4830,Insumos!$B$1:$B$996,Insumos!$D$1:$D$996),"")</f>
        <v/>
      </c>
      <c r="H4830" s="92" t="n">
        <v>26.9</v>
      </c>
      <c r="I4830" s="2162" t="n">
        <v>0</v>
      </c>
      <c r="J4830" s="2162" t="n">
        <v>0</v>
      </c>
      <c r="K4830" s="2162" t="n"/>
    </row>
    <row r="4831" outlineLevel="1" ht="15.75" customHeight="1">
      <c r="A4831" s="1067" t="n">
        <v>1</v>
      </c>
      <c r="B4831" s="1067" t="inlineStr">
        <is>
          <t>Serviço</t>
        </is>
      </c>
      <c r="C4831" s="1084" t="inlineStr">
        <is>
          <t>Torneira Lavatório mesa</t>
        </is>
      </c>
      <c r="D4831" s="1084" t="inlineStr">
        <is>
          <t>Torneira Lavatório mesa</t>
        </is>
      </c>
      <c r="E4831" s="1068" t="inlineStr">
        <is>
          <t>UN</t>
        </is>
      </c>
      <c r="F4831" s="1085" t="inlineStr"/>
      <c r="G4831" s="1069">
        <f t="array" ref="G4831">IF(B4831="insumo",_xlfn.XLOOKUP($D4831,Insumos!$B$1:$B$996,Insumos!$D$1:$D$996),"")</f>
        <v/>
      </c>
      <c r="H4831" s="1069" t="n">
        <v>1054.93</v>
      </c>
      <c r="I4831" s="2172" t="n">
        <v>0</v>
      </c>
      <c r="J4831" s="2172" t="n">
        <v>0</v>
      </c>
      <c r="K4831" s="2172" t="n"/>
    </row>
    <row r="4832" outlineLevel="2" ht="15.75" customHeight="1">
      <c r="A4832" s="10" t="n">
        <v>1</v>
      </c>
      <c r="B4832" s="10" t="inlineStr">
        <is>
          <t>Insumo</t>
        </is>
      </c>
      <c r="C4832" s="10" t="inlineStr">
        <is>
          <t>Torneira Lavatório mesa</t>
        </is>
      </c>
      <c r="D4832" s="10" t="inlineStr">
        <is>
          <t>Torneira para Lavatório\ Detalhe: Cromado Vercci</t>
        </is>
      </c>
      <c r="E4832" s="11">
        <f t="array" ref="E4832">_xlfn.XLOOKUP(D4832,Insumos!B:B,Insumos!C:$C)</f>
        <v/>
      </c>
      <c r="F4832" s="14" t="n">
        <v>1</v>
      </c>
      <c r="G4832" s="92">
        <f t="array" ref="G4832">IF(B4832="insumo",_xlfn.XLOOKUP($D4832,Insumos!$B$1:$B$996,Insumos!$D$1:$D$996),"")</f>
        <v/>
      </c>
      <c r="H4832" s="92" t="n">
        <v>1054.93</v>
      </c>
      <c r="I4832" s="2162" t="n">
        <v>0</v>
      </c>
      <c r="J4832" s="2162" t="n">
        <v>0</v>
      </c>
      <c r="K4832" s="2162" t="n"/>
    </row>
    <row r="4833" outlineLevel="1" ht="15.75" customHeight="1">
      <c r="A4833" s="1067" t="n">
        <v>1</v>
      </c>
      <c r="B4833" s="1067" t="inlineStr">
        <is>
          <t>Serviço</t>
        </is>
      </c>
      <c r="C4833" s="1084" t="inlineStr">
        <is>
          <t>Torneira tanque</t>
        </is>
      </c>
      <c r="D4833" s="1084" t="inlineStr">
        <is>
          <t>Torneira tanque</t>
        </is>
      </c>
      <c r="E4833" s="1068" t="inlineStr">
        <is>
          <t>UN</t>
        </is>
      </c>
      <c r="F4833" s="1085" t="inlineStr"/>
      <c r="G4833" s="1069">
        <f t="array" ref="G4833">IF(B4833="insumo",_xlfn.XLOOKUP($D4833,Insumos!$B$1:$B$996,Insumos!$D$1:$D$996),"")</f>
        <v/>
      </c>
      <c r="H4833" s="1069" t="n">
        <v>1054.93</v>
      </c>
      <c r="I4833" s="2172" t="n">
        <v>0</v>
      </c>
      <c r="J4833" s="2172" t="n">
        <v>0</v>
      </c>
      <c r="K4833" s="2172" t="n"/>
    </row>
    <row r="4834" outlineLevel="2" ht="15.75" customHeight="1">
      <c r="A4834" s="10" t="n">
        <v>1</v>
      </c>
      <c r="B4834" s="10" t="inlineStr">
        <is>
          <t>Insumo</t>
        </is>
      </c>
      <c r="C4834" s="10" t="inlineStr">
        <is>
          <t>Torneira tanque</t>
        </is>
      </c>
      <c r="D4834" s="10" t="inlineStr">
        <is>
          <t>Torneira de bancada para tanque \ Detalhe: mesa inox</t>
        </is>
      </c>
      <c r="E4834" s="11">
        <f t="array" ref="E4834">_xlfn.XLOOKUP(D4834,Insumos!B:B,Insumos!C:$C)</f>
        <v/>
      </c>
      <c r="F4834" s="14" t="n">
        <v>1</v>
      </c>
      <c r="G4834" s="92">
        <f t="array" ref="G4834">IF(B4834="insumo",_xlfn.XLOOKUP($D4834,Insumos!$B$1:$B$996,Insumos!$D$1:$D$996),"")</f>
        <v/>
      </c>
      <c r="H4834" s="92" t="n">
        <v>1054.93</v>
      </c>
      <c r="I4834" s="2162" t="n">
        <v>0</v>
      </c>
      <c r="J4834" s="2162" t="n">
        <v>0</v>
      </c>
      <c r="K4834" s="2162" t="n"/>
    </row>
    <row r="4835" outlineLevel="1" ht="15.75" customHeight="1">
      <c r="A4835" s="1067" t="n">
        <v>1</v>
      </c>
      <c r="B4835" s="1067" t="inlineStr">
        <is>
          <t>Serviço</t>
        </is>
      </c>
      <c r="C4835" s="1084" t="inlineStr">
        <is>
          <t>Torneira de Jardins</t>
        </is>
      </c>
      <c r="D4835" s="1084" t="inlineStr">
        <is>
          <t>Torneira de Jardins</t>
        </is>
      </c>
      <c r="E4835" s="1068" t="inlineStr">
        <is>
          <t>UN</t>
        </is>
      </c>
      <c r="F4835" s="1085" t="inlineStr"/>
      <c r="G4835" s="1069">
        <f t="array" ref="G4835">IF(B4835="insumo",_xlfn.XLOOKUP($D4835,Insumos!$B$1:$B$996,Insumos!$D$1:$D$996),"")</f>
        <v/>
      </c>
      <c r="H4835" s="1069" t="n">
        <v>1054.93</v>
      </c>
      <c r="I4835" s="2172" t="n">
        <v>0</v>
      </c>
      <c r="J4835" s="2172" t="n">
        <v>0</v>
      </c>
      <c r="K4835" s="2172" t="n"/>
    </row>
    <row r="4836" outlineLevel="2" ht="15.75" customHeight="1">
      <c r="A4836" s="10" t="n">
        <v>1</v>
      </c>
      <c r="B4836" s="10" t="inlineStr">
        <is>
          <t>Insumo</t>
        </is>
      </c>
      <c r="C4836" s="10" t="inlineStr">
        <is>
          <t>Torneira de Jardins</t>
        </is>
      </c>
      <c r="D4836" s="10" t="inlineStr">
        <is>
          <t>Torneira de jardim inox</t>
        </is>
      </c>
      <c r="E4836" s="11">
        <f t="array" ref="E4836">_xlfn.XLOOKUP(D4836,Insumos!B:B,Insumos!C:$C)</f>
        <v/>
      </c>
      <c r="F4836" s="14" t="n">
        <v>1</v>
      </c>
      <c r="G4836" s="92">
        <f t="array" ref="G4836">IF(B4836="insumo",_xlfn.XLOOKUP($D4836,Insumos!$B$1:$B$996,Insumos!$D$1:$D$996),"")</f>
        <v/>
      </c>
      <c r="H4836" s="92" t="n">
        <v>1054.93</v>
      </c>
      <c r="I4836" s="2162" t="n">
        <v>0</v>
      </c>
      <c r="J4836" s="2162" t="n">
        <v>0</v>
      </c>
      <c r="K4836" s="2162" t="n"/>
    </row>
    <row r="4837" outlineLevel="1" ht="15.75" customHeight="1">
      <c r="A4837" s="1067" t="n">
        <v>1</v>
      </c>
      <c r="B4837" s="1067" t="inlineStr">
        <is>
          <t>Serviço</t>
        </is>
      </c>
      <c r="C4837" s="1084" t="inlineStr">
        <is>
          <t>Torneira misturador pia cozinha</t>
        </is>
      </c>
      <c r="D4837" s="1084" t="inlineStr">
        <is>
          <t>Torneira misturador pia cozinha</t>
        </is>
      </c>
      <c r="E4837" s="1068" t="inlineStr">
        <is>
          <t>UN</t>
        </is>
      </c>
      <c r="F4837" s="1085" t="inlineStr"/>
      <c r="G4837" s="1069">
        <f t="array" ref="G4837">IF(B4837="insumo",_xlfn.XLOOKUP($D4837,Insumos!$B$1:$B$996,Insumos!$D$1:$D$996),"")</f>
        <v/>
      </c>
      <c r="H4837" s="1069" t="n">
        <v>1054.93</v>
      </c>
      <c r="I4837" s="2172" t="n">
        <v>0</v>
      </c>
      <c r="J4837" s="2172" t="n">
        <v>0</v>
      </c>
      <c r="K4837" s="2172" t="n"/>
    </row>
    <row r="4838" outlineLevel="2" ht="15.75" customHeight="1">
      <c r="A4838" s="10" t="n">
        <v>1</v>
      </c>
      <c r="B4838" s="10" t="inlineStr">
        <is>
          <t>Insumo</t>
        </is>
      </c>
      <c r="C4838" s="10" t="inlineStr">
        <is>
          <t>Torneira misturador pia cozinha</t>
        </is>
      </c>
      <c r="D4838" s="10" t="inlineStr">
        <is>
          <t>Torneira para pia inox</t>
        </is>
      </c>
      <c r="E4838" s="11">
        <f t="array" ref="E4838">_xlfn.XLOOKUP(D4838,Insumos!B:B,Insumos!C:$C)</f>
        <v/>
      </c>
      <c r="F4838" s="14" t="n">
        <v>1</v>
      </c>
      <c r="G4838" s="92">
        <f t="array" ref="G4838">IF(B4838="insumo",_xlfn.XLOOKUP($D4838,Insumos!$B$1:$B$996,Insumos!$D$1:$D$996),"")</f>
        <v/>
      </c>
      <c r="H4838" s="92" t="n">
        <v>1054.93</v>
      </c>
      <c r="I4838" s="2162" t="n">
        <v>0</v>
      </c>
      <c r="J4838" s="2162" t="n">
        <v>0</v>
      </c>
      <c r="K4838" s="2162" t="n"/>
    </row>
    <row r="4839" outlineLevel="1" ht="15.75" customHeight="1">
      <c r="A4839" s="1067" t="n">
        <v>1</v>
      </c>
      <c r="B4839" s="1067" t="inlineStr">
        <is>
          <t>Serviço</t>
        </is>
      </c>
      <c r="C4839" s="1084" t="inlineStr">
        <is>
          <t>Ducha higienica</t>
        </is>
      </c>
      <c r="D4839" s="1084" t="inlineStr">
        <is>
          <t>Ducha higienica</t>
        </is>
      </c>
      <c r="E4839" s="1068" t="inlineStr">
        <is>
          <t>UN</t>
        </is>
      </c>
      <c r="F4839" s="1085" t="inlineStr"/>
      <c r="G4839" s="1069">
        <f t="array" ref="G4839">IF(B4839="insumo",_xlfn.XLOOKUP($D4839,Insumos!$B$1:$B$996,Insumos!$D$1:$D$996),"")</f>
        <v/>
      </c>
      <c r="H4839" s="1069" t="n">
        <v>1876.89</v>
      </c>
      <c r="I4839" s="2172" t="n">
        <v>0</v>
      </c>
      <c r="J4839" s="2172" t="n">
        <v>0</v>
      </c>
      <c r="K4839" s="2172" t="n"/>
    </row>
    <row r="4840" outlineLevel="2" ht="15.75" customHeight="1">
      <c r="A4840" s="10" t="n">
        <v>1</v>
      </c>
      <c r="B4840" s="10" t="inlineStr">
        <is>
          <t>Insumo</t>
        </is>
      </c>
      <c r="C4840" s="10" t="inlineStr">
        <is>
          <t>Ducha higienica</t>
        </is>
      </c>
      <c r="D4840" s="10" t="inlineStr">
        <is>
          <t>Monocomando Banheira e Ducha</t>
        </is>
      </c>
      <c r="E4840" s="11">
        <f t="array" ref="E4840">_xlfn.XLOOKUP(D4840,Insumos!B:B,Insumos!C:$C)</f>
        <v/>
      </c>
      <c r="F4840" s="14" t="n">
        <v>1</v>
      </c>
      <c r="G4840" s="92">
        <f t="array" ref="G4840">IF(B4840="insumo",_xlfn.XLOOKUP($D4840,Insumos!$B$1:$B$996,Insumos!$D$1:$D$996),"")</f>
        <v/>
      </c>
      <c r="H4840" s="92" t="n">
        <v>1876.89</v>
      </c>
      <c r="I4840" s="2162" t="n">
        <v>0</v>
      </c>
      <c r="J4840" s="2162" t="n">
        <v>0</v>
      </c>
      <c r="K4840" s="2162" t="n"/>
    </row>
    <row r="4841" outlineLevel="1" ht="15.75" customHeight="1">
      <c r="A4841" s="1067" t="n">
        <v>1</v>
      </c>
      <c r="B4841" s="1067" t="inlineStr">
        <is>
          <t>Serviço</t>
        </is>
      </c>
      <c r="C4841" s="1084" t="inlineStr">
        <is>
          <t>Acabamento de Registro Comum</t>
        </is>
      </c>
      <c r="D4841" s="1084" t="inlineStr">
        <is>
          <t>Acabamento de Registro Comum</t>
        </is>
      </c>
      <c r="E4841" s="1068" t="inlineStr">
        <is>
          <t>UN</t>
        </is>
      </c>
      <c r="F4841" s="1085" t="inlineStr"/>
      <c r="G4841" s="1069">
        <f t="array" ref="G4841">IF(B4841="insumo",_xlfn.XLOOKUP($D4841,Insumos!$B$1:$B$996,Insumos!$D$1:$D$996),"")</f>
        <v/>
      </c>
      <c r="H4841" s="1069" t="n">
        <v>240.41</v>
      </c>
      <c r="I4841" s="2172" t="n">
        <v>0</v>
      </c>
      <c r="J4841" s="2172" t="n">
        <v>0</v>
      </c>
      <c r="K4841" s="2172" t="n"/>
    </row>
    <row r="4842" outlineLevel="2" ht="15.75" customHeight="1">
      <c r="A4842" s="10" t="n">
        <v>1</v>
      </c>
      <c r="B4842" s="10" t="inlineStr">
        <is>
          <t>Insumo</t>
        </is>
      </c>
      <c r="C4842" s="10" t="inlineStr">
        <is>
          <t>Acabamento de Registro Comum</t>
        </is>
      </c>
      <c r="D4842" s="10" t="inlineStr">
        <is>
          <t>Acabamento de Registro\ Detalhe: Cromado Vercci</t>
        </is>
      </c>
      <c r="E4842" s="11">
        <f t="array" ref="E4842">_xlfn.XLOOKUP(D4842,Insumos!B:B,Insumos!C:$C)</f>
        <v/>
      </c>
      <c r="F4842" s="14" t="n">
        <v>1</v>
      </c>
      <c r="G4842" s="92">
        <f t="array" ref="G4842">IF(B4842="insumo",_xlfn.XLOOKUP($D4842,Insumos!$B$1:$B$996,Insumos!$D$1:$D$996),"")</f>
        <v/>
      </c>
      <c r="H4842" s="92" t="n">
        <v>240.41</v>
      </c>
      <c r="I4842" s="2162" t="n">
        <v>0</v>
      </c>
      <c r="J4842" s="2162" t="n">
        <v>0</v>
      </c>
      <c r="K4842" s="2162" t="n"/>
    </row>
    <row r="4843" outlineLevel="1" ht="15.75" customHeight="1">
      <c r="A4843" s="1067" t="n">
        <v>1</v>
      </c>
      <c r="B4843" s="1067" t="inlineStr">
        <is>
          <t>Serviço</t>
        </is>
      </c>
      <c r="C4843" s="1084" t="inlineStr">
        <is>
          <t>Acabamento de Registro Pressão</t>
        </is>
      </c>
      <c r="D4843" s="1084" t="inlineStr">
        <is>
          <t>Acabamento de Registro Pressão</t>
        </is>
      </c>
      <c r="E4843" s="1068" t="inlineStr">
        <is>
          <t>UN</t>
        </is>
      </c>
      <c r="F4843" s="1085" t="inlineStr"/>
      <c r="G4843" s="1069">
        <f t="array" ref="G4843">IF(B4843="insumo",_xlfn.XLOOKUP($D4843,Insumos!$B$1:$B$996,Insumos!$D$1:$D$996),"")</f>
        <v/>
      </c>
      <c r="H4843" s="1069" t="n">
        <v>493.7</v>
      </c>
      <c r="I4843" s="2172" t="n">
        <v>0</v>
      </c>
      <c r="J4843" s="2172" t="n">
        <v>0</v>
      </c>
      <c r="K4843" s="2172" t="n"/>
    </row>
    <row r="4844" outlineLevel="2" ht="15.75" customHeight="1">
      <c r="A4844" s="10" t="n">
        <v>1</v>
      </c>
      <c r="B4844" s="10" t="inlineStr">
        <is>
          <t>Insumo</t>
        </is>
      </c>
      <c r="C4844" s="10" t="inlineStr">
        <is>
          <t>Acabamento de Registro Pressão</t>
        </is>
      </c>
      <c r="D4844" s="10" t="inlineStr">
        <is>
          <t>Acabamento de Registro pressão \ Detalhe: Cromado Vercci</t>
        </is>
      </c>
      <c r="E4844" s="11">
        <f t="array" ref="E4844">_xlfn.XLOOKUP(D4844,Insumos!B:B,Insumos!C:$C)</f>
        <v/>
      </c>
      <c r="F4844" s="14" t="n">
        <v>1</v>
      </c>
      <c r="G4844" s="92">
        <f t="array" ref="G4844">IF(B4844="insumo",_xlfn.XLOOKUP($D4844,Insumos!$B$1:$B$996,Insumos!$D$1:$D$996),"")</f>
        <v/>
      </c>
      <c r="H4844" s="92" t="n">
        <v>493.7</v>
      </c>
      <c r="I4844" s="2162" t="n">
        <v>0</v>
      </c>
      <c r="J4844" s="2162" t="n">
        <v>0</v>
      </c>
      <c r="K4844" s="2162" t="n"/>
    </row>
    <row r="4845" outlineLevel="1" ht="15.75" customHeight="1">
      <c r="A4845" s="1067" t="n">
        <v>1</v>
      </c>
      <c r="B4845" s="1067" t="inlineStr">
        <is>
          <t>Serviço</t>
        </is>
      </c>
      <c r="C4845" s="1084" t="inlineStr">
        <is>
          <t>Exaustor mecânico</t>
        </is>
      </c>
      <c r="D4845" s="1084" t="inlineStr">
        <is>
          <t>Exaustor mecânico</t>
        </is>
      </c>
      <c r="E4845" s="1068" t="inlineStr">
        <is>
          <t>UN</t>
        </is>
      </c>
      <c r="F4845" s="1085" t="inlineStr"/>
      <c r="G4845" s="1069">
        <f t="array" ref="G4845">IF(B4845="insumo",_xlfn.XLOOKUP($D4845,Insumos!$B$1:$B$996,Insumos!$D$1:$D$996),"")</f>
        <v/>
      </c>
      <c r="H4845" s="1069" t="n">
        <v>900</v>
      </c>
      <c r="I4845" s="2172" t="n">
        <v>0</v>
      </c>
      <c r="J4845" s="2172" t="n">
        <v>0</v>
      </c>
      <c r="K4845" s="2172" t="n"/>
    </row>
    <row r="4846" outlineLevel="2" ht="15.75" customHeight="1">
      <c r="A4846" s="10" t="n">
        <v>1</v>
      </c>
      <c r="B4846" s="10" t="inlineStr">
        <is>
          <t>Insumo</t>
        </is>
      </c>
      <c r="C4846" s="10" t="inlineStr">
        <is>
          <t>Exaustor mecânico</t>
        </is>
      </c>
      <c r="D4846" s="10" t="inlineStr">
        <is>
          <t>Exaustor Td Silent 350 Ultra Silencioso</t>
        </is>
      </c>
      <c r="E4846" s="11">
        <f t="array" ref="E4846">_xlfn.XLOOKUP(D4846,Insumos!B:B,Insumos!C:$C)</f>
        <v/>
      </c>
      <c r="F4846" s="14" t="n">
        <v>1</v>
      </c>
      <c r="G4846" s="92">
        <f t="array" ref="G4846">IF(B4846="insumo",_xlfn.XLOOKUP($D4846,Insumos!$B$1:$B$996,Insumos!$D$1:$D$996),"")</f>
        <v/>
      </c>
      <c r="H4846" s="92" t="n">
        <v>900</v>
      </c>
      <c r="I4846" s="2162" t="n">
        <v>0</v>
      </c>
      <c r="J4846" s="2162" t="n">
        <v>0</v>
      </c>
      <c r="K4846" s="2162" t="n"/>
    </row>
    <row r="4847" outlineLevel="1" ht="15.75" customHeight="1">
      <c r="A4847" s="1067" t="n">
        <v>1</v>
      </c>
      <c r="B4847" s="1067" t="inlineStr">
        <is>
          <t>Serviço</t>
        </is>
      </c>
      <c r="C4847" s="1084" t="inlineStr">
        <is>
          <t>Barra de apoio PNE</t>
        </is>
      </c>
      <c r="D4847" s="1084" t="inlineStr">
        <is>
          <t>Barra de apoio PNE</t>
        </is>
      </c>
      <c r="E4847" s="1068" t="inlineStr">
        <is>
          <t>UN</t>
        </is>
      </c>
      <c r="F4847" s="1085" t="inlineStr"/>
      <c r="G4847" s="1069">
        <f t="array" ref="G4847">IF(B4847="insumo",_xlfn.XLOOKUP($D4847,Insumos!$B$1:$B$996,Insumos!$D$1:$D$996),"")</f>
        <v/>
      </c>
      <c r="H4847" s="1069" t="n">
        <v>84.8</v>
      </c>
      <c r="I4847" s="2172" t="n">
        <v>0</v>
      </c>
      <c r="J4847" s="2172" t="n">
        <v>0</v>
      </c>
      <c r="K4847" s="2172" t="n"/>
    </row>
    <row r="4848" outlineLevel="2" ht="15.75" customHeight="1">
      <c r="A4848" s="10" t="n">
        <v>1</v>
      </c>
      <c r="B4848" s="10" t="inlineStr">
        <is>
          <t>Insumo</t>
        </is>
      </c>
      <c r="C4848" s="10" t="inlineStr">
        <is>
          <t>Barra de apoio PNE</t>
        </is>
      </c>
      <c r="D4848" s="10" t="inlineStr">
        <is>
          <t>Barra de Apoio - Deficiente</t>
        </is>
      </c>
      <c r="E4848" s="11">
        <f t="array" ref="E4848">_xlfn.XLOOKUP(D4848,Insumos!B:B,Insumos!C:$C)</f>
        <v/>
      </c>
      <c r="F4848" s="14" t="n">
        <v>1</v>
      </c>
      <c r="G4848" s="92">
        <f t="array" ref="G4848">IF(B4848="insumo",_xlfn.XLOOKUP($D4848,Insumos!$B$1:$B$996,Insumos!$D$1:$D$996),"")</f>
        <v/>
      </c>
      <c r="H4848" s="92" t="n">
        <v>84.8</v>
      </c>
      <c r="I4848" s="2162" t="n">
        <v>0</v>
      </c>
      <c r="J4848" s="2162" t="n">
        <v>0</v>
      </c>
      <c r="K4848" s="2162" t="n"/>
    </row>
    <row r="4849" outlineLevel="1" ht="15.75" customHeight="1">
      <c r="A4849" s="1067" t="n">
        <v>1</v>
      </c>
      <c r="B4849" s="1067" t="inlineStr">
        <is>
          <t>Serviço</t>
        </is>
      </c>
      <c r="C4849" s="1084" t="inlineStr">
        <is>
          <t>Chuveiro Elétrico</t>
        </is>
      </c>
      <c r="D4849" s="1084" t="inlineStr">
        <is>
          <t>Chuveiro Elétrico</t>
        </is>
      </c>
      <c r="E4849" s="1068" t="inlineStr">
        <is>
          <t>UN</t>
        </is>
      </c>
      <c r="F4849" s="1085" t="inlineStr"/>
      <c r="G4849" s="1069">
        <f t="array" ref="G4849">IF(B4849="insumo",_xlfn.XLOOKUP($D4849,Insumos!$B$1:$B$996,Insumos!$D$1:$D$996),"")</f>
        <v/>
      </c>
      <c r="H4849" s="1069" t="n">
        <v>660</v>
      </c>
      <c r="I4849" s="2172" t="n">
        <v>0</v>
      </c>
      <c r="J4849" s="2172" t="n">
        <v>0</v>
      </c>
      <c r="K4849" s="2172" t="n"/>
    </row>
    <row r="4850" outlineLevel="2" ht="15.75" customHeight="1">
      <c r="A4850" s="10" t="n">
        <v>1</v>
      </c>
      <c r="B4850" s="10" t="inlineStr">
        <is>
          <t>Insumo</t>
        </is>
      </c>
      <c r="C4850" s="10" t="inlineStr">
        <is>
          <t>Chuveiro Elétrico</t>
        </is>
      </c>
      <c r="D4850" s="10" t="inlineStr">
        <is>
          <t>Ducha / Detalhe: Aqua Ultra - Lorenzetti</t>
        </is>
      </c>
      <c r="E4850" s="11">
        <f t="array" ref="E4850">_xlfn.XLOOKUP(D4850,Insumos!B:B,Insumos!C:$C)</f>
        <v/>
      </c>
      <c r="F4850" s="14" t="n">
        <v>1</v>
      </c>
      <c r="G4850" s="92">
        <f t="array" ref="G4850">IF(B4850="insumo",_xlfn.XLOOKUP($D4850,Insumos!$B$1:$B$996,Insumos!$D$1:$D$996),"")</f>
        <v/>
      </c>
      <c r="H4850" s="92" t="n">
        <v>660</v>
      </c>
      <c r="I4850" s="2162" t="n">
        <v>0</v>
      </c>
      <c r="J4850" s="2162" t="n">
        <v>0</v>
      </c>
      <c r="K4850" s="2162" t="n"/>
    </row>
    <row r="4851" outlineLevel="1" ht="15.75" customHeight="1">
      <c r="A4851" s="1067" t="n">
        <v>1</v>
      </c>
      <c r="B4851" s="1067" t="inlineStr">
        <is>
          <t>Serviço</t>
        </is>
      </c>
      <c r="C4851" s="1084" t="inlineStr">
        <is>
          <t>Chuveiro Monocromado</t>
        </is>
      </c>
      <c r="D4851" s="1084" t="inlineStr">
        <is>
          <t>Chuveiro Monocromado</t>
        </is>
      </c>
      <c r="E4851" s="1068" t="inlineStr">
        <is>
          <t>UN</t>
        </is>
      </c>
      <c r="F4851" s="1085" t="inlineStr"/>
      <c r="G4851" s="1069">
        <f t="array" ref="G4851">IF(B4851="insumo",_xlfn.XLOOKUP($D4851,Insumos!$B$1:$B$996,Insumos!$D$1:$D$996),"")</f>
        <v/>
      </c>
      <c r="H4851" s="1069" t="n">
        <v>970</v>
      </c>
      <c r="I4851" s="2172" t="n">
        <v>0</v>
      </c>
      <c r="J4851" s="2172" t="n">
        <v>0</v>
      </c>
      <c r="K4851" s="2172" t="n"/>
    </row>
    <row r="4852" outlineLevel="2" ht="15.75" customHeight="1">
      <c r="A4852" s="10" t="n">
        <v>1</v>
      </c>
      <c r="B4852" s="10" t="inlineStr">
        <is>
          <t>Insumo</t>
        </is>
      </c>
      <c r="C4852" s="10" t="inlineStr">
        <is>
          <t>Chuveiro Monocromado</t>
        </is>
      </c>
      <c r="D4852" s="10" t="inlineStr">
        <is>
          <t>Chuveiro Teto DocolHeaven Q150 Cromado Docol</t>
        </is>
      </c>
      <c r="E4852" s="11">
        <f t="array" ref="E4852">_xlfn.XLOOKUP(D4852,Insumos!B:B,Insumos!C:$C)</f>
        <v/>
      </c>
      <c r="F4852" s="14" t="n">
        <v>1</v>
      </c>
      <c r="G4852" s="92">
        <f t="array" ref="G4852">IF(B4852="insumo",_xlfn.XLOOKUP($D4852,Insumos!$B$1:$B$996,Insumos!$D$1:$D$996),"")</f>
        <v/>
      </c>
      <c r="H4852" s="92" t="n">
        <v>970</v>
      </c>
      <c r="I4852" s="2162" t="n">
        <v>0</v>
      </c>
      <c r="J4852" s="2162" t="n">
        <v>0</v>
      </c>
      <c r="K4852" s="2162" t="n"/>
    </row>
    <row r="4853" outlineLevel="1" ht="15.75" customHeight="1">
      <c r="A4853" s="1067" t="n">
        <v>1</v>
      </c>
      <c r="B4853" s="1067" t="inlineStr">
        <is>
          <t>Serviço</t>
        </is>
      </c>
      <c r="C4853" s="1084" t="inlineStr">
        <is>
          <t>Ducha</t>
        </is>
      </c>
      <c r="D4853" s="1084" t="inlineStr">
        <is>
          <t>Ducha</t>
        </is>
      </c>
      <c r="E4853" s="1068" t="inlineStr">
        <is>
          <t>UN</t>
        </is>
      </c>
      <c r="F4853" s="1085" t="inlineStr"/>
      <c r="G4853" s="1069">
        <f t="array" ref="G4853">IF(B4853="insumo",_xlfn.XLOOKUP($D4853,Insumos!$B$1:$B$996,Insumos!$D$1:$D$996),"")</f>
        <v/>
      </c>
      <c r="H4853" s="1069" t="n">
        <v>1196.32</v>
      </c>
      <c r="I4853" s="2172" t="n">
        <v>0</v>
      </c>
      <c r="J4853" s="2172" t="n">
        <v>0</v>
      </c>
      <c r="K4853" s="2172" t="n"/>
    </row>
    <row r="4854" outlineLevel="2" ht="15.75" customHeight="1">
      <c r="A4854" s="10" t="n">
        <v>1</v>
      </c>
      <c r="B4854" s="10" t="inlineStr">
        <is>
          <t>Insumo</t>
        </is>
      </c>
      <c r="C4854" s="10" t="inlineStr">
        <is>
          <t>Ducha</t>
        </is>
      </c>
      <c r="D4854" s="10" t="inlineStr">
        <is>
          <t>Ducha \ Detalhe: Parede Cromado Vercci</t>
        </is>
      </c>
      <c r="E4854" s="11">
        <f t="array" ref="E4854">_xlfn.XLOOKUP(D4854,Insumos!B:B,Insumos!C:$C)</f>
        <v/>
      </c>
      <c r="F4854" s="14" t="n">
        <v>1</v>
      </c>
      <c r="G4854" s="92">
        <f t="array" ref="G4854">IF(B4854="insumo",_xlfn.XLOOKUP($D4854,Insumos!$B$1:$B$996,Insumos!$D$1:$D$996),"")</f>
        <v/>
      </c>
      <c r="H4854" s="92" t="n">
        <v>1196.32</v>
      </c>
      <c r="I4854" s="2162" t="n">
        <v>0</v>
      </c>
      <c r="J4854" s="2162" t="n">
        <v>0</v>
      </c>
      <c r="K4854" s="2162" t="n"/>
    </row>
    <row r="4855" outlineLevel="1" ht="15.75" customHeight="1">
      <c r="A4855" s="1067" t="n">
        <v>1</v>
      </c>
      <c r="B4855" s="1067" t="inlineStr">
        <is>
          <t>Serviço</t>
        </is>
      </c>
      <c r="C4855" s="1084" t="inlineStr">
        <is>
          <t>Acessórios de Banheiro/Lavabo</t>
        </is>
      </c>
      <c r="D4855" s="1084" t="inlineStr">
        <is>
          <t>Acessórios de Banheiro/Lavabo</t>
        </is>
      </c>
      <c r="E4855" s="1068" t="inlineStr">
        <is>
          <t>UN</t>
        </is>
      </c>
      <c r="F4855" s="1085" t="inlineStr"/>
      <c r="G4855" s="1069">
        <f t="array" ref="G4855">IF(B4855="insumo",_xlfn.XLOOKUP($D4855,Insumos!$B$1:$B$996,Insumos!$D$1:$D$996),"")</f>
        <v/>
      </c>
      <c r="H4855" s="1069" t="n">
        <v>1183.51</v>
      </c>
      <c r="I4855" s="2172" t="n">
        <v>0</v>
      </c>
      <c r="J4855" s="2172" t="n">
        <v>0</v>
      </c>
      <c r="K4855" s="2172" t="n"/>
    </row>
    <row r="4856" outlineLevel="2" ht="15.75" customHeight="1">
      <c r="A4856" s="10" t="n">
        <v>1</v>
      </c>
      <c r="B4856" s="10" t="inlineStr">
        <is>
          <t>Insumo</t>
        </is>
      </c>
      <c r="C4856" s="10" t="inlineStr">
        <is>
          <t>Acessórios de Banheiro/Lavabo</t>
        </is>
      </c>
      <c r="D4856" s="10" t="inlineStr">
        <is>
          <t>Porta papel higienico \ Detalhe: Cromado Vercci</t>
        </is>
      </c>
      <c r="E4856" s="11">
        <f t="array" ref="E4856">_xlfn.XLOOKUP(D4856,Insumos!B:B,Insumos!C:$C)</f>
        <v/>
      </c>
      <c r="F4856" s="14" t="n">
        <v>1</v>
      </c>
      <c r="G4856" s="92">
        <f t="array" ref="G4856">IF(B4856="insumo",_xlfn.XLOOKUP($D4856,Insumos!$B$1:$B$996,Insumos!$D$1:$D$996),"")</f>
        <v/>
      </c>
      <c r="H4856" s="92" t="n">
        <v>396.67</v>
      </c>
      <c r="I4856" s="2162" t="n">
        <v>0</v>
      </c>
      <c r="J4856" s="2162" t="n">
        <v>0</v>
      </c>
      <c r="K4856" s="2162" t="n"/>
    </row>
    <row r="4857" outlineLevel="2" ht="15.75" customHeight="1">
      <c r="A4857" s="10" t="n">
        <v>1</v>
      </c>
      <c r="B4857" s="10" t="inlineStr">
        <is>
          <t>Insumo</t>
        </is>
      </c>
      <c r="C4857" s="10" t="inlineStr">
        <is>
          <t>Acessórios de Banheiro/Lavabo</t>
        </is>
      </c>
      <c r="D4857" s="10" t="inlineStr">
        <is>
          <t>Gancho\ Detalhe: Cromado Vercci</t>
        </is>
      </c>
      <c r="E4857" s="11">
        <f t="array" ref="E4857">_xlfn.XLOOKUP(D4857,Insumos!B:B,Insumos!C:$C)</f>
        <v/>
      </c>
      <c r="F4857" s="14" t="n">
        <v>1</v>
      </c>
      <c r="G4857" s="92">
        <f t="array" ref="G4857">IF(B4857="insumo",_xlfn.XLOOKUP($D4857,Insumos!$B$1:$B$996,Insumos!$D$1:$D$996),"")</f>
        <v/>
      </c>
      <c r="H4857" s="92" t="n">
        <v>293</v>
      </c>
      <c r="I4857" s="2162" t="n">
        <v>0</v>
      </c>
      <c r="J4857" s="2162" t="n">
        <v>0</v>
      </c>
      <c r="K4857" s="2162" t="n"/>
    </row>
    <row r="4858" outlineLevel="2" ht="15.75" customHeight="1">
      <c r="A4858" s="10" t="n">
        <v>1</v>
      </c>
      <c r="B4858" s="10" t="inlineStr">
        <is>
          <t>Insumo</t>
        </is>
      </c>
      <c r="C4858" s="10" t="inlineStr">
        <is>
          <t>Acessórios de Banheiro/Lavabo</t>
        </is>
      </c>
      <c r="D4858" s="10" t="inlineStr">
        <is>
          <t>Toalheiro rosto \ Detalhe: Cromado Vercci</t>
        </is>
      </c>
      <c r="E4858" s="11">
        <f t="array" ref="E4858">_xlfn.XLOOKUP(D4858,Insumos!B:B,Insumos!C:$C)</f>
        <v/>
      </c>
      <c r="F4858" s="14" t="n">
        <v>1</v>
      </c>
      <c r="G4858" s="92">
        <f t="array" ref="G4858">IF(B4858="insumo",_xlfn.XLOOKUP($D4858,Insumos!$B$1:$B$996,Insumos!$D$1:$D$996),"")</f>
        <v/>
      </c>
      <c r="H4858" s="92" t="n">
        <v>493.84</v>
      </c>
      <c r="I4858" s="2162" t="n">
        <v>0</v>
      </c>
      <c r="J4858" s="2162" t="n">
        <v>0</v>
      </c>
      <c r="K4858" s="2162" t="n"/>
    </row>
    <row r="4859" outlineLevel="1" ht="15.75" customHeight="1">
      <c r="A4859" s="1067" t="n">
        <v>1</v>
      </c>
      <c r="B4859" s="1067" t="inlineStr">
        <is>
          <t>Serviço</t>
        </is>
      </c>
      <c r="C4859" s="1084" t="inlineStr">
        <is>
          <t>Bancada em Granito para Lavatório</t>
        </is>
      </c>
      <c r="D4859" s="1084" t="inlineStr">
        <is>
          <t>Bancada em Granito para Lavatório</t>
        </is>
      </c>
      <c r="E4859" s="1068" t="inlineStr">
        <is>
          <t>M2</t>
        </is>
      </c>
      <c r="F4859" s="1085" t="inlineStr"/>
      <c r="G4859" s="1069">
        <f t="array" ref="G4859">IF(B4859="insumo",_xlfn.XLOOKUP($D4859,Insumos!$B$1:$B$996,Insumos!$D$1:$D$996),"")</f>
        <v/>
      </c>
      <c r="H4859" s="1069" t="n">
        <v>750</v>
      </c>
      <c r="I4859" s="2172" t="n">
        <v>0</v>
      </c>
      <c r="J4859" s="2172" t="n">
        <v>0</v>
      </c>
      <c r="K4859" s="2172" t="n"/>
    </row>
    <row r="4860" outlineLevel="2" ht="18.75" customHeight="1">
      <c r="A4860" s="10" t="n">
        <v>1</v>
      </c>
      <c r="B4860" s="10" t="inlineStr">
        <is>
          <t>Insumo</t>
        </is>
      </c>
      <c r="C4860" s="10" t="inlineStr">
        <is>
          <t>Bancada em Granito para Lavatório</t>
        </is>
      </c>
      <c r="D4860" s="10" t="inlineStr">
        <is>
          <t>Tampo de Granito, para Lavatório com saia e rodamão</t>
        </is>
      </c>
      <c r="E4860" s="11">
        <f t="array" ref="E4860">_xlfn.XLOOKUP(D4860,Insumos!B:B,Insumos!C:$C)</f>
        <v/>
      </c>
      <c r="F4860" s="14" t="n">
        <v>1</v>
      </c>
      <c r="G4860" s="92">
        <f t="array" ref="G4860">IF(B4860="insumo",_xlfn.XLOOKUP($D4860,Insumos!$B$1:$B$996,Insumos!$D$1:$D$996),"")</f>
        <v/>
      </c>
      <c r="H4860" s="92" t="n">
        <v>750</v>
      </c>
      <c r="I4860" s="2162" t="n">
        <v>0</v>
      </c>
      <c r="J4860" s="2162" t="n">
        <v>0</v>
      </c>
      <c r="K4860" s="2162" t="n"/>
    </row>
    <row r="4861" outlineLevel="1" ht="15.75" customHeight="1">
      <c r="A4861" s="1067" t="n">
        <v>1</v>
      </c>
      <c r="B4861" s="1067" t="inlineStr">
        <is>
          <t>Serviço</t>
        </is>
      </c>
      <c r="C4861" s="1084" t="inlineStr">
        <is>
          <t>Bancada em Granito para Pia Cozinha</t>
        </is>
      </c>
      <c r="D4861" s="1084" t="inlineStr">
        <is>
          <t>Bancada em Granito para Pia Cozinha</t>
        </is>
      </c>
      <c r="E4861" s="1068" t="inlineStr">
        <is>
          <t>M2</t>
        </is>
      </c>
      <c r="F4861" s="1085" t="inlineStr"/>
      <c r="G4861" s="1069">
        <f t="array" ref="G4861">IF(B4861="insumo",_xlfn.XLOOKUP($D4861,Insumos!$B$1:$B$996,Insumos!$D$1:$D$996),"")</f>
        <v/>
      </c>
      <c r="H4861" s="1069" t="n">
        <v>750</v>
      </c>
      <c r="I4861" s="2172" t="n">
        <v>0</v>
      </c>
      <c r="J4861" s="2172" t="n">
        <v>0</v>
      </c>
      <c r="K4861" s="2172" t="n"/>
    </row>
    <row r="4862" outlineLevel="2" ht="15.75" customHeight="1">
      <c r="A4862" s="10" t="n">
        <v>1</v>
      </c>
      <c r="B4862" s="10" t="inlineStr">
        <is>
          <t>Insumo</t>
        </is>
      </c>
      <c r="C4862" s="10" t="inlineStr">
        <is>
          <t>Bancada em Granito para Pia Cozinha</t>
        </is>
      </c>
      <c r="D4862" s="10" t="inlineStr">
        <is>
          <t>Tampo de Granito, para pia com saia e rodamão</t>
        </is>
      </c>
      <c r="E4862" s="11">
        <f t="array" ref="E4862">_xlfn.XLOOKUP(D4862,Insumos!B:B,Insumos!C:$C)</f>
        <v/>
      </c>
      <c r="F4862" s="14" t="n">
        <v>1</v>
      </c>
      <c r="G4862" s="92">
        <f t="array" ref="G4862">IF(B4862="insumo",_xlfn.XLOOKUP($D4862,Insumos!$B$1:$B$996,Insumos!$D$1:$D$996),"")</f>
        <v/>
      </c>
      <c r="H4862" s="92" t="n">
        <v>750</v>
      </c>
      <c r="I4862" s="2162" t="n">
        <v>0</v>
      </c>
      <c r="J4862" s="2162" t="n">
        <v>0</v>
      </c>
      <c r="K4862" s="2162" t="n"/>
    </row>
    <row r="4863" outlineLevel="1" ht="15.75" customHeight="1">
      <c r="A4863" s="1067" t="n">
        <v>1</v>
      </c>
      <c r="B4863" s="1067" t="inlineStr">
        <is>
          <t>Serviço</t>
        </is>
      </c>
      <c r="C4863" s="1084" t="inlineStr">
        <is>
          <t>Bancada em Granito para Tanques</t>
        </is>
      </c>
      <c r="D4863" s="1084" t="inlineStr">
        <is>
          <t>Bancada em Granito para Tanques</t>
        </is>
      </c>
      <c r="E4863" s="1068" t="inlineStr">
        <is>
          <t>M2</t>
        </is>
      </c>
      <c r="F4863" s="1085" t="inlineStr"/>
      <c r="G4863" s="1069">
        <f t="array" ref="G4863">IF(B4863="insumo",_xlfn.XLOOKUP($D4863,Insumos!$B$1:$B$996,Insumos!$D$1:$D$996),"")</f>
        <v/>
      </c>
      <c r="H4863" s="1069" t="n">
        <v>750</v>
      </c>
      <c r="I4863" s="2172" t="n">
        <v>0</v>
      </c>
      <c r="J4863" s="2172" t="n">
        <v>0</v>
      </c>
      <c r="K4863" s="2172" t="n"/>
    </row>
    <row r="4864" outlineLevel="2" ht="15.75" customHeight="1">
      <c r="A4864" s="10" t="n">
        <v>1</v>
      </c>
      <c r="B4864" s="10" t="inlineStr">
        <is>
          <t>Insumo</t>
        </is>
      </c>
      <c r="C4864" s="10" t="inlineStr">
        <is>
          <t>Bancada em Granito para Tanques</t>
        </is>
      </c>
      <c r="D4864" s="10" t="inlineStr">
        <is>
          <t>Tampo de Granito, para tanque com saia e rodamão</t>
        </is>
      </c>
      <c r="E4864" s="11">
        <f t="array" ref="E4864">_xlfn.XLOOKUP(D4864,Insumos!B:B,Insumos!C:$C)</f>
        <v/>
      </c>
      <c r="F4864" s="14" t="n">
        <v>1</v>
      </c>
      <c r="G4864" s="92">
        <f t="array" ref="G4864">IF(B4864="insumo",_xlfn.XLOOKUP($D4864,Insumos!$B$1:$B$996,Insumos!$D$1:$D$996),"")</f>
        <v/>
      </c>
      <c r="H4864" s="92" t="n">
        <v>750</v>
      </c>
      <c r="I4864" s="2162" t="n">
        <v>0</v>
      </c>
      <c r="J4864" s="2162" t="n">
        <v>0</v>
      </c>
      <c r="K4864" s="2162" t="n"/>
    </row>
    <row r="4865" ht="15.75" customHeight="1">
      <c r="A4865" s="7" t="n">
        <v>1</v>
      </c>
      <c r="B4865" s="7" t="inlineStr">
        <is>
          <t>Etapa</t>
        </is>
      </c>
      <c r="C4865" s="7" t="inlineStr">
        <is>
          <t>Bancada em Granito para Tanques</t>
        </is>
      </c>
      <c r="D4865" s="7" t="inlineStr">
        <is>
          <t>COBERTURA</t>
        </is>
      </c>
      <c r="E4865" s="8" t="n"/>
      <c r="F4865" s="2159" t="n"/>
      <c r="G4865" s="91">
        <f t="array" ref="G4865">IF(B4865="insumo",_xlfn.XLOOKUP($D4865,Insumos!$B$1:$B$996,Insumos!$D$1:$D$996),"")</f>
        <v/>
      </c>
      <c r="H4865" s="91" t="n">
        <v>0</v>
      </c>
      <c r="I4865" s="2159" t="n">
        <v>0</v>
      </c>
      <c r="J4865" s="2159" t="n">
        <v>0</v>
      </c>
      <c r="K4865" s="2159" t="n"/>
    </row>
    <row r="4866" outlineLevel="1" ht="15.75" customHeight="1">
      <c r="A4866" s="1067" t="n">
        <v>1</v>
      </c>
      <c r="B4866" s="1067" t="inlineStr">
        <is>
          <t>Serviço</t>
        </is>
      </c>
      <c r="C4866" s="1067" t="inlineStr">
        <is>
          <t>Pergolado</t>
        </is>
      </c>
      <c r="D4866" s="1067" t="inlineStr">
        <is>
          <t>Pergolado</t>
        </is>
      </c>
      <c r="E4866" s="1068" t="inlineStr">
        <is>
          <t>UN</t>
        </is>
      </c>
      <c r="F4866" s="1067" t="n"/>
      <c r="G4866" s="1069">
        <f t="array" ref="G4866">IF(B4866="insumo",_xlfn.XLOOKUP($D4866,Insumos!$B$1:$B$996,Insumos!$D$1:$D$996),"")</f>
        <v/>
      </c>
      <c r="H4866" s="1069" t="n">
        <v>34721</v>
      </c>
      <c r="I4866" s="2161" t="n">
        <v>1</v>
      </c>
      <c r="J4866" s="2161" t="n">
        <v>34721</v>
      </c>
      <c r="K4866" s="2161" t="n"/>
    </row>
    <row r="4867" outlineLevel="2" ht="15.75" customHeight="1">
      <c r="A4867" s="10" t="n">
        <v>4</v>
      </c>
      <c r="B4867" s="10" t="inlineStr">
        <is>
          <t>Insumo</t>
        </is>
      </c>
      <c r="C4867" s="10" t="inlineStr">
        <is>
          <t>Pergolado</t>
        </is>
      </c>
      <c r="D4867" s="10" t="inlineStr">
        <is>
          <t>Policarbonato Compacto</t>
        </is>
      </c>
      <c r="E4867" s="11">
        <f t="array" ref="E4867">_xlfn.XLOOKUP(D4867,Insumos!B:B,Insumos!C:$C)</f>
        <v/>
      </c>
      <c r="F4867" s="14" t="n">
        <v>1</v>
      </c>
      <c r="G4867" s="92">
        <f t="array" ref="G4867">IF(B4867="insumo",_xlfn.XLOOKUP($D4867,Insumos!$B$1:$B$996,Insumos!$D$1:$D$996),"")</f>
        <v/>
      </c>
      <c r="H4867" s="92" t="n">
        <v>30657</v>
      </c>
      <c r="I4867" s="2162" t="n">
        <v>1</v>
      </c>
      <c r="J4867" s="2162" t="n">
        <v>30657</v>
      </c>
      <c r="K4867" s="2162" t="n"/>
    </row>
    <row r="4868" outlineLevel="2" ht="15.75" customHeight="1">
      <c r="A4868" s="10" t="n">
        <v>1</v>
      </c>
      <c r="B4868" s="10" t="inlineStr">
        <is>
          <t>Insumo</t>
        </is>
      </c>
      <c r="C4868" s="10" t="inlineStr">
        <is>
          <t>Pergolado</t>
        </is>
      </c>
      <c r="D4868" s="10" t="inlineStr">
        <is>
          <t xml:space="preserve">Viga de Sustentação para pergolado em madeira </t>
        </is>
      </c>
      <c r="E4868" s="11">
        <f t="array" ref="E4868">_xlfn.XLOOKUP(D4868,Insumos!B:B,Insumos!C:$C)</f>
        <v/>
      </c>
      <c r="F4868" s="14" t="n">
        <v>1</v>
      </c>
      <c r="G4868" s="92">
        <f t="array" ref="G4868">IF(B4868="insumo",_xlfn.XLOOKUP($D4868,Insumos!$B$1:$B$996,Insumos!$D$1:$D$996),"")</f>
        <v/>
      </c>
      <c r="H4868" s="92" t="n">
        <v>3300</v>
      </c>
      <c r="I4868" s="2162" t="n">
        <v>1</v>
      </c>
      <c r="J4868" s="2162" t="n">
        <v>3300</v>
      </c>
      <c r="K4868" s="2162" t="n"/>
    </row>
    <row r="4869" outlineLevel="2" ht="15.75" customHeight="1">
      <c r="A4869" s="10" t="n">
        <v>1</v>
      </c>
      <c r="B4869" s="10" t="inlineStr">
        <is>
          <t>Insumo</t>
        </is>
      </c>
      <c r="C4869" s="10" t="inlineStr">
        <is>
          <t>Pergolado</t>
        </is>
      </c>
      <c r="D4869" s="10" t="inlineStr">
        <is>
          <t xml:space="preserve">Pilar de Sustentação para pergolado em madeira </t>
        </is>
      </c>
      <c r="E4869" s="11">
        <f t="array" ref="E4869">_xlfn.XLOOKUP(D4869,Insumos!B:B,Insumos!C:$C)</f>
        <v/>
      </c>
      <c r="F4869" s="14" t="n">
        <v>2</v>
      </c>
      <c r="G4869" s="92">
        <f t="array" ref="G4869">IF(B4869="insumo",_xlfn.XLOOKUP($D4869,Insumos!$B$1:$B$996,Insumos!$D$1:$D$996),"")</f>
        <v/>
      </c>
      <c r="H4869" s="92" t="n">
        <v>764</v>
      </c>
      <c r="I4869" s="2162" t="n">
        <v>1</v>
      </c>
      <c r="J4869" s="2162" t="n">
        <v>764</v>
      </c>
      <c r="K4869" s="2162" t="n"/>
    </row>
    <row r="4870" outlineLevel="1" ht="15.75" customHeight="1">
      <c r="A4870" s="1067" t="n">
        <v>1</v>
      </c>
      <c r="B4870" s="1067" t="inlineStr">
        <is>
          <t>Serviço</t>
        </is>
      </c>
      <c r="C4870" s="1067" t="inlineStr">
        <is>
          <t>Estrutura Metálica para Portico com abamento em ACM- Material e mão de obra</t>
        </is>
      </c>
      <c r="D4870" s="1067" t="inlineStr">
        <is>
          <t>Estrutura Metálica para Portico com abamento em ACM- Material e mão de obra</t>
        </is>
      </c>
      <c r="E4870" s="1068" t="inlineStr">
        <is>
          <t>M</t>
        </is>
      </c>
      <c r="F4870" s="1067" t="n"/>
      <c r="G4870" s="1069">
        <f t="array" ref="G4870">IF(B4870="insumo",_xlfn.XLOOKUP($D4870,Insumos!$B$1:$B$996,Insumos!$D$1:$D$996),"")</f>
        <v/>
      </c>
      <c r="H4870" s="1069" t="n">
        <v>2320</v>
      </c>
      <c r="I4870" s="2161" t="n">
        <v>0</v>
      </c>
      <c r="J4870" s="2161" t="n">
        <v>0</v>
      </c>
      <c r="K4870" s="2161" t="n"/>
    </row>
    <row r="4871" outlineLevel="2" ht="15.75" customHeight="1">
      <c r="A4871" s="10" t="n">
        <v>1</v>
      </c>
      <c r="B4871" s="10" t="inlineStr">
        <is>
          <t>Insumo</t>
        </is>
      </c>
      <c r="C4871" s="10" t="inlineStr">
        <is>
          <t>Estrutura Metálica para Portico com abamento em ACM- Material e mão de obra</t>
        </is>
      </c>
      <c r="D4871" s="10" t="inlineStr">
        <is>
          <t>Estrutura Metálica para Portico</t>
        </is>
      </c>
      <c r="E4871" s="11">
        <f t="array" ref="E4871">_xlfn.XLOOKUP(D4871,Insumos!B:B,Insumos!C:$C)</f>
        <v/>
      </c>
      <c r="F4871" s="14" t="n">
        <v>1</v>
      </c>
      <c r="G4871" s="92">
        <f t="array" ref="G4871">IF(B4871="insumo",_xlfn.XLOOKUP($D4871,Insumos!$B$1:$B$996,Insumos!$D$1:$D$996),"")</f>
        <v/>
      </c>
      <c r="H4871" s="92" t="n">
        <v>880</v>
      </c>
      <c r="I4871" s="2162" t="n">
        <v>0</v>
      </c>
      <c r="J4871" s="2162" t="n">
        <v>0</v>
      </c>
      <c r="K4871" s="2162" t="n"/>
    </row>
    <row r="4872" outlineLevel="2" ht="15.75" customHeight="1">
      <c r="A4872" s="10" t="n">
        <v>4</v>
      </c>
      <c r="B4872" s="10" t="inlineStr">
        <is>
          <t>Insumo</t>
        </is>
      </c>
      <c r="C4872" s="10" t="inlineStr">
        <is>
          <t>Estrutura Metálica para Portico com abamento em ACM- Material e mão de obra</t>
        </is>
      </c>
      <c r="D4872" s="10" t="inlineStr">
        <is>
          <t>Acabamento em ACM para Fachadas - Material e mão de obra</t>
        </is>
      </c>
      <c r="E4872" s="11">
        <f t="array" ref="E4872">_xlfn.XLOOKUP(D4872,Insumos!B:B,Insumos!C:$C)</f>
        <v/>
      </c>
      <c r="F4872" s="14">
        <f>0.6*2</f>
        <v/>
      </c>
      <c r="G4872" s="92">
        <f t="array" ref="G4872">IF(B4872="insumo",_xlfn.XLOOKUP($D4872,Insumos!$B$1:$B$996,Insumos!$D$1:$D$996),"")</f>
        <v/>
      </c>
      <c r="H4872" s="92" t="n">
        <v>1440</v>
      </c>
      <c r="I4872" s="2162" t="n">
        <v>0</v>
      </c>
      <c r="J4872" s="2162" t="n">
        <v>0</v>
      </c>
      <c r="K4872" s="2162" t="n"/>
    </row>
    <row r="4873" outlineLevel="1" ht="15.75" customHeight="1">
      <c r="A4873" s="1067" t="n">
        <v>1</v>
      </c>
      <c r="B4873" s="1067" t="inlineStr">
        <is>
          <t>Serviço</t>
        </is>
      </c>
      <c r="C4873" s="1067" t="inlineStr">
        <is>
          <t xml:space="preserve">Claraboia em vidro laminado </t>
        </is>
      </c>
      <c r="D4873" s="1067" t="inlineStr">
        <is>
          <t xml:space="preserve">Claraboia em vidro laminado </t>
        </is>
      </c>
      <c r="E4873" s="1068" t="inlineStr">
        <is>
          <t>M2</t>
        </is>
      </c>
      <c r="F4873" s="1067" t="n"/>
      <c r="G4873" s="1069">
        <f t="array" ref="G4873">IF(B4873="insumo",_xlfn.XLOOKUP($D4873,Insumos!$B$1:$B$996,Insumos!$D$1:$D$996),"")</f>
        <v/>
      </c>
      <c r="H4873" s="1069" t="n">
        <v>1014</v>
      </c>
      <c r="I4873" s="2161" t="n">
        <v>0</v>
      </c>
      <c r="J4873" s="2161" t="n">
        <v>0</v>
      </c>
      <c r="K4873" s="2161" t="n"/>
    </row>
    <row r="4874" outlineLevel="2" ht="15.75" customHeight="1">
      <c r="A4874" s="10" t="n">
        <v>1</v>
      </c>
      <c r="B4874" s="10" t="inlineStr">
        <is>
          <t>Insumo</t>
        </is>
      </c>
      <c r="C4874" s="10" t="inlineStr">
        <is>
          <t xml:space="preserve">Claraboia em vidro laminado </t>
        </is>
      </c>
      <c r="D4874" s="10" t="inlineStr">
        <is>
          <t xml:space="preserve">Claraboia em vidro laminado </t>
        </is>
      </c>
      <c r="E4874" s="11">
        <f t="array" ref="E4874">_xlfn.XLOOKUP(D4874,Insumos!B:B,Insumos!C:$C)</f>
        <v/>
      </c>
      <c r="F4874" s="14" t="n">
        <v>1</v>
      </c>
      <c r="G4874" s="92">
        <f t="array" ref="G4874">IF(B4874="insumo",_xlfn.XLOOKUP($D4874,Insumos!$B$1:$B$996,Insumos!$D$1:$D$996),"")</f>
        <v/>
      </c>
      <c r="H4874" s="92" t="n">
        <v>1014</v>
      </c>
      <c r="I4874" s="2162" t="n">
        <v>0</v>
      </c>
      <c r="J4874" s="2162" t="n">
        <v>0</v>
      </c>
      <c r="K4874" s="2162" t="n"/>
    </row>
    <row r="4875" outlineLevel="1" ht="15.75" customHeight="1">
      <c r="A4875" s="1067" t="n">
        <v>1</v>
      </c>
      <c r="B4875" s="1067" t="inlineStr">
        <is>
          <t>Serviço</t>
        </is>
      </c>
      <c r="C4875" s="1067" t="inlineStr">
        <is>
          <t>Estrutura para cobertura em concreto</t>
        </is>
      </c>
      <c r="D4875" s="1067" t="inlineStr">
        <is>
          <t>Estrutura para cobertura em concreto</t>
        </is>
      </c>
      <c r="E4875" s="1068" t="inlineStr">
        <is>
          <t>M2</t>
        </is>
      </c>
      <c r="F4875" s="1067" t="n"/>
      <c r="G4875" s="1069">
        <f t="array" ref="G4875">IF(B4875="insumo",_xlfn.XLOOKUP($D4875,Insumos!$B$1:$B$996,Insumos!$D$1:$D$996),"")</f>
        <v/>
      </c>
      <c r="H4875" s="1069" t="n">
        <v>92.16740849999999</v>
      </c>
      <c r="I4875" s="2161" t="n">
        <v>0</v>
      </c>
      <c r="J4875" s="2161" t="n">
        <v>0</v>
      </c>
      <c r="K4875" s="2161" t="n"/>
    </row>
    <row r="4876" outlineLevel="2" ht="15.75" customHeight="1">
      <c r="A4876" s="10" t="n">
        <v>6</v>
      </c>
      <c r="B4876" s="10" t="inlineStr">
        <is>
          <t>Insumo</t>
        </is>
      </c>
      <c r="C4876" s="10" t="inlineStr">
        <is>
          <t>Estrutura para cobertura em concreto</t>
        </is>
      </c>
      <c r="D4876" s="10" t="inlineStr">
        <is>
          <t>Concreto Usinado bombeável 35MPa Convencional</t>
        </is>
      </c>
      <c r="E4876" s="11">
        <f t="array" ref="E4876">_xlfn.XLOOKUP(D4876,Insumos!B:B,Insumos!C:$C)</f>
        <v/>
      </c>
      <c r="F4876" s="14">
        <f>0.0243*3/2</f>
        <v/>
      </c>
      <c r="G4876" s="92">
        <f t="array" ref="G4876">IF(B4876="insumo",_xlfn.XLOOKUP($D4876,Insumos!$B$1:$B$996,Insumos!$D$1:$D$996),"")</f>
        <v/>
      </c>
      <c r="H4876" s="92" t="n">
        <v>22.0424085</v>
      </c>
      <c r="I4876" s="2162" t="n">
        <v>0</v>
      </c>
      <c r="J4876" s="2162" t="n">
        <v>0</v>
      </c>
      <c r="K4876" s="2162" t="n"/>
    </row>
    <row r="4877" outlineLevel="2" ht="15.75" customHeight="1">
      <c r="A4877" s="10" t="n">
        <v>4</v>
      </c>
      <c r="B4877" s="10" t="inlineStr">
        <is>
          <t>Insumo</t>
        </is>
      </c>
      <c r="C4877" s="10" t="inlineStr">
        <is>
          <t>Estrutura para cobertura em concreto</t>
        </is>
      </c>
      <c r="D4877" s="10" t="inlineStr">
        <is>
          <t>ENDURECEDOR MINERAL DE BASE CIMENTICIA PARA PISO DE CONCRETO</t>
        </is>
      </c>
      <c r="E4877" s="11">
        <f t="array" ref="E4877">_xlfn.XLOOKUP(D4877,Insumos!B:B,Insumos!C:$C)</f>
        <v/>
      </c>
      <c r="F4877" s="14">
        <f>5*3/2</f>
        <v/>
      </c>
      <c r="G4877" s="92">
        <f t="array" ref="G4877">IF(B4877="insumo",_xlfn.XLOOKUP($D4877,Insumos!$B$1:$B$996,Insumos!$D$1:$D$996),"")</f>
        <v/>
      </c>
      <c r="H4877" s="92" t="n">
        <v>70.125</v>
      </c>
      <c r="I4877" s="2162" t="n">
        <v>0</v>
      </c>
      <c r="J4877" s="2162" t="n">
        <v>0</v>
      </c>
      <c r="K4877" s="2162" t="n"/>
    </row>
    <row r="4878" outlineLevel="1" ht="15.75" customHeight="1">
      <c r="A4878" s="1067" t="n">
        <v>1</v>
      </c>
      <c r="B4878" s="1067" t="inlineStr">
        <is>
          <t>Serviço</t>
        </is>
      </c>
      <c r="C4878" s="1067" t="inlineStr">
        <is>
          <t>Estrutura e trama para cobertura em madeira</t>
        </is>
      </c>
      <c r="D4878" s="1067" t="inlineStr">
        <is>
          <t>Estrutura e trama para cobertura em madeira</t>
        </is>
      </c>
      <c r="E4878" s="1068" t="inlineStr">
        <is>
          <t>M2</t>
        </is>
      </c>
      <c r="F4878" s="1067" t="n"/>
      <c r="G4878" s="1069">
        <f t="array" ref="G4878">IF(B4878="insumo",_xlfn.XLOOKUP($D4878,Insumos!$B$1:$B$996,Insumos!$D$1:$D$996),"")</f>
        <v/>
      </c>
      <c r="H4878" s="1069" t="n">
        <v>119.77</v>
      </c>
      <c r="I4878" s="2161" t="n">
        <v>0</v>
      </c>
      <c r="J4878" s="2161" t="n">
        <v>0</v>
      </c>
      <c r="K4878" s="2161" t="n"/>
    </row>
    <row r="4879" outlineLevel="2" ht="15.75" customHeight="1">
      <c r="A4879" s="10" t="n">
        <v>1</v>
      </c>
      <c r="B4879" s="10" t="inlineStr">
        <is>
          <t>Insumo</t>
        </is>
      </c>
      <c r="C4879" s="17" t="inlineStr">
        <is>
          <t>Estrutura e trama para cobertura em madeira</t>
        </is>
      </c>
      <c r="D4879" s="17" t="inlineStr">
        <is>
          <t>Estrutura e trama para cobertura em madeira</t>
        </is>
      </c>
      <c r="E4879" s="11">
        <f t="array" ref="E4879">_xlfn.XLOOKUP(D4879,Insumos!B:B,Insumos!C:$C)</f>
        <v/>
      </c>
      <c r="F4879" s="14" t="n">
        <v>1</v>
      </c>
      <c r="G4879" s="92">
        <f t="array" ref="G4879">IF(B4879="insumo",_xlfn.XLOOKUP($D4879,Insumos!$B$1:$B$996,Insumos!$D$1:$D$996),"")</f>
        <v/>
      </c>
      <c r="H4879" s="92" t="n">
        <v>119.77</v>
      </c>
      <c r="I4879" s="2162" t="n">
        <v>0</v>
      </c>
      <c r="J4879" s="2162" t="n">
        <v>0</v>
      </c>
      <c r="K4879" s="2162" t="n"/>
    </row>
    <row r="4880" outlineLevel="1" ht="15.75" customHeight="1">
      <c r="A4880" s="1067" t="n">
        <v>1</v>
      </c>
      <c r="B4880" s="1067" t="inlineStr">
        <is>
          <t>Serviço</t>
        </is>
      </c>
      <c r="C4880" s="1067" t="inlineStr">
        <is>
          <t>Telhamento para cobertura em Fribrocimento</t>
        </is>
      </c>
      <c r="D4880" s="1067" t="inlineStr">
        <is>
          <t>Telhamento para cobertura em Fribrocimento</t>
        </is>
      </c>
      <c r="E4880" s="1068" t="inlineStr">
        <is>
          <t>M3</t>
        </is>
      </c>
      <c r="F4880" s="1067" t="n"/>
      <c r="G4880" s="1069">
        <f t="array" ref="G4880">IF(B4880="insumo",_xlfn.XLOOKUP($D4880,Insumos!$B$1:$B$996,Insumos!$D$1:$D$996),"")</f>
        <v/>
      </c>
      <c r="H4880" s="1069" t="n">
        <v>94.99745</v>
      </c>
      <c r="I4880" s="2161" t="n">
        <v>0</v>
      </c>
      <c r="J4880" s="2161" t="n">
        <v>0</v>
      </c>
      <c r="K4880" s="2161" t="n"/>
    </row>
    <row r="4881" outlineLevel="2" ht="15.75" customHeight="1">
      <c r="A4881" s="10" t="n">
        <v>2</v>
      </c>
      <c r="B4881" s="10" t="inlineStr">
        <is>
          <t>Insumo</t>
        </is>
      </c>
      <c r="C4881" s="10" t="inlineStr">
        <is>
          <t>Telhamento para cobertura em Fribrocimento</t>
        </is>
      </c>
      <c r="D4881" s="10" t="inlineStr">
        <is>
          <t>CONJUNTO ARRUELAS DE VEDACAO 5/16" PARA TELHA FIBROCIMENTO (UMA ARRUELA METALICA E UMA ARRUELA PVC - CONICAS)</t>
        </is>
      </c>
      <c r="E4881" s="11">
        <f t="array" ref="E4881">_xlfn.XLOOKUP(D4881,Insumos!B:B,Insumos!C:$C)</f>
        <v/>
      </c>
      <c r="F4881" s="14" t="n">
        <v>1.26</v>
      </c>
      <c r="G4881" s="92">
        <f t="array" ref="G4881">IF(B4881="insumo",_xlfn.XLOOKUP($D4881,Insumos!$B$1:$B$996,Insumos!$D$1:$D$996),"")</f>
        <v/>
      </c>
      <c r="H4881" s="92" t="n">
        <v>0.3276</v>
      </c>
      <c r="I4881" s="2162" t="n">
        <v>0</v>
      </c>
      <c r="J4881" s="2162" t="n">
        <v>0</v>
      </c>
      <c r="K4881" s="2162" t="n"/>
    </row>
    <row r="4882" outlineLevel="2" ht="15.75" customHeight="1">
      <c r="A4882" s="10" t="n">
        <v>2</v>
      </c>
      <c r="B4882" s="10" t="inlineStr">
        <is>
          <t>Insumo</t>
        </is>
      </c>
      <c r="C4882" s="10" t="inlineStr">
        <is>
          <t>Telhamento para cobertura em Fribrocimento</t>
        </is>
      </c>
      <c r="D4882" s="10" t="inlineStr">
        <is>
          <t>PARAFUSO ZINCADO ROSCA SOBERBA, CABECA SEXTAVADA, 5/16" X 250 MM, PARA FIXACAO DE TELHA EM MADEIRA</t>
        </is>
      </c>
      <c r="E4882" s="11">
        <f t="array" ref="E4882">_xlfn.XLOOKUP(D4882,Insumos!B:B,Insumos!C:$C)</f>
        <v/>
      </c>
      <c r="F4882" s="14" t="n">
        <v>1.26</v>
      </c>
      <c r="G4882" s="92">
        <f t="array" ref="G4882">IF(B4882="insumo",_xlfn.XLOOKUP($D4882,Insumos!$B$1:$B$996,Insumos!$D$1:$D$996),"")</f>
        <v/>
      </c>
      <c r="H4882" s="92" t="n">
        <v>5.04</v>
      </c>
      <c r="I4882" s="2162" t="n">
        <v>0</v>
      </c>
      <c r="J4882" s="2162" t="n">
        <v>0</v>
      </c>
      <c r="K4882" s="2162" t="n"/>
    </row>
    <row r="4883" outlineLevel="2" ht="15.75" customHeight="1">
      <c r="A4883" s="10" t="n">
        <v>1</v>
      </c>
      <c r="B4883" s="10" t="inlineStr">
        <is>
          <t>Insumo</t>
        </is>
      </c>
      <c r="C4883" s="10" t="inlineStr">
        <is>
          <t>Telhamento para cobertura em Fribrocimento</t>
        </is>
      </c>
      <c r="D4883" s="10" t="inlineStr">
        <is>
          <t>TELHA DE FIBROCIMENTO ONDULADA E = 6 MM, DE 2,44 X 1,10 M (SEM AMIANTO)</t>
        </is>
      </c>
      <c r="E4883" s="11">
        <f t="array" ref="E4883">_xlfn.XLOOKUP(D4883,Insumos!B:B,Insumos!C:$C)</f>
        <v/>
      </c>
      <c r="F4883" s="14" t="n">
        <v>1.357</v>
      </c>
      <c r="G4883" s="92">
        <f t="array" ref="G4883">IF(B4883="insumo",_xlfn.XLOOKUP($D4883,Insumos!$B$1:$B$996,Insumos!$D$1:$D$996),"")</f>
        <v/>
      </c>
      <c r="H4883" s="92" t="n">
        <v>89.62985</v>
      </c>
      <c r="I4883" s="2162" t="n">
        <v>0</v>
      </c>
      <c r="J4883" s="2162" t="n">
        <v>0</v>
      </c>
      <c r="K4883" s="2162" t="n"/>
    </row>
    <row r="4884" outlineLevel="1" ht="15.75" customHeight="1">
      <c r="A4884" s="1067" t="n">
        <v>1</v>
      </c>
      <c r="B4884" s="1067" t="inlineStr">
        <is>
          <t>Serviço</t>
        </is>
      </c>
      <c r="C4884" s="1067" t="inlineStr">
        <is>
          <t>Telhamento para cobertura em Telha metálica termoacústica</t>
        </is>
      </c>
      <c r="D4884" s="1067" t="inlineStr">
        <is>
          <t>Telhamento para cobertura em Telha metálica termoacústica</t>
        </is>
      </c>
      <c r="E4884" s="1068" t="inlineStr">
        <is>
          <t>M3</t>
        </is>
      </c>
      <c r="F4884" s="1067" t="n"/>
      <c r="G4884" s="1069">
        <f t="array" ref="G4884">IF(B4884="insumo",_xlfn.XLOOKUP($D4884,Insumos!$B$1:$B$996,Insumos!$D$1:$D$996),"")</f>
        <v/>
      </c>
      <c r="H4884" s="1069" t="n">
        <v>274.31143</v>
      </c>
      <c r="I4884" s="2161" t="n">
        <v>0</v>
      </c>
      <c r="J4884" s="2161" t="n">
        <v>0</v>
      </c>
      <c r="K4884" s="2161" t="n"/>
    </row>
    <row r="4885" outlineLevel="2" ht="15.75" customHeight="1">
      <c r="A4885" s="10" t="n">
        <v>2</v>
      </c>
      <c r="B4885" s="10" t="inlineStr">
        <is>
          <t>Insumo</t>
        </is>
      </c>
      <c r="C4885" s="10" t="inlineStr">
        <is>
          <t>Telhamento para cobertura em Telha metálica termoacústica</t>
        </is>
      </c>
      <c r="D4885" s="10" t="inlineStr">
        <is>
          <t>CONJUNTO ARRUELAS DE VEDACAO 5/16" PARA TELHA FIBROCIMENTO (UMA ARRUELA METALICA E UMA ARRUELA PVC - CONICAS)</t>
        </is>
      </c>
      <c r="E4885" s="11">
        <f t="array" ref="E4885">_xlfn.XLOOKUP(D4885,Insumos!B:B,Insumos!C:$C)</f>
        <v/>
      </c>
      <c r="F4885" s="14" t="n">
        <v>1.26</v>
      </c>
      <c r="G4885" s="92">
        <f t="array" ref="G4885">IF(B4885="insumo",_xlfn.XLOOKUP($D4885,Insumos!$B$1:$B$996,Insumos!$D$1:$D$996),"")</f>
        <v/>
      </c>
      <c r="H4885" s="92" t="n">
        <v>0.3276</v>
      </c>
      <c r="I4885" s="2162" t="n">
        <v>0</v>
      </c>
      <c r="J4885" s="2162" t="n">
        <v>0</v>
      </c>
      <c r="K4885" s="2162" t="n"/>
    </row>
    <row r="4886" outlineLevel="2" ht="15.75" customHeight="1">
      <c r="A4886" s="10" t="n">
        <v>2</v>
      </c>
      <c r="B4886" s="10" t="inlineStr">
        <is>
          <t>Insumo</t>
        </is>
      </c>
      <c r="C4886" s="10" t="inlineStr">
        <is>
          <t>Telhamento para cobertura em Telha metálica termoacústica</t>
        </is>
      </c>
      <c r="D4886" s="10" t="inlineStr">
        <is>
          <t>PARAFUSO ZINCADO ROSCA SOBERBA, CABECA SEXTAVADA, 5/16" X 250 MM, PARA FIXACAO DE TELHA EM MADEIRA</t>
        </is>
      </c>
      <c r="E4886" s="11">
        <f t="array" ref="E4886">_xlfn.XLOOKUP(D4886,Insumos!B:B,Insumos!C:$C)</f>
        <v/>
      </c>
      <c r="F4886" s="14" t="n">
        <v>1.26</v>
      </c>
      <c r="G4886" s="92">
        <f t="array" ref="G4886">IF(B4886="insumo",_xlfn.XLOOKUP($D4886,Insumos!$B$1:$B$996,Insumos!$D$1:$D$996),"")</f>
        <v/>
      </c>
      <c r="H4886" s="92" t="n">
        <v>5.04</v>
      </c>
      <c r="I4886" s="2162" t="n">
        <v>0</v>
      </c>
      <c r="J4886" s="2162" t="n">
        <v>0</v>
      </c>
      <c r="K4886" s="2162" t="n"/>
    </row>
    <row r="4887" outlineLevel="2" ht="15.75" customHeight="1">
      <c r="A4887" s="10" t="n">
        <v>1</v>
      </c>
      <c r="B4887" s="10" t="inlineStr">
        <is>
          <t>Insumo</t>
        </is>
      </c>
      <c r="C4887" s="10" t="inlineStr">
        <is>
          <t>Telhamento para cobertura em Telha metálica termoacústica</t>
        </is>
      </c>
      <c r="D4887" s="10" t="inlineStr">
        <is>
          <t>Isotelha Trapezoidal Térmica Sanduiche branco neve</t>
        </is>
      </c>
      <c r="E4887" s="11">
        <f t="array" ref="E4887">_xlfn.XLOOKUP(D4887,Insumos!B:B,Insumos!C:$C)</f>
        <v/>
      </c>
      <c r="F4887" s="14" t="n">
        <v>1.357</v>
      </c>
      <c r="G4887" s="92">
        <f t="array" ref="G4887">IF(B4887="insumo",_xlfn.XLOOKUP($D4887,Insumos!$B$1:$B$996,Insumos!$D$1:$D$996),"")</f>
        <v/>
      </c>
      <c r="H4887" s="92" t="n">
        <v>268.94383</v>
      </c>
      <c r="I4887" s="2162" t="n">
        <v>0</v>
      </c>
      <c r="J4887" s="2162" t="n">
        <v>0</v>
      </c>
      <c r="K4887" s="2162" t="n"/>
    </row>
    <row r="4888" outlineLevel="1" ht="15.75" customHeight="1">
      <c r="A4888" s="1067" t="n">
        <v>1</v>
      </c>
      <c r="B4888" s="1067" t="inlineStr">
        <is>
          <t>Serviço</t>
        </is>
      </c>
      <c r="C4888" s="1067" t="inlineStr">
        <is>
          <t>Calha em alumínio - 13 cm</t>
        </is>
      </c>
      <c r="D4888" s="1067" t="inlineStr">
        <is>
          <t>Calha em alumínio - 13 cm</t>
        </is>
      </c>
      <c r="E4888" s="1068" t="inlineStr">
        <is>
          <t>M</t>
        </is>
      </c>
      <c r="F4888" s="1067" t="n"/>
      <c r="G4888" s="1069">
        <f t="array" ref="G4888">IF(B4888="insumo",_xlfn.XLOOKUP($D4888,Insumos!$B$1:$B$996,Insumos!$D$1:$D$996),"")</f>
        <v/>
      </c>
      <c r="H4888" s="1069" t="n">
        <v>53.077489</v>
      </c>
      <c r="I4888" s="2161" t="n">
        <v>0</v>
      </c>
      <c r="J4888" s="2161" t="n">
        <v>0</v>
      </c>
      <c r="K4888" s="2161" t="n"/>
    </row>
    <row r="4889" outlineLevel="2" ht="15.75" customHeight="1">
      <c r="A4889" s="10" t="n">
        <v>1</v>
      </c>
      <c r="B4889" s="10" t="inlineStr">
        <is>
          <t>Insumo</t>
        </is>
      </c>
      <c r="C4889" s="10" t="inlineStr">
        <is>
          <t>Calha em alumínio - 13 cm</t>
        </is>
      </c>
      <c r="D4889" s="10" t="inlineStr">
        <is>
          <t>Calha Beiral Alumínio Com 2 Tampas Corte 13</t>
        </is>
      </c>
      <c r="E4889" s="11">
        <f t="array" ref="E4889">_xlfn.XLOOKUP(D4889,Insumos!B:B,Insumos!C:$C)</f>
        <v/>
      </c>
      <c r="F4889" s="14" t="n">
        <v>1.05</v>
      </c>
      <c r="G4889" s="92">
        <f t="array" ref="G4889">IF(B4889="insumo",_xlfn.XLOOKUP($D4889,Insumos!$B$1:$B$996,Insumos!$D$1:$D$996),"")</f>
        <v/>
      </c>
      <c r="H4889" s="92" t="n">
        <v>19.65054</v>
      </c>
      <c r="I4889" s="2162" t="n">
        <v>0</v>
      </c>
      <c r="J4889" s="2162" t="n">
        <v>0</v>
      </c>
      <c r="K4889" s="2162" t="n"/>
    </row>
    <row r="4890" outlineLevel="2" ht="15.75" customHeight="1">
      <c r="A4890" s="10" t="n">
        <v>6</v>
      </c>
      <c r="B4890" s="10" t="inlineStr">
        <is>
          <t>Insumo</t>
        </is>
      </c>
      <c r="C4890" s="10" t="inlineStr">
        <is>
          <t>Calha em alumínio - 13 cm</t>
        </is>
      </c>
      <c r="D4890" s="10" t="inlineStr">
        <is>
          <t>PREGO DE ACO POLIDO COM CABECA 18 X 27 (2 1/2 X 10)</t>
        </is>
      </c>
      <c r="E4890" s="11">
        <f t="array" ref="E4890">_xlfn.XLOOKUP(D4890,Insumos!B:B,Insumos!C:$C)</f>
        <v/>
      </c>
      <c r="F4890" s="14" t="n">
        <v>0.025</v>
      </c>
      <c r="G4890" s="92">
        <f t="array" ref="G4890">IF(B4890="insumo",_xlfn.XLOOKUP($D4890,Insumos!$B$1:$B$996,Insumos!$D$1:$D$996),"")</f>
        <v/>
      </c>
      <c r="H4890" s="92" t="n">
        <v>0.39125</v>
      </c>
      <c r="I4890" s="2162" t="n">
        <v>0</v>
      </c>
      <c r="J4890" s="2162" t="n">
        <v>0</v>
      </c>
      <c r="K4890" s="2162" t="n"/>
    </row>
    <row r="4891" outlineLevel="2" ht="15.75" customHeight="1">
      <c r="A4891" s="10" t="n">
        <v>7</v>
      </c>
      <c r="B4891" s="10" t="inlineStr">
        <is>
          <t>Insumo</t>
        </is>
      </c>
      <c r="C4891" s="10" t="inlineStr">
        <is>
          <t>Calha em alumínio - 13 cm</t>
        </is>
      </c>
      <c r="D4891" s="10" t="inlineStr">
        <is>
          <t>REBITE DE REPUXO EM ALUMINIO VAZADO, DIAMETRO 3,2 X 8 MM DE COMPRIMENTO (1KG = 1025 UNIDADES)</t>
        </is>
      </c>
      <c r="E4891" s="11">
        <f t="array" ref="E4891">_xlfn.XLOOKUP(D4891,Insumos!B:B,Insumos!C:$C)</f>
        <v/>
      </c>
      <c r="F4891" s="14" t="n">
        <v>0.0049</v>
      </c>
      <c r="G4891" s="92">
        <f t="array" ref="G4891">IF(B4891="insumo",_xlfn.XLOOKUP($D4891,Insumos!$B$1:$B$996,Insumos!$D$1:$D$996),"")</f>
        <v/>
      </c>
      <c r="H4891" s="92" t="n">
        <v>0.350399</v>
      </c>
      <c r="I4891" s="2162" t="n">
        <v>0</v>
      </c>
      <c r="J4891" s="2162" t="n">
        <v>0</v>
      </c>
      <c r="K4891" s="2162" t="n"/>
    </row>
    <row r="4892" outlineLevel="2" ht="15.75" customHeight="1">
      <c r="A4892" s="10" t="n">
        <v>10</v>
      </c>
      <c r="B4892" s="10" t="inlineStr">
        <is>
          <t>Insumo</t>
        </is>
      </c>
      <c r="C4892" s="10" t="inlineStr">
        <is>
          <t>Calha em alumínio - 13 cm</t>
        </is>
      </c>
      <c r="D4892" s="10" t="inlineStr">
        <is>
          <t>SELANTE ELASTICO MONOCOMPONENTE A BASE DE POLIURETANO (PU) PARA JUNTAS DIVERSAS</t>
        </is>
      </c>
      <c r="E4892" s="11">
        <f t="array" ref="E4892">_xlfn.XLOOKUP(D4892,Insumos!B:B,Insumos!C:$C)</f>
        <v/>
      </c>
      <c r="F4892" s="14" t="n">
        <v>0.161</v>
      </c>
      <c r="G4892" s="92">
        <f t="array" ref="G4892">IF(B4892="insumo",_xlfn.XLOOKUP($D4892,Insumos!$B$1:$B$996,Insumos!$D$1:$D$996),"")</f>
        <v/>
      </c>
      <c r="H4892" s="92" t="n">
        <v>3.3327</v>
      </c>
      <c r="I4892" s="2162" t="n">
        <v>0</v>
      </c>
      <c r="J4892" s="2162" t="n">
        <v>0</v>
      </c>
      <c r="K4892" s="2162" t="n"/>
    </row>
    <row r="4893" outlineLevel="2" ht="15.75" customHeight="1">
      <c r="A4893" s="10" t="n">
        <v>7</v>
      </c>
      <c r="B4893" s="10" t="inlineStr">
        <is>
          <t>Insumo</t>
        </is>
      </c>
      <c r="C4893" s="10" t="inlineStr">
        <is>
          <t>Calha em alumínio - 13 cm</t>
        </is>
      </c>
      <c r="D4893" s="10" t="inlineStr">
        <is>
          <t>SOLDA EM BARRA DE ESTANHO-CHUMBO 50/50</t>
        </is>
      </c>
      <c r="E4893" s="11">
        <f t="array" ref="E4893">_xlfn.XLOOKUP(D4893,Insumos!B:B,Insumos!C:$C)</f>
        <v/>
      </c>
      <c r="F4893" s="14" t="n">
        <v>0.18</v>
      </c>
      <c r="G4893" s="92">
        <f t="array" ref="G4893">IF(B4893="insumo",_xlfn.XLOOKUP($D4893,Insumos!$B$1:$B$996,Insumos!$D$1:$D$996),"")</f>
        <v/>
      </c>
      <c r="H4893" s="92" t="n">
        <v>29.3526</v>
      </c>
      <c r="I4893" s="2162" t="n">
        <v>0</v>
      </c>
      <c r="J4893" s="2162" t="n">
        <v>0</v>
      </c>
      <c r="K4893" s="2162" t="n"/>
    </row>
    <row r="4894" outlineLevel="1" ht="15.75" customHeight="1">
      <c r="A4894" s="1067" t="n">
        <v>1</v>
      </c>
      <c r="B4894" s="1067" t="inlineStr">
        <is>
          <t>Serviço</t>
        </is>
      </c>
      <c r="C4894" s="1067" t="inlineStr">
        <is>
          <t>Calha em alumínio - 16 cm</t>
        </is>
      </c>
      <c r="D4894" s="1067" t="inlineStr">
        <is>
          <t>Calha em alumínio - 16 cm</t>
        </is>
      </c>
      <c r="E4894" s="1068" t="inlineStr">
        <is>
          <t>M</t>
        </is>
      </c>
      <c r="F4894" s="1067" t="n"/>
      <c r="G4894" s="1069">
        <f t="array" ref="G4894">IF(B4894="insumo",_xlfn.XLOOKUP($D4894,Insumos!$B$1:$B$996,Insumos!$D$1:$D$996),"")</f>
        <v/>
      </c>
      <c r="H4894" s="1069" t="n">
        <v>57.612229</v>
      </c>
      <c r="I4894" s="2161" t="n">
        <v>0</v>
      </c>
      <c r="J4894" s="2161" t="n">
        <v>0</v>
      </c>
      <c r="K4894" s="2161" t="n"/>
    </row>
    <row r="4895" outlineLevel="2" ht="15.75" customHeight="1">
      <c r="A4895" s="10" t="n">
        <v>1</v>
      </c>
      <c r="B4895" s="10" t="inlineStr">
        <is>
          <t>Insumo</t>
        </is>
      </c>
      <c r="C4895" s="10" t="inlineStr">
        <is>
          <t>Calha em alumínio - 16 cm</t>
        </is>
      </c>
      <c r="D4895" s="10" t="inlineStr">
        <is>
          <t>Calha Beiral Alumínio Com 2 Tampas Corte 16</t>
        </is>
      </c>
      <c r="E4895" s="11">
        <f t="array" ref="E4895">_xlfn.XLOOKUP(D4895,Insumos!B:B,Insumos!C:$C)</f>
        <v/>
      </c>
      <c r="F4895" s="14" t="n">
        <v>1.05</v>
      </c>
      <c r="G4895" s="92">
        <f t="array" ref="G4895">IF(B4895="insumo",_xlfn.XLOOKUP($D4895,Insumos!$B$1:$B$996,Insumos!$D$1:$D$996),"")</f>
        <v/>
      </c>
      <c r="H4895" s="92" t="n">
        <v>24.18528</v>
      </c>
      <c r="I4895" s="2162" t="n">
        <v>0</v>
      </c>
      <c r="J4895" s="2162" t="n">
        <v>0</v>
      </c>
      <c r="K4895" s="2162" t="n"/>
    </row>
    <row r="4896" outlineLevel="2" ht="15.75" customHeight="1">
      <c r="A4896" s="10" t="n">
        <v>6</v>
      </c>
      <c r="B4896" s="10" t="inlineStr">
        <is>
          <t>Insumo</t>
        </is>
      </c>
      <c r="C4896" s="10" t="inlineStr">
        <is>
          <t>Calha em alumínio - 16 cm</t>
        </is>
      </c>
      <c r="D4896" s="10" t="inlineStr">
        <is>
          <t>PREGO DE ACO POLIDO COM CABECA 18 X 27 (2 1/2 X 10)</t>
        </is>
      </c>
      <c r="E4896" s="11">
        <f t="array" ref="E4896">_xlfn.XLOOKUP(D4896,Insumos!B:B,Insumos!C:$C)</f>
        <v/>
      </c>
      <c r="F4896" s="14" t="n">
        <v>0.025</v>
      </c>
      <c r="G4896" s="92">
        <f t="array" ref="G4896">IF(B4896="insumo",_xlfn.XLOOKUP($D4896,Insumos!$B$1:$B$996,Insumos!$D$1:$D$996),"")</f>
        <v/>
      </c>
      <c r="H4896" s="92" t="n">
        <v>0.39125</v>
      </c>
      <c r="I4896" s="2162" t="n">
        <v>0</v>
      </c>
      <c r="J4896" s="2162" t="n">
        <v>0</v>
      </c>
      <c r="K4896" s="2162" t="n"/>
    </row>
    <row r="4897" outlineLevel="2" ht="15.75" customHeight="1">
      <c r="A4897" s="10" t="n">
        <v>7</v>
      </c>
      <c r="B4897" s="10" t="inlineStr">
        <is>
          <t>Insumo</t>
        </is>
      </c>
      <c r="C4897" s="10" t="inlineStr">
        <is>
          <t>Calha em alumínio - 16 cm</t>
        </is>
      </c>
      <c r="D4897" s="10" t="inlineStr">
        <is>
          <t>REBITE DE REPUXO EM ALUMINIO VAZADO, DIAMETRO 3,2 X 8 MM DE COMPRIMENTO (1KG = 1025 UNIDADES)</t>
        </is>
      </c>
      <c r="E4897" s="11">
        <f t="array" ref="E4897">_xlfn.XLOOKUP(D4897,Insumos!B:B,Insumos!C:$C)</f>
        <v/>
      </c>
      <c r="F4897" s="14" t="n">
        <v>0.0049</v>
      </c>
      <c r="G4897" s="92">
        <f t="array" ref="G4897">IF(B4897="insumo",_xlfn.XLOOKUP($D4897,Insumos!$B$1:$B$996,Insumos!$D$1:$D$996),"")</f>
        <v/>
      </c>
      <c r="H4897" s="92" t="n">
        <v>0.350399</v>
      </c>
      <c r="I4897" s="2162" t="n">
        <v>0</v>
      </c>
      <c r="J4897" s="2162" t="n">
        <v>0</v>
      </c>
      <c r="K4897" s="2162" t="n"/>
    </row>
    <row r="4898" outlineLevel="2" ht="15.75" customHeight="1">
      <c r="A4898" s="10" t="n">
        <v>10</v>
      </c>
      <c r="B4898" s="10" t="inlineStr">
        <is>
          <t>Insumo</t>
        </is>
      </c>
      <c r="C4898" s="10" t="inlineStr">
        <is>
          <t>Calha em alumínio - 16 cm</t>
        </is>
      </c>
      <c r="D4898" s="10" t="inlineStr">
        <is>
          <t>SELANTE ELASTICO MONOCOMPONENTE A BASE DE POLIURETANO (PU) PARA JUNTAS DIVERSAS</t>
        </is>
      </c>
      <c r="E4898" s="11">
        <f t="array" ref="E4898">_xlfn.XLOOKUP(D4898,Insumos!B:B,Insumos!C:$C)</f>
        <v/>
      </c>
      <c r="F4898" s="14" t="n">
        <v>0.161</v>
      </c>
      <c r="G4898" s="92">
        <f t="array" ref="G4898">IF(B4898="insumo",_xlfn.XLOOKUP($D4898,Insumos!$B$1:$B$996,Insumos!$D$1:$D$996),"")</f>
        <v/>
      </c>
      <c r="H4898" s="92" t="n">
        <v>3.3327</v>
      </c>
      <c r="I4898" s="2162" t="n">
        <v>0</v>
      </c>
      <c r="J4898" s="2162" t="n">
        <v>0</v>
      </c>
      <c r="K4898" s="2162" t="n"/>
    </row>
    <row r="4899" outlineLevel="2" ht="15.75" customHeight="1">
      <c r="A4899" s="10" t="n">
        <v>7</v>
      </c>
      <c r="B4899" s="10" t="inlineStr">
        <is>
          <t>Insumo</t>
        </is>
      </c>
      <c r="C4899" s="10" t="inlineStr">
        <is>
          <t>Calha em alumínio - 16 cm</t>
        </is>
      </c>
      <c r="D4899" s="10" t="inlineStr">
        <is>
          <t>SOLDA EM BARRA DE ESTANHO-CHUMBO 50/50</t>
        </is>
      </c>
      <c r="E4899" s="11">
        <f t="array" ref="E4899">_xlfn.XLOOKUP(D4899,Insumos!B:B,Insumos!C:$C)</f>
        <v/>
      </c>
      <c r="F4899" s="14" t="n">
        <v>0.18</v>
      </c>
      <c r="G4899" s="92">
        <f t="array" ref="G4899">IF(B4899="insumo",_xlfn.XLOOKUP($D4899,Insumos!$B$1:$B$996,Insumos!$D$1:$D$996),"")</f>
        <v/>
      </c>
      <c r="H4899" s="92" t="n">
        <v>29.3526</v>
      </c>
      <c r="I4899" s="2162" t="n">
        <v>0</v>
      </c>
      <c r="J4899" s="2162" t="n">
        <v>0</v>
      </c>
      <c r="K4899" s="2162" t="n"/>
    </row>
    <row r="4900" outlineLevel="1" ht="15.75" customHeight="1">
      <c r="A4900" s="1067" t="n">
        <v>1</v>
      </c>
      <c r="B4900" s="1067" t="inlineStr">
        <is>
          <t>Serviço</t>
        </is>
      </c>
      <c r="C4900" s="1067" t="inlineStr">
        <is>
          <t>Calha em alumínio - 23,5 cm</t>
        </is>
      </c>
      <c r="D4900" s="1067" t="inlineStr">
        <is>
          <t>Calha em alumínio - 23,5 cm</t>
        </is>
      </c>
      <c r="E4900" s="1068" t="inlineStr">
        <is>
          <t>M</t>
        </is>
      </c>
      <c r="F4900" s="1067" t="n"/>
      <c r="G4900" s="1069">
        <f t="array" ref="G4900">IF(B4900="insumo",_xlfn.XLOOKUP($D4900,Insumos!$B$1:$B$996,Insumos!$D$1:$D$996),"")</f>
        <v/>
      </c>
      <c r="H4900" s="1069" t="n">
        <v>71.216449</v>
      </c>
      <c r="I4900" s="2161" t="n">
        <v>0</v>
      </c>
      <c r="J4900" s="2161" t="n">
        <v>0</v>
      </c>
      <c r="K4900" s="2161" t="n"/>
    </row>
    <row r="4901" outlineLevel="2" ht="15.75" customHeight="1">
      <c r="A4901" s="10" t="n">
        <v>1</v>
      </c>
      <c r="B4901" s="10" t="inlineStr">
        <is>
          <t>Insumo</t>
        </is>
      </c>
      <c r="C4901" s="10" t="inlineStr">
        <is>
          <t>Calha em alumínio - 23,5 cm</t>
        </is>
      </c>
      <c r="D4901" s="10" t="inlineStr">
        <is>
          <t>Calha Beiral Alumínio Com 2 Tampas Corte 25</t>
        </is>
      </c>
      <c r="E4901" s="11">
        <f t="array" ref="E4901">_xlfn.XLOOKUP(D4901,Insumos!B:B,Insumos!C:$C)</f>
        <v/>
      </c>
      <c r="F4901" s="14" t="n">
        <v>1.05</v>
      </c>
      <c r="G4901" s="92">
        <f t="array" ref="G4901">IF(B4901="insumo",_xlfn.XLOOKUP($D4901,Insumos!$B$1:$B$996,Insumos!$D$1:$D$996),"")</f>
        <v/>
      </c>
      <c r="H4901" s="92" t="n">
        <v>37.7895</v>
      </c>
      <c r="I4901" s="2162" t="n">
        <v>0</v>
      </c>
      <c r="J4901" s="2162" t="n">
        <v>0</v>
      </c>
      <c r="K4901" s="2162" t="n"/>
    </row>
    <row r="4902" outlineLevel="2" ht="15.75" customHeight="1">
      <c r="A4902" s="10" t="n">
        <v>6</v>
      </c>
      <c r="B4902" s="10" t="inlineStr">
        <is>
          <t>Insumo</t>
        </is>
      </c>
      <c r="C4902" s="10" t="inlineStr">
        <is>
          <t>Calha em alumínio - 23,5 cm</t>
        </is>
      </c>
      <c r="D4902" s="10" t="inlineStr">
        <is>
          <t>PREGO DE ACO POLIDO COM CABECA 18 X 27 (2 1/2 X 10)</t>
        </is>
      </c>
      <c r="E4902" s="11">
        <f t="array" ref="E4902">_xlfn.XLOOKUP(D4902,Insumos!B:B,Insumos!C:$C)</f>
        <v/>
      </c>
      <c r="F4902" s="14" t="n">
        <v>0.025</v>
      </c>
      <c r="G4902" s="92">
        <f t="array" ref="G4902">IF(B4902="insumo",_xlfn.XLOOKUP($D4902,Insumos!$B$1:$B$996,Insumos!$D$1:$D$996),"")</f>
        <v/>
      </c>
      <c r="H4902" s="92" t="n">
        <v>0.39125</v>
      </c>
      <c r="I4902" s="2162" t="n">
        <v>0</v>
      </c>
      <c r="J4902" s="2162" t="n">
        <v>0</v>
      </c>
      <c r="K4902" s="2162" t="n"/>
    </row>
    <row r="4903" outlineLevel="2" ht="15.75" customHeight="1">
      <c r="A4903" s="10" t="n">
        <v>7</v>
      </c>
      <c r="B4903" s="10" t="inlineStr">
        <is>
          <t>Insumo</t>
        </is>
      </c>
      <c r="C4903" s="10" t="inlineStr">
        <is>
          <t>Calha em alumínio - 23,5 cm</t>
        </is>
      </c>
      <c r="D4903" s="10" t="inlineStr">
        <is>
          <t>REBITE DE REPUXO EM ALUMINIO VAZADO, DIAMETRO 3,2 X 8 MM DE COMPRIMENTO (1KG = 1025 UNIDADES)</t>
        </is>
      </c>
      <c r="E4903" s="11">
        <f t="array" ref="E4903">_xlfn.XLOOKUP(D4903,Insumos!B:B,Insumos!C:$C)</f>
        <v/>
      </c>
      <c r="F4903" s="14" t="n">
        <v>0.0049</v>
      </c>
      <c r="G4903" s="92">
        <f t="array" ref="G4903">IF(B4903="insumo",_xlfn.XLOOKUP($D4903,Insumos!$B$1:$B$996,Insumos!$D$1:$D$996),"")</f>
        <v/>
      </c>
      <c r="H4903" s="92" t="n">
        <v>0.350399</v>
      </c>
      <c r="I4903" s="2162" t="n">
        <v>0</v>
      </c>
      <c r="J4903" s="2162" t="n">
        <v>0</v>
      </c>
      <c r="K4903" s="2162" t="n"/>
    </row>
    <row r="4904" outlineLevel="2" ht="15.75" customHeight="1">
      <c r="A4904" s="10" t="n">
        <v>10</v>
      </c>
      <c r="B4904" s="10" t="inlineStr">
        <is>
          <t>Insumo</t>
        </is>
      </c>
      <c r="C4904" s="10" t="inlineStr">
        <is>
          <t>Calha em alumínio - 23,5 cm</t>
        </is>
      </c>
      <c r="D4904" s="10" t="inlineStr">
        <is>
          <t>SELANTE ELASTICO MONOCOMPONENTE A BASE DE POLIURETANO (PU) PARA JUNTAS DIVERSAS</t>
        </is>
      </c>
      <c r="E4904" s="11">
        <f t="array" ref="E4904">_xlfn.XLOOKUP(D4904,Insumos!B:B,Insumos!C:$C)</f>
        <v/>
      </c>
      <c r="F4904" s="14" t="n">
        <v>0.161</v>
      </c>
      <c r="G4904" s="92">
        <f t="array" ref="G4904">IF(B4904="insumo",_xlfn.XLOOKUP($D4904,Insumos!$B$1:$B$996,Insumos!$D$1:$D$996),"")</f>
        <v/>
      </c>
      <c r="H4904" s="92" t="n">
        <v>3.3327</v>
      </c>
      <c r="I4904" s="2162" t="n">
        <v>0</v>
      </c>
      <c r="J4904" s="2162" t="n">
        <v>0</v>
      </c>
      <c r="K4904" s="2162" t="n"/>
    </row>
    <row r="4905" outlineLevel="2" ht="15.75" customHeight="1">
      <c r="A4905" s="10" t="n">
        <v>7</v>
      </c>
      <c r="B4905" s="10" t="inlineStr">
        <is>
          <t>Insumo</t>
        </is>
      </c>
      <c r="C4905" s="10" t="inlineStr">
        <is>
          <t>Calha em alumínio - 23,5 cm</t>
        </is>
      </c>
      <c r="D4905" s="10" t="inlineStr">
        <is>
          <t>SOLDA EM BARRA DE ESTANHO-CHUMBO 50/50</t>
        </is>
      </c>
      <c r="E4905" s="11">
        <f t="array" ref="E4905">_xlfn.XLOOKUP(D4905,Insumos!B:B,Insumos!C:$C)</f>
        <v/>
      </c>
      <c r="F4905" s="14" t="n">
        <v>0.18</v>
      </c>
      <c r="G4905" s="92">
        <f t="array" ref="G4905">IF(B4905="insumo",_xlfn.XLOOKUP($D4905,Insumos!$B$1:$B$996,Insumos!$D$1:$D$996),"")</f>
        <v/>
      </c>
      <c r="H4905" s="92" t="n">
        <v>29.3526</v>
      </c>
      <c r="I4905" s="2162" t="n">
        <v>0</v>
      </c>
      <c r="J4905" s="2162" t="n">
        <v>0</v>
      </c>
      <c r="K4905" s="2162" t="n"/>
    </row>
    <row r="4906" outlineLevel="1" ht="15.75" customHeight="1">
      <c r="A4906" s="1067" t="n">
        <v>1</v>
      </c>
      <c r="B4906" s="1067" t="inlineStr">
        <is>
          <t>Serviço</t>
        </is>
      </c>
      <c r="C4906" s="1067" t="inlineStr">
        <is>
          <t>Calha em alumínio - 30x30</t>
        </is>
      </c>
      <c r="D4906" s="1067" t="inlineStr">
        <is>
          <t>Calha em alumínio - 30x30</t>
        </is>
      </c>
      <c r="E4906" s="1068" t="inlineStr">
        <is>
          <t>M</t>
        </is>
      </c>
      <c r="F4906" s="1067" t="n"/>
      <c r="G4906" s="1069">
        <f t="array" ref="G4906">IF(B4906="insumo",_xlfn.XLOOKUP($D4906,Insumos!$B$1:$B$996,Insumos!$D$1:$D$996),"")</f>
        <v/>
      </c>
      <c r="H4906" s="1069" t="n">
        <v>82.42694899999999</v>
      </c>
      <c r="I4906" s="2161" t="n">
        <v>0</v>
      </c>
      <c r="J4906" s="2161" t="n">
        <v>0</v>
      </c>
      <c r="K4906" s="2161" t="n"/>
    </row>
    <row r="4907" outlineLevel="2" ht="15.75" customHeight="1">
      <c r="A4907" s="10" t="n">
        <v>1</v>
      </c>
      <c r="B4907" s="10" t="inlineStr">
        <is>
          <t>Insumo</t>
        </is>
      </c>
      <c r="C4907" s="10" t="inlineStr">
        <is>
          <t>Calha em alumínio - 30x30</t>
        </is>
      </c>
      <c r="D4907" s="10" t="inlineStr">
        <is>
          <t>Calha Beiral Alumínio Com 2 Tampas Corte 30</t>
        </is>
      </c>
      <c r="E4907" s="11">
        <f t="array" ref="E4907">_xlfn.XLOOKUP(D4907,Insumos!B:B,Insumos!C:$C)</f>
        <v/>
      </c>
      <c r="F4907" s="14" t="n">
        <v>1.05</v>
      </c>
      <c r="G4907" s="92">
        <f t="array" ref="G4907">IF(B4907="insumo",_xlfn.XLOOKUP($D4907,Insumos!$B$1:$B$996,Insumos!$D$1:$D$996),"")</f>
        <v/>
      </c>
      <c r="H4907" s="92" t="n">
        <v>49</v>
      </c>
      <c r="I4907" s="2162" t="n">
        <v>0</v>
      </c>
      <c r="J4907" s="2162" t="n">
        <v>0</v>
      </c>
      <c r="K4907" s="2162" t="n"/>
    </row>
    <row r="4908" outlineLevel="2" ht="15.75" customHeight="1">
      <c r="A4908" s="10" t="n">
        <v>6</v>
      </c>
      <c r="B4908" s="10" t="inlineStr">
        <is>
          <t>Insumo</t>
        </is>
      </c>
      <c r="C4908" s="10" t="inlineStr">
        <is>
          <t>Calha em alumínio - 30x30</t>
        </is>
      </c>
      <c r="D4908" s="10" t="inlineStr">
        <is>
          <t>PREGO DE ACO POLIDO COM CABECA 18 X 27 (2 1/2 X 10)</t>
        </is>
      </c>
      <c r="E4908" s="11">
        <f t="array" ref="E4908">_xlfn.XLOOKUP(D4908,Insumos!B:B,Insumos!C:$C)</f>
        <v/>
      </c>
      <c r="F4908" s="14" t="n">
        <v>0.025</v>
      </c>
      <c r="G4908" s="92">
        <f t="array" ref="G4908">IF(B4908="insumo",_xlfn.XLOOKUP($D4908,Insumos!$B$1:$B$996,Insumos!$D$1:$D$996),"")</f>
        <v/>
      </c>
      <c r="H4908" s="92" t="n">
        <v>0.39125</v>
      </c>
      <c r="I4908" s="2162" t="n">
        <v>0</v>
      </c>
      <c r="J4908" s="2162" t="n">
        <v>0</v>
      </c>
      <c r="K4908" s="2162" t="n"/>
    </row>
    <row r="4909" outlineLevel="2" ht="15.75" customHeight="1">
      <c r="A4909" s="10" t="n">
        <v>7</v>
      </c>
      <c r="B4909" s="10" t="inlineStr">
        <is>
          <t>Insumo</t>
        </is>
      </c>
      <c r="C4909" s="10" t="inlineStr">
        <is>
          <t>Calha em alumínio - 30x30</t>
        </is>
      </c>
      <c r="D4909" s="10" t="inlineStr">
        <is>
          <t>REBITE DE REPUXO EM ALUMINIO VAZADO, DIAMETRO 3,2 X 8 MM DE COMPRIMENTO (1KG = 1025 UNIDADES)</t>
        </is>
      </c>
      <c r="E4909" s="11">
        <f t="array" ref="E4909">_xlfn.XLOOKUP(D4909,Insumos!B:B,Insumos!C:$C)</f>
        <v/>
      </c>
      <c r="F4909" s="14" t="n">
        <v>0.0049</v>
      </c>
      <c r="G4909" s="92">
        <f t="array" ref="G4909">IF(B4909="insumo",_xlfn.XLOOKUP($D4909,Insumos!$B$1:$B$996,Insumos!$D$1:$D$996),"")</f>
        <v/>
      </c>
      <c r="H4909" s="92" t="n">
        <v>0.350399</v>
      </c>
      <c r="I4909" s="2162" t="n">
        <v>0</v>
      </c>
      <c r="J4909" s="2162" t="n">
        <v>0</v>
      </c>
      <c r="K4909" s="2162" t="n"/>
    </row>
    <row r="4910" outlineLevel="2" ht="15.75" customHeight="1">
      <c r="A4910" s="10" t="n">
        <v>10</v>
      </c>
      <c r="B4910" s="10" t="inlineStr">
        <is>
          <t>Insumo</t>
        </is>
      </c>
      <c r="C4910" s="10" t="inlineStr">
        <is>
          <t>Calha em alumínio - 30x30</t>
        </is>
      </c>
      <c r="D4910" s="10" t="inlineStr">
        <is>
          <t>SELANTE ELASTICO MONOCOMPONENTE A BASE DE POLIURETANO (PU) PARA JUNTAS DIVERSAS</t>
        </is>
      </c>
      <c r="E4910" s="11">
        <f t="array" ref="E4910">_xlfn.XLOOKUP(D4910,Insumos!B:B,Insumos!C:$C)</f>
        <v/>
      </c>
      <c r="F4910" s="14" t="n">
        <v>0.161</v>
      </c>
      <c r="G4910" s="92">
        <f t="array" ref="G4910">IF(B4910="insumo",_xlfn.XLOOKUP($D4910,Insumos!$B$1:$B$996,Insumos!$D$1:$D$996),"")</f>
        <v/>
      </c>
      <c r="H4910" s="92" t="n">
        <v>3.3327</v>
      </c>
      <c r="I4910" s="2162" t="n">
        <v>0</v>
      </c>
      <c r="J4910" s="2162" t="n">
        <v>0</v>
      </c>
      <c r="K4910" s="2162" t="n"/>
    </row>
    <row r="4911" outlineLevel="2" ht="15.75" customHeight="1">
      <c r="A4911" s="10" t="n">
        <v>7</v>
      </c>
      <c r="B4911" s="10" t="inlineStr">
        <is>
          <t>Insumo</t>
        </is>
      </c>
      <c r="C4911" s="10" t="inlineStr">
        <is>
          <t>Calha em alumínio - 30x30</t>
        </is>
      </c>
      <c r="D4911" s="10" t="inlineStr">
        <is>
          <t>SOLDA EM BARRA DE ESTANHO-CHUMBO 50/50</t>
        </is>
      </c>
      <c r="E4911" s="11">
        <f t="array" ref="E4911">_xlfn.XLOOKUP(D4911,Insumos!B:B,Insumos!C:$C)</f>
        <v/>
      </c>
      <c r="F4911" s="14" t="n">
        <v>0.18</v>
      </c>
      <c r="G4911" s="92">
        <f t="array" ref="G4911">IF(B4911="insumo",_xlfn.XLOOKUP($D4911,Insumos!$B$1:$B$996,Insumos!$D$1:$D$996),"")</f>
        <v/>
      </c>
      <c r="H4911" s="92" t="n">
        <v>29.3526</v>
      </c>
      <c r="I4911" s="2162" t="n">
        <v>0</v>
      </c>
      <c r="J4911" s="2162" t="n">
        <v>0</v>
      </c>
      <c r="K4911" s="2162" t="n"/>
    </row>
    <row r="4912" outlineLevel="1" ht="15.75" customHeight="1">
      <c r="A4912" s="1067" t="n">
        <v>1</v>
      </c>
      <c r="B4912" s="1067" t="inlineStr">
        <is>
          <t>Serviço</t>
        </is>
      </c>
      <c r="C4912" s="1067" t="inlineStr">
        <is>
          <t>Calha em alumínio - 94x94</t>
        </is>
      </c>
      <c r="D4912" s="1067" t="inlineStr">
        <is>
          <t>Calha em alumínio - 94x94</t>
        </is>
      </c>
      <c r="E4912" s="1068" t="inlineStr">
        <is>
          <t>M</t>
        </is>
      </c>
      <c r="F4912" s="1067" t="n"/>
      <c r="G4912" s="1069">
        <f t="array" ref="G4912">IF(B4912="insumo",_xlfn.XLOOKUP($D4912,Insumos!$B$1:$B$996,Insumos!$D$1:$D$996),"")</f>
        <v/>
      </c>
      <c r="H4912" s="1069" t="n">
        <v>96.391949</v>
      </c>
      <c r="I4912" s="2161" t="n">
        <v>0</v>
      </c>
      <c r="J4912" s="2161" t="n">
        <v>0</v>
      </c>
      <c r="K4912" s="2161" t="n"/>
    </row>
    <row r="4913" outlineLevel="2" ht="15.75" customHeight="1">
      <c r="A4913" s="10" t="n">
        <v>1</v>
      </c>
      <c r="B4913" s="10" t="inlineStr">
        <is>
          <t>Insumo</t>
        </is>
      </c>
      <c r="C4913" s="10" t="inlineStr">
        <is>
          <t>Calha em alumínio - 94x94</t>
        </is>
      </c>
      <c r="D4913" s="10" t="inlineStr">
        <is>
          <t>Calha em alumínio - 94x94</t>
        </is>
      </c>
      <c r="E4913" s="11">
        <f t="array" ref="E4913">_xlfn.XLOOKUP(D4913,Insumos!B:B,Insumos!C:$C)</f>
        <v/>
      </c>
      <c r="F4913" s="14" t="n">
        <v>1.05</v>
      </c>
      <c r="G4913" s="92">
        <f t="array" ref="G4913">IF(B4913="insumo",_xlfn.XLOOKUP($D4913,Insumos!$B$1:$B$996,Insumos!$D$1:$D$996),"")</f>
        <v/>
      </c>
      <c r="H4913" s="92" t="n">
        <v>62.965</v>
      </c>
      <c r="I4913" s="2162" t="n">
        <v>0</v>
      </c>
      <c r="J4913" s="2162" t="n">
        <v>0</v>
      </c>
      <c r="K4913" s="2162" t="n"/>
    </row>
    <row r="4914" outlineLevel="2" ht="15.75" customHeight="1">
      <c r="A4914" s="10" t="n">
        <v>6</v>
      </c>
      <c r="B4914" s="10" t="inlineStr">
        <is>
          <t>Insumo</t>
        </is>
      </c>
      <c r="C4914" s="10" t="inlineStr">
        <is>
          <t>Calha em alumínio - 94x94</t>
        </is>
      </c>
      <c r="D4914" s="10" t="inlineStr">
        <is>
          <t>PREGO DE ACO POLIDO COM CABECA 18 X 27 (2 1/2 X 10)</t>
        </is>
      </c>
      <c r="E4914" s="11">
        <f t="array" ref="E4914">_xlfn.XLOOKUP(D4914,Insumos!B:B,Insumos!C:$C)</f>
        <v/>
      </c>
      <c r="F4914" s="14" t="n">
        <v>0.025</v>
      </c>
      <c r="G4914" s="92">
        <f t="array" ref="G4914">IF(B4914="insumo",_xlfn.XLOOKUP($D4914,Insumos!$B$1:$B$996,Insumos!$D$1:$D$996),"")</f>
        <v/>
      </c>
      <c r="H4914" s="92" t="n">
        <v>0.39125</v>
      </c>
      <c r="I4914" s="2162" t="n">
        <v>0</v>
      </c>
      <c r="J4914" s="2162" t="n">
        <v>0</v>
      </c>
      <c r="K4914" s="2162" t="n"/>
    </row>
    <row r="4915" outlineLevel="2" ht="15.75" customHeight="1">
      <c r="A4915" s="10" t="n">
        <v>7</v>
      </c>
      <c r="B4915" s="10" t="inlineStr">
        <is>
          <t>Insumo</t>
        </is>
      </c>
      <c r="C4915" s="10" t="inlineStr">
        <is>
          <t>Calha em alumínio - 94x94</t>
        </is>
      </c>
      <c r="D4915" s="10" t="inlineStr">
        <is>
          <t>REBITE DE REPUXO EM ALUMINIO VAZADO, DIAMETRO 3,2 X 8 MM DE COMPRIMENTO (1KG = 1025 UNIDADES)</t>
        </is>
      </c>
      <c r="E4915" s="11">
        <f t="array" ref="E4915">_xlfn.XLOOKUP(D4915,Insumos!B:B,Insumos!C:$C)</f>
        <v/>
      </c>
      <c r="F4915" s="14" t="n">
        <v>0.0049</v>
      </c>
      <c r="G4915" s="92">
        <f t="array" ref="G4915">IF(B4915="insumo",_xlfn.XLOOKUP($D4915,Insumos!$B$1:$B$996,Insumos!$D$1:$D$996),"")</f>
        <v/>
      </c>
      <c r="H4915" s="92" t="n">
        <v>0.350399</v>
      </c>
      <c r="I4915" s="2162" t="n">
        <v>0</v>
      </c>
      <c r="J4915" s="2162" t="n">
        <v>0</v>
      </c>
      <c r="K4915" s="2162" t="n"/>
    </row>
    <row r="4916" outlineLevel="2" ht="15.75" customHeight="1">
      <c r="A4916" s="10" t="n">
        <v>10</v>
      </c>
      <c r="B4916" s="10" t="inlineStr">
        <is>
          <t>Insumo</t>
        </is>
      </c>
      <c r="C4916" s="10" t="inlineStr">
        <is>
          <t>Calha em alumínio - 94x94</t>
        </is>
      </c>
      <c r="D4916" s="10" t="inlineStr">
        <is>
          <t>SELANTE ELASTICO MONOCOMPONENTE A BASE DE POLIURETANO (PU) PARA JUNTAS DIVERSAS</t>
        </is>
      </c>
      <c r="E4916" s="11">
        <f t="array" ref="E4916">_xlfn.XLOOKUP(D4916,Insumos!B:B,Insumos!C:$C)</f>
        <v/>
      </c>
      <c r="F4916" s="14" t="n">
        <v>0.161</v>
      </c>
      <c r="G4916" s="92">
        <f t="array" ref="G4916">IF(B4916="insumo",_xlfn.XLOOKUP($D4916,Insumos!$B$1:$B$996,Insumos!$D$1:$D$996),"")</f>
        <v/>
      </c>
      <c r="H4916" s="92" t="n">
        <v>3.3327</v>
      </c>
      <c r="I4916" s="2162" t="n">
        <v>0</v>
      </c>
      <c r="J4916" s="2162" t="n">
        <v>0</v>
      </c>
      <c r="K4916" s="2162" t="n"/>
    </row>
    <row r="4917" outlineLevel="2" ht="15.75" customHeight="1">
      <c r="A4917" s="10" t="n">
        <v>7</v>
      </c>
      <c r="B4917" s="10" t="inlineStr">
        <is>
          <t>Insumo</t>
        </is>
      </c>
      <c r="C4917" s="10" t="inlineStr">
        <is>
          <t>Calha em alumínio - 94x94</t>
        </is>
      </c>
      <c r="D4917" s="10" t="inlineStr">
        <is>
          <t>SOLDA EM BARRA DE ESTANHO-CHUMBO 50/50</t>
        </is>
      </c>
      <c r="E4917" s="11">
        <f t="array" ref="E4917">_xlfn.XLOOKUP(D4917,Insumos!B:B,Insumos!C:$C)</f>
        <v/>
      </c>
      <c r="F4917" s="14" t="n">
        <v>0.18</v>
      </c>
      <c r="G4917" s="92">
        <f t="array" ref="G4917">IF(B4917="insumo",_xlfn.XLOOKUP($D4917,Insumos!$B$1:$B$996,Insumos!$D$1:$D$996),"")</f>
        <v/>
      </c>
      <c r="H4917" s="92" t="n">
        <v>29.3526</v>
      </c>
      <c r="I4917" s="2162" t="n">
        <v>0</v>
      </c>
      <c r="J4917" s="2162" t="n">
        <v>0</v>
      </c>
      <c r="K4917" s="2162" t="n"/>
    </row>
    <row r="4918" outlineLevel="1" ht="12.75" customHeight="1">
      <c r="A4918" s="1071" t="n">
        <v>1</v>
      </c>
      <c r="B4918" s="1071" t="inlineStr">
        <is>
          <t>Serviço</t>
        </is>
      </c>
      <c r="C4918" s="1071" t="inlineStr">
        <is>
          <t>Rufo em alumínio - m2</t>
        </is>
      </c>
      <c r="D4918" s="1071" t="inlineStr">
        <is>
          <t>Rufo em alumínio - m2</t>
        </is>
      </c>
      <c r="E4918" s="1072" t="inlineStr">
        <is>
          <t>M</t>
        </is>
      </c>
      <c r="F4918" s="1071" t="n"/>
      <c r="G4918" s="1073">
        <f t="array" ref="G4918">IF(B4918="insumo",_xlfn.XLOOKUP($D4918,Insumos!$B$1:$B$996,Insumos!$D$1:$D$996),"")</f>
        <v/>
      </c>
      <c r="H4918" s="1073" t="n">
        <v>163.690248</v>
      </c>
      <c r="I4918" s="2163" t="n">
        <v>0</v>
      </c>
      <c r="J4918" s="2163" t="n">
        <v>0</v>
      </c>
      <c r="K4918" s="2163" t="n"/>
    </row>
    <row r="4919" outlineLevel="2" ht="12.75" customHeight="1">
      <c r="A4919" s="82" t="n">
        <v>7</v>
      </c>
      <c r="B4919" s="82" t="inlineStr">
        <is>
          <t>Insumo</t>
        </is>
      </c>
      <c r="C4919" s="82" t="inlineStr">
        <is>
          <t>Rufo em alumínio - m2</t>
        </is>
      </c>
      <c r="D4919" s="82" t="inlineStr">
        <is>
          <t>REBITE DE REPUXO EM ALUMINIO VAZADO, DIAMETRO 3,2 X 8 MM DE COMPRIMENTO (1KG = 1025 UNIDADES)</t>
        </is>
      </c>
      <c r="E4919" s="11">
        <f t="array" ref="E4919">_xlfn.XLOOKUP(D4919,Insumos!B:B,Insumos!C:$C)</f>
        <v/>
      </c>
      <c r="F4919" s="2164" t="n">
        <v>0.0048</v>
      </c>
      <c r="G4919" s="92">
        <f t="array" ref="G4919">IF(B4919="insumo",_xlfn.XLOOKUP($D4919,Insumos!$B$1:$B$996,Insumos!$D$1:$D$996),"")</f>
        <v/>
      </c>
      <c r="H4919" s="92" t="n">
        <v>0.343248</v>
      </c>
      <c r="I4919" s="2165" t="n">
        <v>0</v>
      </c>
      <c r="J4919" s="2165" t="n">
        <v>0</v>
      </c>
      <c r="K4919" s="2165" t="n"/>
    </row>
    <row r="4920" outlineLevel="2" ht="12.75" customHeight="1">
      <c r="A4920" s="82" t="n">
        <v>2</v>
      </c>
      <c r="B4920" s="82" t="inlineStr">
        <is>
          <t>Insumo</t>
        </is>
      </c>
      <c r="C4920" s="82" t="inlineStr">
        <is>
          <t>Rufo em alumínio - m2</t>
        </is>
      </c>
      <c r="D4920" s="82" t="inlineStr">
        <is>
          <t>RUFO INTERNO/EXTERNO DE CHAPA DE ACO GALVANIZADA NUM 24, CORTE 25 CM</t>
        </is>
      </c>
      <c r="E4920" s="11">
        <f t="array" ref="E4920">_xlfn.XLOOKUP(D4920,Insumos!B:B,Insumos!C:$C)</f>
        <v/>
      </c>
      <c r="F4920" s="2164" t="n">
        <v>4.2</v>
      </c>
      <c r="G4920" s="92">
        <f t="array" ref="G4920">IF(B4920="insumo",_xlfn.XLOOKUP($D4920,Insumos!$B$1:$B$996,Insumos!$D$1:$D$996),"")</f>
        <v/>
      </c>
      <c r="H4920" s="92" t="n">
        <v>117.6</v>
      </c>
      <c r="I4920" s="2165" t="n">
        <v>0</v>
      </c>
      <c r="J4920" s="2165" t="n">
        <v>0</v>
      </c>
      <c r="K4920" s="2165" t="n"/>
    </row>
    <row r="4921" outlineLevel="2" ht="12.75" customHeight="1">
      <c r="A4921" s="82" t="n">
        <v>10</v>
      </c>
      <c r="B4921" s="82" t="inlineStr">
        <is>
          <t>Insumo</t>
        </is>
      </c>
      <c r="C4921" s="82" t="inlineStr">
        <is>
          <t>Rufo em alumínio - m2</t>
        </is>
      </c>
      <c r="D4921" s="82" t="inlineStr">
        <is>
          <t>SELANTE ELASTICO MONOCOMPONENTE A BASE DE POLIURETANO (PU) PARA JUNTAS DIVERSAS</t>
        </is>
      </c>
      <c r="E4921" s="11">
        <f t="array" ref="E4921">_xlfn.XLOOKUP(D4921,Insumos!B:B,Insumos!C:$C)</f>
        <v/>
      </c>
      <c r="F4921" s="2164" t="n">
        <v>0.792</v>
      </c>
      <c r="G4921" s="92">
        <f t="array" ref="G4921">IF(B4921="insumo",_xlfn.XLOOKUP($D4921,Insumos!$B$1:$B$996,Insumos!$D$1:$D$996),"")</f>
        <v/>
      </c>
      <c r="H4921" s="92" t="n">
        <v>16.3944</v>
      </c>
      <c r="I4921" s="2165" t="n">
        <v>0</v>
      </c>
      <c r="J4921" s="2165" t="n">
        <v>0</v>
      </c>
      <c r="K4921" s="2165" t="n"/>
    </row>
    <row r="4922" outlineLevel="2" ht="12.75" customHeight="1">
      <c r="A4922" s="82" t="n">
        <v>7</v>
      </c>
      <c r="B4922" s="82" t="inlineStr">
        <is>
          <t>Insumo</t>
        </is>
      </c>
      <c r="C4922" s="82" t="inlineStr">
        <is>
          <t>Rufo em alumínio - m2</t>
        </is>
      </c>
      <c r="D4922" s="82" t="inlineStr">
        <is>
          <t>SOLDA EM BARRA DE ESTANHO-CHUMBO 50/50</t>
        </is>
      </c>
      <c r="E4922" s="11">
        <f t="array" ref="E4922">_xlfn.XLOOKUP(D4922,Insumos!B:B,Insumos!C:$C)</f>
        <v/>
      </c>
      <c r="F4922" s="2164" t="n">
        <v>0.18</v>
      </c>
      <c r="G4922" s="92">
        <f t="array" ref="G4922">IF(B4922="insumo",_xlfn.XLOOKUP($D4922,Insumos!$B$1:$B$996,Insumos!$D$1:$D$996),"")</f>
        <v/>
      </c>
      <c r="H4922" s="92" t="n">
        <v>29.3526</v>
      </c>
      <c r="I4922" s="2165" t="n">
        <v>0</v>
      </c>
      <c r="J4922" s="2165" t="n">
        <v>0</v>
      </c>
      <c r="K4922" s="2165" t="n"/>
    </row>
    <row r="4923" outlineLevel="1" ht="15.75" customHeight="1">
      <c r="A4923" s="1067" t="n">
        <v>1</v>
      </c>
      <c r="B4923" s="1067" t="inlineStr">
        <is>
          <t>Serviço</t>
        </is>
      </c>
      <c r="C4923" s="1067" t="inlineStr">
        <is>
          <t>Rufo em alumínio</t>
        </is>
      </c>
      <c r="D4923" s="1067" t="inlineStr">
        <is>
          <t>Rufo em alumínio</t>
        </is>
      </c>
      <c r="E4923" s="1068" t="inlineStr">
        <is>
          <t>M</t>
        </is>
      </c>
      <c r="F4923" s="1067" t="n"/>
      <c r="G4923" s="1069">
        <f t="array" ref="G4923">IF(B4923="insumo",_xlfn.XLOOKUP($D4923,Insumos!$B$1:$B$996,Insumos!$D$1:$D$996),"")</f>
        <v/>
      </c>
      <c r="H4923" s="1069" t="n">
        <v>40.922562</v>
      </c>
      <c r="I4923" s="2161" t="n">
        <v>0</v>
      </c>
      <c r="J4923" s="2161" t="n">
        <v>0</v>
      </c>
      <c r="K4923" s="2161" t="n"/>
    </row>
    <row r="4924" outlineLevel="2" ht="15.75" customHeight="1">
      <c r="A4924" s="10" t="n">
        <v>7</v>
      </c>
      <c r="B4924" s="10" t="inlineStr">
        <is>
          <t>Insumo</t>
        </is>
      </c>
      <c r="C4924" s="10" t="inlineStr">
        <is>
          <t>Rufo em alumínio</t>
        </is>
      </c>
      <c r="D4924" s="10" t="inlineStr">
        <is>
          <t>REBITE DE REPUXO EM ALUMINIO VAZADO, DIAMETRO 3,2 X 8 MM DE COMPRIMENTO (1KG = 1025 UNIDADES)</t>
        </is>
      </c>
      <c r="E4924" s="11">
        <f t="array" ref="E4924">_xlfn.XLOOKUP(D4924,Insumos!B:B,Insumos!C:$C)</f>
        <v/>
      </c>
      <c r="F4924" s="14" t="n">
        <v>0.0012</v>
      </c>
      <c r="G4924" s="92">
        <f t="array" ref="G4924">IF(B4924="insumo",_xlfn.XLOOKUP($D4924,Insumos!$B$1:$B$996,Insumos!$D$1:$D$996),"")</f>
        <v/>
      </c>
      <c r="H4924" s="92" t="n">
        <v>0.085812</v>
      </c>
      <c r="I4924" s="2162" t="n">
        <v>0</v>
      </c>
      <c r="J4924" s="2162" t="n">
        <v>0</v>
      </c>
      <c r="K4924" s="2162" t="n"/>
    </row>
    <row r="4925" outlineLevel="2" ht="15.75" customHeight="1">
      <c r="A4925" s="10" t="n">
        <v>2</v>
      </c>
      <c r="B4925" s="10" t="inlineStr">
        <is>
          <t>Insumo</t>
        </is>
      </c>
      <c r="C4925" s="10" t="inlineStr">
        <is>
          <t>Rufo em alumínio</t>
        </is>
      </c>
      <c r="D4925" s="10" t="inlineStr">
        <is>
          <t>RUFO INTERNO/EXTERNO DE CHAPA DE ACO GALVANIZADA NUM 24, CORTE 25 CM</t>
        </is>
      </c>
      <c r="E4925" s="11">
        <f t="array" ref="E4925">_xlfn.XLOOKUP(D4925,Insumos!B:B,Insumos!C:$C)</f>
        <v/>
      </c>
      <c r="F4925" s="14" t="n">
        <v>1.05</v>
      </c>
      <c r="G4925" s="92">
        <f t="array" ref="G4925">IF(B4925="insumo",_xlfn.XLOOKUP($D4925,Insumos!$B$1:$B$996,Insumos!$D$1:$D$996),"")</f>
        <v/>
      </c>
      <c r="H4925" s="92" t="n">
        <v>29.4</v>
      </c>
      <c r="I4925" s="2162" t="n">
        <v>0</v>
      </c>
      <c r="J4925" s="2162" t="n">
        <v>0</v>
      </c>
      <c r="K4925" s="2162" t="n"/>
    </row>
    <row r="4926" outlineLevel="2" ht="15.75" customHeight="1">
      <c r="A4926" s="10" t="n">
        <v>10</v>
      </c>
      <c r="B4926" s="10" t="inlineStr">
        <is>
          <t>Insumo</t>
        </is>
      </c>
      <c r="C4926" s="10" t="inlineStr">
        <is>
          <t>Rufo em alumínio</t>
        </is>
      </c>
      <c r="D4926" s="10" t="inlineStr">
        <is>
          <t>SELANTE ELASTICO MONOCOMPONENTE A BASE DE POLIURETANO (PU) PARA JUNTAS DIVERSAS</t>
        </is>
      </c>
      <c r="E4926" s="11">
        <f t="array" ref="E4926">_xlfn.XLOOKUP(D4926,Insumos!B:B,Insumos!C:$C)</f>
        <v/>
      </c>
      <c r="F4926" s="14" t="n">
        <v>0.198</v>
      </c>
      <c r="G4926" s="92">
        <f t="array" ref="G4926">IF(B4926="insumo",_xlfn.XLOOKUP($D4926,Insumos!$B$1:$B$996,Insumos!$D$1:$D$996),"")</f>
        <v/>
      </c>
      <c r="H4926" s="92" t="n">
        <v>4.0986</v>
      </c>
      <c r="I4926" s="2162" t="n">
        <v>0</v>
      </c>
      <c r="J4926" s="2162" t="n">
        <v>0</v>
      </c>
      <c r="K4926" s="2162" t="n"/>
    </row>
    <row r="4927" outlineLevel="2" ht="15.75" customHeight="1">
      <c r="A4927" s="10" t="n">
        <v>7</v>
      </c>
      <c r="B4927" s="10" t="inlineStr">
        <is>
          <t>Insumo</t>
        </is>
      </c>
      <c r="C4927" s="10" t="inlineStr">
        <is>
          <t>Rufo em alumínio</t>
        </is>
      </c>
      <c r="D4927" s="10" t="inlineStr">
        <is>
          <t>SOLDA EM BARRA DE ESTANHO-CHUMBO 50/50</t>
        </is>
      </c>
      <c r="E4927" s="11">
        <f t="array" ref="E4927">_xlfn.XLOOKUP(D4927,Insumos!B:B,Insumos!C:$C)</f>
        <v/>
      </c>
      <c r="F4927" s="14" t="n">
        <v>0.045</v>
      </c>
      <c r="G4927" s="92">
        <f t="array" ref="G4927">IF(B4927="insumo",_xlfn.XLOOKUP($D4927,Insumos!$B$1:$B$996,Insumos!$D$1:$D$996),"")</f>
        <v/>
      </c>
      <c r="H4927" s="92" t="n">
        <v>7.33815</v>
      </c>
      <c r="I4927" s="2162" t="n">
        <v>0</v>
      </c>
      <c r="J4927" s="2162" t="n">
        <v>0</v>
      </c>
      <c r="K4927" s="2162" t="n"/>
    </row>
    <row r="4928" outlineLevel="1" ht="15.75" customHeight="1">
      <c r="A4928" s="1067" t="n">
        <v>1</v>
      </c>
      <c r="B4928" s="1067" t="inlineStr">
        <is>
          <t>Serviço</t>
        </is>
      </c>
      <c r="C4928" s="1067" t="inlineStr">
        <is>
          <t>Pergolado com 2 pilares sustentação</t>
        </is>
      </c>
      <c r="D4928" s="1067" t="inlineStr">
        <is>
          <t>Pergolado com 2 pilares sustentação</t>
        </is>
      </c>
      <c r="E4928" s="1068" t="inlineStr">
        <is>
          <t>UN</t>
        </is>
      </c>
      <c r="F4928" s="1067" t="n"/>
      <c r="G4928" s="1069" t="n"/>
      <c r="H4928" s="1069" t="n">
        <v>31541.0873362445</v>
      </c>
      <c r="I4928" s="2161" t="n">
        <v>0</v>
      </c>
      <c r="J4928" s="2161" t="n">
        <v>0</v>
      </c>
      <c r="K4928" s="2161" t="n"/>
    </row>
    <row r="4929" outlineLevel="2" ht="15.75" customHeight="1">
      <c r="A4929" s="10" t="n">
        <v>4</v>
      </c>
      <c r="B4929" s="10" t="inlineStr">
        <is>
          <t>Insumo</t>
        </is>
      </c>
      <c r="C4929" s="10" t="inlineStr">
        <is>
          <t>Pergolado com 2 pilares sustentação</t>
        </is>
      </c>
      <c r="D4929" s="10" t="inlineStr">
        <is>
          <t>Policarbonato Compacto</t>
        </is>
      </c>
      <c r="E4929" s="11">
        <f t="array" ref="E4929">_xlfn.XLOOKUP(D4929,Insumos!B:B,Insumos!C:$C)</f>
        <v/>
      </c>
      <c r="F4929" s="14" t="n">
        <v>1</v>
      </c>
      <c r="G4929" s="92">
        <f t="array" ref="G4929">IF(B4929="insumo",_xlfn.XLOOKUP($D4929,Insumos!$B$1:$B$996,Insumos!$D$1:$D$996),"")</f>
        <v/>
      </c>
      <c r="H4929" s="92" t="n">
        <v>30657</v>
      </c>
      <c r="I4929" s="2162" t="n">
        <v>0</v>
      </c>
      <c r="J4929" s="2162" t="n">
        <v>0</v>
      </c>
      <c r="K4929" s="2162" t="n"/>
    </row>
    <row r="4930" outlineLevel="2" ht="15.75" customHeight="1">
      <c r="A4930" s="10" t="n">
        <v>3</v>
      </c>
      <c r="B4930" s="10" t="inlineStr">
        <is>
          <t>Insumo</t>
        </is>
      </c>
      <c r="C4930" s="10" t="inlineStr">
        <is>
          <t>Pergolado com 2 pilares sustentação</t>
        </is>
      </c>
      <c r="D4930" s="10" t="inlineStr">
        <is>
          <t>Estrutura horizontal</t>
        </is>
      </c>
      <c r="E4930" s="11">
        <f t="array" ref="E4930">_xlfn.XLOOKUP(D4930,Insumos!B:B,Insumos!C:$C)</f>
        <v/>
      </c>
      <c r="F4930" s="14" t="n">
        <v>1</v>
      </c>
      <c r="G4930" s="92">
        <f t="array" ref="G4930">IF(B4930="insumo",_xlfn.XLOOKUP($D4930,Insumos!$B$1:$B$996,Insumos!$D$1:$D$996),"")</f>
        <v/>
      </c>
      <c r="H4930" s="92" t="n">
        <v>120.087336244541</v>
      </c>
      <c r="I4930" s="2162" t="n">
        <v>0</v>
      </c>
      <c r="J4930" s="2162" t="n">
        <v>0</v>
      </c>
      <c r="K4930" s="2162" t="n"/>
    </row>
    <row r="4931" outlineLevel="2" ht="15.75" customHeight="1">
      <c r="A4931" s="10" t="n">
        <v>2</v>
      </c>
      <c r="B4931" s="10" t="inlineStr">
        <is>
          <t>Insumo</t>
        </is>
      </c>
      <c r="C4931" s="10" t="inlineStr">
        <is>
          <t>Pergolado com 2 pilares sustentação</t>
        </is>
      </c>
      <c r="D4931" s="10" t="inlineStr">
        <is>
          <t xml:space="preserve"> Pilar de Sustentação</t>
        </is>
      </c>
      <c r="E4931" s="11">
        <f t="array" ref="E4931">_xlfn.XLOOKUP(D4931,Insumos!B:B,Insumos!C:$C)</f>
        <v/>
      </c>
      <c r="F4931" s="14" t="n">
        <v>2</v>
      </c>
      <c r="G4931" s="92">
        <f t="array" ref="G4931">IF(B4931="insumo",_xlfn.XLOOKUP($D4931,Insumos!$B$1:$B$996,Insumos!$D$1:$D$996),"")</f>
        <v/>
      </c>
      <c r="H4931" s="92" t="n">
        <v>764</v>
      </c>
      <c r="I4931" s="2162" t="n">
        <v>0</v>
      </c>
      <c r="J4931" s="2162" t="n">
        <v>0</v>
      </c>
      <c r="K4931" s="2162" t="n"/>
    </row>
    <row r="4932" outlineLevel="1" ht="15.75" customHeight="1">
      <c r="A4932" s="1067" t="n">
        <v>1</v>
      </c>
      <c r="B4932" s="1067" t="inlineStr">
        <is>
          <t>Serviço</t>
        </is>
      </c>
      <c r="C4932" s="1067" t="inlineStr">
        <is>
          <t>Pergolado com 4 pilares sustentação</t>
        </is>
      </c>
      <c r="D4932" s="1067" t="inlineStr">
        <is>
          <t>Pergolado com 4 pilares sustentação</t>
        </is>
      </c>
      <c r="E4932" s="1068" t="inlineStr">
        <is>
          <t>UN</t>
        </is>
      </c>
      <c r="F4932" s="1067" t="n"/>
      <c r="G4932" s="1069" t="n"/>
      <c r="H4932" s="1069" t="n">
        <v>32305.0873362445</v>
      </c>
      <c r="I4932" s="2161" t="n">
        <v>0</v>
      </c>
      <c r="J4932" s="2161" t="n">
        <v>0</v>
      </c>
      <c r="K4932" s="2161" t="n"/>
    </row>
    <row r="4933" outlineLevel="2" ht="15.75" customHeight="1">
      <c r="A4933" s="10" t="n">
        <v>4</v>
      </c>
      <c r="B4933" s="10" t="inlineStr">
        <is>
          <t>Insumo</t>
        </is>
      </c>
      <c r="C4933" s="10" t="inlineStr">
        <is>
          <t>Pergolado com 4 pilares sustentação</t>
        </is>
      </c>
      <c r="D4933" s="10" t="inlineStr">
        <is>
          <t>Policarbonato Compacto</t>
        </is>
      </c>
      <c r="E4933" s="11">
        <f t="array" ref="E4933">_xlfn.XLOOKUP(D4933,Insumos!B:B,Insumos!C:$C)</f>
        <v/>
      </c>
      <c r="F4933" s="14" t="n">
        <v>1</v>
      </c>
      <c r="G4933" s="92">
        <f t="array" ref="G4933">IF(B4933="insumo",_xlfn.XLOOKUP($D4933,Insumos!$B$1:$B$996,Insumos!$D$1:$D$996),"")</f>
        <v/>
      </c>
      <c r="H4933" s="92" t="n">
        <v>30657</v>
      </c>
      <c r="I4933" s="2162" t="n">
        <v>0</v>
      </c>
      <c r="J4933" s="2162" t="n">
        <v>0</v>
      </c>
      <c r="K4933" s="2162" t="n"/>
    </row>
    <row r="4934" outlineLevel="2" ht="15.75" customHeight="1">
      <c r="A4934" s="10" t="n">
        <v>3</v>
      </c>
      <c r="B4934" s="10" t="inlineStr">
        <is>
          <t>Insumo</t>
        </is>
      </c>
      <c r="C4934" s="10" t="inlineStr">
        <is>
          <t>Pergolado com 4 pilares sustentação</t>
        </is>
      </c>
      <c r="D4934" s="10" t="inlineStr">
        <is>
          <t>Estrutura horizontal</t>
        </is>
      </c>
      <c r="E4934" s="11">
        <f t="array" ref="E4934">_xlfn.XLOOKUP(D4934,Insumos!B:B,Insumos!C:$C)</f>
        <v/>
      </c>
      <c r="F4934" s="14" t="n">
        <v>1</v>
      </c>
      <c r="G4934" s="92">
        <f t="array" ref="G4934">IF(B4934="insumo",_xlfn.XLOOKUP($D4934,Insumos!$B$1:$B$996,Insumos!$D$1:$D$996),"")</f>
        <v/>
      </c>
      <c r="H4934" s="92" t="n">
        <v>120.087336244541</v>
      </c>
      <c r="I4934" s="2162" t="n">
        <v>0</v>
      </c>
      <c r="J4934" s="2162" t="n">
        <v>0</v>
      </c>
      <c r="K4934" s="2162" t="n"/>
    </row>
    <row r="4935" outlineLevel="2" ht="15.75" customHeight="1">
      <c r="A4935" s="10" t="n">
        <v>2</v>
      </c>
      <c r="B4935" s="10" t="inlineStr">
        <is>
          <t>Insumo</t>
        </is>
      </c>
      <c r="C4935" s="10" t="inlineStr">
        <is>
          <t>Pergolado com 4 pilares sustentação</t>
        </is>
      </c>
      <c r="D4935" s="10" t="inlineStr">
        <is>
          <t xml:space="preserve"> Pilar de Sustentação</t>
        </is>
      </c>
      <c r="E4935" s="11">
        <f t="array" ref="E4935">_xlfn.XLOOKUP(D4935,Insumos!B:B,Insumos!C:$C)</f>
        <v/>
      </c>
      <c r="F4935" s="14" t="n">
        <v>4</v>
      </c>
      <c r="G4935" s="92">
        <f t="array" ref="G4935">IF(B4935="insumo",_xlfn.XLOOKUP($D4935,Insumos!$B$1:$B$996,Insumos!$D$1:$D$996),"")</f>
        <v/>
      </c>
      <c r="H4935" s="92" t="n">
        <v>1528</v>
      </c>
      <c r="I4935" s="2162" t="n">
        <v>0</v>
      </c>
      <c r="J4935" s="2162" t="n">
        <v>0</v>
      </c>
      <c r="K4935" s="2162" t="n"/>
    </row>
    <row r="4936" outlineLevel="1" ht="15.75" customHeight="1">
      <c r="A4936" s="1067" t="n">
        <v>1</v>
      </c>
      <c r="B4936" s="1067" t="inlineStr">
        <is>
          <t>Serviço</t>
        </is>
      </c>
      <c r="C4936" s="1067" t="inlineStr">
        <is>
          <t>Pergolado sem pilares sustentação</t>
        </is>
      </c>
      <c r="D4936" s="1067" t="inlineStr">
        <is>
          <t>Pergolado sem pilares sustentação</t>
        </is>
      </c>
      <c r="E4936" s="1068" t="inlineStr">
        <is>
          <t>UN</t>
        </is>
      </c>
      <c r="F4936" s="1067" t="n"/>
      <c r="G4936" s="1069" t="n"/>
      <c r="H4936" s="1069" t="n">
        <v>30777.0873362445</v>
      </c>
      <c r="I4936" s="2161" t="n">
        <v>0</v>
      </c>
      <c r="J4936" s="2161" t="n">
        <v>0</v>
      </c>
      <c r="K4936" s="2161" t="n"/>
    </row>
    <row r="4937" outlineLevel="2" ht="15.75" customHeight="1">
      <c r="A4937" s="10" t="n">
        <v>4</v>
      </c>
      <c r="B4937" s="10" t="inlineStr">
        <is>
          <t>Insumo</t>
        </is>
      </c>
      <c r="C4937" s="10" t="inlineStr">
        <is>
          <t>Pergolado sem pilares sustentação</t>
        </is>
      </c>
      <c r="D4937" s="10" t="inlineStr">
        <is>
          <t>Policarbonato Compacto</t>
        </is>
      </c>
      <c r="E4937" s="11">
        <f t="array" ref="E4937">_xlfn.XLOOKUP(D4937,Insumos!B:B,Insumos!C:$C)</f>
        <v/>
      </c>
      <c r="F4937" s="14" t="n">
        <v>1</v>
      </c>
      <c r="G4937" s="92">
        <f t="array" ref="G4937">IF(B4937="insumo",_xlfn.XLOOKUP($D4937,Insumos!$B$1:$B$996,Insumos!$D$1:$D$996),"")</f>
        <v/>
      </c>
      <c r="H4937" s="92" t="n">
        <v>30657</v>
      </c>
      <c r="I4937" s="2162" t="n">
        <v>0</v>
      </c>
      <c r="J4937" s="2162" t="n">
        <v>0</v>
      </c>
      <c r="K4937" s="2162" t="n"/>
    </row>
    <row r="4938" outlineLevel="2" ht="15.75" customHeight="1">
      <c r="A4938" s="10" t="n">
        <v>3</v>
      </c>
      <c r="B4938" s="10" t="inlineStr">
        <is>
          <t>Insumo</t>
        </is>
      </c>
      <c r="C4938" s="10" t="inlineStr">
        <is>
          <t>Pergolado sem pilares sustentação</t>
        </is>
      </c>
      <c r="D4938" s="10" t="inlineStr">
        <is>
          <t>Estrutura horizontal</t>
        </is>
      </c>
      <c r="E4938" s="11">
        <f t="array" ref="E4938">_xlfn.XLOOKUP(D4938,Insumos!B:B,Insumos!C:$C)</f>
        <v/>
      </c>
      <c r="F4938" s="14" t="n">
        <v>1</v>
      </c>
      <c r="G4938" s="92">
        <f t="array" ref="G4938">IF(B4938="insumo",_xlfn.XLOOKUP($D4938,Insumos!$B$1:$B$996,Insumos!$D$1:$D$996),"")</f>
        <v/>
      </c>
      <c r="H4938" s="92" t="n">
        <v>120.087336244541</v>
      </c>
      <c r="I4938" s="2162" t="n">
        <v>0</v>
      </c>
      <c r="J4938" s="2162" t="n">
        <v>0</v>
      </c>
      <c r="K4938" s="2162" t="n"/>
    </row>
    <row r="4939" outlineLevel="1" ht="15.75" customHeight="1">
      <c r="A4939" s="1067" t="n">
        <v>1</v>
      </c>
      <c r="B4939" s="1067" t="inlineStr">
        <is>
          <t>Serviço</t>
        </is>
      </c>
      <c r="C4939" s="1067" t="inlineStr">
        <is>
          <t>Mão de obra coberturas</t>
        </is>
      </c>
      <c r="D4939" s="1067" t="inlineStr">
        <is>
          <t>Mão de obra coberturas</t>
        </is>
      </c>
      <c r="E4939" s="1068" t="inlineStr">
        <is>
          <t>M2</t>
        </is>
      </c>
      <c r="F4939" s="1075" t="n"/>
      <c r="G4939" s="1069">
        <f t="array" ref="G4939">IF(B4939="insumo",_xlfn.XLOOKUP($D4939,Insumos!$B$1:$B$996,Insumos!$D$1:$D$996),"")</f>
        <v/>
      </c>
      <c r="H4939" s="1069" t="n">
        <v>220</v>
      </c>
      <c r="I4939" s="2161" t="n">
        <v>0</v>
      </c>
      <c r="J4939" s="2161" t="n">
        <v>0</v>
      </c>
      <c r="K4939" s="2161" t="n"/>
    </row>
    <row r="4940" outlineLevel="2" ht="15.75" customHeight="1">
      <c r="A4940" s="10" t="n">
        <v>1</v>
      </c>
      <c r="B4940" s="10" t="inlineStr">
        <is>
          <t>Insumo</t>
        </is>
      </c>
      <c r="C4940" s="10" t="inlineStr">
        <is>
          <t>Mão de obra coberturas</t>
        </is>
      </c>
      <c r="D4940" s="10" t="inlineStr">
        <is>
          <t>Mão de obra coberturas</t>
        </is>
      </c>
      <c r="E4940" s="11">
        <f t="array" ref="E4940">_xlfn.XLOOKUP(D4940,Insumos!B:B,Insumos!C:$C)</f>
        <v/>
      </c>
      <c r="F4940" s="14" t="n">
        <v>1</v>
      </c>
      <c r="G4940" s="92">
        <f t="array" ref="G4940">IF(B4940="insumo",_xlfn.XLOOKUP($D4940,Insumos!$B$1:$B$996,Insumos!$D$1:$D$996),"")</f>
        <v/>
      </c>
      <c r="H4940" s="92" t="n">
        <v>220</v>
      </c>
      <c r="I4940" s="2162" t="n">
        <v>0</v>
      </c>
      <c r="J4940" s="2162" t="n">
        <v>0</v>
      </c>
      <c r="K4940" s="2162" t="n"/>
    </row>
    <row r="4941" ht="15.75" customHeight="1">
      <c r="A4941" s="7" t="n">
        <v>1</v>
      </c>
      <c r="B4941" s="7" t="inlineStr">
        <is>
          <t>Etapa</t>
        </is>
      </c>
      <c r="C4941" s="7" t="inlineStr">
        <is>
          <t>Mão de obra coberturas</t>
        </is>
      </c>
      <c r="D4941" s="7" t="inlineStr">
        <is>
          <t>PAVIMENTAÇÃO EXTERNA</t>
        </is>
      </c>
      <c r="E4941" s="8" t="n"/>
      <c r="F4941" s="2159" t="n"/>
      <c r="G4941" s="91">
        <f t="array" ref="G4941">IF(B4941="insumo",_xlfn.XLOOKUP($D4941,Insumos!$B$1:$B$996,Insumos!$D$1:$D$996),"")</f>
        <v/>
      </c>
      <c r="H4941" s="91" t="n">
        <v>0</v>
      </c>
      <c r="I4941" s="2159" t="n">
        <v>0</v>
      </c>
      <c r="J4941" s="2159" t="n">
        <v>0</v>
      </c>
      <c r="K4941" s="2159" t="n"/>
    </row>
    <row r="4942" outlineLevel="1" ht="15.75" customHeight="1">
      <c r="A4942" s="1067" t="n">
        <v>1</v>
      </c>
      <c r="B4942" s="1067" t="inlineStr">
        <is>
          <t>Serviço</t>
        </is>
      </c>
      <c r="C4942" s="1067" t="inlineStr">
        <is>
          <t>Execução Rede Elétrica  (Produtividade 300m/dia)</t>
        </is>
      </c>
      <c r="D4942" s="1067" t="inlineStr">
        <is>
          <t>Execução Rede Elétrica  (Produtividade 300m/dia)</t>
        </is>
      </c>
      <c r="E4942" s="1068" t="inlineStr">
        <is>
          <t>M</t>
        </is>
      </c>
      <c r="F4942" s="1067" t="n"/>
      <c r="G4942" s="1069">
        <f t="array" ref="G4942">IF(B4942="insumo",_xlfn.XLOOKUP($D4942,Insumos!$B$1:$B$996,Insumos!$D$1:$D$996),"")</f>
        <v/>
      </c>
      <c r="H4942" s="1069" t="n">
        <v>7.3973</v>
      </c>
      <c r="I4942" s="2161" t="n">
        <v>0</v>
      </c>
      <c r="J4942" s="2161" t="n">
        <v>0</v>
      </c>
      <c r="K4942" s="2161" t="n"/>
    </row>
    <row r="4943" outlineLevel="2" ht="15.75" customHeight="1">
      <c r="A4943" s="10" t="n">
        <v>4</v>
      </c>
      <c r="B4943" s="10" t="inlineStr">
        <is>
          <t>Insumo</t>
        </is>
      </c>
      <c r="C4943" s="10" t="inlineStr">
        <is>
          <t>Execução Rede Elétrica  (Produtividade 300m/dia)</t>
        </is>
      </c>
      <c r="D4943" s="10" t="inlineStr">
        <is>
          <t>Retro case 580 traçada 2009</t>
        </is>
      </c>
      <c r="E4943" s="11">
        <f t="array" ref="E4943">_xlfn.XLOOKUP(D4943,Insumos!B:B,Insumos!C:$C)</f>
        <v/>
      </c>
      <c r="F4943" s="14" t="n">
        <v>0.0005470000000000001</v>
      </c>
      <c r="G4943" s="92">
        <f t="array" ref="G4943">IF(B4943="insumo",_xlfn.XLOOKUP($D4943,Insumos!$B$1:$B$996,Insumos!$D$1:$D$996),"")</f>
        <v/>
      </c>
      <c r="H4943" s="92" t="n">
        <v>0.8205</v>
      </c>
      <c r="I4943" s="2162" t="n">
        <v>0</v>
      </c>
      <c r="J4943" s="2162" t="n">
        <v>0</v>
      </c>
      <c r="K4943" s="2162" t="n"/>
    </row>
    <row r="4944" outlineLevel="2" ht="15.75" customHeight="1">
      <c r="A4944" s="10" t="n">
        <v>4</v>
      </c>
      <c r="B4944" s="10" t="inlineStr">
        <is>
          <t>Insumo</t>
        </is>
      </c>
      <c r="C4944" s="10" t="inlineStr">
        <is>
          <t>Execução Rede Elétrica  (Produtividade 300m/dia)</t>
        </is>
      </c>
      <c r="D4944" s="10" t="inlineStr">
        <is>
          <t>Escavadeira 8T link belt 80SA BANYNN</t>
        </is>
      </c>
      <c r="E4944" s="11">
        <f t="array" ref="E4944">_xlfn.XLOOKUP(D4944,Insumos!B:B,Insumos!C:$C)</f>
        <v/>
      </c>
      <c r="F4944" s="14" t="n">
        <v>0.000257</v>
      </c>
      <c r="G4944" s="92">
        <f t="array" ref="G4944">IF(B4944="insumo",_xlfn.XLOOKUP($D4944,Insumos!$B$1:$B$996,Insumos!$D$1:$D$996),"")</f>
        <v/>
      </c>
      <c r="H4944" s="92" t="n">
        <v>0.8224</v>
      </c>
      <c r="I4944" s="2162" t="n">
        <v>0</v>
      </c>
      <c r="J4944" s="2162" t="n">
        <v>0</v>
      </c>
      <c r="K4944" s="2162" t="n"/>
    </row>
    <row r="4945" outlineLevel="2" ht="15.75" customHeight="1">
      <c r="A4945" s="10" t="n">
        <v>7</v>
      </c>
      <c r="B4945" s="10" t="inlineStr">
        <is>
          <t>Insumo</t>
        </is>
      </c>
      <c r="C4945" s="10" t="inlineStr">
        <is>
          <t>Execução Rede Elétrica  (Produtividade 300m/dia)</t>
        </is>
      </c>
      <c r="D4945" s="10" t="inlineStr">
        <is>
          <t>Operador de máquina 2</t>
        </is>
      </c>
      <c r="E4945" s="11">
        <f t="array" ref="E4945">_xlfn.XLOOKUP(D4945,Insumos!B:B,Insumos!C:$C)</f>
        <v/>
      </c>
      <c r="F4945" s="14" t="n">
        <v>0.000357</v>
      </c>
      <c r="G4945" s="92">
        <f t="array" ref="G4945">IF(B4945="insumo",_xlfn.XLOOKUP($D4945,Insumos!$B$1:$B$996,Insumos!$D$1:$D$996),"")</f>
        <v/>
      </c>
      <c r="H4945" s="92" t="n">
        <v>1.23165</v>
      </c>
      <c r="I4945" s="2162" t="n">
        <v>0</v>
      </c>
      <c r="J4945" s="2162" t="n">
        <v>0</v>
      </c>
      <c r="K4945" s="2162" t="n"/>
    </row>
    <row r="4946" outlineLevel="2" ht="15.75" customHeight="1">
      <c r="A4946" s="10" t="n">
        <v>4</v>
      </c>
      <c r="B4946" s="10" t="inlineStr">
        <is>
          <t>Insumo</t>
        </is>
      </c>
      <c r="C4946" s="10" t="inlineStr">
        <is>
          <t>Execução Rede Elétrica  (Produtividade 300m/dia)</t>
        </is>
      </c>
      <c r="D4946" s="10" t="inlineStr">
        <is>
          <t>Operador de máquina 3</t>
        </is>
      </c>
      <c r="E4946" s="11">
        <f t="array" ref="E4946">_xlfn.XLOOKUP(D4946,Insumos!B:B,Insumos!C:$C)</f>
        <v/>
      </c>
      <c r="F4946" s="14" t="n">
        <v>0.000246</v>
      </c>
      <c r="G4946" s="92">
        <f t="array" ref="G4946">IF(B4946="insumo",_xlfn.XLOOKUP($D4946,Insumos!$B$1:$B$996,Insumos!$D$1:$D$996),"")</f>
        <v/>
      </c>
      <c r="H4946" s="92" t="n">
        <v>1.23</v>
      </c>
      <c r="I4946" s="2162" t="n">
        <v>0</v>
      </c>
      <c r="J4946" s="2162" t="n">
        <v>0</v>
      </c>
      <c r="K4946" s="2162" t="n"/>
    </row>
    <row r="4947" outlineLevel="2" ht="15.75" customHeight="1">
      <c r="A4947" s="10" t="n">
        <v>4</v>
      </c>
      <c r="B4947" s="10" t="inlineStr">
        <is>
          <t>Insumo</t>
        </is>
      </c>
      <c r="C4947" s="10" t="inlineStr">
        <is>
          <t>Execução Rede Elétrica  (Produtividade 300m/dia)</t>
        </is>
      </c>
      <c r="D4947" s="10" t="inlineStr">
        <is>
          <t>Mestre 1</t>
        </is>
      </c>
      <c r="E4947" s="11">
        <f t="array" ref="E4947">_xlfn.XLOOKUP(D4947,Insumos!B:B,Insumos!C:$C)</f>
        <v/>
      </c>
      <c r="F4947" s="14" t="n">
        <v>0.000181</v>
      </c>
      <c r="G4947" s="92">
        <f t="array" ref="G4947">IF(B4947="insumo",_xlfn.XLOOKUP($D4947,Insumos!$B$1:$B$996,Insumos!$D$1:$D$996),"")</f>
        <v/>
      </c>
      <c r="H4947" s="92" t="n">
        <v>0.82355</v>
      </c>
      <c r="I4947" s="2162" t="n">
        <v>0</v>
      </c>
      <c r="J4947" s="2162" t="n">
        <v>0</v>
      </c>
      <c r="K4947" s="2162" t="n"/>
    </row>
    <row r="4948" outlineLevel="2" ht="15.75" customHeight="1">
      <c r="A4948" s="10" t="n">
        <v>4</v>
      </c>
      <c r="B4948" s="10" t="inlineStr">
        <is>
          <t>Insumo</t>
        </is>
      </c>
      <c r="C4948" s="10" t="inlineStr">
        <is>
          <t>Execução Rede Elétrica  (Produtividade 300m/dia)</t>
        </is>
      </c>
      <c r="D4948" s="10" t="inlineStr">
        <is>
          <t>Oficial 1</t>
        </is>
      </c>
      <c r="E4948" s="11">
        <f t="array" ref="E4948">_xlfn.XLOOKUP(D4948,Insumos!B:B,Insumos!C:$C)</f>
        <v/>
      </c>
      <c r="F4948" s="14" t="n">
        <v>0.000392</v>
      </c>
      <c r="G4948" s="92">
        <f t="array" ref="G4948">IF(B4948="insumo",_xlfn.XLOOKUP($D4948,Insumos!$B$1:$B$996,Insumos!$D$1:$D$996),"")</f>
        <v/>
      </c>
      <c r="H4948" s="92" t="n">
        <v>1.6464</v>
      </c>
      <c r="I4948" s="2162" t="n">
        <v>0</v>
      </c>
      <c r="J4948" s="2162" t="n">
        <v>0</v>
      </c>
      <c r="K4948" s="2162" t="n"/>
    </row>
    <row r="4949" outlineLevel="2" ht="15.75" customHeight="1">
      <c r="A4949" s="10" t="n">
        <v>4</v>
      </c>
      <c r="B4949" s="10" t="inlineStr">
        <is>
          <t>Insumo</t>
        </is>
      </c>
      <c r="C4949" s="10" t="inlineStr">
        <is>
          <t>Execução Rede Elétrica  (Produtividade 300m/dia)</t>
        </is>
      </c>
      <c r="D4949" s="10" t="inlineStr">
        <is>
          <t>Meio Oficial 1</t>
        </is>
      </c>
      <c r="E4949" s="11">
        <f t="array" ref="E4949">_xlfn.XLOOKUP(D4949,Insumos!B:B,Insumos!C:$C)</f>
        <v/>
      </c>
      <c r="F4949" s="14" t="n">
        <v>0.000242</v>
      </c>
      <c r="G4949" s="92">
        <f t="array" ref="G4949">IF(B4949="insumo",_xlfn.XLOOKUP($D4949,Insumos!$B$1:$B$996,Insumos!$D$1:$D$996),"")</f>
        <v/>
      </c>
      <c r="H4949" s="92" t="n">
        <v>0.8228</v>
      </c>
      <c r="I4949" s="2162" t="n">
        <v>0</v>
      </c>
      <c r="J4949" s="2162" t="n">
        <v>0</v>
      </c>
      <c r="K4949" s="2162" t="n"/>
    </row>
    <row r="4950" outlineLevel="1" ht="15.75" customHeight="1">
      <c r="A4950" s="1067" t="n">
        <v>1</v>
      </c>
      <c r="B4950" s="1067" t="inlineStr">
        <is>
          <t>Serviço</t>
        </is>
      </c>
      <c r="C4950" s="1067" t="inlineStr">
        <is>
          <t>Execução Rede de Drenagem  (Produtividade 200m/dia)</t>
        </is>
      </c>
      <c r="D4950" s="1067" t="inlineStr">
        <is>
          <t>Execução Rede de Drenagem  (Produtividade 200m/dia)</t>
        </is>
      </c>
      <c r="E4950" s="1068" t="inlineStr">
        <is>
          <t>M</t>
        </is>
      </c>
      <c r="F4950" s="1067" t="n"/>
      <c r="G4950" s="1069">
        <f t="array" ref="G4950">IF(B4950="insumo",_xlfn.XLOOKUP($D4950,Insumos!$B$1:$B$996,Insumos!$D$1:$D$996),"")</f>
        <v/>
      </c>
      <c r="H4950" s="1069" t="n">
        <v>9.845499999999999</v>
      </c>
      <c r="I4950" s="2161" t="n">
        <v>0</v>
      </c>
      <c r="J4950" s="2161" t="n">
        <v>0</v>
      </c>
      <c r="K4950" s="2161" t="n"/>
    </row>
    <row r="4951" outlineLevel="2" ht="15.75" customHeight="1">
      <c r="A4951" s="10" t="n">
        <v>4</v>
      </c>
      <c r="B4951" s="10" t="inlineStr">
        <is>
          <t>Insumo</t>
        </is>
      </c>
      <c r="C4951" s="10" t="inlineStr">
        <is>
          <t>Execução Rede de Drenagem  (Produtividade 200m/dia)</t>
        </is>
      </c>
      <c r="D4951" s="10" t="inlineStr">
        <is>
          <t>Retro case 580 traçada 2009</t>
        </is>
      </c>
      <c r="E4951" s="11">
        <f t="array" ref="E4951">_xlfn.XLOOKUP(D4951,Insumos!B:B,Insumos!C:$C)</f>
        <v/>
      </c>
      <c r="F4951" s="14" t="n">
        <v>0.00082</v>
      </c>
      <c r="G4951" s="92">
        <f t="array" ref="G4951">IF(B4951="insumo",_xlfn.XLOOKUP($D4951,Insumos!$B$1:$B$996,Insumos!$D$1:$D$996),"")</f>
        <v/>
      </c>
      <c r="H4951" s="92" t="n">
        <v>1.23</v>
      </c>
      <c r="I4951" s="2162" t="n">
        <v>0</v>
      </c>
      <c r="J4951" s="2162" t="n">
        <v>0</v>
      </c>
      <c r="K4951" s="2162" t="n"/>
    </row>
    <row r="4952" outlineLevel="2" ht="15.75" customHeight="1">
      <c r="A4952" s="10" t="n">
        <v>4</v>
      </c>
      <c r="B4952" s="10" t="inlineStr">
        <is>
          <t>Insumo</t>
        </is>
      </c>
      <c r="C4952" s="10" t="inlineStr">
        <is>
          <t>Execução Rede de Drenagem  (Produtividade 200m/dia)</t>
        </is>
      </c>
      <c r="D4952" s="10" t="inlineStr">
        <is>
          <t>Escavadeira 8T link belt 80SA BANYNN</t>
        </is>
      </c>
      <c r="E4952" s="11">
        <f t="array" ref="E4952">_xlfn.XLOOKUP(D4952,Insumos!B:B,Insumos!C:$C)</f>
        <v/>
      </c>
      <c r="F4952" s="14" t="n">
        <v>0.000384</v>
      </c>
      <c r="G4952" s="92">
        <f t="array" ref="G4952">IF(B4952="insumo",_xlfn.XLOOKUP($D4952,Insumos!$B$1:$B$996,Insumos!$D$1:$D$996),"")</f>
        <v/>
      </c>
      <c r="H4952" s="92" t="n">
        <v>1.2288</v>
      </c>
      <c r="I4952" s="2162" t="n">
        <v>0</v>
      </c>
      <c r="J4952" s="2162" t="n">
        <v>0</v>
      </c>
      <c r="K4952" s="2162" t="n"/>
    </row>
    <row r="4953" outlineLevel="2" ht="15.75" customHeight="1">
      <c r="A4953" s="10" t="n">
        <v>7</v>
      </c>
      <c r="B4953" s="10" t="inlineStr">
        <is>
          <t>Insumo</t>
        </is>
      </c>
      <c r="C4953" s="10" t="inlineStr">
        <is>
          <t>Execução Rede de Drenagem  (Produtividade 200m/dia)</t>
        </is>
      </c>
      <c r="D4953" s="10" t="inlineStr">
        <is>
          <t>Operador de máquina 2</t>
        </is>
      </c>
      <c r="E4953" s="11">
        <f t="array" ref="E4953">_xlfn.XLOOKUP(D4953,Insumos!B:B,Insumos!C:$C)</f>
        <v/>
      </c>
      <c r="F4953" s="14" t="n">
        <v>0.000357</v>
      </c>
      <c r="G4953" s="92">
        <f t="array" ref="G4953">IF(B4953="insumo",_xlfn.XLOOKUP($D4953,Insumos!$B$1:$B$996,Insumos!$D$1:$D$996),"")</f>
        <v/>
      </c>
      <c r="H4953" s="92" t="n">
        <v>1.23165</v>
      </c>
      <c r="I4953" s="2162" t="n">
        <v>0</v>
      </c>
      <c r="J4953" s="2162" t="n">
        <v>0</v>
      </c>
      <c r="K4953" s="2162" t="n"/>
    </row>
    <row r="4954" outlineLevel="2" ht="15.75" customHeight="1">
      <c r="A4954" s="10" t="n">
        <v>4</v>
      </c>
      <c r="B4954" s="10" t="inlineStr">
        <is>
          <t>Insumo</t>
        </is>
      </c>
      <c r="C4954" s="10" t="inlineStr">
        <is>
          <t>Execução Rede de Drenagem  (Produtividade 200m/dia)</t>
        </is>
      </c>
      <c r="D4954" s="10" t="inlineStr">
        <is>
          <t>Operador de máquina 3</t>
        </is>
      </c>
      <c r="E4954" s="11">
        <f t="array" ref="E4954">_xlfn.XLOOKUP(D4954,Insumos!B:B,Insumos!C:$C)</f>
        <v/>
      </c>
      <c r="F4954" s="14" t="n">
        <v>0.000246</v>
      </c>
      <c r="G4954" s="92">
        <f t="array" ref="G4954">IF(B4954="insumo",_xlfn.XLOOKUP($D4954,Insumos!$B$1:$B$996,Insumos!$D$1:$D$996),"")</f>
        <v/>
      </c>
      <c r="H4954" s="92" t="n">
        <v>1.23</v>
      </c>
      <c r="I4954" s="2162" t="n">
        <v>0</v>
      </c>
      <c r="J4954" s="2162" t="n">
        <v>0</v>
      </c>
      <c r="K4954" s="2162" t="n"/>
    </row>
    <row r="4955" outlineLevel="2" ht="15.75" customHeight="1">
      <c r="A4955" s="10" t="n">
        <v>4</v>
      </c>
      <c r="B4955" s="10" t="inlineStr">
        <is>
          <t>Insumo</t>
        </is>
      </c>
      <c r="C4955" s="10" t="inlineStr">
        <is>
          <t>Execução Rede de Drenagem  (Produtividade 200m/dia)</t>
        </is>
      </c>
      <c r="D4955" s="10" t="inlineStr">
        <is>
          <t>Mestre 1</t>
        </is>
      </c>
      <c r="E4955" s="11">
        <f t="array" ref="E4955">_xlfn.XLOOKUP(D4955,Insumos!B:B,Insumos!C:$C)</f>
        <v/>
      </c>
      <c r="F4955" s="14" t="n">
        <v>0.000271</v>
      </c>
      <c r="G4955" s="92">
        <f t="array" ref="G4955">IF(B4955="insumo",_xlfn.XLOOKUP($D4955,Insumos!$B$1:$B$996,Insumos!$D$1:$D$996),"")</f>
        <v/>
      </c>
      <c r="H4955" s="92" t="n">
        <v>1.23305</v>
      </c>
      <c r="I4955" s="2162" t="n">
        <v>0</v>
      </c>
      <c r="J4955" s="2162" t="n">
        <v>0</v>
      </c>
      <c r="K4955" s="2162" t="n"/>
    </row>
    <row r="4956" outlineLevel="2" ht="15.75" customHeight="1">
      <c r="A4956" s="10" t="n">
        <v>4</v>
      </c>
      <c r="B4956" s="10" t="inlineStr">
        <is>
          <t>Insumo</t>
        </is>
      </c>
      <c r="C4956" s="10" t="inlineStr">
        <is>
          <t>Execução Rede de Drenagem  (Produtividade 200m/dia)</t>
        </is>
      </c>
      <c r="D4956" s="10" t="inlineStr">
        <is>
          <t>Oficial 1</t>
        </is>
      </c>
      <c r="E4956" s="11">
        <f t="array" ref="E4956">_xlfn.XLOOKUP(D4956,Insumos!B:B,Insumos!C:$C)</f>
        <v/>
      </c>
      <c r="F4956" s="14" t="n">
        <v>0.000586</v>
      </c>
      <c r="G4956" s="92">
        <f t="array" ref="G4956">IF(B4956="insumo",_xlfn.XLOOKUP($D4956,Insumos!$B$1:$B$996,Insumos!$D$1:$D$996),"")</f>
        <v/>
      </c>
      <c r="H4956" s="92" t="n">
        <v>2.4612</v>
      </c>
      <c r="I4956" s="2162" t="n">
        <v>0</v>
      </c>
      <c r="J4956" s="2162" t="n">
        <v>0</v>
      </c>
      <c r="K4956" s="2162" t="n"/>
    </row>
    <row r="4957" outlineLevel="2" ht="15.75" customHeight="1">
      <c r="A4957" s="10" t="n">
        <v>4</v>
      </c>
      <c r="B4957" s="10" t="inlineStr">
        <is>
          <t>Insumo</t>
        </is>
      </c>
      <c r="C4957" s="10" t="inlineStr">
        <is>
          <t>Execução Rede de Drenagem  (Produtividade 200m/dia)</t>
        </is>
      </c>
      <c r="D4957" s="10" t="inlineStr">
        <is>
          <t>Meio Oficial 1</t>
        </is>
      </c>
      <c r="E4957" s="11">
        <f t="array" ref="E4957">_xlfn.XLOOKUP(D4957,Insumos!B:B,Insumos!C:$C)</f>
        <v/>
      </c>
      <c r="F4957" s="14" t="n">
        <v>0.000362</v>
      </c>
      <c r="G4957" s="92">
        <f t="array" ref="G4957">IF(B4957="insumo",_xlfn.XLOOKUP($D4957,Insumos!$B$1:$B$996,Insumos!$D$1:$D$996),"")</f>
        <v/>
      </c>
      <c r="H4957" s="92" t="n">
        <v>1.2308</v>
      </c>
      <c r="I4957" s="2162" t="n">
        <v>0</v>
      </c>
      <c r="J4957" s="2162" t="n">
        <v>0</v>
      </c>
      <c r="K4957" s="2162" t="n"/>
    </row>
    <row r="4958" outlineLevel="1" ht="15.75" customHeight="1">
      <c r="A4958" s="1067" t="n">
        <v>1</v>
      </c>
      <c r="B4958" s="1067" t="inlineStr">
        <is>
          <t>Serviço</t>
        </is>
      </c>
      <c r="C4958" s="1067" t="inlineStr">
        <is>
          <t>Execução Rede água  (Produtividade 300m/dia)</t>
        </is>
      </c>
      <c r="D4958" s="1067" t="inlineStr">
        <is>
          <t>Execução Rede água  (Produtividade 300m/dia)</t>
        </is>
      </c>
      <c r="E4958" s="1068" t="inlineStr">
        <is>
          <t>M</t>
        </is>
      </c>
      <c r="F4958" s="1067" t="n"/>
      <c r="G4958" s="1069">
        <f t="array" ref="G4958">IF(B4958="insumo",_xlfn.XLOOKUP($D4958,Insumos!$B$1:$B$996,Insumos!$D$1:$D$996),"")</f>
        <v/>
      </c>
      <c r="H4958" s="1069" t="n">
        <v>7.3973</v>
      </c>
      <c r="I4958" s="2161" t="n">
        <v>0</v>
      </c>
      <c r="J4958" s="2161" t="n">
        <v>0</v>
      </c>
      <c r="K4958" s="2161" t="n"/>
    </row>
    <row r="4959" outlineLevel="2" ht="15.75" customHeight="1">
      <c r="A4959" s="10" t="n">
        <v>4</v>
      </c>
      <c r="B4959" s="10" t="inlineStr">
        <is>
          <t>Insumo</t>
        </is>
      </c>
      <c r="C4959" s="10" t="inlineStr">
        <is>
          <t>Execução Rede água  (Produtividade 300m/dia)</t>
        </is>
      </c>
      <c r="D4959" s="10" t="inlineStr">
        <is>
          <t>Retro case 580 traçada 2009</t>
        </is>
      </c>
      <c r="E4959" s="11">
        <f t="array" ref="E4959">_xlfn.XLOOKUP(D4959,Insumos!B:B,Insumos!C:$C)</f>
        <v/>
      </c>
      <c r="F4959" s="14" t="n">
        <v>0.0005470000000000001</v>
      </c>
      <c r="G4959" s="92">
        <f t="array" ref="G4959">IF(B4959="insumo",_xlfn.XLOOKUP($D4959,Insumos!$B$1:$B$996,Insumos!$D$1:$D$996),"")</f>
        <v/>
      </c>
      <c r="H4959" s="92" t="n">
        <v>0.8205</v>
      </c>
      <c r="I4959" s="2162" t="n">
        <v>0</v>
      </c>
      <c r="J4959" s="2162" t="n">
        <v>0</v>
      </c>
      <c r="K4959" s="2162" t="n"/>
    </row>
    <row r="4960" outlineLevel="2" ht="15.75" customHeight="1">
      <c r="A4960" s="10" t="n">
        <v>4</v>
      </c>
      <c r="B4960" s="10" t="inlineStr">
        <is>
          <t>Insumo</t>
        </is>
      </c>
      <c r="C4960" s="10" t="inlineStr">
        <is>
          <t>Execução Rede água  (Produtividade 300m/dia)</t>
        </is>
      </c>
      <c r="D4960" s="10" t="inlineStr">
        <is>
          <t>Escavadeira 8T link belt 80SA BANYNN</t>
        </is>
      </c>
      <c r="E4960" s="11">
        <f t="array" ref="E4960">_xlfn.XLOOKUP(D4960,Insumos!B:B,Insumos!C:$C)</f>
        <v/>
      </c>
      <c r="F4960" s="14" t="n">
        <v>0.000257</v>
      </c>
      <c r="G4960" s="92">
        <f t="array" ref="G4960">IF(B4960="insumo",_xlfn.XLOOKUP($D4960,Insumos!$B$1:$B$996,Insumos!$D$1:$D$996),"")</f>
        <v/>
      </c>
      <c r="H4960" s="92" t="n">
        <v>0.8224</v>
      </c>
      <c r="I4960" s="2162" t="n">
        <v>0</v>
      </c>
      <c r="J4960" s="2162" t="n">
        <v>0</v>
      </c>
      <c r="K4960" s="2162" t="n"/>
    </row>
    <row r="4961" outlineLevel="2" ht="15.75" customHeight="1">
      <c r="A4961" s="10" t="n">
        <v>7</v>
      </c>
      <c r="B4961" s="10" t="inlineStr">
        <is>
          <t>Insumo</t>
        </is>
      </c>
      <c r="C4961" s="10" t="inlineStr">
        <is>
          <t>Execução Rede água  (Produtividade 300m/dia)</t>
        </is>
      </c>
      <c r="D4961" s="10" t="inlineStr">
        <is>
          <t>Operador de máquina 2</t>
        </is>
      </c>
      <c r="E4961" s="11">
        <f t="array" ref="E4961">_xlfn.XLOOKUP(D4961,Insumos!B:B,Insumos!C:$C)</f>
        <v/>
      </c>
      <c r="F4961" s="14" t="n">
        <v>0.000357</v>
      </c>
      <c r="G4961" s="92">
        <f t="array" ref="G4961">IF(B4961="insumo",_xlfn.XLOOKUP($D4961,Insumos!$B$1:$B$996,Insumos!$D$1:$D$996),"")</f>
        <v/>
      </c>
      <c r="H4961" s="92" t="n">
        <v>1.23165</v>
      </c>
      <c r="I4961" s="2162" t="n">
        <v>0</v>
      </c>
      <c r="J4961" s="2162" t="n">
        <v>0</v>
      </c>
      <c r="K4961" s="2162" t="n"/>
    </row>
    <row r="4962" outlineLevel="2" ht="15.75" customHeight="1">
      <c r="A4962" s="10" t="n">
        <v>4</v>
      </c>
      <c r="B4962" s="10" t="inlineStr">
        <is>
          <t>Insumo</t>
        </is>
      </c>
      <c r="C4962" s="10" t="inlineStr">
        <is>
          <t>Execução Rede água  (Produtividade 300m/dia)</t>
        </is>
      </c>
      <c r="D4962" s="10" t="inlineStr">
        <is>
          <t>Operador de máquina 3</t>
        </is>
      </c>
      <c r="E4962" s="11">
        <f t="array" ref="E4962">_xlfn.XLOOKUP(D4962,Insumos!B:B,Insumos!C:$C)</f>
        <v/>
      </c>
      <c r="F4962" s="14" t="n">
        <v>0.000246</v>
      </c>
      <c r="G4962" s="92">
        <f t="array" ref="G4962">IF(B4962="insumo",_xlfn.XLOOKUP($D4962,Insumos!$B$1:$B$996,Insumos!$D$1:$D$996),"")</f>
        <v/>
      </c>
      <c r="H4962" s="92" t="n">
        <v>1.23</v>
      </c>
      <c r="I4962" s="2162" t="n">
        <v>0</v>
      </c>
      <c r="J4962" s="2162" t="n">
        <v>0</v>
      </c>
      <c r="K4962" s="2162" t="n"/>
    </row>
    <row r="4963" outlineLevel="2" ht="15.75" customHeight="1">
      <c r="A4963" s="10" t="n">
        <v>4</v>
      </c>
      <c r="B4963" s="10" t="inlineStr">
        <is>
          <t>Insumo</t>
        </is>
      </c>
      <c r="C4963" s="10" t="inlineStr">
        <is>
          <t>Execução Rede água  (Produtividade 300m/dia)</t>
        </is>
      </c>
      <c r="D4963" s="10" t="inlineStr">
        <is>
          <t>Mestre 1</t>
        </is>
      </c>
      <c r="E4963" s="11">
        <f t="array" ref="E4963">_xlfn.XLOOKUP(D4963,Insumos!B:B,Insumos!C:$C)</f>
        <v/>
      </c>
      <c r="F4963" s="14" t="n">
        <v>0.000181</v>
      </c>
      <c r="G4963" s="92">
        <f t="array" ref="G4963">IF(B4963="insumo",_xlfn.XLOOKUP($D4963,Insumos!$B$1:$B$996,Insumos!$D$1:$D$996),"")</f>
        <v/>
      </c>
      <c r="H4963" s="92" t="n">
        <v>0.82355</v>
      </c>
      <c r="I4963" s="2162" t="n">
        <v>0</v>
      </c>
      <c r="J4963" s="2162" t="n">
        <v>0</v>
      </c>
      <c r="K4963" s="2162" t="n"/>
    </row>
    <row r="4964" outlineLevel="2" ht="15.75" customHeight="1">
      <c r="A4964" s="10" t="n">
        <v>4</v>
      </c>
      <c r="B4964" s="10" t="inlineStr">
        <is>
          <t>Insumo</t>
        </is>
      </c>
      <c r="C4964" s="10" t="inlineStr">
        <is>
          <t>Execução Rede água  (Produtividade 300m/dia)</t>
        </is>
      </c>
      <c r="D4964" s="10" t="inlineStr">
        <is>
          <t>Oficial 1</t>
        </is>
      </c>
      <c r="E4964" s="11">
        <f t="array" ref="E4964">_xlfn.XLOOKUP(D4964,Insumos!B:B,Insumos!C:$C)</f>
        <v/>
      </c>
      <c r="F4964" s="14" t="n">
        <v>0.000392</v>
      </c>
      <c r="G4964" s="92">
        <f t="array" ref="G4964">IF(B4964="insumo",_xlfn.XLOOKUP($D4964,Insumos!$B$1:$B$996,Insumos!$D$1:$D$996),"")</f>
        <v/>
      </c>
      <c r="H4964" s="92" t="n">
        <v>1.6464</v>
      </c>
      <c r="I4964" s="2162" t="n">
        <v>0</v>
      </c>
      <c r="J4964" s="2162" t="n">
        <v>0</v>
      </c>
      <c r="K4964" s="2162" t="n"/>
    </row>
    <row r="4965" outlineLevel="2" ht="15.75" customHeight="1">
      <c r="A4965" s="10" t="n">
        <v>4</v>
      </c>
      <c r="B4965" s="10" t="inlineStr">
        <is>
          <t>Insumo</t>
        </is>
      </c>
      <c r="C4965" s="10" t="inlineStr">
        <is>
          <t>Execução Rede água  (Produtividade 300m/dia)</t>
        </is>
      </c>
      <c r="D4965" s="10" t="inlineStr">
        <is>
          <t>Meio Oficial 1</t>
        </is>
      </c>
      <c r="E4965" s="11">
        <f t="array" ref="E4965">_xlfn.XLOOKUP(D4965,Insumos!B:B,Insumos!C:$C)</f>
        <v/>
      </c>
      <c r="F4965" s="14" t="n">
        <v>0.000242</v>
      </c>
      <c r="G4965" s="92">
        <f t="array" ref="G4965">IF(B4965="insumo",_xlfn.XLOOKUP($D4965,Insumos!$B$1:$B$996,Insumos!$D$1:$D$996),"")</f>
        <v/>
      </c>
      <c r="H4965" s="92" t="n">
        <v>0.8228</v>
      </c>
      <c r="I4965" s="2162" t="n">
        <v>0</v>
      </c>
      <c r="J4965" s="2162" t="n">
        <v>0</v>
      </c>
      <c r="K4965" s="2162" t="n"/>
    </row>
    <row r="4966" outlineLevel="1" ht="15.75" customHeight="1">
      <c r="A4966" s="1067" t="n">
        <v>1</v>
      </c>
      <c r="B4966" s="1067" t="inlineStr">
        <is>
          <t>Serviço</t>
        </is>
      </c>
      <c r="C4966" s="1067" t="inlineStr">
        <is>
          <t>Execução Rede Esgoto  (Produtividade 150m/dia)</t>
        </is>
      </c>
      <c r="D4966" s="1067" t="inlineStr">
        <is>
          <t>Execução Rede Esgoto  (Produtividade 150m/dia)</t>
        </is>
      </c>
      <c r="E4966" s="1068" t="inlineStr">
        <is>
          <t>M</t>
        </is>
      </c>
      <c r="F4966" s="1067" t="n"/>
      <c r="G4966" s="1069">
        <f t="array" ref="G4966">IF(B4966="insumo",_xlfn.XLOOKUP($D4966,Insumos!$B$1:$B$996,Insumos!$D$1:$D$996),"")</f>
        <v/>
      </c>
      <c r="H4966" s="1069" t="n">
        <v>12.3085</v>
      </c>
      <c r="I4966" s="2161" t="n">
        <v>0</v>
      </c>
      <c r="J4966" s="2161" t="n">
        <v>0</v>
      </c>
      <c r="K4966" s="2161" t="n"/>
    </row>
    <row r="4967" outlineLevel="2" ht="15.75" customHeight="1">
      <c r="A4967" s="10" t="n">
        <v>4</v>
      </c>
      <c r="B4967" s="10" t="inlineStr">
        <is>
          <t>Insumo</t>
        </is>
      </c>
      <c r="C4967" s="10" t="inlineStr">
        <is>
          <t>Execução Rede Esgoto  (Produtividade 150m/dia)</t>
        </is>
      </c>
      <c r="D4967" s="10" t="inlineStr">
        <is>
          <t>Retro case 580 traçada 2009</t>
        </is>
      </c>
      <c r="E4967" s="11">
        <f t="array" ref="E4967">_xlfn.XLOOKUP(D4967,Insumos!B:B,Insumos!C:$C)</f>
        <v/>
      </c>
      <c r="F4967" s="14" t="n">
        <v>0.001093</v>
      </c>
      <c r="G4967" s="92">
        <f t="array" ref="G4967">IF(B4967="insumo",_xlfn.XLOOKUP($D4967,Insumos!$B$1:$B$996,Insumos!$D$1:$D$996),"")</f>
        <v/>
      </c>
      <c r="H4967" s="92" t="n">
        <v>1.6395</v>
      </c>
      <c r="I4967" s="2162" t="n">
        <v>0</v>
      </c>
      <c r="J4967" s="2162" t="n">
        <v>0</v>
      </c>
      <c r="K4967" s="2162" t="n"/>
    </row>
    <row r="4968" outlineLevel="2" ht="15.75" customHeight="1">
      <c r="A4968" s="10" t="n">
        <v>4</v>
      </c>
      <c r="B4968" s="10" t="inlineStr">
        <is>
          <t>Insumo</t>
        </is>
      </c>
      <c r="C4968" s="10" t="inlineStr">
        <is>
          <t>Execução Rede Esgoto  (Produtividade 150m/dia)</t>
        </is>
      </c>
      <c r="D4968" s="10" t="inlineStr">
        <is>
          <t>Escavadeira 8T link belt 80SA BANYNN</t>
        </is>
      </c>
      <c r="E4968" s="11">
        <f t="array" ref="E4968">_xlfn.XLOOKUP(D4968,Insumos!B:B,Insumos!C:$C)</f>
        <v/>
      </c>
      <c r="F4968" s="14" t="n">
        <v>0.000513</v>
      </c>
      <c r="G4968" s="92">
        <f t="array" ref="G4968">IF(B4968="insumo",_xlfn.XLOOKUP($D4968,Insumos!$B$1:$B$996,Insumos!$D$1:$D$996),"")</f>
        <v/>
      </c>
      <c r="H4968" s="92" t="n">
        <v>1.6416</v>
      </c>
      <c r="I4968" s="2162" t="n">
        <v>0</v>
      </c>
      <c r="J4968" s="2162" t="n">
        <v>0</v>
      </c>
      <c r="K4968" s="2162" t="n"/>
    </row>
    <row r="4969" outlineLevel="2" ht="15.75" customHeight="1">
      <c r="A4969" s="10" t="n">
        <v>7</v>
      </c>
      <c r="B4969" s="10" t="inlineStr">
        <is>
          <t>Insumo</t>
        </is>
      </c>
      <c r="C4969" s="10" t="inlineStr">
        <is>
          <t>Execução Rede Esgoto  (Produtividade 150m/dia)</t>
        </is>
      </c>
      <c r="D4969" s="10" t="inlineStr">
        <is>
          <t>Operador de máquina 2</t>
        </is>
      </c>
      <c r="E4969" s="11">
        <f t="array" ref="E4969">_xlfn.XLOOKUP(D4969,Insumos!B:B,Insumos!C:$C)</f>
        <v/>
      </c>
      <c r="F4969" s="14" t="n">
        <v>0.000357</v>
      </c>
      <c r="G4969" s="92">
        <f t="array" ref="G4969">IF(B4969="insumo",_xlfn.XLOOKUP($D4969,Insumos!$B$1:$B$996,Insumos!$D$1:$D$996),"")</f>
        <v/>
      </c>
      <c r="H4969" s="92" t="n">
        <v>1.23165</v>
      </c>
      <c r="I4969" s="2162" t="n">
        <v>0</v>
      </c>
      <c r="J4969" s="2162" t="n">
        <v>0</v>
      </c>
      <c r="K4969" s="2162" t="n"/>
    </row>
    <row r="4970" outlineLevel="2" ht="15.75" customHeight="1">
      <c r="A4970" s="10" t="n">
        <v>4</v>
      </c>
      <c r="B4970" s="10" t="inlineStr">
        <is>
          <t>Insumo</t>
        </is>
      </c>
      <c r="C4970" s="10" t="inlineStr">
        <is>
          <t>Execução Rede Esgoto  (Produtividade 150m/dia)</t>
        </is>
      </c>
      <c r="D4970" s="10" t="inlineStr">
        <is>
          <t>Operador de máquina 3</t>
        </is>
      </c>
      <c r="E4970" s="11">
        <f t="array" ref="E4970">_xlfn.XLOOKUP(D4970,Insumos!B:B,Insumos!C:$C)</f>
        <v/>
      </c>
      <c r="F4970" s="14" t="n">
        <v>0.000246</v>
      </c>
      <c r="G4970" s="92">
        <f t="array" ref="G4970">IF(B4970="insumo",_xlfn.XLOOKUP($D4970,Insumos!$B$1:$B$996,Insumos!$D$1:$D$996),"")</f>
        <v/>
      </c>
      <c r="H4970" s="92" t="n">
        <v>1.23</v>
      </c>
      <c r="I4970" s="2162" t="n">
        <v>0</v>
      </c>
      <c r="J4970" s="2162" t="n">
        <v>0</v>
      </c>
      <c r="K4970" s="2162" t="n"/>
    </row>
    <row r="4971" outlineLevel="2" ht="15.75" customHeight="1">
      <c r="A4971" s="10" t="n">
        <v>4</v>
      </c>
      <c r="B4971" s="10" t="inlineStr">
        <is>
          <t>Insumo</t>
        </is>
      </c>
      <c r="C4971" s="10" t="inlineStr">
        <is>
          <t>Execução Rede Esgoto  (Produtividade 150m/dia)</t>
        </is>
      </c>
      <c r="D4971" s="10" t="inlineStr">
        <is>
          <t>Mestre 1</t>
        </is>
      </c>
      <c r="E4971" s="11">
        <f t="array" ref="E4971">_xlfn.XLOOKUP(D4971,Insumos!B:B,Insumos!C:$C)</f>
        <v/>
      </c>
      <c r="F4971" s="14" t="n">
        <v>0.000361</v>
      </c>
      <c r="G4971" s="92">
        <f t="array" ref="G4971">IF(B4971="insumo",_xlfn.XLOOKUP($D4971,Insumos!$B$1:$B$996,Insumos!$D$1:$D$996),"")</f>
        <v/>
      </c>
      <c r="H4971" s="92" t="n">
        <v>1.64255</v>
      </c>
      <c r="I4971" s="2162" t="n">
        <v>0</v>
      </c>
      <c r="J4971" s="2162" t="n">
        <v>0</v>
      </c>
      <c r="K4971" s="2162" t="n"/>
    </row>
    <row r="4972" outlineLevel="2" ht="15.75" customHeight="1">
      <c r="A4972" s="10" t="n">
        <v>4</v>
      </c>
      <c r="B4972" s="10" t="inlineStr">
        <is>
          <t>Insumo</t>
        </is>
      </c>
      <c r="C4972" s="10" t="inlineStr">
        <is>
          <t>Execução Rede Esgoto  (Produtividade 150m/dia)</t>
        </is>
      </c>
      <c r="D4972" s="10" t="inlineStr">
        <is>
          <t>Oficial 1</t>
        </is>
      </c>
      <c r="E4972" s="11">
        <f t="array" ref="E4972">_xlfn.XLOOKUP(D4972,Insumos!B:B,Insumos!C:$C)</f>
        <v/>
      </c>
      <c r="F4972" s="14" t="n">
        <v>0.000782</v>
      </c>
      <c r="G4972" s="92">
        <f t="array" ref="G4972">IF(B4972="insumo",_xlfn.XLOOKUP($D4972,Insumos!$B$1:$B$996,Insumos!$D$1:$D$996),"")</f>
        <v/>
      </c>
      <c r="H4972" s="92" t="n">
        <v>3.2844</v>
      </c>
      <c r="I4972" s="2162" t="n">
        <v>0</v>
      </c>
      <c r="J4972" s="2162" t="n">
        <v>0</v>
      </c>
      <c r="K4972" s="2162" t="n"/>
    </row>
    <row r="4973" outlineLevel="2" ht="15.75" customHeight="1">
      <c r="A4973" s="10" t="n">
        <v>4</v>
      </c>
      <c r="B4973" s="10" t="inlineStr">
        <is>
          <t>Insumo</t>
        </is>
      </c>
      <c r="C4973" s="10" t="inlineStr">
        <is>
          <t>Execução Rede Esgoto  (Produtividade 150m/dia)</t>
        </is>
      </c>
      <c r="D4973" s="10" t="inlineStr">
        <is>
          <t>Meio Oficial 1</t>
        </is>
      </c>
      <c r="E4973" s="11">
        <f t="array" ref="E4973">_xlfn.XLOOKUP(D4973,Insumos!B:B,Insumos!C:$C)</f>
        <v/>
      </c>
      <c r="F4973" s="14" t="n">
        <v>0.000482</v>
      </c>
      <c r="G4973" s="92">
        <f t="array" ref="G4973">IF(B4973="insumo",_xlfn.XLOOKUP($D4973,Insumos!$B$1:$B$996,Insumos!$D$1:$D$996),"")</f>
        <v/>
      </c>
      <c r="H4973" s="92" t="n">
        <v>1.6388</v>
      </c>
      <c r="I4973" s="2162" t="n">
        <v>0</v>
      </c>
      <c r="J4973" s="2162" t="n">
        <v>0</v>
      </c>
      <c r="K4973" s="2162" t="n"/>
    </row>
    <row r="4974" outlineLevel="1" ht="15.75" customHeight="1">
      <c r="A4974" s="1067" t="n">
        <v>1</v>
      </c>
      <c r="B4974" s="1067" t="inlineStr">
        <is>
          <t>Serviço</t>
        </is>
      </c>
      <c r="C4974" s="1067" t="inlineStr">
        <is>
          <t>Sarjeta extrusada</t>
        </is>
      </c>
      <c r="D4974" s="1067" t="inlineStr">
        <is>
          <t>Sarjeta extrusada</t>
        </is>
      </c>
      <c r="E4974" s="1068" t="inlineStr">
        <is>
          <t>M</t>
        </is>
      </c>
      <c r="F4974" s="1067" t="n"/>
      <c r="G4974" s="1069">
        <f t="array" ref="G4974">IF(B4974="insumo",_xlfn.XLOOKUP($D4974,Insumos!$B$1:$B$996,Insumos!$D$1:$D$996),"")</f>
        <v/>
      </c>
      <c r="H4974" s="1069" t="n">
        <v>20.09</v>
      </c>
      <c r="I4974" s="2161" t="n">
        <v>0</v>
      </c>
      <c r="J4974" s="2161" t="n">
        <v>0</v>
      </c>
      <c r="K4974" s="2161" t="n"/>
    </row>
    <row r="4975" outlineLevel="2" ht="15.75" customHeight="1">
      <c r="A4975" s="10" t="n">
        <v>9</v>
      </c>
      <c r="B4975" s="10" t="inlineStr">
        <is>
          <t>Insumo</t>
        </is>
      </c>
      <c r="C4975" s="10" t="inlineStr">
        <is>
          <t>Sarjeta extrusada</t>
        </is>
      </c>
      <c r="D4975" s="10" t="inlineStr">
        <is>
          <t>Concreto Usinado bombeável 20MPa Convencional</t>
        </is>
      </c>
      <c r="E4975" s="11">
        <f t="array" ref="E4975">_xlfn.XLOOKUP(D4975,Insumos!B:B,Insumos!C:$C)</f>
        <v/>
      </c>
      <c r="F4975" s="14" t="n">
        <v>0.041</v>
      </c>
      <c r="G4975" s="92">
        <f t="array" ref="G4975">IF(B4975="insumo",_xlfn.XLOOKUP($D4975,Insumos!$B$1:$B$996,Insumos!$D$1:$D$996),"")</f>
        <v/>
      </c>
      <c r="H4975" s="92" t="n">
        <v>20.09</v>
      </c>
      <c r="I4975" s="2162" t="n">
        <v>0</v>
      </c>
      <c r="J4975" s="2162" t="n">
        <v>0</v>
      </c>
      <c r="K4975" s="2162" t="n"/>
    </row>
    <row r="4976" outlineLevel="1" ht="12.75" customHeight="1">
      <c r="A4976" s="1071" t="n">
        <v>1</v>
      </c>
      <c r="B4976" s="1071" t="inlineStr">
        <is>
          <t>Serviço</t>
        </is>
      </c>
      <c r="C4976" s="1071" t="inlineStr">
        <is>
          <t>Calçadada/passeio em concreto intertravado</t>
        </is>
      </c>
      <c r="D4976" s="1071" t="inlineStr">
        <is>
          <t>Calçadada/passeio em concreto intertravado</t>
        </is>
      </c>
      <c r="E4976" s="1072" t="inlineStr">
        <is>
          <t>M2</t>
        </is>
      </c>
      <c r="F4976" s="1071" t="n"/>
      <c r="G4976" s="1073">
        <f t="array" ref="G4976">IF(B4976="insumo",_xlfn.XLOOKUP($D4976,Insumos!$B$1:$B$996,Insumos!$D$1:$D$996),"")</f>
        <v/>
      </c>
      <c r="H4976" s="1073" t="n">
        <v>78.128686</v>
      </c>
      <c r="I4976" s="2163" t="n">
        <v>0</v>
      </c>
      <c r="J4976" s="2163" t="n">
        <v>0</v>
      </c>
      <c r="K4976" s="2163" t="n"/>
    </row>
    <row r="4977" outlineLevel="2" ht="12.75" customHeight="1">
      <c r="A4977" s="82" t="n">
        <v>2</v>
      </c>
      <c r="B4977" s="82" t="inlineStr">
        <is>
          <t>Insumo</t>
        </is>
      </c>
      <c r="C4977" s="82" t="inlineStr">
        <is>
          <t>Calçadada/passeio em concreto intertravado</t>
        </is>
      </c>
      <c r="D4977" s="82" t="inlineStr">
        <is>
          <t xml:space="preserve">Piso Intertravado Retangular 10x20x08 </t>
        </is>
      </c>
      <c r="E4977" s="11">
        <f t="array" ref="E4977">_xlfn.XLOOKUP(D4977,Insumos!B:B,Insumos!C:$C)</f>
        <v/>
      </c>
      <c r="F4977" s="2164" t="n">
        <v>1.05</v>
      </c>
      <c r="G4977" s="92">
        <f t="array" ref="G4977">IF(B4977="insumo",_xlfn.XLOOKUP($D4977,Insumos!$B$1:$B$996,Insumos!$D$1:$D$996),"")</f>
        <v/>
      </c>
      <c r="H4977" s="92" t="n">
        <v>69.19499999999999</v>
      </c>
      <c r="I4977" s="2165" t="n">
        <v>0</v>
      </c>
      <c r="J4977" s="2165" t="n">
        <v>0</v>
      </c>
      <c r="K4977" s="2165" t="n"/>
    </row>
    <row r="4978" outlineLevel="2" ht="12.75" customHeight="1">
      <c r="A4978" s="82" t="n">
        <v>6</v>
      </c>
      <c r="B4978" s="82" t="inlineStr">
        <is>
          <t>Insumo</t>
        </is>
      </c>
      <c r="C4978" s="82" t="inlineStr">
        <is>
          <t>Calçadada/passeio em concreto intertravado</t>
        </is>
      </c>
      <c r="D4978" s="82" t="inlineStr">
        <is>
          <t xml:space="preserve">PO DE PEDRA </t>
        </is>
      </c>
      <c r="E4978" s="11">
        <f t="array" ref="E4978">_xlfn.XLOOKUP(D4978,Insumos!B:B,Insumos!C:$C)</f>
        <v/>
      </c>
      <c r="F4978" s="2164" t="n">
        <v>0.0066</v>
      </c>
      <c r="G4978" s="92">
        <f t="array" ref="G4978">IF(B4978="insumo",_xlfn.XLOOKUP($D4978,Insumos!$B$1:$B$996,Insumos!$D$1:$D$996),"")</f>
        <v/>
      </c>
      <c r="H4978" s="92" t="n">
        <v>0.697686</v>
      </c>
      <c r="I4978" s="2165" t="n">
        <v>0</v>
      </c>
      <c r="J4978" s="2165" t="n">
        <v>0</v>
      </c>
      <c r="K4978" s="2165" t="n"/>
    </row>
    <row r="4979" outlineLevel="2" ht="12.75" customHeight="1">
      <c r="A4979" s="82" t="n">
        <v>8</v>
      </c>
      <c r="B4979" s="82" t="inlineStr">
        <is>
          <t>Insumo</t>
        </is>
      </c>
      <c r="C4979" s="82" t="inlineStr">
        <is>
          <t>Calçadada/passeio em concreto intertravado</t>
        </is>
      </c>
      <c r="D4979" s="82" t="inlineStr">
        <is>
          <t>AREIA MEDIA</t>
        </is>
      </c>
      <c r="E4979" s="11">
        <f t="array" ref="E4979">_xlfn.XLOOKUP(D4979,Insumos!B:B,Insumos!C:$C)</f>
        <v/>
      </c>
      <c r="F4979" s="2164" t="n">
        <v>0.0568</v>
      </c>
      <c r="G4979" s="92">
        <f t="array" ref="G4979">IF(B4979="insumo",_xlfn.XLOOKUP($D4979,Insumos!$B$1:$B$996,Insumos!$D$1:$D$996),"")</f>
        <v/>
      </c>
      <c r="H4979" s="92" t="n">
        <v>8.236000000000001</v>
      </c>
      <c r="I4979" s="2165" t="n">
        <v>0</v>
      </c>
      <c r="J4979" s="2165" t="n">
        <v>0</v>
      </c>
      <c r="K4979" s="2165" t="n"/>
    </row>
    <row r="4980" outlineLevel="1" ht="12.75" customHeight="1">
      <c r="A4980" s="1071" t="n">
        <v>1</v>
      </c>
      <c r="B4980" s="1071" t="inlineStr">
        <is>
          <t>Serviço</t>
        </is>
      </c>
      <c r="C4980" s="1071" t="inlineStr">
        <is>
          <t xml:space="preserve">Calçadada/passeio em Podotátil </t>
        </is>
      </c>
      <c r="D4980" s="1071" t="inlineStr">
        <is>
          <t xml:space="preserve">Calçadada/passeio em Podotátil </t>
        </is>
      </c>
      <c r="E4980" s="1072" t="inlineStr">
        <is>
          <t>M2</t>
        </is>
      </c>
      <c r="F4980" s="1071" t="n"/>
      <c r="G4980" s="1073">
        <f t="array" ref="G4980">IF(B4980="insumo",_xlfn.XLOOKUP($D4980,Insumos!$B$1:$B$996,Insumos!$D$1:$D$996),"")</f>
        <v/>
      </c>
      <c r="H4980" s="1073" t="n">
        <v>116.978686</v>
      </c>
      <c r="I4980" s="2163" t="n">
        <v>0</v>
      </c>
      <c r="J4980" s="2163" t="n">
        <v>0</v>
      </c>
      <c r="K4980" s="2163" t="n"/>
    </row>
    <row r="4981" outlineLevel="2" ht="12.75" customHeight="1">
      <c r="A4981" s="82" t="n">
        <v>1</v>
      </c>
      <c r="B4981" s="82" t="inlineStr">
        <is>
          <t>Insumo</t>
        </is>
      </c>
      <c r="C4981" s="82" t="inlineStr">
        <is>
          <t xml:space="preserve">Calçadada/passeio em Podotátil </t>
        </is>
      </c>
      <c r="D4981" s="82" t="inlineStr">
        <is>
          <t>Piso Podotátil Alerta Amarelo 20x20cm Cimartex</t>
        </is>
      </c>
      <c r="E4981" s="11">
        <f t="array" ref="E4981">_xlfn.XLOOKUP(D4981,Insumos!B:B,Insumos!C:$C)</f>
        <v/>
      </c>
      <c r="F4981" s="2164" t="n">
        <v>1.05</v>
      </c>
      <c r="G4981" s="92">
        <f t="array" ref="G4981">IF(B4981="insumo",_xlfn.XLOOKUP($D4981,Insumos!$B$1:$B$996,Insumos!$D$1:$D$996),"")</f>
        <v/>
      </c>
      <c r="H4981" s="92" t="n">
        <v>108.045</v>
      </c>
      <c r="I4981" s="2165" t="n">
        <v>0</v>
      </c>
      <c r="J4981" s="2165" t="n">
        <v>0</v>
      </c>
      <c r="K4981" s="2165" t="n"/>
    </row>
    <row r="4982" outlineLevel="2" ht="12.75" customHeight="1">
      <c r="A4982" s="82" t="n">
        <v>6</v>
      </c>
      <c r="B4982" s="82" t="inlineStr">
        <is>
          <t>Insumo</t>
        </is>
      </c>
      <c r="C4982" s="82" t="inlineStr">
        <is>
          <t xml:space="preserve">Calçadada/passeio em Podotátil </t>
        </is>
      </c>
      <c r="D4982" s="82" t="inlineStr">
        <is>
          <t xml:space="preserve">PO DE PEDRA </t>
        </is>
      </c>
      <c r="E4982" s="11">
        <f t="array" ref="E4982">_xlfn.XLOOKUP(D4982,Insumos!B:B,Insumos!C:$C)</f>
        <v/>
      </c>
      <c r="F4982" s="2164" t="n">
        <v>0.0066</v>
      </c>
      <c r="G4982" s="92">
        <f t="array" ref="G4982">IF(B4982="insumo",_xlfn.XLOOKUP($D4982,Insumos!$B$1:$B$996,Insumos!$D$1:$D$996),"")</f>
        <v/>
      </c>
      <c r="H4982" s="92" t="n">
        <v>0.697686</v>
      </c>
      <c r="I4982" s="2165" t="n">
        <v>0</v>
      </c>
      <c r="J4982" s="2165" t="n">
        <v>0</v>
      </c>
      <c r="K4982" s="2165" t="n"/>
    </row>
    <row r="4983" outlineLevel="2" ht="12.75" customHeight="1">
      <c r="A4983" s="82" t="n">
        <v>8</v>
      </c>
      <c r="B4983" s="82" t="inlineStr">
        <is>
          <t>Insumo</t>
        </is>
      </c>
      <c r="C4983" s="82" t="inlineStr">
        <is>
          <t xml:space="preserve">Calçadada/passeio em Podotátil </t>
        </is>
      </c>
      <c r="D4983" s="82" t="inlineStr">
        <is>
          <t>AREIA MEDIA</t>
        </is>
      </c>
      <c r="E4983" s="11">
        <f t="array" ref="E4983">_xlfn.XLOOKUP(D4983,Insumos!B:B,Insumos!C:$C)</f>
        <v/>
      </c>
      <c r="F4983" s="2164" t="n">
        <v>0.0568</v>
      </c>
      <c r="G4983" s="92">
        <f t="array" ref="G4983">IF(B4983="insumo",_xlfn.XLOOKUP($D4983,Insumos!$B$1:$B$996,Insumos!$D$1:$D$996),"")</f>
        <v/>
      </c>
      <c r="H4983" s="92" t="n">
        <v>8.236000000000001</v>
      </c>
      <c r="I4983" s="2165" t="n">
        <v>0</v>
      </c>
      <c r="J4983" s="2165" t="n">
        <v>0</v>
      </c>
      <c r="K4983" s="2165" t="n"/>
    </row>
    <row r="4984" outlineLevel="1" ht="15.75" customHeight="1">
      <c r="A4984" s="1067" t="n">
        <v>1</v>
      </c>
      <c r="B4984" s="1067" t="inlineStr">
        <is>
          <t>Serviço</t>
        </is>
      </c>
      <c r="C4984" s="1067" t="inlineStr">
        <is>
          <t>Pavimentação em Pedras Naturais na calçada</t>
        </is>
      </c>
      <c r="D4984" s="1067" t="inlineStr">
        <is>
          <t>Pavimentação em Pedras Naturais na calçada</t>
        </is>
      </c>
      <c r="E4984" s="1068" t="inlineStr">
        <is>
          <t>M2</t>
        </is>
      </c>
      <c r="F4984" s="1067" t="n"/>
      <c r="G4984" s="1069">
        <f t="array" ref="G4984">IF(B4984="insumo",_xlfn.XLOOKUP($D4984,Insumos!$B$1:$B$996,Insumos!$D$1:$D$996),"")</f>
        <v/>
      </c>
      <c r="H4984" s="1069" t="n">
        <v>898.2455</v>
      </c>
      <c r="I4984" s="2161" t="n">
        <v>0</v>
      </c>
      <c r="J4984" s="2161" t="n">
        <v>0</v>
      </c>
      <c r="K4984" s="2161" t="n"/>
    </row>
    <row r="4985" outlineLevel="2" ht="15.75" customHeight="1">
      <c r="A4985" s="10" t="n">
        <v>10</v>
      </c>
      <c r="B4985" s="10" t="inlineStr">
        <is>
          <t>Insumo</t>
        </is>
      </c>
      <c r="C4985" s="10" t="inlineStr">
        <is>
          <t>Pavimentação em Pedras Naturais na calçada</t>
        </is>
      </c>
      <c r="D4985" s="10" t="inlineStr">
        <is>
          <t>Pedra Natural  para Revestimento</t>
        </is>
      </c>
      <c r="E4985" s="11">
        <f t="array" ref="E4985">_xlfn.XLOOKUP(D4985,Insumos!B:B,Insumos!C:$C)</f>
        <v/>
      </c>
      <c r="F4985" s="14" t="n">
        <v>1.1</v>
      </c>
      <c r="G4985" s="92">
        <f t="array" ref="G4985">IF(B4985="insumo",_xlfn.XLOOKUP($D4985,Insumos!$B$1:$B$996,Insumos!$D$1:$D$996),"")</f>
        <v/>
      </c>
      <c r="H4985" s="92" t="n">
        <v>880</v>
      </c>
      <c r="I4985" s="2162" t="n">
        <v>0</v>
      </c>
      <c r="J4985" s="2162" t="n">
        <v>0</v>
      </c>
      <c r="K4985" s="2162" t="n"/>
    </row>
    <row r="4986" outlineLevel="2" ht="15.75" customHeight="1">
      <c r="A4986" s="10" t="n">
        <v>191</v>
      </c>
      <c r="B4986" s="10" t="inlineStr">
        <is>
          <t>Insumo</t>
        </is>
      </c>
      <c r="C4986" s="10" t="inlineStr">
        <is>
          <t>Pavimentação em Pedras Naturais na calçada</t>
        </is>
      </c>
      <c r="D4986" s="10" t="inlineStr">
        <is>
          <t>Argamassa ACIII</t>
        </is>
      </c>
      <c r="E4986" s="11">
        <f t="array" ref="E4986">_xlfn.XLOOKUP(D4986,Insumos!B:B,Insumos!C:$C)</f>
        <v/>
      </c>
      <c r="F4986" s="14" t="n">
        <v>9</v>
      </c>
      <c r="G4986" s="92">
        <f t="array" ref="G4986">IF(B4986="insumo",_xlfn.XLOOKUP($D4986,Insumos!$B$1:$B$996,Insumos!$D$1:$D$996),"")</f>
        <v/>
      </c>
      <c r="H4986" s="92" t="n">
        <v>9.580500000000001</v>
      </c>
      <c r="I4986" s="2162" t="n">
        <v>0</v>
      </c>
      <c r="J4986" s="2162" t="n">
        <v>0</v>
      </c>
      <c r="K4986" s="2162" t="n"/>
    </row>
    <row r="4987" outlineLevel="2" ht="15.75" customHeight="1">
      <c r="A4987" s="10" t="n">
        <v>34</v>
      </c>
      <c r="B4987" s="10" t="inlineStr">
        <is>
          <t>Insumo</t>
        </is>
      </c>
      <c r="C4987" s="10" t="inlineStr">
        <is>
          <t>Pavimentação em Pedras Naturais na calçada</t>
        </is>
      </c>
      <c r="D4987" s="10" t="inlineStr">
        <is>
          <t>Massa Plastica 400g</t>
        </is>
      </c>
      <c r="E4987" s="11">
        <f t="array" ref="E4987">_xlfn.XLOOKUP(D4987,Insumos!B:B,Insumos!C:$C)</f>
        <v/>
      </c>
      <c r="F4987" s="14" t="n">
        <v>0.5</v>
      </c>
      <c r="G4987" s="92">
        <f t="array" ref="G4987">IF(B4987="insumo",_xlfn.XLOOKUP($D4987,Insumos!$B$1:$B$996,Insumos!$D$1:$D$996),"")</f>
        <v/>
      </c>
      <c r="H4987" s="92" t="n">
        <v>8.664999999999999</v>
      </c>
      <c r="I4987" s="2162" t="n">
        <v>0</v>
      </c>
      <c r="J4987" s="2162" t="n">
        <v>0</v>
      </c>
      <c r="K4987" s="2162" t="n"/>
    </row>
    <row r="4988" outlineLevel="1" ht="15.75" customHeight="1">
      <c r="A4988" s="1067" t="n">
        <v>1</v>
      </c>
      <c r="B4988" s="1067" t="inlineStr">
        <is>
          <t>Serviço</t>
        </is>
      </c>
      <c r="C4988" s="1067" t="inlineStr">
        <is>
          <t>Mão de obra para execução de pedra natural em piso áreas externas</t>
        </is>
      </c>
      <c r="D4988" s="1067" t="inlineStr">
        <is>
          <t>Mão de obra para execução de pedra natural em piso áreas externas</t>
        </is>
      </c>
      <c r="E4988" s="1068" t="inlineStr">
        <is>
          <t>M2</t>
        </is>
      </c>
      <c r="F4988" s="1067" t="n"/>
      <c r="G4988" s="1069">
        <f t="array" ref="G4988">IF(B4988="insumo",_xlfn.XLOOKUP($D4988,Insumos!$B$1:$B$996,Insumos!$D$1:$D$996),"")</f>
        <v/>
      </c>
      <c r="H4988" s="1069" t="n">
        <v>150</v>
      </c>
      <c r="I4988" s="2161" t="n">
        <v>0</v>
      </c>
      <c r="J4988" s="2161" t="n">
        <v>0</v>
      </c>
      <c r="K4988" s="2161" t="n"/>
    </row>
    <row r="4989" outlineLevel="2" ht="15.75" customHeight="1">
      <c r="A4989" s="10" t="n">
        <v>1</v>
      </c>
      <c r="B4989" s="10" t="inlineStr">
        <is>
          <t>Insumo</t>
        </is>
      </c>
      <c r="C4989" s="10" t="inlineStr">
        <is>
          <t>Mão de obra para execução de pedra natural em piso áreas externas</t>
        </is>
      </c>
      <c r="D4989" s="10" t="inlineStr">
        <is>
          <t>Mão de obra para execução de pedra natural em piso áreas externas</t>
        </is>
      </c>
      <c r="E4989" s="11">
        <f t="array" ref="E4989">_xlfn.XLOOKUP(D4989,Insumos!B:B,Insumos!C:$C)</f>
        <v/>
      </c>
      <c r="F4989" s="14" t="n">
        <v>1</v>
      </c>
      <c r="G4989" s="92">
        <f t="array" ref="G4989">IF(B4989="insumo",_xlfn.XLOOKUP($D4989,Insumos!$B$1:$B$996,Insumos!$D$1:$D$996),"")</f>
        <v/>
      </c>
      <c r="H4989" s="92" t="n">
        <v>150</v>
      </c>
      <c r="I4989" s="2162" t="n">
        <v>0</v>
      </c>
      <c r="J4989" s="2162" t="n">
        <v>0</v>
      </c>
      <c r="K4989" s="2162" t="n"/>
    </row>
    <row r="4990" outlineLevel="1" ht="15.75" customHeight="1">
      <c r="A4990" s="1067" t="n">
        <v>1</v>
      </c>
      <c r="B4990" s="1067" t="inlineStr">
        <is>
          <t>Serviço</t>
        </is>
      </c>
      <c r="C4990" s="1067" t="inlineStr">
        <is>
          <t>Execução de sarjeta extrusada</t>
        </is>
      </c>
      <c r="D4990" s="1067" t="inlineStr">
        <is>
          <t>Execução de sarjeta extrusada</t>
        </is>
      </c>
      <c r="E4990" s="1068" t="inlineStr">
        <is>
          <t>M</t>
        </is>
      </c>
      <c r="F4990" s="1067" t="n"/>
      <c r="G4990" s="1069">
        <f t="array" ref="G4990">IF(B4990="insumo",_xlfn.XLOOKUP($D4990,Insumos!$B$1:$B$996,Insumos!$D$1:$D$996),"")</f>
        <v/>
      </c>
      <c r="H4990" s="1069" t="n">
        <v>4.08</v>
      </c>
      <c r="I4990" s="2161" t="n">
        <v>0</v>
      </c>
      <c r="J4990" s="2161" t="n">
        <v>0</v>
      </c>
      <c r="K4990" s="2161" t="n"/>
    </row>
    <row r="4991" outlineLevel="2" ht="15.75" customHeight="1">
      <c r="A4991" s="10" t="n">
        <v>1</v>
      </c>
      <c r="B4991" s="10" t="inlineStr">
        <is>
          <t>Insumo</t>
        </is>
      </c>
      <c r="C4991" s="10" t="inlineStr">
        <is>
          <t>Execução de sarjeta extrusada</t>
        </is>
      </c>
      <c r="D4991" s="10" t="inlineStr">
        <is>
          <t>Maquina meio fio Imb 2020</t>
        </is>
      </c>
      <c r="E4991" s="11">
        <f t="array" ref="E4991">_xlfn.XLOOKUP(D4991,Insumos!B:B,Insumos!C:$C)</f>
        <v/>
      </c>
      <c r="F4991" s="14" t="n">
        <v>0.00068</v>
      </c>
      <c r="G4991" s="92">
        <f t="array" ref="G4991">IF(B4991="insumo",_xlfn.XLOOKUP($D4991,Insumos!$B$1:$B$996,Insumos!$D$1:$D$996),"")</f>
        <v/>
      </c>
      <c r="H4991" s="92" t="n">
        <v>0.68</v>
      </c>
      <c r="I4991" s="2162" t="n">
        <v>0</v>
      </c>
      <c r="J4991" s="2162" t="n">
        <v>0</v>
      </c>
      <c r="K4991" s="2162" t="n"/>
    </row>
    <row r="4992" outlineLevel="2" ht="15.75" customHeight="1">
      <c r="A4992" s="10" t="n">
        <v>1</v>
      </c>
      <c r="B4992" s="10" t="inlineStr">
        <is>
          <t>Insumo</t>
        </is>
      </c>
      <c r="C4992" s="10" t="inlineStr">
        <is>
          <t>Execução de sarjeta extrusada</t>
        </is>
      </c>
      <c r="D4992" s="10" t="inlineStr">
        <is>
          <t>Retro New holland lb 90 simples 2010</t>
        </is>
      </c>
      <c r="E4992" s="11">
        <f t="array" ref="E4992">_xlfn.XLOOKUP(D4992,Insumos!B:B,Insumos!C:$C)</f>
        <v/>
      </c>
      <c r="F4992" s="14" t="n">
        <v>0.0004533333333333334</v>
      </c>
      <c r="G4992" s="92">
        <f t="array" ref="G4992">IF(B4992="insumo",_xlfn.XLOOKUP($D4992,Insumos!$B$1:$B$996,Insumos!$D$1:$D$996),"")</f>
        <v/>
      </c>
      <c r="H4992" s="92" t="n">
        <v>0.68</v>
      </c>
      <c r="I4992" s="2162" t="n">
        <v>0</v>
      </c>
      <c r="J4992" s="2162" t="n">
        <v>0</v>
      </c>
      <c r="K4992" s="2162" t="n"/>
    </row>
    <row r="4993" outlineLevel="2" ht="15.75" customHeight="1">
      <c r="A4993" s="10" t="n">
        <v>7</v>
      </c>
      <c r="B4993" s="10" t="inlineStr">
        <is>
          <t>Insumo</t>
        </is>
      </c>
      <c r="C4993" s="10" t="inlineStr">
        <is>
          <t>Execução de sarjeta extrusada</t>
        </is>
      </c>
      <c r="D4993" s="10" t="inlineStr">
        <is>
          <t>Operador de máquina 2</t>
        </is>
      </c>
      <c r="E4993" s="11">
        <f t="array" ref="E4993">_xlfn.XLOOKUP(D4993,Insumos!B:B,Insumos!C:$C)</f>
        <v/>
      </c>
      <c r="F4993" s="14" t="n">
        <v>0.0001971014492753623</v>
      </c>
      <c r="G4993" s="92">
        <f t="array" ref="G4993">IF(B4993="insumo",_xlfn.XLOOKUP($D4993,Insumos!$B$1:$B$996,Insumos!$D$1:$D$996),"")</f>
        <v/>
      </c>
      <c r="H4993" s="92" t="n">
        <v>0.68</v>
      </c>
      <c r="I4993" s="2162" t="n">
        <v>0</v>
      </c>
      <c r="J4993" s="2162" t="n">
        <v>0</v>
      </c>
      <c r="K4993" s="2162" t="n"/>
    </row>
    <row r="4994" outlineLevel="2" ht="15.75" customHeight="1">
      <c r="A4994" s="10" t="n">
        <v>7</v>
      </c>
      <c r="B4994" s="10" t="inlineStr">
        <is>
          <t>Insumo</t>
        </is>
      </c>
      <c r="C4994" s="10" t="inlineStr">
        <is>
          <t>Execução de sarjeta extrusada</t>
        </is>
      </c>
      <c r="D4994" s="10" t="inlineStr">
        <is>
          <t>Operador de máquina 2</t>
        </is>
      </c>
      <c r="E4994" s="11">
        <f t="array" ref="E4994">_xlfn.XLOOKUP(D4994,Insumos!B:B,Insumos!C:$C)</f>
        <v/>
      </c>
      <c r="F4994" s="14" t="n">
        <v>0.0001971014492753623</v>
      </c>
      <c r="G4994" s="92">
        <f t="array" ref="G4994">IF(B4994="insumo",_xlfn.XLOOKUP($D4994,Insumos!$B$1:$B$996,Insumos!$D$1:$D$996),"")</f>
        <v/>
      </c>
      <c r="H4994" s="92" t="n">
        <v>0.68</v>
      </c>
      <c r="I4994" s="2162" t="n">
        <v>0</v>
      </c>
      <c r="J4994" s="2162" t="n">
        <v>0</v>
      </c>
      <c r="K4994" s="2162" t="n"/>
    </row>
    <row r="4995" outlineLevel="2" ht="15.75" customHeight="1">
      <c r="A4995" s="10" t="n">
        <v>1</v>
      </c>
      <c r="B4995" s="10" t="inlineStr">
        <is>
          <t>Insumo</t>
        </is>
      </c>
      <c r="C4995" s="10" t="inlineStr">
        <is>
          <t>Execução de sarjeta extrusada</t>
        </is>
      </c>
      <c r="D4995" s="10" t="inlineStr">
        <is>
          <t>Oficial 2</t>
        </is>
      </c>
      <c r="E4995" s="11">
        <f t="array" ref="E4995">_xlfn.XLOOKUP(D4995,Insumos!B:B,Insumos!C:$C)</f>
        <v/>
      </c>
      <c r="F4995" s="14" t="n">
        <v>0.0002266666666666667</v>
      </c>
      <c r="G4995" s="92">
        <f t="array" ref="G4995">IF(B4995="insumo",_xlfn.XLOOKUP($D4995,Insumos!$B$1:$B$996,Insumos!$D$1:$D$996),"")</f>
        <v/>
      </c>
      <c r="H4995" s="92" t="n">
        <v>0.68</v>
      </c>
      <c r="I4995" s="2162" t="n">
        <v>0</v>
      </c>
      <c r="J4995" s="2162" t="n">
        <v>0</v>
      </c>
      <c r="K4995" s="2162" t="n"/>
    </row>
    <row r="4996" outlineLevel="2" ht="15.75" customHeight="1">
      <c r="A4996" s="10" t="n">
        <v>1</v>
      </c>
      <c r="B4996" s="10" t="inlineStr">
        <is>
          <t>Insumo</t>
        </is>
      </c>
      <c r="C4996" s="10" t="inlineStr">
        <is>
          <t>Execução de sarjeta extrusada</t>
        </is>
      </c>
      <c r="D4996" s="10" t="inlineStr">
        <is>
          <t>Ajudante 1</t>
        </is>
      </c>
      <c r="E4996" s="11">
        <f t="array" ref="E4996">_xlfn.XLOOKUP(D4996,Insumos!B:B,Insumos!C:$C)</f>
        <v/>
      </c>
      <c r="F4996" s="14" t="n">
        <v>0.0002833333333333334</v>
      </c>
      <c r="G4996" s="92">
        <f t="array" ref="G4996">IF(B4996="insumo",_xlfn.XLOOKUP($D4996,Insumos!$B$1:$B$996,Insumos!$D$1:$D$996),"")</f>
        <v/>
      </c>
      <c r="H4996" s="92" t="n">
        <v>0.68</v>
      </c>
      <c r="I4996" s="2162" t="n">
        <v>0</v>
      </c>
      <c r="J4996" s="2162" t="n">
        <v>0</v>
      </c>
      <c r="K4996" s="2162" t="n"/>
    </row>
    <row r="4997" outlineLevel="1" ht="15.75" customHeight="1">
      <c r="A4997" s="1067" t="n">
        <v>1</v>
      </c>
      <c r="B4997" s="1067" t="inlineStr">
        <is>
          <t>Serviço</t>
        </is>
      </c>
      <c r="C4997" s="1067" t="inlineStr">
        <is>
          <t>Base bica corrida e=20cm</t>
        </is>
      </c>
      <c r="D4997" s="1067" t="inlineStr">
        <is>
          <t>Base bica corrida e=20cm</t>
        </is>
      </c>
      <c r="E4997" s="1068" t="inlineStr">
        <is>
          <t>M3</t>
        </is>
      </c>
      <c r="F4997" s="1067" t="n"/>
      <c r="G4997" s="1069">
        <f t="array" ref="G4997">IF(B4997="insumo",_xlfn.XLOOKUP($D4997,Insumos!$B$1:$B$996,Insumos!$D$1:$D$996),"")</f>
        <v/>
      </c>
      <c r="H4997" s="1069" t="n">
        <v>150.15</v>
      </c>
      <c r="I4997" s="2161" t="n">
        <v>0</v>
      </c>
      <c r="J4997" s="2161" t="n">
        <v>0</v>
      </c>
      <c r="K4997" s="2161" t="n"/>
    </row>
    <row r="4998" outlineLevel="2" ht="15.75" customHeight="1">
      <c r="A4998" s="10" t="n">
        <v>1</v>
      </c>
      <c r="B4998" s="10" t="inlineStr">
        <is>
          <t>Insumo</t>
        </is>
      </c>
      <c r="C4998" s="10" t="inlineStr">
        <is>
          <t>Base bica corrida e=20cm</t>
        </is>
      </c>
      <c r="D4998" s="10" t="inlineStr">
        <is>
          <t>Bica corrida</t>
        </is>
      </c>
      <c r="E4998" s="11">
        <f t="array" ref="E4998">_xlfn.XLOOKUP(D4998,Insumos!B:B,Insumos!C:$C)</f>
        <v/>
      </c>
      <c r="F4998" s="14" t="n">
        <v>1.05</v>
      </c>
      <c r="G4998" s="92">
        <f t="array" ref="G4998">IF(B4998="insumo",_xlfn.XLOOKUP($D4998,Insumos!$B$1:$B$996,Insumos!$D$1:$D$996),"")</f>
        <v/>
      </c>
      <c r="H4998" s="92" t="n">
        <v>150.15</v>
      </c>
      <c r="I4998" s="2162" t="n">
        <v>0</v>
      </c>
      <c r="J4998" s="2162" t="n">
        <v>0</v>
      </c>
      <c r="K4998" s="2162" t="n"/>
    </row>
    <row r="4999" outlineLevel="1" ht="15.75" customHeight="1">
      <c r="A4999" s="1067" t="n">
        <v>1</v>
      </c>
      <c r="B4999" s="1067" t="inlineStr">
        <is>
          <t>Serviço</t>
        </is>
      </c>
      <c r="C4999" s="1067" t="inlineStr">
        <is>
          <t>Mão de obra para execução de base</t>
        </is>
      </c>
      <c r="D4999" s="1067" t="inlineStr">
        <is>
          <t>Mão de obra para execução de base</t>
        </is>
      </c>
      <c r="E4999" s="1068" t="inlineStr">
        <is>
          <t>M3</t>
        </is>
      </c>
      <c r="F4999" s="1067" t="n"/>
      <c r="G4999" s="1069">
        <f t="array" ref="G4999">IF(B4999="insumo",_xlfn.XLOOKUP($D4999,Insumos!$B$1:$B$996,Insumos!$D$1:$D$996),"")</f>
        <v/>
      </c>
      <c r="H4999" s="1069" t="n">
        <v>5.08</v>
      </c>
      <c r="I4999" s="2161" t="n">
        <v>0</v>
      </c>
      <c r="J4999" s="2161" t="n">
        <v>0</v>
      </c>
      <c r="K4999" s="2161" t="n"/>
    </row>
    <row r="5000" outlineLevel="2" ht="15.75" customHeight="1">
      <c r="A5000" s="10" t="n">
        <v>1</v>
      </c>
      <c r="B5000" s="10" t="inlineStr">
        <is>
          <t>Insumo</t>
        </is>
      </c>
      <c r="C5000" s="10" t="inlineStr">
        <is>
          <t>Mão de obra para execução de base</t>
        </is>
      </c>
      <c r="D5000" s="10" t="inlineStr">
        <is>
          <t>Patrola New holland 170g 2011</t>
        </is>
      </c>
      <c r="E5000" s="11">
        <f t="array" ref="E5000">_xlfn.XLOOKUP(D5000,Insumos!B:B,Insumos!C:$C)</f>
        <v/>
      </c>
      <c r="F5000" s="14" t="n">
        <v>0.0001814285714285715</v>
      </c>
      <c r="G5000" s="92">
        <f t="array" ref="G5000">IF(B5000="insumo",_xlfn.XLOOKUP($D5000,Insumos!$B$1:$B$996,Insumos!$D$1:$D$996),"")</f>
        <v/>
      </c>
      <c r="H5000" s="92" t="n">
        <v>0.725714285714286</v>
      </c>
      <c r="I5000" s="2162" t="n">
        <v>0</v>
      </c>
      <c r="J5000" s="2162" t="n">
        <v>0</v>
      </c>
      <c r="K5000" s="2162" t="n"/>
    </row>
    <row r="5001" outlineLevel="2" ht="15.75" customHeight="1">
      <c r="A5001" s="10" t="n">
        <v>1</v>
      </c>
      <c r="B5001" s="10" t="inlineStr">
        <is>
          <t>Insumo</t>
        </is>
      </c>
      <c r="C5001" s="10" t="inlineStr">
        <is>
          <t>Mão de obra para execução de base</t>
        </is>
      </c>
      <c r="D5001" s="10" t="inlineStr">
        <is>
          <t>Caminhao pipa ford f.14.000  1997</t>
        </is>
      </c>
      <c r="E5001" s="11">
        <f t="array" ref="E5001">_xlfn.XLOOKUP(D5001,Insumos!B:B,Insumos!C:$C)</f>
        <v/>
      </c>
      <c r="F5001" s="14" t="n">
        <v>0.0004838095238095238</v>
      </c>
      <c r="G5001" s="92">
        <f t="array" ref="G5001">IF(B5001="insumo",_xlfn.XLOOKUP($D5001,Insumos!$B$1:$B$996,Insumos!$D$1:$D$996),"")</f>
        <v/>
      </c>
      <c r="H5001" s="92" t="n">
        <v>0.725714285714286</v>
      </c>
      <c r="I5001" s="2162" t="n">
        <v>0</v>
      </c>
      <c r="J5001" s="2162" t="n">
        <v>0</v>
      </c>
      <c r="K5001" s="2162" t="n"/>
    </row>
    <row r="5002" outlineLevel="2" ht="15.75" customHeight="1">
      <c r="A5002" s="10" t="n">
        <v>1</v>
      </c>
      <c r="B5002" s="10" t="inlineStr">
        <is>
          <t>Insumo</t>
        </is>
      </c>
      <c r="C5002" s="10" t="inlineStr">
        <is>
          <t>Mão de obra para execução de base</t>
        </is>
      </c>
      <c r="D5002" s="10" t="inlineStr">
        <is>
          <t>Rolo Sany 2009</t>
        </is>
      </c>
      <c r="E5002" s="11">
        <f t="array" ref="E5002">_xlfn.XLOOKUP(D5002,Insumos!B:B,Insumos!C:$C)</f>
        <v/>
      </c>
      <c r="F5002" s="14" t="n">
        <v>0.0003628571428571429</v>
      </c>
      <c r="G5002" s="92">
        <f t="array" ref="G5002">IF(B5002="insumo",_xlfn.XLOOKUP($D5002,Insumos!$B$1:$B$996,Insumos!$D$1:$D$996),"")</f>
        <v/>
      </c>
      <c r="H5002" s="92" t="n">
        <v>0.725714285714286</v>
      </c>
      <c r="I5002" s="2162" t="n">
        <v>0</v>
      </c>
      <c r="J5002" s="2162" t="n">
        <v>0</v>
      </c>
      <c r="K5002" s="2162" t="n"/>
    </row>
    <row r="5003" outlineLevel="2" ht="15.75" customHeight="1">
      <c r="A5003" s="10" t="n">
        <v>7</v>
      </c>
      <c r="B5003" s="10" t="inlineStr">
        <is>
          <t>Insumo</t>
        </is>
      </c>
      <c r="C5003" s="10" t="inlineStr">
        <is>
          <t>Mão de obra para execução de base</t>
        </is>
      </c>
      <c r="D5003" s="10" t="inlineStr">
        <is>
          <t>Operador de máquina 2</t>
        </is>
      </c>
      <c r="E5003" s="11">
        <f t="array" ref="E5003">_xlfn.XLOOKUP(D5003,Insumos!B:B,Insumos!C:$C)</f>
        <v/>
      </c>
      <c r="F5003" s="14" t="n">
        <v>0.000210351966873706</v>
      </c>
      <c r="G5003" s="92">
        <f t="array" ref="G5003">IF(B5003="insumo",_xlfn.XLOOKUP($D5003,Insumos!$B$1:$B$996,Insumos!$D$1:$D$996),"")</f>
        <v/>
      </c>
      <c r="H5003" s="92" t="n">
        <v>0.725714285714286</v>
      </c>
      <c r="I5003" s="2162" t="n">
        <v>0</v>
      </c>
      <c r="J5003" s="2162" t="n">
        <v>0</v>
      </c>
      <c r="K5003" s="2162" t="n"/>
    </row>
    <row r="5004" outlineLevel="2" ht="15.75" customHeight="1">
      <c r="A5004" s="10" t="n">
        <v>1</v>
      </c>
      <c r="B5004" s="10" t="inlineStr">
        <is>
          <t>Insumo</t>
        </is>
      </c>
      <c r="C5004" s="10" t="inlineStr">
        <is>
          <t>Mão de obra para execução de base</t>
        </is>
      </c>
      <c r="D5004" s="10" t="inlineStr">
        <is>
          <t>Operador de máquina 4</t>
        </is>
      </c>
      <c r="E5004" s="11">
        <f t="array" ref="E5004">_xlfn.XLOOKUP(D5004,Insumos!B:B,Insumos!C:$C)</f>
        <v/>
      </c>
      <c r="F5004" s="14" t="n">
        <v>0.0002419047619047619</v>
      </c>
      <c r="G5004" s="92">
        <f t="array" ref="G5004">IF(B5004="insumo",_xlfn.XLOOKUP($D5004,Insumos!$B$1:$B$996,Insumos!$D$1:$D$996),"")</f>
        <v/>
      </c>
      <c r="H5004" s="92" t="n">
        <v>0.725714285714286</v>
      </c>
      <c r="I5004" s="2162" t="n">
        <v>0</v>
      </c>
      <c r="J5004" s="2162" t="n">
        <v>0</v>
      </c>
      <c r="K5004" s="2162" t="n"/>
    </row>
    <row r="5005" outlineLevel="2" ht="15.75" customHeight="1">
      <c r="A5005" s="10" t="n">
        <v>1</v>
      </c>
      <c r="B5005" s="10" t="inlineStr">
        <is>
          <t>Insumo</t>
        </is>
      </c>
      <c r="C5005" s="10" t="inlineStr">
        <is>
          <t>Mão de obra para execução de base</t>
        </is>
      </c>
      <c r="D5005" s="10" t="inlineStr">
        <is>
          <t>Operador de máquina 5</t>
        </is>
      </c>
      <c r="E5005" s="11">
        <f t="array" ref="E5005">_xlfn.XLOOKUP(D5005,Insumos!B:B,Insumos!C:$C)</f>
        <v/>
      </c>
      <c r="F5005" s="14" t="n">
        <v>0.0003023809523809524</v>
      </c>
      <c r="G5005" s="92">
        <f t="array" ref="G5005">IF(B5005="insumo",_xlfn.XLOOKUP($D5005,Insumos!$B$1:$B$996,Insumos!$D$1:$D$996),"")</f>
        <v/>
      </c>
      <c r="H5005" s="92" t="n">
        <v>0.725714285714286</v>
      </c>
      <c r="I5005" s="2162" t="n">
        <v>0</v>
      </c>
      <c r="J5005" s="2162" t="n">
        <v>0</v>
      </c>
      <c r="K5005" s="2162" t="n"/>
    </row>
    <row r="5006" outlineLevel="2" ht="15.75" customHeight="1">
      <c r="A5006" s="10" t="n">
        <v>1</v>
      </c>
      <c r="B5006" s="10" t="inlineStr">
        <is>
          <t>Insumo</t>
        </is>
      </c>
      <c r="C5006" s="10" t="inlineStr">
        <is>
          <t>Mão de obra para execução de base</t>
        </is>
      </c>
      <c r="D5006" s="10" t="inlineStr">
        <is>
          <t>Mestre 2</t>
        </is>
      </c>
      <c r="E5006" s="11">
        <f t="array" ref="E5006">_xlfn.XLOOKUP(D5006,Insumos!B:B,Insumos!C:$C)</f>
        <v/>
      </c>
      <c r="F5006" s="14" t="n">
        <v>0.0001116483516483516</v>
      </c>
      <c r="G5006" s="92">
        <f t="array" ref="G5006">IF(B5006="insumo",_xlfn.XLOOKUP($D5006,Insumos!$B$1:$B$996,Insumos!$D$1:$D$996),"")</f>
        <v/>
      </c>
      <c r="H5006" s="92" t="n">
        <v>0.725714285714286</v>
      </c>
      <c r="I5006" s="2162" t="n">
        <v>0</v>
      </c>
      <c r="J5006" s="2162" t="n">
        <v>0</v>
      </c>
      <c r="K5006" s="2162" t="n"/>
    </row>
    <row r="5007" outlineLevel="1" ht="15.75" customHeight="1">
      <c r="A5007" s="1067" t="n">
        <v>1</v>
      </c>
      <c r="B5007" s="1067" t="inlineStr">
        <is>
          <t>Serviço</t>
        </is>
      </c>
      <c r="C5007" s="1067" t="inlineStr">
        <is>
          <t>Pavimentação em Intertravado 10x20x06cm, Para vias, Calçadas e entrada das casas</t>
        </is>
      </c>
      <c r="D5007" s="1067" t="inlineStr">
        <is>
          <t>Pavimentação em Intertravado 10x20x06cm, Para vias, Calçadas e entrada das casas</t>
        </is>
      </c>
      <c r="E5007" s="1068" t="inlineStr">
        <is>
          <t>M2</t>
        </is>
      </c>
      <c r="F5007" s="1067" t="n"/>
      <c r="G5007" s="1069">
        <f t="array" ref="G5007">IF(B5007="insumo",_xlfn.XLOOKUP($D5007,Insumos!$B$1:$B$996,Insumos!$D$1:$D$996),"")</f>
        <v/>
      </c>
      <c r="H5007" s="1069" t="n">
        <v>108.035</v>
      </c>
      <c r="I5007" s="2161" t="n">
        <v>0</v>
      </c>
      <c r="J5007" s="2161" t="n">
        <v>0</v>
      </c>
      <c r="K5007" s="2161" t="n"/>
    </row>
    <row r="5008" outlineLevel="2" ht="15.75" customHeight="1">
      <c r="A5008" s="10" t="n">
        <v>1</v>
      </c>
      <c r="B5008" s="10" t="inlineStr">
        <is>
          <t>Insumo</t>
        </is>
      </c>
      <c r="C5008" s="10" t="inlineStr">
        <is>
          <t>Pavimentação em Intertravado 10x20x06cm, Para vias, Calçadas e entrada das casas</t>
        </is>
      </c>
      <c r="D5008" s="10" t="inlineStr">
        <is>
          <t>PISO INTERTRAVADO CONCRETO SEXTAVADO 35MPA 30X30X06CM NATURAL</t>
        </is>
      </c>
      <c r="E5008" s="11">
        <f t="array" ref="E5008">_xlfn.XLOOKUP(D5008,Insumos!B:B,Insumos!C:$C)</f>
        <v/>
      </c>
      <c r="F5008" s="14" t="n">
        <v>1.05</v>
      </c>
      <c r="G5008" s="92">
        <f t="array" ref="G5008">IF(B5008="insumo",_xlfn.XLOOKUP($D5008,Insumos!$B$1:$B$996,Insumos!$D$1:$D$996),"")</f>
        <v/>
      </c>
      <c r="H5008" s="92" t="n">
        <v>79.69499999999999</v>
      </c>
      <c r="I5008" s="2162" t="n">
        <v>0</v>
      </c>
      <c r="J5008" s="2162" t="n">
        <v>0</v>
      </c>
      <c r="K5008" s="2162" t="n"/>
    </row>
    <row r="5009" outlineLevel="2" ht="15.75" customHeight="1">
      <c r="A5009" s="10" t="n">
        <v>1</v>
      </c>
      <c r="B5009" s="10" t="inlineStr">
        <is>
          <t>Insumo</t>
        </is>
      </c>
      <c r="C5009" s="10" t="inlineStr">
        <is>
          <t>Pavimentação em Intertravado 10x20x06cm, Para vias, Calçadas e entrada das casas</t>
        </is>
      </c>
      <c r="D5009" s="10" t="inlineStr">
        <is>
          <t>PO PEDRA A GRANEL (M3) - GRANULOMETRIA 1,2 A 4,75MM NBR 7211</t>
        </is>
      </c>
      <c r="E5009" s="11">
        <f t="array" ref="E5009">_xlfn.XLOOKUP(D5009,Insumos!B:B,Insumos!C:$C)</f>
        <v/>
      </c>
      <c r="F5009" s="14" t="n">
        <v>0.09</v>
      </c>
      <c r="G5009" s="92">
        <f t="array" ref="G5009">IF(B5009="insumo",_xlfn.XLOOKUP($D5009,Insumos!$B$1:$B$996,Insumos!$D$1:$D$996),"")</f>
        <v/>
      </c>
      <c r="H5009" s="92" t="n">
        <v>27</v>
      </c>
      <c r="I5009" s="2162" t="n">
        <v>0</v>
      </c>
      <c r="J5009" s="2162" t="n">
        <v>0</v>
      </c>
      <c r="K5009" s="2162" t="n"/>
    </row>
    <row r="5010" outlineLevel="2" ht="15.75" customHeight="1">
      <c r="A5010" s="10" t="n">
        <v>1</v>
      </c>
      <c r="B5010" s="10" t="inlineStr">
        <is>
          <t>Insumo</t>
        </is>
      </c>
      <c r="C5010" s="10" t="inlineStr">
        <is>
          <t>Pavimentação em Intertravado 10x20x06cm, Para vias, Calçadas e entrada das casas</t>
        </is>
      </c>
      <c r="D5010" s="10" t="inlineStr">
        <is>
          <t>AREIA FINA</t>
        </is>
      </c>
      <c r="E5010" s="11">
        <f t="array" ref="E5010">_xlfn.XLOOKUP(D5010,Insumos!B:B,Insumos!C:$C)</f>
        <v/>
      </c>
      <c r="F5010" s="14" t="n">
        <v>0.01</v>
      </c>
      <c r="G5010" s="92">
        <f t="array" ref="G5010">IF(B5010="insumo",_xlfn.XLOOKUP($D5010,Insumos!$B$1:$B$996,Insumos!$D$1:$D$996),"")</f>
        <v/>
      </c>
      <c r="H5010" s="92" t="n">
        <v>1.34</v>
      </c>
      <c r="I5010" s="2162" t="n">
        <v>0</v>
      </c>
      <c r="J5010" s="2162" t="n">
        <v>0</v>
      </c>
      <c r="K5010" s="2162" t="n"/>
    </row>
    <row r="5011" outlineLevel="1" ht="15.75" customHeight="1">
      <c r="A5011" s="1067" t="n">
        <v>1</v>
      </c>
      <c r="B5011" s="1067" t="inlineStr">
        <is>
          <t>Serviço</t>
        </is>
      </c>
      <c r="C5011" s="1067" t="inlineStr">
        <is>
          <t>Mão de Obra Instalação Pavimentação em Intertravado</t>
        </is>
      </c>
      <c r="D5011" s="1067" t="inlineStr">
        <is>
          <t>Mão de Obra Instalação Pavimentação em Intertravado</t>
        </is>
      </c>
      <c r="E5011" s="1068" t="inlineStr">
        <is>
          <t>M2</t>
        </is>
      </c>
      <c r="F5011" s="1067" t="n"/>
      <c r="G5011" s="1069">
        <f t="array" ref="G5011">IF(B5011="insumo",_xlfn.XLOOKUP($D5011,Insumos!$B$1:$B$996,Insumos!$D$1:$D$996),"")</f>
        <v/>
      </c>
      <c r="H5011" s="1069" t="n">
        <v>50</v>
      </c>
      <c r="I5011" s="2161" t="n">
        <v>0</v>
      </c>
      <c r="J5011" s="2161" t="n">
        <v>0</v>
      </c>
      <c r="K5011" s="2161" t="n"/>
    </row>
    <row r="5012" outlineLevel="2" ht="15.75" customHeight="1">
      <c r="A5012" s="10" t="n">
        <v>1</v>
      </c>
      <c r="B5012" s="10" t="inlineStr">
        <is>
          <t>Insumo</t>
        </is>
      </c>
      <c r="C5012" s="10" t="inlineStr">
        <is>
          <t>Mão de Obra Instalação Pavimentação em Intertravado</t>
        </is>
      </c>
      <c r="D5012" s="10" t="inlineStr">
        <is>
          <t>SERVICO PAVIMENTACAO INTERNA C/INTERTRAVADO - EXECUCAO COMPLETA</t>
        </is>
      </c>
      <c r="E5012" s="11">
        <f t="array" ref="E5012">_xlfn.XLOOKUP(D5012,Insumos!B:B,Insumos!C:$C)</f>
        <v/>
      </c>
      <c r="F5012" s="14" t="n">
        <v>1</v>
      </c>
      <c r="G5012" s="92">
        <f t="array" ref="G5012">IF(B5012="insumo",_xlfn.XLOOKUP($D5012,Insumos!$B$1:$B$996,Insumos!$D$1:$D$996),"")</f>
        <v/>
      </c>
      <c r="H5012" s="92" t="n">
        <v>50</v>
      </c>
      <c r="I5012" s="2162" t="n">
        <v>0</v>
      </c>
      <c r="J5012" s="2162" t="n">
        <v>0</v>
      </c>
      <c r="K5012" s="2162" t="n"/>
    </row>
    <row r="5013" outlineLevel="1" ht="15.75" customHeight="1">
      <c r="A5013" s="1067" t="n">
        <v>1</v>
      </c>
      <c r="B5013" s="1067" t="inlineStr">
        <is>
          <t>Serviço</t>
        </is>
      </c>
      <c r="C5013" s="1067" t="inlineStr">
        <is>
          <t>Pinturas das faixas de Pedestres</t>
        </is>
      </c>
      <c r="D5013" s="1067" t="inlineStr">
        <is>
          <t>Pinturas das faixas de Pedestres</t>
        </is>
      </c>
      <c r="E5013" s="1068" t="inlineStr">
        <is>
          <t>M2</t>
        </is>
      </c>
      <c r="F5013" s="1067" t="n"/>
      <c r="G5013" s="1069">
        <f t="array" ref="G5013">IF(B5013="insumo",_xlfn.XLOOKUP($D5013,Insumos!$B$1:$B$996,Insumos!$D$1:$D$996),"")</f>
        <v/>
      </c>
      <c r="H5013" s="1069" t="n">
        <v>28.33575</v>
      </c>
      <c r="I5013" s="2161" t="n">
        <v>0</v>
      </c>
      <c r="J5013" s="2161" t="n">
        <v>0</v>
      </c>
      <c r="K5013" s="2161" t="n"/>
    </row>
    <row r="5014" outlineLevel="2" ht="15.75" customHeight="1">
      <c r="A5014" s="10" t="n">
        <v>6</v>
      </c>
      <c r="B5014" s="10" t="inlineStr">
        <is>
          <t>Insumo</t>
        </is>
      </c>
      <c r="C5014" s="10" t="inlineStr">
        <is>
          <t>Pinturas das faixas de Pedestres</t>
        </is>
      </c>
      <c r="D5014" s="10" t="inlineStr">
        <is>
          <t>DILUENTE AGUARRAS</t>
        </is>
      </c>
      <c r="E5014" s="11">
        <f t="array" ref="E5014">_xlfn.XLOOKUP(D5014,Insumos!B:B,Insumos!C:$C)</f>
        <v/>
      </c>
      <c r="F5014" s="14" t="n">
        <v>0.021</v>
      </c>
      <c r="G5014" s="92">
        <f t="array" ref="G5014">IF(B5014="insumo",_xlfn.XLOOKUP($D5014,Insumos!$B$1:$B$996,Insumos!$D$1:$D$996),"")</f>
        <v/>
      </c>
      <c r="H5014" s="92" t="n">
        <v>0.46179</v>
      </c>
      <c r="I5014" s="2162" t="n">
        <v>0</v>
      </c>
      <c r="J5014" s="2162" t="n">
        <v>0</v>
      </c>
      <c r="K5014" s="2162" t="n"/>
    </row>
    <row r="5015" outlineLevel="2" ht="15.75" customHeight="1">
      <c r="A5015" s="10" t="n">
        <v>2</v>
      </c>
      <c r="B5015" s="10" t="inlineStr">
        <is>
          <t>Insumo</t>
        </is>
      </c>
      <c r="C5015" s="10" t="inlineStr">
        <is>
          <t>Pinturas das faixas de Pedestres</t>
        </is>
      </c>
      <c r="D5015" s="10" t="inlineStr">
        <is>
          <t>TINTA ACRILICA A BASE DE SOLVENTE, PARA SINALIZACAO HORIZONTAL VIARIA (NBR 11862)</t>
        </is>
      </c>
      <c r="E5015" s="11">
        <f t="array" ref="E5015">_xlfn.XLOOKUP(D5015,Insumos!B:B,Insumos!C:$C)</f>
        <v/>
      </c>
      <c r="F5015" s="14" t="n">
        <v>0.427</v>
      </c>
      <c r="G5015" s="92">
        <f t="array" ref="G5015">IF(B5015="insumo",_xlfn.XLOOKUP($D5015,Insumos!$B$1:$B$996,Insumos!$D$1:$D$996),"")</f>
        <v/>
      </c>
      <c r="H5015" s="92" t="n">
        <v>15.12434</v>
      </c>
      <c r="I5015" s="2162" t="n">
        <v>0</v>
      </c>
      <c r="J5015" s="2162" t="n">
        <v>0</v>
      </c>
      <c r="K5015" s="2162" t="n"/>
    </row>
    <row r="5016" outlineLevel="2" ht="15.75" customHeight="1">
      <c r="A5016" s="10" t="n">
        <v>25</v>
      </c>
      <c r="B5016" s="10" t="inlineStr">
        <is>
          <t>Insumo</t>
        </is>
      </c>
      <c r="C5016" s="10" t="inlineStr">
        <is>
          <t>Pinturas das faixas de Pedestres</t>
        </is>
      </c>
      <c r="D5016" s="10" t="inlineStr">
        <is>
          <t>Fita Crepe Rolo De 25 Mm X 50 M</t>
        </is>
      </c>
      <c r="E5016" s="11">
        <f t="array" ref="E5016">_xlfn.XLOOKUP(D5016,Insumos!B:B,Insumos!C:$C)</f>
        <v/>
      </c>
      <c r="F5016" s="14" t="n">
        <v>0.012</v>
      </c>
      <c r="G5016" s="92">
        <f t="array" ref="G5016">IF(B5016="insumo",_xlfn.XLOOKUP($D5016,Insumos!$B$1:$B$996,Insumos!$D$1:$D$996),"")</f>
        <v/>
      </c>
      <c r="H5016" s="92" t="n">
        <v>0.13512</v>
      </c>
      <c r="I5016" s="2162" t="n">
        <v>0</v>
      </c>
      <c r="J5016" s="2162" t="n">
        <v>0</v>
      </c>
      <c r="K5016" s="2162" t="n"/>
    </row>
    <row r="5017" outlineLevel="2" ht="15.75" customHeight="1">
      <c r="A5017" s="10" t="n">
        <v>2</v>
      </c>
      <c r="B5017" s="10" t="inlineStr">
        <is>
          <t>Insumo</t>
        </is>
      </c>
      <c r="C5017" s="10" t="inlineStr">
        <is>
          <t>Pinturas das faixas de Pedestres</t>
        </is>
      </c>
      <c r="D5017" s="10" t="inlineStr">
        <is>
          <t>MICROESFERAS DE VIDRO PARA SINALIZACAO HORIZONTAL VIARIA, TIPO II-A (DROP-ON) - NBR  16184</t>
        </is>
      </c>
      <c r="E5017" s="11">
        <f t="array" ref="E5017">_xlfn.XLOOKUP(D5017,Insumos!B:B,Insumos!C:$C)</f>
        <v/>
      </c>
      <c r="F5017" s="14" t="n">
        <v>0.25</v>
      </c>
      <c r="G5017" s="92">
        <f t="array" ref="G5017">IF(B5017="insumo",_xlfn.XLOOKUP($D5017,Insumos!$B$1:$B$996,Insumos!$D$1:$D$996),"")</f>
        <v/>
      </c>
      <c r="H5017" s="92" t="n">
        <v>10.0625</v>
      </c>
      <c r="I5017" s="2162" t="n">
        <v>0</v>
      </c>
      <c r="J5017" s="2162" t="n">
        <v>0</v>
      </c>
      <c r="K5017" s="2162" t="n"/>
    </row>
    <row r="5018" outlineLevel="2" ht="15.75" customHeight="1">
      <c r="A5018" s="10" t="n">
        <v>2</v>
      </c>
      <c r="B5018" s="10" t="inlineStr">
        <is>
          <t>Insumo</t>
        </is>
      </c>
      <c r="C5018" s="10" t="inlineStr">
        <is>
          <t>Pinturas das faixas de Pedestres</t>
        </is>
      </c>
      <c r="D5018" s="10" t="inlineStr">
        <is>
          <t>MICROESFERAS DE VIDRO PARA SINALIZACAO HORIZONTAL VIARIA, TIPO I-B (PREMIX) - NBR  16184</t>
        </is>
      </c>
      <c r="E5018" s="11">
        <f t="array" ref="E5018">_xlfn.XLOOKUP(D5018,Insumos!B:B,Insumos!C:$C)</f>
        <v/>
      </c>
      <c r="F5018" s="14" t="n">
        <v>0.11</v>
      </c>
      <c r="G5018" s="92">
        <f t="array" ref="G5018">IF(B5018="insumo",_xlfn.XLOOKUP($D5018,Insumos!$B$1:$B$996,Insumos!$D$1:$D$996),"")</f>
        <v/>
      </c>
      <c r="H5018" s="92" t="n">
        <v>2.552</v>
      </c>
      <c r="I5018" s="2162" t="n">
        <v>0</v>
      </c>
      <c r="J5018" s="2162" t="n">
        <v>0</v>
      </c>
      <c r="K5018" s="2162" t="n"/>
    </row>
    <row r="5019" outlineLevel="1" ht="15.75" customHeight="1">
      <c r="A5019" s="1067" t="n">
        <v>1</v>
      </c>
      <c r="B5019" s="1067" t="inlineStr">
        <is>
          <t>Serviço</t>
        </is>
      </c>
      <c r="C5019" s="1067" t="inlineStr">
        <is>
          <t xml:space="preserve">Pinturas das vias com tinta acrilica </t>
        </is>
      </c>
      <c r="D5019" s="1067" t="inlineStr">
        <is>
          <t xml:space="preserve">Pinturas das vias com tinta acrilica </t>
        </is>
      </c>
      <c r="E5019" s="1068" t="inlineStr">
        <is>
          <t>M2</t>
        </is>
      </c>
      <c r="F5019" s="1067" t="n"/>
      <c r="G5019" s="1069">
        <f t="array" ref="G5019">IF(B5019="insumo",_xlfn.XLOOKUP($D5019,Insumos!$B$1:$B$996,Insumos!$D$1:$D$996),"")</f>
        <v/>
      </c>
      <c r="H5019" s="1069" t="n">
        <v>2.82849</v>
      </c>
      <c r="I5019" s="2161" t="n">
        <v>0</v>
      </c>
      <c r="J5019" s="2161" t="n">
        <v>0</v>
      </c>
      <c r="K5019" s="2161" t="n"/>
    </row>
    <row r="5020" outlineLevel="2" ht="15.75" customHeight="1">
      <c r="A5020" s="10" t="n">
        <v>6</v>
      </c>
      <c r="B5020" s="10" t="inlineStr">
        <is>
          <t>Insumo</t>
        </is>
      </c>
      <c r="C5020" s="10" t="inlineStr">
        <is>
          <t xml:space="preserve">Pinturas das vias com tinta acrilica </t>
        </is>
      </c>
      <c r="D5020" s="10" t="inlineStr">
        <is>
          <t>DILUENTE AGUARRAS</t>
        </is>
      </c>
      <c r="E5020" s="11">
        <f t="array" ref="E5020">_xlfn.XLOOKUP(D5020,Insumos!B:B,Insumos!C:$C)</f>
        <v/>
      </c>
      <c r="F5020" s="14" t="n">
        <v>0.002</v>
      </c>
      <c r="G5020" s="92">
        <f t="array" ref="G5020">IF(B5020="insumo",_xlfn.XLOOKUP($D5020,Insumos!$B$1:$B$996,Insumos!$D$1:$D$996),"")</f>
        <v/>
      </c>
      <c r="H5020" s="92" t="n">
        <v>0.04398</v>
      </c>
      <c r="I5020" s="2162" t="n">
        <v>0</v>
      </c>
      <c r="J5020" s="2162" t="n">
        <v>0</v>
      </c>
      <c r="K5020" s="2162" t="n"/>
    </row>
    <row r="5021" outlineLevel="2" ht="15.75" customHeight="1">
      <c r="A5021" s="10" t="n">
        <v>2</v>
      </c>
      <c r="B5021" s="10" t="inlineStr">
        <is>
          <t>Insumo</t>
        </is>
      </c>
      <c r="C5021" s="10" t="inlineStr">
        <is>
          <t xml:space="preserve">Pinturas das vias com tinta acrilica </t>
        </is>
      </c>
      <c r="D5021" s="10" t="inlineStr">
        <is>
          <t>TINTA ACRILICA A BASE DE SOLVENTE, PARA SINALIZACAO HORIZONTAL VIARIA (NBR 11862)</t>
        </is>
      </c>
      <c r="E5021" s="11">
        <f t="array" ref="E5021">_xlfn.XLOOKUP(D5021,Insumos!B:B,Insumos!C:$C)</f>
        <v/>
      </c>
      <c r="F5021" s="14" t="n">
        <v>0.043</v>
      </c>
      <c r="G5021" s="92">
        <f t="array" ref="G5021">IF(B5021="insumo",_xlfn.XLOOKUP($D5021,Insumos!$B$1:$B$996,Insumos!$D$1:$D$996),"")</f>
        <v/>
      </c>
      <c r="H5021" s="92" t="n">
        <v>1.52306</v>
      </c>
      <c r="I5021" s="2162" t="n">
        <v>0</v>
      </c>
      <c r="J5021" s="2162" t="n">
        <v>0</v>
      </c>
      <c r="K5021" s="2162" t="n"/>
    </row>
    <row r="5022" outlineLevel="2" ht="15.75" customHeight="1">
      <c r="A5022" s="10" t="n">
        <v>2</v>
      </c>
      <c r="B5022" s="10" t="inlineStr">
        <is>
          <t>Insumo</t>
        </is>
      </c>
      <c r="C5022" s="10" t="inlineStr">
        <is>
          <t xml:space="preserve">Pinturas das vias com tinta acrilica </t>
        </is>
      </c>
      <c r="D5022" s="10" t="inlineStr">
        <is>
          <t>MICROESFERAS DE VIDRO PARA SINALIZACAO HORIZONTAL VIARIA, TIPO II-A (DROP-ON) - NBR  16184</t>
        </is>
      </c>
      <c r="E5022" s="11">
        <f t="array" ref="E5022">_xlfn.XLOOKUP(D5022,Insumos!B:B,Insumos!C:$C)</f>
        <v/>
      </c>
      <c r="F5022" s="14" t="n">
        <v>0.025</v>
      </c>
      <c r="G5022" s="92">
        <f t="array" ref="G5022">IF(B5022="insumo",_xlfn.XLOOKUP($D5022,Insumos!$B$1:$B$996,Insumos!$D$1:$D$996),"")</f>
        <v/>
      </c>
      <c r="H5022" s="92" t="n">
        <v>1.00625</v>
      </c>
      <c r="I5022" s="2162" t="n">
        <v>0</v>
      </c>
      <c r="J5022" s="2162" t="n">
        <v>0</v>
      </c>
      <c r="K5022" s="2162" t="n"/>
    </row>
    <row r="5023" outlineLevel="2" ht="15.75" customHeight="1">
      <c r="A5023" s="10" t="n">
        <v>2</v>
      </c>
      <c r="B5023" s="10" t="inlineStr">
        <is>
          <t>Insumo</t>
        </is>
      </c>
      <c r="C5023" s="10" t="inlineStr">
        <is>
          <t xml:space="preserve">Pinturas das vias com tinta acrilica </t>
        </is>
      </c>
      <c r="D5023" s="10" t="inlineStr">
        <is>
          <t>MICROESFERAS DE VIDRO PARA SINALIZACAO HORIZONTAL VIARIA, TIPO I-B (PREMIX) - NBR  16184</t>
        </is>
      </c>
      <c r="E5023" s="11">
        <f t="array" ref="E5023">_xlfn.XLOOKUP(D5023,Insumos!B:B,Insumos!C:$C)</f>
        <v/>
      </c>
      <c r="F5023" s="14" t="n">
        <v>0.011</v>
      </c>
      <c r="G5023" s="92">
        <f t="array" ref="G5023">IF(B5023="insumo",_xlfn.XLOOKUP($D5023,Insumos!$B$1:$B$996,Insumos!$D$1:$D$996),"")</f>
        <v/>
      </c>
      <c r="H5023" s="92" t="n">
        <v>0.2552</v>
      </c>
      <c r="I5023" s="2162" t="n">
        <v>0</v>
      </c>
      <c r="J5023" s="2162" t="n">
        <v>0</v>
      </c>
      <c r="K5023" s="2162" t="n"/>
    </row>
    <row r="5024" outlineLevel="1" ht="15.75" customHeight="1">
      <c r="A5024" s="1067" t="n">
        <v>1</v>
      </c>
      <c r="B5024" s="1067" t="inlineStr">
        <is>
          <t>Serviço</t>
        </is>
      </c>
      <c r="C5024" s="1067" t="inlineStr">
        <is>
          <t>Mão de Obra Pinturas das faixas de Pedestres</t>
        </is>
      </c>
      <c r="D5024" s="1067" t="inlineStr">
        <is>
          <t>Mão de Obra Pinturas das faixas de Pedestres</t>
        </is>
      </c>
      <c r="E5024" s="1068" t="inlineStr">
        <is>
          <t>M2</t>
        </is>
      </c>
      <c r="F5024" s="1067" t="n"/>
      <c r="G5024" s="1069">
        <f t="array" ref="G5024">IF(B5024="insumo",_xlfn.XLOOKUP($D5024,Insumos!$B$1:$B$996,Insumos!$D$1:$D$996),"")</f>
        <v/>
      </c>
      <c r="H5024" s="1069" t="n">
        <v>20</v>
      </c>
      <c r="I5024" s="2161" t="n">
        <v>0</v>
      </c>
      <c r="J5024" s="2161" t="n">
        <v>0</v>
      </c>
      <c r="K5024" s="2161" t="n"/>
    </row>
    <row r="5025" outlineLevel="2" ht="15.75" customHeight="1">
      <c r="A5025" s="10" t="n">
        <v>1</v>
      </c>
      <c r="B5025" s="10" t="inlineStr">
        <is>
          <t>Insumo</t>
        </is>
      </c>
      <c r="C5025" s="10" t="inlineStr">
        <is>
          <t>Mão de Obra Pinturas das faixas de Pedestres</t>
        </is>
      </c>
      <c r="D5025" s="10" t="inlineStr">
        <is>
          <t>Mão de Obra Pinturas das faixas de Pedestres</t>
        </is>
      </c>
      <c r="E5025" s="11">
        <f t="array" ref="E5025">_xlfn.XLOOKUP(D5025,Insumos!B:B,Insumos!C:$C)</f>
        <v/>
      </c>
      <c r="F5025" s="14" t="n">
        <v>1</v>
      </c>
      <c r="G5025" s="92">
        <f t="array" ref="G5025">IF(B5025="insumo",_xlfn.XLOOKUP($D5025,Insumos!$B$1:$B$996,Insumos!$D$1:$D$996),"")</f>
        <v/>
      </c>
      <c r="H5025" s="92" t="n">
        <v>20</v>
      </c>
      <c r="I5025" s="2162" t="n">
        <v>0</v>
      </c>
      <c r="J5025" s="2162" t="n">
        <v>0</v>
      </c>
      <c r="K5025" s="2162" t="n"/>
    </row>
    <row r="5026" outlineLevel="1" ht="15.75" customHeight="1">
      <c r="A5026" s="1067" t="n">
        <v>1</v>
      </c>
      <c r="B5026" s="1067" t="inlineStr">
        <is>
          <t>Serviço</t>
        </is>
      </c>
      <c r="C5026" s="1067" t="inlineStr">
        <is>
          <t>Mão de Obra Pinturas das vias</t>
        </is>
      </c>
      <c r="D5026" s="1067" t="inlineStr">
        <is>
          <t>Mão de Obra Pinturas das vias</t>
        </is>
      </c>
      <c r="E5026" s="1068" t="inlineStr">
        <is>
          <t>M</t>
        </is>
      </c>
      <c r="F5026" s="1067" t="n"/>
      <c r="G5026" s="1069">
        <f t="array" ref="G5026">IF(B5026="insumo",_xlfn.XLOOKUP($D5026,Insumos!$B$1:$B$996,Insumos!$D$1:$D$996),"")</f>
        <v/>
      </c>
      <c r="H5026" s="1069" t="n">
        <v>5</v>
      </c>
      <c r="I5026" s="2161" t="n">
        <v>0</v>
      </c>
      <c r="J5026" s="2161" t="n">
        <v>0</v>
      </c>
      <c r="K5026" s="2161" t="n"/>
    </row>
    <row r="5027" outlineLevel="2" ht="15.75" customHeight="1">
      <c r="A5027" s="10" t="n">
        <v>1</v>
      </c>
      <c r="B5027" s="10" t="inlineStr">
        <is>
          <t>Insumo</t>
        </is>
      </c>
      <c r="C5027" s="10" t="inlineStr">
        <is>
          <t>Mão de Obra Pinturas das vias</t>
        </is>
      </c>
      <c r="D5027" s="10" t="inlineStr">
        <is>
          <t>Mão de Obra Pinturas das vias</t>
        </is>
      </c>
      <c r="E5027" s="11">
        <f t="array" ref="E5027">_xlfn.XLOOKUP(D5027,Insumos!B:B,Insumos!C:$C)</f>
        <v/>
      </c>
      <c r="F5027" s="14" t="n">
        <v>1</v>
      </c>
      <c r="G5027" s="92">
        <f t="array" ref="G5027">IF(B5027="insumo",_xlfn.XLOOKUP($D5027,Insumos!$B$1:$B$996,Insumos!$D$1:$D$996),"")</f>
        <v/>
      </c>
      <c r="H5027" s="92" t="n">
        <v>5</v>
      </c>
      <c r="I5027" s="2162" t="n">
        <v>0</v>
      </c>
      <c r="J5027" s="2162" t="n">
        <v>0</v>
      </c>
      <c r="K5027" s="2162" t="n"/>
    </row>
    <row r="5028" ht="15" customHeight="1"/>
    <row r="5029" ht="15" customHeight="1"/>
    <row r="5030" ht="15" customHeight="1"/>
    <row r="5031" ht="15" customHeight="1"/>
    <row r="5032" ht="15" customHeight="1"/>
    <row r="5033" ht="15" customHeight="1"/>
    <row r="5034" ht="15" customHeight="1"/>
    <row r="5035" ht="15" customHeight="1"/>
    <row r="5036" ht="15" customHeight="1"/>
    <row r="5037" ht="15" customHeight="1"/>
    <row r="5038" ht="15" customHeight="1"/>
    <row r="5039" ht="15" customHeight="1"/>
    <row r="5040" ht="15" customHeight="1"/>
    <row r="5041" ht="15" customHeight="1"/>
    <row r="5042" ht="15" customHeight="1"/>
    <row r="5043" ht="15" customHeight="1"/>
    <row r="5044" ht="15" customHeight="1"/>
    <row r="5045" ht="15" customHeight="1"/>
    <row r="5046" ht="15" customHeight="1"/>
    <row r="5047" ht="15" customHeight="1"/>
    <row r="5048" ht="15" customHeight="1"/>
    <row r="5049" ht="15" customHeight="1"/>
    <row r="5050" ht="15" customHeight="1"/>
    <row r="5051" ht="15" customHeight="1"/>
    <row r="5052" ht="15" customHeight="1"/>
    <row r="5053" ht="15" customHeight="1"/>
    <row r="5054" ht="15" customHeight="1"/>
    <row r="5055" ht="15" customHeight="1"/>
    <row r="5056" ht="15" customHeight="1"/>
    <row r="5057" ht="15" customHeight="1"/>
    <row r="5058" ht="15" customHeight="1"/>
    <row r="5059" ht="15" customHeight="1"/>
    <row r="5060" ht="15" customHeight="1"/>
    <row r="5061" ht="15" customHeight="1"/>
    <row r="5062" ht="15" customHeight="1"/>
    <row r="5063" ht="15" customHeight="1"/>
    <row r="5064" ht="15" customHeight="1"/>
    <row r="5065" ht="15" customHeight="1"/>
    <row r="5066" ht="15" customHeight="1"/>
    <row r="5067" ht="15" customHeight="1"/>
    <row r="5068" ht="15" customHeight="1"/>
    <row r="5069" ht="15" customHeight="1"/>
    <row r="5070" ht="15" customHeight="1"/>
    <row r="5071" ht="15" customHeight="1"/>
    <row r="5072" ht="15" customHeight="1"/>
    <row r="5073" ht="15" customHeight="1"/>
    <row r="5074" ht="15" customHeight="1"/>
    <row r="5075" ht="15" customHeight="1"/>
    <row r="5076" ht="15" customHeight="1"/>
    <row r="5077" ht="15" customHeight="1"/>
    <row r="5078" ht="15" customHeight="1"/>
    <row r="5079" ht="15" customHeight="1"/>
    <row r="5080" ht="15" customHeight="1"/>
    <row r="5081" ht="15" customHeight="1"/>
    <row r="5082" ht="15" customHeight="1"/>
    <row r="5083" ht="15" customHeight="1"/>
    <row r="5084" ht="15" customHeight="1"/>
    <row r="5085" ht="15" customHeight="1"/>
    <row r="5086" ht="15" customHeight="1"/>
    <row r="5087" ht="15" customHeight="1"/>
    <row r="5088" ht="15" customHeight="1"/>
    <row r="5089" ht="15" customHeight="1"/>
    <row r="5090" ht="15" customHeight="1"/>
    <row r="5091" ht="15" customHeight="1"/>
    <row r="5092" ht="15" customHeight="1"/>
    <row r="5093" ht="15" customHeight="1"/>
    <row r="5094" ht="15" customHeight="1"/>
    <row r="5095" ht="15" customHeight="1"/>
    <row r="5096" ht="15" customHeight="1"/>
    <row r="5097" ht="15" customHeight="1"/>
    <row r="5098" ht="15" customHeight="1"/>
    <row r="5099" ht="15" customHeight="1"/>
    <row r="5100" ht="15" customHeight="1"/>
    <row r="5101" ht="15" customHeight="1"/>
    <row r="5102" ht="15" customHeight="1"/>
    <row r="5103" ht="15" customHeight="1"/>
    <row r="5104" ht="15" customHeight="1"/>
    <row r="5105" ht="15" customHeight="1"/>
    <row r="5106" ht="15" customHeight="1"/>
    <row r="5107" ht="15" customHeight="1"/>
    <row r="5108" ht="15" customHeight="1"/>
    <row r="5109" ht="15" customHeight="1"/>
    <row r="5110" ht="15" customHeight="1"/>
    <row r="5111" ht="15" customHeight="1"/>
    <row r="5112" ht="15" customHeight="1"/>
    <row r="5113" ht="15" customHeight="1"/>
    <row r="5114" ht="15" customHeight="1"/>
    <row r="5115" ht="15" customHeight="1"/>
    <row r="5116" ht="15" customHeight="1"/>
    <row r="5117" ht="15" customHeight="1"/>
    <row r="5118" ht="15" customHeight="1"/>
    <row r="5119" ht="15" customHeight="1"/>
    <row r="5120" ht="15" customHeight="1"/>
    <row r="5121" ht="15" customHeight="1"/>
    <row r="5122" ht="15" customHeight="1"/>
    <row r="5123" ht="15" customHeight="1"/>
    <row r="5124" ht="15" customHeight="1"/>
    <row r="5125" ht="15" customHeight="1"/>
    <row r="5126" ht="15" customHeight="1"/>
    <row r="5127" ht="15" customHeight="1"/>
    <row r="5128" ht="15" customHeight="1"/>
    <row r="5129" ht="15" customHeight="1"/>
    <row r="5130" ht="15" customHeight="1"/>
    <row r="5131" ht="15" customHeight="1"/>
    <row r="5132" ht="15" customHeight="1"/>
    <row r="5133" ht="15" customHeight="1"/>
    <row r="5134" ht="15" customHeight="1"/>
    <row r="5135" ht="15" customHeight="1"/>
    <row r="5136" ht="15" customHeight="1"/>
    <row r="5137" ht="15" customHeight="1"/>
    <row r="5138" ht="15" customHeight="1"/>
    <row r="5139" ht="15" customHeight="1"/>
    <row r="5140" ht="15" customHeight="1"/>
    <row r="5141" ht="15" customHeight="1"/>
    <row r="5142" ht="15" customHeight="1"/>
    <row r="5143" ht="15" customHeight="1"/>
    <row r="5144" ht="15" customHeight="1"/>
    <row r="5145" ht="15" customHeight="1"/>
    <row r="5146" ht="15" customHeight="1"/>
    <row r="5147" ht="15" customHeight="1"/>
    <row r="5148" ht="15" customHeight="1"/>
    <row r="5149" ht="15" customHeight="1"/>
    <row r="5150" ht="15" customHeight="1"/>
    <row r="5151" ht="15" customHeight="1"/>
    <row r="5152" ht="15" customHeight="1"/>
    <row r="5153" ht="15" customHeight="1"/>
    <row r="5154" ht="15" customHeight="1"/>
    <row r="5155" ht="15" customHeight="1"/>
    <row r="5156" ht="15" customHeight="1"/>
    <row r="5157" ht="15" customHeight="1"/>
    <row r="5158" ht="15" customHeight="1"/>
    <row r="5159" ht="15" customHeight="1"/>
    <row r="5160" ht="15" customHeight="1"/>
    <row r="5161" ht="15" customHeight="1"/>
    <row r="5162" ht="15" customHeight="1"/>
    <row r="5163" ht="15" customHeight="1"/>
    <row r="5164" ht="15" customHeight="1"/>
    <row r="5165" ht="15" customHeight="1"/>
    <row r="5166" ht="15" customHeight="1"/>
    <row r="5167" ht="15" customHeight="1"/>
    <row r="5168" ht="15" customHeight="1"/>
    <row r="5169" ht="15" customHeight="1"/>
    <row r="5170" ht="15" customHeight="1"/>
    <row r="5171" ht="15" customHeight="1"/>
    <row r="5172" ht="15" customHeight="1"/>
    <row r="5173" ht="15" customHeight="1"/>
    <row r="5174" ht="15" customHeight="1"/>
    <row r="5175" ht="15" customHeight="1"/>
    <row r="5176" ht="15" customHeight="1"/>
    <row r="5177" ht="15" customHeight="1"/>
    <row r="5178" ht="15" customHeight="1"/>
    <row r="5179" ht="15" customHeight="1"/>
    <row r="5180" ht="15" customHeight="1"/>
    <row r="5181" ht="15" customHeight="1"/>
    <row r="5182" ht="15" customHeight="1"/>
    <row r="5183" ht="15" customHeight="1"/>
    <row r="5184" ht="15" customHeight="1"/>
    <row r="5185" ht="15" customHeight="1"/>
    <row r="5186" ht="15" customHeight="1"/>
    <row r="5187" ht="15" customHeight="1"/>
    <row r="5188" ht="15" customHeight="1"/>
    <row r="5189" ht="15" customHeight="1"/>
    <row r="5190" ht="15" customHeight="1"/>
    <row r="5191" ht="15" customHeight="1"/>
    <row r="5192" ht="15" customHeight="1"/>
    <row r="5193" ht="15" customHeight="1"/>
    <row r="5194" ht="15" customHeight="1"/>
    <row r="5195" ht="15" customHeight="1"/>
    <row r="5196" ht="15" customHeight="1"/>
    <row r="5197" ht="15" customHeight="1"/>
    <row r="5198" ht="15" customHeight="1"/>
    <row r="5199" ht="15" customHeight="1"/>
    <row r="5200" ht="15" customHeight="1"/>
    <row r="5201" ht="15" customHeight="1"/>
    <row r="5202" ht="15" customHeight="1"/>
    <row r="5203" ht="15" customHeight="1"/>
    <row r="5204" ht="15" customHeight="1"/>
    <row r="5205" ht="15" customHeight="1"/>
    <row r="5206" ht="15" customHeight="1"/>
    <row r="5207" ht="15" customHeight="1"/>
    <row r="5208" ht="15" customHeight="1"/>
    <row r="5209" ht="15" customHeight="1"/>
    <row r="5210" ht="15" customHeight="1"/>
    <row r="5211" ht="15" customHeight="1"/>
    <row r="5212" ht="15" customHeight="1"/>
    <row r="5213" ht="15" customHeight="1"/>
    <row r="5214" ht="15" customHeight="1"/>
    <row r="5215" ht="15" customHeight="1"/>
    <row r="5216" ht="15" customHeight="1"/>
    <row r="5217" ht="15" customHeight="1"/>
    <row r="5218" ht="15" customHeight="1"/>
    <row r="5219" ht="15" customHeight="1"/>
    <row r="5220" ht="15" customHeight="1"/>
    <row r="5221" ht="15" customHeight="1"/>
    <row r="5222" ht="15" customHeight="1"/>
    <row r="5223" ht="15" customHeight="1"/>
    <row r="5224" ht="15" customHeight="1"/>
    <row r="5225" ht="15" customHeight="1"/>
    <row r="5226" ht="15" customHeight="1"/>
    <row r="5227" ht="15" customHeight="1"/>
    <row r="5228" ht="15" customHeight="1"/>
    <row r="5229" ht="15" customHeight="1"/>
    <row r="5230" ht="15" customHeight="1"/>
    <row r="5231" ht="15" customHeight="1"/>
    <row r="5232" ht="15" customHeight="1"/>
    <row r="5233" ht="15" customHeight="1"/>
    <row r="5234" ht="15" customHeight="1"/>
    <row r="5235" ht="15" customHeight="1"/>
    <row r="5236" ht="15" customHeight="1"/>
    <row r="5237" ht="15" customHeight="1"/>
    <row r="5238" ht="15" customHeight="1"/>
    <row r="5239" ht="15" customHeight="1"/>
    <row r="5240" ht="15" customHeight="1"/>
    <row r="5241" ht="15" customHeight="1"/>
    <row r="5242" ht="15" customHeight="1"/>
    <row r="5243" ht="15" customHeight="1"/>
    <row r="5244" ht="15" customHeight="1"/>
    <row r="5245" ht="15" customHeight="1"/>
    <row r="5246" ht="15" customHeight="1"/>
    <row r="5247" ht="15" customHeight="1"/>
    <row r="5248" ht="15" customHeight="1"/>
    <row r="5249" ht="15" customHeight="1"/>
    <row r="5250" ht="15" customHeight="1"/>
    <row r="5251" ht="15" customHeight="1"/>
    <row r="5252" ht="15" customHeight="1"/>
    <row r="5253" ht="15" customHeight="1"/>
    <row r="5254" ht="15" customHeight="1"/>
    <row r="5255" ht="15" customHeight="1"/>
    <row r="5256" ht="15" customHeight="1"/>
    <row r="5257" ht="15" customHeight="1"/>
    <row r="5258" ht="15" customHeight="1"/>
    <row r="5259" ht="15" customHeight="1"/>
    <row r="5260" ht="15" customHeight="1"/>
    <row r="5261" ht="15" customHeight="1"/>
    <row r="5262" ht="15" customHeight="1"/>
    <row r="5263" ht="15" customHeight="1"/>
    <row r="5264" ht="15" customHeight="1"/>
    <row r="5265" ht="15" customHeight="1"/>
    <row r="5266" ht="15" customHeight="1"/>
    <row r="5267" ht="15" customHeight="1"/>
    <row r="5268" ht="15" customHeight="1"/>
    <row r="5269" ht="15" customHeight="1"/>
    <row r="5270" ht="15" customHeight="1"/>
    <row r="5271" ht="15" customHeight="1"/>
    <row r="5272" ht="15" customHeight="1"/>
    <row r="5273" ht="15" customHeight="1"/>
    <row r="5274" ht="15" customHeight="1"/>
    <row r="5275" ht="15" customHeight="1"/>
    <row r="5276" ht="15" customHeight="1"/>
    <row r="5277" ht="15" customHeight="1"/>
    <row r="5278" ht="15" customHeight="1"/>
    <row r="5279" ht="15" customHeight="1"/>
    <row r="5280" ht="15" customHeight="1"/>
    <row r="5281" ht="15" customHeight="1"/>
    <row r="5282" ht="15" customHeight="1"/>
    <row r="5283" ht="15" customHeight="1"/>
    <row r="5284" ht="15" customHeight="1"/>
    <row r="5285" ht="15" customHeight="1"/>
    <row r="5286" ht="15" customHeight="1"/>
    <row r="5287" ht="15" customHeight="1"/>
    <row r="5288" ht="15" customHeight="1"/>
    <row r="5289" ht="15" customHeight="1"/>
    <row r="5290" ht="15" customHeight="1"/>
    <row r="5291" ht="15" customHeight="1"/>
    <row r="5292" ht="15" customHeight="1"/>
    <row r="5293" ht="15" customHeight="1"/>
    <row r="5294" ht="15" customHeight="1"/>
    <row r="5295" ht="15" customHeight="1"/>
    <row r="5296" ht="15" customHeight="1"/>
    <row r="5297" ht="15" customHeight="1"/>
    <row r="5298" ht="15" customHeight="1"/>
    <row r="5299" ht="15" customHeight="1"/>
    <row r="5300" ht="15" customHeight="1"/>
    <row r="5301" ht="15" customHeight="1"/>
    <row r="5302" ht="15" customHeight="1"/>
    <row r="5303" ht="15" customHeight="1"/>
    <row r="5304" ht="15" customHeight="1"/>
    <row r="5305" ht="15" customHeight="1"/>
    <row r="5306" ht="15" customHeight="1"/>
    <row r="5307" ht="15" customHeight="1"/>
    <row r="5308" ht="15" customHeight="1"/>
    <row r="5309" ht="15" customHeight="1"/>
    <row r="5310" ht="15" customHeight="1"/>
    <row r="5311" ht="15" customHeight="1"/>
    <row r="5312" ht="15" customHeight="1"/>
    <row r="5313" ht="15" customHeight="1"/>
    <row r="5314" ht="15" customHeight="1"/>
    <row r="5315" ht="15" customHeight="1"/>
    <row r="5316" ht="15" customHeight="1"/>
    <row r="5317" ht="15" customHeight="1"/>
    <row r="5318" ht="15" customHeight="1"/>
    <row r="5319" ht="15" customHeight="1"/>
    <row r="5320" ht="15" customHeight="1"/>
    <row r="5321" ht="15" customHeight="1"/>
    <row r="5322" ht="15" customHeight="1"/>
    <row r="5323" ht="15" customHeight="1"/>
    <row r="5324" ht="15" customHeight="1"/>
    <row r="5325" ht="15" customHeight="1"/>
    <row r="5326" ht="15" customHeight="1"/>
    <row r="5327" ht="15" customHeight="1"/>
    <row r="5328" ht="15" customHeight="1"/>
    <row r="5329" ht="15" customHeight="1"/>
    <row r="5330" ht="15" customHeight="1"/>
    <row r="5331" ht="15" customHeight="1"/>
    <row r="5332" ht="15" customHeight="1"/>
    <row r="5333" ht="15" customHeight="1"/>
    <row r="5334" ht="15" customHeight="1"/>
    <row r="5335" ht="15" customHeight="1"/>
    <row r="5336" ht="15" customHeight="1"/>
    <row r="5337" ht="15" customHeight="1"/>
    <row r="5338" ht="15" customHeight="1"/>
    <row r="5339" ht="15" customHeight="1"/>
    <row r="5340" ht="15" customHeight="1"/>
    <row r="5341" ht="15" customHeight="1"/>
    <row r="5342" ht="15" customHeight="1"/>
    <row r="5343" ht="15" customHeight="1"/>
    <row r="5344" ht="15" customHeight="1"/>
    <row r="5345" ht="15" customHeight="1"/>
    <row r="5346" ht="15" customHeight="1"/>
    <row r="5347" ht="15" customHeight="1"/>
    <row r="5348" ht="15" customHeight="1"/>
    <row r="5349" ht="15" customHeight="1"/>
    <row r="5350" ht="15" customHeight="1"/>
    <row r="5351" ht="15" customHeight="1"/>
    <row r="5352" ht="15" customHeight="1"/>
    <row r="5353" ht="15" customHeight="1"/>
    <row r="5354" ht="15" customHeight="1"/>
    <row r="5355" ht="15" customHeight="1"/>
    <row r="5356" ht="15" customHeight="1"/>
    <row r="5357" ht="15" customHeight="1"/>
    <row r="5358" ht="15" customHeight="1"/>
    <row r="5359" ht="15" customHeight="1"/>
    <row r="5360" ht="15" customHeight="1"/>
    <row r="5361" ht="15" customHeight="1"/>
    <row r="5362" ht="15" customHeight="1"/>
    <row r="5363" ht="15" customHeight="1"/>
    <row r="5364" ht="15" customHeight="1"/>
    <row r="5365" ht="15" customHeight="1"/>
    <row r="5366" ht="15" customHeight="1"/>
    <row r="5367" ht="15" customHeight="1"/>
    <row r="5368" ht="15" customHeight="1"/>
    <row r="5369" ht="15" customHeight="1"/>
    <row r="5370" ht="15" customHeight="1"/>
    <row r="5371" ht="15" customHeight="1"/>
    <row r="5372" ht="15" customHeight="1"/>
    <row r="5373" ht="15" customHeight="1"/>
    <row r="5374" ht="15" customHeight="1"/>
    <row r="5375" ht="15" customHeight="1"/>
    <row r="5376" ht="15" customHeight="1"/>
    <row r="5377" ht="15" customHeight="1"/>
    <row r="5378" ht="15" customHeight="1"/>
    <row r="5379" ht="15" customHeight="1"/>
    <row r="5380" ht="15" customHeight="1"/>
    <row r="5381" ht="15" customHeight="1"/>
    <row r="5382" ht="15" customHeight="1"/>
    <row r="5383" ht="15" customHeight="1"/>
    <row r="5384" ht="15" customHeight="1"/>
    <row r="5385" ht="15" customHeight="1"/>
    <row r="5386" ht="15" customHeight="1"/>
    <row r="5387" ht="15" customHeight="1"/>
    <row r="5388" ht="15" customHeight="1"/>
    <row r="5389" ht="15" customHeight="1"/>
    <row r="5390" ht="15" customHeight="1"/>
    <row r="5391" ht="15" customHeight="1"/>
    <row r="5392" ht="15" customHeight="1"/>
    <row r="5393" ht="15" customHeight="1"/>
    <row r="5394" ht="15" customHeight="1"/>
    <row r="5395" ht="15" customHeight="1"/>
    <row r="5396" ht="15" customHeight="1"/>
    <row r="5397" ht="15" customHeight="1"/>
    <row r="5398" ht="15" customHeight="1"/>
    <row r="5399" ht="15" customHeight="1"/>
    <row r="5400" ht="15" customHeight="1"/>
    <row r="5401" ht="15" customHeight="1"/>
    <row r="5402" ht="15" customHeight="1"/>
    <row r="5403" ht="15" customHeight="1"/>
    <row r="5404" ht="15" customHeight="1"/>
    <row r="5405" ht="15" customHeight="1"/>
    <row r="5406" ht="15" customHeight="1"/>
    <row r="5407" ht="15" customHeight="1"/>
    <row r="5408" ht="15" customHeight="1"/>
    <row r="5409" ht="15" customHeight="1"/>
    <row r="5410" ht="15" customHeight="1"/>
    <row r="5411" ht="15" customHeight="1"/>
    <row r="5412" ht="15" customHeight="1"/>
    <row r="5413" ht="15" customHeight="1"/>
    <row r="5414" ht="15" customHeight="1"/>
    <row r="5415" ht="15" customHeight="1"/>
    <row r="5416" ht="15" customHeight="1"/>
    <row r="5417" ht="15" customHeight="1"/>
    <row r="5418" ht="15" customHeight="1"/>
    <row r="5419" ht="15" customHeight="1"/>
    <row r="5420" ht="15" customHeight="1"/>
    <row r="5421" ht="15" customHeight="1"/>
    <row r="5422" ht="15" customHeight="1"/>
    <row r="5423" ht="15" customHeight="1"/>
    <row r="5424" ht="15" customHeight="1"/>
    <row r="5425" ht="15" customHeight="1"/>
    <row r="5426" ht="15" customHeight="1"/>
    <row r="5427" ht="15" customHeight="1"/>
    <row r="5428" ht="15" customHeight="1"/>
    <row r="5429" ht="15" customHeight="1"/>
    <row r="5430" ht="15" customHeight="1"/>
    <row r="5431" ht="15" customHeight="1"/>
    <row r="5432" ht="15" customHeight="1"/>
    <row r="5433" ht="15" customHeight="1"/>
    <row r="5434" ht="15" customHeight="1"/>
    <row r="5435" ht="15" customHeight="1"/>
    <row r="5436" ht="15" customHeight="1"/>
    <row r="5437" ht="15" customHeight="1"/>
    <row r="5438" ht="15" customHeight="1"/>
    <row r="5439" ht="15" customHeight="1"/>
    <row r="5440" ht="15" customHeight="1"/>
    <row r="5441" ht="15" customHeight="1"/>
    <row r="5442" ht="15" customHeight="1"/>
    <row r="5443" ht="15" customHeight="1"/>
    <row r="5444" ht="15" customHeight="1"/>
    <row r="5445" ht="15" customHeight="1"/>
    <row r="5446" ht="15" customHeight="1"/>
    <row r="5447" ht="15" customHeight="1"/>
    <row r="5448" ht="15" customHeight="1"/>
    <row r="5449" ht="15" customHeight="1"/>
    <row r="5450" ht="15" customHeight="1"/>
    <row r="5451" ht="15" customHeight="1"/>
    <row r="5452" ht="15" customHeight="1"/>
    <row r="5453" ht="15" customHeight="1"/>
    <row r="5454" ht="15" customHeight="1"/>
    <row r="5455" ht="15" customHeight="1"/>
    <row r="5456" ht="15" customHeight="1"/>
    <row r="5457" ht="15" customHeight="1"/>
    <row r="5458" ht="15" customHeight="1"/>
    <row r="5459" ht="15" customHeight="1"/>
    <row r="5460" ht="15" customHeight="1"/>
    <row r="5461" ht="15" customHeight="1"/>
    <row r="5462" ht="15" customHeight="1"/>
    <row r="5463" ht="15" customHeight="1"/>
    <row r="5464" ht="15" customHeight="1"/>
    <row r="5465" ht="15" customHeight="1"/>
    <row r="5466" ht="15" customHeight="1"/>
    <row r="5467" ht="15" customHeight="1"/>
    <row r="5468" ht="15" customHeight="1"/>
    <row r="5469" ht="15" customHeight="1"/>
    <row r="5470" ht="15" customHeight="1"/>
    <row r="5471" ht="15" customHeight="1"/>
    <row r="5472" ht="15" customHeight="1"/>
    <row r="5473" ht="15" customHeight="1"/>
    <row r="5474" ht="15" customHeight="1"/>
    <row r="5475" ht="15" customHeight="1"/>
    <row r="5476" ht="15" customHeight="1"/>
    <row r="5477" ht="15" customHeight="1"/>
    <row r="5478" ht="15" customHeight="1"/>
    <row r="5479" ht="15" customHeight="1"/>
    <row r="5480" ht="15" customHeight="1"/>
    <row r="5481" ht="15" customHeight="1"/>
    <row r="5482" ht="15" customHeight="1"/>
    <row r="5483" ht="15" customHeight="1"/>
    <row r="5484" ht="15" customHeight="1"/>
    <row r="5485" ht="15" customHeight="1"/>
    <row r="5486" ht="15" customHeight="1"/>
    <row r="5487" ht="15" customHeight="1"/>
    <row r="5488" ht="15" customHeight="1"/>
    <row r="5489" ht="15" customHeight="1"/>
    <row r="5490" ht="15" customHeight="1"/>
    <row r="5491" ht="15" customHeight="1"/>
    <row r="5492" ht="15" customHeight="1"/>
    <row r="5493" ht="15" customHeight="1"/>
    <row r="5494" ht="15" customHeight="1"/>
    <row r="5495" ht="15" customHeight="1"/>
    <row r="5496" ht="15" customHeight="1"/>
    <row r="5497" ht="15" customHeight="1"/>
    <row r="5498" ht="15" customHeight="1"/>
    <row r="5499" ht="15" customHeight="1"/>
    <row r="5500" ht="15" customHeight="1"/>
    <row r="5501" ht="15" customHeight="1"/>
    <row r="5502" ht="15" customHeight="1"/>
    <row r="5503" ht="15" customHeight="1"/>
    <row r="5504" ht="15" customHeight="1"/>
    <row r="5505" ht="15" customHeight="1"/>
    <row r="5506" ht="15" customHeight="1"/>
    <row r="5507" ht="15" customHeight="1"/>
    <row r="5508" ht="15" customHeight="1"/>
    <row r="5509" ht="15" customHeight="1"/>
    <row r="5510" ht="15" customHeight="1"/>
    <row r="5511" ht="15" customHeight="1"/>
    <row r="5512" ht="15" customHeight="1"/>
    <row r="5513" ht="15" customHeight="1"/>
    <row r="5514" ht="15" customHeight="1"/>
    <row r="5515" ht="15" customHeight="1"/>
    <row r="5516" ht="15" customHeight="1"/>
    <row r="5517" ht="15" customHeight="1"/>
    <row r="5518" ht="15" customHeight="1"/>
    <row r="5519" ht="15" customHeight="1"/>
    <row r="5520" ht="15" customHeight="1"/>
    <row r="5521" ht="15" customHeight="1"/>
    <row r="5522" ht="15" customHeight="1"/>
    <row r="5523" ht="15" customHeight="1"/>
    <row r="5524" ht="15" customHeight="1"/>
    <row r="5525" ht="15" customHeight="1"/>
    <row r="5526" ht="15" customHeight="1"/>
    <row r="5527" ht="15" customHeight="1"/>
    <row r="5528" ht="15" customHeight="1"/>
    <row r="5529" ht="15" customHeight="1"/>
    <row r="5530" ht="15" customHeight="1"/>
    <row r="5531" ht="15" customHeight="1"/>
    <row r="5532" ht="15" customHeight="1"/>
    <row r="5533" ht="15" customHeight="1"/>
    <row r="5534" ht="15" customHeight="1"/>
    <row r="5535" ht="15" customHeight="1"/>
    <row r="5536" ht="15" customHeight="1"/>
    <row r="5537" ht="15" customHeight="1"/>
    <row r="5538" ht="15" customHeight="1"/>
    <row r="5539" ht="15" customHeight="1"/>
    <row r="5540" ht="15" customHeight="1"/>
    <row r="5541" ht="15" customHeight="1"/>
    <row r="5542" ht="15" customHeight="1"/>
    <row r="5543" ht="15" customHeight="1"/>
    <row r="5544" ht="15" customHeight="1"/>
    <row r="5545" ht="15" customHeight="1"/>
    <row r="5546" ht="15" customHeight="1"/>
    <row r="5547" ht="15" customHeight="1"/>
    <row r="5548" ht="15" customHeight="1"/>
    <row r="5549" ht="15" customHeight="1"/>
    <row r="5550" ht="15" customHeight="1"/>
    <row r="5551" ht="15" customHeight="1"/>
    <row r="5552" ht="15" customHeight="1"/>
    <row r="5553" ht="15" customHeight="1"/>
    <row r="5554" ht="15" customHeight="1"/>
    <row r="5555" ht="15" customHeight="1"/>
    <row r="5556" ht="15" customHeight="1"/>
    <row r="5557" ht="15" customHeight="1"/>
    <row r="5558" ht="15" customHeight="1"/>
    <row r="5559" ht="15" customHeight="1"/>
    <row r="5560" ht="15" customHeight="1"/>
    <row r="5561" ht="15" customHeight="1"/>
    <row r="5562" ht="15" customHeight="1"/>
    <row r="5563" ht="15" customHeight="1"/>
    <row r="5564" ht="15" customHeight="1"/>
    <row r="5565" ht="15" customHeight="1"/>
    <row r="5566" ht="15" customHeight="1"/>
    <row r="5567" ht="15" customHeight="1"/>
    <row r="5568" ht="15" customHeight="1"/>
    <row r="5569" ht="15" customHeight="1"/>
    <row r="5570" ht="15" customHeight="1"/>
    <row r="5571" ht="15" customHeight="1"/>
    <row r="5572" ht="15" customHeight="1"/>
    <row r="5573" ht="15" customHeight="1"/>
    <row r="5574" ht="15" customHeight="1"/>
    <row r="5575" ht="15" customHeight="1"/>
    <row r="5576" ht="15" customHeight="1"/>
    <row r="5577" ht="15" customHeight="1"/>
    <row r="5578" ht="15" customHeight="1"/>
    <row r="5579" ht="15" customHeight="1"/>
    <row r="5580" ht="15" customHeight="1"/>
    <row r="5581" ht="15" customHeight="1"/>
    <row r="5582" ht="15" customHeight="1"/>
    <row r="5583" ht="15" customHeight="1"/>
    <row r="5584" ht="15" customHeight="1"/>
    <row r="5585" ht="15" customHeight="1"/>
    <row r="5586" ht="15" customHeight="1"/>
    <row r="5587" ht="15" customHeight="1"/>
    <row r="5588" ht="15" customHeight="1"/>
    <row r="5589" ht="15" customHeight="1"/>
    <row r="5590" ht="15" customHeight="1"/>
    <row r="5591" ht="15" customHeight="1"/>
    <row r="5592" ht="15" customHeight="1"/>
    <row r="5593" ht="15" customHeight="1"/>
    <row r="5594" ht="15" customHeight="1"/>
    <row r="5595" ht="15" customHeight="1"/>
    <row r="5596" ht="15" customHeight="1"/>
    <row r="5597" ht="15" customHeight="1"/>
    <row r="5598" ht="15" customHeight="1"/>
    <row r="5599" ht="15" customHeight="1"/>
    <row r="5600" ht="15" customHeight="1"/>
    <row r="5601" ht="15" customHeight="1"/>
    <row r="5602" ht="15" customHeight="1"/>
    <row r="5603" ht="15" customHeight="1"/>
    <row r="5604" ht="15" customHeight="1"/>
    <row r="5605" ht="15" customHeight="1"/>
    <row r="5606" ht="15" customHeight="1"/>
    <row r="5607" ht="15" customHeight="1"/>
    <row r="5608" ht="15" customHeight="1"/>
    <row r="5609" ht="15" customHeight="1"/>
    <row r="5610" ht="15" customHeight="1"/>
    <row r="5611" ht="15" customHeight="1"/>
    <row r="5612" ht="15" customHeight="1"/>
    <row r="5613" ht="15" customHeight="1"/>
    <row r="5614" ht="15" customHeight="1"/>
    <row r="5615" ht="15" customHeight="1"/>
    <row r="5616" ht="15" customHeight="1"/>
    <row r="5617" ht="15" customHeight="1"/>
    <row r="5618" ht="15" customHeight="1"/>
    <row r="5619" ht="15" customHeight="1"/>
    <row r="5620" ht="15" customHeight="1"/>
    <row r="5621" ht="15" customHeight="1"/>
    <row r="5622" ht="15" customHeight="1"/>
    <row r="5623" ht="15" customHeight="1"/>
    <row r="5624" ht="15" customHeight="1"/>
    <row r="5625" ht="15" customHeight="1"/>
    <row r="5626" ht="15" customHeight="1"/>
    <row r="5627" ht="15" customHeight="1"/>
    <row r="5628" ht="15" customHeight="1"/>
    <row r="5629" ht="15" customHeight="1"/>
    <row r="5630" ht="15" customHeight="1"/>
    <row r="5631" ht="15" customHeight="1"/>
    <row r="5632" ht="15" customHeight="1"/>
    <row r="5633" ht="15" customHeight="1"/>
    <row r="5634" ht="15" customHeight="1"/>
    <row r="5635" ht="15" customHeight="1"/>
    <row r="5636" ht="15" customHeight="1"/>
    <row r="5637" ht="15" customHeight="1"/>
    <row r="5638" ht="15" customHeight="1"/>
    <row r="5639" ht="15" customHeight="1"/>
    <row r="5640" ht="15" customHeight="1"/>
    <row r="5641" ht="15" customHeight="1"/>
    <row r="5642" ht="15" customHeight="1"/>
    <row r="5643" ht="15" customHeight="1"/>
    <row r="5644" ht="15" customHeight="1"/>
    <row r="5645" ht="15" customHeight="1"/>
    <row r="5646" ht="15" customHeight="1"/>
    <row r="5647" ht="15" customHeight="1"/>
    <row r="5648" ht="15" customHeight="1"/>
    <row r="5649" ht="15" customHeight="1"/>
    <row r="5650" ht="15" customHeight="1"/>
    <row r="5651" ht="15" customHeight="1"/>
    <row r="5652" ht="15" customHeight="1"/>
    <row r="5653" ht="15" customHeight="1"/>
    <row r="5654" ht="15" customHeight="1"/>
    <row r="5655" ht="15" customHeight="1"/>
    <row r="5656" ht="15" customHeight="1"/>
    <row r="5657" ht="15" customHeight="1"/>
    <row r="5658" ht="15" customHeight="1"/>
    <row r="5659" ht="15" customHeight="1"/>
    <row r="5660" ht="15" customHeight="1"/>
    <row r="5661" ht="15" customHeight="1"/>
    <row r="5662" ht="15" customHeight="1"/>
    <row r="5663" ht="15" customHeight="1"/>
    <row r="5664" ht="15" customHeight="1"/>
    <row r="5665" ht="15" customHeight="1"/>
    <row r="5666" ht="15" customHeight="1"/>
    <row r="5667" ht="15" customHeight="1"/>
    <row r="5668" ht="15" customHeight="1"/>
    <row r="5669" ht="15" customHeight="1"/>
    <row r="5670" ht="15" customHeight="1"/>
    <row r="5671" ht="15" customHeight="1"/>
    <row r="5672" ht="15" customHeight="1"/>
    <row r="5673" ht="15" customHeight="1"/>
    <row r="5674" ht="15" customHeight="1"/>
    <row r="5675" ht="15" customHeight="1"/>
    <row r="5676" ht="15" customHeight="1"/>
    <row r="5677" ht="15" customHeight="1"/>
    <row r="5678" ht="15" customHeight="1"/>
    <row r="5679" ht="15" customHeight="1"/>
    <row r="5680" ht="15" customHeight="1"/>
    <row r="5681" ht="15" customHeight="1"/>
    <row r="5682" ht="15" customHeight="1"/>
    <row r="5683" ht="15" customHeight="1"/>
    <row r="5684" ht="15" customHeight="1"/>
    <row r="5685" ht="15" customHeight="1"/>
    <row r="5686" ht="15" customHeight="1"/>
    <row r="5687" ht="15" customHeight="1"/>
    <row r="5688" ht="15" customHeight="1"/>
    <row r="5689" ht="15" customHeight="1"/>
    <row r="5690" ht="15" customHeight="1"/>
    <row r="5691" ht="15" customHeight="1"/>
    <row r="5692" ht="15" customHeight="1"/>
    <row r="5693" ht="15" customHeight="1"/>
    <row r="5694" ht="15" customHeight="1"/>
    <row r="5695" ht="15" customHeight="1"/>
    <row r="5696" ht="15" customHeight="1"/>
    <row r="5697" ht="15" customHeight="1"/>
    <row r="5698" ht="15" customHeight="1"/>
    <row r="5699" ht="15" customHeight="1"/>
    <row r="5700" ht="15" customHeight="1"/>
    <row r="5701" ht="15" customHeight="1"/>
    <row r="5702" ht="15" customHeight="1"/>
    <row r="5703" ht="15" customHeight="1"/>
    <row r="5704" ht="15" customHeight="1"/>
    <row r="5705" ht="15" customHeight="1"/>
    <row r="5706" ht="15" customHeight="1"/>
    <row r="5707" ht="15" customHeight="1"/>
    <row r="5708" ht="15" customHeight="1"/>
    <row r="5709" ht="15" customHeight="1"/>
    <row r="5710" ht="15" customHeight="1"/>
    <row r="5711" ht="15" customHeight="1"/>
    <row r="5712" ht="15" customHeight="1"/>
    <row r="5713" ht="15" customHeight="1"/>
    <row r="5714" ht="15" customHeight="1"/>
    <row r="5715" ht="15" customHeight="1"/>
    <row r="5716" ht="15" customHeight="1"/>
    <row r="5717" ht="15" customHeight="1"/>
    <row r="5718" ht="15" customHeight="1"/>
    <row r="5719" ht="15" customHeight="1"/>
    <row r="5720" ht="15" customHeight="1"/>
    <row r="5721" ht="15" customHeight="1"/>
    <row r="5722" ht="15" customHeight="1"/>
    <row r="5723" ht="15" customHeight="1"/>
    <row r="5724" ht="15" customHeight="1"/>
    <row r="5725" ht="15" customHeight="1"/>
    <row r="5726" ht="15" customHeight="1"/>
    <row r="5727" ht="15" customHeight="1"/>
    <row r="5728" ht="15" customHeight="1"/>
    <row r="5729" ht="15" customHeight="1"/>
    <row r="5730" ht="15" customHeight="1"/>
    <row r="5731" ht="15" customHeight="1"/>
    <row r="5732" ht="15" customHeight="1"/>
    <row r="5733" ht="15" customHeight="1"/>
    <row r="5734" ht="15" customHeight="1"/>
    <row r="5735" ht="15" customHeight="1"/>
    <row r="5736" ht="15" customHeight="1"/>
    <row r="5737" ht="15" customHeight="1"/>
    <row r="5738" ht="15" customHeight="1"/>
    <row r="5739" ht="15" customHeight="1"/>
    <row r="5740" ht="15" customHeight="1"/>
    <row r="5741" ht="15" customHeight="1"/>
    <row r="5742" ht="15" customHeight="1"/>
    <row r="5743" ht="15" customHeight="1"/>
    <row r="5744" ht="15" customHeight="1"/>
    <row r="5745" ht="15" customHeight="1"/>
    <row r="5746" ht="15" customHeight="1"/>
    <row r="5747" ht="15" customHeight="1"/>
    <row r="5748" ht="15" customHeight="1"/>
    <row r="5749" ht="15" customHeight="1"/>
    <row r="5750" ht="15" customHeight="1"/>
    <row r="5751" ht="15" customHeight="1"/>
    <row r="5752" ht="15" customHeight="1"/>
    <row r="5753" ht="15" customHeight="1"/>
    <row r="5754" ht="15" customHeight="1"/>
    <row r="5755" ht="15" customHeight="1"/>
    <row r="5756" ht="15" customHeight="1"/>
    <row r="5757" ht="15" customHeight="1"/>
    <row r="5758" ht="15" customHeight="1"/>
    <row r="5759" ht="15" customHeight="1"/>
    <row r="5760" ht="15" customHeight="1"/>
    <row r="5761" ht="15" customHeight="1"/>
    <row r="5762" ht="15" customHeight="1"/>
    <row r="5763" ht="15" customHeight="1"/>
    <row r="5764" ht="15" customHeight="1"/>
    <row r="5765" ht="15" customHeight="1"/>
    <row r="5766" ht="15" customHeight="1"/>
    <row r="5767" ht="15" customHeight="1"/>
    <row r="5768" ht="15" customHeight="1"/>
    <row r="5769" ht="15" customHeight="1"/>
    <row r="5770" ht="15" customHeight="1"/>
    <row r="5771" ht="15" customHeight="1"/>
    <row r="5772" ht="15" customHeight="1"/>
    <row r="5773" ht="15" customHeight="1"/>
    <row r="5774" ht="15" customHeight="1"/>
    <row r="5775" ht="15" customHeight="1"/>
    <row r="5776" ht="15" customHeight="1"/>
    <row r="5777" ht="15" customHeight="1"/>
    <row r="5778" ht="15" customHeight="1"/>
    <row r="5779" ht="15" customHeight="1"/>
    <row r="5780" ht="15" customHeight="1"/>
    <row r="5781" ht="15" customHeight="1"/>
    <row r="5782" ht="15" customHeight="1"/>
    <row r="5783" ht="15" customHeight="1"/>
    <row r="5784" ht="15" customHeight="1"/>
    <row r="5785" ht="15" customHeight="1"/>
    <row r="5786" ht="15" customHeight="1"/>
    <row r="5787" ht="15" customHeight="1"/>
    <row r="5788" ht="15" customHeight="1"/>
    <row r="5789" ht="15" customHeight="1"/>
    <row r="5790" ht="15" customHeight="1"/>
    <row r="5791" ht="15" customHeight="1"/>
    <row r="5792" ht="15" customHeight="1"/>
    <row r="5793" ht="15" customHeight="1"/>
    <row r="5794" ht="15" customHeight="1"/>
    <row r="5795" ht="15" customHeight="1"/>
    <row r="5796" ht="15" customHeight="1"/>
    <row r="5797" ht="15" customHeight="1"/>
    <row r="5798" ht="15" customHeight="1"/>
    <row r="5799" ht="15" customHeight="1"/>
    <row r="5800" ht="15" customHeight="1"/>
    <row r="5801" ht="15" customHeight="1"/>
    <row r="5802" ht="15" customHeight="1"/>
    <row r="5803" ht="15" customHeight="1"/>
    <row r="5804" ht="15" customHeight="1"/>
    <row r="5805" ht="15" customHeight="1"/>
    <row r="5806" ht="15" customHeight="1"/>
    <row r="5807" ht="15" customHeight="1"/>
    <row r="5808" ht="15" customHeight="1"/>
    <row r="5809" ht="15" customHeight="1"/>
    <row r="5810" ht="15" customHeight="1"/>
    <row r="5811" ht="15" customHeight="1"/>
    <row r="5812" ht="15" customHeight="1"/>
    <row r="5813" ht="15" customHeight="1"/>
    <row r="5814" ht="15" customHeight="1"/>
    <row r="5815" ht="15" customHeight="1"/>
    <row r="5816" ht="15" customHeight="1"/>
    <row r="5817" ht="15" customHeight="1"/>
    <row r="5818" ht="15" customHeight="1"/>
    <row r="5819" ht="15" customHeight="1"/>
    <row r="5820" ht="15" customHeight="1"/>
    <row r="5821" ht="15" customHeight="1"/>
    <row r="5822" ht="15" customHeight="1"/>
    <row r="5823" ht="15" customHeight="1"/>
    <row r="5824" ht="15" customHeight="1"/>
    <row r="5825" ht="15" customHeight="1"/>
    <row r="5826" ht="15" customHeight="1"/>
    <row r="5827" ht="15" customHeight="1"/>
    <row r="5828" ht="15" customHeight="1"/>
    <row r="5829" ht="15" customHeight="1"/>
    <row r="5830" ht="15" customHeight="1"/>
    <row r="5831" ht="15" customHeight="1"/>
    <row r="5832" ht="15" customHeight="1"/>
    <row r="5833" ht="15" customHeight="1"/>
    <row r="5834" ht="15" customHeight="1"/>
    <row r="5835" ht="15" customHeight="1"/>
    <row r="5836" ht="15" customHeight="1"/>
    <row r="5837" ht="15" customHeight="1"/>
    <row r="5838" ht="15" customHeight="1"/>
    <row r="5839" ht="15" customHeight="1"/>
    <row r="5840" ht="15" customHeight="1"/>
    <row r="5841" ht="15" customHeight="1"/>
    <row r="5842" ht="15" customHeight="1"/>
    <row r="5843" ht="15" customHeight="1"/>
    <row r="5844" ht="15" customHeight="1"/>
    <row r="5845" ht="15" customHeight="1"/>
    <row r="5846" ht="15" customHeight="1"/>
    <row r="5847" ht="15" customHeight="1"/>
    <row r="5848" ht="15" customHeight="1"/>
    <row r="5849" ht="15" customHeight="1"/>
    <row r="5850" ht="15" customHeight="1"/>
    <row r="5851" ht="15" customHeight="1"/>
    <row r="5852" ht="15" customHeight="1"/>
    <row r="5853" ht="15" customHeight="1"/>
    <row r="5854" ht="15" customHeight="1"/>
    <row r="5855" ht="15" customHeight="1"/>
    <row r="5856" ht="15" customHeight="1"/>
    <row r="5857" ht="15" customHeight="1"/>
    <row r="5858" ht="15" customHeight="1"/>
    <row r="5859" ht="15" customHeight="1"/>
    <row r="5860" ht="15" customHeight="1"/>
    <row r="5861" ht="15" customHeight="1"/>
    <row r="5862" ht="15" customHeight="1"/>
    <row r="5863" ht="15" customHeight="1"/>
    <row r="5864" ht="15" customHeight="1"/>
    <row r="5865" ht="15" customHeight="1"/>
    <row r="5866" ht="15" customHeight="1"/>
    <row r="5867" ht="15" customHeight="1"/>
    <row r="5868" ht="15" customHeight="1"/>
    <row r="5869" ht="15" customHeight="1"/>
    <row r="5870" ht="15" customHeight="1"/>
    <row r="5871" ht="15" customHeight="1"/>
    <row r="5872" ht="15" customHeight="1"/>
    <row r="5873" ht="15" customHeight="1"/>
    <row r="5874" ht="15" customHeight="1"/>
    <row r="5875" ht="15" customHeight="1"/>
    <row r="5876" ht="15" customHeight="1"/>
    <row r="5877" ht="15" customHeight="1"/>
    <row r="5878" ht="15" customHeight="1"/>
    <row r="5879" ht="15" customHeight="1"/>
    <row r="5880" ht="15" customHeight="1"/>
    <row r="5881" ht="15" customHeight="1"/>
    <row r="5882" ht="15" customHeight="1"/>
    <row r="5883" ht="15" customHeight="1"/>
    <row r="5884" ht="15" customHeight="1"/>
    <row r="5885" ht="15" customHeight="1"/>
    <row r="5886" ht="15" customHeight="1"/>
    <row r="5887" ht="15" customHeight="1"/>
    <row r="5888" ht="15" customHeight="1"/>
    <row r="5889" ht="15" customHeight="1"/>
    <row r="5890" ht="15" customHeight="1"/>
    <row r="5891" ht="15" customHeight="1"/>
    <row r="5892" ht="15" customHeight="1"/>
    <row r="5893" ht="15" customHeight="1"/>
    <row r="5894" ht="15" customHeight="1"/>
    <row r="5895" ht="15" customHeight="1"/>
    <row r="5896" ht="15" customHeight="1"/>
    <row r="5897" ht="15" customHeight="1"/>
    <row r="5898" ht="15" customHeight="1"/>
    <row r="5899" ht="15" customHeight="1"/>
    <row r="5900" ht="15" customHeight="1"/>
    <row r="5901" ht="15" customHeight="1"/>
    <row r="5902" ht="15" customHeight="1"/>
    <row r="5903" ht="15" customHeight="1"/>
    <row r="5904" ht="15" customHeight="1"/>
    <row r="5905" ht="15" customHeight="1"/>
    <row r="5906" ht="15" customHeight="1"/>
    <row r="5907" ht="15" customHeight="1"/>
    <row r="5908" ht="15" customHeight="1"/>
    <row r="5909" ht="15" customHeight="1"/>
    <row r="5910" ht="15" customHeight="1"/>
    <row r="5911" ht="15" customHeight="1"/>
    <row r="5912" ht="15" customHeight="1"/>
    <row r="5913" ht="15" customHeight="1"/>
    <row r="5914" ht="15" customHeight="1"/>
    <row r="5915" ht="15" customHeight="1"/>
    <row r="5916" ht="15" customHeight="1"/>
    <row r="5917" ht="15" customHeight="1"/>
    <row r="5918" ht="15" customHeight="1"/>
    <row r="5919" ht="15" customHeight="1"/>
    <row r="5920" ht="15" customHeight="1"/>
    <row r="5921" ht="15" customHeight="1"/>
    <row r="5922" ht="15" customHeight="1"/>
    <row r="5923" ht="15" customHeight="1"/>
    <row r="5924" ht="15" customHeight="1"/>
    <row r="5925" ht="15" customHeight="1"/>
    <row r="5926" ht="15" customHeight="1"/>
    <row r="5927" ht="15" customHeight="1"/>
    <row r="5928" ht="15" customHeight="1"/>
    <row r="5929" ht="15" customHeight="1"/>
    <row r="5930" ht="15" customHeight="1"/>
    <row r="5931" ht="15" customHeight="1"/>
    <row r="5932" ht="15" customHeight="1"/>
    <row r="5933" ht="15" customHeight="1"/>
    <row r="5934" ht="15" customHeight="1"/>
    <row r="5935" ht="15" customHeight="1"/>
    <row r="5936" ht="15" customHeight="1"/>
    <row r="5937" ht="15" customHeight="1"/>
    <row r="5938" ht="15" customHeight="1"/>
    <row r="5939" ht="15" customHeight="1"/>
    <row r="5940" ht="15" customHeight="1"/>
    <row r="5941" ht="15" customHeight="1"/>
    <row r="5942" ht="15" customHeight="1"/>
    <row r="5943" ht="15" customHeight="1"/>
    <row r="5944" ht="15" customHeight="1"/>
    <row r="5945" ht="15" customHeight="1"/>
    <row r="5946" ht="15" customHeight="1"/>
    <row r="5947" ht="15" customHeight="1"/>
    <row r="5948" ht="15" customHeight="1"/>
    <row r="5949" ht="15" customHeight="1"/>
    <row r="5950" ht="15" customHeight="1"/>
    <row r="5951" ht="15" customHeight="1"/>
    <row r="5952" ht="15" customHeight="1"/>
    <row r="5953" ht="15" customHeight="1"/>
    <row r="5954" ht="15" customHeight="1"/>
    <row r="5955" ht="15" customHeight="1"/>
    <row r="5956" ht="15" customHeight="1"/>
    <row r="5957" ht="15" customHeight="1"/>
    <row r="5958" ht="15" customHeight="1"/>
    <row r="5959" ht="15" customHeight="1"/>
    <row r="5960" ht="15" customHeight="1"/>
    <row r="5961" ht="15" customHeight="1"/>
    <row r="5962" ht="15" customHeight="1"/>
    <row r="5963" ht="15" customHeight="1"/>
    <row r="5964" ht="15" customHeight="1"/>
    <row r="5965" ht="15" customHeight="1"/>
    <row r="5966" ht="15" customHeight="1"/>
    <row r="5967" ht="15" customHeight="1"/>
    <row r="5968" ht="15" customHeight="1"/>
    <row r="5969" ht="15" customHeight="1"/>
    <row r="5970" ht="15" customHeight="1"/>
    <row r="5971" ht="15" customHeight="1"/>
    <row r="5972" ht="15" customHeight="1"/>
    <row r="5973" ht="15" customHeight="1"/>
    <row r="5974" ht="15" customHeight="1"/>
    <row r="5975" ht="15" customHeight="1"/>
    <row r="5976" ht="15" customHeight="1"/>
    <row r="5977" ht="15" customHeight="1"/>
    <row r="5978" ht="15" customHeight="1"/>
    <row r="5979" ht="15" customHeight="1"/>
    <row r="5980" ht="15" customHeight="1"/>
    <row r="5981" ht="15" customHeight="1"/>
    <row r="5982" ht="15" customHeight="1"/>
    <row r="5983" ht="15" customHeight="1"/>
    <row r="5984" ht="15" customHeight="1"/>
    <row r="5985" ht="15" customHeight="1"/>
    <row r="5986" ht="15" customHeight="1"/>
    <row r="5987" ht="15" customHeight="1"/>
    <row r="5988" ht="15" customHeight="1"/>
    <row r="5989" ht="15" customHeight="1"/>
    <row r="5990" ht="15" customHeight="1"/>
    <row r="5991" ht="15" customHeight="1"/>
    <row r="5992" ht="15" customHeight="1"/>
    <row r="5993" ht="15" customHeight="1"/>
    <row r="5994" ht="15" customHeight="1"/>
    <row r="5995" ht="15" customHeight="1"/>
    <row r="5996" ht="15" customHeight="1"/>
    <row r="5997" ht="15" customHeight="1"/>
    <row r="5998" ht="15" customHeight="1"/>
    <row r="5999" ht="15" customHeight="1"/>
    <row r="6000" ht="15" customHeight="1"/>
    <row r="6001" ht="15" customHeight="1"/>
    <row r="6002" ht="15" customHeight="1"/>
    <row r="6003" ht="15" customHeight="1"/>
    <row r="6004" ht="15" customHeight="1"/>
    <row r="6005" ht="15" customHeight="1"/>
    <row r="6006" ht="15" customHeight="1"/>
    <row r="6007" ht="15" customHeight="1"/>
    <row r="6008" ht="15" customHeight="1"/>
    <row r="6009" ht="15" customHeight="1"/>
    <row r="6010" ht="15" customHeight="1"/>
    <row r="6011" ht="15" customHeight="1"/>
    <row r="6012" ht="15" customHeight="1"/>
    <row r="6013" ht="15" customHeight="1"/>
    <row r="6014" ht="15" customHeight="1"/>
    <row r="6015" ht="15" customHeight="1"/>
    <row r="6016" ht="15" customHeight="1"/>
    <row r="6017" ht="15" customHeight="1"/>
    <row r="6018" ht="15" customHeight="1"/>
    <row r="6019" ht="15" customHeight="1"/>
    <row r="6020" ht="15" customHeight="1"/>
    <row r="6021" ht="15" customHeight="1"/>
    <row r="6022" ht="15" customHeight="1"/>
    <row r="6023" ht="15" customHeight="1"/>
    <row r="6024" ht="15" customHeight="1"/>
    <row r="6025" ht="15" customHeight="1"/>
    <row r="6026" ht="15" customHeight="1"/>
    <row r="6027" ht="15" customHeight="1"/>
    <row r="6028" ht="15" customHeight="1"/>
    <row r="6029" ht="15" customHeight="1"/>
    <row r="6030" ht="15" customHeight="1"/>
    <row r="6031" ht="15" customHeight="1"/>
    <row r="6032" ht="15" customHeight="1"/>
    <row r="6033" ht="15" customHeight="1"/>
    <row r="6034" ht="15" customHeight="1"/>
    <row r="6035" ht="15" customHeight="1"/>
    <row r="6036" ht="15" customHeight="1"/>
    <row r="6037" ht="15" customHeight="1"/>
    <row r="6038" ht="15" customHeight="1"/>
    <row r="6039" ht="15" customHeight="1"/>
    <row r="6040" ht="15" customHeight="1"/>
    <row r="6041" ht="15" customHeight="1"/>
    <row r="6042" ht="15" customHeight="1"/>
    <row r="6043" ht="15" customHeight="1"/>
    <row r="6044" ht="15" customHeight="1"/>
    <row r="6045" ht="15" customHeight="1"/>
    <row r="6046" ht="15" customHeight="1"/>
    <row r="6047" ht="15" customHeight="1"/>
    <row r="6048" ht="15" customHeight="1"/>
    <row r="6049" ht="15" customHeight="1"/>
    <row r="6050" ht="15" customHeight="1"/>
    <row r="6051" ht="15" customHeight="1"/>
    <row r="6052" ht="15" customHeight="1"/>
    <row r="6053" ht="15" customHeight="1"/>
    <row r="6054" ht="15" customHeight="1"/>
    <row r="6055" ht="15" customHeight="1"/>
    <row r="6056" ht="15" customHeight="1"/>
    <row r="6057" ht="15" customHeight="1"/>
    <row r="6058" ht="15" customHeight="1"/>
    <row r="6059" ht="15" customHeight="1"/>
    <row r="6060" ht="15" customHeight="1"/>
    <row r="6061" ht="15" customHeight="1"/>
    <row r="6062" ht="15" customHeight="1"/>
    <row r="6063" ht="15" customHeight="1"/>
    <row r="6064" ht="15" customHeight="1"/>
    <row r="6065" ht="15" customHeight="1"/>
    <row r="6066" ht="15" customHeight="1"/>
    <row r="6067" ht="15" customHeight="1"/>
    <row r="6068" ht="15" customHeight="1"/>
    <row r="6069" ht="15" customHeight="1"/>
    <row r="6070" ht="15" customHeight="1"/>
    <row r="6071" ht="15" customHeight="1"/>
    <row r="6072" ht="15" customHeight="1"/>
    <row r="6073" ht="15" customHeight="1"/>
    <row r="6074" ht="15" customHeight="1"/>
    <row r="6075" ht="15" customHeight="1"/>
    <row r="6076" ht="15" customHeight="1"/>
    <row r="6077" ht="15" customHeight="1"/>
    <row r="6078" ht="15" customHeight="1"/>
    <row r="6079" ht="15" customHeight="1"/>
    <row r="6080" ht="15" customHeight="1"/>
    <row r="6081" ht="15" customHeight="1"/>
    <row r="6082" ht="15" customHeight="1"/>
    <row r="6083" ht="15" customHeight="1"/>
    <row r="6084" ht="15" customHeight="1"/>
    <row r="6085" ht="15" customHeight="1"/>
    <row r="6086" ht="15" customHeight="1"/>
    <row r="6087" ht="15" customHeight="1"/>
    <row r="6088" ht="15" customHeight="1"/>
    <row r="6089" ht="15" customHeight="1"/>
    <row r="6090" ht="15" customHeight="1"/>
    <row r="6091" ht="15" customHeight="1"/>
    <row r="6092" ht="15" customHeight="1"/>
    <row r="6093" ht="15" customHeight="1"/>
    <row r="6094" ht="15" customHeight="1"/>
    <row r="6095" ht="15" customHeight="1"/>
    <row r="6096" ht="15" customHeight="1"/>
    <row r="6097" ht="15" customHeight="1"/>
    <row r="6098" ht="15" customHeight="1"/>
    <row r="6099" ht="15" customHeight="1"/>
    <row r="6100" ht="15" customHeight="1"/>
    <row r="6101" ht="15" customHeight="1"/>
    <row r="6102" ht="15" customHeight="1"/>
    <row r="6103" ht="15" customHeight="1"/>
    <row r="6104" ht="15" customHeight="1"/>
    <row r="6105" ht="15" customHeight="1"/>
    <row r="6106" ht="15" customHeight="1"/>
    <row r="6107" ht="15" customHeight="1"/>
    <row r="6108" ht="15" customHeight="1"/>
    <row r="6109" ht="15" customHeight="1"/>
    <row r="6110" ht="15" customHeight="1"/>
    <row r="6111" ht="15" customHeight="1"/>
    <row r="6112" ht="15" customHeight="1"/>
    <row r="6113" ht="15" customHeight="1"/>
    <row r="6114" ht="15" customHeight="1"/>
    <row r="6115" ht="15" customHeight="1"/>
    <row r="6116" ht="15" customHeight="1"/>
    <row r="6117" ht="15" customHeight="1"/>
    <row r="6118" ht="15" customHeight="1"/>
    <row r="6119" ht="15" customHeight="1"/>
    <row r="6120" ht="15" customHeight="1"/>
    <row r="6121" ht="15" customHeight="1"/>
    <row r="6122" ht="15" customHeight="1"/>
    <row r="6123" ht="15" customHeight="1"/>
    <row r="6124" ht="15" customHeight="1"/>
    <row r="6125" ht="15" customHeight="1"/>
    <row r="6126" ht="15" customHeight="1"/>
    <row r="6127" ht="15" customHeight="1"/>
    <row r="6128" ht="15" customHeight="1"/>
    <row r="6129" ht="15" customHeight="1"/>
    <row r="6130" ht="15" customHeight="1"/>
    <row r="6131" ht="15" customHeight="1"/>
    <row r="6132" ht="15" customHeight="1"/>
    <row r="6133" ht="15" customHeight="1"/>
    <row r="6134" ht="15" customHeight="1"/>
    <row r="6135" ht="15" customHeight="1"/>
    <row r="6136" ht="15" customHeight="1"/>
    <row r="6137" ht="15" customHeight="1"/>
    <row r="6138" ht="15" customHeight="1"/>
    <row r="6139" ht="15" customHeight="1"/>
    <row r="6140" ht="15" customHeight="1"/>
    <row r="6141" ht="15" customHeight="1"/>
    <row r="6142" ht="15" customHeight="1"/>
    <row r="6143" ht="15" customHeight="1"/>
    <row r="6144" ht="15" customHeight="1"/>
    <row r="6145" ht="15" customHeight="1"/>
    <row r="6146" ht="15" customHeight="1"/>
    <row r="6147" ht="15" customHeight="1"/>
    <row r="6148" ht="15" customHeight="1"/>
    <row r="6149" ht="15" customHeight="1"/>
    <row r="6150" ht="15" customHeight="1"/>
    <row r="6151" ht="15" customHeight="1"/>
    <row r="6152" ht="15" customHeight="1"/>
    <row r="6153" ht="15" customHeight="1"/>
    <row r="6154" ht="15" customHeight="1"/>
    <row r="6155" ht="15" customHeight="1"/>
    <row r="6156" ht="15" customHeight="1"/>
    <row r="6157" ht="15" customHeight="1"/>
    <row r="6158" ht="15" customHeight="1"/>
    <row r="6159" ht="15" customHeight="1"/>
    <row r="6160" ht="15" customHeight="1"/>
    <row r="6161" ht="15" customHeight="1"/>
    <row r="6162" ht="15" customHeight="1"/>
    <row r="6163" ht="15" customHeight="1"/>
    <row r="6164" ht="15" customHeight="1"/>
    <row r="6165" ht="15" customHeight="1"/>
    <row r="6166" ht="15" customHeight="1"/>
    <row r="6167" ht="15" customHeight="1"/>
    <row r="6168" ht="15" customHeight="1"/>
    <row r="6169" ht="15" customHeight="1"/>
    <row r="6170" ht="15" customHeight="1"/>
    <row r="6171" ht="15" customHeight="1"/>
    <row r="6172" ht="15" customHeight="1"/>
    <row r="6173" ht="15" customHeight="1"/>
    <row r="6174" ht="15" customHeight="1"/>
    <row r="6175" ht="15" customHeight="1"/>
    <row r="6176" ht="15" customHeight="1"/>
    <row r="6177" ht="15" customHeight="1"/>
    <row r="6178" ht="15" customHeight="1"/>
    <row r="6179" ht="15" customHeight="1"/>
    <row r="6180" ht="15" customHeight="1"/>
    <row r="6181" ht="15" customHeight="1"/>
    <row r="6182" ht="15" customHeight="1"/>
    <row r="6183" ht="15" customHeight="1"/>
    <row r="6184" ht="15" customHeight="1"/>
    <row r="6185" ht="15" customHeight="1"/>
    <row r="6186" ht="15" customHeight="1"/>
    <row r="6187" ht="15" customHeight="1"/>
    <row r="6188" ht="15" customHeight="1"/>
    <row r="6189" ht="15" customHeight="1"/>
    <row r="6190" ht="15" customHeight="1"/>
    <row r="6191" ht="15" customHeight="1"/>
    <row r="6192" ht="15" customHeight="1"/>
    <row r="6193" ht="15" customHeight="1"/>
    <row r="6194" ht="15" customHeight="1"/>
    <row r="6195" ht="15" customHeight="1"/>
    <row r="6196" ht="15" customHeight="1"/>
    <row r="6197" ht="15" customHeight="1"/>
    <row r="6198" ht="15" customHeight="1"/>
    <row r="6199" ht="15" customHeight="1"/>
    <row r="6200" ht="15" customHeight="1"/>
    <row r="6201" ht="15" customHeight="1"/>
    <row r="6202" ht="15" customHeight="1"/>
    <row r="6203" ht="15" customHeight="1"/>
    <row r="6204" ht="15" customHeight="1"/>
    <row r="6205" ht="15" customHeight="1"/>
    <row r="6206" ht="15" customHeight="1"/>
    <row r="6207" ht="15" customHeight="1"/>
    <row r="6208" ht="15" customHeight="1"/>
    <row r="6209" ht="15" customHeight="1"/>
    <row r="6210" ht="15" customHeight="1"/>
    <row r="6211" ht="15" customHeight="1"/>
    <row r="6212" ht="15" customHeight="1"/>
    <row r="6213" ht="15" customHeight="1"/>
    <row r="6214" ht="15" customHeight="1"/>
    <row r="6215" ht="15" customHeight="1"/>
    <row r="6216" ht="15" customHeight="1"/>
    <row r="6217" ht="15" customHeight="1"/>
    <row r="6218" ht="15" customHeight="1"/>
    <row r="6219" ht="15" customHeight="1"/>
    <row r="6220" ht="15" customHeight="1"/>
    <row r="6221" ht="15" customHeight="1"/>
    <row r="6222" ht="15" customHeight="1"/>
    <row r="6223" ht="15" customHeight="1"/>
    <row r="6224" ht="15" customHeight="1"/>
    <row r="6225" ht="15" customHeight="1"/>
    <row r="6226" ht="15" customHeight="1"/>
    <row r="6227" ht="15" customHeight="1"/>
    <row r="6228" ht="15" customHeight="1"/>
    <row r="6229" ht="15" customHeight="1"/>
    <row r="6230" ht="15" customHeight="1"/>
    <row r="6231" ht="15" customHeight="1"/>
    <row r="6232" ht="15" customHeight="1"/>
    <row r="6233" ht="15" customHeight="1"/>
    <row r="6234" ht="15" customHeight="1"/>
    <row r="6235" ht="15" customHeight="1"/>
    <row r="6236" ht="15" customHeight="1"/>
    <row r="6237" ht="15" customHeight="1"/>
    <row r="6238" ht="15" customHeight="1"/>
    <row r="6239" ht="15" customHeight="1"/>
    <row r="6240" ht="15" customHeight="1"/>
    <row r="6241" ht="15" customHeight="1"/>
    <row r="6242" ht="15" customHeight="1"/>
    <row r="6243" ht="15" customHeight="1"/>
    <row r="6244" ht="15" customHeight="1"/>
    <row r="6245" ht="15" customHeight="1"/>
    <row r="6246" ht="15" customHeight="1"/>
    <row r="6247" ht="15" customHeight="1"/>
    <row r="6248" ht="15" customHeight="1"/>
    <row r="6249" ht="15" customHeight="1"/>
    <row r="6250" ht="15" customHeight="1"/>
    <row r="6251" ht="15" customHeight="1"/>
    <row r="6252" ht="15" customHeight="1"/>
    <row r="6253" ht="15" customHeight="1"/>
    <row r="6254" ht="15" customHeight="1"/>
    <row r="6255" ht="15" customHeight="1"/>
    <row r="6256" ht="15" customHeight="1"/>
    <row r="6257" ht="15" customHeight="1"/>
    <row r="6258" ht="15" customHeight="1"/>
    <row r="6259" ht="15" customHeight="1"/>
    <row r="6260" ht="15" customHeight="1"/>
    <row r="6261" ht="15" customHeight="1"/>
    <row r="6262" ht="15" customHeight="1"/>
    <row r="6263" ht="15" customHeight="1"/>
    <row r="6264" ht="15" customHeight="1"/>
    <row r="6265" ht="15" customHeight="1"/>
    <row r="6266" ht="15" customHeight="1"/>
    <row r="6267" ht="15" customHeight="1"/>
    <row r="6268" ht="15" customHeight="1"/>
    <row r="6269" ht="15" customHeight="1"/>
    <row r="6270" ht="15" customHeight="1"/>
    <row r="6271" ht="15" customHeight="1"/>
    <row r="6272" ht="15" customHeight="1"/>
    <row r="6273" ht="15" customHeight="1"/>
    <row r="6274" ht="15" customHeight="1"/>
    <row r="6275" ht="15" customHeight="1"/>
    <row r="6276" ht="15" customHeight="1"/>
    <row r="6277" ht="15" customHeight="1"/>
    <row r="6278" ht="15" customHeight="1"/>
    <row r="6279" ht="15" customHeight="1"/>
    <row r="6280" ht="15" customHeight="1"/>
    <row r="6281" ht="15" customHeight="1"/>
    <row r="6282" ht="15" customHeight="1"/>
    <row r="6283" ht="15" customHeight="1"/>
    <row r="6284" ht="15" customHeight="1"/>
    <row r="6285" ht="15" customHeight="1"/>
    <row r="6286" ht="15" customHeight="1"/>
    <row r="6287" ht="15" customHeight="1"/>
    <row r="6288" ht="15" customHeight="1"/>
    <row r="6289" ht="15" customHeight="1"/>
    <row r="6290" ht="15" customHeight="1"/>
    <row r="6291" ht="15" customHeight="1"/>
    <row r="6292" ht="15" customHeight="1"/>
    <row r="6293" ht="15" customHeight="1"/>
    <row r="6294" ht="15" customHeight="1"/>
    <row r="6295" ht="15" customHeight="1"/>
    <row r="6296" ht="15" customHeight="1"/>
    <row r="6297" ht="15" customHeight="1"/>
    <row r="6298" ht="15" customHeight="1"/>
    <row r="6299" ht="15" customHeight="1"/>
    <row r="6300" ht="15" customHeight="1"/>
    <row r="6301" ht="15" customHeight="1"/>
    <row r="6302" ht="15" customHeight="1"/>
    <row r="6303" ht="15" customHeight="1"/>
    <row r="6304" ht="15" customHeight="1"/>
    <row r="6305" ht="15" customHeight="1"/>
    <row r="6306" ht="15" customHeight="1"/>
    <row r="6307" ht="15" customHeight="1"/>
    <row r="6308" ht="15" customHeight="1"/>
    <row r="6309" ht="15" customHeight="1"/>
    <row r="6310" ht="15" customHeight="1"/>
    <row r="6311" ht="15" customHeight="1"/>
    <row r="6312" ht="15" customHeight="1"/>
    <row r="6313" ht="15" customHeight="1"/>
    <row r="6314" ht="15" customHeight="1"/>
    <row r="6315" ht="15" customHeight="1"/>
    <row r="6316" ht="15" customHeight="1"/>
    <row r="6317" ht="15" customHeight="1"/>
    <row r="6318" ht="15" customHeight="1"/>
    <row r="6319" ht="15" customHeight="1"/>
    <row r="6320" ht="15" customHeight="1"/>
    <row r="6321" ht="15" customHeight="1"/>
    <row r="6322" ht="15" customHeight="1"/>
    <row r="6323" ht="15" customHeight="1"/>
    <row r="6324" ht="15" customHeight="1"/>
    <row r="6325" ht="15" customHeight="1"/>
    <row r="6326" ht="15" customHeight="1"/>
    <row r="6327" ht="15" customHeight="1"/>
    <row r="6328" ht="15" customHeight="1"/>
    <row r="6329" ht="15" customHeight="1"/>
    <row r="6330" ht="15" customHeight="1"/>
    <row r="6331" ht="15" customHeight="1"/>
    <row r="6332" ht="15" customHeight="1"/>
    <row r="6333" ht="15" customHeight="1"/>
    <row r="6334" ht="15" customHeight="1"/>
    <row r="6335" ht="15" customHeight="1"/>
    <row r="6336" ht="15" customHeight="1"/>
    <row r="6337" ht="15" customHeight="1"/>
    <row r="6338" ht="15" customHeight="1"/>
    <row r="6339" ht="15" customHeight="1"/>
    <row r="6340" ht="15" customHeight="1"/>
    <row r="6341" ht="15" customHeight="1"/>
    <row r="6342" ht="15" customHeight="1"/>
    <row r="6343" ht="15" customHeight="1"/>
    <row r="6344" ht="15" customHeight="1"/>
    <row r="6345" ht="15" customHeight="1"/>
    <row r="6346" ht="15" customHeight="1"/>
    <row r="6347" ht="15" customHeight="1"/>
    <row r="6348" ht="15" customHeight="1"/>
    <row r="6349" ht="15" customHeight="1"/>
    <row r="6350" ht="15" customHeight="1"/>
    <row r="6351" ht="15" customHeight="1"/>
    <row r="6352" ht="15" customHeight="1"/>
    <row r="6353" ht="15" customHeight="1"/>
    <row r="6354" ht="15" customHeight="1"/>
    <row r="6355" ht="15" customHeight="1"/>
    <row r="6356" ht="15" customHeight="1"/>
    <row r="6357" ht="15" customHeight="1"/>
    <row r="6358" ht="15" customHeight="1"/>
    <row r="6359" ht="15" customHeight="1"/>
    <row r="6360" ht="15" customHeight="1"/>
    <row r="6361" ht="15" customHeight="1"/>
    <row r="6362" ht="15" customHeight="1"/>
    <row r="6363" ht="15" customHeight="1"/>
    <row r="6364" ht="15" customHeight="1"/>
    <row r="6365" ht="15" customHeight="1"/>
    <row r="6366" ht="15" customHeight="1"/>
    <row r="6367" ht="15" customHeight="1"/>
    <row r="6368" ht="15" customHeight="1"/>
    <row r="6369" ht="15" customHeight="1"/>
    <row r="6370" ht="15" customHeight="1"/>
    <row r="6371" ht="15" customHeight="1"/>
    <row r="6372" ht="15" customHeight="1"/>
    <row r="6373" ht="15" customHeight="1"/>
    <row r="6374" ht="15" customHeight="1"/>
    <row r="6375" ht="15" customHeight="1"/>
    <row r="6376" ht="15" customHeight="1"/>
    <row r="6377" ht="15" customHeight="1"/>
    <row r="6378" ht="15" customHeight="1"/>
    <row r="6379" ht="15" customHeight="1"/>
    <row r="6380" ht="15" customHeight="1"/>
    <row r="6381" ht="15" customHeight="1"/>
    <row r="6382" ht="15" customHeight="1"/>
    <row r="6383" ht="15" customHeight="1"/>
    <row r="6384" ht="15" customHeight="1"/>
    <row r="6385" ht="15" customHeight="1"/>
    <row r="6386" ht="15" customHeight="1"/>
    <row r="6387" ht="15" customHeight="1"/>
    <row r="6388" ht="15" customHeight="1"/>
    <row r="6389" ht="15" customHeight="1"/>
    <row r="6390" ht="15" customHeight="1"/>
    <row r="6391" ht="15" customHeight="1"/>
    <row r="6392" ht="15" customHeight="1"/>
    <row r="6393" ht="15" customHeight="1"/>
    <row r="6394" ht="15" customHeight="1"/>
    <row r="6395" ht="15" customHeight="1"/>
    <row r="6396" ht="15" customHeight="1"/>
    <row r="6397" ht="15" customHeight="1"/>
    <row r="6398" ht="15" customHeight="1"/>
    <row r="6399" ht="15" customHeight="1"/>
    <row r="6400" ht="15" customHeight="1"/>
    <row r="6401" ht="15" customHeight="1"/>
    <row r="6402" ht="15" customHeight="1"/>
    <row r="6403" ht="15" customHeight="1"/>
    <row r="6404" ht="15" customHeight="1"/>
    <row r="6405" ht="15" customHeight="1"/>
    <row r="6406" ht="15" customHeight="1"/>
    <row r="6407" ht="15" customHeight="1"/>
    <row r="6408" ht="15" customHeight="1"/>
    <row r="6409" ht="15" customHeight="1"/>
    <row r="6410" ht="15" customHeight="1"/>
    <row r="6411" ht="15" customHeight="1"/>
    <row r="6412" ht="15" customHeight="1"/>
    <row r="6413" ht="15" customHeight="1"/>
    <row r="6414" ht="15" customHeight="1"/>
    <row r="6415" ht="15" customHeight="1"/>
    <row r="6416" ht="15" customHeight="1"/>
    <row r="6417" ht="15" customHeight="1"/>
    <row r="6418" ht="15" customHeight="1"/>
    <row r="6419" ht="15" customHeight="1"/>
    <row r="6420" ht="15" customHeight="1"/>
    <row r="6421" ht="15" customHeight="1"/>
    <row r="6422" ht="15" customHeight="1"/>
    <row r="6423" ht="15" customHeight="1"/>
    <row r="6424" ht="15" customHeight="1"/>
    <row r="6425" ht="15" customHeight="1"/>
    <row r="6426" ht="15" customHeight="1"/>
    <row r="6427" ht="15" customHeight="1"/>
    <row r="6428" ht="15" customHeight="1"/>
    <row r="6429" ht="15" customHeight="1"/>
    <row r="6430" ht="15" customHeight="1"/>
    <row r="6431" ht="15" customHeight="1"/>
    <row r="6432" ht="15" customHeight="1"/>
    <row r="6433" ht="15" customHeight="1"/>
    <row r="6434" ht="15" customHeight="1"/>
    <row r="6435" ht="15" customHeight="1"/>
    <row r="6436" ht="15" customHeight="1"/>
    <row r="6437" ht="15" customHeight="1"/>
    <row r="6438" ht="15" customHeight="1"/>
    <row r="6439" ht="15" customHeight="1"/>
    <row r="6440" ht="15" customHeight="1"/>
    <row r="6441" ht="15" customHeight="1"/>
    <row r="6442" ht="15" customHeight="1"/>
    <row r="6443" ht="15" customHeight="1"/>
    <row r="6444" ht="15" customHeight="1"/>
    <row r="6445" ht="15" customHeight="1"/>
    <row r="6446" ht="15" customHeight="1"/>
    <row r="6447" ht="15" customHeight="1"/>
    <row r="6448" ht="15" customHeight="1"/>
    <row r="6449" ht="15" customHeight="1"/>
    <row r="6450" ht="15" customHeight="1"/>
    <row r="6451" ht="15" customHeight="1"/>
    <row r="6452" ht="15" customHeight="1"/>
    <row r="6453" ht="15" customHeight="1"/>
    <row r="6454" ht="15" customHeight="1"/>
    <row r="6455" ht="15" customHeight="1"/>
    <row r="6456" ht="15" customHeight="1"/>
    <row r="6457" ht="15" customHeight="1"/>
    <row r="6458" ht="15" customHeight="1"/>
    <row r="6459" ht="15" customHeight="1"/>
    <row r="6460" ht="15" customHeight="1"/>
    <row r="6461" ht="15" customHeight="1"/>
    <row r="6462" ht="15" customHeight="1"/>
    <row r="6463" ht="15" customHeight="1"/>
    <row r="6464" ht="15" customHeight="1"/>
    <row r="6465" ht="15" customHeight="1"/>
    <row r="6466" ht="15" customHeight="1"/>
    <row r="6467" ht="15" customHeight="1"/>
    <row r="6468" ht="15" customHeight="1"/>
    <row r="6469" ht="15" customHeight="1"/>
    <row r="6470" ht="15" customHeight="1"/>
    <row r="6471" ht="15" customHeight="1"/>
    <row r="6472" ht="15" customHeight="1"/>
    <row r="6473" ht="15" customHeight="1"/>
    <row r="6474" ht="15" customHeight="1"/>
    <row r="6475" ht="15" customHeight="1"/>
    <row r="6476" ht="15" customHeight="1"/>
    <row r="6477" ht="15" customHeight="1"/>
    <row r="6478" ht="15" customHeight="1"/>
    <row r="6479" ht="15" customHeight="1"/>
    <row r="6480" ht="15" customHeight="1"/>
    <row r="6481" ht="15" customHeight="1"/>
    <row r="6482" ht="15" customHeight="1"/>
    <row r="6483" ht="15" customHeight="1"/>
    <row r="6484" ht="15" customHeight="1"/>
    <row r="6485" ht="15" customHeight="1"/>
    <row r="6486" ht="15" customHeight="1"/>
    <row r="6487" ht="15" customHeight="1"/>
    <row r="6488" ht="15" customHeight="1"/>
    <row r="6489" ht="15" customHeight="1"/>
    <row r="6490" ht="15" customHeight="1"/>
    <row r="6491" ht="15" customHeight="1"/>
    <row r="6492" ht="15" customHeight="1"/>
    <row r="6493" ht="15" customHeight="1"/>
    <row r="6494" ht="15" customHeight="1"/>
    <row r="6495" ht="15" customHeight="1"/>
    <row r="6496" ht="15" customHeight="1"/>
    <row r="6497" ht="15" customHeight="1"/>
    <row r="6498" ht="15" customHeight="1"/>
    <row r="6499" ht="15" customHeight="1"/>
    <row r="6500" ht="15" customHeight="1"/>
    <row r="6501" ht="15" customHeight="1"/>
    <row r="6502" ht="15" customHeight="1"/>
    <row r="6503" ht="15" customHeight="1"/>
    <row r="6504" ht="15" customHeight="1"/>
    <row r="6505" ht="15" customHeight="1"/>
    <row r="6506" ht="15" customHeight="1"/>
    <row r="6507" ht="15" customHeight="1"/>
    <row r="6508" ht="15" customHeight="1"/>
    <row r="6509" ht="15" customHeight="1"/>
    <row r="6510" ht="15" customHeight="1"/>
    <row r="6511" ht="15" customHeight="1"/>
    <row r="6512" ht="15" customHeight="1"/>
    <row r="6513" ht="15" customHeight="1"/>
    <row r="6514" ht="15" customHeight="1"/>
    <row r="6515" ht="15" customHeight="1"/>
    <row r="6516" ht="15" customHeight="1"/>
    <row r="6517" ht="15" customHeight="1"/>
    <row r="6518" ht="15" customHeight="1"/>
    <row r="6519" ht="15" customHeight="1"/>
    <row r="6520" ht="15" customHeight="1"/>
    <row r="6521" ht="15" customHeight="1"/>
    <row r="6522" ht="15" customHeight="1"/>
    <row r="6523" ht="15" customHeight="1"/>
    <row r="6524" ht="15" customHeight="1"/>
    <row r="6525" ht="15" customHeight="1"/>
    <row r="6526" ht="15" customHeight="1"/>
    <row r="6527" ht="15" customHeight="1"/>
    <row r="6528" ht="15" customHeight="1"/>
    <row r="6529" ht="15" customHeight="1"/>
    <row r="6530" ht="15" customHeight="1"/>
    <row r="6531" ht="15" customHeight="1"/>
    <row r="6532" ht="15" customHeight="1"/>
    <row r="6533" ht="15" customHeight="1"/>
    <row r="6534" ht="15" customHeight="1"/>
    <row r="6535" ht="15" customHeight="1"/>
    <row r="6536" ht="15" customHeight="1"/>
    <row r="6537" ht="15" customHeight="1"/>
    <row r="6538" ht="15" customHeight="1"/>
    <row r="6539" ht="15" customHeight="1"/>
    <row r="6540" ht="15" customHeight="1"/>
    <row r="6541" ht="15" customHeight="1"/>
    <row r="6542" ht="15" customHeight="1"/>
    <row r="6543" ht="15" customHeight="1"/>
    <row r="6544" ht="15" customHeight="1"/>
    <row r="6545" ht="15" customHeight="1"/>
    <row r="6546" ht="15" customHeight="1"/>
    <row r="6547" ht="15" customHeight="1"/>
    <row r="6548" ht="15" customHeight="1"/>
    <row r="6549" ht="15" customHeight="1"/>
    <row r="6550" ht="15" customHeight="1"/>
    <row r="6551" ht="15" customHeight="1"/>
    <row r="6552" ht="15" customHeight="1"/>
    <row r="6553" ht="15" customHeight="1"/>
    <row r="6554" ht="15" customHeight="1"/>
    <row r="6555" ht="15" customHeight="1"/>
    <row r="6556" ht="15" customHeight="1"/>
    <row r="6557" ht="15" customHeight="1"/>
    <row r="6558" ht="15" customHeight="1"/>
    <row r="6559" ht="15" customHeight="1"/>
    <row r="6560" ht="15" customHeight="1"/>
    <row r="6561" ht="15" customHeight="1"/>
    <row r="6562" ht="15" customHeight="1"/>
    <row r="6563" ht="15" customHeight="1"/>
    <row r="6564" ht="15" customHeight="1"/>
    <row r="6565" ht="15" customHeight="1"/>
    <row r="6566" ht="15" customHeight="1"/>
    <row r="6567" ht="15" customHeight="1"/>
    <row r="6568" ht="15" customHeight="1"/>
    <row r="6569" ht="15" customHeight="1"/>
    <row r="6570" ht="15" customHeight="1"/>
    <row r="6571" ht="15" customHeight="1"/>
    <row r="6572" ht="15" customHeight="1"/>
    <row r="6573" ht="15" customHeight="1"/>
    <row r="6574" ht="15" customHeight="1"/>
    <row r="6575" ht="15" customHeight="1"/>
    <row r="6576" ht="15" customHeight="1"/>
    <row r="6577" ht="15" customHeight="1"/>
    <row r="6578" ht="15" customHeight="1"/>
    <row r="6579" ht="15" customHeight="1"/>
    <row r="6580" ht="15" customHeight="1"/>
    <row r="6581" ht="15" customHeight="1"/>
    <row r="6582" ht="15" customHeight="1"/>
    <row r="6583" ht="15" customHeight="1"/>
    <row r="6584" ht="15" customHeight="1"/>
    <row r="6585" ht="15" customHeight="1"/>
    <row r="6586" ht="15" customHeight="1"/>
    <row r="6587" ht="15" customHeight="1"/>
    <row r="6588" ht="15" customHeight="1"/>
    <row r="6589" ht="15" customHeight="1"/>
    <row r="6590" ht="15" customHeight="1"/>
    <row r="6591" ht="15" customHeight="1"/>
    <row r="6592" ht="15" customHeight="1"/>
    <row r="6593" ht="15" customHeight="1"/>
    <row r="6594" ht="15" customHeight="1"/>
    <row r="6595" ht="15" customHeight="1"/>
    <row r="6596" ht="15" customHeight="1"/>
    <row r="6597" ht="15" customHeight="1"/>
    <row r="6598" ht="15" customHeight="1"/>
    <row r="6599" ht="15" customHeight="1"/>
    <row r="6600" ht="15" customHeight="1"/>
    <row r="6601" ht="15" customHeight="1"/>
    <row r="6602" ht="15" customHeight="1"/>
    <row r="6603" ht="15" customHeight="1"/>
    <row r="6604" ht="15" customHeight="1"/>
    <row r="6605" ht="15" customHeight="1"/>
    <row r="6606" ht="15" customHeight="1"/>
    <row r="6607" ht="15" customHeight="1"/>
    <row r="6608" ht="15" customHeight="1"/>
    <row r="6609" ht="15" customHeight="1"/>
    <row r="6610" ht="15" customHeight="1"/>
    <row r="6611" ht="15" customHeight="1"/>
    <row r="6612" ht="15" customHeight="1"/>
    <row r="6613" ht="15" customHeight="1"/>
    <row r="6614" ht="15" customHeight="1"/>
    <row r="6615" ht="15" customHeight="1"/>
    <row r="6616" ht="15" customHeight="1"/>
    <row r="6617" ht="15" customHeight="1"/>
    <row r="6618" ht="15" customHeight="1"/>
    <row r="6619" ht="15" customHeight="1"/>
    <row r="6620" ht="15" customHeight="1"/>
    <row r="6621" ht="15" customHeight="1"/>
    <row r="6622" ht="15" customHeight="1"/>
    <row r="6623" ht="15" customHeight="1"/>
    <row r="6624" ht="15" customHeight="1"/>
    <row r="6625" ht="15" customHeight="1"/>
    <row r="6626" ht="15" customHeight="1"/>
    <row r="6627" ht="15" customHeight="1"/>
    <row r="6628" ht="15" customHeight="1"/>
    <row r="6629" ht="15" customHeight="1"/>
    <row r="6630" ht="15" customHeight="1"/>
    <row r="6631" ht="15" customHeight="1"/>
    <row r="6632" ht="15" customHeight="1"/>
    <row r="6633" ht="15" customHeight="1"/>
    <row r="6634" ht="15" customHeight="1"/>
    <row r="6635" ht="15" customHeight="1"/>
    <row r="6636" ht="15" customHeight="1"/>
    <row r="6637" ht="15" customHeight="1"/>
    <row r="6638" ht="15" customHeight="1"/>
    <row r="6639" ht="15" customHeight="1"/>
    <row r="6640" ht="15" customHeight="1"/>
    <row r="6641" ht="15" customHeight="1"/>
    <row r="6642" ht="15" customHeight="1"/>
    <row r="6643" ht="15" customHeight="1"/>
    <row r="6644" ht="15" customHeight="1"/>
    <row r="6645" ht="15" customHeight="1"/>
    <row r="6646" ht="15" customHeight="1"/>
    <row r="6647" ht="15" customHeight="1"/>
    <row r="6648" ht="15" customHeight="1"/>
    <row r="6649" ht="15" customHeight="1"/>
    <row r="6650" ht="15" customHeight="1"/>
    <row r="6651" ht="15" customHeight="1"/>
    <row r="6652" ht="15" customHeight="1"/>
    <row r="6653" ht="15" customHeight="1"/>
    <row r="6654" ht="15" customHeight="1"/>
    <row r="6655" ht="15" customHeight="1"/>
    <row r="6656" ht="15" customHeight="1"/>
    <row r="6657" ht="15" customHeight="1"/>
    <row r="6658" ht="15" customHeight="1"/>
    <row r="6659" ht="15" customHeight="1"/>
    <row r="6660" ht="15" customHeight="1"/>
    <row r="6661" ht="15" customHeight="1"/>
    <row r="6662" ht="15" customHeight="1"/>
    <row r="6663" ht="15" customHeight="1"/>
    <row r="6664" ht="15" customHeight="1"/>
    <row r="6665" ht="15" customHeight="1"/>
    <row r="6666" ht="15" customHeight="1"/>
    <row r="6667" ht="15" customHeight="1"/>
    <row r="6668" ht="15" customHeight="1"/>
    <row r="6669" ht="15" customHeight="1"/>
    <row r="6670" ht="15" customHeight="1"/>
    <row r="6671" ht="15" customHeight="1"/>
    <row r="6672" ht="15" customHeight="1"/>
    <row r="6673" ht="15" customHeight="1"/>
    <row r="6674" ht="15" customHeight="1"/>
    <row r="6675" ht="15" customHeight="1"/>
    <row r="6676" ht="15" customHeight="1"/>
    <row r="6677" ht="15" customHeight="1"/>
    <row r="6678" ht="15" customHeight="1"/>
    <row r="6679" ht="15" customHeight="1"/>
    <row r="6680" ht="15" customHeight="1"/>
    <row r="6681" ht="15" customHeight="1"/>
    <row r="6682" ht="15" customHeight="1"/>
    <row r="6683" ht="15" customHeight="1"/>
    <row r="6684" ht="15" customHeight="1"/>
    <row r="6685" ht="15" customHeight="1"/>
    <row r="6686" ht="15" customHeight="1"/>
    <row r="6687" ht="15" customHeight="1"/>
    <row r="6688" ht="15" customHeight="1"/>
    <row r="6689" ht="15" customHeight="1"/>
    <row r="6690" ht="15" customHeight="1"/>
    <row r="6691" ht="15" customHeight="1"/>
    <row r="6692" ht="15" customHeight="1"/>
    <row r="6693" ht="15" customHeight="1"/>
    <row r="6694" ht="15" customHeight="1"/>
    <row r="6695" ht="15" customHeight="1"/>
    <row r="6696" ht="15" customHeight="1"/>
    <row r="6697" ht="15" customHeight="1"/>
    <row r="6698" ht="15" customHeight="1"/>
    <row r="6699" ht="15" customHeight="1"/>
    <row r="6700" ht="15" customHeight="1"/>
    <row r="6701" ht="15" customHeight="1"/>
    <row r="6702" ht="15" customHeight="1"/>
    <row r="6703" ht="15" customHeight="1"/>
    <row r="6704" ht="15" customHeight="1"/>
    <row r="6705" ht="15" customHeight="1"/>
    <row r="6706" ht="15" customHeight="1"/>
    <row r="6707" ht="15" customHeight="1"/>
    <row r="6708" ht="15" customHeight="1"/>
    <row r="6709" ht="15" customHeight="1"/>
    <row r="6710" ht="15" customHeight="1"/>
    <row r="6711" ht="15" customHeight="1"/>
    <row r="6712" ht="15" customHeight="1"/>
    <row r="6713" ht="15" customHeight="1"/>
    <row r="6714" ht="15" customHeight="1"/>
    <row r="6715" ht="15" customHeight="1"/>
    <row r="6716" ht="15" customHeight="1"/>
    <row r="6717" ht="15" customHeight="1"/>
    <row r="6718" ht="15" customHeight="1"/>
    <row r="6719" ht="15" customHeight="1"/>
    <row r="6720" ht="15" customHeight="1"/>
    <row r="6721" ht="15" customHeight="1"/>
    <row r="6722" ht="15" customHeight="1"/>
    <row r="6723" ht="15" customHeight="1"/>
    <row r="6724" ht="15" customHeight="1"/>
    <row r="6725" ht="15" customHeight="1"/>
    <row r="6726" ht="15" customHeight="1"/>
    <row r="6727" ht="15" customHeight="1"/>
    <row r="6728" ht="15" customHeight="1"/>
    <row r="6729" ht="15" customHeight="1"/>
    <row r="6730" ht="15" customHeight="1"/>
    <row r="6731" ht="15" customHeight="1"/>
    <row r="6732" ht="15" customHeight="1"/>
    <row r="6733" ht="15" customHeight="1"/>
    <row r="6734" ht="15" customHeight="1"/>
    <row r="6735" ht="15" customHeight="1"/>
    <row r="6736" ht="15" customHeight="1"/>
    <row r="6737" ht="15" customHeight="1"/>
    <row r="6738" ht="15" customHeight="1"/>
    <row r="6739" ht="15" customHeight="1"/>
    <row r="6740" ht="15" customHeight="1"/>
    <row r="6741" ht="15" customHeight="1"/>
    <row r="6742" ht="15" customHeight="1"/>
    <row r="6743" ht="15" customHeight="1"/>
    <row r="6744" ht="15" customHeight="1"/>
    <row r="6745" ht="15" customHeight="1"/>
    <row r="6746" ht="15" customHeight="1"/>
    <row r="6747" ht="15" customHeight="1"/>
    <row r="6748" ht="15" customHeight="1"/>
    <row r="6749" ht="15" customHeight="1"/>
    <row r="6750" ht="15" customHeight="1"/>
    <row r="6751" ht="15" customHeight="1"/>
    <row r="6752" ht="15" customHeight="1"/>
    <row r="6753" ht="15" customHeight="1"/>
    <row r="6754" ht="15" customHeight="1"/>
    <row r="6755" ht="15" customHeight="1"/>
    <row r="6756" ht="15" customHeight="1"/>
    <row r="6757" ht="15" customHeight="1"/>
    <row r="6758" ht="15" customHeight="1"/>
    <row r="6759" ht="15" customHeight="1"/>
    <row r="6760" ht="15" customHeight="1"/>
    <row r="6761" ht="15" customHeight="1"/>
    <row r="6762" ht="15" customHeight="1"/>
    <row r="6763" ht="15" customHeight="1"/>
    <row r="6764" ht="15" customHeight="1"/>
    <row r="6765" ht="15" customHeight="1"/>
    <row r="6766" ht="15" customHeight="1"/>
    <row r="6767" ht="15" customHeight="1"/>
    <row r="6768" ht="15" customHeight="1"/>
    <row r="6769" ht="15" customHeight="1"/>
    <row r="6770" ht="15" customHeight="1"/>
    <row r="6771" ht="15" customHeight="1"/>
    <row r="6772" ht="15" customHeight="1"/>
    <row r="6773" ht="15" customHeight="1"/>
    <row r="6774" ht="15" customHeight="1"/>
    <row r="6775" ht="15" customHeight="1"/>
    <row r="6776" ht="15" customHeight="1"/>
    <row r="6777" ht="15" customHeight="1"/>
    <row r="6778" ht="15" customHeight="1"/>
    <row r="6779" ht="15" customHeight="1"/>
    <row r="6780" ht="15" customHeight="1"/>
    <row r="6781" ht="15" customHeight="1"/>
    <row r="6782" ht="15" customHeight="1"/>
    <row r="6783" ht="15" customHeight="1"/>
    <row r="6784" ht="15" customHeight="1"/>
    <row r="6785" ht="15" customHeight="1"/>
    <row r="6786" ht="15" customHeight="1"/>
    <row r="6787" ht="15" customHeight="1"/>
    <row r="6788" ht="15" customHeight="1"/>
    <row r="6789" ht="15" customHeight="1"/>
    <row r="6790" ht="15" customHeight="1"/>
    <row r="6791" ht="15" customHeight="1"/>
    <row r="6792" ht="15" customHeight="1"/>
    <row r="6793" ht="15" customHeight="1"/>
    <row r="6794" ht="15" customHeight="1"/>
    <row r="6795" ht="15" customHeight="1"/>
    <row r="6796" ht="15" customHeight="1"/>
    <row r="6797" ht="15" customHeight="1"/>
    <row r="6798" ht="15" customHeight="1"/>
    <row r="6799" ht="15" customHeight="1"/>
    <row r="6800" ht="15" customHeight="1"/>
    <row r="6801" ht="15" customHeight="1"/>
    <row r="6802" ht="15" customHeight="1"/>
    <row r="6803" ht="15" customHeight="1"/>
    <row r="6804" ht="15" customHeight="1"/>
    <row r="6805" ht="15" customHeight="1"/>
    <row r="6806" ht="15" customHeight="1"/>
    <row r="6807" ht="15" customHeight="1"/>
    <row r="6808" ht="15" customHeight="1"/>
    <row r="6809" ht="15" customHeight="1"/>
    <row r="6810" ht="15" customHeight="1"/>
    <row r="6811" ht="15" customHeight="1"/>
    <row r="6812" ht="15" customHeight="1"/>
    <row r="6813" ht="15" customHeight="1"/>
    <row r="6814" ht="15" customHeight="1"/>
    <row r="6815" ht="15" customHeight="1"/>
    <row r="6816" ht="15" customHeight="1"/>
    <row r="6817" ht="15" customHeight="1"/>
    <row r="6818" ht="15" customHeight="1"/>
    <row r="6819" ht="15" customHeight="1"/>
    <row r="6820" ht="15" customHeight="1"/>
    <row r="6821" ht="15" customHeight="1"/>
    <row r="6822" ht="15" customHeight="1"/>
    <row r="6823" ht="15" customHeight="1"/>
    <row r="6824" ht="15" customHeight="1"/>
    <row r="6825" ht="15" customHeight="1"/>
    <row r="6826" ht="15" customHeight="1"/>
    <row r="6827" ht="15" customHeight="1"/>
    <row r="6828" ht="15" customHeight="1"/>
    <row r="6829" ht="15" customHeight="1"/>
    <row r="6830" ht="15" customHeight="1"/>
    <row r="6831" ht="15" customHeight="1"/>
    <row r="6832" ht="15" customHeight="1"/>
    <row r="6833" ht="15" customHeight="1"/>
    <row r="6834" ht="15" customHeight="1"/>
    <row r="6835" ht="15" customHeight="1"/>
    <row r="6836" ht="15" customHeight="1"/>
    <row r="6837" ht="15" customHeight="1"/>
    <row r="6838" ht="15" customHeight="1"/>
    <row r="6839" ht="15" customHeight="1"/>
    <row r="6840" ht="15" customHeight="1"/>
    <row r="6841" ht="15" customHeight="1"/>
    <row r="6842" ht="15" customHeight="1"/>
    <row r="6843" ht="15" customHeight="1"/>
    <row r="6844" ht="15" customHeight="1"/>
    <row r="6845" ht="15" customHeight="1"/>
    <row r="6846" ht="15" customHeight="1"/>
    <row r="6847" ht="15" customHeight="1"/>
    <row r="6848" ht="15" customHeight="1"/>
    <row r="6849" ht="15" customHeight="1"/>
    <row r="6850" ht="15" customHeight="1"/>
    <row r="6851" ht="15" customHeight="1"/>
    <row r="6852" ht="15" customHeight="1"/>
    <row r="6853" ht="15" customHeight="1"/>
    <row r="6854" ht="15" customHeight="1"/>
    <row r="6855" ht="15" customHeight="1"/>
    <row r="6856" ht="15" customHeight="1"/>
    <row r="6857" ht="15" customHeight="1"/>
    <row r="6858" ht="15" customHeight="1"/>
    <row r="6859" ht="15" customHeight="1"/>
    <row r="6860" ht="15" customHeight="1"/>
    <row r="6861" ht="15" customHeight="1"/>
    <row r="6862" ht="15" customHeight="1"/>
    <row r="6863" ht="15" customHeight="1"/>
    <row r="6864" ht="15" customHeight="1"/>
    <row r="6865" ht="15" customHeight="1"/>
    <row r="6866" ht="15" customHeight="1"/>
    <row r="6867" ht="15" customHeight="1"/>
    <row r="6868" ht="15" customHeight="1"/>
    <row r="6869" ht="15" customHeight="1"/>
    <row r="6870" ht="15" customHeight="1"/>
    <row r="6871" ht="15" customHeight="1"/>
    <row r="6872" ht="15" customHeight="1"/>
    <row r="6873" ht="15" customHeight="1"/>
    <row r="6874" ht="15" customHeight="1"/>
    <row r="6875" ht="15" customHeight="1"/>
    <row r="6876" ht="15" customHeight="1"/>
    <row r="6877" ht="15" customHeight="1"/>
    <row r="6878" ht="15" customHeight="1"/>
    <row r="6879" ht="15" customHeight="1"/>
    <row r="6880" ht="15" customHeight="1"/>
    <row r="6881" ht="15" customHeight="1"/>
    <row r="6882" ht="15" customHeight="1"/>
    <row r="6883" ht="15" customHeight="1"/>
    <row r="6884" ht="15" customHeight="1"/>
    <row r="6885" ht="15" customHeight="1"/>
    <row r="6886" ht="15" customHeight="1"/>
    <row r="6887" ht="15" customHeight="1"/>
    <row r="6888" ht="15" customHeight="1"/>
    <row r="6889" ht="15" customHeight="1"/>
    <row r="6890" ht="15" customHeight="1"/>
    <row r="6891" ht="15" customHeight="1"/>
    <row r="6892" ht="15" customHeight="1"/>
    <row r="6893" ht="15" customHeight="1"/>
    <row r="6894" ht="15" customHeight="1"/>
    <row r="6895" ht="15" customHeight="1"/>
    <row r="6896" ht="15" customHeight="1"/>
    <row r="6897" ht="15" customHeight="1"/>
    <row r="6898" ht="15" customHeight="1"/>
    <row r="6899" ht="15" customHeight="1"/>
    <row r="6900" ht="15" customHeight="1"/>
    <row r="6901" ht="15" customHeight="1"/>
    <row r="6902" ht="15" customHeight="1"/>
    <row r="6903" ht="15" customHeight="1"/>
    <row r="6904" ht="15" customHeight="1"/>
    <row r="6905" ht="15" customHeight="1"/>
    <row r="6906" ht="15" customHeight="1"/>
    <row r="6907" ht="15" customHeight="1"/>
    <row r="6908" ht="15" customHeight="1"/>
    <row r="6909" ht="15" customHeight="1"/>
    <row r="6910" ht="15" customHeight="1"/>
    <row r="6911" ht="15" customHeight="1"/>
    <row r="6912" ht="15" customHeight="1"/>
    <row r="6913" ht="15" customHeight="1"/>
    <row r="6914" ht="15" customHeight="1"/>
    <row r="6915" ht="15" customHeight="1"/>
    <row r="6916" ht="15" customHeight="1"/>
    <row r="6917" ht="15" customHeight="1"/>
    <row r="6918" ht="15" customHeight="1"/>
    <row r="6919" ht="15" customHeight="1"/>
    <row r="6920" ht="15" customHeight="1"/>
    <row r="6921" ht="15" customHeight="1"/>
    <row r="6922" ht="15" customHeight="1"/>
    <row r="6923" ht="15" customHeight="1"/>
    <row r="6924" ht="15" customHeight="1"/>
    <row r="6925" ht="15" customHeight="1"/>
    <row r="6926" ht="15" customHeight="1"/>
    <row r="6927" ht="15" customHeight="1"/>
    <row r="6928" ht="15" customHeight="1"/>
    <row r="6929" ht="15" customHeight="1"/>
    <row r="6930" ht="15" customHeight="1"/>
    <row r="6931" ht="15" customHeight="1"/>
    <row r="6932" ht="15" customHeight="1"/>
    <row r="6933" ht="15" customHeight="1"/>
    <row r="6934" ht="15" customHeight="1"/>
    <row r="6935" ht="15" customHeight="1"/>
    <row r="6936" ht="15" customHeight="1"/>
    <row r="6937" ht="15" customHeight="1"/>
    <row r="6938" ht="15" customHeight="1"/>
    <row r="6939" ht="15" customHeight="1"/>
    <row r="6940" ht="15" customHeight="1"/>
    <row r="6941" ht="15" customHeight="1"/>
    <row r="6942" ht="15" customHeight="1"/>
    <row r="6943" ht="15" customHeight="1"/>
    <row r="6944" ht="15" customHeight="1"/>
    <row r="6945" ht="15" customHeight="1"/>
    <row r="6946" ht="15" customHeight="1"/>
    <row r="6947" ht="15" customHeight="1"/>
    <row r="6948" ht="15" customHeight="1"/>
    <row r="6949" ht="15" customHeight="1"/>
    <row r="6950" ht="15" customHeight="1"/>
    <row r="6951" ht="15" customHeight="1"/>
    <row r="6952" ht="15" customHeight="1"/>
    <row r="6953" ht="15" customHeight="1"/>
    <row r="6954" ht="15" customHeight="1"/>
    <row r="6955" ht="15" customHeight="1"/>
    <row r="6956" ht="15" customHeight="1"/>
    <row r="6957" ht="15" customHeight="1"/>
    <row r="6958" ht="15" customHeight="1"/>
    <row r="6959" ht="15" customHeight="1"/>
    <row r="6960" ht="15" customHeight="1"/>
    <row r="6961" ht="15" customHeight="1"/>
    <row r="6962" ht="15" customHeight="1"/>
    <row r="6963" ht="15" customHeight="1"/>
    <row r="6964" ht="15" customHeight="1"/>
    <row r="6965" ht="15" customHeight="1"/>
    <row r="6966" ht="15" customHeight="1"/>
    <row r="6967" ht="15" customHeight="1"/>
    <row r="6968" ht="15" customHeight="1"/>
    <row r="6969" ht="15" customHeight="1"/>
    <row r="6970" ht="15" customHeight="1"/>
    <row r="6971" ht="15" customHeight="1"/>
    <row r="6972" ht="15" customHeight="1"/>
    <row r="6973" ht="15" customHeight="1"/>
    <row r="6974" ht="15" customHeight="1"/>
    <row r="6975" ht="15" customHeight="1"/>
    <row r="6976" ht="15" customHeight="1"/>
    <row r="6977" ht="15" customHeight="1"/>
    <row r="6978" ht="15" customHeight="1"/>
    <row r="6979" ht="15" customHeight="1"/>
    <row r="6980" ht="15" customHeight="1"/>
    <row r="6981" ht="15" customHeight="1"/>
    <row r="6982" ht="15" customHeight="1"/>
    <row r="6983" ht="15" customHeight="1"/>
    <row r="6984" ht="15" customHeight="1"/>
    <row r="6985" ht="15" customHeight="1"/>
    <row r="6986" ht="15" customHeight="1"/>
    <row r="6987" ht="15" customHeight="1"/>
    <row r="6988" ht="15" customHeight="1"/>
    <row r="6989" ht="15" customHeight="1"/>
    <row r="6990" ht="15" customHeight="1"/>
    <row r="6991" ht="15" customHeight="1"/>
    <row r="6992" ht="15" customHeight="1"/>
    <row r="6993" ht="15" customHeight="1"/>
    <row r="6994" ht="15" customHeight="1"/>
    <row r="6995" ht="15" customHeight="1"/>
    <row r="6996" ht="15" customHeight="1"/>
    <row r="6997" ht="15" customHeight="1"/>
    <row r="6998" ht="15" customHeight="1"/>
    <row r="6999" ht="15" customHeight="1"/>
    <row r="7000" ht="15" customHeight="1"/>
    <row r="7001" ht="15" customHeight="1"/>
    <row r="7002" ht="15" customHeight="1"/>
    <row r="7003" ht="15" customHeight="1"/>
    <row r="7004" ht="15" customHeight="1"/>
    <row r="7005" ht="15" customHeight="1"/>
    <row r="7006" ht="15" customHeight="1"/>
    <row r="7007" ht="15" customHeight="1"/>
    <row r="7008" ht="15" customHeight="1"/>
    <row r="7009" ht="15" customHeight="1"/>
    <row r="7010" ht="15" customHeight="1"/>
    <row r="7011" ht="15" customHeight="1"/>
    <row r="7012" ht="15" customHeight="1"/>
    <row r="7013" ht="15" customHeight="1"/>
    <row r="7014" ht="15" customHeight="1"/>
    <row r="7015" ht="15" customHeight="1"/>
    <row r="7016" ht="15" customHeight="1"/>
    <row r="7017" ht="15" customHeight="1"/>
    <row r="7018" ht="15" customHeight="1"/>
    <row r="7019" ht="15" customHeight="1"/>
    <row r="7020" ht="15" customHeight="1"/>
    <row r="7021" ht="15" customHeight="1"/>
    <row r="7022" ht="15" customHeight="1"/>
    <row r="7023" ht="15" customHeight="1"/>
    <row r="7024" ht="15" customHeight="1"/>
    <row r="7025" ht="15" customHeight="1"/>
    <row r="7026" ht="15" customHeight="1"/>
    <row r="7027" ht="15" customHeight="1"/>
    <row r="7028" ht="15" customHeight="1"/>
    <row r="7029" ht="15" customHeight="1"/>
    <row r="7030" ht="15" customHeight="1"/>
    <row r="7031" ht="15" customHeight="1"/>
    <row r="7032" ht="15" customHeight="1"/>
    <row r="7033" ht="15" customHeight="1"/>
    <row r="7034" ht="15" customHeight="1"/>
    <row r="7035" ht="15" customHeight="1"/>
    <row r="7036" ht="15" customHeight="1"/>
    <row r="7037" ht="15" customHeight="1"/>
    <row r="7038" ht="15" customHeight="1"/>
    <row r="7039" ht="15" customHeight="1"/>
    <row r="7040" ht="15" customHeight="1"/>
    <row r="7041" ht="15" customHeight="1"/>
    <row r="7042" ht="15" customHeight="1"/>
    <row r="7043" ht="15" customHeight="1"/>
    <row r="7044" ht="15" customHeight="1"/>
    <row r="7045" ht="15" customHeight="1"/>
    <row r="7046" ht="15" customHeight="1"/>
    <row r="7047" ht="15" customHeight="1"/>
    <row r="7048" ht="15" customHeight="1"/>
    <row r="7049" ht="15" customHeight="1"/>
    <row r="7050" ht="15" customHeight="1"/>
    <row r="7051" ht="15" customHeight="1"/>
    <row r="7052" ht="15" customHeight="1"/>
    <row r="7053" ht="15" customHeight="1"/>
    <row r="7054" ht="15" customHeight="1"/>
    <row r="7055" ht="15" customHeight="1"/>
    <row r="7056" ht="15" customHeight="1"/>
    <row r="7057" ht="15" customHeight="1"/>
    <row r="7058" ht="15" customHeight="1"/>
    <row r="7059" ht="15" customHeight="1"/>
    <row r="7060" ht="15" customHeight="1"/>
    <row r="7061" ht="15" customHeight="1"/>
    <row r="7062" ht="15" customHeight="1"/>
    <row r="7063" ht="15" customHeight="1"/>
    <row r="7064" ht="15" customHeight="1"/>
    <row r="7065" ht="15" customHeight="1"/>
    <row r="7066" ht="15" customHeight="1"/>
    <row r="7067" ht="15" customHeight="1"/>
    <row r="7068" ht="15" customHeight="1"/>
    <row r="7069" ht="15" customHeight="1"/>
    <row r="7070" ht="15" customHeight="1"/>
    <row r="7071" ht="15" customHeight="1"/>
    <row r="7072" ht="15" customHeight="1"/>
    <row r="7073" ht="15" customHeight="1"/>
    <row r="7074" ht="15" customHeight="1"/>
    <row r="7075" ht="15" customHeight="1"/>
    <row r="7076" ht="15" customHeight="1"/>
    <row r="7077" ht="15" customHeight="1"/>
    <row r="7078" ht="15" customHeight="1"/>
    <row r="7079" ht="15" customHeight="1"/>
    <row r="7080" ht="15" customHeight="1"/>
    <row r="7081" ht="15" customHeight="1"/>
    <row r="7082" ht="15" customHeight="1"/>
    <row r="7083" ht="15" customHeight="1"/>
    <row r="7084" ht="15" customHeight="1"/>
    <row r="7085" ht="15" customHeight="1"/>
    <row r="7086" ht="15" customHeight="1"/>
    <row r="7087" ht="15" customHeight="1"/>
    <row r="7088" ht="15" customHeight="1"/>
    <row r="7089" ht="15" customHeight="1"/>
    <row r="7090" ht="15" customHeight="1"/>
    <row r="7091" ht="15" customHeight="1"/>
    <row r="7092" ht="15" customHeight="1"/>
    <row r="7093" ht="15" customHeight="1"/>
    <row r="7094" ht="15" customHeight="1"/>
    <row r="7095" ht="15" customHeight="1"/>
    <row r="7096" ht="15" customHeight="1"/>
    <row r="7097" ht="15" customHeight="1"/>
    <row r="7098" ht="15" customHeight="1"/>
    <row r="7099" ht="15" customHeight="1"/>
    <row r="7100" ht="15" customHeight="1"/>
    <row r="7101" ht="15" customHeight="1"/>
    <row r="7102" ht="15" customHeight="1"/>
    <row r="7103" ht="15" customHeight="1"/>
    <row r="7104" ht="15" customHeight="1"/>
    <row r="7105" ht="15" customHeight="1"/>
    <row r="7106" ht="15" customHeight="1"/>
    <row r="7107" ht="15" customHeight="1"/>
    <row r="7108" ht="15" customHeight="1"/>
    <row r="7109" ht="15" customHeight="1"/>
    <row r="7110" ht="15" customHeight="1"/>
    <row r="7111" ht="15" customHeight="1"/>
    <row r="7112" ht="15" customHeight="1"/>
    <row r="7113" ht="15" customHeight="1"/>
    <row r="7114" ht="15" customHeight="1"/>
    <row r="7115" ht="15" customHeight="1"/>
    <row r="7116" ht="15" customHeight="1"/>
    <row r="7117" ht="15" customHeight="1"/>
    <row r="7118" ht="15" customHeight="1"/>
    <row r="7119" ht="15" customHeight="1"/>
    <row r="7120" ht="15" customHeight="1"/>
    <row r="7121" ht="15" customHeight="1"/>
    <row r="7122" ht="15" customHeight="1"/>
    <row r="7123" ht="15" customHeight="1"/>
    <row r="7124" ht="15" customHeight="1"/>
    <row r="7125" ht="15" customHeight="1"/>
    <row r="7126" ht="15" customHeight="1"/>
    <row r="7127" ht="15" customHeight="1"/>
    <row r="7128" ht="15" customHeight="1"/>
    <row r="7129" ht="15" customHeight="1"/>
    <row r="7130" ht="15" customHeight="1"/>
    <row r="7131" ht="15" customHeight="1"/>
    <row r="7132" ht="15" customHeight="1"/>
    <row r="7133" ht="15" customHeight="1"/>
    <row r="7134" ht="15" customHeight="1"/>
    <row r="7135" ht="15" customHeight="1"/>
    <row r="7136" ht="15" customHeight="1"/>
    <row r="7137" ht="15" customHeight="1"/>
    <row r="7138" ht="15" customHeight="1"/>
    <row r="7139" ht="15" customHeight="1"/>
    <row r="7140" ht="15" customHeight="1"/>
    <row r="7141" ht="15" customHeight="1"/>
    <row r="7142" ht="15" customHeight="1"/>
    <row r="7143" ht="15" customHeight="1"/>
    <row r="7144" ht="15" customHeight="1"/>
    <row r="7145" ht="15" customHeight="1"/>
    <row r="7146" ht="15" customHeight="1"/>
    <row r="7147" ht="15" customHeight="1"/>
    <row r="7148" ht="15" customHeight="1"/>
    <row r="7149" ht="15" customHeight="1"/>
    <row r="7150" ht="15" customHeight="1"/>
    <row r="7151" ht="15" customHeight="1"/>
    <row r="7152" ht="15" customHeight="1"/>
    <row r="7153" ht="15" customHeight="1"/>
    <row r="7154" ht="15" customHeight="1"/>
    <row r="7155" ht="15" customHeight="1"/>
    <row r="7156" ht="15" customHeight="1"/>
    <row r="7157" ht="15" customHeight="1"/>
    <row r="7158" ht="15" customHeight="1"/>
    <row r="7159" ht="15" customHeight="1"/>
    <row r="7160" ht="15" customHeight="1"/>
    <row r="7161" ht="15" customHeight="1"/>
    <row r="7162" ht="15" customHeight="1"/>
    <row r="7163" ht="15" customHeight="1"/>
    <row r="7164" ht="15" customHeight="1"/>
    <row r="7165" ht="15" customHeight="1"/>
    <row r="7166" ht="15" customHeight="1"/>
    <row r="7167" ht="15" customHeight="1"/>
    <row r="7168" ht="15" customHeight="1"/>
    <row r="7169" ht="15" customHeight="1"/>
    <row r="7170" ht="15" customHeight="1"/>
    <row r="7171" ht="15" customHeight="1"/>
    <row r="7172" ht="15" customHeight="1"/>
    <row r="7173" ht="15" customHeight="1"/>
    <row r="7174" ht="15" customHeight="1"/>
    <row r="7175" ht="15" customHeight="1"/>
    <row r="7176" ht="15" customHeight="1"/>
    <row r="7177" ht="15" customHeight="1"/>
    <row r="7178" ht="15" customHeight="1"/>
    <row r="7179" ht="15" customHeight="1"/>
    <row r="7180" ht="15" customHeight="1"/>
    <row r="7181" ht="15" customHeight="1"/>
    <row r="7182" ht="15" customHeight="1"/>
    <row r="7183" ht="15" customHeight="1"/>
    <row r="7184" ht="15" customHeight="1"/>
    <row r="7185" ht="15" customHeight="1"/>
    <row r="7186" ht="15" customHeight="1"/>
    <row r="7187" ht="15" customHeight="1"/>
    <row r="7188" ht="15" customHeight="1"/>
    <row r="7189" ht="15" customHeight="1"/>
    <row r="7190" ht="15" customHeight="1"/>
    <row r="7191" ht="15" customHeight="1"/>
    <row r="7192" ht="15" customHeight="1"/>
    <row r="7193" ht="15" customHeight="1"/>
    <row r="7194" ht="15" customHeight="1"/>
    <row r="7195" ht="15" customHeight="1"/>
    <row r="7196" ht="15" customHeight="1"/>
    <row r="7197" ht="15" customHeight="1"/>
    <row r="7198" ht="15" customHeight="1"/>
    <row r="7199" ht="15" customHeight="1"/>
    <row r="7200" ht="15" customHeight="1"/>
    <row r="7201" ht="15" customHeight="1"/>
    <row r="7202" ht="15" customHeight="1"/>
    <row r="7203" ht="15" customHeight="1"/>
    <row r="7204" ht="15" customHeight="1"/>
    <row r="7205" ht="15" customHeight="1"/>
    <row r="7206" ht="15" customHeight="1"/>
    <row r="7207" ht="15" customHeight="1"/>
    <row r="7208" ht="15" customHeight="1"/>
    <row r="7209" ht="15" customHeight="1"/>
    <row r="7210" ht="15" customHeight="1"/>
    <row r="7211" ht="15" customHeight="1"/>
    <row r="7212" ht="15" customHeight="1"/>
    <row r="7213" ht="15" customHeight="1"/>
    <row r="7214" ht="15" customHeight="1"/>
    <row r="7215" ht="15" customHeight="1"/>
    <row r="7216" ht="15" customHeight="1"/>
    <row r="7217" ht="15" customHeight="1"/>
    <row r="7218" ht="15" customHeight="1"/>
    <row r="7219" ht="15" customHeight="1"/>
    <row r="7220" ht="15" customHeight="1"/>
    <row r="7221" ht="15" customHeight="1"/>
    <row r="7222" ht="15" customHeight="1"/>
    <row r="7223" ht="15" customHeight="1"/>
    <row r="7224" ht="15" customHeight="1"/>
    <row r="7225" ht="15" customHeight="1"/>
    <row r="7226" ht="15" customHeight="1"/>
    <row r="7227" ht="15" customHeight="1"/>
    <row r="7228" ht="15" customHeight="1"/>
    <row r="7229" ht="15" customHeight="1"/>
    <row r="7230" ht="15" customHeight="1"/>
    <row r="7231" ht="15" customHeight="1"/>
    <row r="7232" ht="15" customHeight="1"/>
    <row r="7233" ht="15" customHeight="1"/>
    <row r="7234" ht="15" customHeight="1"/>
    <row r="7235" ht="15" customHeight="1"/>
    <row r="7236" ht="15" customHeight="1"/>
    <row r="7237" ht="15" customHeight="1"/>
    <row r="7238" ht="15" customHeight="1"/>
    <row r="7239" ht="15" customHeight="1"/>
    <row r="7240" ht="15" customHeight="1"/>
    <row r="7241" ht="15" customHeight="1"/>
    <row r="7242" ht="15" customHeight="1"/>
    <row r="7243" ht="15" customHeight="1"/>
    <row r="7244" ht="15" customHeight="1"/>
    <row r="7245" ht="15" customHeight="1"/>
    <row r="7246" ht="15" customHeight="1"/>
    <row r="7247" ht="15" customHeight="1"/>
    <row r="7248" ht="15" customHeight="1"/>
    <row r="7249" ht="15" customHeight="1"/>
    <row r="7250" ht="15" customHeight="1"/>
    <row r="7251" ht="15" customHeight="1"/>
    <row r="7252" ht="15" customHeight="1"/>
    <row r="7253" ht="15" customHeight="1"/>
    <row r="7254" ht="15" customHeight="1"/>
    <row r="7255" ht="15" customHeight="1"/>
    <row r="7256" ht="15" customHeight="1"/>
    <row r="7257" ht="15" customHeight="1"/>
    <row r="7258" ht="15" customHeight="1"/>
    <row r="7259" ht="15" customHeight="1"/>
    <row r="7260" ht="15" customHeight="1"/>
    <row r="7261" ht="15" customHeight="1"/>
    <row r="7262" ht="15" customHeight="1"/>
    <row r="7263" ht="15" customHeight="1"/>
    <row r="7264" ht="15" customHeight="1"/>
    <row r="7265" ht="15" customHeight="1"/>
    <row r="7266" ht="15" customHeight="1"/>
    <row r="7267" ht="15" customHeight="1"/>
    <row r="7268" ht="15" customHeight="1"/>
    <row r="7269" ht="15" customHeight="1"/>
    <row r="7270" ht="15" customHeight="1"/>
    <row r="7271" ht="15" customHeight="1"/>
    <row r="7272" ht="15" customHeight="1"/>
    <row r="7273" ht="15" customHeight="1"/>
    <row r="7274" ht="15" customHeight="1"/>
    <row r="7275" ht="15" customHeight="1"/>
    <row r="7276" ht="15" customHeight="1"/>
    <row r="7277" ht="15" customHeight="1"/>
    <row r="7278" ht="15" customHeight="1"/>
    <row r="7279" ht="15" customHeight="1"/>
    <row r="7280" ht="15" customHeight="1"/>
    <row r="7281" ht="15" customHeight="1"/>
    <row r="7282" ht="15" customHeight="1"/>
    <row r="7283" ht="15" customHeight="1"/>
    <row r="7284" ht="15" customHeight="1"/>
    <row r="7285" ht="15" customHeight="1"/>
    <row r="7286" ht="15" customHeight="1"/>
    <row r="7287" ht="15" customHeight="1"/>
    <row r="7288" ht="15" customHeight="1"/>
    <row r="7289" ht="15" customHeight="1"/>
    <row r="7290" ht="15" customHeight="1"/>
    <row r="7291" ht="15" customHeight="1"/>
    <row r="7292" ht="15" customHeight="1"/>
    <row r="7293" ht="15" customHeight="1"/>
    <row r="7294" ht="15" customHeight="1"/>
    <row r="7295" ht="15" customHeight="1"/>
    <row r="7296" ht="15" customHeight="1"/>
    <row r="7297" ht="15" customHeight="1"/>
    <row r="7298" ht="15" customHeight="1"/>
    <row r="7299" ht="15" customHeight="1"/>
    <row r="7300" ht="15" customHeight="1"/>
    <row r="7301" ht="15" customHeight="1"/>
    <row r="7302" ht="15" customHeight="1"/>
    <row r="7303" ht="15" customHeight="1"/>
    <row r="7304" ht="15" customHeight="1"/>
    <row r="7305" ht="15" customHeight="1"/>
    <row r="7306" ht="15" customHeight="1"/>
    <row r="7307" ht="15" customHeight="1"/>
    <row r="7308" ht="15" customHeight="1"/>
    <row r="7309" ht="15" customHeight="1"/>
    <row r="7310" ht="15" customHeight="1"/>
    <row r="7311" ht="15" customHeight="1"/>
    <row r="7312" ht="15" customHeight="1"/>
    <row r="7313" ht="15" customHeight="1"/>
    <row r="7314" ht="15" customHeight="1"/>
    <row r="7315" ht="15" customHeight="1"/>
    <row r="7316" ht="15" customHeight="1"/>
    <row r="7317" ht="15" customHeight="1"/>
    <row r="7318" ht="15" customHeight="1"/>
    <row r="7319" ht="15" customHeight="1"/>
    <row r="7320" ht="15" customHeight="1"/>
    <row r="7321" ht="15" customHeight="1"/>
    <row r="7322" ht="15" customHeight="1"/>
    <row r="7323" ht="15" customHeight="1"/>
    <row r="7324" ht="15" customHeight="1"/>
    <row r="7325" ht="15" customHeight="1"/>
    <row r="7326" ht="15" customHeight="1"/>
    <row r="7327" ht="15" customHeight="1"/>
    <row r="7328" ht="15" customHeight="1"/>
    <row r="7329" ht="15" customHeight="1"/>
    <row r="7330" ht="15" customHeight="1"/>
    <row r="7331" ht="15" customHeight="1"/>
    <row r="7332" ht="15" customHeight="1"/>
    <row r="7333" ht="15" customHeight="1"/>
    <row r="7334" ht="15" customHeight="1"/>
    <row r="7335" ht="15" customHeight="1"/>
    <row r="7336" ht="15" customHeight="1"/>
    <row r="7337" ht="15" customHeight="1"/>
    <row r="7338" ht="15" customHeight="1"/>
    <row r="7339" ht="15" customHeight="1"/>
    <row r="7340" ht="15" customHeight="1"/>
    <row r="7341" ht="15" customHeight="1"/>
    <row r="7342" ht="15" customHeight="1"/>
    <row r="7343" ht="15" customHeight="1"/>
    <row r="7344" ht="15" customHeight="1"/>
    <row r="7345" ht="15" customHeight="1"/>
    <row r="7346" ht="15" customHeight="1"/>
    <row r="7347" ht="15" customHeight="1"/>
    <row r="7348" ht="15" customHeight="1"/>
    <row r="7349" ht="15" customHeight="1"/>
    <row r="7350" ht="15" customHeight="1"/>
    <row r="7351" ht="15" customHeight="1"/>
    <row r="7352" ht="15" customHeight="1"/>
    <row r="7353" ht="15" customHeight="1"/>
    <row r="7354" ht="15" customHeight="1"/>
    <row r="7355" ht="15" customHeight="1"/>
    <row r="7356" ht="15" customHeight="1"/>
    <row r="7357" ht="15" customHeight="1"/>
    <row r="7358" ht="15" customHeight="1"/>
    <row r="7359" ht="15" customHeight="1"/>
    <row r="7360" ht="15" customHeight="1"/>
    <row r="7361" ht="15" customHeight="1"/>
    <row r="7362" ht="15" customHeight="1"/>
    <row r="7363" ht="15" customHeight="1"/>
    <row r="7364" ht="15" customHeight="1"/>
    <row r="7365" ht="15" customHeight="1"/>
    <row r="7366" ht="15" customHeight="1"/>
    <row r="7367" ht="15" customHeight="1"/>
    <row r="7368" ht="15" customHeight="1"/>
    <row r="7369" ht="15" customHeight="1"/>
    <row r="7370" ht="15" customHeight="1"/>
    <row r="7371" ht="15" customHeight="1"/>
    <row r="7372" ht="15" customHeight="1"/>
    <row r="7373" ht="15" customHeight="1"/>
    <row r="7374" ht="15" customHeight="1"/>
    <row r="7375" ht="15" customHeight="1"/>
    <row r="7376" ht="15" customHeight="1"/>
    <row r="7377" ht="15" customHeight="1"/>
    <row r="7378" ht="15" customHeight="1"/>
    <row r="7379" ht="15" customHeight="1"/>
    <row r="7380" ht="15" customHeight="1"/>
    <row r="7381" ht="15" customHeight="1"/>
    <row r="7382" ht="15" customHeight="1"/>
    <row r="7383" ht="15" customHeight="1"/>
    <row r="7384" ht="15" customHeight="1"/>
    <row r="7385" ht="15" customHeight="1"/>
    <row r="7386" ht="15" customHeight="1"/>
    <row r="7387" ht="15" customHeight="1"/>
    <row r="7388" ht="15" customHeight="1"/>
    <row r="7389" ht="15" customHeight="1"/>
    <row r="7390" ht="15" customHeight="1"/>
    <row r="7391" ht="15" customHeight="1"/>
    <row r="7392" ht="15" customHeight="1"/>
    <row r="7393" ht="15" customHeight="1"/>
    <row r="7394" ht="15" customHeight="1"/>
    <row r="7395" ht="15" customHeight="1"/>
    <row r="7396" ht="15" customHeight="1"/>
    <row r="7397" ht="15" customHeight="1"/>
    <row r="7398" ht="15" customHeight="1"/>
    <row r="7399" ht="15" customHeight="1"/>
    <row r="7400" ht="15" customHeight="1"/>
    <row r="7401" ht="15" customHeight="1"/>
    <row r="7402" ht="15" customHeight="1"/>
    <row r="7403" ht="15" customHeight="1"/>
    <row r="7404" ht="15" customHeight="1"/>
    <row r="7405" ht="15" customHeight="1"/>
    <row r="7406" ht="15" customHeight="1"/>
    <row r="7407" ht="15" customHeight="1"/>
    <row r="7408" ht="15" customHeight="1"/>
    <row r="7409" ht="15" customHeight="1"/>
    <row r="7410" ht="15" customHeight="1"/>
    <row r="7411" ht="15" customHeight="1"/>
    <row r="7412" ht="15" customHeight="1"/>
    <row r="7413" ht="15" customHeight="1"/>
    <row r="7414" ht="15" customHeight="1"/>
    <row r="7415" ht="15" customHeight="1"/>
    <row r="7416" ht="15" customHeight="1"/>
    <row r="7417" ht="15" customHeight="1"/>
    <row r="7418" ht="15" customHeight="1"/>
    <row r="7419" ht="15" customHeight="1"/>
    <row r="7420" ht="15" customHeight="1"/>
    <row r="7421" ht="15" customHeight="1"/>
    <row r="7422" ht="15" customHeight="1"/>
    <row r="7423" ht="15" customHeight="1"/>
    <row r="7424" ht="15" customHeight="1"/>
    <row r="7425" ht="15" customHeight="1"/>
    <row r="7426" ht="15" customHeight="1"/>
    <row r="7427" ht="15" customHeight="1"/>
    <row r="7428" ht="15" customHeight="1"/>
    <row r="7429" ht="15" customHeight="1"/>
    <row r="7430" ht="15" customHeight="1"/>
    <row r="7431" ht="15" customHeight="1"/>
    <row r="7432" ht="15" customHeight="1"/>
    <row r="7433" ht="15" customHeight="1"/>
    <row r="7434" ht="15" customHeight="1"/>
    <row r="7435" ht="15" customHeight="1"/>
    <row r="7436" ht="15" customHeight="1"/>
    <row r="7437" ht="15" customHeight="1"/>
    <row r="7438" ht="15" customHeight="1"/>
    <row r="7439" ht="15" customHeight="1"/>
    <row r="7440" ht="15" customHeight="1"/>
    <row r="7441" ht="15" customHeight="1"/>
    <row r="7442" ht="15" customHeight="1"/>
    <row r="7443" ht="15" customHeight="1"/>
    <row r="7444" ht="15" customHeight="1"/>
    <row r="7445" ht="15" customHeight="1"/>
    <row r="7446" ht="15" customHeight="1"/>
    <row r="7447" ht="15" customHeight="1"/>
    <row r="7448" ht="15" customHeight="1"/>
    <row r="7449" ht="15" customHeight="1"/>
    <row r="7450" ht="15" customHeight="1"/>
    <row r="7451" ht="15" customHeight="1"/>
    <row r="7452" ht="15" customHeight="1"/>
    <row r="7453" ht="15" customHeight="1"/>
    <row r="7454" ht="15" customHeight="1"/>
    <row r="7455" ht="15" customHeight="1"/>
    <row r="7456" ht="15" customHeight="1"/>
    <row r="7457" ht="15" customHeight="1"/>
    <row r="7458" ht="15" customHeight="1"/>
    <row r="7459" ht="15" customHeight="1"/>
    <row r="7460" ht="15" customHeight="1"/>
    <row r="7461" ht="15" customHeight="1"/>
    <row r="7462" ht="15" customHeight="1"/>
    <row r="7463" ht="15" customHeight="1"/>
    <row r="7464" ht="15" customHeight="1"/>
    <row r="7465" ht="15" customHeight="1"/>
    <row r="7466" ht="15" customHeight="1"/>
    <row r="7467" ht="15" customHeight="1"/>
    <row r="7468" ht="15" customHeight="1"/>
    <row r="7469" ht="15" customHeight="1"/>
    <row r="7470" ht="15" customHeight="1"/>
    <row r="7471" ht="15" customHeight="1"/>
    <row r="7472" ht="15" customHeight="1"/>
    <row r="7473" ht="15" customHeight="1"/>
    <row r="7474" ht="15" customHeight="1"/>
    <row r="7475" ht="15" customHeight="1"/>
    <row r="7476" ht="15" customHeight="1"/>
    <row r="7477" ht="15" customHeight="1"/>
    <row r="7478" ht="15" customHeight="1"/>
    <row r="7479" ht="15" customHeight="1"/>
    <row r="7480" ht="15" customHeight="1"/>
    <row r="7481" ht="15" customHeight="1"/>
    <row r="7482" ht="15" customHeight="1"/>
    <row r="7483" ht="15" customHeight="1"/>
    <row r="7484" ht="15" customHeight="1"/>
    <row r="7485" ht="15" customHeight="1"/>
    <row r="7486" ht="15" customHeight="1"/>
    <row r="7487" ht="15" customHeight="1"/>
    <row r="7488" ht="15" customHeight="1"/>
    <row r="7489" ht="15" customHeight="1"/>
    <row r="7490" ht="15" customHeight="1"/>
    <row r="7491" ht="15" customHeight="1"/>
    <row r="7492" ht="15" customHeight="1"/>
    <row r="7493" ht="15" customHeight="1"/>
    <row r="7494" ht="15" customHeight="1"/>
    <row r="7495" ht="15" customHeight="1"/>
    <row r="7496" ht="15" customHeight="1"/>
    <row r="7497" ht="15" customHeight="1"/>
    <row r="7498" ht="15" customHeight="1"/>
    <row r="7499" ht="15" customHeight="1"/>
    <row r="7500" ht="15" customHeight="1"/>
    <row r="7501" ht="15" customHeight="1"/>
    <row r="7502" ht="15" customHeight="1"/>
    <row r="7503" ht="15" customHeight="1"/>
    <row r="7504" ht="15" customHeight="1"/>
    <row r="7505" ht="15" customHeight="1"/>
    <row r="7506" ht="15" customHeight="1"/>
    <row r="7507" ht="15" customHeight="1"/>
    <row r="7508" ht="15" customHeight="1"/>
    <row r="7509" ht="15" customHeight="1"/>
    <row r="7510" ht="15" customHeight="1"/>
    <row r="7511" ht="15" customHeight="1"/>
    <row r="7512" ht="15" customHeight="1"/>
    <row r="7513" ht="15" customHeight="1"/>
    <row r="7514" ht="15" customHeight="1"/>
    <row r="7515" ht="15" customHeight="1"/>
    <row r="7516" ht="15" customHeight="1"/>
    <row r="7517" ht="15" customHeight="1"/>
    <row r="7518" ht="15" customHeight="1"/>
    <row r="7519" ht="15" customHeight="1"/>
    <row r="7520" ht="15" customHeight="1"/>
    <row r="7521" ht="15" customHeight="1"/>
    <row r="7522" ht="15" customHeight="1"/>
    <row r="7523" ht="15" customHeight="1"/>
    <row r="7524" ht="15" customHeight="1"/>
    <row r="7525" ht="15" customHeight="1"/>
    <row r="7526" ht="15" customHeight="1"/>
    <row r="7527" ht="15" customHeight="1"/>
    <row r="7528" ht="15" customHeight="1"/>
    <row r="7529" ht="15" customHeight="1"/>
    <row r="7530" ht="15" customHeight="1"/>
    <row r="7531" ht="15" customHeight="1"/>
    <row r="7532" ht="15" customHeight="1"/>
    <row r="7533" ht="15" customHeight="1"/>
    <row r="7534" ht="15" customHeight="1"/>
    <row r="7535" ht="15" customHeight="1"/>
    <row r="7536" ht="15" customHeight="1"/>
    <row r="7537" ht="15" customHeight="1"/>
    <row r="7538" ht="15" customHeight="1"/>
    <row r="7539" ht="15" customHeight="1"/>
    <row r="7540" ht="15" customHeight="1"/>
    <row r="7541" ht="15" customHeight="1"/>
    <row r="7542" ht="15" customHeight="1"/>
    <row r="7543" ht="15" customHeight="1"/>
    <row r="7544" ht="15" customHeight="1"/>
    <row r="7545" ht="15" customHeight="1"/>
    <row r="7546" ht="15" customHeight="1"/>
    <row r="7547" ht="15" customHeight="1"/>
    <row r="7548" ht="15" customHeight="1"/>
    <row r="7549" ht="15" customHeight="1"/>
    <row r="7550" ht="15" customHeight="1"/>
    <row r="7551" ht="15" customHeight="1"/>
    <row r="7552" ht="15" customHeight="1"/>
    <row r="7553" ht="15" customHeight="1"/>
    <row r="7554" ht="15" customHeight="1"/>
    <row r="7555" ht="15" customHeight="1"/>
    <row r="7556" ht="15" customHeight="1"/>
    <row r="7557" ht="15" customHeight="1"/>
    <row r="7558" ht="15" customHeight="1"/>
    <row r="7559" ht="15" customHeight="1"/>
    <row r="7560" ht="15" customHeight="1"/>
    <row r="7561" ht="15" customHeight="1"/>
    <row r="7562" ht="15" customHeight="1"/>
    <row r="7563" ht="15" customHeight="1"/>
    <row r="7564" ht="15" customHeight="1"/>
    <row r="7565" ht="15" customHeight="1"/>
    <row r="7566" ht="15" customHeight="1"/>
    <row r="7567" ht="15" customHeight="1"/>
    <row r="7568" ht="15" customHeight="1"/>
    <row r="7569" ht="15" customHeight="1"/>
    <row r="7570" ht="15" customHeight="1"/>
    <row r="7571" ht="15" customHeight="1"/>
    <row r="7572" ht="15" customHeight="1"/>
    <row r="7573" ht="15" customHeight="1"/>
    <row r="7574" ht="15" customHeight="1"/>
    <row r="7575" ht="15" customHeight="1"/>
    <row r="7576" ht="15" customHeight="1"/>
    <row r="7577" ht="15" customHeight="1"/>
    <row r="7578" ht="15" customHeight="1"/>
    <row r="7579" ht="15" customHeight="1"/>
    <row r="7580" ht="15" customHeight="1"/>
    <row r="7581" ht="15" customHeight="1"/>
    <row r="7582" ht="15" customHeight="1"/>
    <row r="7583" ht="15" customHeight="1"/>
    <row r="7584" ht="15" customHeight="1"/>
    <row r="7585" ht="15" customHeight="1"/>
    <row r="7586" ht="15" customHeight="1"/>
    <row r="7587" ht="15" customHeight="1"/>
    <row r="7588" ht="15" customHeight="1"/>
    <row r="7589" ht="15" customHeight="1"/>
    <row r="7590" ht="15" customHeight="1"/>
    <row r="7591" ht="15" customHeight="1"/>
    <row r="7592" ht="15" customHeight="1"/>
    <row r="7593" ht="15" customHeight="1"/>
    <row r="7594" ht="15" customHeight="1"/>
    <row r="7595" ht="15" customHeight="1"/>
    <row r="7596" ht="15" customHeight="1"/>
    <row r="7597" ht="15" customHeight="1"/>
    <row r="7598" ht="15" customHeight="1"/>
    <row r="7599" ht="15" customHeight="1"/>
    <row r="7600" ht="15" customHeight="1"/>
    <row r="7601" ht="15" customHeight="1"/>
    <row r="7602" ht="15" customHeight="1"/>
    <row r="7603" ht="15" customHeight="1"/>
    <row r="7604" ht="15" customHeight="1"/>
    <row r="7605" ht="15" customHeight="1"/>
    <row r="7606" ht="15" customHeight="1"/>
    <row r="7607" ht="15" customHeight="1"/>
    <row r="7608" ht="15" customHeight="1"/>
    <row r="7609" ht="15" customHeight="1"/>
    <row r="7610" ht="15" customHeight="1"/>
    <row r="7611" ht="15" customHeight="1"/>
    <row r="7612" ht="15" customHeight="1"/>
    <row r="7613" ht="15" customHeight="1"/>
    <row r="7614" ht="15" customHeight="1"/>
    <row r="7615" ht="15" customHeight="1"/>
    <row r="7616" ht="15" customHeight="1"/>
    <row r="7617" ht="15" customHeight="1"/>
    <row r="7618" ht="15" customHeight="1"/>
    <row r="7619" ht="15" customHeight="1"/>
    <row r="7620" ht="15" customHeight="1"/>
    <row r="7621" ht="15" customHeight="1"/>
    <row r="7622" ht="15" customHeight="1"/>
    <row r="7623" ht="15" customHeight="1"/>
    <row r="7624" ht="15" customHeight="1"/>
    <row r="7625" ht="15" customHeight="1"/>
    <row r="7626" ht="15" customHeight="1"/>
    <row r="7627" ht="15" customHeight="1"/>
    <row r="7628" ht="15" customHeight="1"/>
    <row r="7629" ht="15" customHeight="1"/>
    <row r="7630" ht="15" customHeight="1"/>
    <row r="7631" ht="15" customHeight="1"/>
    <row r="7632" ht="15" customHeight="1"/>
    <row r="7633" ht="15" customHeight="1"/>
    <row r="7634" ht="15" customHeight="1"/>
    <row r="7635" ht="15" customHeight="1"/>
    <row r="7636" ht="15" customHeight="1"/>
    <row r="7637" ht="15" customHeight="1"/>
    <row r="7638" ht="15" customHeight="1"/>
    <row r="7639" ht="15" customHeight="1"/>
    <row r="7640" ht="15" customHeight="1"/>
    <row r="7641" ht="15" customHeight="1"/>
    <row r="7642" ht="15" customHeight="1"/>
    <row r="7643" ht="15" customHeight="1"/>
    <row r="7644" ht="15" customHeight="1"/>
    <row r="7645" ht="15" customHeight="1"/>
    <row r="7646" ht="15" customHeight="1"/>
    <row r="7647" ht="15" customHeight="1"/>
    <row r="7648" ht="15" customHeight="1"/>
    <row r="7649" ht="15" customHeight="1"/>
    <row r="7650" ht="15" customHeight="1"/>
    <row r="7651" ht="15" customHeight="1"/>
    <row r="7652" ht="15" customHeight="1"/>
    <row r="7653" ht="15" customHeight="1"/>
    <row r="7654" ht="15" customHeight="1"/>
    <row r="7655" ht="15" customHeight="1"/>
    <row r="7656" ht="15" customHeight="1"/>
    <row r="7657" ht="15" customHeight="1"/>
    <row r="7658" ht="15" customHeight="1"/>
    <row r="7659" ht="15" customHeight="1"/>
    <row r="7660" ht="15" customHeight="1"/>
    <row r="7661" ht="15" customHeight="1"/>
    <row r="7662" ht="15" customHeight="1"/>
    <row r="7663" ht="15" customHeight="1"/>
    <row r="7664" ht="15" customHeight="1"/>
    <row r="7665" ht="15" customHeight="1"/>
    <row r="7666" ht="15" customHeight="1"/>
    <row r="7667" ht="15" customHeight="1"/>
    <row r="7668" ht="15" customHeight="1"/>
    <row r="7669" ht="15" customHeight="1"/>
    <row r="7670" ht="15" customHeight="1"/>
    <row r="7671" ht="15" customHeight="1"/>
    <row r="7672" ht="15" customHeight="1"/>
    <row r="7673" ht="15" customHeight="1"/>
    <row r="7674" ht="15" customHeight="1"/>
    <row r="7675" ht="15" customHeight="1"/>
    <row r="7676" ht="15" customHeight="1"/>
    <row r="7677" ht="15" customHeight="1"/>
    <row r="7678" ht="15" customHeight="1"/>
    <row r="7679" ht="15" customHeight="1"/>
    <row r="7680" ht="15" customHeight="1"/>
    <row r="7681" ht="15" customHeight="1"/>
    <row r="7682" ht="15" customHeight="1"/>
    <row r="7683" ht="15" customHeight="1"/>
    <row r="7684" ht="15" customHeight="1"/>
    <row r="7685" ht="15" customHeight="1"/>
    <row r="7686" ht="15" customHeight="1"/>
    <row r="7687" ht="15" customHeight="1"/>
    <row r="7688" ht="15" customHeight="1"/>
    <row r="7689" ht="15" customHeight="1"/>
    <row r="7690" ht="15" customHeight="1"/>
    <row r="7691" ht="15" customHeight="1"/>
    <row r="7692" ht="15" customHeight="1"/>
    <row r="7693" ht="15" customHeight="1"/>
    <row r="7694" ht="15" customHeight="1"/>
    <row r="7695" ht="15" customHeight="1"/>
    <row r="7696" ht="15" customHeight="1"/>
    <row r="7697" ht="15" customHeight="1"/>
    <row r="7698" ht="15" customHeight="1"/>
    <row r="7699" ht="15" customHeight="1"/>
    <row r="7700" ht="15" customHeight="1"/>
    <row r="7701" ht="15" customHeight="1"/>
    <row r="7702" ht="15" customHeight="1"/>
    <row r="7703" ht="15" customHeight="1"/>
    <row r="7704" ht="15" customHeight="1"/>
    <row r="7705" ht="15" customHeight="1"/>
    <row r="7706" ht="15" customHeight="1"/>
    <row r="7707" ht="15" customHeight="1"/>
    <row r="7708" ht="15" customHeight="1"/>
    <row r="7709" ht="15" customHeight="1"/>
    <row r="7710" ht="15" customHeight="1"/>
    <row r="7711" ht="15" customHeight="1"/>
    <row r="7712" ht="15" customHeight="1"/>
    <row r="7713" ht="15" customHeight="1"/>
    <row r="7714" ht="15" customHeight="1"/>
    <row r="7715" ht="15" customHeight="1"/>
    <row r="7716" ht="15" customHeight="1"/>
    <row r="7717" ht="15" customHeight="1"/>
    <row r="7718" ht="15" customHeight="1"/>
    <row r="7719" ht="15" customHeight="1"/>
    <row r="7720" ht="15" customHeight="1"/>
    <row r="7721" ht="15" customHeight="1"/>
    <row r="7722" ht="15" customHeight="1"/>
    <row r="7723" ht="15" customHeight="1"/>
    <row r="7724" ht="15" customHeight="1"/>
    <row r="7725" ht="15" customHeight="1"/>
    <row r="7726" ht="15" customHeight="1"/>
    <row r="7727" ht="15" customHeight="1"/>
    <row r="7728" ht="15" customHeight="1"/>
    <row r="7729" ht="15" customHeight="1"/>
    <row r="7730" ht="15" customHeight="1"/>
    <row r="7731" ht="15" customHeight="1"/>
    <row r="7732" ht="15" customHeight="1"/>
    <row r="7733" ht="15" customHeight="1"/>
    <row r="7734" ht="15" customHeight="1"/>
    <row r="7735" ht="15" customHeight="1"/>
    <row r="7736" ht="15" customHeight="1"/>
    <row r="7737" ht="15" customHeight="1"/>
    <row r="7738" ht="15" customHeight="1"/>
    <row r="7739" ht="15" customHeight="1"/>
    <row r="7740" ht="15" customHeight="1"/>
    <row r="7741" ht="15" customHeight="1"/>
    <row r="7742" ht="15" customHeight="1"/>
    <row r="7743" ht="15" customHeight="1"/>
    <row r="7744" ht="15" customHeight="1"/>
    <row r="7745" ht="15" customHeight="1"/>
    <row r="7746" ht="15" customHeight="1"/>
    <row r="7747" ht="15" customHeight="1"/>
    <row r="7748" ht="15" customHeight="1"/>
    <row r="7749" ht="15" customHeight="1"/>
    <row r="7750" ht="15" customHeight="1"/>
    <row r="7751" ht="15" customHeight="1"/>
    <row r="7752" ht="15" customHeight="1"/>
    <row r="7753" ht="15" customHeight="1"/>
    <row r="7754" ht="15" customHeight="1"/>
    <row r="7755" ht="15" customHeight="1"/>
    <row r="7756" ht="15" customHeight="1"/>
    <row r="7757" ht="15" customHeight="1"/>
    <row r="7758" ht="15" customHeight="1"/>
    <row r="7759" ht="15" customHeight="1"/>
    <row r="7760" ht="15" customHeight="1"/>
    <row r="7761" ht="15" customHeight="1"/>
    <row r="7762" ht="15" customHeight="1"/>
    <row r="7763" ht="15" customHeight="1"/>
    <row r="7764" ht="15" customHeight="1"/>
    <row r="7765" ht="15" customHeight="1"/>
    <row r="7766" ht="15" customHeight="1"/>
    <row r="7767" ht="15" customHeight="1"/>
    <row r="7768" ht="15" customHeight="1"/>
    <row r="7769" ht="15" customHeight="1"/>
    <row r="7770" ht="15" customHeight="1"/>
    <row r="7771" ht="15" customHeight="1"/>
    <row r="7772" ht="15" customHeight="1"/>
    <row r="7773" ht="15" customHeight="1"/>
    <row r="7774" ht="15" customHeight="1"/>
    <row r="7775" ht="15" customHeight="1"/>
    <row r="7776" ht="15" customHeight="1"/>
    <row r="7777" ht="15" customHeight="1"/>
    <row r="7778" ht="15" customHeight="1"/>
    <row r="7779" ht="15" customHeight="1"/>
    <row r="7780" ht="15" customHeight="1"/>
    <row r="7781" ht="15" customHeight="1"/>
    <row r="7782" ht="15" customHeight="1"/>
    <row r="7783" ht="15" customHeight="1"/>
    <row r="7784" ht="15" customHeight="1"/>
    <row r="7785" ht="15" customHeight="1"/>
    <row r="7786" ht="15" customHeight="1"/>
    <row r="7787" ht="15" customHeight="1"/>
    <row r="7788" ht="15" customHeight="1"/>
    <row r="7789" ht="15" customHeight="1"/>
    <row r="7790" ht="15" customHeight="1"/>
    <row r="7791" ht="15" customHeight="1"/>
    <row r="7792" ht="15" customHeight="1"/>
    <row r="7793" ht="15" customHeight="1"/>
    <row r="7794" ht="15" customHeight="1"/>
    <row r="7795" ht="15" customHeight="1"/>
    <row r="7796" ht="15" customHeight="1"/>
    <row r="7797" ht="15" customHeight="1"/>
    <row r="7798" ht="15" customHeight="1"/>
    <row r="7799" ht="15" customHeight="1"/>
    <row r="7800" ht="15" customHeight="1"/>
    <row r="7801" ht="15" customHeight="1"/>
    <row r="7802" ht="15" customHeight="1"/>
    <row r="7803" ht="15" customHeight="1"/>
    <row r="7804" ht="15" customHeight="1"/>
    <row r="7805" ht="15" customHeight="1"/>
    <row r="7806" ht="15" customHeight="1"/>
    <row r="7807" ht="15" customHeight="1"/>
    <row r="7808" ht="15" customHeight="1"/>
    <row r="7809" ht="15" customHeight="1"/>
    <row r="7810" ht="15" customHeight="1"/>
    <row r="7811" ht="15" customHeight="1"/>
    <row r="7812" ht="15" customHeight="1"/>
    <row r="7813" ht="15" customHeight="1"/>
    <row r="7814" ht="15" customHeight="1"/>
    <row r="7815" ht="15" customHeight="1"/>
    <row r="7816" ht="15" customHeight="1"/>
    <row r="7817" ht="15" customHeight="1"/>
    <row r="7818" ht="15" customHeight="1"/>
    <row r="7819" ht="15" customHeight="1"/>
    <row r="7820" ht="15" customHeight="1"/>
    <row r="7821" ht="15" customHeight="1"/>
    <row r="7822" ht="15" customHeight="1"/>
    <row r="7823" ht="15" customHeight="1"/>
    <row r="7824" ht="15" customHeight="1"/>
    <row r="7825" ht="15" customHeight="1"/>
    <row r="7826" ht="15" customHeight="1"/>
    <row r="7827" ht="15" customHeight="1"/>
    <row r="7828" ht="15" customHeight="1"/>
    <row r="7829" ht="15" customHeight="1"/>
    <row r="7830" ht="15" customHeight="1"/>
    <row r="7831" ht="15" customHeight="1"/>
    <row r="7832" ht="15" customHeight="1"/>
    <row r="7833" ht="15" customHeight="1"/>
    <row r="7834" ht="15" customHeight="1"/>
    <row r="7835" ht="15" customHeight="1"/>
    <row r="7836" ht="15" customHeight="1"/>
    <row r="7837" ht="15" customHeight="1"/>
    <row r="7838" ht="15" customHeight="1"/>
    <row r="7839" ht="15" customHeight="1"/>
    <row r="7840" ht="15" customHeight="1"/>
    <row r="7841" ht="15" customHeight="1"/>
    <row r="7842" ht="15" customHeight="1"/>
    <row r="7843" ht="15" customHeight="1"/>
    <row r="7844" ht="15" customHeight="1"/>
    <row r="7845" ht="15" customHeight="1"/>
    <row r="7846" ht="15" customHeight="1"/>
    <row r="7847" ht="15" customHeight="1"/>
    <row r="7848" ht="15" customHeight="1"/>
    <row r="7849" ht="15" customHeight="1"/>
    <row r="7850" ht="15" customHeight="1"/>
    <row r="7851" ht="15" customHeight="1"/>
    <row r="7852" ht="15" customHeight="1"/>
    <row r="7853" ht="15" customHeight="1"/>
    <row r="7854" ht="15" customHeight="1"/>
    <row r="7855" ht="15" customHeight="1"/>
    <row r="7856" ht="15" customHeight="1"/>
    <row r="7857" ht="15" customHeight="1"/>
    <row r="7858" ht="15" customHeight="1"/>
    <row r="7859" ht="15" customHeight="1"/>
    <row r="7860" ht="15" customHeight="1"/>
    <row r="7861" ht="15" customHeight="1"/>
    <row r="7862" ht="15" customHeight="1"/>
    <row r="7863" ht="15" customHeight="1"/>
    <row r="7864" ht="15" customHeight="1"/>
    <row r="7865" ht="15" customHeight="1"/>
    <row r="7866" ht="15" customHeight="1"/>
    <row r="7867" ht="15" customHeight="1"/>
    <row r="7868" ht="15" customHeight="1"/>
    <row r="7869" ht="15" customHeight="1"/>
    <row r="7870" ht="15" customHeight="1"/>
    <row r="7871" ht="15" customHeight="1"/>
    <row r="7872" ht="15" customHeight="1"/>
    <row r="7873" ht="15" customHeight="1"/>
    <row r="7874" ht="15" customHeight="1"/>
    <row r="7875" ht="15" customHeight="1"/>
    <row r="7876" ht="15" customHeight="1"/>
    <row r="7877" ht="15" customHeight="1"/>
    <row r="7878" ht="15" customHeight="1"/>
    <row r="7879" ht="15" customHeight="1"/>
    <row r="7880" ht="15" customHeight="1"/>
    <row r="7881" ht="15" customHeight="1"/>
    <row r="7882" ht="15" customHeight="1"/>
    <row r="7883" ht="15" customHeight="1"/>
    <row r="7884" ht="15" customHeight="1"/>
    <row r="7885" ht="15" customHeight="1"/>
    <row r="7886" ht="15" customHeight="1"/>
    <row r="7887" ht="15" customHeight="1"/>
    <row r="7888" ht="15" customHeight="1"/>
    <row r="7889" ht="15" customHeight="1"/>
    <row r="7890" ht="15" customHeight="1"/>
    <row r="7891" ht="15" customHeight="1"/>
    <row r="7892" ht="15" customHeight="1"/>
    <row r="7893" ht="15" customHeight="1"/>
    <row r="7894" ht="15" customHeight="1"/>
    <row r="7895" ht="15" customHeight="1"/>
    <row r="7896" ht="15" customHeight="1"/>
    <row r="7897" ht="15" customHeight="1"/>
    <row r="7898" ht="15" customHeight="1"/>
    <row r="7899" ht="15" customHeight="1"/>
    <row r="7900" ht="15" customHeight="1"/>
    <row r="7901" ht="15" customHeight="1"/>
    <row r="7902" ht="15" customHeight="1"/>
    <row r="7903" ht="15" customHeight="1"/>
    <row r="7904" ht="15" customHeight="1"/>
    <row r="7905" ht="15" customHeight="1"/>
    <row r="7906" ht="15" customHeight="1"/>
    <row r="7907" ht="15" customHeight="1"/>
    <row r="7908" ht="15" customHeight="1"/>
    <row r="7909" ht="15" customHeight="1"/>
    <row r="7910" ht="15" customHeight="1"/>
    <row r="7911" ht="15" customHeight="1"/>
    <row r="7912" ht="15" customHeight="1"/>
    <row r="7913" ht="15" customHeight="1"/>
    <row r="7914" ht="15" customHeight="1"/>
    <row r="7915" ht="15" customHeight="1"/>
    <row r="7916" ht="15" customHeight="1"/>
    <row r="7917" ht="15" customHeight="1"/>
    <row r="7918" ht="15" customHeight="1"/>
    <row r="7919" ht="15" customHeight="1"/>
    <row r="7920" ht="15" customHeight="1"/>
    <row r="7921" ht="15" customHeight="1"/>
    <row r="7922" ht="15" customHeight="1"/>
    <row r="7923" ht="15" customHeight="1"/>
    <row r="7924" ht="15" customHeight="1"/>
    <row r="7925" ht="15" customHeight="1"/>
    <row r="7926" ht="15" customHeight="1"/>
    <row r="7927" ht="15" customHeight="1"/>
    <row r="7928" ht="15" customHeight="1"/>
    <row r="7929" ht="15" customHeight="1"/>
    <row r="7930" ht="15" customHeight="1"/>
    <row r="7931" ht="15" customHeight="1"/>
    <row r="7932" ht="15" customHeight="1"/>
    <row r="7933" ht="15" customHeight="1"/>
    <row r="7934" ht="15" customHeight="1"/>
    <row r="7935" ht="15" customHeight="1"/>
    <row r="7936" ht="15" customHeight="1"/>
    <row r="7937" ht="15" customHeight="1"/>
    <row r="7938" ht="15" customHeight="1"/>
    <row r="7939" ht="15" customHeight="1"/>
    <row r="7940" ht="15" customHeight="1"/>
    <row r="7941" ht="15" customHeight="1"/>
    <row r="7942" ht="15" customHeight="1"/>
    <row r="7943" ht="15" customHeight="1"/>
    <row r="7944" ht="15" customHeight="1"/>
    <row r="7945" ht="15" customHeight="1"/>
    <row r="7946" ht="15" customHeight="1"/>
    <row r="7947" ht="15" customHeight="1"/>
    <row r="7948" ht="15" customHeight="1"/>
    <row r="7949" ht="15" customHeight="1"/>
    <row r="7950" ht="15" customHeight="1"/>
    <row r="7951" ht="15" customHeight="1"/>
    <row r="7952" ht="15" customHeight="1"/>
    <row r="7953" ht="15" customHeight="1"/>
    <row r="7954" ht="15" customHeight="1"/>
    <row r="7955" ht="15" customHeight="1"/>
    <row r="7956" ht="15" customHeight="1"/>
    <row r="7957" ht="15" customHeight="1"/>
    <row r="7958" ht="15" customHeight="1"/>
    <row r="7959" ht="15" customHeight="1"/>
    <row r="7960" ht="15" customHeight="1"/>
    <row r="7961" ht="15" customHeight="1"/>
    <row r="7962" ht="15" customHeight="1"/>
    <row r="7963" ht="15" customHeight="1"/>
    <row r="7964" ht="15" customHeight="1"/>
    <row r="7965" ht="15" customHeight="1"/>
    <row r="7966" ht="15" customHeight="1"/>
    <row r="7967" ht="15" customHeight="1"/>
    <row r="7968" ht="15" customHeight="1"/>
    <row r="7969" ht="15" customHeight="1"/>
    <row r="7970" ht="15" customHeight="1"/>
    <row r="7971" ht="15" customHeight="1"/>
    <row r="7972" ht="15" customHeight="1"/>
    <row r="7973" ht="15" customHeight="1"/>
    <row r="7974" ht="15" customHeight="1"/>
    <row r="7975" ht="15" customHeight="1"/>
    <row r="7976" ht="15" customHeight="1"/>
    <row r="7977" ht="15" customHeight="1"/>
    <row r="7978" ht="15" customHeight="1"/>
    <row r="7979" ht="15" customHeight="1"/>
    <row r="7980" ht="15" customHeight="1"/>
    <row r="7981" ht="15" customHeight="1"/>
    <row r="7982" ht="15" customHeight="1"/>
    <row r="7983" ht="15" customHeight="1"/>
    <row r="7984" ht="15" customHeight="1"/>
    <row r="7985" ht="15" customHeight="1"/>
    <row r="7986" ht="15" customHeight="1"/>
    <row r="7987" ht="15" customHeight="1"/>
    <row r="7988" ht="15" customHeight="1"/>
    <row r="7989" ht="15" customHeight="1"/>
    <row r="7990" ht="15" customHeight="1"/>
    <row r="7991" ht="15" customHeight="1"/>
    <row r="7992" ht="15" customHeight="1"/>
    <row r="7993" ht="15" customHeight="1"/>
    <row r="7994" ht="15" customHeight="1"/>
    <row r="7995" ht="15" customHeight="1"/>
    <row r="7996" ht="15" customHeight="1"/>
    <row r="7997" ht="15" customHeight="1"/>
    <row r="7998" ht="15" customHeight="1"/>
    <row r="7999" ht="15" customHeight="1"/>
    <row r="8000" ht="15" customHeight="1"/>
    <row r="8001" ht="15" customHeight="1"/>
    <row r="8002" ht="15" customHeight="1"/>
    <row r="8003" ht="15" customHeight="1"/>
    <row r="8004" ht="15" customHeight="1"/>
    <row r="8005" ht="15" customHeight="1"/>
    <row r="8006" ht="15" customHeight="1"/>
    <row r="8007" ht="15" customHeight="1"/>
    <row r="8008" ht="15" customHeight="1"/>
    <row r="8009" ht="15" customHeight="1"/>
    <row r="8010" ht="15" customHeight="1"/>
    <row r="8011" ht="15" customHeight="1"/>
    <row r="8012" ht="15" customHeight="1"/>
    <row r="8013" ht="15" customHeight="1"/>
    <row r="8014" ht="15" customHeight="1"/>
    <row r="8015" ht="15" customHeight="1"/>
    <row r="8016" ht="15" customHeight="1"/>
    <row r="8017" ht="15" customHeight="1"/>
    <row r="8018" ht="15" customHeight="1"/>
    <row r="8019" ht="15" customHeight="1"/>
    <row r="8020" ht="15" customHeight="1"/>
    <row r="8021" ht="15" customHeight="1"/>
    <row r="8022" ht="15" customHeight="1"/>
    <row r="8023" ht="15" customHeight="1"/>
    <row r="8024" ht="15" customHeight="1"/>
    <row r="8025" ht="15" customHeight="1"/>
    <row r="8026" ht="15" customHeight="1"/>
    <row r="8027" ht="15" customHeight="1"/>
    <row r="8028" ht="15" customHeight="1"/>
    <row r="8029" ht="15" customHeight="1"/>
    <row r="8030" ht="15" customHeight="1"/>
    <row r="8031" ht="15" customHeight="1"/>
    <row r="8032" ht="15" customHeight="1"/>
    <row r="8033" ht="15" customHeight="1"/>
    <row r="8034" ht="15" customHeight="1"/>
    <row r="8035" ht="15" customHeight="1"/>
    <row r="8036" ht="15" customHeight="1"/>
    <row r="8037" ht="15" customHeight="1"/>
    <row r="8038" ht="15" customHeight="1"/>
    <row r="8039" ht="15" customHeight="1"/>
    <row r="8040" ht="15" customHeight="1"/>
    <row r="8041" ht="15" customHeight="1"/>
    <row r="8042" ht="15" customHeight="1"/>
    <row r="8043" ht="15" customHeight="1"/>
    <row r="8044" ht="15" customHeight="1"/>
    <row r="8045" ht="15" customHeight="1"/>
    <row r="8046" ht="15" customHeight="1"/>
    <row r="8047" ht="15" customHeight="1"/>
    <row r="8048" ht="15" customHeight="1"/>
    <row r="8049" ht="15" customHeight="1"/>
    <row r="8050" ht="15" customHeight="1"/>
    <row r="8051" ht="15" customHeight="1"/>
    <row r="8052" ht="15" customHeight="1"/>
    <row r="8053" ht="15" customHeight="1"/>
    <row r="8054" ht="15" customHeight="1"/>
    <row r="8055" ht="15" customHeight="1"/>
    <row r="8056" ht="15" customHeight="1"/>
    <row r="8057" ht="15" customHeight="1"/>
    <row r="8058" ht="15" customHeight="1"/>
    <row r="8059" ht="15" customHeight="1"/>
    <row r="8060" ht="15" customHeight="1"/>
    <row r="8061" ht="15" customHeight="1"/>
    <row r="8062" ht="15" customHeight="1"/>
    <row r="8063" ht="15" customHeight="1"/>
    <row r="8064" ht="15" customHeight="1"/>
    <row r="8065" ht="15" customHeight="1"/>
    <row r="8066" ht="15" customHeight="1"/>
    <row r="8067" ht="15" customHeight="1"/>
    <row r="8068" ht="15" customHeight="1"/>
    <row r="8069" ht="15" customHeight="1"/>
    <row r="8070" ht="15" customHeight="1"/>
    <row r="8071" ht="15" customHeight="1"/>
    <row r="8072" ht="15" customHeight="1"/>
    <row r="8073" ht="15" customHeight="1"/>
    <row r="8074" ht="15" customHeight="1"/>
    <row r="8075" ht="15" customHeight="1"/>
    <row r="8076" ht="15" customHeight="1"/>
    <row r="8077" ht="15" customHeight="1"/>
    <row r="8078" ht="15" customHeight="1"/>
    <row r="8079" ht="15" customHeight="1"/>
    <row r="8080" ht="15" customHeight="1"/>
    <row r="8081" ht="15" customHeight="1"/>
    <row r="8082" ht="15" customHeight="1"/>
    <row r="8083" ht="15" customHeight="1"/>
    <row r="8084" ht="15" customHeight="1"/>
    <row r="8085" ht="15" customHeight="1"/>
    <row r="8086" ht="15" customHeight="1"/>
    <row r="8087" ht="15" customHeight="1"/>
    <row r="8088" ht="15" customHeight="1"/>
    <row r="8089" ht="15" customHeight="1"/>
    <row r="8090" ht="15" customHeight="1"/>
    <row r="8091" ht="15" customHeight="1"/>
    <row r="8092" ht="15" customHeight="1"/>
    <row r="8093" ht="15" customHeight="1"/>
    <row r="8094" ht="15" customHeight="1"/>
    <row r="8095" ht="15" customHeight="1"/>
    <row r="8096" ht="15" customHeight="1"/>
    <row r="8097" ht="15" customHeight="1"/>
    <row r="8098" ht="15" customHeight="1"/>
    <row r="8099" ht="15" customHeight="1"/>
    <row r="8100" ht="15" customHeight="1"/>
    <row r="8101" ht="15" customHeight="1"/>
    <row r="8102" ht="15" customHeight="1"/>
    <row r="8103" ht="15" customHeight="1"/>
    <row r="8104" ht="15" customHeight="1"/>
    <row r="8105" ht="15" customHeight="1"/>
    <row r="8106" ht="15" customHeight="1"/>
    <row r="8107" ht="15" customHeight="1"/>
    <row r="8108" ht="15" customHeight="1"/>
    <row r="8109" ht="15" customHeight="1"/>
    <row r="8110" ht="15" customHeight="1"/>
    <row r="8111" ht="15" customHeight="1"/>
    <row r="8112" ht="15" customHeight="1"/>
    <row r="8113" ht="15" customHeight="1"/>
    <row r="8114" ht="15" customHeight="1"/>
    <row r="8115" ht="15" customHeight="1"/>
    <row r="8116" ht="15" customHeight="1"/>
    <row r="8117" ht="15" customHeight="1"/>
    <row r="8118" ht="15" customHeight="1"/>
    <row r="8119" ht="15" customHeight="1"/>
    <row r="8120" ht="15" customHeight="1"/>
    <row r="8121" ht="15" customHeight="1"/>
    <row r="8122" ht="15" customHeight="1"/>
    <row r="8123" ht="15" customHeight="1"/>
    <row r="8124" ht="15" customHeight="1"/>
    <row r="8125" ht="15" customHeight="1"/>
    <row r="8126" ht="15" customHeight="1"/>
    <row r="8127" ht="15" customHeight="1"/>
    <row r="8128" ht="15" customHeight="1"/>
    <row r="8129" ht="15" customHeight="1"/>
    <row r="8130" ht="15" customHeight="1"/>
    <row r="8131" ht="15" customHeight="1"/>
    <row r="8132" ht="15" customHeight="1"/>
    <row r="8133" ht="15" customHeight="1"/>
    <row r="8134" ht="15" customHeight="1"/>
    <row r="8135" ht="15" customHeight="1"/>
    <row r="8136" ht="15" customHeight="1"/>
    <row r="8137" ht="15" customHeight="1"/>
    <row r="8138" ht="15" customHeight="1"/>
    <row r="8139" ht="15" customHeight="1"/>
    <row r="8140" ht="15" customHeight="1"/>
    <row r="8141" ht="15" customHeight="1"/>
    <row r="8142" ht="15" customHeight="1"/>
    <row r="8143" ht="15" customHeight="1"/>
    <row r="8144" ht="15" customHeight="1"/>
    <row r="8145" ht="15" customHeight="1"/>
    <row r="8146" ht="15" customHeight="1"/>
    <row r="8147" ht="15" customHeight="1"/>
    <row r="8148" ht="15" customHeight="1"/>
    <row r="8149" ht="15" customHeight="1"/>
    <row r="8150" ht="15" customHeight="1"/>
    <row r="8151" ht="15" customHeight="1"/>
    <row r="8152" ht="15" customHeight="1"/>
    <row r="8153" ht="15" customHeight="1"/>
    <row r="8154" ht="15" customHeight="1"/>
    <row r="8155" ht="15" customHeight="1"/>
    <row r="8156" ht="15" customHeight="1"/>
    <row r="8157" ht="15" customHeight="1"/>
    <row r="8158" ht="15" customHeight="1"/>
    <row r="8159" ht="15" customHeight="1"/>
    <row r="8160" ht="15" customHeight="1"/>
    <row r="8161" ht="15" customHeight="1"/>
    <row r="8162" ht="15" customHeight="1"/>
    <row r="8163" ht="15" customHeight="1"/>
    <row r="8164" ht="15" customHeight="1"/>
    <row r="8165" ht="15" customHeight="1"/>
    <row r="8166" ht="15" customHeight="1"/>
    <row r="8167" ht="15" customHeight="1"/>
    <row r="8168" ht="15" customHeight="1"/>
    <row r="8169" ht="15" customHeight="1"/>
    <row r="8170" ht="15" customHeight="1"/>
    <row r="8171" ht="15" customHeight="1"/>
    <row r="8172" ht="15" customHeight="1"/>
    <row r="8173" ht="15" customHeight="1"/>
    <row r="8174" ht="15" customHeight="1"/>
    <row r="8175" ht="15" customHeight="1"/>
    <row r="8176" ht="15" customHeight="1"/>
    <row r="8177" ht="15" customHeight="1"/>
    <row r="8178" ht="15" customHeight="1"/>
    <row r="8179" ht="15" customHeight="1"/>
    <row r="8180" ht="15" customHeight="1"/>
    <row r="8181" ht="15" customHeight="1"/>
    <row r="8182" ht="15" customHeight="1"/>
    <row r="8183" ht="15" customHeight="1"/>
    <row r="8184" ht="15" customHeight="1"/>
    <row r="8185" ht="15" customHeight="1"/>
    <row r="8186" ht="15" customHeight="1"/>
    <row r="8187" ht="15" customHeight="1"/>
    <row r="8188" ht="15" customHeight="1"/>
    <row r="8189" ht="15" customHeight="1"/>
    <row r="8190" ht="15" customHeight="1"/>
    <row r="8191" ht="15" customHeight="1"/>
    <row r="8192" ht="15" customHeight="1"/>
    <row r="8193" ht="15" customHeight="1"/>
    <row r="8194" ht="15" customHeight="1"/>
    <row r="8195" ht="15" customHeight="1"/>
    <row r="8196" ht="15" customHeight="1"/>
    <row r="8197" ht="15" customHeight="1"/>
    <row r="8198" ht="15" customHeight="1"/>
    <row r="8199" ht="15" customHeight="1"/>
    <row r="8200" ht="15" customHeight="1"/>
    <row r="8201" ht="15" customHeight="1"/>
    <row r="8202" ht="15" customHeight="1"/>
    <row r="8203" ht="15" customHeight="1"/>
    <row r="8204" ht="15" customHeight="1"/>
    <row r="8205" ht="15" customHeight="1"/>
    <row r="8206" ht="15" customHeight="1"/>
    <row r="8207" ht="15" customHeight="1"/>
    <row r="8208" ht="15" customHeight="1"/>
    <row r="8209" ht="15" customHeight="1"/>
    <row r="8210" ht="15" customHeight="1"/>
    <row r="8211" ht="15" customHeight="1"/>
    <row r="8212" ht="15" customHeight="1"/>
    <row r="8213" ht="15" customHeight="1"/>
    <row r="8214" ht="15" customHeight="1"/>
    <row r="8215" ht="15" customHeight="1"/>
    <row r="8216" ht="15" customHeight="1"/>
    <row r="8217" ht="15" customHeight="1"/>
    <row r="8218" ht="15" customHeight="1"/>
    <row r="8219" ht="15" customHeight="1"/>
    <row r="8220" ht="15" customHeight="1"/>
    <row r="8221" ht="15" customHeight="1"/>
    <row r="8222" ht="15" customHeight="1"/>
    <row r="8223" ht="15" customHeight="1"/>
    <row r="8224" ht="15" customHeight="1"/>
    <row r="8225" ht="15" customHeight="1"/>
    <row r="8226" ht="15" customHeight="1"/>
    <row r="8227" ht="15" customHeight="1"/>
    <row r="8228" ht="15" customHeight="1"/>
    <row r="8229" ht="15" customHeight="1"/>
    <row r="8230" ht="15" customHeight="1"/>
    <row r="8231" ht="15" customHeight="1"/>
    <row r="8232" ht="15" customHeight="1"/>
    <row r="8233" ht="15" customHeight="1"/>
    <row r="8234" ht="15" customHeight="1"/>
    <row r="8235" ht="15" customHeight="1"/>
    <row r="8236" ht="15" customHeight="1"/>
    <row r="8237" ht="15" customHeight="1"/>
    <row r="8238" ht="15" customHeight="1"/>
    <row r="8239" ht="15" customHeight="1"/>
    <row r="8240" ht="15" customHeight="1"/>
    <row r="8241" ht="15" customHeight="1"/>
    <row r="8242" ht="15" customHeight="1"/>
    <row r="8243" ht="15" customHeight="1"/>
    <row r="8244" ht="15" customHeight="1"/>
    <row r="8245" ht="15" customHeight="1"/>
    <row r="8246" ht="15" customHeight="1"/>
    <row r="8247" ht="15" customHeight="1"/>
    <row r="8248" ht="15" customHeight="1"/>
    <row r="8249" ht="15" customHeight="1"/>
    <row r="8250" ht="15" customHeight="1"/>
    <row r="8251" ht="15" customHeight="1"/>
    <row r="8252" ht="15" customHeight="1"/>
    <row r="8253" ht="15" customHeight="1"/>
    <row r="8254" ht="15" customHeight="1"/>
    <row r="8255" ht="15" customHeight="1"/>
    <row r="8256" ht="15" customHeight="1"/>
    <row r="8257" ht="15" customHeight="1"/>
    <row r="8258" ht="15" customHeight="1"/>
    <row r="8259" ht="15" customHeight="1"/>
    <row r="8260" ht="15" customHeight="1"/>
    <row r="8261" ht="15" customHeight="1"/>
    <row r="8262" ht="15" customHeight="1"/>
    <row r="8263" ht="15" customHeight="1"/>
    <row r="8264" ht="15" customHeight="1"/>
    <row r="8265" ht="15" customHeight="1"/>
    <row r="8266" ht="15" customHeight="1"/>
    <row r="8267" ht="15" customHeight="1"/>
    <row r="8268" ht="15" customHeight="1"/>
    <row r="8269" ht="15" customHeight="1"/>
    <row r="8270" ht="15" customHeight="1"/>
    <row r="8271" ht="15" customHeight="1"/>
    <row r="8272" ht="15" customHeight="1"/>
    <row r="8273" ht="15" customHeight="1"/>
    <row r="8274" ht="15" customHeight="1"/>
    <row r="8275" ht="15" customHeight="1"/>
    <row r="8276" ht="15" customHeight="1"/>
    <row r="8277" ht="15" customHeight="1"/>
    <row r="8278" ht="15" customHeight="1"/>
    <row r="8279" ht="15" customHeight="1"/>
    <row r="8280" ht="15" customHeight="1"/>
    <row r="8281" ht="15" customHeight="1"/>
    <row r="8282" ht="15" customHeight="1"/>
    <row r="8283" ht="15" customHeight="1"/>
    <row r="8284" ht="15" customHeight="1"/>
    <row r="8285" ht="15" customHeight="1"/>
    <row r="8286" ht="15" customHeight="1"/>
    <row r="8287" ht="15" customHeight="1"/>
    <row r="8288" ht="15" customHeight="1"/>
    <row r="8289" ht="15" customHeight="1"/>
    <row r="8290" ht="15" customHeight="1"/>
    <row r="8291" ht="15" customHeight="1"/>
    <row r="8292" ht="15" customHeight="1"/>
    <row r="8293" ht="15" customHeight="1"/>
    <row r="8294" ht="15" customHeight="1"/>
    <row r="8295" ht="15" customHeight="1"/>
    <row r="8296" ht="15" customHeight="1"/>
    <row r="8297" ht="15" customHeight="1"/>
    <row r="8298" ht="15" customHeight="1"/>
    <row r="8299" ht="15" customHeight="1"/>
    <row r="8300" ht="15" customHeight="1"/>
    <row r="8301" ht="15" customHeight="1"/>
    <row r="8302" ht="15" customHeight="1"/>
    <row r="8303" ht="15" customHeight="1"/>
    <row r="8304" ht="15" customHeight="1"/>
    <row r="8305" ht="15" customHeight="1"/>
    <row r="8306" ht="15" customHeight="1"/>
    <row r="8307" ht="15" customHeight="1"/>
    <row r="8308" ht="15" customHeight="1"/>
    <row r="8309" ht="15" customHeight="1"/>
    <row r="8310" ht="15" customHeight="1"/>
    <row r="8311" ht="15" customHeight="1"/>
    <row r="8312" ht="15" customHeight="1"/>
    <row r="8313" ht="15" customHeight="1"/>
    <row r="8314" ht="15" customHeight="1"/>
    <row r="8315" ht="15" customHeight="1"/>
    <row r="8316" ht="15" customHeight="1"/>
    <row r="8317" ht="15" customHeight="1"/>
    <row r="8318" ht="15" customHeight="1"/>
    <row r="8319" ht="15" customHeight="1"/>
    <row r="8320" ht="15" customHeight="1"/>
    <row r="8321" ht="15" customHeight="1"/>
    <row r="8322" ht="15" customHeight="1"/>
    <row r="8323" ht="15" customHeight="1"/>
    <row r="8324" ht="15" customHeight="1"/>
    <row r="8325" ht="15" customHeight="1"/>
    <row r="8326" ht="15" customHeight="1"/>
    <row r="8327" ht="15" customHeight="1"/>
    <row r="8328" ht="15" customHeight="1"/>
    <row r="8329" ht="15" customHeight="1"/>
    <row r="8330" ht="15" customHeight="1"/>
    <row r="8331" ht="15" customHeight="1"/>
    <row r="8332" ht="15" customHeight="1"/>
    <row r="8333" ht="15" customHeight="1"/>
    <row r="8334" ht="15" customHeight="1"/>
    <row r="8335" ht="15" customHeight="1"/>
    <row r="8336" ht="15" customHeight="1"/>
    <row r="8337" ht="15" customHeight="1"/>
    <row r="8338" ht="15" customHeight="1"/>
    <row r="8339" ht="15" customHeight="1"/>
    <row r="8340" ht="15" customHeight="1"/>
    <row r="8341" ht="15" customHeight="1"/>
    <row r="8342" ht="15" customHeight="1"/>
    <row r="8343" ht="15" customHeight="1"/>
    <row r="8344" ht="15" customHeight="1"/>
    <row r="8345" ht="15" customHeight="1"/>
    <row r="8346" ht="15" customHeight="1"/>
    <row r="8347" ht="15" customHeight="1"/>
    <row r="8348" ht="15" customHeight="1"/>
    <row r="8349" ht="15" customHeight="1"/>
    <row r="8350" ht="15" customHeight="1"/>
    <row r="8351" ht="15" customHeight="1"/>
    <row r="8352" ht="15" customHeight="1"/>
    <row r="8353" ht="15" customHeight="1"/>
    <row r="8354" ht="15" customHeight="1"/>
    <row r="8355" ht="15" customHeight="1"/>
    <row r="8356" ht="15" customHeight="1"/>
    <row r="8357" ht="15" customHeight="1"/>
    <row r="8358" ht="15" customHeight="1"/>
    <row r="8359" ht="15" customHeight="1"/>
    <row r="8360" ht="15" customHeight="1"/>
    <row r="8361" ht="15" customHeight="1"/>
    <row r="8362" ht="15" customHeight="1"/>
    <row r="8363" ht="15" customHeight="1"/>
    <row r="8364" ht="15" customHeight="1"/>
    <row r="8365" ht="15" customHeight="1"/>
    <row r="8366" ht="15" customHeight="1"/>
    <row r="8367" ht="15" customHeight="1"/>
    <row r="8368" ht="15" customHeight="1"/>
    <row r="8369" ht="15" customHeight="1"/>
    <row r="8370" ht="15" customHeight="1"/>
    <row r="8371" ht="15" customHeight="1"/>
    <row r="8372" ht="15" customHeight="1"/>
    <row r="8373" ht="15" customHeight="1"/>
    <row r="8374" ht="15" customHeight="1"/>
    <row r="8375" ht="15" customHeight="1"/>
    <row r="8376" ht="15" customHeight="1"/>
    <row r="8377" ht="15" customHeight="1"/>
    <row r="8378" ht="15" customHeight="1"/>
    <row r="8379" ht="15" customHeight="1"/>
    <row r="8380" ht="15" customHeight="1"/>
    <row r="8381" ht="15" customHeight="1"/>
    <row r="8382" ht="15" customHeight="1"/>
    <row r="8383" ht="15" customHeight="1"/>
    <row r="8384" ht="15" customHeight="1"/>
    <row r="8385" ht="15" customHeight="1"/>
    <row r="8386" ht="15" customHeight="1"/>
    <row r="8387" ht="15" customHeight="1"/>
    <row r="8388" ht="15" customHeight="1"/>
    <row r="8389" ht="15" customHeight="1"/>
    <row r="8390" ht="15" customHeight="1"/>
    <row r="8391" ht="15" customHeight="1"/>
    <row r="8392" ht="15" customHeight="1"/>
    <row r="8393" ht="15" customHeight="1"/>
    <row r="8394" ht="15" customHeight="1"/>
    <row r="8395" ht="15" customHeight="1"/>
    <row r="8396" ht="15" customHeight="1"/>
    <row r="8397" ht="15" customHeight="1"/>
    <row r="8398" ht="15" customHeight="1"/>
    <row r="8399" ht="15" customHeight="1"/>
    <row r="8400" ht="15" customHeight="1"/>
    <row r="8401" ht="15" customHeight="1"/>
    <row r="8402" ht="15" customHeight="1"/>
    <row r="8403" ht="15" customHeight="1"/>
    <row r="8404" ht="15" customHeight="1"/>
    <row r="8405" ht="15" customHeight="1"/>
    <row r="8406" ht="15" customHeight="1"/>
    <row r="8407" ht="15" customHeight="1"/>
    <row r="8408" ht="15" customHeight="1"/>
    <row r="8409" ht="15" customHeight="1"/>
    <row r="8410" ht="15" customHeight="1"/>
    <row r="8411" ht="15" customHeight="1"/>
    <row r="8412" ht="15" customHeight="1"/>
    <row r="8413" ht="15" customHeight="1"/>
    <row r="8414" ht="15" customHeight="1"/>
    <row r="8415" ht="15" customHeight="1"/>
    <row r="8416" ht="15" customHeight="1"/>
    <row r="8417" ht="15" customHeight="1"/>
    <row r="8418" ht="15" customHeight="1"/>
    <row r="8419" ht="15" customHeight="1"/>
    <row r="8420" ht="15" customHeight="1"/>
    <row r="8421" ht="15" customHeight="1"/>
    <row r="8422" ht="15" customHeight="1"/>
    <row r="8423" ht="15" customHeight="1"/>
    <row r="8424" ht="15" customHeight="1"/>
    <row r="8425" ht="15" customHeight="1"/>
    <row r="8426" ht="15" customHeight="1"/>
    <row r="8427" ht="15" customHeight="1"/>
    <row r="8428" ht="15" customHeight="1"/>
    <row r="8429" ht="15" customHeight="1"/>
    <row r="8430" ht="15" customHeight="1"/>
    <row r="8431" ht="15" customHeight="1"/>
    <row r="8432" ht="15" customHeight="1"/>
    <row r="8433" ht="15" customHeight="1"/>
    <row r="8434" ht="15" customHeight="1"/>
    <row r="8435" ht="15" customHeight="1"/>
    <row r="8436" ht="15" customHeight="1"/>
    <row r="8437" ht="15" customHeight="1"/>
    <row r="8438" ht="15" customHeight="1"/>
    <row r="8439" ht="15" customHeight="1"/>
    <row r="8440" ht="15" customHeight="1"/>
    <row r="8441" ht="15" customHeight="1"/>
    <row r="8442" ht="15" customHeight="1"/>
    <row r="8443" ht="15" customHeight="1"/>
    <row r="8444" ht="15" customHeight="1"/>
    <row r="8445" ht="15" customHeight="1"/>
    <row r="8446" ht="15" customHeight="1"/>
    <row r="8447" ht="15" customHeight="1"/>
    <row r="8448" ht="15" customHeight="1"/>
    <row r="8449" ht="15" customHeight="1"/>
    <row r="8450" ht="15" customHeight="1"/>
    <row r="8451" ht="15" customHeight="1"/>
    <row r="8452" ht="15" customHeight="1"/>
    <row r="8453" ht="15" customHeight="1"/>
    <row r="8454" ht="15" customHeight="1"/>
    <row r="8455" ht="15" customHeight="1"/>
    <row r="8456" ht="15" customHeight="1"/>
    <row r="8457" ht="15" customHeight="1"/>
    <row r="8458" ht="15" customHeight="1"/>
    <row r="8459" ht="15" customHeight="1"/>
    <row r="8460" ht="15" customHeight="1"/>
    <row r="8461" ht="15" customHeight="1"/>
    <row r="8462" ht="15" customHeight="1"/>
    <row r="8463" ht="15" customHeight="1"/>
    <row r="8464" ht="15" customHeight="1"/>
    <row r="8465" ht="15" customHeight="1"/>
    <row r="8466" ht="15" customHeight="1"/>
    <row r="8467" ht="15" customHeight="1"/>
    <row r="8468" ht="15" customHeight="1"/>
    <row r="8469" ht="15" customHeight="1"/>
    <row r="8470" ht="15" customHeight="1"/>
    <row r="8471" ht="15" customHeight="1"/>
    <row r="8472" ht="15" customHeight="1"/>
    <row r="8473" ht="15" customHeight="1"/>
    <row r="8474" ht="15" customHeight="1"/>
    <row r="8475" ht="15" customHeight="1"/>
    <row r="8476" ht="15" customHeight="1"/>
    <row r="8477" ht="15" customHeight="1"/>
    <row r="8478" ht="15" customHeight="1"/>
    <row r="8479" ht="15" customHeight="1"/>
    <row r="8480" ht="15" customHeight="1"/>
    <row r="8481" ht="15" customHeight="1"/>
    <row r="8482" ht="15" customHeight="1"/>
    <row r="8483" ht="15" customHeight="1"/>
    <row r="8484" ht="15" customHeight="1"/>
    <row r="8485" ht="15" customHeight="1"/>
    <row r="8486" ht="15" customHeight="1"/>
    <row r="8487" ht="15" customHeight="1"/>
    <row r="8488" ht="15" customHeight="1"/>
    <row r="8489" ht="15" customHeight="1"/>
    <row r="8490" ht="15" customHeight="1"/>
    <row r="8491" ht="15" customHeight="1"/>
    <row r="8492" ht="15" customHeight="1"/>
    <row r="8493" ht="15" customHeight="1"/>
    <row r="8494" ht="15" customHeight="1"/>
    <row r="8495" ht="15" customHeight="1"/>
    <row r="8496" ht="15" customHeight="1"/>
    <row r="8497" ht="15" customHeight="1"/>
    <row r="8498" ht="15" customHeight="1"/>
    <row r="8499" ht="15" customHeight="1"/>
    <row r="8500" ht="15" customHeight="1"/>
    <row r="8501" ht="15" customHeight="1"/>
    <row r="8502" ht="15" customHeight="1"/>
    <row r="8503" ht="15" customHeight="1"/>
    <row r="8504" ht="15" customHeight="1"/>
    <row r="8505" ht="15" customHeight="1"/>
    <row r="8506" ht="15" customHeight="1"/>
    <row r="8507" ht="15" customHeight="1"/>
    <row r="8508" ht="15" customHeight="1"/>
    <row r="8509" ht="15" customHeight="1"/>
    <row r="8510" ht="15" customHeight="1"/>
    <row r="8511" ht="15" customHeight="1"/>
    <row r="8512" ht="15" customHeight="1"/>
    <row r="8513" ht="15" customHeight="1"/>
    <row r="8514" ht="15" customHeight="1"/>
    <row r="8515" ht="15" customHeight="1"/>
    <row r="8516" ht="15" customHeight="1"/>
    <row r="8517" ht="15" customHeight="1"/>
    <row r="8518" ht="15" customHeight="1"/>
    <row r="8519" ht="15" customHeight="1"/>
    <row r="8520" ht="15" customHeight="1"/>
    <row r="8521" ht="15" customHeight="1"/>
    <row r="8522" ht="15" customHeight="1"/>
    <row r="8523" ht="15" customHeight="1"/>
    <row r="8524" ht="15" customHeight="1"/>
    <row r="8525" ht="15" customHeight="1"/>
    <row r="8526" ht="15" customHeight="1"/>
    <row r="8527" ht="15" customHeight="1"/>
    <row r="8528" ht="15" customHeight="1"/>
    <row r="8529" ht="15" customHeight="1"/>
    <row r="8530" ht="15" customHeight="1"/>
    <row r="8531" ht="15" customHeight="1"/>
    <row r="8532" ht="15" customHeight="1"/>
    <row r="8533" ht="15" customHeight="1"/>
    <row r="8534" ht="15" customHeight="1"/>
    <row r="8535" ht="15" customHeight="1"/>
    <row r="8536" ht="15" customHeight="1"/>
    <row r="8537" ht="15" customHeight="1"/>
    <row r="8538" ht="15" customHeight="1"/>
    <row r="8539" ht="15" customHeight="1"/>
    <row r="8540" ht="15" customHeight="1"/>
    <row r="8541" ht="15" customHeight="1"/>
    <row r="8542" ht="15" customHeight="1"/>
    <row r="8543" ht="15" customHeight="1"/>
    <row r="8544" ht="15" customHeight="1"/>
    <row r="8545" ht="15" customHeight="1"/>
    <row r="8546" ht="15" customHeight="1"/>
    <row r="8547" ht="15" customHeight="1"/>
    <row r="8548" ht="15" customHeight="1"/>
    <row r="8549" ht="15" customHeight="1"/>
    <row r="8550" ht="15" customHeight="1"/>
    <row r="8551" ht="15" customHeight="1"/>
    <row r="8552" ht="15" customHeight="1"/>
    <row r="8553" ht="15" customHeight="1"/>
    <row r="8554" ht="15" customHeight="1"/>
    <row r="8555" ht="15" customHeight="1"/>
    <row r="8556" ht="15" customHeight="1"/>
    <row r="8557" ht="15" customHeight="1"/>
    <row r="8558" ht="15" customHeight="1"/>
    <row r="8559" ht="15" customHeight="1"/>
    <row r="8560" ht="15" customHeight="1"/>
    <row r="8561" ht="15" customHeight="1"/>
    <row r="8562" ht="15" customHeight="1"/>
    <row r="8563" ht="15" customHeight="1"/>
    <row r="8564" ht="15" customHeight="1"/>
    <row r="8565" ht="15" customHeight="1"/>
    <row r="8566" ht="15" customHeight="1"/>
    <row r="8567" ht="15" customHeight="1"/>
    <row r="8568" ht="15" customHeight="1"/>
    <row r="8569" ht="15" customHeight="1"/>
    <row r="8570" ht="15" customHeight="1"/>
    <row r="8571" ht="15" customHeight="1"/>
    <row r="8572" ht="15" customHeight="1"/>
    <row r="8573" ht="15" customHeight="1"/>
    <row r="8574" ht="15" customHeight="1"/>
    <row r="8575" ht="15" customHeight="1"/>
    <row r="8576" ht="15" customHeight="1"/>
    <row r="8577" ht="15" customHeight="1"/>
    <row r="8578" ht="15" customHeight="1"/>
    <row r="8579" ht="15" customHeight="1"/>
    <row r="8580" ht="15" customHeight="1"/>
    <row r="8581" ht="15" customHeight="1"/>
    <row r="8582" ht="15" customHeight="1"/>
    <row r="8583" ht="15" customHeight="1"/>
    <row r="8584" ht="15" customHeight="1"/>
    <row r="8585" ht="15" customHeight="1"/>
    <row r="8586" ht="15" customHeight="1"/>
    <row r="8587" ht="15" customHeight="1"/>
    <row r="8588" ht="15" customHeight="1"/>
    <row r="8589" ht="15" customHeight="1"/>
    <row r="8590" ht="15" customHeight="1"/>
    <row r="8591" ht="15" customHeight="1"/>
    <row r="8592" ht="15" customHeight="1"/>
    <row r="8593" ht="15" customHeight="1"/>
    <row r="8594" ht="15" customHeight="1"/>
    <row r="8595" ht="15" customHeight="1"/>
    <row r="8596" ht="15" customHeight="1"/>
    <row r="8597" ht="15" customHeight="1"/>
    <row r="8598" ht="15" customHeight="1"/>
    <row r="8599" ht="15" customHeight="1"/>
    <row r="8600" ht="15" customHeight="1"/>
    <row r="8601" ht="15" customHeight="1"/>
    <row r="8602" ht="15" customHeight="1"/>
    <row r="8603" ht="15" customHeight="1"/>
    <row r="8604" ht="15" customHeight="1"/>
    <row r="8605" ht="15" customHeight="1"/>
    <row r="8606" ht="15" customHeight="1"/>
    <row r="8607" ht="15" customHeight="1"/>
    <row r="8608" ht="15" customHeight="1"/>
    <row r="8609" ht="15" customHeight="1"/>
    <row r="8610" ht="15" customHeight="1"/>
    <row r="8611" ht="15" customHeight="1"/>
    <row r="8612" ht="15" customHeight="1"/>
    <row r="8613" ht="15" customHeight="1"/>
    <row r="8614" ht="15" customHeight="1"/>
    <row r="8615" ht="15" customHeight="1"/>
    <row r="8616" ht="15" customHeight="1"/>
    <row r="8617" ht="15" customHeight="1"/>
    <row r="8618" ht="15" customHeight="1"/>
    <row r="8619" ht="15" customHeight="1"/>
    <row r="8620" ht="15" customHeight="1"/>
    <row r="8621" ht="15" customHeight="1"/>
    <row r="8622" ht="15" customHeight="1"/>
    <row r="8623" ht="15" customHeight="1"/>
    <row r="8624" ht="15" customHeight="1"/>
    <row r="8625" ht="15" customHeight="1"/>
    <row r="8626" ht="15" customHeight="1"/>
    <row r="8627" ht="15" customHeight="1"/>
    <row r="8628" ht="15" customHeight="1"/>
    <row r="8629" ht="15" customHeight="1"/>
    <row r="8630" ht="15" customHeight="1"/>
    <row r="8631" ht="15" customHeight="1"/>
    <row r="8632" ht="15" customHeight="1"/>
    <row r="8633" ht="15" customHeight="1"/>
    <row r="8634" ht="15" customHeight="1"/>
    <row r="8635" ht="15" customHeight="1"/>
    <row r="8636" ht="15" customHeight="1"/>
    <row r="8637" ht="15" customHeight="1"/>
    <row r="8638" ht="15" customHeight="1"/>
    <row r="8639" ht="15" customHeight="1"/>
    <row r="8640" ht="15" customHeight="1"/>
    <row r="8641" ht="15" customHeight="1"/>
    <row r="8642" ht="15" customHeight="1"/>
    <row r="8643" ht="15" customHeight="1"/>
    <row r="8644" ht="15" customHeight="1"/>
    <row r="8645" ht="15" customHeight="1"/>
    <row r="8646" ht="15" customHeight="1"/>
    <row r="8647" ht="15" customHeight="1"/>
    <row r="8648" ht="15" customHeight="1"/>
    <row r="8649" ht="15" customHeight="1"/>
    <row r="8650" ht="15" customHeight="1"/>
    <row r="8651" ht="15" customHeight="1"/>
    <row r="8652" ht="15" customHeight="1"/>
    <row r="8653" ht="15" customHeight="1"/>
    <row r="8654" ht="15" customHeight="1"/>
    <row r="8655" ht="15" customHeight="1"/>
    <row r="8656" ht="15" customHeight="1"/>
    <row r="8657" ht="15" customHeight="1"/>
    <row r="8658" ht="15" customHeight="1"/>
    <row r="8659" ht="15" customHeight="1"/>
    <row r="8660" ht="15" customHeight="1"/>
    <row r="8661" ht="15" customHeight="1"/>
    <row r="8662" ht="15" customHeight="1"/>
    <row r="8663" ht="15" customHeight="1"/>
    <row r="8664" ht="15" customHeight="1"/>
    <row r="8665" ht="15" customHeight="1"/>
    <row r="8666" ht="15" customHeight="1"/>
    <row r="8667" ht="15" customHeight="1"/>
    <row r="8668" ht="15" customHeight="1"/>
    <row r="8669" ht="15" customHeight="1"/>
    <row r="8670" ht="15" customHeight="1"/>
    <row r="8671" ht="15" customHeight="1"/>
    <row r="8672" ht="15" customHeight="1"/>
    <row r="8673" ht="15" customHeight="1"/>
    <row r="8674" ht="15" customHeight="1"/>
    <row r="8675" ht="15" customHeight="1"/>
    <row r="8676" ht="15" customHeight="1"/>
    <row r="8677" ht="15" customHeight="1"/>
    <row r="8678" ht="15" customHeight="1"/>
    <row r="8679" ht="15" customHeight="1"/>
    <row r="8680" ht="15" customHeight="1"/>
    <row r="8681" ht="15" customHeight="1"/>
    <row r="8682" ht="15" customHeight="1"/>
    <row r="8683" ht="15" customHeight="1"/>
    <row r="8684" ht="15" customHeight="1"/>
    <row r="8685" ht="15" customHeight="1"/>
    <row r="8686" ht="15" customHeight="1"/>
    <row r="8687" ht="15" customHeight="1"/>
    <row r="8688" ht="15" customHeight="1"/>
    <row r="8689" ht="15" customHeight="1"/>
    <row r="8690" ht="15" customHeight="1"/>
    <row r="8691" ht="15" customHeight="1"/>
    <row r="8692" ht="15" customHeight="1"/>
    <row r="8693" ht="15" customHeight="1"/>
    <row r="8694" ht="15" customHeight="1"/>
    <row r="8695" ht="15" customHeight="1"/>
    <row r="8696" ht="15" customHeight="1"/>
    <row r="8697" ht="15" customHeight="1"/>
    <row r="8698" ht="15" customHeight="1"/>
    <row r="8699" ht="15" customHeight="1"/>
    <row r="8700" ht="15" customHeight="1"/>
    <row r="8701" ht="15" customHeight="1"/>
    <row r="8702" ht="15" customHeight="1"/>
    <row r="8703" ht="15" customHeight="1"/>
    <row r="8704" ht="15" customHeight="1"/>
    <row r="8705" ht="15" customHeight="1"/>
    <row r="8706" ht="15" customHeight="1"/>
    <row r="8707" ht="15" customHeight="1"/>
    <row r="8708" ht="15" customHeight="1"/>
    <row r="8709" ht="15" customHeight="1"/>
    <row r="8710" ht="15" customHeight="1"/>
    <row r="8711" ht="15" customHeight="1"/>
    <row r="8712" ht="15" customHeight="1"/>
    <row r="8713" ht="15" customHeight="1"/>
    <row r="8714" ht="15" customHeight="1"/>
    <row r="8715" ht="15" customHeight="1"/>
    <row r="8716" ht="15" customHeight="1"/>
    <row r="8717" ht="15" customHeight="1"/>
    <row r="8718" ht="15" customHeight="1"/>
    <row r="8719" ht="15" customHeight="1"/>
    <row r="8720" ht="15" customHeight="1"/>
    <row r="8721" ht="15" customHeight="1"/>
    <row r="8722" ht="15" customHeight="1"/>
    <row r="8723" ht="15" customHeight="1"/>
    <row r="8724" ht="15" customHeight="1"/>
    <row r="8725" ht="15" customHeight="1"/>
    <row r="8726" ht="15" customHeight="1"/>
    <row r="8727" ht="15" customHeight="1"/>
    <row r="8728" ht="15" customHeight="1"/>
    <row r="8729" ht="15" customHeight="1"/>
    <row r="8730" ht="15" customHeight="1"/>
    <row r="8731" ht="15" customHeight="1"/>
    <row r="8732" ht="15" customHeight="1"/>
    <row r="8733" ht="15" customHeight="1"/>
    <row r="8734" ht="15" customHeight="1"/>
    <row r="8735" ht="15" customHeight="1"/>
    <row r="8736" ht="15" customHeight="1"/>
    <row r="8737" ht="15" customHeight="1"/>
    <row r="8738" ht="15" customHeight="1"/>
    <row r="8739" ht="15" customHeight="1"/>
    <row r="8740" ht="15" customHeight="1"/>
    <row r="8741" ht="15" customHeight="1"/>
    <row r="8742" ht="15" customHeight="1"/>
    <row r="8743" ht="15" customHeight="1"/>
    <row r="8744" ht="15" customHeight="1"/>
    <row r="8745" ht="15" customHeight="1"/>
    <row r="8746" ht="15" customHeight="1"/>
    <row r="8747" ht="15" customHeight="1"/>
    <row r="8748" ht="15" customHeight="1"/>
    <row r="8749" ht="15" customHeight="1"/>
    <row r="8750" ht="15" customHeight="1"/>
    <row r="8751" ht="15" customHeight="1"/>
    <row r="8752" ht="15" customHeight="1"/>
    <row r="8753" ht="15" customHeight="1"/>
    <row r="8754" ht="15" customHeight="1"/>
    <row r="8755" ht="15" customHeight="1"/>
    <row r="8756" ht="15" customHeight="1"/>
    <row r="8757" ht="15" customHeight="1"/>
    <row r="8758" ht="15" customHeight="1"/>
    <row r="8759" ht="15" customHeight="1"/>
    <row r="8760" ht="15" customHeight="1"/>
    <row r="8761" ht="15" customHeight="1"/>
    <row r="8762" ht="15" customHeight="1"/>
    <row r="8763" ht="15" customHeight="1"/>
    <row r="8764" ht="15" customHeight="1"/>
    <row r="8765" ht="15" customHeight="1"/>
    <row r="8766" ht="15" customHeight="1"/>
    <row r="8767" ht="15" customHeight="1"/>
    <row r="8768" ht="15" customHeight="1"/>
    <row r="8769" ht="15" customHeight="1"/>
    <row r="8770" ht="15" customHeight="1"/>
    <row r="8771" ht="15" customHeight="1"/>
    <row r="8772" ht="15" customHeight="1"/>
    <row r="8773" ht="15" customHeight="1"/>
    <row r="8774" ht="15" customHeight="1"/>
    <row r="8775" ht="15" customHeight="1"/>
    <row r="8776" ht="15" customHeight="1"/>
    <row r="8777" ht="15" customHeight="1"/>
    <row r="8778" ht="15" customHeight="1"/>
    <row r="8779" ht="15" customHeight="1"/>
    <row r="8780" ht="15" customHeight="1"/>
    <row r="8781" ht="15" customHeight="1"/>
    <row r="8782" ht="15" customHeight="1"/>
    <row r="8783" ht="15" customHeight="1"/>
    <row r="8784" ht="15" customHeight="1"/>
    <row r="8785" ht="15" customHeight="1"/>
    <row r="8786" ht="15" customHeight="1"/>
    <row r="8787" ht="15" customHeight="1"/>
    <row r="8788" ht="15" customHeight="1"/>
    <row r="8789" ht="15" customHeight="1"/>
    <row r="8790" ht="15" customHeight="1"/>
    <row r="8791" ht="15" customHeight="1"/>
    <row r="8792" ht="15" customHeight="1"/>
    <row r="8793" ht="15" customHeight="1"/>
    <row r="8794" ht="15" customHeight="1"/>
    <row r="8795" ht="15" customHeight="1"/>
    <row r="8796" ht="15" customHeight="1"/>
    <row r="8797" ht="15" customHeight="1"/>
    <row r="8798" ht="15" customHeight="1"/>
    <row r="8799" ht="15" customHeight="1"/>
    <row r="8800" ht="15" customHeight="1"/>
    <row r="8801" ht="15" customHeight="1"/>
    <row r="8802" ht="15" customHeight="1"/>
    <row r="8803" ht="15" customHeight="1"/>
    <row r="8804" ht="15" customHeight="1"/>
    <row r="8805" ht="15" customHeight="1"/>
    <row r="8806" ht="15" customHeight="1"/>
    <row r="8807" ht="15" customHeight="1"/>
    <row r="8808" ht="15" customHeight="1"/>
    <row r="8809" ht="15" customHeight="1"/>
    <row r="8810" ht="15" customHeight="1"/>
    <row r="8811" ht="15" customHeight="1"/>
    <row r="8812" ht="15" customHeight="1"/>
    <row r="8813" ht="15" customHeight="1"/>
    <row r="8814" ht="15" customHeight="1"/>
    <row r="8815" ht="15" customHeight="1"/>
    <row r="8816" ht="15" customHeight="1"/>
    <row r="8817" ht="15" customHeight="1"/>
    <row r="8818" ht="15" customHeight="1"/>
    <row r="8819" ht="15" customHeight="1"/>
    <row r="8820" ht="15" customHeight="1"/>
    <row r="8821" ht="15" customHeight="1"/>
    <row r="8822" ht="15" customHeight="1"/>
    <row r="8823" ht="15" customHeight="1"/>
    <row r="8824" ht="15" customHeight="1"/>
    <row r="8825" ht="15" customHeight="1"/>
    <row r="8826" ht="15" customHeight="1"/>
    <row r="8827" ht="15" customHeight="1"/>
    <row r="8828" ht="15" customHeight="1"/>
    <row r="8829" ht="15" customHeight="1"/>
    <row r="8830" ht="15" customHeight="1"/>
    <row r="8831" ht="15" customHeight="1"/>
    <row r="8832" ht="15" customHeight="1"/>
    <row r="8833" ht="15" customHeight="1"/>
    <row r="8834" ht="15" customHeight="1"/>
    <row r="8835" ht="15" customHeight="1"/>
    <row r="8836" ht="15" customHeight="1"/>
    <row r="8837" ht="15" customHeight="1"/>
    <row r="8838" ht="15" customHeight="1"/>
    <row r="8839" ht="15" customHeight="1"/>
    <row r="8840" ht="15" customHeight="1"/>
    <row r="8841" ht="15" customHeight="1"/>
    <row r="8842" ht="15" customHeight="1"/>
    <row r="8843" ht="15" customHeight="1"/>
    <row r="8844" ht="15" customHeight="1"/>
    <row r="8845" ht="15" customHeight="1"/>
    <row r="8846" ht="15" customHeight="1"/>
    <row r="8847" ht="15" customHeight="1"/>
    <row r="8848" ht="15" customHeight="1"/>
    <row r="8849" ht="15" customHeight="1"/>
    <row r="8850" ht="15" customHeight="1"/>
    <row r="8851" ht="15" customHeight="1"/>
    <row r="8852" ht="15" customHeight="1"/>
    <row r="8853" ht="15" customHeight="1"/>
    <row r="8854" ht="15" customHeight="1"/>
    <row r="8855" ht="15" customHeight="1"/>
    <row r="8856" ht="15" customHeight="1"/>
    <row r="8857" ht="15" customHeight="1"/>
    <row r="8858" ht="15" customHeight="1"/>
    <row r="8859" ht="15" customHeight="1"/>
    <row r="8860" ht="15" customHeight="1"/>
    <row r="8861" ht="15" customHeight="1"/>
    <row r="8862" ht="15" customHeight="1"/>
    <row r="8863" ht="15" customHeight="1"/>
    <row r="8864" ht="15" customHeight="1"/>
    <row r="8865" ht="15" customHeight="1"/>
    <row r="8866" ht="15" customHeight="1"/>
    <row r="8867" ht="15" customHeight="1"/>
    <row r="8868" ht="15" customHeight="1"/>
    <row r="8869" ht="15" customHeight="1"/>
    <row r="8870" ht="15" customHeight="1"/>
    <row r="8871" ht="15" customHeight="1"/>
    <row r="8872" ht="15" customHeight="1"/>
    <row r="8873" ht="15" customHeight="1"/>
    <row r="8874" ht="15" customHeight="1"/>
    <row r="8875" ht="15" customHeight="1"/>
    <row r="8876" ht="15" customHeight="1"/>
    <row r="8877" ht="15" customHeight="1"/>
    <row r="8878" ht="15" customHeight="1"/>
    <row r="8879" ht="15" customHeight="1"/>
    <row r="8880" ht="15" customHeight="1"/>
    <row r="8881" ht="15" customHeight="1"/>
    <row r="8882" ht="15" customHeight="1"/>
    <row r="8883" ht="15" customHeight="1"/>
    <row r="8884" ht="15" customHeight="1"/>
    <row r="8885" ht="15" customHeight="1"/>
    <row r="8886" ht="15" customHeight="1"/>
    <row r="8887" ht="15" customHeight="1"/>
    <row r="8888" ht="15" customHeight="1"/>
    <row r="8889" ht="15" customHeight="1"/>
    <row r="8890" ht="15" customHeight="1"/>
    <row r="8891" ht="15" customHeight="1"/>
    <row r="8892" ht="15" customHeight="1"/>
    <row r="8893" ht="15" customHeight="1"/>
    <row r="8894" ht="15" customHeight="1"/>
    <row r="8895" ht="15" customHeight="1"/>
    <row r="8896" ht="15" customHeight="1"/>
    <row r="8897" ht="15" customHeight="1"/>
    <row r="8898" ht="15" customHeight="1"/>
    <row r="8899" ht="15" customHeight="1"/>
    <row r="8900" ht="15" customHeight="1"/>
    <row r="8901" ht="15" customHeight="1"/>
    <row r="8902" ht="15" customHeight="1"/>
    <row r="8903" ht="15" customHeight="1"/>
    <row r="8904" ht="15" customHeight="1"/>
    <row r="8905" ht="15" customHeight="1"/>
    <row r="8906" ht="15" customHeight="1"/>
    <row r="8907" ht="15" customHeight="1"/>
    <row r="8908" ht="15" customHeight="1"/>
    <row r="8909" ht="15" customHeight="1"/>
    <row r="8910" ht="15" customHeight="1"/>
    <row r="8911" ht="15" customHeight="1"/>
    <row r="8912" ht="15" customHeight="1"/>
    <row r="8913" ht="15" customHeight="1"/>
    <row r="8914" ht="15" customHeight="1"/>
    <row r="8915" ht="15" customHeight="1"/>
    <row r="8916" ht="15" customHeight="1"/>
    <row r="8917" ht="15" customHeight="1"/>
    <row r="8918" ht="15" customHeight="1"/>
    <row r="8919" ht="15" customHeight="1"/>
    <row r="8920" ht="15" customHeight="1"/>
    <row r="8921" ht="15" customHeight="1"/>
    <row r="8922" ht="15" customHeight="1"/>
    <row r="8923" ht="15" customHeight="1"/>
    <row r="8924" ht="15" customHeight="1"/>
    <row r="8925" ht="15" customHeight="1"/>
    <row r="8926" ht="15" customHeight="1"/>
    <row r="8927" ht="15" customHeight="1"/>
    <row r="8928" ht="15" customHeight="1"/>
    <row r="8929" ht="15" customHeight="1"/>
    <row r="8930" ht="15" customHeight="1"/>
    <row r="8931" ht="15" customHeight="1"/>
    <row r="8932" ht="15" customHeight="1"/>
    <row r="8933" ht="15" customHeight="1"/>
    <row r="8934" ht="15" customHeight="1"/>
    <row r="8935" ht="15" customHeight="1"/>
    <row r="8936" ht="15" customHeight="1"/>
    <row r="8937" ht="15" customHeight="1"/>
    <row r="8938" ht="15" customHeight="1"/>
    <row r="8939" ht="15" customHeight="1"/>
    <row r="8940" ht="15" customHeight="1"/>
    <row r="8941" ht="15" customHeight="1"/>
    <row r="8942" ht="15" customHeight="1"/>
    <row r="8943" ht="15" customHeight="1"/>
    <row r="8944" ht="15" customHeight="1"/>
    <row r="8945" ht="15" customHeight="1"/>
    <row r="8946" ht="15" customHeight="1"/>
    <row r="8947" ht="15" customHeight="1"/>
    <row r="8948" ht="15" customHeight="1"/>
    <row r="8949" ht="15" customHeight="1"/>
    <row r="8950" ht="15" customHeight="1"/>
    <row r="8951" ht="15" customHeight="1"/>
    <row r="8952" ht="15" customHeight="1"/>
    <row r="8953" ht="15" customHeight="1"/>
    <row r="8954" ht="15" customHeight="1"/>
    <row r="8955" ht="15" customHeight="1"/>
    <row r="8956" ht="15" customHeight="1"/>
    <row r="8957" ht="15" customHeight="1"/>
    <row r="8958" ht="15" customHeight="1"/>
    <row r="8959" ht="15" customHeight="1"/>
    <row r="8960" ht="15" customHeight="1"/>
    <row r="8961" ht="15" customHeight="1"/>
    <row r="8962" ht="15" customHeight="1"/>
    <row r="8963" ht="15" customHeight="1"/>
    <row r="8964" ht="15" customHeight="1"/>
    <row r="8965" ht="15" customHeight="1"/>
    <row r="8966" ht="15" customHeight="1"/>
    <row r="8967" ht="15" customHeight="1"/>
    <row r="8968" ht="15" customHeight="1"/>
    <row r="8969" ht="15" customHeight="1"/>
    <row r="8970" ht="15" customHeight="1"/>
    <row r="8971" ht="15" customHeight="1"/>
    <row r="8972" ht="15" customHeight="1"/>
    <row r="8973" ht="15" customHeight="1"/>
    <row r="8974" ht="15" customHeight="1"/>
    <row r="8975" ht="15" customHeight="1"/>
    <row r="8976" ht="15" customHeight="1"/>
    <row r="8977" ht="15" customHeight="1"/>
    <row r="8978" ht="15" customHeight="1"/>
    <row r="8979" ht="15" customHeight="1"/>
    <row r="8980" ht="15" customHeight="1"/>
    <row r="8981" ht="15" customHeight="1"/>
    <row r="8982" ht="15" customHeight="1"/>
    <row r="8983" ht="15" customHeight="1"/>
    <row r="8984" ht="15" customHeight="1"/>
    <row r="8985" ht="15" customHeight="1"/>
    <row r="8986" ht="15" customHeight="1"/>
    <row r="8987" ht="15" customHeight="1"/>
    <row r="8988" ht="15" customHeight="1"/>
    <row r="8989" ht="15" customHeight="1"/>
    <row r="8990" ht="15" customHeight="1"/>
    <row r="8991" ht="15" customHeight="1"/>
    <row r="8992" ht="15" customHeight="1"/>
    <row r="8993" ht="15" customHeight="1"/>
    <row r="8994" ht="15" customHeight="1"/>
    <row r="8995" ht="15" customHeight="1"/>
    <row r="8996" ht="15" customHeight="1"/>
    <row r="8997" ht="15" customHeight="1"/>
    <row r="8998" ht="15" customHeight="1"/>
    <row r="8999" ht="15" customHeight="1"/>
    <row r="9000" ht="15" customHeight="1"/>
    <row r="9001" ht="15" customHeight="1"/>
    <row r="9002" ht="15" customHeight="1"/>
    <row r="9003" ht="15" customHeight="1"/>
    <row r="9004" ht="15" customHeight="1"/>
    <row r="9005" ht="15" customHeight="1"/>
    <row r="9006" ht="15" customHeight="1"/>
    <row r="9007" ht="15" customHeight="1"/>
    <row r="9008" ht="15" customHeight="1"/>
    <row r="9009" ht="15" customHeight="1"/>
    <row r="9010" ht="15" customHeight="1"/>
    <row r="9011" ht="15" customHeight="1"/>
    <row r="9012" ht="15" customHeight="1"/>
    <row r="9013" ht="15" customHeight="1"/>
    <row r="9014" ht="15" customHeight="1"/>
    <row r="9015" ht="15" customHeight="1"/>
    <row r="9016" ht="15" customHeight="1"/>
    <row r="9017" ht="15" customHeight="1"/>
    <row r="9018" ht="15" customHeight="1"/>
    <row r="9019" ht="15" customHeight="1"/>
    <row r="9020" ht="15" customHeight="1"/>
    <row r="9021" ht="15" customHeight="1"/>
    <row r="9022" ht="15" customHeight="1"/>
    <row r="9023" ht="15" customHeight="1"/>
    <row r="9024" ht="15" customHeight="1"/>
    <row r="9025" ht="15" customHeight="1"/>
    <row r="9026" ht="15" customHeight="1"/>
    <row r="9027" ht="15" customHeight="1"/>
    <row r="9028" ht="15" customHeight="1"/>
    <row r="9029" ht="15" customHeight="1"/>
    <row r="9030" ht="15" customHeight="1"/>
    <row r="9031" ht="15" customHeight="1"/>
    <row r="9032" ht="15" customHeight="1"/>
    <row r="9033" ht="15" customHeight="1"/>
    <row r="9034" ht="15" customHeight="1"/>
    <row r="9035" ht="15" customHeight="1"/>
    <row r="9036" ht="15" customHeight="1"/>
    <row r="9037" ht="15" customHeight="1"/>
    <row r="9038" ht="15" customHeight="1"/>
    <row r="9039" ht="15" customHeight="1"/>
    <row r="9040" ht="15" customHeight="1"/>
    <row r="9041" ht="15" customHeight="1"/>
    <row r="9042" ht="15" customHeight="1"/>
    <row r="9043" ht="15" customHeight="1"/>
    <row r="9044" ht="15" customHeight="1"/>
    <row r="9045" ht="15" customHeight="1"/>
    <row r="9046" ht="15" customHeight="1"/>
    <row r="9047" ht="15" customHeight="1"/>
    <row r="9048" ht="15" customHeight="1"/>
    <row r="9049" ht="15" customHeight="1"/>
    <row r="9050" ht="15" customHeight="1"/>
    <row r="9051" ht="15" customHeight="1"/>
    <row r="9052" ht="15" customHeight="1"/>
    <row r="9053" ht="15" customHeight="1"/>
    <row r="9054" ht="15" customHeight="1"/>
    <row r="9055" ht="15" customHeight="1"/>
    <row r="9056" ht="15" customHeight="1"/>
    <row r="9057" ht="15" customHeight="1"/>
    <row r="9058" ht="15" customHeight="1"/>
    <row r="9059" ht="15" customHeight="1"/>
    <row r="9060" ht="15" customHeight="1"/>
    <row r="9061" ht="15" customHeight="1"/>
    <row r="9062" ht="15" customHeight="1"/>
    <row r="9063" ht="15" customHeight="1"/>
    <row r="9064" ht="15" customHeight="1"/>
    <row r="9065" ht="15" customHeight="1"/>
    <row r="9066" ht="15" customHeight="1"/>
    <row r="9067" ht="15" customHeight="1"/>
    <row r="9068" ht="15" customHeight="1"/>
    <row r="9069" ht="15" customHeight="1"/>
    <row r="9070" ht="15" customHeight="1"/>
    <row r="9071" ht="15" customHeight="1"/>
    <row r="9072" ht="15" customHeight="1"/>
    <row r="9073" ht="15" customHeight="1"/>
    <row r="9074" ht="15" customHeight="1"/>
    <row r="9075" ht="15" customHeight="1"/>
    <row r="9076" ht="15" customHeight="1"/>
    <row r="9077" ht="15" customHeight="1"/>
    <row r="9078" ht="15" customHeight="1"/>
    <row r="9079" ht="15" customHeight="1"/>
    <row r="9080" ht="15" customHeight="1"/>
    <row r="9081" ht="15" customHeight="1"/>
    <row r="9082" ht="15" customHeight="1"/>
    <row r="9083" ht="15" customHeight="1"/>
    <row r="9084" ht="15" customHeight="1"/>
    <row r="9085" ht="15" customHeight="1"/>
    <row r="9086" ht="15" customHeight="1"/>
    <row r="9087" ht="15" customHeight="1"/>
    <row r="9088" ht="15" customHeight="1"/>
    <row r="9089" ht="15" customHeight="1"/>
    <row r="9090" ht="15" customHeight="1"/>
    <row r="9091" ht="15" customHeight="1"/>
    <row r="9092" ht="15" customHeight="1"/>
    <row r="9093" ht="15" customHeight="1"/>
    <row r="9094" ht="15" customHeight="1"/>
    <row r="9095" ht="15" customHeight="1"/>
    <row r="9096" ht="15" customHeight="1"/>
    <row r="9097" ht="15" customHeight="1"/>
    <row r="9098" ht="15" customHeight="1"/>
    <row r="9099" ht="15" customHeight="1"/>
    <row r="9100" ht="15" customHeight="1"/>
    <row r="9101" ht="15" customHeight="1"/>
    <row r="9102" ht="15" customHeight="1"/>
    <row r="9103" ht="15" customHeight="1"/>
    <row r="9104" ht="15" customHeight="1"/>
    <row r="9105" ht="15" customHeight="1"/>
    <row r="9106" ht="15" customHeight="1"/>
    <row r="9107" ht="15" customHeight="1"/>
    <row r="9108" ht="15" customHeight="1"/>
    <row r="9109" ht="15" customHeight="1"/>
    <row r="9110" ht="15" customHeight="1"/>
    <row r="9111" ht="15" customHeight="1"/>
    <row r="9112" ht="15" customHeight="1"/>
    <row r="9113" ht="15" customHeight="1"/>
    <row r="9114" ht="15" customHeight="1"/>
    <row r="9115" ht="15" customHeight="1"/>
    <row r="9116" ht="15" customHeight="1"/>
    <row r="9117" ht="15" customHeight="1"/>
    <row r="9118" ht="15" customHeight="1"/>
    <row r="9119" ht="15" customHeight="1"/>
    <row r="9120" ht="15" customHeight="1"/>
    <row r="9121" ht="15" customHeight="1"/>
    <row r="9122" ht="15" customHeight="1"/>
    <row r="9123" ht="15" customHeight="1"/>
    <row r="9124" ht="15" customHeight="1"/>
    <row r="9125" ht="15" customHeight="1"/>
    <row r="9126" ht="15" customHeight="1"/>
    <row r="9127" ht="15" customHeight="1"/>
    <row r="9128" ht="15" customHeight="1"/>
    <row r="9129" ht="15" customHeight="1"/>
    <row r="9130" ht="15" customHeight="1"/>
    <row r="9131" ht="15" customHeight="1"/>
    <row r="9132" ht="15" customHeight="1"/>
    <row r="9133" ht="15" customHeight="1"/>
    <row r="9134" ht="15" customHeight="1"/>
    <row r="9135" ht="15" customHeight="1"/>
    <row r="9136" ht="15" customHeight="1"/>
    <row r="9137" ht="15" customHeight="1"/>
    <row r="9138" ht="15" customHeight="1"/>
    <row r="9139" ht="15" customHeight="1"/>
    <row r="9140" ht="15" customHeight="1"/>
    <row r="9141" ht="15" customHeight="1"/>
    <row r="9142" ht="15" customHeight="1"/>
    <row r="9143" ht="15" customHeight="1"/>
    <row r="9144" ht="15" customHeight="1"/>
    <row r="9145" ht="15" customHeight="1"/>
    <row r="9146" ht="15" customHeight="1"/>
    <row r="9147" ht="15" customHeight="1"/>
    <row r="9148" ht="15" customHeight="1"/>
    <row r="9149" ht="15" customHeight="1"/>
    <row r="9150" ht="15" customHeight="1"/>
    <row r="9151" ht="15" customHeight="1"/>
    <row r="9152" ht="15" customHeight="1"/>
    <row r="9153" ht="15" customHeight="1"/>
    <row r="9154" ht="15" customHeight="1"/>
    <row r="9155" ht="15" customHeight="1"/>
    <row r="9156" ht="15" customHeight="1"/>
    <row r="9157" ht="15" customHeight="1"/>
    <row r="9158" ht="15" customHeight="1"/>
    <row r="9159" ht="15" customHeight="1"/>
    <row r="9160" ht="15" customHeight="1"/>
    <row r="9161" ht="15" customHeight="1"/>
    <row r="9162" ht="15" customHeight="1"/>
    <row r="9163" ht="15" customHeight="1"/>
    <row r="9164" ht="15" customHeight="1"/>
    <row r="9165" ht="15" customHeight="1"/>
    <row r="9166" ht="15" customHeight="1"/>
    <row r="9167" ht="15" customHeight="1"/>
    <row r="9168" ht="15" customHeight="1"/>
    <row r="9169" ht="15" customHeight="1"/>
    <row r="9170" ht="15" customHeight="1"/>
    <row r="9171" ht="15" customHeight="1"/>
    <row r="9172" ht="15" customHeight="1"/>
    <row r="9173" ht="15" customHeight="1"/>
    <row r="9174" ht="15" customHeight="1"/>
    <row r="9175" ht="15" customHeight="1"/>
    <row r="9176" ht="15" customHeight="1"/>
    <row r="9177" ht="15" customHeight="1"/>
    <row r="9178" ht="15" customHeight="1"/>
    <row r="9179" ht="15" customHeight="1"/>
    <row r="9180" ht="15" customHeight="1"/>
    <row r="9181" ht="15" customHeight="1"/>
    <row r="9182" ht="15" customHeight="1"/>
    <row r="9183" ht="15" customHeight="1"/>
    <row r="9184" ht="15" customHeight="1"/>
    <row r="9185" ht="15" customHeight="1"/>
    <row r="9186" ht="15" customHeight="1"/>
    <row r="9187" ht="15" customHeight="1"/>
    <row r="9188" ht="15" customHeight="1"/>
    <row r="9189" ht="15" customHeight="1"/>
    <row r="9190" ht="15" customHeight="1"/>
    <row r="9191" ht="15" customHeight="1"/>
    <row r="9192" ht="15" customHeight="1"/>
    <row r="9193" ht="15" customHeight="1"/>
    <row r="9194" ht="15" customHeight="1"/>
    <row r="9195" ht="15" customHeight="1"/>
    <row r="9196" ht="15" customHeight="1"/>
    <row r="9197" ht="15" customHeight="1"/>
    <row r="9198" ht="15" customHeight="1"/>
    <row r="9199" ht="15" customHeight="1"/>
    <row r="9200" ht="15" customHeight="1"/>
    <row r="9201" ht="15" customHeight="1"/>
    <row r="9202" ht="15" customHeight="1"/>
    <row r="9203" ht="15" customHeight="1"/>
    <row r="9204" ht="15" customHeight="1"/>
    <row r="9205" ht="15" customHeight="1"/>
    <row r="9206" ht="15" customHeight="1"/>
    <row r="9207" ht="15" customHeight="1"/>
    <row r="9208" ht="15" customHeight="1"/>
    <row r="9209" ht="15" customHeight="1"/>
    <row r="9210" ht="15" customHeight="1"/>
    <row r="9211" ht="15" customHeight="1"/>
    <row r="9212" ht="15" customHeight="1"/>
    <row r="9213" ht="15" customHeight="1"/>
    <row r="9214" ht="15" customHeight="1"/>
    <row r="9215" ht="15" customHeight="1"/>
    <row r="9216" ht="15" customHeight="1"/>
    <row r="9217" ht="15" customHeight="1"/>
    <row r="9218" ht="15" customHeight="1"/>
    <row r="9219" ht="15" customHeight="1"/>
    <row r="9220" ht="15" customHeight="1"/>
    <row r="9221" ht="15" customHeight="1"/>
    <row r="9222" ht="15" customHeight="1"/>
    <row r="9223" ht="15" customHeight="1"/>
    <row r="9224" ht="15" customHeight="1"/>
    <row r="9225" ht="15" customHeight="1"/>
    <row r="9226" ht="15" customHeight="1"/>
    <row r="9227" ht="15" customHeight="1"/>
    <row r="9228" ht="15" customHeight="1"/>
    <row r="9229" ht="15" customHeight="1"/>
    <row r="9230" ht="15" customHeight="1"/>
    <row r="9231" ht="15" customHeight="1"/>
    <row r="9232" ht="15" customHeight="1"/>
    <row r="9233" ht="15" customHeight="1"/>
    <row r="9234" ht="15" customHeight="1"/>
    <row r="9235" ht="15" customHeight="1"/>
    <row r="9236" ht="15" customHeight="1"/>
    <row r="9237" ht="15" customHeight="1"/>
    <row r="9238" ht="15" customHeight="1"/>
    <row r="9239" ht="15" customHeight="1"/>
    <row r="9240" ht="15" customHeight="1"/>
    <row r="9241" ht="15" customHeight="1"/>
    <row r="9242" ht="15" customHeight="1"/>
    <row r="9243" ht="15" customHeight="1"/>
    <row r="9244" ht="15" customHeight="1"/>
    <row r="9245" ht="15" customHeight="1"/>
    <row r="9246" ht="15" customHeight="1"/>
    <row r="9247" ht="15" customHeight="1"/>
    <row r="9248" ht="15" customHeight="1"/>
    <row r="9249" ht="15" customHeight="1"/>
    <row r="9250" ht="15" customHeight="1"/>
    <row r="9251" ht="15" customHeight="1"/>
    <row r="9252" ht="15" customHeight="1"/>
    <row r="9253" ht="15" customHeight="1"/>
    <row r="9254" ht="15" customHeight="1"/>
    <row r="9255" ht="15" customHeight="1"/>
    <row r="9256" ht="15" customHeight="1"/>
    <row r="9257" ht="15" customHeight="1"/>
    <row r="9258" ht="15" customHeight="1"/>
    <row r="9259" ht="15" customHeight="1"/>
    <row r="9260" ht="15" customHeight="1"/>
    <row r="9261" ht="15" customHeight="1"/>
    <row r="9262" ht="15" customHeight="1"/>
    <row r="9263" ht="15" customHeight="1"/>
    <row r="9264" ht="15" customHeight="1"/>
    <row r="9265" ht="15" customHeight="1"/>
    <row r="9266" ht="15" customHeight="1"/>
    <row r="9267" ht="15" customHeight="1"/>
    <row r="9268" ht="15" customHeight="1"/>
    <row r="9269" ht="15" customHeight="1"/>
    <row r="9270" ht="15" customHeight="1"/>
    <row r="9271" ht="15" customHeight="1"/>
    <row r="9272" ht="15" customHeight="1"/>
    <row r="9273" ht="15" customHeight="1"/>
    <row r="9274" ht="15" customHeight="1"/>
    <row r="9275" ht="15" customHeight="1"/>
    <row r="9276" ht="15" customHeight="1"/>
    <row r="9277" ht="15" customHeight="1"/>
    <row r="9278" ht="15" customHeight="1"/>
    <row r="9279" ht="15" customHeight="1"/>
    <row r="9280" ht="15" customHeight="1"/>
    <row r="9281" ht="15" customHeight="1"/>
    <row r="9282" ht="15" customHeight="1"/>
    <row r="9283" ht="15" customHeight="1"/>
    <row r="9284" ht="15" customHeight="1"/>
    <row r="9285" ht="15" customHeight="1"/>
    <row r="9286" ht="15" customHeight="1"/>
    <row r="9287" ht="15" customHeight="1"/>
    <row r="9288" ht="15" customHeight="1"/>
    <row r="9289" ht="15" customHeight="1"/>
    <row r="9290" ht="15" customHeight="1"/>
    <row r="9291" ht="15" customHeight="1"/>
    <row r="9292" ht="15" customHeight="1"/>
    <row r="9293" ht="15" customHeight="1"/>
    <row r="9294" ht="15" customHeight="1"/>
    <row r="9295" ht="15" customHeight="1"/>
    <row r="9296" ht="15" customHeight="1"/>
    <row r="9297" ht="15" customHeight="1"/>
    <row r="9298" ht="15" customHeight="1"/>
    <row r="9299" ht="15" customHeight="1"/>
    <row r="9300" ht="15" customHeight="1"/>
    <row r="9301" ht="15" customHeight="1"/>
    <row r="9302" ht="15" customHeight="1"/>
    <row r="9303" ht="15" customHeight="1"/>
    <row r="9304" ht="15" customHeight="1"/>
    <row r="9305" ht="15" customHeight="1"/>
    <row r="9306" ht="15" customHeight="1"/>
    <row r="9307" ht="15" customHeight="1"/>
    <row r="9308" ht="15" customHeight="1"/>
    <row r="9309" ht="15" customHeight="1"/>
    <row r="9310" ht="15" customHeight="1"/>
    <row r="9311" ht="15" customHeight="1"/>
    <row r="9312" ht="15" customHeight="1"/>
    <row r="9313" ht="15" customHeight="1"/>
    <row r="9314" ht="15" customHeight="1"/>
    <row r="9315" ht="15" customHeight="1"/>
    <row r="9316" ht="15" customHeight="1"/>
    <row r="9317" ht="15" customHeight="1"/>
    <row r="9318" ht="15" customHeight="1"/>
    <row r="9319" ht="15" customHeight="1"/>
    <row r="9320" ht="15" customHeight="1"/>
    <row r="9321" ht="15" customHeight="1"/>
    <row r="9322" ht="15" customHeight="1"/>
    <row r="9323" ht="15" customHeight="1"/>
    <row r="9324" ht="15" customHeight="1"/>
    <row r="9325" ht="15" customHeight="1"/>
    <row r="9326" ht="15" customHeight="1"/>
    <row r="9327" ht="15" customHeight="1"/>
    <row r="9328" ht="15" customHeight="1"/>
    <row r="9329" ht="15" customHeight="1"/>
    <row r="9330" ht="15" customHeight="1"/>
    <row r="9331" ht="15" customHeight="1"/>
    <row r="9332" ht="15" customHeight="1"/>
    <row r="9333" ht="15" customHeight="1"/>
    <row r="9334" ht="15" customHeight="1"/>
    <row r="9335" ht="15" customHeight="1"/>
    <row r="9336" ht="15" customHeight="1"/>
    <row r="9337" ht="15" customHeight="1"/>
    <row r="9338" ht="15" customHeight="1"/>
    <row r="9339" ht="15" customHeight="1"/>
    <row r="9340" ht="15" customHeight="1"/>
    <row r="9341" ht="15" customHeight="1"/>
    <row r="9342" ht="15" customHeight="1"/>
    <row r="9343" ht="15" customHeight="1"/>
    <row r="9344" ht="15" customHeight="1"/>
    <row r="9345" ht="15" customHeight="1"/>
    <row r="9346" ht="15" customHeight="1"/>
    <row r="9347" ht="15" customHeight="1"/>
    <row r="9348" ht="15" customHeight="1"/>
    <row r="9349" ht="15" customHeight="1"/>
    <row r="9350" ht="15" customHeight="1"/>
    <row r="9351" ht="15" customHeight="1"/>
    <row r="9352" ht="15" customHeight="1"/>
    <row r="9353" ht="15" customHeight="1"/>
    <row r="9354" ht="15" customHeight="1"/>
    <row r="9355" ht="15" customHeight="1"/>
    <row r="9356" ht="15" customHeight="1"/>
    <row r="9357" ht="15" customHeight="1"/>
    <row r="9358" ht="15" customHeight="1"/>
    <row r="9359" ht="15" customHeight="1"/>
    <row r="9360" ht="15" customHeight="1"/>
    <row r="9361" ht="15" customHeight="1"/>
    <row r="9362" ht="15" customHeight="1"/>
    <row r="9363" ht="15" customHeight="1"/>
    <row r="9364" ht="15" customHeight="1"/>
    <row r="9365" ht="15" customHeight="1"/>
    <row r="9366" ht="15" customHeight="1"/>
    <row r="9367" ht="15" customHeight="1"/>
    <row r="9368" ht="15" customHeight="1"/>
    <row r="9369" ht="15" customHeight="1"/>
    <row r="9370" ht="15" customHeight="1"/>
    <row r="9371" ht="15" customHeight="1"/>
    <row r="9372" ht="15" customHeight="1"/>
    <row r="9373" ht="15" customHeight="1"/>
    <row r="9374" ht="15" customHeight="1"/>
    <row r="9375" ht="15" customHeight="1"/>
    <row r="9376" ht="15" customHeight="1"/>
    <row r="9377" ht="15" customHeight="1"/>
    <row r="9378" ht="15" customHeight="1"/>
    <row r="9379" ht="15" customHeight="1"/>
    <row r="9380" ht="15" customHeight="1"/>
    <row r="9381" ht="15" customHeight="1"/>
    <row r="9382" ht="15" customHeight="1"/>
    <row r="9383" ht="15" customHeight="1"/>
    <row r="9384" ht="15" customHeight="1"/>
    <row r="9385" ht="15" customHeight="1"/>
    <row r="9386" ht="15" customHeight="1"/>
    <row r="9387" ht="15" customHeight="1"/>
    <row r="9388" ht="15" customHeight="1"/>
    <row r="9389" ht="15" customHeight="1"/>
    <row r="9390" ht="15" customHeight="1"/>
    <row r="9391" ht="15" customHeight="1"/>
    <row r="9392" ht="15" customHeight="1"/>
    <row r="9393" ht="15" customHeight="1"/>
    <row r="9394" ht="15" customHeight="1"/>
    <row r="9395" ht="15" customHeight="1"/>
    <row r="9396" ht="15" customHeight="1"/>
    <row r="9397" ht="15" customHeight="1"/>
    <row r="9398" ht="15" customHeight="1"/>
    <row r="9399" ht="15" customHeight="1"/>
    <row r="9400" ht="15" customHeight="1"/>
    <row r="9401" ht="15" customHeight="1"/>
    <row r="9402" ht="15" customHeight="1"/>
    <row r="9403" ht="15" customHeight="1"/>
    <row r="9404" ht="15" customHeight="1"/>
    <row r="9405" ht="15" customHeight="1"/>
    <row r="9406" ht="15" customHeight="1"/>
    <row r="9407" ht="15" customHeight="1"/>
    <row r="9408" ht="15" customHeight="1"/>
    <row r="9409" ht="15" customHeight="1"/>
    <row r="9410" ht="15" customHeight="1"/>
    <row r="9411" ht="15" customHeight="1"/>
    <row r="9412" ht="15" customHeight="1"/>
    <row r="9413" ht="15" customHeight="1"/>
    <row r="9414" ht="15" customHeight="1"/>
    <row r="9415" ht="15" customHeight="1"/>
    <row r="9416" ht="15" customHeight="1"/>
    <row r="9417" ht="15" customHeight="1"/>
    <row r="9418" ht="15" customHeight="1"/>
    <row r="9419" ht="15" customHeight="1"/>
    <row r="9420" ht="15" customHeight="1"/>
    <row r="9421" ht="15" customHeight="1"/>
    <row r="9422" ht="15" customHeight="1"/>
    <row r="9423" ht="15" customHeight="1"/>
    <row r="9424" ht="15" customHeight="1"/>
    <row r="9425" ht="15" customHeight="1"/>
    <row r="9426" ht="15" customHeight="1"/>
    <row r="9427" ht="15" customHeight="1"/>
    <row r="9428" ht="15" customHeight="1"/>
    <row r="9429" ht="15" customHeight="1"/>
    <row r="9430" ht="15" customHeight="1"/>
    <row r="9431" ht="15" customHeight="1"/>
    <row r="9432" ht="15" customHeight="1"/>
    <row r="9433" ht="15" customHeight="1"/>
    <row r="9434" ht="15" customHeight="1"/>
    <row r="9435" ht="15" customHeight="1"/>
    <row r="9436" ht="15" customHeight="1"/>
    <row r="9437" ht="15" customHeight="1"/>
    <row r="9438" ht="15" customHeight="1"/>
    <row r="9439" ht="15" customHeight="1"/>
    <row r="9440" ht="15" customHeight="1"/>
    <row r="9441" ht="15" customHeight="1"/>
    <row r="9442" ht="15" customHeight="1"/>
    <row r="9443" ht="15" customHeight="1"/>
    <row r="9444" ht="15" customHeight="1"/>
    <row r="9445" ht="15" customHeight="1"/>
    <row r="9446" ht="15" customHeight="1"/>
    <row r="9447" ht="15" customHeight="1"/>
    <row r="9448" ht="15" customHeight="1"/>
    <row r="9449" ht="15" customHeight="1"/>
    <row r="9450" ht="15" customHeight="1"/>
    <row r="9451" ht="15" customHeight="1"/>
    <row r="9452" ht="15" customHeight="1"/>
    <row r="9453" ht="15" customHeight="1"/>
    <row r="9454" ht="15" customHeight="1"/>
    <row r="9455" ht="15" customHeight="1"/>
    <row r="9456" ht="15" customHeight="1"/>
    <row r="9457" ht="15" customHeight="1"/>
    <row r="9458" ht="15" customHeight="1"/>
    <row r="9459" ht="15" customHeight="1"/>
    <row r="9460" ht="15" customHeight="1"/>
    <row r="9461" ht="15" customHeight="1"/>
    <row r="9462" ht="15" customHeight="1"/>
    <row r="9463" ht="15" customHeight="1"/>
    <row r="9464" ht="15" customHeight="1"/>
    <row r="9465" ht="15" customHeight="1"/>
    <row r="9466" ht="15" customHeight="1"/>
    <row r="9467" ht="15" customHeight="1"/>
    <row r="9468" ht="15" customHeight="1"/>
    <row r="9469" ht="15" customHeight="1"/>
    <row r="9470" ht="15" customHeight="1"/>
    <row r="9471" ht="15" customHeight="1"/>
    <row r="9472" ht="15" customHeight="1"/>
    <row r="9473" ht="15" customHeight="1"/>
    <row r="9474" ht="15" customHeight="1"/>
    <row r="9475" ht="15" customHeight="1"/>
    <row r="9476" ht="15" customHeight="1"/>
    <row r="9477" ht="15" customHeight="1"/>
    <row r="9478" ht="15" customHeight="1"/>
    <row r="9479" ht="15" customHeight="1"/>
    <row r="9480" ht="15" customHeight="1"/>
    <row r="9481" ht="15" customHeight="1"/>
    <row r="9482" ht="15" customHeight="1"/>
    <row r="9483" ht="15" customHeight="1"/>
    <row r="9484" ht="15" customHeight="1"/>
    <row r="9485" ht="15" customHeight="1"/>
    <row r="9486" ht="15" customHeight="1"/>
    <row r="9487" ht="15" customHeight="1"/>
    <row r="9488" ht="15" customHeight="1"/>
    <row r="9489" ht="15" customHeight="1"/>
    <row r="9490" ht="15" customHeight="1"/>
    <row r="9491" ht="15" customHeight="1"/>
    <row r="9492" ht="15" customHeight="1"/>
    <row r="9493" ht="15" customHeight="1"/>
    <row r="9494" ht="15" customHeight="1"/>
    <row r="9495" ht="15" customHeight="1"/>
    <row r="9496" ht="15" customHeight="1"/>
    <row r="9497" ht="15" customHeight="1"/>
    <row r="9498" ht="15" customHeight="1"/>
    <row r="9499" ht="15" customHeight="1"/>
    <row r="9500" ht="15" customHeight="1"/>
    <row r="9501" ht="15" customHeight="1"/>
    <row r="9502" ht="15" customHeight="1"/>
    <row r="9503" ht="15" customHeight="1"/>
    <row r="9504" ht="15" customHeight="1"/>
    <row r="9505" ht="15" customHeight="1"/>
    <row r="9506" ht="15" customHeight="1"/>
    <row r="9507" ht="15" customHeight="1"/>
    <row r="9508" ht="15" customHeight="1"/>
    <row r="9509" ht="15" customHeight="1"/>
    <row r="9510" ht="15" customHeight="1"/>
    <row r="9511" ht="15" customHeight="1"/>
    <row r="9512" ht="15" customHeight="1"/>
    <row r="9513" ht="15" customHeight="1"/>
    <row r="9514" ht="15" customHeight="1"/>
    <row r="9515" ht="15" customHeight="1"/>
    <row r="9516" ht="15" customHeight="1"/>
    <row r="9517" ht="15" customHeight="1"/>
    <row r="9518" ht="15" customHeight="1"/>
    <row r="9519" ht="15" customHeight="1"/>
    <row r="9520" ht="15" customHeight="1"/>
    <row r="9521" ht="15" customHeight="1"/>
    <row r="9522" ht="15" customHeight="1"/>
    <row r="9523" ht="15" customHeight="1"/>
    <row r="9524" ht="15" customHeight="1"/>
    <row r="9525" ht="15" customHeight="1"/>
    <row r="9526" ht="15" customHeight="1"/>
    <row r="9527" ht="15" customHeight="1"/>
    <row r="9528" ht="15" customHeight="1"/>
    <row r="9529" ht="15" customHeight="1"/>
    <row r="9530" ht="15" customHeight="1"/>
    <row r="9531" ht="15" customHeight="1"/>
    <row r="9532" ht="15" customHeight="1"/>
    <row r="9533" ht="15" customHeight="1"/>
    <row r="9534" ht="15" customHeight="1"/>
    <row r="9535" ht="15" customHeight="1"/>
    <row r="9536" ht="15" customHeight="1"/>
    <row r="9537" ht="15" customHeight="1"/>
    <row r="9538" ht="15" customHeight="1"/>
    <row r="9539" ht="15" customHeight="1"/>
    <row r="9540" ht="15" customHeight="1"/>
    <row r="9541" ht="15" customHeight="1"/>
    <row r="9542" ht="15" customHeight="1"/>
    <row r="9543" ht="15" customHeight="1"/>
    <row r="9544" ht="15" customHeight="1"/>
    <row r="9545" ht="15" customHeight="1"/>
    <row r="9546" ht="15" customHeight="1"/>
    <row r="9547" ht="15" customHeight="1"/>
    <row r="9548" ht="15" customHeight="1"/>
    <row r="9549" ht="15" customHeight="1"/>
    <row r="9550" ht="15" customHeight="1"/>
    <row r="9551" ht="15" customHeight="1"/>
    <row r="9552" ht="15" customHeight="1"/>
    <row r="9553" ht="15" customHeight="1"/>
    <row r="9554" ht="15" customHeight="1"/>
    <row r="9555" ht="15" customHeight="1"/>
    <row r="9556" ht="15" customHeight="1"/>
    <row r="9557" ht="15" customHeight="1"/>
    <row r="9558" ht="15" customHeight="1"/>
    <row r="9559" ht="15" customHeight="1"/>
    <row r="9560" ht="15" customHeight="1"/>
    <row r="9561" ht="15" customHeight="1"/>
    <row r="9562" ht="15" customHeight="1"/>
    <row r="9563" ht="15" customHeight="1"/>
    <row r="9564" ht="15" customHeight="1"/>
    <row r="9565" ht="15" customHeight="1"/>
    <row r="9566" ht="15" customHeight="1"/>
    <row r="9567" ht="15" customHeight="1"/>
    <row r="9568" ht="15" customHeight="1"/>
    <row r="9569" ht="15" customHeight="1"/>
    <row r="9570" ht="15" customHeight="1"/>
    <row r="9571" ht="15" customHeight="1"/>
    <row r="9572" ht="15" customHeight="1"/>
    <row r="9573" ht="15" customHeight="1"/>
    <row r="9574" ht="15" customHeight="1"/>
    <row r="9575" ht="15" customHeight="1"/>
    <row r="9576" ht="15" customHeight="1"/>
    <row r="9577" ht="15" customHeight="1"/>
    <row r="9578" ht="15" customHeight="1"/>
    <row r="9579" ht="15" customHeight="1"/>
    <row r="9580" ht="15" customHeight="1"/>
    <row r="9581" ht="15" customHeight="1"/>
    <row r="9582" ht="15" customHeight="1"/>
    <row r="9583" ht="15" customHeight="1"/>
    <row r="9584" ht="15" customHeight="1"/>
    <row r="9585" ht="15" customHeight="1"/>
    <row r="9586" ht="15" customHeight="1"/>
    <row r="9587" ht="15" customHeight="1"/>
    <row r="9588" ht="15" customHeight="1"/>
    <row r="9589" ht="15" customHeight="1"/>
    <row r="9590" ht="15" customHeight="1"/>
    <row r="9591" ht="15" customHeight="1"/>
    <row r="9592" ht="15" customHeight="1"/>
    <row r="9593" ht="15" customHeight="1"/>
    <row r="9594" ht="15" customHeight="1"/>
    <row r="9595" ht="15" customHeight="1"/>
    <row r="9596" ht="15" customHeight="1"/>
    <row r="9597" ht="15" customHeight="1"/>
    <row r="9598" ht="15" customHeight="1"/>
    <row r="9599" ht="15" customHeight="1"/>
    <row r="9600" ht="15" customHeight="1"/>
    <row r="9601" ht="15" customHeight="1"/>
    <row r="9602" ht="15" customHeight="1"/>
    <row r="9603" ht="15" customHeight="1"/>
    <row r="9604" ht="15" customHeight="1"/>
    <row r="9605" ht="15" customHeight="1"/>
    <row r="9606" ht="15" customHeight="1"/>
    <row r="9607" ht="15" customHeight="1"/>
    <row r="9608" ht="15" customHeight="1"/>
    <row r="9609" ht="15" customHeight="1"/>
    <row r="9610" ht="15" customHeight="1"/>
    <row r="9611" ht="15" customHeight="1"/>
    <row r="9612" ht="15" customHeight="1"/>
    <row r="9613" ht="15" customHeight="1"/>
    <row r="9614" ht="15" customHeight="1"/>
    <row r="9615" ht="15" customHeight="1"/>
    <row r="9616" ht="15" customHeight="1"/>
    <row r="9617" ht="15" customHeight="1"/>
    <row r="9618" ht="15" customHeight="1"/>
    <row r="9619" ht="15" customHeight="1"/>
    <row r="9620" ht="15" customHeight="1"/>
    <row r="9621" ht="15" customHeight="1"/>
    <row r="9622" ht="15" customHeight="1"/>
    <row r="9623" ht="15" customHeight="1"/>
    <row r="9624" ht="15" customHeight="1"/>
    <row r="9625" ht="15" customHeight="1"/>
    <row r="9626" ht="15" customHeight="1"/>
    <row r="9627" ht="15" customHeight="1"/>
    <row r="9628" ht="15" customHeight="1"/>
    <row r="9629" ht="15" customHeight="1"/>
    <row r="9630" ht="15" customHeight="1"/>
    <row r="9631" ht="15" customHeight="1"/>
    <row r="9632" ht="15" customHeight="1"/>
    <row r="9633" ht="15" customHeight="1"/>
    <row r="9634" ht="15" customHeight="1"/>
    <row r="9635" ht="15" customHeight="1"/>
    <row r="9636" ht="15" customHeight="1"/>
    <row r="9637" ht="15" customHeight="1"/>
    <row r="9638" ht="15" customHeight="1"/>
    <row r="9639" ht="15" customHeight="1"/>
    <row r="9640" ht="15" customHeight="1"/>
    <row r="9641" ht="15" customHeight="1"/>
    <row r="9642" ht="15" customHeight="1"/>
    <row r="9643" ht="15" customHeight="1"/>
    <row r="9644" ht="15" customHeight="1"/>
    <row r="9645" ht="15" customHeight="1"/>
    <row r="9646" ht="15" customHeight="1"/>
    <row r="9647" ht="15" customHeight="1"/>
    <row r="9648" ht="15" customHeight="1"/>
    <row r="9649" ht="15" customHeight="1"/>
    <row r="9650" ht="15" customHeight="1"/>
    <row r="9651" ht="15" customHeight="1"/>
    <row r="9652" ht="15" customHeight="1"/>
    <row r="9653" ht="15" customHeight="1"/>
    <row r="9654" ht="15" customHeight="1"/>
    <row r="9655" ht="15" customHeight="1"/>
    <row r="9656" ht="15" customHeight="1"/>
    <row r="9657" ht="15" customHeight="1"/>
    <row r="9658" ht="15" customHeight="1"/>
    <row r="9659" ht="15" customHeight="1"/>
    <row r="9660" ht="15" customHeight="1"/>
    <row r="9661" ht="15" customHeight="1"/>
    <row r="9662" ht="15" customHeight="1"/>
    <row r="9663" ht="15" customHeight="1"/>
    <row r="9664" ht="15" customHeight="1"/>
    <row r="9665" ht="15" customHeight="1"/>
    <row r="9666" ht="15" customHeight="1"/>
    <row r="9667" ht="15" customHeight="1"/>
    <row r="9668" ht="15" customHeight="1"/>
    <row r="9669" ht="15" customHeight="1"/>
    <row r="9670" ht="15" customHeight="1"/>
    <row r="9671" ht="15" customHeight="1"/>
    <row r="9672" ht="15" customHeight="1"/>
    <row r="9673" ht="15" customHeight="1"/>
    <row r="9674" ht="15" customHeight="1"/>
    <row r="9675" ht="15" customHeight="1"/>
    <row r="9676" ht="15" customHeight="1"/>
    <row r="9677" ht="15" customHeight="1"/>
    <row r="9678" ht="15" customHeight="1"/>
    <row r="9679" ht="15" customHeight="1"/>
    <row r="9680" ht="15" customHeight="1"/>
    <row r="9681" ht="15" customHeight="1"/>
    <row r="9682" ht="15" customHeight="1"/>
    <row r="9683" ht="15" customHeight="1"/>
    <row r="9684" ht="15" customHeight="1"/>
    <row r="9685" ht="15" customHeight="1"/>
    <row r="9686" ht="15" customHeight="1"/>
    <row r="9687" ht="15" customHeight="1"/>
    <row r="9688" ht="15" customHeight="1"/>
    <row r="9689" ht="15" customHeight="1"/>
    <row r="9690" ht="15" customHeight="1"/>
    <row r="9691" ht="15" customHeight="1"/>
    <row r="9692" ht="15" customHeight="1"/>
    <row r="9693" ht="15" customHeight="1"/>
    <row r="9694" ht="15" customHeight="1"/>
    <row r="9695" ht="15" customHeight="1"/>
    <row r="9696" ht="15" customHeight="1"/>
    <row r="9697" ht="15" customHeight="1"/>
    <row r="9698" ht="15" customHeight="1"/>
    <row r="9699" ht="15" customHeight="1"/>
    <row r="9700" ht="15" customHeight="1"/>
    <row r="9701" ht="15" customHeight="1"/>
    <row r="9702" ht="15" customHeight="1"/>
    <row r="9703" ht="15" customHeight="1"/>
    <row r="9704" ht="15" customHeight="1"/>
    <row r="9705" ht="15" customHeight="1"/>
    <row r="9706" ht="15" customHeight="1"/>
    <row r="9707" ht="15" customHeight="1"/>
    <row r="9708" ht="15" customHeight="1"/>
    <row r="9709" ht="15" customHeight="1"/>
    <row r="9710" ht="15" customHeight="1"/>
    <row r="9711" ht="15" customHeight="1"/>
    <row r="9712" ht="15" customHeight="1"/>
    <row r="9713" ht="15" customHeight="1"/>
    <row r="9714" ht="15" customHeight="1"/>
    <row r="9715" ht="15" customHeight="1"/>
    <row r="9716" ht="15" customHeight="1"/>
    <row r="9717" ht="15" customHeight="1"/>
    <row r="9718" ht="15" customHeight="1"/>
    <row r="9719" ht="15" customHeight="1"/>
    <row r="9720" ht="15" customHeight="1"/>
    <row r="9721" ht="15" customHeight="1"/>
    <row r="9722" ht="15" customHeight="1"/>
    <row r="9723" ht="15" customHeight="1"/>
    <row r="9724" ht="15" customHeight="1"/>
    <row r="9725" ht="15" customHeight="1"/>
    <row r="9726" ht="15" customHeight="1"/>
    <row r="9727" ht="15" customHeight="1"/>
    <row r="9728" ht="15" customHeight="1"/>
    <row r="9729" ht="15" customHeight="1"/>
    <row r="9730" ht="15" customHeight="1"/>
    <row r="9731" ht="15" customHeight="1"/>
    <row r="9732" ht="15" customHeight="1"/>
    <row r="9733" ht="15" customHeight="1"/>
    <row r="9734" ht="15" customHeight="1"/>
    <row r="9735" ht="15" customHeight="1"/>
    <row r="9736" ht="15" customHeight="1"/>
    <row r="9737" ht="15" customHeight="1"/>
    <row r="9738" ht="15" customHeight="1"/>
    <row r="9739" ht="15" customHeight="1"/>
    <row r="9740" ht="15" customHeight="1"/>
    <row r="9741" ht="15" customHeight="1"/>
    <row r="9742" ht="15" customHeight="1"/>
    <row r="9743" ht="15" customHeight="1"/>
    <row r="9744" ht="15" customHeight="1"/>
    <row r="9745" ht="15" customHeight="1"/>
    <row r="9746" ht="15" customHeight="1"/>
    <row r="9747" ht="15" customHeight="1"/>
    <row r="9748" ht="15" customHeight="1"/>
    <row r="9749" ht="15" customHeight="1"/>
    <row r="9750" ht="15" customHeight="1"/>
    <row r="9751" ht="15" customHeight="1"/>
    <row r="9752" ht="15" customHeight="1"/>
    <row r="9753" ht="15" customHeight="1"/>
    <row r="9754" ht="15" customHeight="1"/>
    <row r="9755" ht="15" customHeight="1"/>
    <row r="9756" ht="15" customHeight="1"/>
    <row r="9757" ht="15" customHeight="1"/>
    <row r="9758" ht="15" customHeight="1"/>
    <row r="9759" ht="15" customHeight="1"/>
    <row r="9760" ht="15" customHeight="1"/>
    <row r="9761" ht="15" customHeight="1"/>
    <row r="9762" ht="15" customHeight="1"/>
    <row r="9763" ht="15" customHeight="1"/>
    <row r="9764" ht="15" customHeight="1"/>
    <row r="9765" ht="15" customHeight="1"/>
    <row r="9766" ht="15" customHeight="1"/>
    <row r="9767" ht="15" customHeight="1"/>
    <row r="9768" ht="15" customHeight="1"/>
    <row r="9769" ht="15" customHeight="1"/>
    <row r="9770" ht="15" customHeight="1"/>
    <row r="9771" ht="15" customHeight="1"/>
    <row r="9772" ht="15" customHeight="1"/>
    <row r="9773" ht="15" customHeight="1"/>
    <row r="9774" ht="15" customHeight="1"/>
    <row r="9775" ht="15" customHeight="1"/>
    <row r="9776" ht="15" customHeight="1"/>
    <row r="9777" ht="15" customHeight="1"/>
    <row r="9778" ht="15" customHeight="1"/>
    <row r="9779" ht="15" customHeight="1"/>
    <row r="9780" ht="15" customHeight="1"/>
    <row r="9781" ht="15" customHeight="1"/>
    <row r="9782" ht="15" customHeight="1"/>
    <row r="9783" ht="15" customHeight="1"/>
    <row r="9784" ht="15" customHeight="1"/>
    <row r="9785" ht="15" customHeight="1"/>
    <row r="9786" ht="15" customHeight="1"/>
    <row r="9787" ht="15" customHeight="1"/>
    <row r="9788" ht="15" customHeight="1"/>
    <row r="9789" ht="15" customHeight="1"/>
    <row r="9790" ht="15" customHeight="1"/>
    <row r="9791" ht="15" customHeight="1"/>
    <row r="9792" ht="15" customHeight="1"/>
    <row r="9793" ht="15" customHeight="1"/>
    <row r="9794" ht="15" customHeight="1"/>
    <row r="9795" ht="15" customHeight="1"/>
    <row r="9796" ht="15" customHeight="1"/>
    <row r="9797" ht="15" customHeight="1"/>
    <row r="9798" ht="15" customHeight="1"/>
    <row r="9799" ht="15" customHeight="1"/>
    <row r="9800" ht="15" customHeight="1"/>
    <row r="9801" ht="15" customHeight="1"/>
    <row r="9802" ht="15" customHeight="1"/>
    <row r="9803" ht="15" customHeight="1"/>
    <row r="9804" ht="15" customHeight="1"/>
    <row r="9805" ht="15" customHeight="1"/>
    <row r="9806" ht="15" customHeight="1"/>
    <row r="9807" ht="15" customHeight="1"/>
    <row r="9808" ht="15" customHeight="1"/>
    <row r="9809" ht="15" customHeight="1"/>
    <row r="9810" ht="15" customHeight="1"/>
    <row r="9811" ht="15" customHeight="1"/>
    <row r="9812" ht="15" customHeight="1"/>
    <row r="9813" ht="15" customHeight="1"/>
    <row r="9814" ht="15" customHeight="1"/>
    <row r="9815" ht="15" customHeight="1"/>
    <row r="9816" ht="15" customHeight="1"/>
    <row r="9817" ht="15" customHeight="1"/>
    <row r="9818" ht="15" customHeight="1"/>
    <row r="9819" ht="15" customHeight="1"/>
    <row r="9820" ht="15" customHeight="1"/>
    <row r="9821" ht="15" customHeight="1"/>
    <row r="9822" ht="15" customHeight="1"/>
    <row r="9823" ht="15" customHeight="1"/>
    <row r="9824" ht="15" customHeight="1"/>
    <row r="9825" ht="15" customHeight="1"/>
    <row r="9826" ht="15" customHeight="1"/>
    <row r="9827" ht="15" customHeight="1"/>
    <row r="9828" ht="15" customHeight="1"/>
    <row r="9829" ht="15" customHeight="1"/>
    <row r="9830" ht="15" customHeight="1"/>
    <row r="9831" ht="15" customHeight="1"/>
    <row r="9832" ht="15" customHeight="1"/>
    <row r="9833" ht="15" customHeight="1"/>
    <row r="9834" ht="15" customHeight="1"/>
    <row r="9835" ht="15" customHeight="1"/>
    <row r="9836" ht="15" customHeight="1"/>
    <row r="9837" ht="15" customHeight="1"/>
    <row r="9838" ht="15" customHeight="1"/>
    <row r="9839" ht="15" customHeight="1"/>
    <row r="9840" ht="15" customHeight="1"/>
    <row r="9841" ht="15" customHeight="1"/>
    <row r="9842" ht="15" customHeight="1"/>
    <row r="9843" ht="15" customHeight="1"/>
    <row r="9844" ht="15" customHeight="1"/>
    <row r="9845" ht="15" customHeight="1"/>
    <row r="9846" ht="15" customHeight="1"/>
    <row r="9847" ht="15" customHeight="1"/>
    <row r="9848" ht="15" customHeight="1"/>
    <row r="9849" ht="15" customHeight="1"/>
    <row r="9850" ht="15" customHeight="1"/>
    <row r="9851" ht="15" customHeight="1"/>
    <row r="9852" ht="15" customHeight="1"/>
    <row r="9853" ht="15" customHeight="1"/>
    <row r="9854" ht="15" customHeight="1"/>
    <row r="9855" ht="15" customHeight="1"/>
    <row r="9856" ht="15" customHeight="1"/>
    <row r="9857" ht="15" customHeight="1"/>
    <row r="9858" ht="15" customHeight="1"/>
    <row r="9859" ht="15" customHeight="1"/>
    <row r="9860" ht="15" customHeight="1"/>
    <row r="9861" ht="15" customHeight="1"/>
    <row r="9862" ht="15" customHeight="1"/>
    <row r="9863" ht="15" customHeight="1"/>
    <row r="9864" ht="15" customHeight="1"/>
    <row r="9865" ht="15" customHeight="1"/>
    <row r="9866" ht="15" customHeight="1"/>
    <row r="9867" ht="15" customHeight="1"/>
    <row r="9868" ht="15" customHeight="1"/>
    <row r="9869" ht="15" customHeight="1"/>
    <row r="9870" ht="15" customHeight="1"/>
    <row r="9871" ht="15" customHeight="1"/>
    <row r="9872" ht="15" customHeight="1"/>
    <row r="9873" ht="15" customHeight="1"/>
    <row r="9874" ht="15" customHeight="1"/>
    <row r="9875" ht="15" customHeight="1"/>
    <row r="9876" ht="15" customHeight="1"/>
    <row r="9877" ht="15" customHeight="1"/>
    <row r="9878" ht="15" customHeight="1"/>
    <row r="9879" ht="15" customHeight="1"/>
    <row r="9880" ht="15" customHeight="1"/>
    <row r="9881" ht="15" customHeight="1"/>
    <row r="9882" ht="15" customHeight="1"/>
    <row r="9883" ht="15" customHeight="1"/>
    <row r="9884" ht="15" customHeight="1"/>
    <row r="9885" ht="15" customHeight="1"/>
    <row r="9886" ht="15" customHeight="1"/>
    <row r="9887" ht="15" customHeight="1"/>
    <row r="9888" ht="15" customHeight="1"/>
    <row r="9889" ht="15" customHeight="1"/>
    <row r="9890" ht="15" customHeight="1"/>
    <row r="9891" ht="15" customHeight="1"/>
    <row r="9892" ht="15" customHeight="1"/>
    <row r="9893" ht="15" customHeight="1"/>
    <row r="9894" ht="15" customHeight="1"/>
    <row r="9895" ht="15" customHeight="1"/>
    <row r="9896" ht="15" customHeight="1"/>
    <row r="9897" ht="15" customHeight="1"/>
    <row r="9898" ht="15" customHeight="1"/>
    <row r="9899" ht="15" customHeight="1"/>
    <row r="9900" ht="15" customHeight="1"/>
    <row r="9901" ht="15" customHeight="1"/>
    <row r="9902" ht="15" customHeight="1"/>
    <row r="9903" ht="15" customHeight="1"/>
    <row r="9904" ht="15" customHeight="1"/>
    <row r="9905" ht="15" customHeight="1"/>
    <row r="9906" ht="15" customHeight="1"/>
    <row r="9907" ht="15" customHeight="1"/>
    <row r="9908" ht="15" customHeight="1"/>
    <row r="9909" ht="15" customHeight="1"/>
    <row r="9910" ht="15" customHeight="1"/>
    <row r="9911" ht="15" customHeight="1"/>
    <row r="9912" ht="15" customHeight="1"/>
    <row r="9913" ht="15" customHeight="1"/>
    <row r="9914" ht="15" customHeight="1"/>
    <row r="9915" ht="15" customHeight="1"/>
    <row r="9916" ht="15" customHeight="1"/>
    <row r="9917" ht="15" customHeight="1"/>
    <row r="9918" ht="15" customHeight="1"/>
    <row r="9919" ht="15" customHeight="1"/>
    <row r="9920" ht="15" customHeight="1"/>
    <row r="9921" ht="15" customHeight="1"/>
    <row r="9922" ht="15" customHeight="1"/>
    <row r="9923" ht="15" customHeight="1"/>
    <row r="9924" ht="15" customHeight="1"/>
    <row r="9925" ht="15" customHeight="1"/>
    <row r="9926" ht="15" customHeight="1"/>
    <row r="9927" ht="15" customHeight="1"/>
    <row r="9928" ht="15" customHeight="1"/>
    <row r="9929" ht="15" customHeight="1"/>
    <row r="9930" ht="15" customHeight="1"/>
    <row r="9931" ht="15" customHeight="1"/>
    <row r="9932" ht="15" customHeight="1"/>
    <row r="9933" ht="15" customHeight="1"/>
    <row r="9934" ht="15" customHeight="1"/>
    <row r="9935" ht="15" customHeight="1"/>
    <row r="9936" ht="15" customHeight="1"/>
    <row r="9937" ht="15" customHeight="1"/>
    <row r="9938" ht="15" customHeight="1"/>
    <row r="9939" ht="15" customHeight="1"/>
    <row r="9940" ht="15" customHeight="1"/>
    <row r="9941" ht="15" customHeight="1"/>
    <row r="9942" ht="15" customHeight="1"/>
    <row r="9943" ht="15" customHeight="1"/>
    <row r="9944" ht="15" customHeight="1"/>
    <row r="9945" ht="15" customHeight="1"/>
    <row r="9946" ht="15" customHeight="1"/>
    <row r="9947" ht="15" customHeight="1"/>
    <row r="9948" ht="15" customHeight="1"/>
    <row r="9949" ht="15" customHeight="1"/>
    <row r="9950" ht="15" customHeight="1"/>
    <row r="9951" ht="15" customHeight="1"/>
    <row r="9952" ht="15" customHeight="1"/>
    <row r="9953" ht="15" customHeight="1"/>
    <row r="9954" ht="15" customHeight="1"/>
    <row r="9955" ht="15" customHeight="1"/>
    <row r="9956" ht="15" customHeight="1"/>
    <row r="9957" ht="15" customHeight="1"/>
    <row r="9958" ht="15" customHeight="1"/>
    <row r="9959" ht="15" customHeight="1"/>
    <row r="9960" ht="15" customHeight="1"/>
    <row r="9961" ht="15" customHeight="1"/>
    <row r="9962" ht="15" customHeight="1"/>
    <row r="9963" ht="15" customHeight="1"/>
    <row r="9964" ht="15" customHeight="1"/>
    <row r="9965" ht="15" customHeight="1"/>
    <row r="9966" ht="15" customHeight="1"/>
    <row r="9967" ht="15" customHeight="1"/>
    <row r="9968" ht="15" customHeight="1"/>
    <row r="9969" ht="15" customHeight="1"/>
    <row r="9970" ht="15" customHeight="1"/>
    <row r="9971" ht="15" customHeight="1"/>
    <row r="9972" ht="15" customHeight="1"/>
    <row r="9973" ht="15" customHeight="1"/>
    <row r="9974" ht="15" customHeight="1"/>
    <row r="9975" ht="15" customHeight="1"/>
    <row r="9976" ht="15" customHeight="1"/>
    <row r="9977" ht="15" customHeight="1"/>
    <row r="9978" ht="15" customHeight="1"/>
    <row r="9979" ht="15" customHeight="1"/>
    <row r="9980" ht="15" customHeight="1"/>
    <row r="9981" ht="15" customHeight="1"/>
    <row r="9982" ht="15" customHeight="1"/>
    <row r="9983" ht="15" customHeight="1"/>
    <row r="9984" ht="15" customHeight="1"/>
    <row r="9985" ht="15" customHeight="1"/>
    <row r="9986" ht="15" customHeight="1"/>
    <row r="9987" ht="15" customHeight="1"/>
    <row r="9988" ht="15" customHeight="1"/>
    <row r="9989" ht="15" customHeight="1"/>
    <row r="9990" ht="15" customHeight="1"/>
    <row r="9991" ht="15" customHeight="1"/>
    <row r="9992" ht="15" customHeight="1"/>
    <row r="9993" ht="15" customHeight="1"/>
    <row r="9994" ht="15" customHeight="1"/>
    <row r="9995" ht="15" customHeight="1"/>
    <row r="9996" ht="15" customHeight="1"/>
    <row r="9997" ht="15" customHeight="1"/>
    <row r="9998" ht="15" customHeight="1"/>
    <row r="9999" ht="15" customHeight="1"/>
    <row r="10000" ht="15" customHeight="1"/>
    <row r="10001" ht="15" customHeight="1"/>
    <row r="10002" ht="15" customHeight="1"/>
    <row r="10003" ht="15" customHeight="1"/>
    <row r="10004" ht="15" customHeight="1"/>
    <row r="10005" ht="15" customHeight="1"/>
    <row r="10006" ht="15" customHeight="1"/>
    <row r="10007" ht="15" customHeight="1"/>
    <row r="10008" ht="15" customHeight="1"/>
    <row r="10009" ht="15" customHeight="1"/>
    <row r="10010" ht="15" customHeight="1"/>
    <row r="10011" ht="15" customHeight="1"/>
    <row r="10012" ht="15" customHeight="1"/>
    <row r="10013" ht="15" customHeight="1"/>
    <row r="10014" ht="15" customHeight="1"/>
    <row r="10015" ht="15" customHeight="1"/>
    <row r="10016" ht="15" customHeight="1"/>
    <row r="10017" ht="15" customHeight="1"/>
    <row r="10018" ht="15" customHeight="1"/>
    <row r="10019" ht="15" customHeight="1"/>
    <row r="10020" ht="15" customHeight="1"/>
    <row r="10021" ht="15" customHeight="1"/>
    <row r="10022" ht="15" customHeight="1"/>
    <row r="10023" ht="15" customHeight="1"/>
    <row r="10024" ht="15" customHeight="1"/>
    <row r="10025" ht="15" customHeight="1"/>
    <row r="10026" ht="15" customHeight="1"/>
    <row r="10027" ht="15" customHeight="1"/>
    <row r="10028" ht="15" customHeight="1"/>
  </sheetData>
  <autoFilter ref="A1:Y5027"/>
  <conditionalFormatting sqref="A1419:B1473 A1524:B1534 A2526:B2606 A2817:A2831 A2835:A2842 A2843:B2874 A3143:B3176 A4428:B4451 A4455:B4455 A4610:B4634 A4635:F4637 A4643:F4645 A4651:F4653 A4654:C4658 A4659:B4685 B195:B212 B2841:B2842 C3148:F3148 C3150:F3150 C3152:F3152 C3154:F3154 C3156:F3156 C4659:C4663 D4655:F4655 D4660:F4660 E223 E225 E227 E229 E231:E235 E237 E573:E575 E1243:E1254 E1420:F1429 E1431:F1440 E1442:F1451 E1453:F1462 E1464:F1473 E1525:F1534 E2261:E2263 E2532:E2535 E2537:E2540 E2542:E2545 E2547:E2550 E2552:E2555 E2557:E2560 E2562:E2565 E2567:E2570 E2844:F2844 E2846:F2847 E2849:F2850 E4496:E4497 E4611:F4614 E4616:F4619 E4621:F4624 E4626:F4629 E4631:F4634 E4656:F4658 E4661:F4663 E4665:F4670 E4672:F4675 E4677:F4680 E4682:F4685 G159:H159 G165:H165 G170:H170 G176:H176 G182:H182 G187:H187 G191:H191 G195:H195 G199:H199 I4610:K4637 I4643:K4645 I4651:K4685 K1386:K2041 K2526:K2606 K2843:K2882 K3143:K3176 K4403:K4451 K4454:K4458">
    <cfRule type="expression" priority="13722" dxfId="6424">
      <formula>$B159="Subetapa"</formula>
    </cfRule>
  </conditionalFormatting>
  <conditionalFormatting sqref="B4976:B4983">
    <cfRule type="expression" priority="7843" dxfId="6434">
      <formula>$B4976="Subetapa"</formula>
    </cfRule>
    <cfRule type="expression" priority="7844" dxfId="6433">
      <formula>$B4976="Serviço"</formula>
    </cfRule>
  </conditionalFormatting>
  <conditionalFormatting sqref="B4:B151 B153:B194">
    <cfRule type="expression" priority="13599" dxfId="6424">
      <formula>$B4="Subetapa"</formula>
    </cfRule>
  </conditionalFormatting>
  <conditionalFormatting sqref="B271 B273 D2263 F2263">
    <cfRule type="expression" priority="9735" dxfId="6433">
      <formula>$B271="Serviço"</formula>
    </cfRule>
    <cfRule type="expression" priority="9736" dxfId="6434">
      <formula>$B271="Subetapa"</formula>
    </cfRule>
  </conditionalFormatting>
  <conditionalFormatting sqref="B287:B289 B291 B293 B295">
    <cfRule type="expression" priority="9752" dxfId="6433">
      <formula>$B287="Serviço"</formula>
    </cfRule>
    <cfRule type="expression" priority="9753" dxfId="6434">
      <formula>$B287="Subetapa"</formula>
    </cfRule>
  </conditionalFormatting>
  <conditionalFormatting sqref="B297">
    <cfRule type="expression" priority="9724" dxfId="6433">
      <formula>$B297="Serviço"</formula>
    </cfRule>
    <cfRule type="expression" priority="9725" dxfId="6434">
      <formula>$B297="Subetapa"</formula>
    </cfRule>
  </conditionalFormatting>
  <conditionalFormatting sqref="B345:B360 C349:C360 D349:F349 D350:D352 D353:F353 D354:D356 D357:F357 D358:D360 F350:F352 F354:F356 F358:F360">
    <cfRule type="expression" priority="13774" dxfId="6424">
      <formula>$B345="Subetapa"</formula>
    </cfRule>
  </conditionalFormatting>
  <conditionalFormatting sqref="B461:B463">
    <cfRule type="expression" priority="9715" dxfId="6433">
      <formula>$B461="Serviço"</formula>
    </cfRule>
    <cfRule type="expression" priority="9716" dxfId="6434">
      <formula>$B461="Subetapa"</formula>
    </cfRule>
  </conditionalFormatting>
  <conditionalFormatting sqref="B473:B476">
    <cfRule type="expression" priority="9706" dxfId="6433">
      <formula>$B473="Serviço"</formula>
    </cfRule>
    <cfRule type="expression" priority="9707" dxfId="6434">
      <formula>$B473="Subetapa"</formula>
    </cfRule>
  </conditionalFormatting>
  <conditionalFormatting sqref="B500:B501">
    <cfRule type="expression" priority="9697" dxfId="6433">
      <formula>$B500="Serviço"</formula>
    </cfRule>
    <cfRule type="expression" priority="9698" dxfId="6434">
      <formula>$B500="Subetapa"</formula>
    </cfRule>
  </conditionalFormatting>
  <conditionalFormatting sqref="B621:B639">
    <cfRule type="expression" priority="9688" dxfId="6433">
      <formula>$B621="Serviço"</formula>
    </cfRule>
    <cfRule type="expression" priority="9689" dxfId="6434">
      <formula>$B621="Subetapa"</formula>
    </cfRule>
  </conditionalFormatting>
  <conditionalFormatting sqref="A1198:B1385 A2263:B2265 A2269:B2270 A4495:B4572 B661:B663 B2826:B2831 C4504:C4506 D2828:F2831 D4496:D4497 F4496:F4497 H2237:H2276 I2263:K2265 I2269:K2270 K1198:K1385 K4504:K4572">
    <cfRule type="expression" priority="9675" dxfId="6433">
      <formula>$B661="Serviço"</formula>
    </cfRule>
  </conditionalFormatting>
  <conditionalFormatting sqref="A1198:B1299 A1346:B1355 A2263:B2265 A2269:B2270 A4495:B4572 B661:B664 B2826:B2831 C4504:C4506 D2828:F2831 D4496:D4497 F4496:F4497 H2237:H2276 I2263:K2265 I2269:K2270 K1198:K1385 K4504:K4572">
    <cfRule type="expression" priority="9676" dxfId="6434">
      <formula>$B661="Subetapa"</formula>
    </cfRule>
  </conditionalFormatting>
  <conditionalFormatting sqref="B787:B791 B793:B809">
    <cfRule type="expression" priority="13567" dxfId="6424">
      <formula>$B787="Subetapa"</formula>
    </cfRule>
  </conditionalFormatting>
  <conditionalFormatting sqref="B814:B834">
    <cfRule type="expression" priority="9649" dxfId="6433">
      <formula>$B814="Serviço"</formula>
    </cfRule>
    <cfRule type="expression" priority="9650" dxfId="6434">
      <formula>$B814="Subetapa"</formula>
    </cfRule>
  </conditionalFormatting>
  <conditionalFormatting sqref="B835:B838">
    <cfRule type="expression" priority="9630" dxfId="6433">
      <formula>$B835="Serviço"</formula>
    </cfRule>
    <cfRule type="expression" priority="9631" dxfId="6434">
      <formula>$B835="Subetapa"</formula>
    </cfRule>
  </conditionalFormatting>
  <conditionalFormatting sqref="B843:B847">
    <cfRule type="expression" priority="13731" dxfId="6424">
      <formula>$B843="Subetapa"</formula>
    </cfRule>
  </conditionalFormatting>
  <conditionalFormatting sqref="B848:B850">
    <cfRule type="expression" priority="13786" dxfId="6424">
      <formula>$B848="Subetapa"</formula>
    </cfRule>
  </conditionalFormatting>
  <conditionalFormatting sqref="B852:B860">
    <cfRule type="expression" priority="13698" dxfId="6424">
      <formula>$B852="Subetapa"</formula>
    </cfRule>
  </conditionalFormatting>
  <conditionalFormatting sqref="B860:B862 C864:C866 D864:F864 D865:D866 F865:F866">
    <cfRule type="expression" priority="13680" dxfId="6424">
      <formula>$B860="Subetapa"</formula>
    </cfRule>
  </conditionalFormatting>
  <conditionalFormatting sqref="B879:B882">
    <cfRule type="expression" priority="9608" dxfId="6433">
      <formula>$B879="Serviço"</formula>
    </cfRule>
    <cfRule type="expression" priority="9609" dxfId="6434">
      <formula>$B879="Subetapa"</formula>
    </cfRule>
  </conditionalFormatting>
  <conditionalFormatting sqref="B883:B884">
    <cfRule type="expression" priority="9604" dxfId="6433">
      <formula>$B883="Serviço"</formula>
    </cfRule>
    <cfRule type="expression" priority="9605" dxfId="6434">
      <formula>$B883="Subetapa"</formula>
    </cfRule>
  </conditionalFormatting>
  <conditionalFormatting sqref="B895:B896">
    <cfRule type="expression" priority="9624" dxfId="6433">
      <formula>$B895="Serviço"</formula>
    </cfRule>
    <cfRule type="expression" priority="9625" dxfId="6434">
      <formula>$B895="Subetapa"</formula>
    </cfRule>
  </conditionalFormatting>
  <conditionalFormatting sqref="B918:B929">
    <cfRule type="expression" priority="9912" dxfId="6433">
      <formula>$B918="Serviço"</formula>
    </cfRule>
    <cfRule type="expression" priority="9913" dxfId="6434">
      <formula>$B918="Subetapa"</formula>
    </cfRule>
  </conditionalFormatting>
  <conditionalFormatting sqref="B931:B942">
    <cfRule type="expression" priority="9954" dxfId="6433">
      <formula>$B931="Serviço"</formula>
    </cfRule>
    <cfRule type="expression" priority="9955" dxfId="6434">
      <formula>$B931="Subetapa"</formula>
    </cfRule>
  </conditionalFormatting>
  <conditionalFormatting sqref="B943:C956 D943:F944 D945:D946 D947:F947 D948:D949 D950:F950 D951:D952 D953:F953 D954:D955 D956:F956 F945:F946 F948:F949 F951:F952 F954:F955">
    <cfRule type="expression" priority="11766" dxfId="6424">
      <formula>$B943="Subetapa"</formula>
    </cfRule>
  </conditionalFormatting>
  <conditionalFormatting sqref="B957:B962 B1169:B1172">
    <cfRule type="expression" priority="13737" dxfId="6424">
      <formula>$B957="Subetapa"</formula>
    </cfRule>
  </conditionalFormatting>
  <conditionalFormatting sqref="B963:B989 C970:F970">
    <cfRule type="expression" priority="11762" dxfId="6424">
      <formula>$B963="Subetapa"</formula>
    </cfRule>
  </conditionalFormatting>
  <conditionalFormatting sqref="B979:B980">
    <cfRule type="expression" priority="13655" dxfId="6424">
      <formula>$B979="Subetapa"</formula>
    </cfRule>
  </conditionalFormatting>
  <conditionalFormatting sqref="B1175:B1185 D1177:D1185">
    <cfRule type="expression" priority="9583" dxfId="6434">
      <formula>$B1175="Subetapa"</formula>
    </cfRule>
  </conditionalFormatting>
  <conditionalFormatting sqref="B1175:B1185">
    <cfRule type="expression" priority="9582" dxfId="6433">
      <formula>$B1175="Serviço"</formula>
    </cfRule>
  </conditionalFormatting>
  <conditionalFormatting sqref="B1290:B1299">
    <cfRule type="expression" priority="9497" dxfId="6433">
      <formula>$B1290="Serviço"</formula>
    </cfRule>
  </conditionalFormatting>
  <conditionalFormatting sqref="B1301:B1310 B1312:B1321 B1323:B1332 B1334:B1343 B1345:B1346 D1312:D1321 F1345">
    <cfRule type="expression" priority="9562" dxfId="6434">
      <formula>$B1301="Subetapa"</formula>
    </cfRule>
  </conditionalFormatting>
  <conditionalFormatting sqref="B1302:B1310 B1313:B1321 B1324:B1332 B1335:B1343 B1356:B1373 C1200:D1208 C1218:D1219 C1356:C1357 C1362:C1363 C1368:C1373 D1356:F1356 D1357 D1362:F1362 D1363 D1368:F1368 D1369:D1373 F1357 F1363">
    <cfRule type="expression" priority="9560" dxfId="6434">
      <formula>$B1200="Subetapa"</formula>
    </cfRule>
  </conditionalFormatting>
  <conditionalFormatting sqref="B1257:B1265 B1268:B1276 B1279:B1287 B1302:B1310 B1313:B1321 B1324:B1332 B1335:B1343 B1357:B1361 B1363:B1367 B1369:B1373 C1357:D1357 C1362:C1363 C1368:C1373 D1362:F1362 D1363 D1368:F1368 D1369:D1373 F1357 F1363">
    <cfRule type="expression" priority="9559" dxfId="6433">
      <formula>$B1257="Serviço"</formula>
    </cfRule>
  </conditionalFormatting>
  <conditionalFormatting sqref="B1376:B1385">
    <cfRule type="expression" priority="9561" dxfId="6433">
      <formula>$B1376="Serviço"</formula>
    </cfRule>
  </conditionalFormatting>
  <conditionalFormatting sqref="B1549:B1624">
    <cfRule type="expression" priority="13384" dxfId="6424">
      <formula>$B1549="Subetapa"</formula>
    </cfRule>
  </conditionalFormatting>
  <conditionalFormatting sqref="B1627:B1636">
    <cfRule type="expression" priority="13372" dxfId="6424">
      <formula>$B1627="Subetapa"</formula>
    </cfRule>
  </conditionalFormatting>
  <conditionalFormatting sqref="B1639:B1648">
    <cfRule type="expression" priority="13330" dxfId="6424">
      <formula>$B1639="Subetapa"</formula>
    </cfRule>
  </conditionalFormatting>
  <conditionalFormatting sqref="B1814:B1822">
    <cfRule type="expression" priority="13659" dxfId="6424">
      <formula>$B1814="Subetapa"</formula>
    </cfRule>
  </conditionalFormatting>
  <conditionalFormatting sqref="B1868:B1891">
    <cfRule type="expression" priority="13261" dxfId="6424">
      <formula>$B1868="Subetapa"</formula>
    </cfRule>
  </conditionalFormatting>
  <conditionalFormatting sqref="B1882:B1892 D1881:D1891">
    <cfRule type="expression" priority="13270" dxfId="6424">
      <formula>$B1881="Subetapa"</formula>
    </cfRule>
  </conditionalFormatting>
  <conditionalFormatting sqref="B1893:B1904">
    <cfRule type="expression" priority="13249" dxfId="6424">
      <formula>$B1893="Subetapa"</formula>
    </cfRule>
  </conditionalFormatting>
  <conditionalFormatting sqref="B1907:B1916">
    <cfRule type="expression" priority="13223" dxfId="6424">
      <formula>$B1907="Subetapa"</formula>
    </cfRule>
  </conditionalFormatting>
  <conditionalFormatting sqref="B1908:B1916 D1908:D1916">
    <cfRule type="expression" priority="13228" dxfId="6424">
      <formula>$B1908="Subetapa"</formula>
    </cfRule>
  </conditionalFormatting>
  <conditionalFormatting sqref="B1918:B1928">
    <cfRule type="expression" priority="13207" dxfId="6424">
      <formula>$B1918="Subetapa"</formula>
    </cfRule>
  </conditionalFormatting>
  <conditionalFormatting sqref="B1920:B1928 D1920:D1928">
    <cfRule type="expression" priority="13212" dxfId="6424">
      <formula>$B1920="Subetapa"</formula>
    </cfRule>
  </conditionalFormatting>
  <conditionalFormatting sqref="B1930:B1941">
    <cfRule type="expression" priority="13191" dxfId="6424">
      <formula>$B1930="Subetapa"</formula>
    </cfRule>
  </conditionalFormatting>
  <conditionalFormatting sqref="B1943:B1954">
    <cfRule type="expression" priority="13175" dxfId="6424">
      <formula>$B1943="Subetapa"</formula>
    </cfRule>
  </conditionalFormatting>
  <conditionalFormatting sqref="B1956:B1967">
    <cfRule type="expression" priority="13159" dxfId="6424">
      <formula>$B1956="Subetapa"</formula>
    </cfRule>
  </conditionalFormatting>
  <conditionalFormatting sqref="B1969:B1980">
    <cfRule type="expression" priority="13143" dxfId="6424">
      <formula>$B1969="Subetapa"</formula>
    </cfRule>
  </conditionalFormatting>
  <conditionalFormatting sqref="B1982:B1992">
    <cfRule type="expression" priority="13127" dxfId="6424">
      <formula>$B1982="Subetapa"</formula>
    </cfRule>
  </conditionalFormatting>
  <conditionalFormatting sqref="B1994:B2004">
    <cfRule type="expression" priority="13109" dxfId="6424">
      <formula>$B1994="Subetapa"</formula>
    </cfRule>
  </conditionalFormatting>
  <conditionalFormatting sqref="B2006:B2016">
    <cfRule type="expression" priority="13237" dxfId="6424">
      <formula>$B2006="Subetapa"</formula>
    </cfRule>
  </conditionalFormatting>
  <conditionalFormatting sqref="B2008:B2017 D2008:D2016">
    <cfRule type="expression" priority="13242" dxfId="6424">
      <formula>$B2008="Subetapa"</formula>
    </cfRule>
  </conditionalFormatting>
  <conditionalFormatting sqref="B2018:B2019 B2021:B2028">
    <cfRule type="expression" priority="13096" dxfId="6424">
      <formula>$B2018="Subetapa"</formula>
    </cfRule>
  </conditionalFormatting>
  <conditionalFormatting sqref="B2031:B2040 D2030:D2032 D2035:D2040">
    <cfRule type="expression" priority="13074" dxfId="6424">
      <formula>$B2030="Subetapa"</formula>
    </cfRule>
  </conditionalFormatting>
  <conditionalFormatting sqref="B2043:B2052 D2042:D2044 D2047:D2052">
    <cfRule type="expression" priority="13064" dxfId="6424">
      <formula>$B2042="Subetapa"</formula>
    </cfRule>
  </conditionalFormatting>
  <conditionalFormatting sqref="B2054:B2055 D2054:D2055">
    <cfRule type="expression" priority="13044" dxfId="6424">
      <formula>$B2054="Subetapa"</formula>
    </cfRule>
  </conditionalFormatting>
  <conditionalFormatting sqref="B2055:B2065">
    <cfRule type="expression" priority="13042" dxfId="6424">
      <formula>$B2055="Subetapa"</formula>
    </cfRule>
  </conditionalFormatting>
  <conditionalFormatting sqref="B2056:B2066 D2056:D2057 D2060:D2065">
    <cfRule type="expression" priority="13054" dxfId="6424">
      <formula>$B2056="Subetapa"</formula>
    </cfRule>
  </conditionalFormatting>
  <conditionalFormatting sqref="B2105:B2112">
    <cfRule type="expression" priority="12955" dxfId="6424">
      <formula>$B2105="Subetapa"</formula>
    </cfRule>
  </conditionalFormatting>
  <conditionalFormatting sqref="B2113:B2118">
    <cfRule type="expression" priority="12935" dxfId="6424">
      <formula>$B2113="Subetapa"</formula>
    </cfRule>
  </conditionalFormatting>
  <conditionalFormatting sqref="B2120:B2125">
    <cfRule type="expression" priority="12915" dxfId="6424">
      <formula>$B2120="Subetapa"</formula>
    </cfRule>
  </conditionalFormatting>
  <conditionalFormatting sqref="B2127:B2132">
    <cfRule type="expression" priority="12895" dxfId="6424">
      <formula>$B2127="Subetapa"</formula>
    </cfRule>
  </conditionalFormatting>
  <conditionalFormatting sqref="B2134:B2139">
    <cfRule type="expression" priority="12875" dxfId="6424">
      <formula>$B2134="Subetapa"</formula>
    </cfRule>
  </conditionalFormatting>
  <conditionalFormatting sqref="B2179:B2180">
    <cfRule type="expression" priority="13739" dxfId="6424">
      <formula>$B2179="Subetapa"</formula>
    </cfRule>
  </conditionalFormatting>
  <conditionalFormatting sqref="B2181:B2207 B2317:B2330 C2192:C2207 C2317:C2331 D2192:D2193 D2194:F2194 D2195 D2196:F2196 D2197 D2198:F2198 D2199:D2200 D2201:F2201 D2202 D2203:F2203 D2204 D2205:F2205 D2206:D2207 D2317:F2317 D2318 D2319:F2319 D2320:D2321 D2322:F2322 D2323 D2324:F2324 D2325 D2326:F2326 D2327 D2328:F2328 D2329:D2330 D2331:F2331 F2192:F2193 F2195 F2197 F2199:F2200 F2202 F2204 F2206:F2207 F2318 F2320:F2321 F2323 F2325 F2327 F2329:F2330">
    <cfRule type="expression" priority="13626" dxfId="6424">
      <formula>$B2181="Subetapa"</formula>
    </cfRule>
  </conditionalFormatting>
  <conditionalFormatting sqref="B2212:B2223">
    <cfRule type="expression" priority="9975" dxfId="6434">
      <formula>$B2212="Subetapa"</formula>
    </cfRule>
  </conditionalFormatting>
  <conditionalFormatting sqref="B2224:B2243">
    <cfRule type="expression" priority="9999" dxfId="6434">
      <formula>$B2224="Subetapa"</formula>
    </cfRule>
  </conditionalFormatting>
  <conditionalFormatting sqref="B2338:B2341">
    <cfRule type="expression" priority="9458" dxfId="6433">
      <formula>$B2338="Serviço"</formula>
    </cfRule>
    <cfRule type="expression" priority="9462" dxfId="6434">
      <formula>$B2338="Subetapa"</formula>
    </cfRule>
  </conditionalFormatting>
  <conditionalFormatting sqref="B2347:B2348">
    <cfRule type="expression" priority="9444" dxfId="6433">
      <formula>$B2347="Serviço"</formula>
    </cfRule>
    <cfRule type="expression" priority="9448" dxfId="6434">
      <formula>$B2347="Subetapa"</formula>
    </cfRule>
  </conditionalFormatting>
  <conditionalFormatting sqref="B2349:B2350">
    <cfRule type="expression" priority="9435" dxfId="6433">
      <formula>$B2349="Serviço"</formula>
    </cfRule>
    <cfRule type="expression" priority="9439" dxfId="6434">
      <formula>$B2349="Subetapa"</formula>
    </cfRule>
  </conditionalFormatting>
  <conditionalFormatting sqref="B2356:B2357">
    <cfRule type="expression" priority="12825" dxfId="6424">
      <formula>$B2356="Subetapa"</formula>
    </cfRule>
  </conditionalFormatting>
  <conditionalFormatting sqref="B2344:B2345 B2359:B2367 B2369:B2373 B2390:B2434">
    <cfRule type="expression" priority="13671" dxfId="6424">
      <formula>$B2344="Subetapa"</formula>
    </cfRule>
  </conditionalFormatting>
  <conditionalFormatting sqref="B2374:B2378">
    <cfRule type="expression" priority="9426" dxfId="6433">
      <formula>$B2374="Serviço"</formula>
    </cfRule>
    <cfRule type="expression" priority="9430" dxfId="6434">
      <formula>$B2374="Subetapa"</formula>
    </cfRule>
  </conditionalFormatting>
  <conditionalFormatting sqref="B2379:B2388">
    <cfRule type="expression" priority="9409" dxfId="6434">
      <formula>$B2379="Subetapa"</formula>
    </cfRule>
  </conditionalFormatting>
  <conditionalFormatting sqref="B2380:B2383 B2385:B2388">
    <cfRule type="expression" priority="9410" dxfId="6433">
      <formula>$B2380="Serviço"</formula>
    </cfRule>
  </conditionalFormatting>
  <conditionalFormatting sqref="B2435:B2469">
    <cfRule type="expression" priority="12725" dxfId="6424">
      <formula>$B2435="Subetapa"</formula>
    </cfRule>
  </conditionalFormatting>
  <conditionalFormatting sqref="B2470:B2474">
    <cfRule type="expression" priority="9367" dxfId="6433">
      <formula>$B2470="Serviço"</formula>
    </cfRule>
  </conditionalFormatting>
  <conditionalFormatting sqref="B2637:C2661 D2637:F2638 D2639:D2641 D2642:F2642 D2643:D2645 D2646:F2646 D2647:D2649 D2650:F2650 D2651:D2653 D2654:F2654 D2655:D2657 D2658:F2658 D2659:D2661 F2639:F2641 F2643:F2645 F2647:F2649 F2651:F2653 F2655:F2657 F2659:F2661">
    <cfRule type="expression" priority="11598" dxfId="6424">
      <formula>$B2637="Subetapa"</formula>
    </cfRule>
  </conditionalFormatting>
  <conditionalFormatting sqref="B2662:C2669 D2662:F2662 D2663:D2665 D2666:F2666 D2667:D2669 F2663:F2665 F2667:F2669">
    <cfRule type="expression" priority="11563" dxfId="6424">
      <formula>$B2662="Subetapa"</formula>
    </cfRule>
  </conditionalFormatting>
  <conditionalFormatting sqref="B2670:C2672 D2670:F2671 D2672 F2672">
    <cfRule type="expression" priority="11566" dxfId="6424">
      <formula>$B2670="Subetapa"</formula>
    </cfRule>
  </conditionalFormatting>
  <conditionalFormatting sqref="B2673:B2674 B2682 B2684:B2685 B2687:B2688 B2690">
    <cfRule type="expression" priority="9306" dxfId="6433">
      <formula>$B2673="Serviço"</formula>
    </cfRule>
  </conditionalFormatting>
  <conditionalFormatting sqref="B2673:B2674 B2685 B2687:B2688 B2690">
    <cfRule type="expression" priority="9304" dxfId="6434">
      <formula>$B2673="Subetapa"</formula>
    </cfRule>
  </conditionalFormatting>
  <conditionalFormatting sqref="B2731:C2735 D2731:F2732 D2733 D2734:F2734 D2735 F2733 F2735">
    <cfRule type="expression" priority="11596" dxfId="6424">
      <formula>$B2731="Subetapa"</formula>
    </cfRule>
  </conditionalFormatting>
  <conditionalFormatting sqref="B2737:C2753 D2737:F2737 D2738 D2739:F2739 D2740 D2741:F2742 D2743 D2744:F2744 D2745 D2746:F2746 D2747 D2748:F2748 D2749 D2750:F2750 D2751 D2752:F2752 D2753 F2738 F2740 F2743 F2745 F2747 F2749 F2751 F2753">
    <cfRule type="expression" priority="11594" dxfId="6424">
      <formula>$B2737="Subetapa"</formula>
    </cfRule>
  </conditionalFormatting>
  <conditionalFormatting sqref="B2765:C2767 D2765:F2765 D2766:D2767 F2766:F2767">
    <cfRule type="expression" priority="9294" dxfId="6433">
      <formula>$B2765="Serviço"</formula>
    </cfRule>
  </conditionalFormatting>
  <conditionalFormatting sqref="B2765:B2767">
    <cfRule type="expression" priority="9297" dxfId="6434">
      <formula>$B2765="Subetapa"</formula>
    </cfRule>
  </conditionalFormatting>
  <conditionalFormatting sqref="B2772:B2787">
    <cfRule type="expression" priority="12670" dxfId="6424">
      <formula>$B2772="Subetapa"</formula>
    </cfRule>
  </conditionalFormatting>
  <conditionalFormatting sqref="B2806:B2816 D2815:D2816">
    <cfRule type="expression" priority="9289" dxfId="6434">
      <formula>$B2806="Subetapa"</formula>
    </cfRule>
  </conditionalFormatting>
  <conditionalFormatting sqref="B2806:B2816">
    <cfRule type="expression" priority="9288" dxfId="6433">
      <formula>$B2806="Serviço"</formula>
    </cfRule>
  </conditionalFormatting>
  <conditionalFormatting sqref="B2817:B2821">
    <cfRule type="expression" priority="10665" dxfId="6424">
      <formula>$B2817="Subetapa"</formula>
    </cfRule>
  </conditionalFormatting>
  <conditionalFormatting sqref="B2883:B2884 B3177:B3188 B3247:B3249">
    <cfRule type="expression" priority="9279" dxfId="6434">
      <formula>$B2883="Subetapa"</formula>
    </cfRule>
    <cfRule type="expression" priority="9280" dxfId="6433">
      <formula>$B2883="Serviço"</formula>
    </cfRule>
  </conditionalFormatting>
  <conditionalFormatting sqref="B2911:B2918">
    <cfRule type="expression" priority="12574" dxfId="6424">
      <formula>$B2911="Subetapa"</formula>
    </cfRule>
  </conditionalFormatting>
  <conditionalFormatting sqref="B2937:B2960 C2957:C2960 D2957:F2957 D2959:D2960 F2958:F2960">
    <cfRule type="expression" priority="13586" dxfId="6424">
      <formula>$B2937="Subetapa"</formula>
    </cfRule>
  </conditionalFormatting>
  <conditionalFormatting sqref="B3023:C3046 B3048:C3055 D3023:F3023 D3024:D3026 D3027:F3027 D3028:D3030 D3031:F3031 D3032:D3034 D3035:F3035 D3036:D3038 D3039:F3039 D3040:D3042 D3043:F3043 D3044:D3046 D3048:F3048 D3049:D3050 D3051:F3051 D3052:D3053 D3054:F3054 D3055 F3024:F3026 F3028:F3030 F3032:F3034 F3036:F3038 F3040:F3042 F3044:F3046 F3049:F3050 F3052:F3053 F3055">
    <cfRule type="expression" priority="13803" dxfId="6424">
      <formula>$B3023="Subetapa"</formula>
    </cfRule>
  </conditionalFormatting>
  <conditionalFormatting sqref="B3056:B3063">
    <cfRule type="expression" priority="9268" dxfId="6434">
      <formula>$B3056="Subetapa"</formula>
    </cfRule>
    <cfRule type="expression" priority="9270" dxfId="6433">
      <formula>$B3056="Serviço"</formula>
    </cfRule>
  </conditionalFormatting>
  <conditionalFormatting sqref="B3097:B3098">
    <cfRule type="expression" priority="9261" dxfId="6433">
      <formula>$B3097="Serviço"</formula>
    </cfRule>
    <cfRule type="expression" priority="9256" dxfId="6434">
      <formula>$B3097="Subetapa"</formula>
    </cfRule>
  </conditionalFormatting>
  <conditionalFormatting sqref="B3099:B3106 B3108:B3128 B3137:B3138">
    <cfRule type="expression" priority="13673" dxfId="6424">
      <formula>$B3099="Subetapa"</formula>
    </cfRule>
  </conditionalFormatting>
  <conditionalFormatting sqref="B3129:B3136">
    <cfRule type="expression" priority="9246" dxfId="6434">
      <formula>$B3129="Subetapa"</formula>
    </cfRule>
    <cfRule type="expression" priority="9252" dxfId="6433">
      <formula>$B3129="Serviço"</formula>
    </cfRule>
  </conditionalFormatting>
  <conditionalFormatting sqref="B3350:B3379">
    <cfRule type="expression" priority="12442" dxfId="6424">
      <formula>$B3350="Subetapa"</formula>
    </cfRule>
  </conditionalFormatting>
  <conditionalFormatting sqref="B3380:B3463">
    <cfRule type="expression" priority="12474" dxfId="6424">
      <formula>$B3380="Subetapa"</formula>
    </cfRule>
  </conditionalFormatting>
  <conditionalFormatting sqref="B3464:B3475">
    <cfRule type="expression" priority="12464" dxfId="6424">
      <formula>$B3464="Subetapa"</formula>
    </cfRule>
  </conditionalFormatting>
  <conditionalFormatting sqref="B3623:C3625 D3623:F3623 D3624:D3625 F3624:F3625">
    <cfRule type="expression" priority="12372" dxfId="6424">
      <formula>$B3623="Subetapa"</formula>
    </cfRule>
  </conditionalFormatting>
  <conditionalFormatting sqref="B3626:C3628 D3626:F3626 D3627:D3628 F3627:F3628">
    <cfRule type="expression" priority="12389" dxfId="6424">
      <formula>$B3626="Subetapa"</formula>
    </cfRule>
  </conditionalFormatting>
  <conditionalFormatting sqref="B3640:C3643 D3640:F3640 D3641:D3643 F3641:F3643">
    <cfRule type="expression" priority="12380" dxfId="6424">
      <formula>$B3640="Subetapa"</formula>
    </cfRule>
  </conditionalFormatting>
  <conditionalFormatting sqref="B3662:C3673 D3662:F3662 D3663:D3664 D3665:F3665 D3666:D3667 D3668:F3668 D3669:D3670 D3671:F3671 D3672:D3673 F3663:F3664 F3666:F3667 F3669:F3670 F3672:F3673">
    <cfRule type="expression" priority="12384" dxfId="6424">
      <formula>$B3662="Subetapa"</formula>
    </cfRule>
  </conditionalFormatting>
  <conditionalFormatting sqref="B3674:B3678">
    <cfRule type="expression" priority="9011" dxfId="6433">
      <formula>$B3674="Serviço"</formula>
    </cfRule>
    <cfRule type="expression" priority="9012" dxfId="6434">
      <formula>$B3674="Subetapa"</formula>
    </cfRule>
  </conditionalFormatting>
  <conditionalFormatting sqref="B3679:B3683">
    <cfRule type="expression" priority="12376" dxfId="6424">
      <formula>$B3679="Subetapa"</formula>
    </cfRule>
  </conditionalFormatting>
  <conditionalFormatting sqref="B3684:B3688">
    <cfRule type="expression" priority="8999" dxfId="6433">
      <formula>$B3684="Serviço"</formula>
    </cfRule>
    <cfRule type="expression" priority="9000" dxfId="6434">
      <formula>$B3684="Subetapa"</formula>
    </cfRule>
  </conditionalFormatting>
  <conditionalFormatting sqref="B3699:B3708">
    <cfRule type="expression" priority="8987" dxfId="6433">
      <formula>$B3699="Serviço"</formula>
    </cfRule>
    <cfRule type="expression" priority="8988" dxfId="6434">
      <formula>$B3699="Subetapa"</formula>
    </cfRule>
  </conditionalFormatting>
  <conditionalFormatting sqref="B3722:B3724">
    <cfRule type="expression" priority="8963" dxfId="6433">
      <formula>$B3722="Serviço"</formula>
    </cfRule>
    <cfRule type="expression" priority="8964" dxfId="6434">
      <formula>$B3722="Subetapa"</formula>
    </cfRule>
  </conditionalFormatting>
  <conditionalFormatting sqref="B3731:C3758 D3731:F3732 D3733:D3735 D3736:F3736 D3737:D3739 D3740:F3740 D3741:D3743 D3744:F3744 D3745:D3747 D3748:F3748 D3749:D3751 D3752:F3752 D3753:D3755 D3756:F3757 D3758 F3733:F3735 F3737:F3739 F3741:F3743 F3745:F3747 F3749:F3751 F3753:F3755 F3758">
    <cfRule type="expression" priority="11516" dxfId="6424">
      <formula>$B3731="Subetapa"</formula>
    </cfRule>
  </conditionalFormatting>
  <conditionalFormatting sqref="B3767:C3787 D3767:F3768 D3769 D3770:F3770 D3771 D3772:F3772 D3773 D3774:F3775 D3776 D3777:F3777 D3778 D3779:F3779 D3780 D3781:F3781 D3782 D3783:F3784 D3785 D3786:F3786 D3787 F3769 F3771 F3773 F3776 F3778 F3780 F3782 F3785 F3787">
    <cfRule type="expression" priority="12524" dxfId="6424">
      <formula>$B3767="Subetapa"</formula>
    </cfRule>
  </conditionalFormatting>
  <conditionalFormatting sqref="B3788:C3793 D3788:F3788 D3789 D3790:F3790 D3791 D3792:F3792 D3793 F3789 F3791 F3793">
    <cfRule type="expression" priority="11461" dxfId="6424">
      <formula>$B3788="Subetapa"</formula>
    </cfRule>
  </conditionalFormatting>
  <conditionalFormatting sqref="B3794:C3807 D3794:F3795 D3796 D3797:F3797 D3798 D3799:F3799 D3800 D3801:F3803 D3804:D3807 F3796 F3798 F3800 F3804:F3807">
    <cfRule type="expression" priority="12298" dxfId="6424">
      <formula>$B3794="Subetapa"</formula>
    </cfRule>
  </conditionalFormatting>
  <conditionalFormatting sqref="B3808:C3815 D3808:F3808 D3809:D3810 D3811:F3811 D3812:D3815 F3809:F3810 F3812:F3815">
    <cfRule type="expression" priority="8649" dxfId="6433">
      <formula>$B3808="Serviço"</formula>
    </cfRule>
  </conditionalFormatting>
  <conditionalFormatting sqref="B3808:B3815">
    <cfRule type="expression" priority="8646" dxfId="6434">
      <formula>$B3808="Subetapa"</formula>
    </cfRule>
  </conditionalFormatting>
  <conditionalFormatting sqref="B3846:B3847">
    <cfRule type="expression" priority="12110" dxfId="6424">
      <formula>$B3846="Subetapa"</formula>
    </cfRule>
  </conditionalFormatting>
  <conditionalFormatting sqref="B3858:B3859 D3858:F3859">
    <cfRule type="expression" priority="12279" dxfId="6424">
      <formula>$B3858="Subetapa"</formula>
    </cfRule>
  </conditionalFormatting>
  <conditionalFormatting sqref="B3861:B3862">
    <cfRule type="expression" priority="12269" dxfId="6424">
      <formula>$B3861="Subetapa"</formula>
    </cfRule>
  </conditionalFormatting>
  <conditionalFormatting sqref="B3864:B3865">
    <cfRule type="expression" priority="12231" dxfId="6424">
      <formula>$B3864="Subetapa"</formula>
    </cfRule>
  </conditionalFormatting>
  <conditionalFormatting sqref="B3883:B3884">
    <cfRule type="expression" priority="12218" dxfId="6424">
      <formula>$B3883="Subetapa"</formula>
    </cfRule>
  </conditionalFormatting>
  <conditionalFormatting sqref="B3894:B3895">
    <cfRule type="expression" priority="12205" dxfId="6424">
      <formula>$B3894="Subetapa"</formula>
    </cfRule>
  </conditionalFormatting>
  <conditionalFormatting sqref="B3905:B3906">
    <cfRule type="expression" priority="12192" dxfId="6424">
      <formula>$B3905="Subetapa"</formula>
    </cfRule>
  </conditionalFormatting>
  <conditionalFormatting sqref="B3916:B3917">
    <cfRule type="expression" priority="12179" dxfId="6424">
      <formula>$B3916="Subetapa"</formula>
    </cfRule>
  </conditionalFormatting>
  <conditionalFormatting sqref="B3927:B3928">
    <cfRule type="expression" priority="12166" dxfId="6424">
      <formula>$B3927="Subetapa"</formula>
    </cfRule>
  </conditionalFormatting>
  <conditionalFormatting sqref="B3929:B3932 D3929:D3932">
    <cfRule type="expression" priority="10566" dxfId="6424">
      <formula>$B3929="Subetapa"</formula>
    </cfRule>
  </conditionalFormatting>
  <conditionalFormatting sqref="B3938:B3943 D3939:D3940">
    <cfRule type="expression" priority="13742" dxfId="6424">
      <formula>$B3938="Subetapa"</formula>
    </cfRule>
  </conditionalFormatting>
  <conditionalFormatting sqref="B3944:B3952">
    <cfRule type="expression" priority="10551" dxfId="6424">
      <formula>$B3944="Subetapa"</formula>
    </cfRule>
  </conditionalFormatting>
  <conditionalFormatting sqref="B3956:B3959">
    <cfRule type="expression" priority="10139" dxfId="6424">
      <formula>$B3956="Subetapa"</formula>
    </cfRule>
  </conditionalFormatting>
  <conditionalFormatting sqref="B3983:B3986">
    <cfRule type="expression" priority="8264" dxfId="6433">
      <formula>$B3983="Serviço"</formula>
    </cfRule>
  </conditionalFormatting>
  <conditionalFormatting sqref="B4041:B4043 B4051:B4056 C4051:C4054 D4051:F4051 D4052:D4053 D4054:F4054 F4052:F4053">
    <cfRule type="expression" priority="7873" dxfId="6433">
      <formula>$B4041="Serviço"</formula>
    </cfRule>
  </conditionalFormatting>
  <conditionalFormatting sqref="B4041:B4043 B4051:B4056">
    <cfRule type="expression" priority="7872" dxfId="6434">
      <formula>$B4041="Subetapa"</formula>
    </cfRule>
  </conditionalFormatting>
  <conditionalFormatting sqref="B4058:B4067">
    <cfRule type="expression" priority="13628" dxfId="6424">
      <formula>$B4058="Subetapa"</formula>
    </cfRule>
  </conditionalFormatting>
  <conditionalFormatting sqref="B4069:B4076">
    <cfRule type="expression" priority="12127" dxfId="6424">
      <formula>$B4069="Subetapa"</formula>
    </cfRule>
  </conditionalFormatting>
  <conditionalFormatting sqref="B4078:C4086 B4152:C4155 D4078:F4078 D4079 D4080:F4080 D4081 D4082:F4082 D4083 D4084:F4084 D4085 D4086:F4086 D4152:F4152 D4153 D4154:F4154 D4155 F4079 F4081 F4083 F4085 F4153 F4155">
    <cfRule type="expression" priority="13589" dxfId="6424">
      <formula>$B4078="Subetapa"</formula>
    </cfRule>
  </conditionalFormatting>
  <conditionalFormatting sqref="B4088:B4097 B4110:B4113">
    <cfRule type="expression" priority="13762" dxfId="6424">
      <formula>$B4088="Subetapa"</formula>
    </cfRule>
  </conditionalFormatting>
  <conditionalFormatting sqref="B4114:C4115 D4114:F4114 D4115 F4115">
    <cfRule type="expression" priority="7797" dxfId="6434">
      <formula>$B4114="Subetapa"</formula>
    </cfRule>
  </conditionalFormatting>
  <conditionalFormatting sqref="B4122:B4124">
    <cfRule type="expression" priority="7818" dxfId="6433">
      <formula>$B4122="Serviço"</formula>
    </cfRule>
    <cfRule type="expression" priority="7820" dxfId="6434">
      <formula>$B4122="Subetapa"</formula>
    </cfRule>
  </conditionalFormatting>
  <conditionalFormatting sqref="B4125:B4134">
    <cfRule type="expression" priority="12334" dxfId="6424">
      <formula>$B4125="Subetapa"</formula>
    </cfRule>
  </conditionalFormatting>
  <conditionalFormatting sqref="B4156:B4161">
    <cfRule type="expression" priority="7786" dxfId="6433">
      <formula>$B4156="Serviço"</formula>
    </cfRule>
    <cfRule type="expression" priority="7787" dxfId="6434">
      <formula>$B4156="Subetapa"</formula>
    </cfRule>
  </conditionalFormatting>
  <conditionalFormatting sqref="B4187:C4201 D4187:F4187 D4188:D4189 D4190:F4190 D4191:D4192 D4193:F4193 D4194:D4195 D4196:F4196 D4197:D4198 D4199:F4199 D4200:D4201 F4188:F4189 F4191:F4192 F4194:F4195 F4197:F4198 F4200:F4201">
    <cfRule type="expression" priority="13705" dxfId="6424">
      <formula>$B4187="Subetapa"</formula>
    </cfRule>
  </conditionalFormatting>
  <conditionalFormatting sqref="B4245:B4248">
    <cfRule type="expression" priority="7757" dxfId="6433">
      <formula>$B4245="Serviço"</formula>
    </cfRule>
    <cfRule type="expression" priority="7758" dxfId="6434">
      <formula>$B4245="Subetapa"</formula>
    </cfRule>
  </conditionalFormatting>
  <conditionalFormatting sqref="B4296:B4301">
    <cfRule type="expression" priority="12077" dxfId="6424">
      <formula>$B4296="Subetapa"</formula>
    </cfRule>
  </conditionalFormatting>
  <conditionalFormatting sqref="B4323:B4372">
    <cfRule type="expression" priority="12071" dxfId="6424">
      <formula>$B4323="Subetapa"</formula>
    </cfRule>
  </conditionalFormatting>
  <conditionalFormatting sqref="B4373:C4402 D4373:F4373 D4374:D4377 D4378:F4378 D4380:D4382 D4383:F4383 D4385:D4387 D4388:F4388 D4389:D4392 D4393:F4393 D4394:D4397 D4398:F4398 D4399:D4402 F4374:F4377 F4379:F4382 F4384:F4387 F4389:F4392 F4394:F4397 F4399:F4402">
    <cfRule type="expression" priority="7749" dxfId="6434">
      <formula>$B4373="Subetapa"</formula>
    </cfRule>
    <cfRule type="expression" priority="7751" dxfId="6433">
      <formula>$B4373="Serviço"</formula>
    </cfRule>
  </conditionalFormatting>
  <conditionalFormatting sqref="B4403:B4427 C4403:C4438 D4403:F4404 D4405:D4407 D4408:F4408 D4409:D4411 D4412:F4412 D4413:D4416 D4417:F4417 D4418:D4421 D4422:F4422 D4423:D4426 D4427:F4428 D4429:D4432 D4433:F4433 D4434:D4437 D4438:F4438 F4405:F4407 F4409:F4411 F4413:F4416 F4418:F4421 F4423:F4426 F4429:F4432 F4434:F4437">
    <cfRule type="expression" priority="12096" dxfId="6424">
      <formula>$B4403="Subetapa"</formula>
    </cfRule>
  </conditionalFormatting>
  <conditionalFormatting sqref="B4456:B4457">
    <cfRule type="expression" priority="14557" dxfId="6424">
      <formula>$B4456="Subetapa"</formula>
    </cfRule>
  </conditionalFormatting>
  <conditionalFormatting sqref="B4462:B4463">
    <cfRule type="expression" priority="13745" dxfId="6424">
      <formula>$B4462="Subetapa"</formula>
    </cfRule>
  </conditionalFormatting>
  <conditionalFormatting sqref="B4573:B4585 B4598:B4609">
    <cfRule type="expression" priority="12032" dxfId="6424">
      <formula>$B4573="Subetapa"</formula>
    </cfRule>
  </conditionalFormatting>
  <conditionalFormatting sqref="B4686:C4699 D4686:F4686 D4687:D4688 D4689:F4689 D4690 D4691:F4691 D4692 D4693:F4693 D4694 D4695:F4695 D4696:D4697 D4698:F4698 D4699 F4687:F4688 F4690 F4692 F4694 F4696:F4697 F4699">
    <cfRule type="expression" priority="7743" dxfId="6434">
      <formula>$B4686="Subetapa"</formula>
    </cfRule>
    <cfRule type="expression" priority="7745" dxfId="6433">
      <formula>$B4686="Serviço"</formula>
    </cfRule>
  </conditionalFormatting>
  <conditionalFormatting sqref="B3759:C3766 B3962:B3969 B4723:B4726 B4984:B5027 C3240:D3242 C3252:D3254 C3256:D3258 C3816:C3820 C3958:D3959 C3963:D3963 C3965:D3965 C3969:D3969 C4928:C4941 D3759:F3759 D3760 D3761:F3761 D3762 D3763:F3763 D3764 D3765:F3765 D3766 D3816:F3816 D3817:D3820 D4928:D4938 D4939:F4939 D4940 D4941:F4941 F3760 F3762 F3764 F3766 F3817:F3820 F4940">
    <cfRule type="expression" priority="13814" dxfId="6424">
      <formula>$B3240="Subetapa"</formula>
    </cfRule>
  </conditionalFormatting>
  <conditionalFormatting sqref="B4727:B4790 D4726:D4749">
    <cfRule type="expression" priority="13645" dxfId="6424">
      <formula>$B4726="Subetapa"</formula>
    </cfRule>
  </conditionalFormatting>
  <conditionalFormatting sqref="B4801:B4810">
    <cfRule type="expression" priority="7613" dxfId="6433">
      <formula>$B4801="Serviço"</formula>
    </cfRule>
    <cfRule type="expression" priority="7622" dxfId="6434">
      <formula>$B4801="Subetapa"</formula>
    </cfRule>
  </conditionalFormatting>
  <conditionalFormatting sqref="B4872:B4917 B4923:B4931">
    <cfRule type="expression" priority="13748" dxfId="6424">
      <formula>$B4872="Subetapa"</formula>
    </cfRule>
  </conditionalFormatting>
  <conditionalFormatting sqref="B4918:B4922">
    <cfRule type="expression" priority="7600" dxfId="6433">
      <formula>$B4918="Serviço"</formula>
    </cfRule>
    <cfRule type="expression" priority="7603" dxfId="6434">
      <formula>$B4918="Subetapa"</formula>
    </cfRule>
  </conditionalFormatting>
  <conditionalFormatting sqref="B4933:B4975">
    <cfRule type="expression" priority="13749" dxfId="6424">
      <formula>$B4933="Subetapa"</formula>
    </cfRule>
  </conditionalFormatting>
  <conditionalFormatting sqref="B303 D303:F304">
    <cfRule type="expression" priority="9791" dxfId="6424">
      <formula>$B303="Subetapa"</formula>
    </cfRule>
  </conditionalFormatting>
  <conditionalFormatting sqref="B810:B813 B839:B842">
    <cfRule type="expression" priority="7472" dxfId="6424">
      <formula>$B810="Subetapa"</formula>
    </cfRule>
  </conditionalFormatting>
  <conditionalFormatting sqref="B881">
    <cfRule type="expression" priority="9606" dxfId="6433">
      <formula>$B881="Serviço"</formula>
    </cfRule>
    <cfRule type="expression" priority="9607" dxfId="6434">
      <formula>$B881="Subetapa"</formula>
    </cfRule>
  </conditionalFormatting>
  <conditionalFormatting sqref="B894">
    <cfRule type="expression" priority="9617" dxfId="6433">
      <formula>$B894="Serviço"</formula>
    </cfRule>
    <cfRule type="expression" priority="9618" dxfId="6434">
      <formula>$B894="Subetapa"</formula>
    </cfRule>
  </conditionalFormatting>
  <conditionalFormatting sqref="B896">
    <cfRule type="expression" priority="9620" dxfId="6433">
      <formula>$B896="Serviço"</formula>
    </cfRule>
    <cfRule type="expression" priority="9621" dxfId="6434">
      <formula>$B896="Subetapa"</formula>
    </cfRule>
  </conditionalFormatting>
  <conditionalFormatting sqref="B923">
    <cfRule type="expression" priority="9899" dxfId="6433">
      <formula>$B923="Serviço"</formula>
    </cfRule>
    <cfRule type="expression" priority="9900" dxfId="6434">
      <formula>$B923="Subetapa"</formula>
    </cfRule>
  </conditionalFormatting>
  <conditionalFormatting sqref="B926">
    <cfRule type="expression" priority="9903" dxfId="6433">
      <formula>$B926="Serviço"</formula>
    </cfRule>
    <cfRule type="expression" priority="9904" dxfId="6434">
      <formula>$B926="Subetapa"</formula>
    </cfRule>
  </conditionalFormatting>
  <conditionalFormatting sqref="B929">
    <cfRule type="expression" priority="9905" dxfId="6433">
      <formula>$B929="Serviço"</formula>
    </cfRule>
    <cfRule type="expression" priority="9906" dxfId="6434">
      <formula>$B929="Subetapa"</formula>
    </cfRule>
  </conditionalFormatting>
  <conditionalFormatting sqref="B933">
    <cfRule type="expression" priority="9941" dxfId="6433">
      <formula>$B933="Serviço"</formula>
    </cfRule>
    <cfRule type="expression" priority="9942" dxfId="6434">
      <formula>$B933="Subetapa"</formula>
    </cfRule>
  </conditionalFormatting>
  <conditionalFormatting sqref="B936">
    <cfRule type="expression" priority="9939" dxfId="6433">
      <formula>$B936="Serviço"</formula>
    </cfRule>
    <cfRule type="expression" priority="9940" dxfId="6434">
      <formula>$B936="Subetapa"</formula>
    </cfRule>
  </conditionalFormatting>
  <conditionalFormatting sqref="B939">
    <cfRule type="expression" priority="9943" dxfId="6433">
      <formula>$B939="Serviço"</formula>
    </cfRule>
    <cfRule type="expression" priority="9944" dxfId="6434">
      <formula>$B939="Subetapa"</formula>
    </cfRule>
  </conditionalFormatting>
  <conditionalFormatting sqref="B942">
    <cfRule type="expression" priority="9947" dxfId="6433">
      <formula>$B942="Serviço"</formula>
    </cfRule>
    <cfRule type="expression" priority="9948" dxfId="6434">
      <formula>$B942="Subetapa"</formula>
    </cfRule>
  </conditionalFormatting>
  <conditionalFormatting sqref="B959 B962">
    <cfRule type="expression" priority="14330" dxfId="6424">
      <formula>$B959="Subetapa"</formula>
    </cfRule>
  </conditionalFormatting>
  <conditionalFormatting sqref="B1186:B1197 B2612:B2636 B2962:C2963 B3215:B3226 B3229:C3230 B3235:B3242 B3251:B3264 B3285:B3289 B3311:B3324 B3340:B3349 B3550:C3555 B3689:C3698 B4206:D4207 B4211:C4216 B4249:C4263 B4268:C4271 B4457:B4461 C2527:D2530 C3216:C3226 C3235:C3237 C3287:D3289 C3312:C3319 C3321:D3324 C4110:C4113 D2962:F2962 D2963 D3216 D3217:F3217 D3218 D3219:F3219 D3220 D3221:F3221 D3222 D3223:F3223 D3224 D3225:F3225 D3226 D3229:F3229 D3230 D3235:F3235 D3236:D3237 D3312:D3315 D3316:F3316 D3317:D3319 D3550:F3551 D3552:D3555 D3689:F3689 D3690:D3693 D3694:F3694 D3695:D3698 D4110:F4110 D4111 D4112:F4112 D4113 D4211:F4211 D4212:D4213 D4214:F4214 D4215:D4216 D4249:F4249 D4250 D4251:F4251 D4252 D4253:F4253 D4254 D4255:F4255 D4256 D4257:F4257 D4258 D4259:F4259 D4260 D4261:F4262 D4263 D4268:F4268 D4269 D4270:F4270 D4271 F2963 F3216 F3218 F3220 F3222 F3224 F3226 F3230 F3236:F3237 F3552:F3555 F3690:F3693 F3695:F3698 F4111 F4113 F4206:F4207 F4212:F4213 F4215:F4216 F4250 F4252 F4254 F4256 F4258 F4260 F4263 F4269 F4271">
    <cfRule type="expression" priority="13557" dxfId="6424">
      <formula>$B1186="Subetapa"</formula>
    </cfRule>
  </conditionalFormatting>
  <conditionalFormatting sqref="B1290">
    <cfRule type="expression" priority="9498" dxfId="6434">
      <formula>$B1290="Subetapa"</formula>
    </cfRule>
  </conditionalFormatting>
  <conditionalFormatting sqref="B1300">
    <cfRule type="expression" priority="9490" dxfId="6434">
      <formula>$B1300="Subetapa"</formula>
    </cfRule>
  </conditionalFormatting>
  <conditionalFormatting sqref="B1311">
    <cfRule type="expression" priority="9492" dxfId="6434">
      <formula>$B1311="Subetapa"</formula>
    </cfRule>
  </conditionalFormatting>
  <conditionalFormatting sqref="B1322">
    <cfRule type="expression" priority="9494" dxfId="6434">
      <formula>$B1322="Subetapa"</formula>
    </cfRule>
  </conditionalFormatting>
  <conditionalFormatting sqref="B1333">
    <cfRule type="expression" priority="9496" dxfId="6434">
      <formula>$B1333="Subetapa"</formula>
    </cfRule>
  </conditionalFormatting>
  <conditionalFormatting sqref="B1344">
    <cfRule type="expression" priority="9480" dxfId="6434">
      <formula>$B1344="Subetapa"</formula>
    </cfRule>
  </conditionalFormatting>
  <conditionalFormatting sqref="B1386:B1396 B1535 B1541 B1548 B1626 B1638">
    <cfRule type="expression" priority="13426" dxfId="6424">
      <formula>$B1386="Subetapa"</formula>
    </cfRule>
  </conditionalFormatting>
  <conditionalFormatting sqref="B1542:B1546">
    <cfRule type="expression" priority="7262" dxfId="6424">
      <formula>$B1542="Subetapa"</formula>
    </cfRule>
  </conditionalFormatting>
  <conditionalFormatting sqref="B1650:B1842">
    <cfRule type="expression" priority="7444" dxfId="6424">
      <formula>$B1650="Subetapa"</formula>
    </cfRule>
  </conditionalFormatting>
  <conditionalFormatting sqref="B1844:B1854">
    <cfRule type="expression" priority="7440" dxfId="6424">
      <formula>$B1844="Subetapa"</formula>
    </cfRule>
  </conditionalFormatting>
  <conditionalFormatting sqref="B1856:B1866">
    <cfRule type="expression" priority="7436" dxfId="6424">
      <formula>$B1856="Subetapa"</formula>
    </cfRule>
  </conditionalFormatting>
  <conditionalFormatting sqref="B1869 B1871:B1879 D1868:D1869 D1871:D1879">
    <cfRule type="expression" priority="13266" dxfId="6424">
      <formula>$B1868="Subetapa"</formula>
    </cfRule>
  </conditionalFormatting>
  <conditionalFormatting sqref="B1870">
    <cfRule type="expression" priority="13256" dxfId="6424">
      <formula>$B1870="Subetapa"</formula>
    </cfRule>
  </conditionalFormatting>
  <conditionalFormatting sqref="B1894 B1896:B1906 D1893:D1894 D1896:D1904">
    <cfRule type="expression" priority="13254" dxfId="6424">
      <formula>$B1893="Subetapa"</formula>
    </cfRule>
  </conditionalFormatting>
  <conditionalFormatting sqref="B1931 B1933:B1941 D1930:D1931 D1933:D1941">
    <cfRule type="expression" priority="13196" dxfId="6424">
      <formula>$B1930="Subetapa"</formula>
    </cfRule>
  </conditionalFormatting>
  <conditionalFormatting sqref="B1944 B1946:B1954 D1943:D1944 D1946:D1954">
    <cfRule type="expression" priority="13180" dxfId="6424">
      <formula>$B1943="Subetapa"</formula>
    </cfRule>
  </conditionalFormatting>
  <conditionalFormatting sqref="B1957 B1959:B1967 D1956:D1957 D1959:D1967">
    <cfRule type="expression" priority="13164" dxfId="6424">
      <formula>$B1956="Subetapa"</formula>
    </cfRule>
  </conditionalFormatting>
  <conditionalFormatting sqref="B1970 B1972:B1980 D1969:D1970 D1972:D1980">
    <cfRule type="expression" priority="13148" dxfId="6424">
      <formula>$B1969="Subetapa"</formula>
    </cfRule>
  </conditionalFormatting>
  <conditionalFormatting sqref="B2020">
    <cfRule type="expression" priority="12006" dxfId="6424">
      <formula>$B2020="Subetapa"</formula>
    </cfRule>
  </conditionalFormatting>
  <conditionalFormatting sqref="B2042:B2052">
    <cfRule type="expression" priority="7391" dxfId="6424">
      <formula>$B2042="Subetapa"</formula>
    </cfRule>
  </conditionalFormatting>
  <conditionalFormatting sqref="B2068">
    <cfRule type="expression" priority="13024" dxfId="6424">
      <formula>$B2068="Subetapa"</formula>
    </cfRule>
  </conditionalFormatting>
  <conditionalFormatting sqref="B2081">
    <cfRule type="expression" priority="13006" dxfId="6424">
      <formula>$B2081="Subetapa"</formula>
    </cfRule>
  </conditionalFormatting>
  <conditionalFormatting sqref="B2094">
    <cfRule type="expression" priority="12988" dxfId="6424">
      <formula>$B2094="Subetapa"</formula>
    </cfRule>
  </conditionalFormatting>
  <conditionalFormatting sqref="B2331:B2336">
    <cfRule type="expression" priority="7351" dxfId="6424">
      <formula>$B2331="Subetapa"</formula>
    </cfRule>
  </conditionalFormatting>
  <conditionalFormatting sqref="B2346">
    <cfRule type="expression" priority="12807" dxfId="6424">
      <formula>$B2346="Subetapa"</formula>
    </cfRule>
  </conditionalFormatting>
  <conditionalFormatting sqref="B2379 B2384">
    <cfRule type="expression" priority="9405" dxfId="6433">
      <formula>$B2379="Serviço"</formula>
    </cfRule>
  </conditionalFormatting>
  <conditionalFormatting sqref="B2692:B2718">
    <cfRule type="expression" priority="7254" dxfId="6424">
      <formula>$B2692="Subetapa"</formula>
    </cfRule>
  </conditionalFormatting>
  <conditionalFormatting sqref="B2756:B2764">
    <cfRule type="expression" priority="7211" dxfId="6424">
      <formula>$B2756="Subetapa"</formula>
    </cfRule>
  </conditionalFormatting>
  <conditionalFormatting sqref="B2768">
    <cfRule type="expression" priority="12651" dxfId="6424">
      <formula>$B2768="Subetapa"</formula>
    </cfRule>
  </conditionalFormatting>
  <conditionalFormatting sqref="B2876">
    <cfRule type="expression" priority="12614" dxfId="6424">
      <formula>$B2876="Subetapa"</formula>
    </cfRule>
  </conditionalFormatting>
  <conditionalFormatting sqref="B2885:B2889 B2905:B2910">
    <cfRule type="expression" priority="7252" dxfId="6424">
      <formula>$B2885="Subetapa"</formula>
    </cfRule>
  </conditionalFormatting>
  <conditionalFormatting sqref="B3107">
    <cfRule type="expression" priority="12544" dxfId="6424">
      <formula>$B3107="Subetapa"</formula>
    </cfRule>
  </conditionalFormatting>
  <conditionalFormatting sqref="B3561:B3575">
    <cfRule type="expression" priority="7334" dxfId="6424">
      <formula>$B3561="Subetapa"</formula>
    </cfRule>
  </conditionalFormatting>
  <conditionalFormatting sqref="B3577:B3588 B3618:B3621">
    <cfRule type="expression" priority="7326" dxfId="6424">
      <formula>$B3577="Subetapa"</formula>
    </cfRule>
  </conditionalFormatting>
  <conditionalFormatting sqref="B3816:B3845">
    <cfRule type="expression" priority="7245" dxfId="6424">
      <formula>$B3816="Subetapa"</formula>
    </cfRule>
  </conditionalFormatting>
  <conditionalFormatting sqref="B3848:B3850">
    <cfRule type="expression" priority="7288" dxfId="6424">
      <formula>$B3848="Subetapa"</formula>
    </cfRule>
  </conditionalFormatting>
  <conditionalFormatting sqref="B3937">
    <cfRule type="expression" priority="10567" dxfId="6424">
      <formula>$B3937="Subetapa"</formula>
    </cfRule>
  </conditionalFormatting>
  <conditionalFormatting sqref="B3991">
    <cfRule type="expression" priority="8277" dxfId="6433">
      <formula>$B3991="Serviço"</formula>
    </cfRule>
  </conditionalFormatting>
  <conditionalFormatting sqref="B4124">
    <cfRule type="expression" priority="7816" dxfId="6433">
      <formula>$B4124="Serviço"</formula>
    </cfRule>
    <cfRule type="expression" priority="7817" dxfId="6434">
      <formula>$B4124="Subetapa"</formula>
    </cfRule>
  </conditionalFormatting>
  <conditionalFormatting sqref="B4460">
    <cfRule type="expression" priority="13642" dxfId="6424">
      <formula>$B4460="Subetapa"</formula>
    </cfRule>
  </conditionalFormatting>
  <conditionalFormatting sqref="B4482">
    <cfRule type="expression" priority="13644" dxfId="6424">
      <formula>$B4482="Subetapa"</formula>
    </cfRule>
  </conditionalFormatting>
  <conditionalFormatting sqref="B4701:B4702">
    <cfRule type="expression" priority="7243" dxfId="6424">
      <formula>$B4701="Subetapa"</formula>
    </cfRule>
  </conditionalFormatting>
  <conditionalFormatting sqref="B323:D323">
    <cfRule type="expression" priority="14327" dxfId="6424">
      <formula>$B323="Subetapa"</formula>
    </cfRule>
  </conditionalFormatting>
  <conditionalFormatting sqref="B1842:D1842">
    <cfRule type="expression" priority="13282" dxfId="6424">
      <formula>$B1842="Subetapa"</formula>
    </cfRule>
  </conditionalFormatting>
  <conditionalFormatting sqref="B2769:D2769">
    <cfRule type="expression" priority="10044" dxfId="6424">
      <formula>$B2769="Subetapa"</formula>
    </cfRule>
  </conditionalFormatting>
  <conditionalFormatting sqref="B2770:D2770">
    <cfRule type="expression" priority="10072" dxfId="6424">
      <formula>$B2770="Subetapa"</formula>
    </cfRule>
  </conditionalFormatting>
  <conditionalFormatting sqref="B2771:D2771">
    <cfRule type="expression" priority="10055" dxfId="6424">
      <formula>$B2771="Subetapa"</formula>
    </cfRule>
  </conditionalFormatting>
  <conditionalFormatting sqref="B4932:D4932">
    <cfRule type="expression" priority="13830" dxfId="6424">
      <formula>$B4932="Subetapa"</formula>
    </cfRule>
  </conditionalFormatting>
  <conditionalFormatting sqref="B2007:D2007">
    <cfRule type="expression" priority="13232" dxfId="6424">
      <formula>$B2007="Subetapa"</formula>
    </cfRule>
  </conditionalFormatting>
  <conditionalFormatting sqref="B3865 D3865">
    <cfRule type="expression" priority="12227" dxfId="6424">
      <formula>$B3865="Subetapa"</formula>
    </cfRule>
  </conditionalFormatting>
  <conditionalFormatting sqref="B3871 D3871">
    <cfRule type="expression" priority="10188" dxfId="6424">
      <formula>$B3871="Subetapa"</formula>
    </cfRule>
  </conditionalFormatting>
  <conditionalFormatting sqref="B3872 D3872">
    <cfRule type="expression" priority="10172" dxfId="6424">
      <formula>$B3872="Subetapa"</formula>
    </cfRule>
  </conditionalFormatting>
  <conditionalFormatting sqref="B3873 D3873">
    <cfRule type="expression" priority="10156" dxfId="6424">
      <formula>$B3873="Subetapa"</formula>
    </cfRule>
  </conditionalFormatting>
  <conditionalFormatting sqref="B3884 D3884">
    <cfRule type="expression" priority="12214" dxfId="6424">
      <formula>$B3884="Subetapa"</formula>
    </cfRule>
  </conditionalFormatting>
  <conditionalFormatting sqref="B3890:D3890">
    <cfRule type="expression" priority="10254" dxfId="6424">
      <formula>$B3890="Subetapa"</formula>
    </cfRule>
  </conditionalFormatting>
  <conditionalFormatting sqref="B3891:D3891">
    <cfRule type="expression" priority="10238" dxfId="6424">
      <formula>$B3891="Subetapa"</formula>
    </cfRule>
  </conditionalFormatting>
  <conditionalFormatting sqref="B3892:D3892">
    <cfRule type="expression" priority="10222" dxfId="6424">
      <formula>$B3892="Subetapa"</formula>
    </cfRule>
  </conditionalFormatting>
  <conditionalFormatting sqref="B3895:D3895">
    <cfRule type="expression" priority="12201" dxfId="6424">
      <formula>$B3895="Subetapa"</formula>
    </cfRule>
  </conditionalFormatting>
  <conditionalFormatting sqref="B3901:D3901">
    <cfRule type="expression" priority="10320" dxfId="6424">
      <formula>$B3901="Subetapa"</formula>
    </cfRule>
  </conditionalFormatting>
  <conditionalFormatting sqref="B3902:D3902">
    <cfRule type="expression" priority="10304" dxfId="6424">
      <formula>$B3902="Subetapa"</formula>
    </cfRule>
  </conditionalFormatting>
  <conditionalFormatting sqref="B3903:D3903">
    <cfRule type="expression" priority="10288" dxfId="6424">
      <formula>$B3903="Subetapa"</formula>
    </cfRule>
  </conditionalFormatting>
  <conditionalFormatting sqref="B3906:D3906">
    <cfRule type="expression" priority="12188" dxfId="6424">
      <formula>$B3906="Subetapa"</formula>
    </cfRule>
  </conditionalFormatting>
  <conditionalFormatting sqref="B3912:D3912">
    <cfRule type="expression" priority="10386" dxfId="6424">
      <formula>$B3912="Subetapa"</formula>
    </cfRule>
  </conditionalFormatting>
  <conditionalFormatting sqref="B3913:D3913">
    <cfRule type="expression" priority="10370" dxfId="6424">
      <formula>$B3913="Subetapa"</formula>
    </cfRule>
  </conditionalFormatting>
  <conditionalFormatting sqref="B3914:D3914">
    <cfRule type="expression" priority="10354" dxfId="6424">
      <formula>$B3914="Subetapa"</formula>
    </cfRule>
  </conditionalFormatting>
  <conditionalFormatting sqref="B3917:D3917">
    <cfRule type="expression" priority="12175" dxfId="6424">
      <formula>$B3917="Subetapa"</formula>
    </cfRule>
  </conditionalFormatting>
  <conditionalFormatting sqref="B3923:D3923">
    <cfRule type="expression" priority="10452" dxfId="6424">
      <formula>$B3923="Subetapa"</formula>
    </cfRule>
  </conditionalFormatting>
  <conditionalFormatting sqref="B3924:D3924">
    <cfRule type="expression" priority="10436" dxfId="6424">
      <formula>$B3924="Subetapa"</formula>
    </cfRule>
  </conditionalFormatting>
  <conditionalFormatting sqref="B3925:D3925">
    <cfRule type="expression" priority="10420" dxfId="6424">
      <formula>$B3925="Subetapa"</formula>
    </cfRule>
  </conditionalFormatting>
  <conditionalFormatting sqref="B3933:D3933">
    <cfRule type="expression" priority="10534" dxfId="6424">
      <formula>$B3933="Subetapa"</formula>
    </cfRule>
  </conditionalFormatting>
  <conditionalFormatting sqref="B3934:D3934">
    <cfRule type="expression" priority="10518" dxfId="6424">
      <formula>$B3934="Subetapa"</formula>
    </cfRule>
  </conditionalFormatting>
  <conditionalFormatting sqref="B3935:D3935">
    <cfRule type="expression" priority="10502" dxfId="6424">
      <formula>$B3935="Subetapa"</formula>
    </cfRule>
  </conditionalFormatting>
  <conditionalFormatting sqref="B3936:D3936">
    <cfRule type="expression" priority="10486" dxfId="6424">
      <formula>$B3936="Subetapa"</formula>
    </cfRule>
  </conditionalFormatting>
  <conditionalFormatting sqref="B3953:D3953">
    <cfRule type="expression" priority="10122" dxfId="6424">
      <formula>$B3953="Subetapa"</formula>
    </cfRule>
  </conditionalFormatting>
  <conditionalFormatting sqref="B3954:D3954">
    <cfRule type="expression" priority="10106" dxfId="6424">
      <formula>$B3954="Subetapa"</formula>
    </cfRule>
  </conditionalFormatting>
  <conditionalFormatting sqref="B3955:D3955">
    <cfRule type="expression" priority="10090" dxfId="6424">
      <formula>$B3955="Subetapa"</formula>
    </cfRule>
  </conditionalFormatting>
  <conditionalFormatting sqref="B1547:D1547 F1547">
    <cfRule type="expression" priority="13414" dxfId="6424">
      <formula>$B1547="Subetapa"</formula>
    </cfRule>
  </conditionalFormatting>
  <conditionalFormatting sqref="B1625:D1625 F1625">
    <cfRule type="expression" priority="13378" dxfId="6424">
      <formula>$B1625="Subetapa"</formula>
    </cfRule>
  </conditionalFormatting>
  <conditionalFormatting sqref="B1637:D1637 F1637">
    <cfRule type="expression" priority="13366" dxfId="6424">
      <formula>$B1637="Subetapa"</formula>
    </cfRule>
  </conditionalFormatting>
  <conditionalFormatting sqref="B1649:D1649 F1649">
    <cfRule type="expression" priority="13324" dxfId="6424">
      <formula>$B1649="Subetapa"</formula>
    </cfRule>
  </conditionalFormatting>
  <conditionalFormatting sqref="B1895:D1895 F1895">
    <cfRule type="expression" priority="13244" dxfId="6424">
      <formula>$B1895="Subetapa"</formula>
    </cfRule>
  </conditionalFormatting>
  <conditionalFormatting sqref="B3243:F3243">
    <cfRule type="expression" priority="9222" dxfId="6433">
      <formula>$B3243="Serviço"</formula>
    </cfRule>
  </conditionalFormatting>
  <conditionalFormatting sqref="B3622:F3622">
    <cfRule type="expression" priority="12520" dxfId="6424">
      <formula>$B3622="Subetapa"</formula>
    </cfRule>
  </conditionalFormatting>
  <conditionalFormatting sqref="B3860:D3860 F3860">
    <cfRule type="expression" priority="12259" dxfId="6424">
      <formula>$B3860="Subetapa"</formula>
    </cfRule>
  </conditionalFormatting>
  <conditionalFormatting sqref="B3970:C3979 D3970:F3970 D3971:D3974 D3975:F3975 D3976:D3979 F3971:F3974 F3976:F3979">
    <cfRule type="expression" priority="11388" dxfId="6424">
      <formula>$B3970="Subetapa"</formula>
    </cfRule>
  </conditionalFormatting>
  <conditionalFormatting sqref="B4068:F4068">
    <cfRule type="expression" priority="12288" dxfId="6424">
      <formula>$B4068="Subetapa"</formula>
    </cfRule>
  </conditionalFormatting>
  <conditionalFormatting sqref="B4077:F4077">
    <cfRule type="expression" priority="12290" dxfId="6424">
      <formula>$B4077="Subetapa"</formula>
    </cfRule>
  </conditionalFormatting>
  <conditionalFormatting sqref="B4087:F4087">
    <cfRule type="expression" priority="12354" dxfId="6424">
      <formula>$B4087="Subetapa"</formula>
    </cfRule>
  </conditionalFormatting>
  <conditionalFormatting sqref="B4205:F4205 B4235:C4244 D4235:F4236 D4237 D4238:F4238 D4239 D4240:F4240 D4241 D4242:F4243 D4244 F4237 F4239 F4241 F4244">
    <cfRule type="expression" priority="12013" dxfId="6424">
      <formula>$B4205="Subetapa"</formula>
    </cfRule>
  </conditionalFormatting>
  <conditionalFormatting sqref="B1016:D1016 B1536:D1540 B2877:D2882 B4135:C4138 B4283:C4290 C2017:F2017 D4135:H4135 D4136 D4137:H4137 D4138 D4283:H4283 D4284:D4285 D4286:H4286 D4287 D4288:H4288 D4289 D4290:H4290 F1016 F1536:F1540 F1906 F2006 F2108:F2111 F2877:F2882 F4136 F4138 F4284:F4285 F4287 F4289">
    <cfRule type="expression" priority="11789" dxfId="6424">
      <formula>$B1016="Subetapa"</formula>
    </cfRule>
  </conditionalFormatting>
  <conditionalFormatting sqref="B1843:H1843 B1855:H1855 B1867:H1867 B1917:H1917 B1929:H1929 B1942:H1942 B1955:H1955 B1968:H1968 B1981:H1981 B1993:H1993 B2005:H2005 C1880:F1880 C1892:F1892 C1905:F1905">
    <cfRule type="expression" priority="11725" dxfId="6424">
      <formula>$B1843="Subetapa"</formula>
    </cfRule>
  </conditionalFormatting>
  <conditionalFormatting sqref="B2041:H2041 B2053:H2053 C2066:F2066 C2079:F2079 C2092:F2092">
    <cfRule type="expression" priority="11661" dxfId="6424">
      <formula>$B2041="Subetapa"</formula>
    </cfRule>
  </conditionalFormatting>
  <conditionalFormatting sqref="B2168:H2168">
    <cfRule type="expression" priority="11822" dxfId="6424">
      <formula>$B2168="Subetapa"</formula>
    </cfRule>
  </conditionalFormatting>
  <conditionalFormatting sqref="B2208:C2211 B2277:C2278 D2208:H2208 D2209 D2210:H2210 D2211 D2277:H2277 D2278 F2209 F2211 F2278">
    <cfRule type="expression" priority="5941" dxfId="6424">
      <formula>$B2208="Subetapa"</formula>
    </cfRule>
  </conditionalFormatting>
  <conditionalFormatting sqref="B2525:F2525">
    <cfRule type="expression" priority="12855" dxfId="6424">
      <formula>$B2525="Subetapa"</formula>
    </cfRule>
  </conditionalFormatting>
  <conditionalFormatting sqref="B2755:F2755">
    <cfRule type="expression" priority="12672" dxfId="6424">
      <formula>$B2755="Subetapa"</formula>
    </cfRule>
  </conditionalFormatting>
  <conditionalFormatting sqref="B2875:D2875 F2875">
    <cfRule type="expression" priority="10661" dxfId="6424">
      <formula>$B2875="Subetapa"</formula>
    </cfRule>
  </conditionalFormatting>
  <conditionalFormatting sqref="B2936:F2936">
    <cfRule type="expression" priority="12562" dxfId="6424">
      <formula>$B2936="Subetapa"</formula>
    </cfRule>
  </conditionalFormatting>
  <conditionalFormatting sqref="B2961:F2961">
    <cfRule type="expression" priority="12558" dxfId="6424">
      <formula>$B2961="Subetapa"</formula>
    </cfRule>
  </conditionalFormatting>
  <conditionalFormatting sqref="B2964:C3021 D2964:D2965 D2966:H2966 D2967:D2969 D2970:H2970 D2971:D2973 D2974:H2974 D2975:D2977 D2978:H2978 D2979:D2981 D2982:H2982 D2983:D2985 D2986:H2986 D2987:D2989 D2990:H2990 D2991:D2993 D2994:H2994 D2995:D2997 D2998:H2998 D2999:D3001 D3002:H3002 D3003:D3005 D3006:H3006 D3007:D3009 D3010:H3010 D3011:D3013 D3014:H3014 D3015:D3017 D3018:H3018 D3019:D3021 F2964:F2965 F2967:F2969 F2971:F2973 F2975:F2977 F2979:F2981 F2983:F2985 F2987:F2989 F2991:F2993 F2995:F2997 F2999:F3001 F3003:F3005 F3007:F3009 F3011:F3013 F3015:F3017 F3019:F3021">
    <cfRule type="expression" priority="5828" dxfId="6424">
      <formula>$B2964="Subetapa"</formula>
    </cfRule>
  </conditionalFormatting>
  <conditionalFormatting sqref="B3022:F3022">
    <cfRule type="expression" priority="12554" dxfId="6424">
      <formula>$B3022="Subetapa"</formula>
    </cfRule>
  </conditionalFormatting>
  <conditionalFormatting sqref="B3709:C3713 D3709:H3709 D3710:D3713 F3710:F3713">
    <cfRule type="expression" priority="6011" dxfId="6424">
      <formula>$B3709="Subetapa"</formula>
    </cfRule>
  </conditionalFormatting>
  <conditionalFormatting sqref="B3715:C3721 B3725:C3730 D3715:H3715 D3716 D3717:H3717 D3718 D3719:H3719 D3720:D3721 D3725:H3725 D3726:D3727 D3728:H3728 D3729:D3730 F3716 F3718 F3720:F3721 F3726:F3727 F3729:F3730">
    <cfRule type="expression" priority="5948" dxfId="6424">
      <formula>$B3715="Subetapa"</formula>
    </cfRule>
  </conditionalFormatting>
  <conditionalFormatting sqref="B4023:C4028 D4023:H4023 D4024 D4025:H4025 D4026:D4028 F4024 F4026:F4028">
    <cfRule type="expression" priority="5947" dxfId="6424">
      <formula>$B4023="Subetapa"</formula>
    </cfRule>
  </conditionalFormatting>
  <conditionalFormatting sqref="B4272:C4277 D4272:F4272 D4273:H4273 D4274 D4275:H4275 D4276 D4277:H4277 F4274 F4276">
    <cfRule type="expression" priority="11450" dxfId="6424">
      <formula>$B4272="Subetapa"</formula>
    </cfRule>
  </conditionalFormatting>
  <conditionalFormatting sqref="B4700:F4700">
    <cfRule type="expression" priority="12094" dxfId="6424">
      <formula>$B4700="Subetapa"</formula>
    </cfRule>
  </conditionalFormatting>
  <conditionalFormatting sqref="B4722:D4722 F4722">
    <cfRule type="expression" priority="12020" dxfId="6424">
      <formula>$B4722="Subetapa"</formula>
    </cfRule>
  </conditionalFormatting>
  <conditionalFormatting sqref="B3089:B3092">
    <cfRule type="expression" priority="7493" dxfId="6424">
      <formula>$B3089="Subetapa"</formula>
    </cfRule>
  </conditionalFormatting>
  <conditionalFormatting sqref="B3191:B3194 B3209:B3214">
    <cfRule type="expression" priority="7324" dxfId="6424">
      <formula>$B3191="Subetapa"</formula>
    </cfRule>
  </conditionalFormatting>
  <conditionalFormatting sqref="D957:D962">
    <cfRule type="expression" priority="7532" dxfId="6424">
      <formula>$B957="Subetapa"</formula>
    </cfRule>
  </conditionalFormatting>
  <conditionalFormatting sqref="D2351:F2351 D2352 D2353:F2353 D2354:D2355 F2352 F2354:F2355">
    <cfRule type="expression" priority="7353" dxfId="6424">
      <formula>$B2351="Subetapa"</formula>
    </cfRule>
  </conditionalFormatting>
  <conditionalFormatting sqref="C2359:C2367 C2369:C2373 D2359:F2359 D2360:D2363 D2364:F2364 D2365:D2367 D2369:F2369 D2370:D2373 F2360:F2363 F2365:F2367 F2370:F2373">
    <cfRule type="expression" priority="7492" dxfId="6424">
      <formula>$B2359="Subetapa"</formula>
    </cfRule>
  </conditionalFormatting>
  <conditionalFormatting sqref="C3679:C3683 D3679:F3679 D3680:D3683 F3680:F3683">
    <cfRule type="expression" priority="7315" dxfId="6424">
      <formula>$B3679="Subetapa"</formula>
    </cfRule>
  </conditionalFormatting>
  <conditionalFormatting sqref="C4279:C4282 D4279:F4279 D4280:D4282 F4280:F4282">
    <cfRule type="expression" priority="7274" dxfId="6424">
      <formula>$B4279="Subetapa"</formula>
    </cfRule>
  </conditionalFormatting>
  <conditionalFormatting sqref="D284:D286">
    <cfRule type="expression" priority="13766" dxfId="6424">
      <formula>$B284="Subetapa"</formula>
    </cfRule>
  </conditionalFormatting>
  <conditionalFormatting sqref="C287:D289 C291:D291 C293:D293 C295:D295">
    <cfRule type="expression" priority="9759" dxfId="6434">
      <formula>$B287="Subetapa"</formula>
    </cfRule>
  </conditionalFormatting>
  <conditionalFormatting sqref="D321:D322 F321:F323">
    <cfRule type="expression" priority="14130" dxfId="6424">
      <formula>$B321="Subetapa"</formula>
    </cfRule>
  </conditionalFormatting>
  <conditionalFormatting sqref="D662:D664">
    <cfRule type="expression" priority="9677" dxfId="6433">
      <formula>$B662="Serviço"</formula>
    </cfRule>
  </conditionalFormatting>
  <conditionalFormatting sqref="D867:D868">
    <cfRule type="expression" priority="13856" dxfId="6424">
      <formula>$B867="Subetapa"</formula>
    </cfRule>
  </conditionalFormatting>
  <conditionalFormatting sqref="D964:D966">
    <cfRule type="expression" priority="13684" dxfId="6424">
      <formula>$B964="Subetapa"</formula>
    </cfRule>
  </conditionalFormatting>
  <conditionalFormatting sqref="D967:D969">
    <cfRule type="expression" priority="13686" dxfId="6424">
      <formula>$B967="Subetapa"</formula>
    </cfRule>
  </conditionalFormatting>
  <conditionalFormatting sqref="D971:D972">
    <cfRule type="expression" priority="13863" dxfId="6424">
      <formula>$B971="Subetapa"</formula>
    </cfRule>
  </conditionalFormatting>
  <conditionalFormatting sqref="D974:D975">
    <cfRule type="expression" priority="13865" dxfId="6424">
      <formula>$B974="Subetapa"</formula>
    </cfRule>
  </conditionalFormatting>
  <conditionalFormatting sqref="D1345:D1347">
    <cfRule type="expression" priority="9475" dxfId="6434">
      <formula>$B1345="Subetapa"</formula>
    </cfRule>
  </conditionalFormatting>
  <conditionalFormatting sqref="D1844:D1854">
    <cfRule type="expression" priority="13276" dxfId="6424">
      <formula>$B1844="Subetapa"</formula>
    </cfRule>
  </conditionalFormatting>
  <conditionalFormatting sqref="D1856:D1866">
    <cfRule type="expression" priority="13272" dxfId="6424">
      <formula>$B1856="Subetapa"</formula>
    </cfRule>
  </conditionalFormatting>
  <conditionalFormatting sqref="C1918:D1918">
    <cfRule type="expression" priority="13216" dxfId="6424">
      <formula>$B1918="Subetapa"</formula>
    </cfRule>
  </conditionalFormatting>
  <conditionalFormatting sqref="D1982:D1992">
    <cfRule type="expression" priority="13121" dxfId="6424">
      <formula>$B1982="Subetapa"</formula>
    </cfRule>
  </conditionalFormatting>
  <conditionalFormatting sqref="D1994:D2004">
    <cfRule type="expression" priority="13103" dxfId="6424">
      <formula>$B1994="Subetapa"</formula>
    </cfRule>
  </conditionalFormatting>
  <conditionalFormatting sqref="B2019:B2040 D2018:D2028">
    <cfRule type="expression" priority="12008" dxfId="6424">
      <formula>$B2018="Subetapa"</formula>
    </cfRule>
  </conditionalFormatting>
  <conditionalFormatting sqref="D2033:D2034">
    <cfRule type="expression" priority="13070" dxfId="6424">
      <formula>$B2033="Subetapa"</formula>
    </cfRule>
  </conditionalFormatting>
  <conditionalFormatting sqref="D2045:D2046">
    <cfRule type="expression" priority="13060" dxfId="6424">
      <formula>$B2045="Subetapa"</formula>
    </cfRule>
  </conditionalFormatting>
  <conditionalFormatting sqref="D2058:D2059">
    <cfRule type="expression" priority="13050" dxfId="6424">
      <formula>$B2058="Subetapa"</formula>
    </cfRule>
  </conditionalFormatting>
  <conditionalFormatting sqref="B2067:B2078 D2067:D2068">
    <cfRule type="expression" priority="13026" dxfId="6424">
      <formula>$B2067="Subetapa"</formula>
    </cfRule>
  </conditionalFormatting>
  <conditionalFormatting sqref="B2069:B2079 D2069:D2070 D2073:D2078">
    <cfRule type="expression" priority="13036" dxfId="6424">
      <formula>$B2069="Subetapa"</formula>
    </cfRule>
  </conditionalFormatting>
  <conditionalFormatting sqref="D2071:D2072">
    <cfRule type="expression" priority="13032" dxfId="6424">
      <formula>$B2071="Subetapa"</formula>
    </cfRule>
  </conditionalFormatting>
  <conditionalFormatting sqref="B2080:B2091 D2080:D2081">
    <cfRule type="expression" priority="13008" dxfId="6424">
      <formula>$B2080="Subetapa"</formula>
    </cfRule>
  </conditionalFormatting>
  <conditionalFormatting sqref="B2082:B2092 D2082:D2083 D2086:D2091">
    <cfRule type="expression" priority="13018" dxfId="6424">
      <formula>$B2082="Subetapa"</formula>
    </cfRule>
  </conditionalFormatting>
  <conditionalFormatting sqref="D2084:D2085">
    <cfRule type="expression" priority="13014" dxfId="6424">
      <formula>$B2084="Subetapa"</formula>
    </cfRule>
  </conditionalFormatting>
  <conditionalFormatting sqref="B2093:B2104 D2093:D2094">
    <cfRule type="expression" priority="12990" dxfId="6424">
      <formula>$B2093="Subetapa"</formula>
    </cfRule>
  </conditionalFormatting>
  <conditionalFormatting sqref="B2095:B2104 D2095:D2096 D2099:D2104">
    <cfRule type="expression" priority="13000" dxfId="6424">
      <formula>$B2095="Subetapa"</formula>
    </cfRule>
  </conditionalFormatting>
  <conditionalFormatting sqref="D2097:D2098">
    <cfRule type="expression" priority="12996" dxfId="6424">
      <formula>$B2097="Subetapa"</formula>
    </cfRule>
  </conditionalFormatting>
  <conditionalFormatting sqref="D2106:D2111">
    <cfRule type="expression" priority="12949" dxfId="6424">
      <formula>$B2106="Subetapa"</formula>
    </cfRule>
  </conditionalFormatting>
  <conditionalFormatting sqref="D2113:D2118">
    <cfRule type="expression" priority="12929" dxfId="6424">
      <formula>$B2113="Subetapa"</formula>
    </cfRule>
  </conditionalFormatting>
  <conditionalFormatting sqref="D2120:D2125">
    <cfRule type="expression" priority="12909" dxfId="6424">
      <formula>$B2120="Subetapa"</formula>
    </cfRule>
  </conditionalFormatting>
  <conditionalFormatting sqref="D2127:D2132">
    <cfRule type="expression" priority="12889" dxfId="6424">
      <formula>$B2127="Subetapa"</formula>
    </cfRule>
  </conditionalFormatting>
  <conditionalFormatting sqref="D2134:D2139">
    <cfRule type="expression" priority="12869" dxfId="6424">
      <formula>$B2134="Subetapa"</formula>
    </cfRule>
  </conditionalFormatting>
  <conditionalFormatting sqref="D2332:D2336">
    <cfRule type="expression" priority="12835" dxfId="6424">
      <formula>$B2332="Subetapa"</formula>
    </cfRule>
  </conditionalFormatting>
  <conditionalFormatting sqref="C2613:D2613 C2693:D2693 C2716:D2716">
    <cfRule type="expression" priority="13877" dxfId="6931">
      <formula>$A2613=2</formula>
    </cfRule>
  </conditionalFormatting>
  <conditionalFormatting sqref="C2723:D2723">
    <cfRule type="expression" priority="9310" dxfId="6434">
      <formula>$B2723="Subetapa"</formula>
    </cfRule>
  </conditionalFormatting>
  <conditionalFormatting sqref="D2757:D2759">
    <cfRule type="expression" priority="10022" dxfId="6424">
      <formula>$B2757="Subetapa"</formula>
    </cfRule>
  </conditionalFormatting>
  <conditionalFormatting sqref="D2761:D2764">
    <cfRule type="expression" priority="10033" dxfId="6424">
      <formula>$B2761="Subetapa"</formula>
    </cfRule>
  </conditionalFormatting>
  <conditionalFormatting sqref="D2772:D2785">
    <cfRule type="expression" priority="12668" dxfId="6424">
      <formula>$B2772="Subetapa"</formula>
    </cfRule>
  </conditionalFormatting>
  <conditionalFormatting sqref="D2786:D2787">
    <cfRule type="expression" priority="13881" dxfId="6931">
      <formula>$A2786=2</formula>
    </cfRule>
  </conditionalFormatting>
  <conditionalFormatting sqref="C2912:D2913 C4713:D4720 C4723:D4724 C4879:D4879">
    <cfRule type="expression" priority="13883" dxfId="5">
      <formula>$I2912="CÉLULA CONSTRUTIVA"</formula>
    </cfRule>
    <cfRule type="expression" priority="13884" dxfId="3">
      <formula>$I2912="ETAPA"</formula>
    </cfRule>
    <cfRule type="expression" priority="13882" dxfId="4">
      <formula>$I2912="SUBETAPA"</formula>
    </cfRule>
  </conditionalFormatting>
  <conditionalFormatting sqref="D2914:D2915">
    <cfRule type="expression" priority="12645" dxfId="4">
      <formula>$I2914="SUBETAPA"</formula>
    </cfRule>
    <cfRule type="expression" priority="12646" dxfId="5">
      <formula>$I2914="CÉLULA CONSTRUTIVA"</formula>
    </cfRule>
    <cfRule type="expression" priority="12647" dxfId="3">
      <formula>$I2914="ETAPA"</formula>
    </cfRule>
  </conditionalFormatting>
  <conditionalFormatting sqref="D2916:D2917">
    <cfRule type="expression" priority="12575" dxfId="4">
      <formula>$I2916="SUBETAPA"</formula>
    </cfRule>
    <cfRule type="expression" priority="12576" dxfId="5">
      <formula>$I2916="CÉLULA CONSTRUTIVA"</formula>
    </cfRule>
    <cfRule type="expression" priority="12577" dxfId="3">
      <formula>$I2916="ETAPA"</formula>
    </cfRule>
  </conditionalFormatting>
  <conditionalFormatting sqref="C3194:D3194">
    <cfRule type="expression" priority="13885" dxfId="6931">
      <formula>$A3194=2</formula>
    </cfRule>
  </conditionalFormatting>
  <conditionalFormatting sqref="C3286:D3286">
    <cfRule type="expression" priority="9072" dxfId="6433">
      <formula>$B3286="Serviço"</formula>
    </cfRule>
    <cfRule type="expression" priority="9073" dxfId="6434">
      <formula>$B3286="Subetapa"</formula>
    </cfRule>
  </conditionalFormatting>
  <conditionalFormatting sqref="C3301:D3301">
    <cfRule type="expression" priority="9070" dxfId="6433">
      <formula>$B3301="Serviço"</formula>
    </cfRule>
    <cfRule type="expression" priority="9071" dxfId="6434">
      <formula>$B3301="Subetapa"</formula>
    </cfRule>
  </conditionalFormatting>
  <conditionalFormatting sqref="D3427:D3429 F3286:F3289 F3312:F3315 F3321:F3324 F3341:F3344 F3351:F3354 F3356:F3359 F3361:F3364 F3366:F3369 F3371:F3374 F3381:F3384 F3386:F3389 F3391:F3394 F3396:F3399 F3401:F3404 F3406:F3409 F3411:F3414 F3416:F3419 F3421:F3424 F3562:F3565 F4324:F4327 F4339:F4342 F4344:F4347 F4349:F4352 F4354:F4357 F4372 F4439 F4441:F4442 F4581 F4583 F4585">
    <cfRule type="expression" priority="13887" dxfId="6424">
      <formula>$A3286="Subetapa"</formula>
    </cfRule>
  </conditionalFormatting>
  <conditionalFormatting sqref="C3578:D3578">
    <cfRule type="expression" priority="12423" dxfId="6931">
      <formula>$A3578=2</formula>
    </cfRule>
  </conditionalFormatting>
  <conditionalFormatting sqref="C3582:D3582">
    <cfRule type="expression" priority="13891" dxfId="6931">
      <formula>$A3582=2</formula>
    </cfRule>
  </conditionalFormatting>
  <conditionalFormatting sqref="D3619:D3621 F2527:F2530 F3317:F3319">
    <cfRule type="expression" priority="13893" dxfId="6424">
      <formula>$A2527="Subetapa"</formula>
    </cfRule>
  </conditionalFormatting>
  <conditionalFormatting sqref="C3659:D3659">
    <cfRule type="expression" priority="13894" dxfId="6931">
      <formula>$A3659=2</formula>
    </cfRule>
  </conditionalFormatting>
  <conditionalFormatting sqref="C3846:D3846">
    <cfRule type="expression" priority="12111" dxfId="6424">
      <formula>$B3846="Subetapa"</formula>
    </cfRule>
  </conditionalFormatting>
  <conditionalFormatting sqref="C3853:D3853">
    <cfRule type="expression" priority="8636" dxfId="6434">
      <formula>$B3853="Subetapa"</formula>
    </cfRule>
  </conditionalFormatting>
  <conditionalFormatting sqref="D3862:D3863">
    <cfRule type="expression" priority="12245" dxfId="6424">
      <formula>$B3862="Subetapa"</formula>
    </cfRule>
  </conditionalFormatting>
  <conditionalFormatting sqref="D3863">
    <cfRule type="expression" priority="12240" dxfId="6424">
      <formula>$B3863="Subetapa"</formula>
    </cfRule>
  </conditionalFormatting>
  <conditionalFormatting sqref="D3883">
    <cfRule type="expression" priority="12160" dxfId="6424">
      <formula>$B3883="Subetapa"</formula>
    </cfRule>
  </conditionalFormatting>
  <conditionalFormatting sqref="C3894:D3894">
    <cfRule type="expression" priority="12158" dxfId="6424">
      <formula>$B3894="Subetapa"</formula>
    </cfRule>
  </conditionalFormatting>
  <conditionalFormatting sqref="C3905:D3905">
    <cfRule type="expression" priority="12156" dxfId="6424">
      <formula>$B3905="Subetapa"</formula>
    </cfRule>
  </conditionalFormatting>
  <conditionalFormatting sqref="C3916:D3916">
    <cfRule type="expression" priority="12154" dxfId="6424">
      <formula>$B3916="Subetapa"</formula>
    </cfRule>
  </conditionalFormatting>
  <conditionalFormatting sqref="D3927:D3928">
    <cfRule type="expression" priority="12152" dxfId="6424">
      <formula>$B3927="Subetapa"</formula>
    </cfRule>
  </conditionalFormatting>
  <conditionalFormatting sqref="D3939:D3943">
    <cfRule type="expression" priority="13897" dxfId="6424">
      <formula>$B3939="Subetapa"</formula>
    </cfRule>
  </conditionalFormatting>
  <conditionalFormatting sqref="C3981:D3981">
    <cfRule type="expression" priority="8302" dxfId="6433">
      <formula>$B3981="Serviço"</formula>
    </cfRule>
  </conditionalFormatting>
  <conditionalFormatting sqref="C3997:D3997">
    <cfRule type="expression" priority="8238" dxfId="6433">
      <formula>$A3997="Serviço"</formula>
    </cfRule>
    <cfRule type="expression" priority="8239" dxfId="6434">
      <formula>$A3997="Subetapa"</formula>
    </cfRule>
  </conditionalFormatting>
  <conditionalFormatting sqref="D3997:D3998">
    <cfRule type="expression" priority="8240" dxfId="6433">
      <formula>$A3997="Serviço"</formula>
    </cfRule>
    <cfRule type="expression" priority="8241" dxfId="6434">
      <formula>$A3997="Subetapa"</formula>
    </cfRule>
  </conditionalFormatting>
  <conditionalFormatting sqref="C3998:D3998">
    <cfRule type="expression" priority="8246" dxfId="6433">
      <formula>$A3998="Serviço"</formula>
    </cfRule>
    <cfRule type="expression" priority="8247" dxfId="6434">
      <formula>$A3998="Subetapa"</formula>
    </cfRule>
  </conditionalFormatting>
  <conditionalFormatting sqref="C4000:D4000">
    <cfRule type="expression" priority="8252" dxfId="6433">
      <formula>$A4000="Serviço"</formula>
    </cfRule>
    <cfRule type="expression" priority="8253" dxfId="6434">
      <formula>$A4000="Subetapa"</formula>
    </cfRule>
  </conditionalFormatting>
  <conditionalFormatting sqref="D4000:D4001">
    <cfRule type="expression" priority="8254" dxfId="6433">
      <formula>$A4000="Serviço"</formula>
    </cfRule>
    <cfRule type="expression" priority="8255" dxfId="6434">
      <formula>$A4000="Subetapa"</formula>
    </cfRule>
  </conditionalFormatting>
  <conditionalFormatting sqref="C4001:D4001">
    <cfRule type="expression" priority="8295" dxfId="6433">
      <formula>$A4001="Serviço"</formula>
    </cfRule>
    <cfRule type="expression" priority="8296" dxfId="6434">
      <formula>$A4001="Subetapa"</formula>
    </cfRule>
  </conditionalFormatting>
  <conditionalFormatting sqref="C4055:D4055">
    <cfRule type="expression" priority="7859" dxfId="6433">
      <formula>$A4055="Serviço"</formula>
    </cfRule>
    <cfRule type="expression" priority="7860" dxfId="6434">
      <formula>$A4055="Subetapa"</formula>
    </cfRule>
  </conditionalFormatting>
  <conditionalFormatting sqref="D4055:D4056">
    <cfRule type="expression" priority="7861" dxfId="6433">
      <formula>$A4055="Serviço"</formula>
    </cfRule>
    <cfRule type="expression" priority="7862" dxfId="6434">
      <formula>$A4055="Subetapa"</formula>
    </cfRule>
  </conditionalFormatting>
  <conditionalFormatting sqref="C4056:D4056">
    <cfRule type="expression" priority="7867" dxfId="6433">
      <formula>$A4056="Serviço"</formula>
    </cfRule>
    <cfRule type="expression" priority="7868" dxfId="6434">
      <formula>$A4056="Subetapa"</formula>
    </cfRule>
  </conditionalFormatting>
  <conditionalFormatting sqref="D4090:D4091">
    <cfRule type="expression" priority="13899" dxfId="6424">
      <formula>$B4090="Subetapa"</formula>
    </cfRule>
  </conditionalFormatting>
  <conditionalFormatting sqref="D4092:D4097">
    <cfRule type="expression" priority="13901" dxfId="6424">
      <formula>$B4092="Subetapa"</formula>
    </cfRule>
  </conditionalFormatting>
  <conditionalFormatting sqref="B4107:B4109 C4107:D4107">
    <cfRule type="expression" priority="7833" dxfId="6434">
      <formula>$B4107="Subetapa"</formula>
    </cfRule>
  </conditionalFormatting>
  <conditionalFormatting sqref="D4292:D4295">
    <cfRule type="expression" priority="12083" dxfId="6424">
      <formula>$B4292="Subetapa"</formula>
    </cfRule>
  </conditionalFormatting>
  <conditionalFormatting sqref="C4522:D4522">
    <cfRule type="expression" priority="7714" dxfId="6433">
      <formula>$B4522="Serviço"</formula>
    </cfRule>
  </conditionalFormatting>
  <conditionalFormatting sqref="C4546:D4546">
    <cfRule type="expression" priority="7711" dxfId="6433">
      <formula>$B4546="Serviço"</formula>
    </cfRule>
  </conditionalFormatting>
  <conditionalFormatting sqref="C4548:D4548">
    <cfRule type="expression" priority="7712" dxfId="6433">
      <formula>$B4548="Serviço"</formula>
    </cfRule>
  </conditionalFormatting>
  <conditionalFormatting sqref="C4550:D4550">
    <cfRule type="expression" priority="7713" dxfId="6433">
      <formula>$B4550="Serviço"</formula>
    </cfRule>
  </conditionalFormatting>
  <conditionalFormatting sqref="C4552:D4552">
    <cfRule type="expression" priority="7715" dxfId="6433">
      <formula>$B4552="Serviço"</formula>
    </cfRule>
  </conditionalFormatting>
  <conditionalFormatting sqref="D4751:D4758 F4751:F4758">
    <cfRule type="expression" priority="13908" dxfId="6424">
      <formula>$B4751="Subetapa"</formula>
    </cfRule>
  </conditionalFormatting>
  <conditionalFormatting sqref="B2 B2170:B2172 D4833:D4838 D4880:D4888">
    <cfRule type="expression" priority="13750" dxfId="6424">
      <formula>$B2="Subetapa"</formula>
    </cfRule>
  </conditionalFormatting>
  <conditionalFormatting sqref="C4918:D4918">
    <cfRule type="expression" priority="7606" dxfId="6433">
      <formula>$B4918="Serviço"</formula>
    </cfRule>
    <cfRule type="expression" priority="7607" dxfId="6434">
      <formula>$B4918="Subetapa"</formula>
    </cfRule>
  </conditionalFormatting>
  <conditionalFormatting sqref="C4936:D4936">
    <cfRule type="expression" priority="13832" dxfId="6424">
      <formula>$B4936="Subetapa"</formula>
    </cfRule>
  </conditionalFormatting>
  <conditionalFormatting sqref="D4942:D4974">
    <cfRule type="expression" priority="13930" dxfId="6424">
      <formula>$B4942="Subetapa"</formula>
    </cfRule>
  </conditionalFormatting>
  <conditionalFormatting sqref="C4974:D4975 C4990:D4990">
    <cfRule type="expression" priority="14249" dxfId="6424">
      <formula>$B4974="Subetapa"</formula>
    </cfRule>
  </conditionalFormatting>
  <conditionalFormatting sqref="D815:D823">
    <cfRule type="expression" priority="9641" dxfId="6433">
      <formula>$B815="Serviço"</formula>
    </cfRule>
    <cfRule type="expression" priority="9642" dxfId="6434">
      <formula>$B815="Subetapa"</formula>
    </cfRule>
  </conditionalFormatting>
  <conditionalFormatting sqref="D1256:D1265">
    <cfRule type="expression" priority="9505" dxfId="6434">
      <formula>$B1256="Subetapa"</formula>
    </cfRule>
  </conditionalFormatting>
  <conditionalFormatting sqref="D1302:D1310">
    <cfRule type="expression" priority="9477" dxfId="6433">
      <formula>$B1302="Serviço"</formula>
    </cfRule>
    <cfRule type="expression" priority="9478" dxfId="6434">
      <formula>$B1302="Subetapa"</formula>
    </cfRule>
  </conditionalFormatting>
  <conditionalFormatting sqref="D1358:D1361">
    <cfRule type="expression" priority="9542" dxfId="6433">
      <formula>$B1358="Serviço"</formula>
    </cfRule>
    <cfRule type="expression" priority="9543" dxfId="6434">
      <formula>$B1358="Subetapa"</formula>
    </cfRule>
  </conditionalFormatting>
  <conditionalFormatting sqref="D1364:D1367">
    <cfRule type="expression" priority="9545" dxfId="6433">
      <formula>$B1364="Serviço"</formula>
    </cfRule>
    <cfRule type="expression" priority="9546" dxfId="6434">
      <formula>$B1364="Subetapa"</formula>
    </cfRule>
  </conditionalFormatting>
  <conditionalFormatting sqref="D1376:D1384">
    <cfRule type="expression" priority="9551" dxfId="6434">
      <formula>$B1376="Subetapa"</formula>
    </cfRule>
  </conditionalFormatting>
  <conditionalFormatting sqref="D2476:D2479">
    <cfRule type="expression" priority="9336" dxfId="6433">
      <formula>$B2476="Serviço"</formula>
    </cfRule>
  </conditionalFormatting>
  <conditionalFormatting sqref="D2481:D2484">
    <cfRule type="expression" priority="9339" dxfId="6433">
      <formula>$B2481="Serviço"</formula>
    </cfRule>
  </conditionalFormatting>
  <conditionalFormatting sqref="D2486:D2489">
    <cfRule type="expression" priority="9363" dxfId="6433">
      <formula>$B2486="Serviço"</formula>
    </cfRule>
  </conditionalFormatting>
  <conditionalFormatting sqref="D2521:D2524">
    <cfRule type="expression" priority="9348" dxfId="6433">
      <formula>$B2521="Serviço"</formula>
    </cfRule>
  </conditionalFormatting>
  <conditionalFormatting sqref="D3866:D3870">
    <cfRule type="expression" priority="10646" dxfId="6424">
      <formula>$B3866="Subetapa"</formula>
    </cfRule>
  </conditionalFormatting>
  <conditionalFormatting sqref="D3885:D3889">
    <cfRule type="expression" priority="10630" dxfId="6424">
      <formula>$B3885="Subetapa"</formula>
    </cfRule>
  </conditionalFormatting>
  <conditionalFormatting sqref="D3896:D3900">
    <cfRule type="expression" priority="10614" dxfId="6424">
      <formula>$B3896="Subetapa"</formula>
    </cfRule>
  </conditionalFormatting>
  <conditionalFormatting sqref="D3907:D3911">
    <cfRule type="expression" priority="10598" dxfId="6424">
      <formula>$B3907="Subetapa"</formula>
    </cfRule>
  </conditionalFormatting>
  <conditionalFormatting sqref="D3918:D3922">
    <cfRule type="expression" priority="10582" dxfId="6424">
      <formula>$B3918="Subetapa"</formula>
    </cfRule>
  </conditionalFormatting>
  <conditionalFormatting sqref="D3948:D3952">
    <cfRule type="expression" priority="10550" dxfId="6424">
      <formula>$B3948="Subetapa"</formula>
    </cfRule>
  </conditionalFormatting>
  <conditionalFormatting sqref="C3999:F3999 C4003:D4003">
    <cfRule type="expression" priority="8305" dxfId="6433">
      <formula>$B3999="Serviço"</formula>
    </cfRule>
  </conditionalFormatting>
  <conditionalFormatting sqref="C4003:D4003">
    <cfRule type="expression" priority="8301" dxfId="6434">
      <formula>$B4003="Subetapa"</formula>
    </cfRule>
  </conditionalFormatting>
  <conditionalFormatting sqref="D4005:D4006">
    <cfRule type="expression" priority="8195" dxfId="6434">
      <formula>$B4005="Subetapa"</formula>
    </cfRule>
  </conditionalFormatting>
  <conditionalFormatting sqref="D4008:D4009">
    <cfRule type="expression" priority="8202" dxfId="6434">
      <formula>$B4008="Subetapa"</formula>
    </cfRule>
  </conditionalFormatting>
  <conditionalFormatting sqref="D4011:D4012">
    <cfRule type="expression" priority="8209" dxfId="6434">
      <formula>$B4011="Subetapa"</formula>
    </cfRule>
  </conditionalFormatting>
  <conditionalFormatting sqref="D4014:D4015">
    <cfRule type="expression" priority="8216" dxfId="6434">
      <formula>$B4014="Subetapa"</formula>
    </cfRule>
  </conditionalFormatting>
  <conditionalFormatting sqref="D4017:D4018">
    <cfRule type="expression" priority="8223" dxfId="6434">
      <formula>$B4017="Subetapa"</formula>
    </cfRule>
  </conditionalFormatting>
  <conditionalFormatting sqref="D4020:D4021">
    <cfRule type="expression" priority="8230" dxfId="6434">
      <formula>$B4020="Subetapa"</formula>
    </cfRule>
  </conditionalFormatting>
  <conditionalFormatting sqref="D4042:D4043">
    <cfRule type="expression" priority="7853" dxfId="6434">
      <formula>$B4042="Subetapa"</formula>
    </cfRule>
  </conditionalFormatting>
  <conditionalFormatting sqref="C2:F2 C4:C150 D4:F146 D147:D150 E147:E151 E154:E158 E160:E164 E166:E169 E171:E175 E177:E181 E183:E186 E188:E190 E192:E194 E196:E198 E200 E202:E206 E208:E210 E212 E216 E218:E219 E221 E240 E242 E244 E246:E248 E250:E252 E254 E256 E258 E260 E264 E276 E278 E280 E282 E284 E286 E288 E305 E307 E309 E311 E313:E315 E317:E319 E321:E323 E325:E327 E329:E331 E333:E335 E337:E339 E341:E343 E346:E348 E350:E352 E354:E356 E358:E360 E367 E371:E376 E378:E383 E386:E388 E390:E392 E394:E396 E398:E400 E402:E404 E406:E408 E410:E412 E414:E416 E418:E420 E422:E424 E426:E428 E430:E432 E434:E436 E438:E440 E442:E444 E446:E448 E450:E452 E454:E456 E458:E460 E462:E463 E466:E468 E470:E472 E474:E476 E478:E480 E482:E484 E486:E488 E495 E499 E501 E504:E509 E516:E518 E520:E522 E524:E526 E528:E530 E532:E534 E536:E538 E540:E542 E544:E546 E577:E579 E581:E583 E586 E590:E594 E596:E599 E601:E604 E606:E607 E609:E612 E614:E617 E619:E620 E622:E626 E628:E631 E633:E636 E638:E639 E641:E644 E646:E649 E651:E652 E654:E657 E659:E660 E662:E664 E667:E669 E671:E673 E675:E677 E679:E681 E683:E685 E687:E689 E691:E693 E695:E697 E699:E701 E703:E705 E707:E709 E711:E713 E715:E717 E719:E721 E723:E725 E727:E729 E731:E733 E735:E737 E739:E741 E743:E745 E747:E749 E752:E754 E756:E758 E760:E762 E764:E766 E772:E774 E776:E778 E780:E786 E788:E791 E794 E796:E800 E802:E809 E811 E813 E815:E823 E825 E827:E834 E836 E838 E840 E842 E844 E846 E848:E850 E853 E855 E859:E860 E862:E863 E865:E866 E868:E869 E871:E872 E874:E875 E877:E878 E880:E881 E883:E884 E886:E887 E889:E890 E892:E893 E895:E896 E898:E899 E901:E902 E904:E906 E909:E910 E912:E913 E915:E916 E919:E920 E922:E923 E925:E926 E928:E929 E932:E933 E935:E936 E938:E939 E941:E942 E945:E946 E948:E949 E951:E952 E954:E955 E958:E959 E961:E962 E965:E966 E968:E969 E972:E973 E975:E976 E978:E980 E982:E989 E992:E993 E996:E1001 E1003:E1009 E1011:E1013 E1016 E1018 E1170 E1172 E1174 E1176:E1185 E1187:E1197 E1199:E1208 E1210:E1219 E1221:E1230 E1232:E1241 E1256:E1265 E1267:E1276 E1278:E1287 E1289:E1299 E1301:E1310 E1312:E1321 E1323:E1332 E1334:E1343 E1345:E1355 E1357:E1361 E1363:E1367 E1369:E1373 E1375:E1385 E1387:E1396 E1398:E1407 E1409:E1418 E1536:E1540 E1542:E1547 E1549:E1558 E1560:E1569 E1571:E1580 E1582:E1591 E1593:E1602 E1604:E1613 E1615:E1625 E1627:E1637 E1639:E1649 E1651:E1661 E1663:E1673 E1675:E1685 E1687:E1697 E1699:E1708 E1710:E1719 E1721:E1730 E1732:E1741 E1743:E1753 E1755:E1765 E1767:E1777 E1779:E1788 E1790:E1800 E1802:E1811 E1813:E1823 E1825:E1835 E1837:E1842 E1844:E1854 E1856:E1866 E1868:E1879 E1881:E1891 E1893:E1904 E1906:E1916 E1918:E1928 E1930:E1941 E1943:E1954 E1956:E1967 E1969:E1980 E1982:E1992 E1994:E2004 E2006:E2016 E2018:E2028 E2030:E2040 E2042:E2052 E2054:E2065 E2067:E2078 E2080:E2091 E2093:E2104 E2106:E2111 E2113:E2118 E2120:E2125 E2127:E2132 E2134:E2139 E2141 E2143 E2146 E2148 E2150 E2152 E2154 E2156 E2163:E2164 E2166:E2167 E2171:E2172 E2174:E2175 E2177 E2179:E2180 E2182:E2183 E2185:E2186 E2188:E2190 E2192:E2193 E2195 E2197 E2199:E2200 E2202 E2204 E2206:E2207 E2209 E2211 E2213 E2215 E2217:E2218 E2220 E2222:E2223 E2225 E2227 E2229 E2231:E2233 E2235 E2237:E2239 E2241:E2243 E2245:E2246 E2248:E2249 E2251:E2252 E2254:E2255 E2257:E2259 E2265:E2268 E2270:E2275 E2278 E2280 E2282 E2284 E2286 E2288 E2290 E2292 E2294 E2296 E2298 E2300 E2302 E2304 E2306 E2308 E2310 E2312 E2314 E2318 E2320:E2321 E2323 E2325 E2327 E2329:E2330 E2332 E2334 E2336 E2339 E2341 E2343 E2345 E2348 E2350 E2352 E2354:E2355 E2357 E2360:E2363 E2365:E2367 E2370:E2373 E2375:E2378 E2380:E2383 E2385:E2388 E2391:E2394 E2396:E2399 E2401:E2404 E2406:E2409 E2411:E2414 E2416:E2419 E2421:E2424 E2426:E2429 E2431:E2434 E2436:E2439 E2441:E2444 E2446:E2449 E2451:E2454 E2456:E2459 E2461:E2464 E2466:E2469 E2471:E2474 E2476:E2479 E2481:E2484 E2486:E2489 E2491:E2494 E2496:E2499 E2501:E2504 E2506:E2509 E2511:E2514 E2516:E2519 E2521:E2524 E2527:E2530 E2572:E2576 E2578:E2582 E2584:E2588 E2590:E2594 E2596:E2600 E2602:E2606 E2608:E2611 E2613:E2616 E2618:E2621 E2623:E2626 E2628:E2631 E2633:E2636 E2659:E2661 E2663:E2665 E2667:E2669 E2672 E2674 E2677:E2678 E2680:E2681 E2683:E2684 E2686:E2687 E2689:E2690 E2693:E2694 E2696:E2697 E2699:E2700 E2702:E2703 E2705:E2706 E2708:E2709 E2711:E2714 E2716:E2718 E2720:E2721 E2723:E2724 E2726:E2727 E2729:E2730 E2733 E2735 E2738 E2740 E2743 E2745 E2747 E2749 E2751 E2753 E2757:E2759 E2761:E2764 E2766:E2767 E2769 E2771 E2784 E2786:E2787 E2789 E2791 E2793 E2795 E2797 E2799 E2801 E2803 E2805 E2807:E2816 E2819 E2821 E2842 E2852:E2853 E2855:E2856 E2858:E2859 E2861:E2862 E2864:E2873 E2875 E2877:E2882 E2884 E2886:E2889 E2891:E2894 E2896:E2899 E2901:E2904 E2906 E2908 E2910 E2913 E2915 E2917 E2921 E2923:E2925 E2927:E2928 E2930:E2931 E2933:E2935 E2938:E2940 E2942:E2944 E2946:E2948 E2950:E2952 E2954:E2956 E2958:E2960 E2963:E2965 E2967:E2969 E2971:E2973 E2975:E2977 E2979:E2981 E2983:E2985 E2987:E2989 E2991:E2993 E2995:E2997 E2999:E3001 E3003:E3005 E3007:E3009 E3011:E3013 E3015:E3017 E3019:E3021 E3024:E3026 E3028:E3030 E3032:E3034 E3036:E3038 E3040:E3042 E3044:E3046 E3049:E3050 E3052:E3053 E3055 E3057 E3059 E3061 E3063 E3066:E3068 E3070:E3072 E3074:E3076 E3078:E3080 E3082:E3084 E3086:E3088 E3090:E3092 E3094:E3096 E3098 E3100:E3102 E3104:E3106 E3109:E3111 E3113:E3114 E3116:E3117 E3119:E3121 E3123 E3125:E3128 E3130:E3136 E3138 E3140:E3142 E3145:E3146 E3176 E3178 E3180 E3182 E3184 E3186 E3188 E3190 E3192 E3194 E3196:E3197 E3199:E3206 E3208 E3210 E3212 E3214 E3216 E3218 E3220 E3222 E3224 E3226 E3228 E3230 E3232:E3234 E3236:E3237 E3240:E3242 E3244:E3246 E3248:E3250 E3252:E3254 E3256:E3258 E3261:E3264 E3266:E3269 E3271:E3274 E3276:E3279 E3281:E3284 E3286:E3289 E3291:E3294 E3296:E3299 E3301:E3304 E3306:E3309 E3312:E3315 E3317:E3319 E3321:E3324 E3326:E3329 E3331:E3334 E3336:E3339 E3341:E3344 E3346:E3349 E3351:E3354 E3356:E3359 E3361:E3364 E3366:E3369 E3371:E3374 E3376:E3379 E3381:E3384 E3386:E3389 E3391:E3394 E3396:E3399 E3401:E3404 E3406:E3409 E3411:E3414 E3416:E3419 E3421:E3424 E3426:E3429 E3431:E3434 E3436:E3439 E3441:E3444 E3446:E3449 E3451:E3454 E3456:E3459 E3461:E3464 E3466:E3469 E3471:E3474 E3476:E3479 E3481:E3484 E3486:E3489 E3491:E3494 E3496:E3499 E3501:E3504 E3506:E3509 E3511:E3514 E3516:E3519 E3521:E3524 E3526:E3529 E3531:E3534 E3536:E3539 E3541:E3544 E3546:E3549 E3552:E3555 E3557:E3560 E3562:E3565 E3567:E3570 E3572:E3575 E3578:E3580 E3582:E3584 E3586:E3588 E3611:E3613 E3615:E3617 E3619:E3621 E3624:E3625 E3627:E3628 E3630:E3631 E3633:E3635 E3637:E3639 E3641:E3643 E3645:E3647 E3649:E3650 E3652:E3653 E3655:E3657 E3659:E3661 E3663:E3664 E3666:E3667 E3669:E3670 E3672:E3673 E3675:E3678 E3680:E3683 E3685:E3688 E3690:E3693 E3695:E3698 E3700:E3703 E3705:E3708 E3710:E3713 E3716 E3718 E3720:E3721 E3723:E3724 E3726:E3727 E3729:E3730 E3733:E3735 E3737:E3739 E3741:E3743 E3745:E3747 E3749:E3751 E3753:E3755 E3758 E3760 E3762 E3764 E3766 E3769 E3771 E3773 E3776 E3778 E3780 E3782 E3785 E3787 E3789 E3791 E3793 E3796 E3798 E3800 E3804:E3807 E3809:E3810 E3812:E3815 E3817:E3820 E3822:E3825 E3827:E3829 E3831:E3834 E3836:E3837 E3839:E3841 E3843:E3845 E3847:E3848 E3850 E3852:E3853 E3855:E3857 E3860 E3862:E3863 E3865:E3874 E3884:E3893 E3895:E3904 E3906:E3915 E3917:E3926 E3928:E3937 E3939:E3942 E3944 E3946:E3956 E3958:E3959 E3961 E3963 E3965 E3967 E3969 E3971:E3974 E3976:E3979 E3981 E3983:E3986 E3988:E3990 E3992:E3995 E3997:E3998 E4000:E4001 E4003 E4005:E4006 E4008:E4009 E4011:E4012 E4014:E4015 E4017:E4018 E4020:E4021 E4024 E4026:E4028 E4030 E4032 E4034 E4036 E4038 E4040 E4042:E4043 E4045:E4048 E4050 E4052:E4053 E4055:E4056 E4059 E4061 E4063 E4065 E4067 E4070 E4072 E4074 E4076 E4083 E4085 E4089 E4091:E4093 E4095:E4097 E4099 E4101 E4103 E4105:E4106 E4108:E4109 E4111 E4113 E4115 E4117 E4119 E4121 E4123:E4124 E4126 E4128 E4130 E4132 E4134 E4136 E4138 E4140 E4142 E4144 E4146 E4148 E4150 E4153 E4155 E4157 E4159 E4161 E4164:E4165 E4167:E4168 E4170:E4171 E4173:E4174 E4176:E4177 E4179:E4180 E4182:E4183 E4185:E4186 E4188:E4189 E4191:E4192 E4194:E4195 E4197:E4198 E4200:E4201 E4203:E4204 E4206:E4207 E4209:E4210 E4212:E4213 E4215:E4216 E4218:E4219 E4221:E4222 E4224:E4225 E4227:E4228 E4230:E4231 E4233:E4234 E4237 E4239 E4241 E4244 E4246 E4248 E4250 E4252 E4254 E4256 E4258 E4260 E4263 E4265 E4267 E4269 E4271 E4274 E4276 E4280:E4282 E4284:E4285 E4287 E4289 E4291 E4293 E4295 E4297 E4299 E4301 E4303 E4305:E4307 E4309:E4310 E4312:E4314 E4316:E4321 E4324:E4327 E4329:E4332 E4334:E4337 E4339:E4342 E4344:E4347 E4349:E4352 E4354:E4357 E4359:E4360 E4362:E4365 E4367:E4370 E4372 E4374:E4377 E4379:E4382 E4384:E4387 E4389:E4392 E4394:E4397 E4399:E4402 E4405:E4407 E4409:E4411 E4413:E4416 E4418:E4421 E4423:E4426 E4429:E4432 E4434:E4437 E4439 E4441:E4442 E4444:E4446 E4448:E4451 E4453:E4454 E4456:E4457 E4459:E4460 E4462:E4463 E4465:E4466 E4468:E4470 E4472:E4474 E4476:E4478 E4480 E4482 E4484:E4485 E4487:E4488 E4490:E4491 E4493:E4494 E4499:E4502 E4504:E4507 E4509:E4512 E4514:E4517 E4519:E4522 E4524:E4527 E4529:E4532 E4534:E4537 E4539:E4542 E4544 E4546 E4548 E4550 E4552 E4554 E4556:E4559 E4561:E4564 E4566:E4569 E4571:E4572 E4575 E4577 E4579 E4581 E4583 E4585 E4587:E4591 E4593:E4597 E4599:E4602 E4604 E4606:E4609 E4687:E4688 E4690 E4692 E4694 E4696:E4697 E4699 E4702 E4704 E4706 E4708 E4710 E4712 E4714 E4716 E4718 E4720 E4722 E4724 E4727:E4733 E4735:E4741 E4743:E4749 E4751:E4758 E4760:E4767 E4769:E4780 E4782:E4790 E4792:E4800 E4802:E4810 E4812:E4820 E4822:E4830 E4832 E4834 E4836 E4838 E4840 E4842 E4844 E4846 E4848 E4850 E4852 E4854 E4856:E4858 E4860 E4862 E4864 E4867:E4869 E4871:E4872 E4874 E4876:E4877 E4879 E4881:E4883 E4885:E4887 E4889:E4893 E4895:E4899 E4901:E4905 E4907:E4911 E4913:E4917 E4919:E4922 E4924:E4927 E4929:E4931 E4933:E4935 E4937:E4938 E4940 E4943:E4949 E4951:E4957 E4959:E4965 E4967:E4973 E4975 E4977:E4979 E4981:E4983 E4985:E4987 E4989 E4991:E4996 E4998 E5000:E5006 E5008:E5010 E5012 E5014:E5018 E5020:E5023 E5025 E5027 F147:F150">
    <cfRule type="expression" priority="13980" dxfId="6424">
      <formula>$B2="Subetapa"</formula>
    </cfRule>
  </conditionalFormatting>
  <conditionalFormatting sqref="B213 B215:C217 C153:C213 D153:F153 D154:D158 D159:F159 D160:D164 D165:F165 D166:D169 D170:F170 D171:D175 D176:F176 D177:D181 D182:F182 D183:D186 D187:F187 D188:D190 D191:F191 D192:D194 D195:F195 D196:D198 D199:F199 D200 D201:F201 D202:D206 D207:F207 D208:D210 D211:F211 D212 D213:F213 D215:F215 D216 D217:F217 F154:F158 F160:F164 F166:F169 F171:F175 F177:F181 F183:F186 F188:F190 F192:F194 F196:F198 F200 F202:F206 F208:F210 F212 F216">
    <cfRule type="expression" priority="10656" dxfId="6424">
      <formula>$B153="Subetapa"</formula>
    </cfRule>
  </conditionalFormatting>
  <conditionalFormatting sqref="C271:F271 C273:F273">
    <cfRule type="expression" priority="9741" dxfId="6434">
      <formula>$B271="Subetapa"</formula>
    </cfRule>
    <cfRule type="expression" priority="9740" dxfId="6433">
      <formula>$B271="Serviço"</formula>
    </cfRule>
  </conditionalFormatting>
  <conditionalFormatting sqref="C275:C283 D275:F275 D276 D277:F277 D278 D279:F279 D280 D281:F283 E285:F286 F276 F278 F280 F284">
    <cfRule type="expression" priority="13950" dxfId="6424">
      <formula>$B275="Subetapa"</formula>
    </cfRule>
  </conditionalFormatting>
  <conditionalFormatting sqref="C287:C289 C291:F291 C293:F293 C295:F295 D287:F287 D288 D289:F289 F288">
    <cfRule type="expression" priority="9757" dxfId="6433">
      <formula>$B287="Serviço"</formula>
    </cfRule>
  </conditionalFormatting>
  <conditionalFormatting sqref="C297:F297">
    <cfRule type="expression" priority="9730" dxfId="6433">
      <formula>$B297="Serviço"</formula>
    </cfRule>
    <cfRule type="expression" priority="9732" dxfId="6434">
      <formula>$B297="Subetapa"</formula>
    </cfRule>
  </conditionalFormatting>
  <conditionalFormatting sqref="B324:C343 C299:F299 C301:F301 D324:F324 D325:D327 D328:F328 D329:D331 D332:F332 D333:D335 D336:F336 D337:D339 D340:F340 D341:D343 F325:F327 F329:F331 F333:F335 F337:F339 F341:F343">
    <cfRule type="expression" priority="14293" dxfId="6424">
      <formula>$B299="Subetapa"</formula>
    </cfRule>
  </conditionalFormatting>
  <conditionalFormatting sqref="C305:C311 C312:F312 C320:F320 D305 D306:F306 D307 D308:F308 D309 D310:F310 D311 F305 F307 F309 F311">
    <cfRule type="expression" priority="13840" dxfId="6424">
      <formula>$B305="Subetapa"</formula>
    </cfRule>
  </conditionalFormatting>
  <conditionalFormatting sqref="C461:C463 D461:F461 D462:D463 F462:F463">
    <cfRule type="expression" priority="9717" dxfId="6433">
      <formula>$B461="Serviço"</formula>
    </cfRule>
    <cfRule type="expression" priority="9718" dxfId="6434">
      <formula>$B461="Subetapa"</formula>
    </cfRule>
  </conditionalFormatting>
  <conditionalFormatting sqref="C473:C476 D473:F473 D474:D476 F474:F476">
    <cfRule type="expression" priority="9708" dxfId="6433">
      <formula>$B473="Serviço"</formula>
    </cfRule>
    <cfRule type="expression" priority="9709" dxfId="6434">
      <formula>$B473="Subetapa"</formula>
    </cfRule>
  </conditionalFormatting>
  <conditionalFormatting sqref="C500:C501 D500:F500 D501 F501">
    <cfRule type="expression" priority="9699" dxfId="6433">
      <formula>$B500="Serviço"</formula>
    </cfRule>
    <cfRule type="expression" priority="9700" dxfId="6434">
      <formula>$B500="Subetapa"</formula>
    </cfRule>
  </conditionalFormatting>
  <conditionalFormatting sqref="C621:C639 D621:F621 D622:D626 D627:F627 D628:D631 D632:F632 D633:D636 D637:F637 D638:D639 F622:F626 F628:F631 F633:F636 F638:F639">
    <cfRule type="expression" priority="9686" dxfId="6433">
      <formula>$B621="Serviço"</formula>
    </cfRule>
    <cfRule type="expression" priority="9687" dxfId="6434">
      <formula>$B621="Subetapa"</formula>
    </cfRule>
  </conditionalFormatting>
  <conditionalFormatting sqref="C661:F661">
    <cfRule type="expression" priority="9674" dxfId="6433">
      <formula>$B661="Serviço"</formula>
    </cfRule>
  </conditionalFormatting>
  <conditionalFormatting sqref="C661:C664 D661:F661 D662:D664 F662:F664">
    <cfRule type="expression" priority="9678" dxfId="6434">
      <formula>$B661="Subetapa"</formula>
    </cfRule>
  </conditionalFormatting>
  <conditionalFormatting sqref="B738:C741 D738:F738 D739:D741 F739:F741">
    <cfRule type="expression" priority="9667" dxfId="6433">
      <formula>$B738="Serviço"</formula>
    </cfRule>
    <cfRule type="expression" priority="9668" dxfId="6434">
      <formula>$B738="Subetapa"</formula>
    </cfRule>
  </conditionalFormatting>
  <conditionalFormatting sqref="B759:C762 D759:F759 D760:D762 F760:F762">
    <cfRule type="expression" priority="9660" dxfId="6433">
      <formula>$B759="Serviço"</formula>
    </cfRule>
    <cfRule type="expression" priority="9661" dxfId="6434">
      <formula>$B759="Subetapa"</formula>
    </cfRule>
  </conditionalFormatting>
  <conditionalFormatting sqref="B779:C786 D779:F779 D780:D786 F780:F786">
    <cfRule type="expression" priority="9888" dxfId="6433">
      <formula>$B779="Serviço"</formula>
    </cfRule>
    <cfRule type="expression" priority="9889" dxfId="6434">
      <formula>$B779="Subetapa"</formula>
    </cfRule>
  </conditionalFormatting>
  <conditionalFormatting sqref="C814:F814">
    <cfRule type="expression" priority="9647" dxfId="6433">
      <formula>$B814="Serviço"</formula>
    </cfRule>
    <cfRule type="expression" priority="9648" dxfId="6434">
      <formula>$B814="Subetapa"</formula>
    </cfRule>
  </conditionalFormatting>
  <conditionalFormatting sqref="C824:C826 D824:F824 D825 D826:F826 F825">
    <cfRule type="expression" priority="9637" dxfId="6433">
      <formula>$B824="Serviço"</formula>
    </cfRule>
    <cfRule type="expression" priority="9638" dxfId="6434">
      <formula>$B824="Subetapa"</formula>
    </cfRule>
  </conditionalFormatting>
  <conditionalFormatting sqref="D827:D834 F827:F834">
    <cfRule type="expression" priority="9651" dxfId="6433">
      <formula>$B827="Serviço"</formula>
    </cfRule>
    <cfRule type="expression" priority="9652" dxfId="6434">
      <formula>$B827="Subetapa"</formula>
    </cfRule>
  </conditionalFormatting>
  <conditionalFormatting sqref="C835:C838 D835:F835 D836 D837:F837 D838 F836 F838">
    <cfRule type="expression" priority="9628" dxfId="6433">
      <formula>$B835="Serviço"</formula>
    </cfRule>
    <cfRule type="expression" priority="9629" dxfId="6434">
      <formula>$B835="Subetapa"</formula>
    </cfRule>
  </conditionalFormatting>
  <conditionalFormatting sqref="B884 B920 C879:C884 D879:F879 D880:D881 D882:F882 D883:D884 F880:F881 F883:F884">
    <cfRule type="expression" priority="9901" dxfId="6433">
      <formula>$B879="Serviço"</formula>
    </cfRule>
    <cfRule type="expression" priority="9902" dxfId="6434">
      <formula>$B879="Subetapa"</formula>
    </cfRule>
  </conditionalFormatting>
  <conditionalFormatting sqref="C894:C896 D894:F894 D895:D896 F895:F896">
    <cfRule type="expression" priority="9615" dxfId="6433">
      <formula>$B894="Serviço"</formula>
    </cfRule>
    <cfRule type="expression" priority="9616" dxfId="6434">
      <formula>$B894="Subetapa"</formula>
    </cfRule>
  </conditionalFormatting>
  <conditionalFormatting sqref="B906:B907 C903:C907 D903:F903 D904:D906 D907:F907 F904:F906">
    <cfRule type="expression" priority="9957" dxfId="6424">
      <formula>$B903="Subetapa"</formula>
    </cfRule>
  </conditionalFormatting>
  <conditionalFormatting sqref="C918:C929 D918:F918 D919:D920 D921:F921 D922:D923 D924:F924 D925:D926 D927:F927 D928:D929 F919:F920 F922:F923 F925:F926 F928:F929">
    <cfRule type="expression" priority="9907" dxfId="6433">
      <formula>$B918="Serviço"</formula>
    </cfRule>
    <cfRule type="expression" priority="9908" dxfId="6434">
      <formula>$B918="Subetapa"</formula>
    </cfRule>
  </conditionalFormatting>
  <conditionalFormatting sqref="C931:C942 D931:F931 D932:D933 D934:F934 D935:D936 D937:F937 D938:D939 D940:F940 D941:D942 F932:F933 F935:F936 F938:F939 F941:F942">
    <cfRule type="expression" priority="9949" dxfId="6433">
      <formula>$B931="Serviço"</formula>
    </cfRule>
    <cfRule type="expression" priority="9950" dxfId="6434">
      <formula>$B931="Subetapa"</formula>
    </cfRule>
  </conditionalFormatting>
  <conditionalFormatting sqref="C1169:C1171 D1169:F1169 D1170 D1171:F1171 F1170">
    <cfRule type="expression" priority="14061" dxfId="6424">
      <formula>$B1169="Subetapa"</formula>
    </cfRule>
  </conditionalFormatting>
  <conditionalFormatting sqref="C1175:C1176 D1175:F1175 D1176 F1176">
    <cfRule type="expression" priority="9580" dxfId="6434">
      <formula>$B1175="Subetapa"</formula>
    </cfRule>
  </conditionalFormatting>
  <conditionalFormatting sqref="C1175:C1185 D1175:F1175 D1176:D1185 F1176:F1185">
    <cfRule type="expression" priority="9578" dxfId="6433">
      <formula>$B1175="Serviço"</formula>
    </cfRule>
  </conditionalFormatting>
  <conditionalFormatting sqref="C1198:C1199 D1198:F1198 D1199 F1199">
    <cfRule type="expression" priority="9552" dxfId="6434">
      <formula>$B1198="Subetapa"</formula>
    </cfRule>
  </conditionalFormatting>
  <conditionalFormatting sqref="C1198:C1208 D1198:F1198 D1199:D1208 F1199:F1208">
    <cfRule type="expression" priority="9537" dxfId="6433">
      <formula>$B1198="Serviço"</formula>
    </cfRule>
  </conditionalFormatting>
  <conditionalFormatting sqref="C1209:C1217 D1209:F1209 D1210:D1217 F1210:F1217">
    <cfRule type="expression" priority="9541" dxfId="6434">
      <formula>$B1209="Subetapa"</formula>
    </cfRule>
  </conditionalFormatting>
  <conditionalFormatting sqref="C1255:F1255">
    <cfRule type="expression" priority="9506" dxfId="6434">
      <formula>$B1255="Subetapa"</formula>
    </cfRule>
  </conditionalFormatting>
  <conditionalFormatting sqref="C1255:C1289 D1255:F1255 D1256:D1265 D1266:F1266 D1267:D1276 D1277:F1277 D1278:D1287 D1288:F1288 D1289 F1256:F1265 F1267:F1276 F1278:F1287 F1289">
    <cfRule type="expression" priority="9500" dxfId="6433">
      <formula>$B1255="Serviço"</formula>
    </cfRule>
  </conditionalFormatting>
  <conditionalFormatting sqref="C1266:C1289 D1266:F1266 D1267:D1276 D1277:F1277 D1278:D1287 D1288:F1288 D1289 F1267:F1276 F1278:F1287 F1289">
    <cfRule type="expression" priority="9508" dxfId="6434">
      <formula>$B1266="Subetapa"</formula>
    </cfRule>
  </conditionalFormatting>
  <conditionalFormatting sqref="C1290:C1300 D1290:D1299 D1300:F1300 F1290:F1299">
    <cfRule type="expression" priority="9489" dxfId="6433">
      <formula>$B1290="Serviço"</formula>
    </cfRule>
    <cfRule type="expression" priority="9491" dxfId="6434">
      <formula>$B1290="Subetapa"</formula>
    </cfRule>
  </conditionalFormatting>
  <conditionalFormatting sqref="C1301:D1301 F1301">
    <cfRule type="expression" priority="9487" dxfId="6433">
      <formula>$B1301="Serviço"</formula>
    </cfRule>
    <cfRule type="expression" priority="9488" dxfId="6434">
      <formula>$B1301="Subetapa"</formula>
    </cfRule>
  </conditionalFormatting>
  <conditionalFormatting sqref="C1311:F1311">
    <cfRule type="expression" priority="9493" dxfId="6434">
      <formula>$B1311="Subetapa"</formula>
    </cfRule>
  </conditionalFormatting>
  <conditionalFormatting sqref="C1311:C1323 D1311:F1311 D1312:D1321 D1322:F1322 D1323 F1312:F1321 F1323">
    <cfRule type="expression" priority="9482" dxfId="6433">
      <formula>$B1311="Serviço"</formula>
    </cfRule>
  </conditionalFormatting>
  <conditionalFormatting sqref="C1322:C1323 D1322:F1322 D1323 F1323">
    <cfRule type="expression" priority="9495" dxfId="6434">
      <formula>$B1322="Subetapa"</formula>
    </cfRule>
  </conditionalFormatting>
  <conditionalFormatting sqref="C1324:C1344 D1324:D1332 D1333:F1333 D1334:D1343 D1344:F1344 F1324:F1332 F1334:F1343">
    <cfRule type="expression" priority="9474" dxfId="6434">
      <formula>$B1324="Subetapa"</formula>
    </cfRule>
  </conditionalFormatting>
  <conditionalFormatting sqref="C1324:C1356 D1324:D1332 D1333:F1333 D1334:D1343 D1344:F1344 D1345:D1355 D1356:F1356 F1324:F1332 F1334:F1343 F1345:F1355">
    <cfRule type="expression" priority="9473" dxfId="6433">
      <formula>$B1324="Serviço"</formula>
    </cfRule>
  </conditionalFormatting>
  <conditionalFormatting sqref="D1348:D1355 F1348:F1355">
    <cfRule type="expression" priority="9479" dxfId="6434">
      <formula>$B1348="Subetapa"</formula>
    </cfRule>
  </conditionalFormatting>
  <conditionalFormatting sqref="C1541:C1546 D1541:F1541 D1542:D1546 F1542:F1546">
    <cfRule type="expression" priority="11753" dxfId="6424">
      <formula>$B1541="Subetapa"</formula>
    </cfRule>
  </conditionalFormatting>
  <conditionalFormatting sqref="C1548:C1624 D1548:F1548 D1549:D1558 D1559:F1559 D1560:D1569 D1570:F1570 D1571:D1580 D1581:F1581 D1582:D1591 D1592:F1592 D1593:D1602 D1603:F1603 D1604:D1613 D1614:F1614 D1615:D1624 F1549:F1558 F1560:F1569 F1571:F1580 F1582:F1591 F1593:F1602 F1604:F1613 F1615:F1624">
    <cfRule type="expression" priority="13382" dxfId="6424">
      <formula>$B1548="Subetapa"</formula>
    </cfRule>
  </conditionalFormatting>
  <conditionalFormatting sqref="C1626:C1636 D1626:F1626 D1627:D1636 F1627:F1636">
    <cfRule type="expression" priority="13360" dxfId="6424">
      <formula>$B1626="Subetapa"</formula>
    </cfRule>
  </conditionalFormatting>
  <conditionalFormatting sqref="C1638:C1648 D1638:F1638 D1639:D1648 F1639:F1648">
    <cfRule type="expression" priority="13328" dxfId="6424">
      <formula>$B1638="Subetapa"</formula>
    </cfRule>
  </conditionalFormatting>
  <conditionalFormatting sqref="D1813:D1814 F1813:F1814">
    <cfRule type="expression" priority="13955" dxfId="6424">
      <formula>$B1813="Subetapa"</formula>
    </cfRule>
  </conditionalFormatting>
  <conditionalFormatting sqref="C1836:F1836">
    <cfRule type="expression" priority="13288" dxfId="6424">
      <formula>$B1836="Subetapa"</formula>
    </cfRule>
  </conditionalFormatting>
  <conditionalFormatting sqref="C1870:D1870 F1870">
    <cfRule type="expression" priority="13258" dxfId="6424">
      <formula>$B1870="Subetapa"</formula>
    </cfRule>
  </conditionalFormatting>
  <conditionalFormatting sqref="C1907:D1907 F1907">
    <cfRule type="expression" priority="13220" dxfId="6424">
      <formula>$B1907="Subetapa"</formula>
    </cfRule>
  </conditionalFormatting>
  <conditionalFormatting sqref="C1919:D1919 F1919">
    <cfRule type="expression" priority="13204" dxfId="6424">
      <formula>$B1919="Subetapa"</formula>
    </cfRule>
  </conditionalFormatting>
  <conditionalFormatting sqref="C1932:D1932 F1932">
    <cfRule type="expression" priority="13188" dxfId="6424">
      <formula>$B1932="Subetapa"</formula>
    </cfRule>
  </conditionalFormatting>
  <conditionalFormatting sqref="C1945:D1945 F1945">
    <cfRule type="expression" priority="13172" dxfId="6424">
      <formula>$B1945="Subetapa"</formula>
    </cfRule>
  </conditionalFormatting>
  <conditionalFormatting sqref="C1958:D1958 F1958">
    <cfRule type="expression" priority="13156" dxfId="6424">
      <formula>$B1958="Subetapa"</formula>
    </cfRule>
  </conditionalFormatting>
  <conditionalFormatting sqref="C1971:D1971 F1971">
    <cfRule type="expression" priority="13140" dxfId="6424">
      <formula>$B1971="Subetapa"</formula>
    </cfRule>
  </conditionalFormatting>
  <conditionalFormatting sqref="C2029:F2029">
    <cfRule type="expression" priority="13080" dxfId="6424">
      <formula>$B2029="Subetapa"</formula>
    </cfRule>
  </conditionalFormatting>
  <conditionalFormatting sqref="B2119:H2119 B2126:H2126 B2133:H2133 C2105:F2105 C2112:F2112">
    <cfRule type="expression" priority="11639" dxfId="6424">
      <formula>$B2105="Subetapa"</formula>
    </cfRule>
  </conditionalFormatting>
  <conditionalFormatting sqref="C2176:C2184 D2176:F2176 D2177 D2178:F2178 D2179:D2180 D2181:F2181 D2182:D2183 D2184:F2184 F2177 F2179:F2180 F2182:F2183">
    <cfRule type="expression" priority="13990" dxfId="6424">
      <formula>$B2176="Subetapa"</formula>
    </cfRule>
  </conditionalFormatting>
  <conditionalFormatting sqref="D2185:D2186 F2185:F2186">
    <cfRule type="expression" priority="14333" dxfId="6424">
      <formula>$B2185="Subetapa"</formula>
    </cfRule>
  </conditionalFormatting>
  <conditionalFormatting sqref="C2187:F2187">
    <cfRule type="expression" priority="14065" dxfId="6424">
      <formula>$B2187="Subetapa"</formula>
    </cfRule>
  </conditionalFormatting>
  <conditionalFormatting sqref="B2212:B2261 B2267:B2268 B2274:B2275 C2212:C2215 D2212:F2212 D2213 D2214:F2214 D2215 F2213 F2215">
    <cfRule type="expression" priority="10000" dxfId="6433">
      <formula>$B2212="Serviço"</formula>
    </cfRule>
  </conditionalFormatting>
  <conditionalFormatting sqref="C2212:C2215 D2212:F2212 D2213 D2214:F2214 D2215 F2213 F2215">
    <cfRule type="expression" priority="9998" dxfId="6434">
      <formula>$B2212="Subetapa"</formula>
    </cfRule>
  </conditionalFormatting>
  <conditionalFormatting sqref="C2216:C2223 D2216:F2216 D2217:D2218 D2219:F2219 D2220 D2221:F2221 D2222:D2223 F2217:F2218 F2220 F2222:F2223">
    <cfRule type="expression" priority="9976" dxfId="6433">
      <formula>$B2216="Serviço"</formula>
    </cfRule>
    <cfRule type="expression" priority="9977" dxfId="6434">
      <formula>$B2216="Subetapa"</formula>
    </cfRule>
  </conditionalFormatting>
  <conditionalFormatting sqref="C2224:C2227 D2224:F2224 D2225 D2226:F2226 D2227 F2225 F2227">
    <cfRule type="expression" priority="9992" dxfId="6433">
      <formula>$B2224="Serviço"</formula>
    </cfRule>
    <cfRule type="expression" priority="9993" dxfId="6434">
      <formula>$B2224="Subetapa"</formula>
    </cfRule>
  </conditionalFormatting>
  <conditionalFormatting sqref="C2228:C2229 D2228:F2228 D2229 F2229">
    <cfRule type="expression" priority="9980" dxfId="6433">
      <formula>$B2228="Serviço"</formula>
    </cfRule>
    <cfRule type="expression" priority="9981" dxfId="6434">
      <formula>$B2228="Subetapa"</formula>
    </cfRule>
  </conditionalFormatting>
  <conditionalFormatting sqref="C2230:C2275 D2230:F2230 D2231:D2233 D2234:F2234 D2235 D2236:F2236 D2237:D2239 D2240:F2240 D2241:D2243 F2231:F2233 F2235 F2237:F2239 F2241:F2243">
    <cfRule type="expression" priority="9988" dxfId="6433">
      <formula>$B2230="Serviço"</formula>
    </cfRule>
    <cfRule type="expression" priority="9989" dxfId="6434">
      <formula>$B2230="Subetapa"</formula>
    </cfRule>
  </conditionalFormatting>
  <conditionalFormatting sqref="C2338:C2341 D2338:F2338 D2339 D2340:F2340 D2341 F2339 F2341">
    <cfRule type="expression" priority="9460" dxfId="6433">
      <formula>$B2338="Serviço"</formula>
    </cfRule>
    <cfRule type="expression" priority="9461" dxfId="6434">
      <formula>$B2338="Subetapa"</formula>
    </cfRule>
  </conditionalFormatting>
  <conditionalFormatting sqref="D2347:F2347 D2348 F2348">
    <cfRule type="expression" priority="9446" dxfId="6433">
      <formula>$B2347="Serviço"</formula>
    </cfRule>
    <cfRule type="expression" priority="9447" dxfId="6434">
      <formula>$B2347="Subetapa"</formula>
    </cfRule>
  </conditionalFormatting>
  <conditionalFormatting sqref="D2349:F2349 D2350 F2350">
    <cfRule type="expression" priority="9437" dxfId="6433">
      <formula>$B2349="Serviço"</formula>
    </cfRule>
    <cfRule type="expression" priority="9438" dxfId="6434">
      <formula>$B2349="Subetapa"</formula>
    </cfRule>
  </conditionalFormatting>
  <conditionalFormatting sqref="D2357 F2357">
    <cfRule type="expression" priority="12823" dxfId="6424">
      <formula>$B2357="Subetapa"</formula>
    </cfRule>
  </conditionalFormatting>
  <conditionalFormatting sqref="C2374:C2377 D2374:F2374 D2375:D2377">
    <cfRule type="expression" priority="9427" dxfId="6433">
      <formula>$B2374="Serviço"</formula>
    </cfRule>
    <cfRule type="expression" priority="9428" dxfId="6434">
      <formula>$B2374="Subetapa"</formula>
    </cfRule>
  </conditionalFormatting>
  <conditionalFormatting sqref="C2379:C2387 D2379:F2379 D2380:D2383 D2384:F2384 D2385:D2387 F2380:F2383 F2385:F2388">
    <cfRule type="expression" priority="9407" dxfId="6433">
      <formula>$B2379="Serviço"</formula>
    </cfRule>
    <cfRule type="expression" priority="9408" dxfId="6434">
      <formula>$B2379="Subetapa"</formula>
    </cfRule>
  </conditionalFormatting>
  <conditionalFormatting sqref="C2400:C2410 D2400:F2400 D2401:D2404 D2405:F2405 D2406:D2409 D2410:F2410 F2401:F2404 F2406:F2409">
    <cfRule type="expression" priority="13998" dxfId="6424">
      <formula>$B2400="Subetapa"</formula>
    </cfRule>
  </conditionalFormatting>
  <conditionalFormatting sqref="C2470:C2474 D2470:F2470 D2471:D2474">
    <cfRule type="expression" priority="9371" dxfId="6433">
      <formula>$B2470="Serviço"</formula>
    </cfRule>
    <cfRule type="expression" priority="9372" dxfId="6434">
      <formula>$B2470="Subetapa"</formula>
    </cfRule>
  </conditionalFormatting>
  <conditionalFormatting sqref="C2475:C2476 C2480:F2480 C2485:F2485 C2520:F2520 D2475:F2475 D2476">
    <cfRule type="expression" priority="9401" dxfId="6433">
      <formula>$B2475="Serviço"</formula>
    </cfRule>
  </conditionalFormatting>
  <conditionalFormatting sqref="C2475:C2489 C2520:C2524 D2475:F2475 D2476:D2479 D2480:F2480 D2481:D2484 D2485:F2485 D2486:D2489 D2520:F2520 D2521:D2524">
    <cfRule type="expression" priority="9402" dxfId="6434">
      <formula>$B2475="Subetapa"</formula>
    </cfRule>
  </conditionalFormatting>
  <conditionalFormatting sqref="C2490:C2494 D2490:F2490 D2491:D2494">
    <cfRule type="expression" priority="9353" dxfId="6434">
      <formula>$B2490="Subetapa"</formula>
    </cfRule>
  </conditionalFormatting>
  <conditionalFormatting sqref="C2495:C2499 D2495:F2495 D2496:D2499">
    <cfRule type="expression" priority="9356" dxfId="6434">
      <formula>$B2495="Subetapa"</formula>
    </cfRule>
  </conditionalFormatting>
  <conditionalFormatting sqref="C2500:C2504 D2500:F2500 D2501:D2504">
    <cfRule type="expression" priority="9344" dxfId="6434">
      <formula>$B2500="Subetapa"</formula>
    </cfRule>
  </conditionalFormatting>
  <conditionalFormatting sqref="C2505:C2509 D2505:F2505 D2506:D2509">
    <cfRule type="expression" priority="9347" dxfId="6434">
      <formula>$B2505="Subetapa"</formula>
    </cfRule>
  </conditionalFormatting>
  <conditionalFormatting sqref="C2510:C2514 D2510:F2510 D2511:D2514">
    <cfRule type="expression" priority="9359" dxfId="6434">
      <formula>$B2510="Subetapa"</formula>
    </cfRule>
  </conditionalFormatting>
  <conditionalFormatting sqref="C2491:C2519 D2491:D2494 D2495:F2495 D2496:D2499 D2500:F2500 D2501:D2504 D2505:F2505 D2506:D2509 D2510:F2510 D2511:D2514 D2515:F2515 D2516:D2519">
    <cfRule type="expression" priority="9383" dxfId="6433">
      <formula>$B2491="Serviço"</formula>
    </cfRule>
  </conditionalFormatting>
  <conditionalFormatting sqref="C2515:C2519 D2515:F2515 D2516:D2519">
    <cfRule type="expression" priority="9362" dxfId="6434">
      <formula>$B2515="Subetapa"</formula>
    </cfRule>
  </conditionalFormatting>
  <conditionalFormatting sqref="C2673:C2674 D2673:F2673 D2674 E2688:F2688 F2674 F2690">
    <cfRule type="expression" priority="9302" dxfId="6434">
      <formula>$B2673="Subetapa"</formula>
    </cfRule>
    <cfRule type="expression" priority="9305" dxfId="6433">
      <formula>$B2673="Serviço"</formula>
    </cfRule>
  </conditionalFormatting>
  <conditionalFormatting sqref="C2695:C2709 D2695:F2695 D2696:D2697 D2698:F2698 D2699:D2700 D2701:F2701 D2702:D2703 D2704:F2704 D2705:D2706 D2707:F2707 D2708:D2709 F2696:F2697 F2699:F2700 F2702:F2703 F2705:F2706 F2708:F2709">
    <cfRule type="expression" priority="11561" dxfId="6424">
      <formula>$B2695="Subetapa"</formula>
    </cfRule>
  </conditionalFormatting>
  <conditionalFormatting sqref="C2719:C2721 D2719:F2719 D2720:D2721 F2720:F2721">
    <cfRule type="expression" priority="9315" dxfId="6434">
      <formula>$B2719="Subetapa"</formula>
    </cfRule>
    <cfRule type="expression" priority="9316" dxfId="6433">
      <formula>$B2719="Serviço"</formula>
    </cfRule>
  </conditionalFormatting>
  <conditionalFormatting sqref="C2722:F2722 C2724:D2724 F2723:F2724">
    <cfRule type="expression" priority="9313" dxfId="6434">
      <formula>$B2722="Subetapa"</formula>
    </cfRule>
  </conditionalFormatting>
  <conditionalFormatting sqref="C2722:F2722">
    <cfRule type="expression" priority="9312" dxfId="6433">
      <formula>$B2722="Serviço"</formula>
    </cfRule>
  </conditionalFormatting>
  <conditionalFormatting sqref="D2723:D2724 F2723:F2724">
    <cfRule type="expression" priority="9311" dxfId="6433">
      <formula>$B2723="Serviço"</formula>
    </cfRule>
  </conditionalFormatting>
  <conditionalFormatting sqref="C2725:C2727 D2725:F2725 D2726:D2727 F2726:F2727">
    <cfRule type="expression" priority="9318" dxfId="6434">
      <formula>$B2725="Subetapa"</formula>
    </cfRule>
  </conditionalFormatting>
  <conditionalFormatting sqref="C2728:C2730 D2728:F2728 D2729:D2730 F2729:F2730">
    <cfRule type="expression" priority="9320" dxfId="6434">
      <formula>$B2728="Subetapa"</formula>
    </cfRule>
  </conditionalFormatting>
  <conditionalFormatting sqref="C2765:C2767 D2765:F2765 D2766:D2767 F2766:F2767">
    <cfRule type="expression" priority="9295" dxfId="6434">
      <formula>$B2765="Subetapa"</formula>
    </cfRule>
  </conditionalFormatting>
  <conditionalFormatting sqref="B2788:C2805 D2788:F2788 D2789 D2790:F2790 D2791 D2792:F2792 D2793 D2794:F2794 D2795 D2796:F2796 D2797 D2798:F2798 D2799 D2800:F2800 D2801 D2802:F2802 D2803 D2804:F2804 D2805 F2789 F2791">
    <cfRule type="expression" priority="13741" dxfId="6424">
      <formula>$B2788="Subetapa"</formula>
    </cfRule>
  </conditionalFormatting>
  <conditionalFormatting sqref="C2806:C2814 D2806:F2806 D2807:D2814 F2807:F2814">
    <cfRule type="expression" priority="9286" dxfId="6434">
      <formula>$B2806="Subetapa"</formula>
    </cfRule>
  </conditionalFormatting>
  <conditionalFormatting sqref="C2806:C2816 D2806:F2806 D2807:D2816 F2807:F2816">
    <cfRule type="expression" priority="9285" dxfId="6433">
      <formula>$B2806="Serviço"</formula>
    </cfRule>
  </conditionalFormatting>
  <conditionalFormatting sqref="C2817:C2821 C2841:C2842 D2817:F2818 D2819 D2820:F2820 D2821 D2841:F2841 D2842 F2819 F2821 F2842">
    <cfRule type="expression" priority="11556" dxfId="6424">
      <formula>$B2817="Subetapa"</formula>
    </cfRule>
  </conditionalFormatting>
  <conditionalFormatting sqref="C2845:C2874 D2845:F2845 D2846:D2847 D2848:F2848 D2849:D2850 D2851:F2851 D2852:D2853 D2854:F2854 D2855:D2856 D2857:F2857 D2858:D2859 D2860:F2860 D2861:D2862 D2863:F2863 D2864:D2873 D2874:F2874 F2852:F2853 F2855:F2856 F2858:F2859 F2861:F2862 F2864:F2873">
    <cfRule type="expression" priority="10659" dxfId="6424">
      <formula>$B2845="Subetapa"</formula>
    </cfRule>
  </conditionalFormatting>
  <conditionalFormatting sqref="C2883:C2884 D2883:F2883 D2884 F2884">
    <cfRule type="expression" priority="9277" dxfId="6433">
      <formula>$B2883="Serviço"</formula>
    </cfRule>
    <cfRule type="expression" priority="9278" dxfId="6434">
      <formula>$B2883="Subetapa"</formula>
    </cfRule>
  </conditionalFormatting>
  <conditionalFormatting sqref="C2905:F2905">
    <cfRule type="expression" priority="12593" dxfId="6424">
      <formula>$B2905="Subetapa"</formula>
    </cfRule>
  </conditionalFormatting>
  <conditionalFormatting sqref="C2906:D2906 F2906">
    <cfRule type="expression" priority="12578" dxfId="6424">
      <formula>$B2906="Subetapa"</formula>
    </cfRule>
  </conditionalFormatting>
  <conditionalFormatting sqref="C2907:F2907">
    <cfRule type="expression" priority="12585" dxfId="6424">
      <formula>$B2907="Subetapa"</formula>
    </cfRule>
  </conditionalFormatting>
  <conditionalFormatting sqref="C2908:C2910 D2908 D2909:F2909 D2910 F2908 F2910">
    <cfRule type="expression" priority="11537" dxfId="6424">
      <formula>$B2908="Subetapa"</formula>
    </cfRule>
  </conditionalFormatting>
  <conditionalFormatting sqref="C2911:F2911">
    <cfRule type="expression" priority="12658" dxfId="6424">
      <formula>$B2911="Subetapa"</formula>
    </cfRule>
  </conditionalFormatting>
  <conditionalFormatting sqref="B2919:B2935 C2912:C2935 D2912:F2912 D2913 D2914:F2914 D2915 D2916:F2916 D2917 D2918:F2920 D2921 D2922:F2922 D2923:D2925 D2926:F2926 D2927:D2928 D2929:F2929 D2930:D2931 D2932:F2932 D2933:D2935 F2913 F2915 F2917 F2921 F2923:F2925 F2927:F2928 F2930:F2931 F2933:F2935">
    <cfRule type="expression" priority="12395" dxfId="6424">
      <formula>$B2912="Subetapa"</formula>
    </cfRule>
  </conditionalFormatting>
  <conditionalFormatting sqref="C3056:C3063 D3056:F3056 D3057 D3058:F3058 D3059 D3060:F3060 D3061 D3062:F3062 D3063 F3057 F3059 F3061 F3063">
    <cfRule type="expression" priority="9267" dxfId="6434">
      <formula>$B3056="Subetapa"</formula>
    </cfRule>
    <cfRule type="expression" priority="9269" dxfId="6433">
      <formula>$B3056="Serviço"</formula>
    </cfRule>
  </conditionalFormatting>
  <conditionalFormatting sqref="C3097:C3098 D3097:F3097 D3098 F3098">
    <cfRule type="expression" priority="9257" dxfId="6433">
      <formula>$B3097="Serviço"</formula>
    </cfRule>
    <cfRule type="expression" priority="9260" dxfId="6434">
      <formula>$B3097="Subetapa"</formula>
    </cfRule>
  </conditionalFormatting>
  <conditionalFormatting sqref="C3113:C3128 C3430:C3434 D3113:D3114 D3115:F3115 D3116:D3117 D3118:F3118 D3119:D3121 D3122:F3122 D3123 D3124:F3124 D3125:D3128 D3430:F3430 D3431:D3434 F3113:F3114 F3116:F3117 F3119:F3121 F3123 F3125:F3128">
    <cfRule type="expression" priority="13889" dxfId="6424">
      <formula>$B3113="Subetapa"</formula>
    </cfRule>
  </conditionalFormatting>
  <conditionalFormatting sqref="C3129:F3129">
    <cfRule type="expression" priority="9249" dxfId="6434">
      <formula>$B3129="Subetapa"</formula>
    </cfRule>
  </conditionalFormatting>
  <conditionalFormatting sqref="C3129:C3136 D3129:F3129 D3130:D3136 F3130:F3136">
    <cfRule type="expression" priority="9250" dxfId="6433">
      <formula>$B3129="Serviço"</formula>
    </cfRule>
  </conditionalFormatting>
  <conditionalFormatting sqref="D3130:D3136 F3130:F3136">
    <cfRule type="expression" priority="9251" dxfId="6434">
      <formula>$B3130="Subetapa"</formula>
    </cfRule>
  </conditionalFormatting>
  <conditionalFormatting sqref="C3137:C3138 D3137:F3137 D3138 F3138">
    <cfRule type="expression" priority="14338" dxfId="6424">
      <formula>$B3137="Subetapa"</formula>
    </cfRule>
  </conditionalFormatting>
  <conditionalFormatting sqref="D3143:F3144">
    <cfRule type="expression" priority="12538" dxfId="6424">
      <formula>$B3143="Subetapa"</formula>
    </cfRule>
  </conditionalFormatting>
  <conditionalFormatting sqref="B3139:B3142 C3181:C3190 C3231:C3234 C3290:C3293 C3295:C3300 C3305:C3309 C3545:C3549 C4139:C4150 C4163:C4165 C4208:C4210 C4217:C4234 D3181:F3181 D3182 D3183:F3183 D3184 D3185:F3185 D3186 D3187:F3187 D3188 D3189:F3189 D3190 D3231:F3231 D3232:D3234 D3290:F3290 D3291:D3293 D3295:F3295 D3296:D3299 D3300:F3300 D3305:F3305 D3306:D3309 D3545:F3545 D3546:D3549 D4139:F4139 D4140 D4141:F4141 D4142 D4143:F4143 D4144 D4145:F4145 D4146 D4147:F4147 D4148 D4149:F4149 D4150 D4163:F4163 D4164:D4165 D4208:F4208 D4209:D4210 D4217:F4217 D4218:D4219 D4220:F4220 D4221:D4222 D4223:F4223 D4224:D4225 D4226:F4226 D4227:D4228 D4229:F4229 D4230:D4231 D4232:F4232 D4233:D4234 F3182 F3184 F3186 F3188 F3232:F3234 F3546:F3549 F4140 F4142 F4144 F4146 F4148 F4150 F4164:F4165 F4209:F4210 F4218:F4219 F4221:F4222 F4224:F4225 F4227:F4228 F4230:F4231 F4233:F4234">
    <cfRule type="expression" priority="9738" dxfId="6433">
      <formula>$B3139="Serviço"</formula>
    </cfRule>
    <cfRule type="expression" priority="9739" dxfId="6434">
      <formula>$B3139="Subetapa"</formula>
    </cfRule>
  </conditionalFormatting>
  <conditionalFormatting sqref="C3210:C3215 D3210 D3211:F3211 D3212 D3213:F3213 D3214 D3215:F3215 F3210 F3212 F3214">
    <cfRule type="expression" priority="12401" dxfId="6424">
      <formula>$B3210="Subetapa"</formula>
    </cfRule>
  </conditionalFormatting>
  <conditionalFormatting sqref="C3243:F3243">
    <cfRule type="expression" priority="9214" dxfId="6434">
      <formula>$B3243="Subetapa"</formula>
    </cfRule>
  </conditionalFormatting>
  <conditionalFormatting sqref="C3259:F3259">
    <cfRule type="expression" priority="9227" dxfId="6424">
      <formula>$B3259="Subetapa"</formula>
    </cfRule>
  </conditionalFormatting>
  <conditionalFormatting sqref="B4162:F4162 C3320:F3320">
    <cfRule type="expression" priority="13563" dxfId="6424">
      <formula>$B3320="Subetapa"</formula>
    </cfRule>
  </conditionalFormatting>
  <conditionalFormatting sqref="C3440:C3449 D3440:F3440 D3441:D3444 D3445:F3445 D3446:D3449 F3441:F3444 F3446:F3449">
    <cfRule type="expression" priority="12426" dxfId="6424">
      <formula>$B3440="Subetapa"</formula>
    </cfRule>
  </conditionalFormatting>
  <conditionalFormatting sqref="C3485:C3489 D3485:F3485 D3486:D3489">
    <cfRule type="expression" priority="9133" dxfId="6433">
      <formula>$B3485="Serviço"</formula>
    </cfRule>
    <cfRule type="expression" priority="9134" dxfId="6434">
      <formula>$B3485="Subetapa"</formula>
    </cfRule>
  </conditionalFormatting>
  <conditionalFormatting sqref="C3490:C3494 D3490:F3490 D3491:D3494">
    <cfRule type="expression" priority="9120" dxfId="6433">
      <formula>$B3490="Serviço"</formula>
    </cfRule>
  </conditionalFormatting>
  <conditionalFormatting sqref="C3495:C3499 D3495:F3495 D3496:D3499">
    <cfRule type="expression" priority="9113" dxfId="6433">
      <formula>$B3495="Serviço"</formula>
    </cfRule>
  </conditionalFormatting>
  <conditionalFormatting sqref="C3490:C3509 D3490:F3490 D3491:D3494 D3495:F3495 D3496:D3499 D3500:F3500 D3501:D3504 D3505:F3505 D3506:D3509">
    <cfRule type="expression" priority="9209" dxfId="6434">
      <formula>$B3490="Subetapa"</formula>
    </cfRule>
  </conditionalFormatting>
  <conditionalFormatting sqref="C3505:C3509 D3505:F3505 D3506:D3509">
    <cfRule type="expression" priority="9192" dxfId="6433">
      <formula>$B3505="Serviço"</formula>
    </cfRule>
  </conditionalFormatting>
  <conditionalFormatting sqref="C3515:C3519 D3515:F3515 D3516:D3519">
    <cfRule type="expression" priority="9080" dxfId="6433">
      <formula>$B3515="Serviço"</formula>
    </cfRule>
    <cfRule type="expression" priority="9081" dxfId="6434">
      <formula>$B3515="Subetapa"</formula>
    </cfRule>
  </conditionalFormatting>
  <conditionalFormatting sqref="C3520:C3524 D3520:F3520 D3521:D3524">
    <cfRule type="expression" priority="9098" dxfId="6433">
      <formula>$B3520="Serviço"</formula>
    </cfRule>
    <cfRule type="expression" priority="9099" dxfId="6434">
      <formula>$B3520="Subetapa"</formula>
    </cfRule>
  </conditionalFormatting>
  <conditionalFormatting sqref="C3525:C3529 D3525:F3525 D3526:D3529">
    <cfRule type="expression" priority="9102" dxfId="6433">
      <formula>$B3525="Serviço"</formula>
    </cfRule>
    <cfRule type="expression" priority="9103" dxfId="6434">
      <formula>$B3525="Subetapa"</formula>
    </cfRule>
  </conditionalFormatting>
  <conditionalFormatting sqref="C3530:C3534 D3530:F3530 D3531:D3534">
    <cfRule type="expression" priority="9090" dxfId="6433">
      <formula>$B3530="Serviço"</formula>
    </cfRule>
    <cfRule type="expression" priority="9091" dxfId="6434">
      <formula>$B3530="Subetapa"</formula>
    </cfRule>
  </conditionalFormatting>
  <conditionalFormatting sqref="C3535:C3539 D3535:F3535 D3536:D3539">
    <cfRule type="expression" priority="9094" dxfId="6433">
      <formula>$B3535="Serviço"</formula>
    </cfRule>
    <cfRule type="expression" priority="9095" dxfId="6434">
      <formula>$B3535="Subetapa"</formula>
    </cfRule>
  </conditionalFormatting>
  <conditionalFormatting sqref="C3540:C3544 D3540:F3540 D3541:D3544">
    <cfRule type="expression" priority="9116" dxfId="6433">
      <formula>$B3540="Serviço"</formula>
    </cfRule>
    <cfRule type="expression" priority="9117" dxfId="6434">
      <formula>$B3540="Subetapa"</formula>
    </cfRule>
  </conditionalFormatting>
  <conditionalFormatting sqref="B3644:B3661 C3644:C3655 C3658:F3658 D3644:F3644 D3645:D3647 D3648:F3648 D3649:D3650 D3651:F3651 D3652:D3653 D3654:F3654 D3655 F3645:F3647 F3649:F3650 F3652:F3653">
    <cfRule type="expression" priority="13805" dxfId="6424">
      <formula>$B3644="Subetapa"</formula>
    </cfRule>
  </conditionalFormatting>
  <conditionalFormatting sqref="C3674:C3678 D3674:F3674 D3675:D3678 F3675:F3678">
    <cfRule type="expression" priority="9007" dxfId="6434">
      <formula>$B3674="Subetapa"</formula>
    </cfRule>
    <cfRule type="expression" priority="9008" dxfId="6433">
      <formula>$B3674="Serviço"</formula>
    </cfRule>
  </conditionalFormatting>
  <conditionalFormatting sqref="C3684:C3688 D3684:F3684 D3685:D3688 F3685:F3688">
    <cfRule type="expression" priority="8995" dxfId="6434">
      <formula>$B3684="Subetapa"</formula>
    </cfRule>
    <cfRule type="expression" priority="8996" dxfId="6433">
      <formula>$B3684="Serviço"</formula>
    </cfRule>
  </conditionalFormatting>
  <conditionalFormatting sqref="C3704:C3708 D3704:F3704 D3705:D3708 F3705:F3708">
    <cfRule type="expression" priority="8983" dxfId="6434">
      <formula>$B3704="Subetapa"</formula>
    </cfRule>
    <cfRule type="expression" priority="8984" dxfId="6433">
      <formula>$B3704="Serviço"</formula>
    </cfRule>
  </conditionalFormatting>
  <conditionalFormatting sqref="C3722:C3723 D3722:F3722 D3723 F3723">
    <cfRule type="expression" priority="8960" dxfId="6433">
      <formula>$B3722="Serviço"</formula>
    </cfRule>
  </conditionalFormatting>
  <conditionalFormatting sqref="C3722:C3724 D3722:F3722 D3723:D3724 F3723:F3724">
    <cfRule type="expression" priority="8959" dxfId="6434">
      <formula>$B3722="Subetapa"</formula>
    </cfRule>
  </conditionalFormatting>
  <conditionalFormatting sqref="C3724:D3724 F3724">
    <cfRule type="expression" priority="8967" dxfId="6433">
      <formula>$B3724="Serviço"</formula>
    </cfRule>
  </conditionalFormatting>
  <conditionalFormatting sqref="C3808:C3815 D3808:F3808 D3809:D3810 D3811:F3811 D3812:D3815 F3809:F3810 F3812:F3815">
    <cfRule type="expression" priority="8648" dxfId="6434">
      <formula>$B3808="Subetapa"</formula>
    </cfRule>
  </conditionalFormatting>
  <conditionalFormatting sqref="C3821:C3845 D3821:F3821 D3822:D3825 D3826:F3826 D3827:D3829 D3830:F3830 D3831:D3834 D3835:F3835 D3836:D3837 D3838:F3838 D3839:D3841 D3842:F3842 D3843:D3845 F3822:F3825 F3827:F3829 F3831:F3834 F3836:F3837 F3839:F3841 F3843:F3845">
    <cfRule type="expression" priority="11382" dxfId="6424">
      <formula>$B3821="Subetapa"</formula>
    </cfRule>
  </conditionalFormatting>
  <conditionalFormatting sqref="C3861:F3861 C3862:C3885">
    <cfRule type="expression" priority="12266" dxfId="6424">
      <formula>$B3861="Subetapa"</formula>
    </cfRule>
  </conditionalFormatting>
  <conditionalFormatting sqref="D3864:F3864">
    <cfRule type="expression" priority="12236" dxfId="6424">
      <formula>$B3864="Subetapa"</formula>
    </cfRule>
  </conditionalFormatting>
  <conditionalFormatting sqref="C3980:F3980 F3981">
    <cfRule type="expression" priority="8314" dxfId="6433">
      <formula>$B3980="Serviço"</formula>
    </cfRule>
  </conditionalFormatting>
  <conditionalFormatting sqref="C3999:F3999">
    <cfRule type="expression" priority="8263" dxfId="6434">
      <formula>$B3999="Subetapa"</formula>
    </cfRule>
  </conditionalFormatting>
  <conditionalFormatting sqref="C4002:F4002">
    <cfRule type="expression" priority="8280" dxfId="6434">
      <formula>$B4002="Subetapa"</formula>
    </cfRule>
    <cfRule type="expression" priority="8300" dxfId="6433">
      <formula>$B4002="Serviço"</formula>
    </cfRule>
  </conditionalFormatting>
  <conditionalFormatting sqref="C4004:C4006 D4004:F4004 D4005:D4006">
    <cfRule type="expression" priority="8194" dxfId="6433">
      <formula>$B4004="Serviço"</formula>
    </cfRule>
  </conditionalFormatting>
  <conditionalFormatting sqref="C4004:F4004">
    <cfRule type="expression" priority="8196" dxfId="6434">
      <formula>$B4004="Subetapa"</formula>
    </cfRule>
  </conditionalFormatting>
  <conditionalFormatting sqref="C4007:C4009 D4007:F4007 D4008:D4009">
    <cfRule type="expression" priority="8201" dxfId="6433">
      <formula>$B4007="Serviço"</formula>
    </cfRule>
  </conditionalFormatting>
  <conditionalFormatting sqref="C4007:F4007">
    <cfRule type="expression" priority="8203" dxfId="6434">
      <formula>$B4007="Subetapa"</formula>
    </cfRule>
  </conditionalFormatting>
  <conditionalFormatting sqref="C4010:C4012 D4010:F4010 D4011:D4012">
    <cfRule type="expression" priority="8208" dxfId="6433">
      <formula>$B4010="Serviço"</formula>
    </cfRule>
  </conditionalFormatting>
  <conditionalFormatting sqref="C4010:F4010">
    <cfRule type="expression" priority="8210" dxfId="6434">
      <formula>$B4010="Subetapa"</formula>
    </cfRule>
  </conditionalFormatting>
  <conditionalFormatting sqref="C4013:C4015 D4013:F4013 D4014:D4015">
    <cfRule type="expression" priority="8215" dxfId="6433">
      <formula>$B4013="Serviço"</formula>
    </cfRule>
  </conditionalFormatting>
  <conditionalFormatting sqref="C4013:F4013">
    <cfRule type="expression" priority="8217" dxfId="6434">
      <formula>$B4013="Subetapa"</formula>
    </cfRule>
  </conditionalFormatting>
  <conditionalFormatting sqref="C4016:C4018 D4016:F4016 D4017:D4018">
    <cfRule type="expression" priority="8222" dxfId="6433">
      <formula>$B4016="Serviço"</formula>
    </cfRule>
  </conditionalFormatting>
  <conditionalFormatting sqref="C4016:F4016">
    <cfRule type="expression" priority="8224" dxfId="6434">
      <formula>$B4016="Subetapa"</formula>
    </cfRule>
  </conditionalFormatting>
  <conditionalFormatting sqref="C4019:C4021 D4019:F4019 D4020:D4021">
    <cfRule type="expression" priority="8229" dxfId="6433">
      <formula>$B4019="Serviço"</formula>
    </cfRule>
  </conditionalFormatting>
  <conditionalFormatting sqref="C4019:F4019">
    <cfRule type="expression" priority="8231" dxfId="6434">
      <formula>$B4019="Subetapa"</formula>
    </cfRule>
  </conditionalFormatting>
  <conditionalFormatting sqref="C4041:C4043 D4041:F4041 D4042:D4043">
    <cfRule type="expression" priority="7852" dxfId="6433">
      <formula>$B4041="Serviço"</formula>
    </cfRule>
  </conditionalFormatting>
  <conditionalFormatting sqref="C4041:F4041">
    <cfRule type="expression" priority="7854" dxfId="6434">
      <formula>$B4041="Subetapa"</formula>
    </cfRule>
  </conditionalFormatting>
  <conditionalFormatting sqref="C4051:C4054 D4051:F4051 D4052:D4053 D4054:F4054 F4052:F4053">
    <cfRule type="expression" priority="7869" dxfId="6434">
      <formula>$B4051="Subetapa"</formula>
    </cfRule>
  </conditionalFormatting>
  <conditionalFormatting sqref="C4058:C4067 D4058:F4058 D4059 D4060:F4060 D4061 D4062:F4062 D4063 D4064:F4064 D4065 D4066:F4066 D4067 F4059 F4061 F4063 F4065 F4067">
    <cfRule type="expression" priority="11802" dxfId="6424">
      <formula>$B4058="Subetapa"</formula>
    </cfRule>
  </conditionalFormatting>
  <conditionalFormatting sqref="C4088:F4088 C4089:C4094 C4125:C4130 D4089 D4125:F4125 D4126 D4127:F4127 D4128 D4129:F4129 D4130 E4090:F4090 E4094:F4094 F4089 F4091:F4093 F4095:F4097 F4126 F4128 F4130">
    <cfRule type="expression" priority="13965" dxfId="6424">
      <formula>$B4088="Subetapa"</formula>
    </cfRule>
  </conditionalFormatting>
  <conditionalFormatting sqref="C4098:C4103 D4098:F4098 D4099 D4100:F4100 D4101 D4102:F4102 D4103 F4099 F4101 F4103">
    <cfRule type="expression" priority="7822" dxfId="6434">
      <formula>$B4098="Subetapa"</formula>
    </cfRule>
  </conditionalFormatting>
  <conditionalFormatting sqref="D4105:D4106 F4105:F4106">
    <cfRule type="expression" priority="7828" dxfId="6434">
      <formula>$B4105="Subetapa"</formula>
    </cfRule>
  </conditionalFormatting>
  <conditionalFormatting sqref="D4108:D4109 F4108:F4109">
    <cfRule type="expression" priority="7831" dxfId="6434">
      <formula>$B4108="Subetapa"</formula>
    </cfRule>
  </conditionalFormatting>
  <conditionalFormatting sqref="C4122:C4124 D4122:F4122 D4123:D4124 F4123:F4124">
    <cfRule type="expression" priority="7812" dxfId="6433">
      <formula>$B4122="Serviço"</formula>
    </cfRule>
    <cfRule type="expression" priority="7813" dxfId="6434">
      <formula>$B4122="Subetapa"</formula>
    </cfRule>
  </conditionalFormatting>
  <conditionalFormatting sqref="C4131:C4132 D4131:F4131 D4132 F4132">
    <cfRule type="expression" priority="12337" dxfId="6424">
      <formula>$B4131="Subetapa"</formula>
    </cfRule>
  </conditionalFormatting>
  <conditionalFormatting sqref="E4160:F4160 F4161">
    <cfRule type="expression" priority="7788" dxfId="6433">
      <formula>$B4160="Serviço"</formula>
    </cfRule>
    <cfRule type="expression" priority="7789" dxfId="6434">
      <formula>$B4160="Subetapa"</formula>
    </cfRule>
  </conditionalFormatting>
  <conditionalFormatting sqref="C4245:C4248 D4245:F4245 D4246 D4247:F4247 D4248 F4246 F4248">
    <cfRule type="expression" priority="7759" dxfId="6433">
      <formula>$B4245="Serviço"</formula>
    </cfRule>
    <cfRule type="expression" priority="7760" dxfId="6434">
      <formula>$B4245="Subetapa"</formula>
    </cfRule>
  </conditionalFormatting>
  <conditionalFormatting sqref="B4291:B4295 C4291:D4291 F4291">
    <cfRule type="expression" priority="12002" dxfId="6424">
      <formula>$B4291="Subetapa"</formula>
    </cfRule>
  </conditionalFormatting>
  <conditionalFormatting sqref="C4297:C4301 C4304:C4321 D4297 D4298:F4298 D4299 D4300:F4300 D4301 D4304:F4304 D4305:D4307 D4308:F4308 D4309:D4310 D4311:F4311 D4312:D4314 D4315:F4315 D4316:D4321 F4297 F4299 F4301 F4305:F4307 F4309:F4310 F4312:F4314 F4316:F4321">
    <cfRule type="expression" priority="12075" dxfId="6424">
      <formula>$B4297="Subetapa"</formula>
    </cfRule>
  </conditionalFormatting>
  <conditionalFormatting sqref="C4358:C4370 D4358:F4358 D4359:D4360 D4361:F4361 D4362:D4365 D4366:F4366 D4367:D4370 F4359:F4360 F4362:F4365">
    <cfRule type="expression" priority="12064" dxfId="6424">
      <formula>$B4358="Subetapa"</formula>
    </cfRule>
  </conditionalFormatting>
  <conditionalFormatting sqref="C4458:F4458">
    <cfRule type="expression" priority="14035" dxfId="6424">
      <formula>$B4458="Subetapa"</formula>
    </cfRule>
  </conditionalFormatting>
  <conditionalFormatting sqref="C4482:C4488 D4482 D4483:F4483 D4484:D4485 D4486:F4486 D4487:D4488 F4482 F4484:F4485 F4487:F4488">
    <cfRule type="expression" priority="14036" dxfId="6424">
      <formula>$B4482="Subetapa"</formula>
    </cfRule>
  </conditionalFormatting>
  <conditionalFormatting sqref="C4508:C4511 C4513:C4516 C4518:C4542 D4495:F4495 D4498:F4498 D4499:D4502 D4503:F4503 D4504:D4506 D4508:F4508 D4509:D4511 D4513:F4513 D4514:D4516 D4518:F4518 D4519:D4522 D4523:F4523 D4524:D4527 D4528:F4528 D4529:D4532 D4533:F4533 D4534:D4537 D4538:F4538 D4539:D4542 F4499:F4502 F4504:F4507 F4509:F4512 F4514:F4517 F4519:F4522 F4524:F4527 F4529:F4532 F4534:F4537 F4539:F4542">
    <cfRule type="expression" priority="7722" dxfId="6433">
      <formula>$B4495="Serviço"</formula>
    </cfRule>
  </conditionalFormatting>
  <conditionalFormatting sqref="C4508:C4511 C4513:C4516 D4495:F4495 D4498:F4498 D4499:D4502 D4503:F4503 D4504:D4506 D4508:F4508 D4509:D4511 D4513:F4513 D4514:D4516 F4499:F4502 F4504:F4507 F4509:F4512 F4514:F4517">
    <cfRule type="expression" priority="7716" dxfId="6434">
      <formula>$B4495="Subetapa"</formula>
    </cfRule>
  </conditionalFormatting>
  <conditionalFormatting sqref="C4573:C4580 D4573:F4574 D4575 D4576:F4576 D4577 D4578:F4578 D4579 D4580:F4580 F4575 F4577 F4579">
    <cfRule type="expression" priority="12092" dxfId="6424">
      <formula>$B4573="Subetapa"</formula>
    </cfRule>
  </conditionalFormatting>
  <conditionalFormatting sqref="C4701:C4713 D4701:F4701 D4702:D4704 D4703:F4703 D4705:F4705 D4706 D4707:F4707 D4708 D4709:F4709 D4710 D4711:F4711 D4712 D4713:F4713 F4702 F4704 F4706 F4708 F4710 F4712">
    <cfRule type="expression" priority="11338" dxfId="6424">
      <formula>$B4701="Subetapa"</formula>
    </cfRule>
  </conditionalFormatting>
  <conditionalFormatting sqref="C4714:C4720 C4723:F4723 D4714 D4715:F4715 D4716 D4717:F4717 D4718 D4719:F4719 D4720 F4714 F4716 F4718 F4720">
    <cfRule type="expression" priority="14101" dxfId="6424">
      <formula>$B4714="Subetapa"</formula>
    </cfRule>
  </conditionalFormatting>
  <conditionalFormatting sqref="C4721:F4721">
    <cfRule type="expression" priority="11352" dxfId="6424">
      <formula>$B4721="Subetapa"</formula>
    </cfRule>
  </conditionalFormatting>
  <conditionalFormatting sqref="C4724:D4724 F4724">
    <cfRule type="expression" priority="13837" dxfId="6424">
      <formula>$B4724="Subetapa"</formula>
    </cfRule>
  </conditionalFormatting>
  <conditionalFormatting sqref="C4759:C4800 C4811:D4832 D4759:F4759 D4760:D4767 D4768:F4768 D4769:D4780 D4781:F4781 D4782:D4790 D4791:F4791 D4792:D4800 F4760:F4767 F4769:F4780 F4782:F4790 F4792:F4800">
    <cfRule type="expression" priority="13910" dxfId="6424">
      <formula>$B4759="Subetapa"</formula>
    </cfRule>
  </conditionalFormatting>
  <conditionalFormatting sqref="C4801:C4810 D4801:F4801 D4802:D4810 F4802">
    <cfRule type="expression" priority="7616" dxfId="6433">
      <formula>$B4801="Serviço"</formula>
    </cfRule>
    <cfRule type="expression" priority="7617" dxfId="6434">
      <formula>$B4801="Subetapa"</formula>
    </cfRule>
  </conditionalFormatting>
  <conditionalFormatting sqref="C4839:F4839">
    <cfRule type="expression" priority="14045" dxfId="6424">
      <formula>$B4839="Subetapa"</formula>
    </cfRule>
  </conditionalFormatting>
  <conditionalFormatting sqref="D4864:F4874">
    <cfRule type="expression" priority="14049" dxfId="6424">
      <formula>$B4864="Subetapa"</formula>
    </cfRule>
  </conditionalFormatting>
  <conditionalFormatting sqref="C4875:F4875">
    <cfRule type="expression" priority="14587" dxfId="6424">
      <formula>$B4875="Subetapa"</formula>
    </cfRule>
  </conditionalFormatting>
  <conditionalFormatting sqref="D4876:D4877 F4876:F4877">
    <cfRule type="expression" priority="14582" dxfId="6424">
      <formula>$B4876="Subetapa"</formula>
    </cfRule>
  </conditionalFormatting>
  <conditionalFormatting sqref="B263:C265 B267:F267 B269:F269 B304:B314 B320:B322 B3629:C3639 C2754:F2754 C2756:F2756 C3145:D3146 C3175:C3176 C3191:C3193 C3209:F3209 C3239:F3239 C3251:F3251 C3255:F3255 C3581:F3581 C3583:D3584 C3660:D3661 C3957:F3957 C3968:F3968 C4725:F4725 C4880:F4880 C4923:C4928 D263:F263 D264 D265:F265 D3175:F3175 D3176 D3191:F3191 D3192 D3193:F3193 D3629:F3629 D3630:D3631 D3632:F3632 D3633:D3635 D3636:F3636 D3637:D3639 D4923:F4923 D4924:D4927 D4928:F4928 F264 F3145:F3146 F3176 F3192 F3194 F3582:F3584 F3630:F3631 F3633:F3635 F3637:F3639 F3659:F3661 F4924:F4927">
    <cfRule type="expression" priority="14387" dxfId="6424">
      <formula>$B263="Subetapa"</formula>
    </cfRule>
  </conditionalFormatting>
  <conditionalFormatting sqref="C4918:C4922 D4918:F4918 D4919:D4922 F4919:F4922">
    <cfRule type="expression" priority="7604" dxfId="6433">
      <formula>$B4918="Serviço"</formula>
    </cfRule>
    <cfRule type="expression" priority="7605" dxfId="6434">
      <formula>$B4918="Subetapa"</formula>
    </cfRule>
  </conditionalFormatting>
  <conditionalFormatting sqref="C4976:C4983 D4976:F4976 D4977:D4979 D4980:F4980 D4981:D4983 F4977:F4979 F4981:F4983">
    <cfRule type="expression" priority="7841" dxfId="6433">
      <formula>$B4976="Serviço"</formula>
    </cfRule>
    <cfRule type="expression" priority="7842" dxfId="6434">
      <formula>$B4976="Subetapa"</formula>
    </cfRule>
  </conditionalFormatting>
  <conditionalFormatting sqref="C1186:C1197 D1186:H1186 D1187:D1197 F1187:F1197 G2526:H2526 G2612:H2612 G2617:H2617 G2622:H2622 G2627:H2627 G2632:H2632 G2962:H2962 G3215:H3215 G3223:H3223 G3225:H3225 G3229:H3229 G3235:H3235 G3239:H3239 G3251:H3251 G3255:H3255 G3260:H3260 G3285:H3285 G3311:H3311 G3316:H3316 G3320:H3320 G3340:H3340 G3345:H3345 G3551:H3551 G3689:H3689 G3694:H3694 G4211:H4211 G4214:H4214 G4249:H4249 G4251:H4251 G4253:H4253 G4255:H4255 G4257:H4257 G4259:H4259 G4262:H4262 G4268:H4268 G4270:H4270">
    <cfRule type="expression" priority="6292" dxfId="6424">
      <formula>$B1186="Subetapa"</formula>
    </cfRule>
  </conditionalFormatting>
  <conditionalFormatting sqref="C1386:C1396 C1535:H1535 D1386:H1386 D1387:D1396 F1387:F1396 G1541:H1541">
    <cfRule type="expression" priority="7058" dxfId="6424">
      <formula>$B1386="Subetapa"</formula>
    </cfRule>
  </conditionalFormatting>
  <conditionalFormatting sqref="C2768:H2768">
    <cfRule type="expression" priority="6991" dxfId="6424">
      <formula>$B2768="Subetapa"</formula>
    </cfRule>
  </conditionalFormatting>
  <conditionalFormatting sqref="C2876:H2876">
    <cfRule type="expression" priority="6990" dxfId="6424">
      <formula>$B2876="Subetapa"</formula>
    </cfRule>
  </conditionalFormatting>
  <conditionalFormatting sqref="C4598:C4609 D4598:H4598 D4599:D4602 D4603:H4603 D4604 D4605:H4605 D4606:D4609 F4599:F4602 F4604 F4606:F4609">
    <cfRule type="expression" priority="5981" dxfId="6424">
      <formula>$B4598="Subetapa"</formula>
    </cfRule>
  </conditionalFormatting>
  <conditionalFormatting sqref="C3848:D3848 E3846 F3848">
    <cfRule type="expression" priority="12113" dxfId="6424">
      <formula>$B3846="Subetapa"</formula>
    </cfRule>
  </conditionalFormatting>
  <conditionalFormatting sqref="D3980:D3981">
    <cfRule type="expression" priority="8316" dxfId="6434">
      <formula>$B3980="Subetapa"</formula>
    </cfRule>
  </conditionalFormatting>
  <conditionalFormatting sqref="E4750 E4759">
    <cfRule type="containsText" priority="14128" operator="containsText" dxfId="8799" text="INSERIR">
      <formula>NOT(ISERROR(SEARCH(("INSERIR"),(E4750))))</formula>
    </cfRule>
  </conditionalFormatting>
  <conditionalFormatting sqref="E4863">
    <cfRule type="containsText" priority="14129" operator="containsText" dxfId="8799" text="INSERIR">
      <formula>NOT(ISERROR(SEARCH(("INSERIR"),(E4863))))</formula>
    </cfRule>
  </conditionalFormatting>
  <conditionalFormatting sqref="B3065:B3088 B3093:B3096 C345:F348 C378:D382 C504:D508 C654:D656 C982:D988 C2170:C2174 C2390:C2399 C2526:F2526 C2612:F2612 C2614:C2621 C3065:C3096 C3099:C3106 C3108:F3112 C3849:C3850 C3938:F3938 C3944:D3944 C4750:E4750 C4894:D4894 C4984:C4996 D2170:F2173 D2174 D2390:F2390 D2391:D2394 D2395:F2395 D2396:D2399 D2614:D2616 D2617:F2617 D2618:D2621 D3065:F3089 D3090:D3092 D3093:F3096 D3099:F3099 D3100:D3102 D3103:F3106 D3849:F3849 D3850 D4984:F4984 D4985:D4987 D4988:F4988 D4989 D4990:F4996 E378:F383 E504:F509 E654:F657 E2174:F2175 E2783:F2783 E2784 E2785:F2785 E4726 E4734 E4742 E4811:E4831 E4832:F4834 E4835:E4838 E4878:F4879 E4881:F4917 E4942:E4975 E4997:F5010 F2786:F2787 F3090:F3092 F3100:F3102 F3850 F3944 F4726:F4750 F4811:F4830 F4835:F4836 F4966 F4968:F4970 F4985:F4987 F4989">
    <cfRule type="expression" priority="14056" dxfId="6424">
      <formula>$B345="Subetapa"</formula>
    </cfRule>
  </conditionalFormatting>
  <conditionalFormatting sqref="E287:F287 F288">
    <cfRule type="expression" priority="9745" dxfId="6434">
      <formula>$B287="Subetapa"</formula>
    </cfRule>
  </conditionalFormatting>
  <conditionalFormatting sqref="E289:F289">
    <cfRule type="expression" priority="9747" dxfId="6434">
      <formula>$B289="Subetapa"</formula>
    </cfRule>
  </conditionalFormatting>
  <conditionalFormatting sqref="E291:F291">
    <cfRule type="expression" priority="9749" dxfId="6434">
      <formula>$B291="Subetapa"</formula>
    </cfRule>
  </conditionalFormatting>
  <conditionalFormatting sqref="E293:F293">
    <cfRule type="expression" priority="9751" dxfId="6434">
      <formula>$B293="Subetapa"</formula>
    </cfRule>
  </conditionalFormatting>
  <conditionalFormatting sqref="E295:F295">
    <cfRule type="expression" priority="9761" dxfId="6434">
      <formula>$B295="Subetapa"</formula>
    </cfRule>
  </conditionalFormatting>
  <conditionalFormatting sqref="B664 F662:F664">
    <cfRule type="expression" priority="9682" dxfId="6433">
      <formula>$B662="Serviço"</formula>
    </cfRule>
  </conditionalFormatting>
  <conditionalFormatting sqref="B872 B875 B878 B899 B905:B906 B990:F990 B994:F994 B1003:B1009 B1014 B1018 B1652:B1661 B1664:B1672 B1823:D1823 B1826:B1835 B1838:B1841 B2108:B2111 B2691:F2691 B3310:F3310 B3714:F3714 B4022:F4022 B4278:F4278 B4304:B4307 B4322:F4322 C870:C878 C897:C901 C1003:D1010 C1014:F1015 C1017:C1018 C1662:D1672 C1686:C1697 C1722:D1722 C1733:D1733 C1753:D1753 C1756:D1756 C1765:D1765 C1768:D1768 C1777:D1777 C1800:D1800 C1803:D1803 C1825:D1835 C1837:D1841 C1906:D1906 C2006:D2006 C2140:C2143 C2337:F2337 C2710:C2715 C3365:C3374 C3380:C3409 C3411:C3424 C3450:C3454 C3470:C3484 C4133:C4134 D870:F870 D871:D872 D873:F873 D874:D875 D876:F876 D877:D878 D897:F897 D898:D901 D1017:F1017 D1018 D1686:F1686 D1687:D1697 D2140:F2140 D2141 D2142:F2142 D2143 D2710:F2710 D2711:D2714 D2715:F2715 D3365:F3365 D3366:D3369 D3370:F3370 D3371:D3374 D3380:F3380 D3381:D3384 D3385:F3385 D3386:D3389 D3390:F3390 D3391:D3394 D3395:F3395 D3396:D3399 D3400:F3400 D3401:D3404 D3405:F3405 D3406:D3409 D3411:D3414 D3415:F3415 D3416:D3419 D3420:F3420 D3421:D3424 D3450:F3450 D3451:D3454 D3470:F3470 D3471:D3474 D3475:F3475 D3476:D3479 D3480:F3480 D3481:D3484 D4133:F4133 D4134 E867:F867 E900:F900 F868:F869 F871:F872 F874:F875 F877:F878 F898:F899 F901:F902 F1018 F1687:F1697 F1753 F1765 F1777 F1800 F1815:F1823 F2141 F2143 F2711:F2714 F3451:F3454 F3471:F3474 F3476:F3479 F3481:F3484 F4134 G4304:H4304">
    <cfRule type="expression" priority="13559" dxfId="6424">
      <formula>$B867="Subetapa"</formula>
    </cfRule>
  </conditionalFormatting>
  <conditionalFormatting sqref="E957:F957 E960:F960 F958:F959 F961:F962">
    <cfRule type="expression" priority="14140" dxfId="6424">
      <formula>$B957="Subetapa"</formula>
    </cfRule>
  </conditionalFormatting>
  <conditionalFormatting sqref="E964:F964 E967:F967 F965:F966 F968:F969">
    <cfRule type="expression" priority="11906" dxfId="6424">
      <formula>$B964="Subetapa"</formula>
    </cfRule>
  </conditionalFormatting>
  <conditionalFormatting sqref="E971:F971 F972:F973 F975:F976">
    <cfRule type="expression" priority="14142" dxfId="6424">
      <formula>$B971="Subetapa"</formula>
    </cfRule>
  </conditionalFormatting>
  <conditionalFormatting sqref="E974:F974">
    <cfRule type="expression" priority="14397" dxfId="6424">
      <formula>$B974="Subetapa"</formula>
    </cfRule>
  </conditionalFormatting>
  <conditionalFormatting sqref="F1346:F1347">
    <cfRule type="expression" priority="9476" dxfId="6434">
      <formula>$B1346="Subetapa"</formula>
    </cfRule>
  </conditionalFormatting>
  <conditionalFormatting sqref="F1837:F1842">
    <cfRule type="expression" priority="13280" dxfId="6424">
      <formula>$B1837="Subetapa"</formula>
    </cfRule>
  </conditionalFormatting>
  <conditionalFormatting sqref="F1868:F1869">
    <cfRule type="expression" priority="11715" dxfId="6424">
      <formula>$B1868="Subetapa"</formula>
    </cfRule>
  </conditionalFormatting>
  <conditionalFormatting sqref="F1881:F1891">
    <cfRule type="expression" priority="11717" dxfId="6424">
      <formula>$B1881="Subetapa"</formula>
    </cfRule>
  </conditionalFormatting>
  <conditionalFormatting sqref="F1893:F1894 F1896:F1904">
    <cfRule type="expression" priority="11711" dxfId="6424">
      <formula>$B1893="Subetapa"</formula>
    </cfRule>
  </conditionalFormatting>
  <conditionalFormatting sqref="F1918">
    <cfRule type="expression" priority="11699" dxfId="6424">
      <formula>$B1918="Subetapa"</formula>
    </cfRule>
  </conditionalFormatting>
  <conditionalFormatting sqref="F1930:F1931">
    <cfRule type="expression" priority="11693" dxfId="6424">
      <formula>$B1930="Subetapa"</formula>
    </cfRule>
  </conditionalFormatting>
  <conditionalFormatting sqref="F1943:F1944">
    <cfRule type="expression" priority="11689" dxfId="6424">
      <formula>$B1943="Subetapa"</formula>
    </cfRule>
  </conditionalFormatting>
  <conditionalFormatting sqref="F1956:F1957">
    <cfRule type="expression" priority="11685" dxfId="6424">
      <formula>$B1956="Subetapa"</formula>
    </cfRule>
  </conditionalFormatting>
  <conditionalFormatting sqref="F1969:F1970">
    <cfRule type="expression" priority="11681" dxfId="6424">
      <formula>$B1969="Subetapa"</formula>
    </cfRule>
  </conditionalFormatting>
  <conditionalFormatting sqref="F1982">
    <cfRule type="expression" priority="11677" dxfId="6424">
      <formula>$B1982="Subetapa"</formula>
    </cfRule>
  </conditionalFormatting>
  <conditionalFormatting sqref="F1983">
    <cfRule type="expression" priority="13124" dxfId="6424">
      <formula>$B1983="Subetapa"</formula>
    </cfRule>
  </conditionalFormatting>
  <conditionalFormatting sqref="F1994">
    <cfRule type="expression" priority="11671" dxfId="6424">
      <formula>$B1994="Subetapa"</formula>
    </cfRule>
  </conditionalFormatting>
  <conditionalFormatting sqref="F1995">
    <cfRule type="expression" priority="13106" dxfId="6424">
      <formula>$B1995="Subetapa"</formula>
    </cfRule>
  </conditionalFormatting>
  <conditionalFormatting sqref="F2008:F2016">
    <cfRule type="expression" priority="11707" dxfId="6424">
      <formula>$B2008="Subetapa"</formula>
    </cfRule>
  </conditionalFormatting>
  <conditionalFormatting sqref="F2030:F2040">
    <cfRule type="expression" priority="13072" dxfId="6424">
      <formula>$B2030="Subetapa"</formula>
    </cfRule>
  </conditionalFormatting>
  <conditionalFormatting sqref="F2106">
    <cfRule type="expression" priority="11637" dxfId="6424">
      <formula>$B2106="Subetapa"</formula>
    </cfRule>
  </conditionalFormatting>
  <conditionalFormatting sqref="F2107">
    <cfRule type="expression" priority="12952" dxfId="6424">
      <formula>$B2107="Subetapa"</formula>
    </cfRule>
  </conditionalFormatting>
  <conditionalFormatting sqref="F2113">
    <cfRule type="expression" priority="11631" dxfId="6424">
      <formula>$B2113="Subetapa"</formula>
    </cfRule>
  </conditionalFormatting>
  <conditionalFormatting sqref="F2114">
    <cfRule type="expression" priority="12932" dxfId="6424">
      <formula>$B2114="Subetapa"</formula>
    </cfRule>
  </conditionalFormatting>
  <conditionalFormatting sqref="F2120">
    <cfRule type="expression" priority="11625" dxfId="6424">
      <formula>$B2120="Subetapa"</formula>
    </cfRule>
  </conditionalFormatting>
  <conditionalFormatting sqref="F2121">
    <cfRule type="expression" priority="12912" dxfId="6424">
      <formula>$B2121="Subetapa"</formula>
    </cfRule>
  </conditionalFormatting>
  <conditionalFormatting sqref="F2127">
    <cfRule type="expression" priority="11619" dxfId="6424">
      <formula>$B2127="Subetapa"</formula>
    </cfRule>
  </conditionalFormatting>
  <conditionalFormatting sqref="F2128">
    <cfRule type="expression" priority="12892" dxfId="6424">
      <formula>$B2128="Subetapa"</formula>
    </cfRule>
  </conditionalFormatting>
  <conditionalFormatting sqref="F2134">
    <cfRule type="expression" priority="11613" dxfId="6424">
      <formula>$B2134="Subetapa"</formula>
    </cfRule>
  </conditionalFormatting>
  <conditionalFormatting sqref="F2135">
    <cfRule type="expression" priority="12872" dxfId="6424">
      <formula>$B2135="Subetapa"</formula>
    </cfRule>
  </conditionalFormatting>
  <conditionalFormatting sqref="E2333:F2333 E2335:F2335 F2334 F2336">
    <cfRule type="expression" priority="12843" dxfId="6424">
      <formula>$B2333="Subetapa"</formula>
    </cfRule>
  </conditionalFormatting>
  <conditionalFormatting sqref="E2356:F2356">
    <cfRule type="expression" priority="12827" dxfId="6424">
      <formula>$B2356="Subetapa"</formula>
    </cfRule>
  </conditionalFormatting>
  <conditionalFormatting sqref="F2757:F2759">
    <cfRule type="expression" priority="10028" dxfId="6424">
      <formula>$B2757="Subetapa"</formula>
    </cfRule>
  </conditionalFormatting>
  <conditionalFormatting sqref="F2761:F2764">
    <cfRule type="expression" priority="10039" dxfId="6424">
      <formula>$B2761="Subetapa"</formula>
    </cfRule>
  </conditionalFormatting>
  <conditionalFormatting sqref="F2769">
    <cfRule type="expression" priority="10050" dxfId="6424">
      <formula>$B2769="Subetapa"</formula>
    </cfRule>
  </conditionalFormatting>
  <conditionalFormatting sqref="E2770:F2770">
    <cfRule type="expression" priority="10077" dxfId="6424">
      <formula>$B2770="Subetapa"</formula>
    </cfRule>
  </conditionalFormatting>
  <conditionalFormatting sqref="F2771">
    <cfRule type="expression" priority="10061" dxfId="6424">
      <formula>$B2771="Subetapa"</formula>
    </cfRule>
  </conditionalFormatting>
  <conditionalFormatting sqref="E2772:F2772">
    <cfRule type="expression" priority="11558" dxfId="6424">
      <formula>$B2772="Subetapa"</formula>
    </cfRule>
  </conditionalFormatting>
  <conditionalFormatting sqref="F3863">
    <cfRule type="expression" priority="12247" dxfId="6424">
      <formula>$B3863="Subetapa"</formula>
    </cfRule>
  </conditionalFormatting>
  <conditionalFormatting sqref="E3883:F3883">
    <cfRule type="expression" priority="12222" dxfId="6424">
      <formula>$B3883="Subetapa"</formula>
    </cfRule>
  </conditionalFormatting>
  <conditionalFormatting sqref="E3894:F3894">
    <cfRule type="expression" priority="12209" dxfId="6424">
      <formula>$B3894="Subetapa"</formula>
    </cfRule>
  </conditionalFormatting>
  <conditionalFormatting sqref="E3905:F3905">
    <cfRule type="expression" priority="12196" dxfId="6424">
      <formula>$B3905="Subetapa"</formula>
    </cfRule>
  </conditionalFormatting>
  <conditionalFormatting sqref="E3916:F3916">
    <cfRule type="expression" priority="12183" dxfId="6424">
      <formula>$B3916="Subetapa"</formula>
    </cfRule>
  </conditionalFormatting>
  <conditionalFormatting sqref="E3927:F3927">
    <cfRule type="expression" priority="12170" dxfId="6424">
      <formula>$B3927="Subetapa"</formula>
    </cfRule>
  </conditionalFormatting>
  <conditionalFormatting sqref="E4107:F4107">
    <cfRule type="expression" priority="7836" dxfId="6434">
      <formula>$B4107="Subetapa"</formula>
    </cfRule>
  </conditionalFormatting>
  <conditionalFormatting sqref="E4292:F4292 E4294:F4294 F4293 F4295">
    <cfRule type="expression" priority="12086" dxfId="6424">
      <formula>$B4292="Subetapa"</formula>
    </cfRule>
  </conditionalFormatting>
  <conditionalFormatting sqref="E4296:F4296">
    <cfRule type="expression" priority="12079" dxfId="6424">
      <formula>$B4296="Subetapa"</formula>
    </cfRule>
  </conditionalFormatting>
  <conditionalFormatting sqref="F4803:F4810">
    <cfRule type="expression" priority="7610" dxfId="6433">
      <formula>$B4803="Serviço"</formula>
    </cfRule>
    <cfRule type="expression" priority="7611" dxfId="6434">
      <formula>$B4803="Subetapa"</formula>
    </cfRule>
  </conditionalFormatting>
  <conditionalFormatting sqref="E4932:F4932 E4936:F4936 F4929:F4931 F4933:F4935 F4937:F4938">
    <cfRule type="expression" priority="14135" dxfId="6424">
      <formula>$B4929="Subetapa"</formula>
    </cfRule>
  </conditionalFormatting>
  <conditionalFormatting sqref="F1844:F1854">
    <cfRule type="expression" priority="6140" dxfId="6424">
      <formula>$B1844="Subetapa"</formula>
    </cfRule>
  </conditionalFormatting>
  <conditionalFormatting sqref="F1856:F1866">
    <cfRule type="expression" priority="6136" dxfId="6424">
      <formula>$B1856="Subetapa"</formula>
    </cfRule>
  </conditionalFormatting>
  <conditionalFormatting sqref="F1908:F1916">
    <cfRule type="expression" priority="6122" dxfId="6424">
      <formula>$B1908="Subetapa"</formula>
    </cfRule>
  </conditionalFormatting>
  <conditionalFormatting sqref="F1920:F1928">
    <cfRule type="expression" priority="6118" dxfId="6424">
      <formula>$B1920="Subetapa"</formula>
    </cfRule>
  </conditionalFormatting>
  <conditionalFormatting sqref="F1984:F1992">
    <cfRule type="expression" priority="6106" dxfId="6424">
      <formula>$B1984="Subetapa"</formula>
    </cfRule>
  </conditionalFormatting>
  <conditionalFormatting sqref="F1996:F2004">
    <cfRule type="expression" priority="6102" dxfId="6424">
      <formula>$B1996="Subetapa"</formula>
    </cfRule>
  </conditionalFormatting>
  <conditionalFormatting sqref="F2018:F2028">
    <cfRule type="expression" priority="6098" dxfId="6424">
      <formula>$B2018="Subetapa"</formula>
    </cfRule>
  </conditionalFormatting>
  <conditionalFormatting sqref="F2042:F2052">
    <cfRule type="expression" priority="6091" dxfId="6424">
      <formula>$B2042="Subetapa"</formula>
    </cfRule>
  </conditionalFormatting>
  <conditionalFormatting sqref="F2054:F2065">
    <cfRule type="expression" priority="6085" dxfId="6424">
      <formula>$B2054="Subetapa"</formula>
    </cfRule>
  </conditionalFormatting>
  <conditionalFormatting sqref="F2067:F2078">
    <cfRule type="expression" priority="6081" dxfId="6424">
      <formula>$B2067="Subetapa"</formula>
    </cfRule>
  </conditionalFormatting>
  <conditionalFormatting sqref="F2080:F2091">
    <cfRule type="expression" priority="6077" dxfId="6424">
      <formula>$B2080="Subetapa"</formula>
    </cfRule>
  </conditionalFormatting>
  <conditionalFormatting sqref="F2093:F2104">
    <cfRule type="expression" priority="6073" dxfId="6424">
      <formula>$B2093="Subetapa"</formula>
    </cfRule>
  </conditionalFormatting>
  <conditionalFormatting sqref="F2115:F2118">
    <cfRule type="expression" priority="6068" dxfId="6424">
      <formula>$B2115="Subetapa"</formula>
    </cfRule>
  </conditionalFormatting>
  <conditionalFormatting sqref="F2122:F2125">
    <cfRule type="expression" priority="6064" dxfId="6424">
      <formula>$B2122="Subetapa"</formula>
    </cfRule>
  </conditionalFormatting>
  <conditionalFormatting sqref="F2129:F2132">
    <cfRule type="expression" priority="6060" dxfId="6424">
      <formula>$B2129="Subetapa"</formula>
    </cfRule>
  </conditionalFormatting>
  <conditionalFormatting sqref="F2136:F2139">
    <cfRule type="expression" priority="6056" dxfId="6424">
      <formula>$B2136="Subetapa"</formula>
    </cfRule>
  </conditionalFormatting>
  <conditionalFormatting sqref="F815:F821">
    <cfRule type="expression" priority="9645" dxfId="6433">
      <formula>$B815="Serviço"</formula>
    </cfRule>
    <cfRule type="expression" priority="9646" dxfId="6434">
      <formula>$B815="Subetapa"</formula>
    </cfRule>
  </conditionalFormatting>
  <conditionalFormatting sqref="F816:F823">
    <cfRule type="expression" priority="9639" dxfId="6433">
      <formula>$B816="Serviço"</formula>
    </cfRule>
    <cfRule type="expression" priority="9640" dxfId="6434">
      <formula>$B816="Subetapa"</formula>
    </cfRule>
  </conditionalFormatting>
  <conditionalFormatting sqref="F1177:F1183">
    <cfRule type="expression" priority="9579" dxfId="6434">
      <formula>$B1177="Subetapa"</formula>
    </cfRule>
  </conditionalFormatting>
  <conditionalFormatting sqref="F1184:F1185">
    <cfRule type="expression" priority="9577" dxfId="6434">
      <formula>$B1184="Subetapa"</formula>
    </cfRule>
  </conditionalFormatting>
  <conditionalFormatting sqref="F1200:F1206">
    <cfRule type="expression" priority="9538" dxfId="6434">
      <formula>$B1200="Subetapa"</formula>
    </cfRule>
  </conditionalFormatting>
  <conditionalFormatting sqref="F1207:F1208">
    <cfRule type="expression" priority="9536" dxfId="6434">
      <formula>$B1207="Subetapa"</formula>
    </cfRule>
  </conditionalFormatting>
  <conditionalFormatting sqref="F1218:F1219">
    <cfRule type="expression" priority="9539" dxfId="6434">
      <formula>$B1218="Subetapa"</formula>
    </cfRule>
  </conditionalFormatting>
  <conditionalFormatting sqref="F1256:F1263">
    <cfRule type="expression" priority="9501" dxfId="6434">
      <formula>$B1256="Subetapa"</formula>
    </cfRule>
  </conditionalFormatting>
  <conditionalFormatting sqref="F1264:F1265">
    <cfRule type="expression" priority="9499" dxfId="6434">
      <formula>$B1264="Subetapa"</formula>
    </cfRule>
  </conditionalFormatting>
  <conditionalFormatting sqref="F1302:F1308">
    <cfRule type="expression" priority="9486" dxfId="6434">
      <formula>$B1302="Subetapa"</formula>
    </cfRule>
  </conditionalFormatting>
  <conditionalFormatting sqref="F1302:F1310">
    <cfRule type="expression" priority="9485" dxfId="6433">
      <formula>$B1302="Serviço"</formula>
    </cfRule>
  </conditionalFormatting>
  <conditionalFormatting sqref="F1309:F1310">
    <cfRule type="expression" priority="9484" dxfId="6434">
      <formula>$B1309="Subetapa"</formula>
    </cfRule>
  </conditionalFormatting>
  <conditionalFormatting sqref="F1312:F1319">
    <cfRule type="expression" priority="9483" dxfId="6434">
      <formula>$B1312="Subetapa"</formula>
    </cfRule>
  </conditionalFormatting>
  <conditionalFormatting sqref="F1320:F1321">
    <cfRule type="expression" priority="9481" dxfId="6434">
      <formula>$B1320="Subetapa"</formula>
    </cfRule>
  </conditionalFormatting>
  <conditionalFormatting sqref="F1358:F1359">
    <cfRule type="expression" priority="9534" dxfId="6433">
      <formula>$B1358="Serviço"</formula>
    </cfRule>
  </conditionalFormatting>
  <conditionalFormatting sqref="F1358:F1360">
    <cfRule type="expression" priority="9535" dxfId="6434">
      <formula>$B1358="Subetapa"</formula>
    </cfRule>
  </conditionalFormatting>
  <conditionalFormatting sqref="F1360">
    <cfRule type="expression" priority="9544" dxfId="6433">
      <formula>$B1360="Serviço"</formula>
    </cfRule>
  </conditionalFormatting>
  <conditionalFormatting sqref="F1361">
    <cfRule type="expression" priority="9532" dxfId="6434">
      <formula>$B1361="Subetapa"</formula>
    </cfRule>
    <cfRule type="expression" priority="9533" dxfId="6433">
      <formula>$B1361="Serviço"</formula>
    </cfRule>
  </conditionalFormatting>
  <conditionalFormatting sqref="F1364:F1365">
    <cfRule type="expression" priority="9529" dxfId="6433">
      <formula>$B1364="Serviço"</formula>
    </cfRule>
  </conditionalFormatting>
  <conditionalFormatting sqref="F1364:F1366">
    <cfRule type="expression" priority="9530" dxfId="6434">
      <formula>$B1364="Subetapa"</formula>
    </cfRule>
  </conditionalFormatting>
  <conditionalFormatting sqref="F1366">
    <cfRule type="expression" priority="9531" dxfId="6433">
      <formula>$B1366="Serviço"</formula>
    </cfRule>
  </conditionalFormatting>
  <conditionalFormatting sqref="F1367">
    <cfRule type="expression" priority="9527" dxfId="6434">
      <formula>$B1367="Subetapa"</formula>
    </cfRule>
    <cfRule type="expression" priority="9528" dxfId="6433">
      <formula>$B1367="Serviço"</formula>
    </cfRule>
  </conditionalFormatting>
  <conditionalFormatting sqref="F1369:F1371">
    <cfRule type="expression" priority="9524" dxfId="6433">
      <formula>$B1369="Serviço"</formula>
    </cfRule>
  </conditionalFormatting>
  <conditionalFormatting sqref="F1369:F1372">
    <cfRule type="expression" priority="9525" dxfId="6434">
      <formula>$B1369="Subetapa"</formula>
    </cfRule>
  </conditionalFormatting>
  <conditionalFormatting sqref="F1372">
    <cfRule type="expression" priority="9526" dxfId="6433">
      <formula>$B1372="Serviço"</formula>
    </cfRule>
  </conditionalFormatting>
  <conditionalFormatting sqref="F1373">
    <cfRule type="expression" priority="9522" dxfId="6434">
      <formula>$B1373="Subetapa"</formula>
    </cfRule>
    <cfRule type="expression" priority="9523" dxfId="6433">
      <formula>$B1373="Serviço"</formula>
    </cfRule>
  </conditionalFormatting>
  <conditionalFormatting sqref="F1376:F1382">
    <cfRule type="expression" priority="9511" dxfId="6434">
      <formula>$B1376="Subetapa"</formula>
    </cfRule>
  </conditionalFormatting>
  <conditionalFormatting sqref="F1383:F1384">
    <cfRule type="expression" priority="9509" dxfId="6434">
      <formula>$B1383="Subetapa"</formula>
    </cfRule>
  </conditionalFormatting>
  <conditionalFormatting sqref="F2225">
    <cfRule type="expression" priority="9984" dxfId="6433">
      <formula>$B2225="Serviço"</formula>
    </cfRule>
    <cfRule type="expression" priority="9985" dxfId="6434">
      <formula>$B2225="Subetapa"</formula>
    </cfRule>
  </conditionalFormatting>
  <conditionalFormatting sqref="F2227">
    <cfRule type="expression" priority="9990" dxfId="6433">
      <formula>$B2227="Serviço"</formula>
    </cfRule>
    <cfRule type="expression" priority="9991" dxfId="6434">
      <formula>$B2227="Subetapa"</formula>
    </cfRule>
  </conditionalFormatting>
  <conditionalFormatting sqref="F2229">
    <cfRule type="expression" priority="9994" dxfId="6433">
      <formula>$B2229="Serviço"</formula>
    </cfRule>
    <cfRule type="expression" priority="9995" dxfId="6434">
      <formula>$B2229="Subetapa"</formula>
    </cfRule>
  </conditionalFormatting>
  <conditionalFormatting sqref="F2231">
    <cfRule type="expression" priority="9978" dxfId="6433">
      <formula>$B2231="Serviço"</formula>
    </cfRule>
    <cfRule type="expression" priority="9979" dxfId="6434">
      <formula>$B2231="Subetapa"</formula>
    </cfRule>
  </conditionalFormatting>
  <conditionalFormatting sqref="F2235">
    <cfRule type="expression" priority="9986" dxfId="6433">
      <formula>$B2235="Serviço"</formula>
    </cfRule>
    <cfRule type="expression" priority="9987" dxfId="6434">
      <formula>$B2235="Subetapa"</formula>
    </cfRule>
  </conditionalFormatting>
  <conditionalFormatting sqref="F2332">
    <cfRule type="expression" priority="14532" dxfId="6424">
      <formula>$B2332="Subetapa"</formula>
    </cfRule>
  </conditionalFormatting>
  <conditionalFormatting sqref="F2375:F2378 F2608:F2611 F3190 F3244:F3246 F3291:F3294 F3296:F3299 F3301:F3304 F3306:F3309 F3557:F3560">
    <cfRule type="expression" priority="9424" dxfId="6433">
      <formula>$A2375="Serviço"</formula>
    </cfRule>
    <cfRule type="expression" priority="9425" dxfId="6434">
      <formula>$A2375="Subetapa"</formula>
    </cfRule>
  </conditionalFormatting>
  <conditionalFormatting sqref="F2471:F2474">
    <cfRule type="expression" priority="9369" dxfId="6433">
      <formula>$A2471="Serviço"</formula>
    </cfRule>
    <cfRule type="expression" priority="9370" dxfId="6434">
      <formula>$A2471="Subetapa"</formula>
    </cfRule>
  </conditionalFormatting>
  <conditionalFormatting sqref="F2476:F2479">
    <cfRule type="expression" priority="9337" dxfId="6433">
      <formula>$A2476="Serviço"</formula>
    </cfRule>
    <cfRule type="expression" priority="9338" dxfId="6434">
      <formula>$A2476="Subetapa"</formula>
    </cfRule>
  </conditionalFormatting>
  <conditionalFormatting sqref="F2481:F2484">
    <cfRule type="expression" priority="9340" dxfId="6433">
      <formula>$A2481="Serviço"</formula>
    </cfRule>
    <cfRule type="expression" priority="9341" dxfId="6434">
      <formula>$A2481="Subetapa"</formula>
    </cfRule>
  </conditionalFormatting>
  <conditionalFormatting sqref="F2486:F2489">
    <cfRule type="expression" priority="9364" dxfId="6433">
      <formula>$A2486="Serviço"</formula>
    </cfRule>
    <cfRule type="expression" priority="9365" dxfId="6434">
      <formula>$A2486="Subetapa"</formula>
    </cfRule>
  </conditionalFormatting>
  <conditionalFormatting sqref="F2491:F2494">
    <cfRule type="expression" priority="9351" dxfId="6433">
      <formula>$A2491="Serviço"</formula>
    </cfRule>
    <cfRule type="expression" priority="9352" dxfId="6434">
      <formula>$A2491="Subetapa"</formula>
    </cfRule>
  </conditionalFormatting>
  <conditionalFormatting sqref="F2496:F2499">
    <cfRule type="expression" priority="9354" dxfId="6433">
      <formula>$A2496="Serviço"</formula>
    </cfRule>
    <cfRule type="expression" priority="9355" dxfId="6434">
      <formula>$A2496="Subetapa"</formula>
    </cfRule>
  </conditionalFormatting>
  <conditionalFormatting sqref="F2501:F2504">
    <cfRule type="expression" priority="9342" dxfId="6433">
      <formula>$A2501="Serviço"</formula>
    </cfRule>
    <cfRule type="expression" priority="9343" dxfId="6434">
      <formula>$A2501="Subetapa"</formula>
    </cfRule>
  </conditionalFormatting>
  <conditionalFormatting sqref="F2506:F2509">
    <cfRule type="expression" priority="9345" dxfId="6433">
      <formula>$A2506="Serviço"</formula>
    </cfRule>
    <cfRule type="expression" priority="9346" dxfId="6434">
      <formula>$A2506="Subetapa"</formula>
    </cfRule>
  </conditionalFormatting>
  <conditionalFormatting sqref="F2511:F2514">
    <cfRule type="expression" priority="9357" dxfId="6433">
      <formula>$A2511="Serviço"</formula>
    </cfRule>
    <cfRule type="expression" priority="9358" dxfId="6434">
      <formula>$A2511="Subetapa"</formula>
    </cfRule>
  </conditionalFormatting>
  <conditionalFormatting sqref="F2516:F2519">
    <cfRule type="expression" priority="9360" dxfId="6433">
      <formula>$A2516="Serviço"</formula>
    </cfRule>
    <cfRule type="expression" priority="9361" dxfId="6434">
      <formula>$A2516="Subetapa"</formula>
    </cfRule>
  </conditionalFormatting>
  <conditionalFormatting sqref="F2521:F2524">
    <cfRule type="expression" priority="9349" dxfId="6433">
      <formula>$A2521="Serviço"</formula>
    </cfRule>
    <cfRule type="expression" priority="9350" dxfId="6434">
      <formula>$A2521="Subetapa"</formula>
    </cfRule>
  </conditionalFormatting>
  <conditionalFormatting sqref="F2815:F2816">
    <cfRule type="expression" priority="9284" dxfId="6434">
      <formula>$B2815="Subetapa"</formula>
    </cfRule>
  </conditionalFormatting>
  <conditionalFormatting sqref="F3486:F3489">
    <cfRule type="expression" priority="9121" dxfId="6433">
      <formula>$A3486="Serviço"</formula>
    </cfRule>
    <cfRule type="expression" priority="9122" dxfId="6434">
      <formula>$A3486="Subetapa"</formula>
    </cfRule>
  </conditionalFormatting>
  <conditionalFormatting sqref="F3491:F3494">
    <cfRule type="expression" priority="9118" dxfId="6433">
      <formula>$A3491="Serviço"</formula>
    </cfRule>
    <cfRule type="expression" priority="9119" dxfId="6434">
      <formula>$A3491="Subetapa"</formula>
    </cfRule>
  </conditionalFormatting>
  <conditionalFormatting sqref="F3496:F3499">
    <cfRule type="expression" priority="9111" dxfId="6433">
      <formula>$A3496="Serviço"</formula>
    </cfRule>
    <cfRule type="expression" priority="9112" dxfId="6434">
      <formula>$A3496="Subetapa"</formula>
    </cfRule>
  </conditionalFormatting>
  <conditionalFormatting sqref="F3506:F3509">
    <cfRule type="expression" priority="9185" dxfId="6433">
      <formula>$A3506="Serviço"</formula>
    </cfRule>
    <cfRule type="expression" priority="9186" dxfId="6434">
      <formula>$A3506="Subetapa"</formula>
    </cfRule>
  </conditionalFormatting>
  <conditionalFormatting sqref="F3516:F3519">
    <cfRule type="expression" priority="9078" dxfId="6433">
      <formula>$A3516="Serviço"</formula>
    </cfRule>
    <cfRule type="expression" priority="9079" dxfId="6434">
      <formula>$A3516="Subetapa"</formula>
    </cfRule>
  </conditionalFormatting>
  <conditionalFormatting sqref="F3521:F3524">
    <cfRule type="expression" priority="9096" dxfId="6433">
      <formula>$A3521="Serviço"</formula>
    </cfRule>
    <cfRule type="expression" priority="9097" dxfId="6434">
      <formula>$A3521="Subetapa"</formula>
    </cfRule>
  </conditionalFormatting>
  <conditionalFormatting sqref="F3526:F3529">
    <cfRule type="expression" priority="9100" dxfId="6433">
      <formula>$A3526="Serviço"</formula>
    </cfRule>
    <cfRule type="expression" priority="9101" dxfId="6434">
      <formula>$A3526="Subetapa"</formula>
    </cfRule>
  </conditionalFormatting>
  <conditionalFormatting sqref="F3531:F3534">
    <cfRule type="expression" priority="9088" dxfId="6433">
      <formula>$A3531="Serviço"</formula>
    </cfRule>
    <cfRule type="expression" priority="9089" dxfId="6434">
      <formula>$A3531="Subetapa"</formula>
    </cfRule>
  </conditionalFormatting>
  <conditionalFormatting sqref="F3536:F3539">
    <cfRule type="expression" priority="9092" dxfId="6433">
      <formula>$A3536="Serviço"</formula>
    </cfRule>
    <cfRule type="expression" priority="9093" dxfId="6434">
      <formula>$A3536="Subetapa"</formula>
    </cfRule>
  </conditionalFormatting>
  <conditionalFormatting sqref="F3541:F3544">
    <cfRule type="expression" priority="9114" dxfId="6433">
      <formula>$A3541="Serviço"</formula>
    </cfRule>
    <cfRule type="expression" priority="9115" dxfId="6434">
      <formula>$A3541="Subetapa"</formula>
    </cfRule>
  </conditionalFormatting>
  <conditionalFormatting sqref="F3846">
    <cfRule type="expression" priority="12114" dxfId="6424">
      <formula>$B3846="Subetapa"</formula>
    </cfRule>
  </conditionalFormatting>
  <conditionalFormatting sqref="F3939:F3943">
    <cfRule type="expression" priority="14236" dxfId="6424">
      <formula>$B3939="Subetapa"</formula>
    </cfRule>
  </conditionalFormatting>
  <conditionalFormatting sqref="F3980:F3981">
    <cfRule type="expression" priority="8306" dxfId="6434">
      <formula>$B3980="Subetapa"</formula>
    </cfRule>
  </conditionalFormatting>
  <conditionalFormatting sqref="F3997">
    <cfRule type="expression" priority="8234" dxfId="6433">
      <formula>$A3997="Serviço"</formula>
    </cfRule>
    <cfRule type="expression" priority="8235" dxfId="6434">
      <formula>$A3997="Subetapa"</formula>
    </cfRule>
  </conditionalFormatting>
  <conditionalFormatting sqref="F3997:F3998">
    <cfRule type="expression" priority="8236" dxfId="6433">
      <formula>$A3997="Serviço"</formula>
    </cfRule>
    <cfRule type="expression" priority="8237" dxfId="6434">
      <formula>$A3997="Subetapa"</formula>
    </cfRule>
  </conditionalFormatting>
  <conditionalFormatting sqref="F3998">
    <cfRule type="expression" priority="8244" dxfId="6433">
      <formula>$A3998="Serviço"</formula>
    </cfRule>
    <cfRule type="expression" priority="8245" dxfId="6434">
      <formula>$A3998="Subetapa"</formula>
    </cfRule>
  </conditionalFormatting>
  <conditionalFormatting sqref="F4000">
    <cfRule type="expression" priority="8248" dxfId="6433">
      <formula>$A4000="Serviço"</formula>
    </cfRule>
    <cfRule type="expression" priority="8249" dxfId="6434">
      <formula>$A4000="Subetapa"</formula>
    </cfRule>
  </conditionalFormatting>
  <conditionalFormatting sqref="F4000:F4001">
    <cfRule type="expression" priority="8250" dxfId="6433">
      <formula>$A4000="Serviço"</formula>
    </cfRule>
    <cfRule type="expression" priority="8251" dxfId="6434">
      <formula>$A4000="Subetapa"</formula>
    </cfRule>
  </conditionalFormatting>
  <conditionalFormatting sqref="F4001">
    <cfRule type="expression" priority="8258" dxfId="6433">
      <formula>$A4001="Serviço"</formula>
    </cfRule>
    <cfRule type="expression" priority="8259" dxfId="6434">
      <formula>$A4001="Subetapa"</formula>
    </cfRule>
  </conditionalFormatting>
  <conditionalFormatting sqref="F4003">
    <cfRule type="expression" priority="8278" dxfId="6433">
      <formula>$A4003="Serviço"</formula>
    </cfRule>
    <cfRule type="expression" priority="8279" dxfId="6434">
      <formula>$A4003="Subetapa"</formula>
    </cfRule>
    <cfRule type="expression" priority="8297" dxfId="6433">
      <formula>$A4003="Serviço"</formula>
    </cfRule>
    <cfRule type="expression" priority="8298" dxfId="6434">
      <formula>$A4003="Subetapa"</formula>
    </cfRule>
  </conditionalFormatting>
  <conditionalFormatting sqref="F4005:F4006">
    <cfRule type="expression" priority="8192" dxfId="6433">
      <formula>$A4005="Serviço"</formula>
    </cfRule>
    <cfRule type="expression" priority="8193" dxfId="6434">
      <formula>$A4005="Subetapa"</formula>
    </cfRule>
  </conditionalFormatting>
  <conditionalFormatting sqref="F4006">
    <cfRule type="expression" priority="8190" dxfId="6433">
      <formula>$A4006="Serviço"</formula>
    </cfRule>
    <cfRule type="expression" priority="8191" dxfId="6434">
      <formula>$A4006="Subetapa"</formula>
    </cfRule>
  </conditionalFormatting>
  <conditionalFormatting sqref="F4008:F4009">
    <cfRule type="expression" priority="8199" dxfId="6433">
      <formula>$A4008="Serviço"</formula>
    </cfRule>
    <cfRule type="expression" priority="8200" dxfId="6434">
      <formula>$A4008="Subetapa"</formula>
    </cfRule>
  </conditionalFormatting>
  <conditionalFormatting sqref="F4009">
    <cfRule type="expression" priority="8197" dxfId="6433">
      <formula>$A4009="Serviço"</formula>
    </cfRule>
    <cfRule type="expression" priority="8198" dxfId="6434">
      <formula>$A4009="Subetapa"</formula>
    </cfRule>
  </conditionalFormatting>
  <conditionalFormatting sqref="F4011:F4012">
    <cfRule type="expression" priority="8206" dxfId="6433">
      <formula>$A4011="Serviço"</formula>
    </cfRule>
    <cfRule type="expression" priority="8207" dxfId="6434">
      <formula>$A4011="Subetapa"</formula>
    </cfRule>
  </conditionalFormatting>
  <conditionalFormatting sqref="F4012">
    <cfRule type="expression" priority="8204" dxfId="6433">
      <formula>$A4012="Serviço"</formula>
    </cfRule>
    <cfRule type="expression" priority="8205" dxfId="6434">
      <formula>$A4012="Subetapa"</formula>
    </cfRule>
  </conditionalFormatting>
  <conditionalFormatting sqref="F4014:F4015">
    <cfRule type="expression" priority="8213" dxfId="6433">
      <formula>$A4014="Serviço"</formula>
    </cfRule>
    <cfRule type="expression" priority="8214" dxfId="6434">
      <formula>$A4014="Subetapa"</formula>
    </cfRule>
  </conditionalFormatting>
  <conditionalFormatting sqref="F4015">
    <cfRule type="expression" priority="8211" dxfId="6433">
      <formula>$A4015="Serviço"</formula>
    </cfRule>
    <cfRule type="expression" priority="8212" dxfId="6434">
      <formula>$A4015="Subetapa"</formula>
    </cfRule>
  </conditionalFormatting>
  <conditionalFormatting sqref="F4017:F4018">
    <cfRule type="expression" priority="8220" dxfId="6433">
      <formula>$A4017="Serviço"</formula>
    </cfRule>
    <cfRule type="expression" priority="8221" dxfId="6434">
      <formula>$A4017="Subetapa"</formula>
    </cfRule>
  </conditionalFormatting>
  <conditionalFormatting sqref="F4018">
    <cfRule type="expression" priority="8218" dxfId="6433">
      <formula>$A4018="Serviço"</formula>
    </cfRule>
    <cfRule type="expression" priority="8219" dxfId="6434">
      <formula>$A4018="Subetapa"</formula>
    </cfRule>
  </conditionalFormatting>
  <conditionalFormatting sqref="F4020:F4021">
    <cfRule type="expression" priority="8227" dxfId="6433">
      <formula>$A4020="Serviço"</formula>
    </cfRule>
    <cfRule type="expression" priority="8228" dxfId="6434">
      <formula>$A4020="Subetapa"</formula>
    </cfRule>
  </conditionalFormatting>
  <conditionalFormatting sqref="F4021">
    <cfRule type="expression" priority="8225" dxfId="6433">
      <formula>$A4021="Serviço"</formula>
    </cfRule>
    <cfRule type="expression" priority="8226" dxfId="6434">
      <formula>$A4021="Subetapa"</formula>
    </cfRule>
  </conditionalFormatting>
  <conditionalFormatting sqref="F4042:F4043">
    <cfRule type="expression" priority="7850" dxfId="6433">
      <formula>$A4042="Serviço"</formula>
    </cfRule>
    <cfRule type="expression" priority="7851" dxfId="6434">
      <formula>$A4042="Subetapa"</formula>
    </cfRule>
  </conditionalFormatting>
  <conditionalFormatting sqref="F4043">
    <cfRule type="expression" priority="7848" dxfId="6433">
      <formula>$A4043="Serviço"</formula>
    </cfRule>
    <cfRule type="expression" priority="7849" dxfId="6434">
      <formula>$A4043="Subetapa"</formula>
    </cfRule>
  </conditionalFormatting>
  <conditionalFormatting sqref="F4055">
    <cfRule type="expression" priority="7855" dxfId="6433">
      <formula>$A4055="Serviço"</formula>
    </cfRule>
    <cfRule type="expression" priority="7856" dxfId="6434">
      <formula>$A4055="Subetapa"</formula>
    </cfRule>
  </conditionalFormatting>
  <conditionalFormatting sqref="F4055:F4056">
    <cfRule type="expression" priority="7857" dxfId="6433">
      <formula>$A4055="Serviço"</formula>
    </cfRule>
    <cfRule type="expression" priority="7858" dxfId="6434">
      <formula>$A4055="Subetapa"</formula>
    </cfRule>
  </conditionalFormatting>
  <conditionalFormatting sqref="F4056">
    <cfRule type="expression" priority="7865" dxfId="6433">
      <formula>$A4056="Serviço"</formula>
    </cfRule>
    <cfRule type="expression" priority="7866" dxfId="6434">
      <formula>$A4056="Subetapa"</formula>
    </cfRule>
  </conditionalFormatting>
  <conditionalFormatting sqref="F4801">
    <cfRule type="expression" priority="7614" dxfId="8303" stopIfTrue="1">
      <formula>$B4801="complemento do insumo"</formula>
    </cfRule>
    <cfRule type="expression" priority="7615" dxfId="8303" stopIfTrue="1">
      <formula>$B4801="insumo"</formula>
    </cfRule>
  </conditionalFormatting>
  <conditionalFormatting sqref="F4837:F4838">
    <cfRule type="expression" priority="13911" dxfId="6424">
      <formula>$B4837="Subetapa"</formula>
    </cfRule>
  </conditionalFormatting>
  <conditionalFormatting sqref="F4942:F4965">
    <cfRule type="expression" priority="14224" dxfId="6424">
      <formula>$B4942="Subetapa"</formula>
    </cfRule>
  </conditionalFormatting>
  <conditionalFormatting sqref="F2007">
    <cfRule type="expression" priority="7043" dxfId="6424">
      <formula>$B2007="Subetapa"</formula>
    </cfRule>
  </conditionalFormatting>
  <conditionalFormatting sqref="G3065:H3065 G3069:H3069 G3073:H3073 G3077:H3077 G3081:H3081 G3085:H3085">
    <cfRule type="expression" priority="6267" dxfId="6424">
      <formula>$B3065="Subetapa"</formula>
    </cfRule>
  </conditionalFormatting>
  <conditionalFormatting sqref="G271:H271 G273:H273">
    <cfRule type="expression" priority="5886" dxfId="6433">
      <formula>$B271="Serviço"</formula>
    </cfRule>
    <cfRule type="expression" priority="5887" dxfId="6434">
      <formula>$B271="Subetapa"</formula>
    </cfRule>
  </conditionalFormatting>
  <conditionalFormatting sqref="G287:H287 G289:H289 G291:H291 G293:H293 G295:H295">
    <cfRule type="expression" priority="5890" dxfId="6433">
      <formula>$B287="Serviço"</formula>
    </cfRule>
    <cfRule type="expression" priority="5891" dxfId="6434">
      <formula>$B287="Subetapa"</formula>
    </cfRule>
  </conditionalFormatting>
  <conditionalFormatting sqref="G297:H297">
    <cfRule type="expression" priority="5884" dxfId="6433">
      <formula>$B297="Serviço"</formula>
    </cfRule>
    <cfRule type="expression" priority="5885" dxfId="6434">
      <formula>$B297="Subetapa"</formula>
    </cfRule>
  </conditionalFormatting>
  <conditionalFormatting sqref="C2937:C2956 D2937:H2937 D2938:D2940 D2941:H2941 D2942:D2944 D2945:H2945 D2946:D2948 D2949:H2949 D2950:D2952 D2953:H2953 D2954:D2956 F2938:F2940 F2942:F2944 F2946:F2948 F2950:F2952 F2954:F2956 G263:H263 G265:H265 G267:H267 G269:H269 G304:H304 G306:H306 G308:H308 G310:H310 G320:H320">
    <cfRule type="expression" priority="6278" dxfId="6424">
      <formula>$B263="Subetapa"</formula>
    </cfRule>
  </conditionalFormatting>
  <conditionalFormatting sqref="G461:H461">
    <cfRule type="expression" priority="5882" dxfId="6433">
      <formula>$B461="Serviço"</formula>
    </cfRule>
    <cfRule type="expression" priority="5883" dxfId="6434">
      <formula>$B461="Subetapa"</formula>
    </cfRule>
  </conditionalFormatting>
  <conditionalFormatting sqref="G473:H473">
    <cfRule type="expression" priority="5880" dxfId="6433">
      <formula>$B473="Serviço"</formula>
    </cfRule>
    <cfRule type="expression" priority="5881" dxfId="6434">
      <formula>$B473="Subetapa"</formula>
    </cfRule>
  </conditionalFormatting>
  <conditionalFormatting sqref="G500:H500">
    <cfRule type="expression" priority="5878" dxfId="6433">
      <formula>$B500="Serviço"</formula>
    </cfRule>
    <cfRule type="expression" priority="5879" dxfId="6434">
      <formula>$B500="Subetapa"</formula>
    </cfRule>
  </conditionalFormatting>
  <conditionalFormatting sqref="G621:H621 G627:H627 G632:H632 G637:H637">
    <cfRule type="expression" priority="5876" dxfId="6433">
      <formula>$B621="Serviço"</formula>
    </cfRule>
    <cfRule type="expression" priority="5877" dxfId="6434">
      <formula>$B621="Subetapa"</formula>
    </cfRule>
  </conditionalFormatting>
  <conditionalFormatting sqref="G661:H661">
    <cfRule type="expression" priority="5874" dxfId="6433">
      <formula>$B661="Serviço"</formula>
    </cfRule>
    <cfRule type="expression" priority="5875" dxfId="6434">
      <formula>$B661="Subetapa"</formula>
    </cfRule>
  </conditionalFormatting>
  <conditionalFormatting sqref="G738:H738">
    <cfRule type="expression" priority="5872" dxfId="6433">
      <formula>$B738="Serviço"</formula>
    </cfRule>
    <cfRule type="expression" priority="5873" dxfId="6434">
      <formula>$B738="Subetapa"</formula>
    </cfRule>
  </conditionalFormatting>
  <conditionalFormatting sqref="G759:H759">
    <cfRule type="expression" priority="5870" dxfId="6433">
      <formula>$B759="Serviço"</formula>
    </cfRule>
    <cfRule type="expression" priority="5871" dxfId="6434">
      <formula>$B759="Subetapa"</formula>
    </cfRule>
  </conditionalFormatting>
  <conditionalFormatting sqref="G779:H779">
    <cfRule type="expression" priority="5892" dxfId="6433">
      <formula>$B779="Serviço"</formula>
    </cfRule>
    <cfRule type="expression" priority="5893" dxfId="6434">
      <formula>$B779="Subetapa"</formula>
    </cfRule>
  </conditionalFormatting>
  <conditionalFormatting sqref="G801:H801">
    <cfRule type="expression" priority="6197" dxfId="6424">
      <formula>$B801="Subetapa"</formula>
    </cfRule>
  </conditionalFormatting>
  <conditionalFormatting sqref="G814:H814 G824:H824 G826:H826">
    <cfRule type="expression" priority="5868" dxfId="6433">
      <formula>$B814="Serviço"</formula>
    </cfRule>
    <cfRule type="expression" priority="5869" dxfId="6434">
      <formula>$B814="Subetapa"</formula>
    </cfRule>
  </conditionalFormatting>
  <conditionalFormatting sqref="G835:H835 G837:H837">
    <cfRule type="expression" priority="5866" dxfId="6433">
      <formula>$B835="Serviço"</formula>
    </cfRule>
    <cfRule type="expression" priority="5867" dxfId="6434">
      <formula>$B835="Subetapa"</formula>
    </cfRule>
  </conditionalFormatting>
  <conditionalFormatting sqref="G843:H843 G845:H845 G847:H847">
    <cfRule type="expression" priority="6226" dxfId="6424">
      <formula>$B843="Subetapa"</formula>
    </cfRule>
  </conditionalFormatting>
  <conditionalFormatting sqref="G852:H852 G854:H854 G856:H856 G858:H858">
    <cfRule type="expression" priority="6199" dxfId="6424">
      <formula>$B852="Subetapa"</formula>
    </cfRule>
  </conditionalFormatting>
  <conditionalFormatting sqref="G861:H861">
    <cfRule type="expression" priority="6196" dxfId="6424">
      <formula>$B861="Subetapa"</formula>
    </cfRule>
  </conditionalFormatting>
  <conditionalFormatting sqref="G864:H864 G867:H867 G870:H870 G873:H873 G876:H876">
    <cfRule type="expression" priority="6279" dxfId="6424">
      <formula>$B864="Subetapa"</formula>
    </cfRule>
  </conditionalFormatting>
  <conditionalFormatting sqref="G879:H879 G882:H882">
    <cfRule type="expression" priority="5862" dxfId="6433">
      <formula>$B879="Serviço"</formula>
    </cfRule>
    <cfRule type="expression" priority="5863" dxfId="6434">
      <formula>$B879="Subetapa"</formula>
    </cfRule>
  </conditionalFormatting>
  <conditionalFormatting sqref="G894:H894">
    <cfRule type="expression" priority="6805" dxfId="6433">
      <formula>$B894="Serviço"</formula>
    </cfRule>
    <cfRule type="expression" priority="6806" dxfId="6434">
      <formula>$B894="Subetapa"</formula>
    </cfRule>
  </conditionalFormatting>
  <conditionalFormatting sqref="G897:H897 G900:H900 G903:H903 G908:H908 G911:H911 G914:H914">
    <cfRule type="expression" priority="5900" dxfId="6424">
      <formula>$B897="Subetapa"</formula>
    </cfRule>
  </conditionalFormatting>
  <conditionalFormatting sqref="G918:H918 G921:H921 G924:H924 G927:H927">
    <cfRule type="expression" priority="5896" dxfId="6433">
      <formula>$B918="Serviço"</formula>
    </cfRule>
    <cfRule type="expression" priority="5897" dxfId="6434">
      <formula>$B918="Subetapa"</formula>
    </cfRule>
  </conditionalFormatting>
  <conditionalFormatting sqref="G931:H931 G934:H934 G937:H937 G940:H940">
    <cfRule type="expression" priority="5898" dxfId="6433">
      <formula>$B931="Serviço"</formula>
    </cfRule>
    <cfRule type="expression" priority="5899" dxfId="6434">
      <formula>$B931="Subetapa"</formula>
    </cfRule>
  </conditionalFormatting>
  <conditionalFormatting sqref="G944:H944 G947:H947 G950:H950 G953:H953 G957:H957 G960:H960">
    <cfRule type="expression" priority="5968" dxfId="6424">
      <formula>$B944="Subetapa"</formula>
    </cfRule>
  </conditionalFormatting>
  <conditionalFormatting sqref="G964:H964 G967:H967 G971:H971 G974:H974 G977:H977 G981:H981">
    <cfRule type="expression" priority="5966" dxfId="6424">
      <formula>$B964="Subetapa"</formula>
    </cfRule>
  </conditionalFormatting>
  <conditionalFormatting sqref="G1169:H1169 G1171:H1171 G1173:H1173">
    <cfRule type="expression" priority="6232" dxfId="6424">
      <formula>$B1169="Subetapa"</formula>
    </cfRule>
  </conditionalFormatting>
  <conditionalFormatting sqref="G1175:H1175">
    <cfRule type="expression" priority="5858" dxfId="6433">
      <formula>$B1175="Serviço"</formula>
    </cfRule>
    <cfRule type="expression" priority="5859" dxfId="6434">
      <formula>$B1175="Subetapa"</formula>
    </cfRule>
  </conditionalFormatting>
  <conditionalFormatting sqref="G1198:H1198 G1209:H1209 G1220:H1220 G1231:H1231 G1242:H1242 G1255:H1255 G1266:H1266 G1277:H1277 G1288:H1288 G2470:H2470 G2475:H2475 G2480:H2480 G2485:H2485 G2490:H2490 G2495:H2495 G2500:H2500 G2505:H2505 G2510:H2510 G2515:H2515 G2520:H2520 G2607:H2607 G2719:H2719 G2722:H2722 G2725:H2725 G2728:H2728 G3189:H3189 G3198:H3198 G3227:H3227 G3231:H3231 G3243:H3243 G3290:H3290 G3295:H3295 G3300:H3300 G3305:H3305 G3485:H3485 G3490:H3490 G3495:H3495 G3505:H3505 G3510:H3510 G3515:H3515 G3520:H3520 G3525:H3525 G3530:H3530 G3535:H3535 G3540:H3540 G3545:H3545 G3556:H3556 G3851:H3851 G3854:H3854 G3980:H3980 G3982:H3982 G3987:H3987 G3991:H3991 G3996:H3996 G3999:H3999 G4002:H4002 G4004:H4004 G4007:H4007 G4010:H4010 G4013:H4013 G4016:H4016 G4019:H4019 G4098:H4098 G4100:H4100 G4102:H4102 G4104:H4104 G4116:H4116 G4118:H4118 G4120:H4120 G4139:H4139 G4141:H4141 G4143:H4143 G4145:H4145 G4147:H4147 G4149:H4149 G4163:H4163 G4208:H4208 G4217:H4217 G4220:H4220 G4223:H4223 G4226:H4226 G4229:H4229 G4232:H4232 G4266:H4266 G4498 G4503 G4508:H4508 G4513:H4513 G4518:H4518 G4523:H4523 G4528:H4528 G4533:H4533 G4538:H4538 G4543:H4543 G4545:H4545 G4547:H4547 G4549:H4549 G4551:H4551 G4553:H4553 G4555:H4555 G4560:H4560 G4565:H4565 G4570:H4570">
    <cfRule type="expression" priority="6810" dxfId="6434">
      <formula>$B1198="Subetapa"</formula>
    </cfRule>
  </conditionalFormatting>
  <conditionalFormatting sqref="G1198:H1198 G1209:H1209 G1220:H1220 G1231:H1231 G1242:H1242 G1255:H1255 G1266:H1266 G1277:H1277 G1288:H1288 G1300:H1300 G1311:H1311 G1322:H1322 G1333:H1333 G1344:H1344 G2475:H2475 G2480:H2480 G2485:H2485 G2490:H2490 G2495:H2495 G2500:H2500 G2505:H2505 G2510:H2510 G2515:H2515 G2520:H2520 G2607:H2607 G2719:H2719 G2722:H2722 G2725:H2725 G2728:H2728 G3189:H3189 G3198:H3198 G3227:H3227 G3231:H3231 G3290:H3290 G3295:H3295 G3300:H3300 G3305:H3305 G3485:H3485 G3490:H3490 G3495:H3495 G3505:H3505 G3510:H3510 G3515:H3515 G3520:H3520 G3525:H3525 G3530:H3530 G3535:H3535 G3540:H3540 G3545:H3545 G3556:H3556 G3851:H3851 G3854:H3854 G3980:H3980 G3982:H3982 G3987:H3987 G3996:H3996 G3999:H3999 G4002:H4002 G4004:H4004 G4007:H4007 G4010:H4010 G4013:H4013 G4016:H4016 G4019:H4019 G4098:H4098 G4100:H4100 G4102:H4102 G4104:H4104 G4107:H4107 G4114:H4114 G4116:H4116 G4118:H4118 G4120:H4120 G4139:H4139 G4141:H4141 G4143:H4143 G4145:H4145 G4147:H4147 G4149:H4149 G4163:H4163 G4208:H4208 G4217:H4217 G4220:H4220 G4223:H4223 G4226:H4226 G4229:H4229 G4232:H4232 G4266:H4266 G4498 G4503 G4508:H4508 G4513:H4513 G4518:H4518 G4523:H4523 G4528:H4528 G4533:H4533 G4538:H4538 G4543:H4543 G4545:H4545 G4547:H4547 G4549:H4549 G4551:H4551 G4553:H4553 G4555:H4555 G4560:H4560 G4565:H4565 G4570:H4570">
    <cfRule type="expression" priority="6809" dxfId="6433">
      <formula>$B1198="Serviço"</formula>
    </cfRule>
  </conditionalFormatting>
  <conditionalFormatting sqref="G1300:H1300">
    <cfRule type="expression" priority="6798" dxfId="6434">
      <formula>$B1300="Subetapa"</formula>
    </cfRule>
  </conditionalFormatting>
  <conditionalFormatting sqref="G1356:H1356 G1362:H1362 G1368:H1368">
    <cfRule type="expression" priority="5854" dxfId="6434">
      <formula>$B1356="Subetapa"</formula>
    </cfRule>
  </conditionalFormatting>
  <conditionalFormatting sqref="G1311:H1311">
    <cfRule type="expression" priority="6799" dxfId="6434">
      <formula>$B1311="Subetapa"</formula>
    </cfRule>
  </conditionalFormatting>
  <conditionalFormatting sqref="G1322:H1322">
    <cfRule type="expression" priority="6800" dxfId="6434">
      <formula>$B1322="Subetapa"</formula>
    </cfRule>
  </conditionalFormatting>
  <conditionalFormatting sqref="G1333:H1333">
    <cfRule type="expression" priority="6801" dxfId="6434">
      <formula>$B1333="Subetapa"</formula>
    </cfRule>
  </conditionalFormatting>
  <conditionalFormatting sqref="G1344:H1344">
    <cfRule type="expression" priority="6797" dxfId="6434">
      <formula>$B1344="Subetapa"</formula>
    </cfRule>
  </conditionalFormatting>
  <conditionalFormatting sqref="G1356:H1356 G1362:H1362 G1368:H1368 G1374:H1374">
    <cfRule type="expression" priority="5894" dxfId="6433">
      <formula>$B1356="Serviço"</formula>
    </cfRule>
  </conditionalFormatting>
  <conditionalFormatting sqref="G1374:H1374">
    <cfRule type="expression" priority="5895" dxfId="6434">
      <formula>$B1374="Subetapa"</formula>
    </cfRule>
  </conditionalFormatting>
  <conditionalFormatting sqref="G1548:H1548">
    <cfRule type="expression" priority="7057" dxfId="6424">
      <formula>$B1548="Subetapa"</formula>
    </cfRule>
  </conditionalFormatting>
  <conditionalFormatting sqref="G1559:H1559 G1570:H1570 G1581:H1581 G1592:H1592 G1603:H1603 G1614:H1614 G1626:H1626">
    <cfRule type="expression" priority="6154" dxfId="6424">
      <formula>$B1559="Subetapa"</formula>
    </cfRule>
  </conditionalFormatting>
  <conditionalFormatting sqref="G1638:H1638">
    <cfRule type="expression" priority="6151" dxfId="6424">
      <formula>$B1638="Subetapa"</formula>
    </cfRule>
  </conditionalFormatting>
  <conditionalFormatting sqref="G1650:H1650 G1662:H1662 G1674:H1674 G1686:H1686 G1698:H1698 G1709:H1709 G1720:H1720 G1731:H1731 G1742:H1742 G1754:H1754 G1766:H1766 G1778:H1778 G1789:H1789 G1801:H1801 G1812:H1812 G1824:H1824 G1836:H1836">
    <cfRule type="expression" priority="6144" dxfId="6424">
      <formula>$B1650="Subetapa"</formula>
    </cfRule>
  </conditionalFormatting>
  <conditionalFormatting sqref="G1880:H1880">
    <cfRule type="expression" priority="6130" dxfId="6424">
      <formula>$B1880="Subetapa"</formula>
    </cfRule>
  </conditionalFormatting>
  <conditionalFormatting sqref="F1871:F1879">
    <cfRule type="expression" priority="7051" dxfId="6424">
      <formula>$B1871="Subetapa"</formula>
    </cfRule>
  </conditionalFormatting>
  <conditionalFormatting sqref="G1892:H1892">
    <cfRule type="expression" priority="6134" dxfId="6424">
      <formula>$B1892="Subetapa"</formula>
    </cfRule>
  </conditionalFormatting>
  <conditionalFormatting sqref="G1905:H1905">
    <cfRule type="expression" priority="7048" dxfId="6424">
      <formula>$B1905="Subetapa"</formula>
    </cfRule>
  </conditionalFormatting>
  <conditionalFormatting sqref="F1933:F1941">
    <cfRule type="expression" priority="7037" dxfId="6424">
      <formula>$B1933="Subetapa"</formula>
    </cfRule>
  </conditionalFormatting>
  <conditionalFormatting sqref="F1946:F1954">
    <cfRule type="expression" priority="7033" dxfId="6424">
      <formula>$B1946="Subetapa"</formula>
    </cfRule>
  </conditionalFormatting>
  <conditionalFormatting sqref="F1959:F1967">
    <cfRule type="expression" priority="7029" dxfId="6424">
      <formula>$B1959="Subetapa"</formula>
    </cfRule>
  </conditionalFormatting>
  <conditionalFormatting sqref="F1972:F1980">
    <cfRule type="expression" priority="7025" dxfId="6424">
      <formula>$B1972="Subetapa"</formula>
    </cfRule>
  </conditionalFormatting>
  <conditionalFormatting sqref="G2029:H2029">
    <cfRule type="expression" priority="5977" dxfId="6424">
      <formula>$B2029="Subetapa"</formula>
    </cfRule>
  </conditionalFormatting>
  <conditionalFormatting sqref="G2105:H2105 G2112:H2112">
    <cfRule type="expression" priority="6066" dxfId="6424">
      <formula>$B2105="Subetapa"</formula>
    </cfRule>
  </conditionalFormatting>
  <conditionalFormatting sqref="G2140:H2140 G2142:H2142">
    <cfRule type="expression" priority="6054" dxfId="6424">
      <formula>$B2140="Subetapa"</formula>
    </cfRule>
  </conditionalFormatting>
  <conditionalFormatting sqref="G2170:H2170 G2173:H2173 G2176:H2176 G2178:H2178">
    <cfRule type="expression" priority="6244" dxfId="6424">
      <formula>$B2170="Subetapa"</formula>
    </cfRule>
  </conditionalFormatting>
  <conditionalFormatting sqref="G2181:H2181 G2184:H2184 G2187:H2187 G2191:H2191 G2194:H2194 G2196:H2196 G2198:H2198 G2201:H2201 G2203:H2203 G2205:H2205 G2317:H2317 G2319:H2319 G2322:H2322 G2324:H2324 G2326:H2326 G2328:H2328">
    <cfRule type="expression" priority="6175" dxfId="6424">
      <formula>$B2181="Subetapa"</formula>
    </cfRule>
  </conditionalFormatting>
  <conditionalFormatting sqref="G2212:H2212 G2214:H2214 G2216:H2216 G2219:H2219 G2221:H2221">
    <cfRule type="expression" priority="5907" dxfId="6434">
      <formula>$B2212="Subetapa"</formula>
    </cfRule>
  </conditionalFormatting>
  <conditionalFormatting sqref="G2212:H2212 G2214:H2214 G2216:H2216 G2219:H2219 G2221:H2221 G2224:H2224 G2226:H2226 G2228:H2228 G2230:H2230 G2234:H2234 G2236:H2236 G2240">
    <cfRule type="expression" priority="5909" dxfId="6433">
      <formula>$B2212="Serviço"</formula>
    </cfRule>
  </conditionalFormatting>
  <conditionalFormatting sqref="G2224:H2224 G2226:H2226 G2228:H2228 G2230:H2230 G2234:H2234 G2236:H2236 G2240">
    <cfRule type="expression" priority="5908" dxfId="6434">
      <formula>$B2224="Subetapa"</formula>
    </cfRule>
  </conditionalFormatting>
  <conditionalFormatting sqref="G2331:H2331 G2333:H2333 G2335:H2335">
    <cfRule type="expression" priority="6051" dxfId="6424">
      <formula>$B2331="Subetapa"</formula>
    </cfRule>
  </conditionalFormatting>
  <conditionalFormatting sqref="G2338:H2338 G2340:H2340">
    <cfRule type="expression" priority="5846" dxfId="6433">
      <formula>$B2338="Serviço"</formula>
    </cfRule>
    <cfRule type="expression" priority="5847" dxfId="6434">
      <formula>$B2338="Subetapa"</formula>
    </cfRule>
  </conditionalFormatting>
  <conditionalFormatting sqref="G2347:H2347">
    <cfRule type="expression" priority="5844" dxfId="6433">
      <formula>$B2347="Serviço"</formula>
    </cfRule>
    <cfRule type="expression" priority="5845" dxfId="6434">
      <formula>$B2347="Subetapa"</formula>
    </cfRule>
  </conditionalFormatting>
  <conditionalFormatting sqref="G2349:H2349">
    <cfRule type="expression" priority="5842" dxfId="6433">
      <formula>$B2349="Serviço"</formula>
    </cfRule>
    <cfRule type="expression" priority="5843" dxfId="6434">
      <formula>$B2349="Subetapa"</formula>
    </cfRule>
  </conditionalFormatting>
  <conditionalFormatting sqref="G2351:H2351 G2353:H2353">
    <cfRule type="expression" priority="6053" dxfId="6424">
      <formula>$B2351="Subetapa"</formula>
    </cfRule>
  </conditionalFormatting>
  <conditionalFormatting sqref="G2356:H2356">
    <cfRule type="expression" priority="6049" dxfId="6424">
      <formula>$B2356="Subetapa"</formula>
    </cfRule>
  </conditionalFormatting>
  <conditionalFormatting sqref="G2342:H2342 G2344:H2344 G2359:H2359 G2364:H2364 G2369:H2369 G2390:H2390 G2395:H2395 G2400:H2400 G2405:H2405 G2410:H2410 G2430:H2430">
    <cfRule type="expression" priority="6192" dxfId="6424">
      <formula>$B2342="Subetapa"</formula>
    </cfRule>
  </conditionalFormatting>
  <conditionalFormatting sqref="G2374:H2374">
    <cfRule type="expression" priority="5840" dxfId="6433">
      <formula>$B2374="Serviço"</formula>
    </cfRule>
    <cfRule type="expression" priority="5841" dxfId="6434">
      <formula>$B2374="Subetapa"</formula>
    </cfRule>
  </conditionalFormatting>
  <conditionalFormatting sqref="G2379:H2379 G2384:H2384">
    <cfRule type="expression" priority="6796" dxfId="6433">
      <formula>$B2379="Serviço"</formula>
    </cfRule>
    <cfRule type="expression" priority="5838" dxfId="6434">
      <formula>$B2379="Subetapa"</formula>
    </cfRule>
  </conditionalFormatting>
  <conditionalFormatting sqref="G2435:H2435 G2440:H2440 G2445:H2445 G2450:H2450 G2455:H2455 G2460:H2460 G2465:H2465">
    <cfRule type="expression" priority="6048" dxfId="6424">
      <formula>$B2435="Subetapa"</formula>
    </cfRule>
  </conditionalFormatting>
  <conditionalFormatting sqref="G2470:H2470">
    <cfRule type="expression" priority="5837" dxfId="6433">
      <formula>$B2470="Serviço"</formula>
    </cfRule>
  </conditionalFormatting>
  <conditionalFormatting sqref="G2658:H2658 G2666:H2666">
    <cfRule type="expression" priority="5956" dxfId="6424">
      <formula>$B2658="Subetapa"</formula>
    </cfRule>
  </conditionalFormatting>
  <conditionalFormatting sqref="G2671:H2671">
    <cfRule type="expression" priority="5958" dxfId="6424">
      <formula>$B2671="Subetapa"</formula>
    </cfRule>
  </conditionalFormatting>
  <conditionalFormatting sqref="G2673:H2673">
    <cfRule type="expression" priority="5835" dxfId="6434">
      <formula>$B2673="Subetapa"</formula>
    </cfRule>
    <cfRule type="expression" priority="5836" dxfId="6433">
      <formula>$B2673="Serviço"</formula>
    </cfRule>
  </conditionalFormatting>
  <conditionalFormatting sqref="G2692:H2692 G2695:H2695 G2698:H2698 G2701:H2701 G2704:H2704 G2707:H2707 G2710:H2710 G2715:H2715">
    <cfRule type="expression" priority="5954" dxfId="6424">
      <formula>$B2692="Subetapa"</formula>
    </cfRule>
  </conditionalFormatting>
  <conditionalFormatting sqref="G2732:H2732 G2734:H2734">
    <cfRule type="expression" priority="5960" dxfId="6424">
      <formula>$B2732="Subetapa"</formula>
    </cfRule>
  </conditionalFormatting>
  <conditionalFormatting sqref="G2737:H2737 G2739:H2739 G2742:H2742 G2746:H2746 G2748:H2748 G2750:H2750 G2752:H2752 G2754:H2754">
    <cfRule type="expression" priority="5959" dxfId="6424">
      <formula>$B2737="Subetapa"</formula>
    </cfRule>
  </conditionalFormatting>
  <conditionalFormatting sqref="G2756:H2756 G2760:H2760">
    <cfRule type="expression" priority="5911" dxfId="6424">
      <formula>$B2756="Subetapa"</formula>
    </cfRule>
  </conditionalFormatting>
  <conditionalFormatting sqref="G2765:H2765">
    <cfRule type="expression" priority="5833" dxfId="6433">
      <formula>$B2765="Serviço"</formula>
    </cfRule>
    <cfRule type="expression" priority="5834" dxfId="6434">
      <formula>$B2765="Subetapa"</formula>
    </cfRule>
  </conditionalFormatting>
  <conditionalFormatting sqref="G2770:H2770 G2783:H2783 G2785:H2785 G2788:H2788 G2790:H2790 G2792:H2792 G2798:H2798 G2800:H2800 G2802:H2802 G2804:H2804">
    <cfRule type="expression" priority="6046" dxfId="6424">
      <formula>$B2770="Subetapa"</formula>
    </cfRule>
  </conditionalFormatting>
  <conditionalFormatting sqref="G2806:H2806">
    <cfRule type="expression" priority="5831" dxfId="6433">
      <formula>$B2806="Serviço"</formula>
    </cfRule>
    <cfRule type="expression" priority="5832" dxfId="6434">
      <formula>$B2806="Subetapa"</formula>
    </cfRule>
  </conditionalFormatting>
  <conditionalFormatting sqref="G2883:H2883 G3181:H3181 G3183:H3183 G3185:H3185 G3187:H3187 G3247:H3247">
    <cfRule type="expression" priority="5829" dxfId="6434">
      <formula>$B2883="Subetapa"</formula>
    </cfRule>
    <cfRule type="expression" priority="5830" dxfId="6433">
      <formula>$B2883="Serviço"</formula>
    </cfRule>
  </conditionalFormatting>
  <conditionalFormatting sqref="G2885:H2885 G2905:H2905 G2907:H2907 G2909:H2909">
    <cfRule type="expression" priority="5952" dxfId="6424">
      <formula>$B2885="Subetapa"</formula>
    </cfRule>
  </conditionalFormatting>
  <conditionalFormatting sqref="G2912:H2912 G2914:H2914 G2916:H2916 G2918:H2918">
    <cfRule type="expression" priority="6041" dxfId="6424">
      <formula>$B2912="Subetapa"</formula>
    </cfRule>
  </conditionalFormatting>
  <conditionalFormatting sqref="G2920:H2920 G2922:H2922 G2926:H2926 G2929:H2929 G2932:H2932">
    <cfRule type="expression" priority="6022" dxfId="6424">
      <formula>$B2920="Subetapa"</formula>
    </cfRule>
  </conditionalFormatting>
  <conditionalFormatting sqref="G2957:H2957">
    <cfRule type="expression" priority="6168" dxfId="6424">
      <formula>$B2957="Subetapa"</formula>
    </cfRule>
  </conditionalFormatting>
  <conditionalFormatting sqref="G3023:H3023 G3027:H3027 G3031:H3031 G3035:H3035 G3039:H3039 G3043:H3043 G3048:H3048 G3051:H3051 G3054:H3054">
    <cfRule type="expression" priority="6257" dxfId="6424">
      <formula>$B3023="Subetapa"</formula>
    </cfRule>
  </conditionalFormatting>
  <conditionalFormatting sqref="G3056:H3056 G3058:H3058 G3060:H3060 G3062:H3062">
    <cfRule type="expression" priority="5826" dxfId="6434">
      <formula>$B3056="Subetapa"</formula>
    </cfRule>
    <cfRule type="expression" priority="5827" dxfId="6433">
      <formula>$B3056="Serviço"</formula>
    </cfRule>
  </conditionalFormatting>
  <conditionalFormatting sqref="G3089:H3089 G3099:H3099 G3103:H3103 G3108:H3108 G3112:H3112 G3115:H3115 G3118:H3118 G3122:H3122 G3124:H3124 G3137:H3137">
    <cfRule type="expression" priority="6193" dxfId="6424">
      <formula>$B3089="Subetapa"</formula>
    </cfRule>
  </conditionalFormatting>
  <conditionalFormatting sqref="G3097:H3097">
    <cfRule type="expression" priority="5824" dxfId="6434">
      <formula>$B3097="Subetapa"</formula>
    </cfRule>
    <cfRule type="expression" priority="5825" dxfId="6433">
      <formula>$B3097="Serviço"</formula>
    </cfRule>
  </conditionalFormatting>
  <conditionalFormatting sqref="G3129:H3129">
    <cfRule type="expression" priority="5822" dxfId="6434">
      <formula>$B3129="Subetapa"</formula>
    </cfRule>
    <cfRule type="expression" priority="5823" dxfId="6433">
      <formula>$B3129="Serviço"</formula>
    </cfRule>
  </conditionalFormatting>
  <conditionalFormatting sqref="G3139:H3139">
    <cfRule type="expression" priority="5888" dxfId="6433">
      <formula>$B3139="Serviço"</formula>
    </cfRule>
    <cfRule type="expression" priority="5889" dxfId="6434">
      <formula>$B3139="Subetapa"</formula>
    </cfRule>
  </conditionalFormatting>
  <conditionalFormatting sqref="G3144:H3144 G3175:H3175 G3191:H3191 G3193:H3193 G3209:H3209 G3211:H3211 G3213:H3213">
    <cfRule type="expression" priority="6024" dxfId="6424">
      <formula>$B3144="Subetapa"</formula>
    </cfRule>
  </conditionalFormatting>
  <conditionalFormatting sqref="G3243:H3243">
    <cfRule type="expression" priority="6795" dxfId="6433">
      <formula>$B3243="Serviço"</formula>
    </cfRule>
  </conditionalFormatting>
  <conditionalFormatting sqref="G3350:H3350 G3355:H3355 G3360:H3360 G3365:H3365 G3370:H3370 G3375:H3375">
    <cfRule type="expression" priority="6029" dxfId="6424">
      <formula>$B3350="Subetapa"</formula>
    </cfRule>
  </conditionalFormatting>
  <conditionalFormatting sqref="G3380:H3380 G3385:H3385 G3390:H3390 G3395:H3395 G3400:H3400 G3405:H3405 G3410:H3410 G3415:H3415 G3420:H3420 G3425:H3425 G3430:H3430 G3435:H3435 G3440:H3440 G3445:H3445 G3450:H3450 G3455:H3455 G3460:H3460">
    <cfRule type="expression" priority="6033" dxfId="6424">
      <formula>$B3380="Subetapa"</formula>
    </cfRule>
  </conditionalFormatting>
  <conditionalFormatting sqref="G3465:H3465 G3470:H3470 G3475:H3475">
    <cfRule type="expression" priority="6031" dxfId="6424">
      <formula>$B3465="Subetapa"</formula>
    </cfRule>
  </conditionalFormatting>
  <conditionalFormatting sqref="G3623:H3623">
    <cfRule type="expression" priority="6013" dxfId="6424">
      <formula>$B3623="Subetapa"</formula>
    </cfRule>
  </conditionalFormatting>
  <conditionalFormatting sqref="G3626:H3626 G3629:H3629 G3632:H3632 G3636:H3636">
    <cfRule type="expression" priority="6021" dxfId="6424">
      <formula>$B3626="Subetapa"</formula>
    </cfRule>
  </conditionalFormatting>
  <conditionalFormatting sqref="G3644:H3644 G3648:H3648 G3651:H3651 G3658:H3658">
    <cfRule type="expression" priority="6259" dxfId="6424">
      <formula>$B3644="Subetapa"</formula>
    </cfRule>
  </conditionalFormatting>
  <conditionalFormatting sqref="G3662:H3662 G3665:H3665 G3668:H3668 G3671:H3671">
    <cfRule type="expression" priority="6019" dxfId="6424">
      <formula>$B3662="Subetapa"</formula>
    </cfRule>
  </conditionalFormatting>
  <conditionalFormatting sqref="G3674:H3674">
    <cfRule type="expression" priority="5820" dxfId="6433">
      <formula>$B3674="Serviço"</formula>
    </cfRule>
    <cfRule type="expression" priority="5821" dxfId="6434">
      <formula>$B3674="Subetapa"</formula>
    </cfRule>
  </conditionalFormatting>
  <conditionalFormatting sqref="G3679:H3679">
    <cfRule type="expression" priority="6015" dxfId="6424">
      <formula>$B3679="Subetapa"</formula>
    </cfRule>
  </conditionalFormatting>
  <conditionalFormatting sqref="G3684:H3684">
    <cfRule type="expression" priority="5818" dxfId="6433">
      <formula>$B3684="Serviço"</formula>
    </cfRule>
    <cfRule type="expression" priority="5819" dxfId="6434">
      <formula>$B3684="Subetapa"</formula>
    </cfRule>
  </conditionalFormatting>
  <conditionalFormatting sqref="G3704:H3704">
    <cfRule type="expression" priority="5816" dxfId="6433">
      <formula>$B3704="Serviço"</formula>
    </cfRule>
    <cfRule type="expression" priority="5817" dxfId="6434">
      <formula>$B3704="Subetapa"</formula>
    </cfRule>
  </conditionalFormatting>
  <conditionalFormatting sqref="G3722:H3722">
    <cfRule type="expression" priority="5814" dxfId="6433">
      <formula>$B3722="Serviço"</formula>
    </cfRule>
    <cfRule type="expression" priority="5815" dxfId="6434">
      <formula>$B3722="Subetapa"</formula>
    </cfRule>
  </conditionalFormatting>
  <conditionalFormatting sqref="G3732:H3732 G3736:H3736 G3740:H3740 G3744:H3744 G3748:H3748 G3752:H3752 G3757:H3757 G3759:H3759 G3761:H3761 G3763:H3763 G3765:H3765 G3768:H3768 G3770:H3770 G3772:H3772 G3775:H3775 G3777:H3777 G3781:H3781 G3784:H3784 G3786:H3786 G3788:H3788 G3792:H3792">
    <cfRule type="expression" priority="5950" dxfId="6424">
      <formula>$B3732="Subetapa"</formula>
    </cfRule>
  </conditionalFormatting>
  <conditionalFormatting sqref="G3795:H3795 G3797:H3797 G3799:H3799 G3801:H3801 G3803:H3803">
    <cfRule type="expression" priority="6004" dxfId="6424">
      <formula>$B3795="Subetapa"</formula>
    </cfRule>
  </conditionalFormatting>
  <conditionalFormatting sqref="G3808:H3808 G3811:H3811">
    <cfRule type="expression" priority="5812" dxfId="6434">
      <formula>$B3808="Subetapa"</formula>
    </cfRule>
    <cfRule type="expression" priority="5813" dxfId="6433">
      <formula>$B3808="Serviço"</formula>
    </cfRule>
  </conditionalFormatting>
  <conditionalFormatting sqref="G3816:H3816 G3821:H3821 G3826:H3826 G3830:H3830 G3835:H3835 G3838:H3838 G3842:H3842">
    <cfRule type="expression" priority="5945" dxfId="6424">
      <formula>$B3816="Subetapa"</formula>
    </cfRule>
  </conditionalFormatting>
  <conditionalFormatting sqref="G3846:H3846">
    <cfRule type="expression" priority="5990" dxfId="6424">
      <formula>$B3846="Subetapa"</formula>
    </cfRule>
  </conditionalFormatting>
  <conditionalFormatting sqref="G3849:H3849">
    <cfRule type="expression" priority="5988" dxfId="6424">
      <formula>$B3849="Subetapa"</formula>
    </cfRule>
  </conditionalFormatting>
  <conditionalFormatting sqref="G3859:H3859">
    <cfRule type="expression" priority="6002" dxfId="6424">
      <formula>$B3859="Subetapa"</formula>
    </cfRule>
  </conditionalFormatting>
  <conditionalFormatting sqref="G3861:G3883">
    <cfRule type="expression" priority="6001" dxfId="6424">
      <formula>$B3861="Subetapa"</formula>
    </cfRule>
  </conditionalFormatting>
  <conditionalFormatting sqref="G3894:H3894">
    <cfRule type="expression" priority="5927" dxfId="6424">
      <formula>$B3894="Subetapa"</formula>
    </cfRule>
  </conditionalFormatting>
  <conditionalFormatting sqref="G3905:H3905">
    <cfRule type="expression" priority="5924" dxfId="6424">
      <formula>$B3905="Subetapa"</formula>
    </cfRule>
  </conditionalFormatting>
  <conditionalFormatting sqref="G3916:H3916">
    <cfRule type="expression" priority="5921" dxfId="6424">
      <formula>$B3916="Subetapa"</formula>
    </cfRule>
  </conditionalFormatting>
  <conditionalFormatting sqref="G3927:H3927">
    <cfRule type="expression" priority="5919" dxfId="6424">
      <formula>$B3927="Subetapa"</formula>
    </cfRule>
  </conditionalFormatting>
  <conditionalFormatting sqref="G3938:H3938 G3943:H3943 G3945:H3945">
    <cfRule type="expression" priority="5916" dxfId="6424">
      <formula>$B3938="Subetapa"</formula>
    </cfRule>
  </conditionalFormatting>
  <conditionalFormatting sqref="G3957:H3957 G3968:H3968 G3970:H3970">
    <cfRule type="expression" priority="5914" dxfId="6424">
      <formula>$B3957="Subetapa"</formula>
    </cfRule>
  </conditionalFormatting>
  <conditionalFormatting sqref="G3975:H3975">
    <cfRule type="expression" priority="6290" dxfId="6424">
      <formula>$B3975="Subetapa"</formula>
    </cfRule>
  </conditionalFormatting>
  <conditionalFormatting sqref="G3991:H3991">
    <cfRule type="expression" priority="6794" dxfId="6433">
      <formula>$B3991="Serviço"</formula>
    </cfRule>
  </conditionalFormatting>
  <conditionalFormatting sqref="G4041:H4041 G4051:H4051 G4054:H4054">
    <cfRule type="expression" priority="5809" dxfId="6434">
      <formula>$B4041="Subetapa"</formula>
    </cfRule>
    <cfRule type="expression" priority="5810" dxfId="6433">
      <formula>$B4041="Serviço"</formula>
    </cfRule>
  </conditionalFormatting>
  <conditionalFormatting sqref="G4058:H4058 G4060:H4060 G4064:H4064 G4066:H4066">
    <cfRule type="expression" priority="6176" dxfId="6424">
      <formula>$B4058="Subetapa"</formula>
    </cfRule>
  </conditionalFormatting>
  <conditionalFormatting sqref="G4069:H4069 G4073:H4073 G4075:H4075">
    <cfRule type="expression" priority="5992" dxfId="6424">
      <formula>$B4069="Subetapa"</formula>
    </cfRule>
  </conditionalFormatting>
  <conditionalFormatting sqref="G4082:H4082 G4084:H4084 G4086:H4086 G4088:H4088 G4090:H4090 G4094:H4094 G4152:H4152 G4154:H4154">
    <cfRule type="expression" priority="6169" dxfId="6424">
      <formula>$B4082="Subetapa"</formula>
    </cfRule>
  </conditionalFormatting>
  <conditionalFormatting sqref="G4107:H4107">
    <cfRule type="expression" priority="5806" dxfId="6434">
      <formula>$B4107="Subetapa"</formula>
    </cfRule>
  </conditionalFormatting>
  <conditionalFormatting sqref="G4110:H4110 G4112:H4112">
    <cfRule type="expression" priority="6245" dxfId="6424">
      <formula>$B4110="Subetapa"</formula>
    </cfRule>
  </conditionalFormatting>
  <conditionalFormatting sqref="G4114:H4114">
    <cfRule type="expression" priority="5803" dxfId="6434">
      <formula>$B4114="Subetapa"</formula>
    </cfRule>
  </conditionalFormatting>
  <conditionalFormatting sqref="G4122:H4122">
    <cfRule type="expression" priority="5804" dxfId="6433">
      <formula>$B4122="Serviço"</formula>
    </cfRule>
    <cfRule type="expression" priority="5805" dxfId="6434">
      <formula>$B4122="Subetapa"</formula>
    </cfRule>
  </conditionalFormatting>
  <conditionalFormatting sqref="G4125:H4125 G4127:H4127 G4129:H4129 G4131:H4131 G4133:H4133">
    <cfRule type="expression" priority="6010" dxfId="6424">
      <formula>$B4125="Subetapa"</formula>
    </cfRule>
  </conditionalFormatting>
  <conditionalFormatting sqref="G4160:H4160">
    <cfRule type="expression" priority="5801" dxfId="6433">
      <formula>$B4160="Serviço"</formula>
    </cfRule>
    <cfRule type="expression" priority="5802" dxfId="6434">
      <formula>$B4160="Subetapa"</formula>
    </cfRule>
  </conditionalFormatting>
  <conditionalFormatting sqref="G4205:H4205 G4236:H4236 G4238:H4238 G4240:H4240 G4243:H4243">
    <cfRule type="expression" priority="6952" dxfId="6424">
      <formula>$B4205="Subetapa"</formula>
    </cfRule>
  </conditionalFormatting>
  <conditionalFormatting sqref="G4245:H4245 G4247:H4247">
    <cfRule type="expression" priority="5799" dxfId="6433">
      <formula>$B4245="Serviço"</formula>
    </cfRule>
    <cfRule type="expression" priority="5800" dxfId="6434">
      <formula>$B4245="Subetapa"</formula>
    </cfRule>
  </conditionalFormatting>
  <conditionalFormatting sqref="G4292:H4292 G4294:H4294 G4296:H4296 G4298:H4298 G4300:H4300">
    <cfRule type="expression" priority="5975" dxfId="6424">
      <formula>$B4292="Subetapa"</formula>
    </cfRule>
  </conditionalFormatting>
  <conditionalFormatting sqref="G4323:H4323 G4328:H4328 G4333:H4333 G4338:H4338 G4343:H4343 G4348:H4348 G4353:H4353 G4358:H4358 G4361:H4361 G4366:H4366 G4371:H4371">
    <cfRule type="expression" priority="5983" dxfId="6424">
      <formula>$B4323="Subetapa"</formula>
    </cfRule>
  </conditionalFormatting>
  <conditionalFormatting sqref="G4373:H4373 G4388:H4388 G4393:H4393 G4398:H4398">
    <cfRule type="expression" priority="5797" dxfId="6434">
      <formula>$B4373="Subetapa"</formula>
    </cfRule>
    <cfRule type="expression" priority="5798" dxfId="6433">
      <formula>$B4373="Serviço"</formula>
    </cfRule>
  </conditionalFormatting>
  <conditionalFormatting sqref="G4404:H4404 G4408:H4408 G4412:H4412 G4417:H4417 G4422:H4422">
    <cfRule type="expression" priority="5987" dxfId="6424">
      <formula>$B4404="Subetapa"</formula>
    </cfRule>
  </conditionalFormatting>
  <conditionalFormatting sqref="G4428:H4428 G4433:H4433 G4438:H4438 G4440:H4440 G4443:H4443 G4447:H4447 G4455:H4455 G4458:H4458 G4461:H4461">
    <cfRule type="expression" priority="6180" dxfId="6424">
      <formula>$B4428="Subetapa"</formula>
    </cfRule>
  </conditionalFormatting>
  <conditionalFormatting sqref="G4464:H4464 G4467:H4467 G4471:H4471 G4475:H4475 G4479:H4479 G4481:H4481 G4483:H4483 G4486:H4486 G4489:H4489 G4492:H4492 H4493:H4503">
    <cfRule type="expression" priority="7069" dxfId="6424">
      <formula>$B4464="Subetapa"</formula>
    </cfRule>
  </conditionalFormatting>
  <conditionalFormatting sqref="G4574:H4574 G4576:H4576 G4578:H4578">
    <cfRule type="expression" priority="5986" dxfId="6424">
      <formula>$B4574="Subetapa"</formula>
    </cfRule>
  </conditionalFormatting>
  <conditionalFormatting sqref="G4686:H4686 G4689:H4689 G4691:H4691 G4693:H4693 G4695:H4695 G4698:H4698">
    <cfRule type="expression" priority="5795" dxfId="6434">
      <formula>$B4686="Subetapa"</formula>
    </cfRule>
    <cfRule type="expression" priority="5796" dxfId="6433">
      <formula>$B4686="Serviço"</formula>
    </cfRule>
  </conditionalFormatting>
  <conditionalFormatting sqref="G4701:H4701">
    <cfRule type="expression" priority="5943" dxfId="6424">
      <formula>$B4701="Subetapa"</formula>
    </cfRule>
  </conditionalFormatting>
  <conditionalFormatting sqref="G4723:H4723 G4725:H4726 G4873:H4873 G4984:H4984 G4988:H4988 G4990:H4990 G4997:H4997 G4999:H4999 G5007:H5007 G5011:H5011 G5013:H5013 G5019:H5019 G5024:H5024 G5026:H5026">
    <cfRule type="expression" priority="6262" dxfId="6424">
      <formula>$B4723="Subetapa"</formula>
    </cfRule>
  </conditionalFormatting>
  <conditionalFormatting sqref="G4801:H4801">
    <cfRule type="expression" priority="5793" dxfId="6433">
      <formula>$B4801="Serviço"</formula>
    </cfRule>
    <cfRule type="expression" priority="5794" dxfId="6434">
      <formula>$B4801="Subetapa"</formula>
    </cfRule>
  </conditionalFormatting>
  <conditionalFormatting sqref="G4878:H4878 G4880:H4880 G4884:H4884 G4888:H4888 G4894:H4894 G4900:H4900 G4906:H4906 G4912:H4912 G4923:H4923 G4928:H4928">
    <cfRule type="expression" priority="6237" dxfId="6424">
      <formula>$B4878="Subetapa"</formula>
    </cfRule>
  </conditionalFormatting>
  <conditionalFormatting sqref="G4918:H4918">
    <cfRule type="expression" priority="5791" dxfId="6433">
      <formula>$B4918="Serviço"</formula>
    </cfRule>
    <cfRule type="expression" priority="5792" dxfId="6434">
      <formula>$B4918="Subetapa"</formula>
    </cfRule>
  </conditionalFormatting>
  <conditionalFormatting sqref="G4936:H4936 G4939:H4939 G4941:H4942 G4950:H4950 G4958:H4958 G4966:H4966 G4974:H4974">
    <cfRule type="expression" priority="6238" dxfId="6424">
      <formula>$B4936="Subetapa"</formula>
    </cfRule>
  </conditionalFormatting>
  <conditionalFormatting sqref="G4976:H4976 G4980:H4980">
    <cfRule type="expression" priority="5807" dxfId="6434">
      <formula>$B4976="Subetapa"</formula>
    </cfRule>
    <cfRule type="expression" priority="5808" dxfId="6433">
      <formula>$B4976="Serviço"</formula>
    </cfRule>
  </conditionalFormatting>
  <conditionalFormatting sqref="G2:H2">
    <cfRule type="expression" priority="7074" dxfId="6424">
      <formula>$B2="Subetapa"</formula>
    </cfRule>
  </conditionalFormatting>
  <conditionalFormatting sqref="G324:H324 G328:H328 G332:H332 G336:H336 G340:H340">
    <cfRule type="expression" priority="6271" dxfId="6424">
      <formula>$B324="Subetapa"</formula>
    </cfRule>
  </conditionalFormatting>
  <conditionalFormatting sqref="G345:H345 G349:H349 G353:H353 G357:H357">
    <cfRule type="expression" priority="6248" dxfId="6424">
      <formula>$B345="Subetapa"</formula>
    </cfRule>
  </conditionalFormatting>
  <conditionalFormatting sqref="G810:H810 G812:H812 G839:H839 G841:H841">
    <cfRule type="expression" priority="6172" dxfId="6424">
      <formula>$B810="Subetapa"</formula>
    </cfRule>
  </conditionalFormatting>
  <conditionalFormatting sqref="G4734:H4734 G4742:H4742 G4750:H4750 G4759:H4759 G4768:H4768 G4781:H4781">
    <cfRule type="expression" priority="6181" dxfId="6424">
      <formula>$B4734="Subetapa"</formula>
    </cfRule>
  </conditionalFormatting>
  <conditionalFormatting sqref="G4932:H4932">
    <cfRule type="expression" priority="7082" dxfId="6424">
      <formula>$B4932="Subetapa"</formula>
    </cfRule>
  </conditionalFormatting>
  <conditionalFormatting sqref="B1374:B1385 C1220:C1254 C1374:C1375 C1385:D1385 D1220:F1220 D1221:D1230 D1231:F1231 D1232:D1241 D1242:F1242 D1243:D1254 D1374:F1374 D1375 F1221:F1230 F1232:F1241 F1243:F1254 F1375 F1385">
    <cfRule type="expression" priority="9911" dxfId="6434">
      <formula>$B1220="Subetapa"</formula>
    </cfRule>
  </conditionalFormatting>
  <conditionalFormatting sqref="B2475:B2524 B2607:C2611 B2719:B2730 B3189:B3190 B3195:C3206 B3227:C3228 B3231:B3234 B3244:B3246 B3250 B3290:B3309 B3485:B3549 B3556:C3560 B3851:C3857 B3980:B3982 B3987:B3990 B3992:B4021 B4098:C4109 B4114:C4121 B4139:B4150 B4163:B4165 B4208:B4210 B4217:B4234 B4264:C4267 C2490:F2490 C2725:C2730 C3139:C3142 C3244:C3250 C3302:D3304 C3510:C3514 C3982:C3996 C4543:C4572 D2607:F2607 D2608:D2611 D2725:F2725 D2726:D2727 D2728:F2728 D2729:D2730 D3139:F3139 D3140:D3142 D3195:F3195 D3196:D3197 D3198:F3198 D3199:D3206 D3227:F3227 D3228 D3244:D3246 D3247:F3247 D3248:D3250 D3510:F3510 D3511:D3514 D3556:F3556 D3557:D3560 D3851:F3851 D3852:D3853 D3854:F3854 D3855:D3857 D3982:F3982 D3983:D3986 D3987:F3987 D3988:D3990 D3991:F3991 D3992:D3995 D3996:F3996 D4098:F4098 D4099 D4100:F4100 D4101 D4102:F4102 D4103 D4104:F4104 D4105:D4106 D4107:F4107 D4108:D4109 D4114:F4114 D4115 D4116:F4116 D4117 D4118:F4118 D4119 D4120:F4120 D4121 D4264:F4264 D4265 D4266:F4266 D4267 D4543:F4543 D4544 D4545:F4545 D4546 D4547:F4547 D4548 D4549:F4549 D4550 D4551:F4551 D4552 D4553:F4553 D4554 D4555:F4555 D4556:D4559 D4560:F4560 D4561:D4564 D4565:F4565 D4566:D4569 D4570:F4570 D4571:D4572 E3980 F2726:F2727 F2729:F2730 F3140:F3142 F3196:F3197 F3199:F3206 F3228 F3248:F3250 F3511:F3514 F3852:F3853 F3855:F3857 F3983:F3986 F3988:F3990 F3992:F3995 F4099 F4101 F4103 F4105:F4106 F4108:F4109 F4115 F4117 F4119 F4121 F4265 F4267 F4544 F4546 F4548 F4550 F4552 F4554 F4556:F4559 F4561:F4564 F4566:F4569 F4571:F4572">
    <cfRule type="expression" priority="9622" dxfId="6433">
      <formula>$B2475="Serviço"</formula>
    </cfRule>
  </conditionalFormatting>
  <conditionalFormatting sqref="C1209:C1254 C1374:C1385 D1209:F1209 D1210:D1219 D1220:F1220 D1221:D1230 D1231:F1231 D1232:D1241 D1242:F1242 D1243:D1254 D1374:F1374 D1375:D1385 F1210:F1219 F1221:F1230 F1232:F1241 F1243:F1254 F1375:F1385">
    <cfRule type="expression" priority="9910" dxfId="6433">
      <formula>$B1209="Serviço"</formula>
    </cfRule>
  </conditionalFormatting>
  <conditionalFormatting sqref="B2470:B2524 B2607:C2611 B2719:B2730 B3189:B3190 B3195:C3206 B3227:C3228 B3231:B3234 B3243:B3246 B3250 B3290:B3309 B3485:B3549 B3556:C3560 B3851:C3857 B3980:B4021 B4098:B4106 B4116:C4121 B4139:B4150 B4163:B4165 B4208:B4210 B4217:B4234 B4264:C4267 C3139:C3142 C3244:C3250 C3302:D3304 C3510:C3514 C3982:C3996 C4102:C4104 C4518:C4572 D2607:F2607 D2608:D2611 D3139:F3139 D3140:D3142 D3195:F3195 D3196:D3197 D3198:F3198 D3199:D3206 D3227:F3227 D3228 D3244:D3246 D3247:F3247 D3248:D3250 D3510:F3510 D3511:D3514 D3556:F3556 D3557:D3560 D3851:F3851 D3852:D3853 D3854:F3854 D3855:D3857 D3982:F3982 D3983:D3986 D3987:F3987 D3988:D3990 D3991:F3991 D3992:D3995 D3996:F3996 D4102:D4103 D4104:F4104 D4116:F4116 D4117 D4118:F4118 D4119 D4120:F4120 D4121 D4264:F4264 D4265 D4266:F4266 D4267 D4518:F4518 D4519:D4522 D4523:F4523 D4524:D4527 D4528:F4528 D4529:D4532 D4533:F4533 D4534:D4537 D4538:F4538 D4539:D4542 D4543:F4543 D4544 D4545:F4545 D4546 D4547:F4547 D4548 D4549:F4549 D4550 D4551:F4551 D4552 D4553:F4553 D4554 D4555:F4555 D4556:D4559 D4560:F4560 D4561:D4564 D4565:F4565 D4566:D4569 D4570:F4570 D4571:D4572 E3980 F3140:F3142 F3196:F3197 F3199:F3206 F3228 F3248:F3250 F3511:F3514 F3852:F3853 F3855:F3857 F3983:F3986 F3988:F3990 F3992:F3995 F4117 F4119 F4121 F4265 F4267 F4519:F4522 F4524:F4527 F4529:F4532 F4534:F4537 F4539:F4542 F4544 F4546 F4548 F4550 F4552 F4554 F4556:F4559 F4561:F4564 F4566:F4569 F4571:F4572">
    <cfRule type="expression" priority="9623" dxfId="6434">
      <formula>$B2470="Subetapa"</formula>
    </cfRule>
  </conditionalFormatting>
  <conditionalFormatting sqref="C2188:C2191 D2188:D2190 D2191:F2191 F2188:F2190">
    <cfRule type="expression" priority="14373" dxfId="6424">
      <formula>$B2188="Subetapa"</formula>
    </cfRule>
  </conditionalFormatting>
  <conditionalFormatting sqref="B867:B878 B897:B905 B991:C993 B995:B1013 B1015:B1018 B1173:B1174 B2140:B2143 B2337 B2342:B2343 B2754 B3476:B3484 B4306:B4321 B4463:B4494 C869:D869 C902:D902 C995:C1002 C1011:D1013 C1172:C1174 C1650:C1661 C1673:D1685 C1698:C1721 C1723:C1732 C1734:C1752 C1754:C1755 C1757:D1764 C1766:C1767 C1769:D1776 C1778:C1799 C1801:C1802 C1804:C1812 C1824:F1824 C2692:F2692 C2694:D2694 C2717:D2718 C3285:F3285 C3311:F3311 C3340:C3344 C3350:C3364 C3410:F3410 C3561:C3565 C3585:C3588 C3618:F3618 C3945:C3947 C4323:C4357 C4372:D4372 C4439:C4451 C4459:C4481 C4489:C4503 C4581:C4585 D991:H991 D992:D993 D995:H995 D996:D1001 D1002:H1002 D1172 D1173:F1173 D1174 D1650:F1650 D1651:D1661 D1698:F1698 D1699:D1708 D1709:F1709 D1710:D1719 D1720:F1720 D1721 D1723:D1730 D1731:F1731 D1732 D1734:D1741 D1742:F1742 D1743:D1752 D1754:F1754 D1755 D1766:F1766 D1767 D1778:F1778 D1779:D1788 D1789:F1789 D1790:D1799 D1801:F1801 D1802 D1804:D1811 D1812:F1812 D3340:F3340 D3341:D3344 D3350:F3350 D3351:D3354 D3355:F3355 D3356:D3359 D3360:F3360 D3361:D3364 D3561:F3561 D3562:D3565 D3585:F3585 D3586:D3588 D3945:F3945 D3946:D3947 D4323:F4323 D4324:D4327 D4328:F4328 D4329:D4332 D4333:F4333 D4334:D4337 D4338:F4338 D4339:D4342 D4343:F4343 D4344:D4347 D4348:F4348 D4349:D4352 D4353:F4353 D4354:D4357 D4439 D4440:F4440 D4441:D4442 D4443:F4443 D4444:D4446 D4447:F4447 D4448:D4451 D4454 D4455:F4455 D4456:D4457 D4459:D4460 D4461:F4461 D4462:D4463 D4464:F4464 D4465:D4466 D4467:F4467 D4468:D4470 D4471:F4471 D4472:D4474 D4475:F4475 D4476:D4478 D4479:F4479 D4480 D4481:F4481 D4489:F4489 D4490:D4491 D4492:F4492 D4493:D4494 D4581 D4582:H4582 D4583 D4584:H4584 D4585 E1010:H1010 E1662:F1662 E1674:F1674 E3939:E3943 F982:F989 F992:F993 F996:F1001 F1003:F1009 F1011:F1013 F1172 F1174 F1651:F1661 F1663:F1673 F1675:F1685 F1699:F1708 F1710:F1719 F1721:F1730 F1732:F1741 F1743:F1752 F1755:F1764 F1767:F1776 F1779:F1788 F1790:F1799 F1802:F1811 F1825:F1835 F2693:F2694 F2716:F2718 F3586:F3588 F3946:F3947 F4329:F4332 F4334:F4337 F4444:F4446 F4448:F4451 F4454 F4456:F4457 F4459:F4460 F4462:F4463 F4465:F4466 F4468:F4470 F4472:F4474 F4476:F4478 F4480 F4490:F4491 F4493:F4494 G1015:H1015 G1017:H1017 G3480:H3480 G4308:H4308 G4311:H4311 G4315:H4315 G4580:H4580">
    <cfRule type="expression" priority="13555" dxfId="6424">
      <formula>$B867="Subetapa"</formula>
    </cfRule>
  </conditionalFormatting>
  <conditionalFormatting sqref="B2351:C2355 C2342:C2346 D2342:F2342 D2343 D2344:F2344 D2345 D2346:F2346 F2343 F2345">
    <cfRule type="expression" priority="12863" dxfId="6424">
      <formula>$B2342="Subetapa"</formula>
    </cfRule>
  </conditionalFormatting>
  <conditionalFormatting sqref="C4069:C4076 D4069:F4069 D4070 D4071:F4071 D4072 D4073:F4073 D4074 D4075:F4075 D4076 F4070 F4072 F4074 F4076">
    <cfRule type="expression" priority="12128" dxfId="6424">
      <formula>$B4069="Subetapa"</formula>
    </cfRule>
  </conditionalFormatting>
  <conditionalFormatting sqref="B1168:F1168">
    <cfRule type="expression" priority="11760" dxfId="6424">
      <formula>$B1168="Subetapa"</formula>
    </cfRule>
  </conditionalFormatting>
  <conditionalFormatting sqref="C2760:F2760">
    <cfRule type="expression" priority="11934" dxfId="6424">
      <formula>$B2760="Subetapa"</formula>
    </cfRule>
  </conditionalFormatting>
  <conditionalFormatting sqref="C3238:F3238">
    <cfRule type="expression" priority="11504" dxfId="6424">
      <formula>$B3238="Subetapa"</formula>
    </cfRule>
  </conditionalFormatting>
  <conditionalFormatting sqref="C4840:C4842 D4840 D4841:F4841 D4842 F4840 F4842">
    <cfRule type="expression" priority="11828" dxfId="6424">
      <formula>$B4840="Subetapa"</formula>
    </cfRule>
  </conditionalFormatting>
  <conditionalFormatting sqref="C4860:C4863 D4860 D4861:F4863 F4860">
    <cfRule type="expression" priority="11846" dxfId="6424">
      <formula>$B4860="Subetapa"</formula>
    </cfRule>
  </conditionalFormatting>
  <conditionalFormatting sqref="B2736:F2736">
    <cfRule type="expression" priority="11793" dxfId="6424">
      <formula>$B2736="Subetapa"</formula>
    </cfRule>
  </conditionalFormatting>
  <conditionalFormatting sqref="F4831">
    <cfRule type="expression" priority="11817" dxfId="6424">
      <formula>$B4831="Subetapa"</formula>
    </cfRule>
  </conditionalFormatting>
  <conditionalFormatting sqref="K943:K959">
    <cfRule type="expression" priority="4865" dxfId="6424">
      <formula>$B943="Subetapa"</formula>
    </cfRule>
  </conditionalFormatting>
  <conditionalFormatting sqref="I970:K970">
    <cfRule type="expression" priority="4861" dxfId="6424">
      <formula>$B970="Subetapa"</formula>
    </cfRule>
  </conditionalFormatting>
  <conditionalFormatting sqref="K2203:K2207 K2317:K2330">
    <cfRule type="expression" priority="5050" dxfId="6424">
      <formula>$B2203="Subetapa"</formula>
    </cfRule>
  </conditionalFormatting>
  <conditionalFormatting sqref="K2379:K2388">
    <cfRule type="expression" priority="4601" dxfId="6433">
      <formula>$B2379="Serviço"</formula>
    </cfRule>
    <cfRule type="expression" priority="4600" dxfId="6434">
      <formula>$B2379="Subetapa"</formula>
    </cfRule>
  </conditionalFormatting>
  <conditionalFormatting sqref="K2637:K2661">
    <cfRule type="expression" priority="4846" dxfId="6424">
      <formula>$B2637="Subetapa"</formula>
    </cfRule>
  </conditionalFormatting>
  <conditionalFormatting sqref="K2662:K2669">
    <cfRule type="expression" priority="4838" dxfId="6424">
      <formula>$B2662="Subetapa"</formula>
    </cfRule>
  </conditionalFormatting>
  <conditionalFormatting sqref="K2670:K2672">
    <cfRule type="expression" priority="4840" dxfId="6424">
      <formula>$B2670="Subetapa"</formula>
    </cfRule>
  </conditionalFormatting>
  <conditionalFormatting sqref="I2673:K2674 I2682:K2682 I2684:K2685 I2687:K2688 I2690:K2690">
    <cfRule type="expression" priority="4599" dxfId="6433">
      <formula>$B2673="Serviço"</formula>
    </cfRule>
    <cfRule type="expression" priority="4598" dxfId="6434">
      <formula>$B2673="Subetapa"</formula>
    </cfRule>
  </conditionalFormatting>
  <conditionalFormatting sqref="K2731:K2735">
    <cfRule type="expression" priority="4844" dxfId="6424">
      <formula>$B2731="Subetapa"</formula>
    </cfRule>
  </conditionalFormatting>
  <conditionalFormatting sqref="K2737:K2753">
    <cfRule type="expression" priority="4842" dxfId="6424">
      <formula>$B2737="Subetapa"</formula>
    </cfRule>
  </conditionalFormatting>
  <conditionalFormatting sqref="K3177:K3188 K3243:K3246">
    <cfRule type="expression" priority="4592" dxfId="6434">
      <formula>$B3177="Subetapa"</formula>
    </cfRule>
    <cfRule type="expression" priority="4593" dxfId="6433">
      <formula>$B3177="Serviço"</formula>
    </cfRule>
  </conditionalFormatting>
  <conditionalFormatting sqref="K2957:K2960">
    <cfRule type="expression" priority="5048" dxfId="6424">
      <formula>$B2957="Subetapa"</formula>
    </cfRule>
  </conditionalFormatting>
  <conditionalFormatting sqref="K3731:K3758">
    <cfRule type="expression" priority="4823" dxfId="6424">
      <formula>$B3731="Subetapa"</formula>
    </cfRule>
  </conditionalFormatting>
  <conditionalFormatting sqref="K3767:K3787">
    <cfRule type="expression" priority="4977" dxfId="6424">
      <formula>$B3767="Subetapa"</formula>
    </cfRule>
  </conditionalFormatting>
  <conditionalFormatting sqref="K3788:K3793">
    <cfRule type="expression" priority="4811" dxfId="6424">
      <formula>$B3788="Subetapa"</formula>
    </cfRule>
  </conditionalFormatting>
  <conditionalFormatting sqref="K3794:K3807">
    <cfRule type="expression" priority="4949" dxfId="6424">
      <formula>$B3794="Subetapa"</formula>
    </cfRule>
  </conditionalFormatting>
  <conditionalFormatting sqref="K4078:K4086">
    <cfRule type="expression" priority="5051" dxfId="6424">
      <formula>$B4078="Subetapa"</formula>
    </cfRule>
  </conditionalFormatting>
  <conditionalFormatting sqref="K4373:K4402">
    <cfRule type="expression" priority="4560" dxfId="6434">
      <formula>$B4373="Subetapa"</formula>
    </cfRule>
    <cfRule type="expression" priority="4561" dxfId="6433">
      <formula>$B4373="Serviço"</formula>
    </cfRule>
  </conditionalFormatting>
  <conditionalFormatting sqref="K4686:K4699">
    <cfRule type="expression" priority="4558" dxfId="6434">
      <formula>$B4686="Subetapa"</formula>
    </cfRule>
    <cfRule type="expression" priority="4559" dxfId="6433">
      <formula>$B4686="Serviço"</formula>
    </cfRule>
  </conditionalFormatting>
  <conditionalFormatting sqref="K3759:K3766 K3816:K3820">
    <cfRule type="expression" priority="5066" dxfId="6424">
      <formula>$B3759="Subetapa"</formula>
    </cfRule>
  </conditionalFormatting>
  <conditionalFormatting sqref="I2612:K2636 I2962:K3021 I3207:K3226 I3229:K3230 I3235:K3237 I3239:K3242 I3251:K3258 I3260:K3264 I3285:K3289 I3311:K3324 I3340:K3344 I3550:K3555 I3689:K3698 I4110:K4113 I4162:K4162 I4205:K4207 I4211:K4216 I4249:K4263 I4268:K4271">
    <cfRule type="expression" priority="5043" dxfId="6424">
      <formula>$B2612="Subetapa"</formula>
    </cfRule>
  </conditionalFormatting>
  <conditionalFormatting sqref="K4087:K4097">
    <cfRule type="expression" priority="4963" dxfId="6424">
      <formula>$B4087="Subetapa"</formula>
    </cfRule>
  </conditionalFormatting>
  <conditionalFormatting sqref="K4235:K4244">
    <cfRule type="expression" priority="4930" dxfId="6424">
      <formula>$B4235="Subetapa"</formula>
    </cfRule>
  </conditionalFormatting>
  <conditionalFormatting sqref="I972:K989 I1011:K1013 I1016:K1016 I2342:K2343 I3470:K3484 I4135:K4138 I4323:K4327 I4371:K4372">
    <cfRule type="expression" priority="4872" dxfId="6424">
      <formula>$B972="Subetapa"</formula>
    </cfRule>
  </conditionalFormatting>
  <conditionalFormatting sqref="I2168:K2168 I2170:K2180">
    <cfRule type="expression" priority="4881" dxfId="6424">
      <formula>$B2168="Subetapa"</formula>
    </cfRule>
  </conditionalFormatting>
  <conditionalFormatting sqref="K2208:K2211 K2277:K2278">
    <cfRule type="expression" priority="4523" dxfId="6424">
      <formula>$B2208="Subetapa"</formula>
    </cfRule>
  </conditionalFormatting>
  <conditionalFormatting sqref="I2525:K2525">
    <cfRule type="expression" priority="4993" dxfId="6424">
      <formula>$B2525="Subetapa"</formula>
    </cfRule>
  </conditionalFormatting>
  <conditionalFormatting sqref="I2936:K2936">
    <cfRule type="expression" priority="4980" dxfId="6424">
      <formula>$B2936="Subetapa"</formula>
    </cfRule>
  </conditionalFormatting>
  <conditionalFormatting sqref="I2961:K2961">
    <cfRule type="expression" priority="4979" dxfId="6424">
      <formula>$B2961="Subetapa"</formula>
    </cfRule>
  </conditionalFormatting>
  <conditionalFormatting sqref="I3022:K3022">
    <cfRule type="expression" priority="4978" dxfId="6424">
      <formula>$B3022="Subetapa"</formula>
    </cfRule>
  </conditionalFormatting>
  <conditionalFormatting sqref="K3709:K3713">
    <cfRule type="expression" priority="4530" dxfId="6424">
      <formula>$B3709="Subetapa"</formula>
    </cfRule>
  </conditionalFormatting>
  <conditionalFormatting sqref="K3715:K3721 K3725:K3730">
    <cfRule type="expression" priority="4526" dxfId="6424">
      <formula>$B3715="Subetapa"</formula>
    </cfRule>
  </conditionalFormatting>
  <conditionalFormatting sqref="K4023:K4028">
    <cfRule type="expression" priority="4525" dxfId="6424">
      <formula>$B4023="Subetapa"</formula>
    </cfRule>
  </conditionalFormatting>
  <conditionalFormatting sqref="K4272:K4276">
    <cfRule type="expression" priority="4809" dxfId="6424">
      <formula>$B4272="Subetapa"</formula>
    </cfRule>
  </conditionalFormatting>
  <conditionalFormatting sqref="I4700:K4700">
    <cfRule type="expression" priority="4939" dxfId="6424">
      <formula>$B4700="Subetapa"</formula>
    </cfRule>
  </conditionalFormatting>
  <conditionalFormatting sqref="K153:K213 K215:K217">
    <cfRule type="expression" priority="4780" dxfId="6424">
      <formula>$B153="Subetapa"</formula>
    </cfRule>
  </conditionalFormatting>
  <conditionalFormatting sqref="I271:K271 I273:K273">
    <cfRule type="expression" priority="4636" dxfId="6434">
      <formula>$B271="Subetapa"</formula>
    </cfRule>
    <cfRule type="expression" priority="4635" dxfId="6433">
      <formula>$B271="Serviço"</formula>
    </cfRule>
  </conditionalFormatting>
  <conditionalFormatting sqref="K903:K907">
    <cfRule type="expression" priority="4675" dxfId="6424">
      <formula>$B903="Subetapa"</formula>
    </cfRule>
  </conditionalFormatting>
  <conditionalFormatting sqref="I2126:K2126 I2133:K2133">
    <cfRule type="expression" priority="4849" dxfId="6424">
      <formula>$B2126="Subetapa"</formula>
    </cfRule>
  </conditionalFormatting>
  <conditionalFormatting sqref="K2212:K2261 K2267:K2268 K2274:K2275">
    <cfRule type="expression" priority="4682" dxfId="6433">
      <formula>$B2212="Serviço"</formula>
    </cfRule>
    <cfRule type="expression" priority="4681" dxfId="6434">
      <formula>$B2212="Subetapa"</formula>
    </cfRule>
  </conditionalFormatting>
  <conditionalFormatting sqref="K2817:K2831 K2835:K2842">
    <cfRule type="expression" priority="4834" dxfId="6424">
      <formula>$B2817="Subetapa"</formula>
    </cfRule>
  </conditionalFormatting>
  <conditionalFormatting sqref="K2883:K2884">
    <cfRule type="expression" priority="4591" dxfId="6433">
      <formula>$B2883="Serviço"</formula>
    </cfRule>
    <cfRule type="expression" priority="4590" dxfId="6434">
      <formula>$B2883="Subetapa"</formula>
    </cfRule>
  </conditionalFormatting>
  <conditionalFormatting sqref="I2911:K2911">
    <cfRule type="expression" priority="4987" dxfId="6424">
      <formula>$B2911="Subetapa"</formula>
    </cfRule>
  </conditionalFormatting>
  <conditionalFormatting sqref="K2912:K2935">
    <cfRule type="expression" priority="4968" dxfId="6424">
      <formula>$B2912="Subetapa"</formula>
    </cfRule>
  </conditionalFormatting>
  <conditionalFormatting sqref="I3259:K3259">
    <cfRule type="expression" priority="4583" dxfId="6424">
      <formula>$B3259="Subetapa"</formula>
    </cfRule>
  </conditionalFormatting>
  <conditionalFormatting sqref="K3821:K3850">
    <cfRule type="expression" priority="4796" dxfId="6424">
      <formula>$B3821="Subetapa"</formula>
    </cfRule>
  </conditionalFormatting>
  <conditionalFormatting sqref="K4058:K4067">
    <cfRule type="expression" priority="4879" dxfId="6424">
      <formula>$B4058="Subetapa"</formula>
    </cfRule>
  </conditionalFormatting>
  <conditionalFormatting sqref="K4573:K4585">
    <cfRule type="expression" priority="4938" dxfId="6424">
      <formula>$B4573="Subetapa"</formula>
    </cfRule>
  </conditionalFormatting>
  <conditionalFormatting sqref="I263:K265 I267:K267 I269:K269 I275:K286 I299:K299 I301:K301 I304:K343 I2754:K2754">
    <cfRule type="expression" priority="5124" dxfId="6424">
      <formula>$B263="Subetapa"</formula>
    </cfRule>
  </conditionalFormatting>
  <conditionalFormatting sqref="K4598:K4609">
    <cfRule type="expression" priority="4529" dxfId="6424">
      <formula>$B4598="Subetapa"</formula>
    </cfRule>
  </conditionalFormatting>
  <conditionalFormatting sqref="K4725:K4790 K5013:K5019">
    <cfRule type="expression" priority="5068" dxfId="6424">
      <formula>$B4725="Subetapa"</formula>
    </cfRule>
  </conditionalFormatting>
  <conditionalFormatting sqref="K661:K664">
    <cfRule type="expression" priority="4624" dxfId="6433">
      <formula>$B661="Serviço"</formula>
    </cfRule>
    <cfRule type="expression" priority="4623" dxfId="6434">
      <formula>$B661="Subetapa"</formula>
    </cfRule>
  </conditionalFormatting>
  <conditionalFormatting sqref="I897:K902 I990:K1010 I1014:K1015 I1017:K1017 I2691:K2691 I3310:K3310 I3714:K3714 I4022:K4022 I4133:K4134 I4277:K4278 I4322:K4322">
    <cfRule type="expression" priority="5045" dxfId="6424">
      <formula>$B897="Subetapa"</formula>
    </cfRule>
  </conditionalFormatting>
  <conditionalFormatting sqref="K960:K962 K964:K969">
    <cfRule type="expression" priority="4899" dxfId="6424">
      <formula>$B960="Subetapa"</formula>
    </cfRule>
  </conditionalFormatting>
  <conditionalFormatting sqref="I2772:K2772">
    <cfRule type="expression" priority="4835" dxfId="6424">
      <formula>$B2772="Subetapa"</formula>
    </cfRule>
  </conditionalFormatting>
  <conditionalFormatting sqref="K2042:K2052">
    <cfRule type="expression" priority="4536" dxfId="6424">
      <formula>$B2042="Subetapa"</formula>
    </cfRule>
  </conditionalFormatting>
  <conditionalFormatting sqref="I4801:K4801">
    <cfRule type="expression" priority="4553" dxfId="8303" stopIfTrue="1">
      <formula>$B4801="complemento do insumo"</formula>
    </cfRule>
    <cfRule type="expression" priority="4554" dxfId="8303" stopIfTrue="1">
      <formula>$B4801="insumo"</formula>
    </cfRule>
  </conditionalFormatting>
  <conditionalFormatting sqref="K2937:K2956">
    <cfRule type="expression" priority="4540" dxfId="6424">
      <formula>$B2937="Subetapa"</formula>
    </cfRule>
  </conditionalFormatting>
  <conditionalFormatting sqref="K1169:K1174">
    <cfRule type="expression" priority="4538" dxfId="6424">
      <formula>$B1169="Subetapa"</formula>
    </cfRule>
  </conditionalFormatting>
  <conditionalFormatting sqref="K2120:K2125">
    <cfRule type="expression" priority="4535" dxfId="6424">
      <formula>$B2120="Subetapa"</formula>
    </cfRule>
  </conditionalFormatting>
  <conditionalFormatting sqref="K2127:K2132">
    <cfRule type="expression" priority="4534" dxfId="6424">
      <formula>$B2127="Subetapa"</formula>
    </cfRule>
  </conditionalFormatting>
  <conditionalFormatting sqref="K2134:K2143">
    <cfRule type="expression" priority="4533" dxfId="6424">
      <formula>$B2134="Subetapa"</formula>
    </cfRule>
  </conditionalFormatting>
  <conditionalFormatting sqref="K2356:K2357">
    <cfRule type="expression" priority="4532" dxfId="6424">
      <formula>$B2356="Subetapa"</formula>
    </cfRule>
  </conditionalFormatting>
  <conditionalFormatting sqref="K2692:K2718">
    <cfRule type="expression" priority="4528" dxfId="6424">
      <formula>$B2692="Subetapa"</formula>
    </cfRule>
  </conditionalFormatting>
  <conditionalFormatting sqref="K2885:K2889 K2905:K2910">
    <cfRule type="expression" priority="4527" dxfId="6424">
      <formula>$B2885="Subetapa"</formula>
    </cfRule>
  </conditionalFormatting>
  <conditionalFormatting sqref="K3023:K3046">
    <cfRule type="expression" priority="4539" dxfId="6424">
      <formula>$B3023="Subetapa"</formula>
    </cfRule>
  </conditionalFormatting>
  <conditionalFormatting sqref="K3191:K3194">
    <cfRule type="expression" priority="4531" dxfId="6424">
      <formula>$B3191="Subetapa"</formula>
    </cfRule>
  </conditionalFormatting>
  <conditionalFormatting sqref="I3892:K3892">
    <cfRule type="expression" priority="4545" dxfId="6424">
      <formula>$B3892="Subetapa"</formula>
    </cfRule>
  </conditionalFormatting>
  <conditionalFormatting sqref="I3903:K3903">
    <cfRule type="expression" priority="4546" dxfId="6424">
      <formula>$B3903="Subetapa"</formula>
    </cfRule>
  </conditionalFormatting>
  <conditionalFormatting sqref="I3914:K3914">
    <cfRule type="expression" priority="4547" dxfId="6424">
      <formula>$B3914="Subetapa"</formula>
    </cfRule>
  </conditionalFormatting>
  <conditionalFormatting sqref="I3925:K3925">
    <cfRule type="expression" priority="4548" dxfId="6424">
      <formula>$B3925="Subetapa"</formula>
    </cfRule>
  </conditionalFormatting>
  <conditionalFormatting sqref="I3936:K3936">
    <cfRule type="expression" priority="4549" dxfId="6424">
      <formula>$B3936="Subetapa"</formula>
    </cfRule>
  </conditionalFormatting>
  <conditionalFormatting sqref="I3955:K3955">
    <cfRule type="expression" priority="4544" dxfId="6424">
      <formula>$B3955="Subetapa"</formula>
    </cfRule>
  </conditionalFormatting>
  <conditionalFormatting sqref="K4701:K4702">
    <cfRule type="expression" priority="4524" dxfId="6424">
      <formula>$B4701="Subetapa"</formula>
    </cfRule>
  </conditionalFormatting>
  <conditionalFormatting sqref="K3065:K3088">
    <cfRule type="expression" priority="4543" dxfId="6424">
      <formula>$B3065="Subetapa"</formula>
    </cfRule>
  </conditionalFormatting>
  <conditionalFormatting sqref="I287:K289 I291:K291 I293:K293 I295:K295">
    <cfRule type="expression" priority="4637" dxfId="6433">
      <formula>$B287="Serviço"</formula>
    </cfRule>
    <cfRule type="expression" priority="4638" dxfId="6434">
      <formula>$B287="Subetapa"</formula>
    </cfRule>
  </conditionalFormatting>
  <conditionalFormatting sqref="I297:K297">
    <cfRule type="expression" priority="4633" dxfId="6433">
      <formula>$B297="Serviço"</formula>
    </cfRule>
    <cfRule type="expression" priority="4634" dxfId="6434">
      <formula>$B297="Subetapa"</formula>
    </cfRule>
  </conditionalFormatting>
  <conditionalFormatting sqref="K461:K463">
    <cfRule type="expression" priority="4631" dxfId="6434">
      <formula>$B461="Subetapa"</formula>
    </cfRule>
    <cfRule type="expression" priority="4632" dxfId="6433">
      <formula>$B461="Serviço"</formula>
    </cfRule>
  </conditionalFormatting>
  <conditionalFormatting sqref="K473:K476">
    <cfRule type="expression" priority="4629" dxfId="6434">
      <formula>$B473="Subetapa"</formula>
    </cfRule>
    <cfRule type="expression" priority="4630" dxfId="6433">
      <formula>$B473="Serviço"</formula>
    </cfRule>
  </conditionalFormatting>
  <conditionalFormatting sqref="K500:K501">
    <cfRule type="expression" priority="4627" dxfId="6434">
      <formula>$B500="Subetapa"</formula>
    </cfRule>
    <cfRule type="expression" priority="4628" dxfId="6433">
      <formula>$B500="Serviço"</formula>
    </cfRule>
  </conditionalFormatting>
  <conditionalFormatting sqref="K621:K639">
    <cfRule type="expression" priority="4625" dxfId="6434">
      <formula>$B621="Subetapa"</formula>
    </cfRule>
    <cfRule type="expression" priority="4626" dxfId="6433">
      <formula>$B621="Serviço"</formula>
    </cfRule>
  </conditionalFormatting>
  <conditionalFormatting sqref="K738:K741">
    <cfRule type="expression" priority="4621" dxfId="6434">
      <formula>$B738="Subetapa"</formula>
    </cfRule>
    <cfRule type="expression" priority="4622" dxfId="6433">
      <formula>$B738="Serviço"</formula>
    </cfRule>
  </conditionalFormatting>
  <conditionalFormatting sqref="K759:K762">
    <cfRule type="expression" priority="4619" dxfId="6434">
      <formula>$B759="Subetapa"</formula>
    </cfRule>
    <cfRule type="expression" priority="4620" dxfId="6433">
      <formula>$B759="Serviço"</formula>
    </cfRule>
  </conditionalFormatting>
  <conditionalFormatting sqref="K779:K786">
    <cfRule type="expression" priority="4665" dxfId="6434">
      <formula>$B779="Subetapa"</formula>
    </cfRule>
    <cfRule type="expression" priority="4666" dxfId="6433">
      <formula>$B779="Serviço"</formula>
    </cfRule>
  </conditionalFormatting>
  <conditionalFormatting sqref="K814:K834">
    <cfRule type="expression" priority="4617" dxfId="6434">
      <formula>$B814="Subetapa"</formula>
    </cfRule>
    <cfRule type="expression" priority="4618" dxfId="6433">
      <formula>$B814="Serviço"</formula>
    </cfRule>
  </conditionalFormatting>
  <conditionalFormatting sqref="K835:K838">
    <cfRule type="expression" priority="4615" dxfId="6434">
      <formula>$B835="Subetapa"</formula>
    </cfRule>
    <cfRule type="expression" priority="4616" dxfId="6433">
      <formula>$B835="Serviço"</formula>
    </cfRule>
  </conditionalFormatting>
  <conditionalFormatting sqref="K879:K884">
    <cfRule type="expression" priority="4669" dxfId="6434">
      <formula>$B879="Subetapa"</formula>
    </cfRule>
  </conditionalFormatting>
  <conditionalFormatting sqref="K885:K896 K2470:K2524 K2607:K2611 K2719:K2730 K3139:K3142 K3189:K3190 K3195:K3206 K3227:K3228 K3231:K3234 K3247:K3250 K3290:K3309 K3485:K3549 K3556:K3560 K3851:K3857 K3980:K4021 K4098:K4109 K4114:K4121 K4139:K4150 K4163:K4165 K4208:K4210 K4217:K4234 K4264:K4267">
    <cfRule type="expression" priority="4613" dxfId="6433">
      <formula>$B885="Serviço"</formula>
    </cfRule>
  </conditionalFormatting>
  <conditionalFormatting sqref="K885:K896">
    <cfRule type="expression" priority="4612" dxfId="6434">
      <formula>$B885="Subetapa"</formula>
    </cfRule>
  </conditionalFormatting>
  <conditionalFormatting sqref="K879:K884 K918:K929">
    <cfRule type="expression" priority="4668" dxfId="6433">
      <formula>$B879="Serviço"</formula>
    </cfRule>
  </conditionalFormatting>
  <conditionalFormatting sqref="K918:K929">
    <cfRule type="expression" priority="4667" dxfId="6434">
      <formula>$B918="Subetapa"</formula>
    </cfRule>
  </conditionalFormatting>
  <conditionalFormatting sqref="K931:K942">
    <cfRule type="expression" priority="4672" dxfId="6434">
      <formula>$B931="Subetapa"</formula>
    </cfRule>
    <cfRule type="expression" priority="4673" dxfId="6433">
      <formula>$B931="Serviço"</formula>
    </cfRule>
  </conditionalFormatting>
  <conditionalFormatting sqref="I971:K971">
    <cfRule type="expression" priority="5074" dxfId="6424">
      <formula>$B971="Subetapa"</formula>
    </cfRule>
  </conditionalFormatting>
  <conditionalFormatting sqref="K1175:K1185">
    <cfRule type="expression" priority="4610" dxfId="6434">
      <formula>$B1175="Subetapa"</formula>
    </cfRule>
    <cfRule type="expression" priority="4611" dxfId="6433">
      <formula>$B1175="Serviço"</formula>
    </cfRule>
  </conditionalFormatting>
  <conditionalFormatting sqref="K2470:K2524 K2607:K2611 K2719:K2730 K3139:K3142 K3189:K3190 K3195:K3206 K3227:K3228 K3231:K3234 K3247:K3250 K3290:K3309 K3485:K3549 K3556:K3560 K3851:K3857 K3980:K4021 K4098:K4109 K4114:K4121 K4139:K4150 K4163:K4165 K4208:K4210 K4217:K4234 K4264:K4267">
    <cfRule type="expression" priority="4614" dxfId="6434">
      <formula>$B2470="Subetapa"</formula>
    </cfRule>
  </conditionalFormatting>
  <conditionalFormatting sqref="K2181:K2187">
    <cfRule type="expression" priority="5126" dxfId="6424">
      <formula>$B2181="Subetapa"</formula>
    </cfRule>
  </conditionalFormatting>
  <conditionalFormatting sqref="I2188:K2188">
    <cfRule type="expression" priority="5120" dxfId="6424">
      <formula>$B2188="Subetapa"</formula>
    </cfRule>
    <cfRule type="expression" priority="4903" dxfId="6424">
      <formula>$B2188="Subetapa"</formula>
    </cfRule>
  </conditionalFormatting>
  <conditionalFormatting sqref="K2189:K2202">
    <cfRule type="expression" priority="5127" dxfId="6424">
      <formula>$B2189="Subetapa"</formula>
    </cfRule>
  </conditionalFormatting>
  <conditionalFormatting sqref="I2229:K2229 I2235:K2235">
    <cfRule type="expression" priority="4680" dxfId="6434">
      <formula>$B2229="Subetapa"</formula>
    </cfRule>
  </conditionalFormatting>
  <conditionalFormatting sqref="I2231:K2231">
    <cfRule type="expression" priority="4678" dxfId="6433">
      <formula>$B2231="Serviço"</formula>
    </cfRule>
    <cfRule type="expression" priority="4679" dxfId="6434">
      <formula>$B2231="Subetapa"</formula>
    </cfRule>
  </conditionalFormatting>
  <conditionalFormatting sqref="K2331:K2334">
    <cfRule type="expression" priority="4991" dxfId="6424">
      <formula>$B2331="Subetapa"</formula>
    </cfRule>
  </conditionalFormatting>
  <conditionalFormatting sqref="K2335:K2337 K3561:K3565">
    <cfRule type="expression" priority="5041" dxfId="6424">
      <formula>$B2335="Subetapa"</formula>
    </cfRule>
  </conditionalFormatting>
  <conditionalFormatting sqref="K2338:K2341">
    <cfRule type="expression" priority="4608" dxfId="6434">
      <formula>$B2338="Subetapa"</formula>
    </cfRule>
    <cfRule type="expression" priority="4609" dxfId="6433">
      <formula>$B2338="Serviço"</formula>
    </cfRule>
  </conditionalFormatting>
  <conditionalFormatting sqref="K2344:K2346 K2351:K2355">
    <cfRule type="expression" priority="5001" dxfId="6424">
      <formula>$B2344="Subetapa"</formula>
    </cfRule>
  </conditionalFormatting>
  <conditionalFormatting sqref="K2347:K2348">
    <cfRule type="expression" priority="4606" dxfId="6434">
      <formula>$B2347="Subetapa"</formula>
    </cfRule>
    <cfRule type="expression" priority="4607" dxfId="6433">
      <formula>$B2347="Serviço"</formula>
    </cfRule>
  </conditionalFormatting>
  <conditionalFormatting sqref="K2349:K2350">
    <cfRule type="expression" priority="4604" dxfId="6434">
      <formula>$B2349="Subetapa"</formula>
    </cfRule>
    <cfRule type="expression" priority="4605" dxfId="6433">
      <formula>$B2349="Serviço"</formula>
    </cfRule>
  </conditionalFormatting>
  <conditionalFormatting sqref="K2359:K2367 K2369:K2373">
    <cfRule type="expression" priority="5071" dxfId="6424">
      <formula>$B2359="Subetapa"</formula>
    </cfRule>
  </conditionalFormatting>
  <conditionalFormatting sqref="K2374:K2378">
    <cfRule type="expression" priority="4602" dxfId="6434">
      <formula>$B2374="Subetapa"</formula>
    </cfRule>
    <cfRule type="expression" priority="4603" dxfId="6433">
      <formula>$B2374="Serviço"</formula>
    </cfRule>
  </conditionalFormatting>
  <conditionalFormatting sqref="K2765:K2767">
    <cfRule type="expression" priority="4596" dxfId="6434">
      <formula>$B2765="Subetapa"</formula>
    </cfRule>
    <cfRule type="expression" priority="4597" dxfId="6433">
      <formula>$B2765="Serviço"</formula>
    </cfRule>
  </conditionalFormatting>
  <conditionalFormatting sqref="I2768:K2768">
    <cfRule type="expression" priority="4986" dxfId="6424">
      <formula>$B2768="Subetapa"</formula>
    </cfRule>
  </conditionalFormatting>
  <conditionalFormatting sqref="K2806:K2816">
    <cfRule type="expression" priority="4594" dxfId="6434">
      <formula>$B2806="Subetapa"</formula>
    </cfRule>
    <cfRule type="expression" priority="4595" dxfId="6433">
      <formula>$B2806="Serviço"</formula>
    </cfRule>
  </conditionalFormatting>
  <conditionalFormatting sqref="K3056:K3063">
    <cfRule type="expression" priority="4588" dxfId="6434">
      <formula>$B3056="Subetapa"</formula>
    </cfRule>
    <cfRule type="expression" priority="4589" dxfId="6433">
      <formula>$B3056="Serviço"</formula>
    </cfRule>
  </conditionalFormatting>
  <conditionalFormatting sqref="K3089:K3092 K3099:K3106">
    <cfRule type="expression" priority="5128" dxfId="6424">
      <formula>$B3089="Subetapa"</formula>
    </cfRule>
  </conditionalFormatting>
  <conditionalFormatting sqref="K3097:K3098">
    <cfRule type="expression" priority="4586" dxfId="6434">
      <formula>$B3097="Subetapa"</formula>
    </cfRule>
    <cfRule type="expression" priority="4587" dxfId="6433">
      <formula>$B3097="Serviço"</formula>
    </cfRule>
  </conditionalFormatting>
  <conditionalFormatting sqref="K3129:K3136">
    <cfRule type="expression" priority="4584" dxfId="6434">
      <formula>$B3129="Subetapa"</formula>
    </cfRule>
    <cfRule type="expression" priority="4585" dxfId="6433">
      <formula>$B3129="Serviço"</formula>
    </cfRule>
  </conditionalFormatting>
  <conditionalFormatting sqref="K3350:K3379">
    <cfRule type="expression" priority="4974" dxfId="6424">
      <formula>$B3350="Subetapa"</formula>
    </cfRule>
  </conditionalFormatting>
  <conditionalFormatting sqref="K3380:K3469">
    <cfRule type="expression" priority="4976" dxfId="6424">
      <formula>$B3380="Subetapa"</formula>
    </cfRule>
  </conditionalFormatting>
  <conditionalFormatting sqref="K3577:K3588 K3618:K3622">
    <cfRule type="expression" priority="4971" dxfId="6424">
      <formula>$B3577="Subetapa"</formula>
    </cfRule>
  </conditionalFormatting>
  <conditionalFormatting sqref="K3674:K3678">
    <cfRule type="expression" priority="4580" dxfId="6434">
      <formula>$B3674="Subetapa"</formula>
    </cfRule>
    <cfRule type="expression" priority="4581" dxfId="6433">
      <formula>$B3674="Serviço"</formula>
    </cfRule>
  </conditionalFormatting>
  <conditionalFormatting sqref="K3684:K3688">
    <cfRule type="expression" priority="4578" dxfId="6434">
      <formula>$B3684="Subetapa"</formula>
    </cfRule>
    <cfRule type="expression" priority="4579" dxfId="6433">
      <formula>$B3684="Serviço"</formula>
    </cfRule>
  </conditionalFormatting>
  <conditionalFormatting sqref="K3699:K3708">
    <cfRule type="expression" priority="4576" dxfId="6434">
      <formula>$B3699="Subetapa"</formula>
    </cfRule>
    <cfRule type="expression" priority="4577" dxfId="6433">
      <formula>$B3699="Serviço"</formula>
    </cfRule>
  </conditionalFormatting>
  <conditionalFormatting sqref="K3722:K3724">
    <cfRule type="expression" priority="4574" dxfId="6434">
      <formula>$B3722="Subetapa"</formula>
    </cfRule>
    <cfRule type="expression" priority="4575" dxfId="6433">
      <formula>$B3722="Serviço"</formula>
    </cfRule>
  </conditionalFormatting>
  <conditionalFormatting sqref="K3808:K3815">
    <cfRule type="expression" priority="4572" dxfId="6434">
      <formula>$B3808="Subetapa"</formula>
    </cfRule>
    <cfRule type="expression" priority="4573" dxfId="6433">
      <formula>$B3808="Serviço"</formula>
    </cfRule>
  </conditionalFormatting>
  <conditionalFormatting sqref="I3858:K3858">
    <cfRule type="expression" priority="4947" dxfId="6424">
      <formula>$B3858="Subetapa"</formula>
    </cfRule>
  </conditionalFormatting>
  <conditionalFormatting sqref="K3859:K3884">
    <cfRule type="expression" priority="4703" dxfId="6424">
      <formula>$B3859="Subetapa"</formula>
    </cfRule>
  </conditionalFormatting>
  <conditionalFormatting sqref="I3863:K3863">
    <cfRule type="expression" priority="4946" dxfId="6424">
      <formula>$B3863="Subetapa"</formula>
    </cfRule>
  </conditionalFormatting>
  <conditionalFormatting sqref="K3890:K3891">
    <cfRule type="expression" priority="4716" dxfId="6424">
      <formula>$B3890="Subetapa"</formula>
    </cfRule>
  </conditionalFormatting>
  <conditionalFormatting sqref="K3891:K3892">
    <cfRule type="expression" priority="4714" dxfId="6424">
      <formula>$B3891="Subetapa"</formula>
    </cfRule>
  </conditionalFormatting>
  <conditionalFormatting sqref="K3901:K3902">
    <cfRule type="expression" priority="4725" dxfId="6424">
      <formula>$B3901="Subetapa"</formula>
    </cfRule>
  </conditionalFormatting>
  <conditionalFormatting sqref="K3902:K3903">
    <cfRule type="expression" priority="4723" dxfId="6424">
      <formula>$B3902="Subetapa"</formula>
    </cfRule>
  </conditionalFormatting>
  <conditionalFormatting sqref="K3912:K3913">
    <cfRule type="expression" priority="4734" dxfId="6424">
      <formula>$B3912="Subetapa"</formula>
    </cfRule>
  </conditionalFormatting>
  <conditionalFormatting sqref="K3913:K3914">
    <cfRule type="expression" priority="4732" dxfId="6424">
      <formula>$B3913="Subetapa"</formula>
    </cfRule>
  </conditionalFormatting>
  <conditionalFormatting sqref="K3923:K3924">
    <cfRule type="expression" priority="4743" dxfId="6424">
      <formula>$B3923="Subetapa"</formula>
    </cfRule>
  </conditionalFormatting>
  <conditionalFormatting sqref="K3924:K3925">
    <cfRule type="expression" priority="4741" dxfId="6424">
      <formula>$B3924="Subetapa"</formula>
    </cfRule>
  </conditionalFormatting>
  <conditionalFormatting sqref="K3933:K3934">
    <cfRule type="expression" priority="4754" dxfId="6424">
      <formula>$B3933="Subetapa"</formula>
    </cfRule>
  </conditionalFormatting>
  <conditionalFormatting sqref="K3934:K3935">
    <cfRule type="expression" priority="4752" dxfId="6424">
      <formula>$B3934="Subetapa"</formula>
    </cfRule>
  </conditionalFormatting>
  <conditionalFormatting sqref="K3935:K3936">
    <cfRule type="expression" priority="4750" dxfId="6424">
      <formula>$B3935="Subetapa"</formula>
    </cfRule>
  </conditionalFormatting>
  <conditionalFormatting sqref="K3939:K3941">
    <cfRule type="expression" priority="5129" dxfId="6424">
      <formula>$B3939="Subetapa"</formula>
    </cfRule>
  </conditionalFormatting>
  <conditionalFormatting sqref="K3953:K3954">
    <cfRule type="expression" priority="4697" dxfId="6424">
      <formula>$B3953="Subetapa"</formula>
    </cfRule>
  </conditionalFormatting>
  <conditionalFormatting sqref="K3954:K3955">
    <cfRule type="expression" priority="4695" dxfId="6424">
      <formula>$B3954="Subetapa"</formula>
    </cfRule>
  </conditionalFormatting>
  <conditionalFormatting sqref="K4041:K4043 K4051:K4056">
    <cfRule type="expression" priority="4570" dxfId="6434">
      <formula>$B4041="Subetapa"</formula>
    </cfRule>
    <cfRule type="expression" priority="4571" dxfId="6433">
      <formula>$B4041="Serviço"</formula>
    </cfRule>
  </conditionalFormatting>
  <conditionalFormatting sqref="K4068:K4077">
    <cfRule type="expression" priority="4942" dxfId="6424">
      <formula>$B4068="Subetapa"</formula>
    </cfRule>
  </conditionalFormatting>
  <conditionalFormatting sqref="K4122:K4124">
    <cfRule type="expression" priority="4566" dxfId="6434">
      <formula>$B4122="Subetapa"</formula>
    </cfRule>
    <cfRule type="expression" priority="4567" dxfId="6433">
      <formula>$B4122="Serviço"</formula>
    </cfRule>
  </conditionalFormatting>
  <conditionalFormatting sqref="K4125:K4132">
    <cfRule type="expression" priority="4959" dxfId="6424">
      <formula>$B4125="Subetapa"</formula>
    </cfRule>
  </conditionalFormatting>
  <conditionalFormatting sqref="K4152:K4155">
    <cfRule type="expression" priority="5130" dxfId="6424">
      <formula>$B4152="Subetapa"</formula>
    </cfRule>
  </conditionalFormatting>
  <conditionalFormatting sqref="K4156:K4161">
    <cfRule type="expression" priority="4564" dxfId="6434">
      <formula>$B4156="Subetapa"</formula>
    </cfRule>
    <cfRule type="expression" priority="4565" dxfId="6433">
      <formula>$B4156="Serviço"</formula>
    </cfRule>
  </conditionalFormatting>
  <conditionalFormatting sqref="K4187:K4201">
    <cfRule type="expression" priority="5072" dxfId="6424">
      <formula>$B4187="Subetapa"</formula>
    </cfRule>
  </conditionalFormatting>
  <conditionalFormatting sqref="K4245:K4248">
    <cfRule type="expression" priority="4562" dxfId="6434">
      <formula>$B4245="Subetapa"</formula>
    </cfRule>
    <cfRule type="expression" priority="4563" dxfId="6433">
      <formula>$B4245="Serviço"</formula>
    </cfRule>
  </conditionalFormatting>
  <conditionalFormatting sqref="K4279:K4282">
    <cfRule type="expression" priority="4926" dxfId="6424">
      <formula>$B4279="Subetapa"</formula>
    </cfRule>
  </conditionalFormatting>
  <conditionalFormatting sqref="K4328:K4333">
    <cfRule type="expression" priority="5121" dxfId="6424">
      <formula>$B4328="Subetapa"</formula>
    </cfRule>
  </conditionalFormatting>
  <conditionalFormatting sqref="K4334:K4370">
    <cfRule type="expression" priority="4934" dxfId="6424">
      <formula>$B4334="Subetapa"</formula>
    </cfRule>
  </conditionalFormatting>
  <conditionalFormatting sqref="K4434:K4436">
    <cfRule type="expression" priority="5131" dxfId="6424">
      <formula>$B4434="Subetapa"</formula>
    </cfRule>
  </conditionalFormatting>
  <conditionalFormatting sqref="K4459:K4460">
    <cfRule type="expression" priority="5122" dxfId="6424">
      <formula>$B4459="Subetapa"</formula>
    </cfRule>
  </conditionalFormatting>
  <conditionalFormatting sqref="I4463:K4463">
    <cfRule type="expression" priority="5132" dxfId="6424">
      <formula>$B4463="Subetapa"</formula>
    </cfRule>
  </conditionalFormatting>
  <conditionalFormatting sqref="I4482:K4482">
    <cfRule type="expression" priority="5133" dxfId="6424">
      <formula>$B4482="Subetapa"</formula>
    </cfRule>
  </conditionalFormatting>
  <conditionalFormatting sqref="I4572:K4572">
    <cfRule type="expression" priority="4557" dxfId="6433">
      <formula>$B4572="Serviço"</formula>
    </cfRule>
  </conditionalFormatting>
  <conditionalFormatting sqref="K4791:K4800 K4811:K4830">
    <cfRule type="expression" priority="5135" dxfId="6424">
      <formula>$B4791="Subetapa"</formula>
    </cfRule>
  </conditionalFormatting>
  <conditionalFormatting sqref="K4801:K4810">
    <cfRule type="expression" priority="4555" dxfId="6433">
      <formula>$B4801="Serviço"</formula>
    </cfRule>
    <cfRule type="expression" priority="4556" dxfId="6434">
      <formula>$B4801="Subetapa"</formula>
    </cfRule>
  </conditionalFormatting>
  <conditionalFormatting sqref="K4832:K4834">
    <cfRule type="expression" priority="5136" dxfId="6424">
      <formula>$B4832="Subetapa"</formula>
    </cfRule>
  </conditionalFormatting>
  <conditionalFormatting sqref="K4918:K4922">
    <cfRule type="expression" priority="4551" dxfId="6433">
      <formula>$B4918="Serviço"</formula>
    </cfRule>
    <cfRule type="expression" priority="4552" dxfId="6434">
      <formula>$B4918="Subetapa"</formula>
    </cfRule>
  </conditionalFormatting>
  <conditionalFormatting sqref="K4976:K4983">
    <cfRule type="expression" priority="4568" dxfId="6434">
      <formula>$B4976="Subetapa"</formula>
    </cfRule>
    <cfRule type="expression" priority="4569" dxfId="6433">
      <formula>$B4976="Serviço"</formula>
    </cfRule>
  </conditionalFormatting>
  <conditionalFormatting sqref="K345:K360 K370:K383 K385:K460">
    <cfRule type="expression" priority="4871" dxfId="6424">
      <formula>$B345="Subetapa"</formula>
    </cfRule>
  </conditionalFormatting>
  <conditionalFormatting sqref="I1018:K1018 I1168:K1168">
    <cfRule type="expression" priority="4859" dxfId="6424">
      <formula>$B1018="Subetapa"</formula>
    </cfRule>
  </conditionalFormatting>
  <conditionalFormatting sqref="K1186:K1197">
    <cfRule type="expression" priority="4550" dxfId="6424">
      <formula>$B1186="Subetapa"</formula>
    </cfRule>
  </conditionalFormatting>
  <conditionalFormatting sqref="K2053:K2119">
    <cfRule type="expression" priority="4848" dxfId="6424">
      <formula>$B2053="Subetapa"</formula>
    </cfRule>
  </conditionalFormatting>
  <conditionalFormatting sqref="K2755:K2756">
    <cfRule type="expression" priority="4836" dxfId="6424">
      <formula>$B2755="Subetapa"</formula>
    </cfRule>
  </conditionalFormatting>
  <conditionalFormatting sqref="K2770:K2771">
    <cfRule type="expression" priority="4692" dxfId="6424">
      <formula>$B2770="Subetapa"</formula>
    </cfRule>
  </conditionalFormatting>
  <conditionalFormatting sqref="I2760:K2760 I2773:K2805">
    <cfRule type="expression" priority="4909" dxfId="6424">
      <formula>$B2760="Subetapa"</formula>
    </cfRule>
  </conditionalFormatting>
  <conditionalFormatting sqref="K3048:K3055">
    <cfRule type="expression" priority="4542" dxfId="6424">
      <formula>$B3048="Subetapa"</formula>
    </cfRule>
  </conditionalFormatting>
  <conditionalFormatting sqref="I3238:K3238">
    <cfRule type="expression" priority="4818" dxfId="6424">
      <formula>$B3238="Subetapa"</formula>
    </cfRule>
  </conditionalFormatting>
  <conditionalFormatting sqref="K3623:K3673">
    <cfRule type="expression" priority="4812" dxfId="6424">
      <formula>$B3623="Subetapa"</formula>
    </cfRule>
  </conditionalFormatting>
  <conditionalFormatting sqref="K3679:K3683">
    <cfRule type="expression" priority="4541" dxfId="6424">
      <formula>$B3679="Subetapa"</formula>
    </cfRule>
  </conditionalFormatting>
  <conditionalFormatting sqref="K3885:K3889">
    <cfRule type="expression" priority="4772" dxfId="6424">
      <formula>$B3885="Subetapa"</formula>
    </cfRule>
  </conditionalFormatting>
  <conditionalFormatting sqref="I3893:K3893">
    <cfRule type="expression" priority="4719" dxfId="6424">
      <formula>$B3893="Subetapa"</formula>
    </cfRule>
  </conditionalFormatting>
  <conditionalFormatting sqref="K3894:K3900">
    <cfRule type="expression" priority="4769" dxfId="6424">
      <formula>$B3894="Subetapa"</formula>
    </cfRule>
  </conditionalFormatting>
  <conditionalFormatting sqref="I3895:K3895">
    <cfRule type="expression" priority="4804" dxfId="6424">
      <formula>$B3895="Subetapa"</formula>
    </cfRule>
  </conditionalFormatting>
  <conditionalFormatting sqref="I3904:K3904">
    <cfRule type="expression" priority="4728" dxfId="6424">
      <formula>$B3904="Subetapa"</formula>
    </cfRule>
  </conditionalFormatting>
  <conditionalFormatting sqref="K3905:K3911">
    <cfRule type="expression" priority="4766" dxfId="6424">
      <formula>$B3905="Subetapa"</formula>
    </cfRule>
  </conditionalFormatting>
  <conditionalFormatting sqref="I3906:K3906">
    <cfRule type="expression" priority="4803" dxfId="6424">
      <formula>$B3906="Subetapa"</formula>
    </cfRule>
  </conditionalFormatting>
  <conditionalFormatting sqref="I3915:K3915">
    <cfRule type="expression" priority="4737" dxfId="6424">
      <formula>$B3915="Subetapa"</formula>
    </cfRule>
  </conditionalFormatting>
  <conditionalFormatting sqref="K3916:K3922">
    <cfRule type="expression" priority="4763" dxfId="6424">
      <formula>$B3916="Subetapa"</formula>
    </cfRule>
  </conditionalFormatting>
  <conditionalFormatting sqref="I3917:K3917">
    <cfRule type="expression" priority="4802" dxfId="6424">
      <formula>$B3917="Subetapa"</formula>
    </cfRule>
  </conditionalFormatting>
  <conditionalFormatting sqref="I3926:K3926">
    <cfRule type="expression" priority="4746" dxfId="6424">
      <formula>$B3926="Subetapa"</formula>
    </cfRule>
  </conditionalFormatting>
  <conditionalFormatting sqref="K3927:K3932 K3937:K3947">
    <cfRule type="expression" priority="4760" dxfId="6424">
      <formula>$B3927="Subetapa"</formula>
    </cfRule>
  </conditionalFormatting>
  <conditionalFormatting sqref="I3928:K3928">
    <cfRule type="expression" priority="4801" dxfId="6424">
      <formula>$B3928="Subetapa"</formula>
    </cfRule>
  </conditionalFormatting>
  <conditionalFormatting sqref="K3948:K3952">
    <cfRule type="expression" priority="4757" dxfId="6424">
      <formula>$B3948="Subetapa"</formula>
    </cfRule>
  </conditionalFormatting>
  <conditionalFormatting sqref="K3956:K3959 K3962:K3979">
    <cfRule type="expression" priority="4700" dxfId="6424">
      <formula>$B3956="Subetapa"</formula>
    </cfRule>
  </conditionalFormatting>
  <conditionalFormatting sqref="K4283:K4301 K4304:K4321">
    <cfRule type="expression" priority="4789" dxfId="6424">
      <formula>$B4283="Subetapa"</formula>
    </cfRule>
  </conditionalFormatting>
  <conditionalFormatting sqref="K4703:K4720">
    <cfRule type="expression" priority="4874" dxfId="6424">
      <formula>$B4703="Subetapa"</formula>
    </cfRule>
  </conditionalFormatting>
  <conditionalFormatting sqref="K4721:K4724">
    <cfRule type="expression" priority="4790" dxfId="6424">
      <formula>$B4721="Subetapa"</formula>
    </cfRule>
  </conditionalFormatting>
  <conditionalFormatting sqref="K4835:K4836 K4840:K4842 K4971:K4974 K4992:K4997 K5009:K5010">
    <cfRule type="expression" priority="4885" dxfId="6424">
      <formula>$B4835="Subetapa"</formula>
    </cfRule>
  </conditionalFormatting>
  <conditionalFormatting sqref="I4860:K4860">
    <cfRule type="expression" priority="4893" dxfId="6424">
      <formula>$B4860="Subetapa"</formula>
    </cfRule>
  </conditionalFormatting>
  <conditionalFormatting sqref="K4941:K4957">
    <cfRule type="expression" priority="4883" dxfId="6424">
      <formula>$B4941="Subetapa"</formula>
    </cfRule>
  </conditionalFormatting>
  <conditionalFormatting sqref="K4974:K4975 K4984:K4991">
    <cfRule type="expression" priority="4916" dxfId="6424">
      <formula>$B4974="Subetapa"</formula>
    </cfRule>
  </conditionalFormatting>
  <conditionalFormatting sqref="I2736:K2736">
    <cfRule type="expression" priority="4876" dxfId="6424">
      <formula>$B2736="Subetapa"</formula>
    </cfRule>
  </conditionalFormatting>
  <conditionalFormatting sqref="I2192:K2192 I4831:K4831">
    <cfRule type="expression" priority="4880" dxfId="6424">
      <formula>$B2192="Subetapa"</formula>
    </cfRule>
  </conditionalFormatting>
  <conditionalFormatting sqref="K3108:K3128 K3137:K3138">
    <cfRule type="expression" priority="4910" dxfId="6424">
      <formula>$B3108="Subetapa"</formula>
    </cfRule>
  </conditionalFormatting>
  <conditionalFormatting sqref="K4460:K4503">
    <cfRule type="expression" priority="4793" dxfId="6424">
      <formula>$B4460="Subetapa"</formula>
    </cfRule>
  </conditionalFormatting>
  <conditionalFormatting sqref="A195:A212">
    <cfRule type="expression" priority="4457" dxfId="6424">
      <formula>$B195="Subetapa"</formula>
    </cfRule>
  </conditionalFormatting>
  <conditionalFormatting sqref="A4976:A4983">
    <cfRule type="expression" priority="3729" dxfId="6434">
      <formula>$B4976="Subetapa"</formula>
    </cfRule>
    <cfRule type="expression" priority="3730" dxfId="6433">
      <formula>$B4976="Serviço"</formula>
    </cfRule>
  </conditionalFormatting>
  <conditionalFormatting sqref="A4:A151 A153:A194">
    <cfRule type="expression" priority="4406" dxfId="6424">
      <formula>$B4="Subetapa"</formula>
    </cfRule>
  </conditionalFormatting>
  <conditionalFormatting sqref="A271 A273">
    <cfRule type="expression" priority="3826" dxfId="6433">
      <formula>$B271="Serviço"</formula>
    </cfRule>
    <cfRule type="expression" priority="3827" dxfId="6434">
      <formula>$B271="Subetapa"</formula>
    </cfRule>
  </conditionalFormatting>
  <conditionalFormatting sqref="A287:A289 A291 A293 A295">
    <cfRule type="expression" priority="3830" dxfId="6433">
      <formula>$B287="Serviço"</formula>
    </cfRule>
    <cfRule type="expression" priority="3831" dxfId="6434">
      <formula>$B287="Subetapa"</formula>
    </cfRule>
  </conditionalFormatting>
  <conditionalFormatting sqref="A297">
    <cfRule type="expression" priority="3824" dxfId="6433">
      <formula>$B297="Serviço"</formula>
    </cfRule>
    <cfRule type="expression" priority="3825" dxfId="6434">
      <formula>$B297="Subetapa"</formula>
    </cfRule>
  </conditionalFormatting>
  <conditionalFormatting sqref="A345:A360">
    <cfRule type="expression" priority="4481" dxfId="6424">
      <formula>$B345="Subetapa"</formula>
    </cfRule>
  </conditionalFormatting>
  <conditionalFormatting sqref="A461:A463">
    <cfRule type="expression" priority="3822" dxfId="6433">
      <formula>$B461="Serviço"</formula>
    </cfRule>
    <cfRule type="expression" priority="3823" dxfId="6434">
      <formula>$B461="Subetapa"</formula>
    </cfRule>
  </conditionalFormatting>
  <conditionalFormatting sqref="A473:A476">
    <cfRule type="expression" priority="3820" dxfId="6433">
      <formula>$B473="Serviço"</formula>
    </cfRule>
    <cfRule type="expression" priority="3821" dxfId="6434">
      <formula>$B473="Subetapa"</formula>
    </cfRule>
  </conditionalFormatting>
  <conditionalFormatting sqref="A500:A501">
    <cfRule type="expression" priority="3818" dxfId="6433">
      <formula>$B500="Serviço"</formula>
    </cfRule>
    <cfRule type="expression" priority="3819" dxfId="6434">
      <formula>$B500="Subetapa"</formula>
    </cfRule>
  </conditionalFormatting>
  <conditionalFormatting sqref="A621:A639">
    <cfRule type="expression" priority="3816" dxfId="6433">
      <formula>$B621="Serviço"</formula>
    </cfRule>
    <cfRule type="expression" priority="3817" dxfId="6434">
      <formula>$B621="Subetapa"</formula>
    </cfRule>
  </conditionalFormatting>
  <conditionalFormatting sqref="A661:A663">
    <cfRule type="expression" priority="3813" dxfId="6433">
      <formula>$B661="Serviço"</formula>
    </cfRule>
  </conditionalFormatting>
  <conditionalFormatting sqref="A661:A664">
    <cfRule type="expression" priority="3814" dxfId="6434">
      <formula>$B661="Subetapa"</formula>
    </cfRule>
  </conditionalFormatting>
  <conditionalFormatting sqref="A787:A791 A793:A809">
    <cfRule type="expression" priority="4400" dxfId="6424">
      <formula>$B787="Subetapa"</formula>
    </cfRule>
  </conditionalFormatting>
  <conditionalFormatting sqref="A814:A834">
    <cfRule type="expression" priority="3807" dxfId="6433">
      <formula>$B814="Serviço"</formula>
    </cfRule>
    <cfRule type="expression" priority="3808" dxfId="6434">
      <formula>$B814="Subetapa"</formula>
    </cfRule>
  </conditionalFormatting>
  <conditionalFormatting sqref="A835:A838">
    <cfRule type="expression" priority="3805" dxfId="6433">
      <formula>$B835="Serviço"</formula>
    </cfRule>
    <cfRule type="expression" priority="3806" dxfId="6434">
      <formula>$B835="Subetapa"</formula>
    </cfRule>
  </conditionalFormatting>
  <conditionalFormatting sqref="A843:A847">
    <cfRule type="expression" priority="4458" dxfId="6424">
      <formula>$B843="Subetapa"</formula>
    </cfRule>
  </conditionalFormatting>
  <conditionalFormatting sqref="A848:A850">
    <cfRule type="expression" priority="4486" dxfId="6424">
      <formula>$B848="Subetapa"</formula>
    </cfRule>
  </conditionalFormatting>
  <conditionalFormatting sqref="A852:A860">
    <cfRule type="expression" priority="4438" dxfId="6424">
      <formula>$B852="Subetapa"</formula>
    </cfRule>
  </conditionalFormatting>
  <conditionalFormatting sqref="A860:A862">
    <cfRule type="expression" priority="4434" dxfId="6424">
      <formula>$B860="Subetapa"</formula>
    </cfRule>
  </conditionalFormatting>
  <conditionalFormatting sqref="A879:A882">
    <cfRule type="expression" priority="3795" dxfId="6433">
      <formula>$B879="Serviço"</formula>
    </cfRule>
    <cfRule type="expression" priority="3796" dxfId="6434">
      <formula>$B879="Subetapa"</formula>
    </cfRule>
  </conditionalFormatting>
  <conditionalFormatting sqref="A883:A884">
    <cfRule type="expression" priority="3791" dxfId="6433">
      <formula>$B883="Serviço"</formula>
    </cfRule>
    <cfRule type="expression" priority="3792" dxfId="6434">
      <formula>$B883="Subetapa"</formula>
    </cfRule>
  </conditionalFormatting>
  <conditionalFormatting sqref="A895:A896">
    <cfRule type="expression" priority="3803" dxfId="6433">
      <formula>$B895="Serviço"</formula>
    </cfRule>
    <cfRule type="expression" priority="3804" dxfId="6434">
      <formula>$B895="Subetapa"</formula>
    </cfRule>
  </conditionalFormatting>
  <conditionalFormatting sqref="A918:A929">
    <cfRule type="expression" priority="3870" dxfId="6433">
      <formula>$B918="Serviço"</formula>
    </cfRule>
    <cfRule type="expression" priority="3871" dxfId="6434">
      <formula>$B918="Subetapa"</formula>
    </cfRule>
  </conditionalFormatting>
  <conditionalFormatting sqref="A931:A942">
    <cfRule type="expression" priority="3882" dxfId="6433">
      <formula>$B931="Serviço"</formula>
    </cfRule>
    <cfRule type="expression" priority="3883" dxfId="6434">
      <formula>$B931="Subetapa"</formula>
    </cfRule>
  </conditionalFormatting>
  <conditionalFormatting sqref="A943:A956">
    <cfRule type="expression" priority="4074" dxfId="6424">
      <formula>$B943="Subetapa"</formula>
    </cfRule>
  </conditionalFormatting>
  <conditionalFormatting sqref="A957:A962 A1169:A1172">
    <cfRule type="expression" priority="4464" dxfId="6424">
      <formula>$B957="Subetapa"</formula>
    </cfRule>
  </conditionalFormatting>
  <conditionalFormatting sqref="A963:A989">
    <cfRule type="expression" priority="4072" dxfId="6424">
      <formula>$B963="Subetapa"</formula>
    </cfRule>
  </conditionalFormatting>
  <conditionalFormatting sqref="A979:A980">
    <cfRule type="expression" priority="4423" dxfId="6424">
      <formula>$B979="Subetapa"</formula>
    </cfRule>
  </conditionalFormatting>
  <conditionalFormatting sqref="A1175:A1185">
    <cfRule type="expression" priority="3790" dxfId="6434">
      <formula>$B1175="Subetapa"</formula>
    </cfRule>
    <cfRule type="expression" priority="3789" dxfId="6433">
      <formula>$B1175="Serviço"</formula>
    </cfRule>
  </conditionalFormatting>
  <conditionalFormatting sqref="A1290:A1299">
    <cfRule type="expression" priority="3778" dxfId="6433">
      <formula>$B1290="Serviço"</formula>
    </cfRule>
  </conditionalFormatting>
  <conditionalFormatting sqref="A1301:A1310 A1312:A1321 A1323:A1332 A1334:A1343 A1345:A1346">
    <cfRule type="expression" priority="3787" dxfId="6434">
      <formula>$B1301="Subetapa"</formula>
    </cfRule>
  </conditionalFormatting>
  <conditionalFormatting sqref="A1302:A1310 A1313:A1321 A1324:A1332 A1335:A1343 A1356:A1373">
    <cfRule type="expression" priority="3785" dxfId="6434">
      <formula>$B1302="Subetapa"</formula>
    </cfRule>
  </conditionalFormatting>
  <conditionalFormatting sqref="A1257:A1265 A1268:A1276 A1279:A1287 A1302:A1310 A1313:A1321 A1324:A1332 A1335:A1343 A1357:A1361 A1363:A1367 A1369:A1373">
    <cfRule type="expression" priority="3784" dxfId="6433">
      <formula>$B1257="Serviço"</formula>
    </cfRule>
  </conditionalFormatting>
  <conditionalFormatting sqref="A1376:A1385">
    <cfRule type="expression" priority="3786" dxfId="6433">
      <formula>$B1376="Serviço"</formula>
    </cfRule>
  </conditionalFormatting>
  <conditionalFormatting sqref="A1549:A1624">
    <cfRule type="expression" priority="4377" dxfId="6424">
      <formula>$B1549="Subetapa"</formula>
    </cfRule>
  </conditionalFormatting>
  <conditionalFormatting sqref="A1627:A1636">
    <cfRule type="expression" priority="4375" dxfId="6424">
      <formula>$B1627="Subetapa"</formula>
    </cfRule>
  </conditionalFormatting>
  <conditionalFormatting sqref="A1639:A1648">
    <cfRule type="expression" priority="4372" dxfId="6424">
      <formula>$B1639="Subetapa"</formula>
    </cfRule>
  </conditionalFormatting>
  <conditionalFormatting sqref="A1814:A1822">
    <cfRule type="expression" priority="4426" dxfId="6424">
      <formula>$B1814="Subetapa"</formula>
    </cfRule>
  </conditionalFormatting>
  <conditionalFormatting sqref="A1868:A1891">
    <cfRule type="expression" priority="4352" dxfId="6424">
      <formula>$B1868="Subetapa"</formula>
    </cfRule>
  </conditionalFormatting>
  <conditionalFormatting sqref="A1882:A1892">
    <cfRule type="expression" priority="4357" dxfId="6424">
      <formula>$B1882="Subetapa"</formula>
    </cfRule>
  </conditionalFormatting>
  <conditionalFormatting sqref="A1893:A1904">
    <cfRule type="expression" priority="4346" dxfId="6424">
      <formula>$B1893="Subetapa"</formula>
    </cfRule>
  </conditionalFormatting>
  <conditionalFormatting sqref="A1907:A1916">
    <cfRule type="expression" priority="4334" dxfId="6424">
      <formula>$B1907="Subetapa"</formula>
    </cfRule>
  </conditionalFormatting>
  <conditionalFormatting sqref="A1908:A1916">
    <cfRule type="expression" priority="4336" dxfId="6424">
      <formula>$B1908="Subetapa"</formula>
    </cfRule>
  </conditionalFormatting>
  <conditionalFormatting sqref="A1918:A1928">
    <cfRule type="expression" priority="4327" dxfId="6424">
      <formula>$B1918="Subetapa"</formula>
    </cfRule>
  </conditionalFormatting>
  <conditionalFormatting sqref="A1920:A1928">
    <cfRule type="expression" priority="4329" dxfId="6424">
      <formula>$B1920="Subetapa"</formula>
    </cfRule>
  </conditionalFormatting>
  <conditionalFormatting sqref="A1930:A1941">
    <cfRule type="expression" priority="4321" dxfId="6424">
      <formula>$B1930="Subetapa"</formula>
    </cfRule>
  </conditionalFormatting>
  <conditionalFormatting sqref="A1943:A1954">
    <cfRule type="expression" priority="4315" dxfId="6424">
      <formula>$B1943="Subetapa"</formula>
    </cfRule>
  </conditionalFormatting>
  <conditionalFormatting sqref="A1956:A1967">
    <cfRule type="expression" priority="4309" dxfId="6424">
      <formula>$B1956="Subetapa"</formula>
    </cfRule>
  </conditionalFormatting>
  <conditionalFormatting sqref="A1969:A1980">
    <cfRule type="expression" priority="4303" dxfId="6424">
      <formula>$B1969="Subetapa"</formula>
    </cfRule>
  </conditionalFormatting>
  <conditionalFormatting sqref="A1982:A1992">
    <cfRule type="expression" priority="4296" dxfId="6424">
      <formula>$B1982="Subetapa"</formula>
    </cfRule>
  </conditionalFormatting>
  <conditionalFormatting sqref="A1994:A2004">
    <cfRule type="expression" priority="4289" dxfId="6424">
      <formula>$B1994="Subetapa"</formula>
    </cfRule>
  </conditionalFormatting>
  <conditionalFormatting sqref="A2006:A2016">
    <cfRule type="expression" priority="4340" dxfId="6424">
      <formula>$B2006="Subetapa"</formula>
    </cfRule>
  </conditionalFormatting>
  <conditionalFormatting sqref="A2008:A2017">
    <cfRule type="expression" priority="4342" dxfId="6424">
      <formula>$B2008="Subetapa"</formula>
    </cfRule>
  </conditionalFormatting>
  <conditionalFormatting sqref="A2018:A2019 A2021:A2028">
    <cfRule type="expression" priority="4285" dxfId="6424">
      <formula>$B2018="Subetapa"</formula>
    </cfRule>
  </conditionalFormatting>
  <conditionalFormatting sqref="A2031:A2040">
    <cfRule type="expression" priority="4283" dxfId="6424">
      <formula>$B2031="Subetapa"</formula>
    </cfRule>
  </conditionalFormatting>
  <conditionalFormatting sqref="A2043:A2052">
    <cfRule type="expression" priority="4280" dxfId="6424">
      <formula>$B2043="Subetapa"</formula>
    </cfRule>
  </conditionalFormatting>
  <conditionalFormatting sqref="A2054:A2055">
    <cfRule type="expression" priority="4274" dxfId="6424">
      <formula>$B2054="Subetapa"</formula>
    </cfRule>
  </conditionalFormatting>
  <conditionalFormatting sqref="A2055:A2065">
    <cfRule type="expression" priority="4272" dxfId="6424">
      <formula>$B2055="Subetapa"</formula>
    </cfRule>
  </conditionalFormatting>
  <conditionalFormatting sqref="A2056:A2066">
    <cfRule type="expression" priority="4277" dxfId="6424">
      <formula>$B2056="Subetapa"</formula>
    </cfRule>
  </conditionalFormatting>
  <conditionalFormatting sqref="A2105:A2112">
    <cfRule type="expression" priority="4251" dxfId="6424">
      <formula>$B2105="Subetapa"</formula>
    </cfRule>
  </conditionalFormatting>
  <conditionalFormatting sqref="A2113:A2118">
    <cfRule type="expression" priority="4244" dxfId="6424">
      <formula>$B2113="Subetapa"</formula>
    </cfRule>
  </conditionalFormatting>
  <conditionalFormatting sqref="A2120:A2125">
    <cfRule type="expression" priority="4237" dxfId="6424">
      <formula>$B2120="Subetapa"</formula>
    </cfRule>
  </conditionalFormatting>
  <conditionalFormatting sqref="A2127:A2132">
    <cfRule type="expression" priority="4230" dxfId="6424">
      <formula>$B2127="Subetapa"</formula>
    </cfRule>
  </conditionalFormatting>
  <conditionalFormatting sqref="A2134:A2139">
    <cfRule type="expression" priority="4223" dxfId="6424">
      <formula>$B2134="Subetapa"</formula>
    </cfRule>
  </conditionalFormatting>
  <conditionalFormatting sqref="A2179:A2180">
    <cfRule type="expression" priority="4466" dxfId="6424">
      <formula>$B2179="Subetapa"</formula>
    </cfRule>
  </conditionalFormatting>
  <conditionalFormatting sqref="A2181:A2207 A2317:A2330">
    <cfRule type="expression" priority="4411" dxfId="6424">
      <formula>$B2181="Subetapa"</formula>
    </cfRule>
  </conditionalFormatting>
  <conditionalFormatting sqref="A2212:A2223">
    <cfRule type="expression" priority="3895" dxfId="6434">
      <formula>$B2212="Subetapa"</formula>
    </cfRule>
  </conditionalFormatting>
  <conditionalFormatting sqref="A2224:A2243">
    <cfRule type="expression" priority="3896" dxfId="6434">
      <formula>$B2224="Subetapa"</formula>
    </cfRule>
  </conditionalFormatting>
  <conditionalFormatting sqref="A2338:A2341">
    <cfRule type="expression" priority="3771" dxfId="6433">
      <formula>$B2338="Serviço"</formula>
    </cfRule>
    <cfRule type="expression" priority="3772" dxfId="6434">
      <formula>$B2338="Subetapa"</formula>
    </cfRule>
  </conditionalFormatting>
  <conditionalFormatting sqref="A2347:A2348">
    <cfRule type="expression" priority="3769" dxfId="6433">
      <formula>$B2347="Serviço"</formula>
    </cfRule>
    <cfRule type="expression" priority="3770" dxfId="6434">
      <formula>$B2347="Subetapa"</formula>
    </cfRule>
  </conditionalFormatting>
  <conditionalFormatting sqref="A2349:A2350">
    <cfRule type="expression" priority="3767" dxfId="6433">
      <formula>$B2349="Serviço"</formula>
    </cfRule>
    <cfRule type="expression" priority="3768" dxfId="6434">
      <formula>$B2349="Subetapa"</formula>
    </cfRule>
  </conditionalFormatting>
  <conditionalFormatting sqref="A2356:A2357">
    <cfRule type="expression" priority="4210" dxfId="6424">
      <formula>$B2356="Subetapa"</formula>
    </cfRule>
  </conditionalFormatting>
  <conditionalFormatting sqref="A2344:A2345 A2359:A2367 A2369:A2373 A2390:A2434">
    <cfRule type="expression" priority="4430" dxfId="6424">
      <formula>$B2344="Subetapa"</formula>
    </cfRule>
  </conditionalFormatting>
  <conditionalFormatting sqref="A2374:A2378">
    <cfRule type="expression" priority="3765" dxfId="6433">
      <formula>$B2374="Serviço"</formula>
    </cfRule>
    <cfRule type="expression" priority="3766" dxfId="6434">
      <formula>$B2374="Subetapa"</formula>
    </cfRule>
  </conditionalFormatting>
  <conditionalFormatting sqref="A2379:A2388">
    <cfRule type="expression" priority="3763" dxfId="6434">
      <formula>$B2379="Subetapa"</formula>
    </cfRule>
  </conditionalFormatting>
  <conditionalFormatting sqref="A2380:A2383 A2385:A2388">
    <cfRule type="expression" priority="3764" dxfId="6433">
      <formula>$B2380="Serviço"</formula>
    </cfRule>
  </conditionalFormatting>
  <conditionalFormatting sqref="A2435:A2469">
    <cfRule type="expression" priority="4206" dxfId="6424">
      <formula>$B2435="Subetapa"</formula>
    </cfRule>
  </conditionalFormatting>
  <conditionalFormatting sqref="A2470:A2474">
    <cfRule type="expression" priority="3761" dxfId="6433">
      <formula>$B2470="Serviço"</formula>
    </cfRule>
  </conditionalFormatting>
  <conditionalFormatting sqref="A2637:A2661">
    <cfRule type="expression" priority="4059" dxfId="6424">
      <formula>$B2637="Subetapa"</formula>
    </cfRule>
  </conditionalFormatting>
  <conditionalFormatting sqref="A2662:A2669">
    <cfRule type="expression" priority="4051" dxfId="6424">
      <formula>$B2662="Subetapa"</formula>
    </cfRule>
  </conditionalFormatting>
  <conditionalFormatting sqref="A2670:A2672">
    <cfRule type="expression" priority="4053" dxfId="6424">
      <formula>$B2670="Subetapa"</formula>
    </cfRule>
  </conditionalFormatting>
  <conditionalFormatting sqref="A2673:A2674 A2682 A2684:A2685 A2687:A2688 A2690">
    <cfRule type="expression" priority="3760" dxfId="6433">
      <formula>$B2673="Serviço"</formula>
    </cfRule>
    <cfRule type="expression" priority="3759" dxfId="6434">
      <formula>$B2673="Subetapa"</formula>
    </cfRule>
  </conditionalFormatting>
  <conditionalFormatting sqref="A2731:A2735">
    <cfRule type="expression" priority="4057" dxfId="6424">
      <formula>$B2731="Subetapa"</formula>
    </cfRule>
  </conditionalFormatting>
  <conditionalFormatting sqref="A2737:A2753">
    <cfRule type="expression" priority="4055" dxfId="6424">
      <formula>$B2737="Subetapa"</formula>
    </cfRule>
  </conditionalFormatting>
  <conditionalFormatting sqref="A2765:A2767">
    <cfRule type="expression" priority="3757" dxfId="6433">
      <formula>$B2765="Serviço"</formula>
    </cfRule>
    <cfRule type="expression" priority="3758" dxfId="6434">
      <formula>$B2765="Subetapa"</formula>
    </cfRule>
  </conditionalFormatting>
  <conditionalFormatting sqref="A2772:A2787">
    <cfRule type="expression" priority="4203" dxfId="6424">
      <formula>$B2772="Subetapa"</formula>
    </cfRule>
  </conditionalFormatting>
  <conditionalFormatting sqref="A2806:A2816">
    <cfRule type="expression" priority="3756" dxfId="6434">
      <formula>$B2806="Subetapa"</formula>
    </cfRule>
    <cfRule type="expression" priority="3755" dxfId="6433">
      <formula>$B2806="Serviço"</formula>
    </cfRule>
  </conditionalFormatting>
  <conditionalFormatting sqref="A2883:A2884 A3177:A3188 A3247:A3249">
    <cfRule type="expression" priority="3753" dxfId="6434">
      <formula>$B2883="Subetapa"</formula>
    </cfRule>
    <cfRule type="expression" priority="3754" dxfId="6433">
      <formula>$B2883="Serviço"</formula>
    </cfRule>
  </conditionalFormatting>
  <conditionalFormatting sqref="A2911:A2918">
    <cfRule type="expression" priority="4197" dxfId="6424">
      <formula>$B2911="Subetapa"</formula>
    </cfRule>
  </conditionalFormatting>
  <conditionalFormatting sqref="A2937:A2960">
    <cfRule type="expression" priority="4404" dxfId="6424">
      <formula>$B2937="Subetapa"</formula>
    </cfRule>
  </conditionalFormatting>
  <conditionalFormatting sqref="A3023:A3046 A3048:A3055">
    <cfRule type="expression" priority="4489" dxfId="6424">
      <formula>$B3023="Subetapa"</formula>
    </cfRule>
  </conditionalFormatting>
  <conditionalFormatting sqref="A3056:A3063">
    <cfRule type="expression" priority="3751" dxfId="6434">
      <formula>$B3056="Subetapa"</formula>
    </cfRule>
    <cfRule type="expression" priority="3752" dxfId="6433">
      <formula>$B3056="Serviço"</formula>
    </cfRule>
  </conditionalFormatting>
  <conditionalFormatting sqref="A3097:A3098">
    <cfRule type="expression" priority="3750" dxfId="6433">
      <formula>$B3097="Serviço"</formula>
    </cfRule>
    <cfRule type="expression" priority="3749" dxfId="6434">
      <formula>$B3097="Subetapa"</formula>
    </cfRule>
  </conditionalFormatting>
  <conditionalFormatting sqref="A3099:A3106 A3108:A3128 A3137:A3138">
    <cfRule type="expression" priority="4431" dxfId="6424">
      <formula>$B3099="Subetapa"</formula>
    </cfRule>
  </conditionalFormatting>
  <conditionalFormatting sqref="A3129:A3136">
    <cfRule type="expression" priority="3747" dxfId="6434">
      <formula>$B3129="Subetapa"</formula>
    </cfRule>
    <cfRule type="expression" priority="3748" dxfId="6433">
      <formula>$B3129="Serviço"</formula>
    </cfRule>
  </conditionalFormatting>
  <conditionalFormatting sqref="A3350:A3379">
    <cfRule type="expression" priority="4183" dxfId="6424">
      <formula>$B3350="Subetapa"</formula>
    </cfRule>
  </conditionalFormatting>
  <conditionalFormatting sqref="A3380:A3463">
    <cfRule type="expression" priority="4187" dxfId="6424">
      <formula>$B3380="Subetapa"</formula>
    </cfRule>
  </conditionalFormatting>
  <conditionalFormatting sqref="A3464:A3475">
    <cfRule type="expression" priority="4185" dxfId="6424">
      <formula>$B3464="Subetapa"</formula>
    </cfRule>
  </conditionalFormatting>
  <conditionalFormatting sqref="A3623:A3625">
    <cfRule type="expression" priority="4168" dxfId="6424">
      <formula>$B3623="Subetapa"</formula>
    </cfRule>
  </conditionalFormatting>
  <conditionalFormatting sqref="A3626:A3628">
    <cfRule type="expression" priority="4176" dxfId="6424">
      <formula>$B3626="Subetapa"</formula>
    </cfRule>
  </conditionalFormatting>
  <conditionalFormatting sqref="A3640:A3643">
    <cfRule type="expression" priority="4172" dxfId="6424">
      <formula>$B3640="Subetapa"</formula>
    </cfRule>
  </conditionalFormatting>
  <conditionalFormatting sqref="A3662:A3673">
    <cfRule type="expression" priority="4174" dxfId="6424">
      <formula>$B3662="Subetapa"</formula>
    </cfRule>
  </conditionalFormatting>
  <conditionalFormatting sqref="A3674:A3678">
    <cfRule type="expression" priority="3743" dxfId="6433">
      <formula>$B3674="Serviço"</formula>
    </cfRule>
    <cfRule type="expression" priority="3744" dxfId="6434">
      <formula>$B3674="Subetapa"</formula>
    </cfRule>
  </conditionalFormatting>
  <conditionalFormatting sqref="A3679:A3683">
    <cfRule type="expression" priority="4170" dxfId="6424">
      <formula>$B3679="Subetapa"</formula>
    </cfRule>
  </conditionalFormatting>
  <conditionalFormatting sqref="A3684:A3688">
    <cfRule type="expression" priority="3741" dxfId="6433">
      <formula>$B3684="Serviço"</formula>
    </cfRule>
    <cfRule type="expression" priority="3742" dxfId="6434">
      <formula>$B3684="Subetapa"</formula>
    </cfRule>
  </conditionalFormatting>
  <conditionalFormatting sqref="A3699:A3708">
    <cfRule type="expression" priority="3739" dxfId="6433">
      <formula>$B3699="Serviço"</formula>
    </cfRule>
    <cfRule type="expression" priority="3740" dxfId="6434">
      <formula>$B3699="Subetapa"</formula>
    </cfRule>
  </conditionalFormatting>
  <conditionalFormatting sqref="A3722:A3724">
    <cfRule type="expression" priority="3737" dxfId="6433">
      <formula>$B3722="Serviço"</formula>
    </cfRule>
    <cfRule type="expression" priority="3738" dxfId="6434">
      <formula>$B3722="Subetapa"</formula>
    </cfRule>
  </conditionalFormatting>
  <conditionalFormatting sqref="A3731:A3758">
    <cfRule type="expression" priority="4042" dxfId="6424">
      <formula>$B3731="Subetapa"</formula>
    </cfRule>
  </conditionalFormatting>
  <conditionalFormatting sqref="A3767:A3787">
    <cfRule type="expression" priority="4190" dxfId="6424">
      <formula>$B3767="Subetapa"</formula>
    </cfRule>
  </conditionalFormatting>
  <conditionalFormatting sqref="A3788:A3793">
    <cfRule type="expression" priority="4034" dxfId="6424">
      <formula>$B3788="Subetapa"</formula>
    </cfRule>
  </conditionalFormatting>
  <conditionalFormatting sqref="A3794:A3807">
    <cfRule type="expression" priority="4156" dxfId="6424">
      <formula>$B3794="Subetapa"</formula>
    </cfRule>
  </conditionalFormatting>
  <conditionalFormatting sqref="A3808:A3815">
    <cfRule type="expression" priority="3736" dxfId="6433">
      <formula>$B3808="Serviço"</formula>
    </cfRule>
    <cfRule type="expression" priority="3735" dxfId="6434">
      <formula>$B3808="Subetapa"</formula>
    </cfRule>
  </conditionalFormatting>
  <conditionalFormatting sqref="A3846:A3847">
    <cfRule type="expression" priority="4110" dxfId="6424">
      <formula>$B3846="Subetapa"</formula>
    </cfRule>
  </conditionalFormatting>
  <conditionalFormatting sqref="A3858:A3859">
    <cfRule type="expression" priority="4152" dxfId="6424">
      <formula>$B3858="Subetapa"</formula>
    </cfRule>
  </conditionalFormatting>
  <conditionalFormatting sqref="A3861:A3862">
    <cfRule type="expression" priority="4150" dxfId="6424">
      <formula>$B3861="Subetapa"</formula>
    </cfRule>
  </conditionalFormatting>
  <conditionalFormatting sqref="A3864:A3865">
    <cfRule type="expression" priority="4142" dxfId="6424">
      <formula>$B3864="Subetapa"</formula>
    </cfRule>
  </conditionalFormatting>
  <conditionalFormatting sqref="A3883:A3884">
    <cfRule type="expression" priority="4137" dxfId="6424">
      <formula>$B3883="Subetapa"</formula>
    </cfRule>
  </conditionalFormatting>
  <conditionalFormatting sqref="A3894:A3895">
    <cfRule type="expression" priority="4132" dxfId="6424">
      <formula>$B3894="Subetapa"</formula>
    </cfRule>
  </conditionalFormatting>
  <conditionalFormatting sqref="A3905:A3906">
    <cfRule type="expression" priority="4127" dxfId="6424">
      <formula>$B3905="Subetapa"</formula>
    </cfRule>
  </conditionalFormatting>
  <conditionalFormatting sqref="A3916:A3917">
    <cfRule type="expression" priority="4122" dxfId="6424">
      <formula>$B3916="Subetapa"</formula>
    </cfRule>
  </conditionalFormatting>
  <conditionalFormatting sqref="A3927:A3928">
    <cfRule type="expression" priority="4117" dxfId="6424">
      <formula>$B3927="Subetapa"</formula>
    </cfRule>
  </conditionalFormatting>
  <conditionalFormatting sqref="A3929:A3932">
    <cfRule type="expression" priority="3996" dxfId="6424">
      <formula>$B3929="Subetapa"</formula>
    </cfRule>
  </conditionalFormatting>
  <conditionalFormatting sqref="A3938:A3943">
    <cfRule type="expression" priority="4468" dxfId="6424">
      <formula>$B3938="Subetapa"</formula>
    </cfRule>
  </conditionalFormatting>
  <conditionalFormatting sqref="A3944:A3952">
    <cfRule type="expression" priority="3993" dxfId="6424">
      <formula>$B3944="Subetapa"</formula>
    </cfRule>
  </conditionalFormatting>
  <conditionalFormatting sqref="A3956:A3959">
    <cfRule type="expression" priority="3918" dxfId="6424">
      <formula>$B3956="Subetapa"</formula>
    </cfRule>
  </conditionalFormatting>
  <conditionalFormatting sqref="A3983:A3986">
    <cfRule type="expression" priority="3733" dxfId="6433">
      <formula>$B3983="Serviço"</formula>
    </cfRule>
  </conditionalFormatting>
  <conditionalFormatting sqref="A4041:A4043 A4051:A4056">
    <cfRule type="expression" priority="3732" dxfId="6433">
      <formula>$B4041="Serviço"</formula>
    </cfRule>
    <cfRule type="expression" priority="3731" dxfId="6434">
      <formula>$B4041="Subetapa"</formula>
    </cfRule>
  </conditionalFormatting>
  <conditionalFormatting sqref="A4058:A4067">
    <cfRule type="expression" priority="4412" dxfId="6424">
      <formula>$B4058="Subetapa"</formula>
    </cfRule>
  </conditionalFormatting>
  <conditionalFormatting sqref="A4069:A4076">
    <cfRule type="expression" priority="4112" dxfId="6424">
      <formula>$B4069="Subetapa"</formula>
    </cfRule>
  </conditionalFormatting>
  <conditionalFormatting sqref="A4078:A4086 A4152:A4155">
    <cfRule type="expression" priority="4405" dxfId="6424">
      <formula>$B4078="Subetapa"</formula>
    </cfRule>
  </conditionalFormatting>
  <conditionalFormatting sqref="A4088:A4098 A4110:A4113">
    <cfRule type="expression" priority="4476" dxfId="6424">
      <formula>$B4088="Subetapa"</formula>
    </cfRule>
  </conditionalFormatting>
  <conditionalFormatting sqref="A4114:A4115">
    <cfRule type="expression" priority="3723" dxfId="6434">
      <formula>$B4114="Subetapa"</formula>
    </cfRule>
  </conditionalFormatting>
  <conditionalFormatting sqref="A4122:A4124">
    <cfRule type="expression" priority="3726" dxfId="6433">
      <formula>$B4122="Serviço"</formula>
    </cfRule>
    <cfRule type="expression" priority="3727" dxfId="6434">
      <formula>$B4122="Subetapa"</formula>
    </cfRule>
  </conditionalFormatting>
  <conditionalFormatting sqref="A4125:A4134">
    <cfRule type="expression" priority="4162" dxfId="6424">
      <formula>$B4125="Subetapa"</formula>
    </cfRule>
  </conditionalFormatting>
  <conditionalFormatting sqref="A4156:A4161">
    <cfRule type="expression" priority="3721" dxfId="6433">
      <formula>$B4156="Serviço"</formula>
    </cfRule>
    <cfRule type="expression" priority="3722" dxfId="6434">
      <formula>$B4156="Subetapa"</formula>
    </cfRule>
  </conditionalFormatting>
  <conditionalFormatting sqref="A4187:A4201">
    <cfRule type="expression" priority="4443" dxfId="6424">
      <formula>$B4187="Subetapa"</formula>
    </cfRule>
  </conditionalFormatting>
  <conditionalFormatting sqref="A4245:A4248">
    <cfRule type="expression" priority="3719" dxfId="6433">
      <formula>$B4245="Serviço"</formula>
    </cfRule>
    <cfRule type="expression" priority="3720" dxfId="6434">
      <formula>$B4245="Subetapa"</formula>
    </cfRule>
  </conditionalFormatting>
  <conditionalFormatting sqref="A4296:A4301">
    <cfRule type="expression" priority="4105" dxfId="6424">
      <formula>$B4296="Subetapa"</formula>
    </cfRule>
  </conditionalFormatting>
  <conditionalFormatting sqref="A4323:A4372">
    <cfRule type="expression" priority="4103" dxfId="6424">
      <formula>$B4323="Subetapa"</formula>
    </cfRule>
  </conditionalFormatting>
  <conditionalFormatting sqref="A4373:A4402">
    <cfRule type="expression" priority="3717" dxfId="6434">
      <formula>$B4373="Subetapa"</formula>
    </cfRule>
    <cfRule type="expression" priority="3718" dxfId="6433">
      <formula>$B4373="Serviço"</formula>
    </cfRule>
  </conditionalFormatting>
  <conditionalFormatting sqref="A4403:A4427">
    <cfRule type="expression" priority="4108" dxfId="6424">
      <formula>$B4403="Subetapa"</formula>
    </cfRule>
  </conditionalFormatting>
  <conditionalFormatting sqref="A4456:A4457">
    <cfRule type="expression" priority="4519" dxfId="6424">
      <formula>$B4456="Subetapa"</formula>
    </cfRule>
  </conditionalFormatting>
  <conditionalFormatting sqref="A4462:A4463">
    <cfRule type="expression" priority="4469" dxfId="6424">
      <formula>$B4462="Subetapa"</formula>
    </cfRule>
  </conditionalFormatting>
  <conditionalFormatting sqref="A4573:A4585 A4598:A4609">
    <cfRule type="expression" priority="4100" dxfId="6424">
      <formula>$B4573="Subetapa"</formula>
    </cfRule>
  </conditionalFormatting>
  <conditionalFormatting sqref="A4686:A4699">
    <cfRule type="expression" priority="3715" dxfId="6434">
      <formula>$B4686="Subetapa"</formula>
    </cfRule>
    <cfRule type="expression" priority="3716" dxfId="6433">
      <formula>$B4686="Serviço"</formula>
    </cfRule>
  </conditionalFormatting>
  <conditionalFormatting sqref="A3759:A3766 A3962:A3969 A4723:A4726 A4984:A5027">
    <cfRule type="expression" priority="4494" dxfId="6424">
      <formula>$B3759="Subetapa"</formula>
    </cfRule>
  </conditionalFormatting>
  <conditionalFormatting sqref="A4727:A4790">
    <cfRule type="expression" priority="4419" dxfId="6424">
      <formula>$B4727="Subetapa"</formula>
    </cfRule>
  </conditionalFormatting>
  <conditionalFormatting sqref="A4801:A4810">
    <cfRule type="expression" priority="3713" dxfId="6433">
      <formula>$B4801="Serviço"</formula>
    </cfRule>
    <cfRule type="expression" priority="3714" dxfId="6434">
      <formula>$B4801="Subetapa"</formula>
    </cfRule>
  </conditionalFormatting>
  <conditionalFormatting sqref="A4872:A4917 A4923:A4931">
    <cfRule type="expression" priority="4470" dxfId="6424">
      <formula>$B4872="Subetapa"</formula>
    </cfRule>
  </conditionalFormatting>
  <conditionalFormatting sqref="A4918:A4922">
    <cfRule type="expression" priority="3711" dxfId="6433">
      <formula>$B4918="Serviço"</formula>
    </cfRule>
    <cfRule type="expression" priority="3712" dxfId="6434">
      <formula>$B4918="Subetapa"</formula>
    </cfRule>
  </conditionalFormatting>
  <conditionalFormatting sqref="A4933:A4975">
    <cfRule type="expression" priority="4471" dxfId="6424">
      <formula>$B4933="Subetapa"</formula>
    </cfRule>
  </conditionalFormatting>
  <conditionalFormatting sqref="A303">
    <cfRule type="expression" priority="3837" dxfId="6424">
      <formula>$B303="Subetapa"</formula>
    </cfRule>
  </conditionalFormatting>
  <conditionalFormatting sqref="A810:A813 A839:A842">
    <cfRule type="expression" priority="3709" dxfId="6424">
      <formula>$B810="Subetapa"</formula>
    </cfRule>
  </conditionalFormatting>
  <conditionalFormatting sqref="A881">
    <cfRule type="expression" priority="3793" dxfId="6433">
      <formula>$B881="Serviço"</formula>
    </cfRule>
    <cfRule type="expression" priority="3794" dxfId="6434">
      <formula>$B881="Subetapa"</formula>
    </cfRule>
  </conditionalFormatting>
  <conditionalFormatting sqref="A894">
    <cfRule type="expression" priority="3797" dxfId="6433">
      <formula>$B894="Serviço"</formula>
    </cfRule>
    <cfRule type="expression" priority="3798" dxfId="6434">
      <formula>$B894="Subetapa"</formula>
    </cfRule>
  </conditionalFormatting>
  <conditionalFormatting sqref="A896">
    <cfRule type="expression" priority="3799" dxfId="6433">
      <formula>$B896="Serviço"</formula>
    </cfRule>
    <cfRule type="expression" priority="3800" dxfId="6434">
      <formula>$B896="Subetapa"</formula>
    </cfRule>
  </conditionalFormatting>
  <conditionalFormatting sqref="A923">
    <cfRule type="expression" priority="3860" dxfId="6433">
      <formula>$B923="Serviço"</formula>
    </cfRule>
    <cfRule type="expression" priority="3861" dxfId="6434">
      <formula>$B923="Subetapa"</formula>
    </cfRule>
  </conditionalFormatting>
  <conditionalFormatting sqref="A926">
    <cfRule type="expression" priority="3864" dxfId="6433">
      <formula>$B926="Serviço"</formula>
    </cfRule>
    <cfRule type="expression" priority="3865" dxfId="6434">
      <formula>$B926="Subetapa"</formula>
    </cfRule>
  </conditionalFormatting>
  <conditionalFormatting sqref="A929">
    <cfRule type="expression" priority="3866" dxfId="6433">
      <formula>$B929="Serviço"</formula>
    </cfRule>
    <cfRule type="expression" priority="3867" dxfId="6434">
      <formula>$B929="Subetapa"</formula>
    </cfRule>
  </conditionalFormatting>
  <conditionalFormatting sqref="A933">
    <cfRule type="expression" priority="3876" dxfId="6433">
      <formula>$B933="Serviço"</formula>
    </cfRule>
    <cfRule type="expression" priority="3877" dxfId="6434">
      <formula>$B933="Subetapa"</formula>
    </cfRule>
  </conditionalFormatting>
  <conditionalFormatting sqref="A936">
    <cfRule type="expression" priority="3874" dxfId="6433">
      <formula>$B936="Serviço"</formula>
    </cfRule>
    <cfRule type="expression" priority="3875" dxfId="6434">
      <formula>$B936="Subetapa"</formula>
    </cfRule>
  </conditionalFormatting>
  <conditionalFormatting sqref="A939">
    <cfRule type="expression" priority="3878" dxfId="6433">
      <formula>$B939="Serviço"</formula>
    </cfRule>
    <cfRule type="expression" priority="3879" dxfId="6434">
      <formula>$B939="Subetapa"</formula>
    </cfRule>
  </conditionalFormatting>
  <conditionalFormatting sqref="A942">
    <cfRule type="expression" priority="3880" dxfId="6433">
      <formula>$B942="Serviço"</formula>
    </cfRule>
    <cfRule type="expression" priority="3881" dxfId="6434">
      <formula>$B942="Subetapa"</formula>
    </cfRule>
  </conditionalFormatting>
  <conditionalFormatting sqref="A959 A962">
    <cfRule type="expression" priority="4508" dxfId="6424">
      <formula>$B959="Subetapa"</formula>
    </cfRule>
  </conditionalFormatting>
  <conditionalFormatting sqref="A1186:A1197 A2612:A2636 A2962:A2963 A3215:A3226 A3229:A3230 A3235:A3242 A3251:A3264 A3285:A3289 A3311:A3324 A3340:A3349 A3550:A3555 A3689:A3698 A4206:A4207 A4211:A4216 A4249:A4263 A4268:A4271 A4457:A4461">
    <cfRule type="expression" priority="4393" dxfId="6424">
      <formula>$B1186="Subetapa"</formula>
    </cfRule>
  </conditionalFormatting>
  <conditionalFormatting sqref="A1290">
    <cfRule type="expression" priority="3779" dxfId="6434">
      <formula>$B1290="Subetapa"</formula>
    </cfRule>
  </conditionalFormatting>
  <conditionalFormatting sqref="A1300">
    <cfRule type="expression" priority="3774" dxfId="6434">
      <formula>$B1300="Subetapa"</formula>
    </cfRule>
  </conditionalFormatting>
  <conditionalFormatting sqref="A1311">
    <cfRule type="expression" priority="3775" dxfId="6434">
      <formula>$B1311="Subetapa"</formula>
    </cfRule>
  </conditionalFormatting>
  <conditionalFormatting sqref="A1322">
    <cfRule type="expression" priority="3776" dxfId="6434">
      <formula>$B1322="Subetapa"</formula>
    </cfRule>
  </conditionalFormatting>
  <conditionalFormatting sqref="A1333">
    <cfRule type="expression" priority="3777" dxfId="6434">
      <formula>$B1333="Subetapa"</formula>
    </cfRule>
  </conditionalFormatting>
  <conditionalFormatting sqref="A1344">
    <cfRule type="expression" priority="3773" dxfId="6434">
      <formula>$B1344="Subetapa"</formula>
    </cfRule>
  </conditionalFormatting>
  <conditionalFormatting sqref="A1386:A1396 A1535 A1541 A1548 A1626 A1638">
    <cfRule type="expression" priority="4379" dxfId="6424">
      <formula>$B1386="Subetapa"</formula>
    </cfRule>
  </conditionalFormatting>
  <conditionalFormatting sqref="A1542:A1546">
    <cfRule type="expression" priority="3699" dxfId="6424">
      <formula>$B1542="Subetapa"</formula>
    </cfRule>
  </conditionalFormatting>
  <conditionalFormatting sqref="A1650:A1842">
    <cfRule type="expression" priority="3708" dxfId="6424">
      <formula>$B1650="Subetapa"</formula>
    </cfRule>
  </conditionalFormatting>
  <conditionalFormatting sqref="A1844:A1854">
    <cfRule type="expression" priority="3707" dxfId="6424">
      <formula>$B1844="Subetapa"</formula>
    </cfRule>
  </conditionalFormatting>
  <conditionalFormatting sqref="A1856:A1866">
    <cfRule type="expression" priority="3706" dxfId="6424">
      <formula>$B1856="Subetapa"</formula>
    </cfRule>
  </conditionalFormatting>
  <conditionalFormatting sqref="A1869 A1871:A1879">
    <cfRule type="expression" priority="4354" dxfId="6424">
      <formula>$B1869="Subetapa"</formula>
    </cfRule>
  </conditionalFormatting>
  <conditionalFormatting sqref="A1870">
    <cfRule type="expression" priority="4350" dxfId="6424">
      <formula>$B1870="Subetapa"</formula>
    </cfRule>
  </conditionalFormatting>
  <conditionalFormatting sqref="A1894 A1896:A1906">
    <cfRule type="expression" priority="4348" dxfId="6424">
      <formula>$B1894="Subetapa"</formula>
    </cfRule>
  </conditionalFormatting>
  <conditionalFormatting sqref="A1931 A1933:A1941">
    <cfRule type="expression" priority="4323" dxfId="6424">
      <formula>$B1931="Subetapa"</formula>
    </cfRule>
  </conditionalFormatting>
  <conditionalFormatting sqref="A1944 A1946:A1954">
    <cfRule type="expression" priority="4317" dxfId="6424">
      <formula>$B1944="Subetapa"</formula>
    </cfRule>
  </conditionalFormatting>
  <conditionalFormatting sqref="A1957 A1959:A1967">
    <cfRule type="expression" priority="4311" dxfId="6424">
      <formula>$B1957="Subetapa"</formula>
    </cfRule>
  </conditionalFormatting>
  <conditionalFormatting sqref="A1970 A1972:A1980">
    <cfRule type="expression" priority="4305" dxfId="6424">
      <formula>$B1970="Subetapa"</formula>
    </cfRule>
  </conditionalFormatting>
  <conditionalFormatting sqref="A2020">
    <cfRule type="expression" priority="4090" dxfId="6424">
      <formula>$B2020="Subetapa"</formula>
    </cfRule>
  </conditionalFormatting>
  <conditionalFormatting sqref="A2042:A2052">
    <cfRule type="expression" priority="3705" dxfId="6424">
      <formula>$B2042="Subetapa"</formula>
    </cfRule>
  </conditionalFormatting>
  <conditionalFormatting sqref="A2068">
    <cfRule type="expression" priority="4266" dxfId="6424">
      <formula>$B2068="Subetapa"</formula>
    </cfRule>
  </conditionalFormatting>
  <conditionalFormatting sqref="A2081">
    <cfRule type="expression" priority="4260" dxfId="6424">
      <formula>$B2081="Subetapa"</formula>
    </cfRule>
  </conditionalFormatting>
  <conditionalFormatting sqref="A2094">
    <cfRule type="expression" priority="4254" dxfId="6424">
      <formula>$B2094="Subetapa"</formula>
    </cfRule>
  </conditionalFormatting>
  <conditionalFormatting sqref="A2331:A2336">
    <cfRule type="expression" priority="3704" dxfId="6424">
      <formula>$B2331="Subetapa"</formula>
    </cfRule>
  </conditionalFormatting>
  <conditionalFormatting sqref="A2346">
    <cfRule type="expression" priority="4208" dxfId="6424">
      <formula>$B2346="Subetapa"</formula>
    </cfRule>
  </conditionalFormatting>
  <conditionalFormatting sqref="A2379 A2384">
    <cfRule type="expression" priority="3762" dxfId="6433">
      <formula>$B2379="Serviço"</formula>
    </cfRule>
  </conditionalFormatting>
  <conditionalFormatting sqref="A2692:A2718">
    <cfRule type="expression" priority="3698" dxfId="6424">
      <formula>$B2692="Subetapa"</formula>
    </cfRule>
  </conditionalFormatting>
  <conditionalFormatting sqref="A2756:A2764">
    <cfRule type="expression" priority="3694" dxfId="6424">
      <formula>$B2756="Subetapa"</formula>
    </cfRule>
  </conditionalFormatting>
  <conditionalFormatting sqref="A2768">
    <cfRule type="expression" priority="4202" dxfId="6424">
      <formula>$B2768="Subetapa"</formula>
    </cfRule>
  </conditionalFormatting>
  <conditionalFormatting sqref="A2876">
    <cfRule type="expression" priority="4200" dxfId="6424">
      <formula>$B2876="Subetapa"</formula>
    </cfRule>
  </conditionalFormatting>
  <conditionalFormatting sqref="A2885:A2889 A2905:A2910">
    <cfRule type="expression" priority="3697" dxfId="6424">
      <formula>$B2885="Subetapa"</formula>
    </cfRule>
  </conditionalFormatting>
  <conditionalFormatting sqref="A3107">
    <cfRule type="expression" priority="4192" dxfId="6424">
      <formula>$B3107="Subetapa"</formula>
    </cfRule>
  </conditionalFormatting>
  <conditionalFormatting sqref="A3561:A3575">
    <cfRule type="expression" priority="3703" dxfId="6424">
      <formula>$B3561="Subetapa"</formula>
    </cfRule>
  </conditionalFormatting>
  <conditionalFormatting sqref="A3577:A3588 A3618:A3621">
    <cfRule type="expression" priority="3702" dxfId="6424">
      <formula>$B3577="Subetapa"</formula>
    </cfRule>
  </conditionalFormatting>
  <conditionalFormatting sqref="A3816:A3845">
    <cfRule type="expression" priority="3696" dxfId="6424">
      <formula>$B3816="Subetapa"</formula>
    </cfRule>
  </conditionalFormatting>
  <conditionalFormatting sqref="A3848:A3850">
    <cfRule type="expression" priority="3700" dxfId="6424">
      <formula>$B3848="Subetapa"</formula>
    </cfRule>
  </conditionalFormatting>
  <conditionalFormatting sqref="A3937">
    <cfRule type="expression" priority="3997" dxfId="6424">
      <formula>$B3937="Subetapa"</formula>
    </cfRule>
  </conditionalFormatting>
  <conditionalFormatting sqref="A3991">
    <cfRule type="expression" priority="3734" dxfId="6433">
      <formula>$B3991="Serviço"</formula>
    </cfRule>
  </conditionalFormatting>
  <conditionalFormatting sqref="A4124">
    <cfRule type="expression" priority="3724" dxfId="6433">
      <formula>$B4124="Serviço"</formula>
    </cfRule>
    <cfRule type="expression" priority="3725" dxfId="6434">
      <formula>$B4124="Subetapa"</formula>
    </cfRule>
  </conditionalFormatting>
  <conditionalFormatting sqref="A4460">
    <cfRule type="expression" priority="4417" dxfId="6424">
      <formula>$B4460="Subetapa"</formula>
    </cfRule>
  </conditionalFormatting>
  <conditionalFormatting sqref="A4482">
    <cfRule type="expression" priority="4418" dxfId="6424">
      <formula>$B4482="Subetapa"</formula>
    </cfRule>
  </conditionalFormatting>
  <conditionalFormatting sqref="A4701:A4702">
    <cfRule type="expression" priority="3695" dxfId="6424">
      <formula>$B4701="Subetapa"</formula>
    </cfRule>
  </conditionalFormatting>
  <conditionalFormatting sqref="A323">
    <cfRule type="expression" priority="4507" dxfId="6424">
      <formula>$B323="Subetapa"</formula>
    </cfRule>
  </conditionalFormatting>
  <conditionalFormatting sqref="A1842">
    <cfRule type="expression" priority="4366" dxfId="6424">
      <formula>$B1842="Subetapa"</formula>
    </cfRule>
  </conditionalFormatting>
  <conditionalFormatting sqref="A2769">
    <cfRule type="expression" priority="3901" dxfId="6424">
      <formula>$B2769="Subetapa"</formula>
    </cfRule>
  </conditionalFormatting>
  <conditionalFormatting sqref="A2770">
    <cfRule type="expression" priority="3905" dxfId="6424">
      <formula>$B2770="Subetapa"</formula>
    </cfRule>
  </conditionalFormatting>
  <conditionalFormatting sqref="A2771">
    <cfRule type="expression" priority="3903" dxfId="6424">
      <formula>$B2771="Subetapa"</formula>
    </cfRule>
  </conditionalFormatting>
  <conditionalFormatting sqref="A4932">
    <cfRule type="expression" priority="4496" dxfId="6424">
      <formula>$B4932="Subetapa"</formula>
    </cfRule>
  </conditionalFormatting>
  <conditionalFormatting sqref="A2007">
    <cfRule type="expression" priority="4338" dxfId="6424">
      <formula>$B2007="Subetapa"</formula>
    </cfRule>
  </conditionalFormatting>
  <conditionalFormatting sqref="A3865">
    <cfRule type="expression" priority="4141" dxfId="6424">
      <formula>$B3865="Subetapa"</formula>
    </cfRule>
  </conditionalFormatting>
  <conditionalFormatting sqref="A3871">
    <cfRule type="expression" priority="3927" dxfId="6424">
      <formula>$B3871="Subetapa"</formula>
    </cfRule>
  </conditionalFormatting>
  <conditionalFormatting sqref="A3872">
    <cfRule type="expression" priority="3924" dxfId="6424">
      <formula>$B3872="Subetapa"</formula>
    </cfRule>
  </conditionalFormatting>
  <conditionalFormatting sqref="A3873">
    <cfRule type="expression" priority="3921" dxfId="6424">
      <formula>$B3873="Subetapa"</formula>
    </cfRule>
  </conditionalFormatting>
  <conditionalFormatting sqref="A3884">
    <cfRule type="expression" priority="4136" dxfId="6424">
      <formula>$B3884="Subetapa"</formula>
    </cfRule>
  </conditionalFormatting>
  <conditionalFormatting sqref="A3890">
    <cfRule type="expression" priority="3939" dxfId="6424">
      <formula>$B3890="Subetapa"</formula>
    </cfRule>
  </conditionalFormatting>
  <conditionalFormatting sqref="A3891">
    <cfRule type="expression" priority="3936" dxfId="6424">
      <formula>$B3891="Subetapa"</formula>
    </cfRule>
  </conditionalFormatting>
  <conditionalFormatting sqref="A3892">
    <cfRule type="expression" priority="3933" dxfId="6424">
      <formula>$B3892="Subetapa"</formula>
    </cfRule>
  </conditionalFormatting>
  <conditionalFormatting sqref="A3895">
    <cfRule type="expression" priority="4131" dxfId="6424">
      <formula>$B3895="Subetapa"</formula>
    </cfRule>
  </conditionalFormatting>
  <conditionalFormatting sqref="A3901">
    <cfRule type="expression" priority="3951" dxfId="6424">
      <formula>$B3901="Subetapa"</formula>
    </cfRule>
  </conditionalFormatting>
  <conditionalFormatting sqref="A3902">
    <cfRule type="expression" priority="3948" dxfId="6424">
      <formula>$B3902="Subetapa"</formula>
    </cfRule>
  </conditionalFormatting>
  <conditionalFormatting sqref="A3903">
    <cfRule type="expression" priority="3945" dxfId="6424">
      <formula>$B3903="Subetapa"</formula>
    </cfRule>
  </conditionalFormatting>
  <conditionalFormatting sqref="A3906">
    <cfRule type="expression" priority="4126" dxfId="6424">
      <formula>$B3906="Subetapa"</formula>
    </cfRule>
  </conditionalFormatting>
  <conditionalFormatting sqref="A3912">
    <cfRule type="expression" priority="3963" dxfId="6424">
      <formula>$B3912="Subetapa"</formula>
    </cfRule>
  </conditionalFormatting>
  <conditionalFormatting sqref="A3913">
    <cfRule type="expression" priority="3960" dxfId="6424">
      <formula>$B3913="Subetapa"</formula>
    </cfRule>
  </conditionalFormatting>
  <conditionalFormatting sqref="A3914">
    <cfRule type="expression" priority="3957" dxfId="6424">
      <formula>$B3914="Subetapa"</formula>
    </cfRule>
  </conditionalFormatting>
  <conditionalFormatting sqref="A3917">
    <cfRule type="expression" priority="4121" dxfId="6424">
      <formula>$B3917="Subetapa"</formula>
    </cfRule>
  </conditionalFormatting>
  <conditionalFormatting sqref="A3923">
    <cfRule type="expression" priority="3975" dxfId="6424">
      <formula>$B3923="Subetapa"</formula>
    </cfRule>
  </conditionalFormatting>
  <conditionalFormatting sqref="A3924">
    <cfRule type="expression" priority="3972" dxfId="6424">
      <formula>$B3924="Subetapa"</formula>
    </cfRule>
  </conditionalFormatting>
  <conditionalFormatting sqref="A3925">
    <cfRule type="expression" priority="3969" dxfId="6424">
      <formula>$B3925="Subetapa"</formula>
    </cfRule>
  </conditionalFormatting>
  <conditionalFormatting sqref="A3933">
    <cfRule type="expression" priority="3990" dxfId="6424">
      <formula>$B3933="Subetapa"</formula>
    </cfRule>
  </conditionalFormatting>
  <conditionalFormatting sqref="A3934">
    <cfRule type="expression" priority="3987" dxfId="6424">
      <formula>$B3934="Subetapa"</formula>
    </cfRule>
  </conditionalFormatting>
  <conditionalFormatting sqref="A3935">
    <cfRule type="expression" priority="3984" dxfId="6424">
      <formula>$B3935="Subetapa"</formula>
    </cfRule>
  </conditionalFormatting>
  <conditionalFormatting sqref="A3936">
    <cfRule type="expression" priority="3981" dxfId="6424">
      <formula>$B3936="Subetapa"</formula>
    </cfRule>
  </conditionalFormatting>
  <conditionalFormatting sqref="A3953">
    <cfRule type="expression" priority="3914" dxfId="6424">
      <formula>$B3953="Subetapa"</formula>
    </cfRule>
  </conditionalFormatting>
  <conditionalFormatting sqref="A3954">
    <cfRule type="expression" priority="3911" dxfId="6424">
      <formula>$B3954="Subetapa"</formula>
    </cfRule>
  </conditionalFormatting>
  <conditionalFormatting sqref="A3955">
    <cfRule type="expression" priority="3908" dxfId="6424">
      <formula>$B3955="Subetapa"</formula>
    </cfRule>
  </conditionalFormatting>
  <conditionalFormatting sqref="A1547">
    <cfRule type="expression" priority="4378" dxfId="6424">
      <formula>$B1547="Subetapa"</formula>
    </cfRule>
  </conditionalFormatting>
  <conditionalFormatting sqref="A1625">
    <cfRule type="expression" priority="4376" dxfId="6424">
      <formula>$B1625="Subetapa"</formula>
    </cfRule>
  </conditionalFormatting>
  <conditionalFormatting sqref="A1637">
    <cfRule type="expression" priority="4374" dxfId="6424">
      <formula>$B1637="Subetapa"</formula>
    </cfRule>
  </conditionalFormatting>
  <conditionalFormatting sqref="A1649">
    <cfRule type="expression" priority="4370" dxfId="6424">
      <formula>$B1649="Subetapa"</formula>
    </cfRule>
  </conditionalFormatting>
  <conditionalFormatting sqref="A1895">
    <cfRule type="expression" priority="4344" dxfId="6424">
      <formula>$B1895="Subetapa"</formula>
    </cfRule>
  </conditionalFormatting>
  <conditionalFormatting sqref="A3243">
    <cfRule type="expression" priority="3745" dxfId="6433">
      <formula>$B3243="Serviço"</formula>
    </cfRule>
  </conditionalFormatting>
  <conditionalFormatting sqref="A3622">
    <cfRule type="expression" priority="4189" dxfId="6424">
      <formula>$B3622="Subetapa"</formula>
    </cfRule>
  </conditionalFormatting>
  <conditionalFormatting sqref="A3860">
    <cfRule type="expression" priority="4148" dxfId="6424">
      <formula>$B3860="Subetapa"</formula>
    </cfRule>
  </conditionalFormatting>
  <conditionalFormatting sqref="A3970:A3979">
    <cfRule type="expression" priority="4028" dxfId="6424">
      <formula>$B3970="Subetapa"</formula>
    </cfRule>
  </conditionalFormatting>
  <conditionalFormatting sqref="A4068">
    <cfRule type="expression" priority="4153" dxfId="6424">
      <formula>$B4068="Subetapa"</formula>
    </cfRule>
  </conditionalFormatting>
  <conditionalFormatting sqref="A4077">
    <cfRule type="expression" priority="4154" dxfId="6424">
      <formula>$B4077="Subetapa"</formula>
    </cfRule>
  </conditionalFormatting>
  <conditionalFormatting sqref="A4087">
    <cfRule type="expression" priority="4166" dxfId="6424">
      <formula>$B4087="Subetapa"</formula>
    </cfRule>
  </conditionalFormatting>
  <conditionalFormatting sqref="A4205 A4235:A4244">
    <cfRule type="expression" priority="4095" dxfId="6424">
      <formula>$B4205="Subetapa"</formula>
    </cfRule>
  </conditionalFormatting>
  <conditionalFormatting sqref="A1016 A1536:A1540 A2877:A2882 A4135:A4138 A4283:A4290">
    <cfRule type="expression" priority="4077" dxfId="6424">
      <formula>$B1016="Subetapa"</formula>
    </cfRule>
  </conditionalFormatting>
  <conditionalFormatting sqref="A1843 A1855 A1867 A1917 A1929 A1942 A1955 A1968 A1981 A1993 A2005">
    <cfRule type="expression" priority="4065" dxfId="6424">
      <formula>$B1843="Subetapa"</formula>
    </cfRule>
  </conditionalFormatting>
  <conditionalFormatting sqref="A2041 A2053">
    <cfRule type="expression" priority="4063" dxfId="6424">
      <formula>$B2041="Subetapa"</formula>
    </cfRule>
  </conditionalFormatting>
  <conditionalFormatting sqref="A2168">
    <cfRule type="expression" priority="4082" dxfId="6424">
      <formula>$B2168="Subetapa"</formula>
    </cfRule>
  </conditionalFormatting>
  <conditionalFormatting sqref="A2208:A2211 A2277:A2278">
    <cfRule type="expression" priority="3690" dxfId="6424">
      <formula>$B2208="Subetapa"</formula>
    </cfRule>
  </conditionalFormatting>
  <conditionalFormatting sqref="A2525">
    <cfRule type="expression" priority="4213" dxfId="6424">
      <formula>$B2525="Subetapa"</formula>
    </cfRule>
  </conditionalFormatting>
  <conditionalFormatting sqref="A2755">
    <cfRule type="expression" priority="4204" dxfId="6424">
      <formula>$B2755="Subetapa"</formula>
    </cfRule>
  </conditionalFormatting>
  <conditionalFormatting sqref="A2875">
    <cfRule type="expression" priority="4019" dxfId="6424">
      <formula>$B2875="Subetapa"</formula>
    </cfRule>
  </conditionalFormatting>
  <conditionalFormatting sqref="A2936">
    <cfRule type="expression" priority="4195" dxfId="6424">
      <formula>$B2936="Subetapa"</formula>
    </cfRule>
  </conditionalFormatting>
  <conditionalFormatting sqref="A2961">
    <cfRule type="expression" priority="4194" dxfId="6424">
      <formula>$B2961="Subetapa"</formula>
    </cfRule>
  </conditionalFormatting>
  <conditionalFormatting sqref="A2964:A3021">
    <cfRule type="expression" priority="3689" dxfId="6424">
      <formula>$B2964="Subetapa"</formula>
    </cfRule>
  </conditionalFormatting>
  <conditionalFormatting sqref="A3022">
    <cfRule type="expression" priority="4193" dxfId="6424">
      <formula>$B3022="Subetapa"</formula>
    </cfRule>
  </conditionalFormatting>
  <conditionalFormatting sqref="A3709:A3713">
    <cfRule type="expression" priority="3693" dxfId="6424">
      <formula>$B3709="Subetapa"</formula>
    </cfRule>
  </conditionalFormatting>
  <conditionalFormatting sqref="A3715:A3721 A3725:A3730">
    <cfRule type="expression" priority="3692" dxfId="6424">
      <formula>$B3715="Subetapa"</formula>
    </cfRule>
  </conditionalFormatting>
  <conditionalFormatting sqref="A4023:A4028">
    <cfRule type="expression" priority="3691" dxfId="6424">
      <formula>$B4023="Subetapa"</formula>
    </cfRule>
  </conditionalFormatting>
  <conditionalFormatting sqref="A4272:A4277">
    <cfRule type="expression" priority="4032" dxfId="6424">
      <formula>$B4272="Subetapa"</formula>
    </cfRule>
  </conditionalFormatting>
  <conditionalFormatting sqref="A4700">
    <cfRule type="expression" priority="4107" dxfId="6424">
      <formula>$B4700="Subetapa"</formula>
    </cfRule>
  </conditionalFormatting>
  <conditionalFormatting sqref="A4722">
    <cfRule type="expression" priority="4096" dxfId="6424">
      <formula>$B4722="Subetapa"</formula>
    </cfRule>
  </conditionalFormatting>
  <conditionalFormatting sqref="A3089:A3092">
    <cfRule type="expression" priority="3710" dxfId="6424">
      <formula>$B3089="Subetapa"</formula>
    </cfRule>
  </conditionalFormatting>
  <conditionalFormatting sqref="A3191:A3194 A3207:A3214">
    <cfRule type="expression" priority="3701" dxfId="6424">
      <formula>$B3191="Subetapa"</formula>
    </cfRule>
  </conditionalFormatting>
  <conditionalFormatting sqref="A2019:A2040">
    <cfRule type="expression" priority="4092" dxfId="6424">
      <formula>$B2019="Subetapa"</formula>
    </cfRule>
  </conditionalFormatting>
  <conditionalFormatting sqref="A2067:A2078">
    <cfRule type="expression" priority="4268" dxfId="6424">
      <formula>$B2067="Subetapa"</formula>
    </cfRule>
  </conditionalFormatting>
  <conditionalFormatting sqref="A2069:A2079">
    <cfRule type="expression" priority="4270" dxfId="6424">
      <formula>$B2069="Subetapa"</formula>
    </cfRule>
  </conditionalFormatting>
  <conditionalFormatting sqref="A2080:A2091">
    <cfRule type="expression" priority="4262" dxfId="6424">
      <formula>$B2080="Subetapa"</formula>
    </cfRule>
  </conditionalFormatting>
  <conditionalFormatting sqref="A2082:A2092">
    <cfRule type="expression" priority="4264" dxfId="6424">
      <formula>$B2082="Subetapa"</formula>
    </cfRule>
  </conditionalFormatting>
  <conditionalFormatting sqref="A2093:A2104">
    <cfRule type="expression" priority="4256" dxfId="6424">
      <formula>$B2093="Subetapa"</formula>
    </cfRule>
  </conditionalFormatting>
  <conditionalFormatting sqref="A2095:A2104">
    <cfRule type="expression" priority="4258" dxfId="6424">
      <formula>$B2095="Subetapa"</formula>
    </cfRule>
  </conditionalFormatting>
  <conditionalFormatting sqref="A4107:A4109">
    <cfRule type="expression" priority="3728" dxfId="6434">
      <formula>$B4107="Subetapa"</formula>
    </cfRule>
  </conditionalFormatting>
  <conditionalFormatting sqref="A2 A2170:A2172">
    <cfRule type="expression" priority="4472" dxfId="6424">
      <formula>$B2="Subetapa"</formula>
    </cfRule>
  </conditionalFormatting>
  <conditionalFormatting sqref="A213 A215:A217">
    <cfRule type="expression" priority="4017" dxfId="6424">
      <formula>$B213="Subetapa"</formula>
    </cfRule>
  </conditionalFormatting>
  <conditionalFormatting sqref="A324:A343">
    <cfRule type="expression" priority="4504" dxfId="6424">
      <formula>$B324="Subetapa"</formula>
    </cfRule>
  </conditionalFormatting>
  <conditionalFormatting sqref="A738:A741">
    <cfRule type="expression" priority="3811" dxfId="6433">
      <formula>$B738="Serviço"</formula>
    </cfRule>
    <cfRule type="expression" priority="3812" dxfId="6434">
      <formula>$B738="Subetapa"</formula>
    </cfRule>
  </conditionalFormatting>
  <conditionalFormatting sqref="A759:A762">
    <cfRule type="expression" priority="3809" dxfId="6433">
      <formula>$B759="Serviço"</formula>
    </cfRule>
    <cfRule type="expression" priority="3810" dxfId="6434">
      <formula>$B759="Subetapa"</formula>
    </cfRule>
  </conditionalFormatting>
  <conditionalFormatting sqref="A779:A786">
    <cfRule type="expression" priority="3858" dxfId="6433">
      <formula>$B779="Serviço"</formula>
    </cfRule>
    <cfRule type="expression" priority="3859" dxfId="6434">
      <formula>$B779="Subetapa"</formula>
    </cfRule>
  </conditionalFormatting>
  <conditionalFormatting sqref="A884 A920">
    <cfRule type="expression" priority="3862" dxfId="6433">
      <formula>$B884="Serviço"</formula>
    </cfRule>
    <cfRule type="expression" priority="3863" dxfId="6434">
      <formula>$B884="Subetapa"</formula>
    </cfRule>
  </conditionalFormatting>
  <conditionalFormatting sqref="A906:A907">
    <cfRule type="expression" priority="3885" dxfId="6424">
      <formula>$B906="Subetapa"</formula>
    </cfRule>
  </conditionalFormatting>
  <conditionalFormatting sqref="A2119 A2126 A2133">
    <cfRule type="expression" priority="4061" dxfId="6424">
      <formula>$B2119="Subetapa"</formula>
    </cfRule>
  </conditionalFormatting>
  <conditionalFormatting sqref="A2212:A2261 A2267:A2268 A2274:A2275">
    <cfRule type="expression" priority="3897" dxfId="6433">
      <formula>$B2212="Serviço"</formula>
    </cfRule>
  </conditionalFormatting>
  <conditionalFormatting sqref="A2788:A2805">
    <cfRule type="expression" priority="4467" dxfId="6424">
      <formula>$B2788="Subetapa"</formula>
    </cfRule>
  </conditionalFormatting>
  <conditionalFormatting sqref="A2919:A2935">
    <cfRule type="expression" priority="4177" dxfId="6424">
      <formula>$B2919="Subetapa"</formula>
    </cfRule>
  </conditionalFormatting>
  <conditionalFormatting sqref="A3139:A3142">
    <cfRule type="expression" priority="3828" dxfId="6433">
      <formula>$B3139="Serviço"</formula>
    </cfRule>
    <cfRule type="expression" priority="3829" dxfId="6434">
      <formula>$B3139="Subetapa"</formula>
    </cfRule>
  </conditionalFormatting>
  <conditionalFormatting sqref="A4162">
    <cfRule type="expression" priority="4396" dxfId="6424">
      <formula>$B4162="Subetapa"</formula>
    </cfRule>
  </conditionalFormatting>
  <conditionalFormatting sqref="A3644:A3661">
    <cfRule type="expression" priority="4491" dxfId="6424">
      <formula>$B3644="Subetapa"</formula>
    </cfRule>
  </conditionalFormatting>
  <conditionalFormatting sqref="A4291:A4295">
    <cfRule type="expression" priority="4088" dxfId="6424">
      <formula>$B4291="Subetapa"</formula>
    </cfRule>
  </conditionalFormatting>
  <conditionalFormatting sqref="A263:A265 A267 A269 A304:A314 A320:A322 A3629:A3639">
    <cfRule type="expression" priority="4514" dxfId="6424">
      <formula>$B263="Subetapa"</formula>
    </cfRule>
  </conditionalFormatting>
  <conditionalFormatting sqref="A3065:A3088">
    <cfRule type="expression" priority="4500" dxfId="6424">
      <formula>$B3065="Subetapa"</formula>
    </cfRule>
  </conditionalFormatting>
  <conditionalFormatting sqref="A664">
    <cfRule type="expression" priority="3815" dxfId="6433">
      <formula>$B664="Serviço"</formula>
    </cfRule>
  </conditionalFormatting>
  <conditionalFormatting sqref="A872 A875 A878 A899 A905:A906 A990 A994 A1003:A1009 A1014 A1018 A1652:A1661 A1664:A1672 A1823 A1826:A1835 A1838:A1841 A2108:A2111 A2691 A3310 A3714 A4022 A4278 A4304:A4307 A4322">
    <cfRule type="expression" priority="4395" dxfId="6424">
      <formula>$B872="Subetapa"</formula>
    </cfRule>
  </conditionalFormatting>
  <conditionalFormatting sqref="A1374:A1385">
    <cfRule type="expression" priority="3869" dxfId="6434">
      <formula>$B1374="Subetapa"</formula>
    </cfRule>
  </conditionalFormatting>
  <conditionalFormatting sqref="A2475:A2524 A2607:A2611 A2719:A2730 A3189:A3190 A3195:A3206 A3227:A3228 A3231:A3234 A3244:A3246 A3250 A3290:A3309 A3485:A3549 A3556:A3560 A3851:A3857 A3980:A3982 A3987:A3990 A3992:A4021 A4099:A4109 A4114:A4121 A4139:A4150 A4163:A4165 A4208:A4210 A4217:A4234 A4264:A4267">
    <cfRule type="expression" priority="3801" dxfId="6433">
      <formula>$B2475="Serviço"</formula>
    </cfRule>
  </conditionalFormatting>
  <conditionalFormatting sqref="A2470:A2524 A2607:A2611 A2719:A2730 A3189:A3190 A3195:A3206 A3227:A3228 A3231:A3234 A3243:A3246 A3250 A3290:A3309 A3485:A3549 A3556:A3560 A3851:A3857 A3980:A4021 A4099:A4106 A4116:A4121 A4139:A4150 A4163:A4165 A4208:A4210 A4217:A4234 A4264:A4267">
    <cfRule type="expression" priority="3802" dxfId="6434">
      <formula>$B2470="Subetapa"</formula>
    </cfRule>
  </conditionalFormatting>
  <conditionalFormatting sqref="A867:A878 A897:A905 A991:A993 A995:A1013 A1015:A1018 A1173:A1174 A2140:A2143 A2337 A2342:A2343 A2754 A3476:A3484 A4306:A4321 A4463:A4494">
    <cfRule type="expression" priority="4391" dxfId="6424">
      <formula>$B867="Subetapa"</formula>
    </cfRule>
  </conditionalFormatting>
  <conditionalFormatting sqref="A2351:A2355">
    <cfRule type="expression" priority="4220" dxfId="6424">
      <formula>$B2351="Subetapa"</formula>
    </cfRule>
  </conditionalFormatting>
  <conditionalFormatting sqref="A1168">
    <cfRule type="expression" priority="4070" dxfId="6424">
      <formula>$B1168="Subetapa"</formula>
    </cfRule>
  </conditionalFormatting>
  <conditionalFormatting sqref="A2736">
    <cfRule type="expression" priority="4079" dxfId="6424">
      <formula>$B2736="Subetapa"</formula>
    </cfRule>
  </conditionalFormatting>
  <conditionalFormatting sqref="E290">
    <cfRule type="expression" priority="3489" dxfId="6424">
      <formula>$B290="Subetapa"</formula>
    </cfRule>
  </conditionalFormatting>
  <conditionalFormatting sqref="B290:D290 F290">
    <cfRule type="expression" priority="3490" dxfId="6424">
      <formula>$B290="Subetapa"</formula>
    </cfRule>
  </conditionalFormatting>
  <conditionalFormatting sqref="I290:K290">
    <cfRule type="expression" priority="3480" dxfId="6424">
      <formula>$B290="Subetapa"</formula>
    </cfRule>
  </conditionalFormatting>
  <conditionalFormatting sqref="A290">
    <cfRule type="expression" priority="3478" dxfId="6424">
      <formula>$B290="Subetapa"</formula>
    </cfRule>
  </conditionalFormatting>
  <conditionalFormatting sqref="E300">
    <cfRule type="expression" priority="3559" dxfId="6424">
      <formula>$B300="Subetapa"</formula>
    </cfRule>
  </conditionalFormatting>
  <conditionalFormatting sqref="B300:D300 F300">
    <cfRule type="expression" priority="3560" dxfId="6424">
      <formula>$B300="Subetapa"</formula>
    </cfRule>
  </conditionalFormatting>
  <conditionalFormatting sqref="I300:K300">
    <cfRule type="expression" priority="3550" dxfId="6424">
      <formula>$B300="Subetapa"</formula>
    </cfRule>
  </conditionalFormatting>
  <conditionalFormatting sqref="A300">
    <cfRule type="expression" priority="3548" dxfId="6424">
      <formula>$B300="Subetapa"</formula>
    </cfRule>
  </conditionalFormatting>
  <conditionalFormatting sqref="E274">
    <cfRule type="expression" priority="3643" dxfId="6424">
      <formula>$B274="Subetapa"</formula>
    </cfRule>
  </conditionalFormatting>
  <conditionalFormatting sqref="B274:D274 F274">
    <cfRule type="expression" priority="3644" dxfId="6424">
      <formula>$B274="Subetapa"</formula>
    </cfRule>
  </conditionalFormatting>
  <conditionalFormatting sqref="I274:K274">
    <cfRule type="expression" priority="3634" dxfId="6424">
      <formula>$B274="Subetapa"</formula>
    </cfRule>
  </conditionalFormatting>
  <conditionalFormatting sqref="A274">
    <cfRule type="expression" priority="3632" dxfId="6424">
      <formula>$B274="Subetapa"</formula>
    </cfRule>
  </conditionalFormatting>
  <conditionalFormatting sqref="E266">
    <cfRule type="expression" priority="3629" dxfId="6424">
      <formula>$B266="Subetapa"</formula>
    </cfRule>
  </conditionalFormatting>
  <conditionalFormatting sqref="B266:D266 F266">
    <cfRule type="expression" priority="3630" dxfId="6424">
      <formula>$B266="Subetapa"</formula>
    </cfRule>
  </conditionalFormatting>
  <conditionalFormatting sqref="I266:K266">
    <cfRule type="expression" priority="3620" dxfId="6424">
      <formula>$B266="Subetapa"</formula>
    </cfRule>
  </conditionalFormatting>
  <conditionalFormatting sqref="A266">
    <cfRule type="expression" priority="3618" dxfId="6424">
      <formula>$B266="Subetapa"</formula>
    </cfRule>
  </conditionalFormatting>
  <conditionalFormatting sqref="E268">
    <cfRule type="expression" priority="3615" dxfId="6424">
      <formula>$B268="Subetapa"</formula>
    </cfRule>
  </conditionalFormatting>
  <conditionalFormatting sqref="B268:D268 F268">
    <cfRule type="expression" priority="3616" dxfId="6424">
      <formula>$B268="Subetapa"</formula>
    </cfRule>
  </conditionalFormatting>
  <conditionalFormatting sqref="I268:K268">
    <cfRule type="expression" priority="3606" dxfId="6424">
      <formula>$B268="Subetapa"</formula>
    </cfRule>
  </conditionalFormatting>
  <conditionalFormatting sqref="A268">
    <cfRule type="expression" priority="3604" dxfId="6424">
      <formula>$B268="Subetapa"</formula>
    </cfRule>
  </conditionalFormatting>
  <conditionalFormatting sqref="E270">
    <cfRule type="expression" priority="3601" dxfId="6424">
      <formula>$B270="Subetapa"</formula>
    </cfRule>
  </conditionalFormatting>
  <conditionalFormatting sqref="B270:D270 F270">
    <cfRule type="expression" priority="3602" dxfId="6424">
      <formula>$B270="Subetapa"</formula>
    </cfRule>
  </conditionalFormatting>
  <conditionalFormatting sqref="I270:K270">
    <cfRule type="expression" priority="3592" dxfId="6424">
      <formula>$B270="Subetapa"</formula>
    </cfRule>
  </conditionalFormatting>
  <conditionalFormatting sqref="A270">
    <cfRule type="expression" priority="3590" dxfId="6424">
      <formula>$B270="Subetapa"</formula>
    </cfRule>
  </conditionalFormatting>
  <conditionalFormatting sqref="E272">
    <cfRule type="expression" priority="3587" dxfId="6424">
      <formula>$B272="Subetapa"</formula>
    </cfRule>
  </conditionalFormatting>
  <conditionalFormatting sqref="B272:D272 F272">
    <cfRule type="expression" priority="3588" dxfId="6424">
      <formula>$B272="Subetapa"</formula>
    </cfRule>
  </conditionalFormatting>
  <conditionalFormatting sqref="I272:K272">
    <cfRule type="expression" priority="3578" dxfId="6424">
      <formula>$B272="Subetapa"</formula>
    </cfRule>
  </conditionalFormatting>
  <conditionalFormatting sqref="A272">
    <cfRule type="expression" priority="3576" dxfId="6424">
      <formula>$B272="Subetapa"</formula>
    </cfRule>
  </conditionalFormatting>
  <conditionalFormatting sqref="E302">
    <cfRule type="expression" priority="3573" dxfId="6424">
      <formula>$B302="Subetapa"</formula>
    </cfRule>
  </conditionalFormatting>
  <conditionalFormatting sqref="B302:D302 F302">
    <cfRule type="expression" priority="3574" dxfId="6424">
      <formula>$B302="Subetapa"</formula>
    </cfRule>
  </conditionalFormatting>
  <conditionalFormatting sqref="I302:K302">
    <cfRule type="expression" priority="3564" dxfId="6424">
      <formula>$B302="Subetapa"</formula>
    </cfRule>
  </conditionalFormatting>
  <conditionalFormatting sqref="A302">
    <cfRule type="expression" priority="3562" dxfId="6424">
      <formula>$B302="Subetapa"</formula>
    </cfRule>
  </conditionalFormatting>
  <conditionalFormatting sqref="E298">
    <cfRule type="expression" priority="3545" dxfId="6424">
      <formula>$B298="Subetapa"</formula>
    </cfRule>
  </conditionalFormatting>
  <conditionalFormatting sqref="B298:D298 F298">
    <cfRule type="expression" priority="3546" dxfId="6424">
      <formula>$B298="Subetapa"</formula>
    </cfRule>
  </conditionalFormatting>
  <conditionalFormatting sqref="I298:K298">
    <cfRule type="expression" priority="3536" dxfId="6424">
      <formula>$B298="Subetapa"</formula>
    </cfRule>
  </conditionalFormatting>
  <conditionalFormatting sqref="A298">
    <cfRule type="expression" priority="3534" dxfId="6424">
      <formula>$B298="Subetapa"</formula>
    </cfRule>
  </conditionalFormatting>
  <conditionalFormatting sqref="E296">
    <cfRule type="expression" priority="3531" dxfId="6424">
      <formula>$B296="Subetapa"</formula>
    </cfRule>
  </conditionalFormatting>
  <conditionalFormatting sqref="B296:D296 F296">
    <cfRule type="expression" priority="3532" dxfId="6424">
      <formula>$B296="Subetapa"</formula>
    </cfRule>
  </conditionalFormatting>
  <conditionalFormatting sqref="I296:K296">
    <cfRule type="expression" priority="3522" dxfId="6424">
      <formula>$B296="Subetapa"</formula>
    </cfRule>
  </conditionalFormatting>
  <conditionalFormatting sqref="A296">
    <cfRule type="expression" priority="3520" dxfId="6424">
      <formula>$B296="Subetapa"</formula>
    </cfRule>
  </conditionalFormatting>
  <conditionalFormatting sqref="E294">
    <cfRule type="expression" priority="3517" dxfId="6424">
      <formula>$B294="Subetapa"</formula>
    </cfRule>
  </conditionalFormatting>
  <conditionalFormatting sqref="B294:D294 F294">
    <cfRule type="expression" priority="3518" dxfId="6424">
      <formula>$B294="Subetapa"</formula>
    </cfRule>
  </conditionalFormatting>
  <conditionalFormatting sqref="I294:K294">
    <cfRule type="expression" priority="3508" dxfId="6424">
      <formula>$B294="Subetapa"</formula>
    </cfRule>
  </conditionalFormatting>
  <conditionalFormatting sqref="A294">
    <cfRule type="expression" priority="3506" dxfId="6424">
      <formula>$B294="Subetapa"</formula>
    </cfRule>
  </conditionalFormatting>
  <conditionalFormatting sqref="E292">
    <cfRule type="expression" priority="3503" dxfId="6424">
      <formula>$B292="Subetapa"</formula>
    </cfRule>
  </conditionalFormatting>
  <conditionalFormatting sqref="B292:D292 F292">
    <cfRule type="expression" priority="3504" dxfId="6424">
      <formula>$B292="Subetapa"</formula>
    </cfRule>
  </conditionalFormatting>
  <conditionalFormatting sqref="I292:K292">
    <cfRule type="expression" priority="3494" dxfId="6424">
      <formula>$B292="Subetapa"</formula>
    </cfRule>
  </conditionalFormatting>
  <conditionalFormatting sqref="A292">
    <cfRule type="expression" priority="3492" dxfId="6424">
      <formula>$B292="Subetapa"</formula>
    </cfRule>
  </conditionalFormatting>
  <conditionalFormatting sqref="B2276:F2276">
    <cfRule type="expression" priority="3406" dxfId="6424">
      <formula>$B2276="Subetapa"</formula>
    </cfRule>
  </conditionalFormatting>
  <conditionalFormatting sqref="I2276:K2276">
    <cfRule type="expression" priority="3399" dxfId="6424">
      <formula>$B2276="Subetapa"</formula>
    </cfRule>
  </conditionalFormatting>
  <conditionalFormatting sqref="A2276">
    <cfRule type="expression" priority="3397" dxfId="6424">
      <formula>$B2276="Subetapa"</formula>
    </cfRule>
  </conditionalFormatting>
  <conditionalFormatting sqref="B2169:F2169">
    <cfRule type="expression" priority="3393" dxfId="6424">
      <formula>$B2169="Subetapa"</formula>
    </cfRule>
  </conditionalFormatting>
  <conditionalFormatting sqref="I2169:K2169">
    <cfRule type="expression" priority="3386" dxfId="6424">
      <formula>$B2169="Subetapa"</formula>
    </cfRule>
  </conditionalFormatting>
  <conditionalFormatting sqref="A2169">
    <cfRule type="expression" priority="3384" dxfId="6424">
      <formula>$B2169="Subetapa"</formula>
    </cfRule>
  </conditionalFormatting>
  <conditionalFormatting sqref="B2161:F2161">
    <cfRule type="expression" priority="3380" dxfId="6424">
      <formula>$B2161="Subetapa"</formula>
    </cfRule>
  </conditionalFormatting>
  <conditionalFormatting sqref="I2161:K2161">
    <cfRule type="expression" priority="3373" dxfId="6424">
      <formula>$B2161="Subetapa"</formula>
    </cfRule>
  </conditionalFormatting>
  <conditionalFormatting sqref="A2161">
    <cfRule type="expression" priority="3371" dxfId="6424">
      <formula>$B2161="Subetapa"</formula>
    </cfRule>
  </conditionalFormatting>
  <conditionalFormatting sqref="B892:B893">
    <cfRule type="expression" priority="3310" dxfId="6433">
      <formula>$B892="Serviço"</formula>
    </cfRule>
    <cfRule type="expression" priority="3311" dxfId="6434">
      <formula>$B892="Subetapa"</formula>
    </cfRule>
  </conditionalFormatting>
  <conditionalFormatting sqref="B891">
    <cfRule type="expression" priority="3306" dxfId="6433">
      <formula>$B891="Serviço"</formula>
    </cfRule>
    <cfRule type="expression" priority="3307" dxfId="6434">
      <formula>$B891="Subetapa"</formula>
    </cfRule>
  </conditionalFormatting>
  <conditionalFormatting sqref="B893">
    <cfRule type="expression" priority="3308" dxfId="6433">
      <formula>$B893="Serviço"</formula>
    </cfRule>
    <cfRule type="expression" priority="3309" dxfId="6434">
      <formula>$B893="Subetapa"</formula>
    </cfRule>
  </conditionalFormatting>
  <conditionalFormatting sqref="C891:C893 D891:F891 D892:D893 F892:F893">
    <cfRule type="expression" priority="3304" dxfId="6433">
      <formula>$B891="Serviço"</formula>
    </cfRule>
    <cfRule type="expression" priority="3305" dxfId="6434">
      <formula>$B891="Subetapa"</formula>
    </cfRule>
  </conditionalFormatting>
  <conditionalFormatting sqref="G891:H891">
    <cfRule type="expression" priority="3300" dxfId="6433">
      <formula>$B891="Serviço"</formula>
    </cfRule>
    <cfRule type="expression" priority="3301" dxfId="6434">
      <formula>$B891="Subetapa"</formula>
    </cfRule>
  </conditionalFormatting>
  <conditionalFormatting sqref="A892:A893">
    <cfRule type="expression" priority="3298" dxfId="6433">
      <formula>$B892="Serviço"</formula>
    </cfRule>
    <cfRule type="expression" priority="3299" dxfId="6434">
      <formula>$B892="Subetapa"</formula>
    </cfRule>
  </conditionalFormatting>
  <conditionalFormatting sqref="A891">
    <cfRule type="expression" priority="3294" dxfId="6433">
      <formula>$B891="Serviço"</formula>
    </cfRule>
    <cfRule type="expression" priority="3295" dxfId="6434">
      <formula>$B891="Subetapa"</formula>
    </cfRule>
  </conditionalFormatting>
  <conditionalFormatting sqref="A893">
    <cfRule type="expression" priority="3296" dxfId="6433">
      <formula>$B893="Serviço"</formula>
    </cfRule>
    <cfRule type="expression" priority="3297" dxfId="6434">
      <formula>$B893="Subetapa"</formula>
    </cfRule>
  </conditionalFormatting>
  <conditionalFormatting sqref="B889:B890">
    <cfRule type="expression" priority="3292" dxfId="6433">
      <formula>$B889="Serviço"</formula>
    </cfRule>
    <cfRule type="expression" priority="3293" dxfId="6434">
      <formula>$B889="Subetapa"</formula>
    </cfRule>
  </conditionalFormatting>
  <conditionalFormatting sqref="B888">
    <cfRule type="expression" priority="3288" dxfId="6433">
      <formula>$B888="Serviço"</formula>
    </cfRule>
    <cfRule type="expression" priority="3289" dxfId="6434">
      <formula>$B888="Subetapa"</formula>
    </cfRule>
  </conditionalFormatting>
  <conditionalFormatting sqref="B890">
    <cfRule type="expression" priority="3290" dxfId="6433">
      <formula>$B890="Serviço"</formula>
    </cfRule>
    <cfRule type="expression" priority="3291" dxfId="6434">
      <formula>$B890="Subetapa"</formula>
    </cfRule>
  </conditionalFormatting>
  <conditionalFormatting sqref="C888:C890 D888:F888 D889:D890 F889:F890">
    <cfRule type="expression" priority="3286" dxfId="6433">
      <formula>$B888="Serviço"</formula>
    </cfRule>
    <cfRule type="expression" priority="3287" dxfId="6434">
      <formula>$B888="Subetapa"</formula>
    </cfRule>
  </conditionalFormatting>
  <conditionalFormatting sqref="G888:H888">
    <cfRule type="expression" priority="3282" dxfId="6433">
      <formula>$B888="Serviço"</formula>
    </cfRule>
    <cfRule type="expression" priority="3283" dxfId="6434">
      <formula>$B888="Subetapa"</formula>
    </cfRule>
  </conditionalFormatting>
  <conditionalFormatting sqref="A889:A890">
    <cfRule type="expression" priority="3280" dxfId="6433">
      <formula>$B889="Serviço"</formula>
    </cfRule>
    <cfRule type="expression" priority="3281" dxfId="6434">
      <formula>$B889="Subetapa"</formula>
    </cfRule>
  </conditionalFormatting>
  <conditionalFormatting sqref="A888">
    <cfRule type="expression" priority="3276" dxfId="6433">
      <formula>$B888="Serviço"</formula>
    </cfRule>
    <cfRule type="expression" priority="3277" dxfId="6434">
      <formula>$B888="Subetapa"</formula>
    </cfRule>
  </conditionalFormatting>
  <conditionalFormatting sqref="A890">
    <cfRule type="expression" priority="3278" dxfId="6433">
      <formula>$B890="Serviço"</formula>
    </cfRule>
    <cfRule type="expression" priority="3279" dxfId="6434">
      <formula>$B890="Subetapa"</formula>
    </cfRule>
  </conditionalFormatting>
  <conditionalFormatting sqref="B886:B887">
    <cfRule type="expression" priority="3274" dxfId="6433">
      <formula>$B886="Serviço"</formula>
    </cfRule>
    <cfRule type="expression" priority="3275" dxfId="6434">
      <formula>$B886="Subetapa"</formula>
    </cfRule>
  </conditionalFormatting>
  <conditionalFormatting sqref="B885">
    <cfRule type="expression" priority="3270" dxfId="6433">
      <formula>$B885="Serviço"</formula>
    </cfRule>
    <cfRule type="expression" priority="3271" dxfId="6434">
      <formula>$B885="Subetapa"</formula>
    </cfRule>
  </conditionalFormatting>
  <conditionalFormatting sqref="B887">
    <cfRule type="expression" priority="3272" dxfId="6433">
      <formula>$B887="Serviço"</formula>
    </cfRule>
    <cfRule type="expression" priority="3273" dxfId="6434">
      <formula>$B887="Subetapa"</formula>
    </cfRule>
  </conditionalFormatting>
  <conditionalFormatting sqref="C885:C887 D885:F885 D886:D887 F886:F887">
    <cfRule type="expression" priority="3268" dxfId="6433">
      <formula>$B885="Serviço"</formula>
    </cfRule>
    <cfRule type="expression" priority="3269" dxfId="6434">
      <formula>$B885="Subetapa"</formula>
    </cfRule>
  </conditionalFormatting>
  <conditionalFormatting sqref="G885:H885">
    <cfRule type="expression" priority="3264" dxfId="6433">
      <formula>$B885="Serviço"</formula>
    </cfRule>
    <cfRule type="expression" priority="3265" dxfId="6434">
      <formula>$B885="Subetapa"</formula>
    </cfRule>
  </conditionalFormatting>
  <conditionalFormatting sqref="A886:A887">
    <cfRule type="expression" priority="3262" dxfId="6433">
      <formula>$B886="Serviço"</formula>
    </cfRule>
    <cfRule type="expression" priority="3263" dxfId="6434">
      <formula>$B886="Subetapa"</formula>
    </cfRule>
  </conditionalFormatting>
  <conditionalFormatting sqref="A885">
    <cfRule type="expression" priority="3258" dxfId="6433">
      <formula>$B885="Serviço"</formula>
    </cfRule>
    <cfRule type="expression" priority="3259" dxfId="6434">
      <formula>$B885="Subetapa"</formula>
    </cfRule>
  </conditionalFormatting>
  <conditionalFormatting sqref="A887">
    <cfRule type="expression" priority="3260" dxfId="6433">
      <formula>$B887="Serviço"</formula>
    </cfRule>
    <cfRule type="expression" priority="3261" dxfId="6434">
      <formula>$B887="Subetapa"</formula>
    </cfRule>
  </conditionalFormatting>
  <conditionalFormatting sqref="B1397:B1418">
    <cfRule type="expression" priority="3257" dxfId="6424">
      <formula>$B1397="Subetapa"</formula>
    </cfRule>
  </conditionalFormatting>
  <conditionalFormatting sqref="C1408:C1418 D1408:F1408 D1409:D1418 F1409:F1418">
    <cfRule type="expression" priority="3256" dxfId="6424">
      <formula>$B1408="Subetapa"</formula>
    </cfRule>
  </conditionalFormatting>
  <conditionalFormatting sqref="G1408:H1408">
    <cfRule type="expression" priority="3253" dxfId="6424">
      <formula>$B1408="Subetapa"</formula>
    </cfRule>
  </conditionalFormatting>
  <conditionalFormatting sqref="A1397:A1418">
    <cfRule type="expression" priority="3251" dxfId="6424">
      <formula>$B1397="Subetapa"</formula>
    </cfRule>
  </conditionalFormatting>
  <conditionalFormatting sqref="C1397:C1407 D1397:F1397 D1398:D1407 F1398:F1407">
    <cfRule type="expression" priority="3250" dxfId="6424">
      <formula>$B1397="Subetapa"</formula>
    </cfRule>
  </conditionalFormatting>
  <conditionalFormatting sqref="G1397:H1397">
    <cfRule type="expression" priority="3249" dxfId="6424">
      <formula>$B1397="Subetapa"</formula>
    </cfRule>
  </conditionalFormatting>
  <conditionalFormatting sqref="C1410:D1410">
    <cfRule type="expression" priority="3247" dxfId="6424">
      <formula>$B1410="Subetapa"</formula>
    </cfRule>
  </conditionalFormatting>
  <conditionalFormatting sqref="B1421:B1429 B1432:B1440 B1443:B1451 B1454:B1462 B1465:B1473 D1419:D1420 D1422:D1442 D1444:D1464 D1466:D1473">
    <cfRule type="expression" priority="3245" dxfId="6424">
      <formula>$B1419="Subetapa"</formula>
    </cfRule>
  </conditionalFormatting>
  <conditionalFormatting sqref="G1419:H1419">
    <cfRule type="expression" priority="3241" dxfId="6424">
      <formula>$B1419="Subetapa"</formula>
    </cfRule>
  </conditionalFormatting>
  <conditionalFormatting sqref="E1419:F1419">
    <cfRule type="expression" priority="3243" dxfId="6424">
      <formula>$B1419="Subetapa"</formula>
    </cfRule>
  </conditionalFormatting>
  <conditionalFormatting sqref="A1421:A1429 A1432:A1440 A1443:A1451 A1454:A1462 A1465:A1473">
    <cfRule type="expression" priority="3237" dxfId="6424">
      <formula>$B1421="Subetapa"</formula>
    </cfRule>
  </conditionalFormatting>
  <conditionalFormatting sqref="G1430:H1430">
    <cfRule type="expression" priority="3232" dxfId="6424">
      <formula>$B1430="Subetapa"</formula>
    </cfRule>
  </conditionalFormatting>
  <conditionalFormatting sqref="E1430:F1430">
    <cfRule type="expression" priority="3233" dxfId="6424">
      <formula>$B1430="Subetapa"</formula>
    </cfRule>
  </conditionalFormatting>
  <conditionalFormatting sqref="C1421:D1421">
    <cfRule type="expression" priority="3230" dxfId="6424">
      <formula>$B1421="Subetapa"</formula>
    </cfRule>
    <cfRule type="expression" priority="3229" dxfId="6424">
      <formula>$B1421="Subetapa"</formula>
    </cfRule>
  </conditionalFormatting>
  <conditionalFormatting sqref="G1452:H1452">
    <cfRule type="expression" priority="3226" dxfId="6424">
      <formula>$B1452="Subetapa"</formula>
    </cfRule>
  </conditionalFormatting>
  <conditionalFormatting sqref="E1452:F1452">
    <cfRule type="expression" priority="3227" dxfId="6424">
      <formula>$B1452="Subetapa"</formula>
    </cfRule>
  </conditionalFormatting>
  <conditionalFormatting sqref="G1463:H1463">
    <cfRule type="expression" priority="3223" dxfId="6424">
      <formula>$B1463="Subetapa"</formula>
    </cfRule>
  </conditionalFormatting>
  <conditionalFormatting sqref="E1463:F1463">
    <cfRule type="expression" priority="3224" dxfId="6424">
      <formula>$B1463="Subetapa"</formula>
    </cfRule>
  </conditionalFormatting>
  <conditionalFormatting sqref="C1465:D1465">
    <cfRule type="expression" priority="3221" dxfId="6424">
      <formula>$B1465="Subetapa"</formula>
    </cfRule>
    <cfRule type="expression" priority="3220" dxfId="6424">
      <formula>$B1465="Subetapa"</formula>
    </cfRule>
  </conditionalFormatting>
  <conditionalFormatting sqref="G1441:H1441">
    <cfRule type="expression" priority="3217" dxfId="6424">
      <formula>$B1441="Subetapa"</formula>
    </cfRule>
  </conditionalFormatting>
  <conditionalFormatting sqref="E1441:F1441">
    <cfRule type="expression" priority="3218" dxfId="6424">
      <formula>$B1441="Subetapa"</formula>
    </cfRule>
  </conditionalFormatting>
  <conditionalFormatting sqref="C1443:D1443">
    <cfRule type="expression" priority="3215" dxfId="6424">
      <formula>$B1443="Subetapa"</formula>
    </cfRule>
    <cfRule type="expression" priority="3214" dxfId="6424">
      <formula>$B1443="Subetapa"</formula>
    </cfRule>
  </conditionalFormatting>
  <conditionalFormatting sqref="B1475:B1485 B1487:B1497 B1499:B1510 B1512:B1523">
    <cfRule type="expression" priority="3208" dxfId="6424">
      <formula>$B1475="Subetapa"</formula>
    </cfRule>
  </conditionalFormatting>
  <conditionalFormatting sqref="B1476 B1478:B1485 B1488 B1490:B1497 B1501 B1503:B1510 B1514 B1516:B1523 C1475:D1475 C1487:D1487 C1499:D1499 C1512:D1512">
    <cfRule type="expression" priority="3210" dxfId="6424">
      <formula>$B1475="Subetapa"</formula>
    </cfRule>
  </conditionalFormatting>
  <conditionalFormatting sqref="B1474:H1474">
    <cfRule type="expression" priority="3202" dxfId="6424">
      <formula>$B1474="Subetapa"</formula>
    </cfRule>
  </conditionalFormatting>
  <conditionalFormatting sqref="E1475 E1477">
    <cfRule type="expression" priority="3213" dxfId="6424">
      <formula>$B1475="Subetapa"</formula>
    </cfRule>
  </conditionalFormatting>
  <conditionalFormatting sqref="C1477:D1477 F1477">
    <cfRule type="expression" priority="3206" dxfId="6424">
      <formula>$B1477="Subetapa"</formula>
    </cfRule>
  </conditionalFormatting>
  <conditionalFormatting sqref="F1475">
    <cfRule type="expression" priority="3201" dxfId="6424">
      <formula>$B1475="Subetapa"</formula>
    </cfRule>
  </conditionalFormatting>
  <conditionalFormatting sqref="A1475:A1485 A1487:A1497 A1499:A1510 A1512:A1523">
    <cfRule type="expression" priority="3188" dxfId="6424">
      <formula>$B1475="Subetapa"</formula>
    </cfRule>
  </conditionalFormatting>
  <conditionalFormatting sqref="A1476 A1478:A1485 A1488 A1490:A1497 A1500:A1501 A1503:A1510 A1513:A1514 A1516:A1523">
    <cfRule type="expression" priority="3190" dxfId="6424">
      <formula>$B1476="Subetapa"</formula>
    </cfRule>
  </conditionalFormatting>
  <conditionalFormatting sqref="A1474">
    <cfRule type="expression" priority="3184" dxfId="6424">
      <formula>$B1474="Subetapa"</formula>
    </cfRule>
  </conditionalFormatting>
  <conditionalFormatting sqref="E1476:F1476">
    <cfRule type="expression" priority="3182" dxfId="6424">
      <formula>$B1476="Subetapa"</formula>
    </cfRule>
  </conditionalFormatting>
  <conditionalFormatting sqref="C1476:D1476">
    <cfRule type="expression" priority="3180" dxfId="6424">
      <formula>$B1476="Subetapa"</formula>
    </cfRule>
    <cfRule type="expression" priority="3179" dxfId="6424">
      <formula>$B1476="Subetapa"</formula>
    </cfRule>
  </conditionalFormatting>
  <conditionalFormatting sqref="E1478:F1485 E1490:F1497 E1503:F1510 E1516:F1523">
    <cfRule type="expression" priority="3177" dxfId="6424">
      <formula>$B1478="Subetapa"</formula>
    </cfRule>
  </conditionalFormatting>
  <conditionalFormatting sqref="D1478:D1485 D1490:D1497 D1503:D1510 D1516:D1523">
    <cfRule type="expression" priority="3176" dxfId="6424">
      <formula>$B1478="Subetapa"</formula>
    </cfRule>
  </conditionalFormatting>
  <conditionalFormatting sqref="B1486:H1486">
    <cfRule type="expression" priority="3169" dxfId="6424">
      <formula>$B1486="Subetapa"</formula>
    </cfRule>
  </conditionalFormatting>
  <conditionalFormatting sqref="E1487 E1489">
    <cfRule type="expression" priority="3175" dxfId="6424">
      <formula>$B1487="Subetapa"</formula>
    </cfRule>
  </conditionalFormatting>
  <conditionalFormatting sqref="C1489:D1489 F1489">
    <cfRule type="expression" priority="3172" dxfId="6424">
      <formula>$B1489="Subetapa"</formula>
    </cfRule>
  </conditionalFormatting>
  <conditionalFormatting sqref="F1487">
    <cfRule type="expression" priority="3168" dxfId="6424">
      <formula>$B1487="Subetapa"</formula>
    </cfRule>
  </conditionalFormatting>
  <conditionalFormatting sqref="A1486">
    <cfRule type="expression" priority="3162" dxfId="6424">
      <formula>$B1486="Subetapa"</formula>
    </cfRule>
  </conditionalFormatting>
  <conditionalFormatting sqref="E1488:F1488">
    <cfRule type="expression" priority="3160" dxfId="6424">
      <formula>$B1488="Subetapa"</formula>
    </cfRule>
  </conditionalFormatting>
  <conditionalFormatting sqref="C1488:D1488">
    <cfRule type="expression" priority="3158" dxfId="6424">
      <formula>$B1488="Subetapa"</formula>
    </cfRule>
    <cfRule type="expression" priority="3157" dxfId="6424">
      <formula>$B1488="Subetapa"</formula>
    </cfRule>
  </conditionalFormatting>
  <conditionalFormatting sqref="B1511:H1511">
    <cfRule type="expression" priority="3150" dxfId="6424">
      <formula>$B1511="Subetapa"</formula>
    </cfRule>
  </conditionalFormatting>
  <conditionalFormatting sqref="E1512 E1515">
    <cfRule type="expression" priority="3156" dxfId="6424">
      <formula>$B1512="Subetapa"</formula>
    </cfRule>
  </conditionalFormatting>
  <conditionalFormatting sqref="C1515:D1515 F1515">
    <cfRule type="expression" priority="3153" dxfId="6424">
      <formula>$B1515="Subetapa"</formula>
    </cfRule>
  </conditionalFormatting>
  <conditionalFormatting sqref="F1512">
    <cfRule type="expression" priority="3149" dxfId="6424">
      <formula>$B1512="Subetapa"</formula>
    </cfRule>
  </conditionalFormatting>
  <conditionalFormatting sqref="A1511">
    <cfRule type="expression" priority="3143" dxfId="6424">
      <formula>$B1511="Subetapa"</formula>
    </cfRule>
  </conditionalFormatting>
  <conditionalFormatting sqref="E1514:F1514">
    <cfRule type="expression" priority="3141" dxfId="6424">
      <formula>$B1514="Subetapa"</formula>
    </cfRule>
  </conditionalFormatting>
  <conditionalFormatting sqref="D1513:D1514">
    <cfRule type="expression" priority="3139" dxfId="6424">
      <formula>$B1513="Subetapa"</formula>
    </cfRule>
    <cfRule type="expression" priority="3138" dxfId="6424">
      <formula>$B1513="Subetapa"</formula>
    </cfRule>
  </conditionalFormatting>
  <conditionalFormatting sqref="B1513">
    <cfRule type="expression" priority="3137" dxfId="6424">
      <formula>$B1513="Subetapa"</formula>
    </cfRule>
  </conditionalFormatting>
  <conditionalFormatting sqref="E1513:F1513">
    <cfRule type="expression" priority="3134" dxfId="6424">
      <formula>$B1513="Subetapa"</formula>
    </cfRule>
  </conditionalFormatting>
  <conditionalFormatting sqref="B1498:H1498">
    <cfRule type="expression" priority="3127" dxfId="6424">
      <formula>$B1498="Subetapa"</formula>
    </cfRule>
  </conditionalFormatting>
  <conditionalFormatting sqref="E1499 E1502">
    <cfRule type="expression" priority="3133" dxfId="6424">
      <formula>$B1499="Subetapa"</formula>
    </cfRule>
  </conditionalFormatting>
  <conditionalFormatting sqref="C1502:D1502 F1502">
    <cfRule type="expression" priority="3130" dxfId="6424">
      <formula>$B1502="Subetapa"</formula>
    </cfRule>
  </conditionalFormatting>
  <conditionalFormatting sqref="F1499">
    <cfRule type="expression" priority="3126" dxfId="6424">
      <formula>$B1499="Subetapa"</formula>
    </cfRule>
  </conditionalFormatting>
  <conditionalFormatting sqref="A1498">
    <cfRule type="expression" priority="3120" dxfId="6424">
      <formula>$B1498="Subetapa"</formula>
    </cfRule>
  </conditionalFormatting>
  <conditionalFormatting sqref="E1501:F1501">
    <cfRule type="expression" priority="3118" dxfId="6424">
      <formula>$B1501="Subetapa"</formula>
    </cfRule>
  </conditionalFormatting>
  <conditionalFormatting sqref="D1500:D1501">
    <cfRule type="expression" priority="3116" dxfId="6424">
      <formula>$B1500="Subetapa"</formula>
    </cfRule>
    <cfRule type="expression" priority="3115" dxfId="6424">
      <formula>$B1500="Subetapa"</formula>
    </cfRule>
  </conditionalFormatting>
  <conditionalFormatting sqref="B1500">
    <cfRule type="expression" priority="3114" dxfId="6424">
      <formula>$B1500="Subetapa"</formula>
    </cfRule>
  </conditionalFormatting>
  <conditionalFormatting sqref="E1500:F1500">
    <cfRule type="expression" priority="3111" dxfId="6424">
      <formula>$B1500="Subetapa"</formula>
    </cfRule>
  </conditionalFormatting>
  <conditionalFormatting sqref="B1526:B1534 D1524:D1525 D1527:D1534">
    <cfRule type="expression" priority="3108" dxfId="6424">
      <formula>$B1524="Subetapa"</formula>
    </cfRule>
  </conditionalFormatting>
  <conditionalFormatting sqref="A1526:A1534">
    <cfRule type="expression" priority="3106" dxfId="6424">
      <formula>$B1526="Subetapa"</formula>
    </cfRule>
  </conditionalFormatting>
  <conditionalFormatting sqref="G1524:H1524">
    <cfRule type="expression" priority="3102" dxfId="6424">
      <formula>$B1524="Subetapa"</formula>
    </cfRule>
  </conditionalFormatting>
  <conditionalFormatting sqref="E1524:F1524">
    <cfRule type="expression" priority="3103" dxfId="6424">
      <formula>$B1524="Subetapa"</formula>
    </cfRule>
  </conditionalFormatting>
  <conditionalFormatting sqref="C1526:D1526">
    <cfRule type="expression" priority="3100" dxfId="6424">
      <formula>$B1526="Subetapa"</formula>
    </cfRule>
    <cfRule type="expression" priority="3099" dxfId="6424">
      <formula>$B1526="Subetapa"</formula>
    </cfRule>
  </conditionalFormatting>
  <conditionalFormatting sqref="G2425:H2425">
    <cfRule type="expression" priority="3094" dxfId="6424">
      <formula>$B2425="Subetapa"</formula>
    </cfRule>
  </conditionalFormatting>
  <conditionalFormatting sqref="G2415:H2415">
    <cfRule type="expression" priority="3088" dxfId="6424">
      <formula>$B2415="Subetapa"</formula>
    </cfRule>
  </conditionalFormatting>
  <conditionalFormatting sqref="G2571:H2571">
    <cfRule type="expression" priority="3080" dxfId="6424">
      <formula>$B2571="Subetapa"</formula>
    </cfRule>
  </conditionalFormatting>
  <conditionalFormatting sqref="C2576:D2576 C2582:D2582 C2588:D2588 C2594:D2594 C2600:D2600 C2606:D2606">
    <cfRule type="expression" priority="3077" dxfId="6433">
      <formula>$B2576="Serviço"</formula>
    </cfRule>
    <cfRule type="expression" priority="3078" dxfId="6434">
      <formula>$B2576="Subetapa"</formula>
    </cfRule>
  </conditionalFormatting>
  <conditionalFormatting sqref="G2577:H2577">
    <cfRule type="expression" priority="3072" dxfId="6424">
      <formula>$B2577="Subetapa"</formula>
    </cfRule>
  </conditionalFormatting>
  <conditionalFormatting sqref="G2601:H2601">
    <cfRule type="expression" priority="3066" dxfId="6424">
      <formula>$B2601="Subetapa"</formula>
    </cfRule>
  </conditionalFormatting>
  <conditionalFormatting sqref="G2595:H2595">
    <cfRule type="expression" priority="3060" dxfId="6424">
      <formula>$B2595="Subetapa"</formula>
    </cfRule>
  </conditionalFormatting>
  <conditionalFormatting sqref="E2639:E2641">
    <cfRule type="expression" priority="3058" dxfId="6424">
      <formula>$B2639="Subetapa"</formula>
    </cfRule>
  </conditionalFormatting>
  <conditionalFormatting sqref="G2638:H2638">
    <cfRule type="expression" priority="3053" dxfId="6424">
      <formula>$B2638="Subetapa"</formula>
    </cfRule>
  </conditionalFormatting>
  <conditionalFormatting sqref="E2643:E2645">
    <cfRule type="expression" priority="3052" dxfId="6424">
      <formula>$B2643="Subetapa"</formula>
    </cfRule>
  </conditionalFormatting>
  <conditionalFormatting sqref="G2642:H2642">
    <cfRule type="expression" priority="3047" dxfId="6424">
      <formula>$B2642="Subetapa"</formula>
    </cfRule>
  </conditionalFormatting>
  <conditionalFormatting sqref="E2647:E2649">
    <cfRule type="expression" priority="3046" dxfId="6424">
      <formula>$B2647="Subetapa"</formula>
    </cfRule>
  </conditionalFormatting>
  <conditionalFormatting sqref="G2646:H2646">
    <cfRule type="expression" priority="3041" dxfId="6424">
      <formula>$B2646="Subetapa"</formula>
    </cfRule>
  </conditionalFormatting>
  <conditionalFormatting sqref="E2655:E2657">
    <cfRule type="expression" priority="3040" dxfId="6424">
      <formula>$B2655="Subetapa"</formula>
    </cfRule>
  </conditionalFormatting>
  <conditionalFormatting sqref="G2654:H2654">
    <cfRule type="expression" priority="3035" dxfId="6424">
      <formula>$B2654="Subetapa"</formula>
    </cfRule>
  </conditionalFormatting>
  <conditionalFormatting sqref="E2651:E2653">
    <cfRule type="expression" priority="3034" dxfId="6424">
      <formula>$B2651="Subetapa"</formula>
    </cfRule>
  </conditionalFormatting>
  <conditionalFormatting sqref="G2650:H2650">
    <cfRule type="expression" priority="3029" dxfId="6424">
      <formula>$B2650="Subetapa"</formula>
    </cfRule>
  </conditionalFormatting>
  <conditionalFormatting sqref="B2675:B2681 B2683 B2686 B2689 C2675:C2684 C2685:D2690 D2675:F2676 D2677:D2678 D2679:F2679 D2680:D2684 F2677:F2678 F2680:F2681 F2683 F2686 F2689">
    <cfRule type="expression" priority="3027" dxfId="6424">
      <formula>$B2675="Subetapa"</formula>
    </cfRule>
  </conditionalFormatting>
  <conditionalFormatting sqref="G2676:H2676">
    <cfRule type="expression" priority="3021" dxfId="6424">
      <formula>$B2676="Subetapa"</formula>
    </cfRule>
  </conditionalFormatting>
  <conditionalFormatting sqref="G2688:H2688">
    <cfRule type="expression" priority="3019" dxfId="6434">
      <formula>$B2688="Subetapa"</formula>
    </cfRule>
    <cfRule type="expression" priority="3020" dxfId="6433">
      <formula>$B2688="Serviço"</formula>
    </cfRule>
  </conditionalFormatting>
  <conditionalFormatting sqref="K2675:K2681">
    <cfRule type="expression" priority="3014" dxfId="6424">
      <formula>$B2675="Subetapa"</formula>
    </cfRule>
  </conditionalFormatting>
  <conditionalFormatting sqref="A2675:A2681">
    <cfRule type="expression" priority="3011" dxfId="6424">
      <formula>$B2675="Subetapa"</formula>
    </cfRule>
  </conditionalFormatting>
  <conditionalFormatting sqref="G2679:H2679">
    <cfRule type="expression" priority="3007" dxfId="6424">
      <formula>$B2679="Subetapa"</formula>
    </cfRule>
  </conditionalFormatting>
  <conditionalFormatting sqref="I2689:K2689">
    <cfRule type="expression" priority="3000" dxfId="6424">
      <formula>$B2689="Subetapa"</formula>
    </cfRule>
  </conditionalFormatting>
  <conditionalFormatting sqref="A2689">
    <cfRule type="expression" priority="2998" dxfId="6424">
      <formula>$B2689="Subetapa"</formula>
    </cfRule>
  </conditionalFormatting>
  <conditionalFormatting sqref="G2662:H2662">
    <cfRule type="expression" priority="2996" dxfId="6424">
      <formula>$B2662="Subetapa"</formula>
    </cfRule>
  </conditionalFormatting>
  <conditionalFormatting sqref="G2744:H2744">
    <cfRule type="expression" priority="2995" dxfId="6424">
      <formula>$B2744="Subetapa"</formula>
    </cfRule>
  </conditionalFormatting>
  <conditionalFormatting sqref="B2835:B2840 D2826:F2827 D2835:F2840">
    <cfRule type="expression" priority="2991" dxfId="6433">
      <formula>$B2826="Serviço"</formula>
    </cfRule>
    <cfRule type="expression" priority="2992" dxfId="6434">
      <formula>$B2826="Subetapa"</formula>
    </cfRule>
  </conditionalFormatting>
  <conditionalFormatting sqref="B2822:B2825">
    <cfRule type="expression" priority="2987" dxfId="6434">
      <formula>$B2822="Subetapa"</formula>
    </cfRule>
    <cfRule type="expression" priority="2986" dxfId="6433">
      <formula>$B2822="Serviço"</formula>
    </cfRule>
  </conditionalFormatting>
  <conditionalFormatting sqref="C2822:D2822">
    <cfRule type="expression" priority="2976" dxfId="6433">
      <formula>$B2822="Serviço"</formula>
    </cfRule>
    <cfRule type="expression" priority="2977" dxfId="6434">
      <formula>$B2822="Subetapa"</formula>
    </cfRule>
  </conditionalFormatting>
  <conditionalFormatting sqref="C2823:D2823">
    <cfRule type="expression" priority="2978" dxfId="6425">
      <formula>$A2823=2</formula>
    </cfRule>
  </conditionalFormatting>
  <conditionalFormatting sqref="C2824:D2824">
    <cfRule type="expression" priority="2981" dxfId="6433">
      <formula>$B2824="Serviço"</formula>
    </cfRule>
    <cfRule type="expression" priority="2982" dxfId="6434">
      <formula>$B2824="Subetapa"</formula>
    </cfRule>
  </conditionalFormatting>
  <conditionalFormatting sqref="C2825:D2825">
    <cfRule type="expression" priority="2983" dxfId="6425">
      <formula>$A2825=2</formula>
    </cfRule>
  </conditionalFormatting>
  <conditionalFormatting sqref="E2823">
    <cfRule type="expression" priority="2979" dxfId="6433">
      <formula>$B2823="Serviço"</formula>
    </cfRule>
  </conditionalFormatting>
  <conditionalFormatting sqref="E2825">
    <cfRule type="expression" priority="2989" dxfId="6433">
      <formula>$B2825="Serviço"</formula>
    </cfRule>
  </conditionalFormatting>
  <conditionalFormatting sqref="E2822:F2825">
    <cfRule type="expression" priority="2988" dxfId="6433">
      <formula>$B2822="Serviço"</formula>
    </cfRule>
  </conditionalFormatting>
  <conditionalFormatting sqref="E2822:F2823">
    <cfRule type="expression" priority="2980" dxfId="6434">
      <formula>$B2822="Subetapa"</formula>
    </cfRule>
  </conditionalFormatting>
  <conditionalFormatting sqref="E2824:F2825">
    <cfRule type="expression" priority="2990" dxfId="6434">
      <formula>$B2824="Subetapa"</formula>
    </cfRule>
  </conditionalFormatting>
  <conditionalFormatting sqref="G2794:H2794">
    <cfRule type="expression" priority="2546" dxfId="6424">
      <formula>$B2794="Subetapa"</formula>
    </cfRule>
  </conditionalFormatting>
  <conditionalFormatting sqref="E2780">
    <cfRule type="expression" priority="2544" dxfId="6424">
      <formula>$B2780="Subetapa"</formula>
    </cfRule>
  </conditionalFormatting>
  <conditionalFormatting sqref="E2779:F2780">
    <cfRule type="expression" priority="2545" dxfId="6424">
      <formula>$B2779="Subetapa"</formula>
    </cfRule>
  </conditionalFormatting>
  <conditionalFormatting sqref="G2779:H2779">
    <cfRule type="expression" priority="2538" dxfId="6424">
      <formula>$B2779="Subetapa"</formula>
    </cfRule>
  </conditionalFormatting>
  <conditionalFormatting sqref="E2776">
    <cfRule type="expression" priority="2536" dxfId="6424">
      <formula>$B2776="Subetapa"</formula>
    </cfRule>
  </conditionalFormatting>
  <conditionalFormatting sqref="E2775:F2776">
    <cfRule type="expression" priority="2537" dxfId="6424">
      <formula>$B2775="Subetapa"</formula>
    </cfRule>
  </conditionalFormatting>
  <conditionalFormatting sqref="G2775:H2775">
    <cfRule type="expression" priority="2530" dxfId="6424">
      <formula>$B2775="Subetapa"</formula>
    </cfRule>
  </conditionalFormatting>
  <conditionalFormatting sqref="E2782">
    <cfRule type="expression" priority="2528" dxfId="6424">
      <formula>$B2782="Subetapa"</formula>
    </cfRule>
  </conditionalFormatting>
  <conditionalFormatting sqref="E2781:F2782">
    <cfRule type="expression" priority="2529" dxfId="6424">
      <formula>$B2781="Subetapa"</formula>
    </cfRule>
  </conditionalFormatting>
  <conditionalFormatting sqref="G2781:H2781">
    <cfRule type="expression" priority="2522" dxfId="6424">
      <formula>$B2781="Subetapa"</formula>
    </cfRule>
  </conditionalFormatting>
  <conditionalFormatting sqref="E2774">
    <cfRule type="expression" priority="2520" dxfId="6424">
      <formula>$B2774="Subetapa"</formula>
    </cfRule>
  </conditionalFormatting>
  <conditionalFormatting sqref="E2773:F2774">
    <cfRule type="expression" priority="2521" dxfId="6424">
      <formula>$B2773="Subetapa"</formula>
    </cfRule>
  </conditionalFormatting>
  <conditionalFormatting sqref="G2773:H2773">
    <cfRule type="expression" priority="2514" dxfId="6424">
      <formula>$B2773="Subetapa"</formula>
    </cfRule>
  </conditionalFormatting>
  <conditionalFormatting sqref="E2778">
    <cfRule type="expression" priority="2512" dxfId="6424">
      <formula>$B2778="Subetapa"</formula>
    </cfRule>
  </conditionalFormatting>
  <conditionalFormatting sqref="E2777:F2777 E2778">
    <cfRule type="expression" priority="2513" dxfId="6424">
      <formula>$B2777="Subetapa"</formula>
    </cfRule>
  </conditionalFormatting>
  <conditionalFormatting sqref="G2777:H2777">
    <cfRule type="expression" priority="2506" dxfId="6424">
      <formula>$B2777="Subetapa"</formula>
    </cfRule>
  </conditionalFormatting>
  <conditionalFormatting sqref="G2796:H2796">
    <cfRule type="expression" priority="2505" dxfId="6424">
      <formula>$B2796="Subetapa"</formula>
    </cfRule>
  </conditionalFormatting>
  <conditionalFormatting sqref="C2843:C2844 D2843:F2843 D2844">
    <cfRule type="expression" priority="2496" dxfId="6424">
      <formula>$B2843="Subetapa"</formula>
    </cfRule>
  </conditionalFormatting>
  <conditionalFormatting sqref="E2833:E2834">
    <cfRule type="expression" priority="2495" dxfId="6424">
      <formula>$B2833="Subetapa"</formula>
    </cfRule>
  </conditionalFormatting>
  <conditionalFormatting sqref="B2832:C2834 D2832:F2832 D2833:D2834 F2833:F2834">
    <cfRule type="expression" priority="2490" dxfId="6424">
      <formula>$B2832="Subetapa"</formula>
    </cfRule>
  </conditionalFormatting>
  <conditionalFormatting sqref="K2832:K2834">
    <cfRule type="expression" priority="2486" dxfId="6424">
      <formula>$B2832="Subetapa"</formula>
    </cfRule>
  </conditionalFormatting>
  <conditionalFormatting sqref="A2832:A2834">
    <cfRule type="expression" priority="2484" dxfId="6424">
      <formula>$B2832="Subetapa"</formula>
    </cfRule>
  </conditionalFormatting>
  <conditionalFormatting sqref="G2832:H2832">
    <cfRule type="expression" priority="2483" dxfId="6424">
      <formula>$B2832="Subetapa"</formula>
    </cfRule>
  </conditionalFormatting>
  <conditionalFormatting sqref="B2682 B2684">
    <cfRule type="expression" priority="2481" dxfId="6434">
      <formula>$B2682="Subetapa"</formula>
    </cfRule>
  </conditionalFormatting>
  <conditionalFormatting sqref="E2682:F2682 F2684">
    <cfRule type="expression" priority="2480" dxfId="6434">
      <formula>$B2682="Subetapa"</formula>
    </cfRule>
    <cfRule type="expression" priority="2482" dxfId="6433">
      <formula>$B2682="Serviço"</formula>
    </cfRule>
  </conditionalFormatting>
  <conditionalFormatting sqref="G2682:H2682">
    <cfRule type="expression" priority="2478" dxfId="6434">
      <formula>$B2682="Subetapa"</formula>
    </cfRule>
    <cfRule type="expression" priority="2479" dxfId="6433">
      <formula>$B2682="Serviço"</formula>
    </cfRule>
  </conditionalFormatting>
  <conditionalFormatting sqref="I2683:K2683">
    <cfRule type="expression" priority="2473" dxfId="6424">
      <formula>$B2683="Subetapa"</formula>
    </cfRule>
  </conditionalFormatting>
  <conditionalFormatting sqref="A2683">
    <cfRule type="expression" priority="2471" dxfId="6424">
      <formula>$B2683="Subetapa"</formula>
    </cfRule>
  </conditionalFormatting>
  <conditionalFormatting sqref="B2890:B2894">
    <cfRule type="expression" priority="2465" dxfId="6433">
      <formula>$B2890="Serviço"</formula>
    </cfRule>
    <cfRule type="expression" priority="2469" dxfId="6434">
      <formula>$B2890="Subetapa"</formula>
    </cfRule>
  </conditionalFormatting>
  <conditionalFormatting sqref="B2895:B2904">
    <cfRule type="expression" priority="2461" dxfId="6434">
      <formula>$B2895="Subetapa"</formula>
    </cfRule>
  </conditionalFormatting>
  <conditionalFormatting sqref="B2896:B2899 B2901:B2904">
    <cfRule type="expression" priority="2462" dxfId="6433">
      <formula>$B2896="Serviço"</formula>
    </cfRule>
  </conditionalFormatting>
  <conditionalFormatting sqref="B2895 B2900">
    <cfRule type="expression" priority="2457" dxfId="6433">
      <formula>$B2895="Serviço"</formula>
    </cfRule>
  </conditionalFormatting>
  <conditionalFormatting sqref="C2890:C2894 D2890:F2890 D2891:D2894">
    <cfRule type="expression" priority="2466" dxfId="6433">
      <formula>$B2890="Serviço"</formula>
    </cfRule>
    <cfRule type="expression" priority="2467" dxfId="6434">
      <formula>$B2890="Subetapa"</formula>
    </cfRule>
  </conditionalFormatting>
  <conditionalFormatting sqref="C2895:C2904 D2895:F2895 D2896:D2899 D2900:F2900 D2901:D2904 F2896:F2899 F2901:F2904">
    <cfRule type="expression" priority="2459" dxfId="6433">
      <formula>$B2895="Serviço"</formula>
    </cfRule>
    <cfRule type="expression" priority="2460" dxfId="6434">
      <formula>$B2895="Subetapa"</formula>
    </cfRule>
  </conditionalFormatting>
  <conditionalFormatting sqref="F2891:F2894">
    <cfRule type="expression" priority="2463" dxfId="6433">
      <formula>$A2891="Serviço"</formula>
    </cfRule>
    <cfRule type="expression" priority="2464" dxfId="6434">
      <formula>$A2891="Subetapa"</formula>
    </cfRule>
  </conditionalFormatting>
  <conditionalFormatting sqref="G2890:H2890">
    <cfRule type="expression" priority="2452" dxfId="6433">
      <formula>$B2890="Serviço"</formula>
    </cfRule>
    <cfRule type="expression" priority="2453" dxfId="6434">
      <formula>$B2890="Subetapa"</formula>
    </cfRule>
  </conditionalFormatting>
  <conditionalFormatting sqref="G2895:H2895 G2900:H2900">
    <cfRule type="expression" priority="2456" dxfId="6433">
      <formula>$B2895="Serviço"</formula>
    </cfRule>
    <cfRule type="expression" priority="2451" dxfId="6434">
      <formula>$B2895="Subetapa"</formula>
    </cfRule>
  </conditionalFormatting>
  <conditionalFormatting sqref="K2895:K2904">
    <cfRule type="expression" priority="2444" dxfId="6433">
      <formula>$B2895="Serviço"</formula>
    </cfRule>
    <cfRule type="expression" priority="2443" dxfId="6434">
      <formula>$B2895="Subetapa"</formula>
    </cfRule>
  </conditionalFormatting>
  <conditionalFormatting sqref="K2890:K2894">
    <cfRule type="expression" priority="2445" dxfId="6434">
      <formula>$B2890="Subetapa"</formula>
    </cfRule>
    <cfRule type="expression" priority="2446" dxfId="6433">
      <formula>$B2890="Serviço"</formula>
    </cfRule>
  </conditionalFormatting>
  <conditionalFormatting sqref="A2890:A2894">
    <cfRule type="expression" priority="2441" dxfId="6433">
      <formula>$B2890="Serviço"</formula>
    </cfRule>
    <cfRule type="expression" priority="2442" dxfId="6434">
      <formula>$B2890="Subetapa"</formula>
    </cfRule>
  </conditionalFormatting>
  <conditionalFormatting sqref="A2895:A2904">
    <cfRule type="expression" priority="2439" dxfId="6434">
      <formula>$B2895="Subetapa"</formula>
    </cfRule>
  </conditionalFormatting>
  <conditionalFormatting sqref="A2896:A2899 A2901:A2904">
    <cfRule type="expression" priority="2440" dxfId="6433">
      <formula>$B2896="Serviço"</formula>
    </cfRule>
  </conditionalFormatting>
  <conditionalFormatting sqref="A2895 A2900">
    <cfRule type="expression" priority="2438" dxfId="6433">
      <formula>$B2895="Serviço"</formula>
    </cfRule>
  </conditionalFormatting>
  <conditionalFormatting sqref="F2959:F2960">
    <cfRule type="expression" priority="2432" dxfId="6424">
      <formula>$B2959="Subetapa"</formula>
    </cfRule>
  </conditionalFormatting>
  <conditionalFormatting sqref="G3093:H3093">
    <cfRule type="expression" priority="2430" dxfId="6424">
      <formula>$B3093="Subetapa"</formula>
    </cfRule>
  </conditionalFormatting>
  <conditionalFormatting sqref="K3093:K3096">
    <cfRule type="expression" priority="2427" dxfId="6424">
      <formula>$B3093="Subetapa"</formula>
    </cfRule>
  </conditionalFormatting>
  <conditionalFormatting sqref="A3093:A3096">
    <cfRule type="expression" priority="2426" dxfId="6424">
      <formula>$B3093="Subetapa"</formula>
    </cfRule>
  </conditionalFormatting>
  <conditionalFormatting sqref="B3330:B3339">
    <cfRule type="expression" priority="2424" dxfId="6424">
      <formula>$B3330="Subetapa"</formula>
    </cfRule>
  </conditionalFormatting>
  <conditionalFormatting sqref="A3330:A3339">
    <cfRule type="expression" priority="2416" dxfId="6424">
      <formula>$B3330="Subetapa"</formula>
    </cfRule>
  </conditionalFormatting>
  <conditionalFormatting sqref="G3335:H3335">
    <cfRule type="expression" priority="2410" dxfId="6424">
      <formula>$B3335="Subetapa"</formula>
    </cfRule>
  </conditionalFormatting>
  <conditionalFormatting sqref="G3330:H3330">
    <cfRule type="expression" priority="2404" dxfId="6424">
      <formula>$B3330="Subetapa"</formula>
    </cfRule>
  </conditionalFormatting>
  <conditionalFormatting sqref="B3265:B3269">
    <cfRule type="expression" priority="2372" dxfId="6424">
      <formula>$B3265="Subetapa"</formula>
    </cfRule>
  </conditionalFormatting>
  <conditionalFormatting sqref="B3270:B3274">
    <cfRule type="expression" priority="2365" dxfId="6433">
      <formula>$B3270="Serviço"</formula>
    </cfRule>
    <cfRule type="expression" priority="2369" dxfId="6434">
      <formula>$B3270="Subetapa"</formula>
    </cfRule>
  </conditionalFormatting>
  <conditionalFormatting sqref="B3275:B3284">
    <cfRule type="expression" priority="2361" dxfId="6434">
      <formula>$B3275="Subetapa"</formula>
    </cfRule>
  </conditionalFormatting>
  <conditionalFormatting sqref="B3276:B3279 B3281:B3284">
    <cfRule type="expression" priority="2362" dxfId="6433">
      <formula>$B3276="Serviço"</formula>
    </cfRule>
  </conditionalFormatting>
  <conditionalFormatting sqref="B3275 B3280">
    <cfRule type="expression" priority="2357" dxfId="6433">
      <formula>$B3275="Serviço"</formula>
    </cfRule>
  </conditionalFormatting>
  <conditionalFormatting sqref="C3265:C3268 D3265:F3265 D3266:D3268 F3266:F3269">
    <cfRule type="expression" priority="2356" dxfId="6424">
      <formula>$B3265="Subetapa"</formula>
    </cfRule>
  </conditionalFormatting>
  <conditionalFormatting sqref="C3270:C3273 D3270:F3270 D3271:D3273">
    <cfRule type="expression" priority="2366" dxfId="6433">
      <formula>$B3270="Serviço"</formula>
    </cfRule>
    <cfRule type="expression" priority="2367" dxfId="6434">
      <formula>$B3270="Subetapa"</formula>
    </cfRule>
  </conditionalFormatting>
  <conditionalFormatting sqref="C3275:C3284 D3275:F3275 D3276:D3279 D3280:F3280 D3281:D3284 F3276:F3279 F3281:F3284">
    <cfRule type="expression" priority="2359" dxfId="6433">
      <formula>$B3275="Serviço"</formula>
    </cfRule>
    <cfRule type="expression" priority="2360" dxfId="6434">
      <formula>$B3275="Subetapa"</formula>
    </cfRule>
  </conditionalFormatting>
  <conditionalFormatting sqref="F3271:F3274">
    <cfRule type="expression" priority="2363" dxfId="6433">
      <formula>$A3271="Serviço"</formula>
    </cfRule>
    <cfRule type="expression" priority="2364" dxfId="6434">
      <formula>$A3271="Subetapa"</formula>
    </cfRule>
  </conditionalFormatting>
  <conditionalFormatting sqref="G3265:H3265">
    <cfRule type="expression" priority="2354" dxfId="6424">
      <formula>$B3265="Subetapa"</formula>
    </cfRule>
  </conditionalFormatting>
  <conditionalFormatting sqref="G3270:H3270">
    <cfRule type="expression" priority="2351" dxfId="6433">
      <formula>$B3270="Serviço"</formula>
    </cfRule>
    <cfRule type="expression" priority="2352" dxfId="6434">
      <formula>$B3270="Subetapa"</formula>
    </cfRule>
  </conditionalFormatting>
  <conditionalFormatting sqref="G3275:H3275 G3280:H3280">
    <cfRule type="expression" priority="2355" dxfId="6433">
      <formula>$B3275="Serviço"</formula>
    </cfRule>
    <cfRule type="expression" priority="2350" dxfId="6434">
      <formula>$B3275="Subetapa"</formula>
    </cfRule>
  </conditionalFormatting>
  <conditionalFormatting sqref="K3275:K3284">
    <cfRule type="expression" priority="2339" dxfId="6433">
      <formula>$B3275="Serviço"</formula>
    </cfRule>
    <cfRule type="expression" priority="2338" dxfId="6434">
      <formula>$B3275="Subetapa"</formula>
    </cfRule>
  </conditionalFormatting>
  <conditionalFormatting sqref="K3265:K3269">
    <cfRule type="expression" priority="2343" dxfId="6424">
      <formula>$B3265="Subetapa"</formula>
    </cfRule>
  </conditionalFormatting>
  <conditionalFormatting sqref="K3270:K3274">
    <cfRule type="expression" priority="2340" dxfId="6434">
      <formula>$B3270="Subetapa"</formula>
    </cfRule>
    <cfRule type="expression" priority="2341" dxfId="6433">
      <formula>$B3270="Serviço"</formula>
    </cfRule>
  </conditionalFormatting>
  <conditionalFormatting sqref="A3265:A3269">
    <cfRule type="expression" priority="2337" dxfId="6424">
      <formula>$B3265="Subetapa"</formula>
    </cfRule>
  </conditionalFormatting>
  <conditionalFormatting sqref="A3270:A3274">
    <cfRule type="expression" priority="2334" dxfId="6433">
      <formula>$B3270="Serviço"</formula>
    </cfRule>
    <cfRule type="expression" priority="2335" dxfId="6434">
      <formula>$B3270="Subetapa"</formula>
    </cfRule>
  </conditionalFormatting>
  <conditionalFormatting sqref="A3275:A3284">
    <cfRule type="expression" priority="2332" dxfId="6434">
      <formula>$B3275="Subetapa"</formula>
    </cfRule>
  </conditionalFormatting>
  <conditionalFormatting sqref="A3276:A3279 A3281:A3284">
    <cfRule type="expression" priority="2333" dxfId="6433">
      <formula>$B3276="Serviço"</formula>
    </cfRule>
  </conditionalFormatting>
  <conditionalFormatting sqref="A3275 A3280">
    <cfRule type="expression" priority="2331" dxfId="6433">
      <formula>$B3275="Serviço"</formula>
    </cfRule>
  </conditionalFormatting>
  <conditionalFormatting sqref="C3500:C3504 D3500:F3500 D3501:D3504">
    <cfRule type="expression" priority="2322" dxfId="6433">
      <formula>$B3500="Serviço"</formula>
    </cfRule>
  </conditionalFormatting>
  <conditionalFormatting sqref="F3501:F3504">
    <cfRule type="expression" priority="2320" dxfId="6433">
      <formula>$A3501="Serviço"</formula>
    </cfRule>
    <cfRule type="expression" priority="2321" dxfId="6434">
      <formula>$A3501="Subetapa"</formula>
    </cfRule>
  </conditionalFormatting>
  <conditionalFormatting sqref="G3500:H3500">
    <cfRule type="expression" priority="2319" dxfId="6434">
      <formula>$B3500="Subetapa"</formula>
    </cfRule>
    <cfRule type="expression" priority="2318" dxfId="6433">
      <formula>$B3500="Serviço"</formula>
    </cfRule>
  </conditionalFormatting>
  <conditionalFormatting sqref="C3334:D3334">
    <cfRule type="expression" priority="2317" dxfId="6434">
      <formula>$B3334="Subetapa"</formula>
    </cfRule>
    <cfRule type="expression" priority="2316" dxfId="6433">
      <formula>$B3334="Serviço"</formula>
    </cfRule>
  </conditionalFormatting>
  <conditionalFormatting sqref="C3339:D3339">
    <cfRule type="expression" priority="2315" dxfId="6434">
      <formula>$B3339="Subetapa"</formula>
    </cfRule>
    <cfRule type="expression" priority="2314" dxfId="6433">
      <formula>$B3339="Serviço"</formula>
    </cfRule>
  </conditionalFormatting>
  <conditionalFormatting sqref="C3294:D3294">
    <cfRule type="expression" priority="2313" dxfId="6434">
      <formula>$B3294="Subetapa"</formula>
    </cfRule>
    <cfRule type="expression" priority="2312" dxfId="6433">
      <formula>$B3294="Serviço"</formula>
    </cfRule>
  </conditionalFormatting>
  <conditionalFormatting sqref="C3274:D3274">
    <cfRule type="expression" priority="2311" dxfId="6434">
      <formula>$B3274="Subetapa"</formula>
    </cfRule>
    <cfRule type="expression" priority="2310" dxfId="6433">
      <formula>$B3274="Serviço"</formula>
    </cfRule>
  </conditionalFormatting>
  <conditionalFormatting sqref="C3269:D3269">
    <cfRule type="expression" priority="2309" dxfId="6434">
      <formula>$B3269="Subetapa"</formula>
    </cfRule>
    <cfRule type="expression" priority="2308" dxfId="6433">
      <formula>$B3269="Serviço"</formula>
    </cfRule>
  </conditionalFormatting>
  <conditionalFormatting sqref="C2378:D2378">
    <cfRule type="expression" priority="2307" dxfId="6434">
      <formula>$B2378="Subetapa"</formula>
    </cfRule>
    <cfRule type="expression" priority="2306" dxfId="6433">
      <formula>$B2378="Serviço"</formula>
    </cfRule>
  </conditionalFormatting>
  <conditionalFormatting sqref="C2388:D2388">
    <cfRule type="expression" priority="2305" dxfId="6434">
      <formula>$B2388="Subetapa"</formula>
    </cfRule>
    <cfRule type="expression" priority="2304" dxfId="6433">
      <formula>$B2388="Serviço"</formula>
    </cfRule>
  </conditionalFormatting>
  <conditionalFormatting sqref="C2419:D2419">
    <cfRule type="expression" priority="2303" dxfId="6434">
      <formula>$B2419="Subetapa"</formula>
    </cfRule>
    <cfRule type="expression" priority="2302" dxfId="6433">
      <formula>$B2419="Serviço"</formula>
    </cfRule>
  </conditionalFormatting>
  <conditionalFormatting sqref="C2429:D2429">
    <cfRule type="expression" priority="2301" dxfId="6434">
      <formula>$B2429="Subetapa"</formula>
    </cfRule>
    <cfRule type="expression" priority="2300" dxfId="6433">
      <formula>$B2429="Serviço"</formula>
    </cfRule>
  </conditionalFormatting>
  <conditionalFormatting sqref="G2566:H2566">
    <cfRule type="expression" priority="2293" dxfId="6424">
      <formula>$B2566="Subetapa"</formula>
    </cfRule>
  </conditionalFormatting>
  <conditionalFormatting sqref="C2570:D2570">
    <cfRule type="expression" priority="2290" dxfId="6433">
      <formula>$B2570="Serviço"</formula>
    </cfRule>
    <cfRule type="expression" priority="2291" dxfId="6434">
      <formula>$B2570="Subetapa"</formula>
    </cfRule>
  </conditionalFormatting>
  <conditionalFormatting sqref="G2561:H2561">
    <cfRule type="expression" priority="2281" dxfId="6424">
      <formula>$B2561="Subetapa"</formula>
    </cfRule>
  </conditionalFormatting>
  <conditionalFormatting sqref="C2565:D2565">
    <cfRule type="expression" priority="2278" dxfId="6433">
      <formula>$B2565="Serviço"</formula>
    </cfRule>
    <cfRule type="expression" priority="2279" dxfId="6434">
      <formula>$B2565="Subetapa"</formula>
    </cfRule>
  </conditionalFormatting>
  <conditionalFormatting sqref="G2546:H2546">
    <cfRule type="expression" priority="2269" dxfId="6424">
      <formula>$B2546="Subetapa"</formula>
    </cfRule>
  </conditionalFormatting>
  <conditionalFormatting sqref="C2550:D2550">
    <cfRule type="expression" priority="2266" dxfId="6433">
      <formula>$B2550="Serviço"</formula>
    </cfRule>
    <cfRule type="expression" priority="2267" dxfId="6434">
      <formula>$B2550="Subetapa"</formula>
    </cfRule>
  </conditionalFormatting>
  <conditionalFormatting sqref="G2541:H2541">
    <cfRule type="expression" priority="2257" dxfId="6424">
      <formula>$B2541="Subetapa"</formula>
    </cfRule>
  </conditionalFormatting>
  <conditionalFormatting sqref="C2545:D2545">
    <cfRule type="expression" priority="2254" dxfId="6433">
      <formula>$B2545="Serviço"</formula>
    </cfRule>
    <cfRule type="expression" priority="2255" dxfId="6434">
      <formula>$B2545="Subetapa"</formula>
    </cfRule>
  </conditionalFormatting>
  <conditionalFormatting sqref="G2536:H2536">
    <cfRule type="expression" priority="2245" dxfId="6424">
      <formula>$B2536="Subetapa"</formula>
    </cfRule>
  </conditionalFormatting>
  <conditionalFormatting sqref="C2540:D2540">
    <cfRule type="expression" priority="2242" dxfId="6433">
      <formula>$B2540="Serviço"</formula>
    </cfRule>
    <cfRule type="expression" priority="2243" dxfId="6434">
      <formula>$B2540="Subetapa"</formula>
    </cfRule>
  </conditionalFormatting>
  <conditionalFormatting sqref="G2531:H2531">
    <cfRule type="expression" priority="2233" dxfId="6424">
      <formula>$B2531="Subetapa"</formula>
    </cfRule>
  </conditionalFormatting>
  <conditionalFormatting sqref="C2535:D2535">
    <cfRule type="expression" priority="2230" dxfId="6433">
      <formula>$B2535="Serviço"</formula>
    </cfRule>
    <cfRule type="expression" priority="2231" dxfId="6434">
      <formula>$B2535="Subetapa"</formula>
    </cfRule>
  </conditionalFormatting>
  <conditionalFormatting sqref="G2589:H2589">
    <cfRule type="expression" priority="2225" dxfId="6424">
      <formula>$B2589="Subetapa"</formula>
    </cfRule>
  </conditionalFormatting>
  <conditionalFormatting sqref="G2583:H2583">
    <cfRule type="expression" priority="2219" dxfId="6424">
      <formula>$B2583="Subetapa"</formula>
    </cfRule>
  </conditionalFormatting>
  <conditionalFormatting sqref="G2556:H2556">
    <cfRule type="expression" priority="2209" dxfId="6424">
      <formula>$B2556="Subetapa"</formula>
    </cfRule>
  </conditionalFormatting>
  <conditionalFormatting sqref="C2560:D2560">
    <cfRule type="expression" priority="2206" dxfId="6433">
      <formula>$B2560="Serviço"</formula>
    </cfRule>
    <cfRule type="expression" priority="2207" dxfId="6434">
      <formula>$B2560="Subetapa"</formula>
    </cfRule>
  </conditionalFormatting>
  <conditionalFormatting sqref="G2551:H2551">
    <cfRule type="expression" priority="2197" dxfId="6424">
      <formula>$B2551="Subetapa"</formula>
    </cfRule>
  </conditionalFormatting>
  <conditionalFormatting sqref="C2555:D2555">
    <cfRule type="expression" priority="2194" dxfId="6433">
      <formula>$B2555="Serviço"</formula>
    </cfRule>
    <cfRule type="expression" priority="2195" dxfId="6434">
      <formula>$B2555="Subetapa"</formula>
    </cfRule>
  </conditionalFormatting>
  <conditionalFormatting sqref="G2420:H2420">
    <cfRule type="expression" priority="2189" dxfId="6424">
      <formula>$B2420="Subetapa"</formula>
    </cfRule>
  </conditionalFormatting>
  <conditionalFormatting sqref="C2424:D2424">
    <cfRule type="expression" priority="2187" dxfId="6434">
      <formula>$B2424="Subetapa"</formula>
    </cfRule>
    <cfRule type="expression" priority="2186" dxfId="6433">
      <formula>$B2424="Serviço"</formula>
    </cfRule>
  </conditionalFormatting>
  <conditionalFormatting sqref="C3147:F3147">
    <cfRule type="expression" priority="2185" dxfId="6424">
      <formula>$B3147="Subetapa"</formula>
    </cfRule>
  </conditionalFormatting>
  <conditionalFormatting sqref="G3147:H3147">
    <cfRule type="expression" priority="2183" dxfId="6424">
      <formula>$B3147="Subetapa"</formula>
    </cfRule>
  </conditionalFormatting>
  <conditionalFormatting sqref="E3173:E3174">
    <cfRule type="expression" priority="2181" dxfId="6424">
      <formula>$B3173="Subetapa"</formula>
    </cfRule>
  </conditionalFormatting>
  <conditionalFormatting sqref="E3172:F3172">
    <cfRule type="expression" priority="2178" dxfId="6424">
      <formula>$B3172="Subetapa"</formula>
    </cfRule>
  </conditionalFormatting>
  <conditionalFormatting sqref="D3173:D3174 F3173:F3174">
    <cfRule type="expression" priority="2182" dxfId="6424">
      <formula>$B3173="Subetapa"</formula>
    </cfRule>
  </conditionalFormatting>
  <conditionalFormatting sqref="G3172:H3172">
    <cfRule type="expression" priority="2174" dxfId="6424">
      <formula>$B3172="Subetapa"</formula>
    </cfRule>
  </conditionalFormatting>
  <conditionalFormatting sqref="E3170:E3171">
    <cfRule type="expression" priority="2172" dxfId="6424">
      <formula>$B3170="Subetapa"</formula>
    </cfRule>
  </conditionalFormatting>
  <conditionalFormatting sqref="C3169:F3169">
    <cfRule type="expression" priority="2169" dxfId="6424">
      <formula>$B3169="Subetapa"</formula>
    </cfRule>
  </conditionalFormatting>
  <conditionalFormatting sqref="D3170:D3171 F3170:F3171">
    <cfRule type="expression" priority="2173" dxfId="6424">
      <formula>$B3170="Subetapa"</formula>
    </cfRule>
  </conditionalFormatting>
  <conditionalFormatting sqref="G3169:H3169">
    <cfRule type="expression" priority="2165" dxfId="6424">
      <formula>$B3169="Subetapa"</formula>
    </cfRule>
  </conditionalFormatting>
  <conditionalFormatting sqref="E3167:E3168">
    <cfRule type="expression" priority="2163" dxfId="6424">
      <formula>$B3167="Subetapa"</formula>
    </cfRule>
  </conditionalFormatting>
  <conditionalFormatting sqref="E3166:F3166">
    <cfRule type="expression" priority="2160" dxfId="6424">
      <formula>$B3166="Subetapa"</formula>
    </cfRule>
  </conditionalFormatting>
  <conditionalFormatting sqref="D3167:D3168 F3167:F3168">
    <cfRule type="expression" priority="2164" dxfId="6424">
      <formula>$B3167="Subetapa"</formula>
    </cfRule>
  </conditionalFormatting>
  <conditionalFormatting sqref="G3166:H3166">
    <cfRule type="expression" priority="2156" dxfId="6424">
      <formula>$B3166="Subetapa"</formula>
    </cfRule>
  </conditionalFormatting>
  <conditionalFormatting sqref="E3164:E3165">
    <cfRule type="expression" priority="2154" dxfId="6424">
      <formula>$B3164="Subetapa"</formula>
    </cfRule>
  </conditionalFormatting>
  <conditionalFormatting sqref="E3163:F3163">
    <cfRule type="expression" priority="2151" dxfId="6424">
      <formula>$B3163="Subetapa"</formula>
    </cfRule>
  </conditionalFormatting>
  <conditionalFormatting sqref="D3164:D3165 F3164:F3165">
    <cfRule type="expression" priority="2155" dxfId="6424">
      <formula>$B3164="Subetapa"</formula>
    </cfRule>
  </conditionalFormatting>
  <conditionalFormatting sqref="G3163:H3163">
    <cfRule type="expression" priority="2147" dxfId="6424">
      <formula>$B3163="Subetapa"</formula>
    </cfRule>
  </conditionalFormatting>
  <conditionalFormatting sqref="E3161:E3162">
    <cfRule type="expression" priority="2145" dxfId="6424">
      <formula>$B3161="Subetapa"</formula>
    </cfRule>
  </conditionalFormatting>
  <conditionalFormatting sqref="C3160:F3160">
    <cfRule type="expression" priority="2142" dxfId="6424">
      <formula>$B3160="Subetapa"</formula>
    </cfRule>
  </conditionalFormatting>
  <conditionalFormatting sqref="D3161:D3162 F3161:F3162">
    <cfRule type="expression" priority="2146" dxfId="6424">
      <formula>$B3161="Subetapa"</formula>
    </cfRule>
  </conditionalFormatting>
  <conditionalFormatting sqref="G3160:H3160">
    <cfRule type="expression" priority="2138" dxfId="6424">
      <formula>$B3160="Subetapa"</formula>
    </cfRule>
  </conditionalFormatting>
  <conditionalFormatting sqref="E3158:E3159">
    <cfRule type="expression" priority="2136" dxfId="6424">
      <formula>$B3158="Subetapa"</formula>
    </cfRule>
  </conditionalFormatting>
  <conditionalFormatting sqref="C3157:F3157">
    <cfRule type="expression" priority="2133" dxfId="6424">
      <formula>$B3157="Subetapa"</formula>
    </cfRule>
  </conditionalFormatting>
  <conditionalFormatting sqref="D3158:D3159 F3158:F3159">
    <cfRule type="expression" priority="2137" dxfId="6424">
      <formula>$B3158="Subetapa"</formula>
    </cfRule>
  </conditionalFormatting>
  <conditionalFormatting sqref="G3157:H3157">
    <cfRule type="expression" priority="2129" dxfId="6424">
      <formula>$B3157="Subetapa"</formula>
    </cfRule>
  </conditionalFormatting>
  <conditionalFormatting sqref="C3163:D3163">
    <cfRule type="expression" priority="2128" dxfId="6424">
      <formula>$B3163="Subetapa"</formula>
    </cfRule>
  </conditionalFormatting>
  <conditionalFormatting sqref="C3166:D3166">
    <cfRule type="expression" priority="2126" dxfId="6424">
      <formula>$B3166="Subetapa"</formula>
    </cfRule>
  </conditionalFormatting>
  <conditionalFormatting sqref="C3172:D3172">
    <cfRule type="expression" priority="2125" dxfId="6424">
      <formula>$B3172="Subetapa"</formula>
    </cfRule>
  </conditionalFormatting>
  <conditionalFormatting sqref="C3155:C3156 D3155:F3155 D3156">
    <cfRule type="expression" priority="2120" dxfId="6424">
      <formula>$B3155="Subetapa"</formula>
    </cfRule>
  </conditionalFormatting>
  <conditionalFormatting sqref="G3155:H3155">
    <cfRule type="expression" priority="2116" dxfId="6424">
      <formula>$B3155="Subetapa"</formula>
    </cfRule>
  </conditionalFormatting>
  <conditionalFormatting sqref="C3153:C3154 D3153:F3153 D3154">
    <cfRule type="expression" priority="2114" dxfId="6424">
      <formula>$B3153="Subetapa"</formula>
    </cfRule>
  </conditionalFormatting>
  <conditionalFormatting sqref="G3153:H3153">
    <cfRule type="expression" priority="2112" dxfId="6424">
      <formula>$B3153="Subetapa"</formula>
    </cfRule>
  </conditionalFormatting>
  <conditionalFormatting sqref="C3151:C3152 D3151:F3151 D3152">
    <cfRule type="expression" priority="2110" dxfId="6424">
      <formula>$B3151="Subetapa"</formula>
    </cfRule>
  </conditionalFormatting>
  <conditionalFormatting sqref="G3151:H3151">
    <cfRule type="expression" priority="2108" dxfId="6424">
      <formula>$B3151="Subetapa"</formula>
    </cfRule>
  </conditionalFormatting>
  <conditionalFormatting sqref="C3149:C3150 D3149:F3149 D3150">
    <cfRule type="expression" priority="2106" dxfId="6424">
      <formula>$B3149="Subetapa"</formula>
    </cfRule>
  </conditionalFormatting>
  <conditionalFormatting sqref="G3149:H3149">
    <cfRule type="expression" priority="2104" dxfId="6424">
      <formula>$B3149="Subetapa"</formula>
    </cfRule>
  </conditionalFormatting>
  <conditionalFormatting sqref="B3589:C3613 D3589:F3589 D3590:D3593 D3594:F3594 D3595:D3597 D3598:F3598 D3599:D3601 D3602:F3602 D3603:D3605 D3606:F3606 D3607:D3609 D3610:F3610 D3611:D3613 F3590:F3593 F3595:F3597 F3599:F3601 F3603:F3605 F3607:F3609 F3611:F3613">
    <cfRule type="expression" priority="2102" dxfId="6424">
      <formula>$B3589="Subetapa"</formula>
    </cfRule>
  </conditionalFormatting>
  <conditionalFormatting sqref="B3614:C3617 D3614:F3614 D3615:D3617 F3615:F3617">
    <cfRule type="expression" priority="2100" dxfId="6424">
      <formula>$B3614="Subetapa"</formula>
    </cfRule>
  </conditionalFormatting>
  <conditionalFormatting sqref="G3610:H3610">
    <cfRule type="expression" priority="2098" dxfId="6424">
      <formula>$B3610="Subetapa"</formula>
    </cfRule>
  </conditionalFormatting>
  <conditionalFormatting sqref="K3589:K3613">
    <cfRule type="expression" priority="2092" dxfId="6424">
      <formula>$B3589="Subetapa"</formula>
    </cfRule>
  </conditionalFormatting>
  <conditionalFormatting sqref="K3614:K3617">
    <cfRule type="expression" priority="2090" dxfId="6424">
      <formula>$B3614="Subetapa"</formula>
    </cfRule>
  </conditionalFormatting>
  <conditionalFormatting sqref="A3589:A3613">
    <cfRule type="expression" priority="2088" dxfId="6424">
      <formula>$B3589="Subetapa"</formula>
    </cfRule>
  </conditionalFormatting>
  <conditionalFormatting sqref="A3614:A3617">
    <cfRule type="expression" priority="2086" dxfId="6424">
      <formula>$B3614="Subetapa"</formula>
    </cfRule>
  </conditionalFormatting>
  <conditionalFormatting sqref="E3595:E3597">
    <cfRule type="expression" priority="2085" dxfId="6424">
      <formula>$B3595="Subetapa"</formula>
    </cfRule>
  </conditionalFormatting>
  <conditionalFormatting sqref="G3594:H3594">
    <cfRule type="expression" priority="2080" dxfId="6424">
      <formula>$B3594="Subetapa"</formula>
    </cfRule>
  </conditionalFormatting>
  <conditionalFormatting sqref="E3599:E3601">
    <cfRule type="expression" priority="2079" dxfId="6424">
      <formula>$B3599="Subetapa"</formula>
    </cfRule>
  </conditionalFormatting>
  <conditionalFormatting sqref="G3598:H3598">
    <cfRule type="expression" priority="2074" dxfId="6424">
      <formula>$B3598="Subetapa"</formula>
    </cfRule>
  </conditionalFormatting>
  <conditionalFormatting sqref="E3607:E3609">
    <cfRule type="expression" priority="2073" dxfId="6424">
      <formula>$B3607="Subetapa"</formula>
    </cfRule>
  </conditionalFormatting>
  <conditionalFormatting sqref="G3606:H3606">
    <cfRule type="expression" priority="2068" dxfId="6424">
      <formula>$B3606="Subetapa"</formula>
    </cfRule>
  </conditionalFormatting>
  <conditionalFormatting sqref="E3603:E3605">
    <cfRule type="expression" priority="2067" dxfId="6424">
      <formula>$B3603="Subetapa"</formula>
    </cfRule>
  </conditionalFormatting>
  <conditionalFormatting sqref="G3602:H3602">
    <cfRule type="expression" priority="2062" dxfId="6424">
      <formula>$B3602="Subetapa"</formula>
    </cfRule>
  </conditionalFormatting>
  <conditionalFormatting sqref="G3614:H3614">
    <cfRule type="expression" priority="2060" dxfId="6424">
      <formula>$B3614="Subetapa"</formula>
    </cfRule>
  </conditionalFormatting>
  <conditionalFormatting sqref="E3590:E3593">
    <cfRule type="expression" priority="2055" dxfId="6424">
      <formula>$B3590="Subetapa"</formula>
    </cfRule>
  </conditionalFormatting>
  <conditionalFormatting sqref="G3589:H3589">
    <cfRule type="expression" priority="2050" dxfId="6424">
      <formula>$B3589="Subetapa"</formula>
    </cfRule>
  </conditionalFormatting>
  <conditionalFormatting sqref="G3221:H3221">
    <cfRule type="expression" priority="2049" dxfId="6424">
      <formula>$B3221="Subetapa"</formula>
    </cfRule>
  </conditionalFormatting>
  <conditionalFormatting sqref="G3219:H3219">
    <cfRule type="expression" priority="2047" dxfId="6424">
      <formula>$B3219="Subetapa"</formula>
    </cfRule>
  </conditionalFormatting>
  <conditionalFormatting sqref="C3177:F3177 F3178">
    <cfRule type="expression" priority="2044" dxfId="6433">
      <formula>$B3177="Serviço"</formula>
    </cfRule>
    <cfRule type="expression" priority="2045" dxfId="6434">
      <formula>$B3177="Subetapa"</formula>
    </cfRule>
  </conditionalFormatting>
  <conditionalFormatting sqref="G3177:H3177">
    <cfRule type="expression" priority="2042" dxfId="6434">
      <formula>$B3177="Subetapa"</formula>
    </cfRule>
    <cfRule type="expression" priority="2043" dxfId="6433">
      <formula>$B3177="Serviço"</formula>
    </cfRule>
  </conditionalFormatting>
  <conditionalFormatting sqref="C3178:D3178">
    <cfRule type="expression" priority="2041" dxfId="6424">
      <formula>$B3178="Subetapa"</formula>
    </cfRule>
  </conditionalFormatting>
  <conditionalFormatting sqref="E3179:F3179 F3180">
    <cfRule type="expression" priority="2038" dxfId="6433">
      <formula>$B3179="Serviço"</formula>
    </cfRule>
    <cfRule type="expression" priority="2039" dxfId="6434">
      <formula>$B3179="Subetapa"</formula>
    </cfRule>
  </conditionalFormatting>
  <conditionalFormatting sqref="G3179:H3179">
    <cfRule type="expression" priority="2036" dxfId="6434">
      <formula>$B3179="Subetapa"</formula>
    </cfRule>
    <cfRule type="expression" priority="2037" dxfId="6433">
      <formula>$B3179="Serviço"</formula>
    </cfRule>
  </conditionalFormatting>
  <conditionalFormatting sqref="C3179:D3179">
    <cfRule type="expression" priority="2034" dxfId="6433">
      <formula>$B3179="Serviço"</formula>
    </cfRule>
    <cfRule type="expression" priority="2035" dxfId="6434">
      <formula>$B3179="Subetapa"</formula>
    </cfRule>
  </conditionalFormatting>
  <conditionalFormatting sqref="C3180:D3180">
    <cfRule type="expression" priority="2033" dxfId="6424">
      <formula>$B3180="Subetapa"</formula>
    </cfRule>
  </conditionalFormatting>
  <conditionalFormatting sqref="G3217:H3217">
    <cfRule type="expression" priority="2031" dxfId="6424">
      <formula>$B3217="Subetapa"</formula>
    </cfRule>
  </conditionalFormatting>
  <conditionalFormatting sqref="G3195:H3195">
    <cfRule type="expression" priority="2029" dxfId="6434">
      <formula>$B3195="Subetapa"</formula>
    </cfRule>
    <cfRule type="expression" priority="2028" dxfId="6433">
      <formula>$B3195="Serviço"</formula>
    </cfRule>
  </conditionalFormatting>
  <conditionalFormatting sqref="C3699:C3703 D3699:F3699 D3700:D3703 F3700:F3703">
    <cfRule type="expression" priority="2026" dxfId="6434">
      <formula>$B3699="Subetapa"</formula>
    </cfRule>
    <cfRule type="expression" priority="2027" dxfId="6433">
      <formula>$B3699="Serviço"</formula>
    </cfRule>
  </conditionalFormatting>
  <conditionalFormatting sqref="G3699:H3699">
    <cfRule type="expression" priority="2024" dxfId="6433">
      <formula>$B3699="Serviço"</formula>
    </cfRule>
    <cfRule type="expression" priority="2025" dxfId="6434">
      <formula>$B3699="Subetapa"</formula>
    </cfRule>
  </conditionalFormatting>
  <conditionalFormatting sqref="D3656:D3657">
    <cfRule type="expression" priority="2023" dxfId="6424">
      <formula>$B3656="Subetapa"</formula>
    </cfRule>
  </conditionalFormatting>
  <conditionalFormatting sqref="G3654:H3654">
    <cfRule type="expression" priority="2021" dxfId="6424">
      <formula>$B3654="Subetapa"</formula>
    </cfRule>
  </conditionalFormatting>
  <conditionalFormatting sqref="F3655:F3657">
    <cfRule type="expression" priority="2020" dxfId="6424">
      <formula>$B3655="Subetapa"</formula>
    </cfRule>
  </conditionalFormatting>
  <conditionalFormatting sqref="G3790:H3790">
    <cfRule type="expression" priority="2017" dxfId="6424">
      <formula>$B3790="Subetapa"</formula>
    </cfRule>
  </conditionalFormatting>
  <conditionalFormatting sqref="B3207:B3208">
    <cfRule type="expression" priority="2013" dxfId="6424">
      <formula>$B3207="Subetapa"</formula>
    </cfRule>
  </conditionalFormatting>
  <conditionalFormatting sqref="F3208">
    <cfRule type="expression" priority="2014" dxfId="6424">
      <formula>$B3208="Subetapa"</formula>
    </cfRule>
  </conditionalFormatting>
  <conditionalFormatting sqref="C3207:F3207">
    <cfRule type="expression" priority="2016" dxfId="6424">
      <formula>$B3207="Subetapa"</formula>
    </cfRule>
  </conditionalFormatting>
  <conditionalFormatting sqref="G3207:H3207">
    <cfRule type="expression" priority="2011" dxfId="6424">
      <formula>$B3207="Subetapa"</formula>
    </cfRule>
  </conditionalFormatting>
  <conditionalFormatting sqref="C3208:D3208">
    <cfRule type="expression" priority="2009" dxfId="6433">
      <formula>$B3208="Serviço"</formula>
    </cfRule>
    <cfRule type="expression" priority="2010" dxfId="6434">
      <formula>$B3208="Subetapa"</formula>
    </cfRule>
  </conditionalFormatting>
  <conditionalFormatting sqref="B3325:B3329">
    <cfRule type="expression" priority="2008" dxfId="6424">
      <formula>$B3325="Subetapa"</formula>
    </cfRule>
  </conditionalFormatting>
  <conditionalFormatting sqref="A3325:A3329">
    <cfRule type="expression" priority="1998" dxfId="6424">
      <formula>$B3325="Subetapa"</formula>
    </cfRule>
  </conditionalFormatting>
  <conditionalFormatting sqref="G3325:H3325">
    <cfRule type="expression" priority="1992" dxfId="6424">
      <formula>$B3325="Subetapa"</formula>
    </cfRule>
  </conditionalFormatting>
  <conditionalFormatting sqref="C3329:D3329">
    <cfRule type="expression" priority="1988" dxfId="6434">
      <formula>$B3329="Subetapa"</formula>
    </cfRule>
    <cfRule type="expression" priority="1987" dxfId="6433">
      <formula>$B3329="Serviço"</formula>
    </cfRule>
  </conditionalFormatting>
  <conditionalFormatting sqref="G3779:H3779">
    <cfRule type="expression" priority="1986" dxfId="6424">
      <formula>$B3779="Subetapa"</formula>
    </cfRule>
  </conditionalFormatting>
  <conditionalFormatting sqref="E3966:F3966">
    <cfRule type="expression" priority="1983" dxfId="6424">
      <formula>$B3966="Subetapa"</formula>
    </cfRule>
  </conditionalFormatting>
  <conditionalFormatting sqref="G3966:H3966">
    <cfRule type="expression" priority="1982" dxfId="6424">
      <formula>$B3966="Subetapa"</formula>
    </cfRule>
  </conditionalFormatting>
  <conditionalFormatting sqref="C3962:F3962">
    <cfRule type="expression" priority="1979" dxfId="6424">
      <formula>$B3962="Subetapa"</formula>
    </cfRule>
  </conditionalFormatting>
  <conditionalFormatting sqref="G3962:H3962">
    <cfRule type="expression" priority="1978" dxfId="6424">
      <formula>$B3962="Subetapa"</formula>
    </cfRule>
  </conditionalFormatting>
  <conditionalFormatting sqref="B3960">
    <cfRule type="expression" priority="1974" dxfId="6424">
      <formula>$B3960="Subetapa"</formula>
    </cfRule>
  </conditionalFormatting>
  <conditionalFormatting sqref="B3961">
    <cfRule type="expression" priority="1971" dxfId="6424">
      <formula>$B3961="Subetapa"</formula>
    </cfRule>
  </conditionalFormatting>
  <conditionalFormatting sqref="C3960:D3960">
    <cfRule type="expression" priority="1975" dxfId="6424">
      <formula>$B3960="Subetapa"</formula>
    </cfRule>
  </conditionalFormatting>
  <conditionalFormatting sqref="C3961:D3961 F3961">
    <cfRule type="expression" priority="1976" dxfId="6424">
      <formula>$B3961="Subetapa"</formula>
    </cfRule>
  </conditionalFormatting>
  <conditionalFormatting sqref="F3960">
    <cfRule type="expression" priority="1977" dxfId="6424">
      <formula>$B3960="Subetapa"</formula>
    </cfRule>
  </conditionalFormatting>
  <conditionalFormatting sqref="G3960:H3960">
    <cfRule type="expression" priority="1970" dxfId="6424">
      <formula>$B3960="Subetapa"</formula>
    </cfRule>
  </conditionalFormatting>
  <conditionalFormatting sqref="E3960">
    <cfRule type="expression" priority="1973" dxfId="6424">
      <formula>$B3960="Subetapa"</formula>
    </cfRule>
  </conditionalFormatting>
  <conditionalFormatting sqref="K3960:K3961">
    <cfRule type="expression" priority="1966" dxfId="6424">
      <formula>$B3960="Subetapa"</formula>
    </cfRule>
  </conditionalFormatting>
  <conditionalFormatting sqref="A3960">
    <cfRule type="expression" priority="1965" dxfId="6424">
      <formula>$B3960="Subetapa"</formula>
    </cfRule>
  </conditionalFormatting>
  <conditionalFormatting sqref="A3961">
    <cfRule type="expression" priority="1964" dxfId="6424">
      <formula>$B3961="Subetapa"</formula>
    </cfRule>
  </conditionalFormatting>
  <conditionalFormatting sqref="C3964:F3964">
    <cfRule type="expression" priority="1959" dxfId="6424">
      <formula>$B3964="Subetapa"</formula>
    </cfRule>
  </conditionalFormatting>
  <conditionalFormatting sqref="G3964:H3964">
    <cfRule type="expression" priority="1958" dxfId="6424">
      <formula>$B3964="Subetapa"</formula>
    </cfRule>
  </conditionalFormatting>
  <conditionalFormatting sqref="D3966:D3967">
    <cfRule type="expression" priority="1955" dxfId="6424">
      <formula>$B3966="Subetapa"</formula>
    </cfRule>
  </conditionalFormatting>
  <conditionalFormatting sqref="C3967:D3967">
    <cfRule type="expression" priority="1956" dxfId="6424">
      <formula>$B3967="Subetapa"</formula>
    </cfRule>
  </conditionalFormatting>
  <conditionalFormatting sqref="F3967">
    <cfRule type="expression" priority="1953" dxfId="6424">
      <formula>$B3967="Subetapa"</formula>
    </cfRule>
  </conditionalFormatting>
  <conditionalFormatting sqref="B4031:B4040 C4032:D4032 C4034:D4034 C4038:D4038 C4040:D4040">
    <cfRule type="expression" priority="1948" dxfId="6424">
      <formula>$B4031="Subetapa"</formula>
    </cfRule>
  </conditionalFormatting>
  <conditionalFormatting sqref="C4037:F4037">
    <cfRule type="expression" priority="1950" dxfId="6424">
      <formula>$B4037="Subetapa"</formula>
    </cfRule>
  </conditionalFormatting>
  <conditionalFormatting sqref="G4037:H4037">
    <cfRule type="expression" priority="1944" dxfId="6424">
      <formula>$B4037="Subetapa"</formula>
    </cfRule>
  </conditionalFormatting>
  <conditionalFormatting sqref="K4031:K4040">
    <cfRule type="expression" priority="1940" dxfId="6424">
      <formula>$B4031="Subetapa"</formula>
    </cfRule>
  </conditionalFormatting>
  <conditionalFormatting sqref="A4031:A4040">
    <cfRule type="expression" priority="1939" dxfId="6424">
      <formula>$B4031="Subetapa"</formula>
    </cfRule>
  </conditionalFormatting>
  <conditionalFormatting sqref="E4035:F4035">
    <cfRule type="expression" priority="1936" dxfId="6424">
      <formula>$B4035="Subetapa"</formula>
    </cfRule>
  </conditionalFormatting>
  <conditionalFormatting sqref="G4035:H4035">
    <cfRule type="expression" priority="1935" dxfId="6424">
      <formula>$B4035="Subetapa"</formula>
    </cfRule>
  </conditionalFormatting>
  <conditionalFormatting sqref="C4031:F4031">
    <cfRule type="expression" priority="1932" dxfId="6424">
      <formula>$B4031="Subetapa"</formula>
    </cfRule>
  </conditionalFormatting>
  <conditionalFormatting sqref="G4031:H4031">
    <cfRule type="expression" priority="1931" dxfId="6424">
      <formula>$B4031="Subetapa"</formula>
    </cfRule>
  </conditionalFormatting>
  <conditionalFormatting sqref="B4029">
    <cfRule type="expression" priority="1927" dxfId="6424">
      <formula>$B4029="Subetapa"</formula>
    </cfRule>
  </conditionalFormatting>
  <conditionalFormatting sqref="B4030">
    <cfRule type="expression" priority="1924" dxfId="6424">
      <formula>$B4030="Subetapa"</formula>
    </cfRule>
  </conditionalFormatting>
  <conditionalFormatting sqref="C4029:D4029">
    <cfRule type="expression" priority="1928" dxfId="6424">
      <formula>$B4029="Subetapa"</formula>
    </cfRule>
  </conditionalFormatting>
  <conditionalFormatting sqref="C4030:D4030 F4030">
    <cfRule type="expression" priority="1929" dxfId="6424">
      <formula>$B4030="Subetapa"</formula>
    </cfRule>
  </conditionalFormatting>
  <conditionalFormatting sqref="F4029">
    <cfRule type="expression" priority="1930" dxfId="6424">
      <formula>$B4029="Subetapa"</formula>
    </cfRule>
  </conditionalFormatting>
  <conditionalFormatting sqref="G4029:H4029">
    <cfRule type="expression" priority="1923" dxfId="6424">
      <formula>$B4029="Subetapa"</formula>
    </cfRule>
  </conditionalFormatting>
  <conditionalFormatting sqref="E4029">
    <cfRule type="expression" priority="1926" dxfId="6424">
      <formula>$B4029="Subetapa"</formula>
    </cfRule>
  </conditionalFormatting>
  <conditionalFormatting sqref="K4029:K4030">
    <cfRule type="expression" priority="1919" dxfId="6424">
      <formula>$B4029="Subetapa"</formula>
    </cfRule>
  </conditionalFormatting>
  <conditionalFormatting sqref="A4029">
    <cfRule type="expression" priority="1918" dxfId="6424">
      <formula>$B4029="Subetapa"</formula>
    </cfRule>
  </conditionalFormatting>
  <conditionalFormatting sqref="A4030">
    <cfRule type="expression" priority="1917" dxfId="6424">
      <formula>$B4030="Subetapa"</formula>
    </cfRule>
  </conditionalFormatting>
  <conditionalFormatting sqref="C4033:F4033">
    <cfRule type="expression" priority="1912" dxfId="6424">
      <formula>$B4033="Subetapa"</formula>
    </cfRule>
  </conditionalFormatting>
  <conditionalFormatting sqref="G4033:H4033">
    <cfRule type="expression" priority="1911" dxfId="6424">
      <formula>$B4033="Subetapa"</formula>
    </cfRule>
  </conditionalFormatting>
  <conditionalFormatting sqref="D4035:D4036">
    <cfRule type="expression" priority="1908" dxfId="6424">
      <formula>$B4035="Subetapa"</formula>
    </cfRule>
  </conditionalFormatting>
  <conditionalFormatting sqref="C4036:D4036">
    <cfRule type="expression" priority="1909" dxfId="6424">
      <formula>$B4036="Subetapa"</formula>
    </cfRule>
  </conditionalFormatting>
  <conditionalFormatting sqref="F4036">
    <cfRule type="expression" priority="1906" dxfId="6424">
      <formula>$B4036="Subetapa"</formula>
    </cfRule>
  </conditionalFormatting>
  <conditionalFormatting sqref="B4049:F4049">
    <cfRule type="expression" priority="1904" dxfId="6424">
      <formula>$B4049="Subetapa"</formula>
    </cfRule>
  </conditionalFormatting>
  <conditionalFormatting sqref="B4050:D4050 F4050">
    <cfRule type="expression" priority="1902" dxfId="6424">
      <formula>$B4050="Subetapa"</formula>
    </cfRule>
  </conditionalFormatting>
  <conditionalFormatting sqref="G4049:H4049">
    <cfRule type="expression" priority="1898" dxfId="6424">
      <formula>$B4049="Subetapa"</formula>
    </cfRule>
  </conditionalFormatting>
  <conditionalFormatting sqref="K4049:K4050">
    <cfRule type="expression" priority="1893" dxfId="6424">
      <formula>$B4049="Subetapa"</formula>
    </cfRule>
  </conditionalFormatting>
  <conditionalFormatting sqref="A4049">
    <cfRule type="expression" priority="1892" dxfId="6424">
      <formula>$B4049="Subetapa"</formula>
    </cfRule>
  </conditionalFormatting>
  <conditionalFormatting sqref="A4050">
    <cfRule type="expression" priority="1890" dxfId="6424">
      <formula>$B4050="Subetapa"</formula>
    </cfRule>
  </conditionalFormatting>
  <conditionalFormatting sqref="B4044:B4048">
    <cfRule type="expression" priority="1884" dxfId="6424">
      <formula>$B4044="Subetapa"</formula>
    </cfRule>
  </conditionalFormatting>
  <conditionalFormatting sqref="C4044:C4048 D4044:F4044 D4045:D4048 F4045:F4048">
    <cfRule type="expression" priority="1885" dxfId="6424">
      <formula>$B4044="Subetapa"</formula>
    </cfRule>
  </conditionalFormatting>
  <conditionalFormatting sqref="G4044:H4044">
    <cfRule type="expression" priority="1882" dxfId="6424">
      <formula>$B4044="Subetapa"</formula>
    </cfRule>
  </conditionalFormatting>
  <conditionalFormatting sqref="K4044:K4048">
    <cfRule type="expression" priority="1878" dxfId="6424">
      <formula>$B4044="Subetapa"</formula>
    </cfRule>
  </conditionalFormatting>
  <conditionalFormatting sqref="A4044:A4048">
    <cfRule type="expression" priority="1876" dxfId="6424">
      <formula>$B4044="Subetapa"</formula>
    </cfRule>
  </conditionalFormatting>
  <conditionalFormatting sqref="C4039:C4040 D4039:F4039 D4040">
    <cfRule type="expression" priority="1875" dxfId="6424">
      <formula>$B4039="Subetapa"</formula>
    </cfRule>
  </conditionalFormatting>
  <conditionalFormatting sqref="G4039:H4039">
    <cfRule type="expression" priority="1874" dxfId="6424">
      <formula>$B4039="Subetapa"</formula>
    </cfRule>
  </conditionalFormatting>
  <conditionalFormatting sqref="E4079">
    <cfRule type="expression" priority="1873" dxfId="6424">
      <formula>$B4079="Subetapa"</formula>
    </cfRule>
  </conditionalFormatting>
  <conditionalFormatting sqref="G4078:H4078">
    <cfRule type="expression" priority="1869" dxfId="6424">
      <formula>$B4078="Subetapa"</formula>
    </cfRule>
  </conditionalFormatting>
  <conditionalFormatting sqref="G4062:H4062">
    <cfRule type="expression" priority="1868" dxfId="6424">
      <formula>$B4062="Subetapa"</formula>
    </cfRule>
  </conditionalFormatting>
  <conditionalFormatting sqref="E4081">
    <cfRule type="expression" priority="1867" dxfId="6424">
      <formula>$B4081="Subetapa"</formula>
    </cfRule>
  </conditionalFormatting>
  <conditionalFormatting sqref="G4080:H4080">
    <cfRule type="expression" priority="1863" dxfId="6424">
      <formula>$B4080="Subetapa"</formula>
    </cfRule>
  </conditionalFormatting>
  <conditionalFormatting sqref="B4302:B4303">
    <cfRule type="expression" priority="1857" dxfId="6433">
      <formula>$B4302="Serviço"</formula>
    </cfRule>
    <cfRule type="expression" priority="1861" dxfId="6434">
      <formula>$B4302="Subetapa"</formula>
    </cfRule>
  </conditionalFormatting>
  <conditionalFormatting sqref="C4302:C4303 D4302:F4302 D4303 F4303">
    <cfRule type="expression" priority="1859" dxfId="6433">
      <formula>$B4302="Serviço"</formula>
    </cfRule>
    <cfRule type="expression" priority="1860" dxfId="6434">
      <formula>$B4302="Subetapa"</formula>
    </cfRule>
  </conditionalFormatting>
  <conditionalFormatting sqref="G4302:H4302">
    <cfRule type="expression" priority="1855" dxfId="6433">
      <formula>$B4302="Serviço"</formula>
    </cfRule>
    <cfRule type="expression" priority="1856" dxfId="6434">
      <formula>$B4302="Subetapa"</formula>
    </cfRule>
  </conditionalFormatting>
  <conditionalFormatting sqref="K4302:K4303">
    <cfRule type="expression" priority="1851" dxfId="6434">
      <formula>$B4302="Subetapa"</formula>
    </cfRule>
    <cfRule type="expression" priority="1852" dxfId="6433">
      <formula>$B4302="Serviço"</formula>
    </cfRule>
  </conditionalFormatting>
  <conditionalFormatting sqref="A4302:A4303">
    <cfRule type="expression" priority="1849" dxfId="6433">
      <formula>$B4302="Serviço"</formula>
    </cfRule>
    <cfRule type="expression" priority="1850" dxfId="6434">
      <formula>$B4302="Subetapa"</formula>
    </cfRule>
  </conditionalFormatting>
  <conditionalFormatting sqref="C4679:D4679 E4676:F4676">
    <cfRule type="expression" priority="1844" dxfId="6424">
      <formula>$B4676="Subetapa"</formula>
    </cfRule>
  </conditionalFormatting>
  <conditionalFormatting sqref="G4676:H4676">
    <cfRule type="expression" priority="1845" dxfId="6424">
      <formula>$B4676="Subetapa"</formula>
    </cfRule>
  </conditionalFormatting>
  <conditionalFormatting sqref="C4680:D4680">
    <cfRule type="expression" priority="1835" dxfId="6424">
      <formula>$B4680="Subetapa"</formula>
    </cfRule>
  </conditionalFormatting>
  <conditionalFormatting sqref="C4664:C4666 C4668:D4668 D4664:F4664 D4665:D4666">
    <cfRule type="expression" priority="1830" dxfId="6424">
      <formula>$B4664="Subetapa"</formula>
    </cfRule>
  </conditionalFormatting>
  <conditionalFormatting sqref="G4664:H4664">
    <cfRule type="expression" priority="1831" dxfId="6424">
      <formula>$B4664="Subetapa"</formula>
    </cfRule>
  </conditionalFormatting>
  <conditionalFormatting sqref="D4669:D4670">
    <cfRule type="expression" priority="1828" dxfId="6424">
      <formula>$B4669="Subetapa"</formula>
    </cfRule>
  </conditionalFormatting>
  <conditionalFormatting sqref="C4625:C4628 D4625:F4625 D4626:D4628">
    <cfRule type="expression" priority="1823" dxfId="6424">
      <formula>$B4625="Subetapa"</formula>
    </cfRule>
  </conditionalFormatting>
  <conditionalFormatting sqref="G4625:H4625">
    <cfRule type="expression" priority="1824" dxfId="6424">
      <formula>$B4625="Subetapa"</formula>
    </cfRule>
  </conditionalFormatting>
  <conditionalFormatting sqref="C4629:D4629 C4634:D4634">
    <cfRule type="expression" priority="1821" dxfId="6424">
      <formula>$B4629="Subetapa"</formula>
    </cfRule>
  </conditionalFormatting>
  <conditionalFormatting sqref="C4615:C4618 D4615:F4615 D4616:D4618">
    <cfRule type="expression" priority="1816" dxfId="6424">
      <formula>$B4615="Subetapa"</formula>
    </cfRule>
  </conditionalFormatting>
  <conditionalFormatting sqref="G4615:H4615">
    <cfRule type="expression" priority="1817" dxfId="6424">
      <formula>$B4615="Subetapa"</formula>
    </cfRule>
  </conditionalFormatting>
  <conditionalFormatting sqref="C4619:D4619">
    <cfRule type="expression" priority="1814" dxfId="6424">
      <formula>$B4619="Subetapa"</formula>
    </cfRule>
  </conditionalFormatting>
  <conditionalFormatting sqref="C4610:C4613 D4610:F4610 D4611:D4613">
    <cfRule type="expression" priority="1809" dxfId="6424">
      <formula>$B4610="Subetapa"</formula>
    </cfRule>
  </conditionalFormatting>
  <conditionalFormatting sqref="G4610:H4610">
    <cfRule type="expression" priority="1810" dxfId="6424">
      <formula>$B4610="Subetapa"</formula>
    </cfRule>
  </conditionalFormatting>
  <conditionalFormatting sqref="C4614:D4614">
    <cfRule type="expression" priority="1807" dxfId="6424">
      <formula>$B4614="Subetapa"</formula>
    </cfRule>
  </conditionalFormatting>
  <conditionalFormatting sqref="C4667:D4667">
    <cfRule type="expression" priority="1805" dxfId="6424">
      <formula>$B4667="Subetapa"</formula>
    </cfRule>
  </conditionalFormatting>
  <conditionalFormatting sqref="C4678:D4678">
    <cfRule type="expression" priority="1803" dxfId="6424">
      <formula>$B4678="Subetapa"</formula>
    </cfRule>
  </conditionalFormatting>
  <conditionalFormatting sqref="C4671:C4674 D4671:F4671 D4672:D4674">
    <cfRule type="expression" priority="1798" dxfId="6424">
      <formula>$B4671="Subetapa"</formula>
    </cfRule>
  </conditionalFormatting>
  <conditionalFormatting sqref="G4671:H4671">
    <cfRule type="expression" priority="1799" dxfId="6424">
      <formula>$B4671="Subetapa"</formula>
    </cfRule>
  </conditionalFormatting>
  <conditionalFormatting sqref="C4675:D4675">
    <cfRule type="expression" priority="1796" dxfId="6424">
      <formula>$B4675="Subetapa"</formula>
    </cfRule>
  </conditionalFormatting>
  <conditionalFormatting sqref="D4676:D4677">
    <cfRule type="expression" priority="1794" dxfId="6424">
      <formula>$B4676="Subetapa"</formula>
    </cfRule>
  </conditionalFormatting>
  <conditionalFormatting sqref="C4630:C4633 D4630:F4630 D4631:D4633">
    <cfRule type="expression" priority="1792" dxfId="6424">
      <formula>$B4630="Subetapa"</formula>
    </cfRule>
  </conditionalFormatting>
  <conditionalFormatting sqref="G4630:H4630">
    <cfRule type="expression" priority="1793" dxfId="6424">
      <formula>$B4630="Subetapa"</formula>
    </cfRule>
  </conditionalFormatting>
  <conditionalFormatting sqref="C4681:C4684 D4681:F4681 D4682:D4684">
    <cfRule type="expression" priority="1787" dxfId="6424">
      <formula>$B4681="Subetapa"</formula>
    </cfRule>
  </conditionalFormatting>
  <conditionalFormatting sqref="G4681:H4681">
    <cfRule type="expression" priority="1788" dxfId="6424">
      <formula>$B4681="Subetapa"</formula>
    </cfRule>
  </conditionalFormatting>
  <conditionalFormatting sqref="C4685:D4685">
    <cfRule type="expression" priority="1785" dxfId="6424">
      <formula>$B4685="Subetapa"</formula>
    </cfRule>
  </conditionalFormatting>
  <conditionalFormatting sqref="A4586:B4597 K4586:K4597">
    <cfRule type="expression" priority="1712" dxfId="6424">
      <formula>$B4586="Subetapa"</formula>
    </cfRule>
  </conditionalFormatting>
  <conditionalFormatting sqref="G4592:H4592">
    <cfRule type="expression" priority="1705" dxfId="6424">
      <formula>$B4592="Subetapa"</formula>
    </cfRule>
  </conditionalFormatting>
  <conditionalFormatting sqref="C4597:D4597">
    <cfRule type="expression" priority="1702" dxfId="6433">
      <formula>$B4597="Serviço"</formula>
    </cfRule>
    <cfRule type="expression" priority="1703" dxfId="6434">
      <formula>$B4597="Subetapa"</formula>
    </cfRule>
  </conditionalFormatting>
  <conditionalFormatting sqref="C4720:D4720">
    <cfRule type="expression" priority="1696" dxfId="6424">
      <formula>$B4720="Subetapa"</formula>
    </cfRule>
  </conditionalFormatting>
  <conditionalFormatting sqref="C4620:C4623 D4620:F4620 D4621:D4623">
    <cfRule type="expression" priority="1690" dxfId="6424">
      <formula>$B4620="Subetapa"</formula>
    </cfRule>
  </conditionalFormatting>
  <conditionalFormatting sqref="G4620:H4620">
    <cfRule type="expression" priority="1691" dxfId="6424">
      <formula>$B4620="Subetapa"</formula>
    </cfRule>
  </conditionalFormatting>
  <conditionalFormatting sqref="C4624:D4624">
    <cfRule type="expression" priority="1688" dxfId="6424">
      <formula>$B4624="Subetapa"</formula>
    </cfRule>
  </conditionalFormatting>
  <conditionalFormatting sqref="C4156:C4157 D4156:F4156 D4157 F4157">
    <cfRule type="expression" priority="1684" dxfId="6433">
      <formula>$B4156="Serviço"</formula>
    </cfRule>
    <cfRule type="expression" priority="1685" dxfId="6434">
      <formula>$B4156="Subetapa"</formula>
    </cfRule>
  </conditionalFormatting>
  <conditionalFormatting sqref="G4156:H4156">
    <cfRule type="expression" priority="1682" dxfId="6433">
      <formula>$B4156="Serviço"</formula>
    </cfRule>
    <cfRule type="expression" priority="1683" dxfId="6434">
      <formula>$B4156="Subetapa"</formula>
    </cfRule>
  </conditionalFormatting>
  <conditionalFormatting sqref="C4158:C4161 D4158:F4158 D4159:D4161 F4159">
    <cfRule type="expression" priority="1680" dxfId="6433">
      <formula>$B4158="Serviço"</formula>
    </cfRule>
    <cfRule type="expression" priority="1681" dxfId="6434">
      <formula>$B4158="Subetapa"</formula>
    </cfRule>
  </conditionalFormatting>
  <conditionalFormatting sqref="G4158:H4158">
    <cfRule type="expression" priority="1678" dxfId="6433">
      <formula>$B4158="Serviço"</formula>
    </cfRule>
    <cfRule type="expression" priority="1679" dxfId="6434">
      <formula>$B4158="Subetapa"</formula>
    </cfRule>
  </conditionalFormatting>
  <conditionalFormatting sqref="G4264:H4264">
    <cfRule type="expression" priority="1677" dxfId="6434">
      <formula>$B4264="Subetapa"</formula>
    </cfRule>
    <cfRule type="expression" priority="1676" dxfId="6433">
      <formula>$B4264="Serviço"</formula>
    </cfRule>
  </conditionalFormatting>
  <conditionalFormatting sqref="E548:E550 E552:E554">
    <cfRule type="expression" priority="1675" dxfId="6424">
      <formula>$B548="Subetapa"</formula>
    </cfRule>
  </conditionalFormatting>
  <conditionalFormatting sqref="E564:E566">
    <cfRule type="expression" priority="1653" dxfId="6424">
      <formula>$B564="Subetapa"</formula>
    </cfRule>
  </conditionalFormatting>
  <conditionalFormatting sqref="E568:E570">
    <cfRule type="expression" priority="1631" dxfId="6424">
      <formula>$B568="Subetapa"</formula>
    </cfRule>
  </conditionalFormatting>
  <conditionalFormatting sqref="E490:E492">
    <cfRule type="expression" priority="1609" dxfId="6424">
      <formula>$B490="Subetapa"</formula>
    </cfRule>
  </conditionalFormatting>
  <conditionalFormatting sqref="E512">
    <cfRule type="expression" priority="1573" dxfId="6424">
      <formula>$B512="Subetapa"</formula>
    </cfRule>
  </conditionalFormatting>
  <conditionalFormatting sqref="E514">
    <cfRule type="expression" priority="1553" dxfId="6424">
      <formula>$B514="Subetapa"</formula>
    </cfRule>
  </conditionalFormatting>
  <conditionalFormatting sqref="B361:B364 C361:C362 C364:D364 D361:F361 D362 F362:F364">
    <cfRule type="expression" priority="1525" dxfId="6424">
      <formula>$B361="Subetapa"</formula>
    </cfRule>
  </conditionalFormatting>
  <conditionalFormatting sqref="E362:E364">
    <cfRule type="expression" priority="1527" dxfId="6424">
      <formula>$B362="Subetapa"</formula>
    </cfRule>
  </conditionalFormatting>
  <conditionalFormatting sqref="G361:H361">
    <cfRule type="expression" priority="1520" dxfId="6424">
      <formula>$B361="Subetapa"</formula>
    </cfRule>
  </conditionalFormatting>
  <conditionalFormatting sqref="K361:K364">
    <cfRule type="expression" priority="1515" dxfId="6424">
      <formula>$B361="Subetapa"</formula>
    </cfRule>
  </conditionalFormatting>
  <conditionalFormatting sqref="A361:A364">
    <cfRule type="expression" priority="1513" dxfId="6424">
      <formula>$B361="Subetapa"</formula>
    </cfRule>
  </conditionalFormatting>
  <conditionalFormatting sqref="C363:D363">
    <cfRule type="expression" priority="1511" dxfId="6424">
      <formula>$B363="Subetapa"</formula>
    </cfRule>
  </conditionalFormatting>
  <conditionalFormatting sqref="E1073 E1075:E1084 E1086 E1088:E1097 E1099:E1100 E1102:E1111 E1114:E1123 E1126:E1138 E1155:E1167">
    <cfRule type="expression" priority="1482" dxfId="6424">
      <formula>$B1073="Subetapa"</formula>
    </cfRule>
  </conditionalFormatting>
  <conditionalFormatting sqref="A1102:B1111 A1114:B1123 A1126:B1138 A1155:B1167 F1127 F1156 K1110:K1119 K1122:K1134 K1137:K1138 K1155:K1163">
    <cfRule type="expression" priority="1478" dxfId="6433">
      <formula>$B1102="Serviço"</formula>
    </cfRule>
    <cfRule type="expression" priority="1479" dxfId="6434">
      <formula>$B1102="Subetapa"</formula>
    </cfRule>
  </conditionalFormatting>
  <conditionalFormatting sqref="B1019:F1019">
    <cfRule type="expression" priority="1481" dxfId="6424">
      <formula>$B1019="Subetapa"</formula>
    </cfRule>
  </conditionalFormatting>
  <conditionalFormatting sqref="A1019">
    <cfRule type="expression" priority="1475" dxfId="6424">
      <formula>$B1019="Subetapa"</formula>
    </cfRule>
  </conditionalFormatting>
  <conditionalFormatting sqref="A1072:B1073 A1075:B1086 A1088:B1100 C1073:D1073 C1075:D1082 C1088:D1095 C1100:D1100 C1102:D1109 F1075:F1082 F1088:F1095 F1102:F1109">
    <cfRule type="expression" priority="1470" dxfId="6433">
      <formula>$B1072="Serviço"</formula>
    </cfRule>
    <cfRule type="expression" priority="1471" dxfId="6434">
      <formula>$B1072="Subetapa"</formula>
    </cfRule>
  </conditionalFormatting>
  <conditionalFormatting sqref="K1020:K1028 K1031:K1041 K1044:K1054 K1057:K1067 K1070:K1080 K1083:K1093 K1096:K1107">
    <cfRule type="expression" priority="1466" dxfId="6433">
      <formula>$B1020="Serviço"</formula>
    </cfRule>
    <cfRule type="expression" priority="1467" dxfId="6434">
      <formula>$B1020="Subetapa"</formula>
    </cfRule>
  </conditionalFormatting>
  <conditionalFormatting sqref="B1073 B1075:B1080 B1083:B1084 B1086 B1088:B1093 B1096:B1097 B1099:B1100 B1102:B1107 B1110:B1111 B1114:B1119 B1122:B1123 B1129:B1134 B1137:B1138">
    <cfRule type="expression" priority="1465" dxfId="6433">
      <formula>$B1073="Serviço"</formula>
    </cfRule>
  </conditionalFormatting>
  <conditionalFormatting sqref="C1072:F1072 C1083:C1085 C1096:C1098 C1110:C1112 C1122:C1124 C1137:D1138 D1083:D1084 D1085:F1085 D1096:D1097 D1098:F1098 D1110:D1111 D1112:F1112 D1122:D1123 D1124:F1124 F1083:F1084 F1096:F1097 F1110:F1111 F1122:F1123 F1137:F1138">
    <cfRule type="expression" priority="1463" dxfId="6433">
      <formula>$B1072="Serviço"</formula>
    </cfRule>
    <cfRule type="expression" priority="1464" dxfId="6434">
      <formula>$B1072="Subetapa"</formula>
    </cfRule>
  </conditionalFormatting>
  <conditionalFormatting sqref="A1073 A1075:A1080 A1083:A1084 A1086 A1088:A1093 A1096:A1097 A1099:A1100 A1102:A1107 A1110:A1111 A1114:A1119 A1122:A1123 A1129:A1134 A1137:A1138">
    <cfRule type="expression" priority="1462" dxfId="6433">
      <formula>$B1073="Serviço"</formula>
    </cfRule>
  </conditionalFormatting>
  <conditionalFormatting sqref="K1081:K1082">
    <cfRule type="expression" priority="1458" dxfId="6434">
      <formula>$B1081="Subetapa"</formula>
    </cfRule>
    <cfRule type="expression" priority="1459" dxfId="6433">
      <formula>$B1081="Serviço"</formula>
    </cfRule>
  </conditionalFormatting>
  <conditionalFormatting sqref="F1073">
    <cfRule type="expression" priority="1452" dxfId="6434">
      <formula>$B1073="Subetapa"</formula>
    </cfRule>
    <cfRule type="expression" priority="1453" dxfId="6433">
      <formula>$B1073="Serviço"</formula>
    </cfRule>
  </conditionalFormatting>
  <conditionalFormatting sqref="I1019:K1019">
    <cfRule type="expression" priority="1450" dxfId="6424">
      <formula>$B1019="Subetapa"</formula>
    </cfRule>
  </conditionalFormatting>
  <conditionalFormatting sqref="E1022:E1032 E1034:E1045 E1047:E1058 E1060:E1071">
    <cfRule type="expression" priority="1444" dxfId="6424">
      <formula>$B1022="Subetapa"</formula>
    </cfRule>
  </conditionalFormatting>
  <conditionalFormatting sqref="A1020:B1071 D1023:D1030 D1036:D1043 D1049:D1056 D1062:D1069 F1023:F1030 F1036:F1043 F1049:F1056 F1062:F1069">
    <cfRule type="expression" priority="1438" dxfId="6433">
      <formula>$B1020="Serviço"</formula>
    </cfRule>
    <cfRule type="expression" priority="1439" dxfId="6434">
      <formula>$B1020="Subetapa"</formula>
    </cfRule>
  </conditionalFormatting>
  <conditionalFormatting sqref="B1021:B1028 B1031:B1032 B1034:B1041 B1044:B1045 B1047:B1054 B1057:B1058 B1060:B1067 B1070:B1071">
    <cfRule type="expression" priority="1435" dxfId="6433">
      <formula>$B1021="Serviço"</formula>
    </cfRule>
  </conditionalFormatting>
  <conditionalFormatting sqref="C1020:F1020 C1031:C1033 C1044:C1046 C1057:C1059 C1070:D1071 D1031:D1032 D1033:F1033 D1044:D1045 D1046:F1046 D1057:D1058 D1059:F1059 F1031:F1032 F1044:F1045 F1057:F1058 F1070:F1071">
    <cfRule type="expression" priority="1433" dxfId="6433">
      <formula>$B1020="Serviço"</formula>
    </cfRule>
    <cfRule type="expression" priority="1434" dxfId="6434">
      <formula>$B1020="Subetapa"</formula>
    </cfRule>
  </conditionalFormatting>
  <conditionalFormatting sqref="A1021:A1028 A1031:A1032 A1034:A1041 A1044:A1045 A1047:A1054 A1057:A1058 A1060:A1067 A1070:A1071">
    <cfRule type="expression" priority="1432" dxfId="6433">
      <formula>$B1021="Serviço"</formula>
    </cfRule>
  </conditionalFormatting>
  <conditionalFormatting sqref="K1029:K1030">
    <cfRule type="expression" priority="1428" dxfId="6434">
      <formula>$B1029="Subetapa"</formula>
    </cfRule>
    <cfRule type="expression" priority="1429" dxfId="6433">
      <formula>$B1029="Serviço"</formula>
    </cfRule>
  </conditionalFormatting>
  <conditionalFormatting sqref="F1021:F1022">
    <cfRule type="expression" priority="1422" dxfId="6434">
      <formula>$B1021="Subetapa"</formula>
    </cfRule>
    <cfRule type="expression" priority="1423" dxfId="6433">
      <formula>$B1021="Serviço"</formula>
    </cfRule>
  </conditionalFormatting>
  <conditionalFormatting sqref="C1021:D1021">
    <cfRule type="expression" priority="1420" dxfId="6433">
      <formula>$B1021="Serviço"</formula>
    </cfRule>
    <cfRule type="expression" priority="1421" dxfId="6434">
      <formula>$B1021="Subetapa"</formula>
    </cfRule>
  </conditionalFormatting>
  <conditionalFormatting sqref="C1022:D1022">
    <cfRule type="expression" priority="1418" dxfId="6424">
      <formula>$B1022="Subetapa"</formula>
    </cfRule>
  </conditionalFormatting>
  <conditionalFormatting sqref="K1042:K1043">
    <cfRule type="expression" priority="1412" dxfId="6434">
      <formula>$B1042="Subetapa"</formula>
    </cfRule>
    <cfRule type="expression" priority="1413" dxfId="6433">
      <formula>$B1042="Serviço"</formula>
    </cfRule>
  </conditionalFormatting>
  <conditionalFormatting sqref="F1034:F1035">
    <cfRule type="expression" priority="1408" dxfId="6434">
      <formula>$B1034="Subetapa"</formula>
    </cfRule>
    <cfRule type="expression" priority="1409" dxfId="6433">
      <formula>$B1034="Serviço"</formula>
    </cfRule>
  </conditionalFormatting>
  <conditionalFormatting sqref="C1035:D1035">
    <cfRule type="expression" priority="1406" dxfId="6424">
      <formula>$B1035="Subetapa"</formula>
    </cfRule>
  </conditionalFormatting>
  <conditionalFormatting sqref="C1034:D1034">
    <cfRule type="expression" priority="1404" dxfId="6433">
      <formula>$B1034="Serviço"</formula>
    </cfRule>
    <cfRule type="expression" priority="1405" dxfId="6434">
      <formula>$B1034="Subetapa"</formula>
    </cfRule>
  </conditionalFormatting>
  <conditionalFormatting sqref="G1020:H1020">
    <cfRule type="expression" priority="1402" dxfId="6424">
      <formula>$B1020="Subetapa"</formula>
    </cfRule>
  </conditionalFormatting>
  <conditionalFormatting sqref="G1033:H1033">
    <cfRule type="expression" priority="1400" dxfId="6424">
      <formula>$B1033="Subetapa"</formula>
    </cfRule>
  </conditionalFormatting>
  <conditionalFormatting sqref="K1055:K1056">
    <cfRule type="expression" priority="1394" dxfId="6434">
      <formula>$B1055="Subetapa"</formula>
    </cfRule>
    <cfRule type="expression" priority="1395" dxfId="6433">
      <formula>$B1055="Serviço"</formula>
    </cfRule>
  </conditionalFormatting>
  <conditionalFormatting sqref="F1047:F1048">
    <cfRule type="expression" priority="1390" dxfId="6434">
      <formula>$B1047="Subetapa"</formula>
    </cfRule>
    <cfRule type="expression" priority="1391" dxfId="6433">
      <formula>$B1047="Serviço"</formula>
    </cfRule>
  </conditionalFormatting>
  <conditionalFormatting sqref="C1048:D1048">
    <cfRule type="expression" priority="1388" dxfId="6424">
      <formula>$B1048="Subetapa"</formula>
    </cfRule>
  </conditionalFormatting>
  <conditionalFormatting sqref="C1047:D1047">
    <cfRule type="expression" priority="1386" dxfId="6433">
      <formula>$B1047="Serviço"</formula>
    </cfRule>
    <cfRule type="expression" priority="1387" dxfId="6434">
      <formula>$B1047="Subetapa"</formula>
    </cfRule>
  </conditionalFormatting>
  <conditionalFormatting sqref="E1074">
    <cfRule type="expression" priority="1382" dxfId="6424">
      <formula>$B1074="Subetapa"</formula>
    </cfRule>
  </conditionalFormatting>
  <conditionalFormatting sqref="A1074:B1074">
    <cfRule type="expression" priority="1380" dxfId="6433">
      <formula>$B1074="Serviço"</formula>
    </cfRule>
    <cfRule type="expression" priority="1381" dxfId="6434">
      <formula>$B1074="Subetapa"</formula>
    </cfRule>
  </conditionalFormatting>
  <conditionalFormatting sqref="B1074">
    <cfRule type="expression" priority="1379" dxfId="6433">
      <formula>$B1074="Serviço"</formula>
    </cfRule>
  </conditionalFormatting>
  <conditionalFormatting sqref="A1074">
    <cfRule type="expression" priority="1378" dxfId="6433">
      <formula>$B1074="Serviço"</formula>
    </cfRule>
  </conditionalFormatting>
  <conditionalFormatting sqref="F1074">
    <cfRule type="expression" priority="1372" dxfId="6434">
      <formula>$B1074="Subetapa"</formula>
    </cfRule>
    <cfRule type="expression" priority="1373" dxfId="6433">
      <formula>$B1074="Serviço"</formula>
    </cfRule>
  </conditionalFormatting>
  <conditionalFormatting sqref="C1074:D1074">
    <cfRule type="expression" priority="1370" dxfId="6424">
      <formula>$B1074="Subetapa"</formula>
    </cfRule>
  </conditionalFormatting>
  <conditionalFormatting sqref="G1046:H1046">
    <cfRule type="expression" priority="1368" dxfId="6424">
      <formula>$B1046="Subetapa"</formula>
    </cfRule>
  </conditionalFormatting>
  <conditionalFormatting sqref="G1072:H1072">
    <cfRule type="expression" priority="1366" dxfId="6424">
      <formula>$B1072="Subetapa"</formula>
    </cfRule>
  </conditionalFormatting>
  <conditionalFormatting sqref="K1094:K1095">
    <cfRule type="expression" priority="1360" dxfId="6434">
      <formula>$B1094="Subetapa"</formula>
    </cfRule>
    <cfRule type="expression" priority="1361" dxfId="6433">
      <formula>$B1094="Serviço"</formula>
    </cfRule>
  </conditionalFormatting>
  <conditionalFormatting sqref="F1086">
    <cfRule type="expression" priority="1356" dxfId="6434">
      <formula>$B1086="Subetapa"</formula>
    </cfRule>
    <cfRule type="expression" priority="1357" dxfId="6433">
      <formula>$B1086="Serviço"</formula>
    </cfRule>
  </conditionalFormatting>
  <conditionalFormatting sqref="E1087">
    <cfRule type="expression" priority="1352" dxfId="6424">
      <formula>$B1087="Subetapa"</formula>
    </cfRule>
  </conditionalFormatting>
  <conditionalFormatting sqref="A1087:B1087">
    <cfRule type="expression" priority="1350" dxfId="6433">
      <formula>$B1087="Serviço"</formula>
    </cfRule>
    <cfRule type="expression" priority="1351" dxfId="6434">
      <formula>$B1087="Subetapa"</formula>
    </cfRule>
  </conditionalFormatting>
  <conditionalFormatting sqref="B1087">
    <cfRule type="expression" priority="1349" dxfId="6433">
      <formula>$B1087="Serviço"</formula>
    </cfRule>
  </conditionalFormatting>
  <conditionalFormatting sqref="A1087">
    <cfRule type="expression" priority="1348" dxfId="6433">
      <formula>$B1087="Serviço"</formula>
    </cfRule>
  </conditionalFormatting>
  <conditionalFormatting sqref="F1087">
    <cfRule type="expression" priority="1342" dxfId="6434">
      <formula>$B1087="Subetapa"</formula>
    </cfRule>
    <cfRule type="expression" priority="1343" dxfId="6433">
      <formula>$B1087="Serviço"</formula>
    </cfRule>
  </conditionalFormatting>
  <conditionalFormatting sqref="C1087:D1087">
    <cfRule type="expression" priority="1340" dxfId="6424">
      <formula>$B1087="Subetapa"</formula>
    </cfRule>
  </conditionalFormatting>
  <conditionalFormatting sqref="G1085:H1085">
    <cfRule type="expression" priority="1338" dxfId="6424">
      <formula>$B1085="Subetapa"</formula>
    </cfRule>
  </conditionalFormatting>
  <conditionalFormatting sqref="C1086:D1086">
    <cfRule type="expression" priority="1336" dxfId="6433">
      <formula>$B1086="Serviço"</formula>
    </cfRule>
    <cfRule type="expression" priority="1337" dxfId="6434">
      <formula>$B1086="Subetapa"</formula>
    </cfRule>
  </conditionalFormatting>
  <conditionalFormatting sqref="K1108:K1109">
    <cfRule type="expression" priority="1317" dxfId="6434">
      <formula>$B1108="Subetapa"</formula>
    </cfRule>
    <cfRule type="expression" priority="1318" dxfId="6433">
      <formula>$B1108="Serviço"</formula>
    </cfRule>
  </conditionalFormatting>
  <conditionalFormatting sqref="F1099">
    <cfRule type="expression" priority="1313" dxfId="6434">
      <formula>$B1099="Subetapa"</formula>
    </cfRule>
    <cfRule type="expression" priority="1314" dxfId="6433">
      <formula>$B1099="Serviço"</formula>
    </cfRule>
  </conditionalFormatting>
  <conditionalFormatting sqref="E1101">
    <cfRule type="expression" priority="1309" dxfId="6424">
      <formula>$B1101="Subetapa"</formula>
    </cfRule>
  </conditionalFormatting>
  <conditionalFormatting sqref="A1101:B1101">
    <cfRule type="expression" priority="1307" dxfId="6433">
      <formula>$B1101="Serviço"</formula>
    </cfRule>
    <cfRule type="expression" priority="1308" dxfId="6434">
      <formula>$B1101="Subetapa"</formula>
    </cfRule>
  </conditionalFormatting>
  <conditionalFormatting sqref="B1101">
    <cfRule type="expression" priority="1306" dxfId="6433">
      <formula>$B1101="Serviço"</formula>
    </cfRule>
  </conditionalFormatting>
  <conditionalFormatting sqref="A1101">
    <cfRule type="expression" priority="1305" dxfId="6433">
      <formula>$B1101="Serviço"</formula>
    </cfRule>
  </conditionalFormatting>
  <conditionalFormatting sqref="F1101">
    <cfRule type="expression" priority="1299" dxfId="6434">
      <formula>$B1101="Subetapa"</formula>
    </cfRule>
    <cfRule type="expression" priority="1300" dxfId="6433">
      <formula>$B1101="Serviço"</formula>
    </cfRule>
  </conditionalFormatting>
  <conditionalFormatting sqref="C1101:D1101">
    <cfRule type="expression" priority="1297" dxfId="6424">
      <formula>$B1101="Subetapa"</formula>
    </cfRule>
  </conditionalFormatting>
  <conditionalFormatting sqref="G1098:H1098">
    <cfRule type="expression" priority="1295" dxfId="6424">
      <formula>$B1098="Subetapa"</formula>
    </cfRule>
  </conditionalFormatting>
  <conditionalFormatting sqref="C1099:D1099">
    <cfRule type="expression" priority="1293" dxfId="6433">
      <formula>$B1099="Serviço"</formula>
    </cfRule>
    <cfRule type="expression" priority="1294" dxfId="6434">
      <formula>$B1099="Subetapa"</formula>
    </cfRule>
  </conditionalFormatting>
  <conditionalFormatting sqref="F1100">
    <cfRule type="expression" priority="1286" dxfId="6434">
      <formula>$B1100="Subetapa"</formula>
    </cfRule>
    <cfRule type="expression" priority="1287" dxfId="6433">
      <formula>$B1100="Serviço"</formula>
    </cfRule>
  </conditionalFormatting>
  <conditionalFormatting sqref="K1068:K1069">
    <cfRule type="expression" priority="1278" dxfId="6434">
      <formula>$B1068="Subetapa"</formula>
    </cfRule>
    <cfRule type="expression" priority="1279" dxfId="6433">
      <formula>$B1068="Serviço"</formula>
    </cfRule>
  </conditionalFormatting>
  <conditionalFormatting sqref="F1060:F1061">
    <cfRule type="expression" priority="1274" dxfId="6434">
      <formula>$B1060="Subetapa"</formula>
    </cfRule>
    <cfRule type="expression" priority="1275" dxfId="6433">
      <formula>$B1060="Serviço"</formula>
    </cfRule>
  </conditionalFormatting>
  <conditionalFormatting sqref="C1061:D1061">
    <cfRule type="expression" priority="1272" dxfId="6424">
      <formula>$B1061="Subetapa"</formula>
    </cfRule>
  </conditionalFormatting>
  <conditionalFormatting sqref="G1059:H1059">
    <cfRule type="expression" priority="1270" dxfId="6424">
      <formula>$B1059="Subetapa"</formula>
    </cfRule>
  </conditionalFormatting>
  <conditionalFormatting sqref="C1060:D1060">
    <cfRule type="expression" priority="1265" dxfId="6433">
      <formula>$B1060="Serviço"</formula>
    </cfRule>
    <cfRule type="expression" priority="1266" dxfId="6434">
      <formula>$B1060="Subetapa"</formula>
    </cfRule>
  </conditionalFormatting>
  <conditionalFormatting sqref="A1112:B1112 D1114:D1121 F1114:F1121">
    <cfRule type="expression" priority="1263" dxfId="6433">
      <formula>$B1112="Serviço"</formula>
    </cfRule>
    <cfRule type="expression" priority="1264" dxfId="6434">
      <formula>$B1112="Subetapa"</formula>
    </cfRule>
  </conditionalFormatting>
  <conditionalFormatting sqref="K1120:K1121">
    <cfRule type="expression" priority="1257" dxfId="6434">
      <formula>$B1120="Subetapa"</formula>
    </cfRule>
    <cfRule type="expression" priority="1258" dxfId="6433">
      <formula>$B1120="Serviço"</formula>
    </cfRule>
  </conditionalFormatting>
  <conditionalFormatting sqref="E1113">
    <cfRule type="expression" priority="1253" dxfId="6424">
      <formula>$B1113="Subetapa"</formula>
    </cfRule>
  </conditionalFormatting>
  <conditionalFormatting sqref="A1113:B1113">
    <cfRule type="expression" priority="1251" dxfId="6433">
      <formula>$B1113="Serviço"</formula>
    </cfRule>
    <cfRule type="expression" priority="1252" dxfId="6434">
      <formula>$B1113="Subetapa"</formula>
    </cfRule>
  </conditionalFormatting>
  <conditionalFormatting sqref="B1113">
    <cfRule type="expression" priority="1250" dxfId="6433">
      <formula>$B1113="Serviço"</formula>
    </cfRule>
  </conditionalFormatting>
  <conditionalFormatting sqref="A1113">
    <cfRule type="expression" priority="1249" dxfId="6433">
      <formula>$B1113="Serviço"</formula>
    </cfRule>
  </conditionalFormatting>
  <conditionalFormatting sqref="F1113">
    <cfRule type="expression" priority="1243" dxfId="6434">
      <formula>$B1113="Subetapa"</formula>
    </cfRule>
    <cfRule type="expression" priority="1244" dxfId="6433">
      <formula>$B1113="Serviço"</formula>
    </cfRule>
  </conditionalFormatting>
  <conditionalFormatting sqref="C1113:D1113">
    <cfRule type="expression" priority="1241" dxfId="6424">
      <formula>$B1113="Subetapa"</formula>
    </cfRule>
  </conditionalFormatting>
  <conditionalFormatting sqref="G1112:H1112">
    <cfRule type="expression" priority="1239" dxfId="6424">
      <formula>$B1112="Subetapa"</formula>
    </cfRule>
  </conditionalFormatting>
  <conditionalFormatting sqref="I1139:K1139 I1141:K1148 I1151:K1153 I1166:K1167">
    <cfRule type="expression" priority="1234" dxfId="6433">
      <formula>$B1139="Serviço"</formula>
    </cfRule>
    <cfRule type="expression" priority="1235" dxfId="6434">
      <formula>$B1139="Subetapa"</formula>
    </cfRule>
  </conditionalFormatting>
  <conditionalFormatting sqref="E1141:E1152">
    <cfRule type="expression" priority="1230" dxfId="6424">
      <formula>$B1141="Subetapa"</formula>
    </cfRule>
  </conditionalFormatting>
  <conditionalFormatting sqref="A1139:B1139 A1141:B1153 D1143:D1150 D1158:D1165 F1143:F1150 F1158:F1165">
    <cfRule type="expression" priority="1226" dxfId="6433">
      <formula>$B1139="Serviço"</formula>
    </cfRule>
    <cfRule type="expression" priority="1227" dxfId="6434">
      <formula>$B1139="Subetapa"</formula>
    </cfRule>
  </conditionalFormatting>
  <conditionalFormatting sqref="B1141:B1148 B1151:B1152 B1166:B1167">
    <cfRule type="expression" priority="1225" dxfId="6433">
      <formula>$B1141="Serviço"</formula>
    </cfRule>
  </conditionalFormatting>
  <conditionalFormatting sqref="C1139:F1139 C1151:C1153 C1166:D1167 D1151:D1152 D1153:F1153 F1151:F1152 F1166:F1167">
    <cfRule type="expression" priority="1223" dxfId="6433">
      <formula>$B1139="Serviço"</formula>
    </cfRule>
    <cfRule type="expression" priority="1224" dxfId="6434">
      <formula>$B1139="Subetapa"</formula>
    </cfRule>
  </conditionalFormatting>
  <conditionalFormatting sqref="A1141:A1148 A1151:A1152 A1166:A1167">
    <cfRule type="expression" priority="1222" dxfId="6433">
      <formula>$B1141="Serviço"</formula>
    </cfRule>
  </conditionalFormatting>
  <conditionalFormatting sqref="K1149:K1150">
    <cfRule type="expression" priority="1214" dxfId="6434">
      <formula>$B1149="Subetapa"</formula>
    </cfRule>
    <cfRule type="expression" priority="1215" dxfId="6433">
      <formula>$B1149="Serviço"</formula>
    </cfRule>
  </conditionalFormatting>
  <conditionalFormatting sqref="F1141:F1142">
    <cfRule type="expression" priority="1212" dxfId="6434">
      <formula>$B1141="Subetapa"</formula>
    </cfRule>
    <cfRule type="expression" priority="1213" dxfId="6433">
      <formula>$B1141="Serviço"</formula>
    </cfRule>
  </conditionalFormatting>
  <conditionalFormatting sqref="C1142:D1142">
    <cfRule type="expression" priority="1210" dxfId="6424">
      <formula>$B1142="Subetapa"</formula>
    </cfRule>
  </conditionalFormatting>
  <conditionalFormatting sqref="G1139:H1139">
    <cfRule type="expression" priority="1208" dxfId="6424">
      <formula>$B1139="Subetapa"</formula>
    </cfRule>
  </conditionalFormatting>
  <conditionalFormatting sqref="C1141:D1141">
    <cfRule type="expression" priority="1203" dxfId="6433">
      <formula>$B1141="Serviço"</formula>
    </cfRule>
    <cfRule type="expression" priority="1204" dxfId="6434">
      <formula>$B1141="Subetapa"</formula>
    </cfRule>
  </conditionalFormatting>
  <conditionalFormatting sqref="I1140:K1140">
    <cfRule type="expression" priority="1201" dxfId="6433">
      <formula>$B1140="Serviço"</formula>
    </cfRule>
    <cfRule type="expression" priority="1202" dxfId="6434">
      <formula>$B1140="Subetapa"</formula>
    </cfRule>
  </conditionalFormatting>
  <conditionalFormatting sqref="E1140">
    <cfRule type="expression" priority="1197" dxfId="6424">
      <formula>$B1140="Subetapa"</formula>
    </cfRule>
  </conditionalFormatting>
  <conditionalFormatting sqref="A1140:B1140">
    <cfRule type="expression" priority="1195" dxfId="6433">
      <formula>$B1140="Serviço"</formula>
    </cfRule>
    <cfRule type="expression" priority="1196" dxfId="6434">
      <formula>$B1140="Subetapa"</formula>
    </cfRule>
  </conditionalFormatting>
  <conditionalFormatting sqref="B1140">
    <cfRule type="expression" priority="1194" dxfId="6433">
      <formula>$B1140="Serviço"</formula>
    </cfRule>
  </conditionalFormatting>
  <conditionalFormatting sqref="A1140">
    <cfRule type="expression" priority="1193" dxfId="6433">
      <formula>$B1140="Serviço"</formula>
    </cfRule>
  </conditionalFormatting>
  <conditionalFormatting sqref="F1140">
    <cfRule type="expression" priority="1187" dxfId="6434">
      <formula>$B1140="Subetapa"</formula>
    </cfRule>
    <cfRule type="expression" priority="1188" dxfId="6433">
      <formula>$B1140="Serviço"</formula>
    </cfRule>
  </conditionalFormatting>
  <conditionalFormatting sqref="C1140:D1140">
    <cfRule type="expression" priority="1185" dxfId="6424">
      <formula>$B1140="Subetapa"</formula>
    </cfRule>
  </conditionalFormatting>
  <conditionalFormatting sqref="K1164:K1165">
    <cfRule type="expression" priority="1175" dxfId="6434">
      <formula>$B1164="Subetapa"</formula>
    </cfRule>
    <cfRule type="expression" priority="1176" dxfId="6433">
      <formula>$B1164="Serviço"</formula>
    </cfRule>
  </conditionalFormatting>
  <conditionalFormatting sqref="F1155 F1157">
    <cfRule type="expression" priority="1173" dxfId="6434">
      <formula>$B1155="Subetapa"</formula>
    </cfRule>
    <cfRule type="expression" priority="1174" dxfId="6433">
      <formula>$B1155="Serviço"</formula>
    </cfRule>
  </conditionalFormatting>
  <conditionalFormatting sqref="C1157:D1157">
    <cfRule type="expression" priority="1171" dxfId="6424">
      <formula>$B1157="Subetapa"</formula>
    </cfRule>
  </conditionalFormatting>
  <conditionalFormatting sqref="G1153:H1153">
    <cfRule type="expression" priority="1169" dxfId="6424">
      <formula>$B1153="Subetapa"</formula>
    </cfRule>
  </conditionalFormatting>
  <conditionalFormatting sqref="I1154:K1154">
    <cfRule type="expression" priority="1164" dxfId="6433">
      <formula>$B1154="Serviço"</formula>
    </cfRule>
    <cfRule type="expression" priority="1165" dxfId="6434">
      <formula>$B1154="Subetapa"</formula>
    </cfRule>
  </conditionalFormatting>
  <conditionalFormatting sqref="E1154">
    <cfRule type="expression" priority="1160" dxfId="6424">
      <formula>$B1154="Subetapa"</formula>
    </cfRule>
  </conditionalFormatting>
  <conditionalFormatting sqref="A1154:B1154">
    <cfRule type="expression" priority="1158" dxfId="6433">
      <formula>$B1154="Serviço"</formula>
    </cfRule>
    <cfRule type="expression" priority="1159" dxfId="6434">
      <formula>$B1154="Subetapa"</formula>
    </cfRule>
  </conditionalFormatting>
  <conditionalFormatting sqref="B1154">
    <cfRule type="expression" priority="1157" dxfId="6433">
      <formula>$B1154="Serviço"</formula>
    </cfRule>
  </conditionalFormatting>
  <conditionalFormatting sqref="A1154">
    <cfRule type="expression" priority="1156" dxfId="6433">
      <formula>$B1154="Serviço"</formula>
    </cfRule>
  </conditionalFormatting>
  <conditionalFormatting sqref="F1154">
    <cfRule type="expression" priority="1152" dxfId="6434">
      <formula>$B1154="Subetapa"</formula>
    </cfRule>
    <cfRule type="expression" priority="1153" dxfId="6433">
      <formula>$B1154="Serviço"</formula>
    </cfRule>
  </conditionalFormatting>
  <conditionalFormatting sqref="C1154:D1154">
    <cfRule type="expression" priority="1150" dxfId="6424">
      <formula>$B1154="Subetapa"</formula>
    </cfRule>
  </conditionalFormatting>
  <conditionalFormatting sqref="C1156:D1156">
    <cfRule type="expression" priority="1142" dxfId="6433">
      <formula>$B1156="Serviço"</formula>
    </cfRule>
    <cfRule type="expression" priority="1143" dxfId="6434">
      <formula>$B1156="Subetapa"</formula>
    </cfRule>
  </conditionalFormatting>
  <conditionalFormatting sqref="C1155:D1155">
    <cfRule type="expression" priority="1140" dxfId="6433">
      <formula>$B1155="Serviço"</formula>
    </cfRule>
    <cfRule type="expression" priority="1141" dxfId="6434">
      <formula>$B1155="Subetapa"</formula>
    </cfRule>
  </conditionalFormatting>
  <conditionalFormatting sqref="A1124:B1124 D1129:D1136 F1129:F1136">
    <cfRule type="expression" priority="1138" dxfId="6433">
      <formula>$B1124="Serviço"</formula>
    </cfRule>
    <cfRule type="expression" priority="1139" dxfId="6434">
      <formula>$B1124="Subetapa"</formula>
    </cfRule>
  </conditionalFormatting>
  <conditionalFormatting sqref="K1135:K1136">
    <cfRule type="expression" priority="1132" dxfId="6434">
      <formula>$B1135="Subetapa"</formula>
    </cfRule>
    <cfRule type="expression" priority="1133" dxfId="6433">
      <formula>$B1135="Serviço"</formula>
    </cfRule>
  </conditionalFormatting>
  <conditionalFormatting sqref="E1125">
    <cfRule type="expression" priority="1128" dxfId="6424">
      <formula>$B1125="Subetapa"</formula>
    </cfRule>
  </conditionalFormatting>
  <conditionalFormatting sqref="A1125:B1125">
    <cfRule type="expression" priority="1126" dxfId="6433">
      <formula>$B1125="Serviço"</formula>
    </cfRule>
    <cfRule type="expression" priority="1127" dxfId="6434">
      <formula>$B1125="Subetapa"</formula>
    </cfRule>
  </conditionalFormatting>
  <conditionalFormatting sqref="B1125">
    <cfRule type="expression" priority="1125" dxfId="6433">
      <formula>$B1125="Serviço"</formula>
    </cfRule>
  </conditionalFormatting>
  <conditionalFormatting sqref="A1125">
    <cfRule type="expression" priority="1124" dxfId="6433">
      <formula>$B1125="Serviço"</formula>
    </cfRule>
  </conditionalFormatting>
  <conditionalFormatting sqref="F1125">
    <cfRule type="expression" priority="1120" dxfId="6434">
      <formula>$B1125="Subetapa"</formula>
    </cfRule>
    <cfRule type="expression" priority="1121" dxfId="6433">
      <formula>$B1125="Serviço"</formula>
    </cfRule>
  </conditionalFormatting>
  <conditionalFormatting sqref="C1125:D1125">
    <cfRule type="expression" priority="1118" dxfId="6424">
      <formula>$B1125="Subetapa"</formula>
    </cfRule>
  </conditionalFormatting>
  <conditionalFormatting sqref="G1124:H1124">
    <cfRule type="expression" priority="1116" dxfId="6424">
      <formula>$B1124="Subetapa"</formula>
    </cfRule>
  </conditionalFormatting>
  <conditionalFormatting sqref="F1126 F1128">
    <cfRule type="expression" priority="1111" dxfId="6434">
      <formula>$B1126="Subetapa"</formula>
    </cfRule>
    <cfRule type="expression" priority="1112" dxfId="6433">
      <formula>$B1126="Serviço"</formula>
    </cfRule>
  </conditionalFormatting>
  <conditionalFormatting sqref="C1128:D1128">
    <cfRule type="expression" priority="1109" dxfId="6424">
      <formula>$B1128="Subetapa"</formula>
    </cfRule>
  </conditionalFormatting>
  <conditionalFormatting sqref="C1127:D1127">
    <cfRule type="expression" priority="1101" dxfId="6433">
      <formula>$B1127="Serviço"</formula>
    </cfRule>
    <cfRule type="expression" priority="1102" dxfId="6434">
      <formula>$B1127="Subetapa"</formula>
    </cfRule>
  </conditionalFormatting>
  <conditionalFormatting sqref="C1126:D1126">
    <cfRule type="expression" priority="1099" dxfId="6433">
      <formula>$B1126="Serviço"</formula>
    </cfRule>
    <cfRule type="expression" priority="1100" dxfId="6434">
      <formula>$B1126="Subetapa"</formula>
    </cfRule>
  </conditionalFormatting>
  <conditionalFormatting sqref="C2828:C2831">
    <cfRule type="expression" priority="911" dxfId="6433">
      <formula>$B2828="Serviço"</formula>
    </cfRule>
    <cfRule type="expression" priority="912" dxfId="6434">
      <formula>$B2828="Subetapa"</formula>
    </cfRule>
  </conditionalFormatting>
  <conditionalFormatting sqref="C1177:C1185">
    <cfRule type="expression" priority="906" dxfId="6434">
      <formula>$B1177="Subetapa"</formula>
    </cfRule>
  </conditionalFormatting>
  <conditionalFormatting sqref="C1312:C1321">
    <cfRule type="expression" priority="905" dxfId="6434">
      <formula>$B1312="Subetapa"</formula>
    </cfRule>
  </conditionalFormatting>
  <conditionalFormatting sqref="C1881:C1891">
    <cfRule type="expression" priority="1030" dxfId="6424">
      <formula>$B1881="Subetapa"</formula>
    </cfRule>
  </conditionalFormatting>
  <conditionalFormatting sqref="C1908:C1916">
    <cfRule type="expression" priority="1025" dxfId="6424">
      <formula>$B1908="Subetapa"</formula>
    </cfRule>
  </conditionalFormatting>
  <conditionalFormatting sqref="C1920:C1928">
    <cfRule type="expression" priority="1024" dxfId="6424">
      <formula>$B1920="Subetapa"</formula>
    </cfRule>
  </conditionalFormatting>
  <conditionalFormatting sqref="C2008:C2016">
    <cfRule type="expression" priority="1026" dxfId="6424">
      <formula>$B2008="Subetapa"</formula>
    </cfRule>
  </conditionalFormatting>
  <conditionalFormatting sqref="C2030:C2032 C2035:C2040">
    <cfRule type="expression" priority="1010" dxfId="6424">
      <formula>$B2030="Subetapa"</formula>
    </cfRule>
  </conditionalFormatting>
  <conditionalFormatting sqref="C2042:C2044 C2047:C2052">
    <cfRule type="expression" priority="1007" dxfId="6424">
      <formula>$B2042="Subetapa"</formula>
    </cfRule>
  </conditionalFormatting>
  <conditionalFormatting sqref="C2054:C2055">
    <cfRule type="expression" priority="1002" dxfId="6424">
      <formula>$B2054="Subetapa"</formula>
    </cfRule>
  </conditionalFormatting>
  <conditionalFormatting sqref="C2056:C2057 C2060:C2065">
    <cfRule type="expression" priority="1004" dxfId="6424">
      <formula>$B2056="Subetapa"</formula>
    </cfRule>
  </conditionalFormatting>
  <conditionalFormatting sqref="C2815:C2816">
    <cfRule type="expression" priority="889" dxfId="6434">
      <formula>$B2815="Subetapa"</formula>
    </cfRule>
  </conditionalFormatting>
  <conditionalFormatting sqref="C3858:C3859">
    <cfRule type="expression" priority="944" dxfId="6424">
      <formula>$B3858="Subetapa"</formula>
    </cfRule>
  </conditionalFormatting>
  <conditionalFormatting sqref="C3929:C3932">
    <cfRule type="expression" priority="924" dxfId="6424">
      <formula>$B3929="Subetapa"</formula>
    </cfRule>
  </conditionalFormatting>
  <conditionalFormatting sqref="C3939:C3940">
    <cfRule type="expression" priority="1043" dxfId="6424">
      <formula>$B3939="Subetapa"</formula>
    </cfRule>
  </conditionalFormatting>
  <conditionalFormatting sqref="C4726:C4749">
    <cfRule type="expression" priority="1038" dxfId="6424">
      <formula>$B4726="Subetapa"</formula>
    </cfRule>
  </conditionalFormatting>
  <conditionalFormatting sqref="C303:C304">
    <cfRule type="expression" priority="914" dxfId="6424">
      <formula>$B303="Subetapa"</formula>
    </cfRule>
  </conditionalFormatting>
  <conditionalFormatting sqref="C1868:C1869 C1871:C1879">
    <cfRule type="expression" priority="1029" dxfId="6424">
      <formula>$B1868="Subetapa"</formula>
    </cfRule>
  </conditionalFormatting>
  <conditionalFormatting sqref="C1893:C1894 C1896:C1904">
    <cfRule type="expression" priority="1027" dxfId="6424">
      <formula>$B1893="Subetapa"</formula>
    </cfRule>
  </conditionalFormatting>
  <conditionalFormatting sqref="C1930:C1931 C1933:C1941">
    <cfRule type="expression" priority="1022" dxfId="6424">
      <formula>$B1930="Subetapa"</formula>
    </cfRule>
  </conditionalFormatting>
  <conditionalFormatting sqref="C1943:C1944 C1946:C1954">
    <cfRule type="expression" priority="1020" dxfId="6424">
      <formula>$B1943="Subetapa"</formula>
    </cfRule>
  </conditionalFormatting>
  <conditionalFormatting sqref="C1956:C1957 C1959:C1967">
    <cfRule type="expression" priority="1018" dxfId="6424">
      <formula>$B1956="Subetapa"</formula>
    </cfRule>
  </conditionalFormatting>
  <conditionalFormatting sqref="C1969:C1970 C1972:C1980">
    <cfRule type="expression" priority="1016" dxfId="6424">
      <formula>$B1969="Subetapa"</formula>
    </cfRule>
  </conditionalFormatting>
  <conditionalFormatting sqref="C957:C962">
    <cfRule type="expression" priority="871" dxfId="6424">
      <formula>$B957="Subetapa"</formula>
    </cfRule>
  </conditionalFormatting>
  <conditionalFormatting sqref="C284:C286">
    <cfRule type="expression" priority="1045" dxfId="6424">
      <formula>$B284="Subetapa"</formula>
    </cfRule>
  </conditionalFormatting>
  <conditionalFormatting sqref="C321:C322">
    <cfRule type="expression" priority="1087" dxfId="6424">
      <formula>$B321="Subetapa"</formula>
    </cfRule>
  </conditionalFormatting>
  <conditionalFormatting sqref="C662:C664">
    <cfRule type="expression" priority="913" dxfId="6433">
      <formula>$B662="Serviço"</formula>
    </cfRule>
  </conditionalFormatting>
  <conditionalFormatting sqref="C867:C868">
    <cfRule type="expression" priority="1051" dxfId="6424">
      <formula>$B867="Subetapa"</formula>
    </cfRule>
  </conditionalFormatting>
  <conditionalFormatting sqref="C964:C966">
    <cfRule type="expression" priority="1039" dxfId="6424">
      <formula>$B964="Subetapa"</formula>
    </cfRule>
  </conditionalFormatting>
  <conditionalFormatting sqref="C967:C969">
    <cfRule type="expression" priority="1040" dxfId="6424">
      <formula>$B967="Subetapa"</formula>
    </cfRule>
  </conditionalFormatting>
  <conditionalFormatting sqref="C971:C972">
    <cfRule type="expression" priority="1053" dxfId="6424">
      <formula>$B971="Subetapa"</formula>
    </cfRule>
  </conditionalFormatting>
  <conditionalFormatting sqref="C974:C975">
    <cfRule type="expression" priority="1054" dxfId="6424">
      <formula>$B974="Subetapa"</formula>
    </cfRule>
  </conditionalFormatting>
  <conditionalFormatting sqref="C1345:C1347">
    <cfRule type="expression" priority="895" dxfId="6434">
      <formula>$B1345="Subetapa"</formula>
    </cfRule>
  </conditionalFormatting>
  <conditionalFormatting sqref="C1844:C1854">
    <cfRule type="expression" priority="1032" dxfId="6424">
      <formula>$B1844="Subetapa"</formula>
    </cfRule>
  </conditionalFormatting>
  <conditionalFormatting sqref="C1856:C1866">
    <cfRule type="expression" priority="1031" dxfId="6424">
      <formula>$B1856="Subetapa"</formula>
    </cfRule>
  </conditionalFormatting>
  <conditionalFormatting sqref="C1982:C1992">
    <cfRule type="expression" priority="1014" dxfId="6424">
      <formula>$B1982="Subetapa"</formula>
    </cfRule>
  </conditionalFormatting>
  <conditionalFormatting sqref="C1994:C2004">
    <cfRule type="expression" priority="1012" dxfId="6424">
      <formula>$B1994="Subetapa"</formula>
    </cfRule>
  </conditionalFormatting>
  <conditionalFormatting sqref="C2018:C2028">
    <cfRule type="expression" priority="940" dxfId="6424">
      <formula>$B2018="Subetapa"</formula>
    </cfRule>
  </conditionalFormatting>
  <conditionalFormatting sqref="C2033:C2034">
    <cfRule type="expression" priority="1008" dxfId="6424">
      <formula>$B2033="Subetapa"</formula>
    </cfRule>
  </conditionalFormatting>
  <conditionalFormatting sqref="C2045:C2046">
    <cfRule type="expression" priority="1005" dxfId="6424">
      <formula>$B2045="Subetapa"</formula>
    </cfRule>
  </conditionalFormatting>
  <conditionalFormatting sqref="C2058:C2059">
    <cfRule type="expression" priority="1003" dxfId="6424">
      <formula>$B2058="Subetapa"</formula>
    </cfRule>
  </conditionalFormatting>
  <conditionalFormatting sqref="C2067:C2068">
    <cfRule type="expression" priority="998" dxfId="6424">
      <formula>$B2067="Subetapa"</formula>
    </cfRule>
  </conditionalFormatting>
  <conditionalFormatting sqref="C2069:C2070 C2073:C2078">
    <cfRule type="expression" priority="1000" dxfId="6424">
      <formula>$B2069="Subetapa"</formula>
    </cfRule>
  </conditionalFormatting>
  <conditionalFormatting sqref="C2071:C2072">
    <cfRule type="expression" priority="999" dxfId="6424">
      <formula>$B2071="Subetapa"</formula>
    </cfRule>
  </conditionalFormatting>
  <conditionalFormatting sqref="C2080:C2081">
    <cfRule type="expression" priority="994" dxfId="6424">
      <formula>$B2080="Subetapa"</formula>
    </cfRule>
  </conditionalFormatting>
  <conditionalFormatting sqref="C2082:C2083 C2086:C2091">
    <cfRule type="expression" priority="996" dxfId="6424">
      <formula>$B2082="Subetapa"</formula>
    </cfRule>
  </conditionalFormatting>
  <conditionalFormatting sqref="C2084:C2085">
    <cfRule type="expression" priority="995" dxfId="6424">
      <formula>$B2084="Subetapa"</formula>
    </cfRule>
  </conditionalFormatting>
  <conditionalFormatting sqref="C2093:C2094">
    <cfRule type="expression" priority="989" dxfId="6424">
      <formula>$B2093="Subetapa"</formula>
    </cfRule>
  </conditionalFormatting>
  <conditionalFormatting sqref="C2095:C2096 C2099:C2104">
    <cfRule type="expression" priority="992" dxfId="6424">
      <formula>$B2095="Subetapa"</formula>
    </cfRule>
  </conditionalFormatting>
  <conditionalFormatting sqref="C2097:C2098">
    <cfRule type="expression" priority="990" dxfId="6424">
      <formula>$B2097="Subetapa"</formula>
    </cfRule>
  </conditionalFormatting>
  <conditionalFormatting sqref="C2106:C2111">
    <cfRule type="expression" priority="987" dxfId="6424">
      <formula>$B2106="Subetapa"</formula>
    </cfRule>
  </conditionalFormatting>
  <conditionalFormatting sqref="C2113:C2118">
    <cfRule type="expression" priority="986" dxfId="6424">
      <formula>$B2113="Subetapa"</formula>
    </cfRule>
  </conditionalFormatting>
  <conditionalFormatting sqref="C2120:C2125">
    <cfRule type="expression" priority="985" dxfId="6424">
      <formula>$B2120="Subetapa"</formula>
    </cfRule>
  </conditionalFormatting>
  <conditionalFormatting sqref="C2127:C2132">
    <cfRule type="expression" priority="983" dxfId="6424">
      <formula>$B2127="Subetapa"</formula>
    </cfRule>
  </conditionalFormatting>
  <conditionalFormatting sqref="C2134:C2139">
    <cfRule type="expression" priority="981" dxfId="6424">
      <formula>$B2134="Subetapa"</formula>
    </cfRule>
  </conditionalFormatting>
  <conditionalFormatting sqref="C2332:C2336">
    <cfRule type="expression" priority="979" dxfId="6424">
      <formula>$B2332="Subetapa"</formula>
    </cfRule>
  </conditionalFormatting>
  <conditionalFormatting sqref="C2757:C2759">
    <cfRule type="expression" priority="917" dxfId="6424">
      <formula>$B2757="Subetapa"</formula>
    </cfRule>
  </conditionalFormatting>
  <conditionalFormatting sqref="C2761:C2764">
    <cfRule type="expression" priority="919" dxfId="6424">
      <formula>$B2761="Subetapa"</formula>
    </cfRule>
  </conditionalFormatting>
  <conditionalFormatting sqref="C2772:C2785">
    <cfRule type="expression" priority="963" dxfId="6424">
      <formula>$B2772="Subetapa"</formula>
    </cfRule>
  </conditionalFormatting>
  <conditionalFormatting sqref="C2786:C2787">
    <cfRule type="expression" priority="1059" dxfId="6931">
      <formula>$A2786=2</formula>
    </cfRule>
  </conditionalFormatting>
  <conditionalFormatting sqref="C2914:C2915">
    <cfRule type="expression" priority="960" dxfId="4">
      <formula>$I2914="SUBETAPA"</formula>
    </cfRule>
    <cfRule type="expression" priority="961" dxfId="5">
      <formula>$I2914="CÉLULA CONSTRUTIVA"</formula>
    </cfRule>
    <cfRule type="expression" priority="962" dxfId="3">
      <formula>$I2914="ETAPA"</formula>
    </cfRule>
  </conditionalFormatting>
  <conditionalFormatting sqref="C2916:C2917">
    <cfRule type="expression" priority="957" dxfId="4">
      <formula>$I2916="SUBETAPA"</formula>
    </cfRule>
    <cfRule type="expression" priority="958" dxfId="5">
      <formula>$I2916="CÉLULA CONSTRUTIVA"</formula>
    </cfRule>
    <cfRule type="expression" priority="959" dxfId="3">
      <formula>$I2916="ETAPA"</formula>
    </cfRule>
  </conditionalFormatting>
  <conditionalFormatting sqref="C3427:C3429">
    <cfRule type="expression" priority="1061" dxfId="6424">
      <formula>$A3427="Subetapa"</formula>
    </cfRule>
  </conditionalFormatting>
  <conditionalFormatting sqref="C3619:C3621">
    <cfRule type="expression" priority="1063" dxfId="6424">
      <formula>$A3619="Subetapa"</formula>
    </cfRule>
  </conditionalFormatting>
  <conditionalFormatting sqref="C3927:C3928">
    <cfRule type="expression" priority="942" dxfId="6424">
      <formula>$B3927="Subetapa"</formula>
    </cfRule>
  </conditionalFormatting>
  <conditionalFormatting sqref="C3939:C3943">
    <cfRule type="expression" priority="1065" dxfId="6424">
      <formula>$B3939="Subetapa"</formula>
    </cfRule>
  </conditionalFormatting>
  <conditionalFormatting sqref="C3997:C3998">
    <cfRule type="expression" priority="883" dxfId="6433">
      <formula>$A3997="Serviço"</formula>
    </cfRule>
    <cfRule type="expression" priority="884" dxfId="6434">
      <formula>$A3997="Subetapa"</formula>
    </cfRule>
  </conditionalFormatting>
  <conditionalFormatting sqref="C4000:C4001">
    <cfRule type="expression" priority="885" dxfId="6433">
      <formula>$A4000="Serviço"</formula>
    </cfRule>
    <cfRule type="expression" priority="886" dxfId="6434">
      <formula>$A4000="Subetapa"</formula>
    </cfRule>
  </conditionalFormatting>
  <conditionalFormatting sqref="C4055:C4056">
    <cfRule type="expression" priority="875" dxfId="6433">
      <formula>$A4055="Serviço"</formula>
    </cfRule>
    <cfRule type="expression" priority="876" dxfId="6434">
      <formula>$A4055="Subetapa"</formula>
    </cfRule>
  </conditionalFormatting>
  <conditionalFormatting sqref="C4095:C4097">
    <cfRule type="expression" priority="1068" dxfId="6424">
      <formula>$B4095="Subetapa"</formula>
    </cfRule>
  </conditionalFormatting>
  <conditionalFormatting sqref="C4292:C4295">
    <cfRule type="expression" priority="941" dxfId="6424">
      <formula>$B4292="Subetapa"</formula>
    </cfRule>
  </conditionalFormatting>
  <conditionalFormatting sqref="C4751:C4758">
    <cfRule type="expression" priority="1069" dxfId="6424">
      <formula>$B4751="Subetapa"</formula>
    </cfRule>
  </conditionalFormatting>
  <conditionalFormatting sqref="C4833:C4838 C4880:C4888">
    <cfRule type="expression" priority="1044" dxfId="6424">
      <formula>$B4833="Subetapa"</formula>
    </cfRule>
  </conditionalFormatting>
  <conditionalFormatting sqref="C4942:C4974">
    <cfRule type="expression" priority="1075" dxfId="6424">
      <formula>$B4942="Subetapa"</formula>
    </cfRule>
  </conditionalFormatting>
  <conditionalFormatting sqref="C815:C823">
    <cfRule type="expression" priority="907" dxfId="6433">
      <formula>$B815="Serviço"</formula>
    </cfRule>
    <cfRule type="expression" priority="908" dxfId="6434">
      <formula>$B815="Subetapa"</formula>
    </cfRule>
  </conditionalFormatting>
  <conditionalFormatting sqref="C1256:C1265">
    <cfRule type="expression" priority="899" dxfId="6434">
      <formula>$B1256="Subetapa"</formula>
    </cfRule>
  </conditionalFormatting>
  <conditionalFormatting sqref="C1302:C1310">
    <cfRule type="expression" priority="896" dxfId="6433">
      <formula>$B1302="Serviço"</formula>
    </cfRule>
    <cfRule type="expression" priority="897" dxfId="6434">
      <formula>$B1302="Subetapa"</formula>
    </cfRule>
  </conditionalFormatting>
  <conditionalFormatting sqref="C1358:C1361">
    <cfRule type="expression" priority="900" dxfId="6433">
      <formula>$B1358="Serviço"</formula>
    </cfRule>
    <cfRule type="expression" priority="901" dxfId="6434">
      <formula>$B1358="Subetapa"</formula>
    </cfRule>
  </conditionalFormatting>
  <conditionalFormatting sqref="C1364:C1367">
    <cfRule type="expression" priority="902" dxfId="6433">
      <formula>$B1364="Serviço"</formula>
    </cfRule>
    <cfRule type="expression" priority="903" dxfId="6434">
      <formula>$B1364="Subetapa"</formula>
    </cfRule>
  </conditionalFormatting>
  <conditionalFormatting sqref="C1376:C1384">
    <cfRule type="expression" priority="904" dxfId="6434">
      <formula>$B1376="Subetapa"</formula>
    </cfRule>
  </conditionalFormatting>
  <conditionalFormatting sqref="C2476:C2479">
    <cfRule type="expression" priority="891" dxfId="6433">
      <formula>$B2476="Serviço"</formula>
    </cfRule>
  </conditionalFormatting>
  <conditionalFormatting sqref="C2481:C2484">
    <cfRule type="expression" priority="892" dxfId="6433">
      <formula>$B2481="Serviço"</formula>
    </cfRule>
  </conditionalFormatting>
  <conditionalFormatting sqref="C2486:C2489">
    <cfRule type="expression" priority="894" dxfId="6433">
      <formula>$B2486="Serviço"</formula>
    </cfRule>
  </conditionalFormatting>
  <conditionalFormatting sqref="C2521:C2524">
    <cfRule type="expression" priority="893" dxfId="6433">
      <formula>$B2521="Serviço"</formula>
    </cfRule>
  </conditionalFormatting>
  <conditionalFormatting sqref="C3886:C3889">
    <cfRule type="expression" priority="932" dxfId="6424">
      <formula>$B3886="Subetapa"</formula>
    </cfRule>
  </conditionalFormatting>
  <conditionalFormatting sqref="C3896:C3900">
    <cfRule type="expression" priority="930" dxfId="6424">
      <formula>$B3896="Subetapa"</formula>
    </cfRule>
  </conditionalFormatting>
  <conditionalFormatting sqref="C3907:C3911">
    <cfRule type="expression" priority="928" dxfId="6424">
      <formula>$B3907="Subetapa"</formula>
    </cfRule>
  </conditionalFormatting>
  <conditionalFormatting sqref="C3918:C3922">
    <cfRule type="expression" priority="926" dxfId="6424">
      <formula>$B3918="Subetapa"</formula>
    </cfRule>
  </conditionalFormatting>
  <conditionalFormatting sqref="C3948:C3952">
    <cfRule type="expression" priority="922" dxfId="6424">
      <formula>$B3948="Subetapa"</formula>
    </cfRule>
  </conditionalFormatting>
  <conditionalFormatting sqref="C4005:C4006">
    <cfRule type="expression" priority="877" dxfId="6434">
      <formula>$B4005="Subetapa"</formula>
    </cfRule>
  </conditionalFormatting>
  <conditionalFormatting sqref="C4008:C4009">
    <cfRule type="expression" priority="878" dxfId="6434">
      <formula>$B4008="Subetapa"</formula>
    </cfRule>
  </conditionalFormatting>
  <conditionalFormatting sqref="C4011:C4012">
    <cfRule type="expression" priority="879" dxfId="6434">
      <formula>$B4011="Subetapa"</formula>
    </cfRule>
  </conditionalFormatting>
  <conditionalFormatting sqref="C4014:C4015">
    <cfRule type="expression" priority="880" dxfId="6434">
      <formula>$B4014="Subetapa"</formula>
    </cfRule>
  </conditionalFormatting>
  <conditionalFormatting sqref="C4017:C4018">
    <cfRule type="expression" priority="881" dxfId="6434">
      <formula>$B4017="Subetapa"</formula>
    </cfRule>
  </conditionalFormatting>
  <conditionalFormatting sqref="C4020:C4021">
    <cfRule type="expression" priority="882" dxfId="6434">
      <formula>$B4020="Subetapa"</formula>
    </cfRule>
  </conditionalFormatting>
  <conditionalFormatting sqref="C4042:C4043">
    <cfRule type="expression" priority="874" dxfId="6434">
      <formula>$B4042="Subetapa"</formula>
    </cfRule>
  </conditionalFormatting>
  <conditionalFormatting sqref="C827:C834">
    <cfRule type="expression" priority="909" dxfId="6433">
      <formula>$B827="Serviço"</formula>
    </cfRule>
    <cfRule type="expression" priority="910" dxfId="6434">
      <formula>$B827="Subetapa"</formula>
    </cfRule>
  </conditionalFormatting>
  <conditionalFormatting sqref="C1348:C1355">
    <cfRule type="expression" priority="898" dxfId="6434">
      <formula>$B1348="Subetapa"</formula>
    </cfRule>
  </conditionalFormatting>
  <conditionalFormatting sqref="C1813:C1814">
    <cfRule type="expression" priority="1081" dxfId="6424">
      <formula>$B1813="Subetapa"</formula>
    </cfRule>
  </conditionalFormatting>
  <conditionalFormatting sqref="C2185:C2186">
    <cfRule type="expression" priority="1088" dxfId="6424">
      <formula>$B2185="Subetapa"</formula>
    </cfRule>
  </conditionalFormatting>
  <conditionalFormatting sqref="C2723:C2724">
    <cfRule type="expression" priority="890" dxfId="6433">
      <formula>$B2723="Serviço"</formula>
    </cfRule>
  </conditionalFormatting>
  <conditionalFormatting sqref="C3130:C3136">
    <cfRule type="expression" priority="888" dxfId="6434">
      <formula>$B3130="Subetapa"</formula>
    </cfRule>
  </conditionalFormatting>
  <conditionalFormatting sqref="C3143:C3144">
    <cfRule type="expression" priority="956" dxfId="6424">
      <formula>$B3143="Subetapa"</formula>
    </cfRule>
  </conditionalFormatting>
  <conditionalFormatting sqref="C4105:C4106">
    <cfRule type="expression" priority="872" dxfId="6434">
      <formula>$B4105="Subetapa"</formula>
    </cfRule>
  </conditionalFormatting>
  <conditionalFormatting sqref="C4108:C4109">
    <cfRule type="expression" priority="873" dxfId="6434">
      <formula>$B4108="Subetapa"</formula>
    </cfRule>
  </conditionalFormatting>
  <conditionalFormatting sqref="C4864:C4874">
    <cfRule type="expression" priority="1086" dxfId="6424">
      <formula>$B4864="Subetapa"</formula>
    </cfRule>
  </conditionalFormatting>
  <conditionalFormatting sqref="C4876:C4877">
    <cfRule type="expression" priority="1090" dxfId="6424">
      <formula>$B4876="Subetapa"</formula>
    </cfRule>
  </conditionalFormatting>
  <conditionalFormatting sqref="C3980:C3981">
    <cfRule type="expression" priority="887" dxfId="6434">
      <formula>$B3980="Subetapa"</formula>
    </cfRule>
  </conditionalFormatting>
  <conditionalFormatting sqref="C1419:C1420 C1422:C1442 C1444:C1464 C1466:C1473">
    <cfRule type="expression" priority="870" dxfId="6424">
      <formula>$B1419="Subetapa"</formula>
    </cfRule>
  </conditionalFormatting>
  <conditionalFormatting sqref="C1478:C1485 C1490:C1497 C1503:C1510 C1516:C1523">
    <cfRule type="expression" priority="868" dxfId="6424">
      <formula>$B1478="Subetapa"</formula>
    </cfRule>
  </conditionalFormatting>
  <conditionalFormatting sqref="C1513:C1514">
    <cfRule type="expression" priority="866" dxfId="6424">
      <formula>$B1513="Subetapa"</formula>
    </cfRule>
    <cfRule type="expression" priority="865" dxfId="6424">
      <formula>$B1513="Subetapa"</formula>
    </cfRule>
  </conditionalFormatting>
  <conditionalFormatting sqref="C1500:C1501">
    <cfRule type="expression" priority="863" dxfId="6424">
      <formula>$B1500="Subetapa"</formula>
    </cfRule>
    <cfRule type="expression" priority="862" dxfId="6424">
      <formula>$B1500="Subetapa"</formula>
    </cfRule>
  </conditionalFormatting>
  <conditionalFormatting sqref="C1524:C1525 C1527:C1534">
    <cfRule type="expression" priority="861" dxfId="6424">
      <formula>$B1524="Subetapa"</formula>
    </cfRule>
  </conditionalFormatting>
  <conditionalFormatting sqref="C2826:C2827 C2835:C2840">
    <cfRule type="expression" priority="851" dxfId="6433">
      <formula>$B2826="Serviço"</formula>
    </cfRule>
    <cfRule type="expression" priority="852" dxfId="6434">
      <formula>$B2826="Subetapa"</formula>
    </cfRule>
  </conditionalFormatting>
  <conditionalFormatting sqref="C3173:C3174">
    <cfRule type="expression" priority="825" dxfId="6424">
      <formula>$B3173="Subetapa"</formula>
    </cfRule>
  </conditionalFormatting>
  <conditionalFormatting sqref="C3170:C3171">
    <cfRule type="expression" priority="823" dxfId="6424">
      <formula>$B3170="Subetapa"</formula>
    </cfRule>
  </conditionalFormatting>
  <conditionalFormatting sqref="C3167:C3168">
    <cfRule type="expression" priority="822" dxfId="6424">
      <formula>$B3167="Subetapa"</formula>
    </cfRule>
  </conditionalFormatting>
  <conditionalFormatting sqref="C3164:C3165">
    <cfRule type="expression" priority="820" dxfId="6424">
      <formula>$B3164="Subetapa"</formula>
    </cfRule>
  </conditionalFormatting>
  <conditionalFormatting sqref="C3161:C3162">
    <cfRule type="expression" priority="818" dxfId="6424">
      <formula>$B3161="Subetapa"</formula>
    </cfRule>
  </conditionalFormatting>
  <conditionalFormatting sqref="C3158:C3159">
    <cfRule type="expression" priority="817" dxfId="6424">
      <formula>$B3158="Subetapa"</formula>
    </cfRule>
  </conditionalFormatting>
  <conditionalFormatting sqref="C3656:C3657">
    <cfRule type="expression" priority="816" dxfId="6424">
      <formula>$B3656="Subetapa"</formula>
    </cfRule>
  </conditionalFormatting>
  <conditionalFormatting sqref="C3966:C3967">
    <cfRule type="expression" priority="814" dxfId="6424">
      <formula>$B3966="Subetapa"</formula>
    </cfRule>
  </conditionalFormatting>
  <conditionalFormatting sqref="C4035:C4036">
    <cfRule type="expression" priority="812" dxfId="6424">
      <formula>$B4035="Subetapa"</formula>
    </cfRule>
  </conditionalFormatting>
  <conditionalFormatting sqref="C4669:C4670">
    <cfRule type="expression" priority="810" dxfId="6424">
      <formula>$B4669="Subetapa"</formula>
    </cfRule>
  </conditionalFormatting>
  <conditionalFormatting sqref="C4676:C4677">
    <cfRule type="expression" priority="808" dxfId="6424">
      <formula>$B4676="Subetapa"</formula>
    </cfRule>
  </conditionalFormatting>
  <conditionalFormatting sqref="C1023:C1030 C1036:C1043 C1049:C1056 C1062:C1069">
    <cfRule type="expression" priority="804" dxfId="6433">
      <formula>$B1023="Serviço"</formula>
    </cfRule>
    <cfRule type="expression" priority="805" dxfId="6434">
      <formula>$B1023="Subetapa"</formula>
    </cfRule>
  </conditionalFormatting>
  <conditionalFormatting sqref="C1114:C1121">
    <cfRule type="expression" priority="802" dxfId="6433">
      <formula>$B1114="Serviço"</formula>
    </cfRule>
    <cfRule type="expression" priority="803" dxfId="6434">
      <formula>$B1114="Subetapa"</formula>
    </cfRule>
  </conditionalFormatting>
  <conditionalFormatting sqref="C1143:C1150 C1158:C1165">
    <cfRule type="expression" priority="800" dxfId="6433">
      <formula>$B1143="Serviço"</formula>
    </cfRule>
    <cfRule type="expression" priority="801" dxfId="6434">
      <formula>$B1143="Subetapa"</formula>
    </cfRule>
  </conditionalFormatting>
  <conditionalFormatting sqref="C1129:C1136">
    <cfRule type="expression" priority="798" dxfId="6433">
      <formula>$B1129="Serviço"</formula>
    </cfRule>
    <cfRule type="expression" priority="799" dxfId="6434">
      <formula>$B1129="Subetapa"</formula>
    </cfRule>
  </conditionalFormatting>
  <conditionalFormatting sqref="A3879:B3879">
    <cfRule type="expression" priority="794" dxfId="6424">
      <formula>$B3879="Subetapa"</formula>
    </cfRule>
  </conditionalFormatting>
  <conditionalFormatting sqref="B3875:B3877 B3881:B3882">
    <cfRule type="expression" priority="784" dxfId="6424">
      <formula>$B3875="Subetapa"</formula>
    </cfRule>
  </conditionalFormatting>
  <conditionalFormatting sqref="D3875:F3875 D3876:D3877 D3881:D3882 F3876:F3877 F3881:F3882">
    <cfRule type="expression" priority="785" dxfId="6424">
      <formula>$B3875="Subetapa"</formula>
    </cfRule>
  </conditionalFormatting>
  <conditionalFormatting sqref="A3875:A3877 A3881:A3882">
    <cfRule type="expression" priority="776" dxfId="6424">
      <formula>$B3875="Subetapa"</formula>
    </cfRule>
  </conditionalFormatting>
  <conditionalFormatting sqref="B3878 D3878 F3878">
    <cfRule type="expression" priority="773" dxfId="6424">
      <formula>$B3878="Subetapa"</formula>
    </cfRule>
  </conditionalFormatting>
  <conditionalFormatting sqref="D3879:D3880">
    <cfRule type="expression" priority="767" dxfId="6424">
      <formula>$B3879="Subetapa"</formula>
    </cfRule>
  </conditionalFormatting>
  <conditionalFormatting sqref="D3880">
    <cfRule type="expression" priority="763" dxfId="6424">
      <formula>$B3880="Subetapa"</formula>
    </cfRule>
  </conditionalFormatting>
  <conditionalFormatting sqref="F3880">
    <cfRule type="expression" priority="768" dxfId="6424">
      <formula>$B3880="Subetapa"</formula>
    </cfRule>
  </conditionalFormatting>
  <conditionalFormatting sqref="A3878">
    <cfRule type="expression" priority="759" dxfId="6424">
      <formula>$B3878="Subetapa"</formula>
    </cfRule>
  </conditionalFormatting>
  <conditionalFormatting sqref="G4071:H4071">
    <cfRule type="expression" priority="755" dxfId="6424">
      <formula>$B4071="Subetapa"</formula>
    </cfRule>
  </conditionalFormatting>
  <conditionalFormatting sqref="H3861:H3883">
    <cfRule type="expression" priority="751" dxfId="6424">
      <formula>$B3861="Subetapa"</formula>
    </cfRule>
  </conditionalFormatting>
  <conditionalFormatting sqref="G4495">
    <cfRule type="expression" priority="668" dxfId="6434">
      <formula>$B4495="Subetapa"</formula>
    </cfRule>
    <cfRule type="expression" priority="667" dxfId="6433">
      <formula>$B4495="Serviço"</formula>
    </cfRule>
  </conditionalFormatting>
  <conditionalFormatting sqref="E768:E770">
    <cfRule type="expression" priority="666" dxfId="6424">
      <formula>$B768="Subetapa"</formula>
    </cfRule>
  </conditionalFormatting>
  <conditionalFormatting sqref="E1021">
    <cfRule type="expression" priority="664" dxfId="6424">
      <formula>$B1021="Subetapa"</formula>
    </cfRule>
  </conditionalFormatting>
  <conditionalFormatting sqref="I1386:J2041 I2526:J2606 I2843:J2882 I3143:J3176 I4403:J4451 I4455:J4458">
    <cfRule type="expression" priority="661" dxfId="6424">
      <formula>$B1386="Subetapa"</formula>
    </cfRule>
  </conditionalFormatting>
  <conditionalFormatting sqref="I1198:J1385 I4504:J4572">
    <cfRule type="expression" priority="659" dxfId="6433">
      <formula>$B1198="Serviço"</formula>
    </cfRule>
    <cfRule type="expression" priority="660" dxfId="6434">
      <formula>$B1198="Subetapa"</formula>
    </cfRule>
  </conditionalFormatting>
  <conditionalFormatting sqref="I943:J959">
    <cfRule type="expression" priority="475" dxfId="6424">
      <formula>$B943="Subetapa"</formula>
    </cfRule>
  </conditionalFormatting>
  <conditionalFormatting sqref="I2203:J2207 I2317:J2330">
    <cfRule type="expression" priority="603" dxfId="6424">
      <formula>$B2203="Subetapa"</formula>
    </cfRule>
  </conditionalFormatting>
  <conditionalFormatting sqref="I2379:J2388">
    <cfRule type="expression" priority="355" dxfId="6433">
      <formula>$B2379="Serviço"</formula>
    </cfRule>
    <cfRule type="expression" priority="354" dxfId="6434">
      <formula>$B2379="Subetapa"</formula>
    </cfRule>
  </conditionalFormatting>
  <conditionalFormatting sqref="I2637:J2661">
    <cfRule type="expression" priority="467" dxfId="6424">
      <formula>$B2637="Subetapa"</formula>
    </cfRule>
  </conditionalFormatting>
  <conditionalFormatting sqref="I2662:J2669">
    <cfRule type="expression" priority="462" dxfId="6424">
      <formula>$B2662="Subetapa"</formula>
    </cfRule>
  </conditionalFormatting>
  <conditionalFormatting sqref="I2670:J2672">
    <cfRule type="expression" priority="464" dxfId="6424">
      <formula>$B2670="Subetapa"</formula>
    </cfRule>
  </conditionalFormatting>
  <conditionalFormatting sqref="I2731:J2735">
    <cfRule type="expression" priority="466" dxfId="6424">
      <formula>$B2731="Subetapa"</formula>
    </cfRule>
  </conditionalFormatting>
  <conditionalFormatting sqref="I2737:J2753">
    <cfRule type="expression" priority="465" dxfId="6424">
      <formula>$B2737="Subetapa"</formula>
    </cfRule>
  </conditionalFormatting>
  <conditionalFormatting sqref="I3177:J3188 I3243:J3246">
    <cfRule type="expression" priority="348" dxfId="6434">
      <formula>$B3177="Subetapa"</formula>
    </cfRule>
    <cfRule type="expression" priority="349" dxfId="6433">
      <formula>$B3177="Serviço"</formula>
    </cfRule>
  </conditionalFormatting>
  <conditionalFormatting sqref="I2957:J2960">
    <cfRule type="expression" priority="601" dxfId="6424">
      <formula>$B2957="Subetapa"</formula>
    </cfRule>
  </conditionalFormatting>
  <conditionalFormatting sqref="I3731:J3758">
    <cfRule type="expression" priority="458" dxfId="6424">
      <formula>$B3731="Subetapa"</formula>
    </cfRule>
  </conditionalFormatting>
  <conditionalFormatting sqref="I3767:J3787">
    <cfRule type="expression" priority="552" dxfId="6424">
      <formula>$B3767="Subetapa"</formula>
    </cfRule>
  </conditionalFormatting>
  <conditionalFormatting sqref="I3788:J3793">
    <cfRule type="expression" priority="454" dxfId="6424">
      <formula>$B3788="Subetapa"</formula>
    </cfRule>
  </conditionalFormatting>
  <conditionalFormatting sqref="I3794:J3807">
    <cfRule type="expression" priority="529" dxfId="6424">
      <formula>$B3794="Subetapa"</formula>
    </cfRule>
  </conditionalFormatting>
  <conditionalFormatting sqref="I4078:J4086">
    <cfRule type="expression" priority="604" dxfId="6424">
      <formula>$B4078="Subetapa"</formula>
    </cfRule>
  </conditionalFormatting>
  <conditionalFormatting sqref="I4373:J4402">
    <cfRule type="expression" priority="318" dxfId="6434">
      <formula>$B4373="Subetapa"</formula>
    </cfRule>
    <cfRule type="expression" priority="319" dxfId="6433">
      <formula>$B4373="Serviço"</formula>
    </cfRule>
  </conditionalFormatting>
  <conditionalFormatting sqref="I4686:J4699">
    <cfRule type="expression" priority="316" dxfId="6434">
      <formula>$B4686="Subetapa"</formula>
    </cfRule>
    <cfRule type="expression" priority="317" dxfId="6433">
      <formula>$B4686="Serviço"</formula>
    </cfRule>
  </conditionalFormatting>
  <conditionalFormatting sqref="I3759:J3766 I3816:J3820">
    <cfRule type="expression" priority="615" dxfId="6424">
      <formula>$B3759="Subetapa"</formula>
    </cfRule>
  </conditionalFormatting>
  <conditionalFormatting sqref="I4087:J4097">
    <cfRule type="expression" priority="538" dxfId="6424">
      <formula>$B4087="Subetapa"</formula>
    </cfRule>
  </conditionalFormatting>
  <conditionalFormatting sqref="I4235:J4244">
    <cfRule type="expression" priority="517" dxfId="6424">
      <formula>$B4235="Subetapa"</formula>
    </cfRule>
  </conditionalFormatting>
  <conditionalFormatting sqref="I2208:J2211 I2277:J2278">
    <cfRule type="expression" priority="291" dxfId="6424">
      <formula>$B2208="Subetapa"</formula>
    </cfRule>
  </conditionalFormatting>
  <conditionalFormatting sqref="I3709:J3713">
    <cfRule type="expression" priority="298" dxfId="6424">
      <formula>$B3709="Subetapa"</formula>
    </cfRule>
  </conditionalFormatting>
  <conditionalFormatting sqref="I3715:J3721 I3725:J3730">
    <cfRule type="expression" priority="294" dxfId="6424">
      <formula>$B3715="Subetapa"</formula>
    </cfRule>
  </conditionalFormatting>
  <conditionalFormatting sqref="I4023:J4028">
    <cfRule type="expression" priority="293" dxfId="6424">
      <formula>$B4023="Subetapa"</formula>
    </cfRule>
  </conditionalFormatting>
  <conditionalFormatting sqref="I4272:J4276">
    <cfRule type="expression" priority="452" dxfId="6424">
      <formula>$B4272="Subetapa"</formula>
    </cfRule>
  </conditionalFormatting>
  <conditionalFormatting sqref="I153:J213 I215:J217">
    <cfRule type="expression" priority="440" dxfId="6424">
      <formula>$B153="Subetapa"</formula>
    </cfRule>
  </conditionalFormatting>
  <conditionalFormatting sqref="I903:J907">
    <cfRule type="expression" priority="394" dxfId="6424">
      <formula>$B903="Subetapa"</formula>
    </cfRule>
  </conditionalFormatting>
  <conditionalFormatting sqref="I2212:J2261 I2267:J2268 I2274:J2275">
    <cfRule type="expression" priority="398" dxfId="6433">
      <formula>$B2212="Serviço"</formula>
    </cfRule>
    <cfRule type="expression" priority="397" dxfId="6434">
      <formula>$B2212="Subetapa"</formula>
    </cfRule>
  </conditionalFormatting>
  <conditionalFormatting sqref="I2817:J2831 I2835:J2842">
    <cfRule type="expression" priority="459" dxfId="6424">
      <formula>$B2817="Subetapa"</formula>
    </cfRule>
  </conditionalFormatting>
  <conditionalFormatting sqref="I2883:J2884">
    <cfRule type="expression" priority="347" dxfId="6433">
      <formula>$B2883="Serviço"</formula>
    </cfRule>
    <cfRule type="expression" priority="346" dxfId="6434">
      <formula>$B2883="Subetapa"</formula>
    </cfRule>
  </conditionalFormatting>
  <conditionalFormatting sqref="I2912:J2935">
    <cfRule type="expression" priority="543" dxfId="6424">
      <formula>$B2912="Subetapa"</formula>
    </cfRule>
  </conditionalFormatting>
  <conditionalFormatting sqref="I3821:J3850">
    <cfRule type="expression" priority="447" dxfId="6424">
      <formula>$B3821="Subetapa"</formula>
    </cfRule>
  </conditionalFormatting>
  <conditionalFormatting sqref="I4058:J4067">
    <cfRule type="expression" priority="484" dxfId="6424">
      <formula>$B4058="Subetapa"</formula>
    </cfRule>
  </conditionalFormatting>
  <conditionalFormatting sqref="I4573:J4585">
    <cfRule type="expression" priority="523" dxfId="6424">
      <formula>$B4573="Subetapa"</formula>
    </cfRule>
  </conditionalFormatting>
  <conditionalFormatting sqref="I4598:J4609">
    <cfRule type="expression" priority="297" dxfId="6424">
      <formula>$B4598="Subetapa"</formula>
    </cfRule>
  </conditionalFormatting>
  <conditionalFormatting sqref="I4725:J4790 I5013:J5019">
    <cfRule type="expression" priority="617" dxfId="6424">
      <formula>$B4725="Subetapa"</formula>
    </cfRule>
  </conditionalFormatting>
  <conditionalFormatting sqref="I661:J664">
    <cfRule type="expression" priority="378" dxfId="6433">
      <formula>$B661="Serviço"</formula>
    </cfRule>
    <cfRule type="expression" priority="377" dxfId="6434">
      <formula>$B661="Subetapa"</formula>
    </cfRule>
  </conditionalFormatting>
  <conditionalFormatting sqref="I960:J962 I964:J969">
    <cfRule type="expression" priority="493" dxfId="6424">
      <formula>$B960="Subetapa"</formula>
    </cfRule>
  </conditionalFormatting>
  <conditionalFormatting sqref="I2042:J2052">
    <cfRule type="expression" priority="304" dxfId="6424">
      <formula>$B2042="Subetapa"</formula>
    </cfRule>
  </conditionalFormatting>
  <conditionalFormatting sqref="I2937:J2956">
    <cfRule type="expression" priority="307" dxfId="6424">
      <formula>$B2937="Subetapa"</formula>
    </cfRule>
  </conditionalFormatting>
  <conditionalFormatting sqref="I1169:J1174">
    <cfRule type="expression" priority="305" dxfId="6424">
      <formula>$B1169="Subetapa"</formula>
    </cfRule>
  </conditionalFormatting>
  <conditionalFormatting sqref="I2120:J2125">
    <cfRule type="expression" priority="303" dxfId="6424">
      <formula>$B2120="Subetapa"</formula>
    </cfRule>
  </conditionalFormatting>
  <conditionalFormatting sqref="I2127:J2132">
    <cfRule type="expression" priority="302" dxfId="6424">
      <formula>$B2127="Subetapa"</formula>
    </cfRule>
  </conditionalFormatting>
  <conditionalFormatting sqref="I2134:J2143">
    <cfRule type="expression" priority="301" dxfId="6424">
      <formula>$B2134="Subetapa"</formula>
    </cfRule>
  </conditionalFormatting>
  <conditionalFormatting sqref="I2356:J2357">
    <cfRule type="expression" priority="300" dxfId="6424">
      <formula>$B2356="Subetapa"</formula>
    </cfRule>
  </conditionalFormatting>
  <conditionalFormatting sqref="I2692:J2718">
    <cfRule type="expression" priority="296" dxfId="6424">
      <formula>$B2692="Subetapa"</formula>
    </cfRule>
  </conditionalFormatting>
  <conditionalFormatting sqref="I2885:J2889 I2905:J2910">
    <cfRule type="expression" priority="295" dxfId="6424">
      <formula>$B2885="Subetapa"</formula>
    </cfRule>
  </conditionalFormatting>
  <conditionalFormatting sqref="I3023:J3046">
    <cfRule type="expression" priority="306" dxfId="6424">
      <formula>$B3023="Subetapa"</formula>
    </cfRule>
  </conditionalFormatting>
  <conditionalFormatting sqref="I3191:J3194">
    <cfRule type="expression" priority="299" dxfId="6424">
      <formula>$B3191="Subetapa"</formula>
    </cfRule>
  </conditionalFormatting>
  <conditionalFormatting sqref="I4701:J4702">
    <cfRule type="expression" priority="292" dxfId="6424">
      <formula>$B4701="Subetapa"</formula>
    </cfRule>
  </conditionalFormatting>
  <conditionalFormatting sqref="I3065:J3088">
    <cfRule type="expression" priority="310" dxfId="6424">
      <formula>$B3065="Subetapa"</formula>
    </cfRule>
  </conditionalFormatting>
  <conditionalFormatting sqref="I461:J463">
    <cfRule type="expression" priority="385" dxfId="6434">
      <formula>$B461="Subetapa"</formula>
    </cfRule>
    <cfRule type="expression" priority="386" dxfId="6433">
      <formula>$B461="Serviço"</formula>
    </cfRule>
  </conditionalFormatting>
  <conditionalFormatting sqref="I473:J476">
    <cfRule type="expression" priority="383" dxfId="6434">
      <formula>$B473="Subetapa"</formula>
    </cfRule>
    <cfRule type="expression" priority="384" dxfId="6433">
      <formula>$B473="Serviço"</formula>
    </cfRule>
  </conditionalFormatting>
  <conditionalFormatting sqref="I500:J501">
    <cfRule type="expression" priority="381" dxfId="6434">
      <formula>$B500="Subetapa"</formula>
    </cfRule>
    <cfRule type="expression" priority="382" dxfId="6433">
      <formula>$B500="Serviço"</formula>
    </cfRule>
  </conditionalFormatting>
  <conditionalFormatting sqref="I621:J639">
    <cfRule type="expression" priority="379" dxfId="6434">
      <formula>$B621="Subetapa"</formula>
    </cfRule>
    <cfRule type="expression" priority="380" dxfId="6433">
      <formula>$B621="Serviço"</formula>
    </cfRule>
  </conditionalFormatting>
  <conditionalFormatting sqref="I738:J741">
    <cfRule type="expression" priority="375" dxfId="6434">
      <formula>$B738="Subetapa"</formula>
    </cfRule>
    <cfRule type="expression" priority="376" dxfId="6433">
      <formula>$B738="Serviço"</formula>
    </cfRule>
  </conditionalFormatting>
  <conditionalFormatting sqref="I759:J762">
    <cfRule type="expression" priority="373" dxfId="6434">
      <formula>$B759="Subetapa"</formula>
    </cfRule>
    <cfRule type="expression" priority="374" dxfId="6433">
      <formula>$B759="Serviço"</formula>
    </cfRule>
  </conditionalFormatting>
  <conditionalFormatting sqref="I779:J786">
    <cfRule type="expression" priority="387" dxfId="6434">
      <formula>$B779="Subetapa"</formula>
    </cfRule>
    <cfRule type="expression" priority="388" dxfId="6433">
      <formula>$B779="Serviço"</formula>
    </cfRule>
  </conditionalFormatting>
  <conditionalFormatting sqref="I814:J834">
    <cfRule type="expression" priority="371" dxfId="6434">
      <formula>$B814="Subetapa"</formula>
    </cfRule>
    <cfRule type="expression" priority="372" dxfId="6433">
      <formula>$B814="Serviço"</formula>
    </cfRule>
  </conditionalFormatting>
  <conditionalFormatting sqref="I835:J838">
    <cfRule type="expression" priority="369" dxfId="6434">
      <formula>$B835="Subetapa"</formula>
    </cfRule>
    <cfRule type="expression" priority="370" dxfId="6433">
      <formula>$B835="Serviço"</formula>
    </cfRule>
  </conditionalFormatting>
  <conditionalFormatting sqref="I879:J884">
    <cfRule type="expression" priority="391" dxfId="6434">
      <formula>$B879="Subetapa"</formula>
    </cfRule>
  </conditionalFormatting>
  <conditionalFormatting sqref="I885:J896 I2470:J2524 I2607:J2611 I2719:J2730 I3139:J3142 I3189:J3190 I3195:J3206 I3227:J3228 I3231:J3234 I3247:J3250 I3290:J3309 I3485:J3549 I3556:J3560 I3851:J3857 I3980:J4021 I4098:J4109 I4114:J4121 I4139:J4150 I4163:J4165 I4208:J4210 I4217:J4234 I4264:J4267">
    <cfRule type="expression" priority="367" dxfId="6433">
      <formula>$B885="Serviço"</formula>
    </cfRule>
  </conditionalFormatting>
  <conditionalFormatting sqref="I885:J896">
    <cfRule type="expression" priority="366" dxfId="6434">
      <formula>$B885="Subetapa"</formula>
    </cfRule>
  </conditionalFormatting>
  <conditionalFormatting sqref="I879:J884 I918:J929">
    <cfRule type="expression" priority="390" dxfId="6433">
      <formula>$B879="Serviço"</formula>
    </cfRule>
  </conditionalFormatting>
  <conditionalFormatting sqref="I918:J929">
    <cfRule type="expression" priority="389" dxfId="6434">
      <formula>$B918="Subetapa"</formula>
    </cfRule>
  </conditionalFormatting>
  <conditionalFormatting sqref="I931:J942">
    <cfRule type="expression" priority="392" dxfId="6434">
      <formula>$B931="Subetapa"</formula>
    </cfRule>
    <cfRule type="expression" priority="393" dxfId="6433">
      <formula>$B931="Serviço"</formula>
    </cfRule>
  </conditionalFormatting>
  <conditionalFormatting sqref="I1175:J1185">
    <cfRule type="expression" priority="364" dxfId="6434">
      <formula>$B1175="Subetapa"</formula>
    </cfRule>
    <cfRule type="expression" priority="365" dxfId="6433">
      <formula>$B1175="Serviço"</formula>
    </cfRule>
  </conditionalFormatting>
  <conditionalFormatting sqref="I2470:J2524 I2607:J2611 I2719:J2730 I3139:J3142 I3189:J3190 I3195:J3206 I3227:J3228 I3231:J3234 I3247:J3250 I3290:J3309 I3485:J3549 I3556:J3560 I3851:J3857 I3980:J4021 I4098:J4109 I4114:J4121 I4139:J4150 I4163:J4165 I4208:J4210 I4217:J4234 I4264:J4267">
    <cfRule type="expression" priority="368" dxfId="6434">
      <formula>$B2470="Subetapa"</formula>
    </cfRule>
  </conditionalFormatting>
  <conditionalFormatting sqref="I2181:J2187">
    <cfRule type="expression" priority="633" dxfId="6424">
      <formula>$B2181="Subetapa"</formula>
    </cfRule>
  </conditionalFormatting>
  <conditionalFormatting sqref="I2189:J2202">
    <cfRule type="expression" priority="634" dxfId="6424">
      <formula>$B2189="Subetapa"</formula>
    </cfRule>
  </conditionalFormatting>
  <conditionalFormatting sqref="I2331:J2334">
    <cfRule type="expression" priority="560" dxfId="6424">
      <formula>$B2331="Subetapa"</formula>
    </cfRule>
  </conditionalFormatting>
  <conditionalFormatting sqref="I2335:J2337 I3561:J3565">
    <cfRule type="expression" priority="599" dxfId="6424">
      <formula>$B2335="Subetapa"</formula>
    </cfRule>
  </conditionalFormatting>
  <conditionalFormatting sqref="I2338:J2341">
    <cfRule type="expression" priority="362" dxfId="6434">
      <formula>$B2338="Subetapa"</formula>
    </cfRule>
    <cfRule type="expression" priority="363" dxfId="6433">
      <formula>$B2338="Serviço"</formula>
    </cfRule>
  </conditionalFormatting>
  <conditionalFormatting sqref="I2344:J2346 I2351:J2355">
    <cfRule type="expression" priority="562" dxfId="6424">
      <formula>$B2344="Subetapa"</formula>
    </cfRule>
  </conditionalFormatting>
  <conditionalFormatting sqref="I2347:J2348">
    <cfRule type="expression" priority="360" dxfId="6434">
      <formula>$B2347="Subetapa"</formula>
    </cfRule>
    <cfRule type="expression" priority="361" dxfId="6433">
      <formula>$B2347="Serviço"</formula>
    </cfRule>
  </conditionalFormatting>
  <conditionalFormatting sqref="I2349:J2350">
    <cfRule type="expression" priority="358" dxfId="6434">
      <formula>$B2349="Subetapa"</formula>
    </cfRule>
    <cfRule type="expression" priority="359" dxfId="6433">
      <formula>$B2349="Serviço"</formula>
    </cfRule>
  </conditionalFormatting>
  <conditionalFormatting sqref="I2359:J2367 I2369:J2373">
    <cfRule type="expression" priority="620" dxfId="6424">
      <formula>$B2359="Subetapa"</formula>
    </cfRule>
  </conditionalFormatting>
  <conditionalFormatting sqref="I2374:J2378">
    <cfRule type="expression" priority="356" dxfId="6434">
      <formula>$B2374="Subetapa"</formula>
    </cfRule>
    <cfRule type="expression" priority="357" dxfId="6433">
      <formula>$B2374="Serviço"</formula>
    </cfRule>
  </conditionalFormatting>
  <conditionalFormatting sqref="I2765:J2767">
    <cfRule type="expression" priority="352" dxfId="6434">
      <formula>$B2765="Subetapa"</formula>
    </cfRule>
    <cfRule type="expression" priority="353" dxfId="6433">
      <formula>$B2765="Serviço"</formula>
    </cfRule>
  </conditionalFormatting>
  <conditionalFormatting sqref="I2806:J2816">
    <cfRule type="expression" priority="350" dxfId="6434">
      <formula>$B2806="Subetapa"</formula>
    </cfRule>
    <cfRule type="expression" priority="351" dxfId="6433">
      <formula>$B2806="Serviço"</formula>
    </cfRule>
  </conditionalFormatting>
  <conditionalFormatting sqref="I3056:J3063">
    <cfRule type="expression" priority="344" dxfId="6434">
      <formula>$B3056="Subetapa"</formula>
    </cfRule>
    <cfRule type="expression" priority="345" dxfId="6433">
      <formula>$B3056="Serviço"</formula>
    </cfRule>
  </conditionalFormatting>
  <conditionalFormatting sqref="I3089:J3092 I3099:J3106">
    <cfRule type="expression" priority="635" dxfId="6424">
      <formula>$B3089="Subetapa"</formula>
    </cfRule>
  </conditionalFormatting>
  <conditionalFormatting sqref="I3097:J3098">
    <cfRule type="expression" priority="342" dxfId="6434">
      <formula>$B3097="Subetapa"</formula>
    </cfRule>
    <cfRule type="expression" priority="343" dxfId="6433">
      <formula>$B3097="Serviço"</formula>
    </cfRule>
  </conditionalFormatting>
  <conditionalFormatting sqref="I3129:J3136">
    <cfRule type="expression" priority="340" dxfId="6434">
      <formula>$B3129="Subetapa"</formula>
    </cfRule>
    <cfRule type="expression" priority="341" dxfId="6433">
      <formula>$B3129="Serviço"</formula>
    </cfRule>
  </conditionalFormatting>
  <conditionalFormatting sqref="I3350:J3379">
    <cfRule type="expression" priority="549" dxfId="6424">
      <formula>$B3350="Subetapa"</formula>
    </cfRule>
  </conditionalFormatting>
  <conditionalFormatting sqref="I3380:J3469">
    <cfRule type="expression" priority="551" dxfId="6424">
      <formula>$B3380="Subetapa"</formula>
    </cfRule>
  </conditionalFormatting>
  <conditionalFormatting sqref="I3577:J3588 I3618:J3622">
    <cfRule type="expression" priority="546" dxfId="6424">
      <formula>$B3577="Subetapa"</formula>
    </cfRule>
  </conditionalFormatting>
  <conditionalFormatting sqref="I3674:J3678">
    <cfRule type="expression" priority="338" dxfId="6434">
      <formula>$B3674="Subetapa"</formula>
    </cfRule>
    <cfRule type="expression" priority="339" dxfId="6433">
      <formula>$B3674="Serviço"</formula>
    </cfRule>
  </conditionalFormatting>
  <conditionalFormatting sqref="I3684:J3688">
    <cfRule type="expression" priority="336" dxfId="6434">
      <formula>$B3684="Subetapa"</formula>
    </cfRule>
    <cfRule type="expression" priority="337" dxfId="6433">
      <formula>$B3684="Serviço"</formula>
    </cfRule>
  </conditionalFormatting>
  <conditionalFormatting sqref="I3699:J3708">
    <cfRule type="expression" priority="334" dxfId="6434">
      <formula>$B3699="Subetapa"</formula>
    </cfRule>
    <cfRule type="expression" priority="335" dxfId="6433">
      <formula>$B3699="Serviço"</formula>
    </cfRule>
  </conditionalFormatting>
  <conditionalFormatting sqref="I3722:J3724">
    <cfRule type="expression" priority="332" dxfId="6434">
      <formula>$B3722="Subetapa"</formula>
    </cfRule>
    <cfRule type="expression" priority="333" dxfId="6433">
      <formula>$B3722="Serviço"</formula>
    </cfRule>
  </conditionalFormatting>
  <conditionalFormatting sqref="I3808:J3815">
    <cfRule type="expression" priority="330" dxfId="6434">
      <formula>$B3808="Subetapa"</formula>
    </cfRule>
    <cfRule type="expression" priority="331" dxfId="6433">
      <formula>$B3808="Serviço"</formula>
    </cfRule>
  </conditionalFormatting>
  <conditionalFormatting sqref="I3859:J3884">
    <cfRule type="expression" priority="409" dxfId="6424">
      <formula>$B3859="Subetapa"</formula>
    </cfRule>
  </conditionalFormatting>
  <conditionalFormatting sqref="I3890:J3891">
    <cfRule type="expression" priority="411" dxfId="6424">
      <formula>$B3890="Subetapa"</formula>
    </cfRule>
  </conditionalFormatting>
  <conditionalFormatting sqref="I3891:J3892">
    <cfRule type="expression" priority="410" dxfId="6424">
      <formula>$B3891="Subetapa"</formula>
    </cfRule>
  </conditionalFormatting>
  <conditionalFormatting sqref="I3901:J3902">
    <cfRule type="expression" priority="413" dxfId="6424">
      <formula>$B3901="Subetapa"</formula>
    </cfRule>
  </conditionalFormatting>
  <conditionalFormatting sqref="I3902:J3903">
    <cfRule type="expression" priority="412" dxfId="6424">
      <formula>$B3902="Subetapa"</formula>
    </cfRule>
  </conditionalFormatting>
  <conditionalFormatting sqref="I3912:J3913">
    <cfRule type="expression" priority="415" dxfId="6424">
      <formula>$B3912="Subetapa"</formula>
    </cfRule>
  </conditionalFormatting>
  <conditionalFormatting sqref="I3913:J3914">
    <cfRule type="expression" priority="414" dxfId="6424">
      <formula>$B3913="Subetapa"</formula>
    </cfRule>
  </conditionalFormatting>
  <conditionalFormatting sqref="I3923:J3924">
    <cfRule type="expression" priority="417" dxfId="6424">
      <formula>$B3923="Subetapa"</formula>
    </cfRule>
  </conditionalFormatting>
  <conditionalFormatting sqref="I3924:J3925">
    <cfRule type="expression" priority="416" dxfId="6424">
      <formula>$B3924="Subetapa"</formula>
    </cfRule>
  </conditionalFormatting>
  <conditionalFormatting sqref="I3933:J3934">
    <cfRule type="expression" priority="420" dxfId="6424">
      <formula>$B3933="Subetapa"</formula>
    </cfRule>
  </conditionalFormatting>
  <conditionalFormatting sqref="I3934:J3935">
    <cfRule type="expression" priority="419" dxfId="6424">
      <formula>$B3934="Subetapa"</formula>
    </cfRule>
  </conditionalFormatting>
  <conditionalFormatting sqref="I3935:J3936">
    <cfRule type="expression" priority="418" dxfId="6424">
      <formula>$B3935="Subetapa"</formula>
    </cfRule>
  </conditionalFormatting>
  <conditionalFormatting sqref="I3939:J3941">
    <cfRule type="expression" priority="636" dxfId="6424">
      <formula>$B3939="Subetapa"</formula>
    </cfRule>
  </conditionalFormatting>
  <conditionalFormatting sqref="I3953:J3954">
    <cfRule type="expression" priority="407" dxfId="6424">
      <formula>$B3953="Subetapa"</formula>
    </cfRule>
  </conditionalFormatting>
  <conditionalFormatting sqref="I3954:J3955">
    <cfRule type="expression" priority="406" dxfId="6424">
      <formula>$B3954="Subetapa"</formula>
    </cfRule>
  </conditionalFormatting>
  <conditionalFormatting sqref="I4041:J4043 I4051:J4056">
    <cfRule type="expression" priority="328" dxfId="6434">
      <formula>$B4041="Subetapa"</formula>
    </cfRule>
    <cfRule type="expression" priority="329" dxfId="6433">
      <formula>$B4041="Serviço"</formula>
    </cfRule>
  </conditionalFormatting>
  <conditionalFormatting sqref="I4068:J4077">
    <cfRule type="expression" priority="525" dxfId="6424">
      <formula>$B4068="Subetapa"</formula>
    </cfRule>
  </conditionalFormatting>
  <conditionalFormatting sqref="I4122:J4124">
    <cfRule type="expression" priority="324" dxfId="6434">
      <formula>$B4122="Subetapa"</formula>
    </cfRule>
    <cfRule type="expression" priority="325" dxfId="6433">
      <formula>$B4122="Serviço"</formula>
    </cfRule>
  </conditionalFormatting>
  <conditionalFormatting sqref="I4125:J4132">
    <cfRule type="expression" priority="537" dxfId="6424">
      <formula>$B4125="Subetapa"</formula>
    </cfRule>
  </conditionalFormatting>
  <conditionalFormatting sqref="I4152:J4155">
    <cfRule type="expression" priority="637" dxfId="6424">
      <formula>$B4152="Subetapa"</formula>
    </cfRule>
  </conditionalFormatting>
  <conditionalFormatting sqref="I4156:J4161">
    <cfRule type="expression" priority="322" dxfId="6434">
      <formula>$B4156="Subetapa"</formula>
    </cfRule>
    <cfRule type="expression" priority="323" dxfId="6433">
      <formula>$B4156="Serviço"</formula>
    </cfRule>
  </conditionalFormatting>
  <conditionalFormatting sqref="I4187:J4201">
    <cfRule type="expression" priority="621" dxfId="6424">
      <formula>$B4187="Subetapa"</formula>
    </cfRule>
  </conditionalFormatting>
  <conditionalFormatting sqref="I4245:J4248">
    <cfRule type="expression" priority="320" dxfId="6434">
      <formula>$B4245="Subetapa"</formula>
    </cfRule>
    <cfRule type="expression" priority="321" dxfId="6433">
      <formula>$B4245="Serviço"</formula>
    </cfRule>
  </conditionalFormatting>
  <conditionalFormatting sqref="I4279:J4282">
    <cfRule type="expression" priority="513" dxfId="6424">
      <formula>$B4279="Subetapa"</formula>
    </cfRule>
  </conditionalFormatting>
  <conditionalFormatting sqref="I4328:J4333">
    <cfRule type="expression" priority="629" dxfId="6424">
      <formula>$B4328="Subetapa"</formula>
    </cfRule>
  </conditionalFormatting>
  <conditionalFormatting sqref="I4334:J4370">
    <cfRule type="expression" priority="519" dxfId="6424">
      <formula>$B4334="Subetapa"</formula>
    </cfRule>
  </conditionalFormatting>
  <conditionalFormatting sqref="I4434:J4436">
    <cfRule type="expression" priority="638" dxfId="6424">
      <formula>$B4434="Subetapa"</formula>
    </cfRule>
  </conditionalFormatting>
  <conditionalFormatting sqref="I4459:J4460">
    <cfRule type="expression" priority="630" dxfId="6424">
      <formula>$B4459="Subetapa"</formula>
    </cfRule>
  </conditionalFormatting>
  <conditionalFormatting sqref="I4791:J4800 I4811:J4830">
    <cfRule type="expression" priority="640" dxfId="6424">
      <formula>$B4791="Subetapa"</formula>
    </cfRule>
  </conditionalFormatting>
  <conditionalFormatting sqref="I4801:J4810">
    <cfRule type="expression" priority="314" dxfId="6433">
      <formula>$B4801="Serviço"</formula>
    </cfRule>
    <cfRule type="expression" priority="315" dxfId="6434">
      <formula>$B4801="Subetapa"</formula>
    </cfRule>
  </conditionalFormatting>
  <conditionalFormatting sqref="I4832:J4834">
    <cfRule type="expression" priority="641" dxfId="6424">
      <formula>$B4832="Subetapa"</formula>
    </cfRule>
  </conditionalFormatting>
  <conditionalFormatting sqref="I4918:J4922">
    <cfRule type="expression" priority="312" dxfId="6433">
      <formula>$B4918="Serviço"</formula>
    </cfRule>
    <cfRule type="expression" priority="313" dxfId="6434">
      <formula>$B4918="Subetapa"</formula>
    </cfRule>
  </conditionalFormatting>
  <conditionalFormatting sqref="I4976:J4983">
    <cfRule type="expression" priority="326" dxfId="6434">
      <formula>$B4976="Subetapa"</formula>
    </cfRule>
    <cfRule type="expression" priority="327" dxfId="6433">
      <formula>$B4976="Serviço"</formula>
    </cfRule>
  </conditionalFormatting>
  <conditionalFormatting sqref="I345:J360 I370:J383 I385:J460">
    <cfRule type="expression" priority="479" dxfId="6424">
      <formula>$B345="Subetapa"</formula>
    </cfRule>
  </conditionalFormatting>
  <conditionalFormatting sqref="I1186:J1197">
    <cfRule type="expression" priority="311" dxfId="6424">
      <formula>$B1186="Subetapa"</formula>
    </cfRule>
  </conditionalFormatting>
  <conditionalFormatting sqref="I2053:J2119">
    <cfRule type="expression" priority="468" dxfId="6424">
      <formula>$B2053="Subetapa"</formula>
    </cfRule>
  </conditionalFormatting>
  <conditionalFormatting sqref="I2755:J2756">
    <cfRule type="expression" priority="460" dxfId="6424">
      <formula>$B2755="Subetapa"</formula>
    </cfRule>
  </conditionalFormatting>
  <conditionalFormatting sqref="I2770:J2771">
    <cfRule type="expression" priority="405" dxfId="6424">
      <formula>$B2770="Subetapa"</formula>
    </cfRule>
  </conditionalFormatting>
  <conditionalFormatting sqref="I3048:J3055">
    <cfRule type="expression" priority="309" dxfId="6424">
      <formula>$B3048="Subetapa"</formula>
    </cfRule>
  </conditionalFormatting>
  <conditionalFormatting sqref="I3623:J3673">
    <cfRule type="expression" priority="455" dxfId="6424">
      <formula>$B3623="Subetapa"</formula>
    </cfRule>
  </conditionalFormatting>
  <conditionalFormatting sqref="I3679:J3683">
    <cfRule type="expression" priority="308" dxfId="6424">
      <formula>$B3679="Subetapa"</formula>
    </cfRule>
  </conditionalFormatting>
  <conditionalFormatting sqref="I3885:J3889">
    <cfRule type="expression" priority="434" dxfId="6424">
      <formula>$B3885="Subetapa"</formula>
    </cfRule>
  </conditionalFormatting>
  <conditionalFormatting sqref="I3894:J3900">
    <cfRule type="expression" priority="431" dxfId="6424">
      <formula>$B3894="Subetapa"</formula>
    </cfRule>
  </conditionalFormatting>
  <conditionalFormatting sqref="I3905:J3911">
    <cfRule type="expression" priority="428" dxfId="6424">
      <formula>$B3905="Subetapa"</formula>
    </cfRule>
  </conditionalFormatting>
  <conditionalFormatting sqref="I3916:J3922">
    <cfRule type="expression" priority="425" dxfId="6424">
      <formula>$B3916="Subetapa"</formula>
    </cfRule>
  </conditionalFormatting>
  <conditionalFormatting sqref="I3927:J3932 I3937:J3947">
    <cfRule type="expression" priority="424" dxfId="6424">
      <formula>$B3927="Subetapa"</formula>
    </cfRule>
  </conditionalFormatting>
  <conditionalFormatting sqref="I3948:J3952">
    <cfRule type="expression" priority="421" dxfId="6424">
      <formula>$B3948="Subetapa"</formula>
    </cfRule>
  </conditionalFormatting>
  <conditionalFormatting sqref="I3956:J3959 I3962:J3979">
    <cfRule type="expression" priority="408" dxfId="6424">
      <formula>$B3956="Subetapa"</formula>
    </cfRule>
  </conditionalFormatting>
  <conditionalFormatting sqref="I4283:J4301 I4304:J4321">
    <cfRule type="expression" priority="444" dxfId="6424">
      <formula>$B4283="Subetapa"</formula>
    </cfRule>
  </conditionalFormatting>
  <conditionalFormatting sqref="I4703:J4720">
    <cfRule type="expression" priority="481" dxfId="6424">
      <formula>$B4703="Subetapa"</formula>
    </cfRule>
  </conditionalFormatting>
  <conditionalFormatting sqref="I4721:J4724">
    <cfRule type="expression" priority="445" dxfId="6424">
      <formula>$B4721="Subetapa"</formula>
    </cfRule>
  </conditionalFormatting>
  <conditionalFormatting sqref="I4835:J4836 I4840:J4842 I4971:J4974 I4992:J4997 I5009:J5010">
    <cfRule type="expression" priority="487" dxfId="6424">
      <formula>$B4835="Subetapa"</formula>
    </cfRule>
  </conditionalFormatting>
  <conditionalFormatting sqref="I4941:J4957">
    <cfRule type="expression" priority="485" dxfId="6424">
      <formula>$B4941="Subetapa"</formula>
    </cfRule>
  </conditionalFormatting>
  <conditionalFormatting sqref="I4974:J4975 I4984:J4991">
    <cfRule type="expression" priority="505" dxfId="6424">
      <formula>$B4974="Subetapa"</formula>
    </cfRule>
  </conditionalFormatting>
  <conditionalFormatting sqref="I3108:J3128 I3137:J3138">
    <cfRule type="expression" priority="499" dxfId="6424">
      <formula>$B3108="Subetapa"</formula>
    </cfRule>
  </conditionalFormatting>
  <conditionalFormatting sqref="I4460:J4503">
    <cfRule type="expression" priority="446" dxfId="6424">
      <formula>$B4460="Subetapa"</formula>
    </cfRule>
  </conditionalFormatting>
  <conditionalFormatting sqref="I2675:J2681">
    <cfRule type="expression" priority="288" dxfId="6424">
      <formula>$B2675="Subetapa"</formula>
    </cfRule>
  </conditionalFormatting>
  <conditionalFormatting sqref="I2832:J2834">
    <cfRule type="expression" priority="286" dxfId="6424">
      <formula>$B2832="Subetapa"</formula>
    </cfRule>
  </conditionalFormatting>
  <conditionalFormatting sqref="I2895:J2904">
    <cfRule type="expression" priority="283" dxfId="6433">
      <formula>$B2895="Serviço"</formula>
    </cfRule>
    <cfRule type="expression" priority="282" dxfId="6434">
      <formula>$B2895="Subetapa"</formula>
    </cfRule>
  </conditionalFormatting>
  <conditionalFormatting sqref="I2890:J2894">
    <cfRule type="expression" priority="284" dxfId="6434">
      <formula>$B2890="Subetapa"</formula>
    </cfRule>
    <cfRule type="expression" priority="285" dxfId="6433">
      <formula>$B2890="Serviço"</formula>
    </cfRule>
  </conditionalFormatting>
  <conditionalFormatting sqref="I3093:J3096">
    <cfRule type="expression" priority="281" dxfId="6424">
      <formula>$B3093="Subetapa"</formula>
    </cfRule>
  </conditionalFormatting>
  <conditionalFormatting sqref="I3275:J3284">
    <cfRule type="expression" priority="274" dxfId="6433">
      <formula>$B3275="Serviço"</formula>
    </cfRule>
    <cfRule type="expression" priority="273" dxfId="6434">
      <formula>$B3275="Subetapa"</formula>
    </cfRule>
  </conditionalFormatting>
  <conditionalFormatting sqref="I3265:J3269">
    <cfRule type="expression" priority="278" dxfId="6424">
      <formula>$B3265="Subetapa"</formula>
    </cfRule>
  </conditionalFormatting>
  <conditionalFormatting sqref="I3270:J3274">
    <cfRule type="expression" priority="275" dxfId="6434">
      <formula>$B3270="Subetapa"</formula>
    </cfRule>
    <cfRule type="expression" priority="276" dxfId="6433">
      <formula>$B3270="Serviço"</formula>
    </cfRule>
  </conditionalFormatting>
  <conditionalFormatting sqref="I3589:J3613">
    <cfRule type="expression" priority="271" dxfId="6424">
      <formula>$B3589="Subetapa"</formula>
    </cfRule>
  </conditionalFormatting>
  <conditionalFormatting sqref="I3614:J3617">
    <cfRule type="expression" priority="269" dxfId="6424">
      <formula>$B3614="Subetapa"</formula>
    </cfRule>
  </conditionalFormatting>
  <conditionalFormatting sqref="I3960:J3961">
    <cfRule type="expression" priority="265" dxfId="6424">
      <formula>$B3960="Subetapa"</formula>
    </cfRule>
  </conditionalFormatting>
  <conditionalFormatting sqref="I4031:J4040">
    <cfRule type="expression" priority="263" dxfId="6424">
      <formula>$B4031="Subetapa"</formula>
    </cfRule>
  </conditionalFormatting>
  <conditionalFormatting sqref="I4029:J4030">
    <cfRule type="expression" priority="261" dxfId="6424">
      <formula>$B4029="Subetapa"</formula>
    </cfRule>
  </conditionalFormatting>
  <conditionalFormatting sqref="I4049:J4050">
    <cfRule type="expression" priority="259" dxfId="6424">
      <formula>$B4049="Subetapa"</formula>
    </cfRule>
  </conditionalFormatting>
  <conditionalFormatting sqref="I4044:J4048">
    <cfRule type="expression" priority="257" dxfId="6424">
      <formula>$B4044="Subetapa"</formula>
    </cfRule>
  </conditionalFormatting>
  <conditionalFormatting sqref="I4302:J4303">
    <cfRule type="expression" priority="255" dxfId="6434">
      <formula>$B4302="Subetapa"</formula>
    </cfRule>
    <cfRule type="expression" priority="256" dxfId="6433">
      <formula>$B4302="Serviço"</formula>
    </cfRule>
  </conditionalFormatting>
  <conditionalFormatting sqref="I4592:J4597">
    <cfRule type="expression" priority="253" dxfId="6424">
      <formula>$B4592="Subetapa"</formula>
    </cfRule>
  </conditionalFormatting>
  <conditionalFormatting sqref="I361:J364">
    <cfRule type="expression" priority="238" dxfId="6424">
      <formula>$B361="Subetapa"</formula>
    </cfRule>
  </conditionalFormatting>
  <conditionalFormatting sqref="I1110:J1119 I1122:J1134 I1137:J1138 I1155:J1163">
    <cfRule type="expression" priority="233" dxfId="6433">
      <formula>$B1110="Serviço"</formula>
    </cfRule>
    <cfRule type="expression" priority="234" dxfId="6434">
      <formula>$B1110="Subetapa"</formula>
    </cfRule>
  </conditionalFormatting>
  <conditionalFormatting sqref="I1020:J1028 I1031:J1041 I1044:J1054 I1057:J1067 I1070:J1080 I1083:J1093 I1096:J1107">
    <cfRule type="expression" priority="231" dxfId="6433">
      <formula>$B1020="Serviço"</formula>
    </cfRule>
    <cfRule type="expression" priority="232" dxfId="6434">
      <formula>$B1020="Subetapa"</formula>
    </cfRule>
  </conditionalFormatting>
  <conditionalFormatting sqref="I1081:J1082">
    <cfRule type="expression" priority="229" dxfId="6434">
      <formula>$B1081="Subetapa"</formula>
    </cfRule>
    <cfRule type="expression" priority="230" dxfId="6433">
      <formula>$B1081="Serviço"</formula>
    </cfRule>
  </conditionalFormatting>
  <conditionalFormatting sqref="I1029:J1030">
    <cfRule type="expression" priority="227" dxfId="6434">
      <formula>$B1029="Subetapa"</formula>
    </cfRule>
    <cfRule type="expression" priority="228" dxfId="6433">
      <formula>$B1029="Serviço"</formula>
    </cfRule>
  </conditionalFormatting>
  <conditionalFormatting sqref="I1042:J1043">
    <cfRule type="expression" priority="225" dxfId="6434">
      <formula>$B1042="Subetapa"</formula>
    </cfRule>
    <cfRule type="expression" priority="226" dxfId="6433">
      <formula>$B1042="Serviço"</formula>
    </cfRule>
  </conditionalFormatting>
  <conditionalFormatting sqref="I1055:J1056">
    <cfRule type="expression" priority="223" dxfId="6434">
      <formula>$B1055="Subetapa"</formula>
    </cfRule>
    <cfRule type="expression" priority="224" dxfId="6433">
      <formula>$B1055="Serviço"</formula>
    </cfRule>
  </conditionalFormatting>
  <conditionalFormatting sqref="I1094:J1095">
    <cfRule type="expression" priority="221" dxfId="6434">
      <formula>$B1094="Subetapa"</formula>
    </cfRule>
    <cfRule type="expression" priority="222" dxfId="6433">
      <formula>$B1094="Serviço"</formula>
    </cfRule>
  </conditionalFormatting>
  <conditionalFormatting sqref="I1108:J1109">
    <cfRule type="expression" priority="219" dxfId="6434">
      <formula>$B1108="Subetapa"</formula>
    </cfRule>
    <cfRule type="expression" priority="220" dxfId="6433">
      <formula>$B1108="Serviço"</formula>
    </cfRule>
  </conditionalFormatting>
  <conditionalFormatting sqref="I1068:J1069">
    <cfRule type="expression" priority="217" dxfId="6434">
      <formula>$B1068="Subetapa"</formula>
    </cfRule>
    <cfRule type="expression" priority="218" dxfId="6433">
      <formula>$B1068="Serviço"</formula>
    </cfRule>
  </conditionalFormatting>
  <conditionalFormatting sqref="I1120:J1121">
    <cfRule type="expression" priority="215" dxfId="6434">
      <formula>$B1120="Subetapa"</formula>
    </cfRule>
    <cfRule type="expression" priority="216" dxfId="6433">
      <formula>$B1120="Serviço"</formula>
    </cfRule>
  </conditionalFormatting>
  <conditionalFormatting sqref="I1149:J1150">
    <cfRule type="expression" priority="213" dxfId="6434">
      <formula>$B1149="Subetapa"</formula>
    </cfRule>
    <cfRule type="expression" priority="214" dxfId="6433">
      <formula>$B1149="Serviço"</formula>
    </cfRule>
  </conditionalFormatting>
  <conditionalFormatting sqref="I1164:J1165">
    <cfRule type="expression" priority="211" dxfId="6434">
      <formula>$B1164="Subetapa"</formula>
    </cfRule>
    <cfRule type="expression" priority="212" dxfId="6433">
      <formula>$B1164="Serviço"</formula>
    </cfRule>
  </conditionalFormatting>
  <conditionalFormatting sqref="I1135:J1136">
    <cfRule type="expression" priority="209" dxfId="6434">
      <formula>$B1135="Subetapa"</formula>
    </cfRule>
    <cfRule type="expression" priority="210" dxfId="6433">
      <formula>$B1135="Serviço"</formula>
    </cfRule>
  </conditionalFormatting>
  <conditionalFormatting sqref="E3876:E3882">
    <cfRule type="expression" priority="208" dxfId="6424">
      <formula>$B3876="Subetapa"</formula>
    </cfRule>
  </conditionalFormatting>
  <conditionalFormatting sqref="B2244:B2259">
    <cfRule type="expression" priority="204" dxfId="6434">
      <formula>$B2244="Subetapa"</formula>
    </cfRule>
  </conditionalFormatting>
  <conditionalFormatting sqref="D2244:F2244 D2245:D2246 D2247:F2247 D2248:D2249 D2250:F2250 D2251:D2252 D2253:F2253 D2254:D2255 D2256:F2256 D2257:D2259 F2245:F2246 F2248:F2249 F2251:F2252 F2254:F2255 F2257:F2259">
    <cfRule type="expression" priority="205" dxfId="6433">
      <formula>$B2244="Serviço"</formula>
    </cfRule>
    <cfRule type="expression" priority="206" dxfId="6434">
      <formula>$B2244="Subetapa"</formula>
    </cfRule>
  </conditionalFormatting>
  <conditionalFormatting sqref="G2244">
    <cfRule type="expression" priority="202" dxfId="6434">
      <formula>$B2244="Subetapa"</formula>
    </cfRule>
    <cfRule type="expression" priority="203" dxfId="6433">
      <formula>$B2244="Serviço"</formula>
    </cfRule>
  </conditionalFormatting>
  <conditionalFormatting sqref="A2244:A2259">
    <cfRule type="expression" priority="201" dxfId="6434">
      <formula>$B2244="Subetapa"</formula>
    </cfRule>
  </conditionalFormatting>
  <conditionalFormatting sqref="G2253">
    <cfRule type="expression" priority="199" dxfId="6434">
      <formula>$B2253="Subetapa"</formula>
    </cfRule>
    <cfRule type="expression" priority="200" dxfId="6433">
      <formula>$B2253="Serviço"</formula>
    </cfRule>
  </conditionalFormatting>
  <conditionalFormatting sqref="B2260:B2261 B2267:B2268 B2274:B2275">
    <cfRule type="expression" priority="198" dxfId="6434">
      <formula>$B2260="Subetapa"</formula>
    </cfRule>
  </conditionalFormatting>
  <conditionalFormatting sqref="D2264:F2264 D2265 D2267:D2268 D2269:F2269 D2270 D2274:D2275 F2265 F2267:F2268 F2270 F2274:F2275">
    <cfRule type="expression" priority="196" dxfId="6433">
      <formula>$B2264="Serviço"</formula>
    </cfRule>
    <cfRule type="expression" priority="197" dxfId="6434">
      <formula>$B2264="Subetapa"</formula>
    </cfRule>
  </conditionalFormatting>
  <conditionalFormatting sqref="G2264">
    <cfRule type="expression" priority="195" dxfId="6433">
      <formula>$B2264="Serviço"</formula>
    </cfRule>
    <cfRule type="expression" priority="194" dxfId="6434">
      <formula>$B2264="Subetapa"</formula>
    </cfRule>
  </conditionalFormatting>
  <conditionalFormatting sqref="A2260:A2261 A2267:A2268 A2274:A2275">
    <cfRule type="expression" priority="193" dxfId="6434">
      <formula>$B2260="Subetapa"</formula>
    </cfRule>
  </conditionalFormatting>
  <conditionalFormatting sqref="B2266 D2266 F2266">
    <cfRule type="expression" priority="190" dxfId="6424">
      <formula>$B2266="Subetapa"</formula>
    </cfRule>
  </conditionalFormatting>
  <conditionalFormatting sqref="K2266">
    <cfRule type="expression" priority="187" dxfId="6424">
      <formula>$B2266="Subetapa"</formula>
    </cfRule>
  </conditionalFormatting>
  <conditionalFormatting sqref="I2266:K2266">
    <cfRule type="expression" priority="184" dxfId="6424">
      <formula>$B2266="Subetapa"</formula>
    </cfRule>
  </conditionalFormatting>
  <conditionalFormatting sqref="A2266">
    <cfRule type="expression" priority="183" dxfId="6424">
      <formula>$B2266="Subetapa"</formula>
    </cfRule>
  </conditionalFormatting>
  <conditionalFormatting sqref="I2266:J2266">
    <cfRule type="expression" priority="181" dxfId="6424">
      <formula>$B2266="Subetapa"</formula>
    </cfRule>
  </conditionalFormatting>
  <conditionalFormatting sqref="G2256">
    <cfRule type="expression" priority="178" dxfId="6434">
      <formula>$B2256="Subetapa"</formula>
    </cfRule>
    <cfRule type="expression" priority="179" dxfId="6433">
      <formula>$B2256="Serviço"</formula>
    </cfRule>
  </conditionalFormatting>
  <conditionalFormatting sqref="G2247">
    <cfRule type="expression" priority="176" dxfId="6434">
      <formula>$B2247="Subetapa"</formula>
    </cfRule>
    <cfRule type="expression" priority="177" dxfId="6433">
      <formula>$B2247="Serviço"</formula>
    </cfRule>
  </conditionalFormatting>
  <conditionalFormatting sqref="D2260:F2260 D2261 F2261">
    <cfRule type="expression" priority="174" dxfId="6433">
      <formula>$B2260="Serviço"</formula>
    </cfRule>
    <cfRule type="expression" priority="175" dxfId="6434">
      <formula>$B2260="Subetapa"</formula>
    </cfRule>
  </conditionalFormatting>
  <conditionalFormatting sqref="G2260">
    <cfRule type="expression" priority="173" dxfId="6433">
      <formula>$B2260="Serviço"</formula>
    </cfRule>
    <cfRule type="expression" priority="172" dxfId="6434">
      <formula>$B2260="Subetapa"</formula>
    </cfRule>
  </conditionalFormatting>
  <conditionalFormatting sqref="B2262 D2262 F2262">
    <cfRule type="expression" priority="169" dxfId="6424">
      <formula>$B2262="Subetapa"</formula>
    </cfRule>
  </conditionalFormatting>
  <conditionalFormatting sqref="K2262">
    <cfRule type="expression" priority="166" dxfId="6424">
      <formula>$B2262="Subetapa"</formula>
    </cfRule>
  </conditionalFormatting>
  <conditionalFormatting sqref="I2262:K2262">
    <cfRule type="expression" priority="163" dxfId="6424">
      <formula>$B2262="Subetapa"</formula>
    </cfRule>
  </conditionalFormatting>
  <conditionalFormatting sqref="A2262">
    <cfRule type="expression" priority="162" dxfId="6424">
      <formula>$B2262="Subetapa"</formula>
    </cfRule>
  </conditionalFormatting>
  <conditionalFormatting sqref="I2262:J2262">
    <cfRule type="expression" priority="160" dxfId="6424">
      <formula>$B2262="Subetapa"</formula>
    </cfRule>
  </conditionalFormatting>
  <conditionalFormatting sqref="G2269">
    <cfRule type="expression" priority="158" dxfId="6433">
      <formula>$B2269="Serviço"</formula>
    </cfRule>
    <cfRule type="expression" priority="157" dxfId="6434">
      <formula>$B2269="Subetapa"</formula>
    </cfRule>
  </conditionalFormatting>
  <conditionalFormatting sqref="B2273 D2273 F2273">
    <cfRule type="expression" priority="154" dxfId="6424">
      <formula>$B2273="Subetapa"</formula>
    </cfRule>
  </conditionalFormatting>
  <conditionalFormatting sqref="K2273">
    <cfRule type="expression" priority="151" dxfId="6424">
      <formula>$B2273="Subetapa"</formula>
    </cfRule>
  </conditionalFormatting>
  <conditionalFormatting sqref="I2273:K2273">
    <cfRule type="expression" priority="148" dxfId="6424">
      <formula>$B2273="Subetapa"</formula>
    </cfRule>
  </conditionalFormatting>
  <conditionalFormatting sqref="A2273">
    <cfRule type="expression" priority="147" dxfId="6424">
      <formula>$B2273="Subetapa"</formula>
    </cfRule>
  </conditionalFormatting>
  <conditionalFormatting sqref="I2273:J2273">
    <cfRule type="expression" priority="145" dxfId="6424">
      <formula>$B2273="Subetapa"</formula>
    </cfRule>
  </conditionalFormatting>
  <conditionalFormatting sqref="B2271">
    <cfRule type="expression" priority="141" dxfId="6424">
      <formula>$B2271="Subetapa"</formula>
    </cfRule>
  </conditionalFormatting>
  <conditionalFormatting sqref="D2271 F2271">
    <cfRule type="expression" priority="143" dxfId="6424">
      <formula>$B2271="Subetapa"</formula>
    </cfRule>
  </conditionalFormatting>
  <conditionalFormatting sqref="K2271">
    <cfRule type="expression" priority="139" dxfId="6424">
      <formula>$B2271="Subetapa"</formula>
    </cfRule>
  </conditionalFormatting>
  <conditionalFormatting sqref="A2271">
    <cfRule type="expression" priority="137" dxfId="6424">
      <formula>$B2271="Subetapa"</formula>
    </cfRule>
  </conditionalFormatting>
  <conditionalFormatting sqref="I2271:J2271">
    <cfRule type="expression" priority="135" dxfId="6424">
      <formula>$B2271="Subetapa"</formula>
    </cfRule>
  </conditionalFormatting>
  <conditionalFormatting sqref="B2272">
    <cfRule type="expression" priority="133" dxfId="6433">
      <formula>$B2272="Serviço"</formula>
    </cfRule>
    <cfRule type="expression" priority="125" dxfId="6434">
      <formula>$B2272="Subetapa"</formula>
    </cfRule>
  </conditionalFormatting>
  <conditionalFormatting sqref="K2272">
    <cfRule type="expression" priority="132" dxfId="6433">
      <formula>$B2272="Serviço"</formula>
    </cfRule>
    <cfRule type="expression" priority="131" dxfId="6434">
      <formula>$B2272="Subetapa"</formula>
    </cfRule>
  </conditionalFormatting>
  <conditionalFormatting sqref="A2272">
    <cfRule type="expression" priority="130" dxfId="6433">
      <formula>$B2272="Serviço"</formula>
    </cfRule>
    <cfRule type="expression" priority="124" dxfId="6434">
      <formula>$B2272="Subetapa"</formula>
    </cfRule>
  </conditionalFormatting>
  <conditionalFormatting sqref="I2272:J2272">
    <cfRule type="expression" priority="129" dxfId="6433">
      <formula>$B2272="Serviço"</formula>
    </cfRule>
    <cfRule type="expression" priority="128" dxfId="6434">
      <formula>$B2272="Subetapa"</formula>
    </cfRule>
  </conditionalFormatting>
  <conditionalFormatting sqref="D2272 F2272">
    <cfRule type="expression" priority="126" dxfId="6433">
      <formula>$B2272="Serviço"</formula>
    </cfRule>
    <cfRule type="expression" priority="127" dxfId="6434">
      <formula>$B2272="Subetapa"</formula>
    </cfRule>
  </conditionalFormatting>
  <conditionalFormatting sqref="G2250">
    <cfRule type="expression" priority="122" dxfId="6434">
      <formula>$B2250="Subetapa"</formula>
    </cfRule>
    <cfRule type="expression" priority="123" dxfId="6433">
      <formula>$B2250="Serviço"</formula>
    </cfRule>
  </conditionalFormatting>
  <conditionalFormatting sqref="E2685:F2685 F2687">
    <cfRule type="expression" priority="118" dxfId="6434">
      <formula>$B2685="Subetapa"</formula>
    </cfRule>
    <cfRule type="expression" priority="119" dxfId="6433">
      <formula>$B2685="Serviço"</formula>
    </cfRule>
  </conditionalFormatting>
  <conditionalFormatting sqref="G2685:H2685">
    <cfRule type="expression" priority="116" dxfId="6434">
      <formula>$B2685="Subetapa"</formula>
    </cfRule>
    <cfRule type="expression" priority="117" dxfId="6433">
      <formula>$B2685="Serviço"</formula>
    </cfRule>
  </conditionalFormatting>
  <conditionalFormatting sqref="I2686:K2686">
    <cfRule type="expression" priority="113" dxfId="6424">
      <formula>$B2686="Subetapa"</formula>
    </cfRule>
  </conditionalFormatting>
  <conditionalFormatting sqref="A2686">
    <cfRule type="expression" priority="111" dxfId="6424">
      <formula>$B2686="Subetapa"</formula>
    </cfRule>
  </conditionalFormatting>
  <conditionalFormatting sqref="G4586:H4586">
    <cfRule type="expression" priority="110" dxfId="6424">
      <formula>$B4586="Subetapa"</formula>
    </cfRule>
  </conditionalFormatting>
  <conditionalFormatting sqref="C4591:D4591">
    <cfRule type="expression" priority="108" dxfId="6433">
      <formula>$B4591="Serviço"</formula>
    </cfRule>
    <cfRule type="expression" priority="109" dxfId="6434">
      <formula>$B4591="Subetapa"</formula>
    </cfRule>
  </conditionalFormatting>
  <conditionalFormatting sqref="I4586:J4591">
    <cfRule type="expression" priority="107" dxfId="6424">
      <formula>$B4586="Subetapa"</formula>
    </cfRule>
  </conditionalFormatting>
  <conditionalFormatting sqref="B4452:B4453">
    <cfRule type="expression" priority="106" dxfId="6424">
      <formula>$B4452="Subetapa"</formula>
    </cfRule>
  </conditionalFormatting>
  <conditionalFormatting sqref="K4452:K4453">
    <cfRule type="expression" priority="105" dxfId="6424">
      <formula>$B4452="Subetapa"</formula>
    </cfRule>
  </conditionalFormatting>
  <conditionalFormatting sqref="A4452:A4453">
    <cfRule type="expression" priority="104" dxfId="6424">
      <formula>$B4452="Subetapa"</formula>
    </cfRule>
  </conditionalFormatting>
  <conditionalFormatting sqref="E4452:F4452">
    <cfRule type="expression" priority="103" dxfId="6424">
      <formula>$B4452="Subetapa"</formula>
    </cfRule>
  </conditionalFormatting>
  <conditionalFormatting sqref="G4452:H4452">
    <cfRule type="expression" priority="102" dxfId="6424">
      <formula>$B4452="Subetapa"</formula>
    </cfRule>
  </conditionalFormatting>
  <conditionalFormatting sqref="D4452:D4453">
    <cfRule type="expression" priority="100" dxfId="6424">
      <formula>$B4452="Subetapa"</formula>
    </cfRule>
  </conditionalFormatting>
  <conditionalFormatting sqref="D4453">
    <cfRule type="expression" priority="101" dxfId="6424">
      <formula>$B4453="Subetapa"</formula>
    </cfRule>
  </conditionalFormatting>
  <conditionalFormatting sqref="F4453">
    <cfRule type="expression" priority="99" dxfId="6424">
      <formula>$B4453="Subetapa"</formula>
    </cfRule>
  </conditionalFormatting>
  <conditionalFormatting sqref="C4452 C4455">
    <cfRule type="expression" priority="98" dxfId="6424">
      <formula>$B4452="Subetapa"</formula>
    </cfRule>
  </conditionalFormatting>
  <conditionalFormatting sqref="I4452:J4453">
    <cfRule type="expression" priority="97" dxfId="6424">
      <formula>$B4452="Subetapa"</formula>
    </cfRule>
  </conditionalFormatting>
  <conditionalFormatting sqref="B4454">
    <cfRule type="expression" priority="96" dxfId="6424">
      <formula>$B4454="Subetapa"</formula>
    </cfRule>
    <cfRule type="expression" priority="95" dxfId="6424">
      <formula>$B4454="Subetapa"</formula>
    </cfRule>
  </conditionalFormatting>
  <conditionalFormatting sqref="A4454">
    <cfRule type="expression" priority="94" dxfId="6424">
      <formula>$B4454="Subetapa"</formula>
    </cfRule>
    <cfRule type="expression" priority="93" dxfId="6424">
      <formula>$B4454="Subetapa"</formula>
    </cfRule>
  </conditionalFormatting>
  <conditionalFormatting sqref="I4454:J4454">
    <cfRule type="expression" priority="92" dxfId="6424">
      <formula>$B4454="Subetapa"</formula>
    </cfRule>
  </conditionalFormatting>
  <conditionalFormatting sqref="C4453:C4454">
    <cfRule type="expression" priority="91" dxfId="6424">
      <formula>$B4453="Subetapa"</formula>
    </cfRule>
  </conditionalFormatting>
  <conditionalFormatting sqref="C4456:C4457">
    <cfRule type="expression" priority="90" dxfId="6424">
      <formula>$B4456="Subetapa"</formula>
    </cfRule>
  </conditionalFormatting>
  <conditionalFormatting sqref="D4659 F4659">
    <cfRule type="expression" priority="88" dxfId="6424">
      <formula>$B4659="Subetapa"</formula>
    </cfRule>
  </conditionalFormatting>
  <conditionalFormatting sqref="G4659:H4659">
    <cfRule type="expression" priority="89" dxfId="6424">
      <formula>$B4659="Subetapa"</formula>
    </cfRule>
  </conditionalFormatting>
  <conditionalFormatting sqref="D4662:D4663">
    <cfRule type="expression" priority="87" dxfId="6424">
      <formula>$B4662="Subetapa"</formula>
    </cfRule>
  </conditionalFormatting>
  <conditionalFormatting sqref="D4661">
    <cfRule type="expression" priority="86" dxfId="6424">
      <formula>$B4661="Subetapa"</formula>
    </cfRule>
  </conditionalFormatting>
  <conditionalFormatting sqref="G4383:H4383">
    <cfRule type="expression" priority="83" dxfId="6434">
      <formula>$B4383="Subetapa"</formula>
    </cfRule>
    <cfRule type="expression" priority="84" dxfId="6433">
      <formula>$B4383="Serviço"</formula>
    </cfRule>
  </conditionalFormatting>
  <conditionalFormatting sqref="D4384">
    <cfRule type="expression" priority="82" dxfId="6424">
      <formula>$B4384="Subetapa"</formula>
    </cfRule>
  </conditionalFormatting>
  <conditionalFormatting sqref="B4646:C4650 D4646:F4646 D4648:D4650 F4647:F4650">
    <cfRule type="expression" priority="79" dxfId="6434">
      <formula>$B4646="Subetapa"</formula>
    </cfRule>
    <cfRule type="expression" priority="80" dxfId="6433">
      <formula>$B4646="Serviço"</formula>
    </cfRule>
  </conditionalFormatting>
  <conditionalFormatting sqref="E4647:E4650">
    <cfRule type="expression" priority="81" dxfId="6424">
      <formula>$B4647="Subetapa"</formula>
    </cfRule>
  </conditionalFormatting>
  <conditionalFormatting sqref="K4646:K4650">
    <cfRule type="expression" priority="77" dxfId="6434">
      <formula>$B4646="Subetapa"</formula>
    </cfRule>
    <cfRule type="expression" priority="78" dxfId="6433">
      <formula>$B4646="Serviço"</formula>
    </cfRule>
  </conditionalFormatting>
  <conditionalFormatting sqref="A4646:A4650">
    <cfRule type="expression" priority="75" dxfId="6434">
      <formula>$B4646="Subetapa"</formula>
    </cfRule>
    <cfRule type="expression" priority="76" dxfId="6433">
      <formula>$B4646="Serviço"</formula>
    </cfRule>
  </conditionalFormatting>
  <conditionalFormatting sqref="I4646:J4650">
    <cfRule type="expression" priority="73" dxfId="6434">
      <formula>$B4646="Subetapa"</formula>
    </cfRule>
    <cfRule type="expression" priority="74" dxfId="6433">
      <formula>$B4646="Serviço"</formula>
    </cfRule>
  </conditionalFormatting>
  <conditionalFormatting sqref="G4646:H4646">
    <cfRule type="expression" priority="71" dxfId="6434">
      <formula>$B4646="Subetapa"</formula>
    </cfRule>
    <cfRule type="expression" priority="72" dxfId="6433">
      <formula>$B4646="Serviço"</formula>
    </cfRule>
  </conditionalFormatting>
  <conditionalFormatting sqref="E4659">
    <cfRule type="expression" priority="68" dxfId="6434">
      <formula>$B4659="Subetapa"</formula>
    </cfRule>
    <cfRule type="expression" priority="69" dxfId="6433">
      <formula>$B4659="Serviço"</formula>
    </cfRule>
  </conditionalFormatting>
  <conditionalFormatting sqref="D4654 F4654">
    <cfRule type="expression" priority="60" dxfId="6424">
      <formula>$B4654="Subetapa"</formula>
    </cfRule>
  </conditionalFormatting>
  <conditionalFormatting sqref="G4654:H4654">
    <cfRule type="expression" priority="61" dxfId="6424">
      <formula>$B4654="Subetapa"</formula>
    </cfRule>
  </conditionalFormatting>
  <conditionalFormatting sqref="D4657">
    <cfRule type="expression" priority="59" dxfId="6424">
      <formula>$B4657="Subetapa"</formula>
    </cfRule>
  </conditionalFormatting>
  <conditionalFormatting sqref="D4656">
    <cfRule type="expression" priority="58" dxfId="6424">
      <formula>$B4656="Subetapa"</formula>
    </cfRule>
  </conditionalFormatting>
  <conditionalFormatting sqref="E4654">
    <cfRule type="expression" priority="56" dxfId="6434">
      <formula>$B4654="Subetapa"</formula>
    </cfRule>
    <cfRule type="expression" priority="57" dxfId="6433">
      <formula>$B4654="Serviço"</formula>
    </cfRule>
  </conditionalFormatting>
  <conditionalFormatting sqref="D4658">
    <cfRule type="expression" priority="55" dxfId="6424">
      <formula>$B4658="Subetapa"</formula>
    </cfRule>
  </conditionalFormatting>
  <conditionalFormatting sqref="B4638:C4642 D4638:F4638 D4640:D4642 F4639:F4642">
    <cfRule type="expression" priority="40" dxfId="6434">
      <formula>$B4638="Subetapa"</formula>
    </cfRule>
    <cfRule type="expression" priority="41" dxfId="6433">
      <formula>$B4638="Serviço"</formula>
    </cfRule>
  </conditionalFormatting>
  <conditionalFormatting sqref="E4639:E4642">
    <cfRule type="expression" priority="42" dxfId="6424">
      <formula>$B4639="Subetapa"</formula>
    </cfRule>
  </conditionalFormatting>
  <conditionalFormatting sqref="K4638:K4642">
    <cfRule type="expression" priority="38" dxfId="6434">
      <formula>$B4638="Subetapa"</formula>
    </cfRule>
    <cfRule type="expression" priority="39" dxfId="6433">
      <formula>$B4638="Serviço"</formula>
    </cfRule>
  </conditionalFormatting>
  <conditionalFormatting sqref="A4638:A4642">
    <cfRule type="expression" priority="36" dxfId="6434">
      <formula>$B4638="Subetapa"</formula>
    </cfRule>
    <cfRule type="expression" priority="37" dxfId="6433">
      <formula>$B4638="Serviço"</formula>
    </cfRule>
  </conditionalFormatting>
  <conditionalFormatting sqref="I4638:J4642">
    <cfRule type="expression" priority="34" dxfId="6434">
      <formula>$B4638="Subetapa"</formula>
    </cfRule>
    <cfRule type="expression" priority="35" dxfId="6433">
      <formula>$B4638="Serviço"</formula>
    </cfRule>
  </conditionalFormatting>
  <conditionalFormatting sqref="G4638:H4638">
    <cfRule type="expression" priority="32" dxfId="6434">
      <formula>$B4638="Subetapa"</formula>
    </cfRule>
    <cfRule type="expression" priority="33" dxfId="6433">
      <formula>$B4638="Serviço"</formula>
    </cfRule>
  </conditionalFormatting>
  <conditionalFormatting sqref="D4639">
    <cfRule type="expression" priority="31" dxfId="6424">
      <formula>$B4639="Subetapa"</formula>
    </cfRule>
  </conditionalFormatting>
  <conditionalFormatting sqref="D4647">
    <cfRule type="expression" priority="30" dxfId="6424">
      <formula>$B4647="Subetapa"</formula>
    </cfRule>
  </conditionalFormatting>
  <conditionalFormatting sqref="G4378:H4378">
    <cfRule type="expression" priority="28" dxfId="6434">
      <formula>$B4378="Subetapa"</formula>
    </cfRule>
    <cfRule type="expression" priority="29" dxfId="6433">
      <formula>$B4378="Serviço"</formula>
    </cfRule>
  </conditionalFormatting>
  <conditionalFormatting sqref="D4379">
    <cfRule type="expression" priority="27" dxfId="6424">
      <formula>$B4379="Subetapa"</formula>
    </cfRule>
  </conditionalFormatting>
  <conditionalFormatting sqref="E556:E558">
    <cfRule type="expression" priority="26" dxfId="6424">
      <formula>$B556="Subetapa"</formula>
    </cfRule>
  </conditionalFormatting>
  <conditionalFormatting sqref="E560:E562">
    <cfRule type="expression" priority="25" dxfId="6424">
      <formula>$B560="Subetapa"</formula>
    </cfRule>
  </conditionalFormatting>
  <conditionalFormatting sqref="B315:D315">
    <cfRule type="expression" priority="24" dxfId="6424">
      <formula>$B315="Subetapa"</formula>
    </cfRule>
  </conditionalFormatting>
  <conditionalFormatting sqref="D313:D314 F313:F315">
    <cfRule type="expression" priority="23" dxfId="6424">
      <formula>$B313="Subetapa"</formula>
    </cfRule>
  </conditionalFormatting>
  <conditionalFormatting sqref="G312:H312">
    <cfRule type="expression" priority="22" dxfId="6424">
      <formula>$B312="Subetapa"</formula>
    </cfRule>
  </conditionalFormatting>
  <conditionalFormatting sqref="A315">
    <cfRule type="expression" priority="21" dxfId="6424">
      <formula>$B315="Subetapa"</formula>
    </cfRule>
  </conditionalFormatting>
  <conditionalFormatting sqref="C313:C314">
    <cfRule type="expression" priority="20" dxfId="6424">
      <formula>$B313="Subetapa"</formula>
    </cfRule>
  </conditionalFormatting>
  <conditionalFormatting sqref="B316:C319 D316:F316 D317:D319 F317:F319">
    <cfRule type="expression" priority="19" dxfId="6424">
      <formula>$B316="Subetapa"</formula>
    </cfRule>
  </conditionalFormatting>
  <conditionalFormatting sqref="G316:H316">
    <cfRule type="expression" priority="18" dxfId="6424">
      <formula>$B316="Subetapa"</formula>
    </cfRule>
  </conditionalFormatting>
  <conditionalFormatting sqref="A316:A319">
    <cfRule type="expression" priority="17" dxfId="6424">
      <formula>$B316="Subetapa"</formula>
    </cfRule>
  </conditionalFormatting>
  <conditionalFormatting sqref="C2347:C2348">
    <cfRule type="expression" priority="14" dxfId="6433">
      <formula>$B2347="Serviço"</formula>
    </cfRule>
    <cfRule type="expression" priority="15" dxfId="6434">
      <formula>$B2347="Subetapa"</formula>
    </cfRule>
  </conditionalFormatting>
  <conditionalFormatting sqref="C2349:C2350">
    <cfRule type="expression" priority="12" dxfId="6433">
      <formula>$B2349="Serviço"</formula>
    </cfRule>
    <cfRule type="expression" priority="13" dxfId="6434">
      <formula>$B2349="Subetapa"</formula>
    </cfRule>
  </conditionalFormatting>
  <conditionalFormatting sqref="C2356:C2357">
    <cfRule type="expression" priority="16" dxfId="6424">
      <formula>$B2356="Subetapa"</formula>
    </cfRule>
  </conditionalFormatting>
  <conditionalFormatting sqref="D2958">
    <cfRule type="expression" priority="11" dxfId="6424">
      <formula>$B2958="Subetapa"</formula>
    </cfRule>
  </conditionalFormatting>
  <conditionalFormatting sqref="F2778">
    <cfRule type="expression" priority="10" dxfId="6424">
      <formula>$B2778="Subetapa"</formula>
    </cfRule>
  </conditionalFormatting>
  <conditionalFormatting sqref="F2784">
    <cfRule type="expression" priority="9" dxfId="6424">
      <formula>$B2784="Subetapa"</formula>
    </cfRule>
  </conditionalFormatting>
  <conditionalFormatting sqref="F2795">
    <cfRule type="expression" priority="7" dxfId="6424">
      <formula>$B2795="Subetapa"</formula>
    </cfRule>
  </conditionalFormatting>
  <conditionalFormatting sqref="F2797">
    <cfRule type="expression" priority="6" dxfId="6424">
      <formula>$B2797="Subetapa"</formula>
    </cfRule>
  </conditionalFormatting>
  <conditionalFormatting sqref="F2799">
    <cfRule type="expression" priority="5" dxfId="6424">
      <formula>$B2799="Subetapa"</formula>
    </cfRule>
  </conditionalFormatting>
  <conditionalFormatting sqref="F2801">
    <cfRule type="expression" priority="4" dxfId="6424">
      <formula>$B2801="Subetapa"</formula>
    </cfRule>
  </conditionalFormatting>
  <conditionalFormatting sqref="F2803">
    <cfRule type="expression" priority="3" dxfId="6424">
      <formula>$B2803="Subetapa"</formula>
    </cfRule>
  </conditionalFormatting>
  <conditionalFormatting sqref="F2805">
    <cfRule type="expression" priority="2" dxfId="6424">
      <formula>$B2805="Subetapa"</formula>
    </cfRule>
  </conditionalFormatting>
  <conditionalFormatting sqref="F2793">
    <cfRule type="expression" priority="1" dxfId="6424">
      <formula>$B2793="Subetapa"</formula>
    </cfRule>
  </conditionalFormatting>
  <dataValidations count="2">
    <dataValidation sqref="B2:C2 B3:B270 B275:B286 B299:B460 B464:B472 B477:B499 B502:B620 B640:B660 B665:B737 B742:B758 B763:B778 B787:B813 B839:B878 B897:B917 B930 B943:B1019 B1168:B1174 B1186:B1197 B1386:B2211 B2262 B2266 B2271 B2273 B2276:B2337 B2342:B2346 B2351:B2373 B2389:B2469 B2525:B2672 B2675:B2681 B2683 B2686 B2689 B2691:B2718 B2731:B2764 B2768:B2805 B2817:B2821 B2832:B2834 B2841:B2882 B2885:B2889 B2905:B3055 B3064:B3096 B3099:B3128 B3137:B3138 B3143:B3176 B3191:B3194 B3207:B3242 B3247:B3269 B3285:B3484 B3550:B3673 B3679:B3683 B3689:B3698 B3709:B3721 B3725:B3807 B3816:B3850 B3858:B3979 B4022:B4040 B4044:B4050 B4057:B4097 B4110:B4113 B4125:B4138 B4151:B4155 B4162:B4216 B4235:B4244 B4249:B4301 B4304:B4372 B4403:B4494 B4573:B4637 B4643:B4645 B4651:B4685 B4700:B4800 B4811:B4917 B4923:B4975 B4984:B5027" showDropDown="0" showInputMessage="0" showErrorMessage="1" allowBlank="1" type="list">
      <formula1>"Unidade Construtiva,Célula Construtiva,Etapa,Subetapa,Serviço,Insumo,Complemento do Insumo"</formula1>
    </dataValidation>
    <dataValidation sqref="B271:B274 B287:B298 B461:B463 B473:B476 B500:B501 B621:B639 B661:B664 B738:B741 B759:B762 B779:B786 B814:B838 B879:B896 B918:B929 B931:B942 B1020:B1167 B1175:B1185 B1198:B1385 B2212:B2261 B2263:B2265 B2267:B2270 B2272 B2274:B2275 B2338:B2341 B2347:B2350 B2374:B2388 B2470:B2524 B2607:B2611 B2673:B2674 B2682 B2684:B2685 B2687:B2688 B2690 B2719:B2730 B2765:B2767 B2806:B2816 B2822:B2831 B2835:B2840 B2883:B2884 B2890:B2904 B3056:B3063 B3097:B3098 B3129:B3136 B3139:B3142 B3177:B3190 B3195:B3206 B3227:B3228 B3231:B3234 B3243:B3250 B3270:B3284 B3290:B3309 B3485:B3549 B3556:B3560 B3674:B3678 B3684:B3688 B3699:B3708 B3722:B3724 B3808:B3815 B3851:B3857 B3980:B4021 B4041:B4043 B4051:B4056 B4098:B4109 B4114:B4124 B4139:B4150 B4156:B4161 B4163:B4165 B4208:B4210 B4217:B4234 B4245:B4248 B4264:B4267 B4302:B4303 B4373:B4402 B4495:B4572 B4638:B4642 B4646:B4650 B4686:B4699 B4801:B4810 B4918:B4922 B4976:B4983" showDropDown="0" showInputMessage="1" showErrorMessage="1" allowBlank="1" type="list">
      <formula1>"Unidade Construtiva,Célula Construtiva,Etapa,Subetapa,Serviço,Insumo,Complemento do Insumo"</formula1>
    </dataValidation>
  </dataValidations>
  <pageMargins left="0.511811024" right="0.511811024" top="0.787401575" bottom="0.787401575" header="0" footer="0"/>
  <pageSetup orientation="portrait" paperSize="9"/>
  <legacyDrawing xmlns:r="http://schemas.openxmlformats.org/officeDocument/2006/relationships" r:id="anysvml"/>
</worksheet>
</file>

<file path=xl/worksheets/sheet12.xml><?xml version="1.0" encoding="utf-8"?>
<worksheet xmlns="http://schemas.openxmlformats.org/spreadsheetml/2006/main">
  <sheetPr codeName="Planilha10">
    <tabColor rgb="FFFFFF00"/>
    <outlinePr summaryBelow="0"/>
    <pageSetUpPr/>
  </sheetPr>
  <dimension ref="A1:I996"/>
  <sheetViews>
    <sheetView showGridLines="0" workbookViewId="0">
      <pane ySplit="1" topLeftCell="A2" activePane="bottomLeft" state="frozen"/>
      <selection activeCell="D3300" sqref="D3300"/>
      <selection pane="bottomLeft" activeCell="E837" sqref="E837"/>
    </sheetView>
  </sheetViews>
  <sheetFormatPr baseColWidth="8" defaultColWidth="12.5703125" defaultRowHeight="15" customHeight="1"/>
  <cols>
    <col width="9.85546875" customWidth="1" min="1" max="1"/>
    <col width="91.42578125" customWidth="1" min="2" max="2"/>
    <col width="9.140625" customWidth="1" min="3" max="3"/>
    <col hidden="1" width="17.7109375" customWidth="1" min="4" max="4"/>
    <col width="15.140625" customWidth="1" min="5" max="5"/>
    <col width="12.42578125" customWidth="1" min="6" max="7"/>
    <col width="31.42578125" customWidth="1" min="8" max="8"/>
    <col width="9.140625" customWidth="1" min="9" max="9"/>
    <col width="8.5703125" customWidth="1" min="10" max="26"/>
  </cols>
  <sheetData>
    <row r="1">
      <c r="A1" s="5" t="inlineStr">
        <is>
          <t>Repetição</t>
        </is>
      </c>
      <c r="B1" s="5" t="inlineStr">
        <is>
          <t>Descrição</t>
        </is>
      </c>
      <c r="C1" s="5" t="inlineStr">
        <is>
          <t>Und</t>
        </is>
      </c>
      <c r="D1" s="2174" t="n">
        <v>1</v>
      </c>
      <c r="E1" s="2175" t="inlineStr">
        <is>
          <t>Custo Unitário</t>
        </is>
      </c>
      <c r="F1" s="2175" t="inlineStr">
        <is>
          <t>Grupo insumo</t>
        </is>
      </c>
      <c r="G1" s="2175" t="inlineStr">
        <is>
          <t>Sub Grupo</t>
        </is>
      </c>
      <c r="H1" s="2175" t="inlineStr">
        <is>
          <t>Observações</t>
        </is>
      </c>
      <c r="I1" s="4" t="inlineStr">
        <is>
          <t>Grupo Sienge</t>
        </is>
      </c>
    </row>
    <row r="2">
      <c r="A2" s="10">
        <f>COUNTIFS($B$2:$B$996,B2)</f>
        <v/>
      </c>
      <c r="B2" s="10" t="inlineStr">
        <is>
          <t xml:space="preserve">Arame Galvanizado </t>
        </is>
      </c>
      <c r="C2" s="11" t="inlineStr">
        <is>
          <t>KG</t>
        </is>
      </c>
      <c r="D2" s="2162">
        <f>E2*$D$1</f>
        <v/>
      </c>
      <c r="E2" s="2162" t="n">
        <v>13.69</v>
      </c>
      <c r="F2" s="2162" t="inlineStr">
        <is>
          <t>Aço</t>
        </is>
      </c>
      <c r="G2" s="2162" t="inlineStr">
        <is>
          <t>Arame</t>
        </is>
      </c>
      <c r="H2" s="2162" t="n"/>
      <c r="I2" s="4" t="inlineStr">
        <is>
          <t>Armadura</t>
        </is>
      </c>
    </row>
    <row r="3">
      <c r="A3" s="10">
        <f>COUNTIFS($B$2:$B$996,B3)</f>
        <v/>
      </c>
      <c r="B3" s="10" t="inlineStr">
        <is>
          <t xml:space="preserve">Arame Recozido BWG 18 </t>
        </is>
      </c>
      <c r="C3" s="11" t="inlineStr">
        <is>
          <t>KG</t>
        </is>
      </c>
      <c r="D3" s="2162">
        <f>E3*$D$1</f>
        <v/>
      </c>
      <c r="E3" s="2162" t="n">
        <v>13.73</v>
      </c>
      <c r="F3" s="2162" t="inlineStr">
        <is>
          <t>Aço</t>
        </is>
      </c>
      <c r="G3" s="2162" t="inlineStr">
        <is>
          <t>Arame</t>
        </is>
      </c>
      <c r="H3" s="2162" t="inlineStr">
        <is>
          <t>Custo Incorrido</t>
        </is>
      </c>
      <c r="I3" s="4" t="inlineStr">
        <is>
          <t>Armadura</t>
        </is>
      </c>
    </row>
    <row r="4" ht="14.25" customHeight="1">
      <c r="A4" s="10">
        <f>COUNTIFS($B$2:$B$996,B4)</f>
        <v/>
      </c>
      <c r="B4" s="82" t="inlineStr">
        <is>
          <t>Barras de transferencia lisa 12,5mm 50 cm</t>
        </is>
      </c>
      <c r="C4" s="83" t="inlineStr">
        <is>
          <t>pc</t>
        </is>
      </c>
      <c r="D4" s="2165">
        <f>E4*$D$1</f>
        <v/>
      </c>
      <c r="E4" s="2165" t="n">
        <v>3.82</v>
      </c>
      <c r="F4" s="2165" t="inlineStr">
        <is>
          <t>Aço</t>
        </is>
      </c>
      <c r="G4" s="2165" t="inlineStr">
        <is>
          <t>Barra de Aço CA50 / CA60</t>
        </is>
      </c>
      <c r="H4" s="2165" t="n"/>
      <c r="I4" s="85" t="inlineStr">
        <is>
          <t>Armadura</t>
        </is>
      </c>
    </row>
    <row r="5" ht="14.25" customHeight="1">
      <c r="A5" s="10">
        <f>COUNTIFS($B$2:$B$996,B5)</f>
        <v/>
      </c>
      <c r="B5" s="82" t="inlineStr">
        <is>
          <t>Monocordoalha engraxada CP - 190 RB (12,7mm)</t>
        </is>
      </c>
      <c r="C5" s="83" t="inlineStr">
        <is>
          <t>KG</t>
        </is>
      </c>
      <c r="D5" s="2165">
        <f>E5*$D$1</f>
        <v/>
      </c>
      <c r="E5" s="2165" t="n">
        <v>15.5</v>
      </c>
      <c r="F5" s="2165" t="inlineStr">
        <is>
          <t>Aço</t>
        </is>
      </c>
      <c r="G5" s="2165" t="inlineStr">
        <is>
          <t>Barra de Aço CA50 / CA60</t>
        </is>
      </c>
      <c r="H5" s="2165" t="n"/>
      <c r="I5" s="85" t="inlineStr">
        <is>
          <t>Armadura</t>
        </is>
      </c>
    </row>
    <row r="6">
      <c r="A6" s="10">
        <f>COUNTIFS($B$2:$B$996,B6)</f>
        <v/>
      </c>
      <c r="B6" s="10" t="inlineStr">
        <is>
          <t>Armação aço Média para estaca (Corte e Dobra em Obra)</t>
        </is>
      </c>
      <c r="C6" s="11" t="inlineStr">
        <is>
          <t>KG</t>
        </is>
      </c>
      <c r="D6" s="2162">
        <f>E6*$D$1</f>
        <v/>
      </c>
      <c r="E6" s="2162" t="n">
        <v>7.68733850129199</v>
      </c>
      <c r="F6" s="2162" t="inlineStr">
        <is>
          <t>Aço</t>
        </is>
      </c>
      <c r="G6" s="2162" t="inlineStr">
        <is>
          <t>Barra de Aço CA50 / CA60</t>
        </is>
      </c>
      <c r="H6" s="2162" t="n"/>
      <c r="I6" s="4" t="inlineStr">
        <is>
          <t>Armadura</t>
        </is>
      </c>
    </row>
    <row r="7">
      <c r="A7" s="10">
        <f>COUNTIFS($B$2:$B$996,B7)</f>
        <v/>
      </c>
      <c r="B7" s="10" t="inlineStr">
        <is>
          <t>Armação aço Média para estaca (Corte e Dobra em Indústria)</t>
        </is>
      </c>
      <c r="C7" s="11" t="inlineStr">
        <is>
          <t>KG</t>
        </is>
      </c>
      <c r="D7" s="2162">
        <f>E7*$D$1</f>
        <v/>
      </c>
      <c r="E7" s="2162" t="n">
        <v>8.287338501291989</v>
      </c>
      <c r="F7" s="2162" t="inlineStr">
        <is>
          <t>Aço</t>
        </is>
      </c>
      <c r="G7" s="2162" t="inlineStr">
        <is>
          <t>Barra de Aço CA50 / CA60</t>
        </is>
      </c>
      <c r="H7" s="2162" t="n"/>
      <c r="I7" s="4" t="inlineStr">
        <is>
          <t>Armadura</t>
        </is>
      </c>
    </row>
    <row r="8">
      <c r="A8" s="10">
        <f>COUNTIFS($B$2:$B$996,B8)</f>
        <v/>
      </c>
      <c r="B8" s="10" t="inlineStr">
        <is>
          <t>CORTE E DOBRA ARMADO ESTACA Ø50CM 5F 16,0 4MTS ESP75 PS20</t>
        </is>
      </c>
      <c r="C8" s="11" t="inlineStr">
        <is>
          <t>KG</t>
        </is>
      </c>
      <c r="D8" s="2162">
        <f>E8*$D$1</f>
        <v/>
      </c>
      <c r="E8" s="2162" t="n">
        <v>302.922</v>
      </c>
      <c r="F8" s="2162" t="inlineStr">
        <is>
          <t>Aço</t>
        </is>
      </c>
      <c r="G8" s="2162" t="inlineStr">
        <is>
          <t>Barra de Aço CA50 / CA60</t>
        </is>
      </c>
      <c r="H8" s="2162" t="n"/>
      <c r="I8" s="4" t="inlineStr">
        <is>
          <t>Armadura</t>
        </is>
      </c>
    </row>
    <row r="9">
      <c r="A9" s="10">
        <f>COUNTIFS($B$2:$B$996,B9)</f>
        <v/>
      </c>
      <c r="B9" s="10" t="inlineStr">
        <is>
          <t>CORTE E DOBRA ARMADO ESTACA Ø60CM 5F 20,0 4MTS ESP75 PS20</t>
        </is>
      </c>
      <c r="C9" s="11" t="inlineStr">
        <is>
          <t>KG</t>
        </is>
      </c>
      <c r="D9" s="2162">
        <f>E9*$D$1</f>
        <v/>
      </c>
      <c r="E9" s="2162" t="n">
        <v>466.337</v>
      </c>
      <c r="F9" s="2162" t="inlineStr">
        <is>
          <t>Aço</t>
        </is>
      </c>
      <c r="G9" s="2162" t="inlineStr">
        <is>
          <t>Barra de Aço CA50 / CA60</t>
        </is>
      </c>
      <c r="H9" s="2162" t="n"/>
      <c r="I9" s="4" t="inlineStr">
        <is>
          <t>Armadura</t>
        </is>
      </c>
    </row>
    <row r="10">
      <c r="A10" s="10">
        <f>COUNTIFS($B$2:$B$996,B10)</f>
        <v/>
      </c>
      <c r="B10" s="10" t="inlineStr">
        <is>
          <t>CORTE E DOBRA ARMADO ESTACA Ø60CM 7F 20,0 6MTS ESP75 PS20</t>
        </is>
      </c>
      <c r="C10" s="11" t="inlineStr">
        <is>
          <t>KG</t>
        </is>
      </c>
      <c r="D10" s="2162">
        <f>E10*$D$1</f>
        <v/>
      </c>
      <c r="E10" s="2162" t="n">
        <v>937.639</v>
      </c>
      <c r="F10" s="2162" t="inlineStr">
        <is>
          <t>Aço</t>
        </is>
      </c>
      <c r="G10" s="2162" t="inlineStr">
        <is>
          <t>Barra de Aço CA50 / CA60</t>
        </is>
      </c>
      <c r="H10" s="2162" t="n"/>
      <c r="I10" s="4" t="inlineStr">
        <is>
          <t>Armadura</t>
        </is>
      </c>
    </row>
    <row r="11">
      <c r="A11" s="10">
        <f>COUNTIFS($B$2:$B$996,B11)</f>
        <v/>
      </c>
      <c r="B11" s="10" t="inlineStr">
        <is>
          <t>CORTE E DOBRA ARMADO ESTACA Ø60CM 9F 20,0 8MTS ESP75 PS20</t>
        </is>
      </c>
      <c r="C11" s="11" t="inlineStr">
        <is>
          <t>KG</t>
        </is>
      </c>
      <c r="D11" s="2162">
        <f>E11*$D$1</f>
        <v/>
      </c>
      <c r="E11" s="2162" t="n">
        <v>1609.666</v>
      </c>
      <c r="F11" s="2162" t="inlineStr">
        <is>
          <t>Aço</t>
        </is>
      </c>
      <c r="G11" s="2162" t="inlineStr">
        <is>
          <t>Barra de Aço CA50 / CA60</t>
        </is>
      </c>
      <c r="H11" s="2162" t="n"/>
      <c r="I11" s="4" t="inlineStr">
        <is>
          <t>Armadura</t>
        </is>
      </c>
    </row>
    <row r="12">
      <c r="A12" s="10">
        <f>COUNTIFS($B$2:$B$996,B12)</f>
        <v/>
      </c>
      <c r="B12" s="10" t="inlineStr">
        <is>
          <t>Aço CA50 10,0 mm</t>
        </is>
      </c>
      <c r="C12" s="11" t="inlineStr">
        <is>
          <t>KG</t>
        </is>
      </c>
      <c r="D12" s="2162">
        <f>E12*$D$1</f>
        <v/>
      </c>
      <c r="E12" s="2176" t="n">
        <v>4.80068429029114</v>
      </c>
      <c r="F12" s="2162" t="inlineStr">
        <is>
          <t>Aço</t>
        </is>
      </c>
      <c r="G12" s="2162" t="inlineStr">
        <is>
          <t>Barra de Aço CA50 / CA60</t>
        </is>
      </c>
      <c r="H12" s="2176" t="inlineStr">
        <is>
          <t>Scaini ferro e Aço</t>
        </is>
      </c>
      <c r="I12" s="4" t="inlineStr">
        <is>
          <t>Armadura</t>
        </is>
      </c>
    </row>
    <row r="13">
      <c r="A13" s="10">
        <f>COUNTIFS($B$2:$B$996,B13)</f>
        <v/>
      </c>
      <c r="B13" s="10" t="inlineStr">
        <is>
          <t>Aço CA50 12,5 mm</t>
        </is>
      </c>
      <c r="C13" s="11" t="inlineStr">
        <is>
          <t>KG</t>
        </is>
      </c>
      <c r="D13" s="2162">
        <f>E13*$D$1</f>
        <v/>
      </c>
      <c r="E13" s="2176" t="n">
        <v>5.05308553133521</v>
      </c>
      <c r="F13" s="2162" t="inlineStr">
        <is>
          <t>Aço</t>
        </is>
      </c>
      <c r="G13" s="2162" t="inlineStr">
        <is>
          <t>Barra de Aço CA50 / CA60</t>
        </is>
      </c>
      <c r="H13" s="2176" t="inlineStr">
        <is>
          <t>Scaini ferro e Aço</t>
        </is>
      </c>
      <c r="I13" s="4" t="inlineStr">
        <is>
          <t>Armadura</t>
        </is>
      </c>
    </row>
    <row r="14">
      <c r="A14" s="10">
        <f>COUNTIFS($B$2:$B$996,B14)</f>
        <v/>
      </c>
      <c r="B14" s="10" t="inlineStr">
        <is>
          <t>Aço CA50 16,0mm</t>
        </is>
      </c>
      <c r="C14" s="11" t="inlineStr">
        <is>
          <t>KG</t>
        </is>
      </c>
      <c r="D14" s="2162">
        <f>E14*$D$1</f>
        <v/>
      </c>
      <c r="E14" s="2176" t="n">
        <v>4.940560408543803</v>
      </c>
      <c r="F14" s="2162" t="inlineStr">
        <is>
          <t>Aço</t>
        </is>
      </c>
      <c r="G14" s="2162" t="inlineStr">
        <is>
          <t>Barra de Aço CA50 / CA60</t>
        </is>
      </c>
      <c r="H14" s="2176" t="inlineStr">
        <is>
          <t>Scaini ferro e Aço</t>
        </is>
      </c>
      <c r="I14" s="4" t="inlineStr">
        <is>
          <t>Armadura</t>
        </is>
      </c>
    </row>
    <row r="15">
      <c r="A15" s="10">
        <f>COUNTIFS($B$2:$B$996,B15)</f>
        <v/>
      </c>
      <c r="B15" s="10" t="inlineStr">
        <is>
          <t>Aço CA50 20,0mm</t>
        </is>
      </c>
      <c r="C15" s="11" t="inlineStr">
        <is>
          <t>KG</t>
        </is>
      </c>
      <c r="D15" s="2162">
        <f>E15*$D$1</f>
        <v/>
      </c>
      <c r="E15" s="2176" t="n">
        <v>5.034435340183336</v>
      </c>
      <c r="F15" s="2162" t="inlineStr">
        <is>
          <t>Aço</t>
        </is>
      </c>
      <c r="G15" s="2162" t="inlineStr">
        <is>
          <t>Barra de Aço CA50 / CA60</t>
        </is>
      </c>
      <c r="H15" s="2176" t="inlineStr">
        <is>
          <t>Scaini ferro e Aço</t>
        </is>
      </c>
      <c r="I15" s="4" t="inlineStr">
        <is>
          <t>Armadura</t>
        </is>
      </c>
    </row>
    <row r="16">
      <c r="A16" s="10">
        <f>COUNTIFS($B$2:$B$996,B16)</f>
        <v/>
      </c>
      <c r="B16" s="10" t="inlineStr">
        <is>
          <t>Aço CA50 25,0mm</t>
        </is>
      </c>
      <c r="C16" s="11" t="inlineStr">
        <is>
          <t>KG</t>
        </is>
      </c>
      <c r="D16" s="2162">
        <f>E16*$D$1</f>
        <v/>
      </c>
      <c r="E16" s="2176" t="n">
        <v>5.1608662250804</v>
      </c>
      <c r="F16" s="2162" t="inlineStr">
        <is>
          <t>Aço</t>
        </is>
      </c>
      <c r="G16" s="2162" t="inlineStr">
        <is>
          <t>Barra de Aço CA50 / CA60</t>
        </is>
      </c>
      <c r="H16" s="2176" t="inlineStr">
        <is>
          <t>Scaini ferro e Aço</t>
        </is>
      </c>
      <c r="I16" s="4" t="inlineStr">
        <is>
          <t>Armadura</t>
        </is>
      </c>
    </row>
    <row r="17">
      <c r="A17" s="10">
        <f>COUNTIFS($B$2:$B$996,B17)</f>
        <v/>
      </c>
      <c r="B17" s="10" t="inlineStr">
        <is>
          <t>Aço CA50 6,3 mm</t>
        </is>
      </c>
      <c r="C17" s="11" t="inlineStr">
        <is>
          <t>KG</t>
        </is>
      </c>
      <c r="D17" s="2162">
        <f>E17*$D$1</f>
        <v/>
      </c>
      <c r="E17" s="2176" t="n">
        <v>5.259474903450634</v>
      </c>
      <c r="F17" s="2162" t="inlineStr">
        <is>
          <t>Aço</t>
        </is>
      </c>
      <c r="G17" s="2162" t="inlineStr">
        <is>
          <t>Barra de Aço CA50 / CA60</t>
        </is>
      </c>
      <c r="H17" s="2176" t="inlineStr">
        <is>
          <t>Scaini ferro e Aço</t>
        </is>
      </c>
      <c r="I17" s="4" t="inlineStr">
        <is>
          <t>Armadura</t>
        </is>
      </c>
    </row>
    <row r="18">
      <c r="A18" s="10">
        <f>COUNTIFS($B$2:$B$996,B18)</f>
        <v/>
      </c>
      <c r="B18" s="10" t="inlineStr">
        <is>
          <t>Aço CA50 8,0 mm</t>
        </is>
      </c>
      <c r="C18" s="11" t="inlineStr">
        <is>
          <t>KG</t>
        </is>
      </c>
      <c r="D18" s="2162">
        <f>E18*$D$1</f>
        <v/>
      </c>
      <c r="E18" s="2176" t="n">
        <v>4.924856962640561</v>
      </c>
      <c r="F18" s="2162" t="inlineStr">
        <is>
          <t>Aço</t>
        </is>
      </c>
      <c r="G18" s="2162" t="inlineStr">
        <is>
          <t>Barra de Aço CA50 / CA60</t>
        </is>
      </c>
      <c r="H18" s="2176" t="inlineStr">
        <is>
          <t>Scaini ferro e Aço</t>
        </is>
      </c>
      <c r="I18" s="4" t="inlineStr">
        <is>
          <t>Armadura</t>
        </is>
      </c>
    </row>
    <row r="19">
      <c r="A19" s="10">
        <f>COUNTIFS($B$2:$B$996,B19)</f>
        <v/>
      </c>
      <c r="B19" s="10" t="inlineStr">
        <is>
          <t>Aço CA60 5,0mm</t>
        </is>
      </c>
      <c r="C19" s="11" t="inlineStr">
        <is>
          <t>KG</t>
        </is>
      </c>
      <c r="D19" s="2162">
        <f>E19*$D$1</f>
        <v/>
      </c>
      <c r="E19" s="2176" t="n">
        <v>6.144619659016729</v>
      </c>
      <c r="F19" s="2162" t="inlineStr">
        <is>
          <t>Aço</t>
        </is>
      </c>
      <c r="G19" s="2162" t="inlineStr">
        <is>
          <t>Barra de Aço CA50 / CA60</t>
        </is>
      </c>
      <c r="H19" s="2176" t="inlineStr">
        <is>
          <t>Scaini ferro e Aço</t>
        </is>
      </c>
      <c r="I19" s="4" t="inlineStr">
        <is>
          <t>Armadura</t>
        </is>
      </c>
    </row>
    <row r="20">
      <c r="A20" s="10">
        <f>COUNTIFS($B$2:$B$996,B20)</f>
        <v/>
      </c>
      <c r="B20" s="10" t="inlineStr">
        <is>
          <t>Aço CA60 32,0mm</t>
        </is>
      </c>
      <c r="C20" s="11" t="inlineStr">
        <is>
          <t>KG</t>
        </is>
      </c>
      <c r="D20" s="2162">
        <f>E20*$D$1</f>
        <v/>
      </c>
      <c r="E20" s="2162" t="n">
        <v>6.22</v>
      </c>
      <c r="F20" s="2162" t="inlineStr">
        <is>
          <t>Aço</t>
        </is>
      </c>
      <c r="G20" s="2162" t="inlineStr">
        <is>
          <t>Barra de Aço CA50 / CA60</t>
        </is>
      </c>
      <c r="H20" s="2162" t="n"/>
      <c r="I20" s="4" t="inlineStr">
        <is>
          <t>Armadura</t>
        </is>
      </c>
    </row>
    <row r="21">
      <c r="A21" s="10">
        <f>COUNTIFS($B$2:$B$876,B21)</f>
        <v/>
      </c>
      <c r="B21" s="10" t="inlineStr">
        <is>
          <t>Aço CA50 5,0 mm Corte e Dobra em Indústria</t>
        </is>
      </c>
      <c r="C21" s="11" t="inlineStr">
        <is>
          <t>UN</t>
        </is>
      </c>
      <c r="D21" s="2162">
        <f>E21*$D$1</f>
        <v/>
      </c>
      <c r="E21" s="2176" t="n">
        <v>8.67</v>
      </c>
      <c r="F21" s="2162" t="inlineStr">
        <is>
          <t>Aço</t>
        </is>
      </c>
      <c r="G21" s="2162" t="inlineStr">
        <is>
          <t>Barra de Aço CA50 / CA60</t>
        </is>
      </c>
      <c r="H21" s="2176" t="inlineStr">
        <is>
          <t>Proposta Gessele</t>
        </is>
      </c>
      <c r="I21" s="4" t="inlineStr">
        <is>
          <t>Armadura</t>
        </is>
      </c>
    </row>
    <row r="22">
      <c r="A22" s="10">
        <f>COUNTIFS($B$2:$B$876,B22)</f>
        <v/>
      </c>
      <c r="B22" s="10" t="inlineStr">
        <is>
          <t>Aço CA50 6,3 mm Corte e Dobra em Indústria</t>
        </is>
      </c>
      <c r="C22" s="11" t="inlineStr">
        <is>
          <t>UN</t>
        </is>
      </c>
      <c r="D22" s="2162">
        <f>E22*$D$1</f>
        <v/>
      </c>
      <c r="E22" s="2176" t="n">
        <v>8.67</v>
      </c>
      <c r="F22" s="2162" t="inlineStr">
        <is>
          <t>Aço</t>
        </is>
      </c>
      <c r="G22" s="2162" t="inlineStr">
        <is>
          <t>Barra de Aço CA50 / CA60</t>
        </is>
      </c>
      <c r="H22" s="2176" t="inlineStr">
        <is>
          <t>Proposta Gessele</t>
        </is>
      </c>
      <c r="I22" s="4" t="inlineStr">
        <is>
          <t>Armadura</t>
        </is>
      </c>
    </row>
    <row r="23">
      <c r="A23" s="10">
        <f>COUNTIFS($B$2:$B$876,B23)</f>
        <v/>
      </c>
      <c r="B23" s="10" t="inlineStr">
        <is>
          <t>Aço CA50 8,0 mm Corte e Dobra em Indústria</t>
        </is>
      </c>
      <c r="C23" s="11" t="inlineStr">
        <is>
          <t>UN</t>
        </is>
      </c>
      <c r="D23" s="2162">
        <f>E23*$D$1</f>
        <v/>
      </c>
      <c r="E23" s="2176" t="n">
        <v>8.67</v>
      </c>
      <c r="F23" s="2162" t="inlineStr">
        <is>
          <t>Aço</t>
        </is>
      </c>
      <c r="G23" s="2162" t="inlineStr">
        <is>
          <t>Barra de Aço CA50 / CA60</t>
        </is>
      </c>
      <c r="H23" s="2176" t="inlineStr">
        <is>
          <t>Proposta Gessele</t>
        </is>
      </c>
      <c r="I23" s="4" t="inlineStr">
        <is>
          <t>Armadura</t>
        </is>
      </c>
    </row>
    <row r="24">
      <c r="A24" s="10">
        <f>COUNTIFS($B$2:$B$876,B24)</f>
        <v/>
      </c>
      <c r="B24" s="10" t="inlineStr">
        <is>
          <t>Aço CA50 10,0 mm Corte e Dobra em Indústria</t>
        </is>
      </c>
      <c r="C24" s="11" t="inlineStr">
        <is>
          <t>UN</t>
        </is>
      </c>
      <c r="D24" s="2162">
        <f>E24*$D$1</f>
        <v/>
      </c>
      <c r="E24" s="2176" t="n">
        <v>8.67</v>
      </c>
      <c r="F24" s="2162" t="inlineStr">
        <is>
          <t>Aço</t>
        </is>
      </c>
      <c r="G24" s="2162" t="inlineStr">
        <is>
          <t>Barra de Aço CA50 / CA60</t>
        </is>
      </c>
      <c r="H24" s="2176" t="inlineStr">
        <is>
          <t>Proposta Gessele</t>
        </is>
      </c>
      <c r="I24" s="4" t="inlineStr">
        <is>
          <t>Armadura</t>
        </is>
      </c>
    </row>
    <row r="25">
      <c r="A25" s="10">
        <f>COUNTIFS($B$2:$B$876,B25)</f>
        <v/>
      </c>
      <c r="B25" s="10" t="inlineStr">
        <is>
          <t>Aço CA50 12,5 mm Corte e Dobra em Indústria</t>
        </is>
      </c>
      <c r="C25" s="11" t="inlineStr">
        <is>
          <t>UN</t>
        </is>
      </c>
      <c r="D25" s="2162">
        <f>E25*$D$1</f>
        <v/>
      </c>
      <c r="E25" s="2176" t="n">
        <v>8.19</v>
      </c>
      <c r="F25" s="2162" t="inlineStr">
        <is>
          <t>Aço</t>
        </is>
      </c>
      <c r="G25" s="2162" t="inlineStr">
        <is>
          <t>Barra de Aço CA50 / CA60</t>
        </is>
      </c>
      <c r="H25" s="2176" t="inlineStr">
        <is>
          <t>Proposta Gessele</t>
        </is>
      </c>
      <c r="I25" s="4" t="inlineStr">
        <is>
          <t>Armadura</t>
        </is>
      </c>
    </row>
    <row r="26" ht="14.25" customHeight="1">
      <c r="A26" s="10">
        <f>COUNTIFS($B$2:$B$876,B26)</f>
        <v/>
      </c>
      <c r="B26" s="10" t="inlineStr">
        <is>
          <t>Aço CA50 16,0 mm Corte e Dobra em Indústria</t>
        </is>
      </c>
      <c r="C26" s="11" t="inlineStr">
        <is>
          <t>UN</t>
        </is>
      </c>
      <c r="D26" s="2162">
        <f>E26*$D$1</f>
        <v/>
      </c>
      <c r="E26" s="2176" t="n">
        <v>8.19</v>
      </c>
      <c r="F26" s="2162" t="inlineStr">
        <is>
          <t>Aço</t>
        </is>
      </c>
      <c r="G26" s="2162" t="inlineStr">
        <is>
          <t>Barra de Aço CA50 / CA60</t>
        </is>
      </c>
      <c r="H26" s="2176" t="inlineStr">
        <is>
          <t>Proposta Gessele</t>
        </is>
      </c>
      <c r="I26" s="4" t="inlineStr">
        <is>
          <t>Armadura</t>
        </is>
      </c>
    </row>
    <row r="27" ht="14.25" customHeight="1">
      <c r="A27" s="10">
        <f>COUNTIFS($B$2:$B$876,B27)</f>
        <v/>
      </c>
      <c r="B27" s="10" t="inlineStr">
        <is>
          <t>Aço CA50 20,0 mm Corte e Dobra em Indústria</t>
        </is>
      </c>
      <c r="C27" s="11" t="inlineStr">
        <is>
          <t>UN</t>
        </is>
      </c>
      <c r="D27" s="2162">
        <f>E27*$D$1</f>
        <v/>
      </c>
      <c r="E27" s="2176" t="n">
        <v>8.19</v>
      </c>
      <c r="F27" s="2162" t="inlineStr">
        <is>
          <t>Aço</t>
        </is>
      </c>
      <c r="G27" s="2162" t="inlineStr">
        <is>
          <t>Barra de Aço CA50 / CA60</t>
        </is>
      </c>
      <c r="H27" s="2176" t="inlineStr">
        <is>
          <t>Proposta Gessele</t>
        </is>
      </c>
      <c r="I27" s="4" t="inlineStr">
        <is>
          <t>Armadura</t>
        </is>
      </c>
    </row>
    <row r="28">
      <c r="A28" s="10">
        <f>COUNTIFS($B$2:$B$876,B28)</f>
        <v/>
      </c>
      <c r="B28" s="10" t="inlineStr">
        <is>
          <t>Aço CA50 25,0mm Corte e Dobra em Indústria</t>
        </is>
      </c>
      <c r="C28" s="11" t="inlineStr">
        <is>
          <t>UN</t>
        </is>
      </c>
      <c r="D28" s="2162">
        <f>E28*$D$1</f>
        <v/>
      </c>
      <c r="E28" s="2176" t="n">
        <v>8.19</v>
      </c>
      <c r="F28" s="2162" t="inlineStr">
        <is>
          <t>Aço</t>
        </is>
      </c>
      <c r="G28" s="2162" t="inlineStr">
        <is>
          <t>Barra de Aço CA50 / CA60</t>
        </is>
      </c>
      <c r="H28" s="2176" t="inlineStr">
        <is>
          <t>Proposta Gessele</t>
        </is>
      </c>
      <c r="I28" s="4" t="inlineStr">
        <is>
          <t>Armadura</t>
        </is>
      </c>
    </row>
    <row r="29">
      <c r="A29" s="10">
        <f>COUNTIFS($B$2:$B$876,B29)</f>
        <v/>
      </c>
      <c r="B29" s="10" t="inlineStr">
        <is>
          <t>Aço CA50 32,0mm Corte e Dobra em Indústria</t>
        </is>
      </c>
      <c r="C29" s="11" t="inlineStr">
        <is>
          <t>UN</t>
        </is>
      </c>
      <c r="D29" s="2162">
        <f>E29*$D$1</f>
        <v/>
      </c>
      <c r="E29" s="2176">
        <f>(E21*E20)/E19</f>
        <v/>
      </c>
      <c r="F29" s="2162" t="inlineStr">
        <is>
          <t>Aço</t>
        </is>
      </c>
      <c r="G29" s="2162" t="inlineStr">
        <is>
          <t>Barra de Aço CA50 / CA60</t>
        </is>
      </c>
      <c r="H29" s="2162" t="n"/>
      <c r="I29" s="4" t="inlineStr">
        <is>
          <t>Armadura</t>
        </is>
      </c>
    </row>
    <row r="30">
      <c r="A30" s="10">
        <f>COUNTIFS($B$2:$B$996,B30)</f>
        <v/>
      </c>
      <c r="B30" s="10" t="inlineStr">
        <is>
          <t>Sistema e Instalação de Fachada Ventilada. Mecanização das peças, arremate das esquadrias e Fretes</t>
        </is>
      </c>
      <c r="C30" s="11" t="inlineStr">
        <is>
          <t>UN</t>
        </is>
      </c>
      <c r="D30" s="2162">
        <f>E30*$D$1</f>
        <v/>
      </c>
      <c r="E30" s="2162">
        <f>305</f>
        <v/>
      </c>
      <c r="F30" s="2162" t="inlineStr">
        <is>
          <t>Aço</t>
        </is>
      </c>
      <c r="G30" s="2162" t="inlineStr">
        <is>
          <t>Diversos</t>
        </is>
      </c>
      <c r="H30" s="2162" t="n"/>
      <c r="I30" s="4" t="inlineStr">
        <is>
          <t>Armadura</t>
        </is>
      </c>
    </row>
    <row r="31">
      <c r="A31" s="10">
        <f>COUNTIFS($B$2:$B$996,B31)</f>
        <v/>
      </c>
      <c r="B31" s="10" t="inlineStr">
        <is>
          <t>ESPACADOR / DISTANCIADOR CIRCULAR COM ENTRADA LATERAL, EM PLASTICO, PARA VERGALHAO *4,2 A 12,5* MM, COBRIMENTO 40 MM</t>
        </is>
      </c>
      <c r="C31" s="11" t="inlineStr">
        <is>
          <t>M2</t>
        </is>
      </c>
      <c r="D31" s="2162">
        <f>E31*$D$1</f>
        <v/>
      </c>
      <c r="E31" s="2162" t="n">
        <v>0.43</v>
      </c>
      <c r="F31" s="2162" t="inlineStr">
        <is>
          <t>Aço</t>
        </is>
      </c>
      <c r="G31" s="2162" t="inlineStr">
        <is>
          <t>Diversos</t>
        </is>
      </c>
      <c r="H31" s="2162" t="n"/>
      <c r="I31" s="4" t="inlineStr">
        <is>
          <t>Armadura</t>
        </is>
      </c>
    </row>
    <row r="32" ht="15.75" customHeight="1">
      <c r="A32" s="10">
        <f>COUNTIFS($B$2:$B$996,B32)</f>
        <v/>
      </c>
      <c r="B32" s="10" t="inlineStr">
        <is>
          <t>TELA ACO CARBONO CA60 M.150X150MM F.03,4MM 245X600CM Q61 (14,26KG/UN)</t>
        </is>
      </c>
      <c r="C32" s="11" t="inlineStr">
        <is>
          <t>KG</t>
        </is>
      </c>
      <c r="D32" s="2162">
        <f>E32*$D$1</f>
        <v/>
      </c>
      <c r="E32" s="2162" t="n">
        <v>6.1</v>
      </c>
      <c r="F32" s="2162" t="inlineStr">
        <is>
          <t>Aço</t>
        </is>
      </c>
      <c r="G32" s="2162" t="inlineStr">
        <is>
          <t>Tela de Aço CA60</t>
        </is>
      </c>
      <c r="H32" s="2162" t="n"/>
      <c r="I32" s="4" t="inlineStr">
        <is>
          <t>Armadura</t>
        </is>
      </c>
    </row>
    <row r="33" ht="15.75" customHeight="1">
      <c r="A33" s="10">
        <f>COUNTIFS($B$2:$B$996,B33)</f>
        <v/>
      </c>
      <c r="B33" s="10" t="inlineStr">
        <is>
          <t>TELA ACO CARBONO CA60 M.150X150MM F.04,2MM 245X600CM Q92 (21,8KG/UN)</t>
        </is>
      </c>
      <c r="C33" s="11" t="inlineStr">
        <is>
          <t>KG</t>
        </is>
      </c>
      <c r="D33" s="2162">
        <f>E33*$D$1</f>
        <v/>
      </c>
      <c r="E33" s="2162" t="n">
        <v>4.88</v>
      </c>
      <c r="F33" s="2162" t="inlineStr">
        <is>
          <t>Aço</t>
        </is>
      </c>
      <c r="G33" s="2162" t="inlineStr">
        <is>
          <t>Tela de Aço CA60</t>
        </is>
      </c>
      <c r="H33" s="2162" t="n"/>
      <c r="I33" s="4" t="inlineStr">
        <is>
          <t>Armadura</t>
        </is>
      </c>
    </row>
    <row r="34" ht="14.25" customHeight="1">
      <c r="A34" s="10">
        <f>COUNTIFS($B$2:$B$996,B34)</f>
        <v/>
      </c>
      <c r="B34" s="82" t="inlineStr">
        <is>
          <t>TELA ACO CARBONO CA60 M.100X100MM F.04,2MM 245X600CM Q113 (26,46KG/UN)</t>
        </is>
      </c>
      <c r="C34" s="83" t="inlineStr">
        <is>
          <t>KG</t>
        </is>
      </c>
      <c r="D34" s="2165">
        <f>E34*$D$1</f>
        <v/>
      </c>
      <c r="E34" s="2165">
        <f>225.89/26.46</f>
        <v/>
      </c>
      <c r="F34" s="2165" t="inlineStr">
        <is>
          <t>Aço</t>
        </is>
      </c>
      <c r="G34" s="2165" t="inlineStr">
        <is>
          <t>Tela de Aço CA60</t>
        </is>
      </c>
      <c r="H34" s="2165" t="n"/>
      <c r="I34" s="85" t="inlineStr">
        <is>
          <t>Armadura</t>
        </is>
      </c>
    </row>
    <row r="35" ht="15.75" customHeight="1">
      <c r="A35" s="10">
        <f>COUNTIFS($B$2:$B$996,B35)</f>
        <v/>
      </c>
      <c r="B35" s="10" t="inlineStr">
        <is>
          <t>TELA ACO CARBONO CA60 M.100X100MM F.04,2MM 245X600CM Q138 (32,34KG/UN)</t>
        </is>
      </c>
      <c r="C35" s="11" t="inlineStr">
        <is>
          <t>KG</t>
        </is>
      </c>
      <c r="D35" s="2162">
        <f>E35*$D$1</f>
        <v/>
      </c>
      <c r="E35" s="2162" t="n">
        <v>9.144712430426715</v>
      </c>
      <c r="F35" s="2162" t="inlineStr">
        <is>
          <t>Aço</t>
        </is>
      </c>
      <c r="G35" s="2162" t="inlineStr">
        <is>
          <t>Tela de Aço CA60</t>
        </is>
      </c>
      <c r="H35" s="2162" t="n"/>
      <c r="I35" s="4" t="inlineStr">
        <is>
          <t>Armadura</t>
        </is>
      </c>
    </row>
    <row r="36" ht="15.75" customHeight="1">
      <c r="A36" s="10">
        <f>COUNTIFS($B$2:$B$996,B36)</f>
        <v/>
      </c>
      <c r="B36" s="10" t="inlineStr">
        <is>
          <t>TELA DE ACO SOLDADA GALVANIZADA/ZINCADA PARA ALVENARIA, FIO D = *1,20 A 1,70* MM, MALHA 15 X 15 MM, (C X L) *50 X 17,5* CM</t>
        </is>
      </c>
      <c r="C36" s="11" t="inlineStr">
        <is>
          <t>UN</t>
        </is>
      </c>
      <c r="D36" s="2162">
        <f>E36*$D$1</f>
        <v/>
      </c>
      <c r="E36" s="2162" t="n">
        <v>2.5</v>
      </c>
      <c r="F36" s="2162" t="inlineStr">
        <is>
          <t>Aço</t>
        </is>
      </c>
      <c r="G36" s="2162" t="inlineStr">
        <is>
          <t>Tela de Aço Carbono</t>
        </is>
      </c>
      <c r="H36" s="2162" t="n"/>
      <c r="I36" s="4" t="inlineStr">
        <is>
          <t>Armadura</t>
        </is>
      </c>
    </row>
    <row r="37" ht="15.75" customHeight="1">
      <c r="A37" s="10">
        <f>COUNTIFS($B$2:$B$996,B37)</f>
        <v/>
      </c>
      <c r="B37" s="10" t="inlineStr">
        <is>
          <t>Tela de arame galvanizada, hexagonal, fio 0,56 mm (24 bwg), malha 1/2", h = 1 m</t>
        </is>
      </c>
      <c r="C37" s="11" t="inlineStr">
        <is>
          <t>M2</t>
        </is>
      </c>
      <c r="D37" s="2162">
        <f>E37*$D$1</f>
        <v/>
      </c>
      <c r="E37" s="2162" t="n">
        <v>14.27</v>
      </c>
      <c r="F37" s="2162" t="inlineStr">
        <is>
          <t>Aço</t>
        </is>
      </c>
      <c r="G37" s="2162" t="inlineStr">
        <is>
          <t>Tela de Aço Carbono</t>
        </is>
      </c>
      <c r="H37" s="2162" t="n"/>
      <c r="I37" s="4" t="inlineStr">
        <is>
          <t>Armadura</t>
        </is>
      </c>
    </row>
    <row r="38" ht="15.75" customHeight="1">
      <c r="A38" s="10">
        <f>COUNTIFS($B$2:$B$996,B38)</f>
        <v/>
      </c>
      <c r="B38" s="10" t="inlineStr">
        <is>
          <t>TIJOLO REFRATÁRIO 5 X 11,5 X 23 CM</t>
        </is>
      </c>
      <c r="C38" s="11" t="inlineStr">
        <is>
          <t>UN</t>
        </is>
      </c>
      <c r="D38" s="2162">
        <f>E38*$D$1</f>
        <v/>
      </c>
      <c r="E38" s="2162" t="n">
        <v>7</v>
      </c>
      <c r="F38" s="2162" t="inlineStr">
        <is>
          <t>Alvenaria</t>
        </is>
      </c>
      <c r="G38" s="2162" t="inlineStr">
        <is>
          <t>Alvenaria Refratária</t>
        </is>
      </c>
      <c r="H38" s="2162" t="n"/>
      <c r="I38" s="4" t="inlineStr">
        <is>
          <t>Pintura</t>
        </is>
      </c>
    </row>
    <row r="39" ht="15.75" customHeight="1">
      <c r="A39" s="10">
        <f>COUNTIFS($B$2:$B$996,B39)</f>
        <v/>
      </c>
      <c r="B39" s="10" t="inlineStr">
        <is>
          <t>TIJOLO REFRATÁRIO 2,5 X 11,5 X 23 CM</t>
        </is>
      </c>
      <c r="C39" s="11" t="inlineStr">
        <is>
          <t>UN</t>
        </is>
      </c>
      <c r="D39" s="2162">
        <f>E39*$D$1</f>
        <v/>
      </c>
      <c r="E39" s="2162" t="n">
        <v>5.95</v>
      </c>
      <c r="F39" s="2162" t="inlineStr">
        <is>
          <t>Alvenaria</t>
        </is>
      </c>
      <c r="G39" s="2162" t="inlineStr">
        <is>
          <t>Alvenaria Refratária</t>
        </is>
      </c>
      <c r="H39" s="2162" t="n"/>
      <c r="I39" s="4" t="inlineStr">
        <is>
          <t>Pintura</t>
        </is>
      </c>
    </row>
    <row r="40" ht="15.75" customHeight="1">
      <c r="A40" s="10">
        <f>COUNTIFS($B$2:$B$996,B40)</f>
        <v/>
      </c>
      <c r="B40" s="10" t="inlineStr">
        <is>
          <t>BLOCO CONCRETO ESTRUTURAL 03MPA 14X19X39CM NBR 6136</t>
        </is>
      </c>
      <c r="C40" s="11" t="inlineStr">
        <is>
          <t>UN</t>
        </is>
      </c>
      <c r="D40" s="2162">
        <f>E40*$D$1</f>
        <v/>
      </c>
      <c r="E40" s="2162" t="n">
        <v>2.95</v>
      </c>
      <c r="F40" s="2162" t="inlineStr">
        <is>
          <t>Alvenaria</t>
        </is>
      </c>
      <c r="G40" s="2162" t="inlineStr">
        <is>
          <t>Alvenaria Estrutural</t>
        </is>
      </c>
      <c r="H40" s="2162" t="n"/>
      <c r="I40" s="4" t="inlineStr">
        <is>
          <t>Elementos de Vedação (Cerâmica)</t>
        </is>
      </c>
    </row>
    <row r="41" ht="15.75" customHeight="1">
      <c r="A41" s="10">
        <f>COUNTIFS($B$2:$B$996,B41)</f>
        <v/>
      </c>
      <c r="B41" s="10" t="inlineStr">
        <is>
          <t>BLOCO CONCRETO ESTRUTURAL 04MPA 14X19X04CM NBR 6136</t>
        </is>
      </c>
      <c r="C41" s="11" t="inlineStr">
        <is>
          <t>UN</t>
        </is>
      </c>
      <c r="D41" s="2162">
        <f>E41*$D$1</f>
        <v/>
      </c>
      <c r="E41" s="2162" t="n">
        <v>4.186153846153847</v>
      </c>
      <c r="F41" s="2162" t="inlineStr">
        <is>
          <t>Alvenaria</t>
        </is>
      </c>
      <c r="G41" s="2162" t="inlineStr">
        <is>
          <t>Alvenaria Estrutural</t>
        </is>
      </c>
      <c r="H41" s="2162" t="n"/>
      <c r="I41" s="4" t="inlineStr">
        <is>
          <t>Elementos de Vedação (Cerâmica)</t>
        </is>
      </c>
    </row>
    <row r="42" ht="15.75" customHeight="1">
      <c r="A42" s="10">
        <f>COUNTIFS($B$2:$B$996,B42)</f>
        <v/>
      </c>
      <c r="B42" s="10" t="inlineStr">
        <is>
          <t>BLOCO CONCRETO ESTRUTURAL 04MPA 14X19X09CM NBR 6136</t>
        </is>
      </c>
      <c r="C42" s="11" t="inlineStr">
        <is>
          <t>UN</t>
        </is>
      </c>
      <c r="D42" s="2162">
        <f>E42*$D$1</f>
        <v/>
      </c>
      <c r="E42" s="2162" t="n">
        <v>3.988974358974359</v>
      </c>
      <c r="F42" s="2162" t="inlineStr">
        <is>
          <t>Alvenaria</t>
        </is>
      </c>
      <c r="G42" s="2162" t="inlineStr">
        <is>
          <t>Alvenaria Estrutural</t>
        </is>
      </c>
      <c r="H42" s="2162" t="n"/>
      <c r="I42" s="4" t="inlineStr">
        <is>
          <t>Elementos de Vedação (Cerâmica)</t>
        </is>
      </c>
    </row>
    <row r="43" ht="15.75" customHeight="1">
      <c r="A43" s="10">
        <f>COUNTIFS($B$2:$B$996,B43)</f>
        <v/>
      </c>
      <c r="B43" s="10" t="inlineStr">
        <is>
          <t>BLOCO CONCRETO ESTRUTURAL 04MPA 14X19X14CM NBR 6136</t>
        </is>
      </c>
      <c r="C43" s="11" t="inlineStr">
        <is>
          <t>UN</t>
        </is>
      </c>
      <c r="D43" s="2162">
        <f>E43*$D$1</f>
        <v/>
      </c>
      <c r="E43" s="2162" t="n">
        <v>1.376</v>
      </c>
      <c r="F43" s="2162" t="inlineStr">
        <is>
          <t>Alvenaria</t>
        </is>
      </c>
      <c r="G43" s="2162" t="inlineStr">
        <is>
          <t>Alvenaria Estrutural</t>
        </is>
      </c>
      <c r="H43" s="2162" t="n"/>
      <c r="I43" s="4" t="inlineStr">
        <is>
          <t>Elementos de Vedação (Cerâmica)</t>
        </is>
      </c>
    </row>
    <row r="44" ht="15.75" customHeight="1">
      <c r="A44" s="10">
        <f>COUNTIFS($B$2:$B$996,B44)</f>
        <v/>
      </c>
      <c r="B44" s="10" t="inlineStr">
        <is>
          <t>BLOCO CONCRETO ESTRUTURAL 04MPA 11,5X19X29CM NBR 6136</t>
        </is>
      </c>
      <c r="C44" s="11" t="inlineStr">
        <is>
          <t>UN</t>
        </is>
      </c>
      <c r="D44" s="2162">
        <f>E44*$D$1</f>
        <v/>
      </c>
      <c r="E44" s="2162" t="n">
        <v>1.998</v>
      </c>
      <c r="F44" s="2162" t="inlineStr">
        <is>
          <t>Alvenaria</t>
        </is>
      </c>
      <c r="G44" s="2162" t="inlineStr">
        <is>
          <t>Alvenaria Estrutural</t>
        </is>
      </c>
      <c r="H44" s="2162" t="n"/>
      <c r="I44" s="4" t="inlineStr">
        <is>
          <t>Elementos de Vedação (Cerâmica)</t>
        </is>
      </c>
    </row>
    <row r="45" ht="15.75" customHeight="1">
      <c r="A45" s="10">
        <f>COUNTIFS($B$2:$B$996,B45)</f>
        <v/>
      </c>
      <c r="B45" s="10" t="inlineStr">
        <is>
          <t>BLOCO CONCRETO ESTRUTURAL 04MPA 14X19X29CM NBR 6136</t>
        </is>
      </c>
      <c r="C45" s="11" t="inlineStr">
        <is>
          <t>UN</t>
        </is>
      </c>
      <c r="D45" s="2162">
        <f>E45*$D$1</f>
        <v/>
      </c>
      <c r="E45" s="2162" t="n">
        <v>1.998</v>
      </c>
      <c r="F45" s="2162" t="inlineStr">
        <is>
          <t>Alvenaria</t>
        </is>
      </c>
      <c r="G45" s="2162" t="inlineStr">
        <is>
          <t>Alvenaria Estrutural</t>
        </is>
      </c>
      <c r="H45" s="2162" t="n"/>
      <c r="I45" s="4" t="inlineStr">
        <is>
          <t>Elementos de Vedação (Cerâmica)</t>
        </is>
      </c>
    </row>
    <row r="46" ht="15.75" customHeight="1">
      <c r="A46" s="10">
        <f>COUNTIFS($B$2:$B$996,B46)</f>
        <v/>
      </c>
      <c r="B46" s="10" t="inlineStr">
        <is>
          <t>BLOCO CONCRETO ESTRUTURAL 04MPA 14X19X44CM NBR 6136</t>
        </is>
      </c>
      <c r="C46" s="11" t="inlineStr">
        <is>
          <t>UN</t>
        </is>
      </c>
      <c r="D46" s="2162">
        <f>E46*$D$1</f>
        <v/>
      </c>
      <c r="E46" s="2162" t="n">
        <v>4.02</v>
      </c>
      <c r="F46" s="2162" t="inlineStr">
        <is>
          <t>Alvenaria</t>
        </is>
      </c>
      <c r="G46" s="2162" t="inlineStr">
        <is>
          <t>Alvenaria Estrutural</t>
        </is>
      </c>
      <c r="H46" s="2162" t="n"/>
      <c r="I46" s="4" t="inlineStr">
        <is>
          <t>Elementos de Vedação (Cerâmica)</t>
        </is>
      </c>
    </row>
    <row r="47" ht="15.75" customHeight="1">
      <c r="A47" s="10">
        <f>COUNTIFS($B$2:$B$996,B47)</f>
        <v/>
      </c>
      <c r="B47" s="10" t="inlineStr">
        <is>
          <t>BLOCO CONCRETO ESTRUTURAL 06MPA 14X19X04CM NBR 6136</t>
        </is>
      </c>
      <c r="C47" s="11" t="inlineStr">
        <is>
          <t>UN</t>
        </is>
      </c>
      <c r="D47" s="2162">
        <f>E47*$D$1</f>
        <v/>
      </c>
      <c r="E47" s="2162" t="n">
        <v>4.186153846153847</v>
      </c>
      <c r="F47" s="2162" t="inlineStr">
        <is>
          <t>Alvenaria</t>
        </is>
      </c>
      <c r="G47" s="2162" t="inlineStr">
        <is>
          <t>Alvenaria Estrutural</t>
        </is>
      </c>
      <c r="H47" s="2162" t="n"/>
      <c r="I47" s="4" t="inlineStr">
        <is>
          <t>Elementos de Vedação (Cerâmica)</t>
        </is>
      </c>
    </row>
    <row r="48" ht="15.75" customHeight="1">
      <c r="A48" s="10">
        <f>COUNTIFS($B$2:$B$996,B48)</f>
        <v/>
      </c>
      <c r="B48" s="10" t="inlineStr">
        <is>
          <t>BLOCO CONCRETO ESTRUTURAL 06MPA 14X19X09CM NBR 6136</t>
        </is>
      </c>
      <c r="C48" s="11" t="inlineStr">
        <is>
          <t>UN</t>
        </is>
      </c>
      <c r="D48" s="2162">
        <f>E48*$D$1</f>
        <v/>
      </c>
      <c r="E48" s="2162" t="n">
        <v>3.988974358974359</v>
      </c>
      <c r="F48" s="2162" t="inlineStr">
        <is>
          <t>Alvenaria</t>
        </is>
      </c>
      <c r="G48" s="2162" t="inlineStr">
        <is>
          <t>Alvenaria Estrutural</t>
        </is>
      </c>
      <c r="H48" s="2162" t="n"/>
      <c r="I48" s="4" t="inlineStr">
        <is>
          <t>Elementos de Vedação (Cerâmica)</t>
        </is>
      </c>
    </row>
    <row r="49" ht="15.75" customHeight="1">
      <c r="A49" s="10">
        <f>COUNTIFS($B$2:$B$996,B49)</f>
        <v/>
      </c>
      <c r="B49" s="10" t="inlineStr">
        <is>
          <t>BLOCO CONCRETO ESTRUTURAL 06MPA 14X19X14CM NBR 6136</t>
        </is>
      </c>
      <c r="C49" s="11" t="inlineStr">
        <is>
          <t>UN</t>
        </is>
      </c>
      <c r="D49" s="2162">
        <f>E49*$D$1</f>
        <v/>
      </c>
      <c r="E49" s="2162" t="n">
        <v>1.436</v>
      </c>
      <c r="F49" s="2162" t="inlineStr">
        <is>
          <t>Alvenaria</t>
        </is>
      </c>
      <c r="G49" s="2162" t="inlineStr">
        <is>
          <t>Alvenaria Estrutural</t>
        </is>
      </c>
      <c r="H49" s="2162" t="n"/>
      <c r="I49" s="4" t="inlineStr">
        <is>
          <t>Elementos de Vedação (Cerâmica)</t>
        </is>
      </c>
    </row>
    <row r="50" ht="15.75" customHeight="1">
      <c r="A50" s="10">
        <f>COUNTIFS($B$2:$B$996,B50)</f>
        <v/>
      </c>
      <c r="B50" s="10" t="inlineStr">
        <is>
          <t>BLOCO CONCRETO ESTRUTURAL 06MPA 14X19X29CM NBR 6136</t>
        </is>
      </c>
      <c r="C50" s="11" t="inlineStr">
        <is>
          <t>UN</t>
        </is>
      </c>
      <c r="D50" s="2162">
        <f>E50*$D$1</f>
        <v/>
      </c>
      <c r="E50" s="2162" t="n">
        <v>2.098</v>
      </c>
      <c r="F50" s="2162" t="inlineStr">
        <is>
          <t>Alvenaria</t>
        </is>
      </c>
      <c r="G50" s="2162" t="inlineStr">
        <is>
          <t>Alvenaria Estrutural</t>
        </is>
      </c>
      <c r="H50" s="2162" t="n"/>
      <c r="I50" s="4" t="inlineStr">
        <is>
          <t>Elementos de Vedação (Cerâmica)</t>
        </is>
      </c>
    </row>
    <row r="51" ht="15.75" customHeight="1">
      <c r="A51" s="10">
        <f>COUNTIFS($B$2:$B$996,B51)</f>
        <v/>
      </c>
      <c r="B51" s="10" t="inlineStr">
        <is>
          <t>BLOCO CONCRETO ESTRUTURAL 06MPA 14X19X44CM NBR 6136</t>
        </is>
      </c>
      <c r="C51" s="11" t="inlineStr">
        <is>
          <t>UN</t>
        </is>
      </c>
      <c r="D51" s="2162">
        <f>E51*$D$1</f>
        <v/>
      </c>
      <c r="E51" s="2162" t="n">
        <v>4.189</v>
      </c>
      <c r="F51" s="2162" t="inlineStr">
        <is>
          <t>Alvenaria</t>
        </is>
      </c>
      <c r="G51" s="2162" t="inlineStr">
        <is>
          <t>Alvenaria Estrutural</t>
        </is>
      </c>
      <c r="H51" s="2162" t="n"/>
      <c r="I51" s="4" t="inlineStr">
        <is>
          <t>Elementos de Vedação (Cerâmica)</t>
        </is>
      </c>
    </row>
    <row r="52" ht="15.75" customHeight="1">
      <c r="A52" s="10">
        <f>COUNTIFS($B$2:$B$996,B52)</f>
        <v/>
      </c>
      <c r="B52" s="10" t="inlineStr">
        <is>
          <t>BLOCO CONCRETO ESTRUTURAL 08MPA 19X19X39CM NBR 6136</t>
        </is>
      </c>
      <c r="C52" s="11" t="inlineStr">
        <is>
          <t>UN</t>
        </is>
      </c>
      <c r="D52" s="2162">
        <f>E52*$D$1</f>
        <v/>
      </c>
      <c r="E52" s="2162" t="n">
        <v>3.22</v>
      </c>
      <c r="F52" s="2162" t="inlineStr">
        <is>
          <t>Alvenaria</t>
        </is>
      </c>
      <c r="G52" s="2162" t="inlineStr">
        <is>
          <t>Alvenaria Estrutural</t>
        </is>
      </c>
      <c r="H52" s="2162" t="n"/>
      <c r="I52" s="4" t="inlineStr">
        <is>
          <t>Elementos de Vedação (Cerâmica)</t>
        </is>
      </c>
    </row>
    <row r="53" ht="14.25" customHeight="1">
      <c r="A53" s="10">
        <f>COUNTIFS($B$2:$B$996,B53)</f>
        <v/>
      </c>
      <c r="B53" s="82" t="inlineStr">
        <is>
          <t>BLOCO DE concreto CORTA-FOGO  09X19X39 CM</t>
        </is>
      </c>
      <c r="C53" s="83" t="inlineStr">
        <is>
          <t>UN</t>
        </is>
      </c>
      <c r="D53" s="2165">
        <f>E53*$D$1</f>
        <v/>
      </c>
      <c r="E53" s="2165" t="n">
        <v>4.5</v>
      </c>
      <c r="F53" s="2165" t="inlineStr">
        <is>
          <t>Alvenaria</t>
        </is>
      </c>
      <c r="G53" s="2165" t="inlineStr">
        <is>
          <t>Alvenaria vedação</t>
        </is>
      </c>
      <c r="H53" s="2165" t="n"/>
      <c r="I53" s="85" t="inlineStr">
        <is>
          <t>Elementos de Vedação (Cerâmica)</t>
        </is>
      </c>
    </row>
    <row r="54" ht="14.25" customHeight="1">
      <c r="A54" s="10">
        <f>COUNTIFS($B$2:$B$996,B54)</f>
        <v/>
      </c>
      <c r="B54" s="82" t="inlineStr">
        <is>
          <t>BLOCO DE concreto CORTA-FOGO  14X19X39 CM</t>
        </is>
      </c>
      <c r="C54" s="83" t="inlineStr">
        <is>
          <t>UN</t>
        </is>
      </c>
      <c r="D54" s="2165">
        <f>E54*$D$1</f>
        <v/>
      </c>
      <c r="E54" s="2165" t="n">
        <v>6.5</v>
      </c>
      <c r="F54" s="2165" t="inlineStr">
        <is>
          <t>Alvenaria</t>
        </is>
      </c>
      <c r="G54" s="2165" t="inlineStr">
        <is>
          <t>Alvenaria vedação</t>
        </is>
      </c>
      <c r="H54" s="2165" t="n"/>
      <c r="I54" s="85" t="inlineStr">
        <is>
          <t>Elementos de Vedação (Cerâmica)</t>
        </is>
      </c>
    </row>
    <row r="55" ht="14.25" customHeight="1">
      <c r="A55" s="10">
        <f>COUNTIFS($B$2:$B$996,B55)</f>
        <v/>
      </c>
      <c r="B55" s="82" t="inlineStr">
        <is>
          <t>BLOCO DE concreto CORTA-FOGO ACUSTICA REFORÇADO  14X19X39 CM</t>
        </is>
      </c>
      <c r="C55" s="83" t="inlineStr">
        <is>
          <t>UN</t>
        </is>
      </c>
      <c r="D55" s="2165">
        <f>E55*$D$1</f>
        <v/>
      </c>
      <c r="E55" s="2165" t="n">
        <v>10</v>
      </c>
      <c r="F55" s="2165" t="inlineStr">
        <is>
          <t>Alvenaria</t>
        </is>
      </c>
      <c r="G55" s="2165" t="inlineStr">
        <is>
          <t>Alvenaria vedação</t>
        </is>
      </c>
      <c r="H55" s="2165" t="n"/>
      <c r="I55" s="85" t="inlineStr">
        <is>
          <t>Elementos de Vedação (Cerâmica)</t>
        </is>
      </c>
    </row>
    <row r="56" ht="14.25" customHeight="1">
      <c r="A56" s="10">
        <f>COUNTIFS($B$2:$B$996,B56)</f>
        <v/>
      </c>
      <c r="B56" s="82" t="inlineStr">
        <is>
          <t>BLOCO DE concreto CORTA-FOGO  19X19X39 CM</t>
        </is>
      </c>
      <c r="C56" s="83" t="inlineStr">
        <is>
          <t>UN</t>
        </is>
      </c>
      <c r="D56" s="2165">
        <f>E56*$D$1</f>
        <v/>
      </c>
      <c r="E56" s="2165" t="n">
        <v>9.5</v>
      </c>
      <c r="F56" s="2165" t="inlineStr">
        <is>
          <t>Alvenaria</t>
        </is>
      </c>
      <c r="G56" s="2165" t="inlineStr">
        <is>
          <t>Alvenaria vedação</t>
        </is>
      </c>
      <c r="H56" s="2165" t="n"/>
      <c r="I56" s="85" t="inlineStr">
        <is>
          <t>Elementos de Vedação (Cerâmica)</t>
        </is>
      </c>
    </row>
    <row r="57" ht="14.25" customHeight="1">
      <c r="A57" s="10">
        <f>COUNTIFS($B$2:$B$996,B57)</f>
        <v/>
      </c>
      <c r="B57" s="82" t="inlineStr">
        <is>
          <t>BLOCO DE concreto CORTA-FOGO  ACUSTICA REFORÇADO 19X19X39 CM</t>
        </is>
      </c>
      <c r="C57" s="83" t="inlineStr">
        <is>
          <t>UN</t>
        </is>
      </c>
      <c r="D57" s="2165">
        <f>E57*$D$1</f>
        <v/>
      </c>
      <c r="E57" s="2165" t="n">
        <v>14.5</v>
      </c>
      <c r="F57" s="2165" t="inlineStr">
        <is>
          <t>Alvenaria</t>
        </is>
      </c>
      <c r="G57" s="2165" t="inlineStr">
        <is>
          <t>Alvenaria vedação</t>
        </is>
      </c>
      <c r="H57" s="2165" t="n"/>
      <c r="I57" s="85" t="inlineStr">
        <is>
          <t>Elementos de Vedação (Cerâmica)</t>
        </is>
      </c>
    </row>
    <row r="58" ht="14.25" customHeight="1">
      <c r="A58" s="10">
        <f>COUNTIFS($B$2:$B$996,B58)</f>
        <v/>
      </c>
      <c r="B58" s="82" t="inlineStr">
        <is>
          <t>BLOCO DE CERÂMICO CORTA-FOGO  09X19X39 CM</t>
        </is>
      </c>
      <c r="C58" s="83" t="inlineStr">
        <is>
          <t>UN</t>
        </is>
      </c>
      <c r="D58" s="2165">
        <f>E58*$D$1</f>
        <v/>
      </c>
      <c r="E58" s="2165" t="n">
        <v>4.8</v>
      </c>
      <c r="F58" s="2165" t="inlineStr">
        <is>
          <t>Alvenaria</t>
        </is>
      </c>
      <c r="G58" s="2165" t="inlineStr">
        <is>
          <t>Alvenaria vedação</t>
        </is>
      </c>
      <c r="H58" s="2165" t="n"/>
      <c r="I58" s="85" t="inlineStr">
        <is>
          <t>Elementos de Vedação (Cerâmica)</t>
        </is>
      </c>
    </row>
    <row r="59" ht="14.25" customHeight="1">
      <c r="A59" s="10">
        <f>COUNTIFS($B$2:$B$996,B59)</f>
        <v/>
      </c>
      <c r="B59" s="82" t="inlineStr">
        <is>
          <t>BLOCO DE CERÂMICO CORTA-FOGO  14X19X39 CM</t>
        </is>
      </c>
      <c r="C59" s="83" t="inlineStr">
        <is>
          <t>UN</t>
        </is>
      </c>
      <c r="D59" s="2165">
        <f>E59*$D$1</f>
        <v/>
      </c>
      <c r="E59" s="2165" t="n">
        <v>6.8</v>
      </c>
      <c r="F59" s="2165" t="inlineStr">
        <is>
          <t>Alvenaria</t>
        </is>
      </c>
      <c r="G59" s="2165" t="inlineStr">
        <is>
          <t>Alvenaria vedação</t>
        </is>
      </c>
      <c r="H59" s="2165" t="n"/>
      <c r="I59" s="85" t="inlineStr">
        <is>
          <t>Elementos de Vedação (Cerâmica)</t>
        </is>
      </c>
    </row>
    <row r="60" ht="14.25" customHeight="1">
      <c r="A60" s="10">
        <f>COUNTIFS($B$2:$B$996,B60)</f>
        <v/>
      </c>
      <c r="B60" s="82" t="inlineStr">
        <is>
          <t>BLOCO DE CERÂMICO CORTA-FOGO ACUSTICA REFORÇADO  14X19X39 CM</t>
        </is>
      </c>
      <c r="C60" s="83" t="inlineStr">
        <is>
          <t>UN</t>
        </is>
      </c>
      <c r="D60" s="2165">
        <f>E60*$D$1</f>
        <v/>
      </c>
      <c r="E60" s="2165" t="n">
        <v>9.800000000000001</v>
      </c>
      <c r="F60" s="2165" t="inlineStr">
        <is>
          <t>Alvenaria</t>
        </is>
      </c>
      <c r="G60" s="2165" t="inlineStr">
        <is>
          <t>Alvenaria vedação</t>
        </is>
      </c>
      <c r="H60" s="2165" t="n"/>
      <c r="I60" s="85" t="inlineStr">
        <is>
          <t>Elementos de Vedação (Cerâmica)</t>
        </is>
      </c>
    </row>
    <row r="61" ht="14.25" customHeight="1">
      <c r="A61" s="10">
        <f>COUNTIFS($B$2:$B$996,B61)</f>
        <v/>
      </c>
      <c r="B61" s="82" t="inlineStr">
        <is>
          <t>BLOCO DE CERÂMICO CORTA-FOGO  19X19X39 CM</t>
        </is>
      </c>
      <c r="C61" s="83" t="inlineStr">
        <is>
          <t>UN</t>
        </is>
      </c>
      <c r="D61" s="2165">
        <f>E61*$D$1</f>
        <v/>
      </c>
      <c r="E61" s="2165" t="n">
        <v>8.5</v>
      </c>
      <c r="F61" s="2165" t="inlineStr">
        <is>
          <t>Alvenaria</t>
        </is>
      </c>
      <c r="G61" s="2165" t="inlineStr">
        <is>
          <t>Alvenaria vedação</t>
        </is>
      </c>
      <c r="H61" s="2165" t="n"/>
      <c r="I61" s="85" t="inlineStr">
        <is>
          <t>Elementos de Vedação (Cerâmica)</t>
        </is>
      </c>
    </row>
    <row r="62" ht="15.75" customHeight="1">
      <c r="A62" s="10">
        <f>COUNTIFS($B$2:$B$996,B62)</f>
        <v/>
      </c>
      <c r="B62" s="10" t="inlineStr">
        <is>
          <t>CANALETA CONCRETO ESTRUTURAL "U" 06MPA 14X19X29CM NBR 6136</t>
        </is>
      </c>
      <c r="C62" s="11" t="inlineStr">
        <is>
          <t>UN</t>
        </is>
      </c>
      <c r="D62" s="2162">
        <f>E62*$D$1</f>
        <v/>
      </c>
      <c r="E62" s="2162" t="n">
        <v>3.305</v>
      </c>
      <c r="F62" s="2162" t="inlineStr">
        <is>
          <t>Alvenaria</t>
        </is>
      </c>
      <c r="G62" s="2162" t="inlineStr">
        <is>
          <t>Alvenaria Estrutural</t>
        </is>
      </c>
      <c r="H62" s="2162" t="n"/>
      <c r="I62" s="4" t="inlineStr">
        <is>
          <t>Elementos de Vedação (Cerâmica)</t>
        </is>
      </c>
    </row>
    <row r="63" ht="15.75" customHeight="1">
      <c r="A63" s="10">
        <f>COUNTIFS($B$2:$B$996,B63)</f>
        <v/>
      </c>
      <c r="B63" s="10" t="inlineStr">
        <is>
          <t>CANALETA CONCRETO ESTRUTURAL "U" 08MPA 19X19X39CM NBR 6136</t>
        </is>
      </c>
      <c r="C63" s="11" t="inlineStr">
        <is>
          <t>UN</t>
        </is>
      </c>
      <c r="D63" s="2162">
        <f>E63*$D$1</f>
        <v/>
      </c>
      <c r="E63" s="2162" t="n">
        <v>4.09</v>
      </c>
      <c r="F63" s="2162" t="inlineStr">
        <is>
          <t>Alvenaria</t>
        </is>
      </c>
      <c r="G63" s="2162" t="inlineStr">
        <is>
          <t>Alvenaria Estrutural</t>
        </is>
      </c>
      <c r="H63" s="2162" t="n"/>
      <c r="I63" s="4" t="inlineStr">
        <is>
          <t>Elementos de Vedação (Cerâmica)</t>
        </is>
      </c>
    </row>
    <row r="64" ht="15.75" customHeight="1">
      <c r="A64" s="10">
        <f>COUNTIFS($B$2:$B$996,B64)</f>
        <v/>
      </c>
      <c r="B64" s="10" t="inlineStr">
        <is>
          <t>BLOCO CERÂMICO ESTRUTURAL 04MPA 11,5X19X29CM NBR 6136</t>
        </is>
      </c>
      <c r="C64" s="11" t="inlineStr">
        <is>
          <t>UN</t>
        </is>
      </c>
      <c r="D64" s="2162">
        <f>E64*$D$1</f>
        <v/>
      </c>
      <c r="E64" s="2162" t="n">
        <v>1.69</v>
      </c>
      <c r="F64" s="2162" t="inlineStr">
        <is>
          <t>Alvenaria</t>
        </is>
      </c>
      <c r="G64" s="2162" t="inlineStr">
        <is>
          <t>Alvenaria Estrutural</t>
        </is>
      </c>
      <c r="H64" s="2162" t="n"/>
      <c r="I64" s="4" t="inlineStr">
        <is>
          <t>Elementos de Vedação (Cerâmica)</t>
        </is>
      </c>
    </row>
    <row r="65" ht="15.75" customHeight="1">
      <c r="A65" s="10">
        <f>COUNTIFS($B$2:$B$996,B65)</f>
        <v/>
      </c>
      <c r="B65" s="10" t="inlineStr">
        <is>
          <t>BLOCO CERÂMICO ESTRUTURAL 04MPA 14X19X29CM NBR 6136</t>
        </is>
      </c>
      <c r="C65" s="11" t="inlineStr">
        <is>
          <t>UN</t>
        </is>
      </c>
      <c r="D65" s="2162">
        <f>E65*$D$1</f>
        <v/>
      </c>
      <c r="E65" s="2162" t="n">
        <v>2.76</v>
      </c>
      <c r="F65" s="2162" t="inlineStr">
        <is>
          <t>Alvenaria</t>
        </is>
      </c>
      <c r="G65" s="2162" t="inlineStr">
        <is>
          <t>Alvenaria Estrutural</t>
        </is>
      </c>
      <c r="H65" s="2162" t="n"/>
      <c r="I65" s="4" t="inlineStr">
        <is>
          <t>Elementos de Vedação (Cerâmica)</t>
        </is>
      </c>
    </row>
    <row r="66" ht="15.75" customHeight="1">
      <c r="A66" s="10">
        <f>COUNTIFS($B$2:$B$996,B66)</f>
        <v/>
      </c>
      <c r="B66" s="10" t="inlineStr">
        <is>
          <t>BLOCO CERÂMICO - 14X19X39cm</t>
        </is>
      </c>
      <c r="C66" s="11" t="inlineStr">
        <is>
          <t>UN</t>
        </is>
      </c>
      <c r="D66" s="2162">
        <f>E66*$D$1</f>
        <v/>
      </c>
      <c r="E66" s="2162" t="n">
        <v>1.4</v>
      </c>
      <c r="F66" s="2162" t="inlineStr">
        <is>
          <t>Alvenaria</t>
        </is>
      </c>
      <c r="G66" s="2162" t="inlineStr">
        <is>
          <t>Alvenaria vedação</t>
        </is>
      </c>
      <c r="H66" s="2162" t="n"/>
      <c r="I66" s="4" t="inlineStr">
        <is>
          <t>Elementos de Vedação (Cerâmica)</t>
        </is>
      </c>
    </row>
    <row r="67" ht="15.75" customHeight="1">
      <c r="A67" s="10">
        <f>COUNTIFS($B$2:$B$996,B67)</f>
        <v/>
      </c>
      <c r="B67" s="10" t="inlineStr">
        <is>
          <t>BLOCO CERÂMICO - 9X19X39cm</t>
        </is>
      </c>
      <c r="C67" s="11" t="inlineStr">
        <is>
          <t>UN</t>
        </is>
      </c>
      <c r="D67" s="2162">
        <f>E67*$D$1</f>
        <v/>
      </c>
      <c r="E67" s="2162" t="n">
        <v>0.99</v>
      </c>
      <c r="F67" s="2162" t="inlineStr">
        <is>
          <t>Alvenaria</t>
        </is>
      </c>
      <c r="G67" s="2162" t="inlineStr">
        <is>
          <t>Alvenaria vedação</t>
        </is>
      </c>
      <c r="H67" s="2162" t="n"/>
      <c r="I67" s="4" t="inlineStr">
        <is>
          <t>Elementos de Vedação (Cerâmica)</t>
        </is>
      </c>
    </row>
    <row r="68" ht="15.75" customHeight="1">
      <c r="A68" s="10">
        <f>COUNTIFS($B$2:$B$996,B68)</f>
        <v/>
      </c>
      <c r="B68" s="10" t="inlineStr">
        <is>
          <t>BLOCO CERÂMICO - 11,5X19X39cm</t>
        </is>
      </c>
      <c r="C68" s="11" t="inlineStr">
        <is>
          <t>UN</t>
        </is>
      </c>
      <c r="D68" s="2162">
        <f>E68*$D$1</f>
        <v/>
      </c>
      <c r="E68" s="2162">
        <f>E66*11.5/14</f>
        <v/>
      </c>
      <c r="F68" s="2162" t="inlineStr">
        <is>
          <t>Alvenaria</t>
        </is>
      </c>
      <c r="G68" s="2162" t="inlineStr">
        <is>
          <t>Alvenaria vedação</t>
        </is>
      </c>
      <c r="H68" s="2162" t="n"/>
      <c r="I68" s="4" t="inlineStr">
        <is>
          <t>Elementos de Vedação (Cerâmica)</t>
        </is>
      </c>
    </row>
    <row r="69" ht="15.75" customHeight="1">
      <c r="A69" s="10">
        <f>COUNTIFS($B$2:$B$996,B69)</f>
        <v/>
      </c>
      <c r="B69" s="10" t="inlineStr">
        <is>
          <t>BLOCO CERÂMICO - 19X19X39cm</t>
        </is>
      </c>
      <c r="C69" s="11" t="inlineStr">
        <is>
          <t>UN</t>
        </is>
      </c>
      <c r="D69" s="2162">
        <f>E69*$D$1</f>
        <v/>
      </c>
      <c r="E69" s="2162">
        <f>E66*19/14</f>
        <v/>
      </c>
      <c r="F69" s="2162" t="inlineStr">
        <is>
          <t>Alvenaria</t>
        </is>
      </c>
      <c r="G69" s="2162" t="inlineStr">
        <is>
          <t>Alvenaria vedação</t>
        </is>
      </c>
      <c r="H69" s="2162" t="n"/>
      <c r="I69" s="4" t="inlineStr">
        <is>
          <t>Elementos de Vedação (Cerâmica)</t>
        </is>
      </c>
    </row>
    <row r="70" ht="15.75" customHeight="1">
      <c r="A70" s="10">
        <f>COUNTIFS($B$2:$B$996,B70)</f>
        <v/>
      </c>
      <c r="B70" s="10" t="inlineStr">
        <is>
          <t>BLOCO CERÂMICO - 9X19X19cm</t>
        </is>
      </c>
      <c r="C70" s="11" t="inlineStr">
        <is>
          <t>UN</t>
        </is>
      </c>
      <c r="D70" s="2162">
        <f>E70*$D$1</f>
        <v/>
      </c>
      <c r="E70" s="2162" t="n">
        <v>0.99</v>
      </c>
      <c r="F70" s="2162" t="inlineStr">
        <is>
          <t>Alvenaria</t>
        </is>
      </c>
      <c r="G70" s="2162" t="inlineStr">
        <is>
          <t>Alvenaria vedação</t>
        </is>
      </c>
      <c r="H70" s="2162" t="n"/>
      <c r="I70" s="4" t="inlineStr">
        <is>
          <t>Elementos de Vedação (Cerâmica)</t>
        </is>
      </c>
    </row>
    <row r="71" ht="15.75" customHeight="1">
      <c r="A71" s="10">
        <f>COUNTIFS($B$2:$B$996,B71)</f>
        <v/>
      </c>
      <c r="B71" s="10" t="inlineStr">
        <is>
          <t>BLOCO CERÂMICO - 11,5X19X19cm</t>
        </is>
      </c>
      <c r="C71" s="11" t="inlineStr">
        <is>
          <t>UN</t>
        </is>
      </c>
      <c r="D71" s="2162">
        <f>E71*$D$1</f>
        <v/>
      </c>
      <c r="E71" s="2162" t="n">
        <v>1.24</v>
      </c>
      <c r="F71" s="2162" t="inlineStr">
        <is>
          <t>Alvenaria</t>
        </is>
      </c>
      <c r="G71" s="2162" t="inlineStr">
        <is>
          <t>Alvenaria vedação</t>
        </is>
      </c>
      <c r="H71" s="2162" t="n"/>
      <c r="I71" s="4" t="inlineStr">
        <is>
          <t>Elementos de Vedação (Cerâmica)</t>
        </is>
      </c>
    </row>
    <row r="72" ht="15.75" customHeight="1">
      <c r="A72" s="10">
        <f>COUNTIFS($B$2:$B$996,B72)</f>
        <v/>
      </c>
      <c r="B72" s="10" t="inlineStr">
        <is>
          <t>BLOCO CERÂMICO - 14X19X19cm</t>
        </is>
      </c>
      <c r="C72" s="11" t="inlineStr">
        <is>
          <t>UN</t>
        </is>
      </c>
      <c r="D72" s="2162">
        <f>E72*$D$1</f>
        <v/>
      </c>
      <c r="E72" s="2162" t="n">
        <v>2.6</v>
      </c>
      <c r="F72" s="2162" t="inlineStr">
        <is>
          <t>Alvenaria</t>
        </is>
      </c>
      <c r="G72" s="2162" t="inlineStr">
        <is>
          <t>Alvenaria vedação</t>
        </is>
      </c>
      <c r="H72" s="2162" t="n"/>
      <c r="I72" s="4" t="inlineStr">
        <is>
          <t>Elementos de Vedação (Cerâmica)</t>
        </is>
      </c>
    </row>
    <row r="73" ht="15.75" customHeight="1">
      <c r="A73" s="10">
        <f>COUNTIFS($B$2:$B$996,B73)</f>
        <v/>
      </c>
      <c r="B73" s="10" t="inlineStr">
        <is>
          <t>BLOCO CERÂMICO - 19X19X19cm</t>
        </is>
      </c>
      <c r="C73" s="11" t="inlineStr">
        <is>
          <t>UN</t>
        </is>
      </c>
      <c r="D73" s="2162">
        <f>E73*$D$1</f>
        <v/>
      </c>
      <c r="E73" s="2162" t="n">
        <v>1.59</v>
      </c>
      <c r="F73" s="2162" t="inlineStr">
        <is>
          <t>Alvenaria</t>
        </is>
      </c>
      <c r="G73" s="2162" t="inlineStr">
        <is>
          <t>Alvenaria vedação</t>
        </is>
      </c>
      <c r="H73" s="2162" t="n"/>
      <c r="I73" s="4" t="inlineStr">
        <is>
          <t>Elementos de Vedação (Cerâmica)</t>
        </is>
      </c>
    </row>
    <row r="74" ht="15.75" customHeight="1">
      <c r="A74" s="10">
        <f>COUNTIFS($B$2:$B$996,B74)</f>
        <v/>
      </c>
      <c r="B74" s="10" t="inlineStr">
        <is>
          <t>BLOCO DE VEDACAO CONCRETO 09X19X39 CM</t>
        </is>
      </c>
      <c r="C74" s="11" t="inlineStr">
        <is>
          <t>UN</t>
        </is>
      </c>
      <c r="D74" s="2162">
        <f>E74*$D$1</f>
        <v/>
      </c>
      <c r="E74" s="2162" t="n">
        <v>2.7</v>
      </c>
      <c r="F74" s="2162" t="inlineStr">
        <is>
          <t>Alvenaria</t>
        </is>
      </c>
      <c r="G74" s="2162" t="inlineStr">
        <is>
          <t>Alvenaria vedação</t>
        </is>
      </c>
      <c r="H74" s="2162" t="n"/>
      <c r="I74" s="4" t="inlineStr">
        <is>
          <t>Elementos de Vedação (Cerâmica)</t>
        </is>
      </c>
    </row>
    <row r="75" ht="15.75" customHeight="1">
      <c r="A75" s="10">
        <f>COUNTIFS($B$2:$B$996,B75)</f>
        <v/>
      </c>
      <c r="B75" s="10" t="inlineStr">
        <is>
          <t>BLOCO DE VEDACAO CONCRETO 11,5X19X39 CM</t>
        </is>
      </c>
      <c r="C75" s="11" t="inlineStr">
        <is>
          <t>UN</t>
        </is>
      </c>
      <c r="D75" s="2162">
        <f>E75*$D$1</f>
        <v/>
      </c>
      <c r="E75" s="2162">
        <f>E74/9*11.5</f>
        <v/>
      </c>
      <c r="F75" s="2162" t="inlineStr">
        <is>
          <t>Alvenaria</t>
        </is>
      </c>
      <c r="G75" s="2162" t="inlineStr">
        <is>
          <t>Alvenaria vedação</t>
        </is>
      </c>
      <c r="H75" s="2162" t="n"/>
      <c r="I75" s="4" t="inlineStr">
        <is>
          <t>Elementos de Vedação (Cerâmica)</t>
        </is>
      </c>
    </row>
    <row r="76" ht="15.75" customHeight="1">
      <c r="A76" s="10">
        <f>COUNTIFS($B$2:$B$996,B76)</f>
        <v/>
      </c>
      <c r="B76" s="10" t="inlineStr">
        <is>
          <t>BLOCO DE VEDACAO CONCRETO 19X19X39 CM</t>
        </is>
      </c>
      <c r="C76" s="11" t="inlineStr">
        <is>
          <t>UN</t>
        </is>
      </c>
      <c r="D76" s="2162">
        <f>E76*$D$1</f>
        <v/>
      </c>
      <c r="E76" s="2162">
        <f>E74/9*19</f>
        <v/>
      </c>
      <c r="F76" s="2162" t="inlineStr">
        <is>
          <t>Alvenaria</t>
        </is>
      </c>
      <c r="G76" s="2162" t="inlineStr">
        <is>
          <t>Alvenaria vedação</t>
        </is>
      </c>
      <c r="H76" s="2162" t="n"/>
      <c r="I76" s="4" t="inlineStr">
        <is>
          <t>Elementos de Vedação (Cerâmica)</t>
        </is>
      </c>
    </row>
    <row r="77" ht="15.75" customHeight="1">
      <c r="A77" s="10">
        <f>COUNTIFS($B$2:$B$996,B77)</f>
        <v/>
      </c>
      <c r="B77" s="10" t="inlineStr">
        <is>
          <t>ELEMENTO VAZADO CONCRETO QUADRADO</t>
        </is>
      </c>
      <c r="C77" s="11" t="inlineStr">
        <is>
          <t>UN</t>
        </is>
      </c>
      <c r="D77" s="2162">
        <f>E77*$D$1</f>
        <v/>
      </c>
      <c r="E77" s="2162" t="n">
        <v>15</v>
      </c>
      <c r="F77" s="2162" t="inlineStr">
        <is>
          <t>Alvenaria</t>
        </is>
      </c>
      <c r="G77" s="2162" t="inlineStr">
        <is>
          <t>Alvenaria vedação</t>
        </is>
      </c>
      <c r="H77" s="4" t="n"/>
      <c r="I77" s="4" t="inlineStr">
        <is>
          <t>Elementos de Vedação (Cerâmica)</t>
        </is>
      </c>
    </row>
    <row r="78" ht="15.75" customHeight="1">
      <c r="A78" s="10">
        <f>COUNTIFS($B$2:$B$996,B78)</f>
        <v/>
      </c>
      <c r="B78" s="10" t="inlineStr">
        <is>
          <t>ELEMENTO VAZADO CERAMICO QUADRADO</t>
        </is>
      </c>
      <c r="C78" s="11" t="inlineStr">
        <is>
          <t>UN</t>
        </is>
      </c>
      <c r="D78" s="2162">
        <f>E78*$D$1</f>
        <v/>
      </c>
      <c r="E78" s="2162" t="n">
        <v>11.99</v>
      </c>
      <c r="F78" s="2162" t="inlineStr">
        <is>
          <t>Alvenaria</t>
        </is>
      </c>
      <c r="G78" s="2162" t="inlineStr">
        <is>
          <t>Alvenaria vedação</t>
        </is>
      </c>
      <c r="H78" s="2162" t="n"/>
      <c r="I78" s="4" t="inlineStr">
        <is>
          <t>Elementos de Vedação (Cerâmica)</t>
        </is>
      </c>
    </row>
    <row r="79" ht="15.75" customHeight="1">
      <c r="A79" s="10">
        <f>COUNTIFS($B$2:$B$996,B79)</f>
        <v/>
      </c>
      <c r="B79" s="10" t="inlineStr">
        <is>
          <t>BLOCO DE VEDACAO CERAMICO MACIÇO 5,5X11,5X24 CM</t>
        </is>
      </c>
      <c r="C79" s="11" t="inlineStr">
        <is>
          <t>UN</t>
        </is>
      </c>
      <c r="D79" s="2162">
        <f>E79*$D$1</f>
        <v/>
      </c>
      <c r="E79" s="2162" t="n">
        <v>1.05</v>
      </c>
      <c r="F79" s="2162" t="inlineStr">
        <is>
          <t>Alvenaria</t>
        </is>
      </c>
      <c r="G79" s="2162" t="inlineStr">
        <is>
          <t>Alvenaria vedação</t>
        </is>
      </c>
      <c r="H79" s="2162" t="n"/>
      <c r="I79" s="4" t="inlineStr">
        <is>
          <t>Elementos de Vedação (Cerâmica)</t>
        </is>
      </c>
    </row>
    <row r="80" ht="15.75" customHeight="1">
      <c r="A80" s="10">
        <f>COUNTIFS($B$2:$B$996,B80)</f>
        <v/>
      </c>
      <c r="B80" s="10" t="inlineStr">
        <is>
          <t>BLOCO DE VEDACAO CERAMICO 09X19X29 CM</t>
        </is>
      </c>
      <c r="C80" s="11" t="inlineStr">
        <is>
          <t>UN</t>
        </is>
      </c>
      <c r="D80" s="2162">
        <f>E80*$D$1</f>
        <v/>
      </c>
      <c r="E80" s="2162" t="n">
        <v>1.18</v>
      </c>
      <c r="F80" s="2162" t="inlineStr">
        <is>
          <t>Alvenaria</t>
        </is>
      </c>
      <c r="G80" s="2162" t="inlineStr">
        <is>
          <t>Alvenaria vedação</t>
        </is>
      </c>
      <c r="H80" s="2162" t="n"/>
      <c r="I80" s="4" t="inlineStr">
        <is>
          <t>Elementos de Vedação (Cerâmica)</t>
        </is>
      </c>
    </row>
    <row r="81" ht="15.75" customHeight="1">
      <c r="A81" s="10">
        <f>COUNTIFS($B$2:$B$996,B81)</f>
        <v/>
      </c>
      <c r="B81" s="10" t="inlineStr">
        <is>
          <t>BLOCO DE VEDACAO CERAMICO 11,5X19X29 CM</t>
        </is>
      </c>
      <c r="C81" s="11" t="inlineStr">
        <is>
          <t>UN</t>
        </is>
      </c>
      <c r="D81" s="2162">
        <f>E81*$D$1</f>
        <v/>
      </c>
      <c r="E81" s="2162" t="n">
        <v>1.43</v>
      </c>
      <c r="F81" s="2162" t="inlineStr">
        <is>
          <t>Alvenaria</t>
        </is>
      </c>
      <c r="G81" s="2162" t="inlineStr">
        <is>
          <t>Alvenaria vedação</t>
        </is>
      </c>
      <c r="H81" s="2162" t="n"/>
      <c r="I81" s="4" t="inlineStr">
        <is>
          <t>Elementos de Vedação (Cerâmica)</t>
        </is>
      </c>
    </row>
    <row r="82" ht="15.75" customHeight="1">
      <c r="A82" s="10">
        <f>COUNTIFS($B$2:$B$996,B82)</f>
        <v/>
      </c>
      <c r="B82" s="10" t="inlineStr">
        <is>
          <t>BLOCO DE VEDACAO CERAMICO 14X19X29 CM</t>
        </is>
      </c>
      <c r="C82" s="11" t="inlineStr">
        <is>
          <t>UN</t>
        </is>
      </c>
      <c r="D82" s="2162">
        <f>E82*$D$1</f>
        <v/>
      </c>
      <c r="E82" s="2162" t="n">
        <v>1.72</v>
      </c>
      <c r="F82" s="2162" t="inlineStr">
        <is>
          <t>Alvenaria</t>
        </is>
      </c>
      <c r="G82" s="2162" t="inlineStr">
        <is>
          <t>Alvenaria vedação</t>
        </is>
      </c>
      <c r="H82" s="2162" t="n"/>
      <c r="I82" s="4" t="inlineStr">
        <is>
          <t>Elementos de Vedação (Cerâmica)</t>
        </is>
      </c>
    </row>
    <row r="83" ht="15.75" customHeight="1">
      <c r="A83" s="10">
        <f>COUNTIFS($B$2:$B$996,B83)</f>
        <v/>
      </c>
      <c r="B83" s="10" t="inlineStr">
        <is>
          <t>BLOCO DE VEDACAO CERAMICO 19X19X29 CM</t>
        </is>
      </c>
      <c r="C83" s="11" t="inlineStr">
        <is>
          <t>UN</t>
        </is>
      </c>
      <c r="D83" s="2162">
        <f>E83*$D$1</f>
        <v/>
      </c>
      <c r="E83" s="2162">
        <f>E82/14*19</f>
        <v/>
      </c>
      <c r="F83" s="2162" t="inlineStr">
        <is>
          <t>Alvenaria</t>
        </is>
      </c>
      <c r="G83" s="2162" t="inlineStr">
        <is>
          <t>Alvenaria vedação</t>
        </is>
      </c>
      <c r="H83" s="2162" t="n"/>
      <c r="I83" s="4" t="inlineStr">
        <is>
          <t>Elementos de Vedação (Cerâmica)</t>
        </is>
      </c>
    </row>
    <row r="84" ht="15.75" customHeight="1">
      <c r="A84" s="10">
        <f>COUNTIFS($B$2:$B$996,B84)</f>
        <v/>
      </c>
      <c r="B84" s="15" t="inlineStr">
        <is>
          <t>Bloco Concreto Celular 7,5x30x60</t>
        </is>
      </c>
      <c r="C84" s="11" t="inlineStr">
        <is>
          <t>M3</t>
        </is>
      </c>
      <c r="D84" s="2162">
        <f>E84*$D$1</f>
        <v/>
      </c>
      <c r="E84" s="2162" t="n">
        <v>10.71</v>
      </c>
      <c r="F84" s="2162" t="inlineStr">
        <is>
          <t>Argamassa</t>
        </is>
      </c>
      <c r="G84" s="2162" t="inlineStr">
        <is>
          <t>Sical</t>
        </is>
      </c>
      <c r="H84" s="2162" t="n"/>
      <c r="I84" s="4" t="inlineStr">
        <is>
          <t>Argamassa</t>
        </is>
      </c>
    </row>
    <row r="85" ht="15.75" customHeight="1">
      <c r="A85" s="10">
        <f>COUNTIFS($B$2:$B$996,B85)</f>
        <v/>
      </c>
      <c r="B85" s="15" t="inlineStr">
        <is>
          <t>Bloco Concreto Celular 10x30x60</t>
        </is>
      </c>
      <c r="C85" s="11" t="inlineStr">
        <is>
          <t>M3</t>
        </is>
      </c>
      <c r="D85" s="2162">
        <f>E85*$D$1</f>
        <v/>
      </c>
      <c r="E85" s="2162" t="n">
        <v>12.41</v>
      </c>
      <c r="F85" s="2162" t="inlineStr">
        <is>
          <t>Argamassa</t>
        </is>
      </c>
      <c r="G85" s="2162" t="inlineStr">
        <is>
          <t>Sical</t>
        </is>
      </c>
      <c r="H85" s="2162" t="n"/>
      <c r="I85" s="4" t="inlineStr">
        <is>
          <t>Argamassa</t>
        </is>
      </c>
    </row>
    <row r="86" ht="15.75" customHeight="1">
      <c r="A86" s="10">
        <f>COUNTIFS($B$2:$B$996,B86)</f>
        <v/>
      </c>
      <c r="B86" s="15" t="inlineStr">
        <is>
          <t>Bloco Concreto Celular 12,5x30x60</t>
        </is>
      </c>
      <c r="C86" s="11" t="inlineStr">
        <is>
          <t>M3</t>
        </is>
      </c>
      <c r="D86" s="2162">
        <f>E86*$D$1</f>
        <v/>
      </c>
      <c r="E86" s="2162" t="n">
        <v>17.91</v>
      </c>
      <c r="F86" s="2162" t="inlineStr">
        <is>
          <t>Argamassa</t>
        </is>
      </c>
      <c r="G86" s="2162" t="inlineStr">
        <is>
          <t>Sical</t>
        </is>
      </c>
      <c r="H86" s="2162" t="n"/>
      <c r="I86" s="4" t="inlineStr">
        <is>
          <t>Argamassa</t>
        </is>
      </c>
    </row>
    <row r="87" ht="15.75" customHeight="1">
      <c r="A87" s="10">
        <f>COUNTIFS($B$2:$B$996,B87)</f>
        <v/>
      </c>
      <c r="B87" s="15" t="inlineStr">
        <is>
          <t>Bloco Concreto Celular 15x30x60</t>
        </is>
      </c>
      <c r="C87" s="11" t="inlineStr">
        <is>
          <t>M3</t>
        </is>
      </c>
      <c r="D87" s="2162">
        <f>E87*$D$1</f>
        <v/>
      </c>
      <c r="E87" s="2162" t="n">
        <v>16.44</v>
      </c>
      <c r="F87" s="2162" t="inlineStr">
        <is>
          <t>Argamassa</t>
        </is>
      </c>
      <c r="G87" s="2162" t="inlineStr">
        <is>
          <t>Sical</t>
        </is>
      </c>
      <c r="H87" s="2162" t="n"/>
      <c r="I87" s="4" t="inlineStr">
        <is>
          <t>Argamassa</t>
        </is>
      </c>
    </row>
    <row r="88" ht="14.25" customHeight="1">
      <c r="A88" s="10">
        <f>COUNTIFS($B$2:$B$996,B88)</f>
        <v/>
      </c>
      <c r="B88" s="87" t="inlineStr">
        <is>
          <t>ARGAMASSA TRAÇO 1:3 (EM VOLUME DE CIMENTO E AREIA GROSSA ÚMIDA) PARA CONTRAPISO TIPO FAROFA</t>
        </is>
      </c>
      <c r="C88" s="83" t="inlineStr">
        <is>
          <t>M3</t>
        </is>
      </c>
      <c r="D88" s="2165">
        <f>E88*$D$1</f>
        <v/>
      </c>
      <c r="E88" s="2165" t="n">
        <v>43.48</v>
      </c>
      <c r="F88" s="2165" t="inlineStr">
        <is>
          <t>Argamassa</t>
        </is>
      </c>
      <c r="G88" s="2165" t="inlineStr">
        <is>
          <t>Argamassa de Assentamento de Revestimentos</t>
        </is>
      </c>
      <c r="H88" s="2165" t="n"/>
      <c r="I88" s="85" t="inlineStr">
        <is>
          <t>Argamassa</t>
        </is>
      </c>
    </row>
    <row r="89" ht="15.75" customHeight="1">
      <c r="A89" s="10">
        <f>COUNTIFS($B$2:$B$996,B89)</f>
        <v/>
      </c>
      <c r="B89" s="15" t="inlineStr">
        <is>
          <t xml:space="preserve">ARGAMASSA TRAÇO 1:4 (EM VOLUME DE CIMENTO E AREIA GROSSA ÚMIDA) PARA CHAPISCO CONVENCIONAL, PREPARO MANUAL. </t>
        </is>
      </c>
      <c r="C89" s="11" t="inlineStr">
        <is>
          <t>M3</t>
        </is>
      </c>
      <c r="D89" s="2162">
        <f>E89*$D$1</f>
        <v/>
      </c>
      <c r="E89" s="2162" t="n">
        <v>657.89</v>
      </c>
      <c r="F89" s="2162" t="inlineStr">
        <is>
          <t>Argamassa</t>
        </is>
      </c>
      <c r="G89" s="2162" t="inlineStr">
        <is>
          <t>Argamassa de Assentamento de Revestimentos</t>
        </is>
      </c>
      <c r="H89" s="2162" t="n"/>
      <c r="I89" s="4" t="inlineStr">
        <is>
          <t>Argamassa</t>
        </is>
      </c>
    </row>
    <row r="90" ht="15.75" customHeight="1">
      <c r="A90" s="10">
        <f>COUNTIFS($B$2:$B$996,B90)</f>
        <v/>
      </c>
      <c r="B90" s="15" t="inlineStr">
        <is>
          <t xml:space="preserve">ARGAMASSA TRAÇO 1:5 (EM VOLUME DE CIMENTO E AREIA GROSSA ÚMIDA) PARA CHAPISCO CONVENCIONAL, PREPARO MANUAL. </t>
        </is>
      </c>
      <c r="C90" s="11" t="inlineStr">
        <is>
          <t>M3</t>
        </is>
      </c>
      <c r="D90" s="2162">
        <f>E90*$D$1</f>
        <v/>
      </c>
      <c r="E90" s="2162" t="n">
        <v>633.27</v>
      </c>
      <c r="F90" s="2162" t="inlineStr">
        <is>
          <t>Argamassa</t>
        </is>
      </c>
      <c r="G90" s="2162" t="inlineStr">
        <is>
          <t>Argamassa de Assentamento de Revestimentos</t>
        </is>
      </c>
      <c r="H90" s="2162" t="n"/>
      <c r="I90" s="4" t="inlineStr">
        <is>
          <t>Argamassa</t>
        </is>
      </c>
    </row>
    <row r="91" ht="15.75" customHeight="1">
      <c r="A91" s="10">
        <f>COUNTIFS($B$2:$B$996,B91)</f>
        <v/>
      </c>
      <c r="B91" s="10" t="inlineStr">
        <is>
          <t>ARGAMASSA ENSACADA P/ASSENTAMENTO BLOCO 04MPA NBR 13281</t>
        </is>
      </c>
      <c r="C91" s="11" t="inlineStr">
        <is>
          <t>KG</t>
        </is>
      </c>
      <c r="D91" s="2162">
        <f>E91*$D$1</f>
        <v/>
      </c>
      <c r="E91" s="2162" t="n">
        <v>0.46</v>
      </c>
      <c r="F91" s="2162" t="inlineStr">
        <is>
          <t>Argamassa</t>
        </is>
      </c>
      <c r="G91" s="2162" t="inlineStr">
        <is>
          <t>Argamassa de Assentamento Bloco</t>
        </is>
      </c>
      <c r="H91" s="2162" t="n"/>
      <c r="I91" s="4" t="inlineStr">
        <is>
          <t>Argamassa</t>
        </is>
      </c>
    </row>
    <row r="92" ht="15.75" customHeight="1">
      <c r="A92" s="10">
        <f>COUNTIFS($B$2:$B$996,B92)</f>
        <v/>
      </c>
      <c r="B92" s="10" t="inlineStr">
        <is>
          <t>Massa cimentícia armada</t>
        </is>
      </c>
      <c r="C92" s="11" t="inlineStr">
        <is>
          <t>KG</t>
        </is>
      </c>
      <c r="D92" s="2162">
        <f>E92*$D$1</f>
        <v/>
      </c>
      <c r="E92" s="2162">
        <f>274.9/15</f>
        <v/>
      </c>
      <c r="F92" s="2162" t="inlineStr">
        <is>
          <t>Argamassa</t>
        </is>
      </c>
      <c r="G92" s="2162" t="inlineStr">
        <is>
          <t>Argamassa de Assentamento Bloco</t>
        </is>
      </c>
      <c r="H92" s="2162" t="n"/>
      <c r="I92" s="4" t="inlineStr">
        <is>
          <t>Argamassa</t>
        </is>
      </c>
    </row>
    <row r="93" ht="15.75" customHeight="1">
      <c r="A93" s="10">
        <f>COUNTIFS($B$2:$B$996,B93)</f>
        <v/>
      </c>
      <c r="B93" s="10" t="inlineStr">
        <is>
          <t>Argamassa para encunhamento</t>
        </is>
      </c>
      <c r="C93" s="11" t="inlineStr">
        <is>
          <t>kg</t>
        </is>
      </c>
      <c r="D93" s="2162">
        <f>E93*$D$1</f>
        <v/>
      </c>
      <c r="E93" s="2162" t="n">
        <v>2.562</v>
      </c>
      <c r="F93" s="2162" t="inlineStr">
        <is>
          <t>Argamassa</t>
        </is>
      </c>
      <c r="G93" s="2162" t="inlineStr">
        <is>
          <t>Argamassa Diversas</t>
        </is>
      </c>
      <c r="H93" s="2162" t="n"/>
      <c r="I93" s="4" t="inlineStr">
        <is>
          <t>Argamassa</t>
        </is>
      </c>
    </row>
    <row r="94" ht="15.75" customHeight="1">
      <c r="A94" s="10">
        <f>COUNTIFS($B$2:$B$996,B94)</f>
        <v/>
      </c>
      <c r="B94" s="10" t="inlineStr">
        <is>
          <t>Argamassa ACIII</t>
        </is>
      </c>
      <c r="C94" s="11" t="inlineStr">
        <is>
          <t>KG</t>
        </is>
      </c>
      <c r="D94" s="2162">
        <f>E94*$D$1</f>
        <v/>
      </c>
      <c r="E94" s="2162">
        <f>21.29/20</f>
        <v/>
      </c>
      <c r="F94" s="2162" t="inlineStr">
        <is>
          <t>Argamassa</t>
        </is>
      </c>
      <c r="G94" s="2162" t="inlineStr">
        <is>
          <t>Argamassa de Assentamento de Revestimentos</t>
        </is>
      </c>
      <c r="H94" s="2162" t="n"/>
      <c r="I94" s="4" t="inlineStr">
        <is>
          <t>Argamassa</t>
        </is>
      </c>
    </row>
    <row r="95" ht="15.75" customHeight="1">
      <c r="A95" s="10">
        <f>COUNTIFS($B$2:$B$996,B95)</f>
        <v/>
      </c>
      <c r="B95" s="10" t="inlineStr">
        <is>
          <t>Argamassa ACII</t>
        </is>
      </c>
      <c r="C95" s="11" t="inlineStr">
        <is>
          <t>KG</t>
        </is>
      </c>
      <c r="D95" s="2162">
        <f>E95*$D$1</f>
        <v/>
      </c>
      <c r="E95" s="2162">
        <f>19/20</f>
        <v/>
      </c>
      <c r="F95" s="2162" t="inlineStr">
        <is>
          <t>Argamassa</t>
        </is>
      </c>
      <c r="G95" s="2162" t="inlineStr">
        <is>
          <t>Argamassa de Assentamento de Revestimentos</t>
        </is>
      </c>
      <c r="H95" s="2162" t="n"/>
      <c r="I95" s="4" t="inlineStr">
        <is>
          <t>Argamassa</t>
        </is>
      </c>
    </row>
    <row r="96" ht="15.75" customHeight="1">
      <c r="A96" s="10">
        <f>COUNTIFS($B$2:$B$996,B96)</f>
        <v/>
      </c>
      <c r="B96" s="10" t="inlineStr">
        <is>
          <t>ARGAMASSA ENSACADA PARA CONTRAPISO</t>
        </is>
      </c>
      <c r="C96" s="11" t="inlineStr">
        <is>
          <t>KG</t>
        </is>
      </c>
      <c r="D96" s="2162">
        <f>E96*$D$1</f>
        <v/>
      </c>
      <c r="E96" s="2162" t="n">
        <v>4</v>
      </c>
      <c r="F96" s="2162" t="inlineStr">
        <is>
          <t>Argamassa</t>
        </is>
      </c>
      <c r="G96" s="2162" t="inlineStr">
        <is>
          <t>Argamassa de Assentamento de Revestimentos</t>
        </is>
      </c>
      <c r="H96" s="2162" t="n"/>
      <c r="I96" s="4" t="inlineStr">
        <is>
          <t>Argamassa</t>
        </is>
      </c>
    </row>
    <row r="97" ht="15.75" customHeight="1">
      <c r="A97" s="10">
        <f>COUNTIFS($B$2:$B$996,B97)</f>
        <v/>
      </c>
      <c r="B97" s="10" t="inlineStr">
        <is>
          <t>ARGAMASSA COLANTE AC II</t>
        </is>
      </c>
      <c r="C97" s="11" t="inlineStr">
        <is>
          <t>KG</t>
        </is>
      </c>
      <c r="D97" s="2162">
        <f>E97*$D$1</f>
        <v/>
      </c>
      <c r="E97" s="2162" t="n">
        <v>1.36</v>
      </c>
      <c r="F97" s="2162" t="inlineStr">
        <is>
          <t>Argamassa</t>
        </is>
      </c>
      <c r="G97" s="2162" t="inlineStr">
        <is>
          <t>Argamassa de Assentamento de Revestimentos</t>
        </is>
      </c>
      <c r="H97" s="2162" t="n"/>
      <c r="I97" s="4" t="inlineStr">
        <is>
          <t>Argamassa</t>
        </is>
      </c>
    </row>
    <row r="98" ht="15.75" customHeight="1">
      <c r="A98" s="10">
        <f>COUNTIFS($B$2:$B$996,B98)</f>
        <v/>
      </c>
      <c r="B98" s="10" t="inlineStr">
        <is>
          <t>Argamassa industrializada para Para Chapisco Colante</t>
        </is>
      </c>
      <c r="C98" s="11" t="inlineStr">
        <is>
          <t>KG</t>
        </is>
      </c>
      <c r="D98" s="2162">
        <f>E98*$D$1</f>
        <v/>
      </c>
      <c r="E98" s="2162" t="n">
        <v>0.8</v>
      </c>
      <c r="F98" s="2162" t="inlineStr">
        <is>
          <t>Argamassa</t>
        </is>
      </c>
      <c r="G98" s="2162" t="inlineStr">
        <is>
          <t>Argamassa Diversas</t>
        </is>
      </c>
      <c r="H98" s="2162" t="n"/>
      <c r="I98" s="4" t="inlineStr">
        <is>
          <t>Argamassa</t>
        </is>
      </c>
    </row>
    <row r="99" ht="15.75" customHeight="1">
      <c r="A99" s="10">
        <f>COUNTIFS($B$2:$B$996,B99)</f>
        <v/>
      </c>
      <c r="B99" s="10" t="inlineStr">
        <is>
          <t>Argamassa industrializada para Para Reboco</t>
        </is>
      </c>
      <c r="C99" s="11" t="inlineStr">
        <is>
          <t>KG</t>
        </is>
      </c>
      <c r="D99" s="2162">
        <f>E99*$D$1</f>
        <v/>
      </c>
      <c r="E99" s="2162" t="n">
        <v>0.95</v>
      </c>
      <c r="F99" s="2162" t="inlineStr">
        <is>
          <t>Argamassa</t>
        </is>
      </c>
      <c r="G99" s="2162" t="inlineStr">
        <is>
          <t>Argamassa Diversas</t>
        </is>
      </c>
      <c r="H99" s="2162" t="n"/>
      <c r="I99" s="4" t="inlineStr">
        <is>
          <t>Argamassa</t>
        </is>
      </c>
    </row>
    <row r="100" ht="15.75" customHeight="1">
      <c r="A100" s="10">
        <f>COUNTIFS($B$2:$B$996,B100)</f>
        <v/>
      </c>
      <c r="B100" s="10" t="inlineStr">
        <is>
          <t>Massa Dundun Para Assentamento De Tijolos E Blocos</t>
        </is>
      </c>
      <c r="C100" s="11" t="inlineStr">
        <is>
          <t>KG</t>
        </is>
      </c>
      <c r="D100" s="2162">
        <f>E100*$D$1</f>
        <v/>
      </c>
      <c r="E100" s="2162" t="n">
        <v>19.116</v>
      </c>
      <c r="F100" s="2162" t="inlineStr">
        <is>
          <t>Argamassa</t>
        </is>
      </c>
      <c r="G100" s="2162" t="inlineStr">
        <is>
          <t>Argamassa Diversas</t>
        </is>
      </c>
      <c r="H100" s="2162" t="n"/>
      <c r="I100" s="4" t="inlineStr">
        <is>
          <t>Argamassa</t>
        </is>
      </c>
    </row>
    <row r="101" ht="15.75" customHeight="1">
      <c r="A101" s="10">
        <f>COUNTIFS($B$2:$B$996,B101)</f>
        <v/>
      </c>
      <c r="B101" s="10" t="inlineStr">
        <is>
          <t>ARGAMASSA REFRATÁRIA</t>
        </is>
      </c>
      <c r="C101" s="11" t="inlineStr">
        <is>
          <t>M3</t>
        </is>
      </c>
      <c r="D101" s="2162">
        <f>E101*$D$1</f>
        <v/>
      </c>
      <c r="E101" s="2162" t="n">
        <v>1.75</v>
      </c>
      <c r="F101" s="2162" t="inlineStr">
        <is>
          <t>Argamassa</t>
        </is>
      </c>
      <c r="G101" s="2162" t="inlineStr">
        <is>
          <t>Argamassa Diversas</t>
        </is>
      </c>
      <c r="H101" s="2162" t="n"/>
      <c r="I101" s="4" t="inlineStr">
        <is>
          <t>Argamassa</t>
        </is>
      </c>
    </row>
    <row r="102" ht="15.75" customHeight="1">
      <c r="A102" s="10">
        <f>COUNTIFS($B$2:$B$996,B102)</f>
        <v/>
      </c>
      <c r="B102" s="10" t="inlineStr">
        <is>
          <t>Argamassa Usinada para emboço/massa única</t>
        </is>
      </c>
      <c r="C102" s="11" t="inlineStr">
        <is>
          <t>M3</t>
        </is>
      </c>
      <c r="D102" s="2162">
        <f>E102*$D$1</f>
        <v/>
      </c>
      <c r="E102" s="2162" t="n">
        <v>415</v>
      </c>
      <c r="F102" s="2162" t="inlineStr">
        <is>
          <t>Argamassa</t>
        </is>
      </c>
      <c r="G102" s="2162" t="inlineStr">
        <is>
          <t>Argamassa Diversas</t>
        </is>
      </c>
      <c r="H102" s="2162" t="inlineStr">
        <is>
          <t>VALOR GESSELE</t>
        </is>
      </c>
      <c r="I102" s="4" t="inlineStr">
        <is>
          <t>Argamassa</t>
        </is>
      </c>
    </row>
    <row r="103" ht="15.75" customHeight="1">
      <c r="A103" s="10">
        <f>COUNTIFS($B$2:$B$996,B103)</f>
        <v/>
      </c>
      <c r="B103" s="10" t="inlineStr">
        <is>
          <t>Bombeamento Argamassa Usinada para emboço/massa única</t>
        </is>
      </c>
      <c r="C103" s="11" t="inlineStr">
        <is>
          <t>M3</t>
        </is>
      </c>
      <c r="D103" s="2162">
        <f>E103*$D$1</f>
        <v/>
      </c>
      <c r="E103" s="2162" t="n">
        <v>45</v>
      </c>
      <c r="F103" s="2162" t="inlineStr">
        <is>
          <t>Argamassa</t>
        </is>
      </c>
      <c r="G103" s="2162" t="inlineStr">
        <is>
          <t>Argamassa Diversas</t>
        </is>
      </c>
      <c r="H103" s="2162" t="inlineStr">
        <is>
          <t>VALOR GESSELE</t>
        </is>
      </c>
      <c r="I103" s="4" t="inlineStr">
        <is>
          <t>Argamassa</t>
        </is>
      </c>
    </row>
    <row r="104" ht="15.75" customHeight="1">
      <c r="A104" s="10">
        <f>COUNTIFS($B$2:$B$996,B104)</f>
        <v/>
      </c>
      <c r="B104" s="10" t="inlineStr">
        <is>
          <t>Argamassa usninada para contrapiso</t>
        </is>
      </c>
      <c r="C104" s="11" t="inlineStr">
        <is>
          <t>M3</t>
        </is>
      </c>
      <c r="D104" s="2162">
        <f>E104*$D$1</f>
        <v/>
      </c>
      <c r="E104" s="2162" t="n">
        <v>550</v>
      </c>
      <c r="F104" s="2162" t="inlineStr">
        <is>
          <t>Argamassa</t>
        </is>
      </c>
      <c r="G104" s="2162" t="inlineStr">
        <is>
          <t>Argamassa Diversas</t>
        </is>
      </c>
      <c r="H104" s="2162" t="n"/>
      <c r="I104" s="4" t="inlineStr">
        <is>
          <t>Argamassa</t>
        </is>
      </c>
    </row>
    <row r="105" ht="15.75" customHeight="1">
      <c r="A105" s="10">
        <f>COUNTIFS($B$2:$B$996,B105)</f>
        <v/>
      </c>
      <c r="B105" s="10" t="inlineStr">
        <is>
          <t>Argamassa usninada para contrapiso nivelada</t>
        </is>
      </c>
      <c r="C105" s="11" t="inlineStr">
        <is>
          <t>M3</t>
        </is>
      </c>
      <c r="D105" s="2162">
        <f>E105*$D$1</f>
        <v/>
      </c>
      <c r="E105" s="2162" t="n">
        <v>515</v>
      </c>
      <c r="F105" s="2162" t="inlineStr">
        <is>
          <t>Argamassa</t>
        </is>
      </c>
      <c r="G105" s="2162" t="inlineStr">
        <is>
          <t>Argamassa Diversas</t>
        </is>
      </c>
      <c r="H105" s="2162" t="inlineStr">
        <is>
          <t>VALOR GESSELE</t>
        </is>
      </c>
      <c r="I105" s="4" t="inlineStr">
        <is>
          <t>Argamassa</t>
        </is>
      </c>
    </row>
    <row r="106" ht="15.75" customHeight="1">
      <c r="A106" s="10">
        <f>COUNTIFS($B$2:$B$996,B106)</f>
        <v/>
      </c>
      <c r="B106" s="10" t="inlineStr">
        <is>
          <t>Argila expandida</t>
        </is>
      </c>
      <c r="C106" s="11" t="inlineStr">
        <is>
          <t>KG</t>
        </is>
      </c>
      <c r="D106" s="2162">
        <f>E106*$D$1</f>
        <v/>
      </c>
      <c r="E106" s="2162" t="n">
        <v>2.945</v>
      </c>
      <c r="F106" s="2162" t="inlineStr">
        <is>
          <t>Argamassa</t>
        </is>
      </c>
      <c r="G106" s="2162" t="inlineStr">
        <is>
          <t>Argamassa Diversas</t>
        </is>
      </c>
      <c r="H106" s="2162" t="n"/>
      <c r="I106" s="4" t="inlineStr">
        <is>
          <t>Argamassa</t>
        </is>
      </c>
    </row>
    <row r="107" ht="15.75" customHeight="1">
      <c r="A107" s="10">
        <f>COUNTIFS($B$2:$B$996,B107)</f>
        <v/>
      </c>
      <c r="B107" s="10" t="inlineStr">
        <is>
          <t>ARGAMASSA ESTABILIZADA PARA ASSENTAMENTO</t>
        </is>
      </c>
      <c r="C107" s="11" t="inlineStr">
        <is>
          <t>M3</t>
        </is>
      </c>
      <c r="D107" s="2162">
        <f>E107*$D$1</f>
        <v/>
      </c>
      <c r="E107" s="2162" t="n">
        <v>425</v>
      </c>
      <c r="F107" s="2162" t="inlineStr">
        <is>
          <t>Argamassa</t>
        </is>
      </c>
      <c r="G107" s="2162" t="inlineStr">
        <is>
          <t>Argamassa Usinada</t>
        </is>
      </c>
      <c r="H107" s="2162" t="n"/>
      <c r="I107" s="4" t="inlineStr">
        <is>
          <t>Argamassa</t>
        </is>
      </c>
    </row>
    <row r="108" ht="15.75" customHeight="1">
      <c r="A108" s="10">
        <f>COUNTIFS($B$2:$B$996,B108)</f>
        <v/>
      </c>
      <c r="B108" s="10" t="inlineStr">
        <is>
          <t>ARGAMASSA ESTABILIZADA PARA CHAPISCO</t>
        </is>
      </c>
      <c r="C108" s="11" t="inlineStr">
        <is>
          <t>M3</t>
        </is>
      </c>
      <c r="D108" s="2162">
        <f>E108*$D$1</f>
        <v/>
      </c>
      <c r="E108" s="2162" t="n">
        <v>480</v>
      </c>
      <c r="F108" s="2162" t="inlineStr">
        <is>
          <t>Argamassa</t>
        </is>
      </c>
      <c r="G108" s="2162" t="inlineStr">
        <is>
          <t>Argamassa Usinada</t>
        </is>
      </c>
      <c r="H108" s="2162" t="n"/>
      <c r="I108" s="4" t="inlineStr">
        <is>
          <t>Argamassa</t>
        </is>
      </c>
    </row>
    <row r="109" ht="15.75" customHeight="1">
      <c r="A109" s="10">
        <f>COUNTIFS($B$2:$B$996,B109)</f>
        <v/>
      </c>
      <c r="B109" s="10" t="inlineStr">
        <is>
          <t>ARGAMASSA INDUSTRIALIZADA MULTIUSO, PARA REVESTIMENTO INTERNO E EXTERNO E ASSENTAMENTO DE BLOCOS DIVERSOS</t>
        </is>
      </c>
      <c r="C109" s="11" t="inlineStr">
        <is>
          <t>M3</t>
        </is>
      </c>
      <c r="D109" s="2162">
        <f>E109*$D$1</f>
        <v/>
      </c>
      <c r="E109" s="2162" t="n">
        <v>425</v>
      </c>
      <c r="F109" s="2162" t="inlineStr">
        <is>
          <t>Argamassa</t>
        </is>
      </c>
      <c r="G109" s="2162" t="inlineStr">
        <is>
          <t>Argamassa Usinada</t>
        </is>
      </c>
      <c r="H109" s="2162" t="n"/>
      <c r="I109" s="4" t="inlineStr">
        <is>
          <t>Argamassa</t>
        </is>
      </c>
    </row>
    <row r="110" ht="15.75" customHeight="1">
      <c r="A110" s="10">
        <f>COUNTIFS($B$2:$B$996,B110)</f>
        <v/>
      </c>
      <c r="B110" s="10" t="inlineStr">
        <is>
          <t>PISO INTERTRAVADO CONCRETO SEXTAVADO 35MPA 30X30X06CM NATURAL</t>
        </is>
      </c>
      <c r="C110" s="11" t="inlineStr">
        <is>
          <t>M2</t>
        </is>
      </c>
      <c r="D110" s="2162">
        <f>E110*$D$1</f>
        <v/>
      </c>
      <c r="E110" s="2162" t="n">
        <v>75.90000000000001</v>
      </c>
      <c r="F110" s="2162" t="inlineStr">
        <is>
          <t>Artefatos de concreto</t>
        </is>
      </c>
      <c r="G110" s="2162" t="inlineStr">
        <is>
          <t>Artefatos de concreto</t>
        </is>
      </c>
      <c r="H110" s="2162" t="n"/>
      <c r="I110" s="4" t="inlineStr">
        <is>
          <t>Concretos</t>
        </is>
      </c>
    </row>
    <row r="111" ht="15.75" customHeight="1">
      <c r="A111" s="10">
        <f>COUNTIFS($B$2:$B$996,B111)</f>
        <v/>
      </c>
      <c r="B111" s="10" t="inlineStr">
        <is>
          <t>Ladrilho hidráulico 20x20 cm</t>
        </is>
      </c>
      <c r="C111" s="11" t="inlineStr">
        <is>
          <t>M2</t>
        </is>
      </c>
      <c r="D111" s="2162">
        <f>E111*$D$1</f>
        <v/>
      </c>
      <c r="E111" s="2162" t="n">
        <v>180</v>
      </c>
      <c r="F111" s="2162" t="inlineStr">
        <is>
          <t>Artefatos de concreto</t>
        </is>
      </c>
      <c r="G111" s="2162" t="inlineStr">
        <is>
          <t>Artefatos de concreto</t>
        </is>
      </c>
      <c r="H111" s="2162" t="n"/>
      <c r="I111" s="4" t="inlineStr">
        <is>
          <t>Concretos</t>
        </is>
      </c>
    </row>
    <row r="112" ht="15.75" customHeight="1">
      <c r="A112" s="10">
        <f>COUNTIFS($B$2:$B$996,B112)</f>
        <v/>
      </c>
      <c r="B112" s="10" t="inlineStr">
        <is>
          <t xml:space="preserve">Piso Intertravado Retangular 10x20x08 </t>
        </is>
      </c>
      <c r="C112" s="11" t="inlineStr">
        <is>
          <t>M2</t>
        </is>
      </c>
      <c r="D112" s="2162">
        <f>E112*$D$1</f>
        <v/>
      </c>
      <c r="E112" s="2162" t="n">
        <v>65.90000000000001</v>
      </c>
      <c r="F112" s="2162" t="inlineStr">
        <is>
          <t>Artefatos de concreto</t>
        </is>
      </c>
      <c r="G112" s="2162" t="inlineStr">
        <is>
          <t>Artefatos de concreto</t>
        </is>
      </c>
      <c r="H112" s="2162" t="n"/>
      <c r="I112" s="4" t="inlineStr">
        <is>
          <t>Concretos</t>
        </is>
      </c>
    </row>
    <row r="113" ht="15.75" customHeight="1">
      <c r="A113" s="10">
        <f>COUNTIFS($B$2:$B$996,B113)</f>
        <v/>
      </c>
      <c r="B113" s="10" t="inlineStr">
        <is>
          <t>Piso Podotátil Alerta Amarelo 20x20cm Cimartex</t>
        </is>
      </c>
      <c r="C113" s="11" t="inlineStr">
        <is>
          <t>M2</t>
        </is>
      </c>
      <c r="D113" s="2162">
        <f>E113*$D$1</f>
        <v/>
      </c>
      <c r="E113" s="2162" t="n">
        <v>102.9</v>
      </c>
      <c r="F113" s="2162" t="inlineStr">
        <is>
          <t>Artefatos de concreto</t>
        </is>
      </c>
      <c r="G113" s="2162" t="inlineStr">
        <is>
          <t>Artefatos de concreto</t>
        </is>
      </c>
      <c r="H113" s="2162" t="n"/>
      <c r="I113" s="4" t="inlineStr">
        <is>
          <t>Concretos</t>
        </is>
      </c>
    </row>
    <row r="114" ht="15.75" customHeight="1">
      <c r="A114" s="10">
        <f>COUNTIFS($B$2:$B$996,B114)</f>
        <v/>
      </c>
      <c r="B114" s="10" t="inlineStr">
        <is>
          <t>Tampo de Granito, para Lavatório com saia e rodamão</t>
        </is>
      </c>
      <c r="C114" s="11" t="inlineStr">
        <is>
          <t>M²</t>
        </is>
      </c>
      <c r="D114" s="2162">
        <f>E114*$D$1</f>
        <v/>
      </c>
      <c r="E114" s="2162" t="n">
        <v>750</v>
      </c>
      <c r="F114" s="2162" t="inlineStr">
        <is>
          <t>Bancadas</t>
        </is>
      </c>
      <c r="G114" s="2162" t="inlineStr">
        <is>
          <t>Bancadas</t>
        </is>
      </c>
      <c r="H114" s="2162" t="n"/>
      <c r="I114" s="4" t="inlineStr">
        <is>
          <t>Louças e Acessórios</t>
        </is>
      </c>
    </row>
    <row r="115" ht="15.75" customHeight="1">
      <c r="A115" s="10">
        <f>COUNTIFS($B$2:$B$996,B115)</f>
        <v/>
      </c>
      <c r="B115" s="10" t="inlineStr">
        <is>
          <t>Tampo de Granito, para pia com saia e rodamão</t>
        </is>
      </c>
      <c r="C115" s="11" t="inlineStr">
        <is>
          <t>M²</t>
        </is>
      </c>
      <c r="D115" s="2162">
        <f>E115*$D$1</f>
        <v/>
      </c>
      <c r="E115" s="2162" t="n">
        <v>750</v>
      </c>
      <c r="F115" s="2162" t="inlineStr">
        <is>
          <t>Bancadas</t>
        </is>
      </c>
      <c r="G115" s="2162" t="inlineStr">
        <is>
          <t>Bancadas</t>
        </is>
      </c>
      <c r="H115" s="2162" t="n"/>
      <c r="I115" s="4" t="inlineStr">
        <is>
          <t>Louças e Acessórios</t>
        </is>
      </c>
    </row>
    <row r="116" ht="15.75" customHeight="1">
      <c r="A116" s="10">
        <f>COUNTIFS($B$2:$B$996,B116)</f>
        <v/>
      </c>
      <c r="B116" s="10" t="inlineStr">
        <is>
          <t>Tampo de Granito, para tanque com saia e rodamão</t>
        </is>
      </c>
      <c r="C116" s="11" t="inlineStr">
        <is>
          <t>M²</t>
        </is>
      </c>
      <c r="D116" s="2162">
        <f>E116*$D$1</f>
        <v/>
      </c>
      <c r="E116" s="2162" t="n">
        <v>750</v>
      </c>
      <c r="F116" s="2162" t="inlineStr">
        <is>
          <t>Bancadas</t>
        </is>
      </c>
      <c r="G116" s="2162" t="inlineStr">
        <is>
          <t>Bancadas</t>
        </is>
      </c>
      <c r="H116" s="2162" t="n"/>
      <c r="I116" s="4" t="inlineStr">
        <is>
          <t>Louças e Acessórios</t>
        </is>
      </c>
    </row>
    <row r="117" ht="15.75" customHeight="1">
      <c r="A117" s="10">
        <f>COUNTIFS($B$2:$B$996,B117)</f>
        <v/>
      </c>
      <c r="B117" s="10" t="inlineStr">
        <is>
          <t>Calha Beiral Alumínio Com 2 Tampas Corte 13</t>
        </is>
      </c>
      <c r="C117" s="11" t="inlineStr">
        <is>
          <t>M</t>
        </is>
      </c>
      <c r="D117" s="2162">
        <f>E117*$D$1</f>
        <v/>
      </c>
      <c r="E117" s="2162" t="n">
        <v>18.7148</v>
      </c>
      <c r="F117" s="2162" t="inlineStr">
        <is>
          <t>Cobertura</t>
        </is>
      </c>
      <c r="G117" s="2162" t="inlineStr">
        <is>
          <t>Calha</t>
        </is>
      </c>
      <c r="H117" s="2162" t="n"/>
      <c r="I117" s="4" t="inlineStr">
        <is>
          <t>Calhas e Acessórios</t>
        </is>
      </c>
    </row>
    <row r="118" ht="15.75" customHeight="1">
      <c r="A118" s="10">
        <f>COUNTIFS($B$2:$B$996,B118)</f>
        <v/>
      </c>
      <c r="B118" s="10" t="inlineStr">
        <is>
          <t>Calha Beiral Alumínio Com 2 Tampas Corte 16</t>
        </is>
      </c>
      <c r="C118" s="11" t="inlineStr">
        <is>
          <t>M</t>
        </is>
      </c>
      <c r="D118" s="2162">
        <f>E118*$D$1</f>
        <v/>
      </c>
      <c r="E118" s="2162" t="n">
        <v>23.0336</v>
      </c>
      <c r="F118" s="2162" t="inlineStr">
        <is>
          <t>Cobertura</t>
        </is>
      </c>
      <c r="G118" s="2162" t="inlineStr">
        <is>
          <t>Calha</t>
        </is>
      </c>
      <c r="H118" s="2162" t="n"/>
      <c r="I118" s="4" t="inlineStr">
        <is>
          <t>Calhas e Acessórios</t>
        </is>
      </c>
    </row>
    <row r="119" ht="15.75" customHeight="1">
      <c r="A119" s="10">
        <f>COUNTIFS($B$2:$B$996,B119)</f>
        <v/>
      </c>
      <c r="B119" s="10" t="inlineStr">
        <is>
          <t>Calha Beiral Alumínio Com 2 Tampas Corte 25</t>
        </is>
      </c>
      <c r="C119" s="11" t="inlineStr">
        <is>
          <t>M</t>
        </is>
      </c>
      <c r="D119" s="2162">
        <f>E119*$D$1</f>
        <v/>
      </c>
      <c r="E119" s="2162" t="n">
        <v>35.99</v>
      </c>
      <c r="F119" s="2162" t="inlineStr">
        <is>
          <t>Cobertura</t>
        </is>
      </c>
      <c r="G119" s="2162" t="inlineStr">
        <is>
          <t>Calha</t>
        </is>
      </c>
      <c r="H119" s="2162" t="n"/>
      <c r="I119" s="4" t="inlineStr">
        <is>
          <t>Calhas e Acessórios</t>
        </is>
      </c>
    </row>
    <row r="120" ht="15.75" customHeight="1">
      <c r="A120" s="10">
        <f>COUNTIFS($B$2:$B$996,B120)</f>
        <v/>
      </c>
      <c r="B120" s="10" t="inlineStr">
        <is>
          <t>Calha Beiral Alumínio Com 2 Tampas Corte 30</t>
        </is>
      </c>
      <c r="C120" s="11" t="inlineStr">
        <is>
          <t>M</t>
        </is>
      </c>
      <c r="D120" s="2162">
        <f>E120*$D$1</f>
        <v/>
      </c>
      <c r="E120" s="2162" t="n">
        <v>46.66666666666666</v>
      </c>
      <c r="F120" s="2162" t="inlineStr">
        <is>
          <t>Cobertura</t>
        </is>
      </c>
      <c r="G120" s="2162" t="inlineStr">
        <is>
          <t>Calha</t>
        </is>
      </c>
      <c r="H120" s="2162" t="n"/>
      <c r="I120" s="4" t="inlineStr">
        <is>
          <t>Calhas e Acessórios</t>
        </is>
      </c>
    </row>
    <row r="121" ht="15.75" customHeight="1">
      <c r="A121" s="10">
        <f>COUNTIFS($B$2:$B$996,B121)</f>
        <v/>
      </c>
      <c r="B121" s="10" t="inlineStr">
        <is>
          <t>Calha em alumínio - 94x94</t>
        </is>
      </c>
      <c r="C121" s="11" t="inlineStr">
        <is>
          <t>M</t>
        </is>
      </c>
      <c r="D121" s="2162">
        <f>E121*$D$1</f>
        <v/>
      </c>
      <c r="E121" s="2162" t="n">
        <v>59.96666666666667</v>
      </c>
      <c r="F121" s="2162" t="inlineStr">
        <is>
          <t>Cobertura</t>
        </is>
      </c>
      <c r="G121" s="2162" t="inlineStr">
        <is>
          <t>Calha</t>
        </is>
      </c>
      <c r="H121" s="2162" t="n"/>
      <c r="I121" s="4" t="inlineStr">
        <is>
          <t>Calhas e Acessórios</t>
        </is>
      </c>
    </row>
    <row r="122" ht="15.75" customHeight="1">
      <c r="A122" s="10">
        <f>COUNTIFS($B$2:$B$996,B122)</f>
        <v/>
      </c>
      <c r="B122" s="10" t="inlineStr">
        <is>
          <t xml:space="preserve">Rufo Externo Corte 20cm Aluminio </t>
        </is>
      </c>
      <c r="C122" s="11" t="inlineStr">
        <is>
          <t>M</t>
        </is>
      </c>
      <c r="D122" s="2162">
        <f>E122*$D$1</f>
        <v/>
      </c>
      <c r="E122" s="2162" t="n">
        <v>25</v>
      </c>
      <c r="F122" s="2162" t="inlineStr">
        <is>
          <t>Cobertura</t>
        </is>
      </c>
      <c r="G122" s="2162" t="inlineStr">
        <is>
          <t>Rufo</t>
        </is>
      </c>
      <c r="H122" s="2162" t="n"/>
      <c r="I122" s="4" t="inlineStr">
        <is>
          <t>Calhas e Acessórios</t>
        </is>
      </c>
    </row>
    <row r="123" ht="15.75" customHeight="1">
      <c r="A123" s="10">
        <f>COUNTIFS($B$2:$B$996,B123)</f>
        <v/>
      </c>
      <c r="B123" s="10" t="inlineStr">
        <is>
          <t>RUFO INTERNO/EXTERNO DE CHAPA DE ACO GALVANIZADA NUM 24, CORTE 25 CM</t>
        </is>
      </c>
      <c r="C123" s="11" t="inlineStr">
        <is>
          <t>M</t>
        </is>
      </c>
      <c r="D123" s="2162">
        <f>E123*$D$1</f>
        <v/>
      </c>
      <c r="E123" s="2162" t="n">
        <v>28</v>
      </c>
      <c r="F123" s="2162" t="inlineStr">
        <is>
          <t>Cobertura</t>
        </is>
      </c>
      <c r="G123" s="2162" t="inlineStr">
        <is>
          <t>Rufo</t>
        </is>
      </c>
      <c r="H123" s="2162" t="n"/>
      <c r="I123" s="4" t="inlineStr">
        <is>
          <t>Calhas e Acessórios</t>
        </is>
      </c>
    </row>
    <row r="124" ht="15.75" customHeight="1">
      <c r="A124" s="10">
        <f>COUNTIFS($B$2:$B$996,B124)</f>
        <v/>
      </c>
      <c r="B124" s="10" t="inlineStr">
        <is>
          <t>Isotelha Trapezoidal Térmica Sanduiche branco neve</t>
        </is>
      </c>
      <c r="C124" s="11" t="inlineStr">
        <is>
          <t>M2</t>
        </is>
      </c>
      <c r="D124" s="2162">
        <f>E124*$D$1</f>
        <v/>
      </c>
      <c r="E124" s="2162" t="n">
        <v>198.19</v>
      </c>
      <c r="F124" s="2162" t="inlineStr">
        <is>
          <t>Cobertura</t>
        </is>
      </c>
      <c r="G124" s="2162" t="inlineStr">
        <is>
          <t>Telha</t>
        </is>
      </c>
      <c r="H124" s="2162" t="n"/>
      <c r="I124" s="4" t="inlineStr">
        <is>
          <t>Calhas e Acessórios</t>
        </is>
      </c>
    </row>
    <row r="125" ht="15.75" customHeight="1">
      <c r="A125" s="10">
        <f>COUNTIFS($B$2:$B$996,B125)</f>
        <v/>
      </c>
      <c r="B125" s="10" t="inlineStr">
        <is>
          <t>Policarbonato Compacto</t>
        </is>
      </c>
      <c r="C125" s="11" t="inlineStr">
        <is>
          <t>UN</t>
        </is>
      </c>
      <c r="D125" s="2162">
        <f>E125*$D$1</f>
        <v/>
      </c>
      <c r="E125" s="2162" t="n">
        <v>30657</v>
      </c>
      <c r="F125" s="2162" t="inlineStr">
        <is>
          <t>Cobertura</t>
        </is>
      </c>
      <c r="G125" s="2162" t="inlineStr">
        <is>
          <t>Telha</t>
        </is>
      </c>
      <c r="H125" s="2162" t="n"/>
      <c r="I125" s="4" t="inlineStr">
        <is>
          <t>Calhas e Acessórios</t>
        </is>
      </c>
    </row>
    <row r="126" ht="15.75" customHeight="1">
      <c r="A126" s="10">
        <f>COUNTIFS($B$2:$B$996,B126)</f>
        <v/>
      </c>
      <c r="B126" s="10" t="inlineStr">
        <is>
          <t>TELHA DE FIBROCIMENTO ONDULADA E = 6 MM, DE 2,44 X 1,10 M (SEM AMIANTO)</t>
        </is>
      </c>
      <c r="C126" s="11" t="inlineStr">
        <is>
          <t>M2</t>
        </is>
      </c>
      <c r="D126" s="2162">
        <f>E126*$D$1</f>
        <v/>
      </c>
      <c r="E126" s="2162" t="n">
        <v>66.05</v>
      </c>
      <c r="F126" s="2162" t="inlineStr">
        <is>
          <t>Cobertura</t>
        </is>
      </c>
      <c r="G126" s="2162" t="inlineStr">
        <is>
          <t>Telha</t>
        </is>
      </c>
      <c r="H126" s="2162" t="n"/>
      <c r="I126" s="4" t="inlineStr">
        <is>
          <t>Calhas e Acessórios</t>
        </is>
      </c>
    </row>
    <row r="127" ht="15.75" customHeight="1">
      <c r="A127" s="10">
        <f>COUNTIFS($B$2:$B$996,B127)</f>
        <v/>
      </c>
      <c r="B127" s="10" t="inlineStr">
        <is>
          <t>TELHA FIBROCIMENTO NATURAL S/AMIANTO 06X1100X1530MM NBR 7581/15210</t>
        </is>
      </c>
      <c r="C127" s="11" t="inlineStr">
        <is>
          <t>M2</t>
        </is>
      </c>
      <c r="D127" s="2162">
        <f>E127*$D$1</f>
        <v/>
      </c>
      <c r="E127" s="2162" t="n">
        <v>21.31</v>
      </c>
      <c r="F127" s="2162" t="inlineStr">
        <is>
          <t>Cobertura</t>
        </is>
      </c>
      <c r="G127" s="2162" t="inlineStr">
        <is>
          <t>Telha</t>
        </is>
      </c>
      <c r="H127" s="2162" t="n"/>
      <c r="I127" s="4" t="inlineStr">
        <is>
          <t>Calhas e Acessórios</t>
        </is>
      </c>
    </row>
    <row r="128" ht="15.75" customHeight="1">
      <c r="A128" s="10">
        <f>COUNTIFS($B$2:$B$996,B128)</f>
        <v/>
      </c>
      <c r="B128" s="10" t="inlineStr">
        <is>
          <t>TELHA METALICA GALVANIZADA TRAPEZOIDAL 0,43MM NBR 14514</t>
        </is>
      </c>
      <c r="C128" s="11" t="inlineStr">
        <is>
          <t>M2</t>
        </is>
      </c>
      <c r="D128" s="2162">
        <f>E128*$D$1</f>
        <v/>
      </c>
      <c r="E128" s="2162" t="n">
        <v>31</v>
      </c>
      <c r="F128" s="2162" t="inlineStr">
        <is>
          <t>Cobertura</t>
        </is>
      </c>
      <c r="G128" s="2162" t="inlineStr">
        <is>
          <t>Telha</t>
        </is>
      </c>
      <c r="H128" s="2162" t="n"/>
      <c r="I128" s="4" t="inlineStr">
        <is>
          <t>Calhas e Acessórios</t>
        </is>
      </c>
    </row>
    <row r="129" ht="15.75" customHeight="1">
      <c r="A129" s="10">
        <f>COUNTIFS($B$2:$B$996,B129)</f>
        <v/>
      </c>
      <c r="B129" s="10" t="inlineStr">
        <is>
          <t>TELHA TRAPEZOIDAL EM ACO ZINCADO, ESPESSURA DE 0,50 MM</t>
        </is>
      </c>
      <c r="C129" s="11" t="inlineStr">
        <is>
          <t>M2</t>
        </is>
      </c>
      <c r="D129" s="2162">
        <f>E129*$D$1</f>
        <v/>
      </c>
      <c r="E129" s="2162" t="n">
        <v>97</v>
      </c>
      <c r="F129" s="2162" t="inlineStr">
        <is>
          <t>Cobertura</t>
        </is>
      </c>
      <c r="G129" s="2162" t="inlineStr">
        <is>
          <t>Telha</t>
        </is>
      </c>
      <c r="H129" s="2162" t="n"/>
      <c r="I129" s="4" t="inlineStr">
        <is>
          <t>Calhas e Acessórios</t>
        </is>
      </c>
    </row>
    <row r="130" ht="15.75" customHeight="1">
      <c r="A130" s="10">
        <f>COUNTIFS($B$2:$B$996,B130)</f>
        <v/>
      </c>
      <c r="B130" s="10" t="inlineStr">
        <is>
          <t>Estrutura horizontal</t>
        </is>
      </c>
      <c r="C130" s="11" t="inlineStr">
        <is>
          <t>UN</t>
        </is>
      </c>
      <c r="D130" s="2162">
        <f>E130*$D$1</f>
        <v/>
      </c>
      <c r="E130" s="2162" t="n">
        <v>120.0873362445415</v>
      </c>
      <c r="F130" s="2162" t="inlineStr">
        <is>
          <t>Cobertura</t>
        </is>
      </c>
      <c r="G130" s="2162" t="inlineStr">
        <is>
          <t>Telha</t>
        </is>
      </c>
      <c r="H130" s="2162" t="n"/>
      <c r="I130" s="4" t="inlineStr">
        <is>
          <t>Calhas e Acessórios</t>
        </is>
      </c>
    </row>
    <row r="131" ht="15.75" customHeight="1">
      <c r="A131" s="10">
        <f>COUNTIFS($B$2:$B$996,B131)</f>
        <v/>
      </c>
      <c r="B131" s="10" t="inlineStr">
        <is>
          <t xml:space="preserve"> Pilar de Sustentação</t>
        </is>
      </c>
      <c r="C131" s="11" t="inlineStr">
        <is>
          <t>UN</t>
        </is>
      </c>
      <c r="D131" s="2162">
        <f>E131*$D$1</f>
        <v/>
      </c>
      <c r="E131" s="2162" t="n">
        <v>382</v>
      </c>
      <c r="F131" s="2162" t="inlineStr">
        <is>
          <t>Cobertura</t>
        </is>
      </c>
      <c r="G131" s="2162" t="inlineStr">
        <is>
          <t>Telha</t>
        </is>
      </c>
      <c r="H131" s="2162" t="n"/>
      <c r="I131" s="4" t="inlineStr">
        <is>
          <t>Calhas e Acessórios</t>
        </is>
      </c>
    </row>
    <row r="132" ht="15.75" customHeight="1">
      <c r="A132" s="10">
        <f>COUNTIFS($B$2:$B$996,B132)</f>
        <v/>
      </c>
      <c r="B132" s="10" t="inlineStr">
        <is>
          <t>CONCRETO MAGRO PARA LASTRO</t>
        </is>
      </c>
      <c r="C132" s="11" t="inlineStr">
        <is>
          <t>M3</t>
        </is>
      </c>
      <c r="D132" s="2162">
        <f>E132*$D$1</f>
        <v/>
      </c>
      <c r="E132" s="2162" t="n">
        <v>430.94</v>
      </c>
      <c r="F132" s="2162" t="inlineStr">
        <is>
          <t>Concreto</t>
        </is>
      </c>
      <c r="G132" s="2162" t="inlineStr">
        <is>
          <t>Concreto</t>
        </is>
      </c>
      <c r="H132" s="2162" t="n"/>
      <c r="I132" s="4" t="inlineStr">
        <is>
          <t>Concretos</t>
        </is>
      </c>
    </row>
    <row r="133" ht="15.75" customHeight="1">
      <c r="A133" s="10">
        <f>COUNTIFS($B$2:$B$996,B133)</f>
        <v/>
      </c>
      <c r="B133" s="10" t="inlineStr">
        <is>
          <t>CONCRETO MAGRO USINADO, COM BRITA 1</t>
        </is>
      </c>
      <c r="C133" s="11" t="inlineStr">
        <is>
          <t>M3</t>
        </is>
      </c>
      <c r="D133" s="2162">
        <f>E133*$D$1</f>
        <v/>
      </c>
      <c r="E133" s="2162" t="n">
        <v>352</v>
      </c>
      <c r="F133" s="2162" t="inlineStr">
        <is>
          <t>Concreto</t>
        </is>
      </c>
      <c r="G133" s="2162" t="inlineStr">
        <is>
          <t>Concreto</t>
        </is>
      </c>
      <c r="H133" s="2162" t="n"/>
      <c r="I133" s="4" t="inlineStr">
        <is>
          <t>Concretos</t>
        </is>
      </c>
    </row>
    <row r="134" ht="15.75" customHeight="1">
      <c r="A134" s="10">
        <f>COUNTIFS($B$2:$B$996,B134)</f>
        <v/>
      </c>
      <c r="B134" s="10" t="inlineStr">
        <is>
          <t>Concreto Usinado bombeável 20MPa para Estacas</t>
        </is>
      </c>
      <c r="C134" s="11" t="inlineStr">
        <is>
          <t>M3</t>
        </is>
      </c>
      <c r="D134" s="2162">
        <f>E134*$D$1</f>
        <v/>
      </c>
      <c r="E134" s="2162" t="n">
        <v>502</v>
      </c>
      <c r="F134" s="2162" t="inlineStr">
        <is>
          <t>Concreto</t>
        </is>
      </c>
      <c r="G134" s="2162" t="inlineStr">
        <is>
          <t>Concreto</t>
        </is>
      </c>
      <c r="H134" s="2162" t="n"/>
      <c r="I134" s="4" t="inlineStr">
        <is>
          <t>Concretos</t>
        </is>
      </c>
    </row>
    <row r="135" ht="15.75" customHeight="1">
      <c r="A135" s="10">
        <f>COUNTIFS($B$2:$B$996,B135)</f>
        <v/>
      </c>
      <c r="B135" s="10" t="inlineStr">
        <is>
          <t>Concreto Usinado bombeável 20MPa Convencional</t>
        </is>
      </c>
      <c r="C135" s="11" t="inlineStr">
        <is>
          <t>M3</t>
        </is>
      </c>
      <c r="D135" s="2162">
        <f>E135*$D$1</f>
        <v/>
      </c>
      <c r="E135" s="2162" t="n">
        <v>490</v>
      </c>
      <c r="F135" s="2162" t="inlineStr">
        <is>
          <t>Concreto</t>
        </is>
      </c>
      <c r="G135" s="2162" t="inlineStr">
        <is>
          <t>Concreto</t>
        </is>
      </c>
      <c r="H135" s="2162" t="n"/>
      <c r="I135" s="4" t="inlineStr">
        <is>
          <t>Concretos</t>
        </is>
      </c>
    </row>
    <row r="136" ht="15.75" customHeight="1">
      <c r="A136" s="10">
        <f>COUNTIFS($B$2:$B$996,B136)</f>
        <v/>
      </c>
      <c r="B136" s="10" t="inlineStr">
        <is>
          <t>Concreto Usinado bombeável 25MPa</t>
        </is>
      </c>
      <c r="C136" s="11" t="inlineStr">
        <is>
          <t>M3</t>
        </is>
      </c>
      <c r="D136" s="2162">
        <f>E136*$D$1</f>
        <v/>
      </c>
      <c r="E136" s="2162" t="n">
        <v>492.9999999999999</v>
      </c>
      <c r="F136" s="2162" t="inlineStr">
        <is>
          <t>Concreto</t>
        </is>
      </c>
      <c r="G136" s="2162" t="inlineStr">
        <is>
          <t>Concreto</t>
        </is>
      </c>
      <c r="H136" s="2162" t="n"/>
      <c r="I136" s="4" t="inlineStr">
        <is>
          <t>Concretos</t>
        </is>
      </c>
    </row>
    <row r="137" ht="15.75" customHeight="1">
      <c r="A137" s="10">
        <f>COUNTIFS($B$2:$B$996,B137)</f>
        <v/>
      </c>
      <c r="B137" s="10" t="inlineStr">
        <is>
          <t>Concreto Usinado bombeável 30MPa Convencional</t>
        </is>
      </c>
      <c r="C137" s="11" t="inlineStr">
        <is>
          <t>M3</t>
        </is>
      </c>
      <c r="D137" s="2162">
        <f>E137*$D$1</f>
        <v/>
      </c>
      <c r="E137" s="2162" t="n">
        <v>510</v>
      </c>
      <c r="F137" s="2162" t="inlineStr">
        <is>
          <t>Concreto</t>
        </is>
      </c>
      <c r="G137" s="2162" t="inlineStr">
        <is>
          <t>Concreto</t>
        </is>
      </c>
      <c r="H137" s="2162" t="n"/>
      <c r="I137" s="4" t="inlineStr">
        <is>
          <t>Concretos</t>
        </is>
      </c>
    </row>
    <row r="138" ht="15.75" customHeight="1">
      <c r="A138" s="10">
        <f>COUNTIFS($B$2:$B$996,B138)</f>
        <v/>
      </c>
      <c r="B138" s="10" t="inlineStr">
        <is>
          <t>Concreto Usinado bombeável 30MPa para estacas</t>
        </is>
      </c>
      <c r="C138" s="11" t="inlineStr">
        <is>
          <t>M3</t>
        </is>
      </c>
      <c r="D138" s="2162">
        <f>E138*$D$1</f>
        <v/>
      </c>
      <c r="E138" s="2162" t="n">
        <v>517.65</v>
      </c>
      <c r="F138" s="2162" t="inlineStr">
        <is>
          <t>Concreto</t>
        </is>
      </c>
      <c r="G138" s="2162" t="inlineStr">
        <is>
          <t>Concreto</t>
        </is>
      </c>
      <c r="H138" s="2162" t="n"/>
      <c r="I138" s="4" t="inlineStr">
        <is>
          <t>Concretos</t>
        </is>
      </c>
    </row>
    <row r="139" ht="15.75" customHeight="1">
      <c r="A139" s="10">
        <f>COUNTIFS($B$2:$B$996,B139)</f>
        <v/>
      </c>
      <c r="B139" s="10" t="inlineStr">
        <is>
          <t>Concreto Usinado bombeável 35MPa Convencional</t>
        </is>
      </c>
      <c r="C139" s="11" t="inlineStr">
        <is>
          <t>M3</t>
        </is>
      </c>
      <c r="D139" s="2162">
        <f>E139*$D$1</f>
        <v/>
      </c>
      <c r="E139" s="2176" t="n">
        <v>604.73</v>
      </c>
      <c r="F139" s="2162" t="inlineStr">
        <is>
          <t>Concreto</t>
        </is>
      </c>
      <c r="G139" s="2162" t="inlineStr">
        <is>
          <t>Concreto</t>
        </is>
      </c>
      <c r="H139" s="2176" t="inlineStr">
        <is>
          <t>Proposta Gessele</t>
        </is>
      </c>
      <c r="I139" s="4" t="inlineStr">
        <is>
          <t>Concretos</t>
        </is>
      </c>
    </row>
    <row r="140" ht="15.75" customHeight="1">
      <c r="A140" s="10">
        <f>COUNTIFS($B$2:$B$996,B140)</f>
        <v/>
      </c>
      <c r="B140" s="10" t="inlineStr">
        <is>
          <t>Concreto Usinado bombeável 35MPa para estacas</t>
        </is>
      </c>
      <c r="C140" s="11" t="inlineStr">
        <is>
          <t>M3</t>
        </is>
      </c>
      <c r="D140" s="2162">
        <f>E140*$D$1</f>
        <v/>
      </c>
      <c r="E140" s="2162" t="n">
        <v>565</v>
      </c>
      <c r="F140" s="2162" t="inlineStr">
        <is>
          <t>Concreto</t>
        </is>
      </c>
      <c r="G140" s="2162" t="inlineStr">
        <is>
          <t>Concreto</t>
        </is>
      </c>
      <c r="H140" s="2162" t="n"/>
      <c r="I140" s="4" t="inlineStr">
        <is>
          <t>Concretos</t>
        </is>
      </c>
    </row>
    <row r="141" ht="15.75" customHeight="1">
      <c r="A141" s="10">
        <f>COUNTIFS($B$2:$B$996,B141)</f>
        <v/>
      </c>
      <c r="B141" s="10" t="inlineStr">
        <is>
          <t>Concreto Usinado bombeável 40MPa para estacas</t>
        </is>
      </c>
      <c r="C141" s="11" t="inlineStr">
        <is>
          <t>M3</t>
        </is>
      </c>
      <c r="D141" s="2162">
        <f>E141*$D$1</f>
        <v/>
      </c>
      <c r="E141" s="2162" t="n">
        <v>530</v>
      </c>
      <c r="F141" s="2162" t="inlineStr">
        <is>
          <t>Concreto</t>
        </is>
      </c>
      <c r="G141" s="2162" t="inlineStr">
        <is>
          <t>Concreto</t>
        </is>
      </c>
      <c r="H141" s="2162" t="n"/>
      <c r="I141" s="4" t="inlineStr">
        <is>
          <t>Concretos</t>
        </is>
      </c>
    </row>
    <row r="142" ht="15.75" customHeight="1">
      <c r="A142" s="10">
        <f>COUNTIFS($B$2:$B$996,B142)</f>
        <v/>
      </c>
      <c r="B142" s="10" t="inlineStr">
        <is>
          <t>Concreto Usinado bombeável 40MPa Convencional</t>
        </is>
      </c>
      <c r="C142" s="11" t="inlineStr">
        <is>
          <t>M3</t>
        </is>
      </c>
      <c r="D142" s="2162">
        <f>E142*$D$1</f>
        <v/>
      </c>
      <c r="E142" s="2176" t="n">
        <v>560.52</v>
      </c>
      <c r="F142" s="2162" t="inlineStr">
        <is>
          <t>Concreto</t>
        </is>
      </c>
      <c r="G142" s="2162" t="inlineStr">
        <is>
          <t>Concreto</t>
        </is>
      </c>
      <c r="H142" s="2176" t="inlineStr">
        <is>
          <t>Proposta Gessele</t>
        </is>
      </c>
      <c r="I142" s="4" t="inlineStr">
        <is>
          <t>Concretos</t>
        </is>
      </c>
    </row>
    <row r="143" ht="15.75" customHeight="1">
      <c r="A143" s="10">
        <f>COUNTIFS($B$2:$B$996,B143)</f>
        <v/>
      </c>
      <c r="B143" s="10" t="inlineStr">
        <is>
          <t>Concreto Usinado bombeável 45MPa Convencional</t>
        </is>
      </c>
      <c r="C143" s="11" t="inlineStr">
        <is>
          <t>M3</t>
        </is>
      </c>
      <c r="D143" s="2162">
        <f>E143*$D$1</f>
        <v/>
      </c>
      <c r="E143" s="2176" t="n">
        <v>550.14</v>
      </c>
      <c r="F143" s="2162" t="inlineStr">
        <is>
          <t>Concreto</t>
        </is>
      </c>
      <c r="G143" s="2162" t="inlineStr">
        <is>
          <t>Concreto</t>
        </is>
      </c>
      <c r="H143" s="2176" t="inlineStr">
        <is>
          <t>Proposta Gessele</t>
        </is>
      </c>
      <c r="I143" s="4" t="inlineStr">
        <is>
          <t>Concretos</t>
        </is>
      </c>
    </row>
    <row r="144" ht="15.75" customHeight="1">
      <c r="A144" s="10">
        <f>COUNTIFS($B$2:$B$996,B144)</f>
        <v/>
      </c>
      <c r="B144" s="10" t="inlineStr">
        <is>
          <t>Concreto Usinado bombeável 50MPa Fundação Profunda</t>
        </is>
      </c>
      <c r="C144" s="11" t="inlineStr">
        <is>
          <t>M3</t>
        </is>
      </c>
      <c r="D144" s="2162">
        <f>E144*$D$1</f>
        <v/>
      </c>
      <c r="E144" s="2176" t="n">
        <v>683.9</v>
      </c>
      <c r="F144" s="2162" t="inlineStr">
        <is>
          <t>Concreto</t>
        </is>
      </c>
      <c r="G144" s="2162" t="inlineStr">
        <is>
          <t>Concreto</t>
        </is>
      </c>
      <c r="H144" s="2176" t="inlineStr">
        <is>
          <t>Proposta Gessele</t>
        </is>
      </c>
      <c r="I144" s="4" t="inlineStr">
        <is>
          <t>Concretos</t>
        </is>
      </c>
    </row>
    <row r="145" ht="15.75" customHeight="1">
      <c r="A145" s="10">
        <f>COUNTIFS($B$2:$B$996,B145)</f>
        <v/>
      </c>
      <c r="B145" s="10" t="inlineStr">
        <is>
          <t>Concreto Usinado bombeável 50MPa Com Penetron</t>
        </is>
      </c>
      <c r="C145" s="11" t="inlineStr">
        <is>
          <t>M3</t>
        </is>
      </c>
      <c r="D145" s="2162">
        <f>E145*$D$1</f>
        <v/>
      </c>
      <c r="E145" s="2176">
        <f>607.72+150</f>
        <v/>
      </c>
      <c r="F145" s="2162" t="inlineStr">
        <is>
          <t>Concreto</t>
        </is>
      </c>
      <c r="G145" s="2162" t="inlineStr">
        <is>
          <t>Concreto</t>
        </is>
      </c>
      <c r="H145" s="2176" t="inlineStr">
        <is>
          <t>Proposta Gessele</t>
        </is>
      </c>
      <c r="I145" s="4" t="inlineStr">
        <is>
          <t>Concretos</t>
        </is>
      </c>
    </row>
    <row r="146" ht="15.75" customHeight="1">
      <c r="A146" s="10">
        <f>COUNTIFS($B$2:$B$875,B146)</f>
        <v/>
      </c>
      <c r="B146" s="10" t="inlineStr">
        <is>
          <t>Concreto Usinado bombeável 50MPa Convencional</t>
        </is>
      </c>
      <c r="C146" s="11" t="inlineStr">
        <is>
          <t>M3</t>
        </is>
      </c>
      <c r="D146" s="2162">
        <f>E146*$D$1</f>
        <v/>
      </c>
      <c r="E146" s="2176" t="n">
        <v>607.72</v>
      </c>
      <c r="F146" s="2162" t="inlineStr">
        <is>
          <t>Concreto</t>
        </is>
      </c>
      <c r="G146" s="2162" t="inlineStr">
        <is>
          <t>Concreto</t>
        </is>
      </c>
      <c r="H146" s="2176" t="inlineStr">
        <is>
          <t>Proposta Gessele</t>
        </is>
      </c>
      <c r="I146" s="4" t="inlineStr">
        <is>
          <t>Concretos</t>
        </is>
      </c>
    </row>
    <row r="147" ht="15.75" customHeight="1">
      <c r="A147" s="10">
        <f>COUNTIFS($B$2:$B$996,B147)</f>
        <v/>
      </c>
      <c r="B147" s="10" t="inlineStr">
        <is>
          <t>Concreto Usinado bombeável 50MPa Convencional Supraestrtura</t>
        </is>
      </c>
      <c r="C147" s="11" t="inlineStr">
        <is>
          <t>M3</t>
        </is>
      </c>
      <c r="D147" s="2162">
        <f>E147*$D$1</f>
        <v/>
      </c>
      <c r="E147" s="2176" t="n">
        <v>607.72</v>
      </c>
      <c r="F147" s="2162" t="inlineStr">
        <is>
          <t>Concreto</t>
        </is>
      </c>
      <c r="G147" s="2162" t="inlineStr">
        <is>
          <t>Concreto</t>
        </is>
      </c>
      <c r="H147" s="2176" t="inlineStr">
        <is>
          <t>Proposta Gessele</t>
        </is>
      </c>
      <c r="I147" s="4" t="inlineStr">
        <is>
          <t>Concretos</t>
        </is>
      </c>
    </row>
    <row r="148" ht="15.75" customHeight="1">
      <c r="A148" s="10">
        <f>COUNTIFS($B$2:$B$996,B148)</f>
        <v/>
      </c>
      <c r="B148" s="10" t="inlineStr">
        <is>
          <t>Concreto Usinado bombeável 60MPa Convencional</t>
        </is>
      </c>
      <c r="C148" s="11" t="inlineStr">
        <is>
          <t>M3</t>
        </is>
      </c>
      <c r="D148" s="2162">
        <f>E148*$D$1</f>
        <v/>
      </c>
      <c r="E148" s="2162" t="n">
        <v>585.04</v>
      </c>
      <c r="F148" s="2162" t="inlineStr">
        <is>
          <t>Concreto</t>
        </is>
      </c>
      <c r="G148" s="2162" t="inlineStr">
        <is>
          <t>Concreto</t>
        </is>
      </c>
      <c r="H148" s="2162" t="n"/>
      <c r="I148" s="4" t="inlineStr">
        <is>
          <t>Concretos</t>
        </is>
      </c>
    </row>
    <row r="149" ht="15.75" customHeight="1">
      <c r="A149" s="10">
        <f>COUNTIFS($B$2:$B$996,B149)</f>
        <v/>
      </c>
      <c r="B149" s="10" t="inlineStr">
        <is>
          <t>Grout 15 Mpa</t>
        </is>
      </c>
      <c r="C149" s="11" t="inlineStr">
        <is>
          <t>M3</t>
        </is>
      </c>
      <c r="D149" s="2162">
        <f>E149*$D$1</f>
        <v/>
      </c>
      <c r="E149" s="2162" t="n">
        <v>468.86</v>
      </c>
      <c r="F149" s="2162" t="inlineStr">
        <is>
          <t>Concreto</t>
        </is>
      </c>
      <c r="G149" s="2162" t="inlineStr">
        <is>
          <t>Concreto</t>
        </is>
      </c>
      <c r="H149" s="2162" t="n"/>
      <c r="I149" s="4" t="inlineStr">
        <is>
          <t>Concretos</t>
        </is>
      </c>
    </row>
    <row r="150" ht="15.75" customHeight="1">
      <c r="A150" s="10">
        <f>COUNTIFS($B$2:$B$996,B150)</f>
        <v/>
      </c>
      <c r="B150" s="10" t="inlineStr">
        <is>
          <t>Grout 20 Mpa</t>
        </is>
      </c>
      <c r="C150" s="11" t="inlineStr">
        <is>
          <t>M3</t>
        </is>
      </c>
      <c r="D150" s="2162">
        <f>E150*$D$1</f>
        <v/>
      </c>
      <c r="E150" s="2162" t="n">
        <v>493.5</v>
      </c>
      <c r="F150" s="2162" t="inlineStr">
        <is>
          <t>Concreto</t>
        </is>
      </c>
      <c r="G150" s="2162" t="inlineStr">
        <is>
          <t>Concreto</t>
        </is>
      </c>
      <c r="H150" s="2162" t="n"/>
      <c r="I150" s="4" t="inlineStr">
        <is>
          <t>Concretos</t>
        </is>
      </c>
    </row>
    <row r="151" ht="15.75" customHeight="1">
      <c r="A151" s="10">
        <f>COUNTIFS($B$2:$B$996,B151)</f>
        <v/>
      </c>
      <c r="B151" s="10" t="inlineStr">
        <is>
          <t>Acompanhamento e fiscalização na montagem da Protensão, locação de macaco hidráulico e maçarico</t>
        </is>
      </c>
      <c r="C151" s="11" t="inlineStr">
        <is>
          <t>KG</t>
        </is>
      </c>
      <c r="D151" s="2162">
        <f>E151*$D$1</f>
        <v/>
      </c>
      <c r="E151" s="2162" t="n">
        <v>4.44</v>
      </c>
      <c r="F151" s="2162" t="inlineStr">
        <is>
          <t>Concreto</t>
        </is>
      </c>
      <c r="G151" s="2162" t="inlineStr">
        <is>
          <t>Protendido</t>
        </is>
      </c>
      <c r="H151" s="2162" t="n"/>
      <c r="I151" s="4" t="inlineStr">
        <is>
          <t>Concretos</t>
        </is>
      </c>
    </row>
    <row r="152" ht="15.75" customHeight="1">
      <c r="A152" s="10">
        <f>COUNTIFS($B$2:$B$996,B152)</f>
        <v/>
      </c>
      <c r="B152" s="10" t="inlineStr">
        <is>
          <t>Corte Final dos Cabos</t>
        </is>
      </c>
      <c r="C152" s="11" t="inlineStr">
        <is>
          <t>KG</t>
        </is>
      </c>
      <c r="D152" s="2162">
        <f>E152*$D$1</f>
        <v/>
      </c>
      <c r="E152" s="2162" t="n">
        <v>0.4</v>
      </c>
      <c r="F152" s="2162" t="inlineStr">
        <is>
          <t>Concreto</t>
        </is>
      </c>
      <c r="G152" s="2162" t="inlineStr">
        <is>
          <t>Protendido</t>
        </is>
      </c>
      <c r="H152" s="2162" t="n"/>
      <c r="I152" s="4" t="inlineStr">
        <is>
          <t>Concretos</t>
        </is>
      </c>
    </row>
    <row r="153" ht="15.75" customHeight="1">
      <c r="A153" s="10">
        <f>COUNTIFS($B$2:$B$996,B153)</f>
        <v/>
      </c>
      <c r="B153" s="10" t="inlineStr">
        <is>
          <t>Fechamento dos nichos de Protensão</t>
        </is>
      </c>
      <c r="C153" s="11" t="inlineStr">
        <is>
          <t>KG</t>
        </is>
      </c>
      <c r="D153" s="2162">
        <f>E153*$D$1</f>
        <v/>
      </c>
      <c r="E153" s="2162" t="n">
        <v>0.4</v>
      </c>
      <c r="F153" s="2162" t="inlineStr">
        <is>
          <t>Concreto</t>
        </is>
      </c>
      <c r="G153" s="2162" t="inlineStr">
        <is>
          <t>Protendido</t>
        </is>
      </c>
      <c r="H153" s="2162" t="n"/>
      <c r="I153" s="4" t="inlineStr">
        <is>
          <t>Concretos</t>
        </is>
      </c>
    </row>
    <row r="154" ht="15.75" customHeight="1">
      <c r="A154" s="10">
        <f>COUNTIFS($B$2:$B$996,B154)</f>
        <v/>
      </c>
      <c r="B154" s="10" t="inlineStr">
        <is>
          <t>Compatibilização e elaboração do plano de execução dos materiais EVEHX</t>
        </is>
      </c>
      <c r="C154" s="11" t="inlineStr">
        <is>
          <t>KG</t>
        </is>
      </c>
      <c r="D154" s="2162">
        <f>E154*$D$1</f>
        <v/>
      </c>
      <c r="E154" s="2162" t="n">
        <v>0.2</v>
      </c>
      <c r="F154" s="2162" t="inlineStr">
        <is>
          <t>Concreto</t>
        </is>
      </c>
      <c r="G154" s="2162" t="inlineStr">
        <is>
          <t>Protendido</t>
        </is>
      </c>
      <c r="H154" s="2162" t="n"/>
      <c r="I154" s="4" t="inlineStr">
        <is>
          <t>Concretos</t>
        </is>
      </c>
    </row>
    <row r="155" ht="15.75" customHeight="1">
      <c r="A155" s="10">
        <f>COUNTIFS($B$2:$B$996,B155)</f>
        <v/>
      </c>
      <c r="B155" s="10" t="inlineStr">
        <is>
          <t>Controle tecnológico da Protensão</t>
        </is>
      </c>
      <c r="C155" s="11" t="inlineStr">
        <is>
          <t>UN</t>
        </is>
      </c>
      <c r="D155" s="2162">
        <f>E155*$D$1</f>
        <v/>
      </c>
      <c r="E155" s="2162" t="n">
        <v>0.5</v>
      </c>
      <c r="F155" s="2162" t="inlineStr">
        <is>
          <t>Concreto</t>
        </is>
      </c>
      <c r="G155" s="2162" t="inlineStr">
        <is>
          <t>Protendido</t>
        </is>
      </c>
      <c r="H155" s="2162" t="n"/>
      <c r="I155" s="4" t="inlineStr">
        <is>
          <t>Concretos</t>
        </is>
      </c>
    </row>
    <row r="156" ht="15.75" customHeight="1">
      <c r="A156" s="10">
        <f>COUNTIFS($B$2:$B$996,B156)</f>
        <v/>
      </c>
      <c r="B156" s="10" t="inlineStr">
        <is>
          <t>Ancoragem base 1/2" - EHX 0063</t>
        </is>
      </c>
      <c r="C156" s="11" t="inlineStr">
        <is>
          <t>UN</t>
        </is>
      </c>
      <c r="D156" s="2162">
        <f>E156*$D$1</f>
        <v/>
      </c>
      <c r="E156" s="2162" t="n">
        <v>12.5</v>
      </c>
      <c r="F156" s="2162" t="inlineStr">
        <is>
          <t>Concreto</t>
        </is>
      </c>
      <c r="G156" s="2162" t="inlineStr">
        <is>
          <t>Protendido</t>
        </is>
      </c>
      <c r="H156" s="2162" t="n"/>
      <c r="I156" s="4" t="inlineStr">
        <is>
          <t>Concretos</t>
        </is>
      </c>
    </row>
    <row r="157" ht="15.75" customHeight="1">
      <c r="A157" s="10">
        <f>COUNTIFS($B$2:$B$996,B157)</f>
        <v/>
      </c>
      <c r="B157" s="10" t="inlineStr">
        <is>
          <t>Cunha 1/2" BI Partida - EHX 0036</t>
        </is>
      </c>
      <c r="C157" s="11" t="inlineStr">
        <is>
          <t>PAR</t>
        </is>
      </c>
      <c r="D157" s="2162">
        <f>E157*$D$1</f>
        <v/>
      </c>
      <c r="E157" s="2162" t="n">
        <v>9.130000000000001</v>
      </c>
      <c r="F157" s="2162" t="inlineStr">
        <is>
          <t>Concreto</t>
        </is>
      </c>
      <c r="G157" s="2162" t="inlineStr">
        <is>
          <t>Protendido</t>
        </is>
      </c>
      <c r="H157" s="2162" t="n"/>
      <c r="I157" s="4" t="inlineStr">
        <is>
          <t>Concretos</t>
        </is>
      </c>
    </row>
    <row r="158" ht="15.75" customHeight="1">
      <c r="A158" s="10">
        <f>COUNTIFS($B$2:$B$996,B158)</f>
        <v/>
      </c>
      <c r="B158" s="10" t="inlineStr">
        <is>
          <t>Pocket Former 1/2 - EHX 0009</t>
        </is>
      </c>
      <c r="C158" s="11" t="inlineStr">
        <is>
          <t>UN</t>
        </is>
      </c>
      <c r="D158" s="2162">
        <f>E158*$D$1</f>
        <v/>
      </c>
      <c r="E158" s="2162" t="n">
        <v>2.85</v>
      </c>
      <c r="F158" s="2162" t="inlineStr">
        <is>
          <t>Concreto</t>
        </is>
      </c>
      <c r="G158" s="2162" t="inlineStr">
        <is>
          <t>Protendido</t>
        </is>
      </c>
      <c r="H158" s="2162" t="n"/>
      <c r="I158" s="4" t="inlineStr">
        <is>
          <t>Concretos</t>
        </is>
      </c>
    </row>
    <row r="159" ht="15.75" customHeight="1">
      <c r="A159" s="10">
        <f>COUNTIFS($B$2:$B$996,B159)</f>
        <v/>
      </c>
      <c r="B159" s="10" t="inlineStr">
        <is>
          <t>Adaptador Ancor. (AP2)B Chupeta-EHX 0027</t>
        </is>
      </c>
      <c r="C159" s="11" t="inlineStr">
        <is>
          <t>UN</t>
        </is>
      </c>
      <c r="D159" s="2162">
        <f>E159*$D$1</f>
        <v/>
      </c>
      <c r="E159" s="2162" t="n">
        <v>1.42</v>
      </c>
      <c r="F159" s="2162" t="inlineStr">
        <is>
          <t>Concreto</t>
        </is>
      </c>
      <c r="G159" s="2162" t="inlineStr">
        <is>
          <t>Protendido</t>
        </is>
      </c>
      <c r="H159" s="2162" t="n"/>
      <c r="I159" s="4" t="inlineStr">
        <is>
          <t>Concretos</t>
        </is>
      </c>
    </row>
    <row r="160" ht="15.75" customHeight="1">
      <c r="A160" s="10">
        <f>COUNTIFS($B$2:$B$996,B160)</f>
        <v/>
      </c>
      <c r="B160" s="10" t="inlineStr">
        <is>
          <t>Pt-Plug Ø12,7 - 3,8cm</t>
        </is>
      </c>
      <c r="C160" s="11" t="inlineStr">
        <is>
          <t>UN</t>
        </is>
      </c>
      <c r="D160" s="2162">
        <f>E160*$D$1</f>
        <v/>
      </c>
      <c r="E160" s="2162" t="n">
        <v>5.68</v>
      </c>
      <c r="F160" s="2162" t="inlineStr">
        <is>
          <t>Concreto</t>
        </is>
      </c>
      <c r="G160" s="2162" t="inlineStr">
        <is>
          <t>Protendido</t>
        </is>
      </c>
      <c r="H160" s="2162" t="n"/>
      <c r="I160" s="4" t="inlineStr">
        <is>
          <t>Concretos</t>
        </is>
      </c>
    </row>
    <row r="161" ht="15.75" customHeight="1">
      <c r="A161" s="10">
        <f>COUNTIFS($B$2:$B$996,B161)</f>
        <v/>
      </c>
      <c r="B161" s="10" t="inlineStr">
        <is>
          <t>Tirante Plast - EHX 0621</t>
        </is>
      </c>
      <c r="C161" s="11" t="inlineStr">
        <is>
          <t>PAR</t>
        </is>
      </c>
      <c r="D161" s="2162">
        <f>E161*$D$1</f>
        <v/>
      </c>
      <c r="E161" s="2162" t="n">
        <v>2.3</v>
      </c>
      <c r="F161" s="2162" t="inlineStr">
        <is>
          <t>Concreto</t>
        </is>
      </c>
      <c r="G161" s="2162" t="inlineStr">
        <is>
          <t>Protendido</t>
        </is>
      </c>
      <c r="H161" s="2162" t="n"/>
      <c r="I161" s="4" t="inlineStr">
        <is>
          <t>Concretos</t>
        </is>
      </c>
    </row>
    <row r="162" ht="15.75" customHeight="1">
      <c r="A162" s="10">
        <f>COUNTIFS($B$2:$B$996,B162)</f>
        <v/>
      </c>
      <c r="B162" s="10" t="inlineStr">
        <is>
          <t>Apoio Metálico EHX 0072</t>
        </is>
      </c>
      <c r="C162" s="11" t="inlineStr">
        <is>
          <t>PAR</t>
        </is>
      </c>
      <c r="D162" s="2162">
        <f>E162*$D$1</f>
        <v/>
      </c>
      <c r="E162" s="2162" t="n">
        <v>3.4</v>
      </c>
      <c r="F162" s="2162" t="inlineStr">
        <is>
          <t>Concreto</t>
        </is>
      </c>
      <c r="G162" s="2162" t="inlineStr">
        <is>
          <t>Protendido</t>
        </is>
      </c>
      <c r="H162" s="2162" t="n"/>
      <c r="I162" s="4" t="inlineStr">
        <is>
          <t>Concretos</t>
        </is>
      </c>
    </row>
    <row r="163" ht="15.75" customHeight="1">
      <c r="A163" s="10">
        <f>COUNTIFS($B$2:$B$996,B163)</f>
        <v/>
      </c>
      <c r="B163" s="10" t="inlineStr">
        <is>
          <t>Industrialização dos cabos (Corte, enrolação, pré-blocagem e identificação por cores)</t>
        </is>
      </c>
      <c r="C163" s="11" t="inlineStr">
        <is>
          <t>PAR</t>
        </is>
      </c>
      <c r="D163" s="2162">
        <f>E163*$D$1</f>
        <v/>
      </c>
      <c r="E163" s="2162" t="n">
        <v>1.1</v>
      </c>
      <c r="F163" s="2162" t="inlineStr">
        <is>
          <t>Concreto</t>
        </is>
      </c>
      <c r="G163" s="2162" t="inlineStr">
        <is>
          <t>Protendido</t>
        </is>
      </c>
      <c r="H163" s="2162" t="n"/>
      <c r="I163" s="4" t="inlineStr">
        <is>
          <t>Concretos</t>
        </is>
      </c>
    </row>
    <row r="164" ht="15.75" customHeight="1">
      <c r="A164" s="10">
        <f>COUNTIFS($B$2:$B$996,B164)</f>
        <v/>
      </c>
      <c r="B164" s="10" t="inlineStr">
        <is>
          <t>FITA DE PAPEL MICROPERFURADO, 50 X 150 MM, PARA TRATAMENTO DE JUNTAS DE CHAPA DE GESSO PARA DRYWALL</t>
        </is>
      </c>
      <c r="C164" s="11" t="inlineStr">
        <is>
          <t>M</t>
        </is>
      </c>
      <c r="D164" s="2162">
        <f>E164*$D$1</f>
        <v/>
      </c>
      <c r="E164" s="2162" t="n">
        <v>0.31</v>
      </c>
      <c r="F164" s="2162" t="inlineStr">
        <is>
          <t>Drywall/Shaft/Forro</t>
        </is>
      </c>
      <c r="G164" s="2162" t="inlineStr">
        <is>
          <t>Diversos</t>
        </is>
      </c>
      <c r="H164" s="2162" t="n"/>
      <c r="I164" s="4" t="inlineStr">
        <is>
          <t>Diversos</t>
        </is>
      </c>
    </row>
    <row r="165" ht="15.75" customHeight="1">
      <c r="A165" s="10">
        <f>COUNTIFS($B$2:$B$996,B165)</f>
        <v/>
      </c>
      <c r="B165" s="10" t="inlineStr">
        <is>
          <t>FITA DE PAPEL REFORCADA COM LAMINA DE METAL PARA REFORCO DE CANTOS DE CHAPA DE GESSO PARA DRYWALL</t>
        </is>
      </c>
      <c r="C165" s="11" t="inlineStr">
        <is>
          <t>M</t>
        </is>
      </c>
      <c r="D165" s="2162">
        <f>E165*$D$1</f>
        <v/>
      </c>
      <c r="E165" s="2162" t="n">
        <v>2.74</v>
      </c>
      <c r="F165" s="2162" t="inlineStr">
        <is>
          <t>Drywall/Shaft/Forro</t>
        </is>
      </c>
      <c r="G165" s="2162" t="inlineStr">
        <is>
          <t>Diversos</t>
        </is>
      </c>
      <c r="H165" s="2162" t="n"/>
      <c r="I165" s="4" t="inlineStr">
        <is>
          <t>Diversos</t>
        </is>
      </c>
    </row>
    <row r="166" ht="15.75" customHeight="1">
      <c r="A166" s="10">
        <f>COUNTIFS($B$2:$B$996,B166)</f>
        <v/>
      </c>
      <c r="B166" s="10" t="inlineStr">
        <is>
          <t>MASSA DE REJUNTE EM PO PARA DRYWALL, A BASE DE GESSO, SECAGEM RAPIDA, PARA TRATAMENTO DE JUNTAS DE CHAPA DE GESSO (NECESSITA ADICAO DE AGUA)</t>
        </is>
      </c>
      <c r="C166" s="11" t="inlineStr">
        <is>
          <t>KG</t>
        </is>
      </c>
      <c r="D166" s="2162">
        <f>E166*$D$1</f>
        <v/>
      </c>
      <c r="E166" s="2162" t="n">
        <v>3.43</v>
      </c>
      <c r="F166" s="2162" t="inlineStr">
        <is>
          <t>Drywall/Shaft/Forro</t>
        </is>
      </c>
      <c r="G166" s="2162" t="inlineStr">
        <is>
          <t>Diversos</t>
        </is>
      </c>
      <c r="H166" s="2162" t="n"/>
      <c r="I166" s="4" t="inlineStr">
        <is>
          <t>Diversos</t>
        </is>
      </c>
    </row>
    <row r="167" ht="15.75" customHeight="1">
      <c r="A167" s="10">
        <f>COUNTIFS($B$2:$B$979,B167)</f>
        <v/>
      </c>
      <c r="B167" s="10" t="inlineStr">
        <is>
          <t>PLACA / CHAPA DE GESSO ACARTONADO, RESISTENTE A UMIDADE (RU), COR VERDE, E = 12,5 MM, 1200 X 2400 MM (L X C)</t>
        </is>
      </c>
      <c r="C167" s="11" t="inlineStr">
        <is>
          <t>M2</t>
        </is>
      </c>
      <c r="D167" s="2162">
        <f>E167*$D$1</f>
        <v/>
      </c>
      <c r="E167" s="2176" t="n">
        <v>27.1</v>
      </c>
      <c r="F167" s="2162" t="inlineStr">
        <is>
          <t>Drywall/Shaft/Forro</t>
        </is>
      </c>
      <c r="G167" s="2162" t="inlineStr">
        <is>
          <t>Diversos</t>
        </is>
      </c>
      <c r="H167" s="2162" t="inlineStr">
        <is>
          <t>Custo infromado FG</t>
        </is>
      </c>
      <c r="I167" s="4" t="inlineStr">
        <is>
          <t>Diversos</t>
        </is>
      </c>
    </row>
    <row r="168" ht="15.75" customHeight="1">
      <c r="A168" s="10">
        <f>COUNTIFS($B$2:$B$979,B168)</f>
        <v/>
      </c>
      <c r="B168" s="10" t="inlineStr">
        <is>
          <t>PLACA / CHAPA DE GESSO ACARTONADO, STANDARD (ST), COR BRANCA, E = 12,5 MM, 1200 X 2400 MM (L X C)</t>
        </is>
      </c>
      <c r="C168" s="11" t="inlineStr">
        <is>
          <t>M2</t>
        </is>
      </c>
      <c r="D168" s="2162">
        <f>E168*$D$1</f>
        <v/>
      </c>
      <c r="E168" s="2176" t="n">
        <v>20.16</v>
      </c>
      <c r="F168" s="2162" t="inlineStr">
        <is>
          <t>Drywall/Shaft/Forro</t>
        </is>
      </c>
      <c r="G168" s="2162" t="inlineStr">
        <is>
          <t>Diversos</t>
        </is>
      </c>
      <c r="H168" s="2162" t="inlineStr">
        <is>
          <t>Custo infromado FG</t>
        </is>
      </c>
      <c r="I168" s="4" t="inlineStr">
        <is>
          <t>Diversos</t>
        </is>
      </c>
    </row>
    <row r="169" ht="15.75" customHeight="1">
      <c r="A169" s="10">
        <f>COUNTIFS($B$2:$B$979,B169)</f>
        <v/>
      </c>
      <c r="B169" s="10" t="inlineStr">
        <is>
          <t>PLACA / CHAPA DE GESSO ACARTONADO HARDBOARD (HB) E = 12,5 MM, 1200 X 1800 MM (L X C)</t>
        </is>
      </c>
      <c r="C169" s="11" t="inlineStr">
        <is>
          <t>M2</t>
        </is>
      </c>
      <c r="D169" s="2162">
        <f>E169*$D$1</f>
        <v/>
      </c>
      <c r="E169" s="2176" t="n">
        <v>34.51388888888889</v>
      </c>
      <c r="F169" s="2162" t="inlineStr">
        <is>
          <t>Drywall/Shaft/Forro</t>
        </is>
      </c>
      <c r="G169" s="2162" t="inlineStr">
        <is>
          <t>Diversos</t>
        </is>
      </c>
      <c r="H169" s="2162" t="inlineStr">
        <is>
          <t>Custo infromado FG</t>
        </is>
      </c>
      <c r="I169" s="4" t="inlineStr">
        <is>
          <t>Diversos</t>
        </is>
      </c>
    </row>
    <row r="170" ht="15.75" customHeight="1">
      <c r="A170" s="10">
        <f>COUNTIFS($B$2:$B$979,B170)</f>
        <v/>
      </c>
      <c r="B170" s="10" t="inlineStr">
        <is>
          <t>Forro De Fibra Mineral Armstrong Ceilings Scala Square 625 X 625 X 16mm</t>
        </is>
      </c>
      <c r="C170" s="11" t="inlineStr">
        <is>
          <t>M2</t>
        </is>
      </c>
      <c r="D170" s="2162">
        <f>E170*$D$1</f>
        <v/>
      </c>
      <c r="E170" s="2162" t="n">
        <v>95</v>
      </c>
      <c r="F170" s="2162" t="inlineStr">
        <is>
          <t>Drywall/Shaft/Forro</t>
        </is>
      </c>
      <c r="G170" s="2162" t="inlineStr">
        <is>
          <t>Diversos</t>
        </is>
      </c>
      <c r="H170" s="2162" t="n"/>
      <c r="I170" s="4" t="inlineStr">
        <is>
          <t>Diversos</t>
        </is>
      </c>
    </row>
    <row r="171" ht="15.75" customHeight="1">
      <c r="A171" s="10">
        <f>COUNTIFS($B$2:$B$979,B171)</f>
        <v/>
      </c>
      <c r="B171" s="10" t="inlineStr">
        <is>
          <t>CHAPA DE GESSO PARA DRYWALL PLACO - KNAUF (RU) VERDE 12,5MM X 1,20M X 1,80M</t>
        </is>
      </c>
      <c r="C171" s="11" t="inlineStr">
        <is>
          <t>M2</t>
        </is>
      </c>
      <c r="D171" s="2162">
        <f>E171*$D$1</f>
        <v/>
      </c>
      <c r="E171" s="2162">
        <f>60.21/(1.2*1.8)*1.1</f>
        <v/>
      </c>
      <c r="F171" s="2162" t="inlineStr">
        <is>
          <t>Drywall/Shaft/Forro</t>
        </is>
      </c>
      <c r="G171" s="2162" t="inlineStr">
        <is>
          <t>Diversos</t>
        </is>
      </c>
      <c r="H171" s="2162" t="n"/>
      <c r="I171" s="4" t="inlineStr">
        <is>
          <t>Diversos</t>
        </is>
      </c>
    </row>
    <row r="172" ht="15.75" customHeight="1">
      <c r="A172" s="10">
        <f>COUNTIFS($B$2:$B$979,B172)</f>
        <v/>
      </c>
      <c r="B172" s="10" t="inlineStr">
        <is>
          <t>CHAPA DE GESSO PARA DRYWALL PLACO - KNAUF (HD) HARDBOARD 12,5MM X 1,20M X 1,80M</t>
        </is>
      </c>
      <c r="C172" s="11" t="inlineStr">
        <is>
          <t>M2</t>
        </is>
      </c>
      <c r="D172" s="2162">
        <f>E172*$D$1</f>
        <v/>
      </c>
      <c r="E172" s="2162">
        <f>123.41/(1.2*1.8)*1.1</f>
        <v/>
      </c>
      <c r="F172" s="2162" t="inlineStr">
        <is>
          <t>Drywall/Shaft/Forro</t>
        </is>
      </c>
      <c r="G172" s="2162" t="inlineStr">
        <is>
          <t>Diversos</t>
        </is>
      </c>
      <c r="H172" s="2162" t="n"/>
      <c r="I172" s="4" t="inlineStr">
        <is>
          <t>Diversos</t>
        </is>
      </c>
    </row>
    <row r="173" ht="15.75" customHeight="1">
      <c r="A173" s="10">
        <f>COUNTIFS($B$2:$B$979,B173)</f>
        <v/>
      </c>
      <c r="B173" s="10" t="inlineStr">
        <is>
          <t>CHAPA DE GESSO PARA DRYWALL PLACO - KNAUF (RF) VERMELHA 12,5MM X 1,20M X 1,80M</t>
        </is>
      </c>
      <c r="C173" s="11" t="inlineStr">
        <is>
          <t>M2</t>
        </is>
      </c>
      <c r="D173" s="2162">
        <f>E173*$D$1</f>
        <v/>
      </c>
      <c r="E173" s="2162">
        <f>75/(1.2*1.8)*1.1</f>
        <v/>
      </c>
      <c r="F173" s="2162" t="inlineStr">
        <is>
          <t>Drywall/Shaft/Forro</t>
        </is>
      </c>
      <c r="G173" s="2162" t="inlineStr">
        <is>
          <t>Diversos</t>
        </is>
      </c>
      <c r="H173" s="2162" t="n"/>
      <c r="I173" s="4" t="inlineStr">
        <is>
          <t>Diversos</t>
        </is>
      </c>
    </row>
    <row r="174" ht="15.75" customHeight="1">
      <c r="A174" s="10">
        <f>COUNTIFS($B$2:$B$933,B174)</f>
        <v/>
      </c>
      <c r="B174" s="10" t="inlineStr">
        <is>
          <t>PLACA CIMENTÍCIA(CT) PARA STEEL FRAME BRASILIT-ETERNIT 8MM X 1,20M X 2,40M</t>
        </is>
      </c>
      <c r="C174" s="11" t="inlineStr">
        <is>
          <t>M2</t>
        </is>
      </c>
      <c r="D174" s="2162">
        <f>E174*$D$1</f>
        <v/>
      </c>
      <c r="E174" s="2162">
        <f>78.78/(1.2*2.4)*1.1</f>
        <v/>
      </c>
      <c r="F174" s="2162" t="inlineStr">
        <is>
          <t>Drywall/Shaft/Forro</t>
        </is>
      </c>
      <c r="G174" s="2162" t="inlineStr">
        <is>
          <t>Diversos</t>
        </is>
      </c>
      <c r="H174" s="2162" t="n"/>
      <c r="I174" s="4" t="inlineStr">
        <is>
          <t>Diversos</t>
        </is>
      </c>
    </row>
    <row r="175" ht="15.75" customHeight="1">
      <c r="A175" s="10">
        <f>COUNTIFS($B$2:$B$979,B175)</f>
        <v/>
      </c>
      <c r="B175" s="10" t="inlineStr">
        <is>
          <t>Placa de Gesso Glasroc X 12,5 X 1200 X 2400mm</t>
        </is>
      </c>
      <c r="C175" s="11" t="inlineStr">
        <is>
          <t>M2</t>
        </is>
      </c>
      <c r="D175" s="2162">
        <f>E175*$D$1</f>
        <v/>
      </c>
      <c r="E175" s="2162">
        <f>220/(1.2*2.4)*1.1</f>
        <v/>
      </c>
      <c r="F175" s="2162" t="inlineStr">
        <is>
          <t>Drywall/Shaft/Forro</t>
        </is>
      </c>
      <c r="G175" s="2162" t="inlineStr">
        <is>
          <t>Diversos</t>
        </is>
      </c>
      <c r="H175" s="2162" t="n"/>
      <c r="I175" s="4" t="inlineStr">
        <is>
          <t>Diversos</t>
        </is>
      </c>
    </row>
    <row r="176" ht="15.75" customHeight="1">
      <c r="A176" s="10">
        <f>COUNTIFS($B$2:$B$979,B176)</f>
        <v/>
      </c>
      <c r="B176" s="10" t="inlineStr">
        <is>
          <t>Manta Fibra Cerâmica Alta Temperatura Tapcamp 2000 X 610 X 25 Mm</t>
        </is>
      </c>
      <c r="C176" s="11" t="inlineStr">
        <is>
          <t>M2</t>
        </is>
      </c>
      <c r="D176" s="2162">
        <f>E176*$D$1</f>
        <v/>
      </c>
      <c r="E176" s="2162">
        <f>130/(2*0.61)*1.1</f>
        <v/>
      </c>
      <c r="F176" s="2162" t="inlineStr">
        <is>
          <t>Drywall/Shaft/Forro</t>
        </is>
      </c>
      <c r="G176" s="2162" t="inlineStr">
        <is>
          <t>Drywall/Shaft/Forro</t>
        </is>
      </c>
      <c r="H176" s="2162" t="n"/>
      <c r="I176" s="4" t="inlineStr">
        <is>
          <t>Diversos</t>
        </is>
      </c>
    </row>
    <row r="177" ht="15.75" customHeight="1">
      <c r="A177" s="10">
        <f>COUNTIFS($B$2:$B$979,B177)</f>
        <v/>
      </c>
      <c r="B177" s="10" t="inlineStr">
        <is>
          <t>Lã de pet 50 X 1200 X 12500 MM</t>
        </is>
      </c>
      <c r="C177" s="11" t="inlineStr">
        <is>
          <t>M2</t>
        </is>
      </c>
      <c r="D177" s="2162">
        <f>E177*$D$1</f>
        <v/>
      </c>
      <c r="E177" s="2162">
        <f>195.29/15</f>
        <v/>
      </c>
      <c r="F177" s="2162" t="inlineStr">
        <is>
          <t>Drywall/Shaft/Forro</t>
        </is>
      </c>
      <c r="G177" s="2162" t="inlineStr">
        <is>
          <t>Drywall/Shaft/Forro</t>
        </is>
      </c>
      <c r="H177" s="2162" t="n"/>
      <c r="I177" s="4" t="inlineStr">
        <is>
          <t>Diversos</t>
        </is>
      </c>
    </row>
    <row r="178" ht="15.75" customHeight="1">
      <c r="A178" s="10">
        <f>COUNTIFS($B$2:$B$979,B178)</f>
        <v/>
      </c>
      <c r="B178" s="10" t="inlineStr">
        <is>
          <t>LÂ DE VIDRO PARA ISOLAMENTO 50mm</t>
        </is>
      </c>
      <c r="C178" s="11" t="inlineStr">
        <is>
          <t>M2</t>
        </is>
      </c>
      <c r="D178" s="2162">
        <f>E178*$D$1</f>
        <v/>
      </c>
      <c r="E178" s="2162" t="n">
        <v>12.82866666666667</v>
      </c>
      <c r="F178" s="2162" t="inlineStr">
        <is>
          <t>Drywall/Shaft/Forro</t>
        </is>
      </c>
      <c r="G178" s="2162" t="inlineStr">
        <is>
          <t>Drywall/Shaft/Forro</t>
        </is>
      </c>
      <c r="H178" s="2162" t="n"/>
      <c r="I178" s="4" t="inlineStr">
        <is>
          <t>Diversos</t>
        </is>
      </c>
    </row>
    <row r="179" ht="15.75" customHeight="1">
      <c r="A179" s="10">
        <f>COUNTIFS($B$2:$B$950,B179)</f>
        <v/>
      </c>
      <c r="B179" s="10" t="inlineStr">
        <is>
          <t>BANDA ACUSTICA</t>
        </is>
      </c>
      <c r="C179" s="11" t="inlineStr">
        <is>
          <t>M</t>
        </is>
      </c>
      <c r="D179" s="2162">
        <f>E179*$D$1</f>
        <v/>
      </c>
      <c r="E179" s="2176" t="n">
        <v>3</v>
      </c>
      <c r="F179" s="2162" t="inlineStr">
        <is>
          <t>Drywall/Shaft/Forro</t>
        </is>
      </c>
      <c r="G179" s="2162" t="inlineStr">
        <is>
          <t>Drywall/Shaft/Forro</t>
        </is>
      </c>
      <c r="H179" s="2162" t="inlineStr">
        <is>
          <t>Custo infromado FG</t>
        </is>
      </c>
      <c r="I179" s="4" t="inlineStr">
        <is>
          <t>Diversos</t>
        </is>
      </c>
    </row>
    <row r="180" ht="15.75" customHeight="1">
      <c r="A180" s="10">
        <f>COUNTIFS($B$2:$B$950,B180)</f>
        <v/>
      </c>
      <c r="B180" s="10" t="inlineStr">
        <is>
          <t>Aplicação de zarcão nas guias inferiores</t>
        </is>
      </c>
      <c r="C180" s="11" t="inlineStr">
        <is>
          <t>M</t>
        </is>
      </c>
      <c r="D180" s="2162">
        <f>E180*$D$1</f>
        <v/>
      </c>
      <c r="E180" s="2176" t="n">
        <v>0.6</v>
      </c>
      <c r="F180" s="2162" t="inlineStr">
        <is>
          <t>Drywall/Shaft/Forro</t>
        </is>
      </c>
      <c r="G180" s="2162" t="inlineStr">
        <is>
          <t>Drywall/Shaft/Forro</t>
        </is>
      </c>
      <c r="H180" s="2162" t="inlineStr">
        <is>
          <t>Custo infromado FG</t>
        </is>
      </c>
      <c r="I180" s="4" t="inlineStr">
        <is>
          <t>Diversos</t>
        </is>
      </c>
    </row>
    <row r="181" ht="15.75" customHeight="1">
      <c r="A181" s="10">
        <f>COUNTIFS($B$2:$B$996,B181)</f>
        <v/>
      </c>
      <c r="B181" s="10" t="inlineStr">
        <is>
          <t>PARAFUSO DRY WALL, EM ACO FOSFATIZADO, CABECA TROMBETA E PONTA AGULHA (TA), COMPRIMENTO 25 MM</t>
        </is>
      </c>
      <c r="C181" s="11" t="inlineStr">
        <is>
          <t>UN</t>
        </is>
      </c>
      <c r="D181" s="2162">
        <f>E181*$D$1</f>
        <v/>
      </c>
      <c r="E181" s="2162" t="n">
        <v>0.09</v>
      </c>
      <c r="F181" s="2162" t="inlineStr">
        <is>
          <t>Drywall/Shaft/Forro</t>
        </is>
      </c>
      <c r="G181" s="2162" t="inlineStr">
        <is>
          <t>Drywall/Shaft/Forro</t>
        </is>
      </c>
      <c r="H181" s="2162" t="n"/>
      <c r="I181" s="4" t="inlineStr">
        <is>
          <t>Diversos</t>
        </is>
      </c>
    </row>
    <row r="182" ht="15.75" customHeight="1">
      <c r="A182" s="10">
        <f>COUNTIFS($B$2:$B$996,B182)</f>
        <v/>
      </c>
      <c r="B182" s="10" t="inlineStr">
        <is>
          <t>PARAFUSO DRY WALL, EM ACO ZINCADO, CABECA LENTILHA E PONTA BROCA (LB), LARGURA 4,2 MM, COMPRIMENTO 13 MM</t>
        </is>
      </c>
      <c r="C182" s="11" t="inlineStr">
        <is>
          <t>UN</t>
        </is>
      </c>
      <c r="D182" s="2162">
        <f>E182*$D$1</f>
        <v/>
      </c>
      <c r="E182" s="2162" t="n">
        <v>0.2</v>
      </c>
      <c r="F182" s="2162" t="inlineStr">
        <is>
          <t>Drywall/Shaft/Forro</t>
        </is>
      </c>
      <c r="G182" s="2162" t="inlineStr">
        <is>
          <t>Drywall/Shaft/Forro</t>
        </is>
      </c>
      <c r="H182" s="2162" t="n"/>
      <c r="I182" s="4" t="inlineStr">
        <is>
          <t>Diversos</t>
        </is>
      </c>
    </row>
    <row r="183" ht="15.75" customHeight="1">
      <c r="A183" s="10">
        <f>COUNTIFS($B$2:$B$996,B183)</f>
        <v/>
      </c>
      <c r="B183" s="10" t="inlineStr">
        <is>
          <t>PERFIL GUIA, FORMATO U, EM ACO ZINCADO, PARA ESTRUTURA PAREDE DRYWALL, E = 0,5 MM, 48 X 3000 MM (L X C)</t>
        </is>
      </c>
      <c r="C183" s="11" t="inlineStr">
        <is>
          <t>M</t>
        </is>
      </c>
      <c r="D183" s="2162">
        <f>E183*$D$1</f>
        <v/>
      </c>
      <c r="E183" s="2162" t="n">
        <v>7.03</v>
      </c>
      <c r="F183" s="2162" t="inlineStr">
        <is>
          <t>Drywall/Shaft/Forro</t>
        </is>
      </c>
      <c r="G183" s="2162" t="inlineStr">
        <is>
          <t>Drywall/Shaft/Forro</t>
        </is>
      </c>
      <c r="H183" s="2162" t="n"/>
      <c r="I183" s="4" t="inlineStr">
        <is>
          <t>Diversos</t>
        </is>
      </c>
    </row>
    <row r="184" ht="15.75" customHeight="1">
      <c r="A184" s="10">
        <f>COUNTIFS($B$2:$B$996,B184)</f>
        <v/>
      </c>
      <c r="B184" s="10" t="inlineStr">
        <is>
          <t>PERFIL GUIA, FORMATO U, EM ACO ZINCADO, PARA ESTRUTURA PAREDE DRYWALL, E = 0,5 MM, 70 X 3000 MM (L X C)</t>
        </is>
      </c>
      <c r="C184" s="11" t="inlineStr">
        <is>
          <t>M</t>
        </is>
      </c>
      <c r="D184" s="2162">
        <f>E184*$D$1</f>
        <v/>
      </c>
      <c r="E184" s="2176" t="n">
        <v>7.46</v>
      </c>
      <c r="F184" s="2162" t="inlineStr">
        <is>
          <t>Drywall/Shaft/Forro</t>
        </is>
      </c>
      <c r="G184" s="2162" t="inlineStr">
        <is>
          <t>Drywall/Shaft/Forro</t>
        </is>
      </c>
      <c r="H184" s="2162" t="n"/>
      <c r="I184" s="4" t="inlineStr">
        <is>
          <t>Diversos</t>
        </is>
      </c>
    </row>
    <row r="185" ht="15.75" customHeight="1">
      <c r="A185" s="10">
        <f>COUNTIFS($B$2:$B$996,B185)</f>
        <v/>
      </c>
      <c r="B185" s="10" t="inlineStr">
        <is>
          <t>PERFIL GUIA, FORMATO U, EM ACO ZINCADO, PARA ESTRUTURA PAREDE DRYWALL, E = 0,5 MM, 90 X 3000 MM (L X C)</t>
        </is>
      </c>
      <c r="C185" s="11" t="inlineStr">
        <is>
          <t>M</t>
        </is>
      </c>
      <c r="D185" s="2162">
        <f>E185*$D$1</f>
        <v/>
      </c>
      <c r="E185" s="2176" t="n">
        <v>8.640000000000001</v>
      </c>
      <c r="F185" s="2162" t="inlineStr">
        <is>
          <t>Drywall/Shaft/Forro</t>
        </is>
      </c>
      <c r="G185" s="2162" t="inlineStr">
        <is>
          <t>Drywall/Shaft/Forro</t>
        </is>
      </c>
      <c r="H185" s="2162" t="n"/>
      <c r="I185" s="4" t="inlineStr">
        <is>
          <t>Diversos</t>
        </is>
      </c>
    </row>
    <row r="186" ht="15.75" customHeight="1">
      <c r="A186" s="10">
        <f>COUNTIFS($B$2:$B$996,B186)</f>
        <v/>
      </c>
      <c r="B186" s="10" t="inlineStr">
        <is>
          <t>PERFIL MONTANTE, FORMATO C, EM ACO ZINCADO, PARA ESTRUTURA PAREDE DRYWALL, E = 0,5 MM, 48 X 3000 MM (L X C)</t>
        </is>
      </c>
      <c r="C186" s="11" t="inlineStr">
        <is>
          <t>M</t>
        </is>
      </c>
      <c r="D186" s="2162">
        <f>E186*$D$1</f>
        <v/>
      </c>
      <c r="E186" s="2162" t="n">
        <v>7.98</v>
      </c>
      <c r="F186" s="2162" t="inlineStr">
        <is>
          <t>Drywall/Shaft/Forro</t>
        </is>
      </c>
      <c r="G186" s="2162" t="inlineStr">
        <is>
          <t>Drywall/Shaft/Forro</t>
        </is>
      </c>
      <c r="H186" s="2162" t="n"/>
      <c r="I186" s="4" t="inlineStr">
        <is>
          <t>Diversos</t>
        </is>
      </c>
    </row>
    <row r="187" ht="15.75" customHeight="1">
      <c r="A187" s="10">
        <f>COUNTIFS($B$2:$B$996,B187)</f>
        <v/>
      </c>
      <c r="B187" s="10" t="inlineStr">
        <is>
          <t>PERFIL MONTANTE, FORMATO C, EM ACO ZINCADO, PARA ESTRUTURA PAREDE DRYWALL, E = 0,5 MM, 70 X 3000 MM (L X C)</t>
        </is>
      </c>
      <c r="C187" s="11" t="inlineStr">
        <is>
          <t>M</t>
        </is>
      </c>
      <c r="D187" s="2162">
        <f>E187*$D$1</f>
        <v/>
      </c>
      <c r="E187" s="2162" t="n">
        <v>7.98</v>
      </c>
      <c r="F187" s="2162" t="inlineStr">
        <is>
          <t>Drywall/Shaft/Forro</t>
        </is>
      </c>
      <c r="G187" s="2162" t="inlineStr">
        <is>
          <t>Drywall/Shaft/Forro</t>
        </is>
      </c>
      <c r="H187" s="2162" t="n"/>
      <c r="I187" s="4" t="inlineStr">
        <is>
          <t>Diversos</t>
        </is>
      </c>
    </row>
    <row r="188" ht="15.75" customHeight="1">
      <c r="A188" s="10">
        <f>COUNTIFS($B$2:$B$996,B188)</f>
        <v/>
      </c>
      <c r="B188" s="10" t="inlineStr">
        <is>
          <t>PERFIL MONTANTE, FORMATO C, EM ACO ZINCADO, PARA ESTRUTURA PAREDE DRYWALL, E = 0,5 MM, 90 X 3000 MM (L X C)</t>
        </is>
      </c>
      <c r="C188" s="11" t="inlineStr">
        <is>
          <t>M</t>
        </is>
      </c>
      <c r="D188" s="2162">
        <f>E188*$D$1</f>
        <v/>
      </c>
      <c r="E188" s="2162" t="n">
        <v>18.09</v>
      </c>
      <c r="F188" s="2162" t="inlineStr">
        <is>
          <t>Drywall/Shaft/Forro</t>
        </is>
      </c>
      <c r="G188" s="2162" t="inlineStr">
        <is>
          <t>Drywall/Shaft/Forro</t>
        </is>
      </c>
      <c r="H188" s="2162" t="n"/>
      <c r="I188" s="4" t="inlineStr">
        <is>
          <t>Diversos</t>
        </is>
      </c>
    </row>
    <row r="189" ht="15.75" customHeight="1">
      <c r="A189" s="10">
        <f>COUNTIFS($B$2:$B$996,B189)</f>
        <v/>
      </c>
      <c r="B189" s="10" t="inlineStr">
        <is>
          <t>PINO DE ACO COM ARRUELA CONICA, DIAMETRO ARRUELA = *23* MM E COMP HASTE = *27* MM (ACAO INDIRETA)</t>
        </is>
      </c>
      <c r="C189" s="11" t="inlineStr">
        <is>
          <t>UN</t>
        </is>
      </c>
      <c r="D189" s="2162">
        <f>E189*$D$1</f>
        <v/>
      </c>
      <c r="E189" s="2162" t="n">
        <v>0.504</v>
      </c>
      <c r="F189" s="2162" t="inlineStr">
        <is>
          <t>Drywall/Shaft/Forro</t>
        </is>
      </c>
      <c r="G189" s="2162" t="inlineStr">
        <is>
          <t>Drywall/Shaft/Forro</t>
        </is>
      </c>
      <c r="H189" s="2162" t="n"/>
      <c r="I189" s="4" t="inlineStr">
        <is>
          <t>Diversos</t>
        </is>
      </c>
    </row>
    <row r="190" ht="15.75" customHeight="1">
      <c r="A190" s="10">
        <f>COUNTIFS($B$2:$B$996,B190)</f>
        <v/>
      </c>
      <c r="B190" s="10" t="inlineStr">
        <is>
          <t>PINO DE ACO COM FURO, HASTE = 27 MM (ACAO DIRETA)</t>
        </is>
      </c>
      <c r="C190" s="11" t="inlineStr">
        <is>
          <t>UN</t>
        </is>
      </c>
      <c r="D190" s="2162">
        <f>E190*$D$1</f>
        <v/>
      </c>
      <c r="E190" s="2162" t="n">
        <v>0.4336</v>
      </c>
      <c r="F190" s="2162" t="inlineStr">
        <is>
          <t>Drywall/Shaft/Forro</t>
        </is>
      </c>
      <c r="G190" s="2162" t="inlineStr">
        <is>
          <t>Drywall/Shaft/Forro</t>
        </is>
      </c>
      <c r="H190" s="2162" t="n"/>
      <c r="I190" s="4" t="inlineStr">
        <is>
          <t>Diversos</t>
        </is>
      </c>
    </row>
    <row r="191" ht="15.75" customHeight="1">
      <c r="A191" s="10">
        <f>COUNTIFS($B$2:$B$996,B191)</f>
        <v/>
      </c>
      <c r="B191" s="10" t="inlineStr">
        <is>
          <t>Tela de Fibra de Vidro</t>
        </is>
      </c>
      <c r="C191" s="11" t="inlineStr">
        <is>
          <t>m2</t>
        </is>
      </c>
      <c r="D191" s="2162">
        <f>E191*$D$1</f>
        <v/>
      </c>
      <c r="E191" s="2162">
        <f>405/(1*50)</f>
        <v/>
      </c>
      <c r="F191" s="2162" t="inlineStr">
        <is>
          <t>Drywall/Shaft/Forro</t>
        </is>
      </c>
      <c r="G191" s="2162" t="inlineStr">
        <is>
          <t>Drywall/Shaft/Forro</t>
        </is>
      </c>
      <c r="H191" s="2162" t="n"/>
      <c r="I191" s="4" t="inlineStr">
        <is>
          <t>Diversos</t>
        </is>
      </c>
    </row>
    <row r="192" ht="15.75" customHeight="1">
      <c r="A192" s="10">
        <f>COUNTIFS($B$2:$B$996,B192)</f>
        <v/>
      </c>
      <c r="B192" s="10" t="inlineStr">
        <is>
          <t>Perfil metálico “T” principal 38x24 mm</t>
        </is>
      </c>
      <c r="C192" s="11" t="inlineStr">
        <is>
          <t>M</t>
        </is>
      </c>
      <c r="D192" s="2162">
        <f>E192*$D$1</f>
        <v/>
      </c>
      <c r="E192" s="2162" t="n">
        <v>7.5</v>
      </c>
      <c r="F192" s="2162" t="inlineStr">
        <is>
          <t>Drywall/Shaft/Forro</t>
        </is>
      </c>
      <c r="G192" s="2162" t="inlineStr">
        <is>
          <t>Drywall/Shaft/Forro</t>
        </is>
      </c>
      <c r="H192" s="2162" t="n"/>
      <c r="I192" s="4" t="inlineStr">
        <is>
          <t>Diversos</t>
        </is>
      </c>
    </row>
    <row r="193" ht="15.75" customHeight="1">
      <c r="A193" s="10">
        <f>COUNTIFS($B$2:$B$996,B193)</f>
        <v/>
      </c>
      <c r="B193" s="10" t="inlineStr">
        <is>
          <t>Cantoneira perimetral galvanizada</t>
        </is>
      </c>
      <c r="C193" s="11" t="inlineStr">
        <is>
          <t>M</t>
        </is>
      </c>
      <c r="D193" s="2162">
        <f>E193*$D$1</f>
        <v/>
      </c>
      <c r="E193" s="2162" t="n">
        <v>6.5</v>
      </c>
      <c r="F193" s="2162" t="inlineStr">
        <is>
          <t>Drywall/Shaft/Forro</t>
        </is>
      </c>
      <c r="G193" s="2162" t="inlineStr">
        <is>
          <t>Drywall/Shaft/Forro</t>
        </is>
      </c>
      <c r="H193" s="2162" t="n"/>
      <c r="I193" s="4" t="inlineStr">
        <is>
          <t>Diversos</t>
        </is>
      </c>
    </row>
    <row r="194" ht="15.75" customHeight="1">
      <c r="A194" s="10">
        <f>COUNTIFS($B$2:$B$996,B194)</f>
        <v/>
      </c>
      <c r="B194" s="10" t="inlineStr">
        <is>
          <t>Arame galvanizado nº 12 e presilhas</t>
        </is>
      </c>
      <c r="C194" s="11" t="inlineStr">
        <is>
          <t>M</t>
        </is>
      </c>
      <c r="D194" s="2162">
        <f>E194*$D$1</f>
        <v/>
      </c>
      <c r="E194" s="2162" t="n">
        <v>15</v>
      </c>
      <c r="F194" s="2162" t="inlineStr">
        <is>
          <t>Drywall/Shaft/Forro</t>
        </is>
      </c>
      <c r="G194" s="2162" t="inlineStr">
        <is>
          <t>Drywall/Shaft/Forro</t>
        </is>
      </c>
      <c r="H194" s="2162" t="n"/>
      <c r="I194" s="4" t="inlineStr">
        <is>
          <t>Diversos</t>
        </is>
      </c>
    </row>
    <row r="195" ht="15.75" customHeight="1">
      <c r="A195" s="10">
        <f>COUNTIFS($B$2:$B$996,B195)</f>
        <v/>
      </c>
      <c r="B195" s="10" t="inlineStr">
        <is>
          <t>Buchas e parafusos</t>
        </is>
      </c>
      <c r="C195" s="11" t="inlineStr">
        <is>
          <t>UN</t>
        </is>
      </c>
      <c r="D195" s="2162">
        <f>E195*$D$1</f>
        <v/>
      </c>
      <c r="E195" s="2162" t="n">
        <v>0.5</v>
      </c>
      <c r="F195" s="2162" t="inlineStr">
        <is>
          <t>Drywall/Shaft/Forro</t>
        </is>
      </c>
      <c r="G195" s="2162" t="inlineStr">
        <is>
          <t>Drywall/Shaft/Forro</t>
        </is>
      </c>
      <c r="H195" s="2162" t="n"/>
      <c r="I195" s="4" t="inlineStr">
        <is>
          <t>Diversos</t>
        </is>
      </c>
    </row>
    <row r="196" ht="15.75" customHeight="1">
      <c r="A196" s="10">
        <f>COUNTIFS($B$2:$B$996,B196)</f>
        <v/>
      </c>
      <c r="B196" s="10" t="inlineStr">
        <is>
          <t xml:space="preserve">Estrutura e fechamento em drywall Parede Drywall </t>
        </is>
      </c>
      <c r="C196" s="11" t="inlineStr">
        <is>
          <t>UN</t>
        </is>
      </c>
      <c r="D196" s="2162">
        <f>E196*$D$1</f>
        <v/>
      </c>
      <c r="E196" s="2162" t="n">
        <v>377.8363900815155</v>
      </c>
      <c r="F196" s="2162" t="inlineStr">
        <is>
          <t>Drywall/Shaft/Forro</t>
        </is>
      </c>
      <c r="G196" s="2162" t="inlineStr">
        <is>
          <t>Drywall/Shaft/Forro</t>
        </is>
      </c>
      <c r="H196" s="2162" t="n"/>
      <c r="I196" s="4" t="inlineStr">
        <is>
          <t>Diversos</t>
        </is>
      </c>
    </row>
    <row r="197" ht="15.75" customHeight="1">
      <c r="A197" s="10">
        <f>COUNTIFS($B$2:$B$996,B197)</f>
        <v/>
      </c>
      <c r="B197" s="10" t="inlineStr">
        <is>
          <t>Reforços Para Paredes em Drywall</t>
        </is>
      </c>
      <c r="C197" s="11" t="inlineStr">
        <is>
          <t>UN</t>
        </is>
      </c>
      <c r="D197" s="2162">
        <f>E197*$D$1</f>
        <v/>
      </c>
      <c r="E197" s="2162" t="n">
        <v>58.98873492370869</v>
      </c>
      <c r="F197" s="2162" t="inlineStr">
        <is>
          <t>Drywall/Shaft/Forro</t>
        </is>
      </c>
      <c r="G197" s="2162" t="inlineStr">
        <is>
          <t>Drywall/Shaft/Forro</t>
        </is>
      </c>
      <c r="H197" s="2162" t="n"/>
      <c r="I197" s="4" t="inlineStr">
        <is>
          <t>Diversos</t>
        </is>
      </c>
    </row>
    <row r="198" ht="15.75" customHeight="1">
      <c r="A198" s="10">
        <f>COUNTIFS($B$2:$B$996,B198)</f>
        <v/>
      </c>
      <c r="B198" s="10" t="inlineStr">
        <is>
          <t>Presilha de fixação Painel Wall EspaçoFix</t>
        </is>
      </c>
      <c r="C198" s="11" t="inlineStr">
        <is>
          <t>UN</t>
        </is>
      </c>
      <c r="D198" s="2162">
        <f>E198*$D$1</f>
        <v/>
      </c>
      <c r="E198" s="2162" t="n">
        <v>5.17</v>
      </c>
      <c r="F198" s="2162" t="inlineStr">
        <is>
          <t>Drywall/Shaft/Forro</t>
        </is>
      </c>
      <c r="G198" s="2162" t="inlineStr">
        <is>
          <t>Drywall/Shaft/Forro</t>
        </is>
      </c>
      <c r="H198" s="2162" t="n"/>
      <c r="I198" s="4" t="inlineStr">
        <is>
          <t>Diversos</t>
        </is>
      </c>
    </row>
    <row r="199" ht="15.75" customHeight="1">
      <c r="A199" s="10">
        <f>COUNTIFS($B$2:$B$996,B199)</f>
        <v/>
      </c>
      <c r="B199" s="10" t="inlineStr">
        <is>
          <t>Locação estrutura para proteção SLQA</t>
        </is>
      </c>
      <c r="C199" s="11" t="inlineStr">
        <is>
          <t>m</t>
        </is>
      </c>
      <c r="D199" s="2162">
        <f>E199*$D$1</f>
        <v/>
      </c>
      <c r="E199" s="2162" t="n">
        <v>110</v>
      </c>
      <c r="F199" s="2162" t="inlineStr">
        <is>
          <t>EPC/EPI</t>
        </is>
      </c>
      <c r="G199" s="2162" t="inlineStr">
        <is>
          <t>EPC/EPI</t>
        </is>
      </c>
      <c r="H199" s="2162" t="n"/>
      <c r="I199" s="4" t="inlineStr">
        <is>
          <t>Material Segurança</t>
        </is>
      </c>
    </row>
    <row r="200" ht="15.75" customHeight="1">
      <c r="A200" s="10">
        <f>COUNTIFS($B$2:$B$996,B200)</f>
        <v/>
      </c>
      <c r="B200" s="10" t="inlineStr">
        <is>
          <t>Locação estrutura metálica para proteção de pesdestres</t>
        </is>
      </c>
      <c r="C200" s="11" t="inlineStr">
        <is>
          <t>m2</t>
        </is>
      </c>
      <c r="D200" s="2162">
        <f>E200*$D$1</f>
        <v/>
      </c>
      <c r="E200" s="2162" t="n">
        <v>880</v>
      </c>
      <c r="F200" s="2162" t="inlineStr">
        <is>
          <t>EPC/EPI</t>
        </is>
      </c>
      <c r="G200" s="2162" t="inlineStr">
        <is>
          <t>EPC/EPI</t>
        </is>
      </c>
      <c r="H200" s="2162" t="n"/>
      <c r="I200" s="4" t="inlineStr">
        <is>
          <t>Material Segurança</t>
        </is>
      </c>
    </row>
    <row r="201" ht="15.75" customHeight="1">
      <c r="A201" s="10">
        <f>COUNTIFS($B$2:$B$996,B201)</f>
        <v/>
      </c>
      <c r="B201" s="10" t="inlineStr">
        <is>
          <t>PERFIL METALICO BANDEJA PRIMARIA 2,50M</t>
        </is>
      </c>
      <c r="C201" s="11" t="inlineStr">
        <is>
          <t>UN</t>
        </is>
      </c>
      <c r="D201" s="2162">
        <f>E201*$D$1</f>
        <v/>
      </c>
      <c r="E201" s="2162" t="n">
        <v>45</v>
      </c>
      <c r="F201" s="2162" t="inlineStr">
        <is>
          <t>EPC/EPI</t>
        </is>
      </c>
      <c r="G201" s="2162" t="inlineStr">
        <is>
          <t>EPC/EPI</t>
        </is>
      </c>
      <c r="H201" s="2162" t="n"/>
      <c r="I201" s="4" t="inlineStr">
        <is>
          <t>Material Segurança</t>
        </is>
      </c>
    </row>
    <row r="202" ht="15.75" customHeight="1">
      <c r="A202" s="10">
        <f>COUNTIFS($B$2:$B$996,B202)</f>
        <v/>
      </c>
      <c r="B202" s="10" t="inlineStr">
        <is>
          <t xml:space="preserve">PLACA SINALIZACAO PVC C/ADESIVO </t>
        </is>
      </c>
      <c r="C202" s="11" t="inlineStr">
        <is>
          <t>UN</t>
        </is>
      </c>
      <c r="D202" s="2162">
        <f>E202*$D$1</f>
        <v/>
      </c>
      <c r="E202" s="2162" t="n">
        <v>536.53</v>
      </c>
      <c r="F202" s="2162" t="inlineStr">
        <is>
          <t>EPC/EPI</t>
        </is>
      </c>
      <c r="G202" s="2162" t="inlineStr">
        <is>
          <t>EPC/EPI</t>
        </is>
      </c>
      <c r="H202" s="2162" t="n"/>
      <c r="I202" s="4" t="inlineStr">
        <is>
          <t>Material Segurança</t>
        </is>
      </c>
    </row>
    <row r="203" ht="15.75" customHeight="1">
      <c r="A203" s="10">
        <f>COUNTIFS($B$2:$B$996,B203)</f>
        <v/>
      </c>
      <c r="B203" s="10" t="inlineStr">
        <is>
          <t>SUPORTE ACO CARBONO P/PLACA - REQ. CANTONEIRA 1.1/4"X1/8" 160X250CM</t>
        </is>
      </c>
      <c r="C203" s="11" t="inlineStr">
        <is>
          <t>UN</t>
        </is>
      </c>
      <c r="D203" s="2162">
        <f>E203*$D$1</f>
        <v/>
      </c>
      <c r="E203" s="2162" t="n">
        <v>520.85</v>
      </c>
      <c r="F203" s="2162" t="inlineStr">
        <is>
          <t>EPC/EPI</t>
        </is>
      </c>
      <c r="G203" s="2162" t="inlineStr">
        <is>
          <t>EPC/EPI</t>
        </is>
      </c>
      <c r="H203" s="2162" t="n"/>
      <c r="I203" s="4" t="inlineStr">
        <is>
          <t>Material Segurança</t>
        </is>
      </c>
    </row>
    <row r="204" ht="15.75" customHeight="1">
      <c r="A204" s="10">
        <f>COUNTIFS($B$2:$B$996,B204)</f>
        <v/>
      </c>
      <c r="B204" s="10" t="inlineStr">
        <is>
          <t>TUBO GALV. 3" X 2,65MM - 8M C/ RUPTURA: 40 MPA (LINHA DE VIDA)</t>
        </is>
      </c>
      <c r="C204" s="11" t="inlineStr">
        <is>
          <t>UN</t>
        </is>
      </c>
      <c r="D204" s="2162">
        <f>E204*$D$1</f>
        <v/>
      </c>
      <c r="E204" s="2162" t="n">
        <v>50</v>
      </c>
      <c r="F204" s="2162" t="inlineStr">
        <is>
          <t>EPC/EPI</t>
        </is>
      </c>
      <c r="G204" s="2162" t="inlineStr">
        <is>
          <t>EPC/EPI</t>
        </is>
      </c>
      <c r="H204" s="2162" t="n"/>
      <c r="I204" s="4" t="inlineStr">
        <is>
          <t>Material Segurança</t>
        </is>
      </c>
    </row>
    <row r="205" ht="15.75" customHeight="1">
      <c r="A205" s="10">
        <f>COUNTIFS($B$2:$B$996,B205)</f>
        <v/>
      </c>
      <c r="B205" s="10" t="inlineStr">
        <is>
          <t>CABO DE AÇO GALVANIZADO 3/8</t>
        </is>
      </c>
      <c r="C205" s="11" t="inlineStr">
        <is>
          <t>M</t>
        </is>
      </c>
      <c r="D205" s="2162">
        <f>E205*$D$1</f>
        <v/>
      </c>
      <c r="E205" s="2162" t="n">
        <v>5.2</v>
      </c>
      <c r="F205" s="2162" t="inlineStr">
        <is>
          <t>EPC/EPI</t>
        </is>
      </c>
      <c r="G205" s="2162" t="inlineStr">
        <is>
          <t>EPC/EPI</t>
        </is>
      </c>
      <c r="H205" s="2162" t="n"/>
      <c r="I205" s="4" t="inlineStr">
        <is>
          <t>Material Segurança</t>
        </is>
      </c>
    </row>
    <row r="206" ht="15.75" customHeight="1">
      <c r="A206" s="10">
        <f>COUNTIFS($B$2:$B$996,B206)</f>
        <v/>
      </c>
      <c r="B206" s="10" t="inlineStr">
        <is>
          <t>TELA FACHADEIRA POLIETILENO MALHA 1,5X1,5MM</t>
        </is>
      </c>
      <c r="C206" s="11" t="inlineStr">
        <is>
          <t>M2</t>
        </is>
      </c>
      <c r="D206" s="2162">
        <f>E206*$D$1</f>
        <v/>
      </c>
      <c r="E206" s="2162" t="n">
        <v>3.5</v>
      </c>
      <c r="F206" s="2162" t="inlineStr">
        <is>
          <t>EPC/EPI</t>
        </is>
      </c>
      <c r="G206" s="2162" t="inlineStr">
        <is>
          <t>EPC/EPI</t>
        </is>
      </c>
      <c r="H206" s="2162" t="n"/>
      <c r="I206" s="4" t="inlineStr">
        <is>
          <t>Material Segurança</t>
        </is>
      </c>
    </row>
    <row r="207" ht="15.75" customHeight="1">
      <c r="A207" s="10">
        <f>COUNTIFS($B$2:$B$996,B207)</f>
        <v/>
      </c>
      <c r="B207" s="10" t="inlineStr">
        <is>
          <t>TELA PLASTICA TECIDA LISTRADA BRANCA E LARANJA, EM POLIETILENO MONOFILADO</t>
        </is>
      </c>
      <c r="C207" s="11" t="inlineStr">
        <is>
          <t>M</t>
        </is>
      </c>
      <c r="D207" s="2162">
        <f>E207*$D$1</f>
        <v/>
      </c>
      <c r="E207" s="2162" t="n">
        <v>2.73</v>
      </c>
      <c r="F207" s="2162" t="inlineStr">
        <is>
          <t>EPC/EPI</t>
        </is>
      </c>
      <c r="G207" s="2162" t="inlineStr">
        <is>
          <t>EPC/EPI</t>
        </is>
      </c>
      <c r="H207" s="2162" t="n"/>
      <c r="I207" s="4" t="inlineStr">
        <is>
          <t>Material Segurança</t>
        </is>
      </c>
    </row>
    <row r="208" ht="15.75" customHeight="1">
      <c r="A208" s="10">
        <f>COUNTIFS($B$2:$B$996,B208)</f>
        <v/>
      </c>
      <c r="B208" s="10" t="inlineStr">
        <is>
          <t>Locação 30 dias de cada equipamento de rebaixamento com 22,5 HP, vazão máxima = 100 m³/h, em operação ou a disposição.</t>
        </is>
      </c>
      <c r="C208" s="11" t="inlineStr">
        <is>
          <t>MÊS</t>
        </is>
      </c>
      <c r="D208" s="2162">
        <f>E208*$D$1</f>
        <v/>
      </c>
      <c r="E208" s="2162" t="n">
        <v>6500</v>
      </c>
      <c r="F208" s="2162" t="inlineStr">
        <is>
          <t>Equipamentos</t>
        </is>
      </c>
      <c r="G208" s="2162" t="inlineStr">
        <is>
          <t>Equipamentos</t>
        </is>
      </c>
      <c r="H208" s="2162" t="n"/>
      <c r="I208" s="4" t="inlineStr">
        <is>
          <t>Equipamentos Aluguel</t>
        </is>
      </c>
    </row>
    <row r="209" ht="15.75" customHeight="1">
      <c r="A209" s="10">
        <f>COUNTIFS($B$2:$B$996,B209)</f>
        <v/>
      </c>
      <c r="B209" s="10" t="inlineStr">
        <is>
          <t>Locação 30 dias de cada mangote de descarga CDF-A com lance de 50,00 metros cada.</t>
        </is>
      </c>
      <c r="C209" s="11" t="inlineStr">
        <is>
          <t>MÊS</t>
        </is>
      </c>
      <c r="D209" s="2162">
        <f>E209*$D$1</f>
        <v/>
      </c>
      <c r="E209" s="2162" t="n">
        <v>900</v>
      </c>
      <c r="F209" s="2162" t="inlineStr">
        <is>
          <t>Equipamentos</t>
        </is>
      </c>
      <c r="G209" s="2162" t="inlineStr">
        <is>
          <t>Equipamentos</t>
        </is>
      </c>
      <c r="H209" s="2162" t="n"/>
      <c r="I209" s="4" t="inlineStr">
        <is>
          <t>Equipamentos Aluguel</t>
        </is>
      </c>
    </row>
    <row r="210" ht="15.75" customHeight="1">
      <c r="A210" s="10">
        <f>COUNTIFS($B$2:$B$996,B210)</f>
        <v/>
      </c>
      <c r="B210" s="10" t="inlineStr">
        <is>
          <t>Instalação e entrega técnica do(s) equipamento(s) de rebaixamento temporário de aquíferos AQ-EL 44-100. (Previsão de 04 dias)</t>
        </is>
      </c>
      <c r="C210" s="11" t="inlineStr">
        <is>
          <t>VB</t>
        </is>
      </c>
      <c r="D210" s="2162">
        <f>E210*$D$1</f>
        <v/>
      </c>
      <c r="E210" s="2162" t="n">
        <v>1200</v>
      </c>
      <c r="F210" s="2162" t="inlineStr">
        <is>
          <t>Equipamentos</t>
        </is>
      </c>
      <c r="G210" s="2162" t="inlineStr">
        <is>
          <t>Equipamentos</t>
        </is>
      </c>
      <c r="H210" s="2162" t="n"/>
      <c r="I210" s="4" t="inlineStr">
        <is>
          <t>Equipamentos Aluguel</t>
        </is>
      </c>
    </row>
    <row r="211" ht="14.25" customHeight="1">
      <c r="A211" s="10">
        <f>COUNTIFS($B$2:$B$996,B211)</f>
        <v/>
      </c>
      <c r="B211" s="82" t="inlineStr">
        <is>
          <t xml:space="preserve">	Mobilização e desmobilização de equipamentos - Para execução de estaca hélice monitorada</t>
        </is>
      </c>
      <c r="C211" s="83" t="inlineStr">
        <is>
          <t>VB</t>
        </is>
      </c>
      <c r="D211" s="2165">
        <f>E211*$D$1</f>
        <v/>
      </c>
      <c r="E211" s="2165">
        <f>(950000*0.0257284363542806)/1</f>
        <v/>
      </c>
      <c r="F211" s="2165" t="inlineStr">
        <is>
          <t>Equipamentos</t>
        </is>
      </c>
      <c r="G211" s="2165" t="inlineStr">
        <is>
          <t>Equipamentos</t>
        </is>
      </c>
      <c r="H211" s="2165" t="n"/>
      <c r="I211" s="85" t="inlineStr">
        <is>
          <t>Equipamentos Aluguel</t>
        </is>
      </c>
    </row>
    <row r="212" ht="15.75" customHeight="1">
      <c r="A212" s="10">
        <f>COUNTIFS($B$2:$B$996,B212)</f>
        <v/>
      </c>
      <c r="B212" s="10" t="inlineStr">
        <is>
          <t xml:space="preserve">	Mobilização e desmobilização de equipamentos - Para execução de estaca Escavada</t>
        </is>
      </c>
      <c r="C212" s="11" t="inlineStr">
        <is>
          <t>VB</t>
        </is>
      </c>
      <c r="D212" s="2162">
        <f>E212*$D$1</f>
        <v/>
      </c>
      <c r="E212" s="2162" t="n">
        <v>26000</v>
      </c>
      <c r="F212" s="2162" t="inlineStr">
        <is>
          <t>Equipamentos</t>
        </is>
      </c>
      <c r="G212" s="2162" t="inlineStr">
        <is>
          <t>Equipamentos</t>
        </is>
      </c>
      <c r="H212" s="2162" t="n"/>
      <c r="I212" s="4" t="inlineStr">
        <is>
          <t>Equipamentos Aluguel</t>
        </is>
      </c>
    </row>
    <row r="213" ht="15.75" customHeight="1">
      <c r="A213" s="10">
        <f>COUNTIFS($B$2:$B$996,B213)</f>
        <v/>
      </c>
      <c r="B213" s="10" t="inlineStr">
        <is>
          <t xml:space="preserve">	Mobilização e desmobilização de equipamentos - Para execução de estaca hélice</t>
        </is>
      </c>
      <c r="C213" s="11" t="inlineStr">
        <is>
          <t>VB</t>
        </is>
      </c>
      <c r="D213" s="2162">
        <f>E213*$D$1</f>
        <v/>
      </c>
      <c r="E213" s="2162" t="n">
        <v>18500</v>
      </c>
      <c r="F213" s="2162" t="inlineStr">
        <is>
          <t>Equipamentos</t>
        </is>
      </c>
      <c r="G213" s="2162" t="inlineStr">
        <is>
          <t>Equipamentos</t>
        </is>
      </c>
      <c r="H213" s="2162" t="n"/>
      <c r="I213" s="4" t="inlineStr">
        <is>
          <t>Equipamentos Aluguel</t>
        </is>
      </c>
    </row>
    <row r="214" ht="14.25" customHeight="1">
      <c r="A214" s="10">
        <f>COUNTIFS($B$2:$B$996,B214)</f>
        <v/>
      </c>
      <c r="B214" s="82" t="inlineStr">
        <is>
          <t>Tarucel de 6 mm</t>
        </is>
      </c>
      <c r="C214" s="83" t="inlineStr">
        <is>
          <t>M</t>
        </is>
      </c>
      <c r="D214" s="2165">
        <f>E214*$D$1</f>
        <v/>
      </c>
      <c r="E214" s="2165">
        <f>20/25</f>
        <v/>
      </c>
      <c r="F214" s="2165" t="inlineStr">
        <is>
          <t>Materiais complementares</t>
        </is>
      </c>
      <c r="G214" s="2165" t="inlineStr">
        <is>
          <t>Diversos</t>
        </is>
      </c>
      <c r="H214" s="2165" t="n"/>
      <c r="I214" s="85" t="inlineStr">
        <is>
          <t>Diversos</t>
        </is>
      </c>
    </row>
    <row r="215" ht="15.75" customHeight="1">
      <c r="A215" s="10">
        <f>COUNTIFS($B$2:$B$996,B215)</f>
        <v/>
      </c>
      <c r="B215" s="10" t="inlineStr">
        <is>
          <t>Caminhao pipa ford f.14.000  1997</t>
        </is>
      </c>
      <c r="C215" s="11" t="inlineStr">
        <is>
          <t>MÊS</t>
        </is>
      </c>
      <c r="D215" s="2162">
        <f>E215*$D$1</f>
        <v/>
      </c>
      <c r="E215" s="2162" t="n">
        <v>1500</v>
      </c>
      <c r="F215" s="2162" t="inlineStr">
        <is>
          <t>Equipamentos</t>
        </is>
      </c>
      <c r="G215" s="2162" t="inlineStr">
        <is>
          <t>Equipamentos</t>
        </is>
      </c>
      <c r="H215" s="2162" t="n"/>
      <c r="I215" s="4" t="inlineStr">
        <is>
          <t>Equipamentos Aluguel</t>
        </is>
      </c>
    </row>
    <row r="216" ht="15.75" customHeight="1">
      <c r="A216" s="10">
        <f>COUNTIFS($B$2:$B$996,B216)</f>
        <v/>
      </c>
      <c r="B216" s="10" t="inlineStr">
        <is>
          <t>Escavadeira 8T link belt 80SA BANYNN</t>
        </is>
      </c>
      <c r="C216" s="11" t="inlineStr">
        <is>
          <t>MÊS</t>
        </is>
      </c>
      <c r="D216" s="2162">
        <f>E216*$D$1</f>
        <v/>
      </c>
      <c r="E216" s="2162" t="n">
        <v>3200</v>
      </c>
      <c r="F216" s="2162" t="inlineStr">
        <is>
          <t>Equipamentos</t>
        </is>
      </c>
      <c r="G216" s="2162" t="inlineStr">
        <is>
          <t>Equipamentos</t>
        </is>
      </c>
      <c r="H216" s="2162" t="n"/>
      <c r="I216" s="4" t="inlineStr">
        <is>
          <t>Equipamentos Aluguel</t>
        </is>
      </c>
    </row>
    <row r="217" ht="15.75" customHeight="1">
      <c r="A217" s="10">
        <f>COUNTIFS($B$2:$B$996,B217)</f>
        <v/>
      </c>
      <c r="B217" s="10" t="inlineStr">
        <is>
          <t>Escavadeira DOOSAN DX225 (terceirizado)</t>
        </is>
      </c>
      <c r="C217" s="11" t="inlineStr">
        <is>
          <t>MÊS</t>
        </is>
      </c>
      <c r="D217" s="2162">
        <f>E217*$D$1</f>
        <v/>
      </c>
      <c r="E217" s="2162" t="n">
        <v>33660</v>
      </c>
      <c r="F217" s="2162" t="inlineStr">
        <is>
          <t>Equipamentos</t>
        </is>
      </c>
      <c r="G217" s="2162" t="inlineStr">
        <is>
          <t>Equipamentos</t>
        </is>
      </c>
      <c r="H217" s="2162" t="n"/>
      <c r="I217" s="4" t="inlineStr">
        <is>
          <t>Equipamentos Aluguel</t>
        </is>
      </c>
    </row>
    <row r="218" ht="15.75" customHeight="1">
      <c r="A218" s="10">
        <f>COUNTIFS($B$2:$B$996,B218)</f>
        <v/>
      </c>
      <c r="B218" s="10" t="inlineStr">
        <is>
          <t>Escaveideira 320 CAT 2019</t>
        </is>
      </c>
      <c r="C218" s="11" t="inlineStr">
        <is>
          <t>MÊS</t>
        </is>
      </c>
      <c r="D218" s="2162">
        <f>E218*$D$1</f>
        <v/>
      </c>
      <c r="E218" s="2162" t="n">
        <v>15000</v>
      </c>
      <c r="F218" s="2162" t="inlineStr">
        <is>
          <t>Equipamentos</t>
        </is>
      </c>
      <c r="G218" s="2162" t="inlineStr">
        <is>
          <t>Equipamentos</t>
        </is>
      </c>
      <c r="H218" s="2162" t="n"/>
      <c r="I218" s="4" t="inlineStr">
        <is>
          <t>Equipamentos Aluguel</t>
        </is>
      </c>
    </row>
    <row r="219" ht="15.75" customHeight="1">
      <c r="A219" s="10">
        <f>COUNTIFS($B$2:$B$996,B219)</f>
        <v/>
      </c>
      <c r="B219" s="10" t="inlineStr">
        <is>
          <t>Sistema de Ancoragem Provisória e definitiva</t>
        </is>
      </c>
      <c r="C219" s="11" t="inlineStr">
        <is>
          <t>vb</t>
        </is>
      </c>
      <c r="D219" s="2162">
        <f>E219*$D$1</f>
        <v/>
      </c>
      <c r="E219" s="2162" t="n">
        <v>15000</v>
      </c>
      <c r="F219" s="2162" t="inlineStr">
        <is>
          <t>Equipamentos</t>
        </is>
      </c>
      <c r="G219" s="2162" t="inlineStr">
        <is>
          <t>Equipamentos</t>
        </is>
      </c>
      <c r="H219" s="2162" t="n"/>
      <c r="I219" s="4" t="inlineStr">
        <is>
          <t>Equipamentos Aluguel</t>
        </is>
      </c>
    </row>
    <row r="220" ht="15.75" customHeight="1">
      <c r="A220" s="10">
        <f>COUNTIFS($B$2:$B$996,B220)</f>
        <v/>
      </c>
      <c r="B220" s="10" t="inlineStr">
        <is>
          <t>Travessão metálico 2"</t>
        </is>
      </c>
      <c r="C220" s="11" t="inlineStr">
        <is>
          <t>m</t>
        </is>
      </c>
      <c r="D220" s="2162">
        <f>E220*$D$1</f>
        <v/>
      </c>
      <c r="E220" s="2162" t="n">
        <v>20</v>
      </c>
      <c r="F220" s="2162" t="inlineStr">
        <is>
          <t>Equipamentos</t>
        </is>
      </c>
      <c r="G220" s="2162" t="inlineStr">
        <is>
          <t>Equipamentos</t>
        </is>
      </c>
      <c r="H220" s="2162" t="n"/>
      <c r="I220" s="4" t="inlineStr">
        <is>
          <t>Equipamentos Aluguel</t>
        </is>
      </c>
    </row>
    <row r="221" ht="15.75" customHeight="1">
      <c r="A221" s="10">
        <f>COUNTIFS($B$2:$B$996,B221)</f>
        <v/>
      </c>
      <c r="B221" s="10" t="inlineStr">
        <is>
          <t>ESCORA METALICA TELESCOPICA, COM ALTURA REGULAVEL DE *1,80* A *3,20* M, INCLUSO TRIPE E FORCADO</t>
        </is>
      </c>
      <c r="C221" s="11" t="inlineStr">
        <is>
          <t>UN</t>
        </is>
      </c>
      <c r="D221" s="2162">
        <f>E221*$D$1</f>
        <v/>
      </c>
      <c r="E221" s="2162" t="n">
        <v>32.9</v>
      </c>
      <c r="F221" s="2162" t="inlineStr">
        <is>
          <t>Equipamentos</t>
        </is>
      </c>
      <c r="G221" s="2162" t="inlineStr">
        <is>
          <t>Equipamentos</t>
        </is>
      </c>
      <c r="H221" s="2162" t="n"/>
      <c r="I221" s="4" t="inlineStr">
        <is>
          <t>Equipamentos Aluguel</t>
        </is>
      </c>
    </row>
    <row r="222" ht="15.75" customHeight="1">
      <c r="A222" s="10">
        <f>COUNTIFS($B$2:$B$996,B222)</f>
        <v/>
      </c>
      <c r="B222" s="10" t="inlineStr">
        <is>
          <t>LOCACAO DE ESCORA METALICA TELESCOPICA, COM ALTURA REGULAVEL DE *1,80* A *3,20* M</t>
        </is>
      </c>
      <c r="C222" s="11" t="inlineStr">
        <is>
          <t>UN</t>
        </is>
      </c>
      <c r="D222" s="2162">
        <f>E222*$D$1</f>
        <v/>
      </c>
      <c r="E222" s="2162" t="n">
        <v>36.42502650617072</v>
      </c>
      <c r="F222" s="2162" t="inlineStr">
        <is>
          <t>Equipamentos</t>
        </is>
      </c>
      <c r="G222" s="2162" t="inlineStr">
        <is>
          <t>Equipamentos</t>
        </is>
      </c>
      <c r="H222" s="2162" t="n"/>
      <c r="I222" s="4" t="inlineStr">
        <is>
          <t>Equipamentos Aluguel</t>
        </is>
      </c>
    </row>
    <row r="223" ht="15.75" customHeight="1">
      <c r="A223" s="10">
        <f>COUNTIFS($B$2:$B$996,B223)</f>
        <v/>
      </c>
      <c r="B223" s="10" t="inlineStr">
        <is>
          <t xml:space="preserve">LOCACAO DE FORMA PLASTICA PARA LAJE NERVURADA, *60* X *60* X *16* CM       </t>
        </is>
      </c>
      <c r="C223" s="11" t="inlineStr">
        <is>
          <t>UN/MÊS</t>
        </is>
      </c>
      <c r="D223" s="2162">
        <f>E223*$D$1</f>
        <v/>
      </c>
      <c r="E223" s="2162" t="n">
        <v>5.3064</v>
      </c>
      <c r="F223" s="2162" t="inlineStr">
        <is>
          <t>Equipamentos</t>
        </is>
      </c>
      <c r="G223" s="2162" t="inlineStr">
        <is>
          <t>Equipamentos</t>
        </is>
      </c>
      <c r="H223" s="2162" t="n"/>
      <c r="I223" s="4" t="inlineStr">
        <is>
          <t>Equipamentos Aluguel</t>
        </is>
      </c>
    </row>
    <row r="224" ht="15.75" customHeight="1">
      <c r="A224" s="10">
        <f>COUNTIFS($B$2:$B$996,B224)</f>
        <v/>
      </c>
      <c r="B224" s="10" t="inlineStr">
        <is>
          <t>Manutenção de cubetas proprias</t>
        </is>
      </c>
      <c r="C224" s="11" t="inlineStr">
        <is>
          <t>VB</t>
        </is>
      </c>
      <c r="D224" s="2162">
        <f>E224*$D$1</f>
        <v/>
      </c>
      <c r="E224" s="2162" t="n">
        <v>39432.81</v>
      </c>
      <c r="F224" s="2162" t="inlineStr">
        <is>
          <t>Equipamentos</t>
        </is>
      </c>
      <c r="G224" s="2162" t="inlineStr">
        <is>
          <t>Equipamentos</t>
        </is>
      </c>
      <c r="H224" s="2162" t="n"/>
      <c r="I224" s="4" t="inlineStr">
        <is>
          <t>Equipamentos Aluguel</t>
        </is>
      </c>
    </row>
    <row r="225" ht="15.75" customHeight="1">
      <c r="A225" s="10">
        <f>COUNTIFS($B$2:$B$996,B225)</f>
        <v/>
      </c>
      <c r="B225" s="10" t="inlineStr">
        <is>
          <t>Maquina meio fio Imb 2020</t>
        </is>
      </c>
      <c r="C225" s="11" t="inlineStr">
        <is>
          <t>MÊS</t>
        </is>
      </c>
      <c r="D225" s="2162">
        <f>E225*$D$1</f>
        <v/>
      </c>
      <c r="E225" s="2162" t="n">
        <v>1000</v>
      </c>
      <c r="F225" s="2162" t="inlineStr">
        <is>
          <t>Equipamentos</t>
        </is>
      </c>
      <c r="G225" s="2162" t="inlineStr">
        <is>
          <t>Equipamentos</t>
        </is>
      </c>
      <c r="H225" s="2162" t="n"/>
      <c r="I225" s="4" t="inlineStr">
        <is>
          <t>Equipamentos Aluguel</t>
        </is>
      </c>
    </row>
    <row r="226" ht="15.75" customHeight="1">
      <c r="A226" s="10">
        <f>COUNTIFS($B$2:$B$996,B226)</f>
        <v/>
      </c>
      <c r="B226" s="10" t="inlineStr">
        <is>
          <t>Patrola New holland 170g 2011</t>
        </is>
      </c>
      <c r="C226" s="11" t="inlineStr">
        <is>
          <t>MÊS</t>
        </is>
      </c>
      <c r="D226" s="2162">
        <f>E226*$D$1</f>
        <v/>
      </c>
      <c r="E226" s="2162" t="n">
        <v>4000</v>
      </c>
      <c r="F226" s="2162" t="inlineStr">
        <is>
          <t>Equipamentos</t>
        </is>
      </c>
      <c r="G226" s="2162" t="inlineStr">
        <is>
          <t>Equipamentos</t>
        </is>
      </c>
      <c r="H226" s="2162" t="n"/>
      <c r="I226" s="4" t="inlineStr">
        <is>
          <t>Equipamentos Aluguel</t>
        </is>
      </c>
    </row>
    <row r="227" ht="15.75" customHeight="1">
      <c r="A227" s="10">
        <f>COUNTIFS($B$2:$B$996,B227)</f>
        <v/>
      </c>
      <c r="B227" s="10" t="inlineStr">
        <is>
          <t>Retro case 580 traçada 2009</t>
        </is>
      </c>
      <c r="C227" s="11" t="inlineStr">
        <is>
          <t>MÊS</t>
        </is>
      </c>
      <c r="D227" s="2162">
        <f>E227*$D$1</f>
        <v/>
      </c>
      <c r="E227" s="2162" t="n">
        <v>1500</v>
      </c>
      <c r="F227" s="2162" t="inlineStr">
        <is>
          <t>Equipamentos</t>
        </is>
      </c>
      <c r="G227" s="2162" t="inlineStr">
        <is>
          <t>Equipamentos</t>
        </is>
      </c>
      <c r="H227" s="2162" t="n"/>
      <c r="I227" s="4" t="inlineStr">
        <is>
          <t>Equipamentos Aluguel</t>
        </is>
      </c>
    </row>
    <row r="228" ht="15.75" customHeight="1">
      <c r="A228" s="10">
        <f>COUNTIFS($B$2:$B$996,B228)</f>
        <v/>
      </c>
      <c r="B228" s="10" t="inlineStr">
        <is>
          <t>Retro New holland lb 90 simples 2010</t>
        </is>
      </c>
      <c r="C228" s="11" t="inlineStr">
        <is>
          <t>MÊS</t>
        </is>
      </c>
      <c r="D228" s="2162">
        <f>E228*$D$1</f>
        <v/>
      </c>
      <c r="E228" s="2162" t="n">
        <v>1500</v>
      </c>
      <c r="F228" s="2162" t="inlineStr">
        <is>
          <t>Equipamentos</t>
        </is>
      </c>
      <c r="G228" s="2162" t="inlineStr">
        <is>
          <t>Equipamentos</t>
        </is>
      </c>
      <c r="H228" s="2162" t="n"/>
      <c r="I228" s="4" t="inlineStr">
        <is>
          <t>Equipamentos Aluguel</t>
        </is>
      </c>
    </row>
    <row r="229" ht="15.75" customHeight="1">
      <c r="A229" s="10">
        <f>COUNTIFS($B$2:$B$996,B229)</f>
        <v/>
      </c>
      <c r="B229" s="10" t="inlineStr">
        <is>
          <t>Rolo Sany 2009</t>
        </is>
      </c>
      <c r="C229" s="11" t="inlineStr">
        <is>
          <t>MÊS</t>
        </is>
      </c>
      <c r="D229" s="2162">
        <f>E229*$D$1</f>
        <v/>
      </c>
      <c r="E229" s="2162" t="n">
        <v>2000</v>
      </c>
      <c r="F229" s="2162" t="inlineStr">
        <is>
          <t>Equipamentos</t>
        </is>
      </c>
      <c r="G229" s="2162" t="inlineStr">
        <is>
          <t>Equipamentos</t>
        </is>
      </c>
      <c r="H229" s="2162" t="n"/>
      <c r="I229" s="4" t="inlineStr">
        <is>
          <t>Equipamentos Aluguel</t>
        </is>
      </c>
    </row>
    <row r="230" ht="15.75" customHeight="1">
      <c r="A230" s="10">
        <f>COUNTIFS($B$2:$B$996,B230)</f>
        <v/>
      </c>
      <c r="B230" s="10" t="inlineStr">
        <is>
          <t>Trator esteira 700 j john dree 2016</t>
        </is>
      </c>
      <c r="C230" s="11" t="inlineStr">
        <is>
          <t>MÊS</t>
        </is>
      </c>
      <c r="D230" s="2162">
        <f>E230*$D$1</f>
        <v/>
      </c>
      <c r="E230" s="2162" t="n">
        <v>7000</v>
      </c>
      <c r="F230" s="2162" t="inlineStr">
        <is>
          <t>Equipamentos</t>
        </is>
      </c>
      <c r="G230" s="2162" t="inlineStr">
        <is>
          <t>Equipamentos</t>
        </is>
      </c>
      <c r="H230" s="2162" t="n"/>
      <c r="I230" s="4" t="inlineStr">
        <is>
          <t>Equipamentos Aluguel</t>
        </is>
      </c>
    </row>
    <row r="231" ht="15.75" customHeight="1">
      <c r="A231" s="10">
        <f>COUNTIFS($B$2:$B$996,B231)</f>
        <v/>
      </c>
      <c r="B231" s="10" t="inlineStr">
        <is>
          <t>Trator esteira CAT D51 (terceirizado)</t>
        </is>
      </c>
      <c r="C231" s="11" t="inlineStr">
        <is>
          <t>MÊS</t>
        </is>
      </c>
      <c r="D231" s="2162">
        <f>E231*$D$1</f>
        <v/>
      </c>
      <c r="E231" s="2162" t="n">
        <v>32270</v>
      </c>
      <c r="F231" s="2162" t="inlineStr">
        <is>
          <t>Equipamentos</t>
        </is>
      </c>
      <c r="G231" s="2162" t="inlineStr">
        <is>
          <t>Equipamentos</t>
        </is>
      </c>
      <c r="H231" s="2162" t="n"/>
      <c r="I231" s="4" t="inlineStr">
        <is>
          <t>Equipamentos Aluguel</t>
        </is>
      </c>
    </row>
    <row r="232" ht="15.75" customHeight="1">
      <c r="A232" s="10">
        <f>COUNTIFS($B$2:$B$996,B232)</f>
        <v/>
      </c>
      <c r="B232" s="10" t="inlineStr">
        <is>
          <t>Esquadrias de Alumínio - fornecimento e instalação</t>
        </is>
      </c>
      <c r="C232" s="11" t="inlineStr">
        <is>
          <t>M2</t>
        </is>
      </c>
      <c r="D232" s="2162">
        <f>E232*$D$1</f>
        <v/>
      </c>
      <c r="E232" s="2162" t="n">
        <v>2140</v>
      </c>
      <c r="F232" s="2162" t="inlineStr">
        <is>
          <t xml:space="preserve">Esquadrias </t>
        </is>
      </c>
      <c r="G232" s="2162" t="inlineStr">
        <is>
          <t>Alumínio</t>
        </is>
      </c>
      <c r="H232" s="2162" t="n"/>
      <c r="I232" s="4" t="inlineStr">
        <is>
          <t>Esquadrias de Alumínio</t>
        </is>
      </c>
    </row>
    <row r="233" ht="15.75" customHeight="1">
      <c r="A233" s="10">
        <f>COUNTIFS($B$2:$B$996,B233)</f>
        <v/>
      </c>
      <c r="B233" s="10" t="inlineStr">
        <is>
          <t>Guarda Corpo de aluminio (gradil) - fornecimento e instalação</t>
        </is>
      </c>
      <c r="C233" s="11" t="inlineStr">
        <is>
          <t>M2</t>
        </is>
      </c>
      <c r="D233" s="2162">
        <f>E233*$D$1</f>
        <v/>
      </c>
      <c r="E233" s="2162" t="n">
        <v>768.5</v>
      </c>
      <c r="F233" s="2162" t="inlineStr">
        <is>
          <t xml:space="preserve">Esquadrias </t>
        </is>
      </c>
      <c r="G233" s="2162" t="inlineStr">
        <is>
          <t>Alumínio</t>
        </is>
      </c>
      <c r="H233" s="2162" t="n"/>
      <c r="I233" s="4" t="inlineStr">
        <is>
          <t>Esquadrias de Alumínio</t>
        </is>
      </c>
    </row>
    <row r="234" ht="15.75" customHeight="1">
      <c r="A234" s="10">
        <f>COUNTIFS($B$2:$B$996,B234)</f>
        <v/>
      </c>
      <c r="B234" s="10" t="inlineStr">
        <is>
          <t>Guarda Corpo de Vidro e Aluminio - fornecimento e instalação</t>
        </is>
      </c>
      <c r="C234" s="11" t="inlineStr">
        <is>
          <t>M2</t>
        </is>
      </c>
      <c r="D234" s="2162">
        <f>E234*$D$1</f>
        <v/>
      </c>
      <c r="E234" s="2162" t="n">
        <v>935.99</v>
      </c>
      <c r="F234" s="2162" t="inlineStr">
        <is>
          <t xml:space="preserve">Esquadrias </t>
        </is>
      </c>
      <c r="G234" s="2162" t="inlineStr">
        <is>
          <t>Alumínio</t>
        </is>
      </c>
      <c r="H234" s="2162" t="n"/>
      <c r="I234" s="4" t="inlineStr">
        <is>
          <t>Esquadrias de Alumínio</t>
        </is>
      </c>
    </row>
    <row r="235" ht="15.75" customHeight="1">
      <c r="A235" s="10">
        <f>COUNTIFS($B$2:$B$996,B235)</f>
        <v/>
      </c>
      <c r="B235" s="10" t="inlineStr">
        <is>
          <t>Moldura em alumínio para churrasqueiras - fornecimento e instalação</t>
        </is>
      </c>
      <c r="C235" s="11" t="inlineStr">
        <is>
          <t>M</t>
        </is>
      </c>
      <c r="D235" s="2162">
        <f>E235*$D$1</f>
        <v/>
      </c>
      <c r="E235" s="2162" t="n">
        <v>530</v>
      </c>
      <c r="F235" s="2162" t="inlineStr">
        <is>
          <t xml:space="preserve">Esquadrias </t>
        </is>
      </c>
      <c r="G235" s="2162" t="inlineStr">
        <is>
          <t>Alumínio</t>
        </is>
      </c>
      <c r="H235" s="2162" t="n"/>
      <c r="I235" s="4" t="inlineStr">
        <is>
          <t>Esquadrias de Alumínio</t>
        </is>
      </c>
    </row>
    <row r="236" ht="15.75" customHeight="1">
      <c r="A236" s="10">
        <f>COUNTIFS($B$2:$B$996,B236)</f>
        <v/>
      </c>
      <c r="B236" s="10" t="inlineStr">
        <is>
          <t>Alçapão de aluminio</t>
        </is>
      </c>
      <c r="C236" s="11" t="inlineStr">
        <is>
          <t>un</t>
        </is>
      </c>
      <c r="D236" s="2162">
        <f>E236*$D$1</f>
        <v/>
      </c>
      <c r="E236" s="2162" t="n">
        <v>1014</v>
      </c>
      <c r="F236" s="2162" t="inlineStr">
        <is>
          <t xml:space="preserve">Esquadrias </t>
        </is>
      </c>
      <c r="G236" s="2162" t="inlineStr">
        <is>
          <t>Alumínio</t>
        </is>
      </c>
      <c r="H236" s="2162" t="n"/>
      <c r="I236" s="4" t="inlineStr">
        <is>
          <t>Esquadrias de Ferro</t>
        </is>
      </c>
    </row>
    <row r="237" ht="15.75" customHeight="1">
      <c r="A237" s="10">
        <f>COUNTIFS($B$2:$B$996,B237)</f>
        <v/>
      </c>
      <c r="B237" s="10" t="inlineStr">
        <is>
          <t>Porta Pivotante alumínio 140x210cm</t>
        </is>
      </c>
      <c r="C237" s="11" t="inlineStr">
        <is>
          <t>un</t>
        </is>
      </c>
      <c r="D237" s="2162">
        <f>E237*$D$1</f>
        <v/>
      </c>
      <c r="E237" s="2162" t="n">
        <v>5040</v>
      </c>
      <c r="F237" s="2162" t="inlineStr">
        <is>
          <t xml:space="preserve">Esquadrias </t>
        </is>
      </c>
      <c r="G237" s="2162" t="inlineStr">
        <is>
          <t>Alumínio</t>
        </is>
      </c>
      <c r="H237" s="2162" t="n"/>
      <c r="I237" s="4" t="inlineStr">
        <is>
          <t>Esquadrias de Ferro</t>
        </is>
      </c>
    </row>
    <row r="238" ht="15.75" customHeight="1">
      <c r="A238" s="10">
        <f>COUNTIFS($B$2:$B$996,B238)</f>
        <v/>
      </c>
      <c r="B238" s="10" t="inlineStr">
        <is>
          <t>PAINEL EM BRISE MARROM</t>
        </is>
      </c>
      <c r="C238" s="11" t="inlineStr">
        <is>
          <t>M2</t>
        </is>
      </c>
      <c r="D238" s="2162">
        <f>E238*$D$1</f>
        <v/>
      </c>
      <c r="E238" s="2162" t="n">
        <v>1415.027593038064</v>
      </c>
      <c r="F238" s="2162" t="inlineStr">
        <is>
          <t xml:space="preserve">Esquadrias </t>
        </is>
      </c>
      <c r="G238" s="2162" t="inlineStr">
        <is>
          <t>Alumínio</t>
        </is>
      </c>
      <c r="H238" s="2162" t="n"/>
      <c r="I238" s="4" t="inlineStr">
        <is>
          <t>Esquadrias de Alumínio</t>
        </is>
      </c>
    </row>
    <row r="239" ht="15.75" customHeight="1">
      <c r="A239" s="10">
        <f>COUNTIFS($B$2:$B$996,B239)</f>
        <v/>
      </c>
      <c r="B239" s="10" t="inlineStr">
        <is>
          <t>Corrimão de inox - fornecimento e instalação</t>
        </is>
      </c>
      <c r="C239" s="11" t="inlineStr">
        <is>
          <t>M</t>
        </is>
      </c>
      <c r="D239" s="2162">
        <f>E239*$D$1</f>
        <v/>
      </c>
      <c r="E239" s="2162" t="n">
        <v>650</v>
      </c>
      <c r="F239" s="2162" t="inlineStr">
        <is>
          <t xml:space="preserve">Esquadrias </t>
        </is>
      </c>
      <c r="G239" s="2162" t="inlineStr">
        <is>
          <t>Corrimão inox</t>
        </is>
      </c>
      <c r="H239" s="2162" t="n"/>
      <c r="I239" s="4" t="inlineStr">
        <is>
          <t>Esquadrias de Alumínio</t>
        </is>
      </c>
    </row>
    <row r="240" ht="15.75" customHeight="1">
      <c r="A240" s="10">
        <f>COUNTIFS($B$2:$B$996,B240)</f>
        <v/>
      </c>
      <c r="B240" s="10" t="inlineStr">
        <is>
          <t>Corrimão de Madeira - fornecimento e instalação</t>
        </is>
      </c>
      <c r="C240" s="11" t="inlineStr">
        <is>
          <t>M</t>
        </is>
      </c>
      <c r="D240" s="2162">
        <f>E240*$D$1</f>
        <v/>
      </c>
      <c r="E240" s="2162" t="n">
        <v>80</v>
      </c>
      <c r="F240" s="2162" t="inlineStr">
        <is>
          <t xml:space="preserve">Esquadrias </t>
        </is>
      </c>
      <c r="G240" s="2162" t="inlineStr">
        <is>
          <t>Madeira</t>
        </is>
      </c>
      <c r="H240" s="2162" t="n"/>
      <c r="I240" s="4" t="inlineStr">
        <is>
          <t>Esquadrias de Madeira</t>
        </is>
      </c>
    </row>
    <row r="241" ht="15.75" customHeight="1">
      <c r="A241" s="10">
        <f>COUNTIFS($B$2:$B$996,B241)</f>
        <v/>
      </c>
      <c r="B241" s="10" t="inlineStr">
        <is>
          <t>Brise de Madeira - Decoração Fachada</t>
        </is>
      </c>
      <c r="C241" s="11" t="inlineStr">
        <is>
          <t>un</t>
        </is>
      </c>
      <c r="D241" s="2162">
        <f>E241*$D$1</f>
        <v/>
      </c>
      <c r="E241" s="2162" t="n">
        <v>1031.746031746032</v>
      </c>
      <c r="F241" s="2162" t="inlineStr">
        <is>
          <t xml:space="preserve">Esquadrias </t>
        </is>
      </c>
      <c r="G241" s="2162" t="inlineStr">
        <is>
          <t>Madeira</t>
        </is>
      </c>
      <c r="H241" s="2162" t="n"/>
      <c r="I241" s="4" t="inlineStr">
        <is>
          <t>Esquadrias de Madeira</t>
        </is>
      </c>
    </row>
    <row r="242" ht="15.75" customHeight="1">
      <c r="A242" s="10">
        <f>COUNTIFS($B$2:$B$996,B242)</f>
        <v/>
      </c>
      <c r="B242" s="10" t="inlineStr">
        <is>
          <t>Porta de madeira de abrir - 140x210cm (kit completo)</t>
        </is>
      </c>
      <c r="C242" s="11" t="inlineStr">
        <is>
          <t>un</t>
        </is>
      </c>
      <c r="D242" s="2162">
        <f>E242*$D$1</f>
        <v/>
      </c>
      <c r="E242" s="2162">
        <f>E252/(0.9*2.1)*(1.4*2.1)</f>
        <v/>
      </c>
      <c r="F242" s="2162" t="inlineStr">
        <is>
          <t xml:space="preserve">Esquadrias </t>
        </is>
      </c>
      <c r="G242" s="2162" t="inlineStr">
        <is>
          <t>Madeira</t>
        </is>
      </c>
      <c r="H242" s="2162" t="inlineStr">
        <is>
          <t>Linha Trada</t>
        </is>
      </c>
      <c r="I242" s="4" t="inlineStr">
        <is>
          <t>Esquadrias de Madeira</t>
        </is>
      </c>
    </row>
    <row r="243" ht="15.75" customHeight="1">
      <c r="A243" s="10">
        <f>COUNTIFS($B$2:$B$996,B243)</f>
        <v/>
      </c>
      <c r="B243" s="10" t="inlineStr">
        <is>
          <t>Porta de madeira de abrir - 105x215cm (kit completo)</t>
        </is>
      </c>
      <c r="C243" s="11" t="inlineStr">
        <is>
          <t>un</t>
        </is>
      </c>
      <c r="D243" s="2162">
        <f>E243*$D$1</f>
        <v/>
      </c>
      <c r="E243" s="2162">
        <f>E252/(0.9*2.1)*(1.05*2.1)</f>
        <v/>
      </c>
      <c r="F243" s="2162" t="inlineStr">
        <is>
          <t xml:space="preserve">Esquadrias </t>
        </is>
      </c>
      <c r="G243" s="2162" t="inlineStr">
        <is>
          <t>Madeira</t>
        </is>
      </c>
      <c r="H243" s="2162" t="inlineStr">
        <is>
          <t>Linha Trada</t>
        </is>
      </c>
      <c r="I243" s="4" t="inlineStr">
        <is>
          <t>Esquadrias de Madeira</t>
        </is>
      </c>
    </row>
    <row r="244" ht="15.75" customHeight="1">
      <c r="A244" s="10">
        <f>COUNTIFS($B$2:$B$996,B244)</f>
        <v/>
      </c>
      <c r="B244" s="10" t="inlineStr">
        <is>
          <t>Porta de madeira de abrir - 110x220cm (kit completo)</t>
        </is>
      </c>
      <c r="C244" s="11" t="inlineStr">
        <is>
          <t>un</t>
        </is>
      </c>
      <c r="D244" s="2162">
        <f>E244*$D$1</f>
        <v/>
      </c>
      <c r="E244" s="2162">
        <f>E252/(0.9*2.1)*(1.1*2.1)</f>
        <v/>
      </c>
      <c r="F244" s="2162" t="inlineStr">
        <is>
          <t xml:space="preserve">Esquadrias </t>
        </is>
      </c>
      <c r="G244" s="2162" t="inlineStr">
        <is>
          <t>Madeira</t>
        </is>
      </c>
      <c r="H244" s="2162" t="inlineStr">
        <is>
          <t>Linha Trada</t>
        </is>
      </c>
      <c r="I244" s="4" t="inlineStr">
        <is>
          <t>Esquadrias de Madeira</t>
        </is>
      </c>
    </row>
    <row r="245" ht="15.75" customHeight="1">
      <c r="A245" s="10">
        <f>COUNTIFS($B$2:$B$996,B245)</f>
        <v/>
      </c>
      <c r="B245" s="10" t="inlineStr">
        <is>
          <t>Porta de madeira de abrir - 100x210cm (kit completo)</t>
        </is>
      </c>
      <c r="C245" s="11" t="inlineStr">
        <is>
          <t>un</t>
        </is>
      </c>
      <c r="D245" s="2162">
        <f>E245*$D$1</f>
        <v/>
      </c>
      <c r="E245" s="2162">
        <f>E252/(0.9*2.1)*(1*2.1)</f>
        <v/>
      </c>
      <c r="F245" s="2162" t="inlineStr">
        <is>
          <t xml:space="preserve">Esquadrias </t>
        </is>
      </c>
      <c r="G245" s="2162" t="inlineStr">
        <is>
          <t>Madeira</t>
        </is>
      </c>
      <c r="H245" s="2162" t="inlineStr">
        <is>
          <t>Linha Trada</t>
        </is>
      </c>
      <c r="I245" s="4" t="inlineStr">
        <is>
          <t>Esquadrias de Madeira</t>
        </is>
      </c>
    </row>
    <row r="246" ht="15.75" customHeight="1">
      <c r="A246" s="10">
        <f>COUNTIFS($B$2:$B$996,B246)</f>
        <v/>
      </c>
      <c r="B246" s="10" t="inlineStr">
        <is>
          <t>Porta de madeira de Correr - 60x210cm (kit completo)</t>
        </is>
      </c>
      <c r="C246" s="11" t="inlineStr">
        <is>
          <t>un</t>
        </is>
      </c>
      <c r="D246" s="2162">
        <f>E246*$D$1</f>
        <v/>
      </c>
      <c r="E246" s="2162" t="n">
        <v>2209.52304854369</v>
      </c>
      <c r="F246" s="2162" t="inlineStr">
        <is>
          <t xml:space="preserve">Esquadrias </t>
        </is>
      </c>
      <c r="G246" s="2162" t="inlineStr">
        <is>
          <t>Madeira</t>
        </is>
      </c>
      <c r="H246" s="2162" t="inlineStr">
        <is>
          <t>Linha Trada</t>
        </is>
      </c>
      <c r="I246" s="4" t="inlineStr">
        <is>
          <t>Esquadrias de Madeira</t>
        </is>
      </c>
    </row>
    <row r="247" ht="15.75" customHeight="1">
      <c r="A247" s="10">
        <f>COUNTIFS($B$2:$B$996,B247)</f>
        <v/>
      </c>
      <c r="B247" s="10" t="inlineStr">
        <is>
          <t>Porta de madeira de abrir - 60x215cm (kit completo)</t>
        </is>
      </c>
      <c r="C247" s="11" t="inlineStr">
        <is>
          <t>un</t>
        </is>
      </c>
      <c r="D247" s="2162">
        <f>E247*$D$1</f>
        <v/>
      </c>
      <c r="E247" s="2162" t="n">
        <v>2209.52304854369</v>
      </c>
      <c r="F247" s="2162" t="inlineStr">
        <is>
          <t xml:space="preserve">Esquadrias </t>
        </is>
      </c>
      <c r="G247" s="2162" t="inlineStr">
        <is>
          <t>Madeira</t>
        </is>
      </c>
      <c r="H247" s="2162" t="inlineStr">
        <is>
          <t>Linha Trada</t>
        </is>
      </c>
      <c r="I247" s="4" t="inlineStr">
        <is>
          <t>Esquadrias de Madeira</t>
        </is>
      </c>
    </row>
    <row r="248" ht="15.75" customHeight="1">
      <c r="A248" s="10">
        <f>COUNTIFS($B$2:$B$996,B248)</f>
        <v/>
      </c>
      <c r="B248" s="10" t="inlineStr">
        <is>
          <t>Porta de madeira de abrir - 60x220cm (kit completo)</t>
        </is>
      </c>
      <c r="C248" s="11" t="inlineStr">
        <is>
          <t>un</t>
        </is>
      </c>
      <c r="D248" s="2162">
        <f>E248*$D$1</f>
        <v/>
      </c>
      <c r="E248" s="2162">
        <f>E249/(0.6*2.1)*(0.6*2.2)</f>
        <v/>
      </c>
      <c r="F248" s="2162" t="inlineStr">
        <is>
          <t xml:space="preserve">Esquadrias </t>
        </is>
      </c>
      <c r="G248" s="2162" t="inlineStr">
        <is>
          <t>Madeira</t>
        </is>
      </c>
      <c r="H248" s="2162" t="inlineStr">
        <is>
          <t>Linha Trada</t>
        </is>
      </c>
      <c r="I248" s="4" t="inlineStr">
        <is>
          <t>Esquadrias de Madeira</t>
        </is>
      </c>
    </row>
    <row r="249" ht="15.75" customHeight="1">
      <c r="A249" s="10">
        <f>COUNTIFS($B$2:$B$996,B249)</f>
        <v/>
      </c>
      <c r="B249" s="10" t="inlineStr">
        <is>
          <t>Porta de madeira de abrir - 60x210cm (kit completo)</t>
        </is>
      </c>
      <c r="C249" s="11" t="inlineStr">
        <is>
          <t>un</t>
        </is>
      </c>
      <c r="D249" s="2162">
        <f>E249*$D$1</f>
        <v/>
      </c>
      <c r="E249" s="2162" t="n">
        <v>2251.36</v>
      </c>
      <c r="F249" s="2162" t="inlineStr">
        <is>
          <t xml:space="preserve">Esquadrias </t>
        </is>
      </c>
      <c r="G249" s="2162" t="inlineStr">
        <is>
          <t>Madeira</t>
        </is>
      </c>
      <c r="H249" s="2162" t="inlineStr">
        <is>
          <t>Linha Trada</t>
        </is>
      </c>
      <c r="I249" s="4" t="inlineStr">
        <is>
          <t>Esquadrias de Madeira</t>
        </is>
      </c>
    </row>
    <row r="250" ht="15.75" customHeight="1">
      <c r="A250" s="10">
        <f>COUNTIFS($B$2:$B$996,B250)</f>
        <v/>
      </c>
      <c r="B250" s="10" t="inlineStr">
        <is>
          <t>Porta de madeira de abrir - 80x210cm (kit completo)</t>
        </is>
      </c>
      <c r="C250" s="11" t="inlineStr">
        <is>
          <t>un</t>
        </is>
      </c>
      <c r="D250" s="2162">
        <f>E250*$D$1</f>
        <v/>
      </c>
      <c r="E250" s="2162" t="n">
        <v>2251.36</v>
      </c>
      <c r="F250" s="2162" t="inlineStr">
        <is>
          <t xml:space="preserve">Esquadrias </t>
        </is>
      </c>
      <c r="G250" s="2162" t="inlineStr">
        <is>
          <t>Madeira</t>
        </is>
      </c>
      <c r="H250" s="2162" t="inlineStr">
        <is>
          <t>Linha Trada</t>
        </is>
      </c>
      <c r="I250" s="4" t="inlineStr">
        <is>
          <t>Esquadrias de Madeira</t>
        </is>
      </c>
    </row>
    <row r="251" ht="15.75" customHeight="1">
      <c r="A251" s="10">
        <f>COUNTIFS($B$2:$B$996,B251)</f>
        <v/>
      </c>
      <c r="B251" s="10" t="inlineStr">
        <is>
          <t>Porta de madeira de abrir - 70x210cm (kit completo)</t>
        </is>
      </c>
      <c r="C251" s="11" t="inlineStr">
        <is>
          <t>un</t>
        </is>
      </c>
      <c r="D251" s="2162">
        <f>E251*$D$1</f>
        <v/>
      </c>
      <c r="E251" s="2162" t="n">
        <v>2251.36</v>
      </c>
      <c r="F251" s="2162" t="inlineStr">
        <is>
          <t xml:space="preserve">Esquadrias </t>
        </is>
      </c>
      <c r="G251" s="2162" t="inlineStr">
        <is>
          <t>Madeira</t>
        </is>
      </c>
      <c r="H251" s="2162" t="inlineStr">
        <is>
          <t>Linha Trada</t>
        </is>
      </c>
      <c r="I251" s="4" t="inlineStr">
        <is>
          <t>Esquadrias de Madeira</t>
        </is>
      </c>
    </row>
    <row r="252" ht="15.75" customHeight="1">
      <c r="A252" s="10">
        <f>COUNTIFS($B$2:$B$996,B252)</f>
        <v/>
      </c>
      <c r="B252" s="10" t="inlineStr">
        <is>
          <t>Porta de madeira de abrir - 90x210cm (kit completo)</t>
        </is>
      </c>
      <c r="C252" s="11" t="inlineStr">
        <is>
          <t>un</t>
        </is>
      </c>
      <c r="D252" s="2162">
        <f>E252*$D$1</f>
        <v/>
      </c>
      <c r="E252" s="2162" t="n">
        <v>2598.86</v>
      </c>
      <c r="F252" s="2162" t="inlineStr">
        <is>
          <t xml:space="preserve">Esquadrias </t>
        </is>
      </c>
      <c r="G252" s="2162" t="inlineStr">
        <is>
          <t>Madeira</t>
        </is>
      </c>
      <c r="H252" s="2162" t="inlineStr">
        <is>
          <t>Linha Trada</t>
        </is>
      </c>
      <c r="I252" s="4" t="inlineStr">
        <is>
          <t>Esquadrias de Madeira</t>
        </is>
      </c>
    </row>
    <row r="253" ht="15.75" customHeight="1">
      <c r="A253" s="10">
        <f>COUNTIFS($B$2:$B$996,B253)</f>
        <v/>
      </c>
      <c r="B253" s="10" t="inlineStr">
        <is>
          <t>Porta de madeira de abrir - 76x210cm (kit completo)</t>
        </is>
      </c>
      <c r="C253" s="11" t="inlineStr">
        <is>
          <t>un</t>
        </is>
      </c>
      <c r="D253" s="2162">
        <f>E253*$D$1</f>
        <v/>
      </c>
      <c r="E253" s="2162" t="n">
        <v>2209.52304854369</v>
      </c>
      <c r="F253" s="2162" t="inlineStr">
        <is>
          <t xml:space="preserve">Esquadrias </t>
        </is>
      </c>
      <c r="G253" s="2162" t="inlineStr">
        <is>
          <t>Madeira</t>
        </is>
      </c>
      <c r="H253" s="2162" t="inlineStr">
        <is>
          <t>Linha Trada</t>
        </is>
      </c>
      <c r="I253" s="4" t="inlineStr">
        <is>
          <t>Esquadrias de Madeira</t>
        </is>
      </c>
    </row>
    <row r="254" ht="15.75" customHeight="1">
      <c r="A254" s="10">
        <f>COUNTIFS($B$2:$B$996,B254)</f>
        <v/>
      </c>
      <c r="B254" s="10" t="inlineStr">
        <is>
          <t>Porta de madeira de abrir - 87x210cm (kit completo)</t>
        </is>
      </c>
      <c r="C254" s="11" t="inlineStr">
        <is>
          <t>un</t>
        </is>
      </c>
      <c r="D254" s="2162">
        <f>E254*$D$1</f>
        <v/>
      </c>
      <c r="E254" s="2162" t="n">
        <v>2209.52304854369</v>
      </c>
      <c r="F254" s="2162" t="inlineStr">
        <is>
          <t xml:space="preserve">Esquadrias </t>
        </is>
      </c>
      <c r="G254" s="2162" t="inlineStr">
        <is>
          <t>Madeira</t>
        </is>
      </c>
      <c r="H254" s="2162" t="inlineStr">
        <is>
          <t>Linha Trada</t>
        </is>
      </c>
      <c r="I254" s="4" t="inlineStr">
        <is>
          <t>Esquadrias de Madeira</t>
        </is>
      </c>
    </row>
    <row r="255" ht="15.75" customHeight="1">
      <c r="A255" s="10">
        <f>COUNTIFS($B$2:$B$996,B255)</f>
        <v/>
      </c>
      <c r="B255" s="10" t="inlineStr">
        <is>
          <t>Porta de madeira de abrir - 80x210cm (kit completo)</t>
        </is>
      </c>
      <c r="C255" s="11" t="inlineStr">
        <is>
          <t>un</t>
        </is>
      </c>
      <c r="D255" s="2162">
        <f>E255*$D$1</f>
        <v/>
      </c>
      <c r="E255" s="2162" t="n">
        <v>2251.36</v>
      </c>
      <c r="F255" s="2162" t="inlineStr">
        <is>
          <t xml:space="preserve">Esquadrias </t>
        </is>
      </c>
      <c r="G255" s="2162" t="inlineStr">
        <is>
          <t>Madeira</t>
        </is>
      </c>
      <c r="H255" s="2162" t="inlineStr">
        <is>
          <t>Linha Trada</t>
        </is>
      </c>
      <c r="I255" s="4" t="inlineStr">
        <is>
          <t>Esquadrias de Madeira</t>
        </is>
      </c>
    </row>
    <row r="256" ht="15.75" customHeight="1">
      <c r="A256" s="10">
        <f>COUNTIFS($B$2:$B$996,B256)</f>
        <v/>
      </c>
      <c r="B256" s="10" t="inlineStr">
        <is>
          <t>Porta de madeira de abrir - 80x215cm (kit completo)</t>
        </is>
      </c>
      <c r="C256" s="11" t="inlineStr">
        <is>
          <t>un</t>
        </is>
      </c>
      <c r="D256" s="2162">
        <f>E256*$D$1</f>
        <v/>
      </c>
      <c r="E256" s="2162" t="n">
        <v>2209.52304854369</v>
      </c>
      <c r="F256" s="2162" t="inlineStr">
        <is>
          <t xml:space="preserve">Esquadrias </t>
        </is>
      </c>
      <c r="G256" s="2162" t="inlineStr">
        <is>
          <t>Madeira</t>
        </is>
      </c>
      <c r="H256" s="2162" t="inlineStr">
        <is>
          <t>Linha Trada</t>
        </is>
      </c>
      <c r="I256" s="4" t="inlineStr">
        <is>
          <t>Esquadrias de Madeira</t>
        </is>
      </c>
    </row>
    <row r="257" ht="15.75" customHeight="1">
      <c r="A257" s="10">
        <f>COUNTIFS($B$2:$B$996,B257)</f>
        <v/>
      </c>
      <c r="B257" s="10" t="inlineStr">
        <is>
          <t>Porta de madeira de Correr - 80x210cm (kit completo)</t>
        </is>
      </c>
      <c r="C257" s="11" t="inlineStr">
        <is>
          <t>un</t>
        </is>
      </c>
      <c r="D257" s="2162">
        <f>E257*$D$1</f>
        <v/>
      </c>
      <c r="E257" s="2162" t="n">
        <v>2251.36</v>
      </c>
      <c r="F257" s="2162" t="inlineStr">
        <is>
          <t xml:space="preserve">Esquadrias </t>
        </is>
      </c>
      <c r="G257" s="2162" t="inlineStr">
        <is>
          <t>Madeira</t>
        </is>
      </c>
      <c r="H257" s="2162" t="inlineStr">
        <is>
          <t>Linha Trada</t>
        </is>
      </c>
      <c r="I257" s="4" t="inlineStr">
        <is>
          <t>Esquadrias de Madeira</t>
        </is>
      </c>
    </row>
    <row r="258" ht="15.75" customHeight="1">
      <c r="A258" s="10">
        <f>COUNTIFS($B$2:$B$996,B258)</f>
        <v/>
      </c>
      <c r="B258" s="10" t="inlineStr">
        <is>
          <t>Porta de madeira de abrir - 90x215cm (kit completo)</t>
        </is>
      </c>
      <c r="C258" s="11" t="inlineStr">
        <is>
          <t>un</t>
        </is>
      </c>
      <c r="D258" s="2162">
        <f>E258*$D$1</f>
        <v/>
      </c>
      <c r="E258" s="2162">
        <f>E252/(0.9*2.1)*(0.9*2.15)</f>
        <v/>
      </c>
      <c r="F258" s="2162" t="inlineStr">
        <is>
          <t xml:space="preserve">Esquadrias </t>
        </is>
      </c>
      <c r="G258" s="2162" t="inlineStr">
        <is>
          <t>Madeira</t>
        </is>
      </c>
      <c r="H258" s="2162" t="inlineStr">
        <is>
          <t>Linha Trada</t>
        </is>
      </c>
      <c r="I258" s="4" t="inlineStr">
        <is>
          <t>Esquadrias de Madeira</t>
        </is>
      </c>
    </row>
    <row r="259" ht="15.75" customHeight="1">
      <c r="A259" s="10">
        <f>COUNTIFS($B$2:$B$996,B259)</f>
        <v/>
      </c>
      <c r="B259" s="10" t="inlineStr">
        <is>
          <t xml:space="preserve">Claraboia em vidro laminado </t>
        </is>
      </c>
      <c r="C259" s="11" t="inlineStr">
        <is>
          <t>un</t>
        </is>
      </c>
      <c r="D259" s="2162">
        <f>E259*$D$1</f>
        <v/>
      </c>
      <c r="E259" s="2162" t="n">
        <v>1014</v>
      </c>
      <c r="F259" s="2162" t="inlineStr">
        <is>
          <t xml:space="preserve">Esquadrias </t>
        </is>
      </c>
      <c r="G259" s="2162" t="inlineStr">
        <is>
          <t>Vidro</t>
        </is>
      </c>
      <c r="H259" s="2162" t="n"/>
      <c r="I259" s="4" t="inlineStr">
        <is>
          <t>Vidros</t>
        </is>
      </c>
    </row>
    <row r="260" ht="15.75" customHeight="1">
      <c r="A260" s="10">
        <f>COUNTIFS($B$2:$B$996,B260)</f>
        <v/>
      </c>
      <c r="B260" s="10" t="inlineStr">
        <is>
          <t>Pele de vidro</t>
        </is>
      </c>
      <c r="C260" s="11" t="inlineStr">
        <is>
          <t>M2</t>
        </is>
      </c>
      <c r="D260" s="2162">
        <f>E260*$D$1</f>
        <v/>
      </c>
      <c r="E260" s="2162" t="n">
        <v>1533.99</v>
      </c>
      <c r="F260" s="2162" t="inlineStr">
        <is>
          <t xml:space="preserve">Esquadrias </t>
        </is>
      </c>
      <c r="G260" s="2162" t="inlineStr">
        <is>
          <t>Vidro</t>
        </is>
      </c>
      <c r="H260" s="2162" t="n"/>
      <c r="I260" s="4" t="inlineStr">
        <is>
          <t>Vidros</t>
        </is>
      </c>
    </row>
    <row r="261" ht="15.75" customHeight="1">
      <c r="A261" s="10">
        <f>COUNTIFS($B$2:$B$996,B261)</f>
        <v/>
      </c>
      <c r="B261" s="10" t="inlineStr">
        <is>
          <t>Portão de vidro - 85x280 cm</t>
        </is>
      </c>
      <c r="C261" s="11" t="inlineStr">
        <is>
          <t>M2</t>
        </is>
      </c>
      <c r="D261" s="2162">
        <f>E261*$D$1</f>
        <v/>
      </c>
      <c r="E261" s="2162" t="n">
        <v>3893.283333333333</v>
      </c>
      <c r="F261" s="2162" t="inlineStr">
        <is>
          <t xml:space="preserve">Esquadrias </t>
        </is>
      </c>
      <c r="G261" s="2162" t="inlineStr">
        <is>
          <t>Vidro</t>
        </is>
      </c>
      <c r="H261" s="2162" t="n"/>
      <c r="I261" s="4" t="inlineStr">
        <is>
          <t>Vidros</t>
        </is>
      </c>
    </row>
    <row r="262" ht="15.75" customHeight="1">
      <c r="A262" s="10">
        <f>COUNTIFS($B$2:$B$996,B262)</f>
        <v/>
      </c>
      <c r="B262" s="10" t="inlineStr">
        <is>
          <t>Friso metálico entre pisos / Largura 1,5 cm / Cor: dourado escovado - Material e Mão de obra</t>
        </is>
      </c>
      <c r="C262" s="11" t="inlineStr">
        <is>
          <t>M</t>
        </is>
      </c>
      <c r="D262" s="2162">
        <f>E262*$D$1</f>
        <v/>
      </c>
      <c r="E262" s="2162">
        <f>120+30</f>
        <v/>
      </c>
      <c r="F262" s="2162" t="inlineStr">
        <is>
          <t xml:space="preserve">Esquadrias </t>
        </is>
      </c>
      <c r="G262" s="2162" t="inlineStr">
        <is>
          <t>Metálicas</t>
        </is>
      </c>
      <c r="H262" s="2162" t="n"/>
      <c r="I262" s="4" t="inlineStr">
        <is>
          <t>Esquadrias de Ferro</t>
        </is>
      </c>
    </row>
    <row r="263" ht="15.75" customHeight="1">
      <c r="A263" s="10">
        <f>COUNTIFS($B$2:$B$996,B263)</f>
        <v/>
      </c>
      <c r="B263" s="10" t="inlineStr">
        <is>
          <t>Gradil metálico</t>
        </is>
      </c>
      <c r="C263" s="11" t="inlineStr">
        <is>
          <t>M2</t>
        </is>
      </c>
      <c r="D263" s="2162">
        <f>E263*$D$1</f>
        <v/>
      </c>
      <c r="E263" s="2162" t="n">
        <v>568.9267241379312</v>
      </c>
      <c r="F263" s="2162" t="inlineStr">
        <is>
          <t xml:space="preserve">Esquadrias </t>
        </is>
      </c>
      <c r="G263" s="2162" t="inlineStr">
        <is>
          <t>Metálicas</t>
        </is>
      </c>
      <c r="H263" s="2162" t="n"/>
      <c r="I263" s="4" t="inlineStr">
        <is>
          <t>Esquadrias de Ferro</t>
        </is>
      </c>
    </row>
    <row r="264" ht="15.75" customHeight="1">
      <c r="A264" s="10">
        <f>COUNTIFS($B$2:$B$996,B264)</f>
        <v/>
      </c>
      <c r="B264" s="10" t="inlineStr">
        <is>
          <t>Porta corta-fogo, 1 folha, 80x210 cm</t>
        </is>
      </c>
      <c r="C264" s="11" t="inlineStr">
        <is>
          <t>un</t>
        </is>
      </c>
      <c r="D264" s="2162">
        <f>E264*$D$1</f>
        <v/>
      </c>
      <c r="E264" s="2162" t="n">
        <v>1100</v>
      </c>
      <c r="F264" s="2162" t="inlineStr">
        <is>
          <t xml:space="preserve">Esquadrias </t>
        </is>
      </c>
      <c r="G264" s="2162" t="inlineStr">
        <is>
          <t>Metálicas</t>
        </is>
      </c>
      <c r="H264" s="2162" t="n"/>
      <c r="I264" s="4" t="inlineStr">
        <is>
          <t>Esquadrias de Ferro</t>
        </is>
      </c>
    </row>
    <row r="265" ht="15.75" customHeight="1">
      <c r="A265" s="10">
        <f>COUNTIFS($B$2:$B$996,B265)</f>
        <v/>
      </c>
      <c r="B265" s="10" t="inlineStr">
        <is>
          <t>Portão, 1 folha, 4,81x226 cm</t>
        </is>
      </c>
      <c r="C265" s="11" t="inlineStr">
        <is>
          <t>un</t>
        </is>
      </c>
      <c r="D265" s="2162">
        <f>E265*$D$1</f>
        <v/>
      </c>
      <c r="E265" s="2162" t="n">
        <v>28645.08</v>
      </c>
      <c r="F265" s="2162" t="inlineStr">
        <is>
          <t xml:space="preserve">Esquadrias </t>
        </is>
      </c>
      <c r="G265" s="2162" t="inlineStr">
        <is>
          <t>Metálicas</t>
        </is>
      </c>
      <c r="H265" s="2162" t="n"/>
      <c r="I265" s="4" t="inlineStr">
        <is>
          <t>Esquadrias de Ferro</t>
        </is>
      </c>
    </row>
    <row r="266" ht="15.75" customHeight="1">
      <c r="A266" s="10">
        <f>COUNTIFS($B$2:$B$996,B266)</f>
        <v/>
      </c>
      <c r="B266" s="10" t="inlineStr">
        <is>
          <t>Portão, 1 folha, 500x235 cm</t>
        </is>
      </c>
      <c r="C266" s="11" t="inlineStr">
        <is>
          <t>un</t>
        </is>
      </c>
      <c r="D266" s="2162">
        <f>E266*$D$1</f>
        <v/>
      </c>
      <c r="E266" s="2162" t="n">
        <v>13011.72619047619</v>
      </c>
      <c r="F266" s="2162" t="inlineStr">
        <is>
          <t xml:space="preserve">Esquadrias </t>
        </is>
      </c>
      <c r="G266" s="2162" t="inlineStr">
        <is>
          <t>Metálicas</t>
        </is>
      </c>
      <c r="H266" s="2162" t="n"/>
      <c r="I266" s="4" t="inlineStr">
        <is>
          <t>Esquadrias de Ferro</t>
        </is>
      </c>
    </row>
    <row r="267" ht="15.75" customHeight="1">
      <c r="A267" s="10">
        <f>COUNTIFS($B$2:$B$996,B267)</f>
        <v/>
      </c>
      <c r="B267" s="10" t="inlineStr">
        <is>
          <t>Portão, 1 folha, 350x240 cm</t>
        </is>
      </c>
      <c r="C267" s="11" t="inlineStr">
        <is>
          <t>un</t>
        </is>
      </c>
      <c r="D267" s="2162">
        <f>E267*$D$1</f>
        <v/>
      </c>
      <c r="E267" s="2162" t="n">
        <v>9302</v>
      </c>
      <c r="F267" s="2162" t="inlineStr">
        <is>
          <t xml:space="preserve">Esquadrias </t>
        </is>
      </c>
      <c r="G267" s="2162" t="inlineStr">
        <is>
          <t>Metálicas</t>
        </is>
      </c>
      <c r="H267" s="2162" t="n"/>
      <c r="I267" s="4" t="inlineStr">
        <is>
          <t>Esquadrias de Ferro</t>
        </is>
      </c>
    </row>
    <row r="268" ht="15.75" customHeight="1">
      <c r="A268" s="10">
        <f>COUNTIFS($B$2:$B$996,B268)</f>
        <v/>
      </c>
      <c r="B268" s="10" t="inlineStr">
        <is>
          <t>Porta corta-fogo, 2 folha, 152x126 cm</t>
        </is>
      </c>
      <c r="C268" s="11" t="inlineStr">
        <is>
          <t>un</t>
        </is>
      </c>
      <c r="D268" s="2162">
        <f>E268*$D$1</f>
        <v/>
      </c>
      <c r="E268" s="2162" t="n">
        <v>1089.608462068966</v>
      </c>
      <c r="F268" s="2162" t="inlineStr">
        <is>
          <t xml:space="preserve">Esquadrias </t>
        </is>
      </c>
      <c r="G268" s="2162" t="inlineStr">
        <is>
          <t>Metálicas</t>
        </is>
      </c>
      <c r="H268" s="2162" t="n"/>
      <c r="I268" s="4" t="inlineStr">
        <is>
          <t>Esquadrias de Ferro</t>
        </is>
      </c>
    </row>
    <row r="269" ht="15.75" customHeight="1">
      <c r="A269" s="10">
        <f>COUNTIFS($B$2:$B$996,B269)</f>
        <v/>
      </c>
      <c r="B269" s="10" t="inlineStr">
        <is>
          <t>Escada marinheiro com gaiola de proteção, h=6 m</t>
        </is>
      </c>
      <c r="C269" s="11" t="inlineStr">
        <is>
          <t>un</t>
        </is>
      </c>
      <c r="D269" s="2162">
        <f>E269*$D$1</f>
        <v/>
      </c>
      <c r="E269" s="2162" t="n">
        <v>6500</v>
      </c>
      <c r="F269" s="2162" t="inlineStr">
        <is>
          <t xml:space="preserve">Esquadrias </t>
        </is>
      </c>
      <c r="G269" s="2162" t="inlineStr">
        <is>
          <t>Metálicas</t>
        </is>
      </c>
      <c r="H269" s="2162" t="n"/>
      <c r="I269" s="4" t="inlineStr">
        <is>
          <t>Esquadrias de Ferro</t>
        </is>
      </c>
    </row>
    <row r="270" ht="15.75" customHeight="1">
      <c r="A270" s="10">
        <f>COUNTIFS($B$2:$B$996,B270)</f>
        <v/>
      </c>
      <c r="B270" s="10" t="inlineStr">
        <is>
          <t>Escada de marinheiro</t>
        </is>
      </c>
      <c r="C270" s="11" t="inlineStr">
        <is>
          <t>un</t>
        </is>
      </c>
      <c r="D270" s="2162">
        <f>E270*$D$1</f>
        <v/>
      </c>
      <c r="E270" s="2162" t="n">
        <v>2405</v>
      </c>
      <c r="F270" s="2162" t="inlineStr">
        <is>
          <t xml:space="preserve">Esquadrias </t>
        </is>
      </c>
      <c r="G270" s="2162" t="inlineStr">
        <is>
          <t>Metálicas</t>
        </is>
      </c>
      <c r="H270" s="2162" t="n"/>
      <c r="I270" s="4" t="inlineStr">
        <is>
          <t>Esquadrias de Ferro</t>
        </is>
      </c>
    </row>
    <row r="271" ht="15.75" customHeight="1">
      <c r="A271" s="10">
        <f>COUNTIFS($B$2:$B$996,B271)</f>
        <v/>
      </c>
      <c r="B271" s="10" t="inlineStr">
        <is>
          <t>Porta venezianada metálica, 1 folha, 60x80 cm</t>
        </is>
      </c>
      <c r="C271" s="11" t="inlineStr">
        <is>
          <t>un</t>
        </is>
      </c>
      <c r="D271" s="2162">
        <f>E271*$D$1</f>
        <v/>
      </c>
      <c r="E271" s="2162" t="n">
        <v>975</v>
      </c>
      <c r="F271" s="2162" t="inlineStr">
        <is>
          <t xml:space="preserve">Esquadrias </t>
        </is>
      </c>
      <c r="G271" s="2162" t="inlineStr">
        <is>
          <t>Metálicas</t>
        </is>
      </c>
      <c r="H271" s="2162" t="n"/>
      <c r="I271" s="4" t="inlineStr">
        <is>
          <t>Esquadrias de Ferro</t>
        </is>
      </c>
    </row>
    <row r="272" ht="15.75" customHeight="1">
      <c r="A272" s="10">
        <f>COUNTIFS($B$2:$B$996,B272)</f>
        <v/>
      </c>
      <c r="B272" s="10" t="inlineStr">
        <is>
          <t>Porta metálica, 1 folha, 80x150 cm</t>
        </is>
      </c>
      <c r="C272" s="11" t="inlineStr">
        <is>
          <t>un</t>
        </is>
      </c>
      <c r="D272" s="2162">
        <f>E272*$D$1</f>
        <v/>
      </c>
      <c r="E272" s="2162" t="n">
        <v>2968</v>
      </c>
      <c r="F272" s="2162" t="inlineStr">
        <is>
          <t xml:space="preserve">Esquadrias </t>
        </is>
      </c>
      <c r="G272" s="2162" t="inlineStr">
        <is>
          <t>Metálicas</t>
        </is>
      </c>
      <c r="H272" s="2162" t="n"/>
      <c r="I272" s="4" t="inlineStr">
        <is>
          <t>Esquadrias de Ferro</t>
        </is>
      </c>
    </row>
    <row r="273" ht="15.75" customHeight="1">
      <c r="A273" s="10">
        <f>COUNTIFS($B$2:$B$996,B273)</f>
        <v/>
      </c>
      <c r="B273" s="10" t="inlineStr">
        <is>
          <t>Porta corta-fogo, 1 folha, 106x210 cm</t>
        </is>
      </c>
      <c r="C273" s="11" t="inlineStr">
        <is>
          <t>un</t>
        </is>
      </c>
      <c r="D273" s="2162">
        <f>E273*$D$1</f>
        <v/>
      </c>
      <c r="E273" s="2162" t="n">
        <v>3729.34</v>
      </c>
      <c r="F273" s="2162" t="inlineStr">
        <is>
          <t xml:space="preserve">Esquadrias </t>
        </is>
      </c>
      <c r="G273" s="2162" t="inlineStr">
        <is>
          <t>Metálicas</t>
        </is>
      </c>
      <c r="H273" s="2162" t="n"/>
      <c r="I273" s="4" t="inlineStr">
        <is>
          <t>Esquadrias de Ferro</t>
        </is>
      </c>
    </row>
    <row r="274" ht="15.75" customHeight="1">
      <c r="A274" s="10">
        <f>COUNTIFS($B$2:$B$996,B274)</f>
        <v/>
      </c>
      <c r="B274" s="10" t="inlineStr">
        <is>
          <t>Porta corta-fogo, 1 folha, 96x190cm</t>
        </is>
      </c>
      <c r="C274" s="11" t="inlineStr">
        <is>
          <t>un</t>
        </is>
      </c>
      <c r="D274" s="2162">
        <f>E274*$D$1</f>
        <v/>
      </c>
      <c r="E274" s="2162" t="n">
        <v>3523.56</v>
      </c>
      <c r="F274" s="2162" t="inlineStr">
        <is>
          <t xml:space="preserve">Esquadrias </t>
        </is>
      </c>
      <c r="G274" s="2162" t="inlineStr">
        <is>
          <t>Metálicas</t>
        </is>
      </c>
      <c r="H274" s="2162" t="n"/>
      <c r="I274" s="4" t="inlineStr">
        <is>
          <t>Esquadrias de Ferro</t>
        </is>
      </c>
    </row>
    <row r="275" ht="15.75" customHeight="1">
      <c r="A275" s="10">
        <f>COUNTIFS($B$2:$B$996,B275)</f>
        <v/>
      </c>
      <c r="B275" s="10" t="inlineStr">
        <is>
          <t>Porta corta-fogo, 1 folha, 90x213cm</t>
        </is>
      </c>
      <c r="C275" s="11" t="inlineStr">
        <is>
          <t>un</t>
        </is>
      </c>
      <c r="D275" s="2162">
        <f>E275*$D$1</f>
        <v/>
      </c>
      <c r="E275" s="2162" t="n">
        <v>1754.88</v>
      </c>
      <c r="F275" s="2162" t="inlineStr">
        <is>
          <t xml:space="preserve">Esquadrias </t>
        </is>
      </c>
      <c r="G275" s="2162" t="inlineStr">
        <is>
          <t>Metálicas</t>
        </is>
      </c>
      <c r="H275" s="2162" t="n"/>
      <c r="I275" s="4" t="inlineStr">
        <is>
          <t>Esquadrias de Ferro</t>
        </is>
      </c>
    </row>
    <row r="276" ht="15.75" customHeight="1">
      <c r="A276" s="10">
        <f>COUNTIFS($B$2:$B$996,B276)</f>
        <v/>
      </c>
      <c r="B276" s="10" t="inlineStr">
        <is>
          <t>Porta corta-fogo, 1 folha, 80x213cm</t>
        </is>
      </c>
      <c r="C276" s="11" t="inlineStr">
        <is>
          <t>un</t>
        </is>
      </c>
      <c r="D276" s="2162">
        <f>E276*$D$1</f>
        <v/>
      </c>
      <c r="E276" s="2162" t="n">
        <v>1754.88</v>
      </c>
      <c r="F276" s="2162" t="inlineStr">
        <is>
          <t xml:space="preserve">Esquadrias </t>
        </is>
      </c>
      <c r="G276" s="2162" t="inlineStr">
        <is>
          <t>Metálicas</t>
        </is>
      </c>
      <c r="H276" s="2162" t="n"/>
      <c r="I276" s="4" t="inlineStr">
        <is>
          <t>Esquadrias de Ferro</t>
        </is>
      </c>
    </row>
    <row r="277" ht="15.75" customHeight="1">
      <c r="A277" s="10">
        <f>COUNTIFS($B$2:$B$996,B277)</f>
        <v/>
      </c>
      <c r="B277" s="10" t="inlineStr">
        <is>
          <t>Chapa de Aço Galvanizada 1,55mm (Chapa 16) x 1200mm x 3000mm</t>
        </is>
      </c>
      <c r="C277" s="11" t="inlineStr">
        <is>
          <t>M2</t>
        </is>
      </c>
      <c r="D277" s="2162">
        <f>E277*$D$1</f>
        <v/>
      </c>
      <c r="E277" s="2162" t="n">
        <v>135.3555555555556</v>
      </c>
      <c r="F277" s="2162" t="inlineStr">
        <is>
          <t xml:space="preserve">Esquadrias </t>
        </is>
      </c>
      <c r="G277" s="2162" t="inlineStr">
        <is>
          <t>Metálicas</t>
        </is>
      </c>
      <c r="H277" s="2162" t="n"/>
      <c r="I277" s="4" t="inlineStr">
        <is>
          <t>Esquadrias de Ferro</t>
        </is>
      </c>
    </row>
    <row r="278" ht="15.75" customHeight="1">
      <c r="A278" s="10">
        <f>COUNTIFS($B$2:$B$996,B278)</f>
        <v/>
      </c>
      <c r="B278" s="10" t="inlineStr">
        <is>
          <t>Ferragens para Portas - Maçaneta, fechadura, dobradiça.</t>
        </is>
      </c>
      <c r="C278" s="11" t="inlineStr">
        <is>
          <t>un</t>
        </is>
      </c>
      <c r="D278" s="2162">
        <f>E278*$D$1</f>
        <v/>
      </c>
      <c r="E278" s="2162">
        <f>(219169.63+75071.81+41713+38785.61+20961+20929.47+14994.09+13986.11+12679.48+4954.57+2353.88+1768.97+1211.23+1022.2+195+19.99)/515</f>
        <v/>
      </c>
      <c r="F278" s="2162" t="inlineStr">
        <is>
          <t xml:space="preserve">Esquadrias </t>
        </is>
      </c>
      <c r="G278" s="2162" t="inlineStr">
        <is>
          <t>Fechaduras e acessórios</t>
        </is>
      </c>
      <c r="H278" s="2162" t="n"/>
      <c r="I278" s="4" t="inlineStr">
        <is>
          <t>Vidros</t>
        </is>
      </c>
    </row>
    <row r="279" ht="15.75" customHeight="1">
      <c r="A279" s="10">
        <f>COUNTIFS($B$2:$B$996,B279)</f>
        <v/>
      </c>
      <c r="B279" s="10" t="inlineStr">
        <is>
          <t>Fechadura Arouca para Porta do Quarto Preto 55mm</t>
        </is>
      </c>
      <c r="C279" s="11" t="inlineStr">
        <is>
          <t>un</t>
        </is>
      </c>
      <c r="D279" s="2162">
        <f>E279*$D$1</f>
        <v/>
      </c>
      <c r="E279" s="2162" t="n">
        <v>232.46</v>
      </c>
      <c r="F279" s="2162" t="inlineStr">
        <is>
          <t xml:space="preserve">Esquadrias </t>
        </is>
      </c>
      <c r="G279" s="2162" t="inlineStr">
        <is>
          <t>Fechaduras e acessórios</t>
        </is>
      </c>
      <c r="H279" s="2162" t="n"/>
      <c r="I279" s="4" t="inlineStr">
        <is>
          <t>Vidros</t>
        </is>
      </c>
    </row>
    <row r="280" ht="15.75" customHeight="1">
      <c r="A280" s="10">
        <f>COUNTIFS($B$2:$B$996,B280)</f>
        <v/>
      </c>
      <c r="B280" s="10" t="inlineStr">
        <is>
          <t>Fechadura Inteligente Eletrônica Facial Digital D22 Cor Preto</t>
        </is>
      </c>
      <c r="C280" s="11" t="inlineStr">
        <is>
          <t>un</t>
        </is>
      </c>
      <c r="D280" s="2162">
        <f>E280*$D$1</f>
        <v/>
      </c>
      <c r="E280" s="2162">
        <f>1097.71+193.93</f>
        <v/>
      </c>
      <c r="F280" s="2162" t="inlineStr">
        <is>
          <t xml:space="preserve">Esquadrias </t>
        </is>
      </c>
      <c r="G280" s="2162" t="inlineStr">
        <is>
          <t>Fechaduras e acessórios</t>
        </is>
      </c>
      <c r="H280" s="2162" t="n"/>
      <c r="I280" s="4" t="inlineStr">
        <is>
          <t>Vidros</t>
        </is>
      </c>
    </row>
    <row r="281" ht="14.25" customHeight="1">
      <c r="A281" s="10">
        <f>COUNTIFS($B$2:$B$996,B281)</f>
        <v/>
      </c>
      <c r="B281" s="82" t="inlineStr">
        <is>
          <t>Membrana de polímero acrílico com cimento e fibras, estruturada com tela de poliéster nos pontos críticos</t>
        </is>
      </c>
      <c r="C281" s="83" t="inlineStr">
        <is>
          <t>KG</t>
        </is>
      </c>
      <c r="D281" s="2165">
        <f>E281*$D$1</f>
        <v/>
      </c>
      <c r="E281" s="2165" t="n">
        <v>22</v>
      </c>
      <c r="F281" s="2165" t="inlineStr">
        <is>
          <t>Impremeabilização</t>
        </is>
      </c>
      <c r="G281" s="2165" t="inlineStr">
        <is>
          <t>Impremeabilização</t>
        </is>
      </c>
      <c r="H281" s="2165" t="n"/>
      <c r="I281" s="85" t="inlineStr">
        <is>
          <t>Impermeabilização</t>
        </is>
      </c>
    </row>
    <row r="282" ht="14.25" customHeight="1">
      <c r="A282" s="10">
        <f>COUNTIFS($B$2:$B$996,B282)</f>
        <v/>
      </c>
      <c r="B282" s="82" t="inlineStr">
        <is>
          <t>Membrana de polímero acrílico, sem cimento com resistência à alcalinidade, estruturada com tela de poliéster nos pontos críticos</t>
        </is>
      </c>
      <c r="C282" s="83" t="inlineStr">
        <is>
          <t>KG</t>
        </is>
      </c>
      <c r="D282" s="2165">
        <f>E282*$D$1</f>
        <v/>
      </c>
      <c r="E282" s="2165" t="n">
        <v>25</v>
      </c>
      <c r="F282" s="2165" t="inlineStr">
        <is>
          <t>Impremeabilização</t>
        </is>
      </c>
      <c r="G282" s="2165" t="inlineStr">
        <is>
          <t>Impremeabilização</t>
        </is>
      </c>
      <c r="H282" s="2165" t="n"/>
      <c r="I282" s="85" t="inlineStr">
        <is>
          <t>Impermeabilização</t>
        </is>
      </c>
    </row>
    <row r="283" ht="14.25" customHeight="1">
      <c r="A283" s="10">
        <f>COUNTIFS($B$2:$B$996,B283)</f>
        <v/>
      </c>
      <c r="B283" s="82" t="inlineStr">
        <is>
          <t>Manta fachada ventilada</t>
        </is>
      </c>
      <c r="C283" s="83" t="inlineStr">
        <is>
          <t>M2</t>
        </is>
      </c>
      <c r="D283" s="2165">
        <f>E283*$D$1</f>
        <v/>
      </c>
      <c r="E283" s="2165" t="n">
        <v>32</v>
      </c>
      <c r="F283" s="2165" t="inlineStr">
        <is>
          <t>Impremeabilização</t>
        </is>
      </c>
      <c r="G283" s="2165" t="inlineStr">
        <is>
          <t>Impremeabilização</t>
        </is>
      </c>
      <c r="H283" s="2165" t="n"/>
      <c r="I283" s="85" t="inlineStr">
        <is>
          <t>Impermeabilização</t>
        </is>
      </c>
    </row>
    <row r="284" ht="14.25" customHeight="1">
      <c r="A284" s="10">
        <f>COUNTIFS($B$2:$B$996,B284)</f>
        <v/>
      </c>
      <c r="B284" s="82" t="inlineStr">
        <is>
          <t>Manta asfáltica tipo IV, 4 mm A, com acabamento areia/areia aderida com asfalto oxidado</t>
        </is>
      </c>
      <c r="C284" s="83" t="inlineStr">
        <is>
          <t>KG</t>
        </is>
      </c>
      <c r="D284" s="2165">
        <f>E284*$D$1</f>
        <v/>
      </c>
      <c r="E284" s="2165">
        <f>AVERAGE(24,36)</f>
        <v/>
      </c>
      <c r="F284" s="2165" t="inlineStr">
        <is>
          <t>Impremeabilização</t>
        </is>
      </c>
      <c r="G284" s="2165" t="inlineStr">
        <is>
          <t>Impremeabilização</t>
        </is>
      </c>
      <c r="H284" s="2165" t="n"/>
      <c r="I284" s="85" t="inlineStr">
        <is>
          <t>Impermeabilização</t>
        </is>
      </c>
    </row>
    <row r="285" ht="14.25" customHeight="1">
      <c r="A285" s="10">
        <f>COUNTIFS($B$2:$B$996,B285)</f>
        <v/>
      </c>
      <c r="B285" s="82" t="inlineStr">
        <is>
          <t>banho de asfalto oxidado</t>
        </is>
      </c>
      <c r="C285" s="83" t="inlineStr">
        <is>
          <t>KG</t>
        </is>
      </c>
      <c r="D285" s="2165">
        <f>E285*$D$1</f>
        <v/>
      </c>
      <c r="E285" s="2165">
        <f>AVERAGE(6,12)</f>
        <v/>
      </c>
      <c r="F285" s="2165" t="inlineStr">
        <is>
          <t>Impremeabilização</t>
        </is>
      </c>
      <c r="G285" s="2165" t="inlineStr">
        <is>
          <t>Impremeabilização</t>
        </is>
      </c>
      <c r="H285" s="2165" t="n"/>
      <c r="I285" s="85" t="inlineStr">
        <is>
          <t>Impermeabilização</t>
        </is>
      </c>
    </row>
    <row r="286" ht="14.25" customHeight="1">
      <c r="A286" s="10">
        <f>COUNTIFS($B$2:$B$996,B286)</f>
        <v/>
      </c>
      <c r="B286" s="82" t="inlineStr">
        <is>
          <t xml:space="preserve">Argamassa não cimentícia com agentes incorporadores de ar - MK-FEN 30 (F) </t>
        </is>
      </c>
      <c r="C286" s="83" t="inlineStr">
        <is>
          <t>KG</t>
        </is>
      </c>
      <c r="D286" s="2165">
        <f>E286*$D$1</f>
        <v/>
      </c>
      <c r="E286" s="2165" t="n">
        <v>18.5</v>
      </c>
      <c r="F286" s="2165" t="inlineStr">
        <is>
          <t>Impremeabilização</t>
        </is>
      </c>
      <c r="G286" s="2165" t="inlineStr">
        <is>
          <t>Impremeabilização</t>
        </is>
      </c>
      <c r="H286" s="2165" t="n"/>
      <c r="I286" s="85" t="inlineStr">
        <is>
          <t>Impermeabilização</t>
        </is>
      </c>
    </row>
    <row r="287" ht="14.25" customHeight="1">
      <c r="A287" s="10">
        <f>COUNTIFS($B$2:$B$996,B287)</f>
        <v/>
      </c>
      <c r="B287" s="82" t="inlineStr">
        <is>
          <t>Argamassa polimérica rígida, estruturada com tela de poliéster nos pontos críticos</t>
        </is>
      </c>
      <c r="C287" s="83" t="inlineStr">
        <is>
          <t>KG</t>
        </is>
      </c>
      <c r="D287" s="2165">
        <f>E287*$D$1</f>
        <v/>
      </c>
      <c r="E287" s="2165">
        <f>178/18</f>
        <v/>
      </c>
      <c r="F287" s="2165" t="inlineStr">
        <is>
          <t>Impremeabilização</t>
        </is>
      </c>
      <c r="G287" s="2165" t="inlineStr">
        <is>
          <t>Impremeabilização</t>
        </is>
      </c>
      <c r="H287" s="2165" t="n"/>
      <c r="I287" s="85" t="inlineStr">
        <is>
          <t>Impermeabilização</t>
        </is>
      </c>
    </row>
    <row r="288" ht="14.25" customHeight="1">
      <c r="A288" s="10">
        <f>COUNTIFS($B$2:$B$996,B288)</f>
        <v/>
      </c>
      <c r="B288" s="82" t="inlineStr">
        <is>
          <t>Argamassa polimérica rígida</t>
        </is>
      </c>
      <c r="C288" s="83" t="inlineStr">
        <is>
          <t>KG</t>
        </is>
      </c>
      <c r="D288" s="2165">
        <f>E288*$D$1</f>
        <v/>
      </c>
      <c r="E288" s="2165">
        <f>178/18</f>
        <v/>
      </c>
      <c r="F288" s="2165" t="inlineStr">
        <is>
          <t>Impremeabilização</t>
        </is>
      </c>
      <c r="G288" s="2165" t="inlineStr">
        <is>
          <t>Impremeabilização</t>
        </is>
      </c>
      <c r="H288" s="2165" t="n"/>
      <c r="I288" s="85" t="inlineStr">
        <is>
          <t>Impermeabilização</t>
        </is>
      </c>
    </row>
    <row r="289" ht="14.25" customHeight="1">
      <c r="A289" s="10">
        <f>COUNTIFS($B$2:$B$996,B289)</f>
        <v/>
      </c>
      <c r="B289" s="82" t="inlineStr">
        <is>
          <t>Argamassa polimérica rígida, com alta resistência química, estruturada com tela de poliéster nos pontos críticos</t>
        </is>
      </c>
      <c r="C289" s="83" t="inlineStr">
        <is>
          <t>KG</t>
        </is>
      </c>
      <c r="D289" s="2165">
        <f>E289*$D$1</f>
        <v/>
      </c>
      <c r="E289" s="2165">
        <f>178/18</f>
        <v/>
      </c>
      <c r="F289" s="2165" t="inlineStr">
        <is>
          <t>Impremeabilização</t>
        </is>
      </c>
      <c r="G289" s="2165" t="inlineStr">
        <is>
          <t>Impremeabilização</t>
        </is>
      </c>
      <c r="H289" s="2165" t="n"/>
      <c r="I289" s="85" t="inlineStr">
        <is>
          <t>Impermeabilização</t>
        </is>
      </c>
    </row>
    <row r="290" ht="14.25" customHeight="1">
      <c r="A290" s="10">
        <f>COUNTIFS($B$2:$B$996,B290)</f>
        <v/>
      </c>
      <c r="B290" s="82" t="inlineStr">
        <is>
          <t>Membrana acrílica, estruturada com tela de poliéster, nos pontos críticos</t>
        </is>
      </c>
      <c r="C290" s="83" t="inlineStr">
        <is>
          <t>KG</t>
        </is>
      </c>
      <c r="D290" s="2165">
        <f>E290*$D$1</f>
        <v/>
      </c>
      <c r="E290" s="2165">
        <f>AVERAGE(20,28)</f>
        <v/>
      </c>
      <c r="F290" s="2165" t="inlineStr">
        <is>
          <t>Impremeabilização</t>
        </is>
      </c>
      <c r="G290" s="2165" t="inlineStr">
        <is>
          <t>Impremeabilização</t>
        </is>
      </c>
      <c r="H290" s="2165" t="n"/>
      <c r="I290" s="85" t="inlineStr">
        <is>
          <t>Impermeabilização</t>
        </is>
      </c>
    </row>
    <row r="291" ht="14.25" customHeight="1">
      <c r="A291" s="10">
        <f>COUNTIFS($B$2:$B$996,B291)</f>
        <v/>
      </c>
      <c r="B291" s="82" t="inlineStr">
        <is>
          <t>membrana de polímero acrílico com cimento e fibras para combater eflorescência</t>
        </is>
      </c>
      <c r="C291" s="83" t="inlineStr">
        <is>
          <t>KG</t>
        </is>
      </c>
      <c r="D291" s="2165">
        <f>E291*$D$1</f>
        <v/>
      </c>
      <c r="E291" s="2165">
        <f>AVERAGE(20,28)</f>
        <v/>
      </c>
      <c r="F291" s="2165" t="inlineStr">
        <is>
          <t>Impremeabilização</t>
        </is>
      </c>
      <c r="G291" s="2165" t="inlineStr">
        <is>
          <t>Impremeabilização</t>
        </is>
      </c>
      <c r="H291" s="2165" t="n"/>
      <c r="I291" s="85" t="inlineStr">
        <is>
          <t>Impermeabilização</t>
        </is>
      </c>
    </row>
    <row r="292" ht="14.25" customHeight="1">
      <c r="A292" s="10">
        <f>COUNTIFS($B$2:$B$996,B292)</f>
        <v/>
      </c>
      <c r="B292" s="82" t="inlineStr">
        <is>
          <t>Membrana de polímero acrílico, com cimento e com fibras, estruturada com tela de poliéster nos pontos críticos</t>
        </is>
      </c>
      <c r="C292" s="83" t="inlineStr">
        <is>
          <t>KG</t>
        </is>
      </c>
      <c r="D292" s="2165">
        <f>E292*$D$1</f>
        <v/>
      </c>
      <c r="E292" s="2165">
        <f>AVERAGE(20,28)</f>
        <v/>
      </c>
      <c r="F292" s="2165" t="inlineStr">
        <is>
          <t>Impremeabilização</t>
        </is>
      </c>
      <c r="G292" s="2165" t="inlineStr">
        <is>
          <t>Impremeabilização</t>
        </is>
      </c>
      <c r="H292" s="2165" t="n"/>
      <c r="I292" s="85" t="inlineStr">
        <is>
          <t>Impermeabilização</t>
        </is>
      </c>
    </row>
    <row r="293" ht="14.25" customHeight="1">
      <c r="A293" s="10">
        <f>COUNTIFS($B$2:$B$996,B293)</f>
        <v/>
      </c>
      <c r="B293" s="82" t="inlineStr">
        <is>
          <t>pintura de proteção antirraiz sobre a proteção mecânica</t>
        </is>
      </c>
      <c r="C293" s="83" t="inlineStr">
        <is>
          <t>L</t>
        </is>
      </c>
      <c r="D293" s="2165">
        <f>E293*$D$1</f>
        <v/>
      </c>
      <c r="E293" s="2165">
        <f>AVERAGE(40,80)</f>
        <v/>
      </c>
      <c r="F293" s="2165" t="inlineStr">
        <is>
          <t>Impremeabilização</t>
        </is>
      </c>
      <c r="G293" s="2165" t="inlineStr">
        <is>
          <t>Impremeabilização</t>
        </is>
      </c>
      <c r="H293" s="2165" t="n"/>
      <c r="I293" s="85" t="inlineStr">
        <is>
          <t>Impermeabilização</t>
        </is>
      </c>
    </row>
    <row r="294" ht="14.25" customHeight="1">
      <c r="A294" s="10">
        <f>COUNTIFS($B$2:$B$996,B294)</f>
        <v/>
      </c>
      <c r="B294" s="82" t="inlineStr">
        <is>
          <t>Manta asfáltica tipo IV, 4 mm A, com acabamento areia/areia + manta asfáltica tipo IV, 4 mm A, com acabamento areia/areia aderida com asfalto oxidado</t>
        </is>
      </c>
      <c r="C294" s="83" t="inlineStr">
        <is>
          <t>KG</t>
        </is>
      </c>
      <c r="D294" s="2165">
        <f>E294*$D$1</f>
        <v/>
      </c>
      <c r="E294" s="2165" t="n">
        <v>30</v>
      </c>
      <c r="F294" s="2165" t="inlineStr">
        <is>
          <t>Impremeabilização</t>
        </is>
      </c>
      <c r="G294" s="2165" t="inlineStr">
        <is>
          <t>Impremeabilização</t>
        </is>
      </c>
      <c r="H294" s="2165" t="n"/>
      <c r="I294" s="85" t="inlineStr">
        <is>
          <t>Impermeabilização</t>
        </is>
      </c>
    </row>
    <row r="295" ht="15.75" customHeight="1">
      <c r="A295" s="10">
        <f>COUNTIFS($B$2:$B$996,B295)</f>
        <v/>
      </c>
      <c r="B295" s="10" t="inlineStr">
        <is>
          <t>SOLUÇÃO DE SILICADOS CWS100</t>
        </is>
      </c>
      <c r="C295" s="11" t="inlineStr">
        <is>
          <t>KG</t>
        </is>
      </c>
      <c r="D295" s="2162">
        <f>E295*$D$1</f>
        <v/>
      </c>
      <c r="E295" s="2162" t="n">
        <v>325</v>
      </c>
      <c r="F295" s="2162" t="inlineStr">
        <is>
          <t>Impremeabilização</t>
        </is>
      </c>
      <c r="G295" s="2162" t="inlineStr">
        <is>
          <t>Impremeabilização</t>
        </is>
      </c>
      <c r="H295" s="2162" t="n"/>
      <c r="I295" s="4" t="inlineStr">
        <is>
          <t>Impermeabilização</t>
        </is>
      </c>
    </row>
    <row r="296" ht="15.75" customHeight="1">
      <c r="A296" s="10">
        <f>COUNTIFS($B$2:$B$996,B296)</f>
        <v/>
      </c>
      <c r="B296" s="10" t="inlineStr">
        <is>
          <t>impermeabilizante manta líquida Ultravent</t>
        </is>
      </c>
      <c r="C296" s="11" t="inlineStr">
        <is>
          <t>KG</t>
        </is>
      </c>
      <c r="D296" s="2162">
        <f>E296*$D$1</f>
        <v/>
      </c>
      <c r="E296" s="2162" t="n">
        <v>50</v>
      </c>
      <c r="F296" s="2162" t="inlineStr">
        <is>
          <t>Impremeabilização</t>
        </is>
      </c>
      <c r="G296" s="2162" t="inlineStr">
        <is>
          <t>Impremeabilização</t>
        </is>
      </c>
      <c r="H296" s="2162" t="n"/>
      <c r="I296" s="4" t="inlineStr">
        <is>
          <t>Impermeabilização</t>
        </is>
      </c>
    </row>
    <row r="297" ht="15.75" customHeight="1">
      <c r="A297" s="10">
        <f>COUNTIFS($B$2:$B$996,B297)</f>
        <v/>
      </c>
      <c r="B297" s="10" t="inlineStr">
        <is>
          <t>Argamassa polimerica impermeabilizante semiflexivel, bicomponente, a base de cimento e aditivos</t>
        </is>
      </c>
      <c r="C297" s="11" t="inlineStr">
        <is>
          <t>KG</t>
        </is>
      </c>
      <c r="D297" s="2162">
        <f>E297*$D$1</f>
        <v/>
      </c>
      <c r="E297" s="2162" t="n">
        <v>11.33</v>
      </c>
      <c r="F297" s="2162" t="inlineStr">
        <is>
          <t>Impremeabilização</t>
        </is>
      </c>
      <c r="G297" s="2162" t="inlineStr">
        <is>
          <t>Impremeabilização</t>
        </is>
      </c>
      <c r="H297" s="2162" t="n"/>
      <c r="I297" s="4" t="inlineStr">
        <is>
          <t>Impermeabilização</t>
        </is>
      </c>
    </row>
    <row r="298" ht="15.75" customHeight="1">
      <c r="A298" s="10">
        <f>COUNTIFS($B$2:$B$996,B298)</f>
        <v/>
      </c>
      <c r="B298" s="10" t="inlineStr">
        <is>
          <t>Tela Poliéster De Reforço Para Impermeabilização - 50m X 1m</t>
        </is>
      </c>
      <c r="C298" s="11" t="inlineStr">
        <is>
          <t>M2</t>
        </is>
      </c>
      <c r="D298" s="2162">
        <f>E298*$D$1</f>
        <v/>
      </c>
      <c r="E298" s="2162">
        <f>445.9/50</f>
        <v/>
      </c>
      <c r="F298" s="2162" t="inlineStr">
        <is>
          <t>Impremeabilização</t>
        </is>
      </c>
      <c r="G298" s="2162" t="inlineStr">
        <is>
          <t>Impremeabilização</t>
        </is>
      </c>
      <c r="H298" s="2162" t="n"/>
      <c r="I298" s="4" t="inlineStr">
        <is>
          <t>Impermeabilização</t>
        </is>
      </c>
    </row>
    <row r="299" ht="15.75" customHeight="1">
      <c r="A299" s="10">
        <f>COUNTIFS($B$2:$B$996,B299)</f>
        <v/>
      </c>
      <c r="B299" s="10" t="inlineStr">
        <is>
          <t>Membrana de polímeros acrílicos com cimento e com fibras</t>
        </is>
      </c>
      <c r="C299" s="11" t="inlineStr">
        <is>
          <t>KG</t>
        </is>
      </c>
      <c r="D299" s="2162">
        <f>E299*$D$1</f>
        <v/>
      </c>
      <c r="E299" s="2162" t="n">
        <v>11.05555555555556</v>
      </c>
      <c r="F299" s="2162" t="inlineStr">
        <is>
          <t>Impremeabilização</t>
        </is>
      </c>
      <c r="G299" s="2162" t="inlineStr">
        <is>
          <t>Impremeabilização</t>
        </is>
      </c>
      <c r="H299" s="2162" t="n"/>
      <c r="I299" s="4" t="inlineStr">
        <is>
          <t>Impermeabilização</t>
        </is>
      </c>
    </row>
    <row r="300" ht="15.75" customHeight="1">
      <c r="A300" s="10">
        <f>COUNTIFS($B$2:$B$996,B300)</f>
        <v/>
      </c>
      <c r="B300" s="10" t="inlineStr">
        <is>
          <t>emulsão asfáltica de alta resistência química</t>
        </is>
      </c>
      <c r="C300" s="11" t="inlineStr">
        <is>
          <t>L</t>
        </is>
      </c>
      <c r="D300" s="2162">
        <f>E300*$D$1</f>
        <v/>
      </c>
      <c r="E300" s="2162" t="n">
        <v>19.44</v>
      </c>
      <c r="F300" s="2162" t="inlineStr">
        <is>
          <t>Impremeabilização</t>
        </is>
      </c>
      <c r="G300" s="2162" t="inlineStr">
        <is>
          <t>Impremeabilização</t>
        </is>
      </c>
      <c r="H300" s="2162" t="n"/>
      <c r="I300" s="4" t="inlineStr">
        <is>
          <t>Impermeabilização</t>
        </is>
      </c>
    </row>
    <row r="301" ht="14.25" customHeight="1">
      <c r="A301" s="10">
        <f>COUNTIFS($B$2:$B$996,B301)</f>
        <v/>
      </c>
      <c r="B301" s="82" t="inlineStr">
        <is>
          <t>Manta acústica “SoundSoft Ondulada” da Aubicon esp. 17/8mm”</t>
        </is>
      </c>
      <c r="C301" s="83" t="inlineStr">
        <is>
          <t>M2</t>
        </is>
      </c>
      <c r="D301" s="2165">
        <f>E301*$D$1</f>
        <v/>
      </c>
      <c r="E301" s="2165" t="n">
        <v>130</v>
      </c>
      <c r="F301" s="2165" t="inlineStr">
        <is>
          <t>Impremeabilização</t>
        </is>
      </c>
      <c r="G301" s="2165" t="inlineStr">
        <is>
          <t>Impremeabilização</t>
        </is>
      </c>
      <c r="H301" s="2165" t="n"/>
      <c r="I301" s="85" t="inlineStr">
        <is>
          <t>Impermeabilização</t>
        </is>
      </c>
    </row>
    <row r="302" ht="14.25" customHeight="1">
      <c r="A302" s="10">
        <f>COUNTIFS($B$2:$B$996,B302)</f>
        <v/>
      </c>
      <c r="B302" s="82" t="inlineStr">
        <is>
          <t>Manta acústica “SoundSoft laje zero” da Aubicon com polimero acrilico aderido da Baucryl</t>
        </is>
      </c>
      <c r="C302" s="83" t="inlineStr">
        <is>
          <t>M2</t>
        </is>
      </c>
      <c r="D302" s="2165">
        <f>E302*$D$1</f>
        <v/>
      </c>
      <c r="E302" s="2165" t="n">
        <v>220</v>
      </c>
      <c r="F302" s="2165" t="inlineStr">
        <is>
          <t>Impremeabilização</t>
        </is>
      </c>
      <c r="G302" s="2165" t="inlineStr">
        <is>
          <t>Impremeabilização</t>
        </is>
      </c>
      <c r="H302" s="2165" t="n"/>
      <c r="I302" s="85" t="inlineStr">
        <is>
          <t>Impermeabilização</t>
        </is>
      </c>
    </row>
    <row r="303" ht="14.25" customHeight="1">
      <c r="A303" s="10">
        <f>COUNTIFS($B$2:$B$996,B303)</f>
        <v/>
      </c>
      <c r="B303" s="82" t="inlineStr">
        <is>
          <t>Tratamento acustico da sylomer da getzner esp. 50mm</t>
        </is>
      </c>
      <c r="C303" s="83" t="inlineStr">
        <is>
          <t>M2</t>
        </is>
      </c>
      <c r="D303" s="2165">
        <f>E303*$D$1</f>
        <v/>
      </c>
      <c r="E303" s="2165" t="n">
        <v>1200</v>
      </c>
      <c r="F303" s="2165" t="inlineStr">
        <is>
          <t>Impremeabilização</t>
        </is>
      </c>
      <c r="G303" s="2165" t="inlineStr">
        <is>
          <t>Impremeabilização</t>
        </is>
      </c>
      <c r="H303" s="2165" t="n"/>
      <c r="I303" s="85" t="inlineStr">
        <is>
          <t>Impermeabilização</t>
        </is>
      </c>
    </row>
    <row r="304" ht="15.75" customHeight="1">
      <c r="A304" s="10">
        <f>COUNTIFS($B$2:$B$996,B304)</f>
        <v/>
      </c>
      <c r="B304" s="10" t="inlineStr">
        <is>
          <t>Manta Líquida - Igolflex Pu (consumo = 400g/m2)</t>
        </is>
      </c>
      <c r="C304" s="11" t="inlineStr">
        <is>
          <t>KG</t>
        </is>
      </c>
      <c r="D304" s="2162">
        <f>E304*$D$1</f>
        <v/>
      </c>
      <c r="E304" s="2162" t="n">
        <v>29.27777777777778</v>
      </c>
      <c r="F304" s="2162" t="inlineStr">
        <is>
          <t>Impremeabilização</t>
        </is>
      </c>
      <c r="G304" s="2162" t="inlineStr">
        <is>
          <t>Impremeabilização</t>
        </is>
      </c>
      <c r="H304" s="2162" t="n"/>
      <c r="I304" s="4" t="inlineStr">
        <is>
          <t>Impermeabilização</t>
        </is>
      </c>
    </row>
    <row r="305" ht="15.75" customHeight="1">
      <c r="A305" s="10">
        <f>COUNTIFS($B$2:$B$996,B305)</f>
        <v/>
      </c>
      <c r="B305" s="10" t="inlineStr">
        <is>
          <t>Impermeabilizante manta liquida branca</t>
        </is>
      </c>
      <c r="C305" s="11" t="inlineStr">
        <is>
          <t>KG</t>
        </is>
      </c>
      <c r="D305" s="2162">
        <f>E305*$D$1</f>
        <v/>
      </c>
      <c r="E305" s="2162" t="n">
        <v>25.75</v>
      </c>
      <c r="F305" s="2162" t="inlineStr">
        <is>
          <t>Impremeabilização</t>
        </is>
      </c>
      <c r="G305" s="2162" t="inlineStr">
        <is>
          <t>Impremeabilização</t>
        </is>
      </c>
      <c r="H305" s="2162" t="n"/>
      <c r="I305" s="4" t="inlineStr">
        <is>
          <t>Impermeabilização</t>
        </is>
      </c>
    </row>
    <row r="306" ht="15.75" customHeight="1">
      <c r="A306" s="10">
        <f>COUNTIFS($B$2:$B$996,B306)</f>
        <v/>
      </c>
      <c r="B306" s="10" t="inlineStr">
        <is>
          <t>Manta Asfáltica Drykomanta Polialum 4mm Tipo ll 10m Dryko</t>
        </is>
      </c>
      <c r="C306" s="11" t="inlineStr">
        <is>
          <t>M2</t>
        </is>
      </c>
      <c r="D306" s="2162">
        <f>E306*$D$1</f>
        <v/>
      </c>
      <c r="E306" s="2162" t="n">
        <v>37.99</v>
      </c>
      <c r="F306" s="2162" t="inlineStr">
        <is>
          <t>Impremeabilização</t>
        </is>
      </c>
      <c r="G306" s="2162" t="inlineStr">
        <is>
          <t>Impremeabilização</t>
        </is>
      </c>
      <c r="H306" s="2162" t="n"/>
      <c r="I306" s="4" t="inlineStr">
        <is>
          <t>Impermeabilização</t>
        </is>
      </c>
    </row>
    <row r="307" ht="15.75" customHeight="1">
      <c r="A307" s="10">
        <f>COUNTIFS($B$2:$B$996,B307)</f>
        <v/>
      </c>
      <c r="B307" s="10" t="inlineStr">
        <is>
          <t>Membrana Impermeável Respirável - 1,30x50m</t>
        </is>
      </c>
      <c r="C307" s="11" t="inlineStr">
        <is>
          <t>M2</t>
        </is>
      </c>
      <c r="D307" s="2162">
        <f>E307*$D$1</f>
        <v/>
      </c>
      <c r="E307" s="2162" t="n">
        <v>11.09076923076923</v>
      </c>
      <c r="F307" s="2162" t="inlineStr">
        <is>
          <t>Impremeabilização</t>
        </is>
      </c>
      <c r="G307" s="2162" t="inlineStr">
        <is>
          <t>Impremeabilização</t>
        </is>
      </c>
      <c r="H307" s="2162" t="n"/>
      <c r="I307" s="4" t="inlineStr">
        <is>
          <t>Impermeabilização</t>
        </is>
      </c>
    </row>
    <row r="308" ht="15.75" customHeight="1">
      <c r="A308" s="10">
        <f>COUNTIFS($B$2:$B$996,B308)</f>
        <v/>
      </c>
      <c r="B308" s="10" t="inlineStr">
        <is>
          <t>MANTA ASFALTICA ELASTOMERICA EM POLIESTER 3 MM, TIPO III, CLASSE B, ACABAMENTO PP (NBR 9952)</t>
        </is>
      </c>
      <c r="C308" s="11" t="inlineStr">
        <is>
          <t>M2</t>
        </is>
      </c>
      <c r="D308" s="2162">
        <f>E308*$D$1</f>
        <v/>
      </c>
      <c r="E308" s="2162" t="n">
        <v>57.02</v>
      </c>
      <c r="F308" s="2162" t="inlineStr">
        <is>
          <t>Impremeabilização</t>
        </is>
      </c>
      <c r="G308" s="2162" t="inlineStr">
        <is>
          <t>Impremeabilização</t>
        </is>
      </c>
      <c r="H308" s="2162" t="n"/>
      <c r="I308" s="4" t="inlineStr">
        <is>
          <t>Impermeabilização</t>
        </is>
      </c>
    </row>
    <row r="309" ht="15.75" customHeight="1">
      <c r="A309" s="10">
        <f>COUNTIFS($B$2:$B$996,B309)</f>
        <v/>
      </c>
      <c r="B309" s="10" t="inlineStr">
        <is>
          <t>MANTA ASFALTICA ELASTOMERICA EM POLIESTER 4 MM, TIPO III, CLASSE B, ACABAMENTO PP (NBR 9952)</t>
        </is>
      </c>
      <c r="C309" s="11" t="inlineStr">
        <is>
          <t>M2</t>
        </is>
      </c>
      <c r="D309" s="2162">
        <f>E309*$D$1</f>
        <v/>
      </c>
      <c r="E309" s="2162" t="n">
        <v>70.02</v>
      </c>
      <c r="F309" s="2162" t="inlineStr">
        <is>
          <t>Impremeabilização</t>
        </is>
      </c>
      <c r="G309" s="2162" t="inlineStr">
        <is>
          <t>Impremeabilização</t>
        </is>
      </c>
      <c r="H309" s="2162" t="n"/>
      <c r="I309" s="4" t="inlineStr">
        <is>
          <t>Impermeabilização</t>
        </is>
      </c>
    </row>
    <row r="310" ht="15.75" customHeight="1">
      <c r="A310" s="10">
        <f>COUNTIFS($B$2:$B$996,B310)</f>
        <v/>
      </c>
      <c r="B310" s="10" t="inlineStr">
        <is>
          <t>Manta De Polipropileno, E = 10 Mm</t>
        </is>
      </c>
      <c r="C310" s="11" t="inlineStr">
        <is>
          <t>M2</t>
        </is>
      </c>
      <c r="D310" s="2162">
        <f>E310*$D$1</f>
        <v/>
      </c>
      <c r="E310" s="2162">
        <f>1100/(1.2*30)</f>
        <v/>
      </c>
      <c r="F310" s="2162" t="inlineStr">
        <is>
          <t>Impremeabilização</t>
        </is>
      </c>
      <c r="G310" s="2162" t="inlineStr">
        <is>
          <t>Impremeabilização</t>
        </is>
      </c>
      <c r="H310" s="2162" t="n"/>
      <c r="I310" s="4" t="inlineStr">
        <is>
          <t>Impermeabilização</t>
        </is>
      </c>
    </row>
    <row r="311" ht="15.75" customHeight="1">
      <c r="A311" s="10">
        <f>COUNTIFS($B$2:$B$996,B311)</f>
        <v/>
      </c>
      <c r="B311" s="10" t="inlineStr">
        <is>
          <t>Manta De Polietileno Expandido (Pebd), E = 2 Mm</t>
        </is>
      </c>
      <c r="C311" s="11" t="inlineStr">
        <is>
          <t>L</t>
        </is>
      </c>
      <c r="D311" s="2162">
        <f>E311*$D$1</f>
        <v/>
      </c>
      <c r="E311" s="2162" t="n">
        <v>7.16</v>
      </c>
      <c r="F311" s="2162" t="inlineStr">
        <is>
          <t>Impremeabilização</t>
        </is>
      </c>
      <c r="G311" s="2162" t="inlineStr">
        <is>
          <t>Impremeabilização</t>
        </is>
      </c>
      <c r="H311" s="2162" t="n"/>
      <c r="I311" s="4" t="inlineStr">
        <is>
          <t>Impermeabilização</t>
        </is>
      </c>
    </row>
    <row r="312" ht="15.75" customHeight="1">
      <c r="A312" s="10">
        <f>COUNTIFS($B$2:$B$996,B312)</f>
        <v/>
      </c>
      <c r="B312" s="10" t="inlineStr">
        <is>
          <t>Manta Isolamento Acústico Laje Piso Passo 8mm</t>
        </is>
      </c>
      <c r="C312" s="11" t="inlineStr">
        <is>
          <t>L</t>
        </is>
      </c>
      <c r="D312" s="2162">
        <f>E312*$D$1</f>
        <v/>
      </c>
      <c r="E312" s="2162" t="n">
        <v>26.56333333333333</v>
      </c>
      <c r="F312" s="2162" t="inlineStr">
        <is>
          <t>Impremeabilização</t>
        </is>
      </c>
      <c r="G312" s="2162" t="inlineStr">
        <is>
          <t>Impremeabilização</t>
        </is>
      </c>
      <c r="H312" s="2162" t="n"/>
      <c r="I312" s="4" t="inlineStr">
        <is>
          <t>Impermeabilização</t>
        </is>
      </c>
    </row>
    <row r="313" ht="15.75" customHeight="1">
      <c r="A313" s="10">
        <f>COUNTIFS($B$2:$B$996,B313)</f>
        <v/>
      </c>
      <c r="B313" s="10" t="inlineStr">
        <is>
          <t>PRIMER PARA MANTA ASFALTICA A BASE DE ASFALTO MODIFICADO DILUIDO EM SOLVENTE, APLICACAO A FRIO</t>
        </is>
      </c>
      <c r="C313" s="11" t="inlineStr">
        <is>
          <t>L</t>
        </is>
      </c>
      <c r="D313" s="2162">
        <f>E313*$D$1</f>
        <v/>
      </c>
      <c r="E313" s="2162" t="n">
        <v>23.52</v>
      </c>
      <c r="F313" s="2162" t="inlineStr">
        <is>
          <t>Impremeabilização</t>
        </is>
      </c>
      <c r="G313" s="2162" t="inlineStr">
        <is>
          <t>Impremeabilização</t>
        </is>
      </c>
      <c r="H313" s="2162" t="n"/>
      <c r="I313" s="4" t="inlineStr">
        <is>
          <t>Impermeabilização</t>
        </is>
      </c>
    </row>
    <row r="314" ht="15.75" customHeight="1">
      <c r="A314" s="10">
        <f>COUNTIFS($B$2:$B$996,B314)</f>
        <v/>
      </c>
      <c r="B314" s="10" t="inlineStr">
        <is>
          <t>Veu de poliester para impermeabilizacao</t>
        </is>
      </c>
      <c r="C314" s="11" t="inlineStr">
        <is>
          <t>M2</t>
        </is>
      </c>
      <c r="D314" s="2162">
        <f>E314*$D$1</f>
        <v/>
      </c>
      <c r="E314" s="2162" t="n">
        <v>1.1</v>
      </c>
      <c r="F314" s="2162" t="inlineStr">
        <is>
          <t>Impremeabilização</t>
        </is>
      </c>
      <c r="G314" s="2162" t="inlineStr">
        <is>
          <t>Impremeabilização</t>
        </is>
      </c>
      <c r="H314" s="2162" t="n"/>
      <c r="I314" s="4" t="inlineStr">
        <is>
          <t>Impermeabilização</t>
        </is>
      </c>
    </row>
    <row r="315" ht="15.75" customHeight="1">
      <c r="A315" s="10">
        <f>COUNTIFS($B$2:$B$996,B315)</f>
        <v/>
      </c>
      <c r="B315" s="10" t="inlineStr">
        <is>
          <t>Anel de Borracha p/ Tubo 100 mm</t>
        </is>
      </c>
      <c r="C315" s="11" t="inlineStr">
        <is>
          <t>UN</t>
        </is>
      </c>
      <c r="D315" s="2162">
        <f>E315*$D$1</f>
        <v/>
      </c>
      <c r="E315" s="2162" t="n">
        <v>5</v>
      </c>
      <c r="F315" s="2162" t="inlineStr">
        <is>
          <t xml:space="preserve">Instalações Hidrossanitárias </t>
        </is>
      </c>
      <c r="G315" s="2162" t="inlineStr">
        <is>
          <t xml:space="preserve">Instalações Hidrossanitárias </t>
        </is>
      </c>
      <c r="H315" s="2162" t="n"/>
      <c r="I315" s="4" t="inlineStr">
        <is>
          <t>Tubos e Conexões Hidro-Sanitárias</t>
        </is>
      </c>
    </row>
    <row r="316" ht="15.75" customHeight="1">
      <c r="A316" s="10">
        <f>COUNTIFS($B$2:$B$996,B316)</f>
        <v/>
      </c>
      <c r="B316" s="10" t="inlineStr">
        <is>
          <t>Fita Veda Rosca</t>
        </is>
      </c>
      <c r="C316" s="11" t="inlineStr">
        <is>
          <t>M</t>
        </is>
      </c>
      <c r="D316" s="2162">
        <f>E316*$D$1</f>
        <v/>
      </c>
      <c r="E316" s="2162" t="n">
        <v>0.24</v>
      </c>
      <c r="F316" s="2162" t="inlineStr">
        <is>
          <t xml:space="preserve">Instalações Hidrossanitárias </t>
        </is>
      </c>
      <c r="G316" s="2162" t="inlineStr">
        <is>
          <t xml:space="preserve">Instalações Hidrossanitárias </t>
        </is>
      </c>
      <c r="H316" s="2162" t="n"/>
      <c r="I316" s="4" t="inlineStr">
        <is>
          <t>Tubos e Conexões Hidro-Sanitárias</t>
        </is>
      </c>
    </row>
    <row r="317" ht="15.75" customHeight="1">
      <c r="A317" s="10">
        <f>COUNTIFS($B$2:$B$996,B317)</f>
        <v/>
      </c>
      <c r="B317" s="10" t="inlineStr">
        <is>
          <t>EXTINTOR INCENDIO PO QUIMICO 06KG CLASSE ABC (COMPLETO) NBR 15808</t>
        </is>
      </c>
      <c r="C317" s="11" t="inlineStr">
        <is>
          <t>UN</t>
        </is>
      </c>
      <c r="D317" s="2162">
        <f>E317*$D$1</f>
        <v/>
      </c>
      <c r="E317" s="2162" t="n">
        <v>185.37</v>
      </c>
      <c r="F317" s="2162" t="inlineStr">
        <is>
          <t>Instalações PCI</t>
        </is>
      </c>
      <c r="G317" s="2162" t="inlineStr">
        <is>
          <t>Instalações PCI</t>
        </is>
      </c>
      <c r="H317" s="2162" t="n"/>
      <c r="I317" s="4" t="inlineStr">
        <is>
          <t>Tubos e Conexões Hidro-Sanitárias</t>
        </is>
      </c>
    </row>
    <row r="318" ht="15.75" customHeight="1">
      <c r="A318" s="10">
        <f>COUNTIFS($B$2:$B$996,B318)</f>
        <v/>
      </c>
      <c r="B318" s="10" t="inlineStr">
        <is>
          <t>Chuveiro Teto DocolHeaven Q150 Cromado Docol</t>
        </is>
      </c>
      <c r="C318" s="11" t="inlineStr">
        <is>
          <t>UN</t>
        </is>
      </c>
      <c r="D318" s="2162">
        <f>E318*$D$1</f>
        <v/>
      </c>
      <c r="E318" s="2162" t="n">
        <v>970</v>
      </c>
      <c r="F318" s="2162" t="inlineStr">
        <is>
          <t>Louças e metais</t>
        </is>
      </c>
      <c r="G318" s="2162" t="inlineStr">
        <is>
          <t>Acessórios</t>
        </is>
      </c>
      <c r="H318" s="2162" t="n"/>
      <c r="I318" s="4" t="inlineStr">
        <is>
          <t>Louças e Acessórios</t>
        </is>
      </c>
    </row>
    <row r="319" ht="15.75" customHeight="1">
      <c r="A319" s="10">
        <f>COUNTIFS($B$2:$B$996,B319)</f>
        <v/>
      </c>
      <c r="B319" s="10" t="inlineStr">
        <is>
          <t>Dispenser detergente cromado</t>
        </is>
      </c>
      <c r="C319" s="11" t="inlineStr">
        <is>
          <t>UN</t>
        </is>
      </c>
      <c r="D319" s="2162">
        <f>E319*$D$1</f>
        <v/>
      </c>
      <c r="E319" s="2162" t="n">
        <v>225.38</v>
      </c>
      <c r="F319" s="2162" t="inlineStr">
        <is>
          <t>Louças e metais</t>
        </is>
      </c>
      <c r="G319" s="2162" t="inlineStr">
        <is>
          <t>Acessórios</t>
        </is>
      </c>
      <c r="H319" s="2162" t="n"/>
      <c r="I319" s="4" t="inlineStr">
        <is>
          <t>Louças e Acessórios</t>
        </is>
      </c>
    </row>
    <row r="320" ht="15.75" customHeight="1">
      <c r="A320" s="10">
        <f>COUNTIFS($B$2:$B$996,B320)</f>
        <v/>
      </c>
      <c r="B320" s="10" t="inlineStr">
        <is>
          <t>Ducha / Detalhe: Aqua Ultra - Lorenzetti</t>
        </is>
      </c>
      <c r="C320" s="11" t="inlineStr">
        <is>
          <t>UN</t>
        </is>
      </c>
      <c r="D320" s="2162">
        <f>E320*$D$1</f>
        <v/>
      </c>
      <c r="E320" s="2162" t="n">
        <v>660</v>
      </c>
      <c r="F320" s="2162" t="inlineStr">
        <is>
          <t>Louças e metais</t>
        </is>
      </c>
      <c r="G320" s="2162" t="inlineStr">
        <is>
          <t>Metais</t>
        </is>
      </c>
      <c r="H320" s="2162" t="n"/>
      <c r="I320" s="4" t="inlineStr">
        <is>
          <t>Metais</t>
        </is>
      </c>
    </row>
    <row r="321" ht="15.75" customHeight="1">
      <c r="A321" s="10">
        <f>COUNTIFS($B$2:$B$996,B321)</f>
        <v/>
      </c>
      <c r="B321" s="10" t="inlineStr">
        <is>
          <t>Ducha \ Detalhe: Parede Cromado Vercci</t>
        </is>
      </c>
      <c r="C321" s="11" t="inlineStr">
        <is>
          <t>UN</t>
        </is>
      </c>
      <c r="D321" s="2162">
        <f>E321*$D$1</f>
        <v/>
      </c>
      <c r="E321" s="2162" t="n">
        <v>1196.32</v>
      </c>
      <c r="F321" s="2162" t="inlineStr">
        <is>
          <t>Louças e metais</t>
        </is>
      </c>
      <c r="G321" s="2162" t="inlineStr">
        <is>
          <t>Metais</t>
        </is>
      </c>
      <c r="H321" s="2162" t="n"/>
      <c r="I321" s="4" t="inlineStr">
        <is>
          <t>Metais</t>
        </is>
      </c>
    </row>
    <row r="322" ht="15.75" customHeight="1">
      <c r="A322" s="10">
        <f>COUNTIFS($B$2:$B$996,B322)</f>
        <v/>
      </c>
      <c r="B322" s="10" t="inlineStr">
        <is>
          <t>Monocomando Banheira e Ducha</t>
        </is>
      </c>
      <c r="C322" s="11" t="inlineStr">
        <is>
          <t>UN</t>
        </is>
      </c>
      <c r="D322" s="2162">
        <f>E322*$D$1</f>
        <v/>
      </c>
      <c r="E322" s="2162" t="n">
        <v>1876.89</v>
      </c>
      <c r="F322" s="2162" t="inlineStr">
        <is>
          <t>Louças e metais</t>
        </is>
      </c>
      <c r="G322" s="2162" t="inlineStr">
        <is>
          <t>Metais</t>
        </is>
      </c>
      <c r="H322" s="2162" t="n"/>
      <c r="I322" s="4" t="inlineStr">
        <is>
          <t>Metais</t>
        </is>
      </c>
    </row>
    <row r="323" ht="15.75" customHeight="1">
      <c r="A323" s="10">
        <f>COUNTIFS($B$2:$B$996,B323)</f>
        <v/>
      </c>
      <c r="B323" s="10" t="inlineStr">
        <is>
          <t>Ducha higiênica\ Detalhe: Cromado Vercci</t>
        </is>
      </c>
      <c r="C323" s="11" t="inlineStr">
        <is>
          <t>UN</t>
        </is>
      </c>
      <c r="D323" s="2162">
        <f>E323*$D$1</f>
        <v/>
      </c>
      <c r="E323" s="2162" t="n">
        <v>688.6799999999999</v>
      </c>
      <c r="F323" s="2162" t="inlineStr">
        <is>
          <t>Louças e metais</t>
        </is>
      </c>
      <c r="G323" s="2162" t="inlineStr">
        <is>
          <t>Metais</t>
        </is>
      </c>
      <c r="H323" s="2162" t="n"/>
      <c r="I323" s="4" t="inlineStr">
        <is>
          <t>Metais</t>
        </is>
      </c>
    </row>
    <row r="324" ht="15.75" customHeight="1">
      <c r="A324" s="10">
        <f>COUNTIFS($B$2:$B$996,B324)</f>
        <v/>
      </c>
      <c r="B324" s="10" t="inlineStr">
        <is>
          <t>Engate Flexível Trançado 1/2"</t>
        </is>
      </c>
      <c r="C324" s="11" t="inlineStr">
        <is>
          <t>UN</t>
        </is>
      </c>
      <c r="D324" s="2162">
        <f>E324*$D$1</f>
        <v/>
      </c>
      <c r="E324" s="2162" t="n">
        <v>26.9</v>
      </c>
      <c r="F324" s="2162" t="inlineStr">
        <is>
          <t>Louças e metais</t>
        </is>
      </c>
      <c r="G324" s="2162" t="inlineStr">
        <is>
          <t>Acessórios</t>
        </is>
      </c>
      <c r="H324" s="2162" t="n"/>
      <c r="I324" s="4" t="inlineStr">
        <is>
          <t>Louças e Acessórios</t>
        </is>
      </c>
    </row>
    <row r="325" ht="15.75" customHeight="1">
      <c r="A325" s="10">
        <f>COUNTIFS($B$2:$B$996,B325)</f>
        <v/>
      </c>
      <c r="B325" s="10" t="inlineStr">
        <is>
          <t>Valvula de Escoamento cromada</t>
        </is>
      </c>
      <c r="C325" s="11" t="inlineStr">
        <is>
          <t>UN</t>
        </is>
      </c>
      <c r="D325" s="2162">
        <f>E325*$D$1</f>
        <v/>
      </c>
      <c r="E325" s="2162" t="n">
        <v>196.76</v>
      </c>
      <c r="F325" s="2162" t="inlineStr">
        <is>
          <t>Louças e metais</t>
        </is>
      </c>
      <c r="G325" s="2162" t="inlineStr">
        <is>
          <t>Acessórios</t>
        </is>
      </c>
      <c r="H325" s="2162" t="n"/>
      <c r="I325" s="4" t="inlineStr">
        <is>
          <t>Louças e Acessórios</t>
        </is>
      </c>
    </row>
    <row r="326" ht="15.75" customHeight="1">
      <c r="A326" s="10">
        <f>COUNTIFS($B$2:$B$996,B326)</f>
        <v/>
      </c>
      <c r="B326" s="10" t="inlineStr">
        <is>
          <t>Valvula Metálica 1"</t>
        </is>
      </c>
      <c r="C326" s="11" t="inlineStr">
        <is>
          <t>UN</t>
        </is>
      </c>
      <c r="D326" s="2162">
        <f>E326*$D$1</f>
        <v/>
      </c>
      <c r="E326" s="2162" t="n">
        <v>65</v>
      </c>
      <c r="F326" s="2162" t="inlineStr">
        <is>
          <t>Louças e metais</t>
        </is>
      </c>
      <c r="G326" s="2162" t="inlineStr">
        <is>
          <t>Acessórios</t>
        </is>
      </c>
      <c r="H326" s="2162" t="n"/>
      <c r="I326" s="4" t="inlineStr">
        <is>
          <t>Louças e Acessórios</t>
        </is>
      </c>
    </row>
    <row r="327" ht="15.75" customHeight="1">
      <c r="A327" s="10">
        <f>COUNTIFS($B$2:$B$996,B327)</f>
        <v/>
      </c>
      <c r="B327" s="10" t="inlineStr">
        <is>
          <t>Válvula Pia Tanque Lavanderia Escoamento 1.1/4'' Metal Cromado</t>
        </is>
      </c>
      <c r="C327" s="11" t="inlineStr">
        <is>
          <t>UN</t>
        </is>
      </c>
      <c r="D327" s="2162">
        <f>E327*$D$1</f>
        <v/>
      </c>
      <c r="E327" s="2162" t="n">
        <v>35.9</v>
      </c>
      <c r="F327" s="2162" t="inlineStr">
        <is>
          <t>Louças e metais</t>
        </is>
      </c>
      <c r="G327" s="2162" t="inlineStr">
        <is>
          <t>Acessórios</t>
        </is>
      </c>
      <c r="H327" s="2162" t="n"/>
      <c r="I327" s="4" t="inlineStr">
        <is>
          <t>Louças e Acessórios</t>
        </is>
      </c>
    </row>
    <row r="328" ht="15.75" customHeight="1">
      <c r="A328" s="10">
        <f>COUNTIFS($B$2:$B$996,B328)</f>
        <v/>
      </c>
      <c r="B328" s="10" t="inlineStr">
        <is>
          <t>Exaustor Td Silent 350 Ultra Silencioso</t>
        </is>
      </c>
      <c r="C328" s="11" t="inlineStr">
        <is>
          <t>UN</t>
        </is>
      </c>
      <c r="D328" s="2162">
        <f>E328*$D$1</f>
        <v/>
      </c>
      <c r="E328" s="2162" t="n">
        <v>900</v>
      </c>
      <c r="F328" s="2162" t="inlineStr">
        <is>
          <t>Louças e metais</t>
        </is>
      </c>
      <c r="G328" s="2162" t="inlineStr">
        <is>
          <t>Equipamento</t>
        </is>
      </c>
      <c r="H328" s="2162" t="n"/>
      <c r="I328" s="4" t="inlineStr">
        <is>
          <t>Louças e Acessórios</t>
        </is>
      </c>
    </row>
    <row r="329" ht="15.75" customHeight="1">
      <c r="A329" s="10">
        <f>COUNTIFS($B$2:$B$996,B329)</f>
        <v/>
      </c>
      <c r="B329" s="10" t="inlineStr">
        <is>
          <t xml:space="preserve">Bacia com caixa acoplada </t>
        </is>
      </c>
      <c r="C329" s="11" t="inlineStr">
        <is>
          <t>UN</t>
        </is>
      </c>
      <c r="D329" s="2162">
        <f>E329*$D$1</f>
        <v/>
      </c>
      <c r="E329" s="2162" t="n">
        <v>736.5012</v>
      </c>
      <c r="F329" s="2162" t="inlineStr">
        <is>
          <t>Louças e metais</t>
        </is>
      </c>
      <c r="G329" s="2162" t="inlineStr">
        <is>
          <t>Louças</t>
        </is>
      </c>
      <c r="H329" s="2162" t="n"/>
      <c r="I329" s="4" t="inlineStr">
        <is>
          <t>Louças e Acessórios</t>
        </is>
      </c>
    </row>
    <row r="330" ht="15.75" customHeight="1">
      <c r="A330" s="10">
        <f>COUNTIFS($B$2:$B$996,B330)</f>
        <v/>
      </c>
      <c r="B330" s="10" t="inlineStr">
        <is>
          <t>Bacia com caixa acoplada PNE</t>
        </is>
      </c>
      <c r="C330" s="11" t="inlineStr">
        <is>
          <t>UN</t>
        </is>
      </c>
      <c r="D330" s="2162">
        <f>E330*$D$1</f>
        <v/>
      </c>
      <c r="E330" s="2162">
        <f>298.72+1295.7+962.2</f>
        <v/>
      </c>
      <c r="F330" s="2162" t="inlineStr">
        <is>
          <t>Louças e metais</t>
        </is>
      </c>
      <c r="G330" s="2162" t="inlineStr">
        <is>
          <t>Louças</t>
        </is>
      </c>
      <c r="H330" s="2162" t="n"/>
      <c r="I330" s="4" t="inlineStr">
        <is>
          <t>Louças e Acessórios</t>
        </is>
      </c>
    </row>
    <row r="331" ht="15.75" customHeight="1">
      <c r="A331" s="10">
        <f>COUNTIFS($B$2:$B$996,B331)</f>
        <v/>
      </c>
      <c r="B331" s="10" t="inlineStr">
        <is>
          <t>Bacia com caixa acoplada / Detalhe: Linha Living, branco, saída lado direito, Deca</t>
        </is>
      </c>
      <c r="C331" s="11" t="inlineStr">
        <is>
          <t>UN</t>
        </is>
      </c>
      <c r="D331" s="2162">
        <f>E331*$D$1</f>
        <v/>
      </c>
      <c r="E331" s="2162" t="n">
        <v>523.17</v>
      </c>
      <c r="F331" s="2162" t="inlineStr">
        <is>
          <t>Louças e metais</t>
        </is>
      </c>
      <c r="G331" s="2162" t="inlineStr">
        <is>
          <t>Louças</t>
        </is>
      </c>
      <c r="H331" s="2162" t="n"/>
      <c r="I331" s="4" t="inlineStr">
        <is>
          <t>Louças e Acessórios</t>
        </is>
      </c>
    </row>
    <row r="332" ht="15.75" customHeight="1">
      <c r="A332" s="10">
        <f>COUNTIFS($B$2:$B$996,B332)</f>
        <v/>
      </c>
      <c r="B332" s="10" t="inlineStr">
        <is>
          <t>Bacia Com Caixa Acoplada Lift Branco - Docol</t>
        </is>
      </c>
      <c r="C332" s="11" t="inlineStr">
        <is>
          <t>UN</t>
        </is>
      </c>
      <c r="D332" s="2162">
        <f>E332*$D$1</f>
        <v/>
      </c>
      <c r="E332" s="2162" t="n">
        <v>1999</v>
      </c>
      <c r="F332" s="2162" t="inlineStr">
        <is>
          <t>Louças e metais</t>
        </is>
      </c>
      <c r="G332" s="2162" t="inlineStr">
        <is>
          <t>Louças</t>
        </is>
      </c>
      <c r="H332" s="2162" t="n"/>
      <c r="I332" s="4" t="inlineStr">
        <is>
          <t>Louças e Acessórios</t>
        </is>
      </c>
    </row>
    <row r="333" ht="15.75" customHeight="1">
      <c r="A333" s="10">
        <f>COUNTIFS($B$2:$B$996,B333)</f>
        <v/>
      </c>
      <c r="B333" s="10" t="inlineStr">
        <is>
          <t>Cuba / Detalhe: Cuba retangular aço escovado</t>
        </is>
      </c>
      <c r="C333" s="11" t="inlineStr">
        <is>
          <t>UN</t>
        </is>
      </c>
      <c r="D333" s="2162">
        <f>E333*$D$1</f>
        <v/>
      </c>
      <c r="E333" s="2162" t="n">
        <v>2750.38</v>
      </c>
      <c r="F333" s="2162" t="inlineStr">
        <is>
          <t>Louças e metais</t>
        </is>
      </c>
      <c r="G333" s="2162" t="inlineStr">
        <is>
          <t>Louças</t>
        </is>
      </c>
      <c r="H333" s="2162" t="n"/>
      <c r="I333" s="4" t="inlineStr">
        <is>
          <t>Louças e Acessórios</t>
        </is>
      </c>
    </row>
    <row r="334" ht="15.75" customHeight="1">
      <c r="A334" s="10">
        <f>COUNTIFS($B$2:$B$996,B334)</f>
        <v/>
      </c>
      <c r="B334" s="10" t="inlineStr">
        <is>
          <t>Cuba de Apoio Redonda 32cmx13cm Luxo Docol Branco</t>
        </is>
      </c>
      <c r="C334" s="11" t="inlineStr">
        <is>
          <t>UN</t>
        </is>
      </c>
      <c r="D334" s="2162">
        <f>E334*$D$1</f>
        <v/>
      </c>
      <c r="E334" s="2162" t="n">
        <v>272.9</v>
      </c>
      <c r="F334" s="2162" t="inlineStr">
        <is>
          <t>Louças e metais</t>
        </is>
      </c>
      <c r="G334" s="2162" t="inlineStr">
        <is>
          <t>Louças</t>
        </is>
      </c>
      <c r="H334" s="2162" t="n"/>
      <c r="I334" s="4" t="inlineStr">
        <is>
          <t>Louças e Acessórios</t>
        </is>
      </c>
    </row>
    <row r="335" ht="15.75" customHeight="1">
      <c r="A335" s="10">
        <f>COUNTIFS($B$2:$B$996,B335)</f>
        <v/>
      </c>
      <c r="B335" s="10" t="inlineStr">
        <is>
          <t>Cuba Docol Invicta 46x42 01696504 Inox Polido</t>
        </is>
      </c>
      <c r="C335" s="11" t="inlineStr">
        <is>
          <t>UN</t>
        </is>
      </c>
      <c r="D335" s="2162">
        <f>E335*$D$1</f>
        <v/>
      </c>
      <c r="E335" s="2162" t="n">
        <v>460</v>
      </c>
      <c r="F335" s="2162" t="inlineStr">
        <is>
          <t>Louças e metais</t>
        </is>
      </c>
      <c r="G335" s="2162" t="inlineStr">
        <is>
          <t>Louças</t>
        </is>
      </c>
      <c r="H335" s="2162" t="n"/>
      <c r="I335" s="4" t="inlineStr">
        <is>
          <t>Louças e Acessórios</t>
        </is>
      </c>
    </row>
    <row r="336" ht="15.75" customHeight="1">
      <c r="A336" s="10">
        <f>COUNTIFS($B$2:$B$996,B336)</f>
        <v/>
      </c>
      <c r="B336" s="10" t="inlineStr">
        <is>
          <t>Lavatório suspenso \ Detalhe: Cuba viggo 54cm branca</t>
        </is>
      </c>
      <c r="C336" s="11" t="inlineStr">
        <is>
          <t>UN</t>
        </is>
      </c>
      <c r="D336" s="2162">
        <f>E336*$D$1</f>
        <v/>
      </c>
      <c r="E336" s="2162" t="n">
        <v>1574.1</v>
      </c>
      <c r="F336" s="2162" t="inlineStr">
        <is>
          <t>Louças e metais</t>
        </is>
      </c>
      <c r="G336" s="2162" t="inlineStr">
        <is>
          <t>Louças</t>
        </is>
      </c>
      <c r="H336" s="2162" t="n"/>
      <c r="I336" s="4" t="inlineStr">
        <is>
          <t>Louças e Acessórios</t>
        </is>
      </c>
    </row>
    <row r="337" ht="15.75" customHeight="1">
      <c r="A337" s="10">
        <f>COUNTIFS($B$2:$B$996,B337)</f>
        <v/>
      </c>
      <c r="B337" s="10" t="inlineStr">
        <is>
          <t>Lavatório Suspenso Eco 40x30cm Branco Celite</t>
        </is>
      </c>
      <c r="C337" s="11" t="inlineStr">
        <is>
          <t>UN</t>
        </is>
      </c>
      <c r="D337" s="2162">
        <f>E337*$D$1</f>
        <v/>
      </c>
      <c r="E337" s="2162" t="n">
        <v>203.9</v>
      </c>
      <c r="F337" s="2162" t="inlineStr">
        <is>
          <t>Louças e metais</t>
        </is>
      </c>
      <c r="G337" s="2162" t="inlineStr">
        <is>
          <t>Louças</t>
        </is>
      </c>
      <c r="H337" s="2162" t="n"/>
      <c r="I337" s="4" t="inlineStr">
        <is>
          <t>Louças e Acessórios</t>
        </is>
      </c>
    </row>
    <row r="338" ht="15.75" customHeight="1">
      <c r="A338" s="10">
        <f>COUNTIFS($B$2:$B$996,B338)</f>
        <v/>
      </c>
      <c r="B338" s="10" t="inlineStr">
        <is>
          <t>Mictório com Válvula de Acionamento</t>
        </is>
      </c>
      <c r="C338" s="11" t="inlineStr">
        <is>
          <t>UN</t>
        </is>
      </c>
      <c r="D338" s="2162">
        <f>E338*$D$1</f>
        <v/>
      </c>
      <c r="E338" s="2162" t="n">
        <v>1010.4012</v>
      </c>
      <c r="F338" s="2162" t="inlineStr">
        <is>
          <t>Louças e metais</t>
        </is>
      </c>
      <c r="G338" s="2162" t="inlineStr">
        <is>
          <t>Louças</t>
        </is>
      </c>
      <c r="H338" s="2162" t="n"/>
      <c r="I338" s="4" t="inlineStr">
        <is>
          <t>Louças e Acessórios</t>
        </is>
      </c>
    </row>
    <row r="339" ht="15.75" customHeight="1">
      <c r="A339" s="10">
        <f>COUNTIFS($B$2:$B$996,B339)</f>
        <v/>
      </c>
      <c r="B339" s="10" t="inlineStr">
        <is>
          <t>Tanque De Louça Hervy Com 18 Litros Branco</t>
        </is>
      </c>
      <c r="C339" s="11" t="inlineStr">
        <is>
          <t>UN</t>
        </is>
      </c>
      <c r="D339" s="2162">
        <f>E339*$D$1</f>
        <v/>
      </c>
      <c r="E339" s="2162" t="n">
        <v>396.87</v>
      </c>
      <c r="F339" s="2162" t="inlineStr">
        <is>
          <t>Louças e metais</t>
        </is>
      </c>
      <c r="G339" s="2162" t="inlineStr">
        <is>
          <t>Louças</t>
        </is>
      </c>
      <c r="H339" s="2162" t="n"/>
      <c r="I339" s="4" t="inlineStr">
        <is>
          <t>Louças e Acessórios</t>
        </is>
      </c>
    </row>
    <row r="340" ht="14.25" customHeight="1">
      <c r="A340" s="10">
        <f>COUNTIFS($B$2:$B$996,B340)</f>
        <v/>
      </c>
      <c r="B340" s="82" t="inlineStr">
        <is>
          <t>Logasa Lavatório Suspenso de Canto</t>
        </is>
      </c>
      <c r="C340" s="83" t="inlineStr">
        <is>
          <t>UN</t>
        </is>
      </c>
      <c r="D340" s="2165">
        <f>E340*$D$1</f>
        <v/>
      </c>
      <c r="E340" s="2165" t="n">
        <v>215</v>
      </c>
      <c r="F340" s="2165" t="inlineStr">
        <is>
          <t>Louças e metais</t>
        </is>
      </c>
      <c r="G340" s="2165" t="inlineStr">
        <is>
          <t>Louças</t>
        </is>
      </c>
      <c r="H340" s="2165" t="n"/>
      <c r="I340" s="85" t="inlineStr">
        <is>
          <t>Louças e Acessórios</t>
        </is>
      </c>
    </row>
    <row r="341" ht="15.75" customHeight="1">
      <c r="A341" s="10">
        <f>COUNTIFS($B$2:$B$996,B341)</f>
        <v/>
      </c>
      <c r="B341" s="10" t="inlineStr">
        <is>
          <t>Tanque Monobloco Polido Docol 32L 55x45x23 cm</t>
        </is>
      </c>
      <c r="C341" s="11" t="inlineStr">
        <is>
          <t>UN</t>
        </is>
      </c>
      <c r="D341" s="2162">
        <f>E341*$D$1</f>
        <v/>
      </c>
      <c r="E341" s="2162" t="n">
        <v>760</v>
      </c>
      <c r="F341" s="2162" t="inlineStr">
        <is>
          <t>Louças e metais</t>
        </is>
      </c>
      <c r="G341" s="2162" t="inlineStr">
        <is>
          <t>Louças</t>
        </is>
      </c>
      <c r="H341" s="2162" t="n"/>
      <c r="I341" s="4" t="inlineStr">
        <is>
          <t>Louças e Acessórios</t>
        </is>
      </c>
    </row>
    <row r="342" ht="15.75" customHeight="1">
      <c r="A342" s="10">
        <f>COUNTIFS($B$2:$B$996,B342)</f>
        <v/>
      </c>
      <c r="B342" s="10" t="inlineStr">
        <is>
          <t>Acabamento de Registro pressão \ Detalhe: Cromado Vercci</t>
        </is>
      </c>
      <c r="C342" s="11" t="inlineStr">
        <is>
          <t>UN</t>
        </is>
      </c>
      <c r="D342" s="2162">
        <f>E342*$D$1</f>
        <v/>
      </c>
      <c r="E342" s="2162" t="n">
        <v>493.7</v>
      </c>
      <c r="F342" s="2162" t="inlineStr">
        <is>
          <t>Louças e metais</t>
        </is>
      </c>
      <c r="G342" s="2162" t="inlineStr">
        <is>
          <t>Metais</t>
        </is>
      </c>
      <c r="H342" s="2162" t="n"/>
      <c r="I342" s="4" t="inlineStr">
        <is>
          <t>Metais</t>
        </is>
      </c>
    </row>
    <row r="343" ht="15.75" customHeight="1">
      <c r="A343" s="10">
        <f>COUNTIFS($B$2:$B$996,B343)</f>
        <v/>
      </c>
      <c r="B343" s="10" t="inlineStr">
        <is>
          <t>Acabamento de Registro\ Detalhe: Cromado Vercci</t>
        </is>
      </c>
      <c r="C343" s="11" t="inlineStr">
        <is>
          <t>UN</t>
        </is>
      </c>
      <c r="D343" s="2162">
        <f>E343*$D$1</f>
        <v/>
      </c>
      <c r="E343" s="2162" t="n">
        <v>240.41</v>
      </c>
      <c r="F343" s="2162" t="inlineStr">
        <is>
          <t>Louças e metais</t>
        </is>
      </c>
      <c r="G343" s="2162" t="inlineStr">
        <is>
          <t>Metais</t>
        </is>
      </c>
      <c r="H343" s="2162" t="n"/>
      <c r="I343" s="4" t="inlineStr">
        <is>
          <t>Metais</t>
        </is>
      </c>
    </row>
    <row r="344" ht="15.75" customHeight="1">
      <c r="A344" s="10">
        <f>COUNTIFS($B$2:$B$996,B344)</f>
        <v/>
      </c>
      <c r="B344" s="10" t="inlineStr">
        <is>
          <t>Barra de Apoio - Deficiente</t>
        </is>
      </c>
      <c r="C344" s="11" t="inlineStr">
        <is>
          <t>UN</t>
        </is>
      </c>
      <c r="D344" s="2162">
        <f>E344*$D$1</f>
        <v/>
      </c>
      <c r="E344" s="2162" t="n">
        <v>84.8</v>
      </c>
      <c r="F344" s="2162" t="inlineStr">
        <is>
          <t>Louças e metais</t>
        </is>
      </c>
      <c r="G344" s="2162" t="inlineStr">
        <is>
          <t>Metais</t>
        </is>
      </c>
      <c r="H344" s="2162" t="n"/>
      <c r="I344" s="4" t="inlineStr">
        <is>
          <t>Metais</t>
        </is>
      </c>
    </row>
    <row r="345" ht="15.75" customHeight="1">
      <c r="A345" s="10">
        <f>COUNTIFS($B$2:$B$996,B345)</f>
        <v/>
      </c>
      <c r="B345" s="10" t="inlineStr">
        <is>
          <t>Estabilizador p/ Lavatórios</t>
        </is>
      </c>
      <c r="C345" s="11" t="inlineStr">
        <is>
          <t>UN</t>
        </is>
      </c>
      <c r="D345" s="2162">
        <f>E345*$D$1</f>
        <v/>
      </c>
      <c r="E345" s="2162" t="n">
        <v>32</v>
      </c>
      <c r="F345" s="2162" t="inlineStr">
        <is>
          <t>Louças e metais</t>
        </is>
      </c>
      <c r="G345" s="2162" t="inlineStr">
        <is>
          <t>Metais</t>
        </is>
      </c>
      <c r="H345" s="2162" t="n"/>
      <c r="I345" s="4" t="inlineStr">
        <is>
          <t>Metais</t>
        </is>
      </c>
    </row>
    <row r="346" ht="15.75" customHeight="1">
      <c r="A346" s="10">
        <f>COUNTIFS($B$2:$B$996,B346)</f>
        <v/>
      </c>
      <c r="B346" s="10" t="inlineStr">
        <is>
          <t>Gancho\ Detalhe: Cromado Vercci</t>
        </is>
      </c>
      <c r="C346" s="11" t="inlineStr">
        <is>
          <t>UN</t>
        </is>
      </c>
      <c r="D346" s="2162">
        <f>E346*$D$1</f>
        <v/>
      </c>
      <c r="E346" s="2162" t="n">
        <v>293</v>
      </c>
      <c r="F346" s="2162" t="inlineStr">
        <is>
          <t>Louças e metais</t>
        </is>
      </c>
      <c r="G346" s="2162" t="inlineStr">
        <is>
          <t>Metais</t>
        </is>
      </c>
      <c r="H346" s="2162" t="n"/>
      <c r="I346" s="4" t="inlineStr">
        <is>
          <t>Metais</t>
        </is>
      </c>
    </row>
    <row r="347" ht="15.75" customHeight="1">
      <c r="A347" s="10">
        <f>COUNTIFS($B$2:$B$996,B347)</f>
        <v/>
      </c>
      <c r="B347" s="10" t="inlineStr">
        <is>
          <t>Grade aramada para cuba</t>
        </is>
      </c>
      <c r="C347" s="11" t="inlineStr">
        <is>
          <t>UN</t>
        </is>
      </c>
      <c r="D347" s="2162">
        <f>E347*$D$1</f>
        <v/>
      </c>
      <c r="E347" s="2162" t="n">
        <v>71.55</v>
      </c>
      <c r="F347" s="2162" t="inlineStr">
        <is>
          <t>Louças e metais</t>
        </is>
      </c>
      <c r="G347" s="2162" t="inlineStr">
        <is>
          <t>Metais</t>
        </is>
      </c>
      <c r="H347" s="2162" t="n"/>
      <c r="I347" s="4" t="inlineStr">
        <is>
          <t>Metais</t>
        </is>
      </c>
    </row>
    <row r="348" ht="15.75" customHeight="1">
      <c r="A348" s="10">
        <f>COUNTIFS($B$2:$B$996,B348)</f>
        <v/>
      </c>
      <c r="B348" s="10" t="inlineStr">
        <is>
          <t>Misturador monocomando \ Detalhe: aço escovado</t>
        </is>
      </c>
      <c r="C348" s="11" t="inlineStr">
        <is>
          <t>UN</t>
        </is>
      </c>
      <c r="D348" s="2162">
        <f>E348*$D$1</f>
        <v/>
      </c>
      <c r="E348" s="2162" t="n">
        <v>2117.89</v>
      </c>
      <c r="F348" s="2162" t="inlineStr">
        <is>
          <t>Louças e metais</t>
        </is>
      </c>
      <c r="G348" s="2162" t="inlineStr">
        <is>
          <t>metais</t>
        </is>
      </c>
      <c r="H348" s="2162" t="n"/>
      <c r="I348" s="4" t="inlineStr">
        <is>
          <t>Metais</t>
        </is>
      </c>
    </row>
    <row r="349" ht="15.75" customHeight="1">
      <c r="A349" s="10">
        <f>COUNTIFS($B$2:$B$996,B349)</f>
        <v/>
      </c>
      <c r="B349" s="10" t="inlineStr">
        <is>
          <t>Porta papel higienico \ Detalhe: Cromado Vercci</t>
        </is>
      </c>
      <c r="C349" s="11" t="inlineStr">
        <is>
          <t>UN</t>
        </is>
      </c>
      <c r="D349" s="2162">
        <f>E349*$D$1</f>
        <v/>
      </c>
      <c r="E349" s="2162" t="n">
        <v>396.67</v>
      </c>
      <c r="F349" s="2162" t="inlineStr">
        <is>
          <t>Louças e metais</t>
        </is>
      </c>
      <c r="G349" s="2162" t="inlineStr">
        <is>
          <t>metais</t>
        </is>
      </c>
      <c r="H349" s="2162" t="n"/>
      <c r="I349" s="4" t="inlineStr">
        <is>
          <t>Metais</t>
        </is>
      </c>
    </row>
    <row r="350" ht="15.75" customHeight="1">
      <c r="A350" s="10">
        <f>COUNTIFS($B$2:$B$996,B350)</f>
        <v/>
      </c>
      <c r="B350" s="10" t="inlineStr">
        <is>
          <t>Sifão Cromado</t>
        </is>
      </c>
      <c r="C350" s="11" t="inlineStr">
        <is>
          <t>UN</t>
        </is>
      </c>
      <c r="D350" s="2162">
        <f>E350*$D$1</f>
        <v/>
      </c>
      <c r="E350" s="2162" t="n">
        <v>256.9</v>
      </c>
      <c r="F350" s="2162" t="inlineStr">
        <is>
          <t>Louças e metais</t>
        </is>
      </c>
      <c r="G350" s="2162" t="inlineStr">
        <is>
          <t>metais</t>
        </is>
      </c>
      <c r="H350" s="2162" t="n"/>
      <c r="I350" s="4" t="inlineStr">
        <is>
          <t>Metais</t>
        </is>
      </c>
    </row>
    <row r="351" ht="15.75" customHeight="1">
      <c r="A351" s="10">
        <f>COUNTIFS($B$2:$B$996,B351)</f>
        <v/>
      </c>
      <c r="B351" s="10" t="inlineStr">
        <is>
          <t>Sifão flexível com copo para Lavatório</t>
        </is>
      </c>
      <c r="C351" s="11" t="inlineStr">
        <is>
          <t>UN</t>
        </is>
      </c>
      <c r="D351" s="2162">
        <f>E351*$D$1</f>
        <v/>
      </c>
      <c r="E351" s="2162" t="n">
        <v>8.9</v>
      </c>
      <c r="F351" s="2162" t="inlineStr">
        <is>
          <t>Louças e metais</t>
        </is>
      </c>
      <c r="G351" s="2162" t="inlineStr">
        <is>
          <t>metais</t>
        </is>
      </c>
      <c r="H351" s="2162" t="n"/>
      <c r="I351" s="4" t="inlineStr">
        <is>
          <t>Metais</t>
        </is>
      </c>
    </row>
    <row r="352" ht="15.75" customHeight="1">
      <c r="A352" s="10">
        <f>COUNTIFS($B$2:$B$996,B352)</f>
        <v/>
      </c>
      <c r="B352" s="10" t="inlineStr">
        <is>
          <t>Sifão Universal Flexível Multiuso</t>
        </is>
      </c>
      <c r="C352" s="11" t="inlineStr">
        <is>
          <t>UN</t>
        </is>
      </c>
      <c r="D352" s="2162">
        <f>E352*$D$1</f>
        <v/>
      </c>
      <c r="E352" s="2162" t="n">
        <v>35</v>
      </c>
      <c r="F352" s="2162" t="inlineStr">
        <is>
          <t>Louças e metais</t>
        </is>
      </c>
      <c r="G352" s="2162" t="inlineStr">
        <is>
          <t>metais</t>
        </is>
      </c>
      <c r="H352" s="2162" t="n"/>
      <c r="I352" s="4" t="inlineStr">
        <is>
          <t>Metais</t>
        </is>
      </c>
    </row>
    <row r="353" ht="15.75" customHeight="1">
      <c r="A353" s="10">
        <f>COUNTIFS($B$2:$B$996,B353)</f>
        <v/>
      </c>
      <c r="B353" s="10" t="inlineStr">
        <is>
          <t>Toalheiro rosto \ Detalhe: Cromado Vercci</t>
        </is>
      </c>
      <c r="C353" s="11" t="inlineStr">
        <is>
          <t>UN</t>
        </is>
      </c>
      <c r="D353" s="2162">
        <f>E353*$D$1</f>
        <v/>
      </c>
      <c r="E353" s="2162" t="n">
        <v>493.84</v>
      </c>
      <c r="F353" s="2162" t="inlineStr">
        <is>
          <t>Louças e metais</t>
        </is>
      </c>
      <c r="G353" s="2162" t="inlineStr">
        <is>
          <t>metais</t>
        </is>
      </c>
      <c r="H353" s="2162" t="n"/>
      <c r="I353" s="4" t="inlineStr">
        <is>
          <t>Metais</t>
        </is>
      </c>
    </row>
    <row r="354" ht="15.75" customHeight="1">
      <c r="A354" s="10">
        <f>COUNTIFS($B$2:$B$996,B354)</f>
        <v/>
      </c>
      <c r="B354" s="10" t="inlineStr">
        <is>
          <t>Torneira de bancada para tanque \ Detalhe: mesa inox</t>
        </is>
      </c>
      <c r="C354" s="11" t="inlineStr">
        <is>
          <t>UN</t>
        </is>
      </c>
      <c r="D354" s="2162">
        <f>E354*$D$1</f>
        <v/>
      </c>
      <c r="E354" s="2162" t="n">
        <v>1054.93</v>
      </c>
      <c r="F354" s="2162" t="inlineStr">
        <is>
          <t>Louças e metais</t>
        </is>
      </c>
      <c r="G354" s="2162" t="inlineStr">
        <is>
          <t>metais</t>
        </is>
      </c>
      <c r="H354" s="2162" t="n"/>
      <c r="I354" s="4" t="inlineStr">
        <is>
          <t>Metais</t>
        </is>
      </c>
    </row>
    <row r="355" ht="15.75" customHeight="1">
      <c r="A355" s="10">
        <f>COUNTIFS($B$2:$B$996,B355)</f>
        <v/>
      </c>
      <c r="B355" s="10" t="inlineStr">
        <is>
          <t>Torneira de jardim inox</t>
        </is>
      </c>
      <c r="C355" s="11" t="inlineStr">
        <is>
          <t>UN</t>
        </is>
      </c>
      <c r="D355" s="2162">
        <f>E355*$D$1</f>
        <v/>
      </c>
      <c r="E355" s="2162" t="n">
        <v>1054.93</v>
      </c>
      <c r="F355" s="2162" t="inlineStr">
        <is>
          <t>Louças e metais</t>
        </is>
      </c>
      <c r="G355" s="2162" t="inlineStr">
        <is>
          <t>metais</t>
        </is>
      </c>
      <c r="H355" s="2162" t="n"/>
      <c r="I355" s="4" t="inlineStr">
        <is>
          <t>Metais</t>
        </is>
      </c>
    </row>
    <row r="356" ht="15.75" customHeight="1">
      <c r="A356" s="10">
        <f>COUNTIFS($B$2:$B$996,B356)</f>
        <v/>
      </c>
      <c r="B356" s="10" t="inlineStr">
        <is>
          <t>Torneira para Lavatório\ Detalhe: Cromado Vercci</t>
        </is>
      </c>
      <c r="C356" s="11" t="inlineStr">
        <is>
          <t>UN</t>
        </is>
      </c>
      <c r="D356" s="2162">
        <f>E356*$D$1</f>
        <v/>
      </c>
      <c r="E356" s="2162" t="n">
        <v>1054.93</v>
      </c>
      <c r="F356" s="2162" t="inlineStr">
        <is>
          <t>Louças e metais</t>
        </is>
      </c>
      <c r="G356" s="2162" t="inlineStr">
        <is>
          <t>metais</t>
        </is>
      </c>
      <c r="H356" s="2162" t="n"/>
      <c r="I356" s="4" t="inlineStr">
        <is>
          <t>Metais</t>
        </is>
      </c>
    </row>
    <row r="357" ht="15.75" customHeight="1">
      <c r="A357" s="10">
        <f>COUNTIFS($B$2:$B$996,B357)</f>
        <v/>
      </c>
      <c r="B357" s="10" t="inlineStr">
        <is>
          <t>Torneira para pia inox</t>
        </is>
      </c>
      <c r="C357" s="11" t="inlineStr">
        <is>
          <t>UN</t>
        </is>
      </c>
      <c r="D357" s="2162">
        <f>E357*$D$1</f>
        <v/>
      </c>
      <c r="E357" s="2162" t="n">
        <v>1054.93</v>
      </c>
      <c r="F357" s="2162" t="inlineStr">
        <is>
          <t>Louças e metais</t>
        </is>
      </c>
      <c r="G357" s="2162" t="inlineStr">
        <is>
          <t>metais</t>
        </is>
      </c>
      <c r="H357" s="2162" t="n"/>
      <c r="I357" s="4" t="inlineStr">
        <is>
          <t>Metais</t>
        </is>
      </c>
    </row>
    <row r="358" ht="15.75" customHeight="1">
      <c r="A358" s="10">
        <f>COUNTIFS($B$2:$B$996,B358)</f>
        <v/>
      </c>
      <c r="B358" s="10" t="inlineStr">
        <is>
          <t>Churrasqueiras kit Gourmet Médio Inox 304</t>
        </is>
      </c>
      <c r="C358" s="11" t="inlineStr">
        <is>
          <t>UN</t>
        </is>
      </c>
      <c r="D358" s="2162">
        <f>E358*$D$1</f>
        <v/>
      </c>
      <c r="E358" s="2162" t="n">
        <v>6200</v>
      </c>
      <c r="F358" s="2162" t="inlineStr">
        <is>
          <t>Louças e metais</t>
        </is>
      </c>
      <c r="G358" s="2162" t="inlineStr">
        <is>
          <t>metais</t>
        </is>
      </c>
      <c r="H358" s="2162" t="n"/>
      <c r="I358" s="4" t="inlineStr">
        <is>
          <t>Metais</t>
        </is>
      </c>
    </row>
    <row r="359" ht="14.25" customHeight="1">
      <c r="A359" s="10">
        <f>COUNTIFS($B$2:$B$996,B359)</f>
        <v/>
      </c>
      <c r="B359" s="82" t="inlineStr">
        <is>
          <t>Forro Knauf Cleaneo A1 (gesso acústico perfurado)</t>
        </is>
      </c>
      <c r="C359" s="83" t="inlineStr">
        <is>
          <t>M2</t>
        </is>
      </c>
      <c r="D359" s="2165">
        <f>E359*$D$1</f>
        <v/>
      </c>
      <c r="E359" s="2165">
        <f>85+95</f>
        <v/>
      </c>
      <c r="F359" s="2165" t="inlineStr">
        <is>
          <t>Serviço Terceiros</t>
        </is>
      </c>
      <c r="G359" s="2165" t="inlineStr">
        <is>
          <t>Serviço Terceiros</t>
        </is>
      </c>
      <c r="H359" s="2165" t="n"/>
      <c r="I359" s="85" t="inlineStr">
        <is>
          <t>Mão de obra de Terceiros</t>
        </is>
      </c>
    </row>
    <row r="360" ht="15.75" customHeight="1">
      <c r="A360" s="10">
        <f>COUNTIFS($B$2:$B$996,B360)</f>
        <v/>
      </c>
      <c r="B360" s="10" t="inlineStr">
        <is>
          <t>Churrasqueiras Pré-Moldadas</t>
        </is>
      </c>
      <c r="C360" s="11" t="inlineStr">
        <is>
          <t>UN</t>
        </is>
      </c>
      <c r="D360" s="2162">
        <f>E360*$D$1</f>
        <v/>
      </c>
      <c r="E360" s="2162" t="n">
        <v>1400</v>
      </c>
      <c r="F360" s="2162" t="inlineStr">
        <is>
          <t>Louças e metais</t>
        </is>
      </c>
      <c r="G360" s="2162" t="inlineStr">
        <is>
          <t>metais</t>
        </is>
      </c>
      <c r="H360" s="2165" t="n"/>
      <c r="I360" s="4" t="inlineStr">
        <is>
          <t>Metais</t>
        </is>
      </c>
    </row>
    <row r="361" ht="14.25" customHeight="1">
      <c r="A361" s="10">
        <f>COUNTIFS($B$2:$B$996,B361)</f>
        <v/>
      </c>
      <c r="B361" s="471" t="inlineStr">
        <is>
          <t>CHAPA  DE MADEIRA IMBUIA</t>
        </is>
      </c>
      <c r="C361" s="472" t="inlineStr">
        <is>
          <t>M2</t>
        </is>
      </c>
      <c r="D361" s="2165">
        <f>E361*$D$1</f>
        <v/>
      </c>
      <c r="E361" s="2165" t="n">
        <v>520</v>
      </c>
      <c r="F361" s="2165" t="inlineStr">
        <is>
          <t>Materiais complementares</t>
        </is>
      </c>
      <c r="G361" s="2165" t="inlineStr">
        <is>
          <t>Diversos</t>
        </is>
      </c>
      <c r="H361" s="2165" t="n"/>
      <c r="I361" s="85" t="inlineStr">
        <is>
          <t>Diversos</t>
        </is>
      </c>
    </row>
    <row r="362" ht="14.25" customHeight="1">
      <c r="A362" s="10">
        <f>COUNTIFS($B$2:$B$996,B362)</f>
        <v/>
      </c>
      <c r="B362" s="471" t="inlineStr">
        <is>
          <t>CHAPA DE MADEIRA ITAUBA</t>
        </is>
      </c>
      <c r="C362" s="472" t="inlineStr">
        <is>
          <t>M2</t>
        </is>
      </c>
      <c r="D362" s="2165">
        <f>E362*$D$1</f>
        <v/>
      </c>
      <c r="E362" s="2165" t="n">
        <v>580</v>
      </c>
      <c r="F362" s="2165" t="inlineStr">
        <is>
          <t>Materiais complementares</t>
        </is>
      </c>
      <c r="G362" s="2165" t="inlineStr">
        <is>
          <t>Diversos</t>
        </is>
      </c>
      <c r="H362" s="2165" t="n"/>
      <c r="I362" s="85" t="inlineStr">
        <is>
          <t>Diversos</t>
        </is>
      </c>
    </row>
    <row r="363" ht="14.25" customHeight="1">
      <c r="A363" s="10">
        <f>COUNTIFS($B$2:$B$996,B363)</f>
        <v/>
      </c>
      <c r="B363" s="471" t="inlineStr">
        <is>
          <t>PISO MADEIRA ESCURA - Sucupira</t>
        </is>
      </c>
      <c r="C363" s="472" t="inlineStr">
        <is>
          <t>M2</t>
        </is>
      </c>
      <c r="D363" s="2165">
        <f>E363*$D$1</f>
        <v/>
      </c>
      <c r="E363" s="2165" t="n">
        <v>600</v>
      </c>
      <c r="F363" s="2165" t="inlineStr">
        <is>
          <t>Materiais complementares</t>
        </is>
      </c>
      <c r="G363" s="2165" t="inlineStr">
        <is>
          <t>Diversos</t>
        </is>
      </c>
      <c r="H363" s="2165" t="n"/>
      <c r="I363" s="85" t="inlineStr">
        <is>
          <t>Diversos</t>
        </is>
      </c>
    </row>
    <row r="364" ht="14.25" customHeight="1">
      <c r="A364" s="10">
        <f>COUNTIFS($B$2:$B$996,B364)</f>
        <v/>
      </c>
      <c r="B364" s="471" t="inlineStr">
        <is>
          <t>PISO MADEIRA ESCURA - Tauari Naturalle</t>
        </is>
      </c>
      <c r="C364" s="472" t="inlineStr">
        <is>
          <t>M2</t>
        </is>
      </c>
      <c r="D364" s="2165">
        <f>E364*$D$1</f>
        <v/>
      </c>
      <c r="E364" s="2165" t="n">
        <v>590</v>
      </c>
      <c r="F364" s="2165" t="inlineStr">
        <is>
          <t>Materiais complementares</t>
        </is>
      </c>
      <c r="G364" s="2165" t="inlineStr">
        <is>
          <t>Diversos</t>
        </is>
      </c>
      <c r="H364" s="2165" t="n"/>
      <c r="I364" s="85" t="inlineStr">
        <is>
          <t>Diversos</t>
        </is>
      </c>
    </row>
    <row r="365" ht="14.25" customHeight="1">
      <c r="A365" s="10">
        <f>COUNTIFS($B$2:$B$996,B365)</f>
        <v/>
      </c>
      <c r="B365" s="471" t="inlineStr">
        <is>
          <t>PISO MADEIRA CLARA - Tauari Naturalle Creme</t>
        </is>
      </c>
      <c r="C365" s="472" t="inlineStr">
        <is>
          <t>M2</t>
        </is>
      </c>
      <c r="D365" s="2165">
        <f>E365*$D$1</f>
        <v/>
      </c>
      <c r="E365" s="2165" t="n">
        <v>590</v>
      </c>
      <c r="F365" s="2165" t="inlineStr">
        <is>
          <t>Materiais complementares</t>
        </is>
      </c>
      <c r="G365" s="2165" t="inlineStr">
        <is>
          <t>Diversos</t>
        </is>
      </c>
      <c r="H365" s="2165" t="n"/>
      <c r="I365" s="85" t="inlineStr">
        <is>
          <t>Diversos</t>
        </is>
      </c>
    </row>
    <row r="366" ht="14.25" customHeight="1">
      <c r="A366" s="10">
        <f>COUNTIFS($B$2:$B$996,B366)</f>
        <v/>
      </c>
      <c r="B366" s="471" t="inlineStr">
        <is>
          <t>PISO MADEIRA CLARA - Carvalho Bianco</t>
        </is>
      </c>
      <c r="C366" s="472" t="inlineStr">
        <is>
          <t>M2</t>
        </is>
      </c>
      <c r="D366" s="2165">
        <f>E366*$D$1</f>
        <v/>
      </c>
      <c r="E366" s="2165" t="n">
        <v>850</v>
      </c>
      <c r="F366" s="2165" t="inlineStr">
        <is>
          <t>Materiais complementares</t>
        </is>
      </c>
      <c r="G366" s="2165" t="inlineStr">
        <is>
          <t>Diversos</t>
        </is>
      </c>
      <c r="H366" s="2165" t="n"/>
      <c r="I366" s="85" t="inlineStr">
        <is>
          <t>Diversos</t>
        </is>
      </c>
    </row>
    <row r="367" ht="14.25" customHeight="1">
      <c r="A367" s="10">
        <f>COUNTIFS($B$2:$B$996,B367)</f>
        <v/>
      </c>
      <c r="B367" s="471" t="inlineStr">
        <is>
          <t>PISO DECK MADEIRA (CUMARU) - Tábuas: 10 x 200 cm - Material e Mão de Obra</t>
        </is>
      </c>
      <c r="C367" s="472" t="inlineStr">
        <is>
          <t>M2</t>
        </is>
      </c>
      <c r="D367" s="2165">
        <f>E367*$D$1</f>
        <v/>
      </c>
      <c r="E367" s="2165" t="n">
        <v>850</v>
      </c>
      <c r="F367" s="2165" t="inlineStr">
        <is>
          <t>Materiais complementares</t>
        </is>
      </c>
      <c r="G367" s="2165" t="inlineStr">
        <is>
          <t>Diversos</t>
        </is>
      </c>
      <c r="H367" s="2165" t="n"/>
      <c r="I367" s="85" t="inlineStr">
        <is>
          <t>Diversos</t>
        </is>
      </c>
    </row>
    <row r="368" ht="14.25" customHeight="1">
      <c r="A368" s="10">
        <f>COUNTIFS($B$2:$B$996,B368)</f>
        <v/>
      </c>
      <c r="B368" s="471" t="inlineStr">
        <is>
          <t>PISO MADEIRA CHEVRON (45º) - Cumaru Chevron</t>
        </is>
      </c>
      <c r="C368" s="472" t="inlineStr">
        <is>
          <t>M2</t>
        </is>
      </c>
      <c r="D368" s="2165">
        <f>E368*$D$1</f>
        <v/>
      </c>
      <c r="E368" s="2165" t="n">
        <v>900</v>
      </c>
      <c r="F368" s="2165" t="inlineStr">
        <is>
          <t>Materiais complementares</t>
        </is>
      </c>
      <c r="G368" s="2165" t="inlineStr">
        <is>
          <t>Diversos</t>
        </is>
      </c>
      <c r="H368" s="2165" t="n"/>
      <c r="I368" s="85" t="inlineStr">
        <is>
          <t>Diversos</t>
        </is>
      </c>
    </row>
    <row r="369" ht="14.25" customHeight="1">
      <c r="A369" s="10">
        <f>COUNTIFS($B$2:$B$996,B369)</f>
        <v/>
      </c>
      <c r="B369" s="471" t="inlineStr">
        <is>
          <t>PISO MADEIRA CHEVRON (45º) - Sucupira Chevron</t>
        </is>
      </c>
      <c r="C369" s="472" t="inlineStr">
        <is>
          <t>M2</t>
        </is>
      </c>
      <c r="D369" s="2165">
        <f>E369*$D$1</f>
        <v/>
      </c>
      <c r="E369" s="2165" t="n">
        <v>850</v>
      </c>
      <c r="F369" s="2165" t="inlineStr">
        <is>
          <t>Materiais complementares</t>
        </is>
      </c>
      <c r="G369" s="2165" t="inlineStr">
        <is>
          <t>Diversos</t>
        </is>
      </c>
      <c r="H369" s="2165" t="n"/>
      <c r="I369" s="85" t="inlineStr">
        <is>
          <t>Diversos</t>
        </is>
      </c>
    </row>
    <row r="370" ht="14.25" customHeight="1">
      <c r="A370" s="10">
        <f>COUNTIFS($B$2:$B$996,B370)</f>
        <v/>
      </c>
      <c r="B370" s="471" t="inlineStr">
        <is>
          <t xml:space="preserve">Piso de madeira natural - Carvalho Europeu Prime (Engineered Oak) - material e mão de obra </t>
        </is>
      </c>
      <c r="C370" s="472" t="inlineStr">
        <is>
          <t>M2</t>
        </is>
      </c>
      <c r="D370" s="2165">
        <f>E370*$D$1</f>
        <v/>
      </c>
      <c r="E370" s="2165" t="n">
        <v>1050</v>
      </c>
      <c r="F370" s="2165" t="inlineStr">
        <is>
          <t>Materiais complementares</t>
        </is>
      </c>
      <c r="G370" s="2165" t="inlineStr">
        <is>
          <t>Diversos</t>
        </is>
      </c>
      <c r="H370" s="2165" t="n"/>
      <c r="I370" s="85" t="inlineStr">
        <is>
          <t>Diversos</t>
        </is>
      </c>
    </row>
    <row r="371" ht="14.25" customHeight="1">
      <c r="A371" s="10">
        <f>COUNTIFS($B$2:$B$996,B371)</f>
        <v/>
      </c>
      <c r="B371" s="471" t="inlineStr">
        <is>
          <t xml:space="preserve">Piso de madeira natural - Carvalho Rustic Premium - material e mão de obra </t>
        </is>
      </c>
      <c r="C371" s="472" t="inlineStr">
        <is>
          <t>M2</t>
        </is>
      </c>
      <c r="D371" s="2165">
        <f>E371*$D$1</f>
        <v/>
      </c>
      <c r="E371" s="2165" t="n">
        <v>780</v>
      </c>
      <c r="F371" s="2165" t="inlineStr">
        <is>
          <t>Materiais complementares</t>
        </is>
      </c>
      <c r="G371" s="2165" t="inlineStr">
        <is>
          <t>Diversos</t>
        </is>
      </c>
      <c r="H371" s="2165" t="n"/>
      <c r="I371" s="85" t="inlineStr">
        <is>
          <t>Diversos</t>
        </is>
      </c>
    </row>
    <row r="372" ht="14.25" customHeight="1">
      <c r="A372" s="10">
        <f>COUNTIFS($B$2:$B$996,B372)</f>
        <v/>
      </c>
      <c r="B372" s="471" t="inlineStr">
        <is>
          <t xml:space="preserve">Piso de madeira natural - Nogueira Americana - material e mão de obra </t>
        </is>
      </c>
      <c r="C372" s="472" t="inlineStr">
        <is>
          <t>M2</t>
        </is>
      </c>
      <c r="D372" s="2165">
        <f>E372*$D$1</f>
        <v/>
      </c>
      <c r="E372" s="2165" t="n">
        <v>1100</v>
      </c>
      <c r="F372" s="2165" t="inlineStr">
        <is>
          <t>Materiais complementares</t>
        </is>
      </c>
      <c r="G372" s="2165" t="inlineStr">
        <is>
          <t>Diversos</t>
        </is>
      </c>
      <c r="H372" s="2165" t="n"/>
      <c r="I372" s="85" t="inlineStr">
        <is>
          <t>Diversos</t>
        </is>
      </c>
    </row>
    <row r="373" ht="14.25" customHeight="1">
      <c r="A373" s="10">
        <f>COUNTIFS($B$2:$B$996,B373)</f>
        <v/>
      </c>
      <c r="B373" s="471" t="inlineStr">
        <is>
          <t xml:space="preserve">Piso de madeira natural - Cumaru engenheirado - material e mão de obra </t>
        </is>
      </c>
      <c r="C373" s="472" t="inlineStr">
        <is>
          <t>M2</t>
        </is>
      </c>
      <c r="D373" s="2165">
        <f>E373*$D$1</f>
        <v/>
      </c>
      <c r="E373" s="2165" t="n">
        <v>750</v>
      </c>
      <c r="F373" s="2165" t="inlineStr">
        <is>
          <t>Materiais complementares</t>
        </is>
      </c>
      <c r="G373" s="2165" t="inlineStr">
        <is>
          <t>Diversos</t>
        </is>
      </c>
      <c r="H373" s="2165" t="n"/>
      <c r="I373" s="85" t="inlineStr">
        <is>
          <t>Diversos</t>
        </is>
      </c>
    </row>
    <row r="374" ht="14.25" customHeight="1">
      <c r="A374" s="10">
        <f>COUNTIFS($B$2:$B$996,B374)</f>
        <v/>
      </c>
      <c r="B374" s="471" t="inlineStr">
        <is>
          <t>Mão de obra de instalação de Piso de madeira</t>
        </is>
      </c>
      <c r="C374" s="472" t="inlineStr">
        <is>
          <t>M2</t>
        </is>
      </c>
      <c r="D374" s="2165">
        <f>E374*$D$1</f>
        <v/>
      </c>
      <c r="E374" s="2165" t="n">
        <v>210</v>
      </c>
      <c r="F374" s="2165" t="inlineStr">
        <is>
          <t>Materiais complementares</t>
        </is>
      </c>
      <c r="G374" s="2165" t="inlineStr">
        <is>
          <t>Diversos</t>
        </is>
      </c>
      <c r="H374" s="2165" t="n"/>
      <c r="I374" s="85" t="inlineStr">
        <is>
          <t>Diversos</t>
        </is>
      </c>
    </row>
    <row r="375" ht="14.25" customHeight="1">
      <c r="A375" s="10">
        <f>COUNTIFS($B$2:$B$996,B375)</f>
        <v/>
      </c>
      <c r="B375" s="471" t="inlineStr">
        <is>
          <t>PAINEL DE ITAUBA 18 MM</t>
        </is>
      </c>
      <c r="C375" s="472" t="inlineStr">
        <is>
          <t>M2</t>
        </is>
      </c>
      <c r="D375" s="2165">
        <f>E375*$D$1</f>
        <v/>
      </c>
      <c r="E375" s="2165">
        <f>422.81/(2.75*1.85)</f>
        <v/>
      </c>
      <c r="F375" s="2165" t="inlineStr">
        <is>
          <t>Materiais complementares</t>
        </is>
      </c>
      <c r="G375" s="2165" t="inlineStr">
        <is>
          <t>Diversos</t>
        </is>
      </c>
      <c r="H375" s="2165" t="n"/>
      <c r="I375" s="85" t="inlineStr">
        <is>
          <t>Diversos</t>
        </is>
      </c>
    </row>
    <row r="376" ht="14.25" customHeight="1">
      <c r="A376" s="10">
        <f>COUNTIFS($B$2:$B$996,B376)</f>
        <v/>
      </c>
      <c r="B376" s="471" t="inlineStr">
        <is>
          <t>CHAPA DE MDF IMBUIA 15 MM</t>
        </is>
      </c>
      <c r="C376" s="472" t="inlineStr">
        <is>
          <t>M2</t>
        </is>
      </c>
      <c r="D376" s="2165">
        <f>E376*$D$1</f>
        <v/>
      </c>
      <c r="E376" s="2165">
        <f>456.32/(2.75*1.85)</f>
        <v/>
      </c>
      <c r="F376" s="2165" t="inlineStr">
        <is>
          <t>Materiais complementares</t>
        </is>
      </c>
      <c r="G376" s="2165" t="inlineStr">
        <is>
          <t>Diversos</t>
        </is>
      </c>
      <c r="H376" s="2165" t="n"/>
      <c r="I376" s="85" t="inlineStr">
        <is>
          <t>Diversos</t>
        </is>
      </c>
    </row>
    <row r="377" ht="15.75" customHeight="1">
      <c r="A377" s="10">
        <f>COUNTIFS($B$2:$B$996,B377)</f>
        <v/>
      </c>
      <c r="B377" s="10" t="inlineStr">
        <is>
          <t>CAIBRO NAO APARELHADO *5 X 6* CM, EM MACARANDUBA/MASSARANDUBA, ANGELIM OU EQUIVALENTE DA REGIAO - BRUTA</t>
        </is>
      </c>
      <c r="C377" s="11" t="inlineStr">
        <is>
          <t>M</t>
        </is>
      </c>
      <c r="D377" s="2162">
        <f>E377*$D$1</f>
        <v/>
      </c>
      <c r="E377" s="2162" t="n">
        <v>29.5</v>
      </c>
      <c r="F377" s="2162" t="inlineStr">
        <is>
          <t>Madeira</t>
        </is>
      </c>
      <c r="G377" s="2162" t="inlineStr">
        <is>
          <t>Madeira</t>
        </is>
      </c>
      <c r="H377" s="2165" t="n"/>
      <c r="I377" s="4" t="inlineStr">
        <is>
          <t>Madeira para Formas (Estrutura)</t>
        </is>
      </c>
    </row>
    <row r="378" ht="15.75" customHeight="1">
      <c r="A378" s="10">
        <f>COUNTIFS($B$2:$B$996,B378)</f>
        <v/>
      </c>
      <c r="B378" s="10" t="inlineStr">
        <is>
          <t>CHAPA/PAINEL DE MADEIRA COMPENSADA PLASTIFICADA, DE 2200 X 1100 MM, E = 14 MM</t>
        </is>
      </c>
      <c r="C378" s="11" t="inlineStr">
        <is>
          <t>M2</t>
        </is>
      </c>
      <c r="D378" s="2162">
        <f>E378*$D$1</f>
        <v/>
      </c>
      <c r="E378" s="2162" t="n">
        <v>46.12029384756657</v>
      </c>
      <c r="F378" s="2162" t="inlineStr">
        <is>
          <t>Madeira</t>
        </is>
      </c>
      <c r="G378" s="2162" t="inlineStr">
        <is>
          <t>Madeira</t>
        </is>
      </c>
      <c r="H378" s="2165" t="n"/>
      <c r="I378" s="4" t="inlineStr">
        <is>
          <t>Madeira para Formas (Estrutura)</t>
        </is>
      </c>
    </row>
    <row r="379" ht="15.75" customHeight="1">
      <c r="A379" s="10">
        <f>COUNTIFS($B$2:$B$996,B379)</f>
        <v/>
      </c>
      <c r="B379" s="10" t="inlineStr">
        <is>
          <t>CHAPA/PAINEL DE MADEIRA COMPENSADA PLASTIFICADA, DE 2200 X 1100 MM, E = 18 MM</t>
        </is>
      </c>
      <c r="C379" s="11" t="inlineStr">
        <is>
          <t>M2</t>
        </is>
      </c>
      <c r="D379" s="2162">
        <f>E379*$D$1</f>
        <v/>
      </c>
      <c r="E379" s="2162" t="n">
        <v>59.29752066115702</v>
      </c>
      <c r="F379" s="2162" t="inlineStr">
        <is>
          <t>Madeira</t>
        </is>
      </c>
      <c r="G379" s="2162" t="inlineStr">
        <is>
          <t>Madeira</t>
        </is>
      </c>
      <c r="H379" s="2162" t="n"/>
      <c r="I379" s="4" t="inlineStr">
        <is>
          <t>Madeira para Formas (Estrutura)</t>
        </is>
      </c>
    </row>
    <row r="380" ht="15.75" customHeight="1">
      <c r="A380" s="10">
        <f>COUNTIFS($B$2:$B$996,B380)</f>
        <v/>
      </c>
      <c r="B380" s="10" t="inlineStr">
        <is>
          <t>CHAPA/PAINEL DE MADEIRA COMPENSADA PLASTIFICADA, DE 2200 X 1100 MM, E = 20 MM</t>
        </is>
      </c>
      <c r="C380" s="11" t="inlineStr">
        <is>
          <t>M2</t>
        </is>
      </c>
      <c r="D380" s="2162">
        <f>E380*$D$1</f>
        <v/>
      </c>
      <c r="E380" s="2162">
        <f>224.7/(1.1*2.2)</f>
        <v/>
      </c>
      <c r="F380" s="2162" t="inlineStr">
        <is>
          <t>Madeira</t>
        </is>
      </c>
      <c r="G380" s="2162" t="inlineStr">
        <is>
          <t>Madeira</t>
        </is>
      </c>
      <c r="H380" s="2162" t="n"/>
      <c r="I380" s="4" t="inlineStr">
        <is>
          <t>Madeira para Formas (Estrutura)</t>
        </is>
      </c>
    </row>
    <row r="381" ht="14.25" customHeight="1">
      <c r="A381" s="10">
        <f>COUNTIFS($B$2:$B$996,B381)</f>
        <v/>
      </c>
      <c r="B381" s="82" t="inlineStr">
        <is>
          <t>CHAPA/PAINEL DE MADEIRA COMPENSADA RESINADA, DE 2200 X 1100 MM, E = 17 MM</t>
        </is>
      </c>
      <c r="C381" s="83" t="inlineStr">
        <is>
          <t>M2</t>
        </is>
      </c>
      <c r="D381" s="2165">
        <f>E381*$D$1</f>
        <v/>
      </c>
      <c r="E381" s="2165" t="n">
        <v>37.96</v>
      </c>
      <c r="F381" s="2165" t="inlineStr">
        <is>
          <t>Madeira</t>
        </is>
      </c>
      <c r="G381" s="2165" t="inlineStr">
        <is>
          <t>Madeira</t>
        </is>
      </c>
      <c r="H381" s="2165" t="n"/>
      <c r="I381" s="85" t="inlineStr">
        <is>
          <t>Madeira para Formas (Estrutura)</t>
        </is>
      </c>
    </row>
    <row r="382" ht="15.75" customHeight="1">
      <c r="A382" s="10">
        <f>COUNTIFS($B$2:$B$996,B382)</f>
        <v/>
      </c>
      <c r="B382" s="10" t="inlineStr">
        <is>
          <t>CHAPA/PAINEL DE MADEIRA COMPENSADA RESINADA, DE 2200 X 1100 MM, E = 14 MM</t>
        </is>
      </c>
      <c r="C382" s="11" t="inlineStr">
        <is>
          <t>M2</t>
        </is>
      </c>
      <c r="D382" s="2162">
        <f>E382*$D$1</f>
        <v/>
      </c>
      <c r="E382" s="2162" t="n">
        <v>35.78</v>
      </c>
      <c r="F382" s="2162" t="inlineStr">
        <is>
          <t>Madeira</t>
        </is>
      </c>
      <c r="G382" s="2162" t="inlineStr">
        <is>
          <t>Madeira</t>
        </is>
      </c>
      <c r="H382" s="2162" t="n"/>
      <c r="I382" s="4" t="inlineStr">
        <is>
          <t>Madeira para Formas (Estrutura)</t>
        </is>
      </c>
    </row>
    <row r="383" ht="15.75" customHeight="1">
      <c r="A383" s="10">
        <f>COUNTIFS($B$2:$B$996,B383)</f>
        <v/>
      </c>
      <c r="B383" s="10" t="inlineStr">
        <is>
          <t>CHAPA/PAINEL DE MADEIRA COMPENSADA RESINADA, DE 2200 X 1100 MM, E = 18 MM</t>
        </is>
      </c>
      <c r="C383" s="11" t="inlineStr">
        <is>
          <t>M2</t>
        </is>
      </c>
      <c r="D383" s="2162">
        <f>E383*$D$1</f>
        <v/>
      </c>
      <c r="E383" s="2162" t="n">
        <v>46.00285714285714</v>
      </c>
      <c r="F383" s="2162" t="inlineStr">
        <is>
          <t>Madeira</t>
        </is>
      </c>
      <c r="G383" s="2162" t="inlineStr">
        <is>
          <t>Madeira</t>
        </is>
      </c>
      <c r="H383" s="2162" t="n"/>
      <c r="I383" s="4" t="inlineStr">
        <is>
          <t>Madeira para Formas (Estrutura)</t>
        </is>
      </c>
    </row>
    <row r="384" ht="15.75" customHeight="1">
      <c r="A384" s="10">
        <f>COUNTIFS($B$2:$B$996,B384)</f>
        <v/>
      </c>
      <c r="B384" s="10" t="inlineStr">
        <is>
          <t>COMPENSADO MADEIRA TIPO RESINADO COLA FENOLICA 2440X1220X10MM</t>
        </is>
      </c>
      <c r="C384" s="11" t="inlineStr">
        <is>
          <t>UN</t>
        </is>
      </c>
      <c r="D384" s="2162">
        <f>E384*$D$1</f>
        <v/>
      </c>
      <c r="E384" s="2162" t="n">
        <v>58.46</v>
      </c>
      <c r="F384" s="2162" t="inlineStr">
        <is>
          <t>Madeira</t>
        </is>
      </c>
      <c r="G384" s="2162" t="inlineStr">
        <is>
          <t>Madeira</t>
        </is>
      </c>
      <c r="H384" s="2162" t="n"/>
      <c r="I384" s="4" t="inlineStr">
        <is>
          <t>Madeira para Formas (Estrutura)</t>
        </is>
      </c>
    </row>
    <row r="385" ht="15.75" customHeight="1">
      <c r="A385" s="10">
        <f>COUNTIFS($B$2:$B$996,B385)</f>
        <v/>
      </c>
      <c r="B385" s="10" t="inlineStr">
        <is>
          <t>DECKS COMPOSTOS DE MADEIRA ECOLÓGICA PARA EXTERIORES</t>
        </is>
      </c>
      <c r="C385" s="11" t="inlineStr">
        <is>
          <t>M2</t>
        </is>
      </c>
      <c r="D385" s="2162">
        <f>E385*$D$1</f>
        <v/>
      </c>
      <c r="E385" s="2162" t="n">
        <v>557</v>
      </c>
      <c r="F385" s="2162" t="inlineStr">
        <is>
          <t>Madeira</t>
        </is>
      </c>
      <c r="G385" s="2162" t="inlineStr">
        <is>
          <t>Acabamento</t>
        </is>
      </c>
      <c r="H385" s="2162" t="n"/>
      <c r="I385" s="4" t="inlineStr">
        <is>
          <t>Madeira para Telhado</t>
        </is>
      </c>
    </row>
    <row r="386" ht="15.75" customHeight="1">
      <c r="A386" s="10">
        <f>COUNTIFS($B$2:$B$996,B386)</f>
        <v/>
      </c>
      <c r="B386" s="10" t="inlineStr">
        <is>
          <t xml:space="preserve">DESMOLDANTE PROTETOR PARA FORMAS DE MADEIRA, DE BASE OLEOSA EMULSIONADA EM AGUA   </t>
        </is>
      </c>
      <c r="C386" s="11" t="inlineStr">
        <is>
          <t>L</t>
        </is>
      </c>
      <c r="D386" s="2162">
        <f>E386*$D$1</f>
        <v/>
      </c>
      <c r="E386" s="2162" t="n">
        <v>15.55</v>
      </c>
      <c r="F386" s="2162" t="inlineStr">
        <is>
          <t>Madeira</t>
        </is>
      </c>
      <c r="G386" s="2162" t="inlineStr">
        <is>
          <t>Diversos</t>
        </is>
      </c>
      <c r="H386" s="2162" t="n"/>
      <c r="I386" s="4" t="inlineStr">
        <is>
          <t>Diversos</t>
        </is>
      </c>
    </row>
    <row r="387" ht="14.25" customHeight="1">
      <c r="A387" s="10">
        <f>COUNTIFS($B$2:$B$996,B387)</f>
        <v/>
      </c>
      <c r="B387" s="82" t="inlineStr">
        <is>
          <t>DESMOLDANTE PARA CONCRETO ESTAMPADO</t>
        </is>
      </c>
      <c r="C387" s="83" t="inlineStr">
        <is>
          <t>KG</t>
        </is>
      </c>
      <c r="D387" s="2165">
        <f>E387*$D$1</f>
        <v/>
      </c>
      <c r="E387" s="2165">
        <f>390/18</f>
        <v/>
      </c>
      <c r="F387" s="2165" t="inlineStr">
        <is>
          <t>Madeira</t>
        </is>
      </c>
      <c r="G387" s="2165" t="inlineStr">
        <is>
          <t>Diversos</t>
        </is>
      </c>
      <c r="H387" s="2165" t="n"/>
      <c r="I387" s="85" t="inlineStr">
        <is>
          <t>Diversos</t>
        </is>
      </c>
    </row>
    <row r="388" ht="14.25" customHeight="1">
      <c r="A388" s="10">
        <f>COUNTIFS($B$2:$B$996,B388)</f>
        <v/>
      </c>
      <c r="B388" s="82" t="inlineStr">
        <is>
          <t>MOLDE DE POLIURETANO, FLEXIVEL OU SEMI-FLEXIVEL, PARA ESTAMPAGEM DE PISO / PASSEIO DE CONCRETO</t>
        </is>
      </c>
      <c r="C388" s="83" t="inlineStr">
        <is>
          <t>M2</t>
        </is>
      </c>
      <c r="D388" s="2165">
        <f>E388*$D$1</f>
        <v/>
      </c>
      <c r="E388" s="2165">
        <f>130/(0.4*0.5)</f>
        <v/>
      </c>
      <c r="F388" s="2165" t="inlineStr">
        <is>
          <t>Madeira</t>
        </is>
      </c>
      <c r="G388" s="2165" t="inlineStr">
        <is>
          <t>Diversos</t>
        </is>
      </c>
      <c r="H388" s="2165" t="n"/>
      <c r="I388" s="85" t="inlineStr">
        <is>
          <t>Diversos</t>
        </is>
      </c>
    </row>
    <row r="389" ht="14.25" customHeight="1">
      <c r="A389" s="10">
        <f>COUNTIFS($B$2:$B$996,B389)</f>
        <v/>
      </c>
      <c r="B389" s="82" t="inlineStr">
        <is>
          <t>PO ENDURECEDOR PARA CONCRETO ESTAMPADO - PIGMENTO ENDURECEDOR</t>
        </is>
      </c>
      <c r="C389" s="83" t="inlineStr">
        <is>
          <t>KG</t>
        </is>
      </c>
      <c r="D389" s="2165">
        <f>E389*$D$1</f>
        <v/>
      </c>
      <c r="E389" s="2165">
        <f>78.9/5</f>
        <v/>
      </c>
      <c r="F389" s="2165" t="inlineStr">
        <is>
          <t>Madeira</t>
        </is>
      </c>
      <c r="G389" s="2165" t="inlineStr">
        <is>
          <t>Diversos</t>
        </is>
      </c>
      <c r="H389" s="2165" t="n"/>
      <c r="I389" s="85" t="inlineStr">
        <is>
          <t>Diversos</t>
        </is>
      </c>
    </row>
    <row r="390" ht="15.75" customHeight="1">
      <c r="A390" s="10">
        <f>COUNTIFS($B$2:$B$996,B390)</f>
        <v/>
      </c>
      <c r="B390" s="10" t="inlineStr">
        <is>
          <t>Estrutura e trama para cobertura em madeira</t>
        </is>
      </c>
      <c r="C390" s="11" t="inlineStr">
        <is>
          <t>M2</t>
        </is>
      </c>
      <c r="D390" s="2162">
        <f>E390*$D$1</f>
        <v/>
      </c>
      <c r="E390" s="2162" t="n">
        <v>119.77</v>
      </c>
      <c r="F390" s="2162" t="inlineStr">
        <is>
          <t>Madeira</t>
        </is>
      </c>
      <c r="G390" s="2162" t="inlineStr">
        <is>
          <t>Telhados</t>
        </is>
      </c>
      <c r="H390" s="2162" t="n"/>
      <c r="I390" s="4" t="inlineStr">
        <is>
          <t>Madeira para Telhado</t>
        </is>
      </c>
    </row>
    <row r="391" ht="15.75" customHeight="1">
      <c r="A391" s="10">
        <f>COUNTIFS($B$2:$B$996,B391)</f>
        <v/>
      </c>
      <c r="B391" s="10" t="inlineStr">
        <is>
          <t>Madeira Amescla para acabamento</t>
        </is>
      </c>
      <c r="C391" s="11" t="inlineStr">
        <is>
          <t>M2</t>
        </is>
      </c>
      <c r="D391" s="2162">
        <f>E391*$D$1</f>
        <v/>
      </c>
      <c r="E391" s="2162" t="n">
        <v>90</v>
      </c>
      <c r="F391" s="2162" t="inlineStr">
        <is>
          <t>Madeira</t>
        </is>
      </c>
      <c r="G391" s="2162" t="inlineStr">
        <is>
          <t>Acabamento</t>
        </is>
      </c>
      <c r="H391" s="2162" t="n"/>
      <c r="I391" s="4" t="inlineStr">
        <is>
          <t>Madeira para Telhado</t>
        </is>
      </c>
    </row>
    <row r="392" ht="14.25" customHeight="1">
      <c r="A392" s="10">
        <f>COUNTIFS($B$2:$B$996,B392)</f>
        <v/>
      </c>
      <c r="B392" s="82" t="inlineStr">
        <is>
          <t>Perna de serra pinus - 10x30x300cm</t>
        </is>
      </c>
      <c r="C392" s="83" t="inlineStr">
        <is>
          <t>un</t>
        </is>
      </c>
      <c r="D392" s="2165">
        <f>E392*$D$1</f>
        <v/>
      </c>
      <c r="E392" s="2165" t="n">
        <v>21.12</v>
      </c>
      <c r="F392" s="2165" t="inlineStr">
        <is>
          <t>Madeira</t>
        </is>
      </c>
      <c r="G392" s="2165" t="inlineStr">
        <is>
          <t>Madeira</t>
        </is>
      </c>
      <c r="H392" s="2165" t="n"/>
      <c r="I392" s="85" t="inlineStr">
        <is>
          <t>Madeira para Formas (Estrutura)</t>
        </is>
      </c>
    </row>
    <row r="393" ht="15.75" customHeight="1">
      <c r="A393" s="10">
        <f>COUNTIFS($B$2:$B$996,B393)</f>
        <v/>
      </c>
      <c r="B393" s="10" t="inlineStr">
        <is>
          <t>MADEIRA PINUS/SIMILAR - PONTALETE 75X75MM NBR 11700/15696</t>
        </is>
      </c>
      <c r="C393" s="11" t="inlineStr">
        <is>
          <t>M</t>
        </is>
      </c>
      <c r="D393" s="2162">
        <f>E393*$D$1</f>
        <v/>
      </c>
      <c r="E393" s="2162" t="n">
        <v>7</v>
      </c>
      <c r="F393" s="2162" t="inlineStr">
        <is>
          <t>Madeira</t>
        </is>
      </c>
      <c r="G393" s="2162" t="inlineStr">
        <is>
          <t>Madeira</t>
        </is>
      </c>
      <c r="H393" s="2162" t="n"/>
      <c r="I393" s="4" t="inlineStr">
        <is>
          <t>Madeira para Formas (Estrutura)</t>
        </is>
      </c>
    </row>
    <row r="394" ht="15.75" customHeight="1">
      <c r="A394" s="10">
        <f>COUNTIFS($B$2:$B$996,B394)</f>
        <v/>
      </c>
      <c r="B394" s="10" t="inlineStr">
        <is>
          <t>MADEIRA PINUS/SIMILAR - SARRAFO PINUS 50X10MM NBR 11700</t>
        </is>
      </c>
      <c r="C394" s="11" t="inlineStr">
        <is>
          <t>M</t>
        </is>
      </c>
      <c r="D394" s="2162">
        <f>E394*$D$1</f>
        <v/>
      </c>
      <c r="E394" s="2162">
        <f>22.17/3</f>
        <v/>
      </c>
      <c r="F394" s="2162" t="inlineStr">
        <is>
          <t>Madeira</t>
        </is>
      </c>
      <c r="G394" s="2162" t="inlineStr">
        <is>
          <t>Madeira</t>
        </is>
      </c>
      <c r="H394" s="2162" t="n"/>
      <c r="I394" s="4" t="inlineStr">
        <is>
          <t>Madeira para Formas (Estrutura)</t>
        </is>
      </c>
    </row>
    <row r="395" ht="15.75" customHeight="1">
      <c r="A395" s="10">
        <f>COUNTIFS($B$2:$B$996,B395)</f>
        <v/>
      </c>
      <c r="B395" s="10" t="inlineStr">
        <is>
          <t>MADEIRA PINUS/SIMILAR - SARRAFO PINUS 50X20MM NBR 11700/15696</t>
        </is>
      </c>
      <c r="C395" s="11" t="inlineStr">
        <is>
          <t>M2</t>
        </is>
      </c>
      <c r="D395" s="2162">
        <f>E395*$D$1</f>
        <v/>
      </c>
      <c r="E395" s="2162" t="n">
        <v>46.5</v>
      </c>
      <c r="F395" s="2162" t="inlineStr">
        <is>
          <t>Madeira</t>
        </is>
      </c>
      <c r="G395" s="2162" t="inlineStr">
        <is>
          <t>Madeira</t>
        </is>
      </c>
      <c r="H395" s="2162" t="n"/>
      <c r="I395" s="4" t="inlineStr">
        <is>
          <t>Madeira para Formas (Estrutura)</t>
        </is>
      </c>
    </row>
    <row r="396" ht="15.75" customHeight="1">
      <c r="A396" s="10">
        <f>COUNTIFS($B$2:$B$996,B396)</f>
        <v/>
      </c>
      <c r="B396" s="10" t="inlineStr">
        <is>
          <t>MADEIRA PINUS/SIMILAR - TABUA PINUS 200X20MM NBR 11700</t>
        </is>
      </c>
      <c r="C396" s="11" t="inlineStr">
        <is>
          <t>M2</t>
        </is>
      </c>
      <c r="D396" s="2162">
        <f>E396*$D$1</f>
        <v/>
      </c>
      <c r="E396" s="2162" t="n">
        <v>46.5</v>
      </c>
      <c r="F396" s="2162" t="inlineStr">
        <is>
          <t>Madeira</t>
        </is>
      </c>
      <c r="G396" s="2162" t="inlineStr">
        <is>
          <t>Madeira</t>
        </is>
      </c>
      <c r="H396" s="2162" t="n"/>
      <c r="I396" s="4" t="inlineStr">
        <is>
          <t>Madeira para Formas (Estrutura)</t>
        </is>
      </c>
    </row>
    <row r="397" ht="15.75" customHeight="1">
      <c r="A397" s="10">
        <f>COUNTIFS($B$2:$B$996,B397)</f>
        <v/>
      </c>
      <c r="B397" s="10" t="inlineStr">
        <is>
          <t>PONTALETE *7,5 X 7,5* CM EM PINUS, MISTA OU EQUIVALENTE DA REGIAO - BRUTA</t>
        </is>
      </c>
      <c r="C397" s="11" t="inlineStr">
        <is>
          <t>M3</t>
        </is>
      </c>
      <c r="D397" s="2162">
        <f>E397*$D$1</f>
        <v/>
      </c>
      <c r="E397" s="2162" t="n">
        <v>1100</v>
      </c>
      <c r="F397" s="2162" t="inlineStr">
        <is>
          <t>Madeira</t>
        </is>
      </c>
      <c r="G397" s="2162" t="inlineStr">
        <is>
          <t>Madeira</t>
        </is>
      </c>
      <c r="H397" s="2162" t="n"/>
      <c r="I397" s="4" t="inlineStr">
        <is>
          <t>Madeira para Formas (Estrutura)</t>
        </is>
      </c>
    </row>
    <row r="398" ht="15.75" customHeight="1">
      <c r="A398" s="10">
        <f>COUNTIFS($B$2:$B$996,B398)</f>
        <v/>
      </c>
      <c r="B398" s="10" t="inlineStr">
        <is>
          <t>RIPA NAO APARELHADA, *1,5 X 5* CM, EM MACARANDUBA/MASSARANDUBA, ANGELIM OU EQUIVALENTE DA REGIAO - BRUTA</t>
        </is>
      </c>
      <c r="C398" s="11" t="inlineStr">
        <is>
          <t>M</t>
        </is>
      </c>
      <c r="D398" s="2162">
        <f>E398*$D$1</f>
        <v/>
      </c>
      <c r="E398" s="2162" t="n">
        <v>5.62</v>
      </c>
      <c r="F398" s="2162" t="inlineStr">
        <is>
          <t>Madeira</t>
        </is>
      </c>
      <c r="G398" s="2162" t="inlineStr">
        <is>
          <t>Madeira</t>
        </is>
      </c>
      <c r="H398" s="2162" t="n"/>
      <c r="I398" s="4" t="inlineStr">
        <is>
          <t>Madeira para Formas (Estrutura)</t>
        </is>
      </c>
    </row>
    <row r="399" ht="15.75" customHeight="1">
      <c r="A399" s="10">
        <f>COUNTIFS($B$2:$B$996,B399)</f>
        <v/>
      </c>
      <c r="B399" s="10" t="inlineStr">
        <is>
          <t>SARRAFO *2,5 X 7,5* CM EM PINUS, MISTA OU EQUIVALENTE DA REGIAO - BRUTA</t>
        </is>
      </c>
      <c r="C399" s="11" t="inlineStr">
        <is>
          <t>M3</t>
        </is>
      </c>
      <c r="D399" s="2162">
        <f>E399*$D$1</f>
        <v/>
      </c>
      <c r="E399" s="2162" t="n">
        <v>1350</v>
      </c>
      <c r="F399" s="2162" t="inlineStr">
        <is>
          <t>Madeira</t>
        </is>
      </c>
      <c r="G399" s="2162" t="inlineStr">
        <is>
          <t>Madeira</t>
        </is>
      </c>
      <c r="H399" s="2162" t="n"/>
      <c r="I399" s="4" t="inlineStr">
        <is>
          <t>Madeira para Formas (Estrutura)</t>
        </is>
      </c>
    </row>
    <row r="400" ht="15.75" customHeight="1">
      <c r="A400" s="10">
        <f>COUNTIFS($B$2:$B$996,B400)</f>
        <v/>
      </c>
      <c r="B400" s="10" t="inlineStr">
        <is>
          <t>SARRAFO 2,5X10 CM PINUS*</t>
        </is>
      </c>
      <c r="C400" s="11" t="inlineStr">
        <is>
          <t>M3</t>
        </is>
      </c>
      <c r="D400" s="2162">
        <f>E400*$D$1</f>
        <v/>
      </c>
      <c r="E400" s="2162" t="n">
        <v>1050</v>
      </c>
      <c r="F400" s="2162" t="inlineStr">
        <is>
          <t>Madeira</t>
        </is>
      </c>
      <c r="G400" s="2162" t="inlineStr">
        <is>
          <t>Madeira</t>
        </is>
      </c>
      <c r="H400" s="2162" t="n"/>
      <c r="I400" s="4" t="inlineStr">
        <is>
          <t>Madeira para Formas (Estrutura)</t>
        </is>
      </c>
    </row>
    <row r="401" ht="15.75" customHeight="1">
      <c r="A401" s="10">
        <f>COUNTIFS($B$2:$B$996,B401)</f>
        <v/>
      </c>
      <c r="B401" s="10" t="inlineStr">
        <is>
          <t>TABUA *2,5 X 15 CM EM PINUS, MISTA OU EQUIVALENTE DA REGIAO - BRUTA</t>
        </is>
      </c>
      <c r="C401" s="11" t="inlineStr">
        <is>
          <t>M</t>
        </is>
      </c>
      <c r="D401" s="2162">
        <f>E401*$D$1</f>
        <v/>
      </c>
      <c r="E401" s="2162" t="n">
        <v>21.23</v>
      </c>
      <c r="F401" s="2162" t="inlineStr">
        <is>
          <t>Madeira</t>
        </is>
      </c>
      <c r="G401" s="2162" t="inlineStr">
        <is>
          <t>Madeira</t>
        </is>
      </c>
      <c r="H401" s="2162" t="n"/>
      <c r="I401" s="4" t="inlineStr">
        <is>
          <t>Madeira para Formas (Estrutura)</t>
        </is>
      </c>
    </row>
    <row r="402" ht="15.75" customHeight="1">
      <c r="A402" s="10">
        <f>COUNTIFS($B$2:$B$996,B402)</f>
        <v/>
      </c>
      <c r="B402" s="10" t="inlineStr">
        <is>
          <t>TABUA *2,5 X 30 CM EM PINUS, MISTA OU EQUIVALENTE DA REGIAO - BRUTA (M)</t>
        </is>
      </c>
      <c r="C402" s="11" t="inlineStr">
        <is>
          <t>M</t>
        </is>
      </c>
      <c r="D402" s="2162">
        <f>E402*$D$1</f>
        <v/>
      </c>
      <c r="E402" s="2162" t="n">
        <v>42.46</v>
      </c>
      <c r="F402" s="2162" t="inlineStr">
        <is>
          <t>Madeira</t>
        </is>
      </c>
      <c r="G402" s="2162" t="inlineStr">
        <is>
          <t>Madeira</t>
        </is>
      </c>
      <c r="H402" s="2162" t="n"/>
      <c r="I402" s="4" t="inlineStr">
        <is>
          <t>Madeira para Formas (Estrutura)</t>
        </is>
      </c>
    </row>
    <row r="403" ht="15.75" customHeight="1">
      <c r="A403" s="10">
        <f>COUNTIFS($B$2:$B$996,B403)</f>
        <v/>
      </c>
      <c r="B403" s="10" t="inlineStr">
        <is>
          <t>TABUA NAO APARELHADA *2,5 X 20* CM, EM MACARANDUBA/MASSARANDUBA, ANGELIM OU EQUIVALENTE DA REGIAO - BRUTA</t>
        </is>
      </c>
      <c r="C403" s="11" t="inlineStr">
        <is>
          <t>M</t>
        </is>
      </c>
      <c r="D403" s="2162">
        <f>E403*$D$1</f>
        <v/>
      </c>
      <c r="E403" s="2162" t="n">
        <v>42.46</v>
      </c>
      <c r="F403" s="2162" t="inlineStr">
        <is>
          <t>Madeira</t>
        </is>
      </c>
      <c r="G403" s="2162" t="inlineStr">
        <is>
          <t>Madeira</t>
        </is>
      </c>
      <c r="H403" s="2162" t="n"/>
      <c r="I403" s="4" t="inlineStr">
        <is>
          <t>Madeira para Formas (Estrutura)</t>
        </is>
      </c>
    </row>
    <row r="404" ht="15.75" customHeight="1">
      <c r="A404" s="10">
        <f>COUNTIFS($B$2:$B$996,B404)</f>
        <v/>
      </c>
      <c r="B404" s="10" t="inlineStr">
        <is>
          <t xml:space="preserve">Viga de Sustentação para pergolado em madeira </t>
        </is>
      </c>
      <c r="C404" s="11" t="inlineStr">
        <is>
          <t>UN</t>
        </is>
      </c>
      <c r="D404" s="2162">
        <f>E404*$D$1</f>
        <v/>
      </c>
      <c r="E404" s="2162" t="n">
        <v>3300</v>
      </c>
      <c r="F404" s="2162" t="inlineStr">
        <is>
          <t>Madeira</t>
        </is>
      </c>
      <c r="G404" s="2162" t="inlineStr">
        <is>
          <t>Telhados</t>
        </is>
      </c>
      <c r="H404" s="2162" t="n"/>
      <c r="I404" s="4" t="inlineStr">
        <is>
          <t>Madeira para Telhado</t>
        </is>
      </c>
    </row>
    <row r="405" ht="15.75" customHeight="1">
      <c r="A405" s="10">
        <f>COUNTIFS($B$2:$B$996,B405)</f>
        <v/>
      </c>
      <c r="B405" s="10" t="inlineStr">
        <is>
          <t>VIGA NAO APARELHADA *6 X 12* CM, EM MACARANDUBA/MASSARANDUBA, ANGELIM OU EQUIVALENTE DA REGIAO - BRUTA</t>
        </is>
      </c>
      <c r="C405" s="11" t="inlineStr">
        <is>
          <t>M</t>
        </is>
      </c>
      <c r="D405" s="2162">
        <f>E405*$D$1</f>
        <v/>
      </c>
      <c r="E405" s="2162" t="n">
        <v>62.4</v>
      </c>
      <c r="F405" s="2162" t="inlineStr">
        <is>
          <t>Madeira</t>
        </is>
      </c>
      <c r="G405" s="2162" t="inlineStr">
        <is>
          <t>Telhados</t>
        </is>
      </c>
      <c r="H405" s="2162" t="n"/>
      <c r="I405" s="4" t="inlineStr">
        <is>
          <t>Madeira para Telhado</t>
        </is>
      </c>
    </row>
    <row r="406" ht="15.75" customHeight="1">
      <c r="A406" s="10">
        <f>COUNTIFS($B$2:$B$996,B406)</f>
        <v/>
      </c>
      <c r="B406" s="10" t="inlineStr">
        <is>
          <t>Meio Oficial 1</t>
        </is>
      </c>
      <c r="C406" s="11" t="inlineStr">
        <is>
          <t>MÊS</t>
        </is>
      </c>
      <c r="D406" s="2162">
        <f>E406*$D$1</f>
        <v/>
      </c>
      <c r="E406" s="2162" t="n">
        <v>3400</v>
      </c>
      <c r="F406" s="2162" t="inlineStr">
        <is>
          <t xml:space="preserve">Mão de obra </t>
        </is>
      </c>
      <c r="G406" s="2162" t="inlineStr">
        <is>
          <t xml:space="preserve">Mão de obra </t>
        </is>
      </c>
      <c r="H406" s="2162" t="n"/>
      <c r="I406" s="4" t="inlineStr">
        <is>
          <t>Mão de Obra Própria</t>
        </is>
      </c>
    </row>
    <row r="407" ht="15.75" customHeight="1">
      <c r="A407" s="10">
        <f>COUNTIFS($B$2:$B$996,B407)</f>
        <v/>
      </c>
      <c r="B407" s="10" t="inlineStr">
        <is>
          <t>Mestre 1</t>
        </is>
      </c>
      <c r="C407" s="11" t="inlineStr">
        <is>
          <t>MÊS</t>
        </is>
      </c>
      <c r="D407" s="2162">
        <f>E407*$D$1</f>
        <v/>
      </c>
      <c r="E407" s="2162" t="n">
        <v>4550</v>
      </c>
      <c r="F407" s="2162" t="inlineStr">
        <is>
          <t xml:space="preserve">Mão de obra </t>
        </is>
      </c>
      <c r="G407" s="2162" t="inlineStr">
        <is>
          <t xml:space="preserve">Mão de obra </t>
        </is>
      </c>
      <c r="H407" s="2162" t="n"/>
      <c r="I407" s="4" t="inlineStr">
        <is>
          <t>Mão de Obra Própria</t>
        </is>
      </c>
    </row>
    <row r="408" ht="15.75" customHeight="1">
      <c r="A408" s="10">
        <f>COUNTIFS($B$2:$B$996,B408)</f>
        <v/>
      </c>
      <c r="B408" s="10" t="inlineStr">
        <is>
          <t>Mestre 2</t>
        </is>
      </c>
      <c r="C408" s="11" t="inlineStr">
        <is>
          <t>MÊS</t>
        </is>
      </c>
      <c r="D408" s="2162">
        <f>E408*$D$1</f>
        <v/>
      </c>
      <c r="E408" s="2162" t="n">
        <v>6500</v>
      </c>
      <c r="F408" s="2162" t="inlineStr">
        <is>
          <t xml:space="preserve">Mão de obra </t>
        </is>
      </c>
      <c r="G408" s="2162" t="inlineStr">
        <is>
          <t xml:space="preserve">Mão de obra </t>
        </is>
      </c>
      <c r="H408" s="2162" t="n"/>
      <c r="I408" s="4" t="inlineStr">
        <is>
          <t>Mão de Obra Própria</t>
        </is>
      </c>
    </row>
    <row r="409" ht="15.75" customHeight="1">
      <c r="A409" s="10">
        <f>COUNTIFS($B$2:$B$996,B409)</f>
        <v/>
      </c>
      <c r="B409" s="10" t="inlineStr">
        <is>
          <t>Oficial 1</t>
        </is>
      </c>
      <c r="C409" s="11" t="inlineStr">
        <is>
          <t>MÊS</t>
        </is>
      </c>
      <c r="D409" s="2162">
        <f>E409*$D$1</f>
        <v/>
      </c>
      <c r="E409" s="2162" t="n">
        <v>4200</v>
      </c>
      <c r="F409" s="2162" t="inlineStr">
        <is>
          <t xml:space="preserve">Mão de obra </t>
        </is>
      </c>
      <c r="G409" s="2162" t="inlineStr">
        <is>
          <t xml:space="preserve">Mão de obra </t>
        </is>
      </c>
      <c r="H409" s="2162" t="n"/>
      <c r="I409" s="4" t="inlineStr">
        <is>
          <t>Mão de Obra Própria</t>
        </is>
      </c>
    </row>
    <row r="410" ht="15.75" customHeight="1">
      <c r="A410" s="10">
        <f>COUNTIFS($B$2:$B$996,B410)</f>
        <v/>
      </c>
      <c r="B410" s="10" t="inlineStr">
        <is>
          <t>Oficial 2</t>
        </is>
      </c>
      <c r="C410" s="11" t="inlineStr">
        <is>
          <t>MÊS</t>
        </is>
      </c>
      <c r="D410" s="2162">
        <f>E410*$D$1</f>
        <v/>
      </c>
      <c r="E410" s="2162" t="n">
        <v>3000</v>
      </c>
      <c r="F410" s="2162" t="inlineStr">
        <is>
          <t xml:space="preserve">Mão de obra </t>
        </is>
      </c>
      <c r="G410" s="2162" t="inlineStr">
        <is>
          <t xml:space="preserve">Mão de obra </t>
        </is>
      </c>
      <c r="H410" s="2162" t="n"/>
      <c r="I410" s="4" t="inlineStr">
        <is>
          <t>Mão de Obra Própria</t>
        </is>
      </c>
    </row>
    <row r="411" ht="15.75" customHeight="1">
      <c r="A411" s="10">
        <f>COUNTIFS($B$2:$B$996,B411)</f>
        <v/>
      </c>
      <c r="B411" s="10" t="inlineStr">
        <is>
          <t>Operador de máquina 1</t>
        </is>
      </c>
      <c r="C411" s="11" t="inlineStr">
        <is>
          <t>MÊS</t>
        </is>
      </c>
      <c r="D411" s="2162">
        <f>E411*$D$1</f>
        <v/>
      </c>
      <c r="E411" s="2162" t="n">
        <v>4000</v>
      </c>
      <c r="F411" s="2162" t="inlineStr">
        <is>
          <t xml:space="preserve">Mão de obra </t>
        </is>
      </c>
      <c r="G411" s="2162" t="inlineStr">
        <is>
          <t xml:space="preserve">Mão de obra </t>
        </is>
      </c>
      <c r="H411" s="2162" t="n"/>
      <c r="I411" s="4" t="inlineStr">
        <is>
          <t>Mão de Obra Própria</t>
        </is>
      </c>
    </row>
    <row r="412" ht="15.75" customHeight="1">
      <c r="A412" s="10">
        <f>COUNTIFS($B$2:$B$996,B412)</f>
        <v/>
      </c>
      <c r="B412" s="10" t="inlineStr">
        <is>
          <t>Operador de máquina 2</t>
        </is>
      </c>
      <c r="C412" s="11" t="inlineStr">
        <is>
          <t>MÊS</t>
        </is>
      </c>
      <c r="D412" s="2162">
        <f>E412*$D$1</f>
        <v/>
      </c>
      <c r="E412" s="2162" t="n">
        <v>3450</v>
      </c>
      <c r="F412" s="2162" t="inlineStr">
        <is>
          <t xml:space="preserve">Mão de obra </t>
        </is>
      </c>
      <c r="G412" s="2162" t="inlineStr">
        <is>
          <t xml:space="preserve">Mão de obra </t>
        </is>
      </c>
      <c r="H412" s="2162" t="n"/>
      <c r="I412" s="4" t="inlineStr">
        <is>
          <t>Mão de Obra Própria</t>
        </is>
      </c>
    </row>
    <row r="413" ht="15.75" customHeight="1">
      <c r="A413" s="10">
        <f>COUNTIFS($B$2:$B$996,B413)</f>
        <v/>
      </c>
      <c r="B413" s="10" t="inlineStr">
        <is>
          <t>Operador de máquina 3</t>
        </is>
      </c>
      <c r="C413" s="11" t="inlineStr">
        <is>
          <t>MÊS</t>
        </is>
      </c>
      <c r="D413" s="2162">
        <f>E413*$D$1</f>
        <v/>
      </c>
      <c r="E413" s="2162" t="n">
        <v>5000</v>
      </c>
      <c r="F413" s="2162" t="inlineStr">
        <is>
          <t xml:space="preserve">Mão de obra </t>
        </is>
      </c>
      <c r="G413" s="2162" t="inlineStr">
        <is>
          <t xml:space="preserve">Mão de obra </t>
        </is>
      </c>
      <c r="H413" s="2162" t="n"/>
      <c r="I413" s="4" t="inlineStr">
        <is>
          <t>Mão de Obra Própria</t>
        </is>
      </c>
    </row>
    <row r="414" ht="15.75" customHeight="1">
      <c r="A414" s="10">
        <f>COUNTIFS($B$2:$B$996,B414)</f>
        <v/>
      </c>
      <c r="B414" s="10" t="inlineStr">
        <is>
          <t>Operador de máquina 4</t>
        </is>
      </c>
      <c r="C414" s="11" t="inlineStr">
        <is>
          <t>MÊS</t>
        </is>
      </c>
      <c r="D414" s="2162">
        <f>E414*$D$1</f>
        <v/>
      </c>
      <c r="E414" s="2162" t="n">
        <v>3000</v>
      </c>
      <c r="F414" s="2162" t="inlineStr">
        <is>
          <t xml:space="preserve">Mão de obra </t>
        </is>
      </c>
      <c r="G414" s="2162" t="inlineStr">
        <is>
          <t xml:space="preserve">Mão de obra </t>
        </is>
      </c>
      <c r="H414" s="2162" t="n"/>
      <c r="I414" s="4" t="inlineStr">
        <is>
          <t>Mão de Obra Própria</t>
        </is>
      </c>
    </row>
    <row r="415" ht="15.75" customHeight="1">
      <c r="A415" s="10">
        <f>COUNTIFS($B$2:$B$996,B415)</f>
        <v/>
      </c>
      <c r="B415" s="10" t="inlineStr">
        <is>
          <t>Operador de máquina 5</t>
        </is>
      </c>
      <c r="C415" s="11" t="inlineStr">
        <is>
          <t>MÊS</t>
        </is>
      </c>
      <c r="D415" s="2162">
        <f>E415*$D$1</f>
        <v/>
      </c>
      <c r="E415" s="2162" t="n">
        <v>2400</v>
      </c>
      <c r="F415" s="2162" t="inlineStr">
        <is>
          <t xml:space="preserve">Mão de obra </t>
        </is>
      </c>
      <c r="G415" s="2162" t="inlineStr">
        <is>
          <t xml:space="preserve">Mão de obra </t>
        </is>
      </c>
      <c r="H415" s="2162" t="n"/>
      <c r="I415" s="4" t="inlineStr">
        <is>
          <t>Mão de Obra Própria</t>
        </is>
      </c>
    </row>
    <row r="416" ht="15.75" customHeight="1">
      <c r="A416" s="10">
        <f>COUNTIFS($B$2:$B$996,B416)</f>
        <v/>
      </c>
      <c r="B416" s="10" t="inlineStr">
        <is>
          <t>Ajudante 1</t>
        </is>
      </c>
      <c r="C416" s="11" t="inlineStr">
        <is>
          <t>MÊS</t>
        </is>
      </c>
      <c r="D416" s="2162">
        <f>E416*$D$1</f>
        <v/>
      </c>
      <c r="E416" s="2162" t="n">
        <v>2400</v>
      </c>
      <c r="F416" s="2162" t="inlineStr">
        <is>
          <t xml:space="preserve">Mão de obra </t>
        </is>
      </c>
      <c r="G416" s="2162" t="inlineStr">
        <is>
          <t>Mão de obra própria</t>
        </is>
      </c>
      <c r="H416" s="2162" t="n"/>
      <c r="I416" s="4" t="inlineStr">
        <is>
          <t>Mão de Obra Própria</t>
        </is>
      </c>
    </row>
    <row r="417" ht="15.75" customHeight="1">
      <c r="A417" s="10">
        <f>COUNTIFS($B$2:$B$996,B417)</f>
        <v/>
      </c>
      <c r="B417" s="10" t="inlineStr">
        <is>
          <t>Adesivo Acrilico De Base Aquosa / Cola De Contato</t>
        </is>
      </c>
      <c r="C417" s="11" t="inlineStr">
        <is>
          <t>KG</t>
        </is>
      </c>
      <c r="D417" s="2162">
        <f>E417*$D$1</f>
        <v/>
      </c>
      <c r="E417" s="2162" t="n">
        <v>25.11</v>
      </c>
      <c r="F417" s="2162" t="inlineStr">
        <is>
          <t>Materiais complementares</t>
        </is>
      </c>
      <c r="G417" s="2162" t="inlineStr">
        <is>
          <t>Diversos</t>
        </is>
      </c>
      <c r="H417" s="2162" t="n"/>
      <c r="I417" s="4" t="inlineStr">
        <is>
          <t>Aditivos, Colas e Similares</t>
        </is>
      </c>
    </row>
    <row r="418" ht="15.75" customHeight="1">
      <c r="A418" s="10">
        <f>COUNTIFS($B$2:$B$996,B418)</f>
        <v/>
      </c>
      <c r="B418" s="10" t="inlineStr">
        <is>
          <t>ADESIVO DE BASE ACRÍLICA COMPATÍVEL COM CIMENTO</t>
        </is>
      </c>
      <c r="C418" s="11" t="inlineStr">
        <is>
          <t>KG</t>
        </is>
      </c>
      <c r="D418" s="2162">
        <f>E418*$D$1</f>
        <v/>
      </c>
      <c r="E418" s="2162" t="n">
        <v>22.95611111111111</v>
      </c>
      <c r="F418" s="2162" t="inlineStr">
        <is>
          <t>Materiais complementares</t>
        </is>
      </c>
      <c r="G418" s="2162" t="inlineStr">
        <is>
          <t>Diversos</t>
        </is>
      </c>
      <c r="H418" s="2162" t="n"/>
      <c r="I418" s="4" t="inlineStr">
        <is>
          <t>Aditivos, Colas e Similares</t>
        </is>
      </c>
    </row>
    <row r="419" ht="15.75" customHeight="1">
      <c r="A419" s="10">
        <f>COUNTIFS($B$2:$B$996,B419)</f>
        <v/>
      </c>
      <c r="B419" s="10" t="inlineStr">
        <is>
          <t>Aditivo Adesivo Liquido Para Impermeabilização</t>
        </is>
      </c>
      <c r="C419" s="11" t="inlineStr">
        <is>
          <t>L</t>
        </is>
      </c>
      <c r="D419" s="2162">
        <f>E419*$D$1</f>
        <v/>
      </c>
      <c r="E419" s="2162" t="n">
        <v>66.66666666666667</v>
      </c>
      <c r="F419" s="2162" t="inlineStr">
        <is>
          <t>Materiais complementares</t>
        </is>
      </c>
      <c r="G419" s="2162" t="inlineStr">
        <is>
          <t>Diversos</t>
        </is>
      </c>
      <c r="H419" s="2162" t="n"/>
      <c r="I419" s="4" t="inlineStr">
        <is>
          <t>Aditivos, Colas e Similares</t>
        </is>
      </c>
    </row>
    <row r="420" ht="15.75" customHeight="1">
      <c r="A420" s="10">
        <f>COUNTIFS($B$2:$B$996,B420)</f>
        <v/>
      </c>
      <c r="B420" s="10" t="inlineStr">
        <is>
          <t>Aditivo Adesivo Liquido Para Argamassas De Revestimentos Cimenticios</t>
        </is>
      </c>
      <c r="C420" s="11" t="inlineStr">
        <is>
          <t>L</t>
        </is>
      </c>
      <c r="D420" s="2162">
        <f>E420*$D$1</f>
        <v/>
      </c>
      <c r="E420" s="2162" t="n">
        <v>19.34</v>
      </c>
      <c r="F420" s="2162" t="inlineStr">
        <is>
          <t>Materiais complementares</t>
        </is>
      </c>
      <c r="G420" s="2162" t="inlineStr">
        <is>
          <t>Diversos</t>
        </is>
      </c>
      <c r="H420" s="2162" t="n"/>
      <c r="I420" s="4" t="inlineStr">
        <is>
          <t>Aditivos, Colas e Similares</t>
        </is>
      </c>
    </row>
    <row r="421" ht="15.75" customHeight="1">
      <c r="A421" s="10">
        <f>COUNTIFS($B$2:$B$996,B421)</f>
        <v/>
      </c>
      <c r="B421" s="10" t="inlineStr">
        <is>
          <t xml:space="preserve">Aditivo Bianco Adesivo Argamassa Chapisco </t>
        </is>
      </c>
      <c r="C421" s="11" t="inlineStr">
        <is>
          <t>KG</t>
        </is>
      </c>
      <c r="D421" s="2162">
        <f>E421*$D$1</f>
        <v/>
      </c>
      <c r="E421" s="2162" t="n">
        <v>11.2295</v>
      </c>
      <c r="F421" s="2162" t="inlineStr">
        <is>
          <t>Materiais complementares</t>
        </is>
      </c>
      <c r="G421" s="2162" t="inlineStr">
        <is>
          <t>Diversos</t>
        </is>
      </c>
      <c r="H421" s="2162" t="n"/>
      <c r="I421" s="4" t="inlineStr">
        <is>
          <t>Aditivos, Colas e Similares</t>
        </is>
      </c>
    </row>
    <row r="422" ht="15.75" customHeight="1">
      <c r="A422" s="10">
        <f>COUNTIFS($B$2:$B$996,B422)</f>
        <v/>
      </c>
      <c r="B422" s="10" t="inlineStr">
        <is>
          <t>ADITIVO EXPANSOR EM PÓ</t>
        </is>
      </c>
      <c r="C422" s="11" t="inlineStr">
        <is>
          <t>KG</t>
        </is>
      </c>
      <c r="D422" s="2162">
        <f>E422*$D$1</f>
        <v/>
      </c>
      <c r="E422" s="2162" t="n">
        <v>190</v>
      </c>
      <c r="F422" s="2162" t="inlineStr">
        <is>
          <t>Materiais complementares</t>
        </is>
      </c>
      <c r="G422" s="2162" t="inlineStr">
        <is>
          <t>Diversos</t>
        </is>
      </c>
      <c r="H422" s="2162" t="n"/>
      <c r="I422" s="4" t="inlineStr">
        <is>
          <t>Aditivos, Colas e Similares</t>
        </is>
      </c>
    </row>
    <row r="423" ht="15.75" customHeight="1">
      <c r="A423" s="10">
        <f>COUNTIFS($B$2:$B$996,B423)</f>
        <v/>
      </c>
      <c r="B423" s="10" t="inlineStr">
        <is>
          <t>BANNER LONA VINILICA</t>
        </is>
      </c>
      <c r="C423" s="11" t="inlineStr">
        <is>
          <t>UN</t>
        </is>
      </c>
      <c r="D423" s="2162">
        <f>E423*$D$1</f>
        <v/>
      </c>
      <c r="E423" s="2162" t="n">
        <v>1052.11</v>
      </c>
      <c r="F423" s="2162" t="inlineStr">
        <is>
          <t>Materiais complementares</t>
        </is>
      </c>
      <c r="G423" s="2162" t="inlineStr">
        <is>
          <t>Diversos</t>
        </is>
      </c>
      <c r="H423" s="2162" t="n"/>
      <c r="I423" s="4" t="inlineStr">
        <is>
          <t>Diversos</t>
        </is>
      </c>
    </row>
    <row r="424" ht="15.75" customHeight="1">
      <c r="A424" s="10">
        <f>COUNTIFS($B$2:$B$996,B424)</f>
        <v/>
      </c>
      <c r="B424" s="10" t="inlineStr">
        <is>
          <t>CARTUCHO/MUNIÇÃO FINCAPINO 22</t>
        </is>
      </c>
      <c r="C424" s="11" t="inlineStr">
        <is>
          <t>UN</t>
        </is>
      </c>
      <c r="D424" s="2162">
        <f>E424*$D$1</f>
        <v/>
      </c>
      <c r="E424" s="2162" t="n">
        <v>0.37</v>
      </c>
      <c r="F424" s="2162" t="inlineStr">
        <is>
          <t>Materiais complementares</t>
        </is>
      </c>
      <c r="G424" s="2162" t="inlineStr">
        <is>
          <t>Diversos</t>
        </is>
      </c>
      <c r="H424" s="2162" t="n"/>
      <c r="I424" s="4" t="inlineStr">
        <is>
          <t>Diversos</t>
        </is>
      </c>
    </row>
    <row r="425" ht="15.75" customHeight="1">
      <c r="A425" s="10">
        <f>COUNTIFS($B$2:$B$996,B425)</f>
        <v/>
      </c>
      <c r="B425" s="10" t="inlineStr">
        <is>
          <t>CHUMBADOR PARABOLT ACO CARBONO CBA 1/2"X75MM</t>
        </is>
      </c>
      <c r="C425" s="11" t="inlineStr">
        <is>
          <t>UN</t>
        </is>
      </c>
      <c r="D425" s="2162">
        <f>E425*$D$1</f>
        <v/>
      </c>
      <c r="E425" s="2162" t="n">
        <v>5.3</v>
      </c>
      <c r="F425" s="2162" t="inlineStr">
        <is>
          <t>Materiais complementares</t>
        </is>
      </c>
      <c r="G425" s="2162" t="inlineStr">
        <is>
          <t>Diversos</t>
        </is>
      </c>
      <c r="H425" s="2162" t="n"/>
      <c r="I425" s="4" t="inlineStr">
        <is>
          <t>Diversos</t>
        </is>
      </c>
    </row>
    <row r="426" ht="15.75" customHeight="1">
      <c r="A426" s="10">
        <f>COUNTIFS($B$2:$B$996,B426)</f>
        <v/>
      </c>
      <c r="B426" s="10" t="inlineStr">
        <is>
          <t>CLIPS PARA CABO DE AÇO 5/16</t>
        </is>
      </c>
      <c r="C426" s="11" t="inlineStr">
        <is>
          <t>UN</t>
        </is>
      </c>
      <c r="D426" s="2162">
        <f>E426*$D$1</f>
        <v/>
      </c>
      <c r="E426" s="2162" t="n">
        <v>1.7</v>
      </c>
      <c r="F426" s="2162" t="inlineStr">
        <is>
          <t>Materiais complementares</t>
        </is>
      </c>
      <c r="G426" s="2162" t="inlineStr">
        <is>
          <t>Diversos</t>
        </is>
      </c>
      <c r="H426" s="2162" t="n"/>
      <c r="I426" s="4" t="inlineStr">
        <is>
          <t>Diversos</t>
        </is>
      </c>
    </row>
    <row r="427" ht="15.75" customHeight="1">
      <c r="A427" s="10">
        <f>COUNTIFS($B$2:$B$996,B427)</f>
        <v/>
      </c>
      <c r="B427" s="10" t="inlineStr">
        <is>
          <t>Cola Branca base PVA</t>
        </is>
      </c>
      <c r="C427" s="11" t="inlineStr">
        <is>
          <t>KG</t>
        </is>
      </c>
      <c r="D427" s="2162">
        <f>E427*$D$1</f>
        <v/>
      </c>
      <c r="E427" s="2162" t="n">
        <v>29.13</v>
      </c>
      <c r="F427" s="2162" t="inlineStr">
        <is>
          <t>Materiais complementares</t>
        </is>
      </c>
      <c r="G427" s="2162" t="inlineStr">
        <is>
          <t>Diversos</t>
        </is>
      </c>
      <c r="H427" s="2162" t="n"/>
      <c r="I427" s="4" t="inlineStr">
        <is>
          <t>Diversos</t>
        </is>
      </c>
    </row>
    <row r="428" ht="15.75" customHeight="1">
      <c r="A428" s="10">
        <f>COUNTIFS($B$2:$B$996,B428)</f>
        <v/>
      </c>
      <c r="B428" s="10" t="inlineStr">
        <is>
          <t>PU Fix Branco Cartucho 387 Gramas/280 ML</t>
        </is>
      </c>
      <c r="C428" s="11" t="inlineStr">
        <is>
          <t>UN</t>
        </is>
      </c>
      <c r="D428" s="2162">
        <f>E428*$D$1</f>
        <v/>
      </c>
      <c r="E428" s="2162" t="n">
        <v>19.9</v>
      </c>
      <c r="F428" s="2162" t="inlineStr">
        <is>
          <t>Materiais complementares</t>
        </is>
      </c>
      <c r="G428" s="2162" t="inlineStr">
        <is>
          <t>Diversos</t>
        </is>
      </c>
      <c r="H428" s="2162" t="n"/>
      <c r="I428" s="4" t="inlineStr">
        <is>
          <t>Diversos</t>
        </is>
      </c>
    </row>
    <row r="429" ht="15.75" customHeight="1">
      <c r="A429" s="10">
        <f>COUNTIFS($B$2:$B$996,B429)</f>
        <v/>
      </c>
      <c r="B429" s="10" t="inlineStr">
        <is>
          <t>Cola Extra Forte AC6000-400G</t>
        </is>
      </c>
      <c r="C429" s="11" t="inlineStr">
        <is>
          <t>UN</t>
        </is>
      </c>
      <c r="D429" s="2162">
        <f>E429*$D$1</f>
        <v/>
      </c>
      <c r="E429" s="2162" t="n">
        <v>75</v>
      </c>
      <c r="F429" s="2162" t="inlineStr">
        <is>
          <t>Materiais complementares</t>
        </is>
      </c>
      <c r="G429" s="2162" t="inlineStr">
        <is>
          <t>Diversos</t>
        </is>
      </c>
      <c r="H429" s="2162" t="n"/>
      <c r="I429" s="4" t="inlineStr">
        <is>
          <t>Aditivos, Colas e Similares</t>
        </is>
      </c>
    </row>
    <row r="430" ht="15.75" customHeight="1">
      <c r="A430" s="10">
        <f>COUNTIFS($B$2:$B$996,B430)</f>
        <v/>
      </c>
      <c r="B430" s="10" t="inlineStr">
        <is>
          <t>Espuma Expansiva de PU 740 gramas</t>
        </is>
      </c>
      <c r="C430" s="11" t="inlineStr">
        <is>
          <t>un</t>
        </is>
      </c>
      <c r="D430" s="2162">
        <f>E430*$D$1</f>
        <v/>
      </c>
      <c r="E430" s="2162" t="n">
        <v>55</v>
      </c>
      <c r="F430" s="2162" t="inlineStr">
        <is>
          <t>Materiais complementares</t>
        </is>
      </c>
      <c r="G430" s="2162" t="inlineStr">
        <is>
          <t>Diversos</t>
        </is>
      </c>
      <c r="H430" s="2162" t="n"/>
      <c r="I430" s="4" t="inlineStr">
        <is>
          <t>Diversos</t>
        </is>
      </c>
    </row>
    <row r="431" ht="15.75" customHeight="1">
      <c r="A431" s="10">
        <f>COUNTIFS($B$2:$B$996,B431)</f>
        <v/>
      </c>
      <c r="B431" s="10" t="inlineStr">
        <is>
          <t>Fita Crepe Rolo De 25 Mm X 50 M</t>
        </is>
      </c>
      <c r="C431" s="11" t="inlineStr">
        <is>
          <t>UN</t>
        </is>
      </c>
      <c r="D431" s="2162">
        <f>E431*$D$1</f>
        <v/>
      </c>
      <c r="E431" s="2162" t="n">
        <v>11.26</v>
      </c>
      <c r="F431" s="2162" t="inlineStr">
        <is>
          <t>Materiais complementares</t>
        </is>
      </c>
      <c r="G431" s="2162" t="inlineStr">
        <is>
          <t>Diversos</t>
        </is>
      </c>
      <c r="H431" s="2162" t="n"/>
      <c r="I431" s="4" t="inlineStr">
        <is>
          <t>Diversos</t>
        </is>
      </c>
    </row>
    <row r="432" ht="15.75" customHeight="1">
      <c r="A432" s="10">
        <f>COUNTIFS($B$2:$B$996,B432)</f>
        <v/>
      </c>
      <c r="B432" s="10" t="inlineStr">
        <is>
          <t>Thiner</t>
        </is>
      </c>
      <c r="C432" s="11" t="inlineStr">
        <is>
          <t>L</t>
        </is>
      </c>
      <c r="D432" s="2162">
        <f>E432*$D$1</f>
        <v/>
      </c>
      <c r="E432" s="2162" t="n">
        <v>13.5</v>
      </c>
      <c r="F432" s="2162" t="inlineStr">
        <is>
          <t>Materiais complementares</t>
        </is>
      </c>
      <c r="G432" s="2162" t="inlineStr">
        <is>
          <t>Diversos</t>
        </is>
      </c>
      <c r="H432" s="2162" t="n"/>
      <c r="I432" s="4" t="inlineStr">
        <is>
          <t>Diversos</t>
        </is>
      </c>
    </row>
    <row r="433" ht="15.75" customHeight="1">
      <c r="A433" s="10">
        <f>COUNTIFS($B$2:$B$996,B433)</f>
        <v/>
      </c>
      <c r="B433" s="10" t="inlineStr">
        <is>
          <t>Pacote de Estopa</t>
        </is>
      </c>
      <c r="C433" s="11" t="inlineStr">
        <is>
          <t>UN</t>
        </is>
      </c>
      <c r="D433" s="2162">
        <f>E433*$D$1</f>
        <v/>
      </c>
      <c r="E433" s="2162" t="n">
        <v>6.9</v>
      </c>
      <c r="F433" s="2162" t="inlineStr">
        <is>
          <t>Materiais complementares</t>
        </is>
      </c>
      <c r="G433" s="2162" t="inlineStr">
        <is>
          <t>Diversos</t>
        </is>
      </c>
      <c r="H433" s="2162" t="n"/>
      <c r="I433" s="4" t="inlineStr">
        <is>
          <t>Diversos</t>
        </is>
      </c>
    </row>
    <row r="434" ht="15.75" customHeight="1">
      <c r="A434" s="10">
        <f>COUNTIFS($B$2:$B$996,B434)</f>
        <v/>
      </c>
      <c r="B434" s="10" t="inlineStr">
        <is>
          <t>Cloro para Limpeza</t>
        </is>
      </c>
      <c r="C434" s="11" t="inlineStr">
        <is>
          <t>L</t>
        </is>
      </c>
      <c r="D434" s="2162">
        <f>E434*$D$1</f>
        <v/>
      </c>
      <c r="E434" s="2162" t="n">
        <v>6.4</v>
      </c>
      <c r="F434" s="2162" t="inlineStr">
        <is>
          <t>Materiais complementares</t>
        </is>
      </c>
      <c r="G434" s="2162" t="inlineStr">
        <is>
          <t>Diversos</t>
        </is>
      </c>
      <c r="H434" s="2162" t="n"/>
      <c r="I434" s="4" t="inlineStr">
        <is>
          <t>Diversos</t>
        </is>
      </c>
    </row>
    <row r="435" ht="15.75" customHeight="1">
      <c r="A435" s="10">
        <f>COUNTIFS($B$2:$B$996,B435)</f>
        <v/>
      </c>
      <c r="B435" s="10" t="inlineStr">
        <is>
          <t>Disco de lixa (Diametro 225mm) - Grão 180</t>
        </is>
      </c>
      <c r="C435" s="11" t="inlineStr">
        <is>
          <t>UN</t>
        </is>
      </c>
      <c r="D435" s="2162">
        <f>E435*$D$1</f>
        <v/>
      </c>
      <c r="E435" s="2162" t="n">
        <v>5.989</v>
      </c>
      <c r="F435" s="2162" t="inlineStr">
        <is>
          <t>Materiais complementares</t>
        </is>
      </c>
      <c r="G435" s="2162" t="inlineStr">
        <is>
          <t>Diversos</t>
        </is>
      </c>
      <c r="H435" s="2162" t="n"/>
      <c r="I435" s="4" t="inlineStr">
        <is>
          <t>Diversos</t>
        </is>
      </c>
    </row>
    <row r="436" ht="15.75" customHeight="1">
      <c r="A436" s="10">
        <f>COUNTIFS($B$2:$B$996,B436)</f>
        <v/>
      </c>
      <c r="B436" s="10" t="inlineStr">
        <is>
          <t>Disco de lixa telado (Diâmetro 225mm) - Grão 220</t>
        </is>
      </c>
      <c r="C436" s="11" t="inlineStr">
        <is>
          <t>UN</t>
        </is>
      </c>
      <c r="D436" s="2162">
        <f>E436*$D$1</f>
        <v/>
      </c>
      <c r="E436" s="2162" t="n">
        <v>5.25</v>
      </c>
      <c r="F436" s="2162" t="inlineStr">
        <is>
          <t>Materiais complementares</t>
        </is>
      </c>
      <c r="G436" s="2162" t="inlineStr">
        <is>
          <t>Diversos</t>
        </is>
      </c>
      <c r="H436" s="2162" t="n"/>
      <c r="I436" s="4" t="inlineStr">
        <is>
          <t>Diversos</t>
        </is>
      </c>
    </row>
    <row r="437" ht="15.75" customHeight="1">
      <c r="A437" s="10">
        <f>COUNTIFS($B$2:$B$996,B437)</f>
        <v/>
      </c>
      <c r="B437" s="10" t="inlineStr">
        <is>
          <t>Fita Crepe 50mm x 50mt Azul</t>
        </is>
      </c>
      <c r="C437" s="11" t="inlineStr">
        <is>
          <t>UN</t>
        </is>
      </c>
      <c r="D437" s="2162">
        <f>E437*$D$1</f>
        <v/>
      </c>
      <c r="E437" s="2162" t="n">
        <v>36.9</v>
      </c>
      <c r="F437" s="2162" t="inlineStr">
        <is>
          <t>Materiais complementares</t>
        </is>
      </c>
      <c r="G437" s="2162" t="inlineStr">
        <is>
          <t>Diversos</t>
        </is>
      </c>
      <c r="H437" s="2162" t="n"/>
      <c r="I437" s="4" t="inlineStr">
        <is>
          <t>Diversos</t>
        </is>
      </c>
    </row>
    <row r="438" ht="15.75" customHeight="1">
      <c r="A438" s="10">
        <f>COUNTIFS($B$2:$B$996,B438)</f>
        <v/>
      </c>
      <c r="B438" s="10" t="inlineStr">
        <is>
          <t>LIXA DAGUA 225X275MM GR100</t>
        </is>
      </c>
      <c r="C438" s="11" t="inlineStr">
        <is>
          <t>UN</t>
        </is>
      </c>
      <c r="D438" s="2162">
        <f>E438*$D$1</f>
        <v/>
      </c>
      <c r="E438" s="2162" t="n">
        <v>1.89</v>
      </c>
      <c r="F438" s="2162" t="inlineStr">
        <is>
          <t>Materiais complementares</t>
        </is>
      </c>
      <c r="G438" s="2162" t="inlineStr">
        <is>
          <t>Diversos</t>
        </is>
      </c>
      <c r="H438" s="2162" t="n"/>
      <c r="I438" s="4" t="inlineStr">
        <is>
          <t>Diversos</t>
        </is>
      </c>
    </row>
    <row r="439" ht="15.75" customHeight="1">
      <c r="A439" s="10">
        <f>COUNTIFS($B$2:$B$996,B439)</f>
        <v/>
      </c>
      <c r="B439" s="10" t="inlineStr">
        <is>
          <t>LIXA EM FOLHA PARA FERRO, NÚMERO 100</t>
        </is>
      </c>
      <c r="C439" s="11" t="inlineStr">
        <is>
          <t>UN</t>
        </is>
      </c>
      <c r="D439" s="2162">
        <f>E439*$D$1</f>
        <v/>
      </c>
      <c r="E439" s="2162" t="n">
        <v>3.13</v>
      </c>
      <c r="F439" s="2162" t="inlineStr">
        <is>
          <t>Materiais complementares</t>
        </is>
      </c>
      <c r="G439" s="2162" t="inlineStr">
        <is>
          <t>Diversos</t>
        </is>
      </c>
      <c r="H439" s="2162" t="n"/>
      <c r="I439" s="4" t="inlineStr">
        <is>
          <t>Diversos</t>
        </is>
      </c>
    </row>
    <row r="440" ht="15.75" customHeight="1">
      <c r="A440" s="10">
        <f>COUNTIFS($B$2:$B$996,B440)</f>
        <v/>
      </c>
      <c r="B440" s="10" t="inlineStr">
        <is>
          <t>LONA PLASTICA 120 MICRAS 4X100M PRETA</t>
        </is>
      </c>
      <c r="C440" s="11" t="inlineStr">
        <is>
          <t>M2</t>
        </is>
      </c>
      <c r="D440" s="2162">
        <f>E440*$D$1</f>
        <v/>
      </c>
      <c r="E440" s="2162" t="n">
        <v>1.25</v>
      </c>
      <c r="F440" s="2162" t="inlineStr">
        <is>
          <t>Materiais complementares</t>
        </is>
      </c>
      <c r="G440" s="2162" t="inlineStr">
        <is>
          <t>Diversos</t>
        </is>
      </c>
      <c r="H440" s="2162" t="n"/>
      <c r="I440" s="4" t="inlineStr">
        <is>
          <t>Diversos</t>
        </is>
      </c>
    </row>
    <row r="441" ht="15.75" customHeight="1">
      <c r="A441" s="10">
        <f>COUNTIFS($B$2:$B$996,B441)</f>
        <v/>
      </c>
      <c r="B441" s="10" t="inlineStr">
        <is>
          <t>Lona Preta Plástica 4x100 Metros 25kg - Agroplastic, Tamanho: 120 Micras</t>
        </is>
      </c>
      <c r="C441" s="11" t="inlineStr">
        <is>
          <t>M2</t>
        </is>
      </c>
      <c r="D441" s="2162">
        <f>E441*$D$1</f>
        <v/>
      </c>
      <c r="E441" s="2162" t="n">
        <v>2.3025</v>
      </c>
      <c r="F441" s="2162" t="inlineStr">
        <is>
          <t>Materiais complementares</t>
        </is>
      </c>
      <c r="G441" s="2162" t="inlineStr">
        <is>
          <t>Diversos</t>
        </is>
      </c>
      <c r="H441" s="2162" t="n"/>
      <c r="I441" s="4" t="inlineStr">
        <is>
          <t>Diversos</t>
        </is>
      </c>
    </row>
    <row r="442" ht="15.75" customHeight="1">
      <c r="A442" s="10">
        <f>COUNTIFS($B$2:$B$996,B442)</f>
        <v/>
      </c>
      <c r="B442" s="10" t="inlineStr">
        <is>
          <t>Moldura EPS - m³</t>
        </is>
      </c>
      <c r="C442" s="11" t="inlineStr">
        <is>
          <t>M3</t>
        </is>
      </c>
      <c r="D442" s="2162">
        <f>E442*$D$1</f>
        <v/>
      </c>
      <c r="E442" s="2162">
        <f>50/(1*0.33*0.11)</f>
        <v/>
      </c>
      <c r="F442" s="2162" t="inlineStr">
        <is>
          <t>Materiais complementares</t>
        </is>
      </c>
      <c r="G442" s="2162" t="inlineStr">
        <is>
          <t>Diversos</t>
        </is>
      </c>
      <c r="H442" s="2162" t="n"/>
      <c r="I442" s="4" t="inlineStr">
        <is>
          <t>Diversos</t>
        </is>
      </c>
    </row>
    <row r="443" ht="15.75" customHeight="1">
      <c r="A443" s="10">
        <f>COUNTIFS($B$2:$B$996,B443)</f>
        <v/>
      </c>
      <c r="B443" s="10" t="inlineStr">
        <is>
          <t>Isopor Eps Nivelamento Laje Contra Piso 1000x330x110mm</t>
        </is>
      </c>
      <c r="C443" s="11" t="inlineStr">
        <is>
          <t>M2</t>
        </is>
      </c>
      <c r="D443" s="2162">
        <f>E443*$D$1</f>
        <v/>
      </c>
      <c r="E443" s="2162">
        <f>50/(1*0.33)</f>
        <v/>
      </c>
      <c r="F443" s="2162" t="inlineStr">
        <is>
          <t>Materiais complementares</t>
        </is>
      </c>
      <c r="G443" s="2162" t="inlineStr">
        <is>
          <t>Diversos</t>
        </is>
      </c>
      <c r="H443" s="2162" t="n"/>
      <c r="I443" s="4" t="inlineStr">
        <is>
          <t>Diversos</t>
        </is>
      </c>
    </row>
    <row r="444" ht="15.75" customHeight="1">
      <c r="A444" s="10">
        <f>COUNTIFS($B$2:$B$996,B444)</f>
        <v/>
      </c>
      <c r="B444" s="10" t="inlineStr">
        <is>
          <t>Silicone acético 250gr</t>
        </is>
      </c>
      <c r="C444" s="11" t="inlineStr">
        <is>
          <t>UN</t>
        </is>
      </c>
      <c r="D444" s="2162">
        <f>E444*$D$1</f>
        <v/>
      </c>
      <c r="E444" s="2162" t="n">
        <v>35.6</v>
      </c>
      <c r="F444" s="2162" t="inlineStr">
        <is>
          <t>Materiais complementares</t>
        </is>
      </c>
      <c r="G444" s="2162" t="inlineStr">
        <is>
          <t>Diversos</t>
        </is>
      </c>
      <c r="H444" s="2162" t="n"/>
      <c r="I444" s="4" t="inlineStr">
        <is>
          <t>Diversos</t>
        </is>
      </c>
    </row>
    <row r="445" ht="15.75" customHeight="1">
      <c r="A445" s="10">
        <f>COUNTIFS($B$2:$B$996,B445)</f>
        <v/>
      </c>
      <c r="B445" s="10" t="inlineStr">
        <is>
          <t>SOLDA EM BARRA DE ESTANHO-CHUMBO 50/50</t>
        </is>
      </c>
      <c r="C445" s="11" t="inlineStr">
        <is>
          <t>KG</t>
        </is>
      </c>
      <c r="D445" s="2162">
        <f>E445*$D$1</f>
        <v/>
      </c>
      <c r="E445" s="2162" t="n">
        <v>163.07</v>
      </c>
      <c r="F445" s="2162" t="inlineStr">
        <is>
          <t>Materiais complementares</t>
        </is>
      </c>
      <c r="G445" s="2162" t="inlineStr">
        <is>
          <t>Diversos</t>
        </is>
      </c>
      <c r="H445" s="2162" t="n"/>
      <c r="I445" s="4" t="inlineStr">
        <is>
          <t>Diversos</t>
        </is>
      </c>
    </row>
    <row r="446" ht="15.75" customHeight="1">
      <c r="A446" s="10">
        <f>COUNTIFS($B$2:$B$996,B446)</f>
        <v/>
      </c>
      <c r="B446" s="10" t="inlineStr">
        <is>
          <t>MATERIAL PARA INSTALAÇÃO ELÉTRICA</t>
        </is>
      </c>
      <c r="C446" s="11" t="inlineStr">
        <is>
          <t>VB</t>
        </is>
      </c>
      <c r="D446" s="2162">
        <f>E446*$D$1</f>
        <v/>
      </c>
      <c r="E446" s="2162" t="n">
        <v>215</v>
      </c>
      <c r="F446" s="2162" t="inlineStr">
        <is>
          <t>Materiais complementares</t>
        </is>
      </c>
      <c r="G446" s="2162" t="inlineStr">
        <is>
          <t>Diversos</t>
        </is>
      </c>
      <c r="H446" s="2162" t="n"/>
      <c r="I446" s="4" t="inlineStr">
        <is>
          <t>Diversos</t>
        </is>
      </c>
    </row>
    <row r="447" ht="15.75" customHeight="1">
      <c r="A447" s="10">
        <f>COUNTIFS($B$2:$B$996,B447)</f>
        <v/>
      </c>
      <c r="B447" s="10" t="inlineStr">
        <is>
          <t>Espuma Tarugo Corpo de Apoio Tarucel 15mm (delimitador de profundidade)</t>
        </is>
      </c>
      <c r="C447" s="11" t="inlineStr">
        <is>
          <t>m</t>
        </is>
      </c>
      <c r="D447" s="2162">
        <f>E447*$D$1</f>
        <v/>
      </c>
      <c r="E447" s="2162">
        <f>86/50</f>
        <v/>
      </c>
      <c r="F447" s="2162" t="inlineStr">
        <is>
          <t>Materiais complementares</t>
        </is>
      </c>
      <c r="G447" s="2162" t="inlineStr">
        <is>
          <t>Diversos</t>
        </is>
      </c>
      <c r="H447" s="2162" t="n"/>
      <c r="I447" s="4" t="inlineStr">
        <is>
          <t>Diversos</t>
        </is>
      </c>
    </row>
    <row r="448" ht="15.75" customHeight="1">
      <c r="A448" s="10">
        <f>COUNTIFS($B$2:$B$996,B448)</f>
        <v/>
      </c>
      <c r="B448" s="10" t="inlineStr">
        <is>
          <t>AREIA FINA</t>
        </is>
      </c>
      <c r="C448" s="11" t="inlineStr">
        <is>
          <t>M3</t>
        </is>
      </c>
      <c r="D448" s="2162">
        <f>E448*$D$1</f>
        <v/>
      </c>
      <c r="E448" s="2162" t="n">
        <v>134</v>
      </c>
      <c r="F448" s="2162" t="inlineStr">
        <is>
          <t>Agregados</t>
        </is>
      </c>
      <c r="G448" s="2162" t="inlineStr">
        <is>
          <t>Areia</t>
        </is>
      </c>
      <c r="H448" s="2162" t="n"/>
      <c r="I448" s="4" t="inlineStr">
        <is>
          <t>Agregados</t>
        </is>
      </c>
    </row>
    <row r="449" ht="15.75" customHeight="1">
      <c r="A449" s="10">
        <f>COUNTIFS($B$2:$B$996,B449)</f>
        <v/>
      </c>
      <c r="B449" s="10" t="inlineStr">
        <is>
          <t>AREIA MEDIA</t>
        </is>
      </c>
      <c r="C449" s="11" t="inlineStr">
        <is>
          <t>M3</t>
        </is>
      </c>
      <c r="D449" s="2162">
        <f>E449*$D$1</f>
        <v/>
      </c>
      <c r="E449" s="2162" t="n">
        <v>145</v>
      </c>
      <c r="F449" s="2162" t="inlineStr">
        <is>
          <t>Agregados</t>
        </is>
      </c>
      <c r="G449" s="2162" t="inlineStr">
        <is>
          <t>Areia</t>
        </is>
      </c>
      <c r="H449" s="2162" t="n"/>
      <c r="I449" s="4" t="inlineStr">
        <is>
          <t>Agregados</t>
        </is>
      </c>
    </row>
    <row r="450" ht="15.75" customHeight="1">
      <c r="A450" s="10">
        <f>COUNTIFS($B$2:$B$996,B450)</f>
        <v/>
      </c>
      <c r="B450" s="10" t="inlineStr">
        <is>
          <t>Bica corrida</t>
        </is>
      </c>
      <c r="C450" s="11" t="inlineStr">
        <is>
          <t>M3</t>
        </is>
      </c>
      <c r="D450" s="2162">
        <f>E450*$D$1</f>
        <v/>
      </c>
      <c r="E450" s="2162" t="n">
        <v>143</v>
      </c>
      <c r="F450" s="2162" t="inlineStr">
        <is>
          <t>Agregados</t>
        </is>
      </c>
      <c r="G450" s="2162" t="inlineStr">
        <is>
          <t>Brita/ Pó de Pedra/ Pedra</t>
        </is>
      </c>
      <c r="H450" s="2162" t="n"/>
      <c r="I450" s="4" t="inlineStr">
        <is>
          <t>Agregados</t>
        </is>
      </c>
    </row>
    <row r="451" ht="15.75" customHeight="1">
      <c r="A451" s="10">
        <f>COUNTIFS($B$2:$B$996,B451)</f>
        <v/>
      </c>
      <c r="B451" s="10" t="inlineStr">
        <is>
          <t>BRITA Nº2</t>
        </is>
      </c>
      <c r="C451" s="11" t="inlineStr">
        <is>
          <t>M3</t>
        </is>
      </c>
      <c r="D451" s="2162">
        <f>E451*$D$1</f>
        <v/>
      </c>
      <c r="E451" s="2162" t="n">
        <v>151.2</v>
      </c>
      <c r="F451" s="2162" t="inlineStr">
        <is>
          <t>Agregados</t>
        </is>
      </c>
      <c r="G451" s="2162" t="inlineStr">
        <is>
          <t>Brita/ Pó de Pedra/ Pedra</t>
        </is>
      </c>
      <c r="H451" s="2162" t="n"/>
      <c r="I451" s="4" t="inlineStr">
        <is>
          <t>Agregados</t>
        </is>
      </c>
    </row>
    <row r="452" ht="15.75" customHeight="1">
      <c r="A452" s="10">
        <f>COUNTIFS($B$2:$B$996,B452)</f>
        <v/>
      </c>
      <c r="B452" s="10" t="inlineStr">
        <is>
          <t xml:space="preserve">PO DE PEDRA </t>
        </is>
      </c>
      <c r="C452" s="11" t="inlineStr">
        <is>
          <t>M3</t>
        </is>
      </c>
      <c r="D452" s="2162">
        <f>E452*$D$1</f>
        <v/>
      </c>
      <c r="E452" s="2162" t="n">
        <v>105.71</v>
      </c>
      <c r="F452" s="2162" t="inlineStr">
        <is>
          <t>Agregados</t>
        </is>
      </c>
      <c r="G452" s="2162" t="inlineStr">
        <is>
          <t>Brita/ Pó de Pedra/ Pedra</t>
        </is>
      </c>
      <c r="H452" s="2162" t="n"/>
      <c r="I452" s="4" t="inlineStr">
        <is>
          <t>Agregados</t>
        </is>
      </c>
    </row>
    <row r="453" ht="15.75" customHeight="1">
      <c r="A453" s="10">
        <f>COUNTIFS($B$2:$B$996,B453)</f>
        <v/>
      </c>
      <c r="B453" s="10" t="inlineStr">
        <is>
          <t>PO PEDRA A GRANEL (M3) - GRANULOMETRIA 1,2 A 4,75MM NBR 7211</t>
        </is>
      </c>
      <c r="C453" s="11" t="inlineStr">
        <is>
          <t>M3</t>
        </is>
      </c>
      <c r="D453" s="2162">
        <f>E453*$D$1</f>
        <v/>
      </c>
      <c r="E453" s="2162" t="n">
        <v>300</v>
      </c>
      <c r="F453" s="2162" t="inlineStr">
        <is>
          <t>Agregados</t>
        </is>
      </c>
      <c r="G453" s="2162" t="inlineStr">
        <is>
          <t>Brita/ Pó de Pedra/ Pedra</t>
        </is>
      </c>
      <c r="H453" s="2162" t="n"/>
      <c r="I453" s="4" t="inlineStr">
        <is>
          <t>Agregados</t>
        </is>
      </c>
    </row>
    <row r="454" ht="15.75" customHeight="1">
      <c r="A454" s="10">
        <f>COUNTIFS($B$2:$B$996,B454)</f>
        <v/>
      </c>
      <c r="B454" s="10" t="inlineStr">
        <is>
          <t xml:space="preserve">Cimento Autonivelante para Contrapiso </t>
        </is>
      </c>
      <c r="C454" s="11" t="inlineStr">
        <is>
          <t>KG</t>
        </is>
      </c>
      <c r="D454" s="2162">
        <f>E454*$D$1</f>
        <v/>
      </c>
      <c r="E454" s="2162" t="n">
        <v>4.25</v>
      </c>
      <c r="F454" s="2162" t="inlineStr">
        <is>
          <t>Agregados</t>
        </is>
      </c>
      <c r="G454" s="2162" t="inlineStr">
        <is>
          <t>Cimento</t>
        </is>
      </c>
      <c r="H454" s="2162" t="n"/>
      <c r="I454" s="4" t="inlineStr">
        <is>
          <t>Agregados</t>
        </is>
      </c>
    </row>
    <row r="455" ht="15.75" customHeight="1">
      <c r="A455" s="10">
        <f>COUNTIFS($B$2:$B$996,B455)</f>
        <v/>
      </c>
      <c r="B455" s="10" t="inlineStr">
        <is>
          <t>CIMENTO BRANCO NÃO ESTRUTURAL</t>
        </is>
      </c>
      <c r="C455" s="11" t="inlineStr">
        <is>
          <t>KG</t>
        </is>
      </c>
      <c r="D455" s="2162">
        <f>E455*$D$1</f>
        <v/>
      </c>
      <c r="E455" s="2162" t="n">
        <v>3.49</v>
      </c>
      <c r="F455" s="2162" t="inlineStr">
        <is>
          <t>Agregados</t>
        </is>
      </c>
      <c r="G455" s="2162" t="inlineStr">
        <is>
          <t>Cimento</t>
        </is>
      </c>
      <c r="H455" s="2162" t="n"/>
      <c r="I455" s="4" t="inlineStr">
        <is>
          <t>Agregados</t>
        </is>
      </c>
    </row>
    <row r="456" ht="15.75" customHeight="1">
      <c r="A456" s="10">
        <f>COUNTIFS($B$2:$B$996,B456)</f>
        <v/>
      </c>
      <c r="B456" s="10" t="inlineStr">
        <is>
          <t>Cimento Portland Composto CP II-32</t>
        </is>
      </c>
      <c r="C456" s="11" t="inlineStr">
        <is>
          <t>KG</t>
        </is>
      </c>
      <c r="D456" s="2162">
        <f>E456*$D$1</f>
        <v/>
      </c>
      <c r="E456" s="2162" t="n">
        <v>0.76</v>
      </c>
      <c r="F456" s="2162" t="inlineStr">
        <is>
          <t>Agregados</t>
        </is>
      </c>
      <c r="G456" s="2162" t="inlineStr">
        <is>
          <t>Cimento</t>
        </is>
      </c>
      <c r="H456" s="2162" t="n"/>
      <c r="I456" s="4" t="inlineStr">
        <is>
          <t>Agregados</t>
        </is>
      </c>
    </row>
    <row r="457" ht="15.75" customHeight="1">
      <c r="A457" s="10">
        <f>COUNTIFS($B$2:$B$996,B457)</f>
        <v/>
      </c>
      <c r="B457" s="10" t="inlineStr">
        <is>
          <t>Cimento Queimado 4,2kg Elegance - Cor: Tubarão</t>
        </is>
      </c>
      <c r="C457" s="11" t="inlineStr">
        <is>
          <t>KG</t>
        </is>
      </c>
      <c r="D457" s="2162">
        <f>E457*$D$1</f>
        <v/>
      </c>
      <c r="E457" s="2162" t="n">
        <v>33</v>
      </c>
      <c r="F457" s="2162" t="inlineStr">
        <is>
          <t>Agregados</t>
        </is>
      </c>
      <c r="G457" s="2162" t="inlineStr">
        <is>
          <t>Cimento</t>
        </is>
      </c>
      <c r="H457" s="2162" t="n"/>
      <c r="I457" s="4" t="inlineStr">
        <is>
          <t>Agregados</t>
        </is>
      </c>
    </row>
    <row r="458" ht="15.75" customHeight="1">
      <c r="A458" s="10">
        <f>COUNTIFS($B$2:$B$996,B458)</f>
        <v/>
      </c>
      <c r="B458" s="10" t="inlineStr">
        <is>
          <t>Lapidação de piso com lixas diamantadas</t>
        </is>
      </c>
      <c r="C458" s="11" t="inlineStr">
        <is>
          <t>M2</t>
        </is>
      </c>
      <c r="D458" s="2162">
        <f>E458*$D$1</f>
        <v/>
      </c>
      <c r="E458" s="2162" t="n">
        <v>75</v>
      </c>
      <c r="F458" s="2162" t="inlineStr">
        <is>
          <t>Agregados</t>
        </is>
      </c>
      <c r="G458" s="2162" t="inlineStr">
        <is>
          <t>Cimento</t>
        </is>
      </c>
      <c r="H458" s="2162" t="n"/>
      <c r="I458" s="4" t="inlineStr">
        <is>
          <t>Agregados</t>
        </is>
      </c>
    </row>
    <row r="459" ht="15.75" customHeight="1">
      <c r="A459" s="10">
        <f>COUNTIFS($B$2:$B$996,B459)</f>
        <v/>
      </c>
      <c r="B459" s="10" t="inlineStr">
        <is>
          <t>ENDURECEDOR MINERAL DE BASE CIMENTICIA PARA PISO DE CONCRETO</t>
        </is>
      </c>
      <c r="C459" s="11" t="inlineStr">
        <is>
          <t>KG</t>
        </is>
      </c>
      <c r="D459" s="2162">
        <f>E459*$D$1</f>
        <v/>
      </c>
      <c r="E459" s="2162" t="n">
        <v>9.35</v>
      </c>
      <c r="F459" s="2162" t="inlineStr">
        <is>
          <t>Agregados</t>
        </is>
      </c>
      <c r="G459" s="2162" t="inlineStr">
        <is>
          <t>Cimento</t>
        </is>
      </c>
      <c r="H459" s="2162" t="n"/>
      <c r="I459" s="4" t="inlineStr">
        <is>
          <t>Agregados</t>
        </is>
      </c>
    </row>
    <row r="460">
      <c r="A460" s="10">
        <f>COUNTIFS($B$2:$B$996,B460)</f>
        <v/>
      </c>
      <c r="B460" s="10" t="inlineStr">
        <is>
          <t>Forro De Fibra Mineral Armstrong Ceilings Scala Lay-in 1250 X 625 X 16mm</t>
        </is>
      </c>
      <c r="C460" s="11" t="inlineStr">
        <is>
          <t>M2</t>
        </is>
      </c>
      <c r="D460" s="2162">
        <f>E460*$D$1</f>
        <v/>
      </c>
      <c r="E460" s="2162" t="n">
        <v>75.5984</v>
      </c>
      <c r="F460" s="2162" t="inlineStr">
        <is>
          <t>Agregados</t>
        </is>
      </c>
      <c r="G460" s="2162" t="inlineStr">
        <is>
          <t>Gesso</t>
        </is>
      </c>
      <c r="H460" s="2162" t="n"/>
      <c r="I460" s="4" t="inlineStr">
        <is>
          <t>Revestimentos</t>
        </is>
      </c>
    </row>
    <row r="461" ht="15.75" customHeight="1">
      <c r="A461" s="10">
        <f>COUNTIFS($B$2:$B$996,B461)</f>
        <v/>
      </c>
      <c r="B461" s="10" t="inlineStr">
        <is>
          <t>Cortineiro em gesso com rasgo iluminado</t>
        </is>
      </c>
      <c r="C461" s="11" t="inlineStr">
        <is>
          <t>m</t>
        </is>
      </c>
      <c r="D461" s="2162">
        <f>E461*$D$1</f>
        <v/>
      </c>
      <c r="E461" s="2162" t="n">
        <v>60</v>
      </c>
      <c r="F461" s="2162" t="inlineStr">
        <is>
          <t>Agregados</t>
        </is>
      </c>
      <c r="G461" s="2162" t="inlineStr">
        <is>
          <t>Gesso</t>
        </is>
      </c>
      <c r="H461" s="2162" t="inlineStr">
        <is>
          <t>ALTO PADRÃO + 40%</t>
        </is>
      </c>
      <c r="I461" s="4" t="inlineStr">
        <is>
          <t>Revestimentos</t>
        </is>
      </c>
    </row>
    <row r="462" ht="15.75" customHeight="1">
      <c r="A462" s="10">
        <f>COUNTIFS($B$2:$B$996,B462)</f>
        <v/>
      </c>
      <c r="B462" s="10" t="inlineStr">
        <is>
          <t>Cortineiro Isopor Cortina Sanca 1 Metro 15cm L X 10cm A - Branco, , COLOR Branco</t>
        </is>
      </c>
      <c r="C462" s="11" t="inlineStr">
        <is>
          <t>m</t>
        </is>
      </c>
      <c r="D462" s="2162">
        <f>E462*$D$1</f>
        <v/>
      </c>
      <c r="E462" s="2162">
        <f>32*1.4</f>
        <v/>
      </c>
      <c r="F462" s="2162" t="inlineStr">
        <is>
          <t>Agregados</t>
        </is>
      </c>
      <c r="G462" s="2162" t="inlineStr">
        <is>
          <t>Gesso</t>
        </is>
      </c>
      <c r="H462" s="2162" t="inlineStr">
        <is>
          <t>ALTO PADRÃO + 40%</t>
        </is>
      </c>
      <c r="I462" s="4" t="inlineStr">
        <is>
          <t>Revestimentos</t>
        </is>
      </c>
    </row>
    <row r="463" ht="15.75" customHeight="1">
      <c r="A463" s="10">
        <f>COUNTIFS($B$2:$B$996,B463)</f>
        <v/>
      </c>
      <c r="B463" s="10" t="inlineStr">
        <is>
          <t>Tabica em gesso com perfil metálico LED</t>
        </is>
      </c>
      <c r="C463" s="11" t="inlineStr">
        <is>
          <t>m</t>
        </is>
      </c>
      <c r="D463" s="2162">
        <f>E463*$D$1</f>
        <v/>
      </c>
      <c r="E463" s="2162" t="n">
        <v>45</v>
      </c>
      <c r="F463" s="2162" t="inlineStr">
        <is>
          <t>Agregados</t>
        </is>
      </c>
      <c r="G463" s="2162" t="inlineStr">
        <is>
          <t>Gesso</t>
        </is>
      </c>
      <c r="H463" s="2162" t="inlineStr">
        <is>
          <t>ALTO PADRÃO + 35%</t>
        </is>
      </c>
      <c r="I463" s="4" t="inlineStr">
        <is>
          <t>Revestimentos</t>
        </is>
      </c>
    </row>
    <row r="464" ht="15.75" customHeight="1">
      <c r="A464" s="10">
        <f>COUNTIFS($B$2:$B$996,B464)</f>
        <v/>
      </c>
      <c r="B464" s="10" t="inlineStr">
        <is>
          <t>Tabica em gesso</t>
        </is>
      </c>
      <c r="C464" s="11" t="inlineStr">
        <is>
          <t>m</t>
        </is>
      </c>
      <c r="D464" s="2162">
        <f>E464*$D$1</f>
        <v/>
      </c>
      <c r="E464" s="2162">
        <f>24*1.35</f>
        <v/>
      </c>
      <c r="F464" s="2162" t="inlineStr">
        <is>
          <t>Agregados</t>
        </is>
      </c>
      <c r="G464" s="2162" t="inlineStr">
        <is>
          <t>Gesso</t>
        </is>
      </c>
      <c r="H464" s="2162" t="inlineStr">
        <is>
          <t>ALTO PADRÃO + 35%</t>
        </is>
      </c>
      <c r="I464" s="4" t="inlineStr">
        <is>
          <t>Revestimentos</t>
        </is>
      </c>
    </row>
    <row r="465" ht="15.75" customHeight="1">
      <c r="A465" s="10">
        <f>COUNTIFS($B$2:$B$996,B465)</f>
        <v/>
      </c>
      <c r="B465" s="10" t="inlineStr">
        <is>
          <t>Sanca em gesso</t>
        </is>
      </c>
      <c r="C465" s="11" t="inlineStr">
        <is>
          <t>m</t>
        </is>
      </c>
      <c r="D465" s="2162">
        <f>E465*$D$1</f>
        <v/>
      </c>
      <c r="E465" s="2162">
        <f>48*1.4</f>
        <v/>
      </c>
      <c r="F465" s="2162" t="inlineStr">
        <is>
          <t>Agregados</t>
        </is>
      </c>
      <c r="G465" s="2162" t="inlineStr">
        <is>
          <t>Gesso</t>
        </is>
      </c>
      <c r="H465" s="2162" t="inlineStr">
        <is>
          <t>ALTO PADRÃO + 40%</t>
        </is>
      </c>
      <c r="I465" s="4" t="inlineStr">
        <is>
          <t>Revestimentos</t>
        </is>
      </c>
    </row>
    <row r="466" ht="15.75" customHeight="1">
      <c r="A466" s="10">
        <f>COUNTIFS($B$2:$B$996,B466)</f>
        <v/>
      </c>
      <c r="B466" s="10" t="inlineStr">
        <is>
          <t>Sanca em gesso com iluminação indireta + LED + perfil</t>
        </is>
      </c>
      <c r="C466" s="11" t="inlineStr">
        <is>
          <t>m</t>
        </is>
      </c>
      <c r="D466" s="2162">
        <f>E466*$D$1</f>
        <v/>
      </c>
      <c r="E466" s="2162" t="n">
        <v>85</v>
      </c>
      <c r="F466" s="2162" t="inlineStr">
        <is>
          <t>Agregados</t>
        </is>
      </c>
      <c r="G466" s="2162" t="inlineStr">
        <is>
          <t>Gesso</t>
        </is>
      </c>
      <c r="H466" s="2162" t="inlineStr">
        <is>
          <t>ALTO PADRÃO + 40%</t>
        </is>
      </c>
      <c r="I466" s="4" t="inlineStr">
        <is>
          <t>Revestimentos</t>
        </is>
      </c>
    </row>
    <row r="467" ht="14.25" customHeight="1">
      <c r="A467" s="10">
        <f>COUNTIFS($B$2:$B$996,B467)</f>
        <v/>
      </c>
      <c r="B467" s="82" t="inlineStr">
        <is>
          <t>Esquadrias de Alumínio do duplex - fornecimento e instalação</t>
        </is>
      </c>
      <c r="C467" s="83" t="inlineStr">
        <is>
          <t>M2</t>
        </is>
      </c>
      <c r="D467" s="2165">
        <f>E467*$D$1</f>
        <v/>
      </c>
      <c r="E467" s="2165" t="n">
        <v>1350</v>
      </c>
      <c r="F467" s="2165" t="inlineStr">
        <is>
          <t xml:space="preserve">Esquadrias </t>
        </is>
      </c>
      <c r="G467" s="2165" t="inlineStr">
        <is>
          <t>Alumínio</t>
        </is>
      </c>
      <c r="H467" s="2165" t="n"/>
      <c r="I467" s="85" t="inlineStr">
        <is>
          <t>Esquadrias de Alumínio</t>
        </is>
      </c>
    </row>
    <row r="468" ht="14.25" customHeight="1">
      <c r="A468" s="10">
        <f>COUNTIFS($B$2:$B$996,B468)</f>
        <v/>
      </c>
      <c r="B468" s="82" t="inlineStr">
        <is>
          <t>Esquadrias de Alumínio, linha 25 supreme - fornecimento e instalação</t>
        </is>
      </c>
      <c r="C468" s="83" t="inlineStr">
        <is>
          <t>M2</t>
        </is>
      </c>
      <c r="D468" s="2165">
        <f>E468*$D$1</f>
        <v/>
      </c>
      <c r="E468" s="2165" t="n">
        <v>980</v>
      </c>
      <c r="F468" s="2165" t="inlineStr">
        <is>
          <t xml:space="preserve">Esquadrias </t>
        </is>
      </c>
      <c r="G468" s="2165" t="inlineStr">
        <is>
          <t>Alumínio</t>
        </is>
      </c>
      <c r="H468" s="2165" t="n"/>
      <c r="I468" s="85" t="inlineStr">
        <is>
          <t>Esquadrias de Alumínio</t>
        </is>
      </c>
    </row>
    <row r="469" ht="14.25" customHeight="1">
      <c r="A469" s="10">
        <f>COUNTIFS($B$2:$B$996,B469)</f>
        <v/>
      </c>
      <c r="B469" s="82" t="inlineStr">
        <is>
          <t>Esquadrias de Alumínio, linha 32 gold - fornecimento e instalação</t>
        </is>
      </c>
      <c r="C469" s="83" t="inlineStr">
        <is>
          <t>M2</t>
        </is>
      </c>
      <c r="D469" s="2165">
        <f>E469*$D$1</f>
        <v/>
      </c>
      <c r="E469" s="2165" t="n">
        <v>1350</v>
      </c>
      <c r="F469" s="2165" t="inlineStr">
        <is>
          <t xml:space="preserve">Esquadrias </t>
        </is>
      </c>
      <c r="G469" s="2165" t="inlineStr">
        <is>
          <t>Alumínio</t>
        </is>
      </c>
      <c r="H469" s="2165" t="n"/>
      <c r="I469" s="85" t="inlineStr">
        <is>
          <t>Esquadrias de Alumínio</t>
        </is>
      </c>
    </row>
    <row r="470" ht="15.75" customHeight="1">
      <c r="A470" s="10">
        <f>COUNTIFS($B$2:$B$996,B470)</f>
        <v/>
      </c>
      <c r="B470" s="10" t="inlineStr">
        <is>
          <t>CONTRAMARCO DE AÇO</t>
        </is>
      </c>
      <c r="C470" s="11" t="inlineStr">
        <is>
          <t>M</t>
        </is>
      </c>
      <c r="D470" s="2162">
        <f>E470*$D$1</f>
        <v/>
      </c>
      <c r="E470" s="2162" t="n">
        <v>36</v>
      </c>
      <c r="F470" s="2162" t="inlineStr">
        <is>
          <t>Revestimentos</t>
        </is>
      </c>
      <c r="G470" s="2162" t="inlineStr">
        <is>
          <t>Revestimentos</t>
        </is>
      </c>
      <c r="H470" s="2162" t="n"/>
      <c r="I470" s="4" t="inlineStr">
        <is>
          <t>Revestimentos</t>
        </is>
      </c>
    </row>
    <row r="471" ht="15.75" customHeight="1">
      <c r="A471" s="10">
        <f>COUNTIFS($B$2:$B$996,B471)</f>
        <v/>
      </c>
      <c r="B471" s="10" t="inlineStr">
        <is>
          <t xml:space="preserve">CONTRAMARCO DE ALUMINIO </t>
        </is>
      </c>
      <c r="C471" s="11" t="inlineStr">
        <is>
          <t>M</t>
        </is>
      </c>
      <c r="D471" s="2162">
        <f>E471*$D$1</f>
        <v/>
      </c>
      <c r="E471" s="2162" t="n">
        <v>7.39</v>
      </c>
      <c r="F471" s="2162" t="inlineStr">
        <is>
          <t>Revestimentos</t>
        </is>
      </c>
      <c r="G471" s="2162" t="inlineStr">
        <is>
          <t>Revestimentos</t>
        </is>
      </c>
      <c r="H471" s="2162" t="n"/>
      <c r="I471" s="4" t="inlineStr">
        <is>
          <t>Revestimentos</t>
        </is>
      </c>
    </row>
    <row r="472" ht="14.25" customHeight="1">
      <c r="A472" s="10">
        <f>COUNTIFS($B$2:$B$996,B472)</f>
        <v/>
      </c>
      <c r="B472" s="82" t="inlineStr">
        <is>
          <t>CONTRAMARCO DE ALUMINIO Pequeno</t>
        </is>
      </c>
      <c r="C472" s="83" t="inlineStr">
        <is>
          <t>Un</t>
        </is>
      </c>
      <c r="D472" s="2165">
        <f>E472*$D$1</f>
        <v/>
      </c>
      <c r="E472" s="2165">
        <f>AVERAGE(45,85)</f>
        <v/>
      </c>
      <c r="F472" s="2165" t="inlineStr">
        <is>
          <t>Revestimentos</t>
        </is>
      </c>
      <c r="G472" s="2165" t="inlineStr">
        <is>
          <t>Revestimentos</t>
        </is>
      </c>
      <c r="H472" s="2165" t="n"/>
      <c r="I472" s="85" t="inlineStr">
        <is>
          <t>Revestimentos</t>
        </is>
      </c>
    </row>
    <row r="473" ht="14.25" customHeight="1">
      <c r="A473" s="10">
        <f>COUNTIFS($B$2:$B$996,B473)</f>
        <v/>
      </c>
      <c r="B473" s="82" t="inlineStr">
        <is>
          <t>CONTRAMARCO DE ALUMINIO grande</t>
        </is>
      </c>
      <c r="C473" s="83" t="inlineStr">
        <is>
          <t>Un</t>
        </is>
      </c>
      <c r="D473" s="2165">
        <f>E473*$D$1</f>
        <v/>
      </c>
      <c r="E473" s="2165">
        <f>AVERAGE(120,190)</f>
        <v/>
      </c>
      <c r="F473" s="2165" t="inlineStr">
        <is>
          <t>Revestimentos</t>
        </is>
      </c>
      <c r="G473" s="2165" t="inlineStr">
        <is>
          <t>Revestimentos</t>
        </is>
      </c>
      <c r="H473" s="2165" t="n"/>
      <c r="I473" s="85" t="inlineStr">
        <is>
          <t>Revestimentos</t>
        </is>
      </c>
    </row>
    <row r="474" ht="15.75" customHeight="1">
      <c r="A474" s="10">
        <f>COUNTIFS($B$2:$B$996,B474)</f>
        <v/>
      </c>
      <c r="B474" s="10" t="inlineStr">
        <is>
          <t>Massa para Drywall 25kg</t>
        </is>
      </c>
      <c r="C474" s="11" t="inlineStr">
        <is>
          <t>KG</t>
        </is>
      </c>
      <c r="D474" s="2162">
        <f>E474*$D$1</f>
        <v/>
      </c>
      <c r="E474" s="2162" t="n">
        <v>5.918</v>
      </c>
      <c r="F474" s="2162" t="inlineStr">
        <is>
          <t>Agregados</t>
        </is>
      </c>
      <c r="G474" s="2162" t="inlineStr">
        <is>
          <t>Gesso</t>
        </is>
      </c>
      <c r="H474" s="2162" t="n"/>
      <c r="I474" s="4" t="inlineStr">
        <is>
          <t>Agregados</t>
        </is>
      </c>
    </row>
    <row r="475" ht="15.75" customHeight="1">
      <c r="A475" s="10">
        <f>COUNTIFS($B$2:$B$996,B475)</f>
        <v/>
      </c>
      <c r="B475" s="10" t="inlineStr">
        <is>
          <t xml:space="preserve">	GESSO EM PÓ PARA REVESTIMENTOS</t>
        </is>
      </c>
      <c r="C475" s="11" t="inlineStr">
        <is>
          <t>KG</t>
        </is>
      </c>
      <c r="D475" s="2162">
        <f>E475*$D$1</f>
        <v/>
      </c>
      <c r="E475" s="2162" t="n">
        <v>0.45</v>
      </c>
      <c r="F475" s="2162" t="inlineStr">
        <is>
          <t>Agregados</t>
        </is>
      </c>
      <c r="G475" s="2162" t="inlineStr">
        <is>
          <t>Gesso</t>
        </is>
      </c>
      <c r="H475" s="2162" t="n"/>
      <c r="I475" s="4" t="inlineStr">
        <is>
          <t>Agregados</t>
        </is>
      </c>
    </row>
    <row r="476" ht="15.75" customHeight="1">
      <c r="A476" s="10">
        <f>COUNTIFS($B$2:$B$996,B476)</f>
        <v/>
      </c>
      <c r="B476" s="10" t="inlineStr">
        <is>
          <t xml:space="preserve">Pilar de Sustentação para pergolado em madeira </t>
        </is>
      </c>
      <c r="C476" s="11" t="inlineStr">
        <is>
          <t>UN</t>
        </is>
      </c>
      <c r="D476" s="2162">
        <f>E476*$D$1</f>
        <v/>
      </c>
      <c r="E476" s="2162" t="n">
        <v>382</v>
      </c>
      <c r="F476" s="2162" t="inlineStr">
        <is>
          <t>Madeira</t>
        </is>
      </c>
      <c r="G476" s="2162" t="inlineStr">
        <is>
          <t>Medeira Acabamento</t>
        </is>
      </c>
      <c r="H476" s="2162" t="n"/>
      <c r="I476" s="4" t="inlineStr">
        <is>
          <t>Madeira para Telhado</t>
        </is>
      </c>
    </row>
    <row r="477" ht="15.75" customHeight="1">
      <c r="A477" s="10">
        <f>COUNTIFS($B$2:$B$996,B477)</f>
        <v/>
      </c>
      <c r="B477" s="10" t="inlineStr">
        <is>
          <t>Grama esmeralda</t>
        </is>
      </c>
      <c r="C477" s="11" t="inlineStr">
        <is>
          <t>M2</t>
        </is>
      </c>
      <c r="D477" s="2162">
        <f>E477*$D$1</f>
        <v/>
      </c>
      <c r="E477" s="2162" t="n">
        <v>11.1</v>
      </c>
      <c r="F477" s="2162" t="inlineStr">
        <is>
          <t>Paisagismo</t>
        </is>
      </c>
      <c r="G477" s="2162" t="inlineStr">
        <is>
          <t>Paisagismo</t>
        </is>
      </c>
      <c r="H477" s="2162" t="n"/>
      <c r="I477" s="4" t="inlineStr">
        <is>
          <t>Jardinagem</t>
        </is>
      </c>
    </row>
    <row r="478" ht="15.75" customHeight="1">
      <c r="A478" s="10">
        <f>COUNTIFS($B$2:$B$996,B478)</f>
        <v/>
      </c>
      <c r="B478" s="10" t="inlineStr">
        <is>
          <t>Terra vegetal</t>
        </is>
      </c>
      <c r="C478" s="11" t="inlineStr">
        <is>
          <t>M3</t>
        </is>
      </c>
      <c r="D478" s="2162">
        <f>E478*$D$1</f>
        <v/>
      </c>
      <c r="E478" s="2162" t="n">
        <v>143.57</v>
      </c>
      <c r="F478" s="2162" t="inlineStr">
        <is>
          <t>Paisagismo</t>
        </is>
      </c>
      <c r="G478" s="2162" t="inlineStr">
        <is>
          <t>Paisagismo</t>
        </is>
      </c>
      <c r="H478" s="2162" t="n"/>
      <c r="I478" s="4" t="inlineStr">
        <is>
          <t>Jardinagem</t>
        </is>
      </c>
    </row>
    <row r="479" ht="15.75" customHeight="1">
      <c r="A479" s="10">
        <f>COUNTIFS($B$2:$B$996,B479)</f>
        <v/>
      </c>
      <c r="B479" s="10" t="inlineStr">
        <is>
          <t>Nicho Em Porcelanato 65x35cm Carrara Cristal Borda Dupla</t>
        </is>
      </c>
      <c r="C479" s="11" t="inlineStr">
        <is>
          <t>UN</t>
        </is>
      </c>
      <c r="D479" s="2162">
        <f>E479*$D$1</f>
        <v/>
      </c>
      <c r="E479" s="2162" t="n">
        <v>409</v>
      </c>
      <c r="F479" s="2162" t="inlineStr">
        <is>
          <t>Pedras acabamento</t>
        </is>
      </c>
      <c r="G479" s="2162" t="inlineStr">
        <is>
          <t>Pedras acabamento</t>
        </is>
      </c>
      <c r="H479" s="2162" t="n"/>
      <c r="I479" s="4" t="inlineStr">
        <is>
          <t>Revestimentos</t>
        </is>
      </c>
    </row>
    <row r="480" ht="15.75" customHeight="1">
      <c r="A480" s="10">
        <f>COUNTIFS($B$2:$B$996,B480)</f>
        <v/>
      </c>
      <c r="B480" s="10" t="inlineStr">
        <is>
          <t>Granito Branco Ceará Flameado</t>
        </is>
      </c>
      <c r="C480" s="11" t="inlineStr">
        <is>
          <t>M2</t>
        </is>
      </c>
      <c r="D480" s="2162">
        <f>E480*$D$1</f>
        <v/>
      </c>
      <c r="E480" s="2162" t="n">
        <v>890</v>
      </c>
      <c r="F480" s="2162" t="inlineStr">
        <is>
          <t>Pedras acabamento</t>
        </is>
      </c>
      <c r="G480" s="2162" t="inlineStr">
        <is>
          <t>Pedras acabamento</t>
        </is>
      </c>
      <c r="H480" s="2162" t="n"/>
      <c r="I480" s="4" t="inlineStr">
        <is>
          <t>Revestimentos</t>
        </is>
      </c>
    </row>
    <row r="481" ht="15.75" customHeight="1">
      <c r="A481" s="10">
        <f>COUNTIFS($B$2:$B$996,B481)</f>
        <v/>
      </c>
      <c r="B481" s="10" t="inlineStr">
        <is>
          <t>Quartzo Silestone</t>
        </is>
      </c>
      <c r="C481" s="11" t="inlineStr">
        <is>
          <t>M2</t>
        </is>
      </c>
      <c r="D481" s="2162">
        <f>E481*$D$1</f>
        <v/>
      </c>
      <c r="E481" s="2162" t="n">
        <v>1850</v>
      </c>
      <c r="F481" s="2162" t="inlineStr">
        <is>
          <t>Pedras acabamento</t>
        </is>
      </c>
      <c r="G481" s="2162" t="inlineStr">
        <is>
          <t>Pedras acabamento</t>
        </is>
      </c>
      <c r="H481" s="2162" t="n"/>
      <c r="I481" s="4" t="inlineStr">
        <is>
          <t>Revestimentos</t>
        </is>
      </c>
    </row>
    <row r="482" ht="15.75" customHeight="1">
      <c r="A482" s="10">
        <f>COUNTIFS($B$2:$B$996,B482)</f>
        <v/>
      </c>
      <c r="B482" s="10" t="inlineStr">
        <is>
          <t>Mármore Natural</t>
        </is>
      </c>
      <c r="C482" s="11" t="inlineStr">
        <is>
          <t>M2</t>
        </is>
      </c>
      <c r="D482" s="2162">
        <f>E482*$D$1</f>
        <v/>
      </c>
      <c r="E482" s="2162" t="n">
        <v>800</v>
      </c>
      <c r="F482" s="2162" t="inlineStr">
        <is>
          <t>Pedras acabamento</t>
        </is>
      </c>
      <c r="G482" s="2162" t="inlineStr">
        <is>
          <t>Pedras acabamento</t>
        </is>
      </c>
      <c r="H482" s="2162" t="n"/>
      <c r="I482" s="4" t="inlineStr">
        <is>
          <t>Revestimentos</t>
        </is>
      </c>
    </row>
    <row r="483" ht="15.75" customHeight="1">
      <c r="A483" s="10">
        <f>COUNTIFS($B$2:$B$996,B483)</f>
        <v/>
      </c>
      <c r="B483" s="10" t="inlineStr">
        <is>
          <t>SISTEMA DE PISO AQUECIDO</t>
        </is>
      </c>
      <c r="C483" s="11" t="inlineStr">
        <is>
          <t>M2</t>
        </is>
      </c>
      <c r="D483" s="2162">
        <f>E483*$D$1</f>
        <v/>
      </c>
      <c r="E483" s="2162" t="n">
        <v>600</v>
      </c>
      <c r="F483" s="2162" t="inlineStr">
        <is>
          <t>Pedras acabamento</t>
        </is>
      </c>
      <c r="G483" s="2162" t="inlineStr">
        <is>
          <t>Pedras acabamento</t>
        </is>
      </c>
      <c r="H483" s="2162" t="n"/>
      <c r="I483" s="4" t="inlineStr">
        <is>
          <t>Revestimentos</t>
        </is>
      </c>
    </row>
    <row r="484" ht="15.75" customHeight="1">
      <c r="A484" s="10">
        <f>COUNTIFS($B$2:$B$996,B484)</f>
        <v/>
      </c>
      <c r="B484" s="10" t="inlineStr">
        <is>
          <t>Pedra Ônix Cristal Rose</t>
        </is>
      </c>
      <c r="C484" s="11" t="inlineStr">
        <is>
          <t>M2</t>
        </is>
      </c>
      <c r="D484" s="2162">
        <f>E484*$D$1</f>
        <v/>
      </c>
      <c r="E484" s="2162" t="n">
        <v>4800</v>
      </c>
      <c r="F484" s="2162" t="inlineStr">
        <is>
          <t>Pedras acabamento</t>
        </is>
      </c>
      <c r="G484" s="2162" t="inlineStr">
        <is>
          <t>Pedras acabamento</t>
        </is>
      </c>
      <c r="H484" s="2162" t="n"/>
      <c r="I484" s="4" t="inlineStr">
        <is>
          <t>Revestimentos</t>
        </is>
      </c>
    </row>
    <row r="485" ht="15.75" customHeight="1">
      <c r="A485" s="10">
        <f>COUNTIFS($B$2:$B$996,B485)</f>
        <v/>
      </c>
      <c r="B485" s="10" t="inlineStr">
        <is>
          <t>Mármore Travertino Nacional</t>
        </is>
      </c>
      <c r="C485" s="11" t="inlineStr">
        <is>
          <t>M2</t>
        </is>
      </c>
      <c r="D485" s="2162">
        <f>E485*$D$1</f>
        <v/>
      </c>
      <c r="E485" s="2162" t="n">
        <v>900</v>
      </c>
      <c r="F485" s="2162" t="inlineStr">
        <is>
          <t>Pedras acabamento</t>
        </is>
      </c>
      <c r="G485" s="2162" t="inlineStr">
        <is>
          <t>Pedras acabamento</t>
        </is>
      </c>
      <c r="H485" s="2162" t="n"/>
      <c r="I485" s="4" t="inlineStr">
        <is>
          <t>Revestimentos</t>
        </is>
      </c>
    </row>
    <row r="486" ht="15.75" customHeight="1">
      <c r="A486" s="10">
        <f>COUNTIFS($B$2:$B$996,B486)</f>
        <v/>
      </c>
      <c r="B486" s="10" t="inlineStr">
        <is>
          <t>Mármore Travertino Navona</t>
        </is>
      </c>
      <c r="C486" s="11" t="inlineStr">
        <is>
          <t>M2</t>
        </is>
      </c>
      <c r="D486" s="2162">
        <f>E486*$D$1</f>
        <v/>
      </c>
      <c r="E486" s="2162" t="n">
        <v>1300</v>
      </c>
      <c r="F486" s="2162" t="inlineStr">
        <is>
          <t>Pedras acabamento</t>
        </is>
      </c>
      <c r="G486" s="2162" t="inlineStr">
        <is>
          <t>Pedras acabamento</t>
        </is>
      </c>
      <c r="H486" s="2162" t="n"/>
      <c r="I486" s="4" t="inlineStr">
        <is>
          <t>Revestimentos</t>
        </is>
      </c>
    </row>
    <row r="487" ht="15.75" customHeight="1">
      <c r="A487" s="10">
        <f>COUNTIFS($B$2:$B$996,B487)</f>
        <v/>
      </c>
      <c r="B487" s="10" t="inlineStr">
        <is>
          <t>Mármore Travertino Importado</t>
        </is>
      </c>
      <c r="C487" s="11" t="inlineStr">
        <is>
          <t>M2</t>
        </is>
      </c>
      <c r="D487" s="2162">
        <f>E487*$D$1</f>
        <v/>
      </c>
      <c r="E487" s="2162" t="n">
        <v>2200</v>
      </c>
      <c r="F487" s="2162" t="inlineStr">
        <is>
          <t>Pedras acabamento</t>
        </is>
      </c>
      <c r="G487" s="2162" t="inlineStr">
        <is>
          <t>Pedras acabamento</t>
        </is>
      </c>
      <c r="H487" s="2162" t="n"/>
      <c r="I487" s="4" t="inlineStr">
        <is>
          <t>Revestimentos</t>
        </is>
      </c>
    </row>
    <row r="488" ht="15.75" customHeight="1">
      <c r="A488" s="10">
        <f>COUNTIFS($B$2:$B$996,B488)</f>
        <v/>
      </c>
      <c r="B488" s="10" t="inlineStr">
        <is>
          <t>Mármore Travertino Romano</t>
        </is>
      </c>
      <c r="C488" s="11" t="inlineStr">
        <is>
          <t>M2</t>
        </is>
      </c>
      <c r="D488" s="2162">
        <f>E488*$D$1</f>
        <v/>
      </c>
      <c r="E488" s="2162" t="n">
        <v>1300</v>
      </c>
      <c r="F488" s="2162" t="inlineStr">
        <is>
          <t>Pedras acabamento</t>
        </is>
      </c>
      <c r="G488" s="2162" t="inlineStr">
        <is>
          <t>Pedras acabamento</t>
        </is>
      </c>
      <c r="H488" s="2162" t="n"/>
      <c r="I488" s="4" t="inlineStr">
        <is>
          <t>Revestimentos</t>
        </is>
      </c>
    </row>
    <row r="489" ht="15.75" customHeight="1">
      <c r="A489" s="10">
        <f>COUNTIFS($B$2:$B$996,B489)</f>
        <v/>
      </c>
      <c r="B489" s="10" t="inlineStr">
        <is>
          <t>Marmore Cinza</t>
        </is>
      </c>
      <c r="C489" s="11" t="inlineStr">
        <is>
          <t>M2</t>
        </is>
      </c>
      <c r="D489" s="2162">
        <f>E489*$D$1</f>
        <v/>
      </c>
      <c r="E489" s="2162" t="n">
        <v>480</v>
      </c>
      <c r="F489" s="2162" t="inlineStr">
        <is>
          <t>Pedras acabamento</t>
        </is>
      </c>
      <c r="G489" s="2162" t="inlineStr">
        <is>
          <t>Pedras acabamento</t>
        </is>
      </c>
      <c r="H489" s="2162" t="n"/>
      <c r="I489" s="4" t="inlineStr">
        <is>
          <t>Revestimentos</t>
        </is>
      </c>
    </row>
    <row r="490" ht="14.25" customHeight="1">
      <c r="A490" s="10">
        <f>COUNTIFS($B$2:$B$996,B490)</f>
        <v/>
      </c>
      <c r="B490" s="82" t="inlineStr">
        <is>
          <t>Pedra Moledo Natural Cinza</t>
        </is>
      </c>
      <c r="C490" s="83" t="inlineStr">
        <is>
          <t>M2</t>
        </is>
      </c>
      <c r="D490" s="2165">
        <f>E490*$D$1</f>
        <v/>
      </c>
      <c r="E490" s="2165" t="n">
        <v>265.9</v>
      </c>
      <c r="F490" s="2165" t="inlineStr">
        <is>
          <t>Pedras acabamento</t>
        </is>
      </c>
      <c r="G490" s="2165" t="inlineStr">
        <is>
          <t>Pedras acabamento</t>
        </is>
      </c>
      <c r="H490" s="2165" t="n"/>
      <c r="I490" s="85" t="inlineStr">
        <is>
          <t>Revestimentos</t>
        </is>
      </c>
    </row>
    <row r="491" ht="14.25" customHeight="1">
      <c r="A491" s="10">
        <f>COUNTIFS($B$2:$B$996,B491)</f>
        <v/>
      </c>
      <c r="B491" s="82" t="inlineStr">
        <is>
          <t>Pastilha vítrea decorada, padrão customizado, placa 30x30 cm - Jatobá / NGK Pastilhas</t>
        </is>
      </c>
      <c r="C491" s="83" t="inlineStr">
        <is>
          <t>M2</t>
        </is>
      </c>
      <c r="D491" s="2165">
        <f>E491*$D$1</f>
        <v/>
      </c>
      <c r="E491" s="2165" t="n">
        <v>480</v>
      </c>
      <c r="F491" s="2165" t="inlineStr">
        <is>
          <t>Pedras acabamento</t>
        </is>
      </c>
      <c r="G491" s="2165" t="inlineStr">
        <is>
          <t>Pedras acabamento</t>
        </is>
      </c>
      <c r="H491" s="2165" t="n"/>
      <c r="I491" s="85" t="inlineStr">
        <is>
          <t>Revestimentos</t>
        </is>
      </c>
    </row>
    <row r="492" ht="14.25" customHeight="1">
      <c r="A492" s="10">
        <f>COUNTIFS($B$2:$B$996,B492)</f>
        <v/>
      </c>
      <c r="B492" s="82" t="inlineStr">
        <is>
          <t>Granito itaunas branco</t>
        </is>
      </c>
      <c r="C492" s="83" t="inlineStr">
        <is>
          <t>M2</t>
        </is>
      </c>
      <c r="D492" s="2165">
        <f>E492*$D$1</f>
        <v/>
      </c>
      <c r="E492" s="2165" t="n">
        <v>750</v>
      </c>
      <c r="F492" s="2165" t="inlineStr">
        <is>
          <t>Pedras acabamento</t>
        </is>
      </c>
      <c r="G492" s="2165" t="inlineStr">
        <is>
          <t>Pedras acabamento</t>
        </is>
      </c>
      <c r="H492" s="2165" t="n"/>
      <c r="I492" s="85" t="inlineStr">
        <is>
          <t>Revestimentos</t>
        </is>
      </c>
    </row>
    <row r="493" ht="14.25" customHeight="1">
      <c r="A493" s="10">
        <f>COUNTIFS($B$2:$B$996,B493)</f>
        <v/>
      </c>
      <c r="B493" s="82" t="inlineStr">
        <is>
          <t xml:space="preserve">Granito preto são gabriel </t>
        </is>
      </c>
      <c r="C493" s="83" t="inlineStr">
        <is>
          <t>M2</t>
        </is>
      </c>
      <c r="D493" s="2165">
        <f>E493*$D$1</f>
        <v/>
      </c>
      <c r="E493" s="2165" t="n">
        <v>650</v>
      </c>
      <c r="F493" s="2165" t="inlineStr">
        <is>
          <t>Pedras acabamento</t>
        </is>
      </c>
      <c r="G493" s="2165" t="inlineStr">
        <is>
          <t>Pedras acabamento</t>
        </is>
      </c>
      <c r="H493" s="2165" t="n"/>
      <c r="I493" s="85" t="inlineStr">
        <is>
          <t>Revestimentos</t>
        </is>
      </c>
    </row>
    <row r="494" ht="15.75" customHeight="1">
      <c r="A494" s="10">
        <f>COUNTIFS($B$2:$B$996,B494)</f>
        <v/>
      </c>
      <c r="B494" s="10" t="inlineStr">
        <is>
          <t>Marmore Preto</t>
        </is>
      </c>
      <c r="C494" s="11" t="inlineStr">
        <is>
          <t>M2</t>
        </is>
      </c>
      <c r="D494" s="2162">
        <f>E494*$D$1</f>
        <v/>
      </c>
      <c r="E494" s="2162" t="n">
        <v>195</v>
      </c>
      <c r="F494" s="2162" t="inlineStr">
        <is>
          <t>Pedras acabamento</t>
        </is>
      </c>
      <c r="G494" s="2162" t="inlineStr">
        <is>
          <t>Pedras acabamento</t>
        </is>
      </c>
      <c r="H494" s="2162" t="n"/>
      <c r="I494" s="4" t="inlineStr">
        <is>
          <t>Revestimentos</t>
        </is>
      </c>
    </row>
    <row r="495" ht="15.75" customHeight="1">
      <c r="A495" s="10">
        <f>COUNTIFS($B$2:$B$996,B495)</f>
        <v/>
      </c>
      <c r="B495" s="10" t="inlineStr">
        <is>
          <t xml:space="preserve">Granito Comercial </t>
        </is>
      </c>
      <c r="C495" s="11" t="inlineStr">
        <is>
          <t>M2</t>
        </is>
      </c>
      <c r="D495" s="2162">
        <f>E495*$D$1</f>
        <v/>
      </c>
      <c r="E495" s="2162" t="n">
        <v>650</v>
      </c>
      <c r="F495" s="2162" t="inlineStr">
        <is>
          <t>Pedras acabamento</t>
        </is>
      </c>
      <c r="G495" s="2162" t="inlineStr">
        <is>
          <t>Pedras acabamento</t>
        </is>
      </c>
      <c r="H495" s="2162" t="n"/>
      <c r="I495" s="4" t="inlineStr">
        <is>
          <t>Revestimentos</t>
        </is>
      </c>
    </row>
    <row r="496" ht="15.75" customHeight="1">
      <c r="A496" s="10">
        <f>COUNTIFS($B$2:$B$996,B496)</f>
        <v/>
      </c>
      <c r="B496" s="10" t="inlineStr">
        <is>
          <t>Granito branco Ceará</t>
        </is>
      </c>
      <c r="C496" s="11" t="inlineStr">
        <is>
          <t>M2</t>
        </is>
      </c>
      <c r="D496" s="2162">
        <f>E496*$D$1</f>
        <v/>
      </c>
      <c r="E496" s="2162" t="n">
        <v>650</v>
      </c>
      <c r="F496" s="2162" t="inlineStr">
        <is>
          <t>Pedras acabamento</t>
        </is>
      </c>
      <c r="G496" s="2162" t="inlineStr">
        <is>
          <t>Pedras acabamento</t>
        </is>
      </c>
      <c r="H496" s="2162" t="n"/>
      <c r="I496" s="4" t="inlineStr">
        <is>
          <t>Revestimentos</t>
        </is>
      </c>
    </row>
    <row r="497" ht="15.75" customHeight="1">
      <c r="A497" s="10">
        <f>COUNTIFS($B$2:$B$996,B497)</f>
        <v/>
      </c>
      <c r="B497" s="10" t="inlineStr">
        <is>
          <t>Granito siena branco</t>
        </is>
      </c>
      <c r="C497" s="11" t="inlineStr">
        <is>
          <t>M2</t>
        </is>
      </c>
      <c r="D497" s="2162">
        <f>E497*$D$1</f>
        <v/>
      </c>
      <c r="E497" s="2162" t="n">
        <v>650</v>
      </c>
      <c r="F497" s="2162" t="inlineStr">
        <is>
          <t>Pedras acabamento</t>
        </is>
      </c>
      <c r="G497" s="2162" t="inlineStr">
        <is>
          <t>Pedras acabamento</t>
        </is>
      </c>
      <c r="H497" s="2162" t="n"/>
      <c r="I497" s="4" t="inlineStr">
        <is>
          <t>Revestimentos</t>
        </is>
      </c>
    </row>
    <row r="498" ht="15.75" customHeight="1">
      <c r="A498" s="10">
        <f>COUNTIFS($B$2:$B$996,B498)</f>
        <v/>
      </c>
      <c r="B498" s="10" t="inlineStr">
        <is>
          <t>Mosaico São Tomé Para Paredes e Fachadas</t>
        </is>
      </c>
      <c r="C498" s="11" t="inlineStr">
        <is>
          <t>M2</t>
        </is>
      </c>
      <c r="D498" s="2162">
        <f>E498*$D$1</f>
        <v/>
      </c>
      <c r="E498" s="2162" t="n">
        <v>650</v>
      </c>
      <c r="F498" s="2162" t="inlineStr">
        <is>
          <t>Pedras acabamento</t>
        </is>
      </c>
      <c r="G498" s="2162" t="inlineStr">
        <is>
          <t>Pedras acabamento</t>
        </is>
      </c>
      <c r="H498" s="2162" t="n"/>
      <c r="I498" s="4" t="inlineStr">
        <is>
          <t>Revestimentos</t>
        </is>
      </c>
    </row>
    <row r="499" ht="15.75" customHeight="1">
      <c r="A499" s="10">
        <f>COUNTIFS($B$2:$B$996,B499)</f>
        <v/>
      </c>
      <c r="B499" s="10" t="inlineStr">
        <is>
          <t>Pedra Natural  para Revestimento</t>
        </is>
      </c>
      <c r="C499" s="11" t="inlineStr">
        <is>
          <t>M2</t>
        </is>
      </c>
      <c r="D499" s="2162">
        <f>E499*$D$1</f>
        <v/>
      </c>
      <c r="E499" s="2162" t="n">
        <v>800</v>
      </c>
      <c r="F499" s="2162" t="inlineStr">
        <is>
          <t>Pedras acabamento</t>
        </is>
      </c>
      <c r="G499" s="2162" t="inlineStr">
        <is>
          <t>Pedras acabamento</t>
        </is>
      </c>
      <c r="H499" s="2162" t="n"/>
      <c r="I499" s="4" t="inlineStr">
        <is>
          <t>Revestimentos</t>
        </is>
      </c>
    </row>
    <row r="500" ht="15.75" customHeight="1">
      <c r="A500" s="10">
        <f>COUNTIFS($B$2:$B$996,B500)</f>
        <v/>
      </c>
      <c r="B500" s="10" t="inlineStr">
        <is>
          <t>Pedra Natural moledo</t>
        </is>
      </c>
      <c r="C500" s="11" t="inlineStr">
        <is>
          <t>M2</t>
        </is>
      </c>
      <c r="D500" s="2162">
        <f>E500*$D$1</f>
        <v/>
      </c>
      <c r="E500" s="2162" t="n">
        <v>800</v>
      </c>
      <c r="F500" s="2162" t="inlineStr">
        <is>
          <t>Pedras acabamento</t>
        </is>
      </c>
      <c r="G500" s="2162" t="inlineStr">
        <is>
          <t>Pedras acabamento</t>
        </is>
      </c>
      <c r="H500" s="2162" t="n"/>
      <c r="I500" s="4" t="inlineStr">
        <is>
          <t>Revestimentos</t>
        </is>
      </c>
    </row>
    <row r="501" ht="15.75" customHeight="1">
      <c r="A501" s="10">
        <f>COUNTIFS($B$2:$B$996,B501)</f>
        <v/>
      </c>
      <c r="B501" s="10" t="inlineStr">
        <is>
          <t>Pedras Quartzito Van Gogh</t>
        </is>
      </c>
      <c r="C501" s="11" t="inlineStr">
        <is>
          <t>M2</t>
        </is>
      </c>
      <c r="D501" s="2162">
        <f>E501*$D$1</f>
        <v/>
      </c>
      <c r="E501" s="2162" t="n">
        <v>3200</v>
      </c>
      <c r="F501" s="2162" t="inlineStr">
        <is>
          <t>Pedras acabamento</t>
        </is>
      </c>
      <c r="G501" s="2162" t="inlineStr">
        <is>
          <t>Pedras acabamento</t>
        </is>
      </c>
      <c r="H501" s="2162" t="n"/>
      <c r="I501" s="4" t="inlineStr">
        <is>
          <t>Revestimentos</t>
        </is>
      </c>
    </row>
    <row r="502" ht="15.75" customHeight="1">
      <c r="A502" s="10">
        <f>COUNTIFS($B$2:$B$996,B502)</f>
        <v/>
      </c>
      <c r="B502" s="10" t="inlineStr">
        <is>
          <t>Revestimento em Paredes, Papel de parede, Solar, acessorios para instalação - Material</t>
        </is>
      </c>
      <c r="C502" s="11" t="inlineStr">
        <is>
          <t>M2</t>
        </is>
      </c>
      <c r="D502" s="2162">
        <f>E502*$D$1</f>
        <v/>
      </c>
      <c r="E502" s="2162">
        <f>1759/(6.52)</f>
        <v/>
      </c>
      <c r="F502" s="2162" t="inlineStr">
        <is>
          <t>Pedras acabamento</t>
        </is>
      </c>
      <c r="G502" s="2162" t="inlineStr">
        <is>
          <t>Pedras acabamento</t>
        </is>
      </c>
      <c r="H502" s="2162" t="n"/>
      <c r="I502" s="4" t="inlineStr">
        <is>
          <t>Revestimentos</t>
        </is>
      </c>
    </row>
    <row r="503" ht="15.75" customHeight="1">
      <c r="A503" s="10">
        <f>COUNTIFS($B$2:$B$996,B503)</f>
        <v/>
      </c>
      <c r="B503" s="10" t="inlineStr">
        <is>
          <t>Revestimento em Paredes, Papel de parede, Degradê Laranja 114, acessorios para instalação - Material</t>
        </is>
      </c>
      <c r="C503" s="11" t="inlineStr">
        <is>
          <t>M2</t>
        </is>
      </c>
      <c r="D503" s="2162">
        <f>E503*$D$1</f>
        <v/>
      </c>
      <c r="E503" s="2162">
        <f>1197/(1.59*3.5)</f>
        <v/>
      </c>
      <c r="F503" s="2162" t="inlineStr">
        <is>
          <t>Pedras acabamento</t>
        </is>
      </c>
      <c r="G503" s="2162" t="inlineStr">
        <is>
          <t>Pedras acabamento</t>
        </is>
      </c>
      <c r="H503" s="2162" t="n"/>
      <c r="I503" s="4" t="inlineStr">
        <is>
          <t>Revestimentos</t>
        </is>
      </c>
    </row>
    <row r="504" ht="15.75" customHeight="1">
      <c r="A504" s="10">
        <f>COUNTIFS($B$2:$B$996,B504)</f>
        <v/>
      </c>
      <c r="B504" s="10" t="inlineStr">
        <is>
          <t>Revestimento em Paredes, Papel de parede,  Jeans Cinza 246, acessorios para instalação - Material</t>
        </is>
      </c>
      <c r="C504" s="11" t="inlineStr">
        <is>
          <t>M2</t>
        </is>
      </c>
      <c r="D504" s="2162">
        <f>E504*$D$1</f>
        <v/>
      </c>
      <c r="E504" s="2162">
        <f>1106/(1.59*3.5)</f>
        <v/>
      </c>
      <c r="F504" s="2162" t="inlineStr">
        <is>
          <t>Pedras acabamento</t>
        </is>
      </c>
      <c r="G504" s="2162" t="inlineStr">
        <is>
          <t>Pedras acabamento</t>
        </is>
      </c>
      <c r="H504" s="2162" t="n"/>
      <c r="I504" s="4" t="inlineStr">
        <is>
          <t>Revestimentos</t>
        </is>
      </c>
    </row>
    <row r="505" ht="15.75" customHeight="1">
      <c r="A505" s="10">
        <f>COUNTIFS($B$2:$B$996,B505)</f>
        <v/>
      </c>
      <c r="B505" s="10" t="inlineStr">
        <is>
          <t>Revestimento em Paredes, Papel de parede, Mata Atlântica Azul, acessorios para instalação - Material</t>
        </is>
      </c>
      <c r="C505" s="11" t="inlineStr">
        <is>
          <t>M2</t>
        </is>
      </c>
      <c r="D505" s="2162">
        <f>E505*$D$1</f>
        <v/>
      </c>
      <c r="E505" s="2162">
        <f>1407/(1.59*3.5)</f>
        <v/>
      </c>
      <c r="F505" s="2162" t="inlineStr">
        <is>
          <t>Pedras acabamento</t>
        </is>
      </c>
      <c r="G505" s="2162" t="inlineStr">
        <is>
          <t>Pedras acabamento</t>
        </is>
      </c>
      <c r="H505" s="2162" t="n"/>
      <c r="I505" s="4" t="inlineStr">
        <is>
          <t>Revestimentos</t>
        </is>
      </c>
    </row>
    <row r="506" ht="15.75" customHeight="1">
      <c r="A506" s="10">
        <f>COUNTIFS($B$2:$B$996,B506)</f>
        <v/>
      </c>
      <c r="B506" s="10" t="inlineStr">
        <is>
          <t>Revestimento em Paredes, Papel de parede, Paisagem Suave Escuro, acessorios para instalação - Material</t>
        </is>
      </c>
      <c r="C506" s="11" t="inlineStr">
        <is>
          <t>M2</t>
        </is>
      </c>
      <c r="D506" s="2162">
        <f>E506*$D$1</f>
        <v/>
      </c>
      <c r="E506" s="2162">
        <f>2813/(3.18*3.5)</f>
        <v/>
      </c>
      <c r="F506" s="2162" t="inlineStr">
        <is>
          <t>Pedras acabamento</t>
        </is>
      </c>
      <c r="G506" s="2162" t="inlineStr">
        <is>
          <t>Pedras acabamento</t>
        </is>
      </c>
      <c r="H506" s="2162" t="n"/>
      <c r="I506" s="4" t="inlineStr">
        <is>
          <t>Revestimentos</t>
        </is>
      </c>
    </row>
    <row r="507" ht="15.75" customHeight="1">
      <c r="A507" s="10">
        <f>COUNTIFS($B$2:$B$996,B507)</f>
        <v/>
      </c>
      <c r="B507" s="10" t="inlineStr">
        <is>
          <t>Bucha Nylon C8</t>
        </is>
      </c>
      <c r="C507" s="11" t="inlineStr">
        <is>
          <t>UN</t>
        </is>
      </c>
      <c r="D507" s="2162">
        <f>E507*$D$1</f>
        <v/>
      </c>
      <c r="E507" s="2162" t="n">
        <v>0.34</v>
      </c>
      <c r="F507" s="2162" t="inlineStr">
        <is>
          <t>Prego/Parafuso</t>
        </is>
      </c>
      <c r="G507" s="2162" t="inlineStr">
        <is>
          <t>Prego/Parafuso</t>
        </is>
      </c>
      <c r="H507" s="2162" t="n"/>
      <c r="I507" s="4" t="inlineStr">
        <is>
          <t>Acessórios</t>
        </is>
      </c>
    </row>
    <row r="508" ht="15.75" customHeight="1">
      <c r="A508" s="10">
        <f>COUNTIFS($B$2:$B$996,B508)</f>
        <v/>
      </c>
      <c r="B508" s="10" t="inlineStr">
        <is>
          <t>Bucha S-10</t>
        </is>
      </c>
      <c r="C508" s="11" t="inlineStr">
        <is>
          <t>UN</t>
        </is>
      </c>
      <c r="D508" s="2162">
        <f>E508*$D$1</f>
        <v/>
      </c>
      <c r="E508" s="2162" t="n">
        <v>0.6</v>
      </c>
      <c r="F508" s="2162" t="inlineStr">
        <is>
          <t>Prego/Parafuso</t>
        </is>
      </c>
      <c r="G508" s="2162" t="inlineStr">
        <is>
          <t>Prego/Parafuso</t>
        </is>
      </c>
      <c r="H508" s="2162" t="n"/>
      <c r="I508" s="4" t="inlineStr">
        <is>
          <t>Acessórios</t>
        </is>
      </c>
    </row>
    <row r="509" ht="15.75" customHeight="1">
      <c r="A509" s="10">
        <f>COUNTIFS($B$2:$B$996,B509)</f>
        <v/>
      </c>
      <c r="B509" s="10" t="inlineStr">
        <is>
          <t>Bucha S-8</t>
        </is>
      </c>
      <c r="C509" s="11" t="inlineStr">
        <is>
          <t>UN</t>
        </is>
      </c>
      <c r="D509" s="2162">
        <f>E509*$D$1</f>
        <v/>
      </c>
      <c r="E509" s="2162" t="n">
        <v>0.34</v>
      </c>
      <c r="F509" s="2162" t="inlineStr">
        <is>
          <t>Prego/Parafuso</t>
        </is>
      </c>
      <c r="G509" s="2162" t="inlineStr">
        <is>
          <t>Prego/Parafuso</t>
        </is>
      </c>
      <c r="H509" s="2162" t="n"/>
      <c r="I509" s="4" t="inlineStr">
        <is>
          <t>Acessórios</t>
        </is>
      </c>
    </row>
    <row r="510" ht="15.75" customHeight="1">
      <c r="A510" s="10" t="n"/>
      <c r="B510" s="10" t="inlineStr">
        <is>
          <t>Estaca prancha EP400 para contenção, L=8,00m</t>
        </is>
      </c>
      <c r="C510" s="11" t="inlineStr">
        <is>
          <t>M2</t>
        </is>
      </c>
      <c r="D510" s="2162">
        <f>E510*$D$1</f>
        <v/>
      </c>
      <c r="E510" s="2162" t="n">
        <v>470.2840909090909</v>
      </c>
      <c r="F510" s="2162" t="inlineStr">
        <is>
          <t>Serviço Terceiros</t>
        </is>
      </c>
      <c r="G510" s="2162" t="inlineStr">
        <is>
          <t>Serviço Terceiros</t>
        </is>
      </c>
      <c r="H510" s="2162" t="inlineStr">
        <is>
          <t>Locação, Cravação e remção de estaca prança</t>
        </is>
      </c>
      <c r="I510" s="4" t="inlineStr">
        <is>
          <t>Mão de obra de Terceiros</t>
        </is>
      </c>
    </row>
    <row r="511" ht="15.75" customHeight="1">
      <c r="A511" s="10" t="n"/>
      <c r="B511" s="10" t="inlineStr">
        <is>
          <t>Mobilização e Desmobilização de equipamento e máquinas considerando serviço de carga e descarga</t>
        </is>
      </c>
      <c r="C511" s="11" t="inlineStr">
        <is>
          <t>VB</t>
        </is>
      </c>
      <c r="D511" s="2162">
        <f>E511*$D$1</f>
        <v/>
      </c>
      <c r="E511" s="2162" t="n">
        <v>12000</v>
      </c>
      <c r="F511" s="2162" t="inlineStr">
        <is>
          <t>Serviço Terceiros</t>
        </is>
      </c>
      <c r="G511" s="2162" t="inlineStr">
        <is>
          <t>Serviço Terceiros</t>
        </is>
      </c>
      <c r="H511" s="2162" t="n"/>
      <c r="I511" s="4" t="inlineStr">
        <is>
          <t>Mão de obra de Terceiros</t>
        </is>
      </c>
    </row>
    <row r="512" ht="15.75" customHeight="1">
      <c r="A512" s="10">
        <f>COUNTIFS($B$2:$B$996,B512)</f>
        <v/>
      </c>
      <c r="B512" s="10" t="inlineStr">
        <is>
          <t>CONJUNTO ARRUELAS DE VEDACAO 5/16" PARA TELHA FIBROCIMENTO (UMA ARRUELA METALICA E UMA ARRUELA PVC - CONICAS)</t>
        </is>
      </c>
      <c r="C512" s="11" t="inlineStr">
        <is>
          <t>CJ</t>
        </is>
      </c>
      <c r="D512" s="2162">
        <f>E512*$D$1</f>
        <v/>
      </c>
      <c r="E512" s="2162" t="n">
        <v>0.26</v>
      </c>
      <c r="F512" s="2162" t="inlineStr">
        <is>
          <t>Prego/Parafuso</t>
        </is>
      </c>
      <c r="G512" s="2162" t="inlineStr">
        <is>
          <t>Prego/Parafuso</t>
        </is>
      </c>
      <c r="H512" s="2162" t="n"/>
      <c r="I512" s="4" t="inlineStr">
        <is>
          <t>Acessórios</t>
        </is>
      </c>
    </row>
    <row r="513" ht="15.75" customHeight="1">
      <c r="A513" s="10">
        <f>COUNTIFS($B$2:$B$996,B513)</f>
        <v/>
      </c>
      <c r="B513" s="10" t="inlineStr">
        <is>
          <t>Fixadores e acessórios - parafusos e fixadores</t>
        </is>
      </c>
      <c r="C513" s="11" t="inlineStr">
        <is>
          <t>m2</t>
        </is>
      </c>
      <c r="D513" s="2162">
        <f>E513*$D$1</f>
        <v/>
      </c>
      <c r="E513" s="2162" t="n">
        <v>90</v>
      </c>
      <c r="F513" s="2162" t="inlineStr">
        <is>
          <t>Prego/Parafuso</t>
        </is>
      </c>
      <c r="G513" s="2162" t="inlineStr">
        <is>
          <t>Prego/Parafuso</t>
        </is>
      </c>
      <c r="H513" s="2162" t="n"/>
      <c r="I513" s="4" t="inlineStr">
        <is>
          <t>Acessórios</t>
        </is>
      </c>
    </row>
    <row r="514" ht="15.75" customHeight="1">
      <c r="A514" s="10">
        <f>COUNTIFS($B$2:$B$996,B514)</f>
        <v/>
      </c>
      <c r="B514" s="10" t="inlineStr">
        <is>
          <t>Parafuso Galvanizado</t>
        </is>
      </c>
      <c r="C514" s="11" t="inlineStr">
        <is>
          <t>UN</t>
        </is>
      </c>
      <c r="D514" s="2162">
        <f>E514*$D$1</f>
        <v/>
      </c>
      <c r="E514" s="2162" t="n">
        <v>24.95</v>
      </c>
      <c r="F514" s="2162" t="inlineStr">
        <is>
          <t>Prego/Parafuso</t>
        </is>
      </c>
      <c r="G514" s="2162" t="inlineStr">
        <is>
          <t>Prego/Parafuso</t>
        </is>
      </c>
      <c r="H514" s="2162" t="n"/>
      <c r="I514" s="4" t="inlineStr">
        <is>
          <t>Acessórios</t>
        </is>
      </c>
    </row>
    <row r="515" ht="15.75" customHeight="1">
      <c r="A515" s="10">
        <f>COUNTIFS($B$2:$B$996,B515)</f>
        <v/>
      </c>
      <c r="B515" s="10" t="inlineStr">
        <is>
          <t>Parafuso p/ Fixação de Tanque e Lavatório</t>
        </is>
      </c>
      <c r="C515" s="11" t="inlineStr">
        <is>
          <t>UN</t>
        </is>
      </c>
      <c r="D515" s="2162">
        <f>E515*$D$1</f>
        <v/>
      </c>
      <c r="E515" s="2162" t="n">
        <v>5.95</v>
      </c>
      <c r="F515" s="2162" t="inlineStr">
        <is>
          <t>Prego/Parafuso</t>
        </is>
      </c>
      <c r="G515" s="2162" t="inlineStr">
        <is>
          <t>Prego/Parafuso</t>
        </is>
      </c>
      <c r="H515" s="2162" t="n"/>
      <c r="I515" s="4" t="inlineStr">
        <is>
          <t>Acessórios</t>
        </is>
      </c>
    </row>
    <row r="516" ht="15.75" customHeight="1">
      <c r="A516" s="10">
        <f>COUNTIFS($B$2:$B$996,B516)</f>
        <v/>
      </c>
      <c r="B516" s="10" t="inlineStr">
        <is>
          <t>Parafuso p/ Fixação de Vaso Sanitário</t>
        </is>
      </c>
      <c r="C516" s="11" t="inlineStr">
        <is>
          <t>UN</t>
        </is>
      </c>
      <c r="D516" s="2162">
        <f>E516*$D$1</f>
        <v/>
      </c>
      <c r="E516" s="2162" t="n">
        <v>5.95</v>
      </c>
      <c r="F516" s="2162" t="inlineStr">
        <is>
          <t>Prego/Parafuso</t>
        </is>
      </c>
      <c r="G516" s="2162" t="inlineStr">
        <is>
          <t>Prego/Parafuso</t>
        </is>
      </c>
      <c r="H516" s="2162" t="n"/>
      <c r="I516" s="4" t="inlineStr">
        <is>
          <t>Acessórios</t>
        </is>
      </c>
    </row>
    <row r="517" ht="15.75" customHeight="1">
      <c r="A517" s="10">
        <f>COUNTIFS($B$2:$B$996,B517)</f>
        <v/>
      </c>
      <c r="B517" s="10" t="inlineStr">
        <is>
          <t>PARAFUSO ZINCADO ROSCA SOBERBA, CABECA SEXTAVADA, 5/16" X 250 MM, PARA FIXACAO DE TELHA EM MADEIRA</t>
        </is>
      </c>
      <c r="C517" s="11" t="inlineStr">
        <is>
          <t>UN</t>
        </is>
      </c>
      <c r="D517" s="2162">
        <f>E517*$D$1</f>
        <v/>
      </c>
      <c r="E517" s="2162" t="n">
        <v>4</v>
      </c>
      <c r="F517" s="2162" t="inlineStr">
        <is>
          <t>Prego/Parafuso</t>
        </is>
      </c>
      <c r="G517" s="2162" t="inlineStr">
        <is>
          <t>Prego/Parafuso</t>
        </is>
      </c>
      <c r="H517" s="2162" t="n"/>
      <c r="I517" s="4" t="inlineStr">
        <is>
          <t>Acessórios</t>
        </is>
      </c>
    </row>
    <row r="518" ht="14.25" customHeight="1">
      <c r="A518" s="10">
        <f>COUNTIFS($B$2:$B$996,B518)</f>
        <v/>
      </c>
      <c r="B518" s="87" t="inlineStr">
        <is>
          <t>PREGO DE ACO POLIDO COM CABECA 17 X 24 (2 1/4 X11)</t>
        </is>
      </c>
      <c r="C518" s="83" t="inlineStr">
        <is>
          <t>KG</t>
        </is>
      </c>
      <c r="D518" s="2165">
        <f>E518*$D$1</f>
        <v/>
      </c>
      <c r="E518" s="2165" t="n">
        <v>15.85</v>
      </c>
      <c r="F518" s="2165" t="inlineStr">
        <is>
          <t>Prego/Parafuso</t>
        </is>
      </c>
      <c r="G518" s="2165" t="inlineStr">
        <is>
          <t>Prego/Parafuso</t>
        </is>
      </c>
      <c r="H518" s="2165" t="n"/>
      <c r="I518" s="85" t="inlineStr">
        <is>
          <t>Acessórios</t>
        </is>
      </c>
    </row>
    <row r="519" ht="15.75" customHeight="1">
      <c r="A519" s="10">
        <f>COUNTIFS($B$2:$B$996,B519)</f>
        <v/>
      </c>
      <c r="B519" s="10" t="inlineStr">
        <is>
          <t>PREGO DE ACO POLIDO COM CABECA 15 X 15 (1 1/4 X 13)</t>
        </is>
      </c>
      <c r="C519" s="11" t="inlineStr">
        <is>
          <t>KG</t>
        </is>
      </c>
      <c r="D519" s="2162">
        <f>E519*$D$1</f>
        <v/>
      </c>
      <c r="E519" s="2162" t="n">
        <v>17.63</v>
      </c>
      <c r="F519" s="2162" t="inlineStr">
        <is>
          <t>Prego/Parafuso</t>
        </is>
      </c>
      <c r="G519" s="2162" t="inlineStr">
        <is>
          <t>Prego/Parafuso</t>
        </is>
      </c>
      <c r="H519" s="2162" t="n"/>
      <c r="I519" s="4" t="inlineStr">
        <is>
          <t>Acessórios</t>
        </is>
      </c>
    </row>
    <row r="520" ht="15.75" customHeight="1">
      <c r="A520" s="10">
        <f>COUNTIFS($B$2:$B$996,B520)</f>
        <v/>
      </c>
      <c r="B520" s="10" t="inlineStr">
        <is>
          <t>PREGO DE ACO POLIDO COM CABECA 15 X 18 (1 1/2 X 13)</t>
        </is>
      </c>
      <c r="C520" s="11" t="inlineStr">
        <is>
          <t>KG</t>
        </is>
      </c>
      <c r="D520" s="2162">
        <f>E520*$D$1</f>
        <v/>
      </c>
      <c r="E520" s="2162" t="n">
        <v>18.8</v>
      </c>
      <c r="F520" s="2162" t="inlineStr">
        <is>
          <t>Prego/Parafuso</t>
        </is>
      </c>
      <c r="G520" s="2162" t="inlineStr">
        <is>
          <t>Prego/Parafuso</t>
        </is>
      </c>
      <c r="H520" s="2162" t="n"/>
      <c r="I520" s="4" t="inlineStr">
        <is>
          <t>Acessórios</t>
        </is>
      </c>
    </row>
    <row r="521" ht="15.75" customHeight="1">
      <c r="A521" s="10">
        <f>COUNTIFS($B$2:$B$996,B521)</f>
        <v/>
      </c>
      <c r="B521" s="10" t="inlineStr">
        <is>
          <t>PREGO DE ACO POLIDO COM CABECA 16 X 24 (2 1/4 X 12)</t>
        </is>
      </c>
      <c r="C521" s="11" t="inlineStr">
        <is>
          <t>KG</t>
        </is>
      </c>
      <c r="D521" s="2162">
        <f>E521*$D$1</f>
        <v/>
      </c>
      <c r="E521" s="2162" t="n">
        <v>13.08</v>
      </c>
      <c r="F521" s="2162" t="inlineStr">
        <is>
          <t>Prego/Parafuso</t>
        </is>
      </c>
      <c r="G521" s="2162" t="inlineStr">
        <is>
          <t>Prego/Parafuso</t>
        </is>
      </c>
      <c r="H521" s="2162" t="n"/>
      <c r="I521" s="4" t="inlineStr">
        <is>
          <t>Acessórios</t>
        </is>
      </c>
    </row>
    <row r="522" ht="15.75" customHeight="1">
      <c r="A522" s="10">
        <f>COUNTIFS($B$2:$B$996,B522)</f>
        <v/>
      </c>
      <c r="B522" s="10" t="inlineStr">
        <is>
          <t>PREGO DE ACO POLIDO COM CABECA 17 X 21 (2 X 11)</t>
        </is>
      </c>
      <c r="C522" s="11" t="inlineStr">
        <is>
          <t>KG</t>
        </is>
      </c>
      <c r="D522" s="2162">
        <f>E522*$D$1</f>
        <v/>
      </c>
      <c r="E522" s="2162" t="n">
        <v>18.13</v>
      </c>
      <c r="F522" s="2162" t="inlineStr">
        <is>
          <t>Prego/Parafuso</t>
        </is>
      </c>
      <c r="G522" s="2162" t="inlineStr">
        <is>
          <t>Prego/Parafuso</t>
        </is>
      </c>
      <c r="H522" s="2162" t="n"/>
      <c r="I522" s="4" t="inlineStr">
        <is>
          <t>Acessórios</t>
        </is>
      </c>
    </row>
    <row r="523" ht="15.75" customHeight="1">
      <c r="A523" s="10">
        <f>COUNTIFS($B$2:$B$996,B523)</f>
        <v/>
      </c>
      <c r="B523" s="10" t="inlineStr">
        <is>
          <t>PREGO DE ACO POLIDO COM CABECA 17 x 27 (2 1/2 x 11)</t>
        </is>
      </c>
      <c r="C523" s="11" t="inlineStr">
        <is>
          <t>KG</t>
        </is>
      </c>
      <c r="D523" s="2162">
        <f>E523*$D$1</f>
        <v/>
      </c>
      <c r="E523" s="2162" t="n">
        <v>12.7</v>
      </c>
      <c r="F523" s="2162" t="inlineStr">
        <is>
          <t>Prego/Parafuso</t>
        </is>
      </c>
      <c r="G523" s="2162" t="inlineStr">
        <is>
          <t>Prego/Parafuso</t>
        </is>
      </c>
      <c r="H523" s="2162" t="inlineStr">
        <is>
          <t>Custo Incorrido</t>
        </is>
      </c>
      <c r="I523" s="4" t="inlineStr">
        <is>
          <t>Acessórios</t>
        </is>
      </c>
    </row>
    <row r="524" ht="15.75" customHeight="1">
      <c r="A524" s="10">
        <f>COUNTIFS($B$2:$B$996,B524)</f>
        <v/>
      </c>
      <c r="B524" s="10" t="inlineStr">
        <is>
          <t>PREGO DE ACO POLIDO COM CABECA 18 X 27 (2 1/2 X 10)</t>
        </is>
      </c>
      <c r="C524" s="11" t="inlineStr">
        <is>
          <t>KG</t>
        </is>
      </c>
      <c r="D524" s="2162">
        <f>E524*$D$1</f>
        <v/>
      </c>
      <c r="E524" s="2162" t="n">
        <v>15.65</v>
      </c>
      <c r="F524" s="2162" t="inlineStr">
        <is>
          <t>Prego/Parafuso</t>
        </is>
      </c>
      <c r="G524" s="2162" t="inlineStr">
        <is>
          <t>Prego/Parafuso</t>
        </is>
      </c>
      <c r="H524" s="2162" t="n"/>
      <c r="I524" s="4" t="inlineStr">
        <is>
          <t>Acessórios</t>
        </is>
      </c>
    </row>
    <row r="525" ht="15.75" customHeight="1">
      <c r="A525" s="10">
        <f>COUNTIFS($B$2:$B$996,B525)</f>
        <v/>
      </c>
      <c r="B525" s="10" t="inlineStr">
        <is>
          <t>PREGO DE ACO POLIDO COM CABECA 19 X 36 (3 1/4 X 9)</t>
        </is>
      </c>
      <c r="C525" s="11" t="inlineStr">
        <is>
          <t>KG</t>
        </is>
      </c>
      <c r="D525" s="2162">
        <f>E525*$D$1</f>
        <v/>
      </c>
      <c r="E525" s="2162" t="n">
        <v>15.9</v>
      </c>
      <c r="F525" s="2162" t="inlineStr">
        <is>
          <t>Prego/Parafuso</t>
        </is>
      </c>
      <c r="G525" s="2162" t="inlineStr">
        <is>
          <t>Prego/Parafuso</t>
        </is>
      </c>
      <c r="H525" s="2162" t="n"/>
      <c r="I525" s="4" t="inlineStr">
        <is>
          <t>Acessórios</t>
        </is>
      </c>
    </row>
    <row r="526" ht="15.75" customHeight="1">
      <c r="A526" s="10">
        <f>COUNTIFS($B$2:$B$996,B526)</f>
        <v/>
      </c>
      <c r="B526" s="10" t="inlineStr">
        <is>
          <t>PREGO DE ACO POLIDO COM CABECA 22 X 48 (4 1/4 X 5)</t>
        </is>
      </c>
      <c r="C526" s="11" t="inlineStr">
        <is>
          <t>KG</t>
        </is>
      </c>
      <c r="D526" s="2162">
        <f>E526*$D$1</f>
        <v/>
      </c>
      <c r="E526" s="2162" t="n">
        <v>16.04</v>
      </c>
      <c r="F526" s="2162" t="inlineStr">
        <is>
          <t>Prego/Parafuso</t>
        </is>
      </c>
      <c r="G526" s="2162" t="inlineStr">
        <is>
          <t>Prego/Parafuso</t>
        </is>
      </c>
      <c r="H526" s="2162" t="n"/>
      <c r="I526" s="4" t="inlineStr">
        <is>
          <t>Acessórios</t>
        </is>
      </c>
    </row>
    <row r="527" ht="15.75" customHeight="1">
      <c r="A527" s="10">
        <f>COUNTIFS($B$2:$B$996,B527)</f>
        <v/>
      </c>
      <c r="B527" s="10" t="inlineStr">
        <is>
          <t>PREGO GALVANIZADO LISO S/CABECA 17X21 NBR 6627</t>
        </is>
      </c>
      <c r="C527" s="11" t="inlineStr">
        <is>
          <t>KG</t>
        </is>
      </c>
      <c r="D527" s="2162">
        <f>E527*$D$1</f>
        <v/>
      </c>
      <c r="E527" s="2162" t="n">
        <v>10.03</v>
      </c>
      <c r="F527" s="2162" t="inlineStr">
        <is>
          <t>Prego/Parafuso</t>
        </is>
      </c>
      <c r="G527" s="2162" t="inlineStr">
        <is>
          <t>Prego/Parafuso</t>
        </is>
      </c>
      <c r="H527" s="2162" t="n"/>
      <c r="I527" s="4" t="inlineStr">
        <is>
          <t>Acessórios</t>
        </is>
      </c>
    </row>
    <row r="528" ht="15.75" customHeight="1">
      <c r="A528" s="10">
        <f>COUNTIFS($B$2:$B$996,B528)</f>
        <v/>
      </c>
      <c r="B528" s="10" t="inlineStr">
        <is>
          <t>REBITE DE REPUXO EM ALUMINIO VAZADO, DIAMETRO 3,2 X 8 MM DE COMPRIMENTO (1KG = 1025 UNIDADES)</t>
        </is>
      </c>
      <c r="C528" s="11" t="inlineStr">
        <is>
          <t>KG</t>
        </is>
      </c>
      <c r="D528" s="2162">
        <f>E528*$D$1</f>
        <v/>
      </c>
      <c r="E528" s="2162" t="n">
        <v>71.51000000000001</v>
      </c>
      <c r="F528" s="2162" t="inlineStr">
        <is>
          <t>Prego/Parafuso</t>
        </is>
      </c>
      <c r="G528" s="2162" t="inlineStr">
        <is>
          <t>Prego/Parafuso</t>
        </is>
      </c>
      <c r="H528" s="2162" t="n"/>
      <c r="I528" s="4" t="inlineStr">
        <is>
          <t>Acessórios</t>
        </is>
      </c>
    </row>
    <row r="529" ht="15.75" customHeight="1">
      <c r="A529" s="10">
        <f>COUNTIFS($B$2:$B$996,B529)</f>
        <v/>
      </c>
      <c r="B529" s="10" t="inlineStr">
        <is>
          <t>LAJE PRE-MOLDADA CONVENCIONAL (LAJOTAS + VIGOTAS) PARA PISO, UNIDIRECIONAL, SOBRECARGA DE 200 KG/M2, VAO ATE 3,50 M (SEM COLOCACAO)</t>
        </is>
      </c>
      <c r="C529" s="11" t="inlineStr">
        <is>
          <t>M2</t>
        </is>
      </c>
      <c r="D529" s="2162">
        <f>E529*$D$1</f>
        <v/>
      </c>
      <c r="E529" s="2162" t="n">
        <v>59.4</v>
      </c>
      <c r="F529" s="2162" t="inlineStr">
        <is>
          <t>Pre-Moldado</t>
        </is>
      </c>
      <c r="G529" s="2162" t="inlineStr">
        <is>
          <t>Pre-Moldado</t>
        </is>
      </c>
      <c r="H529" s="2162" t="n"/>
      <c r="I529" s="4" t="inlineStr">
        <is>
          <t>Pré-Moldados</t>
        </is>
      </c>
    </row>
    <row r="530" ht="15.75" customHeight="1">
      <c r="A530" s="10">
        <f>COUNTIFS($B$2:$B$996,B530)</f>
        <v/>
      </c>
      <c r="B530" s="10" t="inlineStr">
        <is>
          <t>Espaçador para armadura</t>
        </is>
      </c>
      <c r="C530" s="11" t="inlineStr">
        <is>
          <t>UN</t>
        </is>
      </c>
      <c r="D530" s="2162">
        <f>E530*$D$1</f>
        <v/>
      </c>
      <c r="E530" s="2162" t="n">
        <v>0.27</v>
      </c>
      <c r="F530" s="2162" t="inlineStr">
        <is>
          <t>Revestimentos</t>
        </is>
      </c>
      <c r="G530" s="2162" t="inlineStr">
        <is>
          <t>Diversos</t>
        </is>
      </c>
      <c r="H530" s="2162" t="n"/>
      <c r="I530" s="4" t="inlineStr">
        <is>
          <t>Revestimentos</t>
        </is>
      </c>
    </row>
    <row r="531" ht="15.75" customHeight="1">
      <c r="A531" s="10">
        <f>COUNTIFS($B$2:$B$996,B531)</f>
        <v/>
      </c>
      <c r="B531" s="10" t="inlineStr">
        <is>
          <t>Espeçador junta piso 2mm</t>
        </is>
      </c>
      <c r="C531" s="11" t="inlineStr">
        <is>
          <t>UN</t>
        </is>
      </c>
      <c r="D531" s="2162">
        <f>E531*$D$1</f>
        <v/>
      </c>
      <c r="E531" s="2162" t="n">
        <v>0.08</v>
      </c>
      <c r="F531" s="2162" t="inlineStr">
        <is>
          <t>Revestimentos</t>
        </is>
      </c>
      <c r="G531" s="2162" t="inlineStr">
        <is>
          <t>Diversos</t>
        </is>
      </c>
      <c r="H531" s="2162" t="n"/>
      <c r="I531" s="4" t="inlineStr">
        <is>
          <t>Revestimentos</t>
        </is>
      </c>
    </row>
    <row r="532" ht="15.75" customHeight="1">
      <c r="A532" s="10">
        <f>COUNTIFS($B$2:$B$996,B532)</f>
        <v/>
      </c>
      <c r="B532" s="10" t="inlineStr">
        <is>
          <t>Espeçador junta piso 3mm</t>
        </is>
      </c>
      <c r="C532" s="11" t="inlineStr">
        <is>
          <t>UN</t>
        </is>
      </c>
      <c r="D532" s="2162">
        <f>E532*$D$1</f>
        <v/>
      </c>
      <c r="E532" s="2162" t="n">
        <v>0.05</v>
      </c>
      <c r="F532" s="2162" t="inlineStr">
        <is>
          <t>Revestimentos</t>
        </is>
      </c>
      <c r="G532" s="2162" t="inlineStr">
        <is>
          <t>Diversos</t>
        </is>
      </c>
      <c r="H532" s="2162" t="n"/>
      <c r="I532" s="4" t="inlineStr">
        <is>
          <t>Revestimentos</t>
        </is>
      </c>
    </row>
    <row r="533" ht="15.75" customHeight="1">
      <c r="A533" s="10">
        <f>COUNTIFS($B$2:$B$996,B533)</f>
        <v/>
      </c>
      <c r="B533" s="10" t="inlineStr">
        <is>
          <t>Estrutura steel deck + concreto</t>
        </is>
      </c>
      <c r="C533" s="11" t="inlineStr">
        <is>
          <t>M2</t>
        </is>
      </c>
      <c r="D533" s="2162">
        <f>E533*$D$1</f>
        <v/>
      </c>
      <c r="E533" s="2162" t="n">
        <v>450</v>
      </c>
      <c r="F533" s="2162" t="inlineStr">
        <is>
          <t>Revestimentos</t>
        </is>
      </c>
      <c r="G533" s="2162" t="inlineStr">
        <is>
          <t>Diversos</t>
        </is>
      </c>
      <c r="H533" s="2162" t="n"/>
      <c r="I533" s="4" t="inlineStr">
        <is>
          <t>Revestimentos</t>
        </is>
      </c>
    </row>
    <row r="534" ht="15.75" customHeight="1">
      <c r="A534" s="10">
        <f>COUNTIFS($B$2:$B$996,B534)</f>
        <v/>
      </c>
      <c r="B534" s="10" t="inlineStr">
        <is>
          <t>Regularização e proteção mecânica</t>
        </is>
      </c>
      <c r="C534" s="11" t="inlineStr">
        <is>
          <t>M2</t>
        </is>
      </c>
      <c r="D534" s="2162">
        <f>E534*$D$1</f>
        <v/>
      </c>
      <c r="E534" s="2162" t="n">
        <v>80</v>
      </c>
      <c r="F534" s="2162" t="inlineStr">
        <is>
          <t>Revestimentos</t>
        </is>
      </c>
      <c r="G534" s="2162" t="inlineStr">
        <is>
          <t>Diversos</t>
        </is>
      </c>
      <c r="H534" s="2162" t="n"/>
      <c r="I534" s="4" t="inlineStr">
        <is>
          <t>Revestimentos</t>
        </is>
      </c>
    </row>
    <row r="535" ht="15.75" customHeight="1">
      <c r="A535" s="10">
        <f>COUNTIFS($B$2:$B$996,B535)</f>
        <v/>
      </c>
      <c r="B535" s="10" t="inlineStr">
        <is>
          <t>Impermeabilização antirraiz</t>
        </is>
      </c>
      <c r="C535" s="11" t="inlineStr">
        <is>
          <t>M2</t>
        </is>
      </c>
      <c r="D535" s="2162">
        <f>E535*$D$1</f>
        <v/>
      </c>
      <c r="E535" s="2162" t="n">
        <v>160</v>
      </c>
      <c r="F535" s="2162" t="inlineStr">
        <is>
          <t>Revestimentos</t>
        </is>
      </c>
      <c r="G535" s="2162" t="inlineStr">
        <is>
          <t>Diversos</t>
        </is>
      </c>
      <c r="H535" s="2162" t="n"/>
      <c r="I535" s="4" t="inlineStr">
        <is>
          <t>Revestimentos</t>
        </is>
      </c>
    </row>
    <row r="536" ht="15.75" customHeight="1">
      <c r="A536" s="10">
        <f>COUNTIFS($B$2:$B$996,B536)</f>
        <v/>
      </c>
      <c r="B536" s="10" t="inlineStr">
        <is>
          <t>Camada drenante</t>
        </is>
      </c>
      <c r="C536" s="11" t="inlineStr">
        <is>
          <t>M2</t>
        </is>
      </c>
      <c r="D536" s="2162">
        <f>E536*$D$1</f>
        <v/>
      </c>
      <c r="E536" s="2162" t="n">
        <v>140</v>
      </c>
      <c r="F536" s="2162" t="inlineStr">
        <is>
          <t>Revestimentos</t>
        </is>
      </c>
      <c r="G536" s="2162" t="inlineStr">
        <is>
          <t>Diversos</t>
        </is>
      </c>
      <c r="H536" s="2162" t="n"/>
      <c r="I536" s="4" t="inlineStr">
        <is>
          <t>Revestimentos</t>
        </is>
      </c>
    </row>
    <row r="537" ht="15.75" customHeight="1">
      <c r="A537" s="10">
        <f>COUNTIFS($B$2:$B$996,B537)</f>
        <v/>
      </c>
      <c r="B537" s="10" t="inlineStr">
        <is>
          <t>Manta filtrante</t>
        </is>
      </c>
      <c r="C537" s="11" t="inlineStr">
        <is>
          <t>M2</t>
        </is>
      </c>
      <c r="D537" s="2162">
        <f>E537*$D$1</f>
        <v/>
      </c>
      <c r="E537" s="2162" t="n">
        <v>25</v>
      </c>
      <c r="F537" s="2162" t="inlineStr">
        <is>
          <t>Revestimentos</t>
        </is>
      </c>
      <c r="G537" s="2162" t="inlineStr">
        <is>
          <t>Diversos</t>
        </is>
      </c>
      <c r="H537" s="2162" t="n"/>
      <c r="I537" s="4" t="inlineStr">
        <is>
          <t>Revestimentos</t>
        </is>
      </c>
    </row>
    <row r="538" ht="15.75" customHeight="1">
      <c r="A538" s="10">
        <f>COUNTIFS($B$2:$B$996,B538)</f>
        <v/>
      </c>
      <c r="B538" s="10" t="inlineStr">
        <is>
          <t>Substrato vegetal intensivo</t>
        </is>
      </c>
      <c r="C538" s="11" t="inlineStr">
        <is>
          <t>M2</t>
        </is>
      </c>
      <c r="D538" s="2162">
        <f>E538*$D$1</f>
        <v/>
      </c>
      <c r="E538" s="2162" t="n">
        <v>260</v>
      </c>
      <c r="F538" s="2162" t="inlineStr">
        <is>
          <t>Revestimentos</t>
        </is>
      </c>
      <c r="G538" s="2162" t="inlineStr">
        <is>
          <t>Diversos</t>
        </is>
      </c>
      <c r="H538" s="2162" t="n"/>
      <c r="I538" s="4" t="inlineStr">
        <is>
          <t>Revestimentos</t>
        </is>
      </c>
    </row>
    <row r="539" ht="15.75" customHeight="1">
      <c r="A539" s="10">
        <f>COUNTIFS($B$2:$B$996,B539)</f>
        <v/>
      </c>
      <c r="B539" s="10" t="inlineStr">
        <is>
          <t>Vegetação intensiva</t>
        </is>
      </c>
      <c r="C539" s="11" t="inlineStr">
        <is>
          <t>M2</t>
        </is>
      </c>
      <c r="D539" s="2162">
        <f>E539*$D$1</f>
        <v/>
      </c>
      <c r="E539" s="2162" t="n">
        <v>320</v>
      </c>
      <c r="F539" s="2162" t="inlineStr">
        <is>
          <t>Revestimentos</t>
        </is>
      </c>
      <c r="G539" s="2162" t="inlineStr">
        <is>
          <t>Diversos</t>
        </is>
      </c>
      <c r="H539" s="2162" t="n"/>
      <c r="I539" s="4" t="inlineStr">
        <is>
          <t>Revestimentos</t>
        </is>
      </c>
    </row>
    <row r="540" ht="15.75" customHeight="1">
      <c r="A540" s="10">
        <f>COUNTIFS($B$2:$B$996,B540)</f>
        <v/>
      </c>
      <c r="B540" s="10" t="inlineStr">
        <is>
          <t>Sistema irrigação</t>
        </is>
      </c>
      <c r="C540" s="11" t="inlineStr">
        <is>
          <t>M2</t>
        </is>
      </c>
      <c r="D540" s="2162">
        <f>E540*$D$1</f>
        <v/>
      </c>
      <c r="E540" s="2162" t="n">
        <v>90</v>
      </c>
      <c r="F540" s="2162" t="inlineStr">
        <is>
          <t>Revestimentos</t>
        </is>
      </c>
      <c r="G540" s="2162" t="inlineStr">
        <is>
          <t>Diversos</t>
        </is>
      </c>
      <c r="H540" s="2162" t="n"/>
      <c r="I540" s="4" t="inlineStr">
        <is>
          <t>Revestimentos</t>
        </is>
      </c>
    </row>
    <row r="541" ht="15.75" customHeight="1">
      <c r="A541" s="10">
        <f>COUNTIFS($B$2:$B$996,B541)</f>
        <v/>
      </c>
      <c r="B541" s="10" t="inlineStr">
        <is>
          <t>Filete metálico - divisória entre pisos - aluminio escovado</t>
        </is>
      </c>
      <c r="C541" s="11" t="inlineStr">
        <is>
          <t>M2</t>
        </is>
      </c>
      <c r="D541" s="2162">
        <f>E541*$D$1</f>
        <v/>
      </c>
      <c r="E541" s="2162" t="n">
        <v>1904.761904761905</v>
      </c>
      <c r="F541" s="2162" t="inlineStr">
        <is>
          <t>Revestimentos</t>
        </is>
      </c>
      <c r="G541" s="2162" t="inlineStr">
        <is>
          <t>Diversos</t>
        </is>
      </c>
      <c r="H541" s="2162" t="n"/>
      <c r="I541" s="4" t="inlineStr">
        <is>
          <t>Revestimentos</t>
        </is>
      </c>
    </row>
    <row r="542" ht="15.75" customHeight="1">
      <c r="A542" s="10">
        <f>COUNTIFS($B$2:$B$996,B542)</f>
        <v/>
      </c>
      <c r="B542" s="10" t="inlineStr">
        <is>
          <t>Filete metálico - divisória entre pisos</t>
        </is>
      </c>
      <c r="C542" s="11" t="inlineStr">
        <is>
          <t>M</t>
        </is>
      </c>
      <c r="D542" s="2162">
        <f>E542*$D$1</f>
        <v/>
      </c>
      <c r="E542" s="2162" t="n">
        <v>133.3333333333333</v>
      </c>
      <c r="F542" s="2162" t="inlineStr">
        <is>
          <t>Revestimentos</t>
        </is>
      </c>
      <c r="G542" s="2162" t="inlineStr">
        <is>
          <t>Diversos</t>
        </is>
      </c>
      <c r="H542" s="2162" t="n"/>
      <c r="I542" s="4" t="inlineStr">
        <is>
          <t>Revestimentos</t>
        </is>
      </c>
    </row>
    <row r="543">
      <c r="A543" s="10">
        <f>COUNTIFS($B$2:$B$996,B543)</f>
        <v/>
      </c>
      <c r="B543" s="82" t="inlineStr">
        <is>
          <t>Espaçador Treliçado p/ armaduras 6 cm</t>
        </is>
      </c>
      <c r="C543" s="83" t="inlineStr">
        <is>
          <t>UN</t>
        </is>
      </c>
      <c r="D543" s="2165">
        <f>E543*$D$1</f>
        <v/>
      </c>
      <c r="E543" s="2165" t="n">
        <v>33.9</v>
      </c>
      <c r="F543" s="2165" t="inlineStr">
        <is>
          <t>Revestimentos</t>
        </is>
      </c>
      <c r="G543" s="2165" t="inlineStr">
        <is>
          <t>Diversos</t>
        </is>
      </c>
      <c r="H543" s="2165" t="n"/>
      <c r="I543" s="4" t="inlineStr">
        <is>
          <t>Revestimentos</t>
        </is>
      </c>
    </row>
    <row r="544" ht="15.75" customHeight="1">
      <c r="A544" s="10">
        <f>COUNTIFS($B$2:$B$996,B544)</f>
        <v/>
      </c>
      <c r="B544" s="10" t="inlineStr">
        <is>
          <t>TECNOLOGIA CLEANTEC EV</t>
        </is>
      </c>
      <c r="C544" s="11" t="inlineStr">
        <is>
          <t>m2</t>
        </is>
      </c>
      <c r="D544" s="2162">
        <f>E544*$D$1</f>
        <v/>
      </c>
      <c r="E544" s="2162" t="n">
        <v>85.55</v>
      </c>
      <c r="F544" s="2162" t="inlineStr">
        <is>
          <t>Revestimentos</t>
        </is>
      </c>
      <c r="G544" s="2162" t="inlineStr">
        <is>
          <t>Diversos</t>
        </is>
      </c>
      <c r="H544" s="2162" t="n"/>
      <c r="I544" s="4" t="inlineStr">
        <is>
          <t>Revestimentos</t>
        </is>
      </c>
    </row>
    <row r="545" ht="15.75" customHeight="1">
      <c r="A545" s="10">
        <f>COUNTIFS($B$2:$B$996,B545)</f>
        <v/>
      </c>
      <c r="B545" s="10" t="inlineStr">
        <is>
          <t>Rejunte Acrilico cinza platina</t>
        </is>
      </c>
      <c r="C545" s="11" t="inlineStr">
        <is>
          <t>KG</t>
        </is>
      </c>
      <c r="D545" s="2162">
        <f>E545*$D$1</f>
        <v/>
      </c>
      <c r="E545" s="2162" t="n">
        <v>38</v>
      </c>
      <c r="F545" s="2162" t="inlineStr">
        <is>
          <t>Revestimentos</t>
        </is>
      </c>
      <c r="G545" s="2162" t="inlineStr">
        <is>
          <t>Rejunte</t>
        </is>
      </c>
      <c r="H545" s="2162" t="n"/>
      <c r="I545" s="4" t="inlineStr">
        <is>
          <t>Revestimentos</t>
        </is>
      </c>
    </row>
    <row r="546" ht="15.75" customHeight="1">
      <c r="A546" s="10">
        <f>COUNTIFS($B$2:$B$996,B546)</f>
        <v/>
      </c>
      <c r="B546" s="10" t="inlineStr">
        <is>
          <t>Rejunte Acrilico</t>
        </is>
      </c>
      <c r="C546" s="11" t="inlineStr">
        <is>
          <t>KG</t>
        </is>
      </c>
      <c r="D546" s="2162">
        <f>E546*$D$1</f>
        <v/>
      </c>
      <c r="E546" s="2162" t="n">
        <v>43.8</v>
      </c>
      <c r="F546" s="2162" t="inlineStr">
        <is>
          <t>Revestimentos</t>
        </is>
      </c>
      <c r="G546" s="2162" t="inlineStr">
        <is>
          <t>Rejunte</t>
        </is>
      </c>
      <c r="H546" s="2162" t="n"/>
      <c r="I546" s="4" t="inlineStr">
        <is>
          <t>Revestimentos</t>
        </is>
      </c>
    </row>
    <row r="547" ht="15.75" customHeight="1">
      <c r="A547" s="10">
        <f>COUNTIFS($B$2:$B$996,B547)</f>
        <v/>
      </c>
      <c r="B547" s="10" t="inlineStr">
        <is>
          <t>Rejunte Cimentício</t>
        </is>
      </c>
      <c r="C547" s="11" t="inlineStr">
        <is>
          <t>KG</t>
        </is>
      </c>
      <c r="D547" s="2162">
        <f>E547*$D$1</f>
        <v/>
      </c>
      <c r="E547" s="2162" t="n">
        <v>11.15</v>
      </c>
      <c r="F547" s="2162" t="inlineStr">
        <is>
          <t>Revestimentos</t>
        </is>
      </c>
      <c r="G547" s="2162" t="inlineStr">
        <is>
          <t>Rejunte</t>
        </is>
      </c>
      <c r="H547" s="2162" t="n"/>
      <c r="I547" s="4" t="inlineStr">
        <is>
          <t>Revestimentos</t>
        </is>
      </c>
    </row>
    <row r="548" ht="15.75" customHeight="1">
      <c r="A548" s="10">
        <f>COUNTIFS($B$2:$B$996,B548)</f>
        <v/>
      </c>
      <c r="B548" s="10" t="inlineStr">
        <is>
          <t>Black Lava Brick (Hitam)</t>
        </is>
      </c>
      <c r="C548" s="11" t="inlineStr">
        <is>
          <t>M2</t>
        </is>
      </c>
      <c r="D548" s="2162">
        <f>E548*$D$1</f>
        <v/>
      </c>
      <c r="E548" s="2162" t="n">
        <v>503</v>
      </c>
      <c r="F548" s="2162" t="inlineStr">
        <is>
          <t>Revestimentos</t>
        </is>
      </c>
      <c r="G548" s="2162" t="inlineStr">
        <is>
          <t>Revestimentos</t>
        </is>
      </c>
      <c r="H548" s="2162" t="n"/>
      <c r="I548" s="4" t="inlineStr">
        <is>
          <t>Revestimentos</t>
        </is>
      </c>
    </row>
    <row r="549" ht="15.75" customHeight="1">
      <c r="A549" s="10">
        <f>COUNTIFS($B$2:$B$996,B549)</f>
        <v/>
      </c>
      <c r="B549" s="10" t="inlineStr">
        <is>
          <t>Estrutura Metálica para Portico</t>
        </is>
      </c>
      <c r="C549" s="11" t="inlineStr">
        <is>
          <t>M2</t>
        </is>
      </c>
      <c r="D549" s="2162">
        <f>E549*$D$1</f>
        <v/>
      </c>
      <c r="E549" s="2162" t="n">
        <v>880</v>
      </c>
      <c r="F549" s="2162" t="inlineStr">
        <is>
          <t>Revestimentos</t>
        </is>
      </c>
      <c r="G549" s="2162" t="inlineStr">
        <is>
          <t>Revestimentos</t>
        </is>
      </c>
      <c r="H549" s="2162" t="n"/>
      <c r="I549" s="4" t="inlineStr">
        <is>
          <t>Revestimentos</t>
        </is>
      </c>
    </row>
    <row r="550" ht="15.75" customHeight="1">
      <c r="A550" s="10">
        <f>COUNTIFS($B$2:$B$996,B550)</f>
        <v/>
      </c>
      <c r="B550" s="10" t="inlineStr">
        <is>
          <t>Acabamento em ACM em tetos - Material e mão de obra</t>
        </is>
      </c>
      <c r="C550" s="11" t="inlineStr">
        <is>
          <t>M2</t>
        </is>
      </c>
      <c r="D550" s="2162">
        <f>E550*$D$1</f>
        <v/>
      </c>
      <c r="E550" s="2162">
        <f>411*1.2*2</f>
        <v/>
      </c>
      <c r="F550" s="2162" t="inlineStr">
        <is>
          <t>Revestimentos</t>
        </is>
      </c>
      <c r="G550" s="2162" t="inlineStr">
        <is>
          <t>Revestimentos</t>
        </is>
      </c>
      <c r="H550" s="2162" t="n"/>
      <c r="I550" s="4" t="inlineStr">
        <is>
          <t>Revestimentos</t>
        </is>
      </c>
    </row>
    <row r="551" ht="15.75" customHeight="1">
      <c r="A551" s="10">
        <f>COUNTIFS($B$2:$B$996,B551)</f>
        <v/>
      </c>
      <c r="B551" s="10" t="inlineStr">
        <is>
          <t>Acabamento em ACM para Fachadas - Material e mão de obra</t>
        </is>
      </c>
      <c r="C551" s="11" t="inlineStr">
        <is>
          <t>M2</t>
        </is>
      </c>
      <c r="D551" s="2162">
        <f>E551*$D$1</f>
        <v/>
      </c>
      <c r="E551" s="2162" t="n">
        <v>1200</v>
      </c>
      <c r="F551" s="2162" t="inlineStr">
        <is>
          <t>Revestimentos</t>
        </is>
      </c>
      <c r="G551" s="2162" t="inlineStr">
        <is>
          <t>Revestimentos</t>
        </is>
      </c>
      <c r="H551" s="2162" t="n"/>
      <c r="I551" s="4" t="inlineStr">
        <is>
          <t>Revestimentos</t>
        </is>
      </c>
    </row>
    <row r="552" ht="15.75" customHeight="1">
      <c r="A552" s="10">
        <f>COUNTIFS($B$2:$B$996,B552)</f>
        <v/>
      </c>
      <c r="B552" s="10" t="inlineStr">
        <is>
          <t>Painel metálico, aplicação em Fachada - Material e  Mão de Obra</t>
        </is>
      </c>
      <c r="C552" s="11" t="inlineStr">
        <is>
          <t>M2</t>
        </is>
      </c>
      <c r="D552" s="2162">
        <f>E552*$D$1</f>
        <v/>
      </c>
      <c r="E552" s="2162" t="n">
        <v>1200</v>
      </c>
      <c r="F552" s="2162" t="inlineStr">
        <is>
          <t>Revestimentos</t>
        </is>
      </c>
      <c r="G552" s="2162" t="inlineStr">
        <is>
          <t>Revestimentos</t>
        </is>
      </c>
      <c r="H552" s="2162" t="n"/>
      <c r="I552" s="4" t="inlineStr">
        <is>
          <t>Revestimentos</t>
        </is>
      </c>
    </row>
    <row r="553" ht="15.75" customHeight="1">
      <c r="A553" s="10">
        <f>COUNTIFS($B$2:$B$996,B553)</f>
        <v/>
      </c>
      <c r="B553" s="10" t="inlineStr">
        <is>
          <t>Painel metálico perfurado, aplicação em Fachada</t>
        </is>
      </c>
      <c r="C553" s="11" t="inlineStr">
        <is>
          <t>M2</t>
        </is>
      </c>
      <c r="D553" s="2162">
        <f>E553*$D$1</f>
        <v/>
      </c>
      <c r="E553" s="2162" t="n">
        <v>1200</v>
      </c>
      <c r="F553" s="2162" t="inlineStr">
        <is>
          <t>Revestimentos</t>
        </is>
      </c>
      <c r="G553" s="2162" t="inlineStr">
        <is>
          <t>Revestimentos</t>
        </is>
      </c>
      <c r="H553" s="2162" t="n"/>
      <c r="I553" s="4" t="inlineStr">
        <is>
          <t>Revestimentos</t>
        </is>
      </c>
    </row>
    <row r="554" ht="15.75" customHeight="1">
      <c r="A554" s="10">
        <f>COUNTIFS($B$2:$B$996,B554)</f>
        <v/>
      </c>
      <c r="B554" s="10" t="inlineStr">
        <is>
          <t>PASTILHA DE PORCELANA ATLAS 15x15 GRANEL ISLA M16112</t>
        </is>
      </c>
      <c r="C554" s="11" t="inlineStr">
        <is>
          <t>M2</t>
        </is>
      </c>
      <c r="D554" s="2162">
        <f>E554*$D$1</f>
        <v/>
      </c>
      <c r="E554" s="2162" t="n">
        <v>251.36</v>
      </c>
      <c r="F554" s="2162" t="inlineStr">
        <is>
          <t>Revestimentos</t>
        </is>
      </c>
      <c r="G554" s="2162" t="inlineStr">
        <is>
          <t>Revestimentos</t>
        </is>
      </c>
      <c r="H554" s="2162" t="n"/>
      <c r="I554" s="4" t="inlineStr">
        <is>
          <t>Revestimentos</t>
        </is>
      </c>
    </row>
    <row r="555" ht="15.75" customHeight="1">
      <c r="A555" s="10">
        <f>COUNTIFS($B$2:$B$996,B555)</f>
        <v/>
      </c>
      <c r="B555" s="10" t="inlineStr">
        <is>
          <t>Cer. Karina Artisan 60305 Act. 60x60 Ret</t>
        </is>
      </c>
      <c r="C555" s="11" t="inlineStr">
        <is>
          <t>M2</t>
        </is>
      </c>
      <c r="D555" s="2162">
        <f>E555*$D$1</f>
        <v/>
      </c>
      <c r="E555" s="2162" t="n">
        <v>47.23</v>
      </c>
      <c r="F555" s="2162" t="inlineStr">
        <is>
          <t>Revestimentos</t>
        </is>
      </c>
      <c r="G555" s="2162" t="inlineStr">
        <is>
          <t>Revestimentos</t>
        </is>
      </c>
      <c r="H555" s="2162" t="n"/>
      <c r="I555" s="4" t="inlineStr">
        <is>
          <t>Revestimentos</t>
        </is>
      </c>
    </row>
    <row r="556" ht="15.75" customHeight="1">
      <c r="A556" s="10">
        <f>COUNTIFS($B$2:$B$996,B556)</f>
        <v/>
      </c>
      <c r="B556" s="10" t="inlineStr">
        <is>
          <t>Piso Emborrachado Monolitico Rubber</t>
        </is>
      </c>
      <c r="C556" s="11" t="inlineStr">
        <is>
          <t>M2</t>
        </is>
      </c>
      <c r="D556" s="2162">
        <f>E556*$D$1</f>
        <v/>
      </c>
      <c r="E556" s="2162" t="n">
        <v>250</v>
      </c>
      <c r="F556" s="2162" t="inlineStr">
        <is>
          <t>Revestimentos</t>
        </is>
      </c>
      <c r="G556" s="2162" t="inlineStr">
        <is>
          <t>Revestimentos</t>
        </is>
      </c>
      <c r="H556" s="2162" t="n"/>
      <c r="I556" s="4" t="inlineStr">
        <is>
          <t>Revestimentos</t>
        </is>
      </c>
    </row>
    <row r="557" ht="15.75" customHeight="1">
      <c r="A557" s="10">
        <f>COUNTIFS($B$2:$B$996,B557)</f>
        <v/>
      </c>
      <c r="B557" s="10" t="inlineStr">
        <is>
          <t>Piso de borracha Daud botão preto 3 x 500 x 500 mm</t>
        </is>
      </c>
      <c r="C557" s="11" t="inlineStr">
        <is>
          <t>M2</t>
        </is>
      </c>
      <c r="D557" s="2162">
        <f>E557*$D$1</f>
        <v/>
      </c>
      <c r="E557" s="2162" t="n">
        <v>56.67599999999999</v>
      </c>
      <c r="F557" s="2162" t="inlineStr">
        <is>
          <t>Revestimentos</t>
        </is>
      </c>
      <c r="G557" s="2162" t="inlineStr">
        <is>
          <t>Revestimentos</t>
        </is>
      </c>
      <c r="H557" s="2162" t="n"/>
      <c r="I557" s="4" t="inlineStr">
        <is>
          <t>Revestimentos</t>
        </is>
      </c>
    </row>
    <row r="558" ht="14.25" customHeight="1">
      <c r="A558" s="10">
        <f>COUNTIFS($B$2:$B$996,B558)</f>
        <v/>
      </c>
      <c r="B558" s="82" t="inlineStr">
        <is>
          <t>Revestimento de piso laminado acústico, nas áreas privativas - Material e Mão de Obra</t>
        </is>
      </c>
      <c r="C558" s="83" t="inlineStr">
        <is>
          <t>M2</t>
        </is>
      </c>
      <c r="D558" s="2165">
        <f>E558*$D$1</f>
        <v/>
      </c>
      <c r="E558" s="2165" t="n">
        <v>177</v>
      </c>
      <c r="F558" s="2165" t="inlineStr">
        <is>
          <t>Revestimentos</t>
        </is>
      </c>
      <c r="G558" s="2165" t="inlineStr">
        <is>
          <t>Revestimentos</t>
        </is>
      </c>
      <c r="H558" s="2165" t="n"/>
      <c r="I558" s="85" t="inlineStr">
        <is>
          <t>Revestimentos</t>
        </is>
      </c>
    </row>
    <row r="559" ht="14.25" customHeight="1">
      <c r="A559" s="10">
        <f>COUNTIFS($B$2:$B$996,B559)</f>
        <v/>
      </c>
      <c r="B559" s="82" t="inlineStr">
        <is>
          <t>Cerâmica Vulcano Cinza 61x61</t>
        </is>
      </c>
      <c r="C559" s="83" t="inlineStr">
        <is>
          <t>M2</t>
        </is>
      </c>
      <c r="D559" s="2165">
        <f>E559*$D$1</f>
        <v/>
      </c>
      <c r="E559" s="2165" t="n">
        <v>63.59</v>
      </c>
      <c r="F559" s="2165" t="inlineStr">
        <is>
          <t>Revestimentos</t>
        </is>
      </c>
      <c r="G559" s="2165" t="inlineStr">
        <is>
          <t>Revestimentos</t>
        </is>
      </c>
      <c r="H559" s="2165" t="n"/>
      <c r="I559" s="85" t="inlineStr">
        <is>
          <t>Revestimentos</t>
        </is>
      </c>
    </row>
    <row r="560" ht="15.75" customHeight="1">
      <c r="A560" s="10">
        <f>COUNTIFS($B$2:$B$996,B560)</f>
        <v/>
      </c>
      <c r="B560" s="10" t="inlineStr">
        <is>
          <t>Piso elevado</t>
        </is>
      </c>
      <c r="C560" s="11" t="inlineStr">
        <is>
          <t>M2</t>
        </is>
      </c>
      <c r="D560" s="2162">
        <f>E560*$D$1</f>
        <v/>
      </c>
      <c r="E560" s="2162" t="n">
        <v>146.7</v>
      </c>
      <c r="F560" s="2162" t="inlineStr">
        <is>
          <t>Revestimentos</t>
        </is>
      </c>
      <c r="G560" s="2162" t="inlineStr">
        <is>
          <t>Revestimentos</t>
        </is>
      </c>
      <c r="H560" s="2162" t="n"/>
      <c r="I560" s="4" t="inlineStr">
        <is>
          <t>Revestimentos</t>
        </is>
      </c>
    </row>
    <row r="561" ht="14.25" customHeight="1">
      <c r="A561" s="10">
        <f>COUNTIFS($B$2:$B$996,B561)</f>
        <v/>
      </c>
      <c r="B561" s="82" t="inlineStr">
        <is>
          <t>tijolinho aderido, cor areia</t>
        </is>
      </c>
      <c r="C561" s="83" t="inlineStr">
        <is>
          <t>M2</t>
        </is>
      </c>
      <c r="D561" s="2165">
        <f>E561*$D$1</f>
        <v/>
      </c>
      <c r="E561" s="2165" t="n">
        <v>240</v>
      </c>
      <c r="F561" s="2165" t="inlineStr">
        <is>
          <t>Revestimentos</t>
        </is>
      </c>
      <c r="G561" s="2165" t="inlineStr">
        <is>
          <t>Revestimentos</t>
        </is>
      </c>
      <c r="H561" s="2165" t="n"/>
      <c r="I561" s="85" t="inlineStr">
        <is>
          <t>Revestimentos</t>
        </is>
      </c>
    </row>
    <row r="562" ht="14.25" customHeight="1">
      <c r="A562" s="10">
        <f>COUNTIFS($B$2:$B$996,B562)</f>
        <v/>
      </c>
      <c r="B562" s="82" t="inlineStr">
        <is>
          <t>tijolinho aderido, cor vermelho escuro</t>
        </is>
      </c>
      <c r="C562" s="83" t="inlineStr">
        <is>
          <t>M2</t>
        </is>
      </c>
      <c r="D562" s="2165">
        <f>E562*$D$1</f>
        <v/>
      </c>
      <c r="E562" s="2165" t="n">
        <v>216</v>
      </c>
      <c r="F562" s="2165" t="inlineStr">
        <is>
          <t>Revestimentos</t>
        </is>
      </c>
      <c r="G562" s="2165" t="inlineStr">
        <is>
          <t>Revestimentos</t>
        </is>
      </c>
      <c r="H562" s="2165" t="n"/>
      <c r="I562" s="85" t="inlineStr">
        <is>
          <t>Revestimentos</t>
        </is>
      </c>
    </row>
    <row r="563" ht="14.25" customHeight="1">
      <c r="A563" s="10">
        <f>COUNTIFS($B$2:$B$996,B563)</f>
        <v/>
      </c>
      <c r="B563" s="82" t="inlineStr">
        <is>
          <t>tijolinho aderido, cor branco pigmentado</t>
        </is>
      </c>
      <c r="C563" s="83" t="inlineStr">
        <is>
          <t>M2</t>
        </is>
      </c>
      <c r="D563" s="2165">
        <f>E563*$D$1</f>
        <v/>
      </c>
      <c r="E563" s="2165" t="n">
        <v>288</v>
      </c>
      <c r="F563" s="2165" t="inlineStr">
        <is>
          <t>Revestimentos</t>
        </is>
      </c>
      <c r="G563" s="2165" t="inlineStr">
        <is>
          <t>Revestimentos</t>
        </is>
      </c>
      <c r="H563" s="2165" t="n"/>
      <c r="I563" s="85" t="inlineStr">
        <is>
          <t>Revestimentos</t>
        </is>
      </c>
    </row>
    <row r="564" ht="14.25" customHeight="1">
      <c r="A564" s="10">
        <f>COUNTIFS($B$2:$B$996,B564)</f>
        <v/>
      </c>
      <c r="B564" s="82" t="inlineStr">
        <is>
          <t>tijolinho ventilado, cor rosado - piso</t>
        </is>
      </c>
      <c r="C564" s="83" t="inlineStr">
        <is>
          <t>M2</t>
        </is>
      </c>
      <c r="D564" s="2165">
        <f>E564*$D$1</f>
        <v/>
      </c>
      <c r="E564" s="2165">
        <f>16.56*36</f>
        <v/>
      </c>
      <c r="F564" s="2165" t="inlineStr">
        <is>
          <t>Revestimentos</t>
        </is>
      </c>
      <c r="G564" s="2165" t="inlineStr">
        <is>
          <t>Revestimentos</t>
        </is>
      </c>
      <c r="H564" s="2165" t="n"/>
      <c r="I564" s="85" t="inlineStr">
        <is>
          <t>Revestimentos</t>
        </is>
      </c>
    </row>
    <row r="565" ht="14.25" customHeight="1">
      <c r="A565" s="10">
        <f>COUNTIFS($B$2:$B$996,B565)</f>
        <v/>
      </c>
      <c r="B565" s="82" t="inlineStr">
        <is>
          <t>tijolinho ventilado, cor tabaco - piso</t>
        </is>
      </c>
      <c r="C565" s="83" t="inlineStr">
        <is>
          <t>M2</t>
        </is>
      </c>
      <c r="D565" s="2165">
        <f>E565*$D$1</f>
        <v/>
      </c>
      <c r="E565" s="2165">
        <f>17.68*36</f>
        <v/>
      </c>
      <c r="F565" s="2165" t="inlineStr">
        <is>
          <t>Revestimentos</t>
        </is>
      </c>
      <c r="G565" s="2165" t="inlineStr">
        <is>
          <t>Revestimentos</t>
        </is>
      </c>
      <c r="H565" s="2165" t="n"/>
      <c r="I565" s="85" t="inlineStr">
        <is>
          <t>Revestimentos</t>
        </is>
      </c>
    </row>
    <row r="566" ht="14.25" customHeight="1">
      <c r="A566" s="10">
        <f>COUNTIFS($B$2:$B$996,B566)</f>
        <v/>
      </c>
      <c r="B566" s="82" t="inlineStr">
        <is>
          <t>tijolinho ventilado, cor rosado - parede</t>
        </is>
      </c>
      <c r="C566" s="83" t="inlineStr">
        <is>
          <t>M2</t>
        </is>
      </c>
      <c r="D566" s="2165">
        <f>E566*$D$1</f>
        <v/>
      </c>
      <c r="E566" s="2165">
        <f>16.56*60</f>
        <v/>
      </c>
      <c r="F566" s="2165" t="inlineStr">
        <is>
          <t>Revestimentos</t>
        </is>
      </c>
      <c r="G566" s="2165" t="inlineStr">
        <is>
          <t>Revestimentos</t>
        </is>
      </c>
      <c r="H566" s="2165" t="n"/>
      <c r="I566" s="85" t="inlineStr">
        <is>
          <t>Revestimentos</t>
        </is>
      </c>
    </row>
    <row r="567" ht="14.25" customHeight="1">
      <c r="A567" s="10">
        <f>COUNTIFS($B$2:$B$996,B567)</f>
        <v/>
      </c>
      <c r="B567" s="82" t="inlineStr">
        <is>
          <t>tijolinho ventilado, cor tabaco - parede</t>
        </is>
      </c>
      <c r="C567" s="83" t="inlineStr">
        <is>
          <t>M2</t>
        </is>
      </c>
      <c r="D567" s="2165">
        <f>E567*$D$1</f>
        <v/>
      </c>
      <c r="E567" s="2165">
        <f>17.68*60</f>
        <v/>
      </c>
      <c r="F567" s="2165" t="inlineStr">
        <is>
          <t>Revestimentos</t>
        </is>
      </c>
      <c r="G567" s="2165" t="inlineStr">
        <is>
          <t>Revestimentos</t>
        </is>
      </c>
      <c r="H567" s="2165" t="n"/>
      <c r="I567" s="85" t="inlineStr">
        <is>
          <t>Revestimentos</t>
        </is>
      </c>
    </row>
    <row r="568" ht="14.25" customHeight="1">
      <c r="A568" s="10">
        <f>COUNTIFS($B$2:$B$996,B568)</f>
        <v/>
      </c>
      <c r="B568" s="82" t="inlineStr">
        <is>
          <t>pastilha azul (OM15645 – 7,5x7,5) - atlas</t>
        </is>
      </c>
      <c r="C568" s="83" t="inlineStr">
        <is>
          <t>M2</t>
        </is>
      </c>
      <c r="D568" s="2165">
        <f>E568*$D$1</f>
        <v/>
      </c>
      <c r="E568" s="2165" t="n">
        <v>170</v>
      </c>
      <c r="F568" s="2165" t="inlineStr">
        <is>
          <t>Revestimentos</t>
        </is>
      </c>
      <c r="G568" s="2165" t="inlineStr">
        <is>
          <t>Revestimentos</t>
        </is>
      </c>
      <c r="H568" s="2165" t="n"/>
      <c r="I568" s="85" t="inlineStr">
        <is>
          <t>Revestimentos</t>
        </is>
      </c>
    </row>
    <row r="569" ht="14.25" customHeight="1">
      <c r="A569" s="10">
        <f>COUNTIFS($B$2:$B$996,B569)</f>
        <v/>
      </c>
      <c r="B569" s="82" t="inlineStr">
        <is>
          <t>pastilha azul (OM15645 – 20x20) - atlas</t>
        </is>
      </c>
      <c r="C569" s="83" t="inlineStr">
        <is>
          <t>M2</t>
        </is>
      </c>
      <c r="D569" s="2165">
        <f>E569*$D$1</f>
        <v/>
      </c>
      <c r="E569" s="2165" t="n">
        <v>130.04</v>
      </c>
      <c r="F569" s="2165" t="inlineStr">
        <is>
          <t>Revestimentos</t>
        </is>
      </c>
      <c r="G569" s="2165" t="inlineStr">
        <is>
          <t>Revestimentos</t>
        </is>
      </c>
      <c r="H569" s="2165" t="n"/>
      <c r="I569" s="85" t="inlineStr">
        <is>
          <t>Revestimentos</t>
        </is>
      </c>
    </row>
    <row r="570" ht="14.25" customHeight="1">
      <c r="A570" s="10">
        <f>COUNTIFS($B$2:$B$996,B570)</f>
        <v/>
      </c>
      <c r="B570" s="82" t="inlineStr">
        <is>
          <t>Porcelanato a 60x60 noir polido</t>
        </is>
      </c>
      <c r="C570" s="83" t="inlineStr">
        <is>
          <t>M2</t>
        </is>
      </c>
      <c r="D570" s="2165">
        <f>E570*$D$1</f>
        <v/>
      </c>
      <c r="E570" s="2165">
        <f>125.9/1.8</f>
        <v/>
      </c>
      <c r="F570" s="2165" t="inlineStr">
        <is>
          <t>Revestimentos</t>
        </is>
      </c>
      <c r="G570" s="2165" t="inlineStr">
        <is>
          <t>Revestimentos</t>
        </is>
      </c>
      <c r="H570" s="2165" t="n"/>
      <c r="I570" s="85" t="inlineStr">
        <is>
          <t>Revestimentos</t>
        </is>
      </c>
    </row>
    <row r="571" ht="14.25" customHeight="1">
      <c r="A571" s="10">
        <f>COUNTIFS($B$2:$B$996,B571)</f>
        <v/>
      </c>
      <c r="B571" s="82" t="inlineStr">
        <is>
          <t>Piso Esmaltado 60x60 Duran Grafite 60319 Retificado</t>
        </is>
      </c>
      <c r="C571" s="83" t="inlineStr">
        <is>
          <t>M2</t>
        </is>
      </c>
      <c r="D571" s="2165">
        <f>E571*$D$1</f>
        <v/>
      </c>
      <c r="E571" s="2165" t="n">
        <v>75</v>
      </c>
      <c r="F571" s="2165" t="inlineStr">
        <is>
          <t>Revestimentos</t>
        </is>
      </c>
      <c r="G571" s="2165" t="inlineStr">
        <is>
          <t>Revestimentos</t>
        </is>
      </c>
      <c r="H571" s="2165" t="n"/>
      <c r="I571" s="85" t="inlineStr">
        <is>
          <t>Revestimentos</t>
        </is>
      </c>
    </row>
    <row r="572" ht="14.25" customHeight="1">
      <c r="A572" s="10">
        <f>COUNTIFS($B$2:$B$996,B572)</f>
        <v/>
      </c>
      <c r="B572" s="82" t="inlineStr">
        <is>
          <t>Porcelanato Cemento Nebbia Retificado Acetinado 60x60 Biancogres</t>
        </is>
      </c>
      <c r="C572" s="83" t="inlineStr">
        <is>
          <t>M2</t>
        </is>
      </c>
      <c r="D572" s="2165">
        <f>E572*$D$1</f>
        <v/>
      </c>
      <c r="E572" s="2165" t="n">
        <v>62.9</v>
      </c>
      <c r="F572" s="2165" t="inlineStr">
        <is>
          <t>Revestimentos</t>
        </is>
      </c>
      <c r="G572" s="2165" t="inlineStr">
        <is>
          <t>Revestimentos</t>
        </is>
      </c>
      <c r="H572" s="2165" t="n"/>
      <c r="I572" s="85" t="inlineStr">
        <is>
          <t>Revestimentos</t>
        </is>
      </c>
    </row>
    <row r="573" ht="14.25" customHeight="1">
      <c r="A573" s="10">
        <f>COUNTIFS($B$2:$B$996,B573)</f>
        <v/>
      </c>
      <c r="B573" s="82" t="inlineStr">
        <is>
          <t>Revestimento para Piscina Esmaltado Giz Borda Arredondada Bold Cinza 15x15cm Gabriella</t>
        </is>
      </c>
      <c r="C573" s="83" t="inlineStr">
        <is>
          <t>M2</t>
        </is>
      </c>
      <c r="D573" s="2165">
        <f>E573*$D$1</f>
        <v/>
      </c>
      <c r="E573" s="2165" t="n">
        <v>143.73</v>
      </c>
      <c r="F573" s="2165" t="inlineStr">
        <is>
          <t>Revestimentos</t>
        </is>
      </c>
      <c r="G573" s="2165" t="inlineStr">
        <is>
          <t>Revestimentos</t>
        </is>
      </c>
      <c r="H573" s="2165" t="n"/>
      <c r="I573" s="85" t="inlineStr">
        <is>
          <t>Revestimentos</t>
        </is>
      </c>
    </row>
    <row r="574" ht="14.25" customHeight="1">
      <c r="A574" s="10">
        <f>COUNTIFS($B$2:$B$996,B574)</f>
        <v/>
      </c>
      <c r="B574" s="82" t="inlineStr">
        <is>
          <t>PORCELANATO 90X90 PORTOBELLO CHIARO DI VERSILIA NATURAL</t>
        </is>
      </c>
      <c r="C574" s="83" t="inlineStr">
        <is>
          <t>M2</t>
        </is>
      </c>
      <c r="D574" s="2165">
        <f>E574*$D$1</f>
        <v/>
      </c>
      <c r="E574" s="2165" t="n">
        <v>119.99</v>
      </c>
      <c r="F574" s="2165" t="inlineStr">
        <is>
          <t>Revestimentos</t>
        </is>
      </c>
      <c r="G574" s="2165" t="inlineStr">
        <is>
          <t>Revestimentos</t>
        </is>
      </c>
      <c r="H574" s="2165" t="n"/>
      <c r="I574" s="85" t="inlineStr">
        <is>
          <t>Revestimentos</t>
        </is>
      </c>
    </row>
    <row r="575" ht="14.25" customHeight="1">
      <c r="A575" s="10">
        <f>COUNTIFS($B$2:$B$996,B575)</f>
        <v/>
      </c>
      <c r="B575" s="82" t="inlineStr">
        <is>
          <t>Porcelanato 61,1x61,1cm Cement Grigio Pure 61024 Acetinado Extra</t>
        </is>
      </c>
      <c r="C575" s="83" t="inlineStr">
        <is>
          <t>M2</t>
        </is>
      </c>
      <c r="D575" s="2165">
        <f>E575*$D$1</f>
        <v/>
      </c>
      <c r="E575" s="2165" t="n">
        <v>78.93000000000001</v>
      </c>
      <c r="F575" s="2165" t="inlineStr">
        <is>
          <t>Revestimentos</t>
        </is>
      </c>
      <c r="G575" s="2165" t="inlineStr">
        <is>
          <t>Revestimentos</t>
        </is>
      </c>
      <c r="H575" s="2165" t="n"/>
      <c r="I575" s="85" t="inlineStr">
        <is>
          <t>Revestimentos</t>
        </is>
      </c>
    </row>
    <row r="576" ht="14.25" customHeight="1">
      <c r="A576" s="10">
        <f>COUNTIFS($B$2:$B$996,B576)</f>
        <v/>
      </c>
      <c r="B576" s="82" t="inlineStr">
        <is>
          <t>Porcenalato Interno Acetinado 90x90cm Mirage CTM Incesa</t>
        </is>
      </c>
      <c r="C576" s="83" t="inlineStr">
        <is>
          <t>M2</t>
        </is>
      </c>
      <c r="D576" s="2165">
        <f>E576*$D$1</f>
        <v/>
      </c>
      <c r="E576" s="2165" t="n">
        <v>143.76</v>
      </c>
      <c r="F576" s="2165" t="inlineStr">
        <is>
          <t>Revestimentos</t>
        </is>
      </c>
      <c r="G576" s="2165" t="inlineStr">
        <is>
          <t>Revestimentos</t>
        </is>
      </c>
      <c r="H576" s="2165" t="n"/>
      <c r="I576" s="85" t="inlineStr">
        <is>
          <t>Revestimentos</t>
        </is>
      </c>
    </row>
    <row r="577" ht="14.25" customHeight="1">
      <c r="A577" s="10">
        <f>COUNTIFS($B$2:$B$996,B577)</f>
        <v/>
      </c>
      <c r="B577" s="82" t="inlineStr">
        <is>
          <t>Porcenalato Interno 90x90cm preto e branco</t>
        </is>
      </c>
      <c r="C577" s="83" t="inlineStr">
        <is>
          <t>M2</t>
        </is>
      </c>
      <c r="D577" s="2165">
        <f>E577*$D$1</f>
        <v/>
      </c>
      <c r="E577" s="2165" t="n">
        <v>135</v>
      </c>
      <c r="F577" s="2165" t="inlineStr">
        <is>
          <t>Revestimentos</t>
        </is>
      </c>
      <c r="G577" s="2165" t="inlineStr">
        <is>
          <t>Revestimentos</t>
        </is>
      </c>
      <c r="H577" s="2165" t="n"/>
      <c r="I577" s="85" t="inlineStr">
        <is>
          <t>Revestimentos</t>
        </is>
      </c>
    </row>
    <row r="578" ht="14.25" customHeight="1">
      <c r="A578" s="10">
        <f>COUNTIFS($B$2:$B$996,B578)</f>
        <v/>
      </c>
      <c r="B578" s="82" t="inlineStr">
        <is>
          <t>Revestimento de Mdf em parede</t>
        </is>
      </c>
      <c r="C578" s="83" t="inlineStr">
        <is>
          <t>M2</t>
        </is>
      </c>
      <c r="D578" s="2165">
        <f>E578*$D$1</f>
        <v/>
      </c>
      <c r="E578" s="2165" t="n">
        <v>220</v>
      </c>
      <c r="F578" s="2165" t="inlineStr">
        <is>
          <t>Revestimentos</t>
        </is>
      </c>
      <c r="G578" s="2165" t="inlineStr">
        <is>
          <t>Revestimentos</t>
        </is>
      </c>
      <c r="H578" s="2165" t="n"/>
      <c r="I578" s="85" t="inlineStr">
        <is>
          <t>Revestimentos</t>
        </is>
      </c>
    </row>
    <row r="579" ht="14.25" customHeight="1">
      <c r="A579" s="10">
        <f>COUNTIFS($B$2:$B$996,B579)</f>
        <v/>
      </c>
      <c r="B579" s="82" t="inlineStr">
        <is>
          <t>Porcelanato Pedra Granilhado 90x90cm Travertino Tivoli Bege</t>
        </is>
      </c>
      <c r="C579" s="83" t="inlineStr">
        <is>
          <t>M2</t>
        </is>
      </c>
      <c r="D579" s="2165">
        <f>E579*$D$1</f>
        <v/>
      </c>
      <c r="E579" s="2165" t="n">
        <v>84.51000000000001</v>
      </c>
      <c r="F579" s="2165" t="inlineStr">
        <is>
          <t>Revestimentos</t>
        </is>
      </c>
      <c r="G579" s="2165" t="inlineStr">
        <is>
          <t>Revestimentos</t>
        </is>
      </c>
      <c r="H579" s="2165" t="n"/>
      <c r="I579" s="85" t="inlineStr">
        <is>
          <t>Revestimentos</t>
        </is>
      </c>
    </row>
    <row r="580" ht="14.25" customHeight="1">
      <c r="A580" s="10">
        <f>COUNTIFS($B$2:$B$996,B580)</f>
        <v/>
      </c>
      <c r="B580" s="82" t="inlineStr">
        <is>
          <t>Porcelanato Eliane Revestimentos – Linha Lumina Areia 20x20</t>
        </is>
      </c>
      <c r="C580" s="83" t="inlineStr">
        <is>
          <t>M2</t>
        </is>
      </c>
      <c r="D580" s="2165">
        <f>E580*$D$1</f>
        <v/>
      </c>
      <c r="E580" s="2165" t="n">
        <v>115</v>
      </c>
      <c r="F580" s="2165" t="inlineStr">
        <is>
          <t>Revestimentos</t>
        </is>
      </c>
      <c r="G580" s="2165" t="inlineStr">
        <is>
          <t>Revestimentos</t>
        </is>
      </c>
      <c r="H580" s="2165" t="n"/>
      <c r="I580" s="85" t="inlineStr">
        <is>
          <t>Revestimentos</t>
        </is>
      </c>
    </row>
    <row r="581" ht="14.25" customHeight="1">
      <c r="A581" s="10">
        <f>COUNTIFS($B$2:$B$996,B581)</f>
        <v/>
      </c>
      <c r="B581" s="82" t="inlineStr">
        <is>
          <t>Porcelanato Matiz Agave MT 30x90 - Eliane Revestimentos</t>
        </is>
      </c>
      <c r="C581" s="83" t="inlineStr">
        <is>
          <t>M2</t>
        </is>
      </c>
      <c r="D581" s="2165">
        <f>E581*$D$1</f>
        <v/>
      </c>
      <c r="E581" s="2165" t="n">
        <v>235</v>
      </c>
      <c r="F581" s="2165" t="inlineStr">
        <is>
          <t>Revestimentos</t>
        </is>
      </c>
      <c r="G581" s="2165" t="inlineStr">
        <is>
          <t>Revestimentos</t>
        </is>
      </c>
      <c r="H581" s="2165" t="n"/>
      <c r="I581" s="85" t="inlineStr">
        <is>
          <t>Revestimentos</t>
        </is>
      </c>
    </row>
    <row r="582" ht="14.25" customHeight="1">
      <c r="A582" s="10">
        <f>COUNTIFS($B$2:$B$996,B582)</f>
        <v/>
      </c>
      <c r="B582" s="82" t="inlineStr">
        <is>
          <t xml:space="preserve">Porcelanato Eliane Silex 90x90 Branco Nat </t>
        </is>
      </c>
      <c r="C582" s="83" t="inlineStr">
        <is>
          <t>M2</t>
        </is>
      </c>
      <c r="D582" s="2165">
        <f>E582*$D$1</f>
        <v/>
      </c>
      <c r="E582" s="2165" t="n">
        <v>568</v>
      </c>
      <c r="F582" s="2165" t="inlineStr">
        <is>
          <t>Revestimentos</t>
        </is>
      </c>
      <c r="G582" s="2165" t="inlineStr">
        <is>
          <t>Revestimentos</t>
        </is>
      </c>
      <c r="H582" s="2165" t="n"/>
      <c r="I582" s="85" t="inlineStr">
        <is>
          <t>Revestimentos</t>
        </is>
      </c>
    </row>
    <row r="583" ht="14.25" customHeight="1">
      <c r="A583" s="10">
        <f>COUNTIFS($B$2:$B$996,B583)</f>
        <v/>
      </c>
      <c r="B583" s="82" t="inlineStr">
        <is>
          <t xml:space="preserve">Cerâmica Tradição 23x23cm Lepri </t>
        </is>
      </c>
      <c r="C583" s="83" t="inlineStr">
        <is>
          <t>M2</t>
        </is>
      </c>
      <c r="D583" s="2165">
        <f>E583*$D$1</f>
        <v/>
      </c>
      <c r="E583" s="2165" t="n">
        <v>141</v>
      </c>
      <c r="F583" s="2165" t="inlineStr">
        <is>
          <t>Revestimentos</t>
        </is>
      </c>
      <c r="G583" s="2165" t="inlineStr">
        <is>
          <t>Revestimentos</t>
        </is>
      </c>
      <c r="H583" s="2165" t="n"/>
      <c r="I583" s="85" t="inlineStr">
        <is>
          <t>Revestimentos</t>
        </is>
      </c>
    </row>
    <row r="584" ht="14.25" customHeight="1">
      <c r="A584" s="10">
        <f>COUNTIFS($B$2:$B$996,B584)</f>
        <v/>
      </c>
      <c r="B584" s="82" t="inlineStr">
        <is>
          <t xml:space="preserve"> Porcelanato Portobello – Coleção “Graphite Retro Geo”</t>
        </is>
      </c>
      <c r="C584" s="83" t="inlineStr">
        <is>
          <t>M2</t>
        </is>
      </c>
      <c r="D584" s="2165">
        <f>E584*$D$1</f>
        <v/>
      </c>
      <c r="E584" s="2165" t="n">
        <v>135</v>
      </c>
      <c r="F584" s="2165" t="inlineStr">
        <is>
          <t>Revestimentos</t>
        </is>
      </c>
      <c r="G584" s="2165" t="inlineStr">
        <is>
          <t>Revestimentos</t>
        </is>
      </c>
      <c r="H584" s="2165" t="n"/>
      <c r="I584" s="85" t="inlineStr">
        <is>
          <t>Revestimentos</t>
        </is>
      </c>
    </row>
    <row r="585" ht="14.25" customHeight="1">
      <c r="A585" s="10">
        <f>COUNTIFS($B$2:$B$996,B585)</f>
        <v/>
      </c>
      <c r="B585" s="82" t="inlineStr">
        <is>
          <t>Revestimento para Parede Hexa Blue 22,8x22,8cm Ceral</t>
        </is>
      </c>
      <c r="C585" s="83" t="inlineStr">
        <is>
          <t>M2</t>
        </is>
      </c>
      <c r="D585" s="2165">
        <f>E585*$D$1</f>
        <v/>
      </c>
      <c r="E585" s="2165" t="n">
        <v>211</v>
      </c>
      <c r="F585" s="2165" t="inlineStr">
        <is>
          <t>Revestimentos</t>
        </is>
      </c>
      <c r="G585" s="2165" t="inlineStr">
        <is>
          <t>Revestimentos</t>
        </is>
      </c>
      <c r="H585" s="2165" t="n"/>
      <c r="I585" s="85" t="inlineStr">
        <is>
          <t>Revestimentos</t>
        </is>
      </c>
    </row>
    <row r="586" ht="14.25" customHeight="1">
      <c r="A586" s="10">
        <f>COUNTIFS($B$2:$B$996,B586)</f>
        <v/>
      </c>
      <c r="B586" s="82" t="inlineStr">
        <is>
          <t>porcelanato villagers 82x141,5 retificado externo</t>
        </is>
      </c>
      <c r="C586" s="83" t="inlineStr">
        <is>
          <t>M2</t>
        </is>
      </c>
      <c r="D586" s="2165">
        <f>E586*$D$1</f>
        <v/>
      </c>
      <c r="E586" s="2165" t="n">
        <v>175</v>
      </c>
      <c r="F586" s="2165" t="inlineStr">
        <is>
          <t>Revestimentos</t>
        </is>
      </c>
      <c r="G586" s="2165" t="inlineStr">
        <is>
          <t>Revestimentos</t>
        </is>
      </c>
      <c r="H586" s="2165" t="n"/>
      <c r="I586" s="85" t="inlineStr">
        <is>
          <t>Revestimentos</t>
        </is>
      </c>
    </row>
    <row r="587" ht="14.25" customHeight="1">
      <c r="A587" s="10">
        <f>COUNTIFS($B$2:$B$996,B587)</f>
        <v/>
      </c>
      <c r="B587" s="82" t="inlineStr">
        <is>
          <t>Piso Cerâmico Externo Granilhado Pietra 75x75cm</t>
        </is>
      </c>
      <c r="C587" s="83" t="inlineStr">
        <is>
          <t>M2</t>
        </is>
      </c>
      <c r="D587" s="2165">
        <f>E587*$D$1</f>
        <v/>
      </c>
      <c r="E587" s="2165" t="n">
        <v>89</v>
      </c>
      <c r="F587" s="2165" t="inlineStr">
        <is>
          <t>Revestimentos</t>
        </is>
      </c>
      <c r="G587" s="2165" t="inlineStr">
        <is>
          <t>Revestimentos</t>
        </is>
      </c>
      <c r="H587" s="2165" t="n"/>
      <c r="I587" s="85" t="inlineStr">
        <is>
          <t>Revestimentos</t>
        </is>
      </c>
    </row>
    <row r="588" ht="14.25" customHeight="1">
      <c r="A588" s="10">
        <f>COUNTIFS($B$2:$B$996,B588)</f>
        <v/>
      </c>
      <c r="B588" s="82" t="inlineStr">
        <is>
          <t>Piso Cerâmico Externo Ceres Plus Pisoforte | G-Haus</t>
        </is>
      </c>
      <c r="C588" s="83" t="inlineStr">
        <is>
          <t>M2</t>
        </is>
      </c>
      <c r="D588" s="2165">
        <f>E588*$D$1</f>
        <v/>
      </c>
      <c r="E588" s="2165" t="n">
        <v>104</v>
      </c>
      <c r="F588" s="2165" t="inlineStr">
        <is>
          <t>Revestimentos</t>
        </is>
      </c>
      <c r="G588" s="2165" t="inlineStr">
        <is>
          <t>Revestimentos</t>
        </is>
      </c>
      <c r="H588" s="2165" t="n"/>
      <c r="I588" s="85" t="inlineStr">
        <is>
          <t>Revestimentos</t>
        </is>
      </c>
    </row>
    <row r="589" ht="14.25" customHeight="1">
      <c r="A589" s="10">
        <f>COUNTIFS($B$2:$B$996,B589)</f>
        <v/>
      </c>
      <c r="B589" s="82" t="inlineStr">
        <is>
          <t>Revestimento de Piso emborrachado imitando madeira</t>
        </is>
      </c>
      <c r="C589" s="83" t="inlineStr">
        <is>
          <t>M2</t>
        </is>
      </c>
      <c r="D589" s="2165">
        <f>E589*$D$1</f>
        <v/>
      </c>
      <c r="E589" s="2165">
        <f>963/2</f>
        <v/>
      </c>
      <c r="F589" s="2165" t="inlineStr">
        <is>
          <t>Revestimentos</t>
        </is>
      </c>
      <c r="G589" s="2165" t="inlineStr">
        <is>
          <t>Revestimentos</t>
        </is>
      </c>
      <c r="H589" s="2165" t="n"/>
      <c r="I589" s="85" t="inlineStr">
        <is>
          <t>Revestimentos</t>
        </is>
      </c>
    </row>
    <row r="590" ht="14.25" customHeight="1">
      <c r="A590" s="10">
        <f>COUNTIFS($B$2:$B$996,B590)</f>
        <v/>
      </c>
      <c r="B590" s="82" t="inlineStr">
        <is>
          <t>Revestimento para Azulejo Milos - Vila Sintra Azulejos</t>
        </is>
      </c>
      <c r="C590" s="83" t="inlineStr">
        <is>
          <t>M2</t>
        </is>
      </c>
      <c r="D590" s="2165">
        <f>E590*$D$1</f>
        <v/>
      </c>
      <c r="E590" s="2165" t="n">
        <v>474</v>
      </c>
      <c r="F590" s="2165" t="inlineStr">
        <is>
          <t>Revestimentos</t>
        </is>
      </c>
      <c r="G590" s="2165" t="inlineStr">
        <is>
          <t>Revestimentos</t>
        </is>
      </c>
      <c r="H590" s="2165" t="n"/>
      <c r="I590" s="85" t="inlineStr">
        <is>
          <t>Revestimentos</t>
        </is>
      </c>
    </row>
    <row r="591" ht="14.25" customHeight="1">
      <c r="A591" s="10">
        <f>COUNTIFS($B$2:$B$996,B591)</f>
        <v/>
      </c>
      <c r="B591" s="82" t="inlineStr">
        <is>
          <t>SISTEMA MUX ARABI 100 X 100mm - com recorte</t>
        </is>
      </c>
      <c r="C591" s="83" t="inlineStr">
        <is>
          <t>M2</t>
        </is>
      </c>
      <c r="D591" s="2165">
        <f>E591*$D$1</f>
        <v/>
      </c>
      <c r="E591" s="2165" t="n">
        <v>1060</v>
      </c>
      <c r="F591" s="2165" t="inlineStr">
        <is>
          <t>Revestimentos</t>
        </is>
      </c>
      <c r="G591" s="2165" t="inlineStr">
        <is>
          <t>Revestimentos</t>
        </is>
      </c>
      <c r="H591" s="2165" t="n"/>
      <c r="I591" s="85" t="inlineStr">
        <is>
          <t>Revestimentos</t>
        </is>
      </c>
    </row>
    <row r="592" ht="14.25" customHeight="1">
      <c r="A592" s="10">
        <f>COUNTIFS($B$2:$B$996,B592)</f>
        <v/>
      </c>
      <c r="B592" s="82" t="inlineStr">
        <is>
          <t>Arkowood K - 30x50</t>
        </is>
      </c>
      <c r="C592" s="83" t="inlineStr">
        <is>
          <t>M2</t>
        </is>
      </c>
      <c r="D592" s="2165">
        <f>E592*$D$1</f>
        <v/>
      </c>
      <c r="E592" s="2165" t="n">
        <v>648</v>
      </c>
      <c r="F592" s="2165" t="inlineStr">
        <is>
          <t>Revestimentos</t>
        </is>
      </c>
      <c r="G592" s="2165" t="inlineStr">
        <is>
          <t>Revestimentos</t>
        </is>
      </c>
      <c r="H592" s="2165" t="n"/>
      <c r="I592" s="85" t="inlineStr">
        <is>
          <t>Revestimentos</t>
        </is>
      </c>
    </row>
    <row r="593" ht="14.25" customHeight="1">
      <c r="A593" s="10">
        <f>COUNTIFS($B$2:$B$996,B593)</f>
        <v/>
      </c>
      <c r="B593" s="82" t="inlineStr">
        <is>
          <t>Mão de obra de obra execução de arkwood</t>
        </is>
      </c>
      <c r="C593" s="83" t="inlineStr">
        <is>
          <t>M2</t>
        </is>
      </c>
      <c r="D593" s="2165">
        <f>E593*$D$1</f>
        <v/>
      </c>
      <c r="E593" s="2165" t="n">
        <v>300</v>
      </c>
      <c r="F593" s="2165" t="inlineStr">
        <is>
          <t>Serviço Terceiros</t>
        </is>
      </c>
      <c r="G593" s="2165" t="inlineStr">
        <is>
          <t>Serviço Terceiros</t>
        </is>
      </c>
      <c r="H593" s="2165" t="n"/>
      <c r="I593" s="85" t="inlineStr">
        <is>
          <t>Mão de obra de Terceiros</t>
        </is>
      </c>
    </row>
    <row r="594" ht="14.25" customHeight="1">
      <c r="A594" s="10">
        <f>COUNTIFS($B$2:$B$996,B594)</f>
        <v/>
      </c>
      <c r="B594" s="82" t="inlineStr">
        <is>
          <t>Porcelanato Esmaltado 90x90cm Cinza Cemento Grigio Biancogres</t>
        </is>
      </c>
      <c r="C594" s="83" t="inlineStr">
        <is>
          <t>M2</t>
        </is>
      </c>
      <c r="D594" s="2165">
        <f>E594*$D$1</f>
        <v/>
      </c>
      <c r="E594" s="2165" t="n">
        <v>67.51000000000001</v>
      </c>
      <c r="F594" s="2165" t="inlineStr">
        <is>
          <t>Revestimentos</t>
        </is>
      </c>
      <c r="G594" s="2165" t="inlineStr">
        <is>
          <t>Revestimentos</t>
        </is>
      </c>
      <c r="H594" s="2165" t="n"/>
      <c r="I594" s="85" t="inlineStr">
        <is>
          <t>Revestimentos</t>
        </is>
      </c>
    </row>
    <row r="595" ht="14.25" customHeight="1">
      <c r="A595" s="10">
        <f>COUNTIFS($B$2:$B$996,B595)</f>
        <v/>
      </c>
      <c r="B595" s="82" t="inlineStr">
        <is>
          <t>Pisos Para Academia Emborrachado Aubicon Placa 25 mm, 70x70</t>
        </is>
      </c>
      <c r="C595" s="83" t="inlineStr">
        <is>
          <t>M2</t>
        </is>
      </c>
      <c r="D595" s="2165">
        <f>E595*$D$1</f>
        <v/>
      </c>
      <c r="E595" s="2165" t="n">
        <v>160</v>
      </c>
      <c r="F595" s="2165" t="inlineStr">
        <is>
          <t>Revestimentos</t>
        </is>
      </c>
      <c r="G595" s="2165" t="inlineStr">
        <is>
          <t>Revestimentos</t>
        </is>
      </c>
      <c r="H595" s="2165" t="n"/>
      <c r="I595" s="85" t="inlineStr">
        <is>
          <t>Revestimentos</t>
        </is>
      </c>
    </row>
    <row r="596" ht="14.25" customHeight="1">
      <c r="A596" s="10">
        <f>COUNTIFS($B$2:$B$996,B596)</f>
        <v/>
      </c>
      <c r="B596" s="82" t="inlineStr">
        <is>
          <t>Cerâmica Tradição 23x23cm esmaltado listrado</t>
        </is>
      </c>
      <c r="C596" s="83" t="inlineStr">
        <is>
          <t>M2</t>
        </is>
      </c>
      <c r="D596" s="2165">
        <f>E596*$D$1</f>
        <v/>
      </c>
      <c r="E596" s="2165" t="n">
        <v>145</v>
      </c>
      <c r="F596" s="2165" t="inlineStr">
        <is>
          <t>Revestimentos</t>
        </is>
      </c>
      <c r="G596" s="2165" t="inlineStr">
        <is>
          <t>Revestimentos</t>
        </is>
      </c>
      <c r="H596" s="2165" t="n"/>
      <c r="I596" s="85" t="inlineStr">
        <is>
          <t>Revestimentos</t>
        </is>
      </c>
    </row>
    <row r="597" ht="14.25" customHeight="1">
      <c r="A597" s="10">
        <f>COUNTIFS($B$2:$B$996,B597)</f>
        <v/>
      </c>
      <c r="B597" s="82" t="inlineStr">
        <is>
          <t>Revestimento em Parede de Azulejo JK Solid | Estúdio Mosaico</t>
        </is>
      </c>
      <c r="C597" s="83" t="inlineStr">
        <is>
          <t>M2</t>
        </is>
      </c>
      <c r="D597" s="2165">
        <f>E597*$D$1</f>
        <v/>
      </c>
      <c r="E597" s="2165" t="n">
        <v>630</v>
      </c>
      <c r="F597" s="2165" t="inlineStr">
        <is>
          <t>Revestimentos</t>
        </is>
      </c>
      <c r="G597" s="2165" t="inlineStr">
        <is>
          <t>Revestimentos</t>
        </is>
      </c>
      <c r="H597" s="2165" t="n"/>
      <c r="I597" s="85" t="inlineStr">
        <is>
          <t>Revestimentos</t>
        </is>
      </c>
    </row>
    <row r="598" ht="14.25" customHeight="1">
      <c r="A598" s="10">
        <f>COUNTIFS($B$2:$B$996,B598)</f>
        <v/>
      </c>
      <c r="B598" s="82" t="inlineStr">
        <is>
          <t>Pisos Para Academia Emborrachado Impact Soft  100x100 cm/ Peso Livre - Material e Mão de obra</t>
        </is>
      </c>
      <c r="C598" s="83" t="inlineStr">
        <is>
          <t>M2</t>
        </is>
      </c>
      <c r="D598" s="2165">
        <f>E598*$D$1</f>
        <v/>
      </c>
      <c r="E598" s="2165">
        <f>290+320</f>
        <v/>
      </c>
      <c r="F598" s="2165" t="inlineStr">
        <is>
          <t>Revestimentos</t>
        </is>
      </c>
      <c r="G598" s="2165" t="inlineStr">
        <is>
          <t>Revestimentos</t>
        </is>
      </c>
      <c r="H598" s="2165" t="n"/>
      <c r="I598" s="85" t="inlineStr">
        <is>
          <t>Revestimentos</t>
        </is>
      </c>
    </row>
    <row r="599" ht="14.25" customHeight="1">
      <c r="A599" s="10">
        <f>COUNTIFS($B$2:$B$996,B599)</f>
        <v/>
      </c>
      <c r="B599" s="82" t="inlineStr">
        <is>
          <t>Pisos Para Academia Emborrachado EPDM  20x20 cm/ Cor: azul e branco / Marca: Rubber - Material e Mão de obra</t>
        </is>
      </c>
      <c r="C599" s="83" t="inlineStr">
        <is>
          <t>M2</t>
        </is>
      </c>
      <c r="D599" s="2165">
        <f>E599*$D$1</f>
        <v/>
      </c>
      <c r="E599" s="2165">
        <f>240+300</f>
        <v/>
      </c>
      <c r="F599" s="2165" t="inlineStr">
        <is>
          <t>Revestimentos</t>
        </is>
      </c>
      <c r="G599" s="2165" t="inlineStr">
        <is>
          <t>Revestimentos</t>
        </is>
      </c>
      <c r="H599" s="2165" t="n"/>
      <c r="I599" s="85" t="inlineStr">
        <is>
          <t>Revestimentos</t>
        </is>
      </c>
    </row>
    <row r="600" ht="14.25" customHeight="1">
      <c r="A600" s="10">
        <f>COUNTIFS($B$2:$B$996,B600)</f>
        <v/>
      </c>
      <c r="B600" s="82" t="inlineStr">
        <is>
          <t>Pisos Para Academia Emborrachado Aubicon Placa 40 mm, 70x70</t>
        </is>
      </c>
      <c r="C600" s="83" t="inlineStr">
        <is>
          <t>M2</t>
        </is>
      </c>
      <c r="D600" s="2165">
        <f>E600*$D$1</f>
        <v/>
      </c>
      <c r="E600" s="2165" t="n">
        <v>200</v>
      </c>
      <c r="F600" s="2165" t="inlineStr">
        <is>
          <t>Revestimentos</t>
        </is>
      </c>
      <c r="G600" s="2165" t="inlineStr">
        <is>
          <t>Revestimentos</t>
        </is>
      </c>
      <c r="H600" s="2165" t="n"/>
      <c r="I600" s="85" t="inlineStr">
        <is>
          <t>Revestimentos</t>
        </is>
      </c>
    </row>
    <row r="601" ht="14.25" customHeight="1">
      <c r="A601" s="10">
        <f>COUNTIFS($B$2:$B$996,B601)</f>
        <v/>
      </c>
      <c r="B601" s="82" t="inlineStr">
        <is>
          <t>Pisos Para Academia Emborrachado Aubicon Placa 50 mm, 90x90</t>
        </is>
      </c>
      <c r="C601" s="83" t="inlineStr">
        <is>
          <t>M2</t>
        </is>
      </c>
      <c r="D601" s="2165">
        <f>E601*$D$1</f>
        <v/>
      </c>
      <c r="E601" s="2165" t="n">
        <v>250</v>
      </c>
      <c r="F601" s="2165" t="inlineStr">
        <is>
          <t>Revestimentos</t>
        </is>
      </c>
      <c r="G601" s="2165" t="inlineStr">
        <is>
          <t>Revestimentos</t>
        </is>
      </c>
      <c r="H601" s="2165" t="n"/>
      <c r="I601" s="85" t="inlineStr">
        <is>
          <t>Revestimentos</t>
        </is>
      </c>
    </row>
    <row r="602" ht="14.25" customHeight="1">
      <c r="A602" s="10">
        <f>COUNTIFS($B$2:$B$996,B602)</f>
        <v/>
      </c>
      <c r="B602" s="82" t="inlineStr">
        <is>
          <t>Pisos Para Academia Emborrachado Aubicon Placa 80 mm, 90x90</t>
        </is>
      </c>
      <c r="C602" s="83" t="inlineStr">
        <is>
          <t>M2</t>
        </is>
      </c>
      <c r="D602" s="2165">
        <f>E602*$D$1</f>
        <v/>
      </c>
      <c r="E602" s="2165" t="n">
        <v>320</v>
      </c>
      <c r="F602" s="2165" t="inlineStr">
        <is>
          <t>Revestimentos</t>
        </is>
      </c>
      <c r="G602" s="2165" t="inlineStr">
        <is>
          <t>Revestimentos</t>
        </is>
      </c>
      <c r="H602" s="2165" t="n"/>
      <c r="I602" s="85" t="inlineStr">
        <is>
          <t>Revestimentos</t>
        </is>
      </c>
    </row>
    <row r="603" ht="14.25" customHeight="1">
      <c r="A603" s="10">
        <f>COUNTIFS($B$2:$B$996,B603)</f>
        <v/>
      </c>
      <c r="B603" s="82" t="inlineStr">
        <is>
          <t>Cerâmica Brilhante Metrô 31x54cm Savane</t>
        </is>
      </c>
      <c r="C603" s="83" t="inlineStr">
        <is>
          <t>M2</t>
        </is>
      </c>
      <c r="D603" s="2165">
        <f>E603*$D$1</f>
        <v/>
      </c>
      <c r="E603" s="2165" t="n">
        <v>72.63</v>
      </c>
      <c r="F603" s="2165" t="inlineStr">
        <is>
          <t>Revestimentos</t>
        </is>
      </c>
      <c r="G603" s="2165" t="inlineStr">
        <is>
          <t>Revestimentos</t>
        </is>
      </c>
      <c r="H603" s="2165" t="n"/>
      <c r="I603" s="85" t="inlineStr">
        <is>
          <t>Revestimentos</t>
        </is>
      </c>
    </row>
    <row r="604" ht="14.25" customHeight="1">
      <c r="A604" s="10">
        <f>COUNTIFS($B$2:$B$996,B604)</f>
        <v/>
      </c>
      <c r="B604" s="82" t="inlineStr">
        <is>
          <t>Cerâmica Tradição 23x23cm verde claro</t>
        </is>
      </c>
      <c r="C604" s="83" t="inlineStr">
        <is>
          <t>M2</t>
        </is>
      </c>
      <c r="D604" s="2165">
        <f>E604*$D$1</f>
        <v/>
      </c>
      <c r="E604" s="2165" t="n">
        <v>110</v>
      </c>
      <c r="F604" s="2165" t="inlineStr">
        <is>
          <t>Revestimentos</t>
        </is>
      </c>
      <c r="G604" s="2165" t="inlineStr">
        <is>
          <t>Revestimentos</t>
        </is>
      </c>
      <c r="H604" s="2165" t="n"/>
      <c r="I604" s="85" t="inlineStr">
        <is>
          <t>Revestimentos</t>
        </is>
      </c>
    </row>
    <row r="605" ht="15.75" customHeight="1">
      <c r="A605" s="10">
        <f>COUNTIFS($B$2:$B$996,B605)</f>
        <v/>
      </c>
      <c r="B605" s="10" t="inlineStr">
        <is>
          <t>Porcelanato fachada</t>
        </is>
      </c>
      <c r="C605" s="11" t="inlineStr">
        <is>
          <t>M2</t>
        </is>
      </c>
      <c r="D605" s="2162">
        <f>E605*$D$1</f>
        <v/>
      </c>
      <c r="E605" s="2162" t="n">
        <v>165</v>
      </c>
      <c r="F605" s="2162" t="inlineStr">
        <is>
          <t>Revestimentos</t>
        </is>
      </c>
      <c r="G605" s="2162" t="inlineStr">
        <is>
          <t>Revestimentos</t>
        </is>
      </c>
      <c r="H605" s="2162" t="n"/>
      <c r="I605" s="4" t="inlineStr">
        <is>
          <t>Revestimentos</t>
        </is>
      </c>
    </row>
    <row r="606" ht="15.75" customHeight="1">
      <c r="A606" s="10">
        <f>COUNTIFS($B$2:$B$996,B606)</f>
        <v/>
      </c>
      <c r="B606" s="10" t="inlineStr">
        <is>
          <t>Porcelanato Natural Portinari Neutral OFW "A" 100x100cm</t>
        </is>
      </c>
      <c r="C606" s="11" t="inlineStr">
        <is>
          <t>M2</t>
        </is>
      </c>
      <c r="D606" s="2162">
        <f>E606*$D$1</f>
        <v/>
      </c>
      <c r="E606" s="2162" t="n">
        <v>372.9</v>
      </c>
      <c r="F606" s="2162" t="inlineStr">
        <is>
          <t>Revestimentos</t>
        </is>
      </c>
      <c r="G606" s="2162" t="inlineStr">
        <is>
          <t>Revestimentos</t>
        </is>
      </c>
      <c r="H606" s="2162" t="n"/>
      <c r="I606" s="4" t="inlineStr">
        <is>
          <t>Revestimentos</t>
        </is>
      </c>
    </row>
    <row r="607" ht="15.75" customHeight="1">
      <c r="A607" s="10">
        <f>COUNTIFS($B$2:$B$996,B607)</f>
        <v/>
      </c>
      <c r="B607" s="10" t="inlineStr">
        <is>
          <t>PLACA VINILICA SEMIFLEXIVEL PARA PISOS</t>
        </is>
      </c>
      <c r="C607" s="11" t="inlineStr">
        <is>
          <t>M2</t>
        </is>
      </c>
      <c r="D607" s="2162">
        <f>E607*$D$1</f>
        <v/>
      </c>
      <c r="E607" s="2162" t="n">
        <v>123.38</v>
      </c>
      <c r="F607" s="2162" t="inlineStr">
        <is>
          <t>Revestimentos</t>
        </is>
      </c>
      <c r="G607" s="2162" t="inlineStr">
        <is>
          <t>Revestimentos</t>
        </is>
      </c>
      <c r="H607" s="2162" t="n"/>
      <c r="I607" s="4" t="inlineStr">
        <is>
          <t>Revestimentos</t>
        </is>
      </c>
    </row>
    <row r="608" ht="15.75" customHeight="1">
      <c r="A608" s="10">
        <f>COUNTIFS($B$2:$B$996,B608)</f>
        <v/>
      </c>
      <c r="B608" s="10" t="inlineStr">
        <is>
          <t>PISO VINILICO RUFFINO SOFISTICATO 2MM - MATERIAL E MÃO DE OBRA</t>
        </is>
      </c>
      <c r="C608" s="11" t="inlineStr">
        <is>
          <t>M2</t>
        </is>
      </c>
      <c r="D608" s="2162">
        <f>E608*$D$1</f>
        <v/>
      </c>
      <c r="E608" s="2162" t="n">
        <v>150</v>
      </c>
      <c r="F608" s="2162" t="inlineStr">
        <is>
          <t>Revestimentos</t>
        </is>
      </c>
      <c r="G608" s="2162" t="inlineStr">
        <is>
          <t>Revestimentos</t>
        </is>
      </c>
      <c r="H608" s="2162" t="n"/>
      <c r="I608" s="4" t="inlineStr">
        <is>
          <t>Revestimentos</t>
        </is>
      </c>
    </row>
    <row r="609" ht="15.75" customHeight="1">
      <c r="A609" s="10">
        <f>COUNTIFS($B$2:$B$996,B609)</f>
        <v/>
      </c>
      <c r="B609" s="10" t="inlineStr">
        <is>
          <t>Piso vinílico cinza 92x92cm / Linha Ambienta Coleção Stone / Cores: cinza claro (Beige Porcelain) e cinza (Light Porcelain) / Marca: Tarkett - MATERIAL E MÃO DE OBRA</t>
        </is>
      </c>
      <c r="C609" s="11" t="inlineStr">
        <is>
          <t>M2</t>
        </is>
      </c>
      <c r="D609" s="2162">
        <f>E609*$D$1</f>
        <v/>
      </c>
      <c r="E609" s="2162">
        <f>260+330</f>
        <v/>
      </c>
      <c r="F609" s="2162" t="inlineStr">
        <is>
          <t>Revestimentos</t>
        </is>
      </c>
      <c r="G609" s="2162" t="inlineStr">
        <is>
          <t>Revestimentos</t>
        </is>
      </c>
      <c r="H609" s="2162" t="n"/>
      <c r="I609" s="4" t="inlineStr">
        <is>
          <t>Revestimentos</t>
        </is>
      </c>
    </row>
    <row r="610" ht="15.75" customHeight="1">
      <c r="A610" s="10">
        <f>COUNTIFS($B$2:$B$996,B610)</f>
        <v/>
      </c>
      <c r="B610" s="10" t="inlineStr">
        <is>
          <t>Piso vinílico cinza 92x92cm / Linha Ambienta Coleção Stone / Cores: cinza (Light Porcelain) / Marca: Tarkett - MATERIAL E MÃO DE OBRA</t>
        </is>
      </c>
      <c r="C610" s="11" t="inlineStr">
        <is>
          <t>M2</t>
        </is>
      </c>
      <c r="D610" s="2162">
        <f>E610*$D$1</f>
        <v/>
      </c>
      <c r="E610" s="2162">
        <f>260+330</f>
        <v/>
      </c>
      <c r="F610" s="2162" t="inlineStr">
        <is>
          <t>Revestimentos</t>
        </is>
      </c>
      <c r="G610" s="2162" t="inlineStr">
        <is>
          <t>Revestimentos</t>
        </is>
      </c>
      <c r="H610" s="2162" t="n"/>
      <c r="I610" s="4" t="inlineStr">
        <is>
          <t>Revestimentos</t>
        </is>
      </c>
    </row>
    <row r="611" ht="15.75" customHeight="1">
      <c r="A611" s="10">
        <f>COUNTIFS($B$2:$B$996,B611)</f>
        <v/>
      </c>
      <c r="B611" s="10" t="inlineStr">
        <is>
          <t>Piso vinílico cinza 92x92cm / Linha Ambienta Coleção Stone / Cores: cinza claro (Beige Porcelain) / Marca: Tarkett - MATERIAL E MÃO DE OBRA</t>
        </is>
      </c>
      <c r="C611" s="11" t="inlineStr">
        <is>
          <t>M2</t>
        </is>
      </c>
      <c r="D611" s="2162">
        <f>E611*$D$1</f>
        <v/>
      </c>
      <c r="E611" s="2162">
        <f>260+330</f>
        <v/>
      </c>
      <c r="F611" s="2162" t="inlineStr">
        <is>
          <t>Revestimentos</t>
        </is>
      </c>
      <c r="G611" s="2162" t="inlineStr">
        <is>
          <t>Revestimentos</t>
        </is>
      </c>
      <c r="H611" s="2162" t="n"/>
      <c r="I611" s="4" t="inlineStr">
        <is>
          <t>Revestimentos</t>
        </is>
      </c>
    </row>
    <row r="612" ht="15.75" customHeight="1">
      <c r="A612" s="10">
        <f>COUNTIFS($B$2:$B$996,B612)</f>
        <v/>
      </c>
      <c r="B612" s="10" t="inlineStr">
        <is>
          <t>PISO VINILICO LINHA AMBIENTA SERIES CEDRO  TARKETT - MATERIAL E MÃO DE OBRA</t>
        </is>
      </c>
      <c r="C612" s="11" t="inlineStr">
        <is>
          <t>M2</t>
        </is>
      </c>
      <c r="D612" s="2162">
        <f>E612*$D$1</f>
        <v/>
      </c>
      <c r="E612" s="2162">
        <f>180+60</f>
        <v/>
      </c>
      <c r="F612" s="2162" t="inlineStr">
        <is>
          <t>Revestimentos</t>
        </is>
      </c>
      <c r="G612" s="2162" t="inlineStr">
        <is>
          <t>Revestimentos</t>
        </is>
      </c>
      <c r="H612" s="2162" t="n"/>
      <c r="I612" s="4" t="inlineStr">
        <is>
          <t>Revestimentos</t>
        </is>
      </c>
    </row>
    <row r="613" ht="15.75" customHeight="1">
      <c r="A613" s="10">
        <f>COUNTIFS($B$2:$B$996,B613)</f>
        <v/>
      </c>
      <c r="B613" s="10" t="inlineStr">
        <is>
          <t>PISO VINILICO FLAMBOYANT REGUÁ 208x1230mm TARKETT - MATERIAL E MÃO DE OBRA</t>
        </is>
      </c>
      <c r="C613" s="11" t="inlineStr">
        <is>
          <t>M2</t>
        </is>
      </c>
      <c r="D613" s="2162">
        <f>E613*$D$1</f>
        <v/>
      </c>
      <c r="E613" s="2162">
        <f>209.76+60</f>
        <v/>
      </c>
      <c r="F613" s="2162" t="inlineStr">
        <is>
          <t>Revestimentos</t>
        </is>
      </c>
      <c r="G613" s="2162" t="inlineStr">
        <is>
          <t>Revestimentos</t>
        </is>
      </c>
      <c r="H613" s="2162" t="n"/>
      <c r="I613" s="4" t="inlineStr">
        <is>
          <t>Revestimentos</t>
        </is>
      </c>
    </row>
    <row r="614" ht="15.75" customHeight="1">
      <c r="A614" s="10">
        <f>COUNTIFS($B$2:$B$996,B614)</f>
        <v/>
      </c>
      <c r="B614" s="10" t="inlineStr">
        <is>
          <t>PISO VINILICO LUZ DO DIA LINHA VITAL 1219,2x228,6mm FINOTATTO - MATERIAL E MÃO DE OBRA</t>
        </is>
      </c>
      <c r="C614" s="11" t="inlineStr">
        <is>
          <t>M2</t>
        </is>
      </c>
      <c r="D614" s="2162">
        <f>E614*$D$1</f>
        <v/>
      </c>
      <c r="E614" s="2162">
        <f>101.8+60</f>
        <v/>
      </c>
      <c r="F614" s="2162" t="inlineStr">
        <is>
          <t>Revestimentos</t>
        </is>
      </c>
      <c r="G614" s="2162" t="inlineStr">
        <is>
          <t>Revestimentos</t>
        </is>
      </c>
      <c r="H614" s="2162" t="n"/>
      <c r="I614" s="4" t="inlineStr">
        <is>
          <t>Revestimentos</t>
        </is>
      </c>
    </row>
    <row r="615" ht="15.75" customHeight="1">
      <c r="A615" s="10">
        <f>COUNTIFS($B$2:$B$996,B615)</f>
        <v/>
      </c>
      <c r="B615" s="10" t="inlineStr">
        <is>
          <t xml:space="preserve">Porcelanato A 30x30 </t>
        </is>
      </c>
      <c r="C615" s="11" t="inlineStr">
        <is>
          <t>M2</t>
        </is>
      </c>
      <c r="D615" s="2162">
        <f>E615*$D$1</f>
        <v/>
      </c>
      <c r="E615" s="2162" t="n">
        <v>75.8</v>
      </c>
      <c r="F615" s="2162" t="inlineStr">
        <is>
          <t>Revestimentos</t>
        </is>
      </c>
      <c r="G615" s="2162" t="inlineStr">
        <is>
          <t>Revestimentos</t>
        </is>
      </c>
      <c r="H615" s="2162" t="n"/>
      <c r="I615" s="4" t="inlineStr">
        <is>
          <t>Revestimentos</t>
        </is>
      </c>
    </row>
    <row r="616" ht="15.75" customHeight="1">
      <c r="A616" s="10">
        <f>COUNTIFS($B$2:$B$996,B616)</f>
        <v/>
      </c>
      <c r="B616" s="10" t="inlineStr">
        <is>
          <t xml:space="preserve">Porcelanato A 30x60 Polido </t>
        </is>
      </c>
      <c r="C616" s="11" t="inlineStr">
        <is>
          <t>M2</t>
        </is>
      </c>
      <c r="D616" s="2162">
        <f>E616*$D$1</f>
        <v/>
      </c>
      <c r="E616" s="2162" t="n">
        <v>75.8</v>
      </c>
      <c r="F616" s="2162" t="inlineStr">
        <is>
          <t>Revestimentos</t>
        </is>
      </c>
      <c r="G616" s="2162" t="inlineStr">
        <is>
          <t>Revestimentos</t>
        </is>
      </c>
      <c r="H616" s="2162" t="n"/>
      <c r="I616" s="4" t="inlineStr">
        <is>
          <t>Revestimentos</t>
        </is>
      </c>
    </row>
    <row r="617" ht="15.75" customHeight="1">
      <c r="A617" s="10">
        <f>COUNTIFS($B$2:$B$996,B617)</f>
        <v/>
      </c>
      <c r="B617" s="10" t="inlineStr">
        <is>
          <t xml:space="preserve">Porcelanato A 90x90 Polido </t>
        </is>
      </c>
      <c r="C617" s="11" t="inlineStr">
        <is>
          <t>M2</t>
        </is>
      </c>
      <c r="D617" s="2162">
        <f>E617*$D$1</f>
        <v/>
      </c>
      <c r="E617" s="2162" t="n">
        <v>82</v>
      </c>
      <c r="F617" s="2162" t="inlineStr">
        <is>
          <t>Revestimentos</t>
        </is>
      </c>
      <c r="G617" s="2162" t="inlineStr">
        <is>
          <t>Revestimentos</t>
        </is>
      </c>
      <c r="H617" s="2162" t="n"/>
      <c r="I617" s="4" t="inlineStr">
        <is>
          <t>Revestimentos</t>
        </is>
      </c>
    </row>
    <row r="618" ht="15.75" customHeight="1">
      <c r="A618" s="10">
        <f>COUNTIFS($B$2:$B$996,B618)</f>
        <v/>
      </c>
      <c r="B618" s="10" t="inlineStr">
        <is>
          <t>Porcelanato Minimum cimento eliane A 90x90 ext</t>
        </is>
      </c>
      <c r="C618" s="11" t="inlineStr">
        <is>
          <t>M2</t>
        </is>
      </c>
      <c r="D618" s="2162">
        <f>E618*$D$1</f>
        <v/>
      </c>
      <c r="E618" s="2162" t="n">
        <v>178.8</v>
      </c>
      <c r="F618" s="2162" t="inlineStr">
        <is>
          <t>Revestimentos</t>
        </is>
      </c>
      <c r="G618" s="2162" t="inlineStr">
        <is>
          <t>Revestimentos</t>
        </is>
      </c>
      <c r="H618" s="2162" t="n"/>
      <c r="I618" s="4" t="inlineStr">
        <is>
          <t>Revestimentos</t>
        </is>
      </c>
    </row>
    <row r="619" ht="15.75" customHeight="1">
      <c r="A619" s="10">
        <f>COUNTIFS($B$2:$B$996,B619)</f>
        <v/>
      </c>
      <c r="B619" s="10" t="inlineStr">
        <is>
          <t xml:space="preserve">Porcelanato A 90x90cm acetinado </t>
        </is>
      </c>
      <c r="C619" s="11" t="inlineStr">
        <is>
          <t>M2</t>
        </is>
      </c>
      <c r="D619" s="2162">
        <f>E619*$D$1</f>
        <v/>
      </c>
      <c r="E619" s="2162" t="n">
        <v>75.8</v>
      </c>
      <c r="F619" s="2162" t="inlineStr">
        <is>
          <t>Revestimentos</t>
        </is>
      </c>
      <c r="G619" s="2162" t="inlineStr">
        <is>
          <t>Revestimentos</t>
        </is>
      </c>
      <c r="H619" s="2162" t="n"/>
      <c r="I619" s="4" t="inlineStr">
        <is>
          <t>Revestimentos</t>
        </is>
      </c>
    </row>
    <row r="620" ht="15.75" customHeight="1">
      <c r="A620" s="10">
        <f>COUNTIFS($B$2:$B$996,B620)</f>
        <v/>
      </c>
      <c r="B620" s="10" t="inlineStr">
        <is>
          <t>Piso de mosaico granitinho branco</t>
        </is>
      </c>
      <c r="C620" s="11" t="inlineStr">
        <is>
          <t>M2</t>
        </is>
      </c>
      <c r="D620" s="2162">
        <f>E620*$D$1</f>
        <v/>
      </c>
      <c r="E620" s="2162" t="n">
        <v>116.1</v>
      </c>
      <c r="F620" s="2162" t="inlineStr">
        <is>
          <t>Revestimentos</t>
        </is>
      </c>
      <c r="G620" s="2162" t="inlineStr">
        <is>
          <t>Revestimentos</t>
        </is>
      </c>
      <c r="H620" s="2162" t="n"/>
      <c r="I620" s="4" t="inlineStr">
        <is>
          <t>Revestimentos</t>
        </is>
      </c>
    </row>
    <row r="621" ht="15.75" customHeight="1">
      <c r="A621" s="10">
        <f>COUNTIFS($B$2:$B$996,B621)</f>
        <v/>
      </c>
      <c r="B621" s="10" t="inlineStr">
        <is>
          <t>Piso de mosaico granitinho cinza</t>
        </is>
      </c>
      <c r="C621" s="11" t="inlineStr">
        <is>
          <t>M2</t>
        </is>
      </c>
      <c r="D621" s="2162">
        <f>E621*$D$1</f>
        <v/>
      </c>
      <c r="E621" s="2162" t="n">
        <v>36.96</v>
      </c>
      <c r="F621" s="2162" t="inlineStr">
        <is>
          <t>Revestimentos</t>
        </is>
      </c>
      <c r="G621" s="2162" t="inlineStr">
        <is>
          <t>Revestimentos</t>
        </is>
      </c>
      <c r="H621" s="2162" t="n"/>
      <c r="I621" s="4" t="inlineStr">
        <is>
          <t>Revestimentos</t>
        </is>
      </c>
    </row>
    <row r="622" ht="15.75" customHeight="1">
      <c r="A622" s="10">
        <f>COUNTIFS($B$2:$B$996,B622)</f>
        <v/>
      </c>
      <c r="B622" s="16" t="inlineStr">
        <is>
          <t>PEDRA LISA HITMAN 10X10 PALIMANAM</t>
        </is>
      </c>
      <c r="C622" s="11" t="inlineStr">
        <is>
          <t>M2</t>
        </is>
      </c>
      <c r="D622" s="2162">
        <f>E622*$D$1</f>
        <v/>
      </c>
      <c r="E622" s="2162" t="n">
        <v>276</v>
      </c>
      <c r="F622" s="2162" t="inlineStr">
        <is>
          <t>Revestimentos</t>
        </is>
      </c>
      <c r="G622" s="2162" t="inlineStr">
        <is>
          <t>Revestimentos</t>
        </is>
      </c>
      <c r="H622" s="2162" t="n"/>
      <c r="I622" s="4" t="inlineStr">
        <is>
          <t>Revestimentos</t>
        </is>
      </c>
    </row>
    <row r="623" ht="15.75" customHeight="1">
      <c r="A623" s="10">
        <f>COUNTIFS($B$2:$B$996,B623)</f>
        <v/>
      </c>
      <c r="B623" s="10" t="inlineStr">
        <is>
          <t>Revestimento Mate Portobello Georgian Red Tel "A" 7x26 (30x39)</t>
        </is>
      </c>
      <c r="C623" s="11" t="inlineStr">
        <is>
          <t>M2</t>
        </is>
      </c>
      <c r="D623" s="2162">
        <f>E623*$D$1</f>
        <v/>
      </c>
      <c r="E623" s="2162" t="n">
        <v>136.89</v>
      </c>
      <c r="F623" s="2162" t="inlineStr">
        <is>
          <t>Revestimentos</t>
        </is>
      </c>
      <c r="G623" s="2162" t="inlineStr">
        <is>
          <t>Revestimentos</t>
        </is>
      </c>
      <c r="H623" s="2162" t="n"/>
      <c r="I623" s="4" t="inlineStr">
        <is>
          <t>Revestimentos</t>
        </is>
      </c>
    </row>
    <row r="624" ht="15.75" customHeight="1">
      <c r="A624" s="10">
        <f>COUNTIFS($B$2:$B$996,B624)</f>
        <v/>
      </c>
      <c r="B624" s="10" t="inlineStr">
        <is>
          <t>Revestimento Pastilha Barlavento Caribbean 14,5x14,5 cm, bold externo portobello</t>
        </is>
      </c>
      <c r="C624" s="11" t="inlineStr">
        <is>
          <t>M2</t>
        </is>
      </c>
      <c r="D624" s="2162">
        <f>E624*$D$1</f>
        <v/>
      </c>
      <c r="E624" s="2162" t="n">
        <v>154.89</v>
      </c>
      <c r="F624" s="2162" t="inlineStr">
        <is>
          <t>Revestimentos</t>
        </is>
      </c>
      <c r="G624" s="2162" t="inlineStr">
        <is>
          <t>Revestimentos</t>
        </is>
      </c>
      <c r="H624" s="2162" t="n"/>
      <c r="I624" s="4" t="inlineStr">
        <is>
          <t>Revestimentos</t>
        </is>
      </c>
    </row>
    <row r="625" ht="15.75" customHeight="1">
      <c r="A625" s="10">
        <f>COUNTIFS($B$2:$B$996,B625)</f>
        <v/>
      </c>
      <c r="B625" s="10" t="inlineStr">
        <is>
          <t xml:space="preserve">Porcelanato A 84x84cm acetinado </t>
        </is>
      </c>
      <c r="C625" s="11" t="inlineStr">
        <is>
          <t>M2</t>
        </is>
      </c>
      <c r="D625" s="2162">
        <f>E625*$D$1</f>
        <v/>
      </c>
      <c r="E625" s="2162" t="n">
        <v>80</v>
      </c>
      <c r="F625" s="2162" t="inlineStr">
        <is>
          <t>Revestimentos</t>
        </is>
      </c>
      <c r="G625" s="2162" t="inlineStr">
        <is>
          <t>Revestimentos</t>
        </is>
      </c>
      <c r="H625" s="2162" t="n"/>
      <c r="I625" s="4" t="inlineStr">
        <is>
          <t>Revestimentos</t>
        </is>
      </c>
    </row>
    <row r="626" ht="15.75" customHeight="1">
      <c r="A626" s="10">
        <f>COUNTIFS($B$2:$B$996,B626)</f>
        <v/>
      </c>
      <c r="B626" s="10" t="inlineStr">
        <is>
          <t>PAINEL PORCELANATO MATERIA CALCARIO AC 60X120 CM, com
aplicação de Tela de Fibra de Vidro.</t>
        </is>
      </c>
      <c r="C626" s="11" t="inlineStr">
        <is>
          <t>M2</t>
        </is>
      </c>
      <c r="D626" s="2162">
        <f>E626*$D$1</f>
        <v/>
      </c>
      <c r="E626" s="2162" t="n">
        <v>246.84</v>
      </c>
      <c r="F626" s="2162" t="inlineStr">
        <is>
          <t>Revestimentos</t>
        </is>
      </c>
      <c r="G626" s="2162" t="inlineStr">
        <is>
          <t>Revestimentos</t>
        </is>
      </c>
      <c r="H626" s="2162" t="n"/>
      <c r="I626" s="4" t="inlineStr">
        <is>
          <t>Revestimentos</t>
        </is>
      </c>
    </row>
    <row r="627" ht="15.75" customHeight="1">
      <c r="A627" s="10">
        <f>COUNTIFS($B$2:$B$996,B627)</f>
        <v/>
      </c>
      <c r="B627" s="10" t="inlineStr">
        <is>
          <t>Porcelanato Amadeirado Acetinado 19x117cm</t>
        </is>
      </c>
      <c r="C627" s="11" t="inlineStr">
        <is>
          <t>M2</t>
        </is>
      </c>
      <c r="D627" s="2162">
        <f>E627*$D$1</f>
        <v/>
      </c>
      <c r="E627" s="2162" t="n">
        <v>109.89</v>
      </c>
      <c r="F627" s="2162" t="inlineStr">
        <is>
          <t>Revestimentos</t>
        </is>
      </c>
      <c r="G627" s="2162" t="inlineStr">
        <is>
          <t>Revestimentos</t>
        </is>
      </c>
      <c r="H627" s="2162" t="n"/>
      <c r="I627" s="4" t="inlineStr">
        <is>
          <t>Revestimentos</t>
        </is>
      </c>
    </row>
    <row r="628" ht="15.75" customHeight="1">
      <c r="A628" s="10">
        <f>COUNTIFS($B$2:$B$996,B628)</f>
        <v/>
      </c>
      <c r="B628" s="16" t="inlineStr">
        <is>
          <t>Porcelanato Arena Cinza Bold Externo 60x60 Eliane</t>
        </is>
      </c>
      <c r="C628" s="11" t="inlineStr">
        <is>
          <t>M2</t>
        </is>
      </c>
      <c r="D628" s="2162">
        <f>E628*$D$1</f>
        <v/>
      </c>
      <c r="E628" s="2162" t="n">
        <v>113.22</v>
      </c>
      <c r="F628" s="2162" t="inlineStr">
        <is>
          <t>Revestimentos</t>
        </is>
      </c>
      <c r="G628" s="2162" t="inlineStr">
        <is>
          <t>Revestimentos</t>
        </is>
      </c>
      <c r="H628" s="2162" t="n"/>
      <c r="I628" s="4" t="inlineStr">
        <is>
          <t>Revestimentos</t>
        </is>
      </c>
    </row>
    <row r="629" ht="15.75" customHeight="1">
      <c r="A629" s="10">
        <f>COUNTIFS($B$2:$B$996,B629)</f>
        <v/>
      </c>
      <c r="B629" s="10" t="inlineStr">
        <is>
          <t xml:space="preserve">Porcelanato A 60x60cm acetinado </t>
        </is>
      </c>
      <c r="C629" s="11" t="inlineStr">
        <is>
          <t>M2</t>
        </is>
      </c>
      <c r="D629" s="2162">
        <f>E629*$D$1</f>
        <v/>
      </c>
      <c r="E629" s="2162" t="n">
        <v>67.88</v>
      </c>
      <c r="F629" s="2162" t="inlineStr">
        <is>
          <t>Revestimentos</t>
        </is>
      </c>
      <c r="G629" s="2162" t="inlineStr">
        <is>
          <t>Revestimentos</t>
        </is>
      </c>
      <c r="H629" s="2162" t="n"/>
      <c r="I629" s="4" t="inlineStr">
        <is>
          <t>Revestimentos</t>
        </is>
      </c>
    </row>
    <row r="630" ht="15.75" customHeight="1">
      <c r="A630" s="10">
        <f>COUNTIFS($B$2:$B$996,B630)</f>
        <v/>
      </c>
      <c r="B630" s="10" t="inlineStr">
        <is>
          <t>Porcelanato Canela Dourada Retificado Natural 20x120</t>
        </is>
      </c>
      <c r="C630" s="11" t="inlineStr">
        <is>
          <t>M2</t>
        </is>
      </c>
      <c r="D630" s="2162">
        <f>E630*$D$1</f>
        <v/>
      </c>
      <c r="E630" s="2162" t="n">
        <v>165</v>
      </c>
      <c r="F630" s="2162" t="inlineStr">
        <is>
          <t>Revestimentos</t>
        </is>
      </c>
      <c r="G630" s="2162" t="inlineStr">
        <is>
          <t>Revestimentos</t>
        </is>
      </c>
      <c r="H630" s="2162" t="n"/>
      <c r="I630" s="4" t="inlineStr">
        <is>
          <t>Revestimentos</t>
        </is>
      </c>
    </row>
    <row r="631" ht="15.75" customHeight="1">
      <c r="A631" s="10">
        <f>COUNTIFS($B$2:$B$996,B631)</f>
        <v/>
      </c>
      <c r="B631" s="10" t="inlineStr">
        <is>
          <t>Revestimento Cerâmico de Piso Interno 58x58</t>
        </is>
      </c>
      <c r="C631" s="11" t="inlineStr">
        <is>
          <t>M2</t>
        </is>
      </c>
      <c r="D631" s="2162">
        <f>E631*$D$1</f>
        <v/>
      </c>
      <c r="E631" s="2162" t="n">
        <v>39.64</v>
      </c>
      <c r="F631" s="2162" t="inlineStr">
        <is>
          <t>Revestimentos</t>
        </is>
      </c>
      <c r="G631" s="2162" t="inlineStr">
        <is>
          <t>Revestimentos</t>
        </is>
      </c>
      <c r="H631" s="2162" t="n"/>
      <c r="I631" s="4" t="inlineStr">
        <is>
          <t>Revestimentos</t>
        </is>
      </c>
    </row>
    <row r="632" ht="15.75" customHeight="1">
      <c r="A632" s="10">
        <f>COUNTIFS($B$2:$B$996,B632)</f>
        <v/>
      </c>
      <c r="B632" s="10" t="inlineStr">
        <is>
          <t>REVESTIMENTO CERÂMICO DE TIJOLINHO</t>
        </is>
      </c>
      <c r="C632" s="11" t="inlineStr">
        <is>
          <t>M2</t>
        </is>
      </c>
      <c r="D632" s="2162">
        <f>E632*$D$1</f>
        <v/>
      </c>
      <c r="E632" s="2162" t="n">
        <v>112.71</v>
      </c>
      <c r="F632" s="2162" t="inlineStr">
        <is>
          <t>Revestimentos</t>
        </is>
      </c>
      <c r="G632" s="2162" t="inlineStr">
        <is>
          <t>Revestimentos</t>
        </is>
      </c>
      <c r="H632" s="2162" t="n"/>
      <c r="I632" s="4" t="inlineStr">
        <is>
          <t>Revestimentos</t>
        </is>
      </c>
    </row>
    <row r="633" ht="15.75" customHeight="1">
      <c r="A633" s="10">
        <f>COUNTIFS($B$2:$B$996,B633)</f>
        <v/>
      </c>
      <c r="B633" s="10" t="inlineStr">
        <is>
          <t>GRADE PISO ACO ASTM A36 LISO ACB. DES. PADRAO GALV A FOGO - 2,2x1,34</t>
        </is>
      </c>
      <c r="C633" s="11" t="inlineStr">
        <is>
          <t>M2</t>
        </is>
      </c>
      <c r="D633" s="2162">
        <f>E633*$D$1</f>
        <v/>
      </c>
      <c r="E633" s="2162" t="n">
        <v>1036.950474898236</v>
      </c>
      <c r="F633" s="2162" t="inlineStr">
        <is>
          <t>Revestimentos</t>
        </is>
      </c>
      <c r="G633" s="2162" t="inlineStr">
        <is>
          <t>Revestimentos</t>
        </is>
      </c>
      <c r="H633" s="2162" t="n"/>
      <c r="I633" s="4" t="inlineStr">
        <is>
          <t>Revestimentos</t>
        </is>
      </c>
    </row>
    <row r="634" ht="15.75" customHeight="1">
      <c r="A634" s="10">
        <f>COUNTIFS($B$2:$B$996,B634)</f>
        <v/>
      </c>
      <c r="B634" s="10" t="inlineStr">
        <is>
          <t>Porcelanato "A" 60x60 Place Polido 8058873 Eliane</t>
        </is>
      </c>
      <c r="C634" s="11" t="inlineStr">
        <is>
          <t>M2</t>
        </is>
      </c>
      <c r="D634" s="2162">
        <f>E634*$D$1</f>
        <v/>
      </c>
      <c r="E634" s="2162" t="n">
        <v>89.90000000000001</v>
      </c>
      <c r="F634" s="2162" t="inlineStr">
        <is>
          <t>Revestimentos</t>
        </is>
      </c>
      <c r="G634" s="2162" t="inlineStr">
        <is>
          <t>Revestimentos</t>
        </is>
      </c>
      <c r="H634" s="2162" t="n"/>
      <c r="I634" s="4" t="inlineStr">
        <is>
          <t>Revestimentos</t>
        </is>
      </c>
    </row>
    <row r="635" ht="15.75" customHeight="1">
      <c r="A635" s="10">
        <f>COUNTIFS($B$2:$B$996,B635)</f>
        <v/>
      </c>
      <c r="B635" s="10" t="inlineStr">
        <is>
          <t>Porcelanato Polido Eliane Place "A" 120x120</t>
        </is>
      </c>
      <c r="C635" s="11" t="inlineStr">
        <is>
          <t>M2</t>
        </is>
      </c>
      <c r="D635" s="2162">
        <f>E635*$D$1</f>
        <v/>
      </c>
      <c r="E635" s="2162" t="n">
        <v>136.89</v>
      </c>
      <c r="F635" s="2162" t="inlineStr">
        <is>
          <t>Revestimentos</t>
        </is>
      </c>
      <c r="G635" s="2162" t="inlineStr">
        <is>
          <t>Revestimentos</t>
        </is>
      </c>
      <c r="H635" s="2162" t="n"/>
      <c r="I635" s="4" t="inlineStr">
        <is>
          <t>Revestimentos</t>
        </is>
      </c>
    </row>
    <row r="636" ht="15.75" customHeight="1">
      <c r="A636" s="10">
        <f>COUNTIFS($B$2:$B$996,B636)</f>
        <v/>
      </c>
      <c r="B636" s="10" t="inlineStr">
        <is>
          <t>Porcelanato Polido 100x100</t>
        </is>
      </c>
      <c r="C636" s="11" t="inlineStr">
        <is>
          <t>M2</t>
        </is>
      </c>
      <c r="D636" s="2162">
        <f>E636*$D$1</f>
        <v/>
      </c>
      <c r="E636" s="2162">
        <f>E640/(0.6*1.2)*(1*1)</f>
        <v/>
      </c>
      <c r="F636" s="2162" t="inlineStr">
        <is>
          <t>Revestimentos</t>
        </is>
      </c>
      <c r="G636" s="2162" t="inlineStr">
        <is>
          <t>Revestimentos</t>
        </is>
      </c>
      <c r="H636" s="2162" t="n"/>
      <c r="I636" s="4" t="inlineStr">
        <is>
          <t>Revestimentos</t>
        </is>
      </c>
    </row>
    <row r="637" ht="15.75" customHeight="1">
      <c r="A637" s="10">
        <f>COUNTIFS($B$2:$B$996,B637)</f>
        <v/>
      </c>
      <c r="B637" s="10" t="inlineStr">
        <is>
          <t>Porcelanato Acetinado 120x120cm</t>
        </is>
      </c>
      <c r="C637" s="11" t="inlineStr">
        <is>
          <t>M2</t>
        </is>
      </c>
      <c r="D637" s="2162">
        <f>E637*$D$1</f>
        <v/>
      </c>
      <c r="E637" s="2162" t="n">
        <v>140</v>
      </c>
      <c r="F637" s="2162" t="inlineStr">
        <is>
          <t>Revestimentos</t>
        </is>
      </c>
      <c r="G637" s="2162" t="inlineStr">
        <is>
          <t>Revestimentos</t>
        </is>
      </c>
      <c r="H637" s="2162" t="n"/>
      <c r="I637" s="4" t="inlineStr">
        <is>
          <t>Revestimentos</t>
        </is>
      </c>
    </row>
    <row r="638" ht="15.75" customHeight="1">
      <c r="A638" s="10">
        <f>COUNTIFS($B$2:$B$996,B638)</f>
        <v/>
      </c>
      <c r="B638" s="10" t="inlineStr">
        <is>
          <t>Porcelanato Superquadra Cru 60X120 Nat Ret</t>
        </is>
      </c>
      <c r="C638" s="11" t="inlineStr">
        <is>
          <t>M2</t>
        </is>
      </c>
      <c r="D638" s="2162">
        <f>E638*$D$1</f>
        <v/>
      </c>
      <c r="E638" s="2162" t="n">
        <v>110.5</v>
      </c>
      <c r="F638" s="2162" t="inlineStr">
        <is>
          <t>Revestimentos</t>
        </is>
      </c>
      <c r="G638" s="2162" t="inlineStr">
        <is>
          <t>Revestimentos</t>
        </is>
      </c>
      <c r="H638" s="2162" t="n"/>
      <c r="I638" s="4" t="inlineStr">
        <is>
          <t>Revestimentos</t>
        </is>
      </c>
    </row>
    <row r="639" ht="15.75" customHeight="1">
      <c r="A639" s="10">
        <f>COUNTIFS($B$2:$B$996,B639)</f>
        <v/>
      </c>
      <c r="B639" s="10" t="inlineStr">
        <is>
          <t>Porcelanato Superquadra 60X120 - Portobelo</t>
        </is>
      </c>
      <c r="C639" s="11" t="inlineStr">
        <is>
          <t>M2</t>
        </is>
      </c>
      <c r="D639" s="2162">
        <f>E639*$D$1</f>
        <v/>
      </c>
      <c r="E639" s="2162">
        <f>E638</f>
        <v/>
      </c>
      <c r="F639" s="2162" t="inlineStr">
        <is>
          <t>Revestimentos</t>
        </is>
      </c>
      <c r="G639" s="2162" t="inlineStr">
        <is>
          <t>Revestimentos</t>
        </is>
      </c>
      <c r="H639" s="2162" t="n"/>
      <c r="I639" s="4" t="inlineStr">
        <is>
          <t>Revestimentos</t>
        </is>
      </c>
    </row>
    <row r="640" ht="15.75" customHeight="1">
      <c r="A640" s="10">
        <f>COUNTIFS($B$2:$B$996,B640)</f>
        <v/>
      </c>
      <c r="B640" s="10" t="inlineStr">
        <is>
          <t>Porcelanato Ártico Alpe 60X120Cm Ret. Ac. Eliane</t>
        </is>
      </c>
      <c r="C640" s="11" t="inlineStr">
        <is>
          <t>M2</t>
        </is>
      </c>
      <c r="D640" s="2162">
        <f>E640*$D$1</f>
        <v/>
      </c>
      <c r="E640" s="2177" t="n">
        <v>66.90000000000001</v>
      </c>
      <c r="F640" s="2162" t="inlineStr">
        <is>
          <t>Revestimentos</t>
        </is>
      </c>
      <c r="G640" s="2162" t="inlineStr">
        <is>
          <t>Revestimentos</t>
        </is>
      </c>
      <c r="H640" s="2162" t="n"/>
      <c r="I640" s="4" t="inlineStr">
        <is>
          <t>Revestimentos</t>
        </is>
      </c>
    </row>
    <row r="641" ht="15.75" customHeight="1">
      <c r="A641" s="10">
        <f>COUNTIFS($B$2:$B$996,B641)</f>
        <v/>
      </c>
      <c r="B641" s="10" t="inlineStr">
        <is>
          <t>Porcelanato Onyx Unique Ret. Acetinado 120X120Cm - Portobello</t>
        </is>
      </c>
      <c r="C641" s="11" t="inlineStr">
        <is>
          <t>M2</t>
        </is>
      </c>
      <c r="D641" s="2162">
        <f>E641*$D$1</f>
        <v/>
      </c>
      <c r="E641" s="2162">
        <f>E640/(0.6*1.2)*(1.2*1.2)</f>
        <v/>
      </c>
      <c r="F641" s="2162" t="inlineStr">
        <is>
          <t>Revestimentos</t>
        </is>
      </c>
      <c r="G641" s="2162" t="inlineStr">
        <is>
          <t>Revestimentos</t>
        </is>
      </c>
      <c r="H641" s="2162" t="n"/>
      <c r="I641" s="4" t="inlineStr">
        <is>
          <t>Revestimentos</t>
        </is>
      </c>
    </row>
    <row r="642" ht="15.75" customHeight="1">
      <c r="A642" s="10">
        <f>COUNTIFS($B$2:$B$996,B642)</f>
        <v/>
      </c>
      <c r="B642" s="10" t="inlineStr">
        <is>
          <t>Porcelanato Onyx Unique Ret. Polido 120X120Cm - Portobello</t>
        </is>
      </c>
      <c r="C642" s="11" t="inlineStr">
        <is>
          <t>M2</t>
        </is>
      </c>
      <c r="D642" s="2162">
        <f>E642*$D$1</f>
        <v/>
      </c>
      <c r="E642" s="2162">
        <f>E640/(0.6*1.2)*(1.2*1.2)</f>
        <v/>
      </c>
      <c r="F642" s="2162" t="inlineStr">
        <is>
          <t>Revestimentos</t>
        </is>
      </c>
      <c r="G642" s="2162" t="inlineStr">
        <is>
          <t>Revestimentos</t>
        </is>
      </c>
      <c r="H642" s="2162" t="n"/>
      <c r="I642" s="4" t="inlineStr">
        <is>
          <t>Revestimentos</t>
        </is>
      </c>
    </row>
    <row r="643" ht="15.75" customHeight="1">
      <c r="A643" s="10">
        <f>COUNTIFS($B$2:$B$996,B643)</f>
        <v/>
      </c>
      <c r="B643" s="10" t="inlineStr">
        <is>
          <t>Porcelanato Travertino Navona Bianco 120X120Cm Ret. Natural Portobello</t>
        </is>
      </c>
      <c r="C643" s="11" t="inlineStr">
        <is>
          <t>M2</t>
        </is>
      </c>
      <c r="D643" s="2162">
        <f>E643*$D$1</f>
        <v/>
      </c>
      <c r="E643" s="2162">
        <f>E640/(0.6*1.2)*(1.2*1.2)</f>
        <v/>
      </c>
      <c r="F643" s="2162" t="inlineStr">
        <is>
          <t>Revestimentos</t>
        </is>
      </c>
      <c r="G643" s="2162" t="inlineStr">
        <is>
          <t>Revestimentos</t>
        </is>
      </c>
      <c r="H643" s="2162" t="n"/>
      <c r="I643" s="4" t="inlineStr">
        <is>
          <t>Revestimentos</t>
        </is>
      </c>
    </row>
    <row r="644" ht="15.75" customHeight="1">
      <c r="A644" s="10">
        <f>COUNTIFS($B$2:$B$996,B644)</f>
        <v/>
      </c>
      <c r="B644" s="10" t="inlineStr">
        <is>
          <t>Porcelanato Pp Pro Nude Gp 60X60Cm Retificado</t>
        </is>
      </c>
      <c r="C644" s="11" t="inlineStr">
        <is>
          <t>M2</t>
        </is>
      </c>
      <c r="D644" s="2162">
        <f>E644*$D$1</f>
        <v/>
      </c>
      <c r="E644" s="2162" t="n">
        <v>43.86</v>
      </c>
      <c r="F644" s="2162" t="inlineStr">
        <is>
          <t>Revestimentos</t>
        </is>
      </c>
      <c r="G644" s="2162" t="inlineStr">
        <is>
          <t>Revestimentos</t>
        </is>
      </c>
      <c r="H644" s="2162" t="n"/>
      <c r="I644" s="4" t="inlineStr">
        <is>
          <t>Revestimentos</t>
        </is>
      </c>
    </row>
    <row r="645" ht="15.75" customHeight="1">
      <c r="A645" s="10">
        <f>COUNTIFS($B$2:$B$996,B645)</f>
        <v/>
      </c>
      <c r="B645" s="10" t="inlineStr">
        <is>
          <t xml:space="preserve">Porcelanato Botanique Melisse Mate Portobello 29X30Cm    </t>
        </is>
      </c>
      <c r="C645" s="11" t="inlineStr">
        <is>
          <t>M2</t>
        </is>
      </c>
      <c r="D645" s="2162">
        <f>E645*$D$1</f>
        <v/>
      </c>
      <c r="E645" s="2162" t="n">
        <v>83.40000000000001</v>
      </c>
      <c r="F645" s="2162" t="inlineStr">
        <is>
          <t>Revestimentos</t>
        </is>
      </c>
      <c r="G645" s="2162" t="inlineStr">
        <is>
          <t>Revestimentos</t>
        </is>
      </c>
      <c r="H645" s="2162" t="n"/>
      <c r="I645" s="4" t="inlineStr">
        <is>
          <t>Revestimentos</t>
        </is>
      </c>
    </row>
    <row r="646" ht="15.75" customHeight="1">
      <c r="A646" s="10">
        <f>COUNTIFS($B$2:$B$996,B646)</f>
        <v/>
      </c>
      <c r="B646" s="10" t="inlineStr">
        <is>
          <t>Cerâmico Acetinado Imperial Mt 50X50Xcm</t>
        </is>
      </c>
      <c r="C646" s="11" t="inlineStr">
        <is>
          <t>M2</t>
        </is>
      </c>
      <c r="D646" s="2162">
        <f>E646*$D$1</f>
        <v/>
      </c>
      <c r="E646" s="2162" t="n">
        <v>44.9</v>
      </c>
      <c r="F646" s="2162" t="inlineStr">
        <is>
          <t>Revestimentos</t>
        </is>
      </c>
      <c r="G646" s="2162" t="inlineStr">
        <is>
          <t>Revestimentos</t>
        </is>
      </c>
      <c r="H646" s="2162" t="n"/>
      <c r="I646" s="4" t="inlineStr">
        <is>
          <t>Revestimentos</t>
        </is>
      </c>
    </row>
    <row r="647" ht="15.75" customHeight="1">
      <c r="A647" s="10">
        <f>COUNTIFS($B$2:$B$996,B647)</f>
        <v/>
      </c>
      <c r="B647" s="10" t="inlineStr">
        <is>
          <t xml:space="preserve">Piso Cimenticio Tecnogran 60X60Cm Linha Lavaggio  </t>
        </is>
      </c>
      <c r="C647" s="11" t="inlineStr">
        <is>
          <t>M2</t>
        </is>
      </c>
      <c r="D647" s="2162">
        <f>E647*$D$1</f>
        <v/>
      </c>
      <c r="E647" s="2162" t="n">
        <v>44.9</v>
      </c>
      <c r="F647" s="2162" t="inlineStr">
        <is>
          <t>Revestimentos</t>
        </is>
      </c>
      <c r="G647" s="2162" t="inlineStr">
        <is>
          <t>Revestimentos</t>
        </is>
      </c>
      <c r="H647" s="2162" t="n"/>
      <c r="I647" s="4" t="inlineStr">
        <is>
          <t>Revestimentos</t>
        </is>
      </c>
    </row>
    <row r="648" ht="15.75" customHeight="1">
      <c r="A648" s="10">
        <f>COUNTIFS($B$2:$B$996,B648)</f>
        <v/>
      </c>
      <c r="B648" s="10" t="inlineStr">
        <is>
          <t>Piso Cargo Plus 45x45cm White Eliane</t>
        </is>
      </c>
      <c r="C648" s="11" t="inlineStr">
        <is>
          <t>M2</t>
        </is>
      </c>
      <c r="D648" s="2162">
        <f>E648*$D$1</f>
        <v/>
      </c>
      <c r="E648" s="2162" t="n">
        <v>44.9</v>
      </c>
      <c r="F648" s="2162" t="inlineStr">
        <is>
          <t>Revestimentos</t>
        </is>
      </c>
      <c r="G648" s="2162" t="inlineStr">
        <is>
          <t>Revestimentos</t>
        </is>
      </c>
      <c r="H648" s="2162" t="n"/>
      <c r="I648" s="4" t="inlineStr">
        <is>
          <t>Revestimentos</t>
        </is>
      </c>
    </row>
    <row r="649" ht="15.75" customHeight="1">
      <c r="A649" s="10">
        <f>COUNTIFS($B$2:$B$996,B649)</f>
        <v/>
      </c>
      <c r="B649" s="10" t="inlineStr">
        <is>
          <t>Revestimento de parede em porcelanato, placa 30x90cm</t>
        </is>
      </c>
      <c r="C649" s="11" t="inlineStr">
        <is>
          <t>M2</t>
        </is>
      </c>
      <c r="D649" s="2162">
        <f>E649*$D$1</f>
        <v/>
      </c>
      <c r="E649" s="2162" t="n">
        <v>112.225</v>
      </c>
      <c r="F649" s="2162" t="inlineStr">
        <is>
          <t>Revestimentos</t>
        </is>
      </c>
      <c r="G649" s="2162" t="inlineStr">
        <is>
          <t>Revestimentos</t>
        </is>
      </c>
      <c r="H649" s="2162" t="n"/>
      <c r="I649" s="4" t="inlineStr">
        <is>
          <t>Revestimentos</t>
        </is>
      </c>
    </row>
    <row r="650" ht="15.75" customHeight="1">
      <c r="A650" s="10">
        <f>COUNTIFS($B$2:$B$996,B650)</f>
        <v/>
      </c>
      <c r="B650" s="10" t="inlineStr">
        <is>
          <t>Revestimento Pastilha 07x24cm</t>
        </is>
      </c>
      <c r="C650" s="11" t="inlineStr">
        <is>
          <t>M2</t>
        </is>
      </c>
      <c r="D650" s="2162">
        <f>E650*$D$1</f>
        <v/>
      </c>
      <c r="E650" s="2162" t="n">
        <v>83.95</v>
      </c>
      <c r="F650" s="2162" t="inlineStr">
        <is>
          <t>Revestimentos</t>
        </is>
      </c>
      <c r="G650" s="2162" t="inlineStr">
        <is>
          <t>Revestimentos</t>
        </is>
      </c>
      <c r="H650" s="2162" t="n"/>
      <c r="I650" s="4" t="inlineStr">
        <is>
          <t>Revestimentos</t>
        </is>
      </c>
    </row>
    <row r="651" ht="15.75" customHeight="1">
      <c r="A651" s="10">
        <f>COUNTIFS($B$2:$B$996,B651)</f>
        <v/>
      </c>
      <c r="B651" s="10" t="inlineStr">
        <is>
          <t>Revestimento Pastilha 14,5x14,5cm</t>
        </is>
      </c>
      <c r="C651" s="11" t="inlineStr">
        <is>
          <t>M2</t>
        </is>
      </c>
      <c r="D651" s="2162">
        <f>E651*$D$1</f>
        <v/>
      </c>
      <c r="E651" s="2162" t="n">
        <v>127.9</v>
      </c>
      <c r="F651" s="2162" t="inlineStr">
        <is>
          <t>Revestimentos</t>
        </is>
      </c>
      <c r="G651" s="2162" t="inlineStr">
        <is>
          <t>Revestimentos</t>
        </is>
      </c>
      <c r="H651" s="2162" t="n"/>
      <c r="I651" s="4" t="inlineStr">
        <is>
          <t>Revestimentos</t>
        </is>
      </c>
    </row>
    <row r="652" ht="15.75" customHeight="1">
      <c r="A652" s="10">
        <f>COUNTIFS($B$2:$B$996,B652)</f>
        <v/>
      </c>
      <c r="B652" s="10" t="inlineStr">
        <is>
          <t>Revestimento Pastilha 2,5x2,5cm</t>
        </is>
      </c>
      <c r="C652" s="11" t="inlineStr">
        <is>
          <t>M2</t>
        </is>
      </c>
      <c r="D652" s="2162">
        <f>E652*$D$1</f>
        <v/>
      </c>
      <c r="E652" s="2162" t="n">
        <v>233.37</v>
      </c>
      <c r="F652" s="2162" t="inlineStr">
        <is>
          <t>Revestimentos</t>
        </is>
      </c>
      <c r="G652" s="2162" t="inlineStr">
        <is>
          <t>Revestimentos</t>
        </is>
      </c>
      <c r="H652" s="2162" t="n"/>
      <c r="I652" s="4" t="inlineStr">
        <is>
          <t>Revestimentos</t>
        </is>
      </c>
    </row>
    <row r="653" ht="15.75" customHeight="1">
      <c r="A653" s="10">
        <f>COUNTIFS($B$2:$B$996,B653)</f>
        <v/>
      </c>
      <c r="B653" s="10" t="inlineStr">
        <is>
          <t>Revestimento Pastilha 20x20cm</t>
        </is>
      </c>
      <c r="C653" s="11" t="inlineStr">
        <is>
          <t>M2</t>
        </is>
      </c>
      <c r="D653" s="2162">
        <f>E653*$D$1</f>
        <v/>
      </c>
      <c r="E653" s="2162" t="n">
        <v>163.66</v>
      </c>
      <c r="F653" s="2162" t="inlineStr">
        <is>
          <t>Revestimentos</t>
        </is>
      </c>
      <c r="G653" s="2162" t="inlineStr">
        <is>
          <t>Revestimentos</t>
        </is>
      </c>
      <c r="H653" s="2162" t="n"/>
      <c r="I653" s="4" t="inlineStr">
        <is>
          <t>Revestimentos</t>
        </is>
      </c>
    </row>
    <row r="654" ht="15.75" customHeight="1">
      <c r="A654" s="10">
        <f>COUNTIFS($B$2:$B$996,B654)</f>
        <v/>
      </c>
      <c r="B654" s="10" t="inlineStr">
        <is>
          <t>Revestimento Pastilha 5x5cm</t>
        </is>
      </c>
      <c r="C654" s="11" t="inlineStr">
        <is>
          <t>M2</t>
        </is>
      </c>
      <c r="D654" s="2162">
        <f>E654*$D$1</f>
        <v/>
      </c>
      <c r="E654" s="2162" t="n">
        <v>146.44</v>
      </c>
      <c r="F654" s="2162" t="inlineStr">
        <is>
          <t>Revestimentos</t>
        </is>
      </c>
      <c r="G654" s="2162" t="inlineStr">
        <is>
          <t>Revestimentos</t>
        </is>
      </c>
      <c r="H654" s="2162" t="n"/>
      <c r="I654" s="4" t="inlineStr">
        <is>
          <t>Revestimentos</t>
        </is>
      </c>
    </row>
    <row r="655" ht="15.75" customHeight="1">
      <c r="A655" s="10">
        <f>COUNTIFS($B$2:$B$996,B655)</f>
        <v/>
      </c>
      <c r="B655" s="10" t="inlineStr">
        <is>
          <t>Petit Pavé Branco Pedra Portuguesa</t>
        </is>
      </c>
      <c r="C655" s="11" t="inlineStr">
        <is>
          <t>M2</t>
        </is>
      </c>
      <c r="D655" s="2162">
        <f>E655*$D$1</f>
        <v/>
      </c>
      <c r="E655" s="2162" t="n">
        <v>79</v>
      </c>
      <c r="F655" s="2162" t="inlineStr">
        <is>
          <t>Revestimentos</t>
        </is>
      </c>
      <c r="G655" s="2162" t="inlineStr">
        <is>
          <t>Revestimentos</t>
        </is>
      </c>
      <c r="H655" s="2162" t="n"/>
      <c r="I655" s="4" t="inlineStr">
        <is>
          <t>Revestimentos</t>
        </is>
      </c>
    </row>
    <row r="656" ht="15.75" customHeight="1">
      <c r="A656" s="10">
        <f>COUNTIFS($B$2:$B$996,B656)</f>
        <v/>
      </c>
      <c r="B656" s="10" t="inlineStr">
        <is>
          <t>Piso drenante - 45x45x5</t>
        </is>
      </c>
      <c r="C656" s="11" t="inlineStr">
        <is>
          <t>M2</t>
        </is>
      </c>
      <c r="D656" s="2162">
        <f>E656*$D$1</f>
        <v/>
      </c>
      <c r="E656" s="2162" t="n">
        <v>122.9629629629629</v>
      </c>
      <c r="F656" s="2162" t="inlineStr">
        <is>
          <t>Revestimentos</t>
        </is>
      </c>
      <c r="G656" s="2162" t="inlineStr">
        <is>
          <t>Revestimentos</t>
        </is>
      </c>
      <c r="H656" s="2162" t="n"/>
      <c r="I656" s="4" t="inlineStr">
        <is>
          <t>Revestimentos</t>
        </is>
      </c>
    </row>
    <row r="657" ht="15.75" customHeight="1">
      <c r="A657" s="10">
        <f>COUNTIFS($B$2:$B$996,B657)</f>
        <v/>
      </c>
      <c r="B657" s="10" t="inlineStr">
        <is>
          <t>Pisos Para Academia e Crossfit Emborrachado - 50 x 50 cm</t>
        </is>
      </c>
      <c r="C657" s="11" t="inlineStr">
        <is>
          <t>M2</t>
        </is>
      </c>
      <c r="D657" s="2162">
        <f>E657*$D$1</f>
        <v/>
      </c>
      <c r="E657" s="2162" t="n">
        <v>138.4</v>
      </c>
      <c r="F657" s="2162" t="inlineStr">
        <is>
          <t>Revestimentos</t>
        </is>
      </c>
      <c r="G657" s="2162" t="inlineStr">
        <is>
          <t>Revestimentos</t>
        </is>
      </c>
      <c r="H657" s="2162" t="n"/>
      <c r="I657" s="4" t="inlineStr">
        <is>
          <t>Revestimentos</t>
        </is>
      </c>
    </row>
    <row r="658" ht="15.75" customHeight="1">
      <c r="A658" s="10">
        <f>COUNTIFS($B$2:$B$996,B658)</f>
        <v/>
      </c>
      <c r="B658" s="10" t="inlineStr">
        <is>
          <t>Revestimento Portinari Pacific Bl Lux Bold 20x20</t>
        </is>
      </c>
      <c r="C658" s="11" t="inlineStr">
        <is>
          <t>M2</t>
        </is>
      </c>
      <c r="D658" s="2162">
        <f>E658*$D$1</f>
        <v/>
      </c>
      <c r="E658" s="2162" t="n">
        <v>182.45</v>
      </c>
      <c r="F658" s="2162" t="inlineStr">
        <is>
          <t>Revestimentos</t>
        </is>
      </c>
      <c r="G658" s="2162" t="inlineStr">
        <is>
          <t>Revestimentos</t>
        </is>
      </c>
      <c r="H658" s="2162" t="n"/>
      <c r="I658" s="4" t="inlineStr">
        <is>
          <t>Revestimentos</t>
        </is>
      </c>
    </row>
    <row r="659" ht="15.75" customHeight="1">
      <c r="A659" s="10">
        <f>COUNTIFS($B$2:$B$996,B659)</f>
        <v/>
      </c>
      <c r="B659" s="10" t="inlineStr">
        <is>
          <t>Revestimento Ripado de Concreto</t>
        </is>
      </c>
      <c r="C659" s="11" t="inlineStr">
        <is>
          <t>M2</t>
        </is>
      </c>
      <c r="D659" s="2162">
        <f>E659*$D$1</f>
        <v/>
      </c>
      <c r="E659" s="2162" t="n">
        <v>280</v>
      </c>
      <c r="F659" s="2162" t="inlineStr">
        <is>
          <t>Revestimentos</t>
        </is>
      </c>
      <c r="G659" s="2162" t="inlineStr">
        <is>
          <t>Revestimentos</t>
        </is>
      </c>
      <c r="H659" s="2162" t="n"/>
      <c r="I659" s="4" t="inlineStr">
        <is>
          <t>Revestimentos</t>
        </is>
      </c>
    </row>
    <row r="660" ht="15.75" customHeight="1">
      <c r="A660" s="10">
        <f>COUNTIFS($B$2:$B$996,B660)</f>
        <v/>
      </c>
      <c r="B660" s="10" t="inlineStr">
        <is>
          <t>Piso modular polipropileno (PP) antiderrapante, UV, encaixe macho-fêmea, com tratamento anti-impacto</t>
        </is>
      </c>
      <c r="C660" s="11" t="inlineStr">
        <is>
          <t>M2</t>
        </is>
      </c>
      <c r="D660" s="2162">
        <f>E660*$D$1</f>
        <v/>
      </c>
      <c r="E660" s="2162" t="n">
        <v>250</v>
      </c>
      <c r="F660" s="2162" t="inlineStr">
        <is>
          <t>Revestimentos</t>
        </is>
      </c>
      <c r="G660" s="2162" t="inlineStr">
        <is>
          <t>Revestimentos</t>
        </is>
      </c>
      <c r="H660" s="2162" t="n"/>
      <c r="I660" s="4" t="inlineStr">
        <is>
          <t>Revestimentos</t>
        </is>
      </c>
    </row>
    <row r="661" ht="15.75" customHeight="1">
      <c r="A661" s="10">
        <f>COUNTIFS($B$2:$B$996,B661)</f>
        <v/>
      </c>
      <c r="B661" s="10" t="inlineStr">
        <is>
          <t>Revestimento Pedra Hijau Lisa 20x20 cm</t>
        </is>
      </c>
      <c r="C661" s="11" t="inlineStr">
        <is>
          <t>M2</t>
        </is>
      </c>
      <c r="D661" s="2162">
        <f>E661*$D$1</f>
        <v/>
      </c>
      <c r="E661" s="2162" t="n">
        <v>332.1</v>
      </c>
      <c r="F661" s="2162" t="inlineStr">
        <is>
          <t>Revestimentos</t>
        </is>
      </c>
      <c r="G661" s="2162" t="inlineStr">
        <is>
          <t>Revestimentos</t>
        </is>
      </c>
      <c r="H661" s="2162" t="n"/>
      <c r="I661" s="4" t="inlineStr">
        <is>
          <t>Revestimentos</t>
        </is>
      </c>
    </row>
    <row r="662" ht="15.75" customHeight="1">
      <c r="A662" s="10">
        <f>COUNTIFS($B$2:$B$996,B662)</f>
        <v/>
      </c>
      <c r="B662" s="10" t="inlineStr">
        <is>
          <t>Porcelanato Portobello Deck Parquet D Olivier Externo "A" 81x81cm</t>
        </is>
      </c>
      <c r="C662" s="11" t="inlineStr">
        <is>
          <t>M2</t>
        </is>
      </c>
      <c r="D662" s="2162">
        <f>E662*$D$1</f>
        <v/>
      </c>
      <c r="E662" s="2162" t="n">
        <v>84.90000000000001</v>
      </c>
      <c r="F662" s="2162" t="inlineStr">
        <is>
          <t>Revestimentos</t>
        </is>
      </c>
      <c r="G662" s="2162" t="inlineStr">
        <is>
          <t>Revestimentos</t>
        </is>
      </c>
      <c r="H662" s="2162" t="n"/>
      <c r="I662" s="4" t="inlineStr">
        <is>
          <t>Revestimentos</t>
        </is>
      </c>
    </row>
    <row r="663" ht="15.75" customHeight="1">
      <c r="A663" s="10">
        <f>COUNTIFS($B$2:$B$996,B663)</f>
        <v/>
      </c>
      <c r="B663" s="10" t="inlineStr">
        <is>
          <t>PORCELANATO DELTA 73X73 RETIFICADO ACETINADO JUA CLARO 2280-A</t>
        </is>
      </c>
      <c r="C663" s="11" t="inlineStr">
        <is>
          <t>M2</t>
        </is>
      </c>
      <c r="D663" s="2162">
        <f>E663*$D$1</f>
        <v/>
      </c>
      <c r="E663" s="2162" t="n">
        <v>68.90000000000001</v>
      </c>
      <c r="F663" s="2162" t="inlineStr">
        <is>
          <t>Revestimentos</t>
        </is>
      </c>
      <c r="G663" s="2162" t="inlineStr">
        <is>
          <t>Revestimentos</t>
        </is>
      </c>
      <c r="H663" s="2162" t="n"/>
      <c r="I663" s="4" t="inlineStr">
        <is>
          <t>Revestimentos</t>
        </is>
      </c>
    </row>
    <row r="664" ht="15.75" customHeight="1">
      <c r="A664" s="10">
        <f>COUNTIFS($B$2:$B$996,B664)</f>
        <v/>
      </c>
      <c r="B664" s="10" t="inlineStr">
        <is>
          <t>Porcelanato Piso Retificado Embramaco 76x76cm Acetinado Nevada Mate Plus Retificado</t>
        </is>
      </c>
      <c r="C664" s="11" t="inlineStr">
        <is>
          <t>M2</t>
        </is>
      </c>
      <c r="D664" s="2162">
        <f>E664*$D$1</f>
        <v/>
      </c>
      <c r="E664" s="2162" t="n">
        <v>34.9</v>
      </c>
      <c r="F664" s="2162" t="inlineStr">
        <is>
          <t>Revestimentos</t>
        </is>
      </c>
      <c r="G664" s="2162" t="inlineStr">
        <is>
          <t>Revestimentos</t>
        </is>
      </c>
      <c r="H664" s="2162" t="n"/>
      <c r="I664" s="4" t="inlineStr">
        <is>
          <t>Revestimentos</t>
        </is>
      </c>
    </row>
    <row r="665" ht="15.75" customHeight="1">
      <c r="A665" s="10">
        <f>COUNTIFS($B$2:$B$996,B665)</f>
        <v/>
      </c>
      <c r="B665" s="10" t="inlineStr">
        <is>
          <t>Porcelanato Pro Concrete Abs 89,5X89,5cm</t>
        </is>
      </c>
      <c r="C665" s="11" t="inlineStr">
        <is>
          <t>M2</t>
        </is>
      </c>
      <c r="D665" s="2162">
        <f>E665*$D$1</f>
        <v/>
      </c>
      <c r="E665" s="2162" t="n">
        <v>144.9</v>
      </c>
      <c r="F665" s="2162" t="inlineStr">
        <is>
          <t>Revestimentos</t>
        </is>
      </c>
      <c r="G665" s="2162" t="inlineStr">
        <is>
          <t>Revestimentos</t>
        </is>
      </c>
      <c r="H665" s="2162" t="n"/>
      <c r="I665" s="4" t="inlineStr">
        <is>
          <t>Revestimentos</t>
        </is>
      </c>
    </row>
    <row r="666" ht="15.75" customHeight="1">
      <c r="A666" s="10">
        <f>COUNTIFS($B$2:$B$996,B666)</f>
        <v/>
      </c>
      <c r="B666" s="10" t="inlineStr">
        <is>
          <t>PORCELANATO VILLAGRES 71X71 RETIFICADO ACETINADO MONTREAL FENDI</t>
        </is>
      </c>
      <c r="C666" s="11" t="inlineStr">
        <is>
          <t>M2</t>
        </is>
      </c>
      <c r="D666" s="2162">
        <f>E666*$D$1</f>
        <v/>
      </c>
      <c r="E666" s="2162" t="n">
        <v>76.3</v>
      </c>
      <c r="F666" s="2162" t="inlineStr">
        <is>
          <t>Revestimentos</t>
        </is>
      </c>
      <c r="G666" s="2162" t="inlineStr">
        <is>
          <t>Revestimentos</t>
        </is>
      </c>
      <c r="H666" s="2162" t="n"/>
      <c r="I666" s="4" t="inlineStr">
        <is>
          <t>Revestimentos</t>
        </is>
      </c>
    </row>
    <row r="667" ht="15.75" customHeight="1">
      <c r="A667" s="10">
        <f>COUNTIFS($B$2:$B$996,B667)</f>
        <v/>
      </c>
      <c r="B667" s="10" t="inlineStr">
        <is>
          <t>Porcelanato Biancogres Ripa Sense 45x90 Acetinado</t>
        </is>
      </c>
      <c r="C667" s="11" t="inlineStr">
        <is>
          <t>M2</t>
        </is>
      </c>
      <c r="D667" s="2162">
        <f>E667*$D$1</f>
        <v/>
      </c>
      <c r="E667" s="2162" t="n">
        <v>85.90000000000001</v>
      </c>
      <c r="F667" s="2162" t="inlineStr">
        <is>
          <t>Revestimentos</t>
        </is>
      </c>
      <c r="G667" s="2162" t="inlineStr">
        <is>
          <t>Revestimentos</t>
        </is>
      </c>
      <c r="H667" s="2162" t="n"/>
      <c r="I667" s="4" t="inlineStr">
        <is>
          <t>Revestimentos</t>
        </is>
      </c>
    </row>
    <row r="668" ht="15.75" customHeight="1">
      <c r="A668" s="10">
        <f>COUNTIFS($B$2:$B$996,B668)</f>
        <v/>
      </c>
      <c r="B668" s="10" t="inlineStr">
        <is>
          <t>Cerâmica Extrudada - Cerâmica Extrudada para Fachada Ventilada tijolo a vista, Modelo Faveton BRICK TILE, medida máxima de 600x150x16mm</t>
        </is>
      </c>
      <c r="C668" s="11" t="inlineStr">
        <is>
          <t>M2</t>
        </is>
      </c>
      <c r="D668" s="2162">
        <f>E668*$D$1</f>
        <v/>
      </c>
      <c r="E668" s="2162" t="n">
        <v>394</v>
      </c>
      <c r="F668" s="2162" t="inlineStr">
        <is>
          <t>Revestimentos</t>
        </is>
      </c>
      <c r="G668" s="2162" t="inlineStr">
        <is>
          <t>Revestimentos</t>
        </is>
      </c>
      <c r="H668" s="2162" t="inlineStr">
        <is>
          <t>COTAÇÃO</t>
        </is>
      </c>
      <c r="I668" s="4" t="inlineStr">
        <is>
          <t>Revestimentos</t>
        </is>
      </c>
    </row>
    <row r="669" ht="15.75" customHeight="1">
      <c r="A669" s="10">
        <f>COUNTIFS($B$2:$B$996,B669)</f>
        <v/>
      </c>
      <c r="B669" s="10" t="inlineStr">
        <is>
          <t>Mecanização de chapas ventiladas + Mão de obra + projeto executivo</t>
        </is>
      </c>
      <c r="C669" s="11" t="inlineStr">
        <is>
          <t>M2</t>
        </is>
      </c>
      <c r="D669" s="2162">
        <f>E669*$D$1</f>
        <v/>
      </c>
      <c r="E669" s="2162">
        <f>40+20+259+18</f>
        <v/>
      </c>
      <c r="F669" s="2162" t="inlineStr">
        <is>
          <t>Revestimentos</t>
        </is>
      </c>
      <c r="G669" s="2162" t="inlineStr">
        <is>
          <t>Revestimentos</t>
        </is>
      </c>
      <c r="H669" s="2162" t="inlineStr">
        <is>
          <t>COTAÇÃO</t>
        </is>
      </c>
      <c r="I669" s="4" t="inlineStr">
        <is>
          <t>Revestimentos</t>
        </is>
      </c>
    </row>
    <row r="670" ht="15.75" customHeight="1">
      <c r="A670" s="10">
        <f>COUNTIFS($B$2:$B$996,B670)</f>
        <v/>
      </c>
      <c r="B670" s="10" t="inlineStr">
        <is>
          <t>SISTEMA FACHADA VENTILADA BT16 - Estrutura de Alumínio e fixações em Aço Inox.</t>
        </is>
      </c>
      <c r="C670" s="11" t="inlineStr">
        <is>
          <t>M2</t>
        </is>
      </c>
      <c r="D670" s="2162">
        <f>E670*$D$1</f>
        <v/>
      </c>
      <c r="E670" s="2162" t="n">
        <v>298</v>
      </c>
      <c r="F670" s="2162" t="inlineStr">
        <is>
          <t>Revestimentos</t>
        </is>
      </c>
      <c r="G670" s="2162" t="inlineStr">
        <is>
          <t>Revestimentos</t>
        </is>
      </c>
      <c r="H670" s="2162" t="inlineStr">
        <is>
          <t>COTAÇÃO</t>
        </is>
      </c>
      <c r="I670" s="4" t="inlineStr">
        <is>
          <t>Revestimentos</t>
        </is>
      </c>
    </row>
    <row r="671" ht="15.75" customHeight="1">
      <c r="A671" s="10">
        <f>COUNTIFS($B$2:$B$996,B671)</f>
        <v/>
      </c>
      <c r="B671" s="10" t="inlineStr">
        <is>
          <t xml:space="preserve">Porcelanato Painel Kyoto - PAINEL KYOTO FENDI AC 60X120 CM </t>
        </is>
      </c>
      <c r="C671" s="11" t="inlineStr">
        <is>
          <t>M2</t>
        </is>
      </c>
      <c r="D671" s="2162">
        <f>E671*$D$1</f>
        <v/>
      </c>
      <c r="E671" s="2162" t="n">
        <v>147.4</v>
      </c>
      <c r="F671" s="2162" t="inlineStr">
        <is>
          <t>Revestimentos</t>
        </is>
      </c>
      <c r="G671" s="2162" t="inlineStr">
        <is>
          <t>Revestimentos</t>
        </is>
      </c>
      <c r="H671" s="2162" t="inlineStr">
        <is>
          <t>COTAÇÃO</t>
        </is>
      </c>
      <c r="I671" s="4" t="inlineStr">
        <is>
          <t>Revestimentos</t>
        </is>
      </c>
    </row>
    <row r="672" ht="15.75" customHeight="1">
      <c r="A672" s="10">
        <f>COUNTIFS($B$2:$B$996,B672)</f>
        <v/>
      </c>
      <c r="B672" s="10" t="inlineStr">
        <is>
          <t>Ladrilho Hidráulico 10x20cm - Cor: mostarda - Marca: Dalle Piagge</t>
        </is>
      </c>
      <c r="C672" s="11" t="inlineStr">
        <is>
          <t>M2</t>
        </is>
      </c>
      <c r="D672" s="2162">
        <f>E672*$D$1</f>
        <v/>
      </c>
      <c r="E672" s="2162" t="n">
        <v>588.8</v>
      </c>
      <c r="F672" s="2162" t="inlineStr">
        <is>
          <t>Revestimentos</t>
        </is>
      </c>
      <c r="G672" s="2162" t="inlineStr">
        <is>
          <t>Revestimentos</t>
        </is>
      </c>
      <c r="H672" s="2162" t="n"/>
      <c r="I672" s="4" t="inlineStr">
        <is>
          <t>Revestimentos</t>
        </is>
      </c>
    </row>
    <row r="673" ht="15.75" customHeight="1">
      <c r="A673" s="10">
        <f>COUNTIFS($B$2:$B$996,B673)</f>
        <v/>
      </c>
      <c r="B673" s="10" t="inlineStr">
        <is>
          <t>Ladrilho Hidráulico 10x20cm - Cor: off-white - Marca: Dalle Piagge</t>
        </is>
      </c>
      <c r="C673" s="11" t="inlineStr">
        <is>
          <t>M2</t>
        </is>
      </c>
      <c r="D673" s="2162">
        <f>E673*$D$1</f>
        <v/>
      </c>
      <c r="E673" s="2162" t="n">
        <v>588.8</v>
      </c>
      <c r="F673" s="2162" t="inlineStr">
        <is>
          <t>Revestimentos</t>
        </is>
      </c>
      <c r="G673" s="2162" t="inlineStr">
        <is>
          <t>Revestimentos</t>
        </is>
      </c>
      <c r="H673" s="2162" t="n"/>
      <c r="I673" s="4" t="inlineStr">
        <is>
          <t>Revestimentos</t>
        </is>
      </c>
    </row>
    <row r="674" ht="15.75" customHeight="1">
      <c r="A674" s="10">
        <f>COUNTIFS($B$2:$B$996,B674)</f>
        <v/>
      </c>
      <c r="B674" s="10" t="inlineStr">
        <is>
          <t>Ladrilho Hidráulico 10x20cm - Cor: mostarda - Marca: Ladrilar</t>
        </is>
      </c>
      <c r="C674" s="11" t="inlineStr">
        <is>
          <t>M2</t>
        </is>
      </c>
      <c r="D674" s="2162">
        <f>E674*$D$1</f>
        <v/>
      </c>
      <c r="E674" s="2162">
        <f>44090.55/139.97</f>
        <v/>
      </c>
      <c r="F674" s="2162" t="inlineStr">
        <is>
          <t>Revestimentos</t>
        </is>
      </c>
      <c r="G674" s="2162" t="inlineStr">
        <is>
          <t>Revestimentos</t>
        </is>
      </c>
      <c r="H674" s="2162" t="inlineStr">
        <is>
          <t>COTAÇÃO</t>
        </is>
      </c>
      <c r="I674" s="4" t="inlineStr">
        <is>
          <t>Revestimentos</t>
        </is>
      </c>
    </row>
    <row r="675" ht="15.75" customHeight="1">
      <c r="A675" s="10">
        <f>COUNTIFS($B$2:$B$996,B675)</f>
        <v/>
      </c>
      <c r="B675" s="10" t="inlineStr">
        <is>
          <t>Ladrilho Hidráulico 10x10cm - Cor: Laranja - Marca: Ladrilar</t>
        </is>
      </c>
      <c r="C675" s="11" t="inlineStr">
        <is>
          <t>M2</t>
        </is>
      </c>
      <c r="D675" s="2162">
        <f>E675*$D$1</f>
        <v/>
      </c>
      <c r="E675" s="2162" t="n">
        <v>402.5</v>
      </c>
      <c r="F675" s="2162" t="inlineStr">
        <is>
          <t>Revestimentos</t>
        </is>
      </c>
      <c r="G675" s="2162" t="inlineStr">
        <is>
          <t>Revestimentos</t>
        </is>
      </c>
      <c r="H675" s="2162" t="n"/>
      <c r="I675" s="4" t="inlineStr">
        <is>
          <t>Revestimentos</t>
        </is>
      </c>
    </row>
    <row r="676" ht="15.75" customHeight="1">
      <c r="A676" s="10">
        <f>COUNTIFS($B$2:$B$996,B676)</f>
        <v/>
      </c>
      <c r="B676" s="10" t="inlineStr">
        <is>
          <t>Ladrilho Hidráulico 10x10cm - Cor: off-white - Marca: Ladrilar</t>
        </is>
      </c>
      <c r="C676" s="11" t="inlineStr">
        <is>
          <t>M2</t>
        </is>
      </c>
      <c r="D676" s="2162">
        <f>E676*$D$1</f>
        <v/>
      </c>
      <c r="E676" s="2162" t="n">
        <v>402.5</v>
      </c>
      <c r="F676" s="2162" t="inlineStr">
        <is>
          <t>Revestimentos</t>
        </is>
      </c>
      <c r="G676" s="2162" t="inlineStr">
        <is>
          <t>Revestimentos</t>
        </is>
      </c>
      <c r="H676" s="2162" t="n"/>
      <c r="I676" s="4" t="inlineStr">
        <is>
          <t>Revestimentos</t>
        </is>
      </c>
    </row>
    <row r="677" ht="15.75" customHeight="1">
      <c r="A677" s="10">
        <f>COUNTIFS($B$2:$B$996,B677)</f>
        <v/>
      </c>
      <c r="B677" s="10" t="inlineStr">
        <is>
          <t>Ladrilho Hidráulico 10x20cm - Cor: off-white - Marca: Ladrilar</t>
        </is>
      </c>
      <c r="C677" s="11" t="inlineStr">
        <is>
          <t>M2</t>
        </is>
      </c>
      <c r="D677" s="2162">
        <f>E677*$D$1</f>
        <v/>
      </c>
      <c r="E677" s="2162">
        <f>44090.55/139.97</f>
        <v/>
      </c>
      <c r="F677" s="2162" t="inlineStr">
        <is>
          <t>Revestimentos</t>
        </is>
      </c>
      <c r="G677" s="2162" t="inlineStr">
        <is>
          <t>Revestimentos</t>
        </is>
      </c>
      <c r="H677" s="2162" t="inlineStr">
        <is>
          <t>COTAÇÃO</t>
        </is>
      </c>
      <c r="I677" s="4" t="inlineStr">
        <is>
          <t>Revestimentos</t>
        </is>
      </c>
    </row>
    <row r="678" ht="15.75" customHeight="1">
      <c r="A678" s="10">
        <f>COUNTIFS($B$2:$B$996,B678)</f>
        <v/>
      </c>
      <c r="B678" s="10" t="inlineStr">
        <is>
          <t>Ladrilho Hidráulico 5x5cm - Cor: off-white - Marca: Ladrilar</t>
        </is>
      </c>
      <c r="C678" s="11" t="inlineStr">
        <is>
          <t>M2</t>
        </is>
      </c>
      <c r="D678" s="2162">
        <f>E678*$D$1</f>
        <v/>
      </c>
      <c r="E678" s="2162">
        <f>1192743.3/2434.17</f>
        <v/>
      </c>
      <c r="F678" s="2162" t="inlineStr">
        <is>
          <t>Revestimentos</t>
        </is>
      </c>
      <c r="G678" s="2162" t="inlineStr">
        <is>
          <t>Revestimentos</t>
        </is>
      </c>
      <c r="H678" s="2162" t="inlineStr">
        <is>
          <t>COTAÇÃO</t>
        </is>
      </c>
      <c r="I678" s="4" t="inlineStr">
        <is>
          <t>Revestimentos</t>
        </is>
      </c>
    </row>
    <row r="679" ht="15.75" customHeight="1">
      <c r="A679" s="10">
        <f>COUNTIFS($B$2:$B$996,B679)</f>
        <v/>
      </c>
      <c r="B679" s="10" t="inlineStr">
        <is>
          <t>Ladrilho Hidráulico 10x10cm - Cor: laranja - Marca: Dalle Piagge</t>
        </is>
      </c>
      <c r="C679" s="11" t="inlineStr">
        <is>
          <t>M2</t>
        </is>
      </c>
      <c r="D679" s="2162">
        <f>E679*$D$1</f>
        <v/>
      </c>
      <c r="E679" s="2162" t="n">
        <v>588</v>
      </c>
      <c r="F679" s="2162" t="inlineStr">
        <is>
          <t>Revestimentos</t>
        </is>
      </c>
      <c r="G679" s="2162" t="inlineStr">
        <is>
          <t>Revestimentos</t>
        </is>
      </c>
      <c r="H679" s="14">
        <f>0.05*0.05</f>
        <v/>
      </c>
      <c r="I679" s="4" t="inlineStr">
        <is>
          <t>Revestimentos</t>
        </is>
      </c>
    </row>
    <row r="680" ht="15.75" customHeight="1">
      <c r="A680" s="10">
        <f>COUNTIFS($B$2:$B$996,B680)</f>
        <v/>
      </c>
      <c r="B680" s="10" t="inlineStr">
        <is>
          <t>Ladrilho Hidráulico 10x10cm - Cor: off-white - Marca: Dalle Piagge</t>
        </is>
      </c>
      <c r="C680" s="11" t="inlineStr">
        <is>
          <t>M2</t>
        </is>
      </c>
      <c r="D680" s="2162">
        <f>E680*$D$1</f>
        <v/>
      </c>
      <c r="E680" s="2162" t="n">
        <v>588</v>
      </c>
      <c r="F680" s="2162" t="inlineStr">
        <is>
          <t>Revestimentos</t>
        </is>
      </c>
      <c r="G680" s="2162" t="inlineStr">
        <is>
          <t>Revestimentos</t>
        </is>
      </c>
      <c r="H680" s="14">
        <f>0.05*0.05</f>
        <v/>
      </c>
      <c r="I680" s="4" t="inlineStr">
        <is>
          <t>Revestimentos</t>
        </is>
      </c>
    </row>
    <row r="681" ht="15.75" customHeight="1">
      <c r="A681" s="10">
        <f>COUNTIFS($B$2:$B$996,B681)</f>
        <v/>
      </c>
      <c r="B681" s="10" t="inlineStr">
        <is>
          <t>Ladrilho Hidráulico 5x5cm - Cor: laranja - Marca: Dalle Piagge</t>
        </is>
      </c>
      <c r="C681" s="11" t="inlineStr">
        <is>
          <t>M2</t>
        </is>
      </c>
      <c r="D681" s="2162">
        <f>E681*$D$1</f>
        <v/>
      </c>
      <c r="E681" s="2162">
        <f>(3.9*400)/2</f>
        <v/>
      </c>
      <c r="F681" s="2162" t="inlineStr">
        <is>
          <t>Revestimentos</t>
        </is>
      </c>
      <c r="G681" s="2162" t="inlineStr">
        <is>
          <t>Revestimentos</t>
        </is>
      </c>
      <c r="H681" s="14">
        <f>0.05*0.05</f>
        <v/>
      </c>
      <c r="I681" s="4" t="inlineStr">
        <is>
          <t>Revestimentos</t>
        </is>
      </c>
    </row>
    <row r="682" ht="15.75" customHeight="1">
      <c r="A682" s="10">
        <f>COUNTIFS($B$2:$B$996,B682)</f>
        <v/>
      </c>
      <c r="B682" s="10" t="inlineStr">
        <is>
          <t>Ladrilho Hidráulico 5x5cm - Cor: off-white - Marca: Dalle Piagge</t>
        </is>
      </c>
      <c r="C682" s="11" t="inlineStr">
        <is>
          <t>M2</t>
        </is>
      </c>
      <c r="D682" s="2162">
        <f>E682*$D$1</f>
        <v/>
      </c>
      <c r="E682" s="2162">
        <f>(3.9*400)/2</f>
        <v/>
      </c>
      <c r="F682" s="2162" t="inlineStr">
        <is>
          <t>Revestimentos</t>
        </is>
      </c>
      <c r="G682" s="2162" t="inlineStr">
        <is>
          <t>Revestimentos</t>
        </is>
      </c>
      <c r="H682" s="14">
        <f>0.05*0.05</f>
        <v/>
      </c>
      <c r="I682" s="4" t="inlineStr">
        <is>
          <t>Revestimentos</t>
        </is>
      </c>
    </row>
    <row r="683" ht="15.75" customHeight="1">
      <c r="A683" s="10">
        <f>COUNTIFS($B$2:$B$996,B683)</f>
        <v/>
      </c>
      <c r="B683" s="10" t="inlineStr">
        <is>
          <t>Ladrilho Hidráulico 5x5cm - Cor: terracota escuro - Marca: Dalle Piagge</t>
        </is>
      </c>
      <c r="C683" s="11" t="inlineStr">
        <is>
          <t>M2</t>
        </is>
      </c>
      <c r="D683" s="2162">
        <f>E683*$D$1</f>
        <v/>
      </c>
      <c r="E683" s="2162">
        <f>(3.9*400)/2</f>
        <v/>
      </c>
      <c r="F683" s="2162" t="inlineStr">
        <is>
          <t>Revestimentos</t>
        </is>
      </c>
      <c r="G683" s="2162" t="inlineStr">
        <is>
          <t>Revestimentos</t>
        </is>
      </c>
      <c r="H683" s="2162" t="n"/>
      <c r="I683" s="4" t="inlineStr">
        <is>
          <t>Revestimentos</t>
        </is>
      </c>
    </row>
    <row r="684" ht="15.75" customHeight="1">
      <c r="A684" s="10">
        <f>COUNTIFS($B$2:$B$996,B684)</f>
        <v/>
      </c>
      <c r="B684" s="10" t="inlineStr">
        <is>
          <t>Ladrilho Hidráulico 5x5cm - Cor: azul escuro - Marca: Dalle Piagge</t>
        </is>
      </c>
      <c r="C684" s="11" t="inlineStr">
        <is>
          <t>M2</t>
        </is>
      </c>
      <c r="D684" s="2162">
        <f>E684*$D$1</f>
        <v/>
      </c>
      <c r="E684" s="2162">
        <f>(3.9*400)/2</f>
        <v/>
      </c>
      <c r="F684" s="2162" t="inlineStr">
        <is>
          <t>Revestimentos</t>
        </is>
      </c>
      <c r="G684" s="2162" t="inlineStr">
        <is>
          <t>Revestimentos</t>
        </is>
      </c>
      <c r="H684" s="2162" t="n"/>
      <c r="I684" s="4" t="inlineStr">
        <is>
          <t>Revestimentos</t>
        </is>
      </c>
    </row>
    <row r="685" ht="15.75" customHeight="1">
      <c r="A685" s="10">
        <f>COUNTIFS($B$2:$B$996,B685)</f>
        <v/>
      </c>
      <c r="B685" s="10" t="inlineStr">
        <is>
          <t>Ladrilho Hidráulico 5x5cm - Cor: terracota escuro - Marca: Ladrilar</t>
        </is>
      </c>
      <c r="C685" s="11" t="inlineStr">
        <is>
          <t>M2</t>
        </is>
      </c>
      <c r="D685" s="2162">
        <f>E685*$D$1</f>
        <v/>
      </c>
      <c r="E685" s="2162">
        <f>646.8/1.32</f>
        <v/>
      </c>
      <c r="F685" s="2162" t="inlineStr">
        <is>
          <t>Revestimentos</t>
        </is>
      </c>
      <c r="G685" s="2162" t="inlineStr">
        <is>
          <t>Revestimentos</t>
        </is>
      </c>
      <c r="H685" s="2162" t="inlineStr">
        <is>
          <t>COTAÇÃO</t>
        </is>
      </c>
      <c r="I685" s="4" t="inlineStr">
        <is>
          <t>Revestimentos</t>
        </is>
      </c>
    </row>
    <row r="686" ht="15.75" customHeight="1">
      <c r="A686" s="10">
        <f>COUNTIFS($B$2:$B$996,B686)</f>
        <v/>
      </c>
      <c r="B686" s="10" t="inlineStr">
        <is>
          <t>Ladrilho Hidráulico 5x5cm - Cor: azul escuro - Marca: Ladrilar</t>
        </is>
      </c>
      <c r="C686" s="11" t="inlineStr">
        <is>
          <t>M2</t>
        </is>
      </c>
      <c r="D686" s="2162">
        <f>E686*$D$1</f>
        <v/>
      </c>
      <c r="E686" s="2162">
        <f>78674.4/160.56</f>
        <v/>
      </c>
      <c r="F686" s="2162" t="inlineStr">
        <is>
          <t>Revestimentos</t>
        </is>
      </c>
      <c r="G686" s="2162" t="inlineStr">
        <is>
          <t>Revestimentos</t>
        </is>
      </c>
      <c r="H686" s="2162" t="inlineStr">
        <is>
          <t>COTAÇÃO</t>
        </is>
      </c>
      <c r="I686" s="4" t="inlineStr">
        <is>
          <t>Revestimentos</t>
        </is>
      </c>
    </row>
    <row r="687" ht="15.75" customHeight="1">
      <c r="A687" s="10">
        <f>COUNTIFS($B$2:$B$996,B687)</f>
        <v/>
      </c>
      <c r="B687" s="10" t="inlineStr">
        <is>
          <t>Ladrilho Hidráulico 5x5cm - Cores: terracota escuro, azul escuro, off-white ou branco - Marca: Dalle Piagge</t>
        </is>
      </c>
      <c r="C687" s="11" t="inlineStr">
        <is>
          <t>M2</t>
        </is>
      </c>
      <c r="D687" s="2162">
        <f>E687*$D$1</f>
        <v/>
      </c>
      <c r="E687" s="2162">
        <f>(3.9*400)/2</f>
        <v/>
      </c>
      <c r="F687" s="2162" t="inlineStr">
        <is>
          <t>Revestimentos</t>
        </is>
      </c>
      <c r="G687" s="2162" t="inlineStr">
        <is>
          <t>Revestimentos</t>
        </is>
      </c>
      <c r="H687" s="2162" t="n"/>
      <c r="I687" s="4" t="inlineStr">
        <is>
          <t>Revestimentos</t>
        </is>
      </c>
    </row>
    <row r="688" ht="15.75" customHeight="1">
      <c r="A688" s="10">
        <f>COUNTIFS($B$2:$B$996,B688)</f>
        <v/>
      </c>
      <c r="B688" s="10" t="inlineStr">
        <is>
          <t>Ladrilho Hidráulico 5x5cm - Cores: terracota escuro, azul escuro, off-white ou branco - Marca: Ladrilar</t>
        </is>
      </c>
      <c r="C688" s="11" t="inlineStr">
        <is>
          <t>M2</t>
        </is>
      </c>
      <c r="D688" s="2162">
        <f>E688*$D$1</f>
        <v/>
      </c>
      <c r="E688" s="2162">
        <f>1271417.7/2594.73</f>
        <v/>
      </c>
      <c r="F688" s="2162" t="inlineStr">
        <is>
          <t>Revestimentos</t>
        </is>
      </c>
      <c r="G688" s="2162" t="inlineStr">
        <is>
          <t>Revestimentos</t>
        </is>
      </c>
      <c r="H688" s="2162" t="inlineStr">
        <is>
          <t>COTAÇÃO</t>
        </is>
      </c>
      <c r="I688" s="4" t="inlineStr">
        <is>
          <t>Revestimentos</t>
        </is>
      </c>
    </row>
    <row r="689" ht="15.75" customHeight="1">
      <c r="A689" s="10">
        <f>COUNTIFS($B$2:$B$996,B689)</f>
        <v/>
      </c>
      <c r="B689" s="10" t="inlineStr">
        <is>
          <t>Ladrilho Hidráulico 20x20cm - Cor: craft claro - Marca: Dalle Piagge</t>
        </is>
      </c>
      <c r="C689" s="11" t="inlineStr">
        <is>
          <t>M2</t>
        </is>
      </c>
      <c r="D689" s="2162">
        <f>E689*$D$1</f>
        <v/>
      </c>
      <c r="E689" s="2162" t="n">
        <v>250</v>
      </c>
      <c r="F689" s="2162" t="inlineStr">
        <is>
          <t>Revestimentos</t>
        </is>
      </c>
      <c r="G689" s="2162" t="inlineStr">
        <is>
          <t>Revestimentos</t>
        </is>
      </c>
      <c r="H689" s="2162" t="n"/>
      <c r="I689" s="4" t="inlineStr">
        <is>
          <t>Revestimentos</t>
        </is>
      </c>
    </row>
    <row r="690" ht="15.75" customHeight="1">
      <c r="A690" s="10">
        <f>COUNTIFS($B$2:$B$996,B690)</f>
        <v/>
      </c>
      <c r="B690" s="10" t="inlineStr">
        <is>
          <t>Ladrilho Hidráulico 20x20cm - Cor: craft claro - Marca: Ladrilar</t>
        </is>
      </c>
      <c r="C690" s="11" t="inlineStr">
        <is>
          <t>M2</t>
        </is>
      </c>
      <c r="D690" s="2162">
        <f>E690*$D$1</f>
        <v/>
      </c>
      <c r="E690" s="2162">
        <f>3585.6/14.4</f>
        <v/>
      </c>
      <c r="F690" s="2162" t="inlineStr">
        <is>
          <t>Revestimentos</t>
        </is>
      </c>
      <c r="G690" s="2162" t="inlineStr">
        <is>
          <t>Revestimentos</t>
        </is>
      </c>
      <c r="H690" s="2162" t="inlineStr">
        <is>
          <t>COTAÇÃO</t>
        </is>
      </c>
      <c r="I690" s="4" t="inlineStr">
        <is>
          <t>Revestimentos</t>
        </is>
      </c>
    </row>
    <row r="691" ht="15.75" customHeight="1">
      <c r="A691" s="10">
        <f>COUNTIFS($B$2:$B$996,B691)</f>
        <v/>
      </c>
      <c r="B691" s="10" t="inlineStr">
        <is>
          <t>Ladrilho Hidráulico 20x20cm - Cor: craft comum - Marca: Dalle Piagge</t>
        </is>
      </c>
      <c r="C691" s="11" t="inlineStr">
        <is>
          <t>M2</t>
        </is>
      </c>
      <c r="D691" s="2162">
        <f>E691*$D$1</f>
        <v/>
      </c>
      <c r="E691" s="2162" t="n">
        <v>250</v>
      </c>
      <c r="F691" s="2162" t="inlineStr">
        <is>
          <t>Revestimentos</t>
        </is>
      </c>
      <c r="G691" s="2162" t="inlineStr">
        <is>
          <t>Revestimentos</t>
        </is>
      </c>
      <c r="H691" s="2162" t="n"/>
      <c r="I691" s="4" t="inlineStr">
        <is>
          <t>Revestimentos</t>
        </is>
      </c>
    </row>
    <row r="692" ht="15.75" customHeight="1">
      <c r="A692" s="10">
        <f>COUNTIFS($B$2:$B$996,B692)</f>
        <v/>
      </c>
      <c r="B692" s="10" t="inlineStr">
        <is>
          <t>Ladrilho Hidráulico 20x20cm - Cor: craft comum - Marca: Ladrilar</t>
        </is>
      </c>
      <c r="C692" s="11" t="inlineStr">
        <is>
          <t>M2</t>
        </is>
      </c>
      <c r="D692" s="2162">
        <f>E692*$D$1</f>
        <v/>
      </c>
      <c r="E692" s="2162">
        <f>27636.51/110.99</f>
        <v/>
      </c>
      <c r="F692" s="2162" t="inlineStr">
        <is>
          <t>Revestimentos</t>
        </is>
      </c>
      <c r="G692" s="2162" t="inlineStr">
        <is>
          <t>Revestimentos</t>
        </is>
      </c>
      <c r="H692" s="2162" t="inlineStr">
        <is>
          <t>COTAÇÃO</t>
        </is>
      </c>
      <c r="I692" s="4" t="inlineStr">
        <is>
          <t>Revestimentos</t>
        </is>
      </c>
    </row>
    <row r="693" ht="15.75" customHeight="1">
      <c r="A693" s="10">
        <f>COUNTIFS($B$2:$B$996,B693)</f>
        <v/>
      </c>
      <c r="B693" s="10" t="inlineStr">
        <is>
          <t>Ladrilho Hidráulico 20x20cm - Cor: fendi - Marca: Dalle Piagge</t>
        </is>
      </c>
      <c r="C693" s="11" t="inlineStr">
        <is>
          <t>M2</t>
        </is>
      </c>
      <c r="D693" s="2162">
        <f>E693*$D$1</f>
        <v/>
      </c>
      <c r="E693" s="2162" t="n">
        <v>250</v>
      </c>
      <c r="F693" s="2162" t="inlineStr">
        <is>
          <t>Revestimentos</t>
        </is>
      </c>
      <c r="G693" s="2162" t="inlineStr">
        <is>
          <t>Revestimentos</t>
        </is>
      </c>
      <c r="H693" s="2162" t="n"/>
      <c r="I693" s="4" t="inlineStr">
        <is>
          <t>Revestimentos</t>
        </is>
      </c>
    </row>
    <row r="694" ht="15.75" customHeight="1">
      <c r="A694" s="10">
        <f>COUNTIFS($B$2:$B$996,B694)</f>
        <v/>
      </c>
      <c r="B694" s="10" t="inlineStr">
        <is>
          <t>Ladrilho Hidráulico 20x20cm - Cor: fendi - Marca: Ladrilar</t>
        </is>
      </c>
      <c r="C694" s="11" t="inlineStr">
        <is>
          <t>M2</t>
        </is>
      </c>
      <c r="D694" s="2162">
        <f>E694*$D$1</f>
        <v/>
      </c>
      <c r="E694" s="2162">
        <f>876.48/3.52</f>
        <v/>
      </c>
      <c r="F694" s="2162" t="inlineStr">
        <is>
          <t>Revestimentos</t>
        </is>
      </c>
      <c r="G694" s="2162" t="inlineStr">
        <is>
          <t>Revestimentos</t>
        </is>
      </c>
      <c r="H694" s="2162" t="inlineStr">
        <is>
          <t>COTAÇÃO</t>
        </is>
      </c>
      <c r="I694" s="4" t="inlineStr">
        <is>
          <t>Revestimentos</t>
        </is>
      </c>
    </row>
    <row r="695" ht="15.75" customHeight="1">
      <c r="A695" s="10">
        <f>COUNTIFS($B$2:$B$996,B695)</f>
        <v/>
      </c>
      <c r="B695" s="10" t="inlineStr">
        <is>
          <t>Ladrilho Hidráulico 20x20cm - Cor: cana - Marca: Dalle Piagge</t>
        </is>
      </c>
      <c r="C695" s="11" t="inlineStr">
        <is>
          <t>M2</t>
        </is>
      </c>
      <c r="D695" s="2162">
        <f>E695*$D$1</f>
        <v/>
      </c>
      <c r="E695" s="2162" t="n">
        <v>250</v>
      </c>
      <c r="F695" s="2162" t="inlineStr">
        <is>
          <t>Revestimentos</t>
        </is>
      </c>
      <c r="G695" s="2162" t="inlineStr">
        <is>
          <t>Revestimentos</t>
        </is>
      </c>
      <c r="H695" s="2162" t="n"/>
      <c r="I695" s="4" t="inlineStr">
        <is>
          <t>Revestimentos</t>
        </is>
      </c>
    </row>
    <row r="696" ht="15.75" customHeight="1">
      <c r="A696" s="10">
        <f>COUNTIFS($B$2:$B$996,B696)</f>
        <v/>
      </c>
      <c r="B696" s="10" t="inlineStr">
        <is>
          <t>Ladrilho Hidráulico 20x20cm - Cor: cana - Marca: Ladrilar</t>
        </is>
      </c>
      <c r="C696" s="11" t="inlineStr">
        <is>
          <t>M2</t>
        </is>
      </c>
      <c r="D696" s="2162">
        <f>E696*$D$1</f>
        <v/>
      </c>
      <c r="E696" s="2162">
        <f>876.48/3.52</f>
        <v/>
      </c>
      <c r="F696" s="2162" t="inlineStr">
        <is>
          <t>Revestimentos</t>
        </is>
      </c>
      <c r="G696" s="2162" t="inlineStr">
        <is>
          <t>Revestimentos</t>
        </is>
      </c>
      <c r="H696" s="2162" t="inlineStr">
        <is>
          <t>COTAÇÃO</t>
        </is>
      </c>
      <c r="I696" s="4" t="inlineStr">
        <is>
          <t>Revestimentos</t>
        </is>
      </c>
    </row>
    <row r="697" ht="15.75" customHeight="1">
      <c r="A697" s="10">
        <f>COUNTIFS($B$2:$B$996,B697)</f>
        <v/>
      </c>
      <c r="B697" s="10" t="inlineStr">
        <is>
          <t>Ladrilho Hidráulico 20x20cm - Cores: craft claro, craft comum, fendi, cana e terracota escuro - Marca: Dalle Piagge</t>
        </is>
      </c>
      <c r="C697" s="11" t="inlineStr">
        <is>
          <t>M2</t>
        </is>
      </c>
      <c r="D697" s="2162">
        <f>E697*$D$1</f>
        <v/>
      </c>
      <c r="E697" s="2162" t="n">
        <v>560</v>
      </c>
      <c r="F697" s="2162" t="inlineStr">
        <is>
          <t>Revestimentos</t>
        </is>
      </c>
      <c r="G697" s="2162" t="inlineStr">
        <is>
          <t>Revestimentos</t>
        </is>
      </c>
      <c r="H697" s="2162" t="n"/>
      <c r="I697" s="4" t="inlineStr">
        <is>
          <t>Revestimentos</t>
        </is>
      </c>
    </row>
    <row r="698" ht="15.75" customHeight="1">
      <c r="A698" s="10">
        <f>COUNTIFS($B$2:$B$996,B698)</f>
        <v/>
      </c>
      <c r="B698" s="10" t="inlineStr">
        <is>
          <t>Ladrilho Hidráulico 20x20cm - Cores: craft claro, craft comum, fendi, cana e terracota escuro - Marca: Ladrilar</t>
        </is>
      </c>
      <c r="C698" s="11" t="inlineStr">
        <is>
          <t>M2</t>
        </is>
      </c>
      <c r="D698" s="2162">
        <f>E698*$D$1</f>
        <v/>
      </c>
      <c r="E698" s="2162">
        <f>876.48/3.52</f>
        <v/>
      </c>
      <c r="F698" s="2162" t="inlineStr">
        <is>
          <t>Revestimentos</t>
        </is>
      </c>
      <c r="G698" s="2162" t="inlineStr">
        <is>
          <t>Revestimentos</t>
        </is>
      </c>
      <c r="H698" s="2162" t="inlineStr">
        <is>
          <t>COTAÇÃO</t>
        </is>
      </c>
      <c r="I698" s="4" t="inlineStr">
        <is>
          <t>Revestimentos</t>
        </is>
      </c>
    </row>
    <row r="699" ht="15.75" customHeight="1">
      <c r="A699" s="10">
        <f>COUNTIFS($B$2:$B$996,B699)</f>
        <v/>
      </c>
      <c r="B699" s="10" t="inlineStr">
        <is>
          <t>Ladrilho Hidráulico 20x20cm - Cores: craft claro e craft comum - Marca: Dalle Piagge</t>
        </is>
      </c>
      <c r="C699" s="11" t="inlineStr">
        <is>
          <t>M2</t>
        </is>
      </c>
      <c r="D699" s="2162">
        <f>E699*$D$1</f>
        <v/>
      </c>
      <c r="E699" s="2162" t="n">
        <v>480</v>
      </c>
      <c r="F699" s="2162" t="inlineStr">
        <is>
          <t>Revestimentos</t>
        </is>
      </c>
      <c r="G699" s="2162" t="inlineStr">
        <is>
          <t>Revestimentos</t>
        </is>
      </c>
      <c r="H699" s="2162" t="n"/>
      <c r="I699" s="4" t="inlineStr">
        <is>
          <t>Revestimentos</t>
        </is>
      </c>
    </row>
    <row r="700" ht="15.75" customHeight="1">
      <c r="A700" s="10">
        <f>COUNTIFS($B$2:$B$996,B700)</f>
        <v/>
      </c>
      <c r="B700" s="10" t="inlineStr">
        <is>
          <t>Ladrilho Hidráulico 20x20cm - Cores: craft claro e craft comum - Marca: Ladrilar</t>
        </is>
      </c>
      <c r="C700" s="11" t="inlineStr">
        <is>
          <t>M2</t>
        </is>
      </c>
      <c r="D700" s="2162">
        <f>E700*$D$1</f>
        <v/>
      </c>
      <c r="E700" s="2162">
        <f>3585.6/14.4</f>
        <v/>
      </c>
      <c r="F700" s="2162" t="inlineStr">
        <is>
          <t>Revestimentos</t>
        </is>
      </c>
      <c r="G700" s="2162" t="inlineStr">
        <is>
          <t>Revestimentos</t>
        </is>
      </c>
      <c r="H700" s="2162" t="inlineStr">
        <is>
          <t>COTAÇÃO</t>
        </is>
      </c>
      <c r="I700" s="4" t="inlineStr">
        <is>
          <t>Revestimentos</t>
        </is>
      </c>
    </row>
    <row r="701" ht="15.75" customHeight="1">
      <c r="A701" s="10">
        <f>COUNTIFS($B$2:$B$996,B701)</f>
        <v/>
      </c>
      <c r="B701" s="10" t="inlineStr">
        <is>
          <t>Porcelanato Portobello –  90x90 - Padrão Econômico</t>
        </is>
      </c>
      <c r="C701" s="11" t="inlineStr">
        <is>
          <t>M2</t>
        </is>
      </c>
      <c r="D701" s="2162">
        <f>E701*$D$1</f>
        <v/>
      </c>
      <c r="E701" s="2162" t="n">
        <v>98</v>
      </c>
      <c r="F701" s="2162" t="inlineStr">
        <is>
          <t>Revestimentos</t>
        </is>
      </c>
      <c r="G701" s="2162" t="inlineStr">
        <is>
          <t>Revestimentos</t>
        </is>
      </c>
      <c r="H701" s="2162" t="n"/>
      <c r="I701" s="4" t="inlineStr">
        <is>
          <t>Revestimentos</t>
        </is>
      </c>
    </row>
    <row r="702" ht="15.75" customHeight="1">
      <c r="A702" s="10">
        <f>COUNTIFS($B$2:$B$996,B702)</f>
        <v/>
      </c>
      <c r="B702" s="10" t="inlineStr">
        <is>
          <t>Porcelanato Portobello –  90x90 - Padrão Alto</t>
        </is>
      </c>
      <c r="C702" s="11" t="inlineStr">
        <is>
          <t>M2</t>
        </is>
      </c>
      <c r="D702" s="2162">
        <f>E702*$D$1</f>
        <v/>
      </c>
      <c r="E702" s="2162" t="n">
        <v>120</v>
      </c>
      <c r="F702" s="2162" t="inlineStr">
        <is>
          <t>Revestimentos</t>
        </is>
      </c>
      <c r="G702" s="2162" t="inlineStr">
        <is>
          <t>Revestimentos</t>
        </is>
      </c>
      <c r="H702" s="2162" t="inlineStr">
        <is>
          <t>valor gessele</t>
        </is>
      </c>
      <c r="I702" s="4" t="inlineStr">
        <is>
          <t>Revestimentos</t>
        </is>
      </c>
    </row>
    <row r="703" ht="15.75" customHeight="1">
      <c r="A703" s="10">
        <f>COUNTIFS($B$2:$B$996,B703)</f>
        <v/>
      </c>
      <c r="B703" s="10" t="inlineStr">
        <is>
          <t>Porcelanato Portobello – Posto 10 90x90 Externo Retificado - Linha Ipanema - Padrão Alto</t>
        </is>
      </c>
      <c r="C703" s="11" t="inlineStr">
        <is>
          <t>M2</t>
        </is>
      </c>
      <c r="D703" s="2162">
        <f>E703*$D$1</f>
        <v/>
      </c>
      <c r="E703" s="2162" t="n">
        <v>200</v>
      </c>
      <c r="F703" s="2162" t="inlineStr">
        <is>
          <t>Revestimentos</t>
        </is>
      </c>
      <c r="G703" s="2162" t="inlineStr">
        <is>
          <t>Revestimentos</t>
        </is>
      </c>
      <c r="H703" s="2162" t="n"/>
      <c r="I703" s="4" t="inlineStr">
        <is>
          <t>Revestimentos</t>
        </is>
      </c>
    </row>
    <row r="704" ht="15.75" customHeight="1">
      <c r="A704" s="10">
        <f>COUNTIFS($B$2:$B$996,B704)</f>
        <v/>
      </c>
      <c r="B704" s="10" t="inlineStr">
        <is>
          <t>Porcelanato Marmorizado Polido Borda Reta Interno 90x90cm Avorio di Brescia Portobello</t>
        </is>
      </c>
      <c r="C704" s="11" t="inlineStr">
        <is>
          <t>M2</t>
        </is>
      </c>
      <c r="D704" s="2162">
        <f>E704*$D$1</f>
        <v/>
      </c>
      <c r="E704" s="2162" t="n">
        <v>202.01</v>
      </c>
      <c r="F704" s="2162" t="inlineStr">
        <is>
          <t>Revestimentos</t>
        </is>
      </c>
      <c r="G704" s="2162" t="inlineStr">
        <is>
          <t>Revestimentos</t>
        </is>
      </c>
      <c r="H704" s="2162" t="n"/>
      <c r="I704" s="4" t="inlineStr">
        <is>
          <t>Revestimentos</t>
        </is>
      </c>
    </row>
    <row r="705" ht="15.75" customHeight="1">
      <c r="A705" s="10">
        <f>COUNTIFS($B$2:$B$996,B705)</f>
        <v/>
      </c>
      <c r="B705" s="10" t="inlineStr">
        <is>
          <t>Revestimento Realce 32X56 32001 Branco Brilhante</t>
        </is>
      </c>
      <c r="C705" s="11" t="inlineStr">
        <is>
          <t>M2</t>
        </is>
      </c>
      <c r="D705" s="2162">
        <f>E705*$D$1</f>
        <v/>
      </c>
      <c r="E705" s="2162" t="n">
        <v>47.8</v>
      </c>
      <c r="F705" s="2162" t="inlineStr">
        <is>
          <t>Revestimentos</t>
        </is>
      </c>
      <c r="G705" s="2162" t="inlineStr">
        <is>
          <t>Revestimentos</t>
        </is>
      </c>
      <c r="H705" s="2162" t="n"/>
      <c r="I705" s="4" t="inlineStr">
        <is>
          <t>Revestimentos</t>
        </is>
      </c>
    </row>
    <row r="706" ht="15.75" customHeight="1">
      <c r="A706" s="10">
        <f>COUNTIFS($B$2:$B$996,B706)</f>
        <v/>
      </c>
      <c r="B706" s="10" t="inlineStr">
        <is>
          <t>PORCELANATO ELIZABETH EGEU SAND 74x74 A</t>
        </is>
      </c>
      <c r="C706" s="11" t="inlineStr">
        <is>
          <t>M2</t>
        </is>
      </c>
      <c r="D706" s="2162">
        <f>E706*$D$1</f>
        <v/>
      </c>
      <c r="E706" s="2162" t="n">
        <v>89.90000000000001</v>
      </c>
      <c r="F706" s="2162" t="inlineStr">
        <is>
          <t>Revestimentos</t>
        </is>
      </c>
      <c r="G706" s="2162" t="inlineStr">
        <is>
          <t>Revestimentos</t>
        </is>
      </c>
      <c r="H706" s="2162" t="n"/>
      <c r="I706" s="4" t="inlineStr">
        <is>
          <t>Revestimentos</t>
        </is>
      </c>
    </row>
    <row r="707" ht="15.75" customHeight="1">
      <c r="A707" s="10">
        <f>COUNTIFS($B$2:$B$996,B707)</f>
        <v/>
      </c>
      <c r="B707" s="10" t="inlineStr">
        <is>
          <t>Porcelanato Cimentício Acetinado Borda Reta Interno 120x120cm Munari Branco Eliane</t>
        </is>
      </c>
      <c r="C707" s="11" t="inlineStr">
        <is>
          <t>M2</t>
        </is>
      </c>
      <c r="D707" s="2162">
        <f>E707*$D$1</f>
        <v/>
      </c>
      <c r="E707" s="2162" t="n">
        <v>183.21</v>
      </c>
      <c r="F707" s="2162" t="inlineStr">
        <is>
          <t>Revestimentos</t>
        </is>
      </c>
      <c r="G707" s="2162" t="inlineStr">
        <is>
          <t>Revestimentos</t>
        </is>
      </c>
      <c r="H707" s="2162" t="n"/>
      <c r="I707" s="4" t="inlineStr">
        <is>
          <t>Revestimentos</t>
        </is>
      </c>
    </row>
    <row r="708" ht="15.75" customHeight="1">
      <c r="A708" s="10">
        <f>COUNTIFS($B$2:$B$996,B708)</f>
        <v/>
      </c>
      <c r="B708" s="10" t="inlineStr">
        <is>
          <t>Porcelanato 160X320 Cm</t>
        </is>
      </c>
      <c r="C708" s="11" t="inlineStr">
        <is>
          <t>M2</t>
        </is>
      </c>
      <c r="D708" s="2162">
        <f>E708*$D$1</f>
        <v/>
      </c>
      <c r="E708" s="2162" t="n">
        <v>183.21</v>
      </c>
      <c r="F708" s="2162" t="inlineStr">
        <is>
          <t>Revestimentos</t>
        </is>
      </c>
      <c r="G708" s="2162" t="inlineStr">
        <is>
          <t>Revestimentos</t>
        </is>
      </c>
      <c r="H708" s="2162" t="n"/>
      <c r="I708" s="4" t="inlineStr">
        <is>
          <t>Revestimentos</t>
        </is>
      </c>
    </row>
    <row r="709" ht="15.75" customHeight="1">
      <c r="A709" s="10">
        <f>COUNTIFS($B$2:$B$996,B709)</f>
        <v/>
      </c>
      <c r="B709" s="10" t="inlineStr">
        <is>
          <t xml:space="preserve">Porcelanato Biancogres 20x120 Scala Beige-a Ret </t>
        </is>
      </c>
      <c r="C709" s="11" t="inlineStr">
        <is>
          <t>M2</t>
        </is>
      </c>
      <c r="D709" s="2162">
        <f>E709*$D$1</f>
        <v/>
      </c>
      <c r="E709" s="2162" t="n">
        <v>99.7</v>
      </c>
      <c r="F709" s="2162" t="inlineStr">
        <is>
          <t>Revestimentos</t>
        </is>
      </c>
      <c r="G709" s="2162" t="inlineStr">
        <is>
          <t>Revestimentos</t>
        </is>
      </c>
      <c r="H709" s="2162" t="n"/>
      <c r="I709" s="4" t="inlineStr">
        <is>
          <t>Revestimentos</t>
        </is>
      </c>
    </row>
    <row r="710" ht="15.75" customHeight="1">
      <c r="A710" s="10">
        <f>COUNTIFS($B$2:$B$996,B710)</f>
        <v/>
      </c>
      <c r="B710" s="10" t="inlineStr">
        <is>
          <t>Piso Firenze Texas Gray Área Externa Classe A 60 x 60 Cm</t>
        </is>
      </c>
      <c r="C710" s="11" t="inlineStr">
        <is>
          <t>M2</t>
        </is>
      </c>
      <c r="D710" s="2162">
        <f>E710*$D$1</f>
        <v/>
      </c>
      <c r="E710" s="2162" t="n">
        <v>17</v>
      </c>
      <c r="F710" s="2162" t="inlineStr">
        <is>
          <t>Revestimentos</t>
        </is>
      </c>
      <c r="G710" s="2162" t="inlineStr">
        <is>
          <t>Revestimentos</t>
        </is>
      </c>
      <c r="H710" s="2162" t="n"/>
      <c r="I710" s="4" t="inlineStr">
        <is>
          <t>Revestimentos</t>
        </is>
      </c>
    </row>
    <row r="711" ht="15.75" customHeight="1">
      <c r="A711" s="10">
        <f>COUNTIFS($B$2:$B$996,B711)</f>
        <v/>
      </c>
      <c r="B711" s="10" t="inlineStr">
        <is>
          <t>Piso 75x75cm Cedasa Retificado Evidence Polido</t>
        </is>
      </c>
      <c r="C711" s="11" t="inlineStr">
        <is>
          <t>M2</t>
        </is>
      </c>
      <c r="D711" s="2162">
        <f>E711*$D$1</f>
        <v/>
      </c>
      <c r="E711" s="2162" t="n">
        <v>143.55</v>
      </c>
      <c r="F711" s="2162" t="inlineStr">
        <is>
          <t>Revestimentos</t>
        </is>
      </c>
      <c r="G711" s="2162" t="inlineStr">
        <is>
          <t>Revestimentos</t>
        </is>
      </c>
      <c r="H711" s="2162" t="n"/>
      <c r="I711" s="4" t="inlineStr">
        <is>
          <t>Revestimentos</t>
        </is>
      </c>
    </row>
    <row r="712" ht="15.75" customHeight="1">
      <c r="A712" s="10">
        <f>COUNTIFS($B$2:$B$996,B712)</f>
        <v/>
      </c>
      <c r="B712" s="10" t="inlineStr">
        <is>
          <t>Porcelanato Tipo Argila | Portobello - 120x20 cm</t>
        </is>
      </c>
      <c r="C712" s="11" t="inlineStr">
        <is>
          <t>M2</t>
        </is>
      </c>
      <c r="D712" s="2162">
        <f>E712*$D$1</f>
        <v/>
      </c>
      <c r="E712" s="2162" t="n">
        <v>160</v>
      </c>
      <c r="F712" s="2162" t="inlineStr">
        <is>
          <t>Revestimentos</t>
        </is>
      </c>
      <c r="G712" s="2162" t="inlineStr">
        <is>
          <t>Revestimentos</t>
        </is>
      </c>
      <c r="H712" s="2162" t="n"/>
      <c r="I712" s="4" t="inlineStr">
        <is>
          <t>Revestimentos</t>
        </is>
      </c>
    </row>
    <row r="713" ht="15.75" customHeight="1">
      <c r="A713" s="10">
        <f>COUNTIFS($B$2:$B$996,B713)</f>
        <v/>
      </c>
      <c r="B713" s="10" t="inlineStr">
        <is>
          <t xml:space="preserve">Porcelanato Mont Blanc Acetinado 90X90 Eliane    </t>
        </is>
      </c>
      <c r="C713" s="11" t="inlineStr">
        <is>
          <t>M2</t>
        </is>
      </c>
      <c r="D713" s="2162">
        <f>E713*$D$1</f>
        <v/>
      </c>
      <c r="E713" s="2162" t="n">
        <v>107.9</v>
      </c>
      <c r="F713" s="2162" t="inlineStr">
        <is>
          <t>Revestimentos</t>
        </is>
      </c>
      <c r="G713" s="2162" t="inlineStr">
        <is>
          <t>Revestimentos</t>
        </is>
      </c>
      <c r="H713" s="2162" t="n"/>
      <c r="I713" s="4" t="inlineStr">
        <is>
          <t>Revestimentos</t>
        </is>
      </c>
    </row>
    <row r="714" ht="15.75" customHeight="1">
      <c r="A714" s="10">
        <f>COUNTIFS($B$2:$B$996,B714)</f>
        <v/>
      </c>
      <c r="B714" s="10" t="inlineStr">
        <is>
          <t xml:space="preserve">Porcelanato Mont Blanc Polido 90X90 Eliane    </t>
        </is>
      </c>
      <c r="C714" s="11" t="inlineStr">
        <is>
          <t>M2</t>
        </is>
      </c>
      <c r="D714" s="2162">
        <f>E714*$D$1</f>
        <v/>
      </c>
      <c r="E714" s="2162" t="n">
        <v>76.34999999999999</v>
      </c>
      <c r="F714" s="2162" t="inlineStr">
        <is>
          <t>Revestimentos</t>
        </is>
      </c>
      <c r="G714" s="2162" t="inlineStr">
        <is>
          <t>Revestimentos</t>
        </is>
      </c>
      <c r="H714" s="2162" t="n"/>
      <c r="I714" s="4" t="inlineStr">
        <is>
          <t>Revestimentos</t>
        </is>
      </c>
    </row>
    <row r="715" ht="15.75" customHeight="1">
      <c r="A715" s="10">
        <f>COUNTIFS($B$2:$B$996,B715)</f>
        <v/>
      </c>
      <c r="B715" s="10" t="inlineStr">
        <is>
          <t>Porcelanato ELIANE 60X60 BOLD ACETINADO BLEND PLUS GREY</t>
        </is>
      </c>
      <c r="C715" s="11" t="inlineStr">
        <is>
          <t>M2</t>
        </is>
      </c>
      <c r="D715" s="2162">
        <f>E715*$D$1</f>
        <v/>
      </c>
      <c r="E715" s="2162" t="n">
        <v>107.9</v>
      </c>
      <c r="F715" s="2162" t="inlineStr">
        <is>
          <t>Revestimentos</t>
        </is>
      </c>
      <c r="G715" s="2162" t="inlineStr">
        <is>
          <t>Revestimentos</t>
        </is>
      </c>
      <c r="H715" s="2162" t="n"/>
      <c r="I715" s="4" t="inlineStr">
        <is>
          <t>Revestimentos</t>
        </is>
      </c>
    </row>
    <row r="716" ht="15.75" customHeight="1">
      <c r="A716" s="10">
        <f>COUNTIFS($B$2:$B$996,B716)</f>
        <v/>
      </c>
      <c r="B716" s="10" t="inlineStr">
        <is>
          <t xml:space="preserve">Revestimento em Marcenaria, incluindo chapa de 18mm, acessorios para instalação - Material e Mão de Obra </t>
        </is>
      </c>
      <c r="C716" s="11" t="inlineStr">
        <is>
          <t>M2</t>
        </is>
      </c>
      <c r="D716" s="2162">
        <f>E716*$D$1</f>
        <v/>
      </c>
      <c r="E716" s="2162">
        <f>358+105+150</f>
        <v/>
      </c>
      <c r="F716" s="2162" t="inlineStr">
        <is>
          <t>Revestimentos</t>
        </is>
      </c>
      <c r="G716" s="2162" t="inlineStr">
        <is>
          <t>Revestimentos</t>
        </is>
      </c>
      <c r="H716" s="2162" t="n"/>
      <c r="I716" s="4" t="inlineStr">
        <is>
          <t>Revestimentos</t>
        </is>
      </c>
    </row>
    <row r="717" ht="15.75" customHeight="1">
      <c r="A717" s="10">
        <f>COUNTIFS($B$2:$B$996,B717)</f>
        <v/>
      </c>
      <c r="B717" s="10" t="inlineStr">
        <is>
          <t>Acessórios (cantos, terminais)</t>
        </is>
      </c>
      <c r="C717" s="11" t="inlineStr">
        <is>
          <t>M</t>
        </is>
      </c>
      <c r="D717" s="2162">
        <f>E717*$D$1</f>
        <v/>
      </c>
      <c r="E717" s="2162" t="n">
        <v>7</v>
      </c>
      <c r="F717" s="2162" t="inlineStr">
        <is>
          <t>Revestimentos</t>
        </is>
      </c>
      <c r="G717" s="2162" t="inlineStr">
        <is>
          <t>Rodapé</t>
        </is>
      </c>
      <c r="H717" s="2162" t="n"/>
      <c r="I717" s="4" t="inlineStr">
        <is>
          <t>Revestimentos</t>
        </is>
      </c>
    </row>
    <row r="718" ht="15.75" customHeight="1">
      <c r="A718" s="10">
        <f>COUNTIFS($B$2:$B$996,B718)</f>
        <v/>
      </c>
      <c r="B718" s="10" t="inlineStr">
        <is>
          <t>Rodapé de PVC branco 10 cm</t>
        </is>
      </c>
      <c r="C718" s="11" t="inlineStr">
        <is>
          <t>M</t>
        </is>
      </c>
      <c r="D718" s="2162">
        <f>E718*$D$1</f>
        <v/>
      </c>
      <c r="E718" s="2162" t="n">
        <v>14</v>
      </c>
      <c r="F718" s="2162" t="inlineStr">
        <is>
          <t>Revestimentos</t>
        </is>
      </c>
      <c r="G718" s="2162" t="inlineStr">
        <is>
          <t>Rodapé</t>
        </is>
      </c>
      <c r="H718" s="2162" t="n"/>
      <c r="I718" s="4" t="inlineStr">
        <is>
          <t>Revestimentos</t>
        </is>
      </c>
    </row>
    <row r="719" ht="15.75" customHeight="1">
      <c r="A719" s="10">
        <f>COUNTIFS($B$2:$B$996,B719)</f>
        <v/>
      </c>
      <c r="B719" s="10" t="inlineStr">
        <is>
          <t>Rodapé de MDF h=5cm</t>
        </is>
      </c>
      <c r="C719" s="11" t="inlineStr">
        <is>
          <t>M</t>
        </is>
      </c>
      <c r="D719" s="2162">
        <f>E719*$D$1</f>
        <v/>
      </c>
      <c r="E719" s="2162">
        <f>385*0.05</f>
        <v/>
      </c>
      <c r="F719" s="2162" t="inlineStr">
        <is>
          <t>Revestimentos</t>
        </is>
      </c>
      <c r="G719" s="2162" t="inlineStr">
        <is>
          <t>Rodapé</t>
        </is>
      </c>
      <c r="H719" s="2162" t="n"/>
      <c r="I719" s="4" t="inlineStr">
        <is>
          <t>Revestimentos</t>
        </is>
      </c>
    </row>
    <row r="720" ht="15.75" customHeight="1">
      <c r="A720" s="10">
        <f>COUNTIFS($B$2:$B$996,B720)</f>
        <v/>
      </c>
      <c r="B720" s="10" t="inlineStr">
        <is>
          <t>Rodapé de MDF h=20cm</t>
        </is>
      </c>
      <c r="C720" s="11" t="inlineStr">
        <is>
          <t>M</t>
        </is>
      </c>
      <c r="D720" s="2162">
        <f>E720*$D$1</f>
        <v/>
      </c>
      <c r="E720" s="2162">
        <f>385*0.2</f>
        <v/>
      </c>
      <c r="F720" s="2162" t="inlineStr">
        <is>
          <t>Revestimentos</t>
        </is>
      </c>
      <c r="G720" s="2162" t="inlineStr">
        <is>
          <t>Rodapé</t>
        </is>
      </c>
      <c r="H720" s="2162" t="n"/>
      <c r="I720" s="4" t="inlineStr">
        <is>
          <t>Revestimentos</t>
        </is>
      </c>
    </row>
    <row r="721" ht="15.75" customHeight="1">
      <c r="A721" s="10">
        <f>COUNTIFS($B$2:$B$996,B721)</f>
        <v/>
      </c>
      <c r="B721" s="10" t="inlineStr">
        <is>
          <t>Rodapé de Madeira h=20cm</t>
        </is>
      </c>
      <c r="C721" s="11" t="inlineStr">
        <is>
          <t>M</t>
        </is>
      </c>
      <c r="D721" s="2162">
        <f>E721*$D$1</f>
        <v/>
      </c>
      <c r="E721" s="2162">
        <f>285/0.3*0.2</f>
        <v/>
      </c>
      <c r="F721" s="2162" t="inlineStr">
        <is>
          <t>Revestimentos</t>
        </is>
      </c>
      <c r="G721" s="2162" t="inlineStr">
        <is>
          <t>Rodapé</t>
        </is>
      </c>
      <c r="H721" s="2162" t="n"/>
      <c r="I721" s="4" t="inlineStr">
        <is>
          <t>Revestimentos</t>
        </is>
      </c>
    </row>
    <row r="722" ht="15.75" customHeight="1">
      <c r="A722" s="10">
        <f>COUNTIFS($B$2:$B$996,B722)</f>
        <v/>
      </c>
      <c r="B722" s="10" t="inlineStr">
        <is>
          <t>Rodapé Coordenado Madeira Ipê 7x240cm Artens</t>
        </is>
      </c>
      <c r="C722" s="11" t="inlineStr">
        <is>
          <t>M</t>
        </is>
      </c>
      <c r="D722" s="2162">
        <f>E722*$D$1</f>
        <v/>
      </c>
      <c r="E722" s="2162">
        <f>(53.09/0.07)*0.2</f>
        <v/>
      </c>
      <c r="F722" s="2162" t="inlineStr">
        <is>
          <t>Revestimentos</t>
        </is>
      </c>
      <c r="G722" s="2162" t="inlineStr">
        <is>
          <t>Rodapé</t>
        </is>
      </c>
      <c r="H722" s="2162" t="n"/>
      <c r="I722" s="4" t="inlineStr">
        <is>
          <t>Revestimentos</t>
        </is>
      </c>
    </row>
    <row r="723" ht="15.75" customHeight="1">
      <c r="A723" s="10">
        <f>COUNTIFS($B$2:$B$996,B723)</f>
        <v/>
      </c>
      <c r="B723" s="10" t="inlineStr">
        <is>
          <t>Rodape Em Poliestireno, H = 20cm</t>
        </is>
      </c>
      <c r="C723" s="11" t="inlineStr">
        <is>
          <t>M</t>
        </is>
      </c>
      <c r="D723" s="2162">
        <f>E723*$D$1</f>
        <v/>
      </c>
      <c r="E723" s="2162" t="n">
        <v>50.25</v>
      </c>
      <c r="F723" s="2162" t="inlineStr">
        <is>
          <t>Revestimentos</t>
        </is>
      </c>
      <c r="G723" s="2162" t="inlineStr">
        <is>
          <t>Rodapé</t>
        </is>
      </c>
      <c r="H723" s="2162" t="n"/>
      <c r="I723" s="4" t="inlineStr">
        <is>
          <t>Revestimentos</t>
        </is>
      </c>
    </row>
    <row r="724" ht="15.75" customHeight="1">
      <c r="A724" s="10">
        <f>COUNTIFS($B$2:$B$996,B724)</f>
        <v/>
      </c>
      <c r="B724" s="10" t="inlineStr">
        <is>
          <t>Rodape Em Poliestireno, H = 15cm</t>
        </is>
      </c>
      <c r="C724" s="11" t="inlineStr">
        <is>
          <t>M</t>
        </is>
      </c>
      <c r="D724" s="2162">
        <f>E724*$D$1</f>
        <v/>
      </c>
      <c r="E724" s="2162" t="n">
        <v>28.95416666666667</v>
      </c>
      <c r="F724" s="2162" t="inlineStr">
        <is>
          <t>Revestimentos</t>
        </is>
      </c>
      <c r="G724" s="2162" t="inlineStr">
        <is>
          <t>Rodapé</t>
        </is>
      </c>
      <c r="H724" s="2162" t="n"/>
      <c r="I724" s="4" t="inlineStr">
        <is>
          <t>Revestimentos</t>
        </is>
      </c>
    </row>
    <row r="725" ht="15.75" customHeight="1">
      <c r="A725" s="10">
        <f>COUNTIFS($B$2:$B$996,B725)</f>
        <v/>
      </c>
      <c r="B725" s="10" t="inlineStr">
        <is>
          <t xml:space="preserve">Rodapé De Poliestireno Santa Luzia Moderna 473 Branco 5cm </t>
        </is>
      </c>
      <c r="C725" s="11" t="inlineStr">
        <is>
          <t>M</t>
        </is>
      </c>
      <c r="D725" s="2162">
        <f>E725*$D$1</f>
        <v/>
      </c>
      <c r="E725" s="2162">
        <f>52.1/2.4</f>
        <v/>
      </c>
      <c r="F725" s="2162" t="inlineStr">
        <is>
          <t>Revestimentos</t>
        </is>
      </c>
      <c r="G725" s="2162" t="inlineStr">
        <is>
          <t>Rodapé</t>
        </is>
      </c>
      <c r="H725" s="2162" t="n"/>
      <c r="I725" s="4" t="inlineStr">
        <is>
          <t>Revestimentos</t>
        </is>
      </c>
    </row>
    <row r="726" ht="15.75" customHeight="1">
      <c r="A726" s="10">
        <f>COUNTIFS($B$2:$B$996,B726)</f>
        <v/>
      </c>
      <c r="B726" s="10" t="inlineStr">
        <is>
          <t>Rodape Branco Zeus - 20Cm</t>
        </is>
      </c>
      <c r="C726" s="11" t="inlineStr">
        <is>
          <t>M</t>
        </is>
      </c>
      <c r="D726" s="2162">
        <f>E726*$D$1</f>
        <v/>
      </c>
      <c r="E726" s="2162">
        <f>105/3</f>
        <v/>
      </c>
      <c r="F726" s="2162" t="inlineStr">
        <is>
          <t>Revestimentos</t>
        </is>
      </c>
      <c r="G726" s="2162" t="inlineStr">
        <is>
          <t>Rodapé</t>
        </is>
      </c>
      <c r="H726" s="2162" t="n"/>
      <c r="I726" s="4" t="inlineStr">
        <is>
          <t>Revestimentos</t>
        </is>
      </c>
    </row>
    <row r="727" ht="15.75" customHeight="1">
      <c r="A727" s="10">
        <f>COUNTIFS($B$2:$B$996,B727)</f>
        <v/>
      </c>
      <c r="B727" s="10" t="inlineStr">
        <is>
          <t>Rodape Em Poliestireno, H = 10cm</t>
        </is>
      </c>
      <c r="C727" s="11" t="inlineStr">
        <is>
          <t>M</t>
        </is>
      </c>
      <c r="D727" s="2162">
        <f>E727*$D$1</f>
        <v/>
      </c>
      <c r="E727" s="2162" t="n">
        <v>21.53</v>
      </c>
      <c r="F727" s="2162" t="inlineStr">
        <is>
          <t>Revestimentos</t>
        </is>
      </c>
      <c r="G727" s="2162" t="inlineStr">
        <is>
          <t>Rodapé</t>
        </is>
      </c>
      <c r="H727" s="2162" t="n"/>
      <c r="I727" s="4" t="inlineStr">
        <is>
          <t>Revestimentos</t>
        </is>
      </c>
    </row>
    <row r="728" ht="15.75" customHeight="1">
      <c r="A728" s="10">
        <f>COUNTIFS($B$2:$B$996,B728)</f>
        <v/>
      </c>
      <c r="B728" s="10" t="inlineStr">
        <is>
          <t>Rodape Em Poliestireno, H = 7cm</t>
        </is>
      </c>
      <c r="C728" s="11" t="inlineStr">
        <is>
          <t>UN</t>
        </is>
      </c>
      <c r="D728" s="2162">
        <f>E728*$D$1</f>
        <v/>
      </c>
      <c r="E728" s="2162" t="n">
        <v>17.0928</v>
      </c>
      <c r="F728" s="2162" t="inlineStr">
        <is>
          <t>Revestimentos</t>
        </is>
      </c>
      <c r="G728" s="2162" t="inlineStr">
        <is>
          <t>Rodapé</t>
        </is>
      </c>
      <c r="H728" s="2162" t="n"/>
      <c r="I728" s="4" t="inlineStr">
        <is>
          <t>Revestimentos</t>
        </is>
      </c>
    </row>
    <row r="729" ht="15.75" customHeight="1">
      <c r="A729" s="10">
        <f>COUNTIFS($B$2:$B$996,B729)</f>
        <v/>
      </c>
      <c r="B729" s="10" t="inlineStr">
        <is>
          <t>Rodape Em Porcelanato, H = 10cm</t>
        </is>
      </c>
      <c r="C729" s="11" t="inlineStr">
        <is>
          <t>M</t>
        </is>
      </c>
      <c r="D729" s="2162">
        <f>E729*$D$1</f>
        <v/>
      </c>
      <c r="E729" s="2162" t="n">
        <v>35.55555555555556</v>
      </c>
      <c r="F729" s="2162" t="inlineStr">
        <is>
          <t>Revestimentos</t>
        </is>
      </c>
      <c r="G729" s="2162" t="inlineStr">
        <is>
          <t>Rodapé</t>
        </is>
      </c>
      <c r="H729" s="2162" t="n"/>
      <c r="I729" s="4" t="inlineStr">
        <is>
          <t>Revestimentos</t>
        </is>
      </c>
    </row>
    <row r="730" ht="15.75" customHeight="1">
      <c r="A730" s="10">
        <f>COUNTIFS($B$2:$B$996,B730)</f>
        <v/>
      </c>
      <c r="B730" s="10" t="inlineStr">
        <is>
          <t>Rodape Em Porcelanato, H = 15cm</t>
        </is>
      </c>
      <c r="C730" s="11" t="inlineStr">
        <is>
          <t>M</t>
        </is>
      </c>
      <c r="D730" s="2162">
        <f>E730*$D$1</f>
        <v/>
      </c>
      <c r="E730" s="2162" t="n">
        <v>53.33333333333333</v>
      </c>
      <c r="F730" s="2162" t="inlineStr">
        <is>
          <t>Revestimentos</t>
        </is>
      </c>
      <c r="G730" s="2162" t="inlineStr">
        <is>
          <t>Rodapé</t>
        </is>
      </c>
      <c r="H730" s="2162" t="n"/>
      <c r="I730" s="4" t="inlineStr">
        <is>
          <t>Revestimentos</t>
        </is>
      </c>
    </row>
    <row r="731" ht="15.75" customHeight="1">
      <c r="A731" s="10">
        <f>COUNTIFS($B$2:$B$996,B731)</f>
        <v/>
      </c>
      <c r="B731" s="10" t="inlineStr">
        <is>
          <t>Rodape Em Porcelanato, H = 16,5cm</t>
        </is>
      </c>
      <c r="C731" s="11" t="inlineStr">
        <is>
          <t>M</t>
        </is>
      </c>
      <c r="D731" s="2162">
        <f>E731*$D$1</f>
        <v/>
      </c>
      <c r="E731" s="2162" t="n">
        <v>58.66666666666666</v>
      </c>
      <c r="F731" s="2162" t="inlineStr">
        <is>
          <t>Revestimentos</t>
        </is>
      </c>
      <c r="G731" s="2162" t="inlineStr">
        <is>
          <t>Rodapé</t>
        </is>
      </c>
      <c r="H731" s="2162" t="n"/>
      <c r="I731" s="4" t="inlineStr">
        <is>
          <t>Revestimentos</t>
        </is>
      </c>
    </row>
    <row r="732" ht="15.75" customHeight="1">
      <c r="A732" s="10">
        <f>COUNTIFS($B$2:$B$996,B732)</f>
        <v/>
      </c>
      <c r="B732" s="10" t="inlineStr">
        <is>
          <t>Escavação e Carga Mecanizada em Corte - Desaterro Solo</t>
        </is>
      </c>
      <c r="C732" s="11" t="inlineStr">
        <is>
          <t>M3</t>
        </is>
      </c>
      <c r="D732" s="2162">
        <f>E732*$D$1</f>
        <v/>
      </c>
      <c r="E732" s="2162" t="n">
        <v>2.7132</v>
      </c>
      <c r="F732" s="2162" t="inlineStr">
        <is>
          <t>Serviço Terceiros</t>
        </is>
      </c>
      <c r="G732" s="2162" t="inlineStr">
        <is>
          <t>Serviço Terceiros</t>
        </is>
      </c>
      <c r="H732" s="2162" t="n"/>
      <c r="I732" s="4" t="inlineStr">
        <is>
          <t>Mão de obra de Terceiros</t>
        </is>
      </c>
    </row>
    <row r="733" ht="15.75" customHeight="1">
      <c r="A733" s="10">
        <f>COUNTIFS($B$2:$B$996,B733)</f>
        <v/>
      </c>
      <c r="B733" s="10" t="inlineStr">
        <is>
          <t>Escavação e Carga Mecanizada em Corte - Desaterro Rocha</t>
        </is>
      </c>
      <c r="C733" s="11" t="inlineStr">
        <is>
          <t>M3</t>
        </is>
      </c>
      <c r="D733" s="2162">
        <f>E733*$D$1</f>
        <v/>
      </c>
      <c r="E733" s="2162" t="n">
        <v>4.498200000000001</v>
      </c>
      <c r="F733" s="2162" t="inlineStr">
        <is>
          <t>Serviço Terceiros</t>
        </is>
      </c>
      <c r="G733" s="2162" t="inlineStr">
        <is>
          <t>Serviço Terceiros</t>
        </is>
      </c>
      <c r="H733" s="2162" t="n"/>
      <c r="I733" s="4" t="inlineStr">
        <is>
          <t>Mão de obra de Terceiros</t>
        </is>
      </c>
    </row>
    <row r="734" ht="15.75" customHeight="1">
      <c r="A734" s="10">
        <f>COUNTIFS($B$2:$B$996,B734)</f>
        <v/>
      </c>
      <c r="B734" s="10" t="inlineStr">
        <is>
          <t>Espalhamento / Umedecimento / Compactação em Material de 1ª Categoria - 95% PN - Aterro</t>
        </is>
      </c>
      <c r="C734" s="11" t="inlineStr">
        <is>
          <t>M3</t>
        </is>
      </c>
      <c r="D734" s="2162">
        <f>E734*$D$1</f>
        <v/>
      </c>
      <c r="E734" s="2162" t="n">
        <v>9.271800000000001</v>
      </c>
      <c r="F734" s="2162" t="inlineStr">
        <is>
          <t>Serviço Terceiros</t>
        </is>
      </c>
      <c r="G734" s="2162" t="inlineStr">
        <is>
          <t>Serviço Terceiros</t>
        </is>
      </c>
      <c r="H734" s="2162" t="n"/>
      <c r="I734" s="4" t="inlineStr">
        <is>
          <t>Mão de obra de Terceiros</t>
        </is>
      </c>
    </row>
    <row r="735" ht="15.75" customHeight="1">
      <c r="A735" s="10">
        <f>COUNTIFS($B$2:$B$996,B735)</f>
        <v/>
      </c>
      <c r="B735" s="10" t="inlineStr">
        <is>
          <t>Escavação mecanizada com retroescavadeira</t>
        </is>
      </c>
      <c r="C735" s="11" t="inlineStr">
        <is>
          <t>M3</t>
        </is>
      </c>
      <c r="D735" s="2162">
        <f>E735*$D$1</f>
        <v/>
      </c>
      <c r="E735" s="2162" t="n">
        <v>36.36</v>
      </c>
      <c r="F735" s="2162" t="inlineStr">
        <is>
          <t>Serviço Terceiros</t>
        </is>
      </c>
      <c r="G735" s="2162" t="inlineStr">
        <is>
          <t>Serviço Terceiros</t>
        </is>
      </c>
      <c r="H735" s="2162" t="n"/>
      <c r="I735" s="4" t="inlineStr">
        <is>
          <t>Mão de obra de Terceiros</t>
        </is>
      </c>
    </row>
    <row r="736" ht="15.75" customHeight="1">
      <c r="A736" s="10">
        <f>COUNTIFS($B$2:$B$996,B736)</f>
        <v/>
      </c>
      <c r="B736" s="10" t="inlineStr">
        <is>
          <t>Serviço de Limpeza permanete de Terreno</t>
        </is>
      </c>
      <c r="C736" s="11" t="inlineStr">
        <is>
          <t>m2</t>
        </is>
      </c>
      <c r="D736" s="2162">
        <f>E736*$D$1</f>
        <v/>
      </c>
      <c r="E736" s="2162" t="n">
        <v>1.64</v>
      </c>
      <c r="F736" s="2162" t="inlineStr">
        <is>
          <t>Serviço Terceiros</t>
        </is>
      </c>
      <c r="G736" s="2162" t="inlineStr">
        <is>
          <t>Serviço Terceiros</t>
        </is>
      </c>
      <c r="H736" s="2162" t="n"/>
      <c r="I736" s="4" t="inlineStr">
        <is>
          <t>Mão de obra de Terceiros</t>
        </is>
      </c>
    </row>
    <row r="737" ht="15.75" customHeight="1">
      <c r="A737" s="10">
        <f>COUNTIFS($B$2:$B$996,B737)</f>
        <v/>
      </c>
      <c r="B737" s="10" t="inlineStr">
        <is>
          <t>Detonação de rochas</t>
        </is>
      </c>
      <c r="C737" s="11" t="inlineStr">
        <is>
          <t>M3</t>
        </is>
      </c>
      <c r="D737" s="2162">
        <f>E737*$D$1</f>
        <v/>
      </c>
      <c r="E737" s="2162" t="n">
        <v>320</v>
      </c>
      <c r="F737" s="2162" t="inlineStr">
        <is>
          <t>Serviço Terceiros</t>
        </is>
      </c>
      <c r="G737" s="2162" t="inlineStr">
        <is>
          <t>Serviço Terceiros</t>
        </is>
      </c>
      <c r="H737" s="2162" t="n"/>
      <c r="I737" s="4" t="inlineStr">
        <is>
          <t>Mão de obra de Terceiros</t>
        </is>
      </c>
    </row>
    <row r="738" ht="15.75" customHeight="1">
      <c r="A738" s="10">
        <f>COUNTIFS($B$2:$B$996,B738)</f>
        <v/>
      </c>
      <c r="B738" s="10" t="inlineStr">
        <is>
          <t>Diária de topógrafo</t>
        </is>
      </c>
      <c r="C738" s="11" t="inlineStr">
        <is>
          <t>DIA</t>
        </is>
      </c>
      <c r="D738" s="2162">
        <f>E738*$D$1</f>
        <v/>
      </c>
      <c r="E738" s="2162" t="n">
        <v>1300</v>
      </c>
      <c r="F738" s="2162" t="inlineStr">
        <is>
          <t>Serviço Terceiros</t>
        </is>
      </c>
      <c r="G738" s="2162" t="inlineStr">
        <is>
          <t>Serviço Terceiros</t>
        </is>
      </c>
      <c r="H738" s="2162" t="n"/>
      <c r="I738" s="4" t="inlineStr">
        <is>
          <t>Mão de obra de Terceiros</t>
        </is>
      </c>
    </row>
    <row r="739" ht="15.75" customHeight="1">
      <c r="A739" s="10">
        <f>COUNTIFS($B$2:$B$996,B739)</f>
        <v/>
      </c>
      <c r="B739" s="10" t="inlineStr">
        <is>
          <t>Serviço de Perfuração de vigas e lajes</t>
        </is>
      </c>
      <c r="C739" s="11" t="inlineStr">
        <is>
          <t>VB</t>
        </is>
      </c>
      <c r="D739" s="2162">
        <f>E739*$D$1</f>
        <v/>
      </c>
      <c r="E739" s="2162" t="n">
        <v>93981.53050000001</v>
      </c>
      <c r="F739" s="2162" t="inlineStr">
        <is>
          <t>Serviço Terceiros</t>
        </is>
      </c>
      <c r="G739" s="2162" t="inlineStr">
        <is>
          <t>Serviço Terceiros</t>
        </is>
      </c>
      <c r="H739" s="2162" t="n"/>
      <c r="I739" s="4" t="inlineStr">
        <is>
          <t>Mão de obra de Terceiros</t>
        </is>
      </c>
    </row>
    <row r="740" ht="15.75" customHeight="1">
      <c r="A740" s="10">
        <f>COUNTIFS($B$2:$B$996,B740)</f>
        <v/>
      </c>
      <c r="B740" s="10" t="inlineStr">
        <is>
          <t>Execucao Estaca Escavada 025Cm</t>
        </is>
      </c>
      <c r="C740" s="11" t="inlineStr">
        <is>
          <t>M</t>
        </is>
      </c>
      <c r="D740" s="2162">
        <f>E740*$D$1</f>
        <v/>
      </c>
      <c r="E740" s="2162" t="n">
        <v>33</v>
      </c>
      <c r="F740" s="2162" t="inlineStr">
        <is>
          <t>Serviço Terceiros</t>
        </is>
      </c>
      <c r="G740" s="2162" t="inlineStr">
        <is>
          <t>Serviço Terceiros</t>
        </is>
      </c>
      <c r="H740" s="2162" t="n"/>
      <c r="I740" s="4" t="inlineStr">
        <is>
          <t>Mão de obra de Terceiros</t>
        </is>
      </c>
    </row>
    <row r="741" ht="15.75" customHeight="1">
      <c r="A741" s="10">
        <f>COUNTIFS($B$2:$B$996,B741)</f>
        <v/>
      </c>
      <c r="B741" s="10" t="inlineStr">
        <is>
          <t>Execucao Estaca Escavada 030Cm</t>
        </is>
      </c>
      <c r="C741" s="11" t="inlineStr">
        <is>
          <t>M</t>
        </is>
      </c>
      <c r="D741" s="2162">
        <f>E741*$D$1</f>
        <v/>
      </c>
      <c r="E741" s="2162" t="n">
        <v>39</v>
      </c>
      <c r="F741" s="2162" t="inlineStr">
        <is>
          <t>Serviço Terceiros</t>
        </is>
      </c>
      <c r="G741" s="2162" t="inlineStr">
        <is>
          <t>Serviço Terceiros</t>
        </is>
      </c>
      <c r="H741" s="2162" t="n"/>
      <c r="I741" s="4" t="inlineStr">
        <is>
          <t>Mão de obra de Terceiros</t>
        </is>
      </c>
    </row>
    <row r="742" ht="14.25" customHeight="1">
      <c r="A742" s="10">
        <f>COUNTIFS($B$2:$B$996,B742)</f>
        <v/>
      </c>
      <c r="B742" s="82" t="inlineStr">
        <is>
          <t>Execucao Estaca Escavada 040Cm</t>
        </is>
      </c>
      <c r="C742" s="83" t="inlineStr">
        <is>
          <t>M</t>
        </is>
      </c>
      <c r="D742" s="2165">
        <f>E742*$D$1</f>
        <v/>
      </c>
      <c r="E742" s="2165">
        <f>40*1.32</f>
        <v/>
      </c>
      <c r="F742" s="2165" t="inlineStr">
        <is>
          <t>Serviço Terceiros</t>
        </is>
      </c>
      <c r="G742" s="2165" t="inlineStr">
        <is>
          <t>Serviço Terceiros</t>
        </is>
      </c>
      <c r="H742" s="2165" t="n"/>
      <c r="I742" s="85" t="inlineStr">
        <is>
          <t>Mão de obra de Terceiros</t>
        </is>
      </c>
    </row>
    <row r="743" ht="14.25" customHeight="1">
      <c r="A743" s="10">
        <f>COUNTIFS($B$2:$B$996,B743)</f>
        <v/>
      </c>
      <c r="B743" s="82" t="inlineStr">
        <is>
          <t>Execucao Estaca Escavada 050Cm</t>
        </is>
      </c>
      <c r="C743" s="83" t="inlineStr">
        <is>
          <t>M</t>
        </is>
      </c>
      <c r="D743" s="2165">
        <f>E743*$D$1</f>
        <v/>
      </c>
      <c r="E743" s="2165">
        <f>50*1.32</f>
        <v/>
      </c>
      <c r="F743" s="2165" t="inlineStr">
        <is>
          <t>Serviço Terceiros</t>
        </is>
      </c>
      <c r="G743" s="2165" t="inlineStr">
        <is>
          <t>Serviço Terceiros</t>
        </is>
      </c>
      <c r="H743" s="2165" t="n"/>
      <c r="I743" s="85" t="inlineStr">
        <is>
          <t>Mão de obra de Terceiros</t>
        </is>
      </c>
    </row>
    <row r="744" ht="14.25" customHeight="1">
      <c r="A744" s="10">
        <f>COUNTIFS($B$2:$B$996,B744)</f>
        <v/>
      </c>
      <c r="B744" s="82" t="inlineStr">
        <is>
          <t>Execucao Estaca Escavada 060Cm</t>
        </is>
      </c>
      <c r="C744" s="83" t="inlineStr">
        <is>
          <t>M</t>
        </is>
      </c>
      <c r="D744" s="2165">
        <f>E744*$D$1</f>
        <v/>
      </c>
      <c r="E744" s="2165">
        <f>60*1.32</f>
        <v/>
      </c>
      <c r="F744" s="2165" t="inlineStr">
        <is>
          <t>Serviço Terceiros</t>
        </is>
      </c>
      <c r="G744" s="2165" t="inlineStr">
        <is>
          <t>Serviço Terceiros</t>
        </is>
      </c>
      <c r="H744" s="2165" t="n"/>
      <c r="I744" s="85" t="inlineStr">
        <is>
          <t>Mão de obra de Terceiros</t>
        </is>
      </c>
    </row>
    <row r="745" ht="14.25" customHeight="1">
      <c r="A745" s="10">
        <f>COUNTIFS($B$2:$B$996,B745)</f>
        <v/>
      </c>
      <c r="B745" s="82" t="inlineStr">
        <is>
          <t>Execucao Estaca Escavada 070Cm</t>
        </is>
      </c>
      <c r="C745" s="83" t="inlineStr">
        <is>
          <t>M</t>
        </is>
      </c>
      <c r="D745" s="2165">
        <f>E745*$D$1</f>
        <v/>
      </c>
      <c r="E745" s="2165">
        <f>70*1.32</f>
        <v/>
      </c>
      <c r="F745" s="2165" t="inlineStr">
        <is>
          <t>Serviço Terceiros</t>
        </is>
      </c>
      <c r="G745" s="2165" t="inlineStr">
        <is>
          <t>Serviço Terceiros</t>
        </is>
      </c>
      <c r="H745" s="2165" t="n"/>
      <c r="I745" s="85" t="inlineStr">
        <is>
          <t>Mão de obra de Terceiros</t>
        </is>
      </c>
    </row>
    <row r="746" ht="14.25" customHeight="1">
      <c r="A746" s="10">
        <f>COUNTIFS($B$2:$B$996,B746)</f>
        <v/>
      </c>
      <c r="B746" s="82" t="inlineStr">
        <is>
          <t>Execucao Estaca Escavada 080Cm</t>
        </is>
      </c>
      <c r="C746" s="83" t="inlineStr">
        <is>
          <t>M</t>
        </is>
      </c>
      <c r="D746" s="2165">
        <f>E746*$D$1</f>
        <v/>
      </c>
      <c r="E746" s="2165">
        <f>80*1.32</f>
        <v/>
      </c>
      <c r="F746" s="2165" t="inlineStr">
        <is>
          <t>Serviço Terceiros</t>
        </is>
      </c>
      <c r="G746" s="2165" t="inlineStr">
        <is>
          <t>Serviço Terceiros</t>
        </is>
      </c>
      <c r="H746" s="2165" t="n"/>
      <c r="I746" s="85" t="inlineStr">
        <is>
          <t>Mão de obra de Terceiros</t>
        </is>
      </c>
    </row>
    <row r="747" ht="14.25" customHeight="1">
      <c r="A747" s="10">
        <f>COUNTIFS($B$2:$B$996,B747)</f>
        <v/>
      </c>
      <c r="B747" s="82" t="inlineStr">
        <is>
          <t>Execucao Estaca Helice Continua Monitorada 050Cm</t>
        </is>
      </c>
      <c r="C747" s="83" t="inlineStr">
        <is>
          <t>M</t>
        </is>
      </c>
      <c r="D747" s="2165">
        <f>E747*$D$1</f>
        <v/>
      </c>
      <c r="E747" s="2165" t="n">
        <v>150</v>
      </c>
      <c r="F747" s="2165" t="inlineStr">
        <is>
          <t>Serviço Terceiros</t>
        </is>
      </c>
      <c r="G747" s="2165" t="inlineStr">
        <is>
          <t>Serviço Terceiros</t>
        </is>
      </c>
      <c r="H747" s="2165" t="n"/>
      <c r="I747" s="85" t="inlineStr">
        <is>
          <t>Mão de obra de Terceiros</t>
        </is>
      </c>
    </row>
    <row r="748" ht="14.25" customHeight="1">
      <c r="A748" s="10">
        <f>COUNTIFS($B$2:$B$996,B748)</f>
        <v/>
      </c>
      <c r="B748" s="82" t="inlineStr">
        <is>
          <t>Execucao Estaca Helice Continua Monitorada 060Cm</t>
        </is>
      </c>
      <c r="C748" s="83" t="inlineStr">
        <is>
          <t>M</t>
        </is>
      </c>
      <c r="D748" s="2165">
        <f>E748*$D$1</f>
        <v/>
      </c>
      <c r="E748" s="2165" t="n">
        <v>180</v>
      </c>
      <c r="F748" s="2165" t="inlineStr">
        <is>
          <t>Serviço Terceiros</t>
        </is>
      </c>
      <c r="G748" s="2165" t="inlineStr">
        <is>
          <t>Serviço Terceiros</t>
        </is>
      </c>
      <c r="H748" s="2165" t="n"/>
      <c r="I748" s="85" t="inlineStr">
        <is>
          <t>Mão de obra de Terceiros</t>
        </is>
      </c>
    </row>
    <row r="749" ht="15.75" customHeight="1">
      <c r="A749" s="10">
        <f>COUNTIFS($B$2:$B$996,B749)</f>
        <v/>
      </c>
      <c r="B749" s="10" t="inlineStr">
        <is>
          <t>Execucao Estaca Helice Continua 030Cm</t>
        </is>
      </c>
      <c r="C749" s="11" t="inlineStr">
        <is>
          <t>M</t>
        </is>
      </c>
      <c r="D749" s="2162">
        <f>E749*$D$1</f>
        <v/>
      </c>
      <c r="E749" s="2162" t="n">
        <v>60</v>
      </c>
      <c r="F749" s="2162" t="inlineStr">
        <is>
          <t>Serviço Terceiros</t>
        </is>
      </c>
      <c r="G749" s="2162" t="inlineStr">
        <is>
          <t>Serviço Terceiros</t>
        </is>
      </c>
      <c r="H749" s="2162" t="n"/>
      <c r="I749" s="4" t="inlineStr">
        <is>
          <t>Mão de obra de Terceiros</t>
        </is>
      </c>
    </row>
    <row r="750" ht="15.75" customHeight="1">
      <c r="A750" s="10">
        <f>COUNTIFS($B$2:$B$996,B750)</f>
        <v/>
      </c>
      <c r="B750" s="10" t="inlineStr">
        <is>
          <t>Execucao Estaca Helice Continua 040Cm</t>
        </is>
      </c>
      <c r="C750" s="11" t="inlineStr">
        <is>
          <t>M</t>
        </is>
      </c>
      <c r="D750" s="2162">
        <f>E750*$D$1</f>
        <v/>
      </c>
      <c r="E750" s="2162" t="n">
        <v>75</v>
      </c>
      <c r="F750" s="2162" t="inlineStr">
        <is>
          <t>Serviço Terceiros</t>
        </is>
      </c>
      <c r="G750" s="2162" t="inlineStr">
        <is>
          <t>Serviço Terceiros</t>
        </is>
      </c>
      <c r="H750" s="2162" t="n"/>
      <c r="I750" s="4" t="inlineStr">
        <is>
          <t>Mão de obra de Terceiros</t>
        </is>
      </c>
    </row>
    <row r="751" ht="15.75" customHeight="1">
      <c r="A751" s="10">
        <f>COUNTIFS($B$2:$B$996,B751)</f>
        <v/>
      </c>
      <c r="B751" s="10" t="inlineStr">
        <is>
          <t>Execucao Estaca Helice Continua 050Cm</t>
        </is>
      </c>
      <c r="C751" s="11" t="inlineStr">
        <is>
          <t>M</t>
        </is>
      </c>
      <c r="D751" s="2162">
        <f>E751*$D$1</f>
        <v/>
      </c>
      <c r="E751" s="2162" t="n">
        <v>150</v>
      </c>
      <c r="F751" s="2162" t="inlineStr">
        <is>
          <t>Serviço Terceiros</t>
        </is>
      </c>
      <c r="G751" s="2162" t="inlineStr">
        <is>
          <t>Serviço Terceiros</t>
        </is>
      </c>
      <c r="H751" s="2162" t="n"/>
      <c r="I751" s="4" t="inlineStr">
        <is>
          <t>Mão de obra de Terceiros</t>
        </is>
      </c>
    </row>
    <row r="752" ht="15.75" customHeight="1">
      <c r="A752" s="10">
        <f>COUNTIFS($B$2:$B$996,B752)</f>
        <v/>
      </c>
      <c r="B752" s="10" t="inlineStr">
        <is>
          <t>Execucao Estaca Helice Continua 060Cm</t>
        </is>
      </c>
      <c r="C752" s="11" t="inlineStr">
        <is>
          <t>M</t>
        </is>
      </c>
      <c r="D752" s="2162">
        <f>E752*$D$1</f>
        <v/>
      </c>
      <c r="E752" s="2162">
        <f>(950000*0.974271563645719)/6732</f>
        <v/>
      </c>
      <c r="F752" s="2162" t="inlineStr">
        <is>
          <t>Serviço Terceiros</t>
        </is>
      </c>
      <c r="G752" s="2162" t="inlineStr">
        <is>
          <t>Serviço Terceiros</t>
        </is>
      </c>
      <c r="H752" s="2162" t="inlineStr">
        <is>
          <t>Custo repassado por eles</t>
        </is>
      </c>
      <c r="I752" s="4" t="inlineStr">
        <is>
          <t>Mão de obra de Terceiros</t>
        </is>
      </c>
    </row>
    <row r="753" ht="15.75" customHeight="1">
      <c r="A753" s="10">
        <f>COUNTIFS($B$2:$B$996,B753)</f>
        <v/>
      </c>
      <c r="B753" s="10" t="inlineStr">
        <is>
          <t>Execucao Estaca Helice Continua 070Cm</t>
        </is>
      </c>
      <c r="C753" s="11" t="inlineStr">
        <is>
          <t>M</t>
        </is>
      </c>
      <c r="D753" s="2162">
        <f>E753*$D$1</f>
        <v/>
      </c>
      <c r="E753" s="2162" t="n">
        <v>120</v>
      </c>
      <c r="F753" s="2162" t="inlineStr">
        <is>
          <t>Serviço Terceiros</t>
        </is>
      </c>
      <c r="G753" s="2162" t="inlineStr">
        <is>
          <t>Serviço Terceiros</t>
        </is>
      </c>
      <c r="H753" s="2162" t="n"/>
      <c r="I753" s="4" t="inlineStr">
        <is>
          <t>Mão de obra de Terceiros</t>
        </is>
      </c>
    </row>
    <row r="754" ht="15.75" customHeight="1">
      <c r="A754" s="10">
        <f>COUNTIFS($B$2:$B$996,B754)</f>
        <v/>
      </c>
      <c r="B754" s="10" t="inlineStr">
        <is>
          <t>Execucao Estaca Helice Continua 080Cm</t>
        </is>
      </c>
      <c r="C754" s="11" t="inlineStr">
        <is>
          <t>M</t>
        </is>
      </c>
      <c r="D754" s="2162">
        <f>E754*$D$1</f>
        <v/>
      </c>
      <c r="E754" s="2162" t="n">
        <v>135</v>
      </c>
      <c r="F754" s="2162" t="inlineStr">
        <is>
          <t>Serviço Terceiros</t>
        </is>
      </c>
      <c r="G754" s="2162" t="inlineStr">
        <is>
          <t>Serviço Terceiros</t>
        </is>
      </c>
      <c r="H754" s="2162" t="n"/>
      <c r="I754" s="4" t="inlineStr">
        <is>
          <t>Mão de obra de Terceiros</t>
        </is>
      </c>
    </row>
    <row r="755" ht="15.75" customHeight="1">
      <c r="A755" s="10">
        <f>COUNTIFS($B$2:$B$996,B755)</f>
        <v/>
      </c>
      <c r="B755" s="10" t="inlineStr">
        <is>
          <t>Execucao Estaca Helice Continua 090Cm</t>
        </is>
      </c>
      <c r="C755" s="11" t="inlineStr">
        <is>
          <t>M</t>
        </is>
      </c>
      <c r="D755" s="2162">
        <f>E755*$D$1</f>
        <v/>
      </c>
      <c r="E755" s="2162" t="n">
        <v>150</v>
      </c>
      <c r="F755" s="2162" t="inlineStr">
        <is>
          <t>Serviço Terceiros</t>
        </is>
      </c>
      <c r="G755" s="2162" t="inlineStr">
        <is>
          <t>Serviço Terceiros</t>
        </is>
      </c>
      <c r="H755" s="2162" t="n"/>
      <c r="I755" s="4" t="inlineStr">
        <is>
          <t>Mão de obra de Terceiros</t>
        </is>
      </c>
    </row>
    <row r="756" ht="15.75" customHeight="1">
      <c r="A756" s="10">
        <f>COUNTIFS($B$2:$B$996,B756)</f>
        <v/>
      </c>
      <c r="B756" s="10" t="inlineStr">
        <is>
          <t>Execucao Estaca Helice Continua 100Cm</t>
        </is>
      </c>
      <c r="C756" s="11" t="inlineStr">
        <is>
          <t>M</t>
        </is>
      </c>
      <c r="D756" s="2162">
        <f>E756*$D$1</f>
        <v/>
      </c>
      <c r="E756" s="2162" t="n">
        <v>166.6666666666667</v>
      </c>
      <c r="F756" s="2162" t="inlineStr">
        <is>
          <t>Serviço Terceiros</t>
        </is>
      </c>
      <c r="G756" s="2162" t="inlineStr">
        <is>
          <t>Serviço Terceiros</t>
        </is>
      </c>
      <c r="H756" s="2162" t="n"/>
      <c r="I756" s="4" t="inlineStr">
        <is>
          <t>Mão de obra de Terceiros</t>
        </is>
      </c>
    </row>
    <row r="757" ht="15.75" customHeight="1">
      <c r="A757" s="10">
        <f>COUNTIFS($B$2:$B$996,B757)</f>
        <v/>
      </c>
      <c r="B757" s="10" t="inlineStr">
        <is>
          <t>Mão de obra para execução de fundação</t>
        </is>
      </c>
      <c r="C757" s="11" t="inlineStr">
        <is>
          <t>M2</t>
        </is>
      </c>
      <c r="D757" s="2162">
        <f>E757*$D$1</f>
        <v/>
      </c>
      <c r="E757" s="2162">
        <f>290*1.5</f>
        <v/>
      </c>
      <c r="F757" s="2162" t="inlineStr">
        <is>
          <t>Serviço Terceiros</t>
        </is>
      </c>
      <c r="G757" s="2162" t="inlineStr">
        <is>
          <t>Serviço Terceiros</t>
        </is>
      </c>
      <c r="H757" s="2162" t="n"/>
      <c r="I757" s="4" t="inlineStr">
        <is>
          <t>Mão de obra de Terceiros</t>
        </is>
      </c>
    </row>
    <row r="758" ht="15.75" customHeight="1">
      <c r="A758" s="10">
        <f>COUNTIFS($B$2:$B$996,B758)</f>
        <v/>
      </c>
      <c r="B758" s="10" t="inlineStr">
        <is>
          <t>Mão de obra de obra execução de contenção em cortina de concreto</t>
        </is>
      </c>
      <c r="C758" s="11" t="inlineStr">
        <is>
          <t>M2</t>
        </is>
      </c>
      <c r="D758" s="2162">
        <f>E758*$D$1</f>
        <v/>
      </c>
      <c r="E758" s="2162" t="n">
        <v>166.3442050970874</v>
      </c>
      <c r="F758" s="2162" t="inlineStr">
        <is>
          <t>Serviço Terceiros</t>
        </is>
      </c>
      <c r="G758" s="2162" t="inlineStr">
        <is>
          <t>Serviço Terceiros</t>
        </is>
      </c>
      <c r="H758" s="2162" t="inlineStr">
        <is>
          <t>Custo Incorrido</t>
        </is>
      </c>
      <c r="I758" s="4" t="inlineStr">
        <is>
          <t>Mão de obra de Terceiros</t>
        </is>
      </c>
    </row>
    <row r="759" ht="15.75" customHeight="1">
      <c r="A759" s="10">
        <f>COUNTIFS($B$2:$B$996,B759)</f>
        <v/>
      </c>
      <c r="B759" s="10" t="inlineStr">
        <is>
          <t>Forro Tensoflex - Tela tensionada Iluminada - Material e Mão de Obra</t>
        </is>
      </c>
      <c r="C759" s="11" t="inlineStr">
        <is>
          <t>M2</t>
        </is>
      </c>
      <c r="D759" s="2162">
        <f>E759*$D$1</f>
        <v/>
      </c>
      <c r="E759" s="2162">
        <f>((6992/(3.22*2.6))+150)</f>
        <v/>
      </c>
      <c r="F759" s="2162" t="inlineStr">
        <is>
          <t>Serviço Terceiros</t>
        </is>
      </c>
      <c r="G759" s="2162" t="inlineStr">
        <is>
          <t>Serviço Terceiros</t>
        </is>
      </c>
      <c r="H759" s="2162" t="n"/>
      <c r="I759" s="4" t="inlineStr">
        <is>
          <t>Mão de obra de Terceiros</t>
        </is>
      </c>
    </row>
    <row r="760" ht="14.25" customHeight="1">
      <c r="A760" s="10">
        <f>COUNTIFS($B$2:$B$996,B760)</f>
        <v/>
      </c>
      <c r="B760" s="471" t="inlineStr">
        <is>
          <t>FITA DE LED 1 M</t>
        </is>
      </c>
      <c r="C760" s="472" t="inlineStr">
        <is>
          <t>M</t>
        </is>
      </c>
      <c r="D760" s="2165">
        <f>E760*$D$1</f>
        <v/>
      </c>
      <c r="E760" s="2165" t="n">
        <v>11.3</v>
      </c>
      <c r="F760" s="2165" t="inlineStr">
        <is>
          <t>Drywall/Shaft/Forro</t>
        </is>
      </c>
      <c r="G760" s="2165" t="inlineStr">
        <is>
          <t>Diversos</t>
        </is>
      </c>
      <c r="H760" s="2162" t="n"/>
      <c r="I760" s="85" t="inlineStr">
        <is>
          <t>Diversos</t>
        </is>
      </c>
    </row>
    <row r="761" ht="14.25" customHeight="1">
      <c r="A761" s="10">
        <f>COUNTIFS($B$2:$B$996,B761)</f>
        <v/>
      </c>
      <c r="B761" s="471" t="inlineStr">
        <is>
          <t>Forro de gesso acartonado - Resistente à umidade - Material e Mão de Obra</t>
        </is>
      </c>
      <c r="C761" s="472" t="inlineStr">
        <is>
          <t>M2</t>
        </is>
      </c>
      <c r="D761" s="2165">
        <f>E761*$D$1</f>
        <v/>
      </c>
      <c r="E761" s="2165" t="n">
        <v>198.02</v>
      </c>
      <c r="F761" s="2165" t="inlineStr">
        <is>
          <t>Agregados</t>
        </is>
      </c>
      <c r="G761" s="2165" t="inlineStr">
        <is>
          <t>Gesso</t>
        </is>
      </c>
      <c r="H761" s="2162" t="n"/>
      <c r="I761" s="85" t="inlineStr">
        <is>
          <t>Revestimentos</t>
        </is>
      </c>
    </row>
    <row r="762" ht="14.25" customHeight="1">
      <c r="A762" s="10">
        <f>COUNTIFS($B$2:$B$996,B762)</f>
        <v/>
      </c>
      <c r="B762" s="471" t="inlineStr">
        <is>
          <t>Forro de gesso mineral - convencional (forro, negativo e cortineiro)</t>
        </is>
      </c>
      <c r="C762" s="472" t="inlineStr">
        <is>
          <t>M2</t>
        </is>
      </c>
      <c r="D762" s="2165">
        <f>E762*$D$1</f>
        <v/>
      </c>
      <c r="E762" s="2165">
        <f>508105.35/5977.71</f>
        <v/>
      </c>
      <c r="F762" s="2165" t="inlineStr">
        <is>
          <t>Agregados</t>
        </is>
      </c>
      <c r="G762" s="2165" t="inlineStr">
        <is>
          <t>Gesso</t>
        </is>
      </c>
      <c r="H762" s="2162" t="n"/>
      <c r="I762" s="85" t="inlineStr">
        <is>
          <t>Revestimentos</t>
        </is>
      </c>
    </row>
    <row r="763" ht="14.25" customHeight="1">
      <c r="A763" s="10">
        <f>COUNTIFS($B$2:$B$996,B763)</f>
        <v/>
      </c>
      <c r="B763" s="471" t="inlineStr">
        <is>
          <t>Painel Formato Muxarabi - Madeira Peroba Mica - Modelo 16.20/20 - (Ripas, Parafusos, Buchas, vernis e instalação)</t>
        </is>
      </c>
      <c r="C763" s="472" t="inlineStr">
        <is>
          <t>M2</t>
        </is>
      </c>
      <c r="D763" s="2165">
        <f>E763*$D$1</f>
        <v/>
      </c>
      <c r="E763" s="2165" t="n">
        <v>2315.855031267766</v>
      </c>
      <c r="F763" s="2165" t="inlineStr">
        <is>
          <t>Agregados</t>
        </is>
      </c>
      <c r="G763" s="2165" t="inlineStr">
        <is>
          <t>Gesso</t>
        </is>
      </c>
      <c r="H763" s="2162" t="n"/>
      <c r="I763" s="85" t="inlineStr">
        <is>
          <t>Revestimentos</t>
        </is>
      </c>
    </row>
    <row r="764" ht="15.75" customHeight="1">
      <c r="A764" s="10">
        <f>COUNTIFS($B$2:$B$996,B764)</f>
        <v/>
      </c>
      <c r="B764" s="10" t="inlineStr">
        <is>
          <t>Forro de gesso modular - material e mão de obra</t>
        </is>
      </c>
      <c r="C764" s="11" t="inlineStr">
        <is>
          <t>M2</t>
        </is>
      </c>
      <c r="D764" s="2162">
        <f>E764*$D$1</f>
        <v/>
      </c>
      <c r="E764" s="2162" t="n">
        <v>160</v>
      </c>
      <c r="F764" s="2162" t="inlineStr">
        <is>
          <t>Serviço Terceiros</t>
        </is>
      </c>
      <c r="G764" s="2162" t="inlineStr">
        <is>
          <t>Serviço Terceiros</t>
        </is>
      </c>
      <c r="H764" s="2162" t="n"/>
      <c r="I764" s="4" t="inlineStr">
        <is>
          <t>Mão de obra de Terceiros</t>
        </is>
      </c>
    </row>
    <row r="765" ht="15.75" customHeight="1">
      <c r="A765" s="10">
        <f>COUNTIFS($B$2:$B$996,B765)</f>
        <v/>
      </c>
      <c r="B765" s="10" t="inlineStr">
        <is>
          <t>Forro de gesso acartonado RF - anti chamas - Material e Mão de Obra</t>
        </is>
      </c>
      <c r="C765" s="11" t="inlineStr">
        <is>
          <t>M2</t>
        </is>
      </c>
      <c r="D765" s="2162">
        <f>E765*$D$1</f>
        <v/>
      </c>
      <c r="E765" s="2162" t="n">
        <v>170</v>
      </c>
      <c r="F765" s="2162" t="inlineStr">
        <is>
          <t>Serviço Terceiros</t>
        </is>
      </c>
      <c r="G765" s="2162" t="inlineStr">
        <is>
          <t>Serviço Terceiros</t>
        </is>
      </c>
      <c r="H765" s="2162" t="n"/>
      <c r="I765" s="4" t="inlineStr">
        <is>
          <t>Mão de obra de Terceiros</t>
        </is>
      </c>
    </row>
    <row r="766" ht="15.75" customHeight="1">
      <c r="A766" s="10">
        <f>COUNTIFS($B$2:$B$996,B766)</f>
        <v/>
      </c>
      <c r="B766" s="10" t="inlineStr">
        <is>
          <t>Forro de gesso acartonado - áreas secas - Material e Mão de Obra</t>
        </is>
      </c>
      <c r="C766" s="11" t="inlineStr">
        <is>
          <t>M2</t>
        </is>
      </c>
      <c r="D766" s="2162">
        <f>E766*$D$1</f>
        <v/>
      </c>
      <c r="E766" s="2162" t="n">
        <v>100</v>
      </c>
      <c r="F766" s="2162" t="inlineStr">
        <is>
          <t>Serviço Terceiros</t>
        </is>
      </c>
      <c r="G766" s="2162" t="inlineStr">
        <is>
          <t>Serviço Terceiros</t>
        </is>
      </c>
      <c r="H766" s="2162" t="n"/>
      <c r="I766" s="4" t="inlineStr">
        <is>
          <t>Mão de obra de Terceiros</t>
        </is>
      </c>
    </row>
    <row r="767" ht="15.75" customHeight="1">
      <c r="A767" s="10">
        <f>COUNTIFS($B$2:$B$996,B767)</f>
        <v/>
      </c>
      <c r="B767" s="10" t="inlineStr">
        <is>
          <t>Forro de gesso em forma de vigotas, imitando madeira - áreas úmidas - Material e Mão de Obra - incluso estrutura metálica + placa ru + fechamento de caixa + pintura efeito amdeira + instalação</t>
        </is>
      </c>
      <c r="C767" s="11" t="inlineStr">
        <is>
          <t>M</t>
        </is>
      </c>
      <c r="D767" s="2162">
        <f>E767*$D$1</f>
        <v/>
      </c>
      <c r="E767" s="2162" t="n">
        <v>250</v>
      </c>
      <c r="F767" s="2162" t="inlineStr">
        <is>
          <t>Serviço Terceiros</t>
        </is>
      </c>
      <c r="G767" s="2162" t="inlineStr">
        <is>
          <t>Serviço Terceiros</t>
        </is>
      </c>
      <c r="H767" s="2162" t="n"/>
      <c r="I767" s="4" t="inlineStr">
        <is>
          <t>Mão de obra de Terceiros</t>
        </is>
      </c>
    </row>
    <row r="768" ht="15.75" customHeight="1">
      <c r="A768" s="10">
        <f>COUNTIFS($B$2:$B$996,B768)</f>
        <v/>
      </c>
      <c r="B768" s="10" t="inlineStr">
        <is>
          <t>Forro de gesso acartonado - áreas úmidas - Material e Mão de Obra</t>
        </is>
      </c>
      <c r="C768" s="11" t="inlineStr">
        <is>
          <t>M2</t>
        </is>
      </c>
      <c r="D768" s="2162">
        <f>E768*$D$1</f>
        <v/>
      </c>
      <c r="E768" s="2162" t="n">
        <v>120</v>
      </c>
      <c r="F768" s="2162" t="inlineStr">
        <is>
          <t>Serviço Terceiros</t>
        </is>
      </c>
      <c r="G768" s="2162" t="inlineStr">
        <is>
          <t>Serviço Terceiros</t>
        </is>
      </c>
      <c r="H768" s="2162" t="n"/>
      <c r="I768" s="4" t="inlineStr">
        <is>
          <t>Mão de obra de Terceiros</t>
        </is>
      </c>
    </row>
    <row r="769" ht="15.75" customHeight="1">
      <c r="A769" s="10">
        <f>COUNTIFS($B$2:$B$996,B769)</f>
        <v/>
      </c>
      <c r="B769" s="10" t="inlineStr">
        <is>
          <t>Forro Removível - Material e Mão de Obra</t>
        </is>
      </c>
      <c r="C769" s="11" t="inlineStr">
        <is>
          <t>M2</t>
        </is>
      </c>
      <c r="D769" s="2162">
        <f>E769*$D$1</f>
        <v/>
      </c>
      <c r="E769" s="2162" t="n">
        <v>219.2004611014502</v>
      </c>
      <c r="F769" s="2162" t="inlineStr">
        <is>
          <t>Serviço Terceiros</t>
        </is>
      </c>
      <c r="G769" s="2162" t="inlineStr">
        <is>
          <t>Serviço Terceiros</t>
        </is>
      </c>
      <c r="H769" s="2162" t="n"/>
      <c r="I769" s="4" t="inlineStr">
        <is>
          <t>Mão de obra de Terceiros</t>
        </is>
      </c>
    </row>
    <row r="770" ht="15.75" customHeight="1">
      <c r="A770" s="10">
        <f>COUNTIFS($B$2:$B$996,B770)</f>
        <v/>
      </c>
      <c r="B770" s="10" t="inlineStr">
        <is>
          <t>Forro de gesso mineral em tetos - Material e Mão de Obra</t>
        </is>
      </c>
      <c r="C770" s="11" t="inlineStr">
        <is>
          <t>M2</t>
        </is>
      </c>
      <c r="D770" s="2162">
        <f>E770*$D$1</f>
        <v/>
      </c>
      <c r="E770" s="2162" t="n">
        <v>55</v>
      </c>
      <c r="F770" s="2162" t="inlineStr">
        <is>
          <t>Serviço Terceiros</t>
        </is>
      </c>
      <c r="G770" s="2162" t="inlineStr">
        <is>
          <t>Serviço Terceiros</t>
        </is>
      </c>
      <c r="H770" s="2162" t="n"/>
      <c r="I770" s="4" t="inlineStr">
        <is>
          <t>Mão de obra de Terceiros</t>
        </is>
      </c>
    </row>
    <row r="771" ht="15.75" customHeight="1">
      <c r="A771" s="10">
        <f>COUNTIFS($B$2:$B$996,B771)</f>
        <v/>
      </c>
      <c r="B771" s="10" t="inlineStr">
        <is>
          <t>Forro de MDF Liso  - Material e Mão de Obra</t>
        </is>
      </c>
      <c r="C771" s="11" t="inlineStr">
        <is>
          <t>M2</t>
        </is>
      </c>
      <c r="D771" s="2162">
        <f>E771*$D$1</f>
        <v/>
      </c>
      <c r="E771" s="2162" t="n">
        <v>300</v>
      </c>
      <c r="F771" s="2162" t="inlineStr">
        <is>
          <t>Serviço Terceiros</t>
        </is>
      </c>
      <c r="G771" s="2162" t="inlineStr">
        <is>
          <t>Serviço Terceiros</t>
        </is>
      </c>
      <c r="H771" s="2162" t="n"/>
      <c r="I771" s="4" t="inlineStr">
        <is>
          <t>Mão de obra de Terceiros</t>
        </is>
      </c>
    </row>
    <row r="772" ht="15.75" customHeight="1">
      <c r="A772" s="10">
        <f>COUNTIFS($B$2:$B$996,B772)</f>
        <v/>
      </c>
      <c r="B772" s="10" t="inlineStr">
        <is>
          <t>Forro de MDF Liso e pintura laca verde - Material e Mão de Obra - incluso estrutura metálica + mdf 15mm + peças em CNC + colagem e fixação + massa + lixamento + pintura laca verde</t>
        </is>
      </c>
      <c r="C772" s="11" t="inlineStr">
        <is>
          <t>M2</t>
        </is>
      </c>
      <c r="D772" s="2162">
        <f>E772*$D$1</f>
        <v/>
      </c>
      <c r="E772" s="2162" t="n">
        <v>360</v>
      </c>
      <c r="F772" s="2162" t="inlineStr">
        <is>
          <t>Serviço Terceiros</t>
        </is>
      </c>
      <c r="G772" s="2162" t="inlineStr">
        <is>
          <t>Serviço Terceiros</t>
        </is>
      </c>
      <c r="H772" s="2162" t="n"/>
      <c r="I772" s="4" t="inlineStr">
        <is>
          <t>Mão de obra de Terceiros</t>
        </is>
      </c>
    </row>
    <row r="773" ht="15.75" customHeight="1">
      <c r="A773" s="10">
        <f>COUNTIFS($B$2:$B$996,B773)</f>
        <v/>
      </c>
      <c r="B773" s="10" t="inlineStr">
        <is>
          <t>Forro de MDF Alto relevo personalizado e pintura laca verde - Material e Mão de Obra - peças em CNC + montagem modular + pintura laca verde em multiplas faces</t>
        </is>
      </c>
      <c r="C773" s="11" t="inlineStr">
        <is>
          <t>M2</t>
        </is>
      </c>
      <c r="D773" s="2162">
        <f>E773*$D$1</f>
        <v/>
      </c>
      <c r="E773" s="2162" t="n">
        <v>600</v>
      </c>
      <c r="F773" s="2162" t="inlineStr">
        <is>
          <t>Serviço Terceiros</t>
        </is>
      </c>
      <c r="G773" s="2162" t="inlineStr">
        <is>
          <t>Serviço Terceiros</t>
        </is>
      </c>
      <c r="H773" s="2162" t="n"/>
      <c r="I773" s="4" t="inlineStr">
        <is>
          <t>Mão de obra de Terceiros</t>
        </is>
      </c>
    </row>
    <row r="774" ht="15.75" customHeight="1">
      <c r="A774" s="10">
        <f>COUNTIFS($B$2:$B$996,B774)</f>
        <v/>
      </c>
      <c r="B774" s="10" t="inlineStr">
        <is>
          <t>Forro de MDF Régua e pintura azul - Material e Mão de Obra - Forro MDF em régua</t>
        </is>
      </c>
      <c r="C774" s="11" t="inlineStr">
        <is>
          <t>M2</t>
        </is>
      </c>
      <c r="D774" s="2162">
        <f>E774*$D$1</f>
        <v/>
      </c>
      <c r="E774" s="2162" t="n">
        <v>350</v>
      </c>
      <c r="F774" s="2162" t="inlineStr">
        <is>
          <t>Serviço Terceiros</t>
        </is>
      </c>
      <c r="G774" s="2162" t="inlineStr">
        <is>
          <t>Serviço Terceiros</t>
        </is>
      </c>
      <c r="H774" s="2162" t="n"/>
      <c r="I774" s="4" t="inlineStr">
        <is>
          <t>Mão de obra de Terceiros</t>
        </is>
      </c>
    </row>
    <row r="775" ht="15.75" customHeight="1">
      <c r="A775" s="10">
        <f>COUNTIFS($B$2:$B$996,B775)</f>
        <v/>
      </c>
      <c r="B775" s="10" t="inlineStr">
        <is>
          <t>Nuvens em MDF em alto relevo personalizado e pintura azul - Material e Mão de Obra - + peças recortadas em CNC + 2 tipologias de nuvens + pintura PU em azul + montagem suspensa</t>
        </is>
      </c>
      <c r="C775" s="11" t="inlineStr">
        <is>
          <t>M2</t>
        </is>
      </c>
      <c r="D775" s="2162">
        <f>E775*$D$1</f>
        <v/>
      </c>
      <c r="E775" s="2162" t="n">
        <v>320</v>
      </c>
      <c r="F775" s="2162" t="inlineStr">
        <is>
          <t>Serviço Terceiros</t>
        </is>
      </c>
      <c r="G775" s="2162" t="inlineStr">
        <is>
          <t>Serviço Terceiros</t>
        </is>
      </c>
      <c r="H775" s="2162" t="n"/>
      <c r="I775" s="4" t="inlineStr">
        <is>
          <t>Mão de obra de Terceiros</t>
        </is>
      </c>
    </row>
    <row r="776" ht="15.75" customHeight="1">
      <c r="A776" s="10">
        <f>COUNTIFS($B$2:$B$996,B776)</f>
        <v/>
      </c>
      <c r="B776" s="10" t="inlineStr">
        <is>
          <t>Forro de gesso corrido - Material e Mão de Obra</t>
        </is>
      </c>
      <c r="C776" s="11" t="inlineStr">
        <is>
          <t>M2</t>
        </is>
      </c>
      <c r="D776" s="2162">
        <f>E776*$D$1</f>
        <v/>
      </c>
      <c r="E776" s="2162" t="n">
        <v>60</v>
      </c>
      <c r="F776" s="2162" t="inlineStr">
        <is>
          <t>Serviço Terceiros</t>
        </is>
      </c>
      <c r="G776" s="2162" t="inlineStr">
        <is>
          <t>Serviço Terceiros</t>
        </is>
      </c>
      <c r="H776" s="2162" t="n"/>
      <c r="I776" s="4" t="inlineStr">
        <is>
          <t>Mão de obra de Terceiros</t>
        </is>
      </c>
    </row>
    <row r="777" ht="15.75" customHeight="1">
      <c r="A777" s="10">
        <f>COUNTIFS($B$2:$B$996,B777)</f>
        <v/>
      </c>
      <c r="B777" s="10" t="inlineStr">
        <is>
          <t>Forro de placa cimenticia - Material e Mão de Obra</t>
        </is>
      </c>
      <c r="C777" s="11" t="inlineStr">
        <is>
          <t>M2</t>
        </is>
      </c>
      <c r="D777" s="2162">
        <f>E777*$D$1</f>
        <v/>
      </c>
      <c r="E777" s="2162" t="n">
        <v>275</v>
      </c>
      <c r="F777" s="2162" t="inlineStr">
        <is>
          <t>Serviço Terceiros</t>
        </is>
      </c>
      <c r="G777" s="2162" t="inlineStr">
        <is>
          <t>Serviço Terceiros</t>
        </is>
      </c>
      <c r="H777" s="2162" t="n"/>
      <c r="I777" s="4" t="inlineStr">
        <is>
          <t>Mão de obra de Terceiros</t>
        </is>
      </c>
    </row>
    <row r="778" ht="15.75" customHeight="1">
      <c r="A778" s="10">
        <f>COUNTIFS($B$2:$B$996,B778)</f>
        <v/>
      </c>
      <c r="B778" s="10" t="inlineStr">
        <is>
          <t>Negativo de forro de gesso mineral</t>
        </is>
      </c>
      <c r="C778" s="11" t="inlineStr">
        <is>
          <t>M2</t>
        </is>
      </c>
      <c r="D778" s="2162">
        <f>E778*$D$1</f>
        <v/>
      </c>
      <c r="E778" s="2162" t="n">
        <v>35</v>
      </c>
      <c r="F778" s="2162" t="inlineStr">
        <is>
          <t>Serviço Terceiros</t>
        </is>
      </c>
      <c r="G778" s="2162" t="inlineStr">
        <is>
          <t>Serviço Terceiros</t>
        </is>
      </c>
      <c r="H778" s="2162" t="n"/>
      <c r="I778" s="4" t="inlineStr">
        <is>
          <t>Mão de obra de Terceiros</t>
        </is>
      </c>
    </row>
    <row r="779" ht="15.75" customHeight="1">
      <c r="A779" s="10">
        <f>COUNTIFS($B$2:$B$996,B779)</f>
        <v/>
      </c>
      <c r="B779" s="10" t="inlineStr">
        <is>
          <t>Negativo de forro de gesso acartonado - área umida</t>
        </is>
      </c>
      <c r="C779" s="11" t="inlineStr">
        <is>
          <t>M2</t>
        </is>
      </c>
      <c r="D779" s="2162">
        <f>E779*$D$1</f>
        <v/>
      </c>
      <c r="E779" s="2162" t="n">
        <v>36</v>
      </c>
      <c r="F779" s="2162" t="inlineStr">
        <is>
          <t>Serviço Terceiros</t>
        </is>
      </c>
      <c r="G779" s="2162" t="inlineStr">
        <is>
          <t>Serviço Terceiros</t>
        </is>
      </c>
      <c r="H779" s="2162" t="n"/>
      <c r="I779" s="4" t="inlineStr">
        <is>
          <t>Mão de obra de Terceiros</t>
        </is>
      </c>
    </row>
    <row r="780" ht="15.75" customHeight="1">
      <c r="A780" s="10">
        <f>COUNTIFS($B$2:$B$996,B780)</f>
        <v/>
      </c>
      <c r="B780" s="10" t="inlineStr">
        <is>
          <t>Negativo de forro de gesso acartonado - área seca</t>
        </is>
      </c>
      <c r="C780" s="11" t="inlineStr">
        <is>
          <t>M2</t>
        </is>
      </c>
      <c r="D780" s="2162">
        <f>E780*$D$1</f>
        <v/>
      </c>
      <c r="E780" s="2162" t="n">
        <v>36</v>
      </c>
      <c r="F780" s="2162" t="inlineStr">
        <is>
          <t>Serviço Terceiros</t>
        </is>
      </c>
      <c r="G780" s="2162" t="inlineStr">
        <is>
          <t>Serviço Terceiros</t>
        </is>
      </c>
      <c r="H780" s="2162" t="n"/>
      <c r="I780" s="4" t="inlineStr">
        <is>
          <t>Mão de obra de Terceiros</t>
        </is>
      </c>
    </row>
    <row r="781" ht="15.75" customHeight="1">
      <c r="A781" s="10">
        <f>COUNTIFS($B$2:$B$996,B781)</f>
        <v/>
      </c>
      <c r="B781" s="10" t="inlineStr">
        <is>
          <t>Revestimento de piso carpet - Material e Mão de Obra</t>
        </is>
      </c>
      <c r="C781" s="11" t="inlineStr">
        <is>
          <t>M2</t>
        </is>
      </c>
      <c r="D781" s="2162">
        <f>E781*$D$1</f>
        <v/>
      </c>
      <c r="E781" s="2162">
        <f>5687.82/16.6</f>
        <v/>
      </c>
      <c r="F781" s="2162" t="inlineStr">
        <is>
          <t>Serviço Terceiros</t>
        </is>
      </c>
      <c r="G781" s="2162" t="inlineStr">
        <is>
          <t>Serviço Terceiros</t>
        </is>
      </c>
      <c r="H781" s="2162" t="n"/>
      <c r="I781" s="4" t="inlineStr">
        <is>
          <t>Mão de obra de Terceiros</t>
        </is>
      </c>
    </row>
    <row r="782" ht="15.75" customHeight="1">
      <c r="A782" s="10">
        <f>COUNTIFS($B$2:$B$996,B782)</f>
        <v/>
      </c>
      <c r="B782" s="10" t="inlineStr">
        <is>
          <t>Instalação de piso emborrachado</t>
        </is>
      </c>
      <c r="C782" s="11" t="inlineStr">
        <is>
          <t>M2</t>
        </is>
      </c>
      <c r="D782" s="2162">
        <f>E782*$D$1</f>
        <v/>
      </c>
      <c r="E782" s="2162" t="n">
        <v>25.5</v>
      </c>
      <c r="F782" s="2162" t="inlineStr">
        <is>
          <t>Serviço Terceiros</t>
        </is>
      </c>
      <c r="G782" s="2162" t="inlineStr">
        <is>
          <t>Serviço Terceiros</t>
        </is>
      </c>
      <c r="H782" s="2162" t="n"/>
      <c r="I782" s="4" t="inlineStr">
        <is>
          <t>Mão de obra de Terceiros</t>
        </is>
      </c>
    </row>
    <row r="783" ht="15.75" customHeight="1">
      <c r="A783" s="10">
        <f>COUNTIFS($B$2:$B$996,B783)</f>
        <v/>
      </c>
      <c r="B783" s="10" t="inlineStr">
        <is>
          <t>Instalação de piso vinilico</t>
        </is>
      </c>
      <c r="C783" s="11" t="inlineStr">
        <is>
          <t>M2</t>
        </is>
      </c>
      <c r="D783" s="2162">
        <f>E783*$D$1</f>
        <v/>
      </c>
      <c r="E783" s="2162" t="n">
        <v>25.5</v>
      </c>
      <c r="F783" s="2162" t="inlineStr">
        <is>
          <t>Serviço Terceiros</t>
        </is>
      </c>
      <c r="G783" s="2162" t="inlineStr">
        <is>
          <t>Serviço Terceiros</t>
        </is>
      </c>
      <c r="H783" s="2162" t="n"/>
      <c r="I783" s="4" t="inlineStr">
        <is>
          <t>Mão de obra de Terceiros</t>
        </is>
      </c>
    </row>
    <row r="784" ht="15.75" customHeight="1">
      <c r="A784" s="10">
        <f>COUNTIFS($B$2:$B$996,B784)</f>
        <v/>
      </c>
      <c r="B784" s="10" t="inlineStr">
        <is>
          <t>Instalação de Churrasqueiras</t>
        </is>
      </c>
      <c r="C784" s="11" t="inlineStr">
        <is>
          <t>UN</t>
        </is>
      </c>
      <c r="D784" s="2162">
        <f>E784*$D$1</f>
        <v/>
      </c>
      <c r="E784" s="2162" t="n">
        <v>400</v>
      </c>
      <c r="F784" s="2162" t="inlineStr">
        <is>
          <t>Serviço Terceiros</t>
        </is>
      </c>
      <c r="G784" s="2162" t="inlineStr">
        <is>
          <t>Serviço Terceiros</t>
        </is>
      </c>
      <c r="H784" s="2162" t="n"/>
      <c r="I784" s="4" t="inlineStr">
        <is>
          <t>Mão de obra de Terceiros</t>
        </is>
      </c>
    </row>
    <row r="785" ht="15.75" customHeight="1">
      <c r="A785" s="10">
        <f>COUNTIFS($B$2:$B$996,B785)</f>
        <v/>
      </c>
      <c r="B785" s="10" t="inlineStr">
        <is>
          <t>Mão de obra aplicação de gesso liso em teto</t>
        </is>
      </c>
      <c r="C785" s="11" t="inlineStr">
        <is>
          <t>M2</t>
        </is>
      </c>
      <c r="D785" s="2162">
        <f>E785*$D$1</f>
        <v/>
      </c>
      <c r="E785" s="2162" t="n">
        <v>25</v>
      </c>
      <c r="F785" s="2162" t="inlineStr">
        <is>
          <t>Serviço Terceiros</t>
        </is>
      </c>
      <c r="G785" s="2162" t="inlineStr">
        <is>
          <t>Serviço Terceiros</t>
        </is>
      </c>
      <c r="H785" s="2162" t="n"/>
      <c r="I785" s="4" t="inlineStr">
        <is>
          <t>Mão de obra de Terceiros</t>
        </is>
      </c>
    </row>
    <row r="786" ht="15.75" customHeight="1">
      <c r="A786" s="10">
        <f>COUNTIFS($B$2:$B$996,B786)</f>
        <v/>
      </c>
      <c r="B786" s="10" t="inlineStr">
        <is>
          <t>Mão de obra coberturas</t>
        </is>
      </c>
      <c r="C786" s="11" t="inlineStr">
        <is>
          <t>M2</t>
        </is>
      </c>
      <c r="D786" s="2162">
        <f>E786*$D$1</f>
        <v/>
      </c>
      <c r="E786" s="2162" t="n">
        <v>220</v>
      </c>
      <c r="F786" s="2162" t="inlineStr">
        <is>
          <t>Serviço Terceiros</t>
        </is>
      </c>
      <c r="G786" s="2162" t="inlineStr">
        <is>
          <t>Serviço Terceiros</t>
        </is>
      </c>
      <c r="H786" s="2162" t="n"/>
      <c r="I786" s="4" t="inlineStr">
        <is>
          <t>Mão de obra de Terceiros</t>
        </is>
      </c>
    </row>
    <row r="787" ht="15.75" customHeight="1">
      <c r="A787" s="10">
        <f>COUNTIFS($B$2:$B$996,B787)</f>
        <v/>
      </c>
      <c r="B787" s="10" t="inlineStr">
        <is>
          <t>Mão de obra execução Piso drenantes</t>
        </is>
      </c>
      <c r="C787" s="11" t="inlineStr">
        <is>
          <t>UN</t>
        </is>
      </c>
      <c r="D787" s="2162">
        <f>E787*$D$1</f>
        <v/>
      </c>
      <c r="E787" s="2162" t="n">
        <v>25</v>
      </c>
      <c r="F787" s="2162" t="inlineStr">
        <is>
          <t>Serviço Terceiros</t>
        </is>
      </c>
      <c r="G787" s="2162" t="inlineStr">
        <is>
          <t>Serviço Terceiros</t>
        </is>
      </c>
      <c r="H787" s="2162" t="n"/>
      <c r="I787" s="4" t="inlineStr">
        <is>
          <t>Mão de obra de Terceiros</t>
        </is>
      </c>
    </row>
    <row r="788" ht="15.75" customHeight="1">
      <c r="A788" s="10">
        <f>COUNTIFS($B$2:$B$996,B788)</f>
        <v/>
      </c>
      <c r="B788" s="10" t="inlineStr">
        <is>
          <t>Mão de obra de rodapé Pedra</t>
        </is>
      </c>
      <c r="C788" s="11" t="inlineStr">
        <is>
          <t>M</t>
        </is>
      </c>
      <c r="D788" s="2162">
        <f>E788*$D$1</f>
        <v/>
      </c>
      <c r="E788" s="2162" t="n">
        <v>24</v>
      </c>
      <c r="F788" s="2162" t="inlineStr">
        <is>
          <t>Serviço Terceiros</t>
        </is>
      </c>
      <c r="G788" s="2162" t="inlineStr">
        <is>
          <t>Serviço Terceiros</t>
        </is>
      </c>
      <c r="H788" s="2162" t="n"/>
      <c r="I788" s="4" t="inlineStr">
        <is>
          <t>Mão de obra de Terceiros</t>
        </is>
      </c>
    </row>
    <row r="789" ht="15.75" customHeight="1">
      <c r="A789" s="10">
        <f>COUNTIFS($B$2:$B$996,B789)</f>
        <v/>
      </c>
      <c r="B789" s="10" t="inlineStr">
        <is>
          <t>Mão de obra de rodapé Pedra Natural</t>
        </is>
      </c>
      <c r="C789" s="11" t="inlineStr">
        <is>
          <t>UN</t>
        </is>
      </c>
      <c r="D789" s="2162">
        <f>E789*$D$1</f>
        <v/>
      </c>
      <c r="E789" s="2162" t="n">
        <v>22</v>
      </c>
      <c r="F789" s="2162" t="inlineStr">
        <is>
          <t>Serviço Terceiros</t>
        </is>
      </c>
      <c r="G789" s="2162" t="inlineStr">
        <is>
          <t>Serviço Terceiros</t>
        </is>
      </c>
      <c r="H789" s="2162" t="n"/>
      <c r="I789" s="4" t="inlineStr">
        <is>
          <t>Mão de obra de Terceiros</t>
        </is>
      </c>
    </row>
    <row r="790" ht="15.75" customHeight="1">
      <c r="A790" s="10">
        <f>COUNTIFS($B$2:$B$996,B790)</f>
        <v/>
      </c>
      <c r="B790" s="10" t="inlineStr">
        <is>
          <t>Mão de obra de colocação de soleira em porcelanato</t>
        </is>
      </c>
      <c r="C790" s="11" t="inlineStr">
        <is>
          <t>UN</t>
        </is>
      </c>
      <c r="D790" s="2162">
        <f>E790*$D$1</f>
        <v/>
      </c>
      <c r="E790" s="2162" t="n">
        <v>50</v>
      </c>
      <c r="F790" s="2162" t="inlineStr">
        <is>
          <t>Serviço Terceiros</t>
        </is>
      </c>
      <c r="G790" s="2162" t="inlineStr">
        <is>
          <t>Serviço Terceiros</t>
        </is>
      </c>
      <c r="H790" s="2162" t="n"/>
      <c r="I790" s="4" t="inlineStr">
        <is>
          <t>Mão de obra de Terceiros</t>
        </is>
      </c>
    </row>
    <row r="791" ht="15.75" customHeight="1">
      <c r="A791" s="10">
        <f>COUNTIFS($B$2:$B$996,B791)</f>
        <v/>
      </c>
      <c r="B791" s="10" t="inlineStr">
        <is>
          <t>Mão de obra de colocação de soleira em granito</t>
        </is>
      </c>
      <c r="C791" s="11" t="inlineStr">
        <is>
          <t>UN</t>
        </is>
      </c>
      <c r="D791" s="2162">
        <f>E791*$D$1</f>
        <v/>
      </c>
      <c r="E791" s="2162" t="n">
        <v>22</v>
      </c>
      <c r="F791" s="2162" t="inlineStr">
        <is>
          <t>Serviço Terceiros</t>
        </is>
      </c>
      <c r="G791" s="2162" t="inlineStr">
        <is>
          <t>Serviço Terceiros</t>
        </is>
      </c>
      <c r="H791" s="2162" t="n"/>
      <c r="I791" s="4" t="inlineStr">
        <is>
          <t>Mão de obra de Terceiros</t>
        </is>
      </c>
    </row>
    <row r="792" ht="15.75" customHeight="1">
      <c r="A792" s="10">
        <f>COUNTIFS($B$2:$B$996,B792)</f>
        <v/>
      </c>
      <c r="B792" s="10" t="inlineStr">
        <is>
          <t>Mão de obra de colocação de soleira em pedra natural</t>
        </is>
      </c>
      <c r="C792" s="11" t="inlineStr">
        <is>
          <t>UN</t>
        </is>
      </c>
      <c r="D792" s="2162">
        <f>E792*$D$1</f>
        <v/>
      </c>
      <c r="E792" s="2162" t="n">
        <v>22</v>
      </c>
      <c r="F792" s="2162" t="inlineStr">
        <is>
          <t>Serviço Terceiros</t>
        </is>
      </c>
      <c r="G792" s="2162" t="inlineStr">
        <is>
          <t>Serviço Terceiros</t>
        </is>
      </c>
      <c r="H792" s="2162" t="n"/>
      <c r="I792" s="4" t="inlineStr">
        <is>
          <t>Mão de obra de Terceiros</t>
        </is>
      </c>
    </row>
    <row r="793" ht="15.75" customHeight="1">
      <c r="A793" s="10">
        <f>COUNTIFS($B$2:$B$996,B793)</f>
        <v/>
      </c>
      <c r="B793" s="10" t="inlineStr">
        <is>
          <t>Mão de obra para pintura epóxi em paredes internas, 2 demãos</t>
        </is>
      </c>
      <c r="C793" s="11" t="inlineStr">
        <is>
          <t>M2</t>
        </is>
      </c>
      <c r="D793" s="2162">
        <f>E793*$D$1</f>
        <v/>
      </c>
      <c r="E793" s="2162" t="n">
        <v>42</v>
      </c>
      <c r="F793" s="2162" t="inlineStr">
        <is>
          <t>Serviço Terceiros</t>
        </is>
      </c>
      <c r="G793" s="2162" t="inlineStr">
        <is>
          <t>Serviço Terceiros</t>
        </is>
      </c>
      <c r="H793" s="2162" t="n"/>
      <c r="I793" s="4" t="inlineStr">
        <is>
          <t>Mão de obra de Terceiros</t>
        </is>
      </c>
    </row>
    <row r="794" ht="15.75" customHeight="1">
      <c r="A794" s="10">
        <f>COUNTIFS($B$2:$B$996,B794)</f>
        <v/>
      </c>
      <c r="B794" s="10" t="inlineStr">
        <is>
          <t>Mão de obra de enchimento de piso</t>
        </is>
      </c>
      <c r="C794" s="11" t="inlineStr">
        <is>
          <t>M2</t>
        </is>
      </c>
      <c r="D794" s="2162">
        <f>E794*$D$1</f>
        <v/>
      </c>
      <c r="E794" s="2162" t="n">
        <v>16.75</v>
      </c>
      <c r="F794" s="2162" t="inlineStr">
        <is>
          <t>Serviço Terceiros</t>
        </is>
      </c>
      <c r="G794" s="2162" t="inlineStr">
        <is>
          <t>Serviço Terceiros</t>
        </is>
      </c>
      <c r="H794" s="2162" t="n"/>
      <c r="I794" s="4" t="inlineStr">
        <is>
          <t>Mão de obra de Terceiros</t>
        </is>
      </c>
    </row>
    <row r="795" ht="15.75" customHeight="1">
      <c r="A795" s="10">
        <f>COUNTIFS($B$2:$B$996,B795)</f>
        <v/>
      </c>
      <c r="B795" s="10" t="inlineStr">
        <is>
          <t>Mão de obra de instalação de deck de madeira</t>
        </is>
      </c>
      <c r="C795" s="11" t="inlineStr">
        <is>
          <t>M2</t>
        </is>
      </c>
      <c r="D795" s="2162">
        <f>E795*$D$1</f>
        <v/>
      </c>
      <c r="E795" s="2162" t="n">
        <v>210</v>
      </c>
      <c r="F795" s="2162" t="inlineStr">
        <is>
          <t>Serviço Terceiros</t>
        </is>
      </c>
      <c r="G795" s="2162" t="inlineStr">
        <is>
          <t>Serviço Terceiros</t>
        </is>
      </c>
      <c r="H795" s="2162" t="n"/>
      <c r="I795" s="4" t="inlineStr">
        <is>
          <t>Mão de obra de Terceiros</t>
        </is>
      </c>
    </row>
    <row r="796" ht="15.75" customHeight="1">
      <c r="A796" s="10">
        <f>COUNTIFS($B$2:$B$996,B796)</f>
        <v/>
      </c>
      <c r="B796" s="10" t="inlineStr">
        <is>
          <t>Mão de obra de rodapé Poliestireno</t>
        </is>
      </c>
      <c r="C796" s="11" t="inlineStr">
        <is>
          <t>UN</t>
        </is>
      </c>
      <c r="D796" s="2162">
        <f>E796*$D$1</f>
        <v/>
      </c>
      <c r="E796" s="2162" t="n">
        <v>28</v>
      </c>
      <c r="F796" s="2162" t="inlineStr">
        <is>
          <t>Serviço Terceiros</t>
        </is>
      </c>
      <c r="G796" s="2162" t="inlineStr">
        <is>
          <t>Serviço Terceiros</t>
        </is>
      </c>
      <c r="H796" s="2162" t="n"/>
      <c r="I796" s="4" t="inlineStr">
        <is>
          <t>Mão de obra de Terceiros</t>
        </is>
      </c>
    </row>
    <row r="797" ht="15.75" customHeight="1">
      <c r="A797" s="10">
        <f>COUNTIFS($B$2:$B$996,B797)</f>
        <v/>
      </c>
      <c r="B797" s="10" t="inlineStr">
        <is>
          <t>Mão de obra de rodapé Porcelanato</t>
        </is>
      </c>
      <c r="C797" s="11" t="inlineStr">
        <is>
          <t>UN</t>
        </is>
      </c>
      <c r="D797" s="2162">
        <f>E797*$D$1</f>
        <v/>
      </c>
      <c r="E797" s="2162" t="n">
        <v>24</v>
      </c>
      <c r="F797" s="2162" t="inlineStr">
        <is>
          <t>Serviço Terceiros</t>
        </is>
      </c>
      <c r="G797" s="2162" t="inlineStr">
        <is>
          <t>Serviço Terceiros</t>
        </is>
      </c>
      <c r="H797" s="2162" t="inlineStr">
        <is>
          <t>Valor encarrecido pois o piso é grande e recortado do piso</t>
        </is>
      </c>
      <c r="I797" s="4" t="inlineStr">
        <is>
          <t>Mão de obra de Terceiros</t>
        </is>
      </c>
    </row>
    <row r="798" ht="15.75" customHeight="1">
      <c r="A798" s="10">
        <f>COUNTIFS($B$2:$B$996,B798)</f>
        <v/>
      </c>
      <c r="B798" s="10" t="inlineStr">
        <is>
          <t>Mão de obra de rodapé Madeira/MDF</t>
        </is>
      </c>
      <c r="C798" s="11" t="inlineStr">
        <is>
          <t>UN</t>
        </is>
      </c>
      <c r="D798" s="2162">
        <f>E798*$D$1</f>
        <v/>
      </c>
      <c r="E798" s="2162" t="n">
        <v>24.5</v>
      </c>
      <c r="F798" s="2162" t="inlineStr">
        <is>
          <t>Serviço Terceiros</t>
        </is>
      </c>
      <c r="G798" s="2162" t="inlineStr">
        <is>
          <t>Serviço Terceiros</t>
        </is>
      </c>
      <c r="H798" s="2162" t="n"/>
      <c r="I798" s="4" t="inlineStr">
        <is>
          <t>Mão de obra de Terceiros</t>
        </is>
      </c>
    </row>
    <row r="799" ht="15.75" customHeight="1">
      <c r="A799" s="10">
        <f>COUNTIFS($B$2:$B$996,B799)</f>
        <v/>
      </c>
      <c r="B799" s="10" t="inlineStr">
        <is>
          <t>Mão de obra de rodapé Pedra/Granito</t>
        </is>
      </c>
      <c r="C799" s="11" t="inlineStr">
        <is>
          <t>UN</t>
        </is>
      </c>
      <c r="D799" s="2162">
        <f>E799*$D$1</f>
        <v/>
      </c>
      <c r="E799" s="2162" t="n">
        <v>22</v>
      </c>
      <c r="F799" s="2162" t="inlineStr">
        <is>
          <t>Serviço Terceiros</t>
        </is>
      </c>
      <c r="G799" s="2162" t="inlineStr">
        <is>
          <t>Serviço Terceiros</t>
        </is>
      </c>
      <c r="H799" s="2162" t="n"/>
      <c r="I799" s="4" t="inlineStr">
        <is>
          <t>Mão de obra de Terceiros</t>
        </is>
      </c>
    </row>
    <row r="800" ht="15.75" customHeight="1">
      <c r="A800" s="10">
        <f>COUNTIFS($B$2:$B$996,B800)</f>
        <v/>
      </c>
      <c r="B800" s="10" t="inlineStr">
        <is>
          <t>Mão de obra estucamento de paredes</t>
        </is>
      </c>
      <c r="C800" s="11" t="inlineStr">
        <is>
          <t>M2</t>
        </is>
      </c>
      <c r="D800" s="2162">
        <f>E800*$D$1</f>
        <v/>
      </c>
      <c r="E800" s="2162" t="n">
        <v>30</v>
      </c>
      <c r="F800" s="2162" t="inlineStr">
        <is>
          <t>Serviço Terceiros</t>
        </is>
      </c>
      <c r="G800" s="2162" t="inlineStr">
        <is>
          <t>Serviço Terceiros</t>
        </is>
      </c>
      <c r="H800" s="2162" t="inlineStr">
        <is>
          <t>COTAÇÃO GESSELE</t>
        </is>
      </c>
      <c r="I800" s="4" t="inlineStr">
        <is>
          <t>Mão de obra de Terceiros</t>
        </is>
      </c>
    </row>
    <row r="801" ht="15.75" customHeight="1">
      <c r="A801" s="10">
        <f>COUNTIFS($B$2:$B$996,B801)</f>
        <v/>
      </c>
      <c r="B801" s="10" t="inlineStr">
        <is>
          <t>Mão de obra execução de contrapiso comum e Acústico</t>
        </is>
      </c>
      <c r="C801" s="11" t="inlineStr">
        <is>
          <t>M2</t>
        </is>
      </c>
      <c r="D801" s="2162">
        <f>E801*$D$1</f>
        <v/>
      </c>
      <c r="E801" s="2162" t="n">
        <v>40</v>
      </c>
      <c r="F801" s="2162" t="inlineStr">
        <is>
          <t>Serviço Terceiros</t>
        </is>
      </c>
      <c r="G801" s="2162" t="inlineStr">
        <is>
          <t>Serviço Terceiros</t>
        </is>
      </c>
      <c r="H801" s="2162" t="n"/>
      <c r="I801" s="4" t="inlineStr">
        <is>
          <t>Mão de obra de Terceiros</t>
        </is>
      </c>
    </row>
    <row r="802" ht="15.75" customHeight="1">
      <c r="A802" s="10">
        <f>COUNTIFS($B$2:$B$996,B802)</f>
        <v/>
      </c>
      <c r="B802" s="10" t="inlineStr">
        <is>
          <t>Mão de obra execução Piso de concreto polido</t>
        </is>
      </c>
      <c r="C802" s="11" t="inlineStr">
        <is>
          <t>M2</t>
        </is>
      </c>
      <c r="D802" s="2162">
        <f>E802*$D$1</f>
        <v/>
      </c>
      <c r="E802" s="2162" t="n">
        <v>40</v>
      </c>
      <c r="F802" s="2162" t="inlineStr">
        <is>
          <t>Serviço Terceiros</t>
        </is>
      </c>
      <c r="G802" s="2162" t="inlineStr">
        <is>
          <t>Serviço Terceiros</t>
        </is>
      </c>
      <c r="H802" s="2162" t="n"/>
      <c r="I802" s="4" t="inlineStr">
        <is>
          <t>Mão de obra de Terceiros</t>
        </is>
      </c>
    </row>
    <row r="803" ht="15.75" customHeight="1">
      <c r="A803" s="10">
        <f>COUNTIFS($B$2:$B$996,B803)</f>
        <v/>
      </c>
      <c r="B803" s="10" t="inlineStr">
        <is>
          <t>Mão de obra execução Piso cimentado</t>
        </is>
      </c>
      <c r="C803" s="11" t="inlineStr">
        <is>
          <t>M2</t>
        </is>
      </c>
      <c r="D803" s="2162">
        <f>E803*$D$1</f>
        <v/>
      </c>
      <c r="E803" s="2162" t="n">
        <v>40</v>
      </c>
      <c r="F803" s="2162" t="inlineStr">
        <is>
          <t>Serviço Terceiros</t>
        </is>
      </c>
      <c r="G803" s="2162" t="inlineStr">
        <is>
          <t>Serviço Terceiros</t>
        </is>
      </c>
      <c r="H803" s="2162" t="n"/>
      <c r="I803" s="4" t="inlineStr">
        <is>
          <t>Mão de obra de Terceiros</t>
        </is>
      </c>
    </row>
    <row r="804" ht="15.75" customHeight="1">
      <c r="A804" s="10">
        <f>COUNTIFS($B$2:$B$996,B804)</f>
        <v/>
      </c>
      <c r="B804" s="10" t="inlineStr">
        <is>
          <t>Mão de obra para textura em teto, 1 demão</t>
        </is>
      </c>
      <c r="C804" s="11" t="inlineStr">
        <is>
          <t>M2</t>
        </is>
      </c>
      <c r="D804" s="2162">
        <f>E804*$D$1</f>
        <v/>
      </c>
      <c r="E804" s="2162" t="n">
        <v>40</v>
      </c>
      <c r="F804" s="2162" t="inlineStr">
        <is>
          <t>Serviço Terceiros</t>
        </is>
      </c>
      <c r="G804" s="2162" t="inlineStr">
        <is>
          <t>Serviço Terceiros</t>
        </is>
      </c>
      <c r="H804" s="2162" t="n"/>
      <c r="I804" s="4" t="inlineStr">
        <is>
          <t>Mão de obra de Terceiros</t>
        </is>
      </c>
    </row>
    <row r="805" ht="15.75" customHeight="1">
      <c r="A805" s="10">
        <f>COUNTIFS($B$2:$B$996,B805)</f>
        <v/>
      </c>
      <c r="B805" s="10" t="inlineStr">
        <is>
          <t>Mão de obra para pintura em pisos , 2 demãos</t>
        </is>
      </c>
      <c r="C805" s="11" t="inlineStr">
        <is>
          <t>M2</t>
        </is>
      </c>
      <c r="D805" s="2162">
        <f>E805*$D$1</f>
        <v/>
      </c>
      <c r="E805" s="2162" t="n">
        <v>41</v>
      </c>
      <c r="F805" s="2162" t="inlineStr">
        <is>
          <t>Serviço Terceiros</t>
        </is>
      </c>
      <c r="G805" s="2162" t="inlineStr">
        <is>
          <t>Serviço Terceiros</t>
        </is>
      </c>
      <c r="H805" s="2162" t="n"/>
      <c r="I805" s="4" t="inlineStr">
        <is>
          <t>Mão de obra de Terceiros</t>
        </is>
      </c>
    </row>
    <row r="806" ht="15.75" customHeight="1">
      <c r="A806" s="10">
        <f>COUNTIFS($B$2:$B$996,B806)</f>
        <v/>
      </c>
      <c r="B806" s="10" t="inlineStr">
        <is>
          <t>Mão de obra para pintura em rodapés, 3 demãos</t>
        </is>
      </c>
      <c r="C806" s="11" t="inlineStr">
        <is>
          <t>M2</t>
        </is>
      </c>
      <c r="D806" s="2162">
        <f>E806*$D$1</f>
        <v/>
      </c>
      <c r="E806" s="2162" t="n">
        <v>55</v>
      </c>
      <c r="F806" s="2162" t="inlineStr">
        <is>
          <t>Serviço Terceiros</t>
        </is>
      </c>
      <c r="G806" s="2162" t="inlineStr">
        <is>
          <t>Serviço Terceiros</t>
        </is>
      </c>
      <c r="H806" s="2162" t="n"/>
      <c r="I806" s="4" t="inlineStr">
        <is>
          <t>Mão de obra de Terceiros</t>
        </is>
      </c>
    </row>
    <row r="807" ht="15.75" customHeight="1">
      <c r="A807" s="10">
        <f>COUNTIFS($B$2:$B$996,B807)</f>
        <v/>
      </c>
      <c r="B807" s="10" t="inlineStr">
        <is>
          <t>Mão de obra para demarcação de vagas epoxi</t>
        </is>
      </c>
      <c r="C807" s="11" t="inlineStr">
        <is>
          <t>M2</t>
        </is>
      </c>
      <c r="D807" s="2162">
        <f>E807*$D$1</f>
        <v/>
      </c>
      <c r="E807" s="2162" t="n">
        <v>40</v>
      </c>
      <c r="F807" s="2162" t="inlineStr">
        <is>
          <t>Serviço Terceiros</t>
        </is>
      </c>
      <c r="G807" s="2162" t="inlineStr">
        <is>
          <t>Serviço Terceiros</t>
        </is>
      </c>
      <c r="H807" s="2162" t="n"/>
      <c r="I807" s="4" t="inlineStr">
        <is>
          <t>Mão de obra de Terceiros</t>
        </is>
      </c>
    </row>
    <row r="808" ht="15.75" customHeight="1">
      <c r="A808" s="10">
        <f>COUNTIFS($B$2:$B$996,B808)</f>
        <v/>
      </c>
      <c r="B808" s="10" t="inlineStr">
        <is>
          <t>Mão de obra para demarcação de vagas, 3 demãos</t>
        </is>
      </c>
      <c r="C808" s="11" t="inlineStr">
        <is>
          <t>M2</t>
        </is>
      </c>
      <c r="D808" s="2162">
        <f>E808*$D$1</f>
        <v/>
      </c>
      <c r="E808" s="2162" t="n">
        <v>20</v>
      </c>
      <c r="F808" s="2162" t="inlineStr">
        <is>
          <t>Serviço Terceiros</t>
        </is>
      </c>
      <c r="G808" s="2162" t="inlineStr">
        <is>
          <t>Serviço Terceiros</t>
        </is>
      </c>
      <c r="H808" s="2162" t="n"/>
      <c r="I808" s="4" t="inlineStr">
        <is>
          <t>Mão de obra de Terceiros</t>
        </is>
      </c>
    </row>
    <row r="809" ht="15.75" customHeight="1">
      <c r="A809" s="10">
        <f>COUNTIFS($B$2:$B$996,B809)</f>
        <v/>
      </c>
      <c r="B809" s="10" t="inlineStr">
        <is>
          <t>Mão de obra para Textura em paredes internas, 1 demãos</t>
        </is>
      </c>
      <c r="C809" s="11" t="inlineStr">
        <is>
          <t>M2</t>
        </is>
      </c>
      <c r="D809" s="2162">
        <f>E809*$D$1</f>
        <v/>
      </c>
      <c r="E809" s="2162" t="n">
        <v>40</v>
      </c>
      <c r="F809" s="2162" t="inlineStr">
        <is>
          <t>Serviço Terceiros</t>
        </is>
      </c>
      <c r="G809" s="2162" t="inlineStr">
        <is>
          <t>Serviço Terceiros</t>
        </is>
      </c>
      <c r="H809" s="2162" t="n"/>
      <c r="I809" s="4" t="inlineStr">
        <is>
          <t>Mão de obra de Terceiros</t>
        </is>
      </c>
    </row>
    <row r="810" ht="15.75" customHeight="1">
      <c r="A810" s="10">
        <f>COUNTIFS($B$2:$B$996,B810)</f>
        <v/>
      </c>
      <c r="B810" s="10" t="inlineStr">
        <is>
          <t>Mão de obra execução de estucamento em teto</t>
        </is>
      </c>
      <c r="C810" s="11" t="inlineStr">
        <is>
          <t>M2</t>
        </is>
      </c>
      <c r="D810" s="2162">
        <f>E810*$D$1</f>
        <v/>
      </c>
      <c r="E810" s="2162" t="n">
        <v>25</v>
      </c>
      <c r="F810" s="2162" t="inlineStr">
        <is>
          <t>Serviço Terceiros</t>
        </is>
      </c>
      <c r="G810" s="2162" t="inlineStr">
        <is>
          <t>Serviço Terceiros</t>
        </is>
      </c>
      <c r="H810" s="2162" t="n"/>
      <c r="I810" s="4" t="inlineStr">
        <is>
          <t>Mão de obra de Terceiros</t>
        </is>
      </c>
    </row>
    <row r="811" ht="15.75" customHeight="1">
      <c r="A811" s="10">
        <f>COUNTIFS($B$2:$B$996,B811)</f>
        <v/>
      </c>
      <c r="B811" s="10" t="inlineStr">
        <is>
          <t>Mão de obra execução de Reboco em teto</t>
        </is>
      </c>
      <c r="C811" s="11" t="inlineStr">
        <is>
          <t>M2</t>
        </is>
      </c>
      <c r="D811" s="2162">
        <f>E811*$D$1</f>
        <v/>
      </c>
      <c r="E811" s="2162" t="n">
        <v>40</v>
      </c>
      <c r="F811" s="2162" t="inlineStr">
        <is>
          <t>Serviço Terceiros</t>
        </is>
      </c>
      <c r="G811" s="2162" t="inlineStr">
        <is>
          <t>Serviço Terceiros</t>
        </is>
      </c>
      <c r="H811" s="2162" t="n"/>
      <c r="I811" s="4" t="inlineStr">
        <is>
          <t>Mão de obra de Terceiros</t>
        </is>
      </c>
    </row>
    <row r="812" ht="15.75" customHeight="1">
      <c r="A812" s="10">
        <f>COUNTIFS($B$2:$B$996,B812)</f>
        <v/>
      </c>
      <c r="B812" s="10" t="inlineStr">
        <is>
          <t>Revestimento cerâmico em tetos</t>
        </is>
      </c>
      <c r="C812" s="11" t="inlineStr">
        <is>
          <t>M2</t>
        </is>
      </c>
      <c r="D812" s="2162">
        <f>E812*$D$1</f>
        <v/>
      </c>
      <c r="E812" s="2162" t="n">
        <v>75</v>
      </c>
      <c r="F812" s="2162" t="inlineStr">
        <is>
          <t>Serviço Terceiros</t>
        </is>
      </c>
      <c r="G812" s="2162" t="inlineStr">
        <is>
          <t>Serviço Terceiros</t>
        </is>
      </c>
      <c r="H812" s="2162" t="n"/>
      <c r="I812" s="4" t="inlineStr">
        <is>
          <t>Mão de obra de Terceiros</t>
        </is>
      </c>
    </row>
    <row r="813" ht="15.75" customHeight="1">
      <c r="A813" s="10">
        <f>COUNTIFS($B$2:$B$996,B813)</f>
        <v/>
      </c>
      <c r="B813" s="10" t="inlineStr">
        <is>
          <t>Mão de obra execução Piso de concreto</t>
        </is>
      </c>
      <c r="C813" s="11" t="inlineStr">
        <is>
          <t>M2</t>
        </is>
      </c>
      <c r="D813" s="2162">
        <f>E813*$D$1</f>
        <v/>
      </c>
      <c r="E813" s="2162" t="n">
        <v>25</v>
      </c>
      <c r="F813" s="2162" t="inlineStr">
        <is>
          <t>Serviço Terceiros</t>
        </is>
      </c>
      <c r="G813" s="2162" t="inlineStr">
        <is>
          <t>Serviço Terceiros</t>
        </is>
      </c>
      <c r="H813" s="2162" t="n"/>
      <c r="I813" s="4" t="inlineStr">
        <is>
          <t>Mão de obra de Terceiros</t>
        </is>
      </c>
    </row>
    <row r="814" ht="15.75" customHeight="1">
      <c r="A814" s="10">
        <f>COUNTIFS($B$2:$B$996,B814)</f>
        <v/>
      </c>
      <c r="B814" s="10" t="inlineStr">
        <is>
          <t>Mão de obra execução regularização de Piso</t>
        </is>
      </c>
      <c r="C814" s="11" t="inlineStr">
        <is>
          <t>M2</t>
        </is>
      </c>
      <c r="D814" s="2162">
        <f>E814*$D$1</f>
        <v/>
      </c>
      <c r="E814" s="2162" t="n">
        <v>40</v>
      </c>
      <c r="F814" s="2162" t="inlineStr">
        <is>
          <t>Serviço Terceiros</t>
        </is>
      </c>
      <c r="G814" s="2162" t="inlineStr">
        <is>
          <t>Serviço Terceiros</t>
        </is>
      </c>
      <c r="H814" s="2162" t="n"/>
      <c r="I814" s="4" t="inlineStr">
        <is>
          <t>Mão de obra de Terceiros</t>
        </is>
      </c>
    </row>
    <row r="815" ht="15.75" customHeight="1">
      <c r="A815" s="10">
        <f>COUNTIFS($B$2:$B$996,B815)</f>
        <v/>
      </c>
      <c r="B815" s="10" t="inlineStr">
        <is>
          <t>Mão de obra execução de massa para Drywall em paredes</t>
        </is>
      </c>
      <c r="C815" s="11" t="inlineStr">
        <is>
          <t>UN</t>
        </is>
      </c>
      <c r="D815" s="2162">
        <f>E815*$D$1</f>
        <v/>
      </c>
      <c r="E815" s="2162" t="n">
        <v>15</v>
      </c>
      <c r="F815" s="2162" t="inlineStr">
        <is>
          <t>Serviço Terceiros</t>
        </is>
      </c>
      <c r="G815" s="2162" t="inlineStr">
        <is>
          <t>Serviço Terceiros</t>
        </is>
      </c>
      <c r="H815" s="2162" t="n"/>
      <c r="I815" s="4" t="inlineStr">
        <is>
          <t>Mão de obra de Terceiros</t>
        </is>
      </c>
    </row>
    <row r="816" ht="15.75" customHeight="1">
      <c r="A816" s="10">
        <f>COUNTIFS($B$2:$B$996,B816)</f>
        <v/>
      </c>
      <c r="B816" s="10" t="inlineStr">
        <is>
          <t>Mão de obra aplicação de papel de parede em paredes</t>
        </is>
      </c>
      <c r="C816" s="11" t="inlineStr">
        <is>
          <t>M2</t>
        </is>
      </c>
      <c r="D816" s="2162">
        <f>E816*$D$1</f>
        <v/>
      </c>
      <c r="E816" s="2162" t="n">
        <v>50</v>
      </c>
      <c r="F816" s="2162" t="inlineStr">
        <is>
          <t>Serviço Terceiros</t>
        </is>
      </c>
      <c r="G816" s="2162" t="inlineStr">
        <is>
          <t>Serviço Terceiros</t>
        </is>
      </c>
      <c r="H816" s="2162" t="n"/>
      <c r="I816" s="4" t="inlineStr">
        <is>
          <t>Mão de obra de Terceiros</t>
        </is>
      </c>
    </row>
    <row r="817" ht="15.75" customHeight="1">
      <c r="A817" s="10">
        <f>COUNTIFS($B$2:$B$996,B817)</f>
        <v/>
      </c>
      <c r="B817" s="10" t="inlineStr">
        <is>
          <t>Mão de obra execução de massa de gesso em paredes</t>
        </is>
      </c>
      <c r="C817" s="11" t="inlineStr">
        <is>
          <t>UN</t>
        </is>
      </c>
      <c r="D817" s="2162">
        <f>E817*$D$1</f>
        <v/>
      </c>
      <c r="E817" s="2162" t="n">
        <v>15</v>
      </c>
      <c r="F817" s="2162" t="inlineStr">
        <is>
          <t>Serviço Terceiros</t>
        </is>
      </c>
      <c r="G817" s="2162" t="inlineStr">
        <is>
          <t>Serviço Terceiros</t>
        </is>
      </c>
      <c r="H817" s="2162" t="n"/>
      <c r="I817" s="4" t="inlineStr">
        <is>
          <t>Mão de obra de Terceiros</t>
        </is>
      </c>
    </row>
    <row r="818" ht="15.75" customHeight="1">
      <c r="A818" s="10">
        <f>COUNTIFS($B$2:$B$996,B818)</f>
        <v/>
      </c>
      <c r="B818" s="10" t="inlineStr">
        <is>
          <t>Mão de obra execução de massa única em paredes interna, incluindo chapisco</t>
        </is>
      </c>
      <c r="C818" s="11" t="inlineStr">
        <is>
          <t>UN</t>
        </is>
      </c>
      <c r="D818" s="2162">
        <f>E818*$D$1</f>
        <v/>
      </c>
      <c r="E818" s="2162" t="n">
        <v>42</v>
      </c>
      <c r="F818" s="2162" t="inlineStr">
        <is>
          <t>Serviço Terceiros</t>
        </is>
      </c>
      <c r="G818" s="2162" t="inlineStr">
        <is>
          <t>Serviço Terceiros</t>
        </is>
      </c>
      <c r="H818" s="2162" t="inlineStr">
        <is>
          <t>COTAÇÃO GESSELE</t>
        </is>
      </c>
      <c r="I818" s="4" t="inlineStr">
        <is>
          <t>Mão de obra de Terceiros</t>
        </is>
      </c>
    </row>
    <row r="819" ht="15.75" customHeight="1">
      <c r="A819" s="10">
        <f>COUNTIFS($B$2:$B$996,B819)</f>
        <v/>
      </c>
      <c r="B819" s="10" t="inlineStr">
        <is>
          <t>Mão de obra de facahda ventilada</t>
        </is>
      </c>
      <c r="C819" s="11" t="inlineStr">
        <is>
          <t>M2</t>
        </is>
      </c>
      <c r="D819" s="2162">
        <f>E819*$D$1</f>
        <v/>
      </c>
      <c r="E819" s="2162">
        <f>18+239+20+30</f>
        <v/>
      </c>
      <c r="F819" s="2162" t="inlineStr">
        <is>
          <t>Serviço Terceiros</t>
        </is>
      </c>
      <c r="G819" s="2162" t="inlineStr">
        <is>
          <t>Serviço Terceiros</t>
        </is>
      </c>
      <c r="H819" s="2162" t="n"/>
      <c r="I819" s="4" t="inlineStr">
        <is>
          <t>Mão de obra de Terceiros</t>
        </is>
      </c>
    </row>
    <row r="820" ht="15.75" customHeight="1">
      <c r="A820" s="10">
        <f>COUNTIFS($B$2:$B$996,B820)</f>
        <v/>
      </c>
      <c r="B820" s="10" t="inlineStr">
        <is>
          <t>Mão de obra execução de piso elevado</t>
        </is>
      </c>
      <c r="C820" s="11" t="inlineStr">
        <is>
          <t>M2</t>
        </is>
      </c>
      <c r="D820" s="2162">
        <f>E820*$D$1</f>
        <v/>
      </c>
      <c r="E820" s="2162" t="n">
        <v>150</v>
      </c>
      <c r="F820" s="2162" t="inlineStr">
        <is>
          <t>Serviço Terceiros</t>
        </is>
      </c>
      <c r="G820" s="2162" t="inlineStr">
        <is>
          <t>Serviço Terceiros</t>
        </is>
      </c>
      <c r="H820" s="2162" t="n"/>
      <c r="I820" s="4" t="inlineStr">
        <is>
          <t>Mão de obra de Terceiros</t>
        </is>
      </c>
    </row>
    <row r="821" ht="15.75" customHeight="1">
      <c r="A821" s="10">
        <f>COUNTIFS($B$2:$B$996,B821)</f>
        <v/>
      </c>
      <c r="B821" s="10" t="inlineStr">
        <is>
          <t>Mão de obra execução de piso Lajota</t>
        </is>
      </c>
      <c r="C821" s="11" t="inlineStr">
        <is>
          <t>M2</t>
        </is>
      </c>
      <c r="D821" s="2162">
        <f>E821*$D$1</f>
        <v/>
      </c>
      <c r="E821" s="2162" t="n">
        <v>80</v>
      </c>
      <c r="F821" s="2162" t="inlineStr">
        <is>
          <t>Serviço Terceiros</t>
        </is>
      </c>
      <c r="G821" s="2162" t="inlineStr">
        <is>
          <t>Serviço Terceiros</t>
        </is>
      </c>
      <c r="H821" s="2162" t="n"/>
      <c r="I821" s="4" t="inlineStr">
        <is>
          <t>Mão de obra de Terceiros</t>
        </is>
      </c>
    </row>
    <row r="822" ht="15.75" customHeight="1">
      <c r="A822" s="10">
        <f>COUNTIFS($B$2:$B$996,B822)</f>
        <v/>
      </c>
      <c r="B822" s="10" t="inlineStr">
        <is>
          <t>Mão de obra para assentamento de Travertino em piso</t>
        </is>
      </c>
      <c r="C822" s="11" t="inlineStr">
        <is>
          <t>M2</t>
        </is>
      </c>
      <c r="D822" s="2162">
        <f>E822*$D$1</f>
        <v/>
      </c>
      <c r="E822" s="2162" t="n">
        <v>85</v>
      </c>
      <c r="F822" s="2162" t="inlineStr">
        <is>
          <t>Serviço Terceiros</t>
        </is>
      </c>
      <c r="G822" s="2162" t="inlineStr">
        <is>
          <t>Serviço Terceiros</t>
        </is>
      </c>
      <c r="H822" s="2162" t="n"/>
      <c r="I822" s="4" t="inlineStr">
        <is>
          <t>Mão de obra de Terceiros</t>
        </is>
      </c>
    </row>
    <row r="823" ht="15.75" customHeight="1">
      <c r="A823" s="10">
        <f>COUNTIFS($B$2:$B$996,B823)</f>
        <v/>
      </c>
      <c r="B823" s="10" t="inlineStr">
        <is>
          <t>Mão de obra para assentamento de Pedras Naturais em piso</t>
        </is>
      </c>
      <c r="C823" s="11" t="inlineStr">
        <is>
          <t>M2</t>
        </is>
      </c>
      <c r="D823" s="2162">
        <f>E823*$D$1</f>
        <v/>
      </c>
      <c r="E823" s="2162" t="n">
        <v>85</v>
      </c>
      <c r="F823" s="2162" t="inlineStr">
        <is>
          <t>Serviço Terceiros</t>
        </is>
      </c>
      <c r="G823" s="2162" t="inlineStr">
        <is>
          <t>Serviço Terceiros</t>
        </is>
      </c>
      <c r="H823" s="2162" t="n"/>
      <c r="I823" s="4" t="inlineStr">
        <is>
          <t>Mão de obra de Terceiros</t>
        </is>
      </c>
    </row>
    <row r="824" ht="15.75" customHeight="1">
      <c r="A824" s="10">
        <f>COUNTIFS($B$2:$B$996,B824)</f>
        <v/>
      </c>
      <c r="B824" s="10" t="inlineStr">
        <is>
          <t>Mão de obra execução Piso Intertravado</t>
        </is>
      </c>
      <c r="C824" s="11" t="inlineStr">
        <is>
          <t>UN</t>
        </is>
      </c>
      <c r="D824" s="2162">
        <f>E824*$D$1</f>
        <v/>
      </c>
      <c r="E824" s="2162" t="n">
        <v>25</v>
      </c>
      <c r="F824" s="2162" t="inlineStr">
        <is>
          <t>Serviço Terceiros</t>
        </is>
      </c>
      <c r="G824" s="2162" t="inlineStr">
        <is>
          <t>Serviço Terceiros</t>
        </is>
      </c>
      <c r="H824" s="2162" t="n"/>
      <c r="I824" s="4" t="inlineStr">
        <is>
          <t>Mão de obra de Terceiros</t>
        </is>
      </c>
    </row>
    <row r="825" ht="15.75" customHeight="1">
      <c r="A825" s="10">
        <f>COUNTIFS($B$2:$B$996,B825)</f>
        <v/>
      </c>
      <c r="B825" s="10" t="inlineStr">
        <is>
          <t>Mão de obra impermeabilização com emulsão Asfaltica</t>
        </is>
      </c>
      <c r="C825" s="11" t="inlineStr">
        <is>
          <t>M2</t>
        </is>
      </c>
      <c r="D825" s="2162">
        <f>E825*$D$1</f>
        <v/>
      </c>
      <c r="E825" s="2162" t="n">
        <v>28</v>
      </c>
      <c r="F825" s="2162" t="inlineStr">
        <is>
          <t>Serviço Terceiros</t>
        </is>
      </c>
      <c r="G825" s="2162" t="inlineStr">
        <is>
          <t>Serviço Terceiros</t>
        </is>
      </c>
      <c r="H825" s="2162" t="n"/>
      <c r="I825" s="4" t="inlineStr">
        <is>
          <t>Mão de obra de Terceiros</t>
        </is>
      </c>
    </row>
    <row r="826" ht="15.75" customHeight="1">
      <c r="A826" s="10">
        <f>COUNTIFS($B$2:$B$996,B826)</f>
        <v/>
      </c>
      <c r="B826" s="10" t="inlineStr">
        <is>
          <t>Mão de obra massa de gesso de paredes externas</t>
        </is>
      </c>
      <c r="C826" s="11" t="inlineStr">
        <is>
          <t>M2</t>
        </is>
      </c>
      <c r="D826" s="2162">
        <f>E826*$D$1</f>
        <v/>
      </c>
      <c r="E826" s="2162" t="n">
        <v>25</v>
      </c>
      <c r="F826" s="2162" t="inlineStr">
        <is>
          <t>Serviço Terceiros</t>
        </is>
      </c>
      <c r="G826" s="2162" t="inlineStr">
        <is>
          <t>Serviço Terceiros</t>
        </is>
      </c>
      <c r="H826" s="2162" t="n"/>
      <c r="I826" s="4" t="inlineStr">
        <is>
          <t>Mão de obra de Terceiros</t>
        </is>
      </c>
    </row>
    <row r="827" ht="15.75" customHeight="1">
      <c r="A827" s="10">
        <f>COUNTIFS($B$2:$B$996,B827)</f>
        <v/>
      </c>
      <c r="B827" s="10" t="inlineStr">
        <is>
          <t>Mão de obra para aplicação de molduras em paredes externas</t>
        </is>
      </c>
      <c r="C827" s="11" t="inlineStr">
        <is>
          <t>M2</t>
        </is>
      </c>
      <c r="D827" s="2162">
        <f>E827*$D$1</f>
        <v/>
      </c>
      <c r="E827" s="2162" t="n">
        <v>120</v>
      </c>
      <c r="F827" s="2162" t="inlineStr">
        <is>
          <t>Serviço Terceiros</t>
        </is>
      </c>
      <c r="G827" s="2162" t="inlineStr">
        <is>
          <t>Serviço Terceiros</t>
        </is>
      </c>
      <c r="H827" s="2162" t="n"/>
      <c r="I827" s="4" t="inlineStr">
        <is>
          <t>Mão de obra de Terceiros</t>
        </is>
      </c>
    </row>
    <row r="828" ht="15.75" customHeight="1">
      <c r="A828" s="10">
        <f>COUNTIFS($B$2:$B$996,B828)</f>
        <v/>
      </c>
      <c r="B828" s="10" t="inlineStr">
        <is>
          <t>Mão de obra impermeabilização com manta liquida em Fachadas</t>
        </is>
      </c>
      <c r="C828" s="11" t="inlineStr">
        <is>
          <t>UN</t>
        </is>
      </c>
      <c r="D828" s="2162">
        <f>E828*$D$1</f>
        <v/>
      </c>
      <c r="E828" s="2162" t="n">
        <v>30</v>
      </c>
      <c r="F828" s="2162" t="inlineStr">
        <is>
          <t>Serviço Terceiros</t>
        </is>
      </c>
      <c r="G828" s="2162" t="inlineStr">
        <is>
          <t>Serviço Terceiros</t>
        </is>
      </c>
      <c r="H828" s="2162" t="n"/>
      <c r="I828" s="4" t="inlineStr">
        <is>
          <t>Mão de obra de Terceiros</t>
        </is>
      </c>
    </row>
    <row r="829" ht="15.75" customHeight="1">
      <c r="A829" s="10">
        <f>COUNTIFS($B$2:$B$996,B829)</f>
        <v/>
      </c>
      <c r="B829" s="10" t="inlineStr">
        <is>
          <t>Mão de obra impermeabilização com manta liquida em peitoris</t>
        </is>
      </c>
      <c r="C829" s="11" t="inlineStr">
        <is>
          <t>UN</t>
        </is>
      </c>
      <c r="D829" s="2162">
        <f>E829*$D$1</f>
        <v/>
      </c>
      <c r="E829" s="2162" t="n">
        <v>30</v>
      </c>
      <c r="F829" s="2162" t="inlineStr">
        <is>
          <t>Serviço Terceiros</t>
        </is>
      </c>
      <c r="G829" s="2162" t="inlineStr">
        <is>
          <t>Serviço Terceiros</t>
        </is>
      </c>
      <c r="H829" s="2162" t="n"/>
      <c r="I829" s="4" t="inlineStr">
        <is>
          <t>Mão de obra de Terceiros</t>
        </is>
      </c>
    </row>
    <row r="830" ht="15.75" customHeight="1">
      <c r="A830" s="10">
        <f>COUNTIFS($B$2:$B$996,B830)</f>
        <v/>
      </c>
      <c r="B830" s="10" t="inlineStr">
        <is>
          <t>Mão de obra impermeabilização de argamassa polimérica</t>
        </is>
      </c>
      <c r="C830" s="11" t="inlineStr">
        <is>
          <t>UN</t>
        </is>
      </c>
      <c r="D830" s="2162">
        <f>E830*$D$1</f>
        <v/>
      </c>
      <c r="E830" s="2162" t="n">
        <v>30</v>
      </c>
      <c r="F830" s="2162" t="inlineStr">
        <is>
          <t>Serviço Terceiros</t>
        </is>
      </c>
      <c r="G830" s="2162" t="inlineStr">
        <is>
          <t>Serviço Terceiros</t>
        </is>
      </c>
      <c r="H830" s="2162" t="n"/>
      <c r="I830" s="4" t="inlineStr">
        <is>
          <t>Mão de obra de Terceiros</t>
        </is>
      </c>
    </row>
    <row r="831" ht="15.75" customHeight="1">
      <c r="A831" s="10">
        <f>COUNTIFS($B$2:$B$996,B831)</f>
        <v/>
      </c>
      <c r="B831" s="10" t="inlineStr">
        <is>
          <t>Mão de obra impermeabilização com membrana de polimero</t>
        </is>
      </c>
      <c r="C831" s="11" t="inlineStr">
        <is>
          <t>UN</t>
        </is>
      </c>
      <c r="D831" s="2162">
        <f>E831*$D$1</f>
        <v/>
      </c>
      <c r="E831" s="2162" t="n">
        <v>30</v>
      </c>
      <c r="F831" s="2162" t="inlineStr">
        <is>
          <t>Serviço Terceiros</t>
        </is>
      </c>
      <c r="G831" s="2162" t="inlineStr">
        <is>
          <t>Serviço Terceiros</t>
        </is>
      </c>
      <c r="H831" s="2162" t="n"/>
      <c r="I831" s="4" t="inlineStr">
        <is>
          <t>Mão de obra de Terceiros</t>
        </is>
      </c>
    </row>
    <row r="832" ht="15.75" customHeight="1">
      <c r="A832" s="10">
        <f>COUNTIFS($B$2:$B$996,B832)</f>
        <v/>
      </c>
      <c r="B832" s="10" t="inlineStr">
        <is>
          <t>Mão de obra para assentamento de Ladrilhos</t>
        </is>
      </c>
      <c r="C832" s="11" t="inlineStr">
        <is>
          <t>M2</t>
        </is>
      </c>
      <c r="D832" s="2162">
        <f>E832*$D$1</f>
        <v/>
      </c>
      <c r="E832" s="2162" t="n">
        <v>75</v>
      </c>
      <c r="F832" s="2162" t="inlineStr">
        <is>
          <t>Serviço Terceiros</t>
        </is>
      </c>
      <c r="G832" s="2162" t="inlineStr">
        <is>
          <t>Serviço Terceiros</t>
        </is>
      </c>
      <c r="H832" s="2162" t="n"/>
      <c r="I832" s="4" t="inlineStr">
        <is>
          <t>Mão de obra de Terceiros</t>
        </is>
      </c>
    </row>
    <row r="833" ht="15.75" customHeight="1">
      <c r="A833" s="10">
        <f>COUNTIFS($B$2:$B$996,B833)</f>
        <v/>
      </c>
      <c r="B833" s="10" t="inlineStr">
        <is>
          <t xml:space="preserve">Mão de obra para Sistema de vedação em drywall </t>
        </is>
      </c>
      <c r="C833" s="11" t="inlineStr">
        <is>
          <t>M2</t>
        </is>
      </c>
      <c r="D833" s="2162">
        <f>E833*$D$1</f>
        <v/>
      </c>
      <c r="E833" s="2162">
        <f>(1311885.4+1252929.229)/CPU!I2153</f>
        <v/>
      </c>
      <c r="F833" s="2162" t="inlineStr">
        <is>
          <t>Serviço Terceiros</t>
        </is>
      </c>
      <c r="G833" s="2162" t="inlineStr">
        <is>
          <t>Serviço Terceiros</t>
        </is>
      </c>
      <c r="H833" s="2162" t="n"/>
      <c r="I833" s="4" t="inlineStr">
        <is>
          <t>Mão de obra de Terceiros</t>
        </is>
      </c>
    </row>
    <row r="834" ht="15.75" customHeight="1">
      <c r="A834" s="10">
        <f>COUNTIFS($B$2:$B$996,B834)</f>
        <v/>
      </c>
      <c r="B834" s="10" t="inlineStr">
        <is>
          <t>Mão de obra impermeabilização de superfície com manta líquida</t>
        </is>
      </c>
      <c r="C834" s="11" t="inlineStr">
        <is>
          <t>UN</t>
        </is>
      </c>
      <c r="D834" s="2162">
        <f>E834*$D$1</f>
        <v/>
      </c>
      <c r="E834" s="2162" t="n">
        <v>30</v>
      </c>
      <c r="F834" s="2162" t="inlineStr">
        <is>
          <t>Serviço Terceiros</t>
        </is>
      </c>
      <c r="G834" s="2162" t="inlineStr">
        <is>
          <t>Serviço Terceiros</t>
        </is>
      </c>
      <c r="H834" s="2162" t="n"/>
      <c r="I834" s="4" t="inlineStr">
        <is>
          <t>Mão de obra de Terceiros</t>
        </is>
      </c>
    </row>
    <row r="835" ht="15.75" customHeight="1">
      <c r="A835" s="10">
        <f>COUNTIFS($B$2:$B$996,B835)</f>
        <v/>
      </c>
      <c r="B835" s="10" t="inlineStr">
        <is>
          <t>Mão de obra impermeabilização de superfície com manta asfáltica</t>
        </is>
      </c>
      <c r="C835" s="11" t="inlineStr">
        <is>
          <t>UN</t>
        </is>
      </c>
      <c r="D835" s="2162">
        <f>E835*$D$1</f>
        <v/>
      </c>
      <c r="E835" s="2162" t="n">
        <v>45</v>
      </c>
      <c r="F835" s="2162" t="inlineStr">
        <is>
          <t>Serviço Terceiros</t>
        </is>
      </c>
      <c r="G835" s="2162" t="inlineStr">
        <is>
          <t>Serviço Terceiros</t>
        </is>
      </c>
      <c r="H835" s="2162" t="n"/>
      <c r="I835" s="4" t="inlineStr">
        <is>
          <t>Mão de obra de Terceiros</t>
        </is>
      </c>
    </row>
    <row r="836" ht="15.75" customHeight="1">
      <c r="A836" s="10">
        <f>COUNTIFS($B$2:$B$996,B836)</f>
        <v/>
      </c>
      <c r="B836" s="10" t="inlineStr">
        <is>
          <t>Mão de obra impermeabilização sistema 2.1.4</t>
        </is>
      </c>
      <c r="C836" s="11" t="inlineStr">
        <is>
          <t>M2</t>
        </is>
      </c>
      <c r="D836" s="2162">
        <f>E836*$D$1</f>
        <v/>
      </c>
      <c r="E836" s="2162" t="n">
        <v>30</v>
      </c>
      <c r="F836" s="2162" t="inlineStr">
        <is>
          <t>Serviço Terceiros</t>
        </is>
      </c>
      <c r="G836" s="2162" t="inlineStr">
        <is>
          <t>Serviço Terceiros</t>
        </is>
      </c>
      <c r="H836" s="2178" t="inlineStr">
        <is>
          <t>-</t>
        </is>
      </c>
      <c r="I836" s="4" t="inlineStr">
        <is>
          <t>Mão de obra de Terceiros</t>
        </is>
      </c>
    </row>
    <row r="837" ht="15.75" customHeight="1">
      <c r="A837" s="10">
        <f>COUNTIFS($B$2:$B$996,B837)</f>
        <v/>
      </c>
      <c r="B837" s="10" t="inlineStr">
        <is>
          <t>Mão de obra impermeabilização sistema 2.5.3</t>
        </is>
      </c>
      <c r="C837" s="11" t="inlineStr">
        <is>
          <t>M2</t>
        </is>
      </c>
      <c r="D837" s="2162">
        <f>E837*$D$1</f>
        <v/>
      </c>
      <c r="E837" s="2162" t="n">
        <v>32</v>
      </c>
      <c r="F837" s="2162" t="inlineStr">
        <is>
          <t>Serviço Terceiros</t>
        </is>
      </c>
      <c r="G837" s="2162" t="inlineStr">
        <is>
          <t>Serviço Terceiros</t>
        </is>
      </c>
      <c r="H837" s="2162" t="inlineStr">
        <is>
          <t>Mão de obra aplicação (2 demãos + reforço pontos críticos)</t>
        </is>
      </c>
      <c r="I837" s="4" t="inlineStr">
        <is>
          <t>Mão de obra de Terceiros</t>
        </is>
      </c>
    </row>
    <row r="838" ht="15.75" customHeight="1">
      <c r="A838" s="10">
        <f>COUNTIFS($B$2:$B$996,B838)</f>
        <v/>
      </c>
      <c r="B838" s="10" t="inlineStr">
        <is>
          <t>Mão de obra impermeabilização sistema 2.8.6</t>
        </is>
      </c>
      <c r="C838" s="11" t="inlineStr">
        <is>
          <t>M2</t>
        </is>
      </c>
      <c r="D838" s="2162">
        <f>E838*$D$1</f>
        <v/>
      </c>
      <c r="E838" s="2162" t="n">
        <v>38</v>
      </c>
      <c r="F838" s="2162" t="inlineStr">
        <is>
          <t>Serviço Terceiros</t>
        </is>
      </c>
      <c r="G838" s="2162" t="inlineStr">
        <is>
          <t>Serviço Terceiros</t>
        </is>
      </c>
      <c r="H838" s="2162" t="inlineStr">
        <is>
          <t>Mão de obra reforçada (3 demãos totais)</t>
        </is>
      </c>
      <c r="I838" s="4" t="inlineStr">
        <is>
          <t>Mão de obra de Terceiros</t>
        </is>
      </c>
    </row>
    <row r="839" ht="15.75" customHeight="1">
      <c r="A839" s="10">
        <f>COUNTIFS($B$2:$B$996,B839)</f>
        <v/>
      </c>
      <c r="B839" s="10" t="inlineStr">
        <is>
          <t>Mão de obra impermeabilização sistema 4.2.4</t>
        </is>
      </c>
      <c r="C839" s="11" t="inlineStr">
        <is>
          <t>M2</t>
        </is>
      </c>
      <c r="D839" s="2162">
        <f>E839*$D$1</f>
        <v/>
      </c>
      <c r="E839" s="2162" t="n">
        <v>45</v>
      </c>
      <c r="F839" s="2162" t="inlineStr">
        <is>
          <t>Serviço Terceiros</t>
        </is>
      </c>
      <c r="G839" s="2162" t="inlineStr">
        <is>
          <t>Serviço Terceiros</t>
        </is>
      </c>
      <c r="H839" s="2178" t="inlineStr">
        <is>
          <t>-</t>
        </is>
      </c>
      <c r="I839" s="4" t="inlineStr">
        <is>
          <t>Mão de obra de Terceiros</t>
        </is>
      </c>
    </row>
    <row r="840" ht="15.75" customHeight="1">
      <c r="A840" s="10">
        <f>COUNTIFS($B$2:$B$996,B840)</f>
        <v/>
      </c>
      <c r="B840" s="10" t="inlineStr">
        <is>
          <t>Mão de obra impermeabilização sistema 4.5.3</t>
        </is>
      </c>
      <c r="C840" s="11" t="inlineStr">
        <is>
          <t>M2</t>
        </is>
      </c>
      <c r="D840" s="2162">
        <f>E840*$D$1</f>
        <v/>
      </c>
      <c r="E840" s="2162" t="n">
        <v>45</v>
      </c>
      <c r="F840" s="2162" t="inlineStr">
        <is>
          <t>Serviço Terceiros</t>
        </is>
      </c>
      <c r="G840" s="2162" t="inlineStr">
        <is>
          <t>Serviço Terceiros</t>
        </is>
      </c>
      <c r="H840" s="2162" t="inlineStr">
        <is>
          <t>Mão de obra maçarico + sobreposição</t>
        </is>
      </c>
      <c r="I840" s="4" t="inlineStr">
        <is>
          <t>Mão de obra de Terceiros</t>
        </is>
      </c>
    </row>
    <row r="841" ht="15.75" customHeight="1">
      <c r="A841" s="10">
        <f>COUNTIFS($B$2:$B$996,B841)</f>
        <v/>
      </c>
      <c r="B841" s="10" t="inlineStr">
        <is>
          <t>Mão de obra impermeabilização sistema 4.9.2</t>
        </is>
      </c>
      <c r="C841" s="11" t="inlineStr">
        <is>
          <t>M2</t>
        </is>
      </c>
      <c r="D841" s="2162">
        <f>E841*$D$1</f>
        <v/>
      </c>
      <c r="E841" s="2162" t="n">
        <v>62</v>
      </c>
      <c r="F841" s="2162" t="inlineStr">
        <is>
          <t>Serviço Terceiros</t>
        </is>
      </c>
      <c r="G841" s="2162" t="inlineStr">
        <is>
          <t>Serviço Terceiros</t>
        </is>
      </c>
      <c r="H841" s="2162" t="inlineStr">
        <is>
          <t>Mão de obra dupla manta</t>
        </is>
      </c>
      <c r="I841" s="4" t="inlineStr">
        <is>
          <t>Mão de obra de Terceiros</t>
        </is>
      </c>
    </row>
    <row r="842" ht="15.75" customHeight="1">
      <c r="A842" s="10">
        <f>COUNTIFS($B$2:$B$996,B842)</f>
        <v/>
      </c>
      <c r="B842" s="10" t="inlineStr">
        <is>
          <t>Mão de obra impermeabilização sistema 7.1.2</t>
        </is>
      </c>
      <c r="C842" s="11" t="inlineStr">
        <is>
          <t>M2</t>
        </is>
      </c>
      <c r="D842" s="2162">
        <f>E842*$D$1</f>
        <v/>
      </c>
      <c r="E842" s="2162" t="n">
        <v>35</v>
      </c>
      <c r="F842" s="2162" t="inlineStr">
        <is>
          <t>Serviço Terceiros</t>
        </is>
      </c>
      <c r="G842" s="2162" t="inlineStr">
        <is>
          <t>Serviço Terceiros</t>
        </is>
      </c>
      <c r="H842" s="2162" t="inlineStr">
        <is>
          <t>Mão de obra especializada</t>
        </is>
      </c>
      <c r="I842" s="4" t="inlineStr">
        <is>
          <t>Mão de obra de Terceiros</t>
        </is>
      </c>
    </row>
    <row r="843" ht="15.75" customHeight="1">
      <c r="A843" s="10">
        <f>COUNTIFS($B$2:$B$996,B843)</f>
        <v/>
      </c>
      <c r="B843" s="10" t="inlineStr">
        <is>
          <t>Mão de obra impermeabilização sistema 7.1.6</t>
        </is>
      </c>
      <c r="C843" s="11" t="inlineStr">
        <is>
          <t>M2</t>
        </is>
      </c>
      <c r="D843" s="2162">
        <f>E843*$D$1</f>
        <v/>
      </c>
      <c r="E843" s="2162" t="n">
        <v>42</v>
      </c>
      <c r="F843" s="2162" t="inlineStr">
        <is>
          <t>Serviço Terceiros</t>
        </is>
      </c>
      <c r="G843" s="2162" t="inlineStr">
        <is>
          <t>Serviço Terceiros</t>
        </is>
      </c>
      <c r="H843" s="2162" t="inlineStr">
        <is>
          <t>Mão de obra especializada</t>
        </is>
      </c>
      <c r="I843" s="4" t="inlineStr">
        <is>
          <t>Mão de obra de Terceiros</t>
        </is>
      </c>
    </row>
    <row r="844" ht="15.75" customHeight="1">
      <c r="A844" s="10">
        <f>COUNTIFS($B$2:$B$996,B844)</f>
        <v/>
      </c>
      <c r="B844" s="10" t="inlineStr">
        <is>
          <t>Mão de obra instalação de forro de madeira</t>
        </is>
      </c>
      <c r="C844" s="11" t="inlineStr">
        <is>
          <t>M2</t>
        </is>
      </c>
      <c r="D844" s="2162">
        <f>E844*$D$1</f>
        <v/>
      </c>
      <c r="E844" s="2162" t="n">
        <v>150</v>
      </c>
      <c r="F844" s="2162" t="inlineStr">
        <is>
          <t>Serviço Terceiros</t>
        </is>
      </c>
      <c r="G844" s="2162" t="inlineStr">
        <is>
          <t>Serviço Terceiros</t>
        </is>
      </c>
      <c r="H844" s="2162" t="n"/>
      <c r="I844" s="4" t="inlineStr">
        <is>
          <t>Mão de obra de Terceiros</t>
        </is>
      </c>
    </row>
    <row r="845" ht="15.75" customHeight="1">
      <c r="A845" s="10">
        <f>COUNTIFS($B$2:$B$996,B845)</f>
        <v/>
      </c>
      <c r="B845" s="10" t="inlineStr">
        <is>
          <t>Mão de obra instalação de Porcelanato no teto</t>
        </is>
      </c>
      <c r="C845" s="11" t="inlineStr">
        <is>
          <t>M2</t>
        </is>
      </c>
      <c r="D845" s="2162">
        <f>E845*$D$1</f>
        <v/>
      </c>
      <c r="E845" s="2162" t="n">
        <v>150</v>
      </c>
      <c r="F845" s="2162" t="inlineStr">
        <is>
          <t>Serviço Terceiros</t>
        </is>
      </c>
      <c r="G845" s="2162" t="inlineStr">
        <is>
          <t>Serviço Terceiros</t>
        </is>
      </c>
      <c r="H845" s="2162" t="n"/>
      <c r="I845" s="4" t="inlineStr">
        <is>
          <t>Mão de obra de Terceiros</t>
        </is>
      </c>
    </row>
    <row r="846" ht="15.75" customHeight="1">
      <c r="A846" s="10">
        <f>COUNTIFS($B$2:$B$996,B846)</f>
        <v/>
      </c>
      <c r="B846" s="10" t="inlineStr">
        <is>
          <t>Mão de obra para aplicação de Pastilhas em paredes externas</t>
        </is>
      </c>
      <c r="C846" s="11" t="inlineStr">
        <is>
          <t>UN</t>
        </is>
      </c>
      <c r="D846" s="2162">
        <f>E846*$D$1</f>
        <v/>
      </c>
      <c r="E846" s="2162" t="n">
        <v>95</v>
      </c>
      <c r="F846" s="2162" t="inlineStr">
        <is>
          <t>Serviço Terceiros</t>
        </is>
      </c>
      <c r="G846" s="2162" t="inlineStr">
        <is>
          <t>Serviço Terceiros</t>
        </is>
      </c>
      <c r="H846" s="2162" t="n"/>
      <c r="I846" s="4" t="inlineStr">
        <is>
          <t>Mão de obra de Terceiros</t>
        </is>
      </c>
    </row>
    <row r="847" ht="15.75" customHeight="1">
      <c r="A847" s="10">
        <f>COUNTIFS($B$2:$B$996,B847)</f>
        <v/>
      </c>
      <c r="B847" s="10" t="inlineStr">
        <is>
          <t>Mão de obra para execução de pedra natural em piso áreas externas</t>
        </is>
      </c>
      <c r="C847" s="11" t="inlineStr">
        <is>
          <t>M2</t>
        </is>
      </c>
      <c r="D847" s="2162">
        <f>E847*$D$1</f>
        <v/>
      </c>
      <c r="E847" s="2162" t="n">
        <v>150</v>
      </c>
      <c r="F847" s="2162" t="inlineStr">
        <is>
          <t>Serviço Terceiros</t>
        </is>
      </c>
      <c r="G847" s="2162" t="inlineStr">
        <is>
          <t>Serviço Terceiros</t>
        </is>
      </c>
      <c r="H847" s="2162" t="n"/>
      <c r="I847" s="4" t="inlineStr">
        <is>
          <t>Mão de obra de Terceiros</t>
        </is>
      </c>
    </row>
    <row r="848" ht="15.75" customHeight="1">
      <c r="A848" s="10">
        <f>COUNTIFS($B$2:$B$996,B848)</f>
        <v/>
      </c>
      <c r="B848" s="10" t="inlineStr">
        <is>
          <t>Mão de obra para aplicação de Pedra Natural em paredes externas</t>
        </is>
      </c>
      <c r="C848" s="11" t="inlineStr">
        <is>
          <t>M2</t>
        </is>
      </c>
      <c r="D848" s="2162">
        <f>E848*$D$1</f>
        <v/>
      </c>
      <c r="E848" s="2162" t="n">
        <v>95</v>
      </c>
      <c r="F848" s="2162" t="inlineStr">
        <is>
          <t>Serviço Terceiros</t>
        </is>
      </c>
      <c r="G848" s="2162" t="inlineStr">
        <is>
          <t>Serviço Terceiros</t>
        </is>
      </c>
      <c r="H848" s="2162" t="n"/>
      <c r="I848" s="4" t="inlineStr">
        <is>
          <t>Mão de obra de Terceiros</t>
        </is>
      </c>
    </row>
    <row r="849" ht="15.75" customHeight="1">
      <c r="A849" s="10">
        <f>COUNTIFS($B$2:$B$996,B849)</f>
        <v/>
      </c>
      <c r="B849" s="10" t="inlineStr">
        <is>
          <t>Mão de obra para aplicação de Pintura em paredes externas - 3 demãos</t>
        </is>
      </c>
      <c r="C849" s="11" t="inlineStr">
        <is>
          <t>UN</t>
        </is>
      </c>
      <c r="D849" s="2162">
        <f>E849*$D$1</f>
        <v/>
      </c>
      <c r="E849" s="2162" t="n">
        <v>58</v>
      </c>
      <c r="F849" s="2162" t="inlineStr">
        <is>
          <t>Serviço Terceiros</t>
        </is>
      </c>
      <c r="G849" s="2162" t="inlineStr">
        <is>
          <t>Serviço Terceiros</t>
        </is>
      </c>
      <c r="H849" s="2162" t="n"/>
      <c r="I849" s="4" t="inlineStr">
        <is>
          <t>Mão de obra de Terceiros</t>
        </is>
      </c>
    </row>
    <row r="850" ht="15.75" customHeight="1">
      <c r="A850" s="10">
        <f>COUNTIFS($B$2:$B$996,B850)</f>
        <v/>
      </c>
      <c r="B850" s="10" t="inlineStr">
        <is>
          <t>Mão de obra para aplicação de Mármore em teto</t>
        </is>
      </c>
      <c r="C850" s="11" t="inlineStr">
        <is>
          <t>UN</t>
        </is>
      </c>
      <c r="D850" s="2162">
        <f>E850*$D$1</f>
        <v/>
      </c>
      <c r="E850" s="2162" t="n">
        <v>200</v>
      </c>
      <c r="F850" s="2162" t="inlineStr">
        <is>
          <t>Serviço Terceiros</t>
        </is>
      </c>
      <c r="G850" s="2162" t="inlineStr">
        <is>
          <t>Serviço Terceiros</t>
        </is>
      </c>
      <c r="H850" s="2162" t="n"/>
      <c r="I850" s="4" t="inlineStr">
        <is>
          <t>Mão de obra de Terceiros</t>
        </is>
      </c>
    </row>
    <row r="851" ht="15.75" customHeight="1">
      <c r="A851" s="10">
        <f>COUNTIFS($B$2:$B$996,B851)</f>
        <v/>
      </c>
      <c r="B851" s="10" t="inlineStr">
        <is>
          <t>Mão de obra para aplicação de Porcelanato em paredes externas</t>
        </is>
      </c>
      <c r="C851" s="11" t="inlineStr">
        <is>
          <t>UN</t>
        </is>
      </c>
      <c r="D851" s="2162">
        <f>E851*$D$1</f>
        <v/>
      </c>
      <c r="E851" s="2162" t="n">
        <v>85</v>
      </c>
      <c r="F851" s="2162" t="inlineStr">
        <is>
          <t>Serviço Terceiros</t>
        </is>
      </c>
      <c r="G851" s="2162" t="inlineStr">
        <is>
          <t>Serviço Terceiros</t>
        </is>
      </c>
      <c r="H851" s="2162" t="n"/>
      <c r="I851" s="4" t="inlineStr">
        <is>
          <t>Mão de obra de Terceiros</t>
        </is>
      </c>
    </row>
    <row r="852" ht="15.75" customHeight="1">
      <c r="A852" s="10">
        <f>COUNTIFS($B$2:$B$996,B852)</f>
        <v/>
      </c>
      <c r="B852" s="10" t="inlineStr">
        <is>
          <t>Mão de Obra Aplicação de Revestimento Monolítico</t>
        </is>
      </c>
      <c r="C852" s="11" t="inlineStr">
        <is>
          <t>m2</t>
        </is>
      </c>
      <c r="D852" s="2162">
        <f>E852*$D$1</f>
        <v/>
      </c>
      <c r="E852" s="2162" t="n">
        <v>80</v>
      </c>
      <c r="F852" s="2162" t="inlineStr">
        <is>
          <t>Serviço Terceiros</t>
        </is>
      </c>
      <c r="G852" s="2162" t="inlineStr">
        <is>
          <t>Serviço Terceiros</t>
        </is>
      </c>
      <c r="H852" s="2162" t="n"/>
      <c r="I852" s="4" t="inlineStr">
        <is>
          <t>Mão de obra de Terceiros</t>
        </is>
      </c>
    </row>
    <row r="853" ht="15.75" customHeight="1">
      <c r="A853" s="10">
        <f>COUNTIFS($B$2:$B$996,B853)</f>
        <v/>
      </c>
      <c r="B853" s="10" t="inlineStr">
        <is>
          <t>Mão de obra para execução de m2 de moldura de eps</t>
        </is>
      </c>
      <c r="C853" s="11" t="inlineStr">
        <is>
          <t>m2</t>
        </is>
      </c>
      <c r="D853" s="2162">
        <f>E853*$D$1</f>
        <v/>
      </c>
      <c r="E853" s="2162" t="n">
        <v>150</v>
      </c>
      <c r="F853" s="2162" t="inlineStr">
        <is>
          <t>Serviço Terceiros</t>
        </is>
      </c>
      <c r="G853" s="2162" t="inlineStr">
        <is>
          <t>Serviço Terceiros</t>
        </is>
      </c>
      <c r="H853" s="2162" t="n"/>
      <c r="I853" s="4" t="inlineStr">
        <is>
          <t>Mão de obra de Terceiros</t>
        </is>
      </c>
    </row>
    <row r="854" ht="15.75" customHeight="1">
      <c r="A854" s="10">
        <f>COUNTIFS($B$2:$B$996,B854)</f>
        <v/>
      </c>
      <c r="B854" s="10" t="inlineStr">
        <is>
          <t>Mão de obra para execução de fachada ventilada</t>
        </is>
      </c>
      <c r="C854" s="11" t="inlineStr">
        <is>
          <t>m2</t>
        </is>
      </c>
      <c r="D854" s="2162">
        <f>E854*$D$1</f>
        <v/>
      </c>
      <c r="E854" s="2162" t="n">
        <v>175</v>
      </c>
      <c r="F854" s="2162" t="inlineStr">
        <is>
          <t>Serviço Terceiros</t>
        </is>
      </c>
      <c r="G854" s="2162" t="inlineStr">
        <is>
          <t>Serviço Terceiros</t>
        </is>
      </c>
      <c r="H854" s="2162" t="n"/>
      <c r="I854" s="4" t="inlineStr">
        <is>
          <t>Mão de obra de Terceiros</t>
        </is>
      </c>
    </row>
    <row r="855" ht="15.75" customHeight="1">
      <c r="A855" s="10">
        <f>COUNTIFS($B$2:$B$996,B855)</f>
        <v/>
      </c>
      <c r="B855" s="10" t="inlineStr">
        <is>
          <t>Mão de obra para aplicação de textura em paredes externas - 1 demão</t>
        </is>
      </c>
      <c r="C855" s="11" t="inlineStr">
        <is>
          <t>UN</t>
        </is>
      </c>
      <c r="D855" s="2162">
        <f>E855*$D$1</f>
        <v/>
      </c>
      <c r="E855" s="2162" t="n">
        <v>58</v>
      </c>
      <c r="F855" s="2162" t="inlineStr">
        <is>
          <t>Serviço Terceiros</t>
        </is>
      </c>
      <c r="G855" s="2162" t="inlineStr">
        <is>
          <t>Serviço Terceiros</t>
        </is>
      </c>
      <c r="H855" s="2162" t="n"/>
      <c r="I855" s="4" t="inlineStr">
        <is>
          <t>Mão de obra de Terceiros</t>
        </is>
      </c>
    </row>
    <row r="856" ht="15.75" customHeight="1">
      <c r="A856" s="10">
        <f>COUNTIFS($B$2:$B$996,B856)</f>
        <v/>
      </c>
      <c r="B856" s="10" t="inlineStr">
        <is>
          <t>Mão de obra para assentamento de blocos cerâmicos</t>
        </is>
      </c>
      <c r="C856" s="11" t="inlineStr">
        <is>
          <t>M2</t>
        </is>
      </c>
      <c r="D856" s="2162">
        <f>E856*$D$1</f>
        <v/>
      </c>
      <c r="E856" s="2162" t="n">
        <v>47</v>
      </c>
      <c r="F856" s="2162" t="inlineStr">
        <is>
          <t>Serviço Terceiros</t>
        </is>
      </c>
      <c r="G856" s="2162" t="inlineStr">
        <is>
          <t>Serviço Terceiros</t>
        </is>
      </c>
      <c r="H856" s="2162" t="inlineStr">
        <is>
          <t>COTAÇÃO GESSELE</t>
        </is>
      </c>
      <c r="I856" s="4" t="inlineStr">
        <is>
          <t>Mão de obra de Terceiros</t>
        </is>
      </c>
    </row>
    <row r="857" ht="15.75" customHeight="1">
      <c r="A857" s="10">
        <f>COUNTIFS($B$2:$B$996,B857)</f>
        <v/>
      </c>
      <c r="B857" s="10" t="inlineStr">
        <is>
          <t>Mão de obra para assentamento de blocos concreto</t>
        </is>
      </c>
      <c r="C857" s="11" t="inlineStr">
        <is>
          <t>UN</t>
        </is>
      </c>
      <c r="D857" s="2162">
        <f>E857*$D$1</f>
        <v/>
      </c>
      <c r="E857" s="2162" t="n">
        <v>47</v>
      </c>
      <c r="F857" s="2162" t="inlineStr">
        <is>
          <t>Serviço Terceiros</t>
        </is>
      </c>
      <c r="G857" s="2162" t="inlineStr">
        <is>
          <t>Serviço Terceiros</t>
        </is>
      </c>
      <c r="H857" s="2162" t="inlineStr">
        <is>
          <t>COTAÇÃO GESSELE</t>
        </is>
      </c>
      <c r="I857" s="4" t="inlineStr">
        <is>
          <t>Mão de obra de Terceiros</t>
        </is>
      </c>
    </row>
    <row r="858" ht="15.75" customHeight="1">
      <c r="A858" s="10">
        <f>COUNTIFS($B$2:$B$996,B858)</f>
        <v/>
      </c>
      <c r="B858" s="10" t="inlineStr">
        <is>
          <t>Mão de obra para assentamento de blocos concreto Estrutural</t>
        </is>
      </c>
      <c r="C858" s="11" t="inlineStr">
        <is>
          <t>UN</t>
        </is>
      </c>
      <c r="D858" s="2162">
        <f>E858*$D$1</f>
        <v/>
      </c>
      <c r="E858" s="2162" t="n">
        <v>48</v>
      </c>
      <c r="F858" s="2162" t="inlineStr">
        <is>
          <t>Serviço Terceiros</t>
        </is>
      </c>
      <c r="G858" s="2162" t="inlineStr">
        <is>
          <t>Serviço Terceiros</t>
        </is>
      </c>
      <c r="H858" s="2162" t="n"/>
      <c r="I858" s="4" t="inlineStr">
        <is>
          <t>Mão de obra de Terceiros</t>
        </is>
      </c>
    </row>
    <row r="859" ht="15.75" customHeight="1">
      <c r="A859" s="10">
        <f>COUNTIFS($B$2:$B$996,B859)</f>
        <v/>
      </c>
      <c r="B859" s="10" t="inlineStr">
        <is>
          <t xml:space="preserve">Mão de obra para assentamento de blocos de Refratário </t>
        </is>
      </c>
      <c r="C859" s="11" t="inlineStr">
        <is>
          <t>UN</t>
        </is>
      </c>
      <c r="D859" s="2162">
        <f>E859*$D$1</f>
        <v/>
      </c>
      <c r="E859" s="2162" t="n">
        <v>48</v>
      </c>
      <c r="F859" s="2162" t="inlineStr">
        <is>
          <t>Serviço Terceiros</t>
        </is>
      </c>
      <c r="G859" s="2162" t="inlineStr">
        <is>
          <t>Serviço Terceiros</t>
        </is>
      </c>
      <c r="H859" s="2162" t="n"/>
      <c r="I859" s="4" t="inlineStr">
        <is>
          <t>Mão de obra de Terceiros</t>
        </is>
      </c>
    </row>
    <row r="860" ht="15.75" customHeight="1">
      <c r="A860" s="10">
        <f>COUNTIFS($B$2:$B$996,B860)</f>
        <v/>
      </c>
      <c r="B860" s="10" t="inlineStr">
        <is>
          <t>Mão de obra para assentamento de blocos de silico calcarios</t>
        </is>
      </c>
      <c r="C860" s="11" t="inlineStr">
        <is>
          <t>UN</t>
        </is>
      </c>
      <c r="D860" s="2162">
        <f>E860*$D$1</f>
        <v/>
      </c>
      <c r="E860" s="2162" t="n">
        <v>47</v>
      </c>
      <c r="F860" s="2162" t="inlineStr">
        <is>
          <t>Serviço Terceiros</t>
        </is>
      </c>
      <c r="G860" s="2162" t="inlineStr">
        <is>
          <t>Serviço Terceiros</t>
        </is>
      </c>
      <c r="H860" s="2162" t="inlineStr">
        <is>
          <t>COTAÇÃO GESSELE</t>
        </is>
      </c>
      <c r="I860" s="4" t="inlineStr">
        <is>
          <t>Mão de obra de Terceiros</t>
        </is>
      </c>
    </row>
    <row r="861" ht="15.75" customHeight="1">
      <c r="A861" s="10">
        <f>COUNTIFS($B$2:$B$996,B861)</f>
        <v/>
      </c>
      <c r="B861" s="10" t="inlineStr">
        <is>
          <t>Mão de obra para assentamento de Pastilhas em Piscina</t>
        </is>
      </c>
      <c r="C861" s="11" t="inlineStr">
        <is>
          <t>UN</t>
        </is>
      </c>
      <c r="D861" s="2162">
        <f>E861*$D$1</f>
        <v/>
      </c>
      <c r="E861" s="2162" t="n">
        <v>55</v>
      </c>
      <c r="F861" s="2162" t="inlineStr">
        <is>
          <t>Serviço Terceiros</t>
        </is>
      </c>
      <c r="G861" s="2162" t="inlineStr">
        <is>
          <t>Serviço Terceiros</t>
        </is>
      </c>
      <c r="H861" s="2162" t="n"/>
      <c r="I861" s="4" t="inlineStr">
        <is>
          <t>Mão de obra de Terceiros</t>
        </is>
      </c>
    </row>
    <row r="862" ht="15.75" customHeight="1">
      <c r="A862" s="10">
        <f>COUNTIFS($B$2:$B$996,B862)</f>
        <v/>
      </c>
      <c r="B862" s="10" t="inlineStr">
        <is>
          <t>Mão de obra para assentamento de Pedras Naturais em parede</t>
        </is>
      </c>
      <c r="C862" s="11" t="inlineStr">
        <is>
          <t>UN</t>
        </is>
      </c>
      <c r="D862" s="2162">
        <f>E862*$D$1</f>
        <v/>
      </c>
      <c r="E862" s="2162" t="n">
        <v>75</v>
      </c>
      <c r="F862" s="2162" t="inlineStr">
        <is>
          <t>Serviço Terceiros</t>
        </is>
      </c>
      <c r="G862" s="2162" t="inlineStr">
        <is>
          <t>Serviço Terceiros</t>
        </is>
      </c>
      <c r="H862" s="2162" t="n"/>
      <c r="I862" s="4" t="inlineStr">
        <is>
          <t>Mão de obra de Terceiros</t>
        </is>
      </c>
    </row>
    <row r="863" ht="15.75" customHeight="1">
      <c r="A863" s="10">
        <f>COUNTIFS($B$2:$B$996,B863)</f>
        <v/>
      </c>
      <c r="B863" s="10" t="inlineStr">
        <is>
          <t>Mão de obra para assentamento de revestimento cerâmico em parede</t>
        </is>
      </c>
      <c r="C863" s="11" t="inlineStr">
        <is>
          <t>UN</t>
        </is>
      </c>
      <c r="D863" s="2162">
        <f>E863*$D$1</f>
        <v/>
      </c>
      <c r="E863" s="2162" t="n">
        <v>75</v>
      </c>
      <c r="F863" s="2162" t="inlineStr">
        <is>
          <t>Serviço Terceiros</t>
        </is>
      </c>
      <c r="G863" s="2162" t="inlineStr">
        <is>
          <t>Serviço Terceiros</t>
        </is>
      </c>
      <c r="H863" s="2162" t="n"/>
      <c r="I863" s="4" t="inlineStr">
        <is>
          <t>Mão de obra de Terceiros</t>
        </is>
      </c>
    </row>
    <row r="864" ht="15.75" customHeight="1">
      <c r="A864" s="10">
        <f>COUNTIFS($B$2:$B$996,B864)</f>
        <v/>
      </c>
      <c r="B864" s="10" t="inlineStr">
        <is>
          <t>Mão de obra para assentamento de requadros em portas de elevador</t>
        </is>
      </c>
      <c r="C864" s="11" t="inlineStr">
        <is>
          <t>UN</t>
        </is>
      </c>
      <c r="D864" s="2162">
        <f>E864*$D$1</f>
        <v/>
      </c>
      <c r="E864" s="2162" t="n">
        <v>50</v>
      </c>
      <c r="F864" s="2162" t="inlineStr">
        <is>
          <t>Serviço Terceiros</t>
        </is>
      </c>
      <c r="G864" s="2162" t="inlineStr">
        <is>
          <t>Serviço Terceiros</t>
        </is>
      </c>
      <c r="H864" s="2162" t="n"/>
      <c r="I864" s="4" t="inlineStr">
        <is>
          <t>Mão de obra de Terceiros</t>
        </is>
      </c>
    </row>
    <row r="865" ht="15.75" customHeight="1">
      <c r="A865" s="10">
        <f>COUNTIFS($B$2:$B$996,B865)</f>
        <v/>
      </c>
      <c r="B865" s="10" t="inlineStr">
        <is>
          <t>Mão de obra para enchimento de EPS em piso</t>
        </is>
      </c>
      <c r="C865" s="11" t="inlineStr">
        <is>
          <t>UN</t>
        </is>
      </c>
      <c r="D865" s="2162">
        <f>E865*$D$1</f>
        <v/>
      </c>
      <c r="E865" s="2162" t="n">
        <v>60</v>
      </c>
      <c r="F865" s="2162" t="inlineStr">
        <is>
          <t>Serviço Terceiros</t>
        </is>
      </c>
      <c r="G865" s="2162" t="inlineStr">
        <is>
          <t>Serviço Terceiros</t>
        </is>
      </c>
      <c r="H865" s="2162" t="n"/>
      <c r="I865" s="4" t="inlineStr">
        <is>
          <t>Mão de obra de Terceiros</t>
        </is>
      </c>
    </row>
    <row r="866" ht="15.75" customHeight="1">
      <c r="A866" s="10">
        <f>COUNTIFS($B$2:$B$996,B866)</f>
        <v/>
      </c>
      <c r="B866" s="10" t="inlineStr">
        <is>
          <t>Mão de obra para colocação de peitoril e pingadeira</t>
        </is>
      </c>
      <c r="C866" s="11" t="inlineStr">
        <is>
          <t>UN</t>
        </is>
      </c>
      <c r="D866" s="2162">
        <f>E866*$D$1</f>
        <v/>
      </c>
      <c r="E866" s="2162" t="n">
        <v>50</v>
      </c>
      <c r="F866" s="2162" t="inlineStr">
        <is>
          <t>Serviço Terceiros</t>
        </is>
      </c>
      <c r="G866" s="2162" t="inlineStr">
        <is>
          <t>Serviço Terceiros</t>
        </is>
      </c>
      <c r="H866" s="2162" t="n"/>
      <c r="I866" s="4" t="inlineStr">
        <is>
          <t>Mão de obra de Terceiros</t>
        </is>
      </c>
    </row>
    <row r="867" ht="15.75" customHeight="1">
      <c r="A867" s="10">
        <f>COUNTIFS($B$2:$B$996,B867)</f>
        <v/>
      </c>
      <c r="B867" s="10" t="inlineStr">
        <is>
          <t>Mão de obra para pintura artistica em teto</t>
        </is>
      </c>
      <c r="C867" s="11" t="inlineStr">
        <is>
          <t>M2</t>
        </is>
      </c>
      <c r="D867" s="2162">
        <f>E867*$D$1</f>
        <v/>
      </c>
      <c r="E867" s="2162" t="n">
        <v>400</v>
      </c>
      <c r="F867" s="2162" t="inlineStr">
        <is>
          <t>Serviço Terceiros</t>
        </is>
      </c>
      <c r="G867" s="2162" t="inlineStr">
        <is>
          <t>Serviço Terceiros</t>
        </is>
      </c>
      <c r="H867" s="2162" t="n"/>
      <c r="I867" s="4" t="inlineStr">
        <is>
          <t>Mão de obra de Terceiros</t>
        </is>
      </c>
    </row>
    <row r="868" ht="15.75" customHeight="1">
      <c r="A868" s="10">
        <f>COUNTIFS($B$2:$B$996,B868)</f>
        <v/>
      </c>
      <c r="B868" s="10" t="inlineStr">
        <is>
          <t>Mão de obra para instalação de portas de madeira</t>
        </is>
      </c>
      <c r="C868" s="11" t="inlineStr">
        <is>
          <t>UN</t>
        </is>
      </c>
      <c r="D868" s="2162">
        <f>E868*$D$1</f>
        <v/>
      </c>
      <c r="E868" s="2162" t="n">
        <v>300</v>
      </c>
      <c r="F868" s="2162" t="inlineStr">
        <is>
          <t>Serviço Terceiros</t>
        </is>
      </c>
      <c r="G868" s="2162" t="inlineStr">
        <is>
          <t>Serviço Terceiros</t>
        </is>
      </c>
      <c r="H868" s="2162" t="n"/>
      <c r="I868" s="4" t="inlineStr">
        <is>
          <t>Mão de obra de Terceiros</t>
        </is>
      </c>
    </row>
    <row r="869" ht="15.75" customHeight="1">
      <c r="A869" s="10">
        <f>COUNTIFS($B$2:$B$996,B869)</f>
        <v/>
      </c>
      <c r="B869" s="10" t="inlineStr">
        <is>
          <t>Mão de obra para faixa de garagem em paredes internas, 1 demãos</t>
        </is>
      </c>
      <c r="C869" s="11" t="inlineStr">
        <is>
          <t>UN</t>
        </is>
      </c>
      <c r="D869" s="2162">
        <f>E869*$D$1</f>
        <v/>
      </c>
      <c r="E869" s="2162" t="n">
        <v>20</v>
      </c>
      <c r="F869" s="2162" t="inlineStr">
        <is>
          <t>Serviço Terceiros</t>
        </is>
      </c>
      <c r="G869" s="2162" t="inlineStr">
        <is>
          <t>Serviço Terceiros</t>
        </is>
      </c>
      <c r="H869" s="2162" t="n"/>
      <c r="I869" s="4" t="inlineStr">
        <is>
          <t>Mão de obra de Terceiros</t>
        </is>
      </c>
    </row>
    <row r="870" ht="15.75" customHeight="1">
      <c r="A870" s="10">
        <f>COUNTIFS($B$2:$B$996,B870)</f>
        <v/>
      </c>
      <c r="B870" s="10" t="inlineStr">
        <is>
          <t>Mão de obra para pintura em paredes internas, 3 demãos</t>
        </is>
      </c>
      <c r="C870" s="11" t="inlineStr">
        <is>
          <t>UN</t>
        </is>
      </c>
      <c r="D870" s="2162">
        <f>E870*$D$1</f>
        <v/>
      </c>
      <c r="E870" s="2162" t="n">
        <v>40</v>
      </c>
      <c r="F870" s="2162" t="inlineStr">
        <is>
          <t>Serviço Terceiros</t>
        </is>
      </c>
      <c r="G870" s="2162" t="inlineStr">
        <is>
          <t>Serviço Terceiros</t>
        </is>
      </c>
      <c r="H870" s="2162" t="n"/>
      <c r="I870" s="4" t="inlineStr">
        <is>
          <t>Mão de obra de Terceiros</t>
        </is>
      </c>
    </row>
    <row r="871" ht="15.75" customHeight="1">
      <c r="A871" s="10">
        <f>COUNTIFS($B$2:$B$996,B871)</f>
        <v/>
      </c>
      <c r="B871" s="10" t="inlineStr">
        <is>
          <t>Mão de obra para pintura em teto, 3 demãos</t>
        </is>
      </c>
      <c r="C871" s="11" t="inlineStr">
        <is>
          <t>UN</t>
        </is>
      </c>
      <c r="D871" s="2162">
        <f>E871*$D$1</f>
        <v/>
      </c>
      <c r="E871" s="2162" t="n">
        <v>40</v>
      </c>
      <c r="F871" s="2162" t="inlineStr">
        <is>
          <t>Serviço Terceiros</t>
        </is>
      </c>
      <c r="G871" s="2162" t="inlineStr">
        <is>
          <t>Serviço Terceiros</t>
        </is>
      </c>
      <c r="H871" s="2162" t="n"/>
      <c r="I871" s="4" t="inlineStr">
        <is>
          <t>Mão de obra de Terceiros</t>
        </is>
      </c>
    </row>
    <row r="872" ht="15.75" customHeight="1">
      <c r="A872" s="10">
        <f>COUNTIFS($B$2:$B$996,B872)</f>
        <v/>
      </c>
      <c r="B872" s="10" t="inlineStr">
        <is>
          <t>Mão de obra para proteção mecânica</t>
        </is>
      </c>
      <c r="C872" s="11" t="inlineStr">
        <is>
          <t>UN</t>
        </is>
      </c>
      <c r="D872" s="2162">
        <f>E872*$D$1</f>
        <v/>
      </c>
      <c r="E872" s="2162" t="n">
        <v>35</v>
      </c>
      <c r="F872" s="2162" t="inlineStr">
        <is>
          <t>Serviço Terceiros</t>
        </is>
      </c>
      <c r="G872" s="2162" t="inlineStr">
        <is>
          <t>Serviço Terceiros</t>
        </is>
      </c>
      <c r="H872" s="2162" t="n"/>
      <c r="I872" s="4" t="inlineStr">
        <is>
          <t>Mão de obra de Terceiros</t>
        </is>
      </c>
    </row>
    <row r="873" ht="15.75" customHeight="1">
      <c r="A873" s="10">
        <f>COUNTIFS($B$2:$B$996,B873)</f>
        <v/>
      </c>
      <c r="B873" s="10" t="inlineStr">
        <is>
          <t>Mao de obra para reboco externo - inclui chapisco</t>
        </is>
      </c>
      <c r="C873" s="11" t="inlineStr">
        <is>
          <t>UN</t>
        </is>
      </c>
      <c r="D873" s="2162">
        <f>E873*$D$1</f>
        <v/>
      </c>
      <c r="E873" s="2162" t="n">
        <v>62</v>
      </c>
      <c r="F873" s="2162" t="inlineStr">
        <is>
          <t>Serviço Terceiros</t>
        </is>
      </c>
      <c r="G873" s="2162" t="inlineStr">
        <is>
          <t>Serviço Terceiros</t>
        </is>
      </c>
      <c r="H873" s="2162" t="inlineStr">
        <is>
          <t>COTAÇÃO GESSELE</t>
        </is>
      </c>
      <c r="I873" s="4" t="inlineStr">
        <is>
          <t>Mão de obra de Terceiros</t>
        </is>
      </c>
    </row>
    <row r="874" ht="15.75" customHeight="1">
      <c r="A874" s="10">
        <f>COUNTIFS($B$2:$B$996,B874)</f>
        <v/>
      </c>
      <c r="B874" s="10" t="inlineStr">
        <is>
          <t>MAO DE OBRA - IMPRMEABILIZAÇÃO CWS100</t>
        </is>
      </c>
      <c r="C874" s="11" t="inlineStr">
        <is>
          <t>M2</t>
        </is>
      </c>
      <c r="D874" s="2162">
        <f>E874*$D$1</f>
        <v/>
      </c>
      <c r="E874" s="2162" t="n">
        <v>27.4</v>
      </c>
      <c r="F874" s="2162" t="inlineStr">
        <is>
          <t>Serviço Terceiros</t>
        </is>
      </c>
      <c r="G874" s="2162" t="inlineStr">
        <is>
          <t>Serviço Terceiros</t>
        </is>
      </c>
      <c r="H874" s="2162" t="n"/>
      <c r="I874" s="4" t="inlineStr">
        <is>
          <t>Mão de obra de Terceiros</t>
        </is>
      </c>
    </row>
    <row r="875" ht="15.75" customHeight="1">
      <c r="A875" s="10">
        <f>COUNTIFS($B$2:$B$996,B875)</f>
        <v/>
      </c>
      <c r="B875" s="10" t="inlineStr">
        <is>
          <t xml:space="preserve">Mão de obra para regularização de superfície </t>
        </is>
      </c>
      <c r="C875" s="11" t="inlineStr">
        <is>
          <t>M2</t>
        </is>
      </c>
      <c r="D875" s="2162">
        <f>E875*$D$1</f>
        <v/>
      </c>
      <c r="E875" s="2162" t="n">
        <v>20</v>
      </c>
      <c r="F875" s="2162" t="inlineStr">
        <is>
          <t>Serviço Terceiros</t>
        </is>
      </c>
      <c r="G875" s="2162" t="inlineStr">
        <is>
          <t>Serviço Terceiros</t>
        </is>
      </c>
      <c r="H875" s="2162" t="n"/>
      <c r="I875" s="4" t="inlineStr">
        <is>
          <t>Mão de obra de Terceiros</t>
        </is>
      </c>
    </row>
    <row r="876" ht="15.75" customHeight="1">
      <c r="A876" s="10">
        <f>COUNTIFS($B$2:$B$996,B876)</f>
        <v/>
      </c>
      <c r="B876" s="10" t="inlineStr">
        <is>
          <t>Mão de Obra Pinturas das faixas de Pedestres</t>
        </is>
      </c>
      <c r="C876" s="11" t="inlineStr">
        <is>
          <t>M2</t>
        </is>
      </c>
      <c r="D876" s="2162">
        <f>E876*$D$1</f>
        <v/>
      </c>
      <c r="E876" s="2162" t="n">
        <v>20</v>
      </c>
      <c r="F876" s="2162" t="inlineStr">
        <is>
          <t>Serviço Terceiros</t>
        </is>
      </c>
      <c r="G876" s="2162" t="inlineStr">
        <is>
          <t>Serviço Terceiros</t>
        </is>
      </c>
      <c r="H876" s="2162" t="n"/>
      <c r="I876" s="4" t="inlineStr">
        <is>
          <t>Mão de obra de Terceiros</t>
        </is>
      </c>
    </row>
    <row r="877" ht="15.75" customHeight="1">
      <c r="A877" s="10">
        <f>COUNTIFS($B$2:$B$996,B877)</f>
        <v/>
      </c>
      <c r="B877" s="10" t="inlineStr">
        <is>
          <t>Mão de Obra Pinturas das vias</t>
        </is>
      </c>
      <c r="C877" s="11" t="inlineStr">
        <is>
          <t>M</t>
        </is>
      </c>
      <c r="D877" s="2162">
        <f>E877*$D$1</f>
        <v/>
      </c>
      <c r="E877" s="2162" t="n">
        <v>5</v>
      </c>
      <c r="F877" s="2162" t="inlineStr">
        <is>
          <t>Serviço Terceiros</t>
        </is>
      </c>
      <c r="G877" s="2162" t="inlineStr">
        <is>
          <t>Serviço Terceiros</t>
        </is>
      </c>
      <c r="H877" s="2162" t="n"/>
      <c r="I877" s="4" t="inlineStr">
        <is>
          <t>Mão de obra de Terceiros</t>
        </is>
      </c>
    </row>
    <row r="878" ht="15.75" customHeight="1">
      <c r="A878" s="10">
        <f>COUNTIFS($B$2:$B$996,B878)</f>
        <v/>
      </c>
      <c r="B878" s="10" t="inlineStr">
        <is>
          <t>Mão de Obra Piso Porcenato/ Cerâmico</t>
        </is>
      </c>
      <c r="C878" s="11" t="inlineStr">
        <is>
          <t>UN</t>
        </is>
      </c>
      <c r="D878" s="2162">
        <f>E878*$D$1</f>
        <v/>
      </c>
      <c r="E878" s="2162" t="n">
        <v>75</v>
      </c>
      <c r="F878" s="2162" t="inlineStr">
        <is>
          <t>Serviço Terceiros</t>
        </is>
      </c>
      <c r="G878" s="2162" t="inlineStr">
        <is>
          <t>Serviço Terceiros</t>
        </is>
      </c>
      <c r="H878" s="2162" t="n"/>
      <c r="I878" s="4" t="inlineStr">
        <is>
          <t>Mão de obra de Terceiros</t>
        </is>
      </c>
    </row>
    <row r="879" ht="15.75" customHeight="1">
      <c r="A879" s="10">
        <f>COUNTIFS($B$2:$B$996,B879)</f>
        <v/>
      </c>
      <c r="B879" s="10" t="inlineStr">
        <is>
          <t>Mão de obra tratamento de ralo com manta de poliéster</t>
        </is>
      </c>
      <c r="C879" s="11" t="inlineStr">
        <is>
          <t>UN</t>
        </is>
      </c>
      <c r="D879" s="2162">
        <f>E879*$D$1</f>
        <v/>
      </c>
      <c r="E879" s="2162" t="n">
        <v>50</v>
      </c>
      <c r="F879" s="2162" t="inlineStr">
        <is>
          <t>Serviço Terceiros</t>
        </is>
      </c>
      <c r="G879" s="2162" t="inlineStr">
        <is>
          <t>Serviço Terceiros</t>
        </is>
      </c>
      <c r="H879" s="2162" t="n"/>
      <c r="I879" s="4" t="inlineStr">
        <is>
          <t>Mão de obra de Terceiros</t>
        </is>
      </c>
    </row>
    <row r="880" ht="15.75" customHeight="1">
      <c r="A880" s="10">
        <f>COUNTIFS($B$2:$B$996,B880)</f>
        <v/>
      </c>
      <c r="B880" s="10" t="inlineStr">
        <is>
          <t>Mão de obra para execução de supraestrutura de concreto armado</t>
        </is>
      </c>
      <c r="C880" s="11" t="inlineStr">
        <is>
          <t>m2</t>
        </is>
      </c>
      <c r="D880" s="2162">
        <f>E880*$D$1</f>
        <v/>
      </c>
      <c r="E880" s="2162" t="n">
        <v>290</v>
      </c>
      <c r="F880" s="2162" t="inlineStr">
        <is>
          <t>Serviço Terceiros</t>
        </is>
      </c>
      <c r="G880" s="2162" t="inlineStr">
        <is>
          <t>Serviço Terceiros</t>
        </is>
      </c>
      <c r="H880" s="2162" t="n"/>
      <c r="I880" s="4" t="inlineStr">
        <is>
          <t>Mão de obra de Terceiros</t>
        </is>
      </c>
    </row>
    <row r="881" ht="15.75" customHeight="1">
      <c r="A881" s="10">
        <f>COUNTIFS($B$2:$B$996,B881)</f>
        <v/>
      </c>
      <c r="B881" s="10" t="inlineStr">
        <is>
          <t>Mão de Obra Polimento de piso</t>
        </is>
      </c>
      <c r="C881" s="11" t="inlineStr">
        <is>
          <t>m2</t>
        </is>
      </c>
      <c r="D881" s="2162">
        <f>E881*$D$1</f>
        <v/>
      </c>
      <c r="E881" s="2162" t="n">
        <v>25</v>
      </c>
      <c r="F881" s="2162" t="inlineStr">
        <is>
          <t>Serviço Terceiros</t>
        </is>
      </c>
      <c r="G881" s="2162" t="inlineStr">
        <is>
          <t>Serviço Terceiros</t>
        </is>
      </c>
      <c r="H881" s="2162" t="n"/>
      <c r="I881" s="4" t="inlineStr">
        <is>
          <t>Mão de obra de Terceiros</t>
        </is>
      </c>
    </row>
    <row r="882" ht="15.75" customHeight="1">
      <c r="A882" s="10">
        <f>COUNTIFS($B$2:$B$996,B882)</f>
        <v/>
      </c>
      <c r="B882" s="10" t="inlineStr">
        <is>
          <t>Movimentação de terra para bota-fora - Escavação Vertical Terraplenagem</t>
        </is>
      </c>
      <c r="C882" s="11" t="inlineStr">
        <is>
          <t>M3</t>
        </is>
      </c>
      <c r="D882" s="2162">
        <f>E882*$D$1</f>
        <v/>
      </c>
      <c r="E882" s="2162" t="n">
        <v>45.45</v>
      </c>
      <c r="F882" s="2162" t="inlineStr">
        <is>
          <t>Serviço Terceiros</t>
        </is>
      </c>
      <c r="G882" s="2162" t="inlineStr">
        <is>
          <t>Serviço Terceiros</t>
        </is>
      </c>
      <c r="H882" s="2162" t="n"/>
      <c r="I882" s="4" t="inlineStr">
        <is>
          <t>Mão de obra de Terceiros</t>
        </is>
      </c>
    </row>
    <row r="883" ht="15.75" customHeight="1">
      <c r="A883" s="10">
        <f>COUNTIFS($B$2:$B$996,B883)</f>
        <v/>
      </c>
      <c r="B883" s="10" t="inlineStr">
        <is>
          <t>Movimentação de terra para bota-fora - Escavação de Valas</t>
        </is>
      </c>
      <c r="C883" s="11" t="inlineStr">
        <is>
          <t>M3</t>
        </is>
      </c>
      <c r="D883" s="2162">
        <f>E883*$D$1</f>
        <v/>
      </c>
      <c r="E883" s="2162" t="n">
        <v>45.45</v>
      </c>
      <c r="F883" s="2162" t="inlineStr">
        <is>
          <t>Serviço Terceiros</t>
        </is>
      </c>
      <c r="G883" s="2162" t="inlineStr">
        <is>
          <t>Serviço Terceiros</t>
        </is>
      </c>
      <c r="H883" s="2162" t="n"/>
      <c r="I883" s="4" t="inlineStr">
        <is>
          <t>Mão de obra de Terceiros</t>
        </is>
      </c>
    </row>
    <row r="884" ht="15.75" customHeight="1">
      <c r="A884" s="10">
        <f>COUNTIFS($B$2:$B$996,B884)</f>
        <v/>
      </c>
      <c r="B884" s="10" t="inlineStr">
        <is>
          <t>Movimentação de terra para bota-fora - Estacas</t>
        </is>
      </c>
      <c r="C884" s="11" t="inlineStr">
        <is>
          <t>M3</t>
        </is>
      </c>
      <c r="D884" s="2162">
        <f>E884*$D$1</f>
        <v/>
      </c>
      <c r="E884" s="2162" t="n">
        <v>68.18000000000001</v>
      </c>
      <c r="F884" s="2162" t="inlineStr">
        <is>
          <t>Serviço Terceiros</t>
        </is>
      </c>
      <c r="G884" s="2162" t="inlineStr">
        <is>
          <t>Serviço Terceiros</t>
        </is>
      </c>
      <c r="H884" s="2162" t="n"/>
      <c r="I884" s="4" t="inlineStr">
        <is>
          <t>Mão de obra de Terceiros</t>
        </is>
      </c>
    </row>
    <row r="885" ht="15.75" customHeight="1">
      <c r="A885" s="10">
        <f>COUNTIFS($B$2:$B$996,B885)</f>
        <v/>
      </c>
      <c r="B885" s="10" t="inlineStr">
        <is>
          <t>Reaterro mecanizado com retroescavadeira</t>
        </is>
      </c>
      <c r="C885" s="11" t="inlineStr">
        <is>
          <t>M3</t>
        </is>
      </c>
      <c r="D885" s="2162">
        <f>E885*$D$1</f>
        <v/>
      </c>
      <c r="E885" s="2162" t="n">
        <v>14.55</v>
      </c>
      <c r="F885" s="2162" t="inlineStr">
        <is>
          <t>Serviço Terceiros</t>
        </is>
      </c>
      <c r="G885" s="2162" t="inlineStr">
        <is>
          <t>Serviço Terceiros</t>
        </is>
      </c>
      <c r="H885" s="2162" t="n"/>
      <c r="I885" s="4" t="inlineStr">
        <is>
          <t>Mão de obra de Terceiros</t>
        </is>
      </c>
    </row>
    <row r="886" ht="14.25" customHeight="1">
      <c r="A886" s="10">
        <f>COUNTIFS($B$2:$B$996,B886)</f>
        <v/>
      </c>
      <c r="B886" s="82" t="inlineStr">
        <is>
          <t>Guarda Corpo de Vidro - fornecimento e instalação</t>
        </is>
      </c>
      <c r="C886" s="83" t="inlineStr">
        <is>
          <t>M2</t>
        </is>
      </c>
      <c r="D886" s="2165">
        <f>E886*$D$1</f>
        <v/>
      </c>
      <c r="E886" s="2165" t="n">
        <v>850</v>
      </c>
      <c r="F886" s="2165" t="inlineStr">
        <is>
          <t xml:space="preserve">Esquadrias </t>
        </is>
      </c>
      <c r="G886" s="2165" t="inlineStr">
        <is>
          <t>Alumínio</t>
        </is>
      </c>
      <c r="H886" s="2165" t="n"/>
      <c r="I886" s="85" t="inlineStr">
        <is>
          <t>Esquadrias de Alumínio</t>
        </is>
      </c>
    </row>
    <row r="887" ht="14.25" customHeight="1">
      <c r="A887" s="10">
        <f>COUNTIFS($B$2:$B$996,B887)</f>
        <v/>
      </c>
      <c r="B887" s="82" t="inlineStr">
        <is>
          <t>Sistema Brise Metalon com estrutura e suportes de alumínio e pintura eletrostática preta</t>
        </is>
      </c>
      <c r="C887" s="83" t="inlineStr">
        <is>
          <t>M2</t>
        </is>
      </c>
      <c r="D887" s="2165">
        <f>E887*$D$1</f>
        <v/>
      </c>
      <c r="E887" s="2165" t="n">
        <v>1200</v>
      </c>
      <c r="F887" s="2165" t="inlineStr">
        <is>
          <t xml:space="preserve">Esquadrias </t>
        </is>
      </c>
      <c r="G887" s="2165" t="inlineStr">
        <is>
          <t>Alumínio</t>
        </is>
      </c>
      <c r="H887" s="2165" t="n"/>
      <c r="I887" s="85" t="inlineStr">
        <is>
          <t>Esquadrias de Alumínio</t>
        </is>
      </c>
    </row>
    <row r="888" ht="14.25" customHeight="1">
      <c r="A888" s="10">
        <f>COUNTIFS($B$2:$B$996,B888)</f>
        <v/>
      </c>
      <c r="B888" s="82" t="inlineStr">
        <is>
          <t>Sistema Brise Sul Metais SMB30 (Cor Tabaco SM 7182)</t>
        </is>
      </c>
      <c r="C888" s="83" t="inlineStr">
        <is>
          <t>M2</t>
        </is>
      </c>
      <c r="D888" s="2165">
        <f>E888*$D$1</f>
        <v/>
      </c>
      <c r="E888" s="2165" t="n">
        <v>950</v>
      </c>
      <c r="F888" s="2165" t="inlineStr">
        <is>
          <t xml:space="preserve">Esquadrias </t>
        </is>
      </c>
      <c r="G888" s="2165" t="inlineStr">
        <is>
          <t>Alumínio</t>
        </is>
      </c>
      <c r="H888" s="2165" t="n"/>
      <c r="I888" s="85" t="inlineStr">
        <is>
          <t>Esquadrias de Alumínio</t>
        </is>
      </c>
    </row>
    <row r="889" ht="14.25" customHeight="1">
      <c r="A889" s="10">
        <f>COUNTIFS($B$2:$B$996,B889)</f>
        <v/>
      </c>
      <c r="B889" s="82" t="inlineStr">
        <is>
          <t>Sistema Gradil Sul Metais SMB30 (Cor Tabaco SM 7182)</t>
        </is>
      </c>
      <c r="C889" s="83" t="inlineStr">
        <is>
          <t>M2</t>
        </is>
      </c>
      <c r="D889" s="2165">
        <f>E889*$D$1</f>
        <v/>
      </c>
      <c r="E889" s="2165" t="n">
        <v>860</v>
      </c>
      <c r="F889" s="2165" t="inlineStr">
        <is>
          <t xml:space="preserve">Esquadrias </t>
        </is>
      </c>
      <c r="G889" s="2165" t="inlineStr">
        <is>
          <t>Alumínio</t>
        </is>
      </c>
      <c r="H889" s="2165" t="n"/>
      <c r="I889" s="85" t="inlineStr">
        <is>
          <t>Esquadrias de Alumínio</t>
        </is>
      </c>
    </row>
    <row r="890" ht="14.25" customHeight="1">
      <c r="A890" s="10">
        <f>COUNTIFS($B$2:$B$996,B890)</f>
        <v/>
      </c>
      <c r="B890" s="82" t="inlineStr">
        <is>
          <t>Corrimão Duplo Metálico - inox escovado 304 - fornecimento e instalação</t>
        </is>
      </c>
      <c r="C890" s="83" t="inlineStr">
        <is>
          <t>M</t>
        </is>
      </c>
      <c r="D890" s="2165">
        <f>E890*$D$1</f>
        <v/>
      </c>
      <c r="E890" s="2165" t="n">
        <v>820</v>
      </c>
      <c r="F890" s="2165" t="inlineStr">
        <is>
          <t xml:space="preserve">Esquadrias </t>
        </is>
      </c>
      <c r="G890" s="2165" t="inlineStr">
        <is>
          <t>Corrimão metálico</t>
        </is>
      </c>
      <c r="H890" s="2165" t="n"/>
      <c r="I890" s="85" t="inlineStr">
        <is>
          <t>Esquadrias de Ferro</t>
        </is>
      </c>
    </row>
    <row r="891" ht="14.25" customHeight="1">
      <c r="A891" s="10">
        <f>COUNTIFS($B$2:$B$996,B891)</f>
        <v/>
      </c>
      <c r="B891" s="82" t="inlineStr">
        <is>
          <t>Corrimão Parede Metálico - inox escovado 304 - fornecimento e instalação</t>
        </is>
      </c>
      <c r="C891" s="83" t="inlineStr">
        <is>
          <t>M</t>
        </is>
      </c>
      <c r="D891" s="2165">
        <f>E891*$D$1</f>
        <v/>
      </c>
      <c r="E891" s="2165" t="n">
        <v>520</v>
      </c>
      <c r="F891" s="2165" t="inlineStr">
        <is>
          <t xml:space="preserve">Esquadrias </t>
        </is>
      </c>
      <c r="G891" s="2165" t="inlineStr">
        <is>
          <t>Corrimão metálico</t>
        </is>
      </c>
      <c r="H891" s="2165" t="n"/>
      <c r="I891" s="85" t="inlineStr">
        <is>
          <t>Esquadrias de Ferro</t>
        </is>
      </c>
    </row>
    <row r="892" ht="14.25" customHeight="1">
      <c r="A892" s="10">
        <f>COUNTIFS($B$2:$B$996,B892)</f>
        <v/>
      </c>
      <c r="B892" s="82" t="inlineStr">
        <is>
          <t>Guarda Corpo metálico - inox 304 escovado - fornecimento e instalação</t>
        </is>
      </c>
      <c r="C892" s="83" t="inlineStr">
        <is>
          <t>M2</t>
        </is>
      </c>
      <c r="D892" s="2165">
        <f>E892*$D$1</f>
        <v/>
      </c>
      <c r="E892" s="2165" t="n">
        <v>1240</v>
      </c>
      <c r="F892" s="2165" t="inlineStr">
        <is>
          <t xml:space="preserve">Esquadrias </t>
        </is>
      </c>
      <c r="G892" s="2165" t="inlineStr">
        <is>
          <t>Corrimão metálico</t>
        </is>
      </c>
      <c r="H892" s="2165" t="n"/>
      <c r="I892" s="85" t="inlineStr">
        <is>
          <t>Esquadrias de Ferro</t>
        </is>
      </c>
    </row>
    <row r="893" ht="14.25" customHeight="1">
      <c r="A893" s="10">
        <f>COUNTIFS($B$2:$B$996,B893)</f>
        <v/>
      </c>
      <c r="B893" s="82" t="inlineStr">
        <is>
          <t>Corrimão Metálico Duplo - fornecimento e instalação</t>
        </is>
      </c>
      <c r="C893" s="83" t="inlineStr">
        <is>
          <t>M</t>
        </is>
      </c>
      <c r="D893" s="2165">
        <f>E893*$D$1</f>
        <v/>
      </c>
      <c r="E893" s="2165" t="n">
        <v>98.79000000000001</v>
      </c>
      <c r="F893" s="2165" t="inlineStr">
        <is>
          <t xml:space="preserve">Esquadrias </t>
        </is>
      </c>
      <c r="G893" s="2165" t="inlineStr">
        <is>
          <t>Corrimão metálico</t>
        </is>
      </c>
      <c r="H893" s="2165" t="n"/>
      <c r="I893" s="85" t="inlineStr">
        <is>
          <t>Esquadrias de Ferro</t>
        </is>
      </c>
    </row>
    <row r="894" ht="14.25" customHeight="1">
      <c r="A894" s="10">
        <f>COUNTIFS($B$2:$B$996,B894)</f>
        <v/>
      </c>
      <c r="B894" s="82" t="inlineStr">
        <is>
          <t>Porta de madeira de abrir - 60x150cm (kit completo)</t>
        </is>
      </c>
      <c r="C894" s="83" t="inlineStr">
        <is>
          <t>M2</t>
        </is>
      </c>
      <c r="D894" s="2165">
        <f>E894*$D$1</f>
        <v/>
      </c>
      <c r="E894" s="2165" t="n">
        <v>1000</v>
      </c>
      <c r="F894" s="2165" t="inlineStr">
        <is>
          <t xml:space="preserve">Esquadrias </t>
        </is>
      </c>
      <c r="G894" s="2165" t="inlineStr">
        <is>
          <t>Madeira</t>
        </is>
      </c>
      <c r="H894" s="2165" t="n"/>
      <c r="I894" s="85" t="inlineStr">
        <is>
          <t>Esquadrias de Madeira</t>
        </is>
      </c>
    </row>
    <row r="895" ht="14.25" customHeight="1">
      <c r="A895" s="10">
        <f>COUNTIFS($B$2:$B$996,B895)</f>
        <v/>
      </c>
      <c r="B895" s="82" t="inlineStr">
        <is>
          <t>Porta de madeira de Correr - 70x210cm (kit completo)</t>
        </is>
      </c>
      <c r="C895" s="83" t="inlineStr">
        <is>
          <t>M2</t>
        </is>
      </c>
      <c r="D895" s="2165">
        <f>E895*$D$1</f>
        <v/>
      </c>
      <c r="E895" s="2165" t="n">
        <v>1358.5</v>
      </c>
      <c r="F895" s="2165" t="inlineStr">
        <is>
          <t xml:space="preserve">Esquadrias </t>
        </is>
      </c>
      <c r="G895" s="2165" t="inlineStr">
        <is>
          <t>Madeira</t>
        </is>
      </c>
      <c r="H895" s="2165" t="n"/>
      <c r="I895" s="85" t="inlineStr">
        <is>
          <t>Esquadrias de Madeira</t>
        </is>
      </c>
    </row>
    <row r="896" ht="14.25" customHeight="1">
      <c r="A896" s="10">
        <f>COUNTIFS($B$2:$B$996,B896)</f>
        <v/>
      </c>
      <c r="B896" s="82" t="inlineStr">
        <is>
          <t>Porta de madeira de Correr - 110x210cm (kit completo)</t>
        </is>
      </c>
      <c r="C896" s="83" t="inlineStr">
        <is>
          <t>M2</t>
        </is>
      </c>
      <c r="D896" s="2165">
        <f>E896*$D$1</f>
        <v/>
      </c>
      <c r="E896" s="2165">
        <f>1358.5*1.1</f>
        <v/>
      </c>
      <c r="F896" s="2165" t="inlineStr">
        <is>
          <t xml:space="preserve">Esquadrias </t>
        </is>
      </c>
      <c r="G896" s="2165" t="inlineStr">
        <is>
          <t>Madeira</t>
        </is>
      </c>
      <c r="H896" s="2165" t="n"/>
      <c r="I896" s="85" t="inlineStr">
        <is>
          <t>Esquadrias de Madeira</t>
        </is>
      </c>
    </row>
    <row r="897" ht="14.25" customHeight="1">
      <c r="A897" s="10">
        <f>COUNTIFS($B$2:$B$996,B897)</f>
        <v/>
      </c>
      <c r="B897" s="82" t="inlineStr">
        <is>
          <t>Porta de madeira de Correr - 120x210cm (kit completo)</t>
        </is>
      </c>
      <c r="C897" s="83" t="inlineStr">
        <is>
          <t>M2</t>
        </is>
      </c>
      <c r="D897" s="2165">
        <f>E897*$D$1</f>
        <v/>
      </c>
      <c r="E897" s="2165">
        <f>1358.5*1.1</f>
        <v/>
      </c>
      <c r="F897" s="2165" t="inlineStr">
        <is>
          <t xml:space="preserve">Esquadrias </t>
        </is>
      </c>
      <c r="G897" s="2165" t="inlineStr">
        <is>
          <t>Madeira</t>
        </is>
      </c>
      <c r="H897" s="2165" t="n"/>
      <c r="I897" s="85" t="inlineStr">
        <is>
          <t>Esquadrias de Madeira</t>
        </is>
      </c>
    </row>
    <row r="898" ht="14.25" customHeight="1">
      <c r="A898" s="10">
        <f>COUNTIFS($B$2:$B$996,B898)</f>
        <v/>
      </c>
      <c r="B898" s="82" t="inlineStr">
        <is>
          <t>Porta de madeira de Correr - 135x210cm (kit completo)</t>
        </is>
      </c>
      <c r="C898" s="83" t="inlineStr">
        <is>
          <t>M2</t>
        </is>
      </c>
      <c r="D898" s="2165">
        <f>E898*$D$1</f>
        <v/>
      </c>
      <c r="E898" s="2165">
        <f>1358.5*1.35</f>
        <v/>
      </c>
      <c r="F898" s="2165" t="inlineStr">
        <is>
          <t xml:space="preserve">Esquadrias </t>
        </is>
      </c>
      <c r="G898" s="2165" t="inlineStr">
        <is>
          <t>Madeira</t>
        </is>
      </c>
      <c r="H898" s="2165" t="n"/>
      <c r="I898" s="85" t="inlineStr">
        <is>
          <t>Esquadrias de Madeira</t>
        </is>
      </c>
    </row>
    <row r="899" ht="14.25" customHeight="1">
      <c r="A899" s="10">
        <f>COUNTIFS($B$2:$B$996,B899)</f>
        <v/>
      </c>
      <c r="B899" s="82" t="inlineStr">
        <is>
          <t>Porta de madeira de Correr - 150x210cm (kit completo)</t>
        </is>
      </c>
      <c r="C899" s="83" t="inlineStr">
        <is>
          <t>M2</t>
        </is>
      </c>
      <c r="D899" s="2165">
        <f>E899*$D$1</f>
        <v/>
      </c>
      <c r="E899" s="2165">
        <f>1358.5*1.5</f>
        <v/>
      </c>
      <c r="F899" s="2165" t="inlineStr">
        <is>
          <t xml:space="preserve">Esquadrias </t>
        </is>
      </c>
      <c r="G899" s="2165" t="inlineStr">
        <is>
          <t>Madeira</t>
        </is>
      </c>
      <c r="H899" s="2165" t="n"/>
      <c r="I899" s="85" t="inlineStr">
        <is>
          <t>Esquadrias de Madeira</t>
        </is>
      </c>
    </row>
    <row r="900" ht="14.25" customHeight="1">
      <c r="A900" s="10">
        <f>COUNTIFS($B$2:$B$996,B900)</f>
        <v/>
      </c>
      <c r="B900" s="82" t="inlineStr">
        <is>
          <t>Porta corta-fogo, 1 folha, 90x210 cm</t>
        </is>
      </c>
      <c r="C900" s="83" t="inlineStr">
        <is>
          <t>un</t>
        </is>
      </c>
      <c r="D900" s="2165">
        <f>E900*$D$1</f>
        <v/>
      </c>
      <c r="E900" s="2165">
        <f>1100*90/80</f>
        <v/>
      </c>
      <c r="F900" s="2165" t="inlineStr">
        <is>
          <t xml:space="preserve">Esquadrias </t>
        </is>
      </c>
      <c r="G900" s="2165" t="inlineStr">
        <is>
          <t>Metálicas</t>
        </is>
      </c>
      <c r="H900" s="2165" t="n"/>
      <c r="I900" s="85" t="inlineStr">
        <is>
          <t>Esquadrias de Ferro</t>
        </is>
      </c>
    </row>
    <row r="901" ht="14.25" customHeight="1">
      <c r="A901" s="10">
        <f>COUNTIFS($B$2:$B$996,B901)</f>
        <v/>
      </c>
      <c r="B901" s="82" t="inlineStr">
        <is>
          <t>Guarda Corpo metálico (gradil) - fornecimento e instalação</t>
        </is>
      </c>
      <c r="C901" s="83" t="inlineStr">
        <is>
          <t>M2</t>
        </is>
      </c>
      <c r="D901" s="2165">
        <f>E901*$D$1</f>
        <v/>
      </c>
      <c r="E901" s="2165" t="n">
        <v>600</v>
      </c>
      <c r="F901" s="2165" t="inlineStr">
        <is>
          <t xml:space="preserve">Esquadrias </t>
        </is>
      </c>
      <c r="G901" s="2165" t="inlineStr">
        <is>
          <t>Metálicas</t>
        </is>
      </c>
      <c r="H901" s="2165" t="n"/>
      <c r="I901" s="85" t="inlineStr">
        <is>
          <t>Esquadrias de Ferro</t>
        </is>
      </c>
    </row>
    <row r="902" ht="14.25" customHeight="1">
      <c r="A902" s="10">
        <f>COUNTIFS($B$2:$B$996,B902)</f>
        <v/>
      </c>
      <c r="B902" s="82" t="inlineStr">
        <is>
          <t>Porta corta-fogo, 1 folha, 96x210 cm</t>
        </is>
      </c>
      <c r="C902" s="83" t="inlineStr">
        <is>
          <t>un</t>
        </is>
      </c>
      <c r="D902" s="2165">
        <f>E902*$D$1</f>
        <v/>
      </c>
      <c r="E902" s="2165" t="n">
        <v>2530</v>
      </c>
      <c r="F902" s="2165" t="inlineStr">
        <is>
          <t xml:space="preserve">Esquadrias </t>
        </is>
      </c>
      <c r="G902" s="2165" t="inlineStr">
        <is>
          <t>Metálicas</t>
        </is>
      </c>
      <c r="H902" s="2165" t="n"/>
      <c r="I902" s="85" t="inlineStr">
        <is>
          <t>Esquadrias de Ferro</t>
        </is>
      </c>
    </row>
    <row r="903" ht="14.25" customHeight="1">
      <c r="A903" s="10">
        <f>COUNTIFS($B$2:$B$996,B903)</f>
        <v/>
      </c>
      <c r="B903" s="82" t="inlineStr">
        <is>
          <t>Portão, 1 folha, 320x245 cm</t>
        </is>
      </c>
      <c r="C903" s="83" t="inlineStr">
        <is>
          <t>un</t>
        </is>
      </c>
      <c r="D903" s="2165">
        <f>E903*$D$1</f>
        <v/>
      </c>
      <c r="E903" s="2165">
        <f>9302*(3.2*2.45)/(3.5*2.4)</f>
        <v/>
      </c>
      <c r="F903" s="2165" t="inlineStr">
        <is>
          <t xml:space="preserve">Esquadrias </t>
        </is>
      </c>
      <c r="G903" s="2165" t="inlineStr">
        <is>
          <t>Metálicas</t>
        </is>
      </c>
      <c r="H903" s="2165" t="n"/>
      <c r="I903" s="85" t="inlineStr">
        <is>
          <t>Esquadrias de Ferro</t>
        </is>
      </c>
    </row>
    <row r="904" ht="14.25" customHeight="1">
      <c r="A904" s="10">
        <f>COUNTIFS($B$2:$B$996,B904)</f>
        <v/>
      </c>
      <c r="B904" s="82" t="inlineStr">
        <is>
          <t>Portão, 1 folha, 320x220 cm</t>
        </is>
      </c>
      <c r="C904" s="83" t="inlineStr">
        <is>
          <t>un</t>
        </is>
      </c>
      <c r="D904" s="2165">
        <f>E904*$D$1</f>
        <v/>
      </c>
      <c r="E904" s="2165">
        <f>9302*(3.2*2.2)/(3.5*2.4)</f>
        <v/>
      </c>
      <c r="F904" s="2165" t="inlineStr">
        <is>
          <t xml:space="preserve">Esquadrias </t>
        </is>
      </c>
      <c r="G904" s="2165" t="inlineStr">
        <is>
          <t>Metálicas</t>
        </is>
      </c>
      <c r="H904" s="2165" t="n"/>
      <c r="I904" s="85" t="inlineStr">
        <is>
          <t>Esquadrias de Ferro</t>
        </is>
      </c>
    </row>
    <row r="905" ht="14.25" customHeight="1">
      <c r="A905" s="10">
        <f>COUNTIFS($B$2:$B$996,B905)</f>
        <v/>
      </c>
      <c r="B905" s="82" t="inlineStr">
        <is>
          <t>Portão, 1 folha, 90x220 cm</t>
        </is>
      </c>
      <c r="C905" s="83" t="inlineStr">
        <is>
          <t>un</t>
        </is>
      </c>
      <c r="D905" s="2165">
        <f>E905*$D$1</f>
        <v/>
      </c>
      <c r="E905" s="2165">
        <f>9302*(0.9*2.2)/(3.5*2.4)</f>
        <v/>
      </c>
      <c r="F905" s="2165" t="inlineStr">
        <is>
          <t xml:space="preserve">Esquadrias </t>
        </is>
      </c>
      <c r="G905" s="2165" t="inlineStr">
        <is>
          <t>Metálicas</t>
        </is>
      </c>
      <c r="H905" s="2165" t="n"/>
      <c r="I905" s="85" t="inlineStr">
        <is>
          <t>Esquadrias de Ferro</t>
        </is>
      </c>
    </row>
    <row r="906" ht="14.25" customHeight="1">
      <c r="A906" s="10">
        <f>COUNTIFS($B$2:$B$996,B906)</f>
        <v/>
      </c>
      <c r="B906" s="82" t="inlineStr">
        <is>
          <t>Portão, 2 folha, 150x112 cm</t>
        </is>
      </c>
      <c r="C906" s="83" t="inlineStr">
        <is>
          <t>un</t>
        </is>
      </c>
      <c r="D906" s="2165">
        <f>E906*$D$1</f>
        <v/>
      </c>
      <c r="E906" s="2165">
        <f>9302*(1.5*1.12)/(3.5*2.4)</f>
        <v/>
      </c>
      <c r="F906" s="2165" t="inlineStr">
        <is>
          <t xml:space="preserve">Esquadrias </t>
        </is>
      </c>
      <c r="G906" s="2165" t="inlineStr">
        <is>
          <t>Metálicas</t>
        </is>
      </c>
      <c r="H906" s="2165" t="n"/>
      <c r="I906" s="85" t="inlineStr">
        <is>
          <t>Esquadrias de Ferro</t>
        </is>
      </c>
    </row>
    <row r="907" ht="14.25" customHeight="1">
      <c r="A907" s="10">
        <f>COUNTIFS($B$2:$B$996,B907)</f>
        <v/>
      </c>
      <c r="B907" s="82" t="inlineStr">
        <is>
          <t>Portão, 1 folha, 320x295 cm</t>
        </is>
      </c>
      <c r="C907" s="83" t="inlineStr">
        <is>
          <t>un</t>
        </is>
      </c>
      <c r="D907" s="2165">
        <f>E907*$D$1</f>
        <v/>
      </c>
      <c r="E907" s="2165">
        <f>9302*(3.2*2.95)/(3.5*2.4)</f>
        <v/>
      </c>
      <c r="F907" s="2165" t="inlineStr">
        <is>
          <t xml:space="preserve">Esquadrias </t>
        </is>
      </c>
      <c r="G907" s="2165" t="inlineStr">
        <is>
          <t>Metálicas</t>
        </is>
      </c>
      <c r="H907" s="2165" t="n"/>
      <c r="I907" s="85" t="inlineStr">
        <is>
          <t>Esquadrias de Ferro</t>
        </is>
      </c>
    </row>
    <row r="908" ht="15.75" customHeight="1">
      <c r="A908" s="10">
        <f>COUNTIFS($B$2:$B$996,B908)</f>
        <v/>
      </c>
      <c r="B908" s="10" t="inlineStr">
        <is>
          <t>SERVICO - CONFECCAO SHAFT GESSO</t>
        </is>
      </c>
      <c r="C908" s="11" t="inlineStr">
        <is>
          <t>M2</t>
        </is>
      </c>
      <c r="D908" s="2162">
        <f>E908*$D$1</f>
        <v/>
      </c>
      <c r="E908" s="2162" t="n">
        <v>70</v>
      </c>
      <c r="F908" s="2162" t="inlineStr">
        <is>
          <t>Serviço Terceiros</t>
        </is>
      </c>
      <c r="G908" s="2162" t="inlineStr">
        <is>
          <t>Serviço Terceiros</t>
        </is>
      </c>
      <c r="H908" s="2162" t="n"/>
      <c r="I908" s="4" t="inlineStr">
        <is>
          <t>Mão de obra de Terceiros</t>
        </is>
      </c>
    </row>
    <row r="909" ht="15.75" customHeight="1">
      <c r="A909" s="10">
        <f>COUNTIFS($B$2:$B$996,B909)</f>
        <v/>
      </c>
      <c r="B909" s="10" t="inlineStr">
        <is>
          <t>SERVICO - CONFECCAO FORRO MODULAR</t>
        </is>
      </c>
      <c r="C909" s="11" t="inlineStr">
        <is>
          <t>M2</t>
        </is>
      </c>
      <c r="D909" s="2162">
        <f>E909*$D$1</f>
        <v/>
      </c>
      <c r="E909" s="2162" t="n">
        <v>70</v>
      </c>
      <c r="F909" s="2162" t="inlineStr">
        <is>
          <t>Serviço Terceiros</t>
        </is>
      </c>
      <c r="G909" s="2162" t="inlineStr">
        <is>
          <t>Serviço Terceiros</t>
        </is>
      </c>
      <c r="H909" s="2162" t="n"/>
      <c r="I909" s="4" t="inlineStr">
        <is>
          <t>Mão de obra de Terceiros</t>
        </is>
      </c>
    </row>
    <row r="910" ht="15.75" customHeight="1">
      <c r="A910" s="10">
        <f>COUNTIFS($B$2:$B$996,B910)</f>
        <v/>
      </c>
      <c r="B910" s="10" t="inlineStr">
        <is>
          <t>Serviço de Arrasamentode Estacas</t>
        </is>
      </c>
      <c r="C910" s="11" t="inlineStr">
        <is>
          <t>UN</t>
        </is>
      </c>
      <c r="D910" s="2162">
        <f>E910*$D$1</f>
        <v/>
      </c>
      <c r="E910" s="2162" t="n">
        <v>300</v>
      </c>
      <c r="F910" s="2162" t="inlineStr">
        <is>
          <t>Serviço Terceiros</t>
        </is>
      </c>
      <c r="G910" s="2162" t="inlineStr">
        <is>
          <t>Serviço Terceiros</t>
        </is>
      </c>
      <c r="H910" s="2162" t="n"/>
      <c r="I910" s="4" t="inlineStr">
        <is>
          <t>Mão de obra de Terceiros</t>
        </is>
      </c>
    </row>
    <row r="911" ht="15.75" customHeight="1">
      <c r="A911" s="10">
        <f>COUNTIFS($B$2:$B$996,B911)</f>
        <v/>
      </c>
      <c r="B911" s="10" t="inlineStr">
        <is>
          <t>serviço de bombeamento</t>
        </is>
      </c>
      <c r="C911" s="11" t="inlineStr">
        <is>
          <t>M3</t>
        </is>
      </c>
      <c r="D911" s="2162">
        <f>E911*$D$1</f>
        <v/>
      </c>
      <c r="E911" s="2162" t="n">
        <v>40</v>
      </c>
      <c r="F911" s="2162" t="inlineStr">
        <is>
          <t>Serviço Terceiros</t>
        </is>
      </c>
      <c r="G911" s="2162" t="inlineStr">
        <is>
          <t>Serviço Terceiros</t>
        </is>
      </c>
      <c r="H911" s="2162" t="n"/>
      <c r="I911" s="4" t="inlineStr">
        <is>
          <t>Mão de obra de Terceiros</t>
        </is>
      </c>
    </row>
    <row r="912" ht="15.75" customHeight="1">
      <c r="A912" s="10">
        <f>COUNTIFS($B$2:$B$996,B912)</f>
        <v/>
      </c>
      <c r="B912" s="10" t="inlineStr">
        <is>
          <t>Serviço de Instalação de Lajes pré-moldadas</t>
        </is>
      </c>
      <c r="C912" s="11" t="inlineStr">
        <is>
          <t>M2</t>
        </is>
      </c>
      <c r="D912" s="2162">
        <f>E912*$D$1</f>
        <v/>
      </c>
      <c r="E912" s="2162" t="n">
        <v>30</v>
      </c>
      <c r="F912" s="2162" t="inlineStr">
        <is>
          <t>Serviço Terceiros</t>
        </is>
      </c>
      <c r="G912" s="2162" t="inlineStr">
        <is>
          <t>Serviço Terceiros</t>
        </is>
      </c>
      <c r="H912" s="2162" t="n"/>
      <c r="I912" s="4" t="inlineStr">
        <is>
          <t>Mão de obra de Terceiros</t>
        </is>
      </c>
    </row>
    <row r="913" ht="15.75" customHeight="1">
      <c r="A913" s="10">
        <f>COUNTIFS($B$2:$B$996,B913)</f>
        <v/>
      </c>
      <c r="B913" s="10" t="inlineStr">
        <is>
          <t>SERVICO EMP. - INST. PROVISORIA - CONFECCAO BAIA P/MATERIAL</t>
        </is>
      </c>
      <c r="C913" s="11" t="inlineStr">
        <is>
          <t>M2</t>
        </is>
      </c>
      <c r="D913" s="2162">
        <f>E913*$D$1</f>
        <v/>
      </c>
      <c r="E913" s="2162" t="n">
        <v>10.5</v>
      </c>
      <c r="F913" s="2162" t="inlineStr">
        <is>
          <t>Serviço Terceiros</t>
        </is>
      </c>
      <c r="G913" s="2162" t="inlineStr">
        <is>
          <t>Serviço Terceiros</t>
        </is>
      </c>
      <c r="H913" s="2162" t="n"/>
      <c r="I913" s="4" t="inlineStr">
        <is>
          <t>Mão de obra de Terceiros</t>
        </is>
      </c>
    </row>
    <row r="914" ht="15.75" customHeight="1">
      <c r="A914" s="10">
        <f>COUNTIFS($B$2:$B$996,B914)</f>
        <v/>
      </c>
      <c r="B914" s="10" t="inlineStr">
        <is>
          <t>Serviço de fixação de contramarco de aluminio</t>
        </is>
      </c>
      <c r="C914" s="11" t="inlineStr">
        <is>
          <t>M2</t>
        </is>
      </c>
      <c r="D914" s="2162">
        <f>E914*$D$1</f>
        <v/>
      </c>
      <c r="E914" s="2162" t="n">
        <v>15</v>
      </c>
      <c r="F914" s="2162" t="inlineStr">
        <is>
          <t>Serviço Terceiros</t>
        </is>
      </c>
      <c r="G914" s="2162" t="inlineStr">
        <is>
          <t>Serviço Terceiros</t>
        </is>
      </c>
      <c r="H914" s="2162" t="n"/>
      <c r="I914" s="4" t="inlineStr">
        <is>
          <t>Mão de obra de Terceiros</t>
        </is>
      </c>
    </row>
    <row r="915" ht="15.75" customHeight="1">
      <c r="A915" s="10">
        <f>COUNTIFS($B$2:$B$996,B915)</f>
        <v/>
      </c>
      <c r="B915" s="10" t="inlineStr">
        <is>
          <t>Serviço de fixação de contramarco de aço</t>
        </is>
      </c>
      <c r="C915" s="11" t="inlineStr">
        <is>
          <t>M2</t>
        </is>
      </c>
      <c r="D915" s="2162">
        <f>E915*$D$1</f>
        <v/>
      </c>
      <c r="E915" s="2162" t="n">
        <v>30</v>
      </c>
      <c r="F915" s="2162" t="inlineStr">
        <is>
          <t>Serviço Terceiros</t>
        </is>
      </c>
      <c r="G915" s="2162" t="inlineStr">
        <is>
          <t>Serviço Terceiros</t>
        </is>
      </c>
      <c r="H915" s="2162" t="n"/>
      <c r="I915" s="4" t="inlineStr">
        <is>
          <t>Mão de obra de Terceiros</t>
        </is>
      </c>
    </row>
    <row r="916" ht="15.75" customHeight="1">
      <c r="A916" s="10">
        <f>COUNTIFS($B$2:$B$996,B916)</f>
        <v/>
      </c>
      <c r="B916" s="10" t="inlineStr">
        <is>
          <t>SERVICO INSTALAÇÃO BARRACAO ALMOXARIFADO</t>
        </is>
      </c>
      <c r="C916" s="11" t="inlineStr">
        <is>
          <t>M2</t>
        </is>
      </c>
      <c r="D916" s="2162">
        <f>E916*$D$1</f>
        <v/>
      </c>
      <c r="E916" s="2162" t="n">
        <v>50</v>
      </c>
      <c r="F916" s="2162" t="inlineStr">
        <is>
          <t>Serviço Terceiros</t>
        </is>
      </c>
      <c r="G916" s="2162" t="inlineStr">
        <is>
          <t>Serviço Terceiros</t>
        </is>
      </c>
      <c r="H916" s="2162" t="n"/>
      <c r="I916" s="4" t="inlineStr">
        <is>
          <t>Mão de obra de Terceiros</t>
        </is>
      </c>
    </row>
    <row r="917" ht="15.75" customHeight="1">
      <c r="A917" s="10">
        <f>COUNTIFS($B$2:$B$996,B917)</f>
        <v/>
      </c>
      <c r="B917" s="10" t="inlineStr">
        <is>
          <t>SERVICO PAVIMENTACAO INTERNA C/INTERTRAVADO - EXECUCAO COMPLETA</t>
        </is>
      </c>
      <c r="C917" s="11" t="inlineStr">
        <is>
          <t>M2</t>
        </is>
      </c>
      <c r="D917" s="2162">
        <f>E917*$D$1</f>
        <v/>
      </c>
      <c r="E917" s="2162" t="n">
        <v>50</v>
      </c>
      <c r="F917" s="2162" t="inlineStr">
        <is>
          <t>Serviço Terceiros</t>
        </is>
      </c>
      <c r="G917" s="2162" t="inlineStr">
        <is>
          <t>Serviço Terceiros</t>
        </is>
      </c>
      <c r="H917" s="2162" t="n"/>
      <c r="I917" s="4" t="inlineStr">
        <is>
          <t>Mão de obra de Terceiros</t>
        </is>
      </c>
    </row>
    <row r="918" ht="15.75" customHeight="1">
      <c r="A918" s="10">
        <f>COUNTIFS($B$2:$B$996,B918)</f>
        <v/>
      </c>
      <c r="B918" s="10" t="inlineStr">
        <is>
          <t>Mão de obra para instalação de portas corta-fogo</t>
        </is>
      </c>
      <c r="C918" s="11" t="inlineStr">
        <is>
          <t>un</t>
        </is>
      </c>
      <c r="D918" s="2162">
        <f>E918*$D$1</f>
        <v/>
      </c>
      <c r="E918" s="2162" t="n">
        <v>300</v>
      </c>
      <c r="F918" s="2162" t="inlineStr">
        <is>
          <t>Serviço Terceiros</t>
        </is>
      </c>
      <c r="G918" s="2162" t="inlineStr">
        <is>
          <t>Serviço Terceiros</t>
        </is>
      </c>
      <c r="H918" s="2162" t="n"/>
      <c r="I918" s="4" t="inlineStr">
        <is>
          <t>Mão de obra de Terceiros</t>
        </is>
      </c>
    </row>
    <row r="919" ht="15.75" customHeight="1">
      <c r="A919" s="10">
        <f>COUNTIFS($B$2:$B$996,B919)</f>
        <v/>
      </c>
      <c r="B919" s="10" t="inlineStr">
        <is>
          <t>Coralit Ultra Resistência Alto Brilho Imensidão Cinza</t>
        </is>
      </c>
      <c r="C919" s="11" t="inlineStr">
        <is>
          <t>L</t>
        </is>
      </c>
      <c r="D919" s="2162">
        <f>E919*$D$1</f>
        <v/>
      </c>
      <c r="E919" s="2162" t="n">
        <v>34.71944444444444</v>
      </c>
      <c r="F919" s="2162" t="inlineStr">
        <is>
          <t>Pintura</t>
        </is>
      </c>
      <c r="G919" s="2162" t="inlineStr">
        <is>
          <t>Pintura</t>
        </is>
      </c>
      <c r="H919" s="2162" t="n"/>
      <c r="I919" s="4" t="inlineStr">
        <is>
          <t>Pintura</t>
        </is>
      </c>
    </row>
    <row r="920" ht="15.75" customHeight="1">
      <c r="A920" s="10">
        <f>COUNTIFS($B$2:$B$996,B920)</f>
        <v/>
      </c>
      <c r="B920" s="10" t="inlineStr">
        <is>
          <t>Coralit Ultra Resistência Fosco Preto - Coral</t>
        </is>
      </c>
      <c r="C920" s="11" t="inlineStr">
        <is>
          <t>L</t>
        </is>
      </c>
      <c r="D920" s="2162">
        <f>E920*$D$1</f>
        <v/>
      </c>
      <c r="E920" s="2162" t="n">
        <v>49.97222222222222</v>
      </c>
      <c r="F920" s="2162" t="inlineStr">
        <is>
          <t>Pintura</t>
        </is>
      </c>
      <c r="G920" s="2162" t="inlineStr">
        <is>
          <t>Pintura</t>
        </is>
      </c>
      <c r="H920" s="2162" t="n"/>
      <c r="I920" s="4" t="inlineStr">
        <is>
          <t>Pintura</t>
        </is>
      </c>
    </row>
    <row r="921" ht="15.75" customHeight="1">
      <c r="A921" s="10">
        <f>COUNTIFS($B$2:$B$996,B921)</f>
        <v/>
      </c>
      <c r="B921" s="10" t="inlineStr">
        <is>
          <t>Selador acrilico opaco premium interno/externo</t>
        </is>
      </c>
      <c r="C921" s="11" t="inlineStr">
        <is>
          <t>L</t>
        </is>
      </c>
      <c r="D921" s="2162">
        <f>E921*$D$1</f>
        <v/>
      </c>
      <c r="E921" s="2162" t="n">
        <v>6.47</v>
      </c>
      <c r="F921" s="2162" t="inlineStr">
        <is>
          <t>Pintura</t>
        </is>
      </c>
      <c r="G921" s="2162" t="inlineStr">
        <is>
          <t>Pintura</t>
        </is>
      </c>
      <c r="H921" s="2162" t="n"/>
      <c r="I921" s="4" t="inlineStr">
        <is>
          <t>Pintura</t>
        </is>
      </c>
    </row>
    <row r="922" ht="15.75" customHeight="1">
      <c r="A922" s="10">
        <f>COUNTIFS($B$2:$B$996,B922)</f>
        <v/>
      </c>
      <c r="B922" s="10" t="inlineStr">
        <is>
          <t>Textura Acrílica Texturatto Premium Efeito Granulado</t>
        </is>
      </c>
      <c r="C922" s="11" t="inlineStr">
        <is>
          <t>KG</t>
        </is>
      </c>
      <c r="D922" s="2162">
        <f>E922*$D$1</f>
        <v/>
      </c>
      <c r="E922" s="2162" t="n">
        <v>12.78</v>
      </c>
      <c r="F922" s="2162" t="inlineStr">
        <is>
          <t>Pintura</t>
        </is>
      </c>
      <c r="G922" s="2162" t="inlineStr">
        <is>
          <t>Pintura</t>
        </is>
      </c>
      <c r="H922" s="2162" t="n"/>
      <c r="I922" s="4" t="inlineStr">
        <is>
          <t>Pintura</t>
        </is>
      </c>
    </row>
    <row r="923" ht="14.25" customHeight="1">
      <c r="A923" s="10">
        <f>COUNTIFS($B$2:$B$996,B923)</f>
        <v/>
      </c>
      <c r="B923" s="82" t="inlineStr">
        <is>
          <t>MICROESFERAS DE VIDRO PARA SINALIZACAO HORIZONTAL VIARIA, TIPO II-A (DROP-ON) - NBR  16184</t>
        </is>
      </c>
      <c r="C923" s="83" t="inlineStr">
        <is>
          <t>L</t>
        </is>
      </c>
      <c r="D923" s="2165">
        <f>E923*$D$1</f>
        <v/>
      </c>
      <c r="E923" s="2165" t="n">
        <v>40.25</v>
      </c>
      <c r="F923" s="2165" t="inlineStr">
        <is>
          <t>Pintura</t>
        </is>
      </c>
      <c r="G923" s="2165" t="inlineStr">
        <is>
          <t>Pintura</t>
        </is>
      </c>
      <c r="H923" s="2165" t="n"/>
      <c r="I923" s="85" t="inlineStr">
        <is>
          <t>Pintura</t>
        </is>
      </c>
    </row>
    <row r="924" ht="14.25" customHeight="1">
      <c r="A924" s="10">
        <f>COUNTIFS($B$2:$B$996,B924)</f>
        <v/>
      </c>
      <c r="B924" s="82" t="inlineStr">
        <is>
          <t>MICROESFERAS DE VIDRO PARA SINALIZACAO HORIZONTAL VIARIA, TIPO I-B (PREMIX) - NBR  16184</t>
        </is>
      </c>
      <c r="C924" s="83" t="inlineStr">
        <is>
          <t>KG</t>
        </is>
      </c>
      <c r="D924" s="2165">
        <f>E924*$D$1</f>
        <v/>
      </c>
      <c r="E924" s="2165" t="n">
        <v>23.2</v>
      </c>
      <c r="F924" s="2165" t="inlineStr">
        <is>
          <t>Pintura</t>
        </is>
      </c>
      <c r="G924" s="2165" t="inlineStr">
        <is>
          <t>Pintura</t>
        </is>
      </c>
      <c r="H924" s="2165" t="n"/>
      <c r="I924" s="85" t="inlineStr">
        <is>
          <t>Pintura</t>
        </is>
      </c>
    </row>
    <row r="925" ht="14.25" customHeight="1">
      <c r="A925" s="10">
        <f>COUNTIFS($B$2:$B$996,B925)</f>
        <v/>
      </c>
      <c r="B925" s="82" t="inlineStr">
        <is>
          <t>TINTA ESMALTE ACETINADO BASE SOLVENTE BRANCO NBR 15299</t>
        </is>
      </c>
      <c r="C925" s="83" t="inlineStr">
        <is>
          <t>KG</t>
        </is>
      </c>
      <c r="D925" s="2165">
        <f>E925*$D$1</f>
        <v/>
      </c>
      <c r="E925" s="2165" t="n">
        <v>10</v>
      </c>
      <c r="F925" s="2165" t="inlineStr">
        <is>
          <t>Pintura</t>
        </is>
      </c>
      <c r="G925" s="2165" t="inlineStr">
        <is>
          <t>Pintura</t>
        </is>
      </c>
      <c r="H925" s="2165" t="n"/>
      <c r="I925" s="85" t="inlineStr">
        <is>
          <t>Pintura</t>
        </is>
      </c>
    </row>
    <row r="926" ht="14.25" customHeight="1">
      <c r="A926" s="10">
        <f>COUNTIFS($B$2:$B$996,B926)</f>
        <v/>
      </c>
      <c r="B926" s="82" t="inlineStr">
        <is>
          <t>TINTA LATEX ACRILICO FOSCO INT./EXT. PREMIUM PLUS BRANCO NBR 14942</t>
        </is>
      </c>
      <c r="C926" s="83" t="inlineStr">
        <is>
          <t>L</t>
        </is>
      </c>
      <c r="D926" s="2165">
        <f>E926*$D$1</f>
        <v/>
      </c>
      <c r="E926" s="2165" t="n">
        <v>8.5</v>
      </c>
      <c r="F926" s="2165" t="inlineStr">
        <is>
          <t>Pintura</t>
        </is>
      </c>
      <c r="G926" s="2165" t="inlineStr">
        <is>
          <t>Pintura</t>
        </is>
      </c>
      <c r="H926" s="2165" t="n"/>
      <c r="I926" s="85" t="inlineStr">
        <is>
          <t>Pintura</t>
        </is>
      </c>
    </row>
    <row r="927" ht="15.75" customHeight="1">
      <c r="A927" s="10">
        <f>COUNTIFS($B$2:$B$996,B927)</f>
        <v/>
      </c>
      <c r="B927" s="10" t="inlineStr">
        <is>
          <t>Tinta Esmalte Sintético Base Solvente Brilhante Pronta para Uso Amarelo 3,6L Luxens</t>
        </is>
      </c>
      <c r="C927" s="11" t="inlineStr">
        <is>
          <t>L</t>
        </is>
      </c>
      <c r="D927" s="2162">
        <f>E927*$D$1</f>
        <v/>
      </c>
      <c r="E927" s="2162" t="n">
        <v>43.02777777777778</v>
      </c>
      <c r="F927" s="2162" t="inlineStr">
        <is>
          <t>Pintura</t>
        </is>
      </c>
      <c r="G927" s="2162" t="inlineStr">
        <is>
          <t>Pintura</t>
        </is>
      </c>
      <c r="H927" s="2162" t="n"/>
      <c r="I927" s="4" t="inlineStr">
        <is>
          <t>Pintura</t>
        </is>
      </c>
    </row>
    <row r="928" ht="15.75" customHeight="1">
      <c r="A928" s="10">
        <f>COUNTIFS($B$2:$B$996,B928)</f>
        <v/>
      </c>
      <c r="B928" s="10" t="inlineStr">
        <is>
          <t>DILUENTE AGUARRAS</t>
        </is>
      </c>
      <c r="C928" s="11" t="inlineStr">
        <is>
          <t>L</t>
        </is>
      </c>
      <c r="D928" s="2162">
        <f>E928*$D$1</f>
        <v/>
      </c>
      <c r="E928" s="2162" t="n">
        <v>21.99</v>
      </c>
      <c r="F928" s="2162" t="inlineStr">
        <is>
          <t>Pintura</t>
        </is>
      </c>
      <c r="G928" s="2162" t="inlineStr">
        <is>
          <t>Pintura</t>
        </is>
      </c>
      <c r="H928" s="2162" t="n"/>
      <c r="I928" s="4" t="inlineStr">
        <is>
          <t>Pintura</t>
        </is>
      </c>
    </row>
    <row r="929" ht="15.75" customHeight="1">
      <c r="A929" s="10">
        <f>COUNTIFS($B$2:$B$996,B929)</f>
        <v/>
      </c>
      <c r="B929" s="10" t="inlineStr">
        <is>
          <t>Diluente Epoxi</t>
        </is>
      </c>
      <c r="C929" s="11" t="inlineStr">
        <is>
          <t>L</t>
        </is>
      </c>
      <c r="D929" s="2162">
        <f>E929*$D$1</f>
        <v/>
      </c>
      <c r="E929" s="2162" t="n">
        <v>50.12</v>
      </c>
      <c r="F929" s="2162" t="inlineStr">
        <is>
          <t>Pintura</t>
        </is>
      </c>
      <c r="G929" s="2162" t="inlineStr">
        <is>
          <t>Pintura</t>
        </is>
      </c>
      <c r="H929" s="2162" t="n"/>
      <c r="I929" s="4" t="inlineStr">
        <is>
          <t>Pintura</t>
        </is>
      </c>
    </row>
    <row r="930" ht="15.75" customHeight="1">
      <c r="A930" s="10">
        <f>COUNTIFS($B$2:$B$996,B930)</f>
        <v/>
      </c>
      <c r="B930" s="10" t="inlineStr">
        <is>
          <t>Primer Epoxi / Epoxidico</t>
        </is>
      </c>
      <c r="C930" s="11" t="inlineStr">
        <is>
          <t>L</t>
        </is>
      </c>
      <c r="D930" s="2162">
        <f>E930*$D$1</f>
        <v/>
      </c>
      <c r="E930" s="2162" t="n">
        <v>137.24</v>
      </c>
      <c r="F930" s="2162" t="inlineStr">
        <is>
          <t>Pintura</t>
        </is>
      </c>
      <c r="G930" s="2162" t="inlineStr">
        <is>
          <t>Pintura</t>
        </is>
      </c>
      <c r="H930" s="2162" t="n"/>
      <c r="I930" s="4" t="inlineStr">
        <is>
          <t>Pintura</t>
        </is>
      </c>
    </row>
    <row r="931" ht="15.75" customHeight="1">
      <c r="A931" s="10">
        <f>COUNTIFS($B$2:$B$996,B931)</f>
        <v/>
      </c>
      <c r="B931" s="10" t="inlineStr">
        <is>
          <t>Massa corrida para superfícies de ambientes internos</t>
        </is>
      </c>
      <c r="C931" s="11" t="inlineStr">
        <is>
          <t>KG</t>
        </is>
      </c>
      <c r="D931" s="2162">
        <f>E931*$D$1</f>
        <v/>
      </c>
      <c r="E931" s="2162">
        <f>120/25</f>
        <v/>
      </c>
      <c r="F931" s="2162" t="inlineStr">
        <is>
          <t>Pintura</t>
        </is>
      </c>
      <c r="G931" s="2162" t="inlineStr">
        <is>
          <t>Pintura</t>
        </is>
      </c>
      <c r="H931" s="2162" t="n"/>
      <c r="I931" s="4" t="inlineStr">
        <is>
          <t>Pintura</t>
        </is>
      </c>
    </row>
    <row r="932" ht="15.75" customHeight="1">
      <c r="A932" s="10">
        <f>COUNTIFS($B$2:$B$996,B932)</f>
        <v/>
      </c>
      <c r="B932" s="10" t="inlineStr">
        <is>
          <t>Massa Plastica 400g</t>
        </is>
      </c>
      <c r="C932" s="11" t="inlineStr">
        <is>
          <t>UN</t>
        </is>
      </c>
      <c r="D932" s="2162">
        <f>E932*$D$1</f>
        <v/>
      </c>
      <c r="E932" s="2162" t="n">
        <v>17.33</v>
      </c>
      <c r="F932" s="2162" t="inlineStr">
        <is>
          <t>Pintura</t>
        </is>
      </c>
      <c r="G932" s="2162" t="inlineStr">
        <is>
          <t>Pintura</t>
        </is>
      </c>
      <c r="H932" s="2162" t="n"/>
      <c r="I932" s="4" t="inlineStr">
        <is>
          <t>Pintura</t>
        </is>
      </c>
    </row>
    <row r="933" ht="15.75" customHeight="1">
      <c r="A933" s="10">
        <f>COUNTIFS($B$2:$B$996,B933)</f>
        <v/>
      </c>
      <c r="B933" s="10" t="inlineStr">
        <is>
          <t>MASSA PREMIUM PARA TEXTURA LISA DE BASE ACRILICA</t>
        </is>
      </c>
      <c r="C933" s="11" t="inlineStr">
        <is>
          <t>KG</t>
        </is>
      </c>
      <c r="D933" s="2162">
        <f>E933*$D$1</f>
        <v/>
      </c>
      <c r="E933" s="2162">
        <f>200/22</f>
        <v/>
      </c>
      <c r="F933" s="2162" t="inlineStr">
        <is>
          <t>Pintura</t>
        </is>
      </c>
      <c r="G933" s="2162" t="inlineStr">
        <is>
          <t>Pintura</t>
        </is>
      </c>
      <c r="H933" s="2162" t="n"/>
      <c r="I933" s="4" t="inlineStr">
        <is>
          <t>Pintura</t>
        </is>
      </c>
    </row>
    <row r="934" ht="15.75" customHeight="1">
      <c r="A934" s="10">
        <f>COUNTIFS($B$2:$B$996,B934)</f>
        <v/>
      </c>
      <c r="B934" s="10" t="inlineStr">
        <is>
          <t>Rende Muito Cinza Geada - Tinta Coral</t>
        </is>
      </c>
      <c r="C934" s="11" t="inlineStr">
        <is>
          <t>L</t>
        </is>
      </c>
      <c r="D934" s="2162">
        <f>E934*$D$1</f>
        <v/>
      </c>
      <c r="E934" s="2162" t="n">
        <v>40.625</v>
      </c>
      <c r="F934" s="2162" t="inlineStr">
        <is>
          <t>Pintura</t>
        </is>
      </c>
      <c r="G934" s="2162" t="inlineStr">
        <is>
          <t>Pintura</t>
        </is>
      </c>
      <c r="H934" s="2162" t="n"/>
      <c r="I934" s="4" t="inlineStr">
        <is>
          <t>Pintura</t>
        </is>
      </c>
    </row>
    <row r="935" ht="15.75" customHeight="1">
      <c r="A935" s="10">
        <f>COUNTIFS($B$2:$B$996,B935)</f>
        <v/>
      </c>
      <c r="B935" s="10" t="inlineStr">
        <is>
          <t>Selador Primer Ibratin - 4,2kg - 3,6L</t>
        </is>
      </c>
      <c r="C935" s="11" t="inlineStr">
        <is>
          <t>L</t>
        </is>
      </c>
      <c r="D935" s="2162">
        <f>E935*$D$1</f>
        <v/>
      </c>
      <c r="E935" s="2162">
        <f>190/18</f>
        <v/>
      </c>
      <c r="F935" s="2162" t="inlineStr">
        <is>
          <t>Pintura</t>
        </is>
      </c>
      <c r="G935" s="2162" t="inlineStr">
        <is>
          <t>Pintura</t>
        </is>
      </c>
      <c r="H935" s="2162" t="n"/>
      <c r="I935" s="4" t="inlineStr">
        <is>
          <t>Pintura</t>
        </is>
      </c>
    </row>
    <row r="936" ht="15.75" customHeight="1">
      <c r="A936" s="10">
        <f>COUNTIFS($B$2:$B$996,B936)</f>
        <v/>
      </c>
      <c r="B936" s="10" t="inlineStr">
        <is>
          <t>SELANTE ACRILICO PARA TRATAMENTO / ACABAMENTO SUPERFICIAL DE CONCRETO ESTAMPADO, APARENTE, PEDRAS E OUTROS</t>
        </is>
      </c>
      <c r="C936" s="11" t="inlineStr">
        <is>
          <t>L</t>
        </is>
      </c>
      <c r="D936" s="2162">
        <f>E936*$D$1</f>
        <v/>
      </c>
      <c r="E936" s="2162" t="n">
        <v>25.26</v>
      </c>
      <c r="F936" s="2162" t="inlineStr">
        <is>
          <t>Pintura</t>
        </is>
      </c>
      <c r="G936" s="2162" t="inlineStr">
        <is>
          <t>Pintura</t>
        </is>
      </c>
      <c r="H936" s="2162" t="n"/>
      <c r="I936" s="4" t="inlineStr">
        <is>
          <t>Pintura</t>
        </is>
      </c>
    </row>
    <row r="937" ht="15.75" customHeight="1">
      <c r="A937" s="10">
        <f>COUNTIFS($B$2:$B$996,B937)</f>
        <v/>
      </c>
      <c r="B937" s="10" t="inlineStr">
        <is>
          <t>Decora Efeitos Especiais Coral 2,1L - 2,1 L</t>
        </is>
      </c>
      <c r="C937" s="11" t="inlineStr">
        <is>
          <t>L</t>
        </is>
      </c>
      <c r="D937" s="2162">
        <f>E937*$D$1</f>
        <v/>
      </c>
      <c r="E937" s="2162" t="n">
        <v>231.571428571429</v>
      </c>
      <c r="F937" s="2162" t="inlineStr">
        <is>
          <t>Pintura</t>
        </is>
      </c>
      <c r="G937" s="2162" t="inlineStr">
        <is>
          <t>Pintura</t>
        </is>
      </c>
      <c r="H937" s="2162" t="n"/>
      <c r="I937" s="4" t="inlineStr">
        <is>
          <t>Pintura</t>
        </is>
      </c>
    </row>
    <row r="938" ht="15.75" customHeight="1">
      <c r="A938" s="10">
        <f>COUNTIFS($B$2:$B$996,B938)</f>
        <v/>
      </c>
      <c r="B938" s="10" t="inlineStr">
        <is>
          <t>Revestimento monolítico acrílico (pronto)</t>
        </is>
      </c>
      <c r="C938" s="11" t="inlineStr">
        <is>
          <t>KG</t>
        </is>
      </c>
      <c r="D938" s="2162">
        <f>E938*$D$1</f>
        <v/>
      </c>
      <c r="E938" s="2162">
        <f>E939*1.3</f>
        <v/>
      </c>
      <c r="F938" s="2162" t="inlineStr">
        <is>
          <t>Pintura</t>
        </is>
      </c>
      <c r="G938" s="2162" t="inlineStr">
        <is>
          <t>Pintura</t>
        </is>
      </c>
      <c r="H938" s="2162" t="n"/>
      <c r="I938" s="4" t="inlineStr">
        <is>
          <t>Pintura</t>
        </is>
      </c>
    </row>
    <row r="939" ht="15.75" customHeight="1">
      <c r="A939" s="10">
        <f>COUNTIFS($B$2:$B$996,B939)</f>
        <v/>
      </c>
      <c r="B939" s="10" t="inlineStr">
        <is>
          <t>Textura Cimento Queimado 5KG Suvinil</t>
        </is>
      </c>
      <c r="C939" s="11" t="inlineStr">
        <is>
          <t>KG</t>
        </is>
      </c>
      <c r="D939" s="2162">
        <f>E939*$D$1</f>
        <v/>
      </c>
      <c r="E939" s="2162" t="n">
        <v>57.6</v>
      </c>
      <c r="F939" s="2162" t="inlineStr">
        <is>
          <t>Pintura</t>
        </is>
      </c>
      <c r="G939" s="2162" t="inlineStr">
        <is>
          <t>Pintura</t>
        </is>
      </c>
      <c r="H939" s="2162" t="n"/>
      <c r="I939" s="4" t="inlineStr">
        <is>
          <t>Pintura</t>
        </is>
      </c>
    </row>
    <row r="940" ht="15.75" customHeight="1">
      <c r="A940" s="10">
        <f>COUNTIFS($B$2:$B$996,B940)</f>
        <v/>
      </c>
      <c r="B940" s="10" t="inlineStr">
        <is>
          <t>TINTA ACRILICA PREMIUM BRANCO GELO</t>
        </is>
      </c>
      <c r="C940" s="11" t="inlineStr">
        <is>
          <t>L</t>
        </is>
      </c>
      <c r="D940" s="2162">
        <f>E940*$D$1</f>
        <v/>
      </c>
      <c r="E940" s="2162">
        <f>500/18</f>
        <v/>
      </c>
      <c r="F940" s="2162" t="inlineStr">
        <is>
          <t>Pintura</t>
        </is>
      </c>
      <c r="G940" s="2162" t="inlineStr">
        <is>
          <t>Pintura</t>
        </is>
      </c>
      <c r="H940" s="2162" t="n"/>
      <c r="I940" s="4" t="inlineStr">
        <is>
          <t>Pintura</t>
        </is>
      </c>
    </row>
    <row r="941" ht="15.75" customHeight="1">
      <c r="A941" s="10">
        <f>COUNTIFS($B$2:$B$996,B941)</f>
        <v/>
      </c>
      <c r="B941" s="10" t="inlineStr">
        <is>
          <t>TINTA ACRILICA PREMIUM BRANCO ACETINADO</t>
        </is>
      </c>
      <c r="C941" s="11" t="inlineStr">
        <is>
          <t>L</t>
        </is>
      </c>
      <c r="D941" s="2162">
        <f>E941*$D$1</f>
        <v/>
      </c>
      <c r="E941" s="2162">
        <f>651/18</f>
        <v/>
      </c>
      <c r="F941" s="2162" t="inlineStr">
        <is>
          <t>Pintura</t>
        </is>
      </c>
      <c r="G941" s="2162" t="inlineStr">
        <is>
          <t>Pintura</t>
        </is>
      </c>
      <c r="H941" s="2162" t="n"/>
      <c r="I941" s="4" t="inlineStr">
        <is>
          <t>Pintura</t>
        </is>
      </c>
    </row>
    <row r="942" ht="15.75" customHeight="1">
      <c r="A942" s="10">
        <f>COUNTIFS($B$2:$B$996,B942)</f>
        <v/>
      </c>
      <c r="B942" s="10" t="inlineStr">
        <is>
          <t>TINTA ACRILICA PREMIUM ANFORA DE PRATA</t>
        </is>
      </c>
      <c r="C942" s="11" t="inlineStr">
        <is>
          <t>L</t>
        </is>
      </c>
      <c r="D942" s="2162">
        <f>E942*$D$1</f>
        <v/>
      </c>
      <c r="E942" s="2162">
        <f>870/16</f>
        <v/>
      </c>
      <c r="F942" s="2162" t="inlineStr">
        <is>
          <t>Pintura</t>
        </is>
      </c>
      <c r="G942" s="2162" t="inlineStr">
        <is>
          <t>Pintura</t>
        </is>
      </c>
      <c r="H942" s="2162" t="n"/>
      <c r="I942" s="4" t="inlineStr">
        <is>
          <t>Pintura</t>
        </is>
      </c>
    </row>
    <row r="943" ht="15.75" customHeight="1">
      <c r="A943" s="10">
        <f>COUNTIFS($B$2:$B$996,B943)</f>
        <v/>
      </c>
      <c r="B943" s="10" t="inlineStr">
        <is>
          <t>TINTA ACRILICA PREMIUM NEVOEIRO</t>
        </is>
      </c>
      <c r="C943" s="11" t="inlineStr">
        <is>
          <t>L</t>
        </is>
      </c>
      <c r="D943" s="2162">
        <f>E943*$D$1</f>
        <v/>
      </c>
      <c r="E943" s="2162" t="n">
        <v>36.11111111111111</v>
      </c>
      <c r="F943" s="2162" t="inlineStr">
        <is>
          <t>Pintura</t>
        </is>
      </c>
      <c r="G943" s="2162" t="inlineStr">
        <is>
          <t>Pintura</t>
        </is>
      </c>
      <c r="H943" s="2162" t="n"/>
      <c r="I943" s="4" t="inlineStr">
        <is>
          <t>Pintura</t>
        </is>
      </c>
    </row>
    <row r="944" ht="15.75" customHeight="1">
      <c r="A944" s="10">
        <f>COUNTIFS($B$2:$B$996,B944)</f>
        <v/>
      </c>
      <c r="B944" s="10" t="inlineStr">
        <is>
          <t>TINTA ACRILICA PREMIUM OURO BRANCO</t>
        </is>
      </c>
      <c r="C944" s="11" t="inlineStr">
        <is>
          <t>L</t>
        </is>
      </c>
      <c r="D944" s="2162">
        <f>E944*$D$1</f>
        <v/>
      </c>
      <c r="E944" s="2162">
        <f>606/16</f>
        <v/>
      </c>
      <c r="F944" s="2162" t="inlineStr">
        <is>
          <t>Pintura</t>
        </is>
      </c>
      <c r="G944" s="2162" t="inlineStr">
        <is>
          <t>Pintura</t>
        </is>
      </c>
      <c r="H944" s="2162" t="n"/>
      <c r="I944" s="4" t="inlineStr">
        <is>
          <t>Pintura</t>
        </is>
      </c>
    </row>
    <row r="945" ht="15.75" customHeight="1">
      <c r="A945" s="10">
        <f>COUNTIFS($B$2:$B$996,B945)</f>
        <v/>
      </c>
      <c r="B945" s="10" t="inlineStr">
        <is>
          <t>TINTA ACRILICA PREMIUM COR ELEFANTE</t>
        </is>
      </c>
      <c r="C945" s="11" t="inlineStr">
        <is>
          <t>L</t>
        </is>
      </c>
      <c r="D945" s="2162">
        <f>E945*$D$1</f>
        <v/>
      </c>
      <c r="E945" s="2162" t="n">
        <v>36.11111111111111</v>
      </c>
      <c r="F945" s="2162" t="inlineStr">
        <is>
          <t>Pintura</t>
        </is>
      </c>
      <c r="G945" s="2162" t="inlineStr">
        <is>
          <t>Pintura</t>
        </is>
      </c>
      <c r="H945" s="2162" t="n"/>
      <c r="I945" s="4" t="inlineStr">
        <is>
          <t>Pintura</t>
        </is>
      </c>
    </row>
    <row r="946" ht="15.75" customHeight="1">
      <c r="A946" s="10">
        <f>COUNTIFS($B$2:$B$996,B946)</f>
        <v/>
      </c>
      <c r="B946" s="10" t="inlineStr">
        <is>
          <t>TINTA ACRILICA PREMIUM COR BRANCO NEVE</t>
        </is>
      </c>
      <c r="C946" s="11" t="inlineStr">
        <is>
          <t>L</t>
        </is>
      </c>
      <c r="D946" s="2162">
        <f>E946*$D$1</f>
        <v/>
      </c>
      <c r="E946" s="2162" t="n">
        <v>22.05</v>
      </c>
      <c r="F946" s="2162" t="inlineStr">
        <is>
          <t>Pintura</t>
        </is>
      </c>
      <c r="G946" s="2162" t="inlineStr">
        <is>
          <t>Pintura</t>
        </is>
      </c>
      <c r="H946" s="2162" t="n"/>
      <c r="I946" s="4" t="inlineStr">
        <is>
          <t>Pintura</t>
        </is>
      </c>
    </row>
    <row r="947" ht="15.75" customHeight="1">
      <c r="A947" s="10">
        <f>COUNTIFS($B$2:$B$996,B947)</f>
        <v/>
      </c>
      <c r="B947" s="10" t="inlineStr">
        <is>
          <t>TINTA ACRILICA PREMIUM COR PORCELANA</t>
        </is>
      </c>
      <c r="C947" s="11" t="inlineStr">
        <is>
          <t>L</t>
        </is>
      </c>
      <c r="D947" s="2162">
        <f>E947*$D$1</f>
        <v/>
      </c>
      <c r="E947" s="2162" t="n">
        <v>32.233125</v>
      </c>
      <c r="F947" s="2162" t="inlineStr">
        <is>
          <t>Pintura</t>
        </is>
      </c>
      <c r="G947" s="2162" t="inlineStr">
        <is>
          <t>Pintura</t>
        </is>
      </c>
      <c r="H947" s="2162" t="n"/>
      <c r="I947" s="4" t="inlineStr">
        <is>
          <t>Pintura</t>
        </is>
      </c>
    </row>
    <row r="948" ht="15.75" customHeight="1">
      <c r="A948" s="10">
        <f>COUNTIFS($B$2:$B$996,B948)</f>
        <v/>
      </c>
      <c r="B948" s="10" t="inlineStr">
        <is>
          <t>TINTA ACRILICA PREMIUM COR SALMÃO</t>
        </is>
      </c>
      <c r="C948" s="11" t="inlineStr">
        <is>
          <t>L</t>
        </is>
      </c>
      <c r="D948" s="2162">
        <f>E948*$D$1</f>
        <v/>
      </c>
      <c r="E948" s="2162" t="n">
        <v>58.89875</v>
      </c>
      <c r="F948" s="2162" t="inlineStr">
        <is>
          <t>Pintura</t>
        </is>
      </c>
      <c r="G948" s="2162" t="inlineStr">
        <is>
          <t>Pintura</t>
        </is>
      </c>
      <c r="H948" s="2162" t="n"/>
      <c r="I948" s="4" t="inlineStr">
        <is>
          <t>Pintura</t>
        </is>
      </c>
    </row>
    <row r="949" ht="15.75" customHeight="1">
      <c r="A949" s="10">
        <f>COUNTIFS($B$2:$B$996,B949)</f>
        <v/>
      </c>
      <c r="B949" s="10" t="inlineStr">
        <is>
          <t>TINTA ACRILICA PREMIUM COR MADEIRA ESFUMAÇADA</t>
        </is>
      </c>
      <c r="C949" s="11" t="inlineStr">
        <is>
          <t>L</t>
        </is>
      </c>
      <c r="D949" s="2162">
        <f>E949*$D$1</f>
        <v/>
      </c>
      <c r="E949" s="2162" t="n">
        <v>70.47812499999999</v>
      </c>
      <c r="F949" s="2162" t="inlineStr">
        <is>
          <t>Pintura</t>
        </is>
      </c>
      <c r="G949" s="2162" t="inlineStr">
        <is>
          <t>Pintura</t>
        </is>
      </c>
      <c r="H949" s="2162" t="n"/>
      <c r="I949" s="4" t="inlineStr">
        <is>
          <t>Pintura</t>
        </is>
      </c>
    </row>
    <row r="950" ht="15.75" customHeight="1">
      <c r="A950" s="10">
        <f>COUNTIFS($B$2:$B$996,B950)</f>
        <v/>
      </c>
      <c r="B950" s="10" t="inlineStr">
        <is>
          <t>TINTA ACRILICA PREMIUM COR BABOSA</t>
        </is>
      </c>
      <c r="C950" s="11" t="inlineStr">
        <is>
          <t>L</t>
        </is>
      </c>
      <c r="D950" s="2162">
        <f>E950*$D$1</f>
        <v/>
      </c>
      <c r="E950" s="2162" t="n">
        <v>72.08437499999999</v>
      </c>
      <c r="F950" s="2162" t="inlineStr">
        <is>
          <t>Pintura</t>
        </is>
      </c>
      <c r="G950" s="2162" t="inlineStr">
        <is>
          <t>Pintura</t>
        </is>
      </c>
      <c r="H950" s="2162" t="n"/>
      <c r="I950" s="4" t="inlineStr">
        <is>
          <t>Pintura</t>
        </is>
      </c>
    </row>
    <row r="951" ht="15.75" customHeight="1">
      <c r="A951" s="10">
        <f>COUNTIFS($B$2:$B$996,B951)</f>
        <v/>
      </c>
      <c r="B951" s="10" t="inlineStr">
        <is>
          <t>TINTA ACRILICA PREMIUM COR AREIA</t>
        </is>
      </c>
      <c r="C951" s="11" t="inlineStr">
        <is>
          <t>L</t>
        </is>
      </c>
      <c r="D951" s="2162">
        <f>E951*$D$1</f>
        <v/>
      </c>
      <c r="E951" s="2162" t="n">
        <v>25.83333333333333</v>
      </c>
      <c r="F951" s="2162" t="inlineStr">
        <is>
          <t>Pintura</t>
        </is>
      </c>
      <c r="G951" s="2162" t="inlineStr">
        <is>
          <t>Pintura</t>
        </is>
      </c>
      <c r="H951" s="2162" t="n"/>
      <c r="I951" s="4" t="inlineStr">
        <is>
          <t>Pintura</t>
        </is>
      </c>
    </row>
    <row r="952" ht="15.75" customHeight="1">
      <c r="A952" s="10">
        <f>COUNTIFS($B$2:$B$996,B952)</f>
        <v/>
      </c>
      <c r="B952" s="10" t="inlineStr">
        <is>
          <t>TINTA ACRILICA PREMIUM COR CAFÉ EXPRESSO</t>
        </is>
      </c>
      <c r="C952" s="11" t="inlineStr">
        <is>
          <t>L</t>
        </is>
      </c>
      <c r="D952" s="2162">
        <f>E952*$D$1</f>
        <v/>
      </c>
      <c r="E952" s="2162" t="n">
        <v>88.26249999999999</v>
      </c>
      <c r="F952" s="2162" t="inlineStr">
        <is>
          <t>Pintura</t>
        </is>
      </c>
      <c r="G952" s="2162" t="inlineStr">
        <is>
          <t>Pintura</t>
        </is>
      </c>
      <c r="H952" s="2162" t="n"/>
      <c r="I952" s="4" t="inlineStr">
        <is>
          <t>Pintura</t>
        </is>
      </c>
    </row>
    <row r="953" ht="15.75" customHeight="1">
      <c r="A953" s="10">
        <f>COUNTIFS($B$2:$B$996,B953)</f>
        <v/>
      </c>
      <c r="B953" s="10" t="inlineStr">
        <is>
          <t>TINTA ACRILICA PREMIUM COR ALGODÃO EGIPCIO</t>
        </is>
      </c>
      <c r="C953" s="11" t="inlineStr">
        <is>
          <t>L</t>
        </is>
      </c>
      <c r="D953" s="2162">
        <f>E953*$D$1</f>
        <v/>
      </c>
      <c r="E953" s="2162" t="n">
        <v>28.83333333333333</v>
      </c>
      <c r="F953" s="2162" t="inlineStr">
        <is>
          <t>Pintura</t>
        </is>
      </c>
      <c r="G953" s="2162" t="inlineStr">
        <is>
          <t>Pintura</t>
        </is>
      </c>
      <c r="H953" s="2162" t="n"/>
      <c r="I953" s="4" t="inlineStr">
        <is>
          <t>Pintura</t>
        </is>
      </c>
    </row>
    <row r="954" ht="15.75" customHeight="1">
      <c r="A954" s="10">
        <f>COUNTIFS($B$2:$B$996,B954)</f>
        <v/>
      </c>
      <c r="B954" s="10" t="inlineStr">
        <is>
          <t>TINTA ACRILICA PREMIUM COR PRETA</t>
        </is>
      </c>
      <c r="C954" s="11" t="inlineStr">
        <is>
          <t>L</t>
        </is>
      </c>
      <c r="D954" s="2162">
        <f>E954*$D$1</f>
        <v/>
      </c>
      <c r="E954" s="2162">
        <f>1250/18</f>
        <v/>
      </c>
      <c r="F954" s="2162" t="inlineStr">
        <is>
          <t>Pintura</t>
        </is>
      </c>
      <c r="G954" s="2162" t="inlineStr">
        <is>
          <t>Pintura</t>
        </is>
      </c>
      <c r="H954" s="2162" t="n"/>
      <c r="I954" s="4" t="inlineStr">
        <is>
          <t>Pintura</t>
        </is>
      </c>
    </row>
    <row r="955" ht="15.75" customHeight="1">
      <c r="A955" s="10">
        <f>COUNTIFS($B$2:$B$996,B955)</f>
        <v/>
      </c>
      <c r="B955" s="10" t="inlineStr">
        <is>
          <t>TINTA ACRILICA PREMIUM COR PATATIVA</t>
        </is>
      </c>
      <c r="C955" s="11" t="inlineStr">
        <is>
          <t>L</t>
        </is>
      </c>
      <c r="D955" s="2162">
        <f>E955*$D$1</f>
        <v/>
      </c>
      <c r="E955" s="2162" t="n">
        <v>62.4325</v>
      </c>
      <c r="F955" s="2162" t="inlineStr">
        <is>
          <t>Pintura</t>
        </is>
      </c>
      <c r="G955" s="2162" t="inlineStr">
        <is>
          <t>Pintura</t>
        </is>
      </c>
      <c r="H955" s="2162" t="n"/>
      <c r="I955" s="4" t="inlineStr">
        <is>
          <t>Pintura</t>
        </is>
      </c>
    </row>
    <row r="956" ht="15.75" customHeight="1">
      <c r="A956" s="10">
        <f>COUNTIFS($B$2:$B$996,B956)</f>
        <v/>
      </c>
      <c r="B956" s="10" t="inlineStr">
        <is>
          <t>TINTA ACRILICA PREMIUM COR CINZA ASFALTO</t>
        </is>
      </c>
      <c r="C956" s="11" t="inlineStr">
        <is>
          <t>L</t>
        </is>
      </c>
      <c r="D956" s="2162">
        <f>E956*$D$1</f>
        <v/>
      </c>
      <c r="E956" s="2162" t="n">
        <v>38.27777777777778</v>
      </c>
      <c r="F956" s="2162" t="inlineStr">
        <is>
          <t>Pintura</t>
        </is>
      </c>
      <c r="G956" s="2162" t="inlineStr">
        <is>
          <t>Pintura</t>
        </is>
      </c>
      <c r="H956" s="2162" t="n"/>
      <c r="I956" s="4" t="inlineStr">
        <is>
          <t>Pintura</t>
        </is>
      </c>
    </row>
    <row r="957" ht="15.75" customHeight="1">
      <c r="A957" s="10">
        <f>COUNTIFS($B$2:$B$996,B957)</f>
        <v/>
      </c>
      <c r="B957" s="10" t="inlineStr">
        <is>
          <t>SELANTE ELASTICO MONOCOMPONENTE A BASE DE POLIURETANO (PU) PARA JUNTAS DIVERSAS</t>
        </is>
      </c>
      <c r="C957" s="11" t="inlineStr">
        <is>
          <t>UN</t>
        </is>
      </c>
      <c r="D957" s="2162">
        <f>E957*$D$1</f>
        <v/>
      </c>
      <c r="E957" s="2162" t="n">
        <v>20.7</v>
      </c>
      <c r="F957" s="2162" t="inlineStr">
        <is>
          <t>Pintura</t>
        </is>
      </c>
      <c r="G957" s="2162" t="inlineStr">
        <is>
          <t>Pintura</t>
        </is>
      </c>
      <c r="H957" s="2162" t="inlineStr">
        <is>
          <t>Custo Incorrido</t>
        </is>
      </c>
      <c r="I957" s="4" t="inlineStr">
        <is>
          <t>Pintura</t>
        </is>
      </c>
    </row>
    <row r="958" ht="15.75" customHeight="1">
      <c r="A958" s="10">
        <f>COUNTIFS($B$2:$B$996,B958)</f>
        <v/>
      </c>
      <c r="B958" s="10" t="inlineStr">
        <is>
          <t>SELANTE ELASTICO MONOCOMPONENTE A BASE DE POLIURETANO (PU) PARA JUNTAS DIVERSAS</t>
        </is>
      </c>
      <c r="C958" s="11" t="inlineStr">
        <is>
          <t>UN</t>
        </is>
      </c>
      <c r="D958" s="2162">
        <f>E958*$D$1</f>
        <v/>
      </c>
      <c r="E958" s="2162" t="n">
        <v>20.7</v>
      </c>
      <c r="F958" s="2162" t="inlineStr">
        <is>
          <t>Pintura</t>
        </is>
      </c>
      <c r="G958" s="2162" t="inlineStr">
        <is>
          <t>Pintura</t>
        </is>
      </c>
      <c r="H958" s="2162" t="inlineStr">
        <is>
          <t>Custo Incorrido</t>
        </is>
      </c>
      <c r="I958" s="4" t="inlineStr">
        <is>
          <t>Pintura</t>
        </is>
      </c>
    </row>
    <row r="959" ht="15.75" customHeight="1">
      <c r="A959" s="10">
        <f>COUNTIFS($B$2:$B$996,B959)</f>
        <v/>
      </c>
      <c r="B959" s="10" t="inlineStr">
        <is>
          <t>SOLVENTE BASE THINNER P/TINTA NBR 14725</t>
        </is>
      </c>
      <c r="C959" s="11" t="inlineStr">
        <is>
          <t>L</t>
        </is>
      </c>
      <c r="D959" s="2162">
        <f>E959*$D$1</f>
        <v/>
      </c>
      <c r="E959" s="2162" t="n">
        <v>16</v>
      </c>
      <c r="F959" s="2162" t="inlineStr">
        <is>
          <t>Pintura</t>
        </is>
      </c>
      <c r="G959" s="2162" t="inlineStr">
        <is>
          <t>Pintura</t>
        </is>
      </c>
      <c r="H959" s="2162" t="n"/>
      <c r="I959" s="4" t="inlineStr">
        <is>
          <t>Pintura</t>
        </is>
      </c>
    </row>
    <row r="960" ht="15.75" customHeight="1">
      <c r="A960" s="10">
        <f>COUNTIFS($B$2:$B$996,B960)</f>
        <v/>
      </c>
      <c r="B960" s="10" t="inlineStr">
        <is>
          <t>Suvinil Texturatto Efeito Suave Textura 21kg</t>
        </is>
      </c>
      <c r="C960" s="11" t="inlineStr">
        <is>
          <t>KG</t>
        </is>
      </c>
      <c r="D960" s="2162">
        <f>E960*$D$1</f>
        <v/>
      </c>
      <c r="E960" s="2162" t="n">
        <v>6.666666666666667</v>
      </c>
      <c r="F960" s="2162" t="inlineStr">
        <is>
          <t>Pintura</t>
        </is>
      </c>
      <c r="G960" s="2162" t="inlineStr">
        <is>
          <t>Pintura</t>
        </is>
      </c>
      <c r="H960" s="2162" t="n"/>
      <c r="I960" s="4" t="inlineStr">
        <is>
          <t>Pintura</t>
        </is>
      </c>
    </row>
    <row r="961" ht="15.75" customHeight="1">
      <c r="A961" s="10">
        <f>COUNTIFS($B$2:$B$996,B961)</f>
        <v/>
      </c>
      <c r="B961" s="10" t="inlineStr">
        <is>
          <t>Textura acrilica Cinza escura - Sto Brasil</t>
        </is>
      </c>
      <c r="C961" s="11" t="inlineStr">
        <is>
          <t>KG</t>
        </is>
      </c>
      <c r="D961" s="2162">
        <f>E961*$D$1</f>
        <v/>
      </c>
      <c r="E961" s="2162" t="n">
        <v>140</v>
      </c>
      <c r="F961" s="2162" t="inlineStr">
        <is>
          <t>Pintura</t>
        </is>
      </c>
      <c r="G961" s="2162" t="inlineStr">
        <is>
          <t>Pintura</t>
        </is>
      </c>
      <c r="H961" s="2162" t="n"/>
      <c r="I961" s="4" t="inlineStr">
        <is>
          <t>Pintura</t>
        </is>
      </c>
    </row>
    <row r="962" ht="15.75" customHeight="1">
      <c r="A962" s="10">
        <f>COUNTIFS($B$2:$B$996,B962)</f>
        <v/>
      </c>
      <c r="B962" s="10" t="inlineStr">
        <is>
          <t>Textura acrilica branca - Coral</t>
        </is>
      </c>
      <c r="C962" s="11" t="inlineStr">
        <is>
          <t>KG</t>
        </is>
      </c>
      <c r="D962" s="2162">
        <f>E962*$D$1</f>
        <v/>
      </c>
      <c r="E962" s="2162" t="n">
        <v>8.396000000000001</v>
      </c>
      <c r="F962" s="2162" t="inlineStr">
        <is>
          <t>Pintura</t>
        </is>
      </c>
      <c r="G962" s="2162" t="inlineStr">
        <is>
          <t>Pintura</t>
        </is>
      </c>
      <c r="H962" s="2162" t="n"/>
      <c r="I962" s="4" t="inlineStr">
        <is>
          <t>Pintura</t>
        </is>
      </c>
    </row>
    <row r="963" ht="15.75" customHeight="1">
      <c r="A963" s="10">
        <f>COUNTIFS($B$2:$B$996,B963)</f>
        <v/>
      </c>
      <c r="B963" s="10" t="inlineStr">
        <is>
          <t>Textura Efeito Estrelado - Cor: Palha - 4,2kg</t>
        </is>
      </c>
      <c r="C963" s="11" t="inlineStr">
        <is>
          <t>KG</t>
        </is>
      </c>
      <c r="D963" s="2162">
        <f>E963*$D$1</f>
        <v/>
      </c>
      <c r="E963" s="2162" t="n">
        <v>21.19047619047619</v>
      </c>
      <c r="F963" s="2162" t="inlineStr">
        <is>
          <t>Pintura</t>
        </is>
      </c>
      <c r="G963" s="2162" t="inlineStr">
        <is>
          <t>Pintura</t>
        </is>
      </c>
      <c r="H963" s="2162" t="n"/>
      <c r="I963" s="4" t="inlineStr">
        <is>
          <t>Pintura</t>
        </is>
      </c>
    </row>
    <row r="964" ht="15.75" customHeight="1">
      <c r="A964" s="10">
        <f>COUNTIFS($B$2:$B$996,B964)</f>
        <v/>
      </c>
      <c r="B964" s="10" t="inlineStr">
        <is>
          <t>Textura Ibratin: Effetti Branco</t>
        </is>
      </c>
      <c r="C964" s="11" t="inlineStr">
        <is>
          <t>KG</t>
        </is>
      </c>
      <c r="D964" s="2162">
        <f>E964*$D$1</f>
        <v/>
      </c>
      <c r="E964" s="2162" t="n">
        <v>28</v>
      </c>
      <c r="F964" s="2162" t="inlineStr">
        <is>
          <t>Pintura</t>
        </is>
      </c>
      <c r="G964" s="2162" t="inlineStr">
        <is>
          <t>Pintura</t>
        </is>
      </c>
      <c r="H964" s="2162" t="n"/>
      <c r="I964" s="4" t="inlineStr">
        <is>
          <t>Pintura</t>
        </is>
      </c>
    </row>
    <row r="965" ht="15.75" customHeight="1">
      <c r="A965" s="10">
        <f>COUNTIFS($B$2:$B$996,B965)</f>
        <v/>
      </c>
      <c r="B965" s="10" t="inlineStr">
        <is>
          <t xml:space="preserve">revestimento Diore Ornamentali na cor Bege Bahia </t>
        </is>
      </c>
      <c r="C965" s="11" t="inlineStr">
        <is>
          <t>KG</t>
        </is>
      </c>
      <c r="D965" s="2162">
        <f>E965*$D$1</f>
        <v/>
      </c>
      <c r="E965" s="2162">
        <f>660/25</f>
        <v/>
      </c>
      <c r="F965" s="2162" t="inlineStr">
        <is>
          <t>Pintura</t>
        </is>
      </c>
      <c r="G965" s="2162" t="inlineStr">
        <is>
          <t>Pintura</t>
        </is>
      </c>
      <c r="H965" s="2162" t="n"/>
      <c r="I965" s="4" t="inlineStr">
        <is>
          <t>Pintura</t>
        </is>
      </c>
    </row>
    <row r="966" ht="15.75" customHeight="1">
      <c r="A966" s="10">
        <f>COUNTIFS($B$2:$B$996,B966)</f>
        <v/>
      </c>
      <c r="B966" s="10" t="inlineStr">
        <is>
          <t xml:space="preserve">Textura Terracal / Marca: Terracor </t>
        </is>
      </c>
      <c r="C966" s="11" t="inlineStr">
        <is>
          <t>KG</t>
        </is>
      </c>
      <c r="D966" s="2162">
        <f>E966*$D$1</f>
        <v/>
      </c>
      <c r="E966" s="2162" t="n">
        <v>44.5</v>
      </c>
      <c r="F966" s="2162" t="inlineStr">
        <is>
          <t>Pintura</t>
        </is>
      </c>
      <c r="G966" s="2162" t="inlineStr">
        <is>
          <t>Pintura</t>
        </is>
      </c>
      <c r="H966" s="2162" t="n"/>
      <c r="I966" s="4" t="inlineStr">
        <is>
          <t>Pintura</t>
        </is>
      </c>
    </row>
    <row r="967" ht="15.75" customHeight="1">
      <c r="A967" s="10">
        <f>COUNTIFS($B$2:$B$996,B967)</f>
        <v/>
      </c>
      <c r="B967" s="10" t="inlineStr">
        <is>
          <t>TINTA ACRILICA A BASE DE SOLVENTE</t>
        </is>
      </c>
      <c r="C967" s="11" t="inlineStr">
        <is>
          <t>L</t>
        </is>
      </c>
      <c r="D967" s="2162">
        <f>E967*$D$1</f>
        <v/>
      </c>
      <c r="E967" s="2162">
        <f>600/18</f>
        <v/>
      </c>
      <c r="F967" s="2162" t="inlineStr">
        <is>
          <t>Pintura</t>
        </is>
      </c>
      <c r="G967" s="2162" t="inlineStr">
        <is>
          <t>Pintura</t>
        </is>
      </c>
      <c r="H967" s="2162" t="n"/>
      <c r="I967" s="4" t="inlineStr">
        <is>
          <t>Pintura</t>
        </is>
      </c>
    </row>
    <row r="968" ht="15.75" customHeight="1">
      <c r="A968" s="10">
        <f>COUNTIFS($B$2:$B$996,B968)</f>
        <v/>
      </c>
      <c r="B968" s="10" t="inlineStr">
        <is>
          <t>TINTA ACRILICA A BASE DE SOLVENTE, PARA SINALIZACAO HORIZONTAL VIARIA (NBR 11862)</t>
        </is>
      </c>
      <c r="C968" s="11" t="inlineStr">
        <is>
          <t>L</t>
        </is>
      </c>
      <c r="D968" s="2162">
        <f>E968*$D$1</f>
        <v/>
      </c>
      <c r="E968" s="2162" t="n">
        <v>35.42</v>
      </c>
      <c r="F968" s="2162" t="inlineStr">
        <is>
          <t>Pintura</t>
        </is>
      </c>
      <c r="G968" s="2162" t="inlineStr">
        <is>
          <t>Pintura</t>
        </is>
      </c>
      <c r="H968" s="2162" t="n"/>
      <c r="I968" s="4" t="inlineStr">
        <is>
          <t>Pintura</t>
        </is>
      </c>
    </row>
    <row r="969" ht="15.75" customHeight="1">
      <c r="A969" s="10">
        <f>COUNTIFS($B$2:$B$996,B969)</f>
        <v/>
      </c>
      <c r="B969" s="10" t="inlineStr">
        <is>
          <t xml:space="preserve">TINTA ACRILICA PREMIUM </t>
        </is>
      </c>
      <c r="C969" s="11" t="inlineStr">
        <is>
          <t>L</t>
        </is>
      </c>
      <c r="D969" s="2162">
        <f>E969*$D$1</f>
        <v/>
      </c>
      <c r="E969" s="2162" t="n">
        <v>24.5</v>
      </c>
      <c r="F969" s="2162" t="inlineStr">
        <is>
          <t>Pintura</t>
        </is>
      </c>
      <c r="G969" s="2162" t="inlineStr">
        <is>
          <t>Pintura</t>
        </is>
      </c>
      <c r="H969" s="2162" t="n"/>
      <c r="I969" s="4" t="inlineStr">
        <is>
          <t>Pintura</t>
        </is>
      </c>
    </row>
    <row r="970" ht="15.75" customHeight="1">
      <c r="A970" s="10">
        <f>COUNTIFS($B$2:$B$996,B970)</f>
        <v/>
      </c>
      <c r="B970" s="10" t="inlineStr">
        <is>
          <t>Tinta Epoxi Base Agua Premium</t>
        </is>
      </c>
      <c r="C970" s="11" t="inlineStr">
        <is>
          <t>L</t>
        </is>
      </c>
      <c r="D970" s="2162">
        <f>E970*$D$1</f>
        <v/>
      </c>
      <c r="E970" s="2162">
        <f>295/3.6</f>
        <v/>
      </c>
      <c r="F970" s="2162" t="inlineStr">
        <is>
          <t>Pintura</t>
        </is>
      </c>
      <c r="G970" s="2162" t="inlineStr">
        <is>
          <t>Pintura</t>
        </is>
      </c>
      <c r="H970" s="2162" t="n"/>
      <c r="I970" s="4" t="inlineStr">
        <is>
          <t>Pintura</t>
        </is>
      </c>
    </row>
    <row r="971" ht="15.75" customHeight="1">
      <c r="A971" s="10">
        <f>COUNTIFS($B$2:$B$996,B971)</f>
        <v/>
      </c>
      <c r="B971" s="10" t="inlineStr">
        <is>
          <t>Pintura Artistica em tetos</t>
        </is>
      </c>
      <c r="C971" s="11" t="inlineStr">
        <is>
          <t>M2</t>
        </is>
      </c>
      <c r="D971" s="2162">
        <f>E971*$D$1</f>
        <v/>
      </c>
      <c r="E971" s="2162" t="n">
        <v>80</v>
      </c>
      <c r="F971" s="2162" t="inlineStr">
        <is>
          <t>Pintura</t>
        </is>
      </c>
      <c r="G971" s="2162" t="inlineStr">
        <is>
          <t>Pintura</t>
        </is>
      </c>
      <c r="H971" s="2162" t="n"/>
      <c r="I971" s="4" t="inlineStr">
        <is>
          <t>Pintura</t>
        </is>
      </c>
    </row>
    <row r="972" ht="15.75" customHeight="1">
      <c r="A972" s="10">
        <f>COUNTIFS($B$2:$B$996,B972)</f>
        <v/>
      </c>
      <c r="B972" s="10" t="inlineStr">
        <is>
          <t>Tinta Esmalte</t>
        </is>
      </c>
      <c r="C972" s="11" t="inlineStr">
        <is>
          <t>L</t>
        </is>
      </c>
      <c r="D972" s="2162">
        <f>E972*$D$1</f>
        <v/>
      </c>
      <c r="E972" s="2162" t="n">
        <v>40.25</v>
      </c>
      <c r="F972" s="2162" t="inlineStr">
        <is>
          <t>Pintura</t>
        </is>
      </c>
      <c r="G972" s="2162" t="inlineStr">
        <is>
          <t>Pintura</t>
        </is>
      </c>
      <c r="H972" s="2162" t="n"/>
      <c r="I972" s="4" t="inlineStr">
        <is>
          <t>Pintura</t>
        </is>
      </c>
    </row>
    <row r="973" ht="14.25" customHeight="1">
      <c r="A973" s="10">
        <f>COUNTIFS($B$2:$B$996,B973)</f>
        <v/>
      </c>
      <c r="B973" s="82" t="inlineStr">
        <is>
          <t>Tinta Piso</t>
        </is>
      </c>
      <c r="C973" s="83" t="inlineStr">
        <is>
          <t>L</t>
        </is>
      </c>
      <c r="D973" s="2165">
        <f>E973*$D$1</f>
        <v/>
      </c>
      <c r="E973" s="2165">
        <f>360/18</f>
        <v/>
      </c>
      <c r="F973" s="2165" t="inlineStr">
        <is>
          <t>Pintura</t>
        </is>
      </c>
      <c r="G973" s="2165" t="inlineStr">
        <is>
          <t>Pintura</t>
        </is>
      </c>
      <c r="H973" s="2165" t="n"/>
      <c r="I973" s="85" t="inlineStr">
        <is>
          <t>Pintura</t>
        </is>
      </c>
    </row>
    <row r="974" ht="14.25" customHeight="1">
      <c r="A974" s="10">
        <f>COUNTIFS($B$2:$B$996,B974)</f>
        <v/>
      </c>
      <c r="B974" s="82" t="inlineStr">
        <is>
          <t>TINTA ACRILICA PREMIUM COR AMARELA</t>
        </is>
      </c>
      <c r="C974" s="83" t="inlineStr">
        <is>
          <t>L</t>
        </is>
      </c>
      <c r="D974" s="2165">
        <f>E974*$D$1</f>
        <v/>
      </c>
      <c r="E974" s="2165">
        <f>350/18</f>
        <v/>
      </c>
      <c r="F974" s="2165" t="inlineStr">
        <is>
          <t>Pintura</t>
        </is>
      </c>
      <c r="G974" s="2165" t="inlineStr">
        <is>
          <t>Pintura</t>
        </is>
      </c>
      <c r="H974" s="2165" t="n"/>
      <c r="I974" s="85" t="inlineStr">
        <is>
          <t>Pintura</t>
        </is>
      </c>
    </row>
    <row r="975" ht="14.25" customHeight="1">
      <c r="A975" s="10">
        <f>COUNTIFS($B$2:$B$996,B975)</f>
        <v/>
      </c>
      <c r="B975" s="82" t="inlineStr">
        <is>
          <t>TINTA ACRILICA PREMIUM AZUL ETÉREO</t>
        </is>
      </c>
      <c r="C975" s="83" t="inlineStr">
        <is>
          <t>L</t>
        </is>
      </c>
      <c r="D975" s="2165">
        <f>E975*$D$1</f>
        <v/>
      </c>
      <c r="E975" s="2165">
        <f>727.53/16</f>
        <v/>
      </c>
      <c r="F975" s="2165" t="inlineStr">
        <is>
          <t>Pintura</t>
        </is>
      </c>
      <c r="G975" s="2165" t="inlineStr">
        <is>
          <t>Pintura</t>
        </is>
      </c>
      <c r="H975" s="2165" t="n"/>
      <c r="I975" s="85" t="inlineStr">
        <is>
          <t>Pintura</t>
        </is>
      </c>
    </row>
    <row r="976" ht="14.25" customHeight="1">
      <c r="A976" s="10">
        <f>COUNTIFS($B$2:$B$996,B976)</f>
        <v/>
      </c>
      <c r="B976" s="82" t="inlineStr">
        <is>
          <t>TINTA ACRILICA PREMIUM  PAPEL PICADO</t>
        </is>
      </c>
      <c r="C976" s="83" t="inlineStr">
        <is>
          <t>L</t>
        </is>
      </c>
      <c r="D976" s="2165">
        <f>E976*$D$1</f>
        <v/>
      </c>
      <c r="E976" s="2165">
        <f>661.62/16</f>
        <v/>
      </c>
      <c r="F976" s="2165" t="inlineStr">
        <is>
          <t>Pintura</t>
        </is>
      </c>
      <c r="G976" s="2165" t="inlineStr">
        <is>
          <t>Pintura</t>
        </is>
      </c>
      <c r="H976" s="2165" t="n"/>
      <c r="I976" s="85" t="inlineStr">
        <is>
          <t>Pintura</t>
        </is>
      </c>
    </row>
    <row r="977" ht="14.25" customHeight="1">
      <c r="A977" s="10">
        <f>COUNTIFS($B$2:$B$996,B977)</f>
        <v/>
      </c>
      <c r="B977" s="82" t="inlineStr">
        <is>
          <t>TINTA ACRILICA PREMIUM COR AZUL</t>
        </is>
      </c>
      <c r="C977" s="83" t="inlineStr">
        <is>
          <t>L</t>
        </is>
      </c>
      <c r="D977" s="2165">
        <f>E977*$D$1</f>
        <v/>
      </c>
      <c r="E977" s="2165">
        <f>550/16</f>
        <v/>
      </c>
      <c r="F977" s="2165" t="inlineStr">
        <is>
          <t>Pintura</t>
        </is>
      </c>
      <c r="G977" s="2165" t="inlineStr">
        <is>
          <t>Pintura</t>
        </is>
      </c>
      <c r="H977" s="2165" t="n"/>
      <c r="I977" s="85" t="inlineStr">
        <is>
          <t>Pintura</t>
        </is>
      </c>
    </row>
    <row r="978" ht="14.25" customHeight="1">
      <c r="A978" s="10">
        <f>COUNTIFS($B$2:$B$996,B978)</f>
        <v/>
      </c>
      <c r="B978" s="82" t="inlineStr">
        <is>
          <t>TINTA ACRILICA PREMIUM COR CHARCOAL</t>
        </is>
      </c>
      <c r="C978" s="83" t="inlineStr">
        <is>
          <t>L</t>
        </is>
      </c>
      <c r="D978" s="2165">
        <f>E978*$D$1</f>
        <v/>
      </c>
      <c r="E978" s="2165" t="n">
        <v>55</v>
      </c>
      <c r="F978" s="2165" t="inlineStr">
        <is>
          <t>Pintura</t>
        </is>
      </c>
      <c r="G978" s="2165" t="inlineStr">
        <is>
          <t>Pintura</t>
        </is>
      </c>
      <c r="H978" s="2165" t="n"/>
      <c r="I978" s="85" t="inlineStr">
        <is>
          <t>Pintura</t>
        </is>
      </c>
    </row>
    <row r="979" ht="14.25" customHeight="1">
      <c r="A979" s="10">
        <f>COUNTIFS($B$2:$B$996,B979)</f>
        <v/>
      </c>
      <c r="B979" s="82" t="inlineStr">
        <is>
          <t>TINTA ACRILICA PREMIUM COR DESEMPENA DE CONCRETO</t>
        </is>
      </c>
      <c r="C979" s="83" t="inlineStr">
        <is>
          <t>L</t>
        </is>
      </c>
      <c r="D979" s="2165">
        <f>E979*$D$1</f>
        <v/>
      </c>
      <c r="E979" s="2165" t="n">
        <v>50</v>
      </c>
      <c r="F979" s="2165" t="inlineStr">
        <is>
          <t>Pintura</t>
        </is>
      </c>
      <c r="G979" s="2165" t="inlineStr">
        <is>
          <t>Pintura</t>
        </is>
      </c>
      <c r="H979" s="2165" t="n"/>
      <c r="I979" s="85" t="inlineStr">
        <is>
          <t>Pintura</t>
        </is>
      </c>
    </row>
    <row r="980" ht="14.25" customHeight="1">
      <c r="A980" s="10">
        <f>COUNTIFS($B$2:$B$996,B980)</f>
        <v/>
      </c>
      <c r="B980" s="82" t="inlineStr">
        <is>
          <t>Suvinil Toque Acetinada Completo Pinhão</t>
        </is>
      </c>
      <c r="C980" s="83" t="inlineStr">
        <is>
          <t>L</t>
        </is>
      </c>
      <c r="D980" s="2165">
        <f>E980*$D$1</f>
        <v/>
      </c>
      <c r="E980" s="2165">
        <f>211.9/3.2</f>
        <v/>
      </c>
      <c r="F980" s="2165" t="inlineStr">
        <is>
          <t>Pintura</t>
        </is>
      </c>
      <c r="G980" s="2165" t="inlineStr">
        <is>
          <t>Pintura</t>
        </is>
      </c>
      <c r="H980" s="2165" t="n"/>
      <c r="I980" s="85" t="inlineStr">
        <is>
          <t>Pintura</t>
        </is>
      </c>
    </row>
    <row r="981" ht="14.25" customHeight="1">
      <c r="A981" s="10">
        <f>COUNTIFS($B$2:$B$996,B981)</f>
        <v/>
      </c>
      <c r="B981" s="82" t="inlineStr">
        <is>
          <t>Suvinil Toque Acetinada Completo Sambaqui</t>
        </is>
      </c>
      <c r="C981" s="83" t="inlineStr">
        <is>
          <t>L</t>
        </is>
      </c>
      <c r="D981" s="2165">
        <f>E981*$D$1</f>
        <v/>
      </c>
      <c r="E981" s="2165">
        <f>190.9/3.2</f>
        <v/>
      </c>
      <c r="F981" s="2165" t="inlineStr">
        <is>
          <t>Pintura</t>
        </is>
      </c>
      <c r="G981" s="2165" t="inlineStr">
        <is>
          <t>Pintura</t>
        </is>
      </c>
      <c r="H981" s="2165" t="n"/>
      <c r="I981" s="85" t="inlineStr">
        <is>
          <t>Pintura</t>
        </is>
      </c>
    </row>
    <row r="982" ht="14.25" customHeight="1">
      <c r="A982" s="10">
        <f>COUNTIFS($B$2:$B$996,B982)</f>
        <v/>
      </c>
      <c r="B982" s="82" t="inlineStr">
        <is>
          <t>Suvinil Toque Acetinada Completo Carvão mineral</t>
        </is>
      </c>
      <c r="C982" s="83" t="inlineStr">
        <is>
          <t>L</t>
        </is>
      </c>
      <c r="D982" s="2165">
        <f>E982*$D$1</f>
        <v/>
      </c>
      <c r="E982" s="2165">
        <f>1060.9/16</f>
        <v/>
      </c>
      <c r="F982" s="2165" t="inlineStr">
        <is>
          <t>Pintura</t>
        </is>
      </c>
      <c r="G982" s="2165" t="inlineStr">
        <is>
          <t>Pintura</t>
        </is>
      </c>
      <c r="H982" s="2165" t="n"/>
      <c r="I982" s="85" t="inlineStr">
        <is>
          <t>Pintura</t>
        </is>
      </c>
    </row>
    <row r="983" ht="14.25" customHeight="1">
      <c r="A983" s="10">
        <f>COUNTIFS($B$2:$B$996,B983)</f>
        <v/>
      </c>
      <c r="B983" s="82" t="inlineStr">
        <is>
          <t>Suvinil Toque Fosco Completo Pinhão</t>
        </is>
      </c>
      <c r="C983" s="83" t="inlineStr">
        <is>
          <t>L</t>
        </is>
      </c>
      <c r="D983" s="2165">
        <f>E983*$D$1</f>
        <v/>
      </c>
      <c r="E983" s="2165">
        <f>867.9/16</f>
        <v/>
      </c>
      <c r="F983" s="2165" t="inlineStr">
        <is>
          <t>Pintura</t>
        </is>
      </c>
      <c r="G983" s="2165" t="inlineStr">
        <is>
          <t>Pintura</t>
        </is>
      </c>
      <c r="H983" s="2165" t="n"/>
      <c r="I983" s="85" t="inlineStr">
        <is>
          <t>Pintura</t>
        </is>
      </c>
    </row>
    <row r="984" ht="14.25" customHeight="1">
      <c r="A984" s="10">
        <f>COUNTIFS($B$2:$B$996,B984)</f>
        <v/>
      </c>
      <c r="B984" s="82" t="inlineStr">
        <is>
          <t>Suvinil Toque Fosco Completo Sambaqui</t>
        </is>
      </c>
      <c r="C984" s="83" t="inlineStr">
        <is>
          <t>L</t>
        </is>
      </c>
      <c r="D984" s="2165">
        <f>E984*$D$1</f>
        <v/>
      </c>
      <c r="E984" s="2165">
        <f>729.9/16</f>
        <v/>
      </c>
      <c r="F984" s="2165" t="inlineStr">
        <is>
          <t>Pintura</t>
        </is>
      </c>
      <c r="G984" s="2165" t="inlineStr">
        <is>
          <t>Pintura</t>
        </is>
      </c>
      <c r="H984" s="2165" t="n"/>
      <c r="I984" s="85" t="inlineStr">
        <is>
          <t>Pintura</t>
        </is>
      </c>
    </row>
    <row r="985" ht="14.25" customHeight="1">
      <c r="A985" s="10">
        <f>COUNTIFS($B$2:$B$996,B985)</f>
        <v/>
      </c>
      <c r="B985" s="82" t="inlineStr">
        <is>
          <t>Suvinil Toque Fosco Completo Carvão mineral</t>
        </is>
      </c>
      <c r="C985" s="83" t="inlineStr">
        <is>
          <t>L</t>
        </is>
      </c>
      <c r="D985" s="2165">
        <f>E985*$D$1</f>
        <v/>
      </c>
      <c r="E985" s="2165">
        <f>886.9/16</f>
        <v/>
      </c>
      <c r="F985" s="2165" t="inlineStr">
        <is>
          <t>Pintura</t>
        </is>
      </c>
      <c r="G985" s="2165" t="inlineStr">
        <is>
          <t>Pintura</t>
        </is>
      </c>
      <c r="H985" s="2165" t="n"/>
      <c r="I985" s="85" t="inlineStr">
        <is>
          <t>Pintura</t>
        </is>
      </c>
    </row>
    <row r="986" ht="14.25" customHeight="1">
      <c r="A986" s="10">
        <f>COUNTIFS($B$2:$B$996,B986)</f>
        <v/>
      </c>
      <c r="B986" s="82" t="inlineStr">
        <is>
          <t>Suvinil Toque Fosco Completo branco</t>
        </is>
      </c>
      <c r="C986" s="83" t="inlineStr">
        <is>
          <t>L</t>
        </is>
      </c>
      <c r="D986" s="2165">
        <f>E986*$D$1</f>
        <v/>
      </c>
      <c r="E986" s="2165">
        <f>619.9/18</f>
        <v/>
      </c>
      <c r="F986" s="2165" t="inlineStr">
        <is>
          <t>Pintura</t>
        </is>
      </c>
      <c r="G986" s="2165" t="inlineStr">
        <is>
          <t>Pintura</t>
        </is>
      </c>
      <c r="H986" s="2165" t="n"/>
      <c r="I986" s="85" t="inlineStr">
        <is>
          <t>Pintura</t>
        </is>
      </c>
    </row>
    <row r="987" ht="14.25" customHeight="1">
      <c r="A987" s="10">
        <f>COUNTIFS($B$2:$B$996,B987)</f>
        <v/>
      </c>
      <c r="B987" s="82" t="inlineStr">
        <is>
          <t>Tinta ACRÍLICO TOQUE DE SEDA ACETINADO</t>
        </is>
      </c>
      <c r="C987" s="83" t="inlineStr">
        <is>
          <t>L</t>
        </is>
      </c>
      <c r="D987" s="2165">
        <f>E987*$D$1</f>
        <v/>
      </c>
      <c r="E987" s="2165">
        <f>769.9/18</f>
        <v/>
      </c>
      <c r="F987" s="2165" t="inlineStr">
        <is>
          <t>Pintura</t>
        </is>
      </c>
      <c r="G987" s="2165" t="inlineStr">
        <is>
          <t>Pintura</t>
        </is>
      </c>
      <c r="H987" s="2165" t="n"/>
      <c r="I987" s="85" t="inlineStr">
        <is>
          <t>Pintura</t>
        </is>
      </c>
    </row>
    <row r="988" ht="14.25" customHeight="1">
      <c r="A988" s="10">
        <f>COUNTIFS($B$2:$B$996,B988)</f>
        <v/>
      </c>
      <c r="B988" s="82" t="inlineStr">
        <is>
          <t>Impermeabilizante Suviflex 18 Litros Branco Suvinil</t>
        </is>
      </c>
      <c r="C988" s="83" t="inlineStr">
        <is>
          <t>L</t>
        </is>
      </c>
      <c r="D988" s="2165">
        <f>E988*$D$1</f>
        <v/>
      </c>
      <c r="E988" s="2165">
        <f>414.9/18</f>
        <v/>
      </c>
      <c r="F988" s="2165" t="inlineStr">
        <is>
          <t>Pintura</t>
        </is>
      </c>
      <c r="G988" s="2165" t="inlineStr">
        <is>
          <t>Pintura</t>
        </is>
      </c>
      <c r="H988" s="2165" t="n"/>
      <c r="I988" s="85" t="inlineStr">
        <is>
          <t>Pintura</t>
        </is>
      </c>
    </row>
    <row r="989" ht="14.25" customHeight="1">
      <c r="A989" s="10">
        <f>COUNTIFS($B$2:$B$996,B989)</f>
        <v/>
      </c>
      <c r="B989" s="82" t="inlineStr">
        <is>
          <t>MICROESFERAS DE VIDRO PARA SINALIZACAO HORIZONTAL VIARIA, TIPO II-A (DROP-ON) - NBR  16184</t>
        </is>
      </c>
      <c r="C989" s="83" t="inlineStr">
        <is>
          <t>L</t>
        </is>
      </c>
      <c r="D989" s="2165">
        <f>E989*$D$1</f>
        <v/>
      </c>
      <c r="E989" s="2165" t="n">
        <v>40.25</v>
      </c>
      <c r="F989" s="2165" t="inlineStr">
        <is>
          <t>Pintura</t>
        </is>
      </c>
      <c r="G989" s="2165" t="inlineStr">
        <is>
          <t>Pintura</t>
        </is>
      </c>
      <c r="H989" s="2165" t="n"/>
      <c r="I989" s="85" t="inlineStr">
        <is>
          <t>Pintura</t>
        </is>
      </c>
    </row>
    <row r="990" ht="14.25" customHeight="1">
      <c r="A990" s="10">
        <f>COUNTIFS($B$2:$B$996,B990)</f>
        <v/>
      </c>
      <c r="B990" s="82" t="inlineStr">
        <is>
          <t>Cal hidratada CH-III (saco 20 kg)</t>
        </is>
      </c>
      <c r="C990" s="83" t="inlineStr">
        <is>
          <t>KG</t>
        </is>
      </c>
      <c r="D990" s="2165">
        <f>E990*$D$1</f>
        <v/>
      </c>
      <c r="E990" s="2165" t="n">
        <v>0.45</v>
      </c>
      <c r="F990" s="2165" t="inlineStr">
        <is>
          <t>Pintura</t>
        </is>
      </c>
      <c r="G990" s="2165" t="inlineStr">
        <is>
          <t>Pintura</t>
        </is>
      </c>
      <c r="H990" s="2165" t="n"/>
      <c r="I990" s="85" t="inlineStr">
        <is>
          <t>Pintura</t>
        </is>
      </c>
    </row>
    <row r="991" ht="14.25" customHeight="1">
      <c r="A991" s="10">
        <f>COUNTIFS($B$2:$B$996,B991)</f>
        <v/>
      </c>
      <c r="B991" s="82" t="inlineStr">
        <is>
          <t>Textura acrílica pigmentada pronta</t>
        </is>
      </c>
      <c r="C991" s="83" t="inlineStr">
        <is>
          <t>KG</t>
        </is>
      </c>
      <c r="D991" s="2165">
        <f>E991*$D$1</f>
        <v/>
      </c>
      <c r="E991" s="2165" t="n">
        <v>13</v>
      </c>
      <c r="F991" s="2165" t="inlineStr">
        <is>
          <t>Pintura</t>
        </is>
      </c>
      <c r="G991" s="2165" t="inlineStr">
        <is>
          <t>Pintura</t>
        </is>
      </c>
      <c r="H991" s="2165" t="n"/>
      <c r="I991" s="85" t="inlineStr">
        <is>
          <t>Pintura</t>
        </is>
      </c>
    </row>
    <row r="992" ht="14.25" customHeight="1">
      <c r="A992" s="10">
        <f>COUNTIFS($B$2:$B$996,B992)</f>
        <v/>
      </c>
      <c r="B992" s="82" t="inlineStr">
        <is>
          <t>Pigmento mineral (óxido de ferro / pó xadrez)</t>
        </is>
      </c>
      <c r="C992" s="83" t="inlineStr">
        <is>
          <t>KG</t>
        </is>
      </c>
      <c r="D992" s="2165">
        <f>E992*$D$1</f>
        <v/>
      </c>
      <c r="E992" s="2165" t="n">
        <v>18</v>
      </c>
      <c r="F992" s="2165" t="inlineStr">
        <is>
          <t>Pintura</t>
        </is>
      </c>
      <c r="G992" s="2165" t="inlineStr">
        <is>
          <t>Pintura</t>
        </is>
      </c>
      <c r="H992" s="2165" t="n"/>
      <c r="I992" s="85" t="inlineStr">
        <is>
          <t>Pintura</t>
        </is>
      </c>
    </row>
    <row r="993" ht="14.25" customHeight="1">
      <c r="A993" s="10">
        <f>COUNTIFS($B$2:$B$996,B993)</f>
        <v/>
      </c>
      <c r="B993" s="82" t="inlineStr">
        <is>
          <t>Cola PVA (adesivo)</t>
        </is>
      </c>
      <c r="C993" s="83" t="inlineStr">
        <is>
          <t>L</t>
        </is>
      </c>
      <c r="D993" s="2165">
        <f>E993*$D$1</f>
        <v/>
      </c>
      <c r="E993" s="2165" t="n">
        <v>12</v>
      </c>
      <c r="F993" s="2165" t="inlineStr">
        <is>
          <t>Pintura</t>
        </is>
      </c>
      <c r="G993" s="2165" t="inlineStr">
        <is>
          <t>Pintura</t>
        </is>
      </c>
      <c r="H993" s="2165" t="n"/>
      <c r="I993" s="85" t="inlineStr">
        <is>
          <t>Pintura</t>
        </is>
      </c>
    </row>
    <row r="994" ht="14.25" customHeight="1">
      <c r="A994" s="10">
        <f>COUNTIFS($B$2:$B$996,B994)</f>
        <v/>
      </c>
      <c r="B994" s="82" t="inlineStr">
        <is>
          <t>MASSA TEXTURIZADA ACRÍLICA IBRATIN PADRÃO GRANELLI 898A0A MANCHESTER MÁXIMO - MARROM</t>
        </is>
      </c>
      <c r="C994" s="83" t="inlineStr">
        <is>
          <t>KG</t>
        </is>
      </c>
      <c r="D994" s="2165">
        <f>E994*$D$1</f>
        <v/>
      </c>
      <c r="E994" s="2165" t="n">
        <v>30</v>
      </c>
      <c r="F994" s="2165" t="inlineStr">
        <is>
          <t>Pintura</t>
        </is>
      </c>
      <c r="G994" s="2165" t="inlineStr">
        <is>
          <t>Pintura</t>
        </is>
      </c>
      <c r="H994" s="2165" t="n"/>
      <c r="I994" s="85" t="inlineStr">
        <is>
          <t>Pintura</t>
        </is>
      </c>
    </row>
    <row r="995" ht="14.25" customHeight="1">
      <c r="A995" s="10">
        <f>COUNTIFS($B$2:$B$996,B995)</f>
        <v/>
      </c>
      <c r="B995" s="82" t="inlineStr">
        <is>
          <t xml:space="preserve"> MASSA TEXTURIZADA ACRÍLICA IBRATIN PADRÃO GRANELLI 898A0L MANCHESTER CLARO - BEGE CLARO</t>
        </is>
      </c>
      <c r="C995" s="83" t="inlineStr">
        <is>
          <t>KG</t>
        </is>
      </c>
      <c r="D995" s="2165">
        <f>E995*$D$1</f>
        <v/>
      </c>
      <c r="E995" s="2165" t="n">
        <v>25</v>
      </c>
      <c r="F995" s="2165" t="inlineStr">
        <is>
          <t>Pintura</t>
        </is>
      </c>
      <c r="G995" s="2165" t="inlineStr">
        <is>
          <t>Pintura</t>
        </is>
      </c>
      <c r="H995" s="2165" t="n"/>
      <c r="I995" s="85" t="inlineStr">
        <is>
          <t>Pintura</t>
        </is>
      </c>
    </row>
    <row r="996" ht="14.25" customHeight="1">
      <c r="A996" s="10">
        <f>COUNTIFS($B$2:$B$996,B996)</f>
        <v/>
      </c>
      <c r="B996" s="82" t="inlineStr">
        <is>
          <t>MASSA TEXTURIZADA ACRÍLICA IBRATIN PADRÃO GRANELLI 898A0R MANCHESTER MÍNIMO - BEGE ESCURO</t>
        </is>
      </c>
      <c r="C996" s="83" t="inlineStr">
        <is>
          <t>KG</t>
        </is>
      </c>
      <c r="D996" s="2165">
        <f>E996*$D$1</f>
        <v/>
      </c>
      <c r="E996" s="2165" t="n">
        <v>26</v>
      </c>
      <c r="F996" s="2165" t="inlineStr">
        <is>
          <t>Pintura</t>
        </is>
      </c>
      <c r="G996" s="2165" t="inlineStr">
        <is>
          <t>Pintura</t>
        </is>
      </c>
      <c r="H996" s="2165" t="n"/>
      <c r="I996" s="85" t="inlineStr">
        <is>
          <t>Pintura</t>
        </is>
      </c>
    </row>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sheetData>
  <autoFilter ref="A1:G996"/>
  <conditionalFormatting sqref="B250">
    <cfRule type="expression" priority="10" dxfId="6436">
      <formula>$B250="Serviço"</formula>
    </cfRule>
    <cfRule type="expression" priority="11" dxfId="6424">
      <formula>$B250="Subetapa"</formula>
    </cfRule>
  </conditionalFormatting>
  <conditionalFormatting sqref="B473">
    <cfRule type="expression" priority="8" dxfId="6434">
      <formula>$B473="Subetapa"</formula>
    </cfRule>
    <cfRule type="expression" priority="9" dxfId="6433">
      <formula>$B473="Serviço"</formula>
    </cfRule>
  </conditionalFormatting>
  <conditionalFormatting sqref="E280">
    <cfRule type="cellIs" priority="12" operator="equal" dxfId="6432">
      <formula>"TETO"</formula>
    </cfRule>
    <cfRule type="cellIs" priority="13" operator="equal" dxfId="6431">
      <formula>"PAREDE"</formula>
    </cfRule>
    <cfRule type="cellIs" priority="14" operator="equal" dxfId="6430">
      <formula>"PISO"</formula>
    </cfRule>
    <cfRule type="cellIs" priority="15" operator="equal" dxfId="6429">
      <formula>"FACHADA"</formula>
    </cfRule>
  </conditionalFormatting>
  <conditionalFormatting sqref="B760:G760 B763:G763">
    <cfRule type="expression" priority="7" dxfId="6425">
      <formula>$A760=2</formula>
    </cfRule>
  </conditionalFormatting>
  <conditionalFormatting sqref="B361:G376">
    <cfRule type="expression" priority="6" dxfId="6425">
      <formula>$A361=2</formula>
    </cfRule>
  </conditionalFormatting>
  <conditionalFormatting sqref="B761:G761">
    <cfRule type="expression" priority="4" dxfId="6425">
      <formula>$A761=2</formula>
    </cfRule>
  </conditionalFormatting>
  <conditionalFormatting sqref="B762:G762">
    <cfRule type="expression" priority="3" dxfId="6425">
      <formula>$A762=2</formula>
    </cfRule>
  </conditionalFormatting>
  <conditionalFormatting sqref="B819">
    <cfRule type="expression" priority="1" dxfId="6424">
      <formula>$B819="Subetapa"</formula>
    </cfRule>
  </conditionalFormatting>
  <hyperlinks>
    <hyperlink xmlns:r="http://schemas.openxmlformats.org/officeDocument/2006/relationships" ref="B622" r:id="rId1"/>
    <hyperlink xmlns:r="http://schemas.openxmlformats.org/officeDocument/2006/relationships" ref="B628" r:id="rId2"/>
  </hyperlinks>
  <pageMargins left="0.511811024" right="0.511811024" top="0.787401575" bottom="0.787401575" header="0" footer="0"/>
  <pageSetup orientation="portrait" paperSize="9"/>
  <drawing xmlns:r="http://schemas.openxmlformats.org/officeDocument/2006/relationships" r:id="rId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Michelle Furlan</dc:creator>
  <dcterms:created xmlns:dcterms="http://purl.org/dc/terms/" xmlns:xsi="http://www.w3.org/2001/XMLSchema-instance" xsi:type="dcterms:W3CDTF">2011-02-08T17:53:57Z</dcterms:created>
  <dcterms:modified xmlns:dcterms="http://purl.org/dc/terms/" xmlns:xsi="http://www.w3.org/2001/XMLSchema-instance" xsi:type="dcterms:W3CDTF">2026-04-21T01:17:30Z</dcterms:modified>
  <cp:lastModifiedBy>Leonardo Cartesian</cp:lastModifiedBy>
</cp:coreProperties>
</file>